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/>
  <mc:AlternateContent xmlns:mc="http://schemas.openxmlformats.org/markup-compatibility/2006">
    <mc:Choice Requires="x15">
      <x15ac:absPath xmlns:x15ac="http://schemas.microsoft.com/office/spreadsheetml/2010/11/ac" url="D:\Data Files\Working Datasets\JBA\"/>
    </mc:Choice>
  </mc:AlternateContent>
  <xr:revisionPtr revIDLastSave="4" documentId="13_ncr:1_{FFC68984-695C-426A-BDA8-37964DAF437F}" xr6:coauthVersionLast="47" xr6:coauthVersionMax="47" xr10:uidLastSave="{D348DF7C-7574-4351-B810-B4E5E98AAAFD}"/>
  <bookViews>
    <workbookView xWindow="-108" yWindow="-108" windowWidth="23256" windowHeight="12576" xr2:uid="{38BF0A9F-10D1-45B4-8B71-BE101BB95D90}"/>
  </bookViews>
  <sheets>
    <sheet name="Data" sheetId="2" r:id="rId1"/>
    <sheet name="Log" sheetId="3" r:id="rId2"/>
    <sheet name="Pivot" sheetId="4" r:id="rId3"/>
    <sheet name="Biota" sheetId="1" r:id="rId4"/>
  </sheets>
  <externalReferences>
    <externalReference r:id="rId5"/>
    <externalReference r:id="rId6"/>
  </externalReferences>
  <definedNames>
    <definedName name="_xlnm._FilterDatabase" localSheetId="3" hidden="1">Biota!$A$1:$N$8301</definedName>
    <definedName name="ExternalData_1" localSheetId="0" hidden="1">Data!$A$1:$BJ$166</definedName>
  </definedNames>
  <calcPr calcId="191028"/>
  <pivotCaches>
    <pivotCache cacheId="865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29" i="2"/>
  <c r="BK130" i="2"/>
  <c r="BK131" i="2"/>
  <c r="BK132" i="2"/>
  <c r="BK133" i="2"/>
  <c r="BK134" i="2"/>
  <c r="BK135" i="2"/>
  <c r="BK136" i="2"/>
  <c r="BK137" i="2"/>
  <c r="BK138" i="2"/>
  <c r="BK139" i="2"/>
  <c r="BK140" i="2"/>
  <c r="BK141" i="2"/>
  <c r="BK142" i="2"/>
  <c r="BK143" i="2"/>
  <c r="BK144" i="2"/>
  <c r="BK145" i="2"/>
  <c r="BK146" i="2"/>
  <c r="BK147" i="2"/>
  <c r="BK148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L2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6" i="2"/>
  <c r="BL117" i="2"/>
  <c r="BL118" i="2"/>
  <c r="BL119" i="2"/>
  <c r="BL120" i="2"/>
  <c r="BL121" i="2"/>
  <c r="BL122" i="2"/>
  <c r="BL123" i="2"/>
  <c r="BL124" i="2"/>
  <c r="BL125" i="2"/>
  <c r="BL126" i="2"/>
  <c r="BL127" i="2"/>
  <c r="BL128" i="2"/>
  <c r="BL129" i="2"/>
  <c r="BL130" i="2"/>
  <c r="BL131" i="2"/>
  <c r="BL132" i="2"/>
  <c r="BL133" i="2"/>
  <c r="BL134" i="2"/>
  <c r="BL135" i="2"/>
  <c r="BL136" i="2"/>
  <c r="BL137" i="2"/>
  <c r="BL138" i="2"/>
  <c r="BL139" i="2"/>
  <c r="BL140" i="2"/>
  <c r="BL141" i="2"/>
  <c r="BL142" i="2"/>
  <c r="BL143" i="2"/>
  <c r="BL144" i="2"/>
  <c r="BL145" i="2"/>
  <c r="BL146" i="2"/>
  <c r="BL147" i="2"/>
  <c r="BL148" i="2"/>
  <c r="BL149" i="2"/>
  <c r="BL150" i="2"/>
  <c r="BL151" i="2"/>
  <c r="BL152" i="2"/>
  <c r="BL153" i="2"/>
  <c r="BL154" i="2"/>
  <c r="BL155" i="2"/>
  <c r="BL156" i="2"/>
  <c r="BL157" i="2"/>
  <c r="BL158" i="2"/>
  <c r="BL159" i="2"/>
  <c r="BL160" i="2"/>
  <c r="BL161" i="2"/>
  <c r="BL162" i="2"/>
  <c r="BL163" i="2"/>
  <c r="BL164" i="2"/>
  <c r="BL165" i="2"/>
  <c r="BL166" i="2"/>
  <c r="BM2" i="2"/>
  <c r="BM3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M99" i="2"/>
  <c r="BM100" i="2"/>
  <c r="BM101" i="2"/>
  <c r="BM102" i="2"/>
  <c r="BM103" i="2"/>
  <c r="BM104" i="2"/>
  <c r="BM105" i="2"/>
  <c r="BM106" i="2"/>
  <c r="BM107" i="2"/>
  <c r="BM108" i="2"/>
  <c r="BM109" i="2"/>
  <c r="BM110" i="2"/>
  <c r="BM111" i="2"/>
  <c r="BM112" i="2"/>
  <c r="BM113" i="2"/>
  <c r="BM114" i="2"/>
  <c r="BM115" i="2"/>
  <c r="BM116" i="2"/>
  <c r="BM117" i="2"/>
  <c r="BM118" i="2"/>
  <c r="BM119" i="2"/>
  <c r="BM120" i="2"/>
  <c r="BM121" i="2"/>
  <c r="BM122" i="2"/>
  <c r="BM123" i="2"/>
  <c r="BM124" i="2"/>
  <c r="BM125" i="2"/>
  <c r="BM126" i="2"/>
  <c r="BM127" i="2"/>
  <c r="BM128" i="2"/>
  <c r="BM129" i="2"/>
  <c r="BM130" i="2"/>
  <c r="BM131" i="2"/>
  <c r="BM132" i="2"/>
  <c r="BM133" i="2"/>
  <c r="BM134" i="2"/>
  <c r="BM135" i="2"/>
  <c r="BM136" i="2"/>
  <c r="BM137" i="2"/>
  <c r="BM138" i="2"/>
  <c r="BM139" i="2"/>
  <c r="BM140" i="2"/>
  <c r="BM141" i="2"/>
  <c r="BM142" i="2"/>
  <c r="BM143" i="2"/>
  <c r="BM144" i="2"/>
  <c r="BM145" i="2"/>
  <c r="BM146" i="2"/>
  <c r="BM147" i="2"/>
  <c r="BM148" i="2"/>
  <c r="BM149" i="2"/>
  <c r="BM150" i="2"/>
  <c r="BM151" i="2"/>
  <c r="BM152" i="2"/>
  <c r="BM153" i="2"/>
  <c r="BM154" i="2"/>
  <c r="BM155" i="2"/>
  <c r="BM156" i="2"/>
  <c r="BM157" i="2"/>
  <c r="BM158" i="2"/>
  <c r="BM159" i="2"/>
  <c r="BM160" i="2"/>
  <c r="BM161" i="2"/>
  <c r="BM162" i="2"/>
  <c r="BM163" i="2"/>
  <c r="BM164" i="2"/>
  <c r="BM165" i="2"/>
  <c r="BM166" i="2"/>
  <c r="BN2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O2" i="2"/>
  <c r="BO3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5" i="2"/>
  <c r="BO106" i="2"/>
  <c r="BO107" i="2"/>
  <c r="BO108" i="2"/>
  <c r="BO109" i="2"/>
  <c r="BO110" i="2"/>
  <c r="BO111" i="2"/>
  <c r="BO112" i="2"/>
  <c r="BO113" i="2"/>
  <c r="BO114" i="2"/>
  <c r="BO115" i="2"/>
  <c r="BO116" i="2"/>
  <c r="BO117" i="2"/>
  <c r="BO118" i="2"/>
  <c r="BO119" i="2"/>
  <c r="BO120" i="2"/>
  <c r="BO121" i="2"/>
  <c r="BO122" i="2"/>
  <c r="BO123" i="2"/>
  <c r="BO124" i="2"/>
  <c r="BO125" i="2"/>
  <c r="BO126" i="2"/>
  <c r="BO127" i="2"/>
  <c r="BO128" i="2"/>
  <c r="BO129" i="2"/>
  <c r="BO130" i="2"/>
  <c r="BO131" i="2"/>
  <c r="BO132" i="2"/>
  <c r="BO133" i="2"/>
  <c r="BO134" i="2"/>
  <c r="BO135" i="2"/>
  <c r="BO136" i="2"/>
  <c r="BO137" i="2"/>
  <c r="BO138" i="2"/>
  <c r="BO139" i="2"/>
  <c r="BO140" i="2"/>
  <c r="BO141" i="2"/>
  <c r="BO142" i="2"/>
  <c r="BO143" i="2"/>
  <c r="BO144" i="2"/>
  <c r="BO145" i="2"/>
  <c r="BO146" i="2"/>
  <c r="BO147" i="2"/>
  <c r="BO148" i="2"/>
  <c r="BO149" i="2"/>
  <c r="BO150" i="2"/>
  <c r="BO151" i="2"/>
  <c r="BO152" i="2"/>
  <c r="BO153" i="2"/>
  <c r="BO154" i="2"/>
  <c r="BO155" i="2"/>
  <c r="BO156" i="2"/>
  <c r="BO157" i="2"/>
  <c r="BO158" i="2"/>
  <c r="BO159" i="2"/>
  <c r="BO160" i="2"/>
  <c r="BO161" i="2"/>
  <c r="BO162" i="2"/>
  <c r="BO163" i="2"/>
  <c r="BO164" i="2"/>
  <c r="BO165" i="2"/>
  <c r="BO166" i="2"/>
  <c r="BP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Q115" i="2"/>
  <c r="BQ116" i="2"/>
  <c r="BQ117" i="2"/>
  <c r="BQ118" i="2"/>
  <c r="BQ119" i="2"/>
  <c r="BQ120" i="2"/>
  <c r="BQ121" i="2"/>
  <c r="BQ122" i="2"/>
  <c r="BQ123" i="2"/>
  <c r="BQ124" i="2"/>
  <c r="BQ125" i="2"/>
  <c r="BQ126" i="2"/>
  <c r="BQ127" i="2"/>
  <c r="BQ128" i="2"/>
  <c r="BQ129" i="2"/>
  <c r="BQ130" i="2"/>
  <c r="BQ131" i="2"/>
  <c r="BQ132" i="2"/>
  <c r="BQ133" i="2"/>
  <c r="BQ134" i="2"/>
  <c r="BQ135" i="2"/>
  <c r="BQ136" i="2"/>
  <c r="BQ137" i="2"/>
  <c r="BQ138" i="2"/>
  <c r="BQ139" i="2"/>
  <c r="BQ140" i="2"/>
  <c r="BQ141" i="2"/>
  <c r="BQ142" i="2"/>
  <c r="BQ143" i="2"/>
  <c r="BQ144" i="2"/>
  <c r="BQ145" i="2"/>
  <c r="BQ146" i="2"/>
  <c r="BQ147" i="2"/>
  <c r="BQ148" i="2"/>
  <c r="BQ149" i="2"/>
  <c r="BQ150" i="2"/>
  <c r="BQ151" i="2"/>
  <c r="BQ152" i="2"/>
  <c r="BQ153" i="2"/>
  <c r="BQ154" i="2"/>
  <c r="BQ155" i="2"/>
  <c r="BQ156" i="2"/>
  <c r="BQ157" i="2"/>
  <c r="BQ158" i="2"/>
  <c r="BQ159" i="2"/>
  <c r="BQ160" i="2"/>
  <c r="BQ161" i="2"/>
  <c r="BQ162" i="2"/>
  <c r="BQ163" i="2"/>
  <c r="BQ164" i="2"/>
  <c r="BQ165" i="2"/>
  <c r="BQ166" i="2"/>
  <c r="BR2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S2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T2" i="2"/>
  <c r="BT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19" i="2"/>
  <c r="BT120" i="2"/>
  <c r="BT121" i="2"/>
  <c r="BT122" i="2"/>
  <c r="BT123" i="2"/>
  <c r="BT124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2" i="2"/>
  <c r="BT143" i="2"/>
  <c r="BT144" i="2"/>
  <c r="BT145" i="2"/>
  <c r="BT146" i="2"/>
  <c r="BT147" i="2"/>
  <c r="BT148" i="2"/>
  <c r="BT149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3" i="2"/>
  <c r="BT164" i="2"/>
  <c r="BT165" i="2"/>
  <c r="BT166" i="2"/>
  <c r="BU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29" i="2"/>
  <c r="BU130" i="2"/>
  <c r="BU131" i="2"/>
  <c r="BU132" i="2"/>
  <c r="BU133" i="2"/>
  <c r="BU134" i="2"/>
  <c r="BU135" i="2"/>
  <c r="BU136" i="2"/>
  <c r="BU137" i="2"/>
  <c r="BU138" i="2"/>
  <c r="BU139" i="2"/>
  <c r="BU140" i="2"/>
  <c r="BU141" i="2"/>
  <c r="BU142" i="2"/>
  <c r="BU143" i="2"/>
  <c r="BU144" i="2"/>
  <c r="BU145" i="2"/>
  <c r="BU146" i="2"/>
  <c r="BU147" i="2"/>
  <c r="BU148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V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W2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X2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Y2" i="2"/>
  <c r="BY3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BY95" i="2"/>
  <c r="BY96" i="2"/>
  <c r="BY97" i="2"/>
  <c r="BY98" i="2"/>
  <c r="BY99" i="2"/>
  <c r="BY100" i="2"/>
  <c r="BY101" i="2"/>
  <c r="BY102" i="2"/>
  <c r="BY103" i="2"/>
  <c r="BY104" i="2"/>
  <c r="BY105" i="2"/>
  <c r="BY106" i="2"/>
  <c r="BY107" i="2"/>
  <c r="BY108" i="2"/>
  <c r="BY109" i="2"/>
  <c r="BY110" i="2"/>
  <c r="BY111" i="2"/>
  <c r="BY112" i="2"/>
  <c r="BY113" i="2"/>
  <c r="BY114" i="2"/>
  <c r="BY115" i="2"/>
  <c r="BY116" i="2"/>
  <c r="BY117" i="2"/>
  <c r="BY118" i="2"/>
  <c r="BY119" i="2"/>
  <c r="BY120" i="2"/>
  <c r="BY121" i="2"/>
  <c r="BY122" i="2"/>
  <c r="BY123" i="2"/>
  <c r="BY124" i="2"/>
  <c r="BY125" i="2"/>
  <c r="BY126" i="2"/>
  <c r="BY127" i="2"/>
  <c r="BY128" i="2"/>
  <c r="BY129" i="2"/>
  <c r="BY130" i="2"/>
  <c r="BY131" i="2"/>
  <c r="BY132" i="2"/>
  <c r="BY133" i="2"/>
  <c r="BY134" i="2"/>
  <c r="BY135" i="2"/>
  <c r="BY136" i="2"/>
  <c r="BY137" i="2"/>
  <c r="BY138" i="2"/>
  <c r="BY139" i="2"/>
  <c r="BY140" i="2"/>
  <c r="BY141" i="2"/>
  <c r="BY142" i="2"/>
  <c r="BY143" i="2"/>
  <c r="BY144" i="2"/>
  <c r="BY145" i="2"/>
  <c r="BY146" i="2"/>
  <c r="BY147" i="2"/>
  <c r="BY148" i="2"/>
  <c r="BY149" i="2"/>
  <c r="BY150" i="2"/>
  <c r="BY151" i="2"/>
  <c r="BY152" i="2"/>
  <c r="BY153" i="2"/>
  <c r="BY154" i="2"/>
  <c r="BY155" i="2"/>
  <c r="BY156" i="2"/>
  <c r="BY157" i="2"/>
  <c r="BY158" i="2"/>
  <c r="BY159" i="2"/>
  <c r="BY160" i="2"/>
  <c r="BY161" i="2"/>
  <c r="BY162" i="2"/>
  <c r="BY163" i="2"/>
  <c r="BY164" i="2"/>
  <c r="BY165" i="2"/>
  <c r="BY166" i="2"/>
  <c r="BZ2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126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CA2" i="2"/>
  <c r="CA3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86" i="2"/>
  <c r="CA87" i="2"/>
  <c r="CA88" i="2"/>
  <c r="CA89" i="2"/>
  <c r="CA90" i="2"/>
  <c r="CA91" i="2"/>
  <c r="CA92" i="2"/>
  <c r="CA93" i="2"/>
  <c r="CA94" i="2"/>
  <c r="CA95" i="2"/>
  <c r="CA96" i="2"/>
  <c r="CA97" i="2"/>
  <c r="CA98" i="2"/>
  <c r="CA99" i="2"/>
  <c r="CA100" i="2"/>
  <c r="CA101" i="2"/>
  <c r="CA102" i="2"/>
  <c r="CA103" i="2"/>
  <c r="CA104" i="2"/>
  <c r="CA105" i="2"/>
  <c r="CA106" i="2"/>
  <c r="CA107" i="2"/>
  <c r="CA108" i="2"/>
  <c r="CA109" i="2"/>
  <c r="CA110" i="2"/>
  <c r="CA111" i="2"/>
  <c r="CA112" i="2"/>
  <c r="CA113" i="2"/>
  <c r="CA114" i="2"/>
  <c r="CA115" i="2"/>
  <c r="CA116" i="2"/>
  <c r="CA117" i="2"/>
  <c r="CA118" i="2"/>
  <c r="CA119" i="2"/>
  <c r="CA120" i="2"/>
  <c r="CA121" i="2"/>
  <c r="CA122" i="2"/>
  <c r="CA123" i="2"/>
  <c r="CA124" i="2"/>
  <c r="CA125" i="2"/>
  <c r="CA126" i="2"/>
  <c r="CA127" i="2"/>
  <c r="CA128" i="2"/>
  <c r="CA129" i="2"/>
  <c r="CA130" i="2"/>
  <c r="CA131" i="2"/>
  <c r="CA132" i="2"/>
  <c r="CA133" i="2"/>
  <c r="CA134" i="2"/>
  <c r="CA135" i="2"/>
  <c r="CA136" i="2"/>
  <c r="CA137" i="2"/>
  <c r="CA138" i="2"/>
  <c r="CA139" i="2"/>
  <c r="CA140" i="2"/>
  <c r="CA141" i="2"/>
  <c r="CA142" i="2"/>
  <c r="CA143" i="2"/>
  <c r="CA144" i="2"/>
  <c r="CA145" i="2"/>
  <c r="CA146" i="2"/>
  <c r="CA147" i="2"/>
  <c r="CA148" i="2"/>
  <c r="CA149" i="2"/>
  <c r="CA150" i="2"/>
  <c r="CA151" i="2"/>
  <c r="CA152" i="2"/>
  <c r="CA153" i="2"/>
  <c r="CA154" i="2"/>
  <c r="CA155" i="2"/>
  <c r="CA156" i="2"/>
  <c r="CA157" i="2"/>
  <c r="CA158" i="2"/>
  <c r="CA159" i="2"/>
  <c r="CA160" i="2"/>
  <c r="CA161" i="2"/>
  <c r="CA162" i="2"/>
  <c r="CA163" i="2"/>
  <c r="CA164" i="2"/>
  <c r="CA165" i="2"/>
  <c r="CA166" i="2"/>
  <c r="CB2" i="2"/>
  <c r="CB3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88" i="2"/>
  <c r="CB89" i="2"/>
  <c r="CB90" i="2"/>
  <c r="CB91" i="2"/>
  <c r="CB92" i="2"/>
  <c r="CB93" i="2"/>
  <c r="CB94" i="2"/>
  <c r="CB95" i="2"/>
  <c r="CB96" i="2"/>
  <c r="CB97" i="2"/>
  <c r="CB98" i="2"/>
  <c r="CB99" i="2"/>
  <c r="CB100" i="2"/>
  <c r="CB101" i="2"/>
  <c r="CB102" i="2"/>
  <c r="CB103" i="2"/>
  <c r="CB104" i="2"/>
  <c r="CB105" i="2"/>
  <c r="CB106" i="2"/>
  <c r="CB107" i="2"/>
  <c r="CB108" i="2"/>
  <c r="CB109" i="2"/>
  <c r="CB110" i="2"/>
  <c r="CB111" i="2"/>
  <c r="CB112" i="2"/>
  <c r="CB113" i="2"/>
  <c r="CB114" i="2"/>
  <c r="CB115" i="2"/>
  <c r="CB116" i="2"/>
  <c r="CB117" i="2"/>
  <c r="CB118" i="2"/>
  <c r="CB119" i="2"/>
  <c r="CB120" i="2"/>
  <c r="CB121" i="2"/>
  <c r="CB122" i="2"/>
  <c r="CB123" i="2"/>
  <c r="CB124" i="2"/>
  <c r="CB125" i="2"/>
  <c r="CB126" i="2"/>
  <c r="CB127" i="2"/>
  <c r="CB128" i="2"/>
  <c r="CB129" i="2"/>
  <c r="CB130" i="2"/>
  <c r="CB131" i="2"/>
  <c r="CB132" i="2"/>
  <c r="CB133" i="2"/>
  <c r="CB134" i="2"/>
  <c r="CB135" i="2"/>
  <c r="CB136" i="2"/>
  <c r="CB137" i="2"/>
  <c r="CB138" i="2"/>
  <c r="CB139" i="2"/>
  <c r="CB140" i="2"/>
  <c r="CB141" i="2"/>
  <c r="CB142" i="2"/>
  <c r="CB143" i="2"/>
  <c r="CB144" i="2"/>
  <c r="CB145" i="2"/>
  <c r="CB146" i="2"/>
  <c r="CB147" i="2"/>
  <c r="CB148" i="2"/>
  <c r="CB149" i="2"/>
  <c r="CB150" i="2"/>
  <c r="CB151" i="2"/>
  <c r="CB152" i="2"/>
  <c r="CB153" i="2"/>
  <c r="CB154" i="2"/>
  <c r="CB155" i="2"/>
  <c r="CB156" i="2"/>
  <c r="CB157" i="2"/>
  <c r="CB158" i="2"/>
  <c r="CB159" i="2"/>
  <c r="CB160" i="2"/>
  <c r="CB161" i="2"/>
  <c r="CB162" i="2"/>
  <c r="CB163" i="2"/>
  <c r="CB164" i="2"/>
  <c r="CB165" i="2"/>
  <c r="CB166" i="2"/>
  <c r="CC2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19" i="2"/>
  <c r="CC120" i="2"/>
  <c r="CC121" i="2"/>
  <c r="CC122" i="2"/>
  <c r="CC123" i="2"/>
  <c r="CC124" i="2"/>
  <c r="CC125" i="2"/>
  <c r="CC126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0" i="2"/>
  <c r="CC141" i="2"/>
  <c r="CC142" i="2"/>
  <c r="CC143" i="2"/>
  <c r="CC144" i="2"/>
  <c r="CC145" i="2"/>
  <c r="CC146" i="2"/>
  <c r="CC147" i="2"/>
  <c r="CC148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D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0" i="2"/>
  <c r="CD141" i="2"/>
  <c r="CD142" i="2"/>
  <c r="CD143" i="2"/>
  <c r="CD144" i="2"/>
  <c r="CD145" i="2"/>
  <c r="CD146" i="2"/>
  <c r="CD147" i="2"/>
  <c r="CD148" i="2"/>
  <c r="CD149" i="2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D163" i="2"/>
  <c r="CD164" i="2"/>
  <c r="CD165" i="2"/>
  <c r="CD166" i="2"/>
  <c r="CE2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29" i="2"/>
  <c r="CE130" i="2"/>
  <c r="CE131" i="2"/>
  <c r="CE132" i="2"/>
  <c r="CE133" i="2"/>
  <c r="CE134" i="2"/>
  <c r="CE135" i="2"/>
  <c r="CE136" i="2"/>
  <c r="CE137" i="2"/>
  <c r="CE138" i="2"/>
  <c r="CE139" i="2"/>
  <c r="CE140" i="2"/>
  <c r="CE141" i="2"/>
  <c r="CE142" i="2"/>
  <c r="CE143" i="2"/>
  <c r="CE144" i="2"/>
  <c r="CE145" i="2"/>
  <c r="CE146" i="2"/>
  <c r="CE147" i="2"/>
  <c r="CE148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F2" i="2"/>
  <c r="CF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3" i="2"/>
  <c r="CF94" i="2"/>
  <c r="CF95" i="2"/>
  <c r="CF96" i="2"/>
  <c r="CF97" i="2"/>
  <c r="CF98" i="2"/>
  <c r="CF99" i="2"/>
  <c r="CF100" i="2"/>
  <c r="CF101" i="2"/>
  <c r="CF102" i="2"/>
  <c r="CF103" i="2"/>
  <c r="CF104" i="2"/>
  <c r="CF105" i="2"/>
  <c r="CF106" i="2"/>
  <c r="CF107" i="2"/>
  <c r="CF108" i="2"/>
  <c r="CF109" i="2"/>
  <c r="CF110" i="2"/>
  <c r="CF111" i="2"/>
  <c r="CF112" i="2"/>
  <c r="CF113" i="2"/>
  <c r="CF114" i="2"/>
  <c r="CF115" i="2"/>
  <c r="CF116" i="2"/>
  <c r="CF117" i="2"/>
  <c r="CF118" i="2"/>
  <c r="CF119" i="2"/>
  <c r="CF120" i="2"/>
  <c r="CF121" i="2"/>
  <c r="CF122" i="2"/>
  <c r="CF123" i="2"/>
  <c r="CF124" i="2"/>
  <c r="CF125" i="2"/>
  <c r="CF126" i="2"/>
  <c r="CF127" i="2"/>
  <c r="CF128" i="2"/>
  <c r="CF129" i="2"/>
  <c r="CF130" i="2"/>
  <c r="CF131" i="2"/>
  <c r="CF132" i="2"/>
  <c r="CF133" i="2"/>
  <c r="CF134" i="2"/>
  <c r="CF135" i="2"/>
  <c r="CF136" i="2"/>
  <c r="CF137" i="2"/>
  <c r="CF138" i="2"/>
  <c r="CF139" i="2"/>
  <c r="CF140" i="2"/>
  <c r="CF141" i="2"/>
  <c r="CF142" i="2"/>
  <c r="CF143" i="2"/>
  <c r="CF144" i="2"/>
  <c r="CF145" i="2"/>
  <c r="CF146" i="2"/>
  <c r="CF147" i="2"/>
  <c r="CF148" i="2"/>
  <c r="CF149" i="2"/>
  <c r="CF150" i="2"/>
  <c r="CF151" i="2"/>
  <c r="CF152" i="2"/>
  <c r="CF153" i="2"/>
  <c r="CF154" i="2"/>
  <c r="CF155" i="2"/>
  <c r="CF156" i="2"/>
  <c r="CF157" i="2"/>
  <c r="CF158" i="2"/>
  <c r="CF159" i="2"/>
  <c r="CF160" i="2"/>
  <c r="CF161" i="2"/>
  <c r="CF162" i="2"/>
  <c r="CF163" i="2"/>
  <c r="CF164" i="2"/>
  <c r="CF165" i="2"/>
  <c r="CF166" i="2"/>
  <c r="CG2" i="2"/>
  <c r="CG3" i="2"/>
  <c r="CG4" i="2"/>
  <c r="CG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86" i="2"/>
  <c r="CG87" i="2"/>
  <c r="CG88" i="2"/>
  <c r="CG89" i="2"/>
  <c r="CG90" i="2"/>
  <c r="CG91" i="2"/>
  <c r="CG92" i="2"/>
  <c r="CG93" i="2"/>
  <c r="CG94" i="2"/>
  <c r="CG95" i="2"/>
  <c r="CG96" i="2"/>
  <c r="CG97" i="2"/>
  <c r="CG98" i="2"/>
  <c r="CG99" i="2"/>
  <c r="CG100" i="2"/>
  <c r="CG101" i="2"/>
  <c r="CG102" i="2"/>
  <c r="CG103" i="2"/>
  <c r="CG104" i="2"/>
  <c r="CG105" i="2"/>
  <c r="CG106" i="2"/>
  <c r="CG107" i="2"/>
  <c r="CG108" i="2"/>
  <c r="CG109" i="2"/>
  <c r="CG110" i="2"/>
  <c r="CG111" i="2"/>
  <c r="CG112" i="2"/>
  <c r="CG113" i="2"/>
  <c r="CG114" i="2"/>
  <c r="CG115" i="2"/>
  <c r="CG116" i="2"/>
  <c r="CG117" i="2"/>
  <c r="CG118" i="2"/>
  <c r="CG119" i="2"/>
  <c r="CG120" i="2"/>
  <c r="CG121" i="2"/>
  <c r="CG122" i="2"/>
  <c r="CG123" i="2"/>
  <c r="CG124" i="2"/>
  <c r="CG125" i="2"/>
  <c r="CG126" i="2"/>
  <c r="CG127" i="2"/>
  <c r="CG128" i="2"/>
  <c r="CG129" i="2"/>
  <c r="CG130" i="2"/>
  <c r="CG131" i="2"/>
  <c r="CG132" i="2"/>
  <c r="CG133" i="2"/>
  <c r="CG134" i="2"/>
  <c r="CG135" i="2"/>
  <c r="CG136" i="2"/>
  <c r="CG137" i="2"/>
  <c r="CG138" i="2"/>
  <c r="CG139" i="2"/>
  <c r="CG140" i="2"/>
  <c r="CG141" i="2"/>
  <c r="CG142" i="2"/>
  <c r="CG143" i="2"/>
  <c r="CG144" i="2"/>
  <c r="CG145" i="2"/>
  <c r="CG146" i="2"/>
  <c r="CG147" i="2"/>
  <c r="CG148" i="2"/>
  <c r="CG149" i="2"/>
  <c r="CG150" i="2"/>
  <c r="CG151" i="2"/>
  <c r="CG152" i="2"/>
  <c r="CG153" i="2"/>
  <c r="CG154" i="2"/>
  <c r="CG155" i="2"/>
  <c r="CG156" i="2"/>
  <c r="CG157" i="2"/>
  <c r="CG158" i="2"/>
  <c r="CG159" i="2"/>
  <c r="CG160" i="2"/>
  <c r="CG161" i="2"/>
  <c r="CG162" i="2"/>
  <c r="CG163" i="2"/>
  <c r="CG164" i="2"/>
  <c r="CG165" i="2"/>
  <c r="CG166" i="2"/>
  <c r="CH2" i="2"/>
  <c r="CH3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I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40" i="2"/>
  <c r="CI41" i="2"/>
  <c r="CI42" i="2"/>
  <c r="CI43" i="2"/>
  <c r="CI44" i="2"/>
  <c r="CI45" i="2"/>
  <c r="CI46" i="2"/>
  <c r="CI47" i="2"/>
  <c r="CI48" i="2"/>
  <c r="CI49" i="2"/>
  <c r="CI50" i="2"/>
  <c r="CI51" i="2"/>
  <c r="CI52" i="2"/>
  <c r="CI53" i="2"/>
  <c r="CI54" i="2"/>
  <c r="CI55" i="2"/>
  <c r="CI56" i="2"/>
  <c r="CI57" i="2"/>
  <c r="CI58" i="2"/>
  <c r="CI59" i="2"/>
  <c r="CI60" i="2"/>
  <c r="CI61" i="2"/>
  <c r="CI62" i="2"/>
  <c r="CI63" i="2"/>
  <c r="CI64" i="2"/>
  <c r="CI65" i="2"/>
  <c r="CI66" i="2"/>
  <c r="CI67" i="2"/>
  <c r="CI68" i="2"/>
  <c r="CI69" i="2"/>
  <c r="CI70" i="2"/>
  <c r="CI71" i="2"/>
  <c r="CI72" i="2"/>
  <c r="CI73" i="2"/>
  <c r="CI74" i="2"/>
  <c r="CI75" i="2"/>
  <c r="CI76" i="2"/>
  <c r="CI77" i="2"/>
  <c r="CI78" i="2"/>
  <c r="CI79" i="2"/>
  <c r="CI80" i="2"/>
  <c r="CI81" i="2"/>
  <c r="CI82" i="2"/>
  <c r="CI83" i="2"/>
  <c r="CI84" i="2"/>
  <c r="CI85" i="2"/>
  <c r="CI86" i="2"/>
  <c r="CI87" i="2"/>
  <c r="CI88" i="2"/>
  <c r="CI89" i="2"/>
  <c r="CI90" i="2"/>
  <c r="CI91" i="2"/>
  <c r="CI92" i="2"/>
  <c r="CI93" i="2"/>
  <c r="CI94" i="2"/>
  <c r="CI95" i="2"/>
  <c r="CI96" i="2"/>
  <c r="CI97" i="2"/>
  <c r="CI98" i="2"/>
  <c r="CI99" i="2"/>
  <c r="CI100" i="2"/>
  <c r="CI101" i="2"/>
  <c r="CI102" i="2"/>
  <c r="CI103" i="2"/>
  <c r="CI104" i="2"/>
  <c r="CI105" i="2"/>
  <c r="CI106" i="2"/>
  <c r="CI107" i="2"/>
  <c r="CI108" i="2"/>
  <c r="CI109" i="2"/>
  <c r="CI110" i="2"/>
  <c r="CI111" i="2"/>
  <c r="CI112" i="2"/>
  <c r="CI113" i="2"/>
  <c r="CI114" i="2"/>
  <c r="CI115" i="2"/>
  <c r="CI116" i="2"/>
  <c r="CI117" i="2"/>
  <c r="CI118" i="2"/>
  <c r="CI119" i="2"/>
  <c r="CI120" i="2"/>
  <c r="CI121" i="2"/>
  <c r="CI122" i="2"/>
  <c r="CI123" i="2"/>
  <c r="CI124" i="2"/>
  <c r="CI125" i="2"/>
  <c r="CI126" i="2"/>
  <c r="CI127" i="2"/>
  <c r="CI128" i="2"/>
  <c r="CI129" i="2"/>
  <c r="CI130" i="2"/>
  <c r="CI131" i="2"/>
  <c r="CI132" i="2"/>
  <c r="CI133" i="2"/>
  <c r="CI134" i="2"/>
  <c r="CI135" i="2"/>
  <c r="CI136" i="2"/>
  <c r="CI137" i="2"/>
  <c r="CI138" i="2"/>
  <c r="CI139" i="2"/>
  <c r="CI140" i="2"/>
  <c r="CI141" i="2"/>
  <c r="CI142" i="2"/>
  <c r="CI143" i="2"/>
  <c r="CI144" i="2"/>
  <c r="CI145" i="2"/>
  <c r="CI146" i="2"/>
  <c r="CI147" i="2"/>
  <c r="CI148" i="2"/>
  <c r="CI149" i="2"/>
  <c r="CI150" i="2"/>
  <c r="CI151" i="2"/>
  <c r="CI152" i="2"/>
  <c r="CI153" i="2"/>
  <c r="CI154" i="2"/>
  <c r="CI155" i="2"/>
  <c r="CI156" i="2"/>
  <c r="CI157" i="2"/>
  <c r="CI158" i="2"/>
  <c r="CI159" i="2"/>
  <c r="CI160" i="2"/>
  <c r="CI161" i="2"/>
  <c r="CI162" i="2"/>
  <c r="CI163" i="2"/>
  <c r="CI164" i="2"/>
  <c r="CI165" i="2"/>
  <c r="CI166" i="2"/>
  <c r="CJ2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1" i="2"/>
  <c r="CJ112" i="2"/>
  <c r="CJ113" i="2"/>
  <c r="CJ114" i="2"/>
  <c r="CJ115" i="2"/>
  <c r="CJ116" i="2"/>
  <c r="CJ117" i="2"/>
  <c r="CJ118" i="2"/>
  <c r="CJ119" i="2"/>
  <c r="CJ120" i="2"/>
  <c r="CJ121" i="2"/>
  <c r="CJ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61" i="2"/>
  <c r="CJ162" i="2"/>
  <c r="CJ163" i="2"/>
  <c r="CJ164" i="2"/>
  <c r="CJ165" i="2"/>
  <c r="CJ166" i="2"/>
  <c r="CK2" i="2"/>
  <c r="CK3" i="2"/>
  <c r="CK4" i="2"/>
  <c r="CK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CK50" i="2"/>
  <c r="CK51" i="2"/>
  <c r="CK52" i="2"/>
  <c r="CK53" i="2"/>
  <c r="CK54" i="2"/>
  <c r="CK55" i="2"/>
  <c r="CK56" i="2"/>
  <c r="CK57" i="2"/>
  <c r="CK58" i="2"/>
  <c r="CK59" i="2"/>
  <c r="CK60" i="2"/>
  <c r="CK61" i="2"/>
  <c r="CK62" i="2"/>
  <c r="CK63" i="2"/>
  <c r="CK64" i="2"/>
  <c r="CK65" i="2"/>
  <c r="CK66" i="2"/>
  <c r="CK67" i="2"/>
  <c r="CK68" i="2"/>
  <c r="CK69" i="2"/>
  <c r="CK70" i="2"/>
  <c r="CK71" i="2"/>
  <c r="CK72" i="2"/>
  <c r="CK73" i="2"/>
  <c r="CK74" i="2"/>
  <c r="CK75" i="2"/>
  <c r="CK76" i="2"/>
  <c r="CK77" i="2"/>
  <c r="CK78" i="2"/>
  <c r="CK79" i="2"/>
  <c r="CK80" i="2"/>
  <c r="CK81" i="2"/>
  <c r="CK82" i="2"/>
  <c r="CK83" i="2"/>
  <c r="CK84" i="2"/>
  <c r="CK85" i="2"/>
  <c r="CK86" i="2"/>
  <c r="CK87" i="2"/>
  <c r="CK88" i="2"/>
  <c r="CK89" i="2"/>
  <c r="CK90" i="2"/>
  <c r="CK91" i="2"/>
  <c r="CK92" i="2"/>
  <c r="CK93" i="2"/>
  <c r="CK94" i="2"/>
  <c r="CK95" i="2"/>
  <c r="CK96" i="2"/>
  <c r="CK97" i="2"/>
  <c r="CK98" i="2"/>
  <c r="CK99" i="2"/>
  <c r="CK100" i="2"/>
  <c r="CK101" i="2"/>
  <c r="CK102" i="2"/>
  <c r="CK103" i="2"/>
  <c r="CK104" i="2"/>
  <c r="CK105" i="2"/>
  <c r="CK106" i="2"/>
  <c r="CK107" i="2"/>
  <c r="CK108" i="2"/>
  <c r="CK109" i="2"/>
  <c r="CK110" i="2"/>
  <c r="CK111" i="2"/>
  <c r="CK112" i="2"/>
  <c r="CK113" i="2"/>
  <c r="CK114" i="2"/>
  <c r="CK115" i="2"/>
  <c r="CK116" i="2"/>
  <c r="CK117" i="2"/>
  <c r="CK118" i="2"/>
  <c r="CK119" i="2"/>
  <c r="CK120" i="2"/>
  <c r="CK121" i="2"/>
  <c r="CK122" i="2"/>
  <c r="CK123" i="2"/>
  <c r="CK124" i="2"/>
  <c r="CK125" i="2"/>
  <c r="CK126" i="2"/>
  <c r="CK127" i="2"/>
  <c r="CK128" i="2"/>
  <c r="CK129" i="2"/>
  <c r="CK130" i="2"/>
  <c r="CK131" i="2"/>
  <c r="CK132" i="2"/>
  <c r="CK133" i="2"/>
  <c r="CK134" i="2"/>
  <c r="CK135" i="2"/>
  <c r="CK136" i="2"/>
  <c r="CK137" i="2"/>
  <c r="CK138" i="2"/>
  <c r="CK139" i="2"/>
  <c r="CK140" i="2"/>
  <c r="CK141" i="2"/>
  <c r="CK142" i="2"/>
  <c r="CK143" i="2"/>
  <c r="CK144" i="2"/>
  <c r="CK145" i="2"/>
  <c r="CK146" i="2"/>
  <c r="CK147" i="2"/>
  <c r="CK148" i="2"/>
  <c r="CK149" i="2"/>
  <c r="CK150" i="2"/>
  <c r="CK151" i="2"/>
  <c r="CK152" i="2"/>
  <c r="CK153" i="2"/>
  <c r="CK154" i="2"/>
  <c r="CK155" i="2"/>
  <c r="CK156" i="2"/>
  <c r="CK157" i="2"/>
  <c r="CK158" i="2"/>
  <c r="CK159" i="2"/>
  <c r="CK160" i="2"/>
  <c r="CK161" i="2"/>
  <c r="CK162" i="2"/>
  <c r="CK163" i="2"/>
  <c r="CK164" i="2"/>
  <c r="CK165" i="2"/>
  <c r="CK166" i="2"/>
  <c r="CL2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97" i="2"/>
  <c r="CL98" i="2"/>
  <c r="CL99" i="2"/>
  <c r="CL100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113" i="2"/>
  <c r="CL114" i="2"/>
  <c r="CL115" i="2"/>
  <c r="CL116" i="2"/>
  <c r="CL117" i="2"/>
  <c r="CL118" i="2"/>
  <c r="CL119" i="2"/>
  <c r="CL120" i="2"/>
  <c r="CL121" i="2"/>
  <c r="CL122" i="2"/>
  <c r="CL123" i="2"/>
  <c r="CL124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61" i="2"/>
  <c r="CL162" i="2"/>
  <c r="CL163" i="2"/>
  <c r="CL164" i="2"/>
  <c r="CL165" i="2"/>
  <c r="CL166" i="2"/>
  <c r="CM2" i="2"/>
  <c r="CM3" i="2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86" i="2"/>
  <c r="CM87" i="2"/>
  <c r="CM88" i="2"/>
  <c r="CM89" i="2"/>
  <c r="CM90" i="2"/>
  <c r="CM91" i="2"/>
  <c r="CM92" i="2"/>
  <c r="CM93" i="2"/>
  <c r="CM94" i="2"/>
  <c r="CM95" i="2"/>
  <c r="CM96" i="2"/>
  <c r="CM97" i="2"/>
  <c r="CM98" i="2"/>
  <c r="CM99" i="2"/>
  <c r="CM100" i="2"/>
  <c r="CM101" i="2"/>
  <c r="CM102" i="2"/>
  <c r="CM103" i="2"/>
  <c r="CM104" i="2"/>
  <c r="CM105" i="2"/>
  <c r="CM106" i="2"/>
  <c r="CM107" i="2"/>
  <c r="CM108" i="2"/>
  <c r="CM109" i="2"/>
  <c r="CM110" i="2"/>
  <c r="CM111" i="2"/>
  <c r="CM112" i="2"/>
  <c r="CM113" i="2"/>
  <c r="CM114" i="2"/>
  <c r="CM115" i="2"/>
  <c r="CM116" i="2"/>
  <c r="CM117" i="2"/>
  <c r="CM118" i="2"/>
  <c r="CM119" i="2"/>
  <c r="CM120" i="2"/>
  <c r="CM121" i="2"/>
  <c r="CM122" i="2"/>
  <c r="CM123" i="2"/>
  <c r="CM124" i="2"/>
  <c r="CM125" i="2"/>
  <c r="CM126" i="2"/>
  <c r="CM127" i="2"/>
  <c r="CM128" i="2"/>
  <c r="CM129" i="2"/>
  <c r="CM130" i="2"/>
  <c r="CM131" i="2"/>
  <c r="CM132" i="2"/>
  <c r="CM133" i="2"/>
  <c r="CM134" i="2"/>
  <c r="CM135" i="2"/>
  <c r="CM136" i="2"/>
  <c r="CM137" i="2"/>
  <c r="CM138" i="2"/>
  <c r="CM139" i="2"/>
  <c r="CM140" i="2"/>
  <c r="CM141" i="2"/>
  <c r="CM142" i="2"/>
  <c r="CM143" i="2"/>
  <c r="CM144" i="2"/>
  <c r="CM145" i="2"/>
  <c r="CM146" i="2"/>
  <c r="CM147" i="2"/>
  <c r="CM148" i="2"/>
  <c r="CM149" i="2"/>
  <c r="CM150" i="2"/>
  <c r="CM151" i="2"/>
  <c r="CM152" i="2"/>
  <c r="CM153" i="2"/>
  <c r="CM154" i="2"/>
  <c r="CM155" i="2"/>
  <c r="CM156" i="2"/>
  <c r="CM157" i="2"/>
  <c r="CM158" i="2"/>
  <c r="CM159" i="2"/>
  <c r="CM160" i="2"/>
  <c r="CM161" i="2"/>
  <c r="CM162" i="2"/>
  <c r="CM163" i="2"/>
  <c r="CM164" i="2"/>
  <c r="CM165" i="2"/>
  <c r="CM166" i="2"/>
  <c r="CN2" i="2"/>
  <c r="CN3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0" i="2"/>
  <c r="CN161" i="2"/>
  <c r="CN162" i="2"/>
  <c r="CN163" i="2"/>
  <c r="CN164" i="2"/>
  <c r="CN165" i="2"/>
  <c r="CN166" i="2"/>
  <c r="CO2" i="2"/>
  <c r="CO3" i="2"/>
  <c r="CO4" i="2"/>
  <c r="CO5" i="2"/>
  <c r="CO6" i="2"/>
  <c r="CO7" i="2"/>
  <c r="CO8" i="2"/>
  <c r="CO9" i="2"/>
  <c r="CO10" i="2"/>
  <c r="CO11" i="2"/>
  <c r="CO12" i="2"/>
  <c r="CO13" i="2"/>
  <c r="CO14" i="2"/>
  <c r="CO15" i="2"/>
  <c r="CO16" i="2"/>
  <c r="CO17" i="2"/>
  <c r="CO18" i="2"/>
  <c r="CO19" i="2"/>
  <c r="CO20" i="2"/>
  <c r="CO21" i="2"/>
  <c r="CO22" i="2"/>
  <c r="CO23" i="2"/>
  <c r="CO24" i="2"/>
  <c r="CO25" i="2"/>
  <c r="CO26" i="2"/>
  <c r="CO27" i="2"/>
  <c r="CO28" i="2"/>
  <c r="CO29" i="2"/>
  <c r="CO30" i="2"/>
  <c r="CO31" i="2"/>
  <c r="CO32" i="2"/>
  <c r="CO33" i="2"/>
  <c r="CO34" i="2"/>
  <c r="CO35" i="2"/>
  <c r="CO36" i="2"/>
  <c r="CO37" i="2"/>
  <c r="CO38" i="2"/>
  <c r="CO39" i="2"/>
  <c r="CO40" i="2"/>
  <c r="CO41" i="2"/>
  <c r="CO42" i="2"/>
  <c r="CO43" i="2"/>
  <c r="CO44" i="2"/>
  <c r="CO45" i="2"/>
  <c r="CO46" i="2"/>
  <c r="CO47" i="2"/>
  <c r="CO48" i="2"/>
  <c r="CO49" i="2"/>
  <c r="CO50" i="2"/>
  <c r="CO51" i="2"/>
  <c r="CO52" i="2"/>
  <c r="CO53" i="2"/>
  <c r="CO54" i="2"/>
  <c r="CO55" i="2"/>
  <c r="CO56" i="2"/>
  <c r="CO57" i="2"/>
  <c r="CO58" i="2"/>
  <c r="CO59" i="2"/>
  <c r="CO60" i="2"/>
  <c r="CO61" i="2"/>
  <c r="CO62" i="2"/>
  <c r="CO63" i="2"/>
  <c r="CO64" i="2"/>
  <c r="CO65" i="2"/>
  <c r="CO66" i="2"/>
  <c r="CO67" i="2"/>
  <c r="CO68" i="2"/>
  <c r="CO69" i="2"/>
  <c r="CO70" i="2"/>
  <c r="CO71" i="2"/>
  <c r="CO72" i="2"/>
  <c r="CO73" i="2"/>
  <c r="CO74" i="2"/>
  <c r="CO75" i="2"/>
  <c r="CO76" i="2"/>
  <c r="CO77" i="2"/>
  <c r="CO78" i="2"/>
  <c r="CO79" i="2"/>
  <c r="CO80" i="2"/>
  <c r="CO81" i="2"/>
  <c r="CO82" i="2"/>
  <c r="CO83" i="2"/>
  <c r="CO84" i="2"/>
  <c r="CO85" i="2"/>
  <c r="CO86" i="2"/>
  <c r="CO87" i="2"/>
  <c r="CO88" i="2"/>
  <c r="CO89" i="2"/>
  <c r="CO90" i="2"/>
  <c r="CO91" i="2"/>
  <c r="CO92" i="2"/>
  <c r="CO93" i="2"/>
  <c r="CO94" i="2"/>
  <c r="CO95" i="2"/>
  <c r="CO96" i="2"/>
  <c r="CO97" i="2"/>
  <c r="CO98" i="2"/>
  <c r="CO99" i="2"/>
  <c r="CO100" i="2"/>
  <c r="CO101" i="2"/>
  <c r="CO102" i="2"/>
  <c r="CO103" i="2"/>
  <c r="CO104" i="2"/>
  <c r="CO105" i="2"/>
  <c r="CO106" i="2"/>
  <c r="CO107" i="2"/>
  <c r="CO108" i="2"/>
  <c r="CO109" i="2"/>
  <c r="CO110" i="2"/>
  <c r="CO111" i="2"/>
  <c r="CO112" i="2"/>
  <c r="CO113" i="2"/>
  <c r="CO114" i="2"/>
  <c r="CO115" i="2"/>
  <c r="CO116" i="2"/>
  <c r="CO117" i="2"/>
  <c r="CO118" i="2"/>
  <c r="CO119" i="2"/>
  <c r="CO120" i="2"/>
  <c r="CO121" i="2"/>
  <c r="CO122" i="2"/>
  <c r="CO123" i="2"/>
  <c r="CO124" i="2"/>
  <c r="CO125" i="2"/>
  <c r="CO126" i="2"/>
  <c r="CO127" i="2"/>
  <c r="CO128" i="2"/>
  <c r="CO129" i="2"/>
  <c r="CO130" i="2"/>
  <c r="CO131" i="2"/>
  <c r="CO132" i="2"/>
  <c r="CO133" i="2"/>
  <c r="CO134" i="2"/>
  <c r="CO135" i="2"/>
  <c r="CO136" i="2"/>
  <c r="CO137" i="2"/>
  <c r="CO138" i="2"/>
  <c r="CO139" i="2"/>
  <c r="CO140" i="2"/>
  <c r="CO141" i="2"/>
  <c r="CO142" i="2"/>
  <c r="CO143" i="2"/>
  <c r="CO144" i="2"/>
  <c r="CO145" i="2"/>
  <c r="CO146" i="2"/>
  <c r="CO147" i="2"/>
  <c r="CO148" i="2"/>
  <c r="CO149" i="2"/>
  <c r="CO150" i="2"/>
  <c r="CO151" i="2"/>
  <c r="CO152" i="2"/>
  <c r="CO153" i="2"/>
  <c r="CO154" i="2"/>
  <c r="CO155" i="2"/>
  <c r="CO156" i="2"/>
  <c r="CO157" i="2"/>
  <c r="CO158" i="2"/>
  <c r="CO159" i="2"/>
  <c r="CO160" i="2"/>
  <c r="CO161" i="2"/>
  <c r="CO162" i="2"/>
  <c r="CO163" i="2"/>
  <c r="CO164" i="2"/>
  <c r="CO165" i="2"/>
  <c r="CO166" i="2"/>
  <c r="CP2" i="2"/>
  <c r="CP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CP159" i="2"/>
  <c r="CP160" i="2"/>
  <c r="CP161" i="2"/>
  <c r="CP162" i="2"/>
  <c r="CP163" i="2"/>
  <c r="CP164" i="2"/>
  <c r="CP165" i="2"/>
  <c r="CP166" i="2"/>
  <c r="CQ2" i="2"/>
  <c r="CQ3" i="2"/>
  <c r="CQ4" i="2"/>
  <c r="CQ5" i="2"/>
  <c r="CQ6" i="2"/>
  <c r="CQ7" i="2"/>
  <c r="CQ8" i="2"/>
  <c r="CQ9" i="2"/>
  <c r="CQ10" i="2"/>
  <c r="CQ11" i="2"/>
  <c r="CQ12" i="2"/>
  <c r="CQ13" i="2"/>
  <c r="CQ14" i="2"/>
  <c r="CQ15" i="2"/>
  <c r="CQ16" i="2"/>
  <c r="CQ17" i="2"/>
  <c r="CQ18" i="2"/>
  <c r="CQ19" i="2"/>
  <c r="CQ20" i="2"/>
  <c r="CQ21" i="2"/>
  <c r="CQ22" i="2"/>
  <c r="CQ23" i="2"/>
  <c r="CQ24" i="2"/>
  <c r="CQ25" i="2"/>
  <c r="CQ26" i="2"/>
  <c r="CQ27" i="2"/>
  <c r="CQ28" i="2"/>
  <c r="CQ29" i="2"/>
  <c r="CQ30" i="2"/>
  <c r="CQ31" i="2"/>
  <c r="CQ32" i="2"/>
  <c r="CQ33" i="2"/>
  <c r="CQ34" i="2"/>
  <c r="CQ35" i="2"/>
  <c r="CQ36" i="2"/>
  <c r="CQ37" i="2"/>
  <c r="CQ38" i="2"/>
  <c r="CQ39" i="2"/>
  <c r="CQ40" i="2"/>
  <c r="CQ41" i="2"/>
  <c r="CQ42" i="2"/>
  <c r="CQ43" i="2"/>
  <c r="CQ44" i="2"/>
  <c r="CQ45" i="2"/>
  <c r="CQ46" i="2"/>
  <c r="CQ47" i="2"/>
  <c r="CQ48" i="2"/>
  <c r="CQ49" i="2"/>
  <c r="CQ50" i="2"/>
  <c r="CQ51" i="2"/>
  <c r="CQ52" i="2"/>
  <c r="CQ53" i="2"/>
  <c r="CQ54" i="2"/>
  <c r="CQ55" i="2"/>
  <c r="CQ56" i="2"/>
  <c r="CQ57" i="2"/>
  <c r="CQ58" i="2"/>
  <c r="CQ59" i="2"/>
  <c r="CQ60" i="2"/>
  <c r="CQ61" i="2"/>
  <c r="CQ62" i="2"/>
  <c r="CQ63" i="2"/>
  <c r="CQ64" i="2"/>
  <c r="CQ65" i="2"/>
  <c r="CQ66" i="2"/>
  <c r="CQ67" i="2"/>
  <c r="CQ68" i="2"/>
  <c r="CQ69" i="2"/>
  <c r="CQ70" i="2"/>
  <c r="CQ71" i="2"/>
  <c r="CQ72" i="2"/>
  <c r="CQ73" i="2"/>
  <c r="CQ74" i="2"/>
  <c r="CQ75" i="2"/>
  <c r="CQ76" i="2"/>
  <c r="CQ77" i="2"/>
  <c r="CQ78" i="2"/>
  <c r="CQ79" i="2"/>
  <c r="CQ80" i="2"/>
  <c r="CQ81" i="2"/>
  <c r="CQ82" i="2"/>
  <c r="CQ83" i="2"/>
  <c r="CQ84" i="2"/>
  <c r="CQ85" i="2"/>
  <c r="CQ86" i="2"/>
  <c r="CQ87" i="2"/>
  <c r="CQ88" i="2"/>
  <c r="CQ89" i="2"/>
  <c r="CQ90" i="2"/>
  <c r="CQ91" i="2"/>
  <c r="CQ92" i="2"/>
  <c r="CQ93" i="2"/>
  <c r="CQ94" i="2"/>
  <c r="CQ95" i="2"/>
  <c r="CQ96" i="2"/>
  <c r="CQ97" i="2"/>
  <c r="CQ98" i="2"/>
  <c r="CQ99" i="2"/>
  <c r="CQ100" i="2"/>
  <c r="CQ101" i="2"/>
  <c r="CQ102" i="2"/>
  <c r="CQ103" i="2"/>
  <c r="CQ104" i="2"/>
  <c r="CQ105" i="2"/>
  <c r="CQ106" i="2"/>
  <c r="CQ107" i="2"/>
  <c r="CQ108" i="2"/>
  <c r="CQ109" i="2"/>
  <c r="CQ110" i="2"/>
  <c r="CQ111" i="2"/>
  <c r="CQ112" i="2"/>
  <c r="CQ113" i="2"/>
  <c r="CQ114" i="2"/>
  <c r="CQ115" i="2"/>
  <c r="CQ116" i="2"/>
  <c r="CQ117" i="2"/>
  <c r="CQ118" i="2"/>
  <c r="CQ119" i="2"/>
  <c r="CQ120" i="2"/>
  <c r="CQ121" i="2"/>
  <c r="CQ122" i="2"/>
  <c r="CQ123" i="2"/>
  <c r="CQ124" i="2"/>
  <c r="CQ125" i="2"/>
  <c r="CQ126" i="2"/>
  <c r="CQ127" i="2"/>
  <c r="CQ128" i="2"/>
  <c r="CQ129" i="2"/>
  <c r="CQ130" i="2"/>
  <c r="CQ131" i="2"/>
  <c r="CQ132" i="2"/>
  <c r="CQ133" i="2"/>
  <c r="CQ134" i="2"/>
  <c r="CQ135" i="2"/>
  <c r="CQ136" i="2"/>
  <c r="CQ137" i="2"/>
  <c r="CQ138" i="2"/>
  <c r="CQ139" i="2"/>
  <c r="CQ140" i="2"/>
  <c r="CQ141" i="2"/>
  <c r="CQ142" i="2"/>
  <c r="CQ143" i="2"/>
  <c r="CQ144" i="2"/>
  <c r="CQ145" i="2"/>
  <c r="CQ146" i="2"/>
  <c r="CQ147" i="2"/>
  <c r="CQ148" i="2"/>
  <c r="CQ149" i="2"/>
  <c r="CQ150" i="2"/>
  <c r="CQ151" i="2"/>
  <c r="CQ152" i="2"/>
  <c r="CQ153" i="2"/>
  <c r="CQ154" i="2"/>
  <c r="CQ155" i="2"/>
  <c r="CQ156" i="2"/>
  <c r="CQ157" i="2"/>
  <c r="CQ158" i="2"/>
  <c r="CQ159" i="2"/>
  <c r="CQ160" i="2"/>
  <c r="CQ161" i="2"/>
  <c r="CQ162" i="2"/>
  <c r="CQ163" i="2"/>
  <c r="CQ164" i="2"/>
  <c r="CQ165" i="2"/>
  <c r="CQ166" i="2"/>
  <c r="CR2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6" i="2"/>
  <c r="CR117" i="2"/>
  <c r="CR118" i="2"/>
  <c r="CR119" i="2"/>
  <c r="CR120" i="2"/>
  <c r="CR121" i="2"/>
  <c r="CR122" i="2"/>
  <c r="CR123" i="2"/>
  <c r="CR124" i="2"/>
  <c r="CR125" i="2"/>
  <c r="CR126" i="2"/>
  <c r="CR127" i="2"/>
  <c r="CR128" i="2"/>
  <c r="CR129" i="2"/>
  <c r="CR130" i="2"/>
  <c r="CR131" i="2"/>
  <c r="CR132" i="2"/>
  <c r="CR133" i="2"/>
  <c r="CR134" i="2"/>
  <c r="CR135" i="2"/>
  <c r="CR136" i="2"/>
  <c r="CR137" i="2"/>
  <c r="CR138" i="2"/>
  <c r="CR139" i="2"/>
  <c r="CR140" i="2"/>
  <c r="CR141" i="2"/>
  <c r="CR142" i="2"/>
  <c r="CR143" i="2"/>
  <c r="CR144" i="2"/>
  <c r="CR145" i="2"/>
  <c r="CR146" i="2"/>
  <c r="CR147" i="2"/>
  <c r="CR148" i="2"/>
  <c r="CR149" i="2"/>
  <c r="CR150" i="2"/>
  <c r="CR151" i="2"/>
  <c r="CR152" i="2"/>
  <c r="CR153" i="2"/>
  <c r="CR154" i="2"/>
  <c r="CR155" i="2"/>
  <c r="CR156" i="2"/>
  <c r="CR157" i="2"/>
  <c r="CR158" i="2"/>
  <c r="CR159" i="2"/>
  <c r="CR160" i="2"/>
  <c r="CR161" i="2"/>
  <c r="CR162" i="2"/>
  <c r="CR163" i="2"/>
  <c r="CR164" i="2"/>
  <c r="CR165" i="2"/>
  <c r="CR166" i="2"/>
  <c r="CS2" i="2"/>
  <c r="CS3" i="2"/>
  <c r="CS4" i="2"/>
  <c r="CS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61" i="2"/>
  <c r="CS162" i="2"/>
  <c r="CS163" i="2"/>
  <c r="CS164" i="2"/>
  <c r="CS165" i="2"/>
  <c r="CS166" i="2"/>
  <c r="CT2" i="2"/>
  <c r="CT3" i="2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97" i="2"/>
  <c r="CT98" i="2"/>
  <c r="CT99" i="2"/>
  <c r="CT100" i="2"/>
  <c r="CT101" i="2"/>
  <c r="CT102" i="2"/>
  <c r="CT103" i="2"/>
  <c r="CT104" i="2"/>
  <c r="CT105" i="2"/>
  <c r="CT106" i="2"/>
  <c r="CT107" i="2"/>
  <c r="CT108" i="2"/>
  <c r="CT109" i="2"/>
  <c r="CT110" i="2"/>
  <c r="CT111" i="2"/>
  <c r="CT112" i="2"/>
  <c r="CT113" i="2"/>
  <c r="CT114" i="2"/>
  <c r="CT115" i="2"/>
  <c r="CT116" i="2"/>
  <c r="CT117" i="2"/>
  <c r="CT118" i="2"/>
  <c r="CT119" i="2"/>
  <c r="CT120" i="2"/>
  <c r="CT121" i="2"/>
  <c r="CT122" i="2"/>
  <c r="CT123" i="2"/>
  <c r="CT124" i="2"/>
  <c r="CT125" i="2"/>
  <c r="CT126" i="2"/>
  <c r="CT127" i="2"/>
  <c r="CT128" i="2"/>
  <c r="CT129" i="2"/>
  <c r="CT130" i="2"/>
  <c r="CT131" i="2"/>
  <c r="CT132" i="2"/>
  <c r="CT133" i="2"/>
  <c r="CT134" i="2"/>
  <c r="CT135" i="2"/>
  <c r="CT136" i="2"/>
  <c r="CT137" i="2"/>
  <c r="CT138" i="2"/>
  <c r="CT139" i="2"/>
  <c r="CT140" i="2"/>
  <c r="CT141" i="2"/>
  <c r="CT142" i="2"/>
  <c r="CT143" i="2"/>
  <c r="CT144" i="2"/>
  <c r="CT145" i="2"/>
  <c r="CT146" i="2"/>
  <c r="CT147" i="2"/>
  <c r="CT148" i="2"/>
  <c r="CT149" i="2"/>
  <c r="CT150" i="2"/>
  <c r="CT151" i="2"/>
  <c r="CT152" i="2"/>
  <c r="CT153" i="2"/>
  <c r="CT154" i="2"/>
  <c r="CT155" i="2"/>
  <c r="CT156" i="2"/>
  <c r="CT157" i="2"/>
  <c r="CT158" i="2"/>
  <c r="CT159" i="2"/>
  <c r="CT160" i="2"/>
  <c r="CT161" i="2"/>
  <c r="CT162" i="2"/>
  <c r="CT163" i="2"/>
  <c r="CT164" i="2"/>
  <c r="CT165" i="2"/>
  <c r="CT166" i="2"/>
  <c r="CU2" i="2"/>
  <c r="CU3" i="2"/>
  <c r="CU4" i="2"/>
  <c r="CU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1" i="2"/>
  <c r="CU112" i="2"/>
  <c r="CU113" i="2"/>
  <c r="CU114" i="2"/>
  <c r="CU115" i="2"/>
  <c r="CU116" i="2"/>
  <c r="CU117" i="2"/>
  <c r="CU118" i="2"/>
  <c r="CU119" i="2"/>
  <c r="CU120" i="2"/>
  <c r="CU121" i="2"/>
  <c r="CU122" i="2"/>
  <c r="CU123" i="2"/>
  <c r="CU124" i="2"/>
  <c r="CU125" i="2"/>
  <c r="CU126" i="2"/>
  <c r="CU127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U165" i="2"/>
  <c r="CU166" i="2"/>
  <c r="CV2" i="2"/>
  <c r="CV3" i="2"/>
  <c r="CV4" i="2"/>
  <c r="CV5" i="2"/>
  <c r="CV6" i="2"/>
  <c r="CV7" i="2"/>
  <c r="CV8" i="2"/>
  <c r="CV9" i="2"/>
  <c r="CV10" i="2"/>
  <c r="CV11" i="2"/>
  <c r="CV12" i="2"/>
  <c r="CV13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V50" i="2"/>
  <c r="CV51" i="2"/>
  <c r="CV52" i="2"/>
  <c r="CV53" i="2"/>
  <c r="CV54" i="2"/>
  <c r="CV55" i="2"/>
  <c r="CV56" i="2"/>
  <c r="CV57" i="2"/>
  <c r="CV58" i="2"/>
  <c r="CV59" i="2"/>
  <c r="CV60" i="2"/>
  <c r="CV61" i="2"/>
  <c r="CV62" i="2"/>
  <c r="CV63" i="2"/>
  <c r="CV64" i="2"/>
  <c r="CV65" i="2"/>
  <c r="CV66" i="2"/>
  <c r="CV67" i="2"/>
  <c r="CV68" i="2"/>
  <c r="CV69" i="2"/>
  <c r="CV70" i="2"/>
  <c r="CV71" i="2"/>
  <c r="CV72" i="2"/>
  <c r="CV73" i="2"/>
  <c r="CV74" i="2"/>
  <c r="CV75" i="2"/>
  <c r="CV76" i="2"/>
  <c r="CV77" i="2"/>
  <c r="CV78" i="2"/>
  <c r="CV79" i="2"/>
  <c r="CV80" i="2"/>
  <c r="CV81" i="2"/>
  <c r="CV82" i="2"/>
  <c r="CV83" i="2"/>
  <c r="CV84" i="2"/>
  <c r="CV85" i="2"/>
  <c r="CV86" i="2"/>
  <c r="CV87" i="2"/>
  <c r="CV88" i="2"/>
  <c r="CV89" i="2"/>
  <c r="CV90" i="2"/>
  <c r="CV91" i="2"/>
  <c r="CV92" i="2"/>
  <c r="CV93" i="2"/>
  <c r="CV94" i="2"/>
  <c r="CV95" i="2"/>
  <c r="CV96" i="2"/>
  <c r="CV97" i="2"/>
  <c r="CV98" i="2"/>
  <c r="CV99" i="2"/>
  <c r="CV100" i="2"/>
  <c r="CV101" i="2"/>
  <c r="CV102" i="2"/>
  <c r="CV103" i="2"/>
  <c r="CV104" i="2"/>
  <c r="CV105" i="2"/>
  <c r="CV106" i="2"/>
  <c r="CV107" i="2"/>
  <c r="CV108" i="2"/>
  <c r="CV109" i="2"/>
  <c r="CV110" i="2"/>
  <c r="CV111" i="2"/>
  <c r="CV112" i="2"/>
  <c r="CV113" i="2"/>
  <c r="CV114" i="2"/>
  <c r="CV115" i="2"/>
  <c r="CV116" i="2"/>
  <c r="CV117" i="2"/>
  <c r="CV118" i="2"/>
  <c r="CV119" i="2"/>
  <c r="CV120" i="2"/>
  <c r="CV121" i="2"/>
  <c r="CV122" i="2"/>
  <c r="CV123" i="2"/>
  <c r="CV124" i="2"/>
  <c r="CV125" i="2"/>
  <c r="CV126" i="2"/>
  <c r="CV127" i="2"/>
  <c r="CV128" i="2"/>
  <c r="CV129" i="2"/>
  <c r="CV130" i="2"/>
  <c r="CV131" i="2"/>
  <c r="CV132" i="2"/>
  <c r="CV133" i="2"/>
  <c r="CV134" i="2"/>
  <c r="CV135" i="2"/>
  <c r="CV136" i="2"/>
  <c r="CV137" i="2"/>
  <c r="CV138" i="2"/>
  <c r="CV139" i="2"/>
  <c r="CV140" i="2"/>
  <c r="CV141" i="2"/>
  <c r="CV142" i="2"/>
  <c r="CV143" i="2"/>
  <c r="CV144" i="2"/>
  <c r="CV145" i="2"/>
  <c r="CV146" i="2"/>
  <c r="CV147" i="2"/>
  <c r="CV148" i="2"/>
  <c r="CV149" i="2"/>
  <c r="CV150" i="2"/>
  <c r="CV151" i="2"/>
  <c r="CV152" i="2"/>
  <c r="CV153" i="2"/>
  <c r="CV154" i="2"/>
  <c r="CV155" i="2"/>
  <c r="CV156" i="2"/>
  <c r="CV157" i="2"/>
  <c r="CV158" i="2"/>
  <c r="CV159" i="2"/>
  <c r="CV160" i="2"/>
  <c r="CV161" i="2"/>
  <c r="CV162" i="2"/>
  <c r="CV163" i="2"/>
  <c r="CV164" i="2"/>
  <c r="CV165" i="2"/>
  <c r="CV166" i="2"/>
  <c r="CW2" i="2"/>
  <c r="CW3" i="2"/>
  <c r="CW4" i="2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79" i="2"/>
  <c r="CW80" i="2"/>
  <c r="CW81" i="2"/>
  <c r="CW82" i="2"/>
  <c r="CW83" i="2"/>
  <c r="CW84" i="2"/>
  <c r="CW85" i="2"/>
  <c r="CW86" i="2"/>
  <c r="CW87" i="2"/>
  <c r="CW88" i="2"/>
  <c r="CW89" i="2"/>
  <c r="CW90" i="2"/>
  <c r="CW91" i="2"/>
  <c r="CW92" i="2"/>
  <c r="CW93" i="2"/>
  <c r="CW94" i="2"/>
  <c r="CW95" i="2"/>
  <c r="CW96" i="2"/>
  <c r="CW97" i="2"/>
  <c r="CW98" i="2"/>
  <c r="CW99" i="2"/>
  <c r="CW100" i="2"/>
  <c r="CW101" i="2"/>
  <c r="CW102" i="2"/>
  <c r="CW103" i="2"/>
  <c r="CW104" i="2"/>
  <c r="CW105" i="2"/>
  <c r="CW106" i="2"/>
  <c r="CW107" i="2"/>
  <c r="CW108" i="2"/>
  <c r="CW109" i="2"/>
  <c r="CW110" i="2"/>
  <c r="CW111" i="2"/>
  <c r="CW112" i="2"/>
  <c r="CW113" i="2"/>
  <c r="CW114" i="2"/>
  <c r="CW115" i="2"/>
  <c r="CW116" i="2"/>
  <c r="CW117" i="2"/>
  <c r="CW118" i="2"/>
  <c r="CW119" i="2"/>
  <c r="CW120" i="2"/>
  <c r="CW121" i="2"/>
  <c r="CW122" i="2"/>
  <c r="CW123" i="2"/>
  <c r="CW124" i="2"/>
  <c r="CW125" i="2"/>
  <c r="CW126" i="2"/>
  <c r="CW127" i="2"/>
  <c r="CW128" i="2"/>
  <c r="CW129" i="2"/>
  <c r="CW130" i="2"/>
  <c r="CW131" i="2"/>
  <c r="CW132" i="2"/>
  <c r="CW133" i="2"/>
  <c r="CW134" i="2"/>
  <c r="CW135" i="2"/>
  <c r="CW136" i="2"/>
  <c r="CW137" i="2"/>
  <c r="CW138" i="2"/>
  <c r="CW139" i="2"/>
  <c r="CW140" i="2"/>
  <c r="CW141" i="2"/>
  <c r="CW142" i="2"/>
  <c r="CW143" i="2"/>
  <c r="CW144" i="2"/>
  <c r="CW145" i="2"/>
  <c r="CW146" i="2"/>
  <c r="CW147" i="2"/>
  <c r="CW148" i="2"/>
  <c r="CW149" i="2"/>
  <c r="CW150" i="2"/>
  <c r="CW151" i="2"/>
  <c r="CW152" i="2"/>
  <c r="CW153" i="2"/>
  <c r="CW154" i="2"/>
  <c r="CW155" i="2"/>
  <c r="CW156" i="2"/>
  <c r="CW157" i="2"/>
  <c r="CW158" i="2"/>
  <c r="CW159" i="2"/>
  <c r="CW160" i="2"/>
  <c r="CW161" i="2"/>
  <c r="CW162" i="2"/>
  <c r="CW163" i="2"/>
  <c r="CW164" i="2"/>
  <c r="CW165" i="2"/>
  <c r="CW166" i="2"/>
  <c r="CX2" i="2"/>
  <c r="CX3" i="2"/>
  <c r="CX4" i="2"/>
  <c r="CX5" i="2"/>
  <c r="CX6" i="2"/>
  <c r="CX7" i="2"/>
  <c r="CX8" i="2"/>
  <c r="CX9" i="2"/>
  <c r="CX10" i="2"/>
  <c r="CX11" i="2"/>
  <c r="CX12" i="2"/>
  <c r="CX13" i="2"/>
  <c r="CX14" i="2"/>
  <c r="CX15" i="2"/>
  <c r="CX16" i="2"/>
  <c r="CX17" i="2"/>
  <c r="CX18" i="2"/>
  <c r="CX19" i="2"/>
  <c r="CX20" i="2"/>
  <c r="CX21" i="2"/>
  <c r="CX22" i="2"/>
  <c r="CX23" i="2"/>
  <c r="CX24" i="2"/>
  <c r="CX25" i="2"/>
  <c r="CX26" i="2"/>
  <c r="CX27" i="2"/>
  <c r="CX28" i="2"/>
  <c r="CX29" i="2"/>
  <c r="CX30" i="2"/>
  <c r="CX31" i="2"/>
  <c r="CX32" i="2"/>
  <c r="CX33" i="2"/>
  <c r="CX34" i="2"/>
  <c r="CX35" i="2"/>
  <c r="CX36" i="2"/>
  <c r="CX37" i="2"/>
  <c r="CX38" i="2"/>
  <c r="CX39" i="2"/>
  <c r="CX40" i="2"/>
  <c r="CX41" i="2"/>
  <c r="CX42" i="2"/>
  <c r="CX43" i="2"/>
  <c r="CX44" i="2"/>
  <c r="CX45" i="2"/>
  <c r="CX46" i="2"/>
  <c r="CX47" i="2"/>
  <c r="CX48" i="2"/>
  <c r="CX49" i="2"/>
  <c r="CX50" i="2"/>
  <c r="CX51" i="2"/>
  <c r="CX52" i="2"/>
  <c r="CX53" i="2"/>
  <c r="CX54" i="2"/>
  <c r="CX55" i="2"/>
  <c r="CX56" i="2"/>
  <c r="CX57" i="2"/>
  <c r="CX58" i="2"/>
  <c r="CX59" i="2"/>
  <c r="CX60" i="2"/>
  <c r="CX61" i="2"/>
  <c r="CX62" i="2"/>
  <c r="CX63" i="2"/>
  <c r="CX64" i="2"/>
  <c r="CX65" i="2"/>
  <c r="CX66" i="2"/>
  <c r="CX67" i="2"/>
  <c r="CX68" i="2"/>
  <c r="CX69" i="2"/>
  <c r="CX70" i="2"/>
  <c r="CX71" i="2"/>
  <c r="CX72" i="2"/>
  <c r="CX73" i="2"/>
  <c r="CX74" i="2"/>
  <c r="CX75" i="2"/>
  <c r="CX76" i="2"/>
  <c r="CX77" i="2"/>
  <c r="CX78" i="2"/>
  <c r="CX79" i="2"/>
  <c r="CX80" i="2"/>
  <c r="CX81" i="2"/>
  <c r="CX82" i="2"/>
  <c r="CX83" i="2"/>
  <c r="CX84" i="2"/>
  <c r="CX85" i="2"/>
  <c r="CX86" i="2"/>
  <c r="CX87" i="2"/>
  <c r="CX88" i="2"/>
  <c r="CX89" i="2"/>
  <c r="CX90" i="2"/>
  <c r="CX91" i="2"/>
  <c r="CX92" i="2"/>
  <c r="CX93" i="2"/>
  <c r="CX94" i="2"/>
  <c r="CX95" i="2"/>
  <c r="CX96" i="2"/>
  <c r="CX97" i="2"/>
  <c r="CX98" i="2"/>
  <c r="CX99" i="2"/>
  <c r="CX100" i="2"/>
  <c r="CX101" i="2"/>
  <c r="CX102" i="2"/>
  <c r="CX103" i="2"/>
  <c r="CX104" i="2"/>
  <c r="CX105" i="2"/>
  <c r="CX106" i="2"/>
  <c r="CX107" i="2"/>
  <c r="CX108" i="2"/>
  <c r="CX109" i="2"/>
  <c r="CX110" i="2"/>
  <c r="CX111" i="2"/>
  <c r="CX112" i="2"/>
  <c r="CX113" i="2"/>
  <c r="CX114" i="2"/>
  <c r="CX115" i="2"/>
  <c r="CX116" i="2"/>
  <c r="CX117" i="2"/>
  <c r="CX118" i="2"/>
  <c r="CX119" i="2"/>
  <c r="CX120" i="2"/>
  <c r="CX121" i="2"/>
  <c r="CX122" i="2"/>
  <c r="CX123" i="2"/>
  <c r="CX124" i="2"/>
  <c r="CX125" i="2"/>
  <c r="CX126" i="2"/>
  <c r="CX127" i="2"/>
  <c r="CX128" i="2"/>
  <c r="CX129" i="2"/>
  <c r="CX130" i="2"/>
  <c r="CX131" i="2"/>
  <c r="CX132" i="2"/>
  <c r="CX133" i="2"/>
  <c r="CX134" i="2"/>
  <c r="CX135" i="2"/>
  <c r="CX136" i="2"/>
  <c r="CX137" i="2"/>
  <c r="CX138" i="2"/>
  <c r="CX139" i="2"/>
  <c r="CX140" i="2"/>
  <c r="CX141" i="2"/>
  <c r="CX142" i="2"/>
  <c r="CX143" i="2"/>
  <c r="CX144" i="2"/>
  <c r="CX145" i="2"/>
  <c r="CX146" i="2"/>
  <c r="CX147" i="2"/>
  <c r="CX148" i="2"/>
  <c r="CX149" i="2"/>
  <c r="CX150" i="2"/>
  <c r="CX151" i="2"/>
  <c r="CX152" i="2"/>
  <c r="CX153" i="2"/>
  <c r="CX154" i="2"/>
  <c r="CX155" i="2"/>
  <c r="CX156" i="2"/>
  <c r="CX157" i="2"/>
  <c r="CX158" i="2"/>
  <c r="CX159" i="2"/>
  <c r="CX160" i="2"/>
  <c r="CX161" i="2"/>
  <c r="CX162" i="2"/>
  <c r="CX163" i="2"/>
  <c r="CX164" i="2"/>
  <c r="CX165" i="2"/>
  <c r="CX166" i="2"/>
  <c r="CY2" i="2"/>
  <c r="CY3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Y74" i="2"/>
  <c r="CY75" i="2"/>
  <c r="CY76" i="2"/>
  <c r="CY77" i="2"/>
  <c r="CY78" i="2"/>
  <c r="CY79" i="2"/>
  <c r="CY80" i="2"/>
  <c r="CY81" i="2"/>
  <c r="CY82" i="2"/>
  <c r="CY83" i="2"/>
  <c r="CY84" i="2"/>
  <c r="CY85" i="2"/>
  <c r="CY86" i="2"/>
  <c r="CY87" i="2"/>
  <c r="CY88" i="2"/>
  <c r="CY89" i="2"/>
  <c r="CY90" i="2"/>
  <c r="CY91" i="2"/>
  <c r="CY92" i="2"/>
  <c r="CY93" i="2"/>
  <c r="CY94" i="2"/>
  <c r="CY95" i="2"/>
  <c r="CY96" i="2"/>
  <c r="CY97" i="2"/>
  <c r="CY98" i="2"/>
  <c r="CY99" i="2"/>
  <c r="CY100" i="2"/>
  <c r="CY101" i="2"/>
  <c r="CY102" i="2"/>
  <c r="CY103" i="2"/>
  <c r="CY104" i="2"/>
  <c r="CY105" i="2"/>
  <c r="CY106" i="2"/>
  <c r="CY107" i="2"/>
  <c r="CY108" i="2"/>
  <c r="CY109" i="2"/>
  <c r="CY110" i="2"/>
  <c r="CY111" i="2"/>
  <c r="CY112" i="2"/>
  <c r="CY113" i="2"/>
  <c r="CY114" i="2"/>
  <c r="CY115" i="2"/>
  <c r="CY116" i="2"/>
  <c r="CY117" i="2"/>
  <c r="CY118" i="2"/>
  <c r="CY119" i="2"/>
  <c r="CY120" i="2"/>
  <c r="CY121" i="2"/>
  <c r="CY122" i="2"/>
  <c r="CY123" i="2"/>
  <c r="CY124" i="2"/>
  <c r="CY125" i="2"/>
  <c r="CY126" i="2"/>
  <c r="CY127" i="2"/>
  <c r="CY128" i="2"/>
  <c r="CY129" i="2"/>
  <c r="CY130" i="2"/>
  <c r="CY131" i="2"/>
  <c r="CY132" i="2"/>
  <c r="CY133" i="2"/>
  <c r="CY134" i="2"/>
  <c r="CY135" i="2"/>
  <c r="CY136" i="2"/>
  <c r="CY137" i="2"/>
  <c r="CY138" i="2"/>
  <c r="CY139" i="2"/>
  <c r="CY140" i="2"/>
  <c r="CY141" i="2"/>
  <c r="CY142" i="2"/>
  <c r="CY143" i="2"/>
  <c r="CY144" i="2"/>
  <c r="CY145" i="2"/>
  <c r="CY146" i="2"/>
  <c r="CY147" i="2"/>
  <c r="CY148" i="2"/>
  <c r="CY149" i="2"/>
  <c r="CY150" i="2"/>
  <c r="CY151" i="2"/>
  <c r="CY152" i="2"/>
  <c r="CY153" i="2"/>
  <c r="CY154" i="2"/>
  <c r="CY155" i="2"/>
  <c r="CY156" i="2"/>
  <c r="CY157" i="2"/>
  <c r="CY158" i="2"/>
  <c r="CY159" i="2"/>
  <c r="CY160" i="2"/>
  <c r="CY161" i="2"/>
  <c r="CY162" i="2"/>
  <c r="CY163" i="2"/>
  <c r="CY164" i="2"/>
  <c r="CY165" i="2"/>
  <c r="CY166" i="2"/>
  <c r="CZ2" i="2"/>
  <c r="CZ3" i="2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0" i="2"/>
  <c r="CZ41" i="2"/>
  <c r="CZ42" i="2"/>
  <c r="CZ43" i="2"/>
  <c r="CZ44" i="2"/>
  <c r="CZ45" i="2"/>
  <c r="CZ46" i="2"/>
  <c r="CZ47" i="2"/>
  <c r="CZ48" i="2"/>
  <c r="CZ49" i="2"/>
  <c r="CZ50" i="2"/>
  <c r="CZ51" i="2"/>
  <c r="CZ52" i="2"/>
  <c r="CZ53" i="2"/>
  <c r="CZ54" i="2"/>
  <c r="CZ55" i="2"/>
  <c r="CZ56" i="2"/>
  <c r="CZ57" i="2"/>
  <c r="CZ58" i="2"/>
  <c r="CZ59" i="2"/>
  <c r="CZ60" i="2"/>
  <c r="CZ61" i="2"/>
  <c r="CZ62" i="2"/>
  <c r="CZ63" i="2"/>
  <c r="CZ64" i="2"/>
  <c r="CZ65" i="2"/>
  <c r="CZ66" i="2"/>
  <c r="CZ67" i="2"/>
  <c r="CZ68" i="2"/>
  <c r="CZ69" i="2"/>
  <c r="CZ70" i="2"/>
  <c r="CZ71" i="2"/>
  <c r="CZ72" i="2"/>
  <c r="CZ73" i="2"/>
  <c r="CZ74" i="2"/>
  <c r="CZ75" i="2"/>
  <c r="CZ76" i="2"/>
  <c r="CZ77" i="2"/>
  <c r="CZ78" i="2"/>
  <c r="CZ79" i="2"/>
  <c r="CZ80" i="2"/>
  <c r="CZ81" i="2"/>
  <c r="CZ82" i="2"/>
  <c r="CZ83" i="2"/>
  <c r="CZ84" i="2"/>
  <c r="CZ85" i="2"/>
  <c r="CZ86" i="2"/>
  <c r="CZ87" i="2"/>
  <c r="CZ88" i="2"/>
  <c r="CZ89" i="2"/>
  <c r="CZ90" i="2"/>
  <c r="CZ91" i="2"/>
  <c r="CZ92" i="2"/>
  <c r="CZ93" i="2"/>
  <c r="CZ94" i="2"/>
  <c r="CZ95" i="2"/>
  <c r="CZ96" i="2"/>
  <c r="CZ97" i="2"/>
  <c r="CZ98" i="2"/>
  <c r="CZ99" i="2"/>
  <c r="CZ100" i="2"/>
  <c r="CZ101" i="2"/>
  <c r="CZ102" i="2"/>
  <c r="CZ103" i="2"/>
  <c r="CZ104" i="2"/>
  <c r="CZ105" i="2"/>
  <c r="CZ106" i="2"/>
  <c r="CZ107" i="2"/>
  <c r="CZ108" i="2"/>
  <c r="CZ109" i="2"/>
  <c r="CZ110" i="2"/>
  <c r="CZ111" i="2"/>
  <c r="CZ112" i="2"/>
  <c r="CZ113" i="2"/>
  <c r="CZ114" i="2"/>
  <c r="CZ115" i="2"/>
  <c r="CZ116" i="2"/>
  <c r="CZ117" i="2"/>
  <c r="CZ118" i="2"/>
  <c r="CZ119" i="2"/>
  <c r="CZ120" i="2"/>
  <c r="CZ121" i="2"/>
  <c r="CZ122" i="2"/>
  <c r="CZ123" i="2"/>
  <c r="CZ124" i="2"/>
  <c r="CZ125" i="2"/>
  <c r="CZ126" i="2"/>
  <c r="CZ127" i="2"/>
  <c r="CZ128" i="2"/>
  <c r="CZ129" i="2"/>
  <c r="CZ130" i="2"/>
  <c r="CZ131" i="2"/>
  <c r="CZ132" i="2"/>
  <c r="CZ133" i="2"/>
  <c r="CZ134" i="2"/>
  <c r="CZ135" i="2"/>
  <c r="CZ136" i="2"/>
  <c r="CZ137" i="2"/>
  <c r="CZ138" i="2"/>
  <c r="CZ139" i="2"/>
  <c r="CZ140" i="2"/>
  <c r="CZ141" i="2"/>
  <c r="CZ142" i="2"/>
  <c r="CZ143" i="2"/>
  <c r="CZ144" i="2"/>
  <c r="CZ145" i="2"/>
  <c r="CZ146" i="2"/>
  <c r="CZ147" i="2"/>
  <c r="CZ148" i="2"/>
  <c r="CZ149" i="2"/>
  <c r="CZ150" i="2"/>
  <c r="CZ151" i="2"/>
  <c r="CZ152" i="2"/>
  <c r="CZ153" i="2"/>
  <c r="CZ154" i="2"/>
  <c r="CZ155" i="2"/>
  <c r="CZ156" i="2"/>
  <c r="CZ157" i="2"/>
  <c r="CZ158" i="2"/>
  <c r="CZ159" i="2"/>
  <c r="CZ160" i="2"/>
  <c r="CZ161" i="2"/>
  <c r="CZ162" i="2"/>
  <c r="CZ163" i="2"/>
  <c r="CZ164" i="2"/>
  <c r="CZ165" i="2"/>
  <c r="CZ166" i="2"/>
  <c r="DA2" i="2"/>
  <c r="DA3" i="2"/>
  <c r="DA4" i="2"/>
  <c r="DA5" i="2"/>
  <c r="DA6" i="2"/>
  <c r="DA7" i="2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8" i="2"/>
  <c r="DA29" i="2"/>
  <c r="DA30" i="2"/>
  <c r="DA31" i="2"/>
  <c r="DA32" i="2"/>
  <c r="DA33" i="2"/>
  <c r="DA34" i="2"/>
  <c r="DA35" i="2"/>
  <c r="DA36" i="2"/>
  <c r="DA37" i="2"/>
  <c r="DA38" i="2"/>
  <c r="DA39" i="2"/>
  <c r="DA40" i="2"/>
  <c r="DA41" i="2"/>
  <c r="DA42" i="2"/>
  <c r="DA43" i="2"/>
  <c r="DA44" i="2"/>
  <c r="DA45" i="2"/>
  <c r="DA46" i="2"/>
  <c r="DA47" i="2"/>
  <c r="DA48" i="2"/>
  <c r="DA49" i="2"/>
  <c r="DA50" i="2"/>
  <c r="DA51" i="2"/>
  <c r="DA52" i="2"/>
  <c r="DA53" i="2"/>
  <c r="DA54" i="2"/>
  <c r="DA55" i="2"/>
  <c r="DA56" i="2"/>
  <c r="DA57" i="2"/>
  <c r="DA58" i="2"/>
  <c r="DA59" i="2"/>
  <c r="DA60" i="2"/>
  <c r="DA61" i="2"/>
  <c r="DA62" i="2"/>
  <c r="DA63" i="2"/>
  <c r="DA64" i="2"/>
  <c r="DA65" i="2"/>
  <c r="DA66" i="2"/>
  <c r="DA67" i="2"/>
  <c r="DA68" i="2"/>
  <c r="DA69" i="2"/>
  <c r="DA70" i="2"/>
  <c r="DA71" i="2"/>
  <c r="DA72" i="2"/>
  <c r="DA73" i="2"/>
  <c r="DA74" i="2"/>
  <c r="DA75" i="2"/>
  <c r="DA76" i="2"/>
  <c r="DA77" i="2"/>
  <c r="DA78" i="2"/>
  <c r="DA79" i="2"/>
  <c r="DA80" i="2"/>
  <c r="DA81" i="2"/>
  <c r="DA82" i="2"/>
  <c r="DA83" i="2"/>
  <c r="DA84" i="2"/>
  <c r="DA85" i="2"/>
  <c r="DA86" i="2"/>
  <c r="DA87" i="2"/>
  <c r="DA88" i="2"/>
  <c r="DA89" i="2"/>
  <c r="DA90" i="2"/>
  <c r="DA91" i="2"/>
  <c r="DA92" i="2"/>
  <c r="DA93" i="2"/>
  <c r="DA94" i="2"/>
  <c r="DA95" i="2"/>
  <c r="DA96" i="2"/>
  <c r="DA97" i="2"/>
  <c r="DA98" i="2"/>
  <c r="DA99" i="2"/>
  <c r="DA100" i="2"/>
  <c r="DA101" i="2"/>
  <c r="DA102" i="2"/>
  <c r="DA103" i="2"/>
  <c r="DA104" i="2"/>
  <c r="DA105" i="2"/>
  <c r="DA106" i="2"/>
  <c r="DA107" i="2"/>
  <c r="DA108" i="2"/>
  <c r="DA109" i="2"/>
  <c r="DA110" i="2"/>
  <c r="DA111" i="2"/>
  <c r="DA112" i="2"/>
  <c r="DA113" i="2"/>
  <c r="DA114" i="2"/>
  <c r="DA115" i="2"/>
  <c r="DA116" i="2"/>
  <c r="DA117" i="2"/>
  <c r="DA118" i="2"/>
  <c r="DA119" i="2"/>
  <c r="DA120" i="2"/>
  <c r="DA121" i="2"/>
  <c r="DA122" i="2"/>
  <c r="DA123" i="2"/>
  <c r="DA124" i="2"/>
  <c r="DA125" i="2"/>
  <c r="DA126" i="2"/>
  <c r="DA127" i="2"/>
  <c r="DA128" i="2"/>
  <c r="DA129" i="2"/>
  <c r="DA130" i="2"/>
  <c r="DA131" i="2"/>
  <c r="DA132" i="2"/>
  <c r="DA133" i="2"/>
  <c r="DA134" i="2"/>
  <c r="DA135" i="2"/>
  <c r="DA136" i="2"/>
  <c r="DA137" i="2"/>
  <c r="DA138" i="2"/>
  <c r="DA139" i="2"/>
  <c r="DA140" i="2"/>
  <c r="DA141" i="2"/>
  <c r="DA142" i="2"/>
  <c r="DA143" i="2"/>
  <c r="DA144" i="2"/>
  <c r="DA145" i="2"/>
  <c r="DA146" i="2"/>
  <c r="DA147" i="2"/>
  <c r="DA148" i="2"/>
  <c r="DA149" i="2"/>
  <c r="DA150" i="2"/>
  <c r="DA151" i="2"/>
  <c r="DA152" i="2"/>
  <c r="DA153" i="2"/>
  <c r="DA154" i="2"/>
  <c r="DA155" i="2"/>
  <c r="DA156" i="2"/>
  <c r="DA157" i="2"/>
  <c r="DA158" i="2"/>
  <c r="DA159" i="2"/>
  <c r="DA160" i="2"/>
  <c r="DA161" i="2"/>
  <c r="DA162" i="2"/>
  <c r="DA163" i="2"/>
  <c r="DA164" i="2"/>
  <c r="DA165" i="2"/>
  <c r="DA166" i="2"/>
  <c r="DB2" i="2"/>
  <c r="DB3" i="2"/>
  <c r="DB4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B35" i="2"/>
  <c r="DB36" i="2"/>
  <c r="DB37" i="2"/>
  <c r="DB38" i="2"/>
  <c r="DB39" i="2"/>
  <c r="DB40" i="2"/>
  <c r="DB41" i="2"/>
  <c r="DB42" i="2"/>
  <c r="DB43" i="2"/>
  <c r="DB44" i="2"/>
  <c r="DB45" i="2"/>
  <c r="DB46" i="2"/>
  <c r="DB47" i="2"/>
  <c r="DB48" i="2"/>
  <c r="DB49" i="2"/>
  <c r="DB50" i="2"/>
  <c r="DB51" i="2"/>
  <c r="DB52" i="2"/>
  <c r="DB53" i="2"/>
  <c r="DB54" i="2"/>
  <c r="DB55" i="2"/>
  <c r="DB56" i="2"/>
  <c r="DB57" i="2"/>
  <c r="DB58" i="2"/>
  <c r="DB59" i="2"/>
  <c r="DB60" i="2"/>
  <c r="DB61" i="2"/>
  <c r="DB62" i="2"/>
  <c r="DB63" i="2"/>
  <c r="DB64" i="2"/>
  <c r="DB65" i="2"/>
  <c r="DB66" i="2"/>
  <c r="DB67" i="2"/>
  <c r="DB68" i="2"/>
  <c r="DB69" i="2"/>
  <c r="DB70" i="2"/>
  <c r="DB71" i="2"/>
  <c r="DB72" i="2"/>
  <c r="DB73" i="2"/>
  <c r="DB74" i="2"/>
  <c r="DB75" i="2"/>
  <c r="DB76" i="2"/>
  <c r="DB77" i="2"/>
  <c r="DB78" i="2"/>
  <c r="DB79" i="2"/>
  <c r="DB80" i="2"/>
  <c r="DB81" i="2"/>
  <c r="DB82" i="2"/>
  <c r="DB83" i="2"/>
  <c r="DB84" i="2"/>
  <c r="DB85" i="2"/>
  <c r="DB86" i="2"/>
  <c r="DB87" i="2"/>
  <c r="DB88" i="2"/>
  <c r="DB89" i="2"/>
  <c r="DB90" i="2"/>
  <c r="DB91" i="2"/>
  <c r="DB92" i="2"/>
  <c r="DB93" i="2"/>
  <c r="DB94" i="2"/>
  <c r="DB95" i="2"/>
  <c r="DB96" i="2"/>
  <c r="DB97" i="2"/>
  <c r="DB98" i="2"/>
  <c r="DB99" i="2"/>
  <c r="DB100" i="2"/>
  <c r="DB101" i="2"/>
  <c r="DB102" i="2"/>
  <c r="DB103" i="2"/>
  <c r="DB104" i="2"/>
  <c r="DB105" i="2"/>
  <c r="DB106" i="2"/>
  <c r="DB107" i="2"/>
  <c r="DB108" i="2"/>
  <c r="DB109" i="2"/>
  <c r="DB110" i="2"/>
  <c r="DB111" i="2"/>
  <c r="DB112" i="2"/>
  <c r="DB113" i="2"/>
  <c r="DB114" i="2"/>
  <c r="DB115" i="2"/>
  <c r="DB116" i="2"/>
  <c r="DB117" i="2"/>
  <c r="DB118" i="2"/>
  <c r="DB119" i="2"/>
  <c r="DB120" i="2"/>
  <c r="DB121" i="2"/>
  <c r="DB122" i="2"/>
  <c r="DB123" i="2"/>
  <c r="DB124" i="2"/>
  <c r="DB125" i="2"/>
  <c r="DB126" i="2"/>
  <c r="DB127" i="2"/>
  <c r="DB128" i="2"/>
  <c r="DB129" i="2"/>
  <c r="DB130" i="2"/>
  <c r="DB131" i="2"/>
  <c r="DB132" i="2"/>
  <c r="DB133" i="2"/>
  <c r="DB134" i="2"/>
  <c r="DB135" i="2"/>
  <c r="DB136" i="2"/>
  <c r="DB137" i="2"/>
  <c r="DB138" i="2"/>
  <c r="DB139" i="2"/>
  <c r="DB140" i="2"/>
  <c r="DB141" i="2"/>
  <c r="DB142" i="2"/>
  <c r="DB143" i="2"/>
  <c r="DB144" i="2"/>
  <c r="DB145" i="2"/>
  <c r="DB146" i="2"/>
  <c r="DB147" i="2"/>
  <c r="DB148" i="2"/>
  <c r="DB149" i="2"/>
  <c r="DB150" i="2"/>
  <c r="DB151" i="2"/>
  <c r="DB152" i="2"/>
  <c r="DB153" i="2"/>
  <c r="DB154" i="2"/>
  <c r="DB155" i="2"/>
  <c r="DB156" i="2"/>
  <c r="DB157" i="2"/>
  <c r="DB158" i="2"/>
  <c r="DB159" i="2"/>
  <c r="DB160" i="2"/>
  <c r="DB161" i="2"/>
  <c r="DB162" i="2"/>
  <c r="DB163" i="2"/>
  <c r="DB164" i="2"/>
  <c r="DB165" i="2"/>
  <c r="DB166" i="2"/>
  <c r="DC2" i="2"/>
  <c r="DC3" i="2"/>
  <c r="DC4" i="2"/>
  <c r="DC5" i="2"/>
  <c r="DC6" i="2"/>
  <c r="DC7" i="2"/>
  <c r="DC8" i="2"/>
  <c r="DC9" i="2"/>
  <c r="DC10" i="2"/>
  <c r="DC11" i="2"/>
  <c r="DC12" i="2"/>
  <c r="DC13" i="2"/>
  <c r="DC14" i="2"/>
  <c r="DC15" i="2"/>
  <c r="DC16" i="2"/>
  <c r="DC17" i="2"/>
  <c r="DC18" i="2"/>
  <c r="DC19" i="2"/>
  <c r="DC20" i="2"/>
  <c r="DC21" i="2"/>
  <c r="DC22" i="2"/>
  <c r="DC23" i="2"/>
  <c r="DC24" i="2"/>
  <c r="DC25" i="2"/>
  <c r="DC26" i="2"/>
  <c r="DC27" i="2"/>
  <c r="DC28" i="2"/>
  <c r="DC29" i="2"/>
  <c r="DC30" i="2"/>
  <c r="DC31" i="2"/>
  <c r="DC32" i="2"/>
  <c r="DC33" i="2"/>
  <c r="DC34" i="2"/>
  <c r="DC35" i="2"/>
  <c r="DC36" i="2"/>
  <c r="DC37" i="2"/>
  <c r="DC38" i="2"/>
  <c r="DC39" i="2"/>
  <c r="DC40" i="2"/>
  <c r="DC41" i="2"/>
  <c r="DC42" i="2"/>
  <c r="DC43" i="2"/>
  <c r="DC44" i="2"/>
  <c r="DC45" i="2"/>
  <c r="DC46" i="2"/>
  <c r="DC47" i="2"/>
  <c r="DC48" i="2"/>
  <c r="DC49" i="2"/>
  <c r="DC50" i="2"/>
  <c r="DC51" i="2"/>
  <c r="DC52" i="2"/>
  <c r="DC53" i="2"/>
  <c r="DC54" i="2"/>
  <c r="DC55" i="2"/>
  <c r="DC56" i="2"/>
  <c r="DC57" i="2"/>
  <c r="DC58" i="2"/>
  <c r="DC59" i="2"/>
  <c r="DC60" i="2"/>
  <c r="DC61" i="2"/>
  <c r="DC62" i="2"/>
  <c r="DC63" i="2"/>
  <c r="DC64" i="2"/>
  <c r="DC65" i="2"/>
  <c r="DC66" i="2"/>
  <c r="DC67" i="2"/>
  <c r="DC68" i="2"/>
  <c r="DC69" i="2"/>
  <c r="DC70" i="2"/>
  <c r="DC71" i="2"/>
  <c r="DC72" i="2"/>
  <c r="DC73" i="2"/>
  <c r="DC74" i="2"/>
  <c r="DC75" i="2"/>
  <c r="DC76" i="2"/>
  <c r="DC77" i="2"/>
  <c r="DC78" i="2"/>
  <c r="DC79" i="2"/>
  <c r="DC80" i="2"/>
  <c r="DC81" i="2"/>
  <c r="DC82" i="2"/>
  <c r="DC83" i="2"/>
  <c r="DC84" i="2"/>
  <c r="DC85" i="2"/>
  <c r="DC86" i="2"/>
  <c r="DC87" i="2"/>
  <c r="DC88" i="2"/>
  <c r="DC89" i="2"/>
  <c r="DC90" i="2"/>
  <c r="DC91" i="2"/>
  <c r="DC92" i="2"/>
  <c r="DC93" i="2"/>
  <c r="DC94" i="2"/>
  <c r="DC95" i="2"/>
  <c r="DC96" i="2"/>
  <c r="DC97" i="2"/>
  <c r="DC98" i="2"/>
  <c r="DC99" i="2"/>
  <c r="DC100" i="2"/>
  <c r="DC101" i="2"/>
  <c r="DC102" i="2"/>
  <c r="DC103" i="2"/>
  <c r="DC104" i="2"/>
  <c r="DC105" i="2"/>
  <c r="DC106" i="2"/>
  <c r="DC107" i="2"/>
  <c r="DC108" i="2"/>
  <c r="DC109" i="2"/>
  <c r="DC110" i="2"/>
  <c r="DC111" i="2"/>
  <c r="DC112" i="2"/>
  <c r="DC113" i="2"/>
  <c r="DC114" i="2"/>
  <c r="DC115" i="2"/>
  <c r="DC116" i="2"/>
  <c r="DC117" i="2"/>
  <c r="DC118" i="2"/>
  <c r="DC119" i="2"/>
  <c r="DC120" i="2"/>
  <c r="DC121" i="2"/>
  <c r="DC122" i="2"/>
  <c r="DC123" i="2"/>
  <c r="DC124" i="2"/>
  <c r="DC125" i="2"/>
  <c r="DC126" i="2"/>
  <c r="DC127" i="2"/>
  <c r="DC128" i="2"/>
  <c r="DC129" i="2"/>
  <c r="DC130" i="2"/>
  <c r="DC131" i="2"/>
  <c r="DC132" i="2"/>
  <c r="DC133" i="2"/>
  <c r="DC134" i="2"/>
  <c r="DC135" i="2"/>
  <c r="DC136" i="2"/>
  <c r="DC137" i="2"/>
  <c r="DC138" i="2"/>
  <c r="DC139" i="2"/>
  <c r="DC140" i="2"/>
  <c r="DC141" i="2"/>
  <c r="DC142" i="2"/>
  <c r="DC143" i="2"/>
  <c r="DC144" i="2"/>
  <c r="DC145" i="2"/>
  <c r="DC146" i="2"/>
  <c r="DC147" i="2"/>
  <c r="DC148" i="2"/>
  <c r="DC149" i="2"/>
  <c r="DC150" i="2"/>
  <c r="DC151" i="2"/>
  <c r="DC152" i="2"/>
  <c r="DC153" i="2"/>
  <c r="DC154" i="2"/>
  <c r="DC155" i="2"/>
  <c r="DC156" i="2"/>
  <c r="DC157" i="2"/>
  <c r="DC158" i="2"/>
  <c r="DC159" i="2"/>
  <c r="DC160" i="2"/>
  <c r="DC161" i="2"/>
  <c r="DC162" i="2"/>
  <c r="DC163" i="2"/>
  <c r="DC164" i="2"/>
  <c r="DC165" i="2"/>
  <c r="DC166" i="2"/>
  <c r="DD2" i="2"/>
  <c r="DD3" i="2"/>
  <c r="DD4" i="2"/>
  <c r="DD5" i="2"/>
  <c r="DD6" i="2"/>
  <c r="DD7" i="2"/>
  <c r="DD8" i="2"/>
  <c r="DD9" i="2"/>
  <c r="DD10" i="2"/>
  <c r="DD11" i="2"/>
  <c r="DD12" i="2"/>
  <c r="DD13" i="2"/>
  <c r="DD14" i="2"/>
  <c r="DD15" i="2"/>
  <c r="DD16" i="2"/>
  <c r="DD17" i="2"/>
  <c r="DD18" i="2"/>
  <c r="DD19" i="2"/>
  <c r="DD20" i="2"/>
  <c r="DD21" i="2"/>
  <c r="DD22" i="2"/>
  <c r="DD23" i="2"/>
  <c r="DD24" i="2"/>
  <c r="DD25" i="2"/>
  <c r="DD26" i="2"/>
  <c r="DD27" i="2"/>
  <c r="DD28" i="2"/>
  <c r="DD29" i="2"/>
  <c r="DD30" i="2"/>
  <c r="DD31" i="2"/>
  <c r="DD32" i="2"/>
  <c r="DD33" i="2"/>
  <c r="DD34" i="2"/>
  <c r="DD35" i="2"/>
  <c r="DD36" i="2"/>
  <c r="DD37" i="2"/>
  <c r="DD38" i="2"/>
  <c r="DD39" i="2"/>
  <c r="DD40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7" i="2"/>
  <c r="DD58" i="2"/>
  <c r="DD59" i="2"/>
  <c r="DD60" i="2"/>
  <c r="DD61" i="2"/>
  <c r="DD62" i="2"/>
  <c r="DD63" i="2"/>
  <c r="DD64" i="2"/>
  <c r="DD65" i="2"/>
  <c r="DD66" i="2"/>
  <c r="DD67" i="2"/>
  <c r="DD68" i="2"/>
  <c r="DD69" i="2"/>
  <c r="DD70" i="2"/>
  <c r="DD71" i="2"/>
  <c r="DD72" i="2"/>
  <c r="DD73" i="2"/>
  <c r="DD74" i="2"/>
  <c r="DD75" i="2"/>
  <c r="DD76" i="2"/>
  <c r="DD77" i="2"/>
  <c r="DD78" i="2"/>
  <c r="DD79" i="2"/>
  <c r="DD80" i="2"/>
  <c r="DD81" i="2"/>
  <c r="DD82" i="2"/>
  <c r="DD83" i="2"/>
  <c r="DD84" i="2"/>
  <c r="DD85" i="2"/>
  <c r="DD86" i="2"/>
  <c r="DD87" i="2"/>
  <c r="DD88" i="2"/>
  <c r="DD89" i="2"/>
  <c r="DD90" i="2"/>
  <c r="DD91" i="2"/>
  <c r="DD92" i="2"/>
  <c r="DD93" i="2"/>
  <c r="DD94" i="2"/>
  <c r="DD95" i="2"/>
  <c r="DD96" i="2"/>
  <c r="DD97" i="2"/>
  <c r="DD98" i="2"/>
  <c r="DD99" i="2"/>
  <c r="DD100" i="2"/>
  <c r="DD101" i="2"/>
  <c r="DD102" i="2"/>
  <c r="DD103" i="2"/>
  <c r="DD104" i="2"/>
  <c r="DD105" i="2"/>
  <c r="DD106" i="2"/>
  <c r="DD107" i="2"/>
  <c r="DD108" i="2"/>
  <c r="DD109" i="2"/>
  <c r="DD110" i="2"/>
  <c r="DD111" i="2"/>
  <c r="DD112" i="2"/>
  <c r="DD113" i="2"/>
  <c r="DD114" i="2"/>
  <c r="DD115" i="2"/>
  <c r="DD116" i="2"/>
  <c r="DD117" i="2"/>
  <c r="DD118" i="2"/>
  <c r="DD119" i="2"/>
  <c r="DD120" i="2"/>
  <c r="DD121" i="2"/>
  <c r="DD122" i="2"/>
  <c r="DD123" i="2"/>
  <c r="DD124" i="2"/>
  <c r="DD125" i="2"/>
  <c r="DD126" i="2"/>
  <c r="DD127" i="2"/>
  <c r="DD128" i="2"/>
  <c r="DD129" i="2"/>
  <c r="DD130" i="2"/>
  <c r="DD131" i="2"/>
  <c r="DD132" i="2"/>
  <c r="DD133" i="2"/>
  <c r="DD134" i="2"/>
  <c r="DD135" i="2"/>
  <c r="DD136" i="2"/>
  <c r="DD137" i="2"/>
  <c r="DD138" i="2"/>
  <c r="DD139" i="2"/>
  <c r="DD140" i="2"/>
  <c r="DD141" i="2"/>
  <c r="DD142" i="2"/>
  <c r="DD143" i="2"/>
  <c r="DD144" i="2"/>
  <c r="DD145" i="2"/>
  <c r="DD146" i="2"/>
  <c r="DD147" i="2"/>
  <c r="DD148" i="2"/>
  <c r="DD149" i="2"/>
  <c r="DD150" i="2"/>
  <c r="DD151" i="2"/>
  <c r="DD152" i="2"/>
  <c r="DD153" i="2"/>
  <c r="DD154" i="2"/>
  <c r="DD155" i="2"/>
  <c r="DD156" i="2"/>
  <c r="DD157" i="2"/>
  <c r="DD158" i="2"/>
  <c r="DD159" i="2"/>
  <c r="DD160" i="2"/>
  <c r="DD161" i="2"/>
  <c r="DD162" i="2"/>
  <c r="DD163" i="2"/>
  <c r="DD164" i="2"/>
  <c r="DD165" i="2"/>
  <c r="DD166" i="2"/>
  <c r="DE2" i="2"/>
  <c r="DE3" i="2"/>
  <c r="DE4" i="2"/>
  <c r="DE5" i="2"/>
  <c r="DE6" i="2"/>
  <c r="DE7" i="2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8" i="2"/>
  <c r="DE29" i="2"/>
  <c r="DE30" i="2"/>
  <c r="DE31" i="2"/>
  <c r="DE32" i="2"/>
  <c r="DE33" i="2"/>
  <c r="DE34" i="2"/>
  <c r="DE35" i="2"/>
  <c r="DE36" i="2"/>
  <c r="DE37" i="2"/>
  <c r="DE38" i="2"/>
  <c r="DE39" i="2"/>
  <c r="DE40" i="2"/>
  <c r="DE41" i="2"/>
  <c r="DE42" i="2"/>
  <c r="DE43" i="2"/>
  <c r="DE44" i="2"/>
  <c r="DE45" i="2"/>
  <c r="DE46" i="2"/>
  <c r="DE47" i="2"/>
  <c r="DE48" i="2"/>
  <c r="DE49" i="2"/>
  <c r="DE50" i="2"/>
  <c r="DE51" i="2"/>
  <c r="DE52" i="2"/>
  <c r="DE53" i="2"/>
  <c r="DE54" i="2"/>
  <c r="DE55" i="2"/>
  <c r="DE56" i="2"/>
  <c r="DE57" i="2"/>
  <c r="DE58" i="2"/>
  <c r="DE59" i="2"/>
  <c r="DE60" i="2"/>
  <c r="DE61" i="2"/>
  <c r="DE62" i="2"/>
  <c r="DE63" i="2"/>
  <c r="DE64" i="2"/>
  <c r="DE65" i="2"/>
  <c r="DE66" i="2"/>
  <c r="DE67" i="2"/>
  <c r="DE68" i="2"/>
  <c r="DE69" i="2"/>
  <c r="DE70" i="2"/>
  <c r="DE71" i="2"/>
  <c r="DE72" i="2"/>
  <c r="DE73" i="2"/>
  <c r="DE74" i="2"/>
  <c r="DE75" i="2"/>
  <c r="DE76" i="2"/>
  <c r="DE77" i="2"/>
  <c r="DE78" i="2"/>
  <c r="DE79" i="2"/>
  <c r="DE80" i="2"/>
  <c r="DE81" i="2"/>
  <c r="DE82" i="2"/>
  <c r="DE83" i="2"/>
  <c r="DE84" i="2"/>
  <c r="DE85" i="2"/>
  <c r="DE86" i="2"/>
  <c r="DE87" i="2"/>
  <c r="DE88" i="2"/>
  <c r="DE89" i="2"/>
  <c r="DE90" i="2"/>
  <c r="DE91" i="2"/>
  <c r="DE92" i="2"/>
  <c r="DE93" i="2"/>
  <c r="DE94" i="2"/>
  <c r="DE95" i="2"/>
  <c r="DE96" i="2"/>
  <c r="DE97" i="2"/>
  <c r="DE98" i="2"/>
  <c r="DE99" i="2"/>
  <c r="DE100" i="2"/>
  <c r="DE101" i="2"/>
  <c r="DE102" i="2"/>
  <c r="DE103" i="2"/>
  <c r="DE104" i="2"/>
  <c r="DE105" i="2"/>
  <c r="DE106" i="2"/>
  <c r="DE107" i="2"/>
  <c r="DE108" i="2"/>
  <c r="DE109" i="2"/>
  <c r="DE110" i="2"/>
  <c r="DE111" i="2"/>
  <c r="DE112" i="2"/>
  <c r="DE113" i="2"/>
  <c r="DE114" i="2"/>
  <c r="DE115" i="2"/>
  <c r="DE116" i="2"/>
  <c r="DE117" i="2"/>
  <c r="DE118" i="2"/>
  <c r="DE119" i="2"/>
  <c r="DE120" i="2"/>
  <c r="DE121" i="2"/>
  <c r="DE122" i="2"/>
  <c r="DE123" i="2"/>
  <c r="DE124" i="2"/>
  <c r="DE125" i="2"/>
  <c r="DE126" i="2"/>
  <c r="DE127" i="2"/>
  <c r="DE128" i="2"/>
  <c r="DE129" i="2"/>
  <c r="DE130" i="2"/>
  <c r="DE131" i="2"/>
  <c r="DE132" i="2"/>
  <c r="DE133" i="2"/>
  <c r="DE134" i="2"/>
  <c r="DE135" i="2"/>
  <c r="DE136" i="2"/>
  <c r="DE137" i="2"/>
  <c r="DE138" i="2"/>
  <c r="DE139" i="2"/>
  <c r="DE140" i="2"/>
  <c r="DE141" i="2"/>
  <c r="DE142" i="2"/>
  <c r="DE143" i="2"/>
  <c r="DE144" i="2"/>
  <c r="DE145" i="2"/>
  <c r="DE146" i="2"/>
  <c r="DE147" i="2"/>
  <c r="DE148" i="2"/>
  <c r="DE149" i="2"/>
  <c r="DE150" i="2"/>
  <c r="DE151" i="2"/>
  <c r="DE152" i="2"/>
  <c r="DE153" i="2"/>
  <c r="DE154" i="2"/>
  <c r="DE155" i="2"/>
  <c r="DE156" i="2"/>
  <c r="DE157" i="2"/>
  <c r="DE158" i="2"/>
  <c r="DE159" i="2"/>
  <c r="DE160" i="2"/>
  <c r="DE161" i="2"/>
  <c r="DE162" i="2"/>
  <c r="DE163" i="2"/>
  <c r="DE164" i="2"/>
  <c r="DE165" i="2"/>
  <c r="DE166" i="2"/>
  <c r="DF2" i="2"/>
  <c r="DF3" i="2"/>
  <c r="DF4" i="2"/>
  <c r="DF5" i="2"/>
  <c r="DF6" i="2"/>
  <c r="DF7" i="2"/>
  <c r="DF8" i="2"/>
  <c r="DF9" i="2"/>
  <c r="DF10" i="2"/>
  <c r="DF11" i="2"/>
  <c r="DF12" i="2"/>
  <c r="DF13" i="2"/>
  <c r="DF14" i="2"/>
  <c r="DF15" i="2"/>
  <c r="DF16" i="2"/>
  <c r="DF17" i="2"/>
  <c r="DF18" i="2"/>
  <c r="DF19" i="2"/>
  <c r="DF20" i="2"/>
  <c r="DF21" i="2"/>
  <c r="DF22" i="2"/>
  <c r="DF23" i="2"/>
  <c r="DF24" i="2"/>
  <c r="DF25" i="2"/>
  <c r="DF26" i="2"/>
  <c r="DF27" i="2"/>
  <c r="DF28" i="2"/>
  <c r="DF29" i="2"/>
  <c r="DF30" i="2"/>
  <c r="DF31" i="2"/>
  <c r="DF32" i="2"/>
  <c r="DF33" i="2"/>
  <c r="DF34" i="2"/>
  <c r="DF35" i="2"/>
  <c r="DF36" i="2"/>
  <c r="DF37" i="2"/>
  <c r="DF38" i="2"/>
  <c r="DF39" i="2"/>
  <c r="DF40" i="2"/>
  <c r="DF41" i="2"/>
  <c r="DF42" i="2"/>
  <c r="DF43" i="2"/>
  <c r="DF44" i="2"/>
  <c r="DF45" i="2"/>
  <c r="DF46" i="2"/>
  <c r="DF47" i="2"/>
  <c r="DF48" i="2"/>
  <c r="DF49" i="2"/>
  <c r="DF50" i="2"/>
  <c r="DF51" i="2"/>
  <c r="DF52" i="2"/>
  <c r="DF53" i="2"/>
  <c r="DF54" i="2"/>
  <c r="DF55" i="2"/>
  <c r="DF56" i="2"/>
  <c r="DF57" i="2"/>
  <c r="DF58" i="2"/>
  <c r="DF59" i="2"/>
  <c r="DF60" i="2"/>
  <c r="DF61" i="2"/>
  <c r="DF62" i="2"/>
  <c r="DF63" i="2"/>
  <c r="DF64" i="2"/>
  <c r="DF65" i="2"/>
  <c r="DF66" i="2"/>
  <c r="DF67" i="2"/>
  <c r="DF68" i="2"/>
  <c r="DF69" i="2"/>
  <c r="DF70" i="2"/>
  <c r="DF71" i="2"/>
  <c r="DF72" i="2"/>
  <c r="DF73" i="2"/>
  <c r="DF74" i="2"/>
  <c r="DF75" i="2"/>
  <c r="DF76" i="2"/>
  <c r="DF77" i="2"/>
  <c r="DF78" i="2"/>
  <c r="DF79" i="2"/>
  <c r="DF80" i="2"/>
  <c r="DF81" i="2"/>
  <c r="DF82" i="2"/>
  <c r="DF83" i="2"/>
  <c r="DF84" i="2"/>
  <c r="DF85" i="2"/>
  <c r="DF86" i="2"/>
  <c r="DF87" i="2"/>
  <c r="DF88" i="2"/>
  <c r="DF89" i="2"/>
  <c r="DF90" i="2"/>
  <c r="DF91" i="2"/>
  <c r="DF92" i="2"/>
  <c r="DF93" i="2"/>
  <c r="DF94" i="2"/>
  <c r="DF95" i="2"/>
  <c r="DF96" i="2"/>
  <c r="DF97" i="2"/>
  <c r="DF98" i="2"/>
  <c r="DF99" i="2"/>
  <c r="DF100" i="2"/>
  <c r="DF101" i="2"/>
  <c r="DF102" i="2"/>
  <c r="DF103" i="2"/>
  <c r="DF104" i="2"/>
  <c r="DF105" i="2"/>
  <c r="DF106" i="2"/>
  <c r="DF107" i="2"/>
  <c r="DF108" i="2"/>
  <c r="DF109" i="2"/>
  <c r="DF110" i="2"/>
  <c r="DF111" i="2"/>
  <c r="DF112" i="2"/>
  <c r="DF113" i="2"/>
  <c r="DF114" i="2"/>
  <c r="DF115" i="2"/>
  <c r="DF116" i="2"/>
  <c r="DF117" i="2"/>
  <c r="DF118" i="2"/>
  <c r="DF119" i="2"/>
  <c r="DF120" i="2"/>
  <c r="DF121" i="2"/>
  <c r="DF122" i="2"/>
  <c r="DF123" i="2"/>
  <c r="DF124" i="2"/>
  <c r="DF125" i="2"/>
  <c r="DF126" i="2"/>
  <c r="DF127" i="2"/>
  <c r="DF128" i="2"/>
  <c r="DF129" i="2"/>
  <c r="DF130" i="2"/>
  <c r="DF131" i="2"/>
  <c r="DF132" i="2"/>
  <c r="DF133" i="2"/>
  <c r="DF134" i="2"/>
  <c r="DF135" i="2"/>
  <c r="DF136" i="2"/>
  <c r="DF137" i="2"/>
  <c r="DF138" i="2"/>
  <c r="DF139" i="2"/>
  <c r="DF140" i="2"/>
  <c r="DF141" i="2"/>
  <c r="DF142" i="2"/>
  <c r="DF143" i="2"/>
  <c r="DF144" i="2"/>
  <c r="DF145" i="2"/>
  <c r="DF146" i="2"/>
  <c r="DF147" i="2"/>
  <c r="DF148" i="2"/>
  <c r="DF149" i="2"/>
  <c r="DF150" i="2"/>
  <c r="DF151" i="2"/>
  <c r="DF152" i="2"/>
  <c r="DF153" i="2"/>
  <c r="DF154" i="2"/>
  <c r="DF155" i="2"/>
  <c r="DF156" i="2"/>
  <c r="DF157" i="2"/>
  <c r="DF158" i="2"/>
  <c r="DF159" i="2"/>
  <c r="DF160" i="2"/>
  <c r="DF161" i="2"/>
  <c r="DF162" i="2"/>
  <c r="DF163" i="2"/>
  <c r="DF164" i="2"/>
  <c r="DF165" i="2"/>
  <c r="DF166" i="2"/>
  <c r="DG2" i="2"/>
  <c r="DG3" i="2"/>
  <c r="DG4" i="2"/>
  <c r="DG5" i="2"/>
  <c r="DG6" i="2"/>
  <c r="DG7" i="2"/>
  <c r="DG8" i="2"/>
  <c r="DG9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DG31" i="2"/>
  <c r="DG32" i="2"/>
  <c r="DG33" i="2"/>
  <c r="DG34" i="2"/>
  <c r="DG35" i="2"/>
  <c r="DG36" i="2"/>
  <c r="DG37" i="2"/>
  <c r="DG38" i="2"/>
  <c r="DG39" i="2"/>
  <c r="DG40" i="2"/>
  <c r="DG41" i="2"/>
  <c r="DG42" i="2"/>
  <c r="DG43" i="2"/>
  <c r="DG44" i="2"/>
  <c r="DG45" i="2"/>
  <c r="DG46" i="2"/>
  <c r="DG47" i="2"/>
  <c r="DG48" i="2"/>
  <c r="DG49" i="2"/>
  <c r="DG50" i="2"/>
  <c r="DG51" i="2"/>
  <c r="DG52" i="2"/>
  <c r="DG53" i="2"/>
  <c r="DG54" i="2"/>
  <c r="DG55" i="2"/>
  <c r="DG56" i="2"/>
  <c r="DG57" i="2"/>
  <c r="DG58" i="2"/>
  <c r="DG59" i="2"/>
  <c r="DG60" i="2"/>
  <c r="DG61" i="2"/>
  <c r="DG62" i="2"/>
  <c r="DG63" i="2"/>
  <c r="DG64" i="2"/>
  <c r="DG65" i="2"/>
  <c r="DG66" i="2"/>
  <c r="DG67" i="2"/>
  <c r="DG68" i="2"/>
  <c r="DG69" i="2"/>
  <c r="DG70" i="2"/>
  <c r="DG71" i="2"/>
  <c r="DG72" i="2"/>
  <c r="DG73" i="2"/>
  <c r="DG74" i="2"/>
  <c r="DG75" i="2"/>
  <c r="DG76" i="2"/>
  <c r="DG77" i="2"/>
  <c r="DG78" i="2"/>
  <c r="DG79" i="2"/>
  <c r="DG80" i="2"/>
  <c r="DG81" i="2"/>
  <c r="DG82" i="2"/>
  <c r="DG83" i="2"/>
  <c r="DG84" i="2"/>
  <c r="DG85" i="2"/>
  <c r="DG86" i="2"/>
  <c r="DG87" i="2"/>
  <c r="DG88" i="2"/>
  <c r="DG89" i="2"/>
  <c r="DG90" i="2"/>
  <c r="DG91" i="2"/>
  <c r="DG92" i="2"/>
  <c r="DG93" i="2"/>
  <c r="DG94" i="2"/>
  <c r="DG95" i="2"/>
  <c r="DG96" i="2"/>
  <c r="DG97" i="2"/>
  <c r="DG98" i="2"/>
  <c r="DG99" i="2"/>
  <c r="DG100" i="2"/>
  <c r="DG101" i="2"/>
  <c r="DG102" i="2"/>
  <c r="DG103" i="2"/>
  <c r="DG104" i="2"/>
  <c r="DG105" i="2"/>
  <c r="DG106" i="2"/>
  <c r="DG107" i="2"/>
  <c r="DG108" i="2"/>
  <c r="DG109" i="2"/>
  <c r="DG110" i="2"/>
  <c r="DG111" i="2"/>
  <c r="DG112" i="2"/>
  <c r="DG113" i="2"/>
  <c r="DG114" i="2"/>
  <c r="DG115" i="2"/>
  <c r="DG116" i="2"/>
  <c r="DG117" i="2"/>
  <c r="DG118" i="2"/>
  <c r="DG119" i="2"/>
  <c r="DG120" i="2"/>
  <c r="DG121" i="2"/>
  <c r="DG122" i="2"/>
  <c r="DG123" i="2"/>
  <c r="DG124" i="2"/>
  <c r="DG125" i="2"/>
  <c r="DG126" i="2"/>
  <c r="DG127" i="2"/>
  <c r="DG128" i="2"/>
  <c r="DG129" i="2"/>
  <c r="DG130" i="2"/>
  <c r="DG131" i="2"/>
  <c r="DG132" i="2"/>
  <c r="DG133" i="2"/>
  <c r="DG134" i="2"/>
  <c r="DG135" i="2"/>
  <c r="DG136" i="2"/>
  <c r="DG137" i="2"/>
  <c r="DG138" i="2"/>
  <c r="DG139" i="2"/>
  <c r="DG140" i="2"/>
  <c r="DG141" i="2"/>
  <c r="DG142" i="2"/>
  <c r="DG143" i="2"/>
  <c r="DG144" i="2"/>
  <c r="DG145" i="2"/>
  <c r="DG146" i="2"/>
  <c r="DG147" i="2"/>
  <c r="DG148" i="2"/>
  <c r="DG149" i="2"/>
  <c r="DG150" i="2"/>
  <c r="DG151" i="2"/>
  <c r="DG152" i="2"/>
  <c r="DG153" i="2"/>
  <c r="DG154" i="2"/>
  <c r="DG155" i="2"/>
  <c r="DG156" i="2"/>
  <c r="DG157" i="2"/>
  <c r="DG158" i="2"/>
  <c r="DG159" i="2"/>
  <c r="DG160" i="2"/>
  <c r="DG161" i="2"/>
  <c r="DG162" i="2"/>
  <c r="DG163" i="2"/>
  <c r="DG164" i="2"/>
  <c r="DG165" i="2"/>
  <c r="DG166" i="2"/>
  <c r="DH2" i="2"/>
  <c r="DH3" i="2"/>
  <c r="DH4" i="2"/>
  <c r="DH5" i="2"/>
  <c r="DH6" i="2"/>
  <c r="DH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31" i="2"/>
  <c r="DH32" i="2"/>
  <c r="DH33" i="2"/>
  <c r="DH34" i="2"/>
  <c r="DH35" i="2"/>
  <c r="DH36" i="2"/>
  <c r="DH37" i="2"/>
  <c r="DH38" i="2"/>
  <c r="DH39" i="2"/>
  <c r="DH40" i="2"/>
  <c r="DH41" i="2"/>
  <c r="DH42" i="2"/>
  <c r="DH43" i="2"/>
  <c r="DH44" i="2"/>
  <c r="DH45" i="2"/>
  <c r="DH46" i="2"/>
  <c r="DH47" i="2"/>
  <c r="DH48" i="2"/>
  <c r="DH49" i="2"/>
  <c r="DH50" i="2"/>
  <c r="DH51" i="2"/>
  <c r="DH52" i="2"/>
  <c r="DH53" i="2"/>
  <c r="DH54" i="2"/>
  <c r="DH55" i="2"/>
  <c r="DH56" i="2"/>
  <c r="DH57" i="2"/>
  <c r="DH58" i="2"/>
  <c r="DH59" i="2"/>
  <c r="DH60" i="2"/>
  <c r="DH61" i="2"/>
  <c r="DH62" i="2"/>
  <c r="DH63" i="2"/>
  <c r="DH64" i="2"/>
  <c r="DH65" i="2"/>
  <c r="DH66" i="2"/>
  <c r="DH67" i="2"/>
  <c r="DH68" i="2"/>
  <c r="DH69" i="2"/>
  <c r="DH70" i="2"/>
  <c r="DH71" i="2"/>
  <c r="DH72" i="2"/>
  <c r="DH73" i="2"/>
  <c r="DH74" i="2"/>
  <c r="DH75" i="2"/>
  <c r="DH76" i="2"/>
  <c r="DH77" i="2"/>
  <c r="DH78" i="2"/>
  <c r="DH79" i="2"/>
  <c r="DH80" i="2"/>
  <c r="DH81" i="2"/>
  <c r="DH82" i="2"/>
  <c r="DH83" i="2"/>
  <c r="DH84" i="2"/>
  <c r="DH85" i="2"/>
  <c r="DH86" i="2"/>
  <c r="DH87" i="2"/>
  <c r="DH88" i="2"/>
  <c r="DH89" i="2"/>
  <c r="DH90" i="2"/>
  <c r="DH91" i="2"/>
  <c r="DH92" i="2"/>
  <c r="DH93" i="2"/>
  <c r="DH94" i="2"/>
  <c r="DH95" i="2"/>
  <c r="DH96" i="2"/>
  <c r="DH97" i="2"/>
  <c r="DH98" i="2"/>
  <c r="DH99" i="2"/>
  <c r="DH100" i="2"/>
  <c r="DH101" i="2"/>
  <c r="DH102" i="2"/>
  <c r="DH103" i="2"/>
  <c r="DH104" i="2"/>
  <c r="DH105" i="2"/>
  <c r="DH106" i="2"/>
  <c r="DH107" i="2"/>
  <c r="DH108" i="2"/>
  <c r="DH109" i="2"/>
  <c r="DH110" i="2"/>
  <c r="DH111" i="2"/>
  <c r="DH112" i="2"/>
  <c r="DH113" i="2"/>
  <c r="DH114" i="2"/>
  <c r="DH115" i="2"/>
  <c r="DH116" i="2"/>
  <c r="DH117" i="2"/>
  <c r="DH118" i="2"/>
  <c r="DH119" i="2"/>
  <c r="DH120" i="2"/>
  <c r="DH121" i="2"/>
  <c r="DH122" i="2"/>
  <c r="DH123" i="2"/>
  <c r="DH124" i="2"/>
  <c r="DH125" i="2"/>
  <c r="DH126" i="2"/>
  <c r="DH127" i="2"/>
  <c r="DH128" i="2"/>
  <c r="DH129" i="2"/>
  <c r="DH130" i="2"/>
  <c r="DH131" i="2"/>
  <c r="DH132" i="2"/>
  <c r="DH133" i="2"/>
  <c r="DH134" i="2"/>
  <c r="DH135" i="2"/>
  <c r="DH136" i="2"/>
  <c r="DH137" i="2"/>
  <c r="DH138" i="2"/>
  <c r="DH139" i="2"/>
  <c r="DH140" i="2"/>
  <c r="DH141" i="2"/>
  <c r="DH142" i="2"/>
  <c r="DH143" i="2"/>
  <c r="DH144" i="2"/>
  <c r="DH145" i="2"/>
  <c r="DH146" i="2"/>
  <c r="DH147" i="2"/>
  <c r="DH148" i="2"/>
  <c r="DH149" i="2"/>
  <c r="DH150" i="2"/>
  <c r="DH151" i="2"/>
  <c r="DH152" i="2"/>
  <c r="DH153" i="2"/>
  <c r="DH154" i="2"/>
  <c r="DH155" i="2"/>
  <c r="DH156" i="2"/>
  <c r="DH157" i="2"/>
  <c r="DH158" i="2"/>
  <c r="DH159" i="2"/>
  <c r="DH160" i="2"/>
  <c r="DH161" i="2"/>
  <c r="DH162" i="2"/>
  <c r="DH163" i="2"/>
  <c r="DH164" i="2"/>
  <c r="DH165" i="2"/>
  <c r="DH166" i="2"/>
  <c r="DI2" i="2"/>
  <c r="DI3" i="2"/>
  <c r="DI4" i="2"/>
  <c r="DI5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8" i="2"/>
  <c r="DI29" i="2"/>
  <c r="DI30" i="2"/>
  <c r="DI31" i="2"/>
  <c r="DI32" i="2"/>
  <c r="DI33" i="2"/>
  <c r="DI34" i="2"/>
  <c r="DI35" i="2"/>
  <c r="DI36" i="2"/>
  <c r="DI37" i="2"/>
  <c r="DI38" i="2"/>
  <c r="DI39" i="2"/>
  <c r="DI40" i="2"/>
  <c r="DI41" i="2"/>
  <c r="DI42" i="2"/>
  <c r="DI43" i="2"/>
  <c r="DI44" i="2"/>
  <c r="DI45" i="2"/>
  <c r="DI46" i="2"/>
  <c r="DI47" i="2"/>
  <c r="DI48" i="2"/>
  <c r="DI49" i="2"/>
  <c r="DI50" i="2"/>
  <c r="DI51" i="2"/>
  <c r="DI52" i="2"/>
  <c r="DI53" i="2"/>
  <c r="DI54" i="2"/>
  <c r="DI55" i="2"/>
  <c r="DI56" i="2"/>
  <c r="DI57" i="2"/>
  <c r="DI58" i="2"/>
  <c r="DI59" i="2"/>
  <c r="DI60" i="2"/>
  <c r="DI61" i="2"/>
  <c r="DI62" i="2"/>
  <c r="DI63" i="2"/>
  <c r="DI64" i="2"/>
  <c r="DI65" i="2"/>
  <c r="DI66" i="2"/>
  <c r="DI67" i="2"/>
  <c r="DI68" i="2"/>
  <c r="DI69" i="2"/>
  <c r="DI70" i="2"/>
  <c r="DI71" i="2"/>
  <c r="DI72" i="2"/>
  <c r="DI73" i="2"/>
  <c r="DI74" i="2"/>
  <c r="DI75" i="2"/>
  <c r="DI76" i="2"/>
  <c r="DI77" i="2"/>
  <c r="DI78" i="2"/>
  <c r="DI79" i="2"/>
  <c r="DI80" i="2"/>
  <c r="DI81" i="2"/>
  <c r="DI82" i="2"/>
  <c r="DI83" i="2"/>
  <c r="DI84" i="2"/>
  <c r="DI85" i="2"/>
  <c r="DI86" i="2"/>
  <c r="DI87" i="2"/>
  <c r="DI88" i="2"/>
  <c r="DI89" i="2"/>
  <c r="DI90" i="2"/>
  <c r="DI91" i="2"/>
  <c r="DI92" i="2"/>
  <c r="DI93" i="2"/>
  <c r="DI94" i="2"/>
  <c r="DI95" i="2"/>
  <c r="DI96" i="2"/>
  <c r="DI97" i="2"/>
  <c r="DI98" i="2"/>
  <c r="DI99" i="2"/>
  <c r="DI100" i="2"/>
  <c r="DI101" i="2"/>
  <c r="DI102" i="2"/>
  <c r="DI103" i="2"/>
  <c r="DI104" i="2"/>
  <c r="DI105" i="2"/>
  <c r="DI106" i="2"/>
  <c r="DI107" i="2"/>
  <c r="DI108" i="2"/>
  <c r="DI109" i="2"/>
  <c r="DI110" i="2"/>
  <c r="DI111" i="2"/>
  <c r="DI112" i="2"/>
  <c r="DI113" i="2"/>
  <c r="DI114" i="2"/>
  <c r="DI115" i="2"/>
  <c r="DI116" i="2"/>
  <c r="DI117" i="2"/>
  <c r="DI118" i="2"/>
  <c r="DI119" i="2"/>
  <c r="DI120" i="2"/>
  <c r="DI121" i="2"/>
  <c r="DI122" i="2"/>
  <c r="DI123" i="2"/>
  <c r="DI124" i="2"/>
  <c r="DI125" i="2"/>
  <c r="DI126" i="2"/>
  <c r="DI127" i="2"/>
  <c r="DI128" i="2"/>
  <c r="DI129" i="2"/>
  <c r="DI130" i="2"/>
  <c r="DI131" i="2"/>
  <c r="DI132" i="2"/>
  <c r="DI133" i="2"/>
  <c r="DI134" i="2"/>
  <c r="DI135" i="2"/>
  <c r="DI136" i="2"/>
  <c r="DI137" i="2"/>
  <c r="DI138" i="2"/>
  <c r="DI139" i="2"/>
  <c r="DI140" i="2"/>
  <c r="DI141" i="2"/>
  <c r="DI142" i="2"/>
  <c r="DI143" i="2"/>
  <c r="DI144" i="2"/>
  <c r="DI145" i="2"/>
  <c r="DI146" i="2"/>
  <c r="DI147" i="2"/>
  <c r="DI148" i="2"/>
  <c r="DI149" i="2"/>
  <c r="DI150" i="2"/>
  <c r="DI151" i="2"/>
  <c r="DI152" i="2"/>
  <c r="DI153" i="2"/>
  <c r="DI154" i="2"/>
  <c r="DI155" i="2"/>
  <c r="DI156" i="2"/>
  <c r="DI157" i="2"/>
  <c r="DI158" i="2"/>
  <c r="DI159" i="2"/>
  <c r="DI160" i="2"/>
  <c r="DI161" i="2"/>
  <c r="DI162" i="2"/>
  <c r="DI163" i="2"/>
  <c r="DI164" i="2"/>
  <c r="DI165" i="2"/>
  <c r="DI166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2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2" i="1"/>
  <c r="A3" i="3" l="1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4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5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6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7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8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9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10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16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17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18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19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21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22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24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25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26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27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28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29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30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35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36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37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38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39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55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56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57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58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59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60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61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63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66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67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68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70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71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72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73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75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76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77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78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79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81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83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84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85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86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87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88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89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90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91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92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93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94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95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96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97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98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99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100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102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104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105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106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107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108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109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110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111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112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113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114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115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124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125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126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127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128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129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130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131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132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133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134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135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136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137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138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139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140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141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142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143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144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145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146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147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148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149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150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151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152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153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154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155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156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157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158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AD158" i="3"/>
  <c r="AE158" i="3"/>
  <c r="AF158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U158" i="3"/>
  <c r="AV158" i="3"/>
  <c r="AW158" i="3"/>
  <c r="AX158" i="3"/>
  <c r="A159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AF159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U159" i="3"/>
  <c r="AV159" i="3"/>
  <c r="AW159" i="3"/>
  <c r="AX159" i="3"/>
  <c r="A160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AD160" i="3"/>
  <c r="AE160" i="3"/>
  <c r="AF160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U160" i="3"/>
  <c r="AV160" i="3"/>
  <c r="AW160" i="3"/>
  <c r="AX160" i="3"/>
  <c r="A161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AD161" i="3"/>
  <c r="AE161" i="3"/>
  <c r="AF161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U161" i="3"/>
  <c r="AV161" i="3"/>
  <c r="AW161" i="3"/>
  <c r="AX161" i="3"/>
  <c r="A162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U162" i="3"/>
  <c r="AV162" i="3"/>
  <c r="AW162" i="3"/>
  <c r="AX162" i="3"/>
  <c r="A163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U163" i="3"/>
  <c r="AV163" i="3"/>
  <c r="AW163" i="3"/>
  <c r="AX163" i="3"/>
  <c r="A164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AD164" i="3"/>
  <c r="AE164" i="3"/>
  <c r="AF164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U164" i="3"/>
  <c r="AV164" i="3"/>
  <c r="AW164" i="3"/>
  <c r="AX164" i="3"/>
  <c r="A165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AD165" i="3"/>
  <c r="AE165" i="3"/>
  <c r="AF165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U165" i="3"/>
  <c r="AV165" i="3"/>
  <c r="AW165" i="3"/>
  <c r="AX165" i="3"/>
  <c r="A16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AD166" i="3"/>
  <c r="AE166" i="3"/>
  <c r="AF166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U166" i="3"/>
  <c r="AV166" i="3"/>
  <c r="AW166" i="3"/>
  <c r="AX166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2" i="3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1" i="3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2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M1003" i="1" s="1"/>
  <c r="L1004" i="1"/>
  <c r="M1004" i="1" s="1"/>
  <c r="L1005" i="1"/>
  <c r="M1005" i="1" s="1"/>
  <c r="L1006" i="1"/>
  <c r="M1006" i="1" s="1"/>
  <c r="L1007" i="1"/>
  <c r="M1007" i="1" s="1"/>
  <c r="L1008" i="1"/>
  <c r="M1008" i="1" s="1"/>
  <c r="L1009" i="1"/>
  <c r="M1009" i="1" s="1"/>
  <c r="L1010" i="1"/>
  <c r="M1010" i="1" s="1"/>
  <c r="L1011" i="1"/>
  <c r="M1011" i="1" s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1131" i="1"/>
  <c r="M1131" i="1" s="1"/>
  <c r="L1132" i="1"/>
  <c r="M1132" i="1" s="1"/>
  <c r="L1133" i="1"/>
  <c r="M1133" i="1" s="1"/>
  <c r="L1134" i="1"/>
  <c r="M1134" i="1" s="1"/>
  <c r="L1135" i="1"/>
  <c r="M1135" i="1" s="1"/>
  <c r="L1136" i="1"/>
  <c r="M1136" i="1" s="1"/>
  <c r="L1137" i="1"/>
  <c r="M1137" i="1" s="1"/>
  <c r="L1138" i="1"/>
  <c r="M1138" i="1" s="1"/>
  <c r="L1139" i="1"/>
  <c r="M1139" i="1" s="1"/>
  <c r="L1140" i="1"/>
  <c r="M1140" i="1" s="1"/>
  <c r="L1141" i="1"/>
  <c r="M1141" i="1" s="1"/>
  <c r="L1142" i="1"/>
  <c r="M1142" i="1" s="1"/>
  <c r="L1143" i="1"/>
  <c r="M1143" i="1" s="1"/>
  <c r="L1144" i="1"/>
  <c r="M1144" i="1" s="1"/>
  <c r="L1145" i="1"/>
  <c r="M1145" i="1" s="1"/>
  <c r="L1146" i="1"/>
  <c r="M1146" i="1" s="1"/>
  <c r="L1147" i="1"/>
  <c r="M1147" i="1" s="1"/>
  <c r="L1148" i="1"/>
  <c r="M1148" i="1" s="1"/>
  <c r="L1149" i="1"/>
  <c r="M1149" i="1" s="1"/>
  <c r="L1150" i="1"/>
  <c r="M1150" i="1" s="1"/>
  <c r="L1151" i="1"/>
  <c r="M1151" i="1" s="1"/>
  <c r="L1152" i="1"/>
  <c r="M1152" i="1" s="1"/>
  <c r="L1153" i="1"/>
  <c r="M1153" i="1" s="1"/>
  <c r="L1154" i="1"/>
  <c r="M1154" i="1" s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M1164" i="1" s="1"/>
  <c r="L1165" i="1"/>
  <c r="M1165" i="1" s="1"/>
  <c r="L1166" i="1"/>
  <c r="M1166" i="1" s="1"/>
  <c r="L1167" i="1"/>
  <c r="M1167" i="1" s="1"/>
  <c r="L1168" i="1"/>
  <c r="M1168" i="1" s="1"/>
  <c r="L1169" i="1"/>
  <c r="M1169" i="1" s="1"/>
  <c r="L1170" i="1"/>
  <c r="M1170" i="1" s="1"/>
  <c r="L1171" i="1"/>
  <c r="M1171" i="1" s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M1183" i="1" s="1"/>
  <c r="L1184" i="1"/>
  <c r="M1184" i="1" s="1"/>
  <c r="L1185" i="1"/>
  <c r="M1185" i="1" s="1"/>
  <c r="L1186" i="1"/>
  <c r="M1186" i="1" s="1"/>
  <c r="L1187" i="1"/>
  <c r="M1187" i="1" s="1"/>
  <c r="L1188" i="1"/>
  <c r="M1188" i="1" s="1"/>
  <c r="L1189" i="1"/>
  <c r="M1189" i="1" s="1"/>
  <c r="L1190" i="1"/>
  <c r="M1190" i="1" s="1"/>
  <c r="L1191" i="1"/>
  <c r="M1191" i="1" s="1"/>
  <c r="L1192" i="1"/>
  <c r="M1192" i="1" s="1"/>
  <c r="L1193" i="1"/>
  <c r="M1193" i="1" s="1"/>
  <c r="L1194" i="1"/>
  <c r="M1194" i="1" s="1"/>
  <c r="L1195" i="1"/>
  <c r="M1195" i="1" s="1"/>
  <c r="L1196" i="1"/>
  <c r="M1196" i="1" s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M1203" i="1" s="1"/>
  <c r="L1204" i="1"/>
  <c r="M1204" i="1" s="1"/>
  <c r="L1205" i="1"/>
  <c r="M1205" i="1" s="1"/>
  <c r="L1206" i="1"/>
  <c r="M1206" i="1" s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M1224" i="1" s="1"/>
  <c r="L1225" i="1"/>
  <c r="M1225" i="1" s="1"/>
  <c r="L1226" i="1"/>
  <c r="M1226" i="1" s="1"/>
  <c r="L1227" i="1"/>
  <c r="M1227" i="1" s="1"/>
  <c r="L1228" i="1"/>
  <c r="M1228" i="1" s="1"/>
  <c r="L1229" i="1"/>
  <c r="M1229" i="1" s="1"/>
  <c r="L1230" i="1"/>
  <c r="M1230" i="1" s="1"/>
  <c r="L1231" i="1"/>
  <c r="M1231" i="1" s="1"/>
  <c r="L1232" i="1"/>
  <c r="M1232" i="1" s="1"/>
  <c r="L1233" i="1"/>
  <c r="M1233" i="1" s="1"/>
  <c r="L1234" i="1"/>
  <c r="M1234" i="1" s="1"/>
  <c r="L1235" i="1"/>
  <c r="M1235" i="1" s="1"/>
  <c r="L1236" i="1"/>
  <c r="M1236" i="1" s="1"/>
  <c r="L1237" i="1"/>
  <c r="M1237" i="1" s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M1243" i="1" s="1"/>
  <c r="L1244" i="1"/>
  <c r="M1244" i="1" s="1"/>
  <c r="L1245" i="1"/>
  <c r="M1245" i="1" s="1"/>
  <c r="L1246" i="1"/>
  <c r="M1246" i="1" s="1"/>
  <c r="L1247" i="1"/>
  <c r="M1247" i="1" s="1"/>
  <c r="L1248" i="1"/>
  <c r="M1248" i="1" s="1"/>
  <c r="L1249" i="1"/>
  <c r="M1249" i="1" s="1"/>
  <c r="L1250" i="1"/>
  <c r="M1250" i="1" s="1"/>
  <c r="L1251" i="1"/>
  <c r="M1251" i="1" s="1"/>
  <c r="L1252" i="1"/>
  <c r="M1252" i="1" s="1"/>
  <c r="L1253" i="1"/>
  <c r="M1253" i="1" s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M1264" i="1" s="1"/>
  <c r="L1265" i="1"/>
  <c r="M1265" i="1" s="1"/>
  <c r="L1266" i="1"/>
  <c r="M1266" i="1" s="1"/>
  <c r="L1267" i="1"/>
  <c r="M1267" i="1" s="1"/>
  <c r="L1268" i="1"/>
  <c r="M1268" i="1" s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M1283" i="1" s="1"/>
  <c r="L1284" i="1"/>
  <c r="M1284" i="1" s="1"/>
  <c r="L1285" i="1"/>
  <c r="M1285" i="1" s="1"/>
  <c r="L1286" i="1"/>
  <c r="M1286" i="1" s="1"/>
  <c r="L1287" i="1"/>
  <c r="M1287" i="1" s="1"/>
  <c r="L1288" i="1"/>
  <c r="M1288" i="1" s="1"/>
  <c r="L1289" i="1"/>
  <c r="M1289" i="1" s="1"/>
  <c r="L1290" i="1"/>
  <c r="M1290" i="1" s="1"/>
  <c r="L1291" i="1"/>
  <c r="M1291" i="1" s="1"/>
  <c r="L1292" i="1"/>
  <c r="M1292" i="1" s="1"/>
  <c r="L1293" i="1"/>
  <c r="M1293" i="1" s="1"/>
  <c r="L1294" i="1"/>
  <c r="M1294" i="1" s="1"/>
  <c r="L1295" i="1"/>
  <c r="M1295" i="1" s="1"/>
  <c r="L1296" i="1"/>
  <c r="M1296" i="1" s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M1303" i="1" s="1"/>
  <c r="L1304" i="1"/>
  <c r="M1304" i="1" s="1"/>
  <c r="L1305" i="1"/>
  <c r="M1305" i="1" s="1"/>
  <c r="L1306" i="1"/>
  <c r="M1306" i="1" s="1"/>
  <c r="L1307" i="1"/>
  <c r="M1307" i="1" s="1"/>
  <c r="L1308" i="1"/>
  <c r="M1308" i="1" s="1"/>
  <c r="L1309" i="1"/>
  <c r="M1309" i="1" s="1"/>
  <c r="L1310" i="1"/>
  <c r="M1310" i="1" s="1"/>
  <c r="L1311" i="1"/>
  <c r="M1311" i="1" s="1"/>
  <c r="L1312" i="1"/>
  <c r="M1312" i="1" s="1"/>
  <c r="L1313" i="1"/>
  <c r="M1313" i="1" s="1"/>
  <c r="L1314" i="1"/>
  <c r="M1314" i="1" s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M1323" i="1" s="1"/>
  <c r="L1324" i="1"/>
  <c r="M1324" i="1" s="1"/>
  <c r="L1325" i="1"/>
  <c r="M1325" i="1" s="1"/>
  <c r="L1326" i="1"/>
  <c r="M1326" i="1" s="1"/>
  <c r="L1327" i="1"/>
  <c r="M1327" i="1" s="1"/>
  <c r="L1328" i="1"/>
  <c r="M1328" i="1" s="1"/>
  <c r="L1329" i="1"/>
  <c r="M1329" i="1" s="1"/>
  <c r="L1330" i="1"/>
  <c r="M1330" i="1" s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M1344" i="1" s="1"/>
  <c r="L1345" i="1"/>
  <c r="M1345" i="1" s="1"/>
  <c r="L1346" i="1"/>
  <c r="M1346" i="1" s="1"/>
  <c r="L1347" i="1"/>
  <c r="M1347" i="1" s="1"/>
  <c r="L1348" i="1"/>
  <c r="M1348" i="1" s="1"/>
  <c r="L1349" i="1"/>
  <c r="M1349" i="1" s="1"/>
  <c r="L1350" i="1"/>
  <c r="M1350" i="1" s="1"/>
  <c r="L1351" i="1"/>
  <c r="M1351" i="1" s="1"/>
  <c r="L1352" i="1"/>
  <c r="M1352" i="1" s="1"/>
  <c r="L1353" i="1"/>
  <c r="M1353" i="1" s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M1364" i="1" s="1"/>
  <c r="L1365" i="1"/>
  <c r="M1365" i="1" s="1"/>
  <c r="L1366" i="1"/>
  <c r="M1366" i="1" s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M1379" i="1" s="1"/>
  <c r="L1380" i="1"/>
  <c r="M1380" i="1" s="1"/>
  <c r="L1381" i="1"/>
  <c r="M1381" i="1" s="1"/>
  <c r="L1382" i="1"/>
  <c r="M1382" i="1" s="1"/>
  <c r="L1383" i="1"/>
  <c r="M1383" i="1" s="1"/>
  <c r="L1384" i="1"/>
  <c r="M1384" i="1" s="1"/>
  <c r="L1385" i="1"/>
  <c r="M1385" i="1" s="1"/>
  <c r="L1386" i="1"/>
  <c r="M1386" i="1" s="1"/>
  <c r="L1387" i="1"/>
  <c r="M1387" i="1" s="1"/>
  <c r="L1388" i="1"/>
  <c r="M1388" i="1" s="1"/>
  <c r="L1389" i="1"/>
  <c r="M1389" i="1" s="1"/>
  <c r="L1390" i="1"/>
  <c r="M1390" i="1" s="1"/>
  <c r="L1391" i="1"/>
  <c r="M1391" i="1" s="1"/>
  <c r="L1392" i="1"/>
  <c r="M1392" i="1" s="1"/>
  <c r="L1393" i="1"/>
  <c r="M1393" i="1" s="1"/>
  <c r="L1394" i="1"/>
  <c r="M1394" i="1" s="1"/>
  <c r="L1395" i="1"/>
  <c r="M1395" i="1" s="1"/>
  <c r="L1396" i="1"/>
  <c r="M1396" i="1" s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M1403" i="1" s="1"/>
  <c r="L1404" i="1"/>
  <c r="M1404" i="1" s="1"/>
  <c r="L1405" i="1"/>
  <c r="M1405" i="1" s="1"/>
  <c r="L1406" i="1"/>
  <c r="M1406" i="1" s="1"/>
  <c r="L1407" i="1"/>
  <c r="M1407" i="1" s="1"/>
  <c r="L1408" i="1"/>
  <c r="M1408" i="1" s="1"/>
  <c r="L1409" i="1"/>
  <c r="M1409" i="1" s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M1424" i="1" s="1"/>
  <c r="L1425" i="1"/>
  <c r="M1425" i="1" s="1"/>
  <c r="L1426" i="1"/>
  <c r="M1426" i="1" s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M1432" i="1" s="1"/>
  <c r="L1433" i="1"/>
  <c r="M1433" i="1" s="1"/>
  <c r="L1434" i="1"/>
  <c r="M1434" i="1" s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M1443" i="1" s="1"/>
  <c r="L1444" i="1"/>
  <c r="M1444" i="1" s="1"/>
  <c r="L1445" i="1"/>
  <c r="M1445" i="1" s="1"/>
  <c r="L1446" i="1"/>
  <c r="M1446" i="1" s="1"/>
  <c r="L1447" i="1"/>
  <c r="M1447" i="1" s="1"/>
  <c r="L1448" i="1"/>
  <c r="M1448" i="1" s="1"/>
  <c r="L1449" i="1"/>
  <c r="M1449" i="1" s="1"/>
  <c r="L1450" i="1"/>
  <c r="M1450" i="1" s="1"/>
  <c r="L1451" i="1"/>
  <c r="M1451" i="1" s="1"/>
  <c r="L1452" i="1"/>
  <c r="M1452" i="1" s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M1463" i="1" s="1"/>
  <c r="L1464" i="1"/>
  <c r="M1464" i="1" s="1"/>
  <c r="L1465" i="1"/>
  <c r="M1465" i="1" s="1"/>
  <c r="L1466" i="1"/>
  <c r="M1466" i="1" s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M1483" i="1" s="1"/>
  <c r="L1484" i="1"/>
  <c r="M1484" i="1" s="1"/>
  <c r="L1485" i="1"/>
  <c r="M1485" i="1" s="1"/>
  <c r="L1486" i="1"/>
  <c r="M1486" i="1" s="1"/>
  <c r="L1487" i="1"/>
  <c r="M1487" i="1" s="1"/>
  <c r="L1488" i="1"/>
  <c r="M1488" i="1" s="1"/>
  <c r="L1489" i="1"/>
  <c r="M1489" i="1" s="1"/>
  <c r="L1490" i="1"/>
  <c r="M1490" i="1" s="1"/>
  <c r="L1491" i="1"/>
  <c r="M1491" i="1" s="1"/>
  <c r="L1492" i="1"/>
  <c r="M1492" i="1" s="1"/>
  <c r="L1493" i="1"/>
  <c r="M1493" i="1" s="1"/>
  <c r="L1494" i="1"/>
  <c r="M1494" i="1" s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M1504" i="1" s="1"/>
  <c r="L1505" i="1"/>
  <c r="M1505" i="1" s="1"/>
  <c r="L1506" i="1"/>
  <c r="M1506" i="1" s="1"/>
  <c r="L1507" i="1"/>
  <c r="M1507" i="1" s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M1523" i="1" s="1"/>
  <c r="L1524" i="1"/>
  <c r="M1524" i="1" s="1"/>
  <c r="L1525" i="1"/>
  <c r="M1525" i="1" s="1"/>
  <c r="L1526" i="1"/>
  <c r="M1526" i="1" s="1"/>
  <c r="L1527" i="1"/>
  <c r="M1527" i="1" s="1"/>
  <c r="L1528" i="1"/>
  <c r="M1528" i="1" s="1"/>
  <c r="L1529" i="1"/>
  <c r="M1529" i="1" s="1"/>
  <c r="L1530" i="1"/>
  <c r="M1530" i="1" s="1"/>
  <c r="L1531" i="1"/>
  <c r="M1531" i="1" s="1"/>
  <c r="L1532" i="1"/>
  <c r="M1532" i="1" s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M1543" i="1" s="1"/>
  <c r="L1544" i="1"/>
  <c r="M1544" i="1" s="1"/>
  <c r="L1545" i="1"/>
  <c r="M1545" i="1" s="1"/>
  <c r="L1546" i="1"/>
  <c r="M1546" i="1" s="1"/>
  <c r="L1547" i="1"/>
  <c r="M1547" i="1" s="1"/>
  <c r="L1548" i="1"/>
  <c r="M1548" i="1" s="1"/>
  <c r="L1549" i="1"/>
  <c r="M1549" i="1" s="1"/>
  <c r="L1550" i="1"/>
  <c r="M1550" i="1" s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M1563" i="1" s="1"/>
  <c r="L1564" i="1"/>
  <c r="M1564" i="1" s="1"/>
  <c r="L1565" i="1"/>
  <c r="M1565" i="1" s="1"/>
  <c r="L1566" i="1"/>
  <c r="M1566" i="1" s="1"/>
  <c r="L1567" i="1"/>
  <c r="M1567" i="1" s="1"/>
  <c r="L1568" i="1"/>
  <c r="M1568" i="1" s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M1583" i="1" s="1"/>
  <c r="L1584" i="1"/>
  <c r="M1584" i="1" s="1"/>
  <c r="L1585" i="1"/>
  <c r="M1585" i="1" s="1"/>
  <c r="L1586" i="1"/>
  <c r="M1586" i="1" s="1"/>
  <c r="L1587" i="1"/>
  <c r="M1587" i="1" s="1"/>
  <c r="L1588" i="1"/>
  <c r="M1588" i="1" s="1"/>
  <c r="L1589" i="1"/>
  <c r="M1589" i="1" s="1"/>
  <c r="L1590" i="1"/>
  <c r="M1590" i="1" s="1"/>
  <c r="L1591" i="1"/>
  <c r="M1591" i="1" s="1"/>
  <c r="L1592" i="1"/>
  <c r="M1592" i="1" s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M1604" i="1" s="1"/>
  <c r="L1605" i="1"/>
  <c r="M1605" i="1" s="1"/>
  <c r="L1606" i="1"/>
  <c r="M1606" i="1" s="1"/>
  <c r="L1607" i="1"/>
  <c r="M1607" i="1" s="1"/>
  <c r="L1608" i="1"/>
  <c r="M1608" i="1" s="1"/>
  <c r="L1609" i="1"/>
  <c r="M1609" i="1" s="1"/>
  <c r="L1610" i="1"/>
  <c r="M1610" i="1" s="1"/>
  <c r="L1611" i="1"/>
  <c r="M1611" i="1" s="1"/>
  <c r="L1612" i="1"/>
  <c r="M1612" i="1" s="1"/>
  <c r="L1613" i="1"/>
  <c r="M1613" i="1" s="1"/>
  <c r="L1614" i="1"/>
  <c r="M1614" i="1" s="1"/>
  <c r="L1615" i="1"/>
  <c r="M1615" i="1" s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M1623" i="1" s="1"/>
  <c r="L1624" i="1"/>
  <c r="M1624" i="1" s="1"/>
  <c r="L1625" i="1"/>
  <c r="M1625" i="1" s="1"/>
  <c r="L1626" i="1"/>
  <c r="M1626" i="1" s="1"/>
  <c r="L1627" i="1"/>
  <c r="M1627" i="1" s="1"/>
  <c r="L1628" i="1"/>
  <c r="M1628" i="1" s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M1643" i="1" s="1"/>
  <c r="L1644" i="1"/>
  <c r="M1644" i="1" s="1"/>
  <c r="L1645" i="1"/>
  <c r="M1645" i="1" s="1"/>
  <c r="L1646" i="1"/>
  <c r="M1646" i="1" s="1"/>
  <c r="L1647" i="1"/>
  <c r="M1647" i="1" s="1"/>
  <c r="L1648" i="1"/>
  <c r="M1648" i="1" s="1"/>
  <c r="L1649" i="1"/>
  <c r="M1649" i="1" s="1"/>
  <c r="L1650" i="1"/>
  <c r="M1650" i="1" s="1"/>
  <c r="L1651" i="1"/>
  <c r="M1651" i="1" s="1"/>
  <c r="L1652" i="1"/>
  <c r="M1652" i="1" s="1"/>
  <c r="L1653" i="1"/>
  <c r="M1653" i="1" s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M1660" i="1" s="1"/>
  <c r="L1661" i="1"/>
  <c r="M1661" i="1" s="1"/>
  <c r="L1662" i="1"/>
  <c r="M1662" i="1" s="1"/>
  <c r="L1663" i="1"/>
  <c r="M1663" i="1" s="1"/>
  <c r="L1664" i="1"/>
  <c r="M1664" i="1" s="1"/>
  <c r="L1665" i="1"/>
  <c r="M1665" i="1" s="1"/>
  <c r="L1666" i="1"/>
  <c r="M1666" i="1" s="1"/>
  <c r="L1667" i="1"/>
  <c r="M1667" i="1" s="1"/>
  <c r="L1668" i="1"/>
  <c r="M1668" i="1" s="1"/>
  <c r="L1669" i="1"/>
  <c r="M1669" i="1" s="1"/>
  <c r="L1670" i="1"/>
  <c r="M1670" i="1" s="1"/>
  <c r="L1671" i="1"/>
  <c r="M1671" i="1" s="1"/>
  <c r="L1672" i="1"/>
  <c r="M1672" i="1" s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M1683" i="1" s="1"/>
  <c r="L1684" i="1"/>
  <c r="M1684" i="1" s="1"/>
  <c r="L1685" i="1"/>
  <c r="M1685" i="1" s="1"/>
  <c r="L1686" i="1"/>
  <c r="M1686" i="1" s="1"/>
  <c r="L1687" i="1"/>
  <c r="M1687" i="1" s="1"/>
  <c r="L1688" i="1"/>
  <c r="M1688" i="1" s="1"/>
  <c r="L1689" i="1"/>
  <c r="M1689" i="1" s="1"/>
  <c r="L1690" i="1"/>
  <c r="M1690" i="1" s="1"/>
  <c r="L1691" i="1"/>
  <c r="M1691" i="1" s="1"/>
  <c r="L1692" i="1"/>
  <c r="M1692" i="1" s="1"/>
  <c r="L1693" i="1"/>
  <c r="M1693" i="1" s="1"/>
  <c r="L1694" i="1"/>
  <c r="M1694" i="1" s="1"/>
  <c r="L1695" i="1"/>
  <c r="M1695" i="1" s="1"/>
  <c r="L1696" i="1"/>
  <c r="M1696" i="1" s="1"/>
  <c r="L1697" i="1"/>
  <c r="M1697" i="1" s="1"/>
  <c r="L1698" i="1"/>
  <c r="M1698" i="1" s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M1704" i="1" s="1"/>
  <c r="L1705" i="1"/>
  <c r="M1705" i="1" s="1"/>
  <c r="L1706" i="1"/>
  <c r="M1706" i="1" s="1"/>
  <c r="L1707" i="1"/>
  <c r="M1707" i="1" s="1"/>
  <c r="L1708" i="1"/>
  <c r="M1708" i="1" s="1"/>
  <c r="L1709" i="1"/>
  <c r="M1709" i="1" s="1"/>
  <c r="L1710" i="1"/>
  <c r="M1710" i="1" s="1"/>
  <c r="L1711" i="1"/>
  <c r="M1711" i="1" s="1"/>
  <c r="L1712" i="1"/>
  <c r="M1712" i="1" s="1"/>
  <c r="L1713" i="1"/>
  <c r="M1713" i="1" s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M1723" i="1" s="1"/>
  <c r="L1724" i="1"/>
  <c r="M1724" i="1" s="1"/>
  <c r="L1725" i="1"/>
  <c r="M1725" i="1" s="1"/>
  <c r="L1726" i="1"/>
  <c r="M1726" i="1" s="1"/>
  <c r="L1727" i="1"/>
  <c r="M1727" i="1" s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M1743" i="1" s="1"/>
  <c r="L1744" i="1"/>
  <c r="M1744" i="1" s="1"/>
  <c r="L1745" i="1"/>
  <c r="M1745" i="1" s="1"/>
  <c r="L1746" i="1"/>
  <c r="M1746" i="1" s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M1764" i="1" s="1"/>
  <c r="L1765" i="1"/>
  <c r="M1765" i="1" s="1"/>
  <c r="L1766" i="1"/>
  <c r="M1766" i="1" s="1"/>
  <c r="L1767" i="1"/>
  <c r="M1767" i="1" s="1"/>
  <c r="L1768" i="1"/>
  <c r="M1768" i="1" s="1"/>
  <c r="L1769" i="1"/>
  <c r="M1769" i="1" s="1"/>
  <c r="L1770" i="1"/>
  <c r="M1770" i="1" s="1"/>
  <c r="L1771" i="1"/>
  <c r="M1771" i="1" s="1"/>
  <c r="L1772" i="1"/>
  <c r="M1772" i="1" s="1"/>
  <c r="L1773" i="1"/>
  <c r="M1773" i="1" s="1"/>
  <c r="L1774" i="1"/>
  <c r="M1774" i="1" s="1"/>
  <c r="L1775" i="1"/>
  <c r="M1775" i="1" s="1"/>
  <c r="L1776" i="1"/>
  <c r="M1776" i="1" s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M1783" i="1" s="1"/>
  <c r="L1784" i="1"/>
  <c r="M1784" i="1" s="1"/>
  <c r="L1785" i="1"/>
  <c r="M1785" i="1" s="1"/>
  <c r="L1786" i="1"/>
  <c r="M1786" i="1" s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M1803" i="1" s="1"/>
  <c r="L1804" i="1"/>
  <c r="M1804" i="1" s="1"/>
  <c r="L1805" i="1"/>
  <c r="M1805" i="1" s="1"/>
  <c r="L1806" i="1"/>
  <c r="M1806" i="1" s="1"/>
  <c r="L1807" i="1"/>
  <c r="M1807" i="1" s="1"/>
  <c r="L1808" i="1"/>
  <c r="M1808" i="1" s="1"/>
  <c r="L1809" i="1"/>
  <c r="M1809" i="1" s="1"/>
  <c r="L1810" i="1"/>
  <c r="M1810" i="1" s="1"/>
  <c r="L1811" i="1"/>
  <c r="M1811" i="1" s="1"/>
  <c r="L1812" i="1"/>
  <c r="M1812" i="1" s="1"/>
  <c r="L1813" i="1"/>
  <c r="M1813" i="1" s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M1823" i="1" s="1"/>
  <c r="L1824" i="1"/>
  <c r="M1824" i="1" s="1"/>
  <c r="L1825" i="1"/>
  <c r="M1825" i="1" s="1"/>
  <c r="L1826" i="1"/>
  <c r="M1826" i="1" s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M1843" i="1" s="1"/>
  <c r="L1844" i="1"/>
  <c r="M1844" i="1" s="1"/>
  <c r="L1845" i="1"/>
  <c r="M1845" i="1" s="1"/>
  <c r="L1846" i="1"/>
  <c r="M1846" i="1" s="1"/>
  <c r="L1847" i="1"/>
  <c r="M1847" i="1" s="1"/>
  <c r="L1848" i="1"/>
  <c r="M1848" i="1" s="1"/>
  <c r="L1849" i="1"/>
  <c r="M1849" i="1" s="1"/>
  <c r="L1850" i="1"/>
  <c r="M1850" i="1" s="1"/>
  <c r="L1851" i="1"/>
  <c r="M1851" i="1" s="1"/>
  <c r="L1852" i="1"/>
  <c r="M1852" i="1" s="1"/>
  <c r="L1853" i="1"/>
  <c r="M1853" i="1" s="1"/>
  <c r="L1854" i="1"/>
  <c r="M1854" i="1" s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M1864" i="1" s="1"/>
  <c r="L1865" i="1"/>
  <c r="M1865" i="1" s="1"/>
  <c r="L1866" i="1"/>
  <c r="M1866" i="1" s="1"/>
  <c r="L1867" i="1"/>
  <c r="M1867" i="1" s="1"/>
  <c r="L1868" i="1"/>
  <c r="M1868" i="1" s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M1883" i="1" s="1"/>
  <c r="L1884" i="1"/>
  <c r="M1884" i="1" s="1"/>
  <c r="L1885" i="1"/>
  <c r="M1885" i="1" s="1"/>
  <c r="L1886" i="1"/>
  <c r="M1886" i="1" s="1"/>
  <c r="L1887" i="1"/>
  <c r="M1887" i="1" s="1"/>
  <c r="L1888" i="1"/>
  <c r="M1888" i="1" s="1"/>
  <c r="L1889" i="1"/>
  <c r="M1889" i="1" s="1"/>
  <c r="L1890" i="1"/>
  <c r="M1890" i="1" s="1"/>
  <c r="L1891" i="1"/>
  <c r="M1891" i="1" s="1"/>
  <c r="L1892" i="1"/>
  <c r="M1892" i="1" s="1"/>
  <c r="L1893" i="1"/>
  <c r="M1893" i="1" s="1"/>
  <c r="L1894" i="1"/>
  <c r="M1894" i="1" s="1"/>
  <c r="L1895" i="1"/>
  <c r="M1895" i="1" s="1"/>
  <c r="L1896" i="1"/>
  <c r="M1896" i="1" s="1"/>
  <c r="L1897" i="1"/>
  <c r="M1897" i="1" s="1"/>
  <c r="L1898" i="1"/>
  <c r="M1898" i="1" s="1"/>
  <c r="L1899" i="1"/>
  <c r="M1899" i="1" s="1"/>
  <c r="L1900" i="1"/>
  <c r="M1900" i="1" s="1"/>
  <c r="L1901" i="1"/>
  <c r="M1901" i="1" s="1"/>
  <c r="L1902" i="1"/>
  <c r="M1902" i="1" s="1"/>
  <c r="L1903" i="1"/>
  <c r="M1903" i="1" s="1"/>
  <c r="L1904" i="1"/>
  <c r="M1904" i="1" s="1"/>
  <c r="L1905" i="1"/>
  <c r="M1905" i="1" s="1"/>
  <c r="L1906" i="1"/>
  <c r="M1906" i="1" s="1"/>
  <c r="L1907" i="1"/>
  <c r="M1907" i="1" s="1"/>
  <c r="L1908" i="1"/>
  <c r="M1908" i="1" s="1"/>
  <c r="L1909" i="1"/>
  <c r="M1909" i="1" s="1"/>
  <c r="L1910" i="1"/>
  <c r="M1910" i="1" s="1"/>
  <c r="L1911" i="1"/>
  <c r="M1911" i="1" s="1"/>
  <c r="L1912" i="1"/>
  <c r="M1912" i="1" s="1"/>
  <c r="L1913" i="1"/>
  <c r="M1913" i="1" s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M1924" i="1" s="1"/>
  <c r="L1925" i="1"/>
  <c r="M1925" i="1" s="1"/>
  <c r="L1926" i="1"/>
  <c r="M1926" i="1" s="1"/>
  <c r="L1927" i="1"/>
  <c r="M1927" i="1" s="1"/>
  <c r="L1928" i="1"/>
  <c r="M1928" i="1" s="1"/>
  <c r="L1929" i="1"/>
  <c r="M1929" i="1" s="1"/>
  <c r="L1930" i="1"/>
  <c r="M1930" i="1" s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M1943" i="1" s="1"/>
  <c r="L1944" i="1"/>
  <c r="M1944" i="1" s="1"/>
  <c r="L1945" i="1"/>
  <c r="M1945" i="1" s="1"/>
  <c r="L1946" i="1"/>
  <c r="M1946" i="1" s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M1952" i="1" s="1"/>
  <c r="L1953" i="1"/>
  <c r="M1953" i="1" s="1"/>
  <c r="L1954" i="1"/>
  <c r="M1954" i="1" s="1"/>
  <c r="L1955" i="1"/>
  <c r="M1955" i="1" s="1"/>
  <c r="L1956" i="1"/>
  <c r="M1956" i="1" s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M1963" i="1" s="1"/>
  <c r="L1964" i="1"/>
  <c r="M1964" i="1" s="1"/>
  <c r="L1965" i="1"/>
  <c r="M1965" i="1" s="1"/>
  <c r="L1966" i="1"/>
  <c r="M1966" i="1" s="1"/>
  <c r="L1967" i="1"/>
  <c r="M1967" i="1" s="1"/>
  <c r="L1968" i="1"/>
  <c r="M1968" i="1" s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M1983" i="1" s="1"/>
  <c r="L1984" i="1"/>
  <c r="M1984" i="1" s="1"/>
  <c r="L1985" i="1"/>
  <c r="M1985" i="1" s="1"/>
  <c r="L1986" i="1"/>
  <c r="M1986" i="1" s="1"/>
  <c r="L1987" i="1"/>
  <c r="M1987" i="1" s="1"/>
  <c r="L1988" i="1"/>
  <c r="M1988" i="1" s="1"/>
  <c r="L1989" i="1"/>
  <c r="M1989" i="1" s="1"/>
  <c r="L1990" i="1"/>
  <c r="M1990" i="1" s="1"/>
  <c r="L1991" i="1"/>
  <c r="M1991" i="1" s="1"/>
  <c r="L1992" i="1"/>
  <c r="M1992" i="1" s="1"/>
  <c r="L1993" i="1"/>
  <c r="M1993" i="1" s="1"/>
  <c r="L1994" i="1"/>
  <c r="M1994" i="1" s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M2000" i="1" s="1"/>
  <c r="L2001" i="1"/>
  <c r="M2001" i="1" s="1"/>
  <c r="L2002" i="1"/>
  <c r="M2002" i="1" s="1"/>
  <c r="L2003" i="1"/>
  <c r="M2003" i="1" s="1"/>
  <c r="L2004" i="1"/>
  <c r="M2004" i="1" s="1"/>
  <c r="L2005" i="1"/>
  <c r="M2005" i="1" s="1"/>
  <c r="L2006" i="1"/>
  <c r="M2006" i="1" s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M2023" i="1" s="1"/>
  <c r="L2024" i="1"/>
  <c r="M2024" i="1" s="1"/>
  <c r="L2025" i="1"/>
  <c r="M2025" i="1" s="1"/>
  <c r="L2026" i="1"/>
  <c r="M2026" i="1" s="1"/>
  <c r="L2027" i="1"/>
  <c r="M2027" i="1" s="1"/>
  <c r="L2028" i="1"/>
  <c r="M2028" i="1" s="1"/>
  <c r="L2029" i="1"/>
  <c r="M2029" i="1" s="1"/>
  <c r="L2030" i="1"/>
  <c r="M2030" i="1" s="1"/>
  <c r="L2031" i="1"/>
  <c r="M2031" i="1" s="1"/>
  <c r="L2032" i="1"/>
  <c r="M2032" i="1" s="1"/>
  <c r="L2033" i="1"/>
  <c r="M2033" i="1" s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M2044" i="1" s="1"/>
  <c r="L2045" i="1"/>
  <c r="M2045" i="1" s="1"/>
  <c r="L2046" i="1"/>
  <c r="M2046" i="1" s="1"/>
  <c r="L2047" i="1"/>
  <c r="M2047" i="1" s="1"/>
  <c r="L2048" i="1"/>
  <c r="M2048" i="1" s="1"/>
  <c r="L2049" i="1"/>
  <c r="M2049" i="1" s="1"/>
  <c r="L2050" i="1"/>
  <c r="M2050" i="1" s="1"/>
  <c r="L2051" i="1"/>
  <c r="M2051" i="1" s="1"/>
  <c r="L2052" i="1"/>
  <c r="M2052" i="1" s="1"/>
  <c r="L2053" i="1"/>
  <c r="M2053" i="1" s="1"/>
  <c r="L2054" i="1"/>
  <c r="M2054" i="1" s="1"/>
  <c r="L2055" i="1"/>
  <c r="M2055" i="1" s="1"/>
  <c r="L2056" i="1"/>
  <c r="M2056" i="1" s="1"/>
  <c r="L2057" i="1"/>
  <c r="M2057" i="1" s="1"/>
  <c r="L2058" i="1"/>
  <c r="M2058" i="1" s="1"/>
  <c r="L2059" i="1"/>
  <c r="M2059" i="1" s="1"/>
  <c r="L2060" i="1"/>
  <c r="M2060" i="1" s="1"/>
  <c r="L2061" i="1"/>
  <c r="M2061" i="1" s="1"/>
  <c r="L2062" i="1"/>
  <c r="M2062" i="1" s="1"/>
  <c r="L2063" i="1"/>
  <c r="M2063" i="1" s="1"/>
  <c r="L2064" i="1"/>
  <c r="M2064" i="1" s="1"/>
  <c r="L2065" i="1"/>
  <c r="M2065" i="1" s="1"/>
  <c r="L2066" i="1"/>
  <c r="M2066" i="1" s="1"/>
  <c r="L2067" i="1"/>
  <c r="M2067" i="1" s="1"/>
  <c r="L2068" i="1"/>
  <c r="M2068" i="1" s="1"/>
  <c r="L2069" i="1"/>
  <c r="M2069" i="1" s="1"/>
  <c r="L2070" i="1"/>
  <c r="M2070" i="1" s="1"/>
  <c r="L2071" i="1"/>
  <c r="M2071" i="1" s="1"/>
  <c r="L2072" i="1"/>
  <c r="M2072" i="1" s="1"/>
  <c r="L2073" i="1"/>
  <c r="M2073" i="1" s="1"/>
  <c r="L2074" i="1"/>
  <c r="M2074" i="1" s="1"/>
  <c r="L2075" i="1"/>
  <c r="M2075" i="1" s="1"/>
  <c r="L2076" i="1"/>
  <c r="M2076" i="1" s="1"/>
  <c r="L2077" i="1"/>
  <c r="M2077" i="1" s="1"/>
  <c r="L2078" i="1"/>
  <c r="M2078" i="1" s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M2084" i="1" s="1"/>
  <c r="L2085" i="1"/>
  <c r="M2085" i="1" s="1"/>
  <c r="L2086" i="1"/>
  <c r="M2086" i="1" s="1"/>
  <c r="L2087" i="1"/>
  <c r="M2087" i="1" s="1"/>
  <c r="L2088" i="1"/>
  <c r="M2088" i="1" s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M2095" i="1" s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M2103" i="1" s="1"/>
  <c r="L2104" i="1"/>
  <c r="M2104" i="1" s="1"/>
  <c r="L2105" i="1"/>
  <c r="M2105" i="1" s="1"/>
  <c r="L2106" i="1"/>
  <c r="M2106" i="1" s="1"/>
  <c r="L2107" i="1"/>
  <c r="M2107" i="1" s="1"/>
  <c r="L2108" i="1"/>
  <c r="M2108" i="1" s="1"/>
  <c r="L2109" i="1"/>
  <c r="M2109" i="1" s="1"/>
  <c r="L2110" i="1"/>
  <c r="M2110" i="1" s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M2124" i="1" s="1"/>
  <c r="L2125" i="1"/>
  <c r="M2125" i="1" s="1"/>
  <c r="L2126" i="1"/>
  <c r="M2126" i="1" s="1"/>
  <c r="L2127" i="1"/>
  <c r="M2127" i="1" s="1"/>
  <c r="L2128" i="1"/>
  <c r="M2128" i="1" s="1"/>
  <c r="L2129" i="1"/>
  <c r="M2129" i="1" s="1"/>
  <c r="L2130" i="1"/>
  <c r="M2130" i="1" s="1"/>
  <c r="L2131" i="1"/>
  <c r="M2131" i="1" s="1"/>
  <c r="L2132" i="1"/>
  <c r="M2132" i="1" s="1"/>
  <c r="L2133" i="1"/>
  <c r="M2133" i="1" s="1"/>
  <c r="L2134" i="1"/>
  <c r="M2134" i="1" s="1"/>
  <c r="L2135" i="1"/>
  <c r="M2135" i="1" s="1"/>
  <c r="L2136" i="1"/>
  <c r="M2136" i="1" s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M2143" i="1" s="1"/>
  <c r="L2144" i="1"/>
  <c r="M2144" i="1" s="1"/>
  <c r="L2145" i="1"/>
  <c r="M2145" i="1" s="1"/>
  <c r="L2146" i="1"/>
  <c r="M2146" i="1" s="1"/>
  <c r="L2147" i="1"/>
  <c r="M2147" i="1" s="1"/>
  <c r="L2148" i="1"/>
  <c r="M2148" i="1" s="1"/>
  <c r="L2149" i="1"/>
  <c r="M2149" i="1" s="1"/>
  <c r="L2150" i="1"/>
  <c r="M2150" i="1" s="1"/>
  <c r="L2151" i="1"/>
  <c r="M2151" i="1" s="1"/>
  <c r="L2152" i="1"/>
  <c r="M2152" i="1" s="1"/>
  <c r="L2153" i="1"/>
  <c r="M2153" i="1" s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M2163" i="1" s="1"/>
  <c r="L2164" i="1"/>
  <c r="M2164" i="1" s="1"/>
  <c r="L2165" i="1"/>
  <c r="M2165" i="1" s="1"/>
  <c r="L2166" i="1"/>
  <c r="M2166" i="1" s="1"/>
  <c r="L2167" i="1"/>
  <c r="M2167" i="1" s="1"/>
  <c r="L2168" i="1"/>
  <c r="M2168" i="1" s="1"/>
  <c r="L2169" i="1"/>
  <c r="M2169" i="1" s="1"/>
  <c r="L2170" i="1"/>
  <c r="M2170" i="1" s="1"/>
  <c r="L2171" i="1"/>
  <c r="M2171" i="1" s="1"/>
  <c r="L2172" i="1"/>
  <c r="M2172" i="1" s="1"/>
  <c r="L2173" i="1"/>
  <c r="M2173" i="1" s="1"/>
  <c r="L2174" i="1"/>
  <c r="M2174" i="1" s="1"/>
  <c r="L2175" i="1"/>
  <c r="M2175" i="1" s="1"/>
  <c r="L2176" i="1"/>
  <c r="M2176" i="1" s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M2184" i="1" s="1"/>
  <c r="L2185" i="1"/>
  <c r="M2185" i="1" s="1"/>
  <c r="L2186" i="1"/>
  <c r="M2186" i="1" s="1"/>
  <c r="L2187" i="1"/>
  <c r="M2187" i="1" s="1"/>
  <c r="L2188" i="1"/>
  <c r="M2188" i="1" s="1"/>
  <c r="L2189" i="1"/>
  <c r="M2189" i="1" s="1"/>
  <c r="L2190" i="1"/>
  <c r="M2190" i="1" s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M2203" i="1" s="1"/>
  <c r="L2204" i="1"/>
  <c r="M2204" i="1" s="1"/>
  <c r="L2205" i="1"/>
  <c r="M2205" i="1" s="1"/>
  <c r="L2206" i="1"/>
  <c r="M2206" i="1" s="1"/>
  <c r="L2207" i="1"/>
  <c r="M2207" i="1" s="1"/>
  <c r="L2208" i="1"/>
  <c r="M2208" i="1" s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M2223" i="1" s="1"/>
  <c r="L2224" i="1"/>
  <c r="M2224" i="1" s="1"/>
  <c r="L2225" i="1"/>
  <c r="M2225" i="1" s="1"/>
  <c r="L2226" i="1"/>
  <c r="M2226" i="1" s="1"/>
  <c r="L2227" i="1"/>
  <c r="M2227" i="1" s="1"/>
  <c r="L2228" i="1"/>
  <c r="M2228" i="1" s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M2243" i="1" s="1"/>
  <c r="L2244" i="1"/>
  <c r="M2244" i="1" s="1"/>
  <c r="L2245" i="1"/>
  <c r="M2245" i="1" s="1"/>
  <c r="L2246" i="1"/>
  <c r="M2246" i="1" s="1"/>
  <c r="L2247" i="1"/>
  <c r="M2247" i="1" s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M2255" i="1" s="1"/>
  <c r="L2256" i="1"/>
  <c r="M2256" i="1" s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M2263" i="1" s="1"/>
  <c r="L2264" i="1"/>
  <c r="M2264" i="1" s="1"/>
  <c r="L2265" i="1"/>
  <c r="M2265" i="1" s="1"/>
  <c r="L2266" i="1"/>
  <c r="M2266" i="1" s="1"/>
  <c r="L2267" i="1"/>
  <c r="M2267" i="1" s="1"/>
  <c r="L2268" i="1"/>
  <c r="M2268" i="1" s="1"/>
  <c r="L2269" i="1"/>
  <c r="M2269" i="1" s="1"/>
  <c r="L2270" i="1"/>
  <c r="M2270" i="1" s="1"/>
  <c r="L2271" i="1"/>
  <c r="M2271" i="1" s="1"/>
  <c r="L2272" i="1"/>
  <c r="M2272" i="1" s="1"/>
  <c r="L2273" i="1"/>
  <c r="M2273" i="1" s="1"/>
  <c r="L2274" i="1"/>
  <c r="M2274" i="1" s="1"/>
  <c r="L2275" i="1"/>
  <c r="M2275" i="1" s="1"/>
  <c r="L2276" i="1"/>
  <c r="M2276" i="1" s="1"/>
  <c r="L2277" i="1"/>
  <c r="M2277" i="1" s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M2283" i="1" s="1"/>
  <c r="L2284" i="1"/>
  <c r="M2284" i="1" s="1"/>
  <c r="L2285" i="1"/>
  <c r="M2285" i="1" s="1"/>
  <c r="L2286" i="1"/>
  <c r="M2286" i="1" s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M2295" i="1" s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M2304" i="1" s="1"/>
  <c r="L2305" i="1"/>
  <c r="M2305" i="1" s="1"/>
  <c r="L2306" i="1"/>
  <c r="M2306" i="1" s="1"/>
  <c r="L2307" i="1"/>
  <c r="M2307" i="1" s="1"/>
  <c r="L2308" i="1"/>
  <c r="M2308" i="1" s="1"/>
  <c r="L2309" i="1"/>
  <c r="M2309" i="1" s="1"/>
  <c r="L2310" i="1"/>
  <c r="M2310" i="1" s="1"/>
  <c r="L2311" i="1"/>
  <c r="M2311" i="1" s="1"/>
  <c r="L2312" i="1"/>
  <c r="M2312" i="1" s="1"/>
  <c r="L2313" i="1"/>
  <c r="M2313" i="1" s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M2324" i="1" s="1"/>
  <c r="L2325" i="1"/>
  <c r="M2325" i="1" s="1"/>
  <c r="L2326" i="1"/>
  <c r="M2326" i="1" s="1"/>
  <c r="L2327" i="1"/>
  <c r="M2327" i="1" s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M2334" i="1" s="1"/>
  <c r="L2335" i="1"/>
  <c r="M2335" i="1" s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M2343" i="1" s="1"/>
  <c r="L2344" i="1"/>
  <c r="M2344" i="1" s="1"/>
  <c r="L2345" i="1"/>
  <c r="M2345" i="1" s="1"/>
  <c r="L2346" i="1"/>
  <c r="M2346" i="1" s="1"/>
  <c r="L2347" i="1"/>
  <c r="M2347" i="1" s="1"/>
  <c r="L2348" i="1"/>
  <c r="M2348" i="1" s="1"/>
  <c r="L2349" i="1"/>
  <c r="M2349" i="1" s="1"/>
  <c r="L2350" i="1"/>
  <c r="M2350" i="1" s="1"/>
  <c r="L2351" i="1"/>
  <c r="M2351" i="1" s="1"/>
  <c r="L2352" i="1"/>
  <c r="M2352" i="1" s="1"/>
  <c r="L2353" i="1"/>
  <c r="M2353" i="1" s="1"/>
  <c r="L2354" i="1"/>
  <c r="M2354" i="1" s="1"/>
  <c r="L2355" i="1"/>
  <c r="M2355" i="1" s="1"/>
  <c r="L2356" i="1"/>
  <c r="M2356" i="1" s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M2364" i="1" s="1"/>
  <c r="L2365" i="1"/>
  <c r="M2365" i="1" s="1"/>
  <c r="L2366" i="1"/>
  <c r="M2366" i="1" s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M2383" i="1" s="1"/>
  <c r="L2384" i="1"/>
  <c r="M2384" i="1" s="1"/>
  <c r="L2385" i="1"/>
  <c r="M2385" i="1" s="1"/>
  <c r="L2386" i="1"/>
  <c r="M2386" i="1" s="1"/>
  <c r="L2387" i="1"/>
  <c r="M2387" i="1" s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M2403" i="1" s="1"/>
  <c r="L2404" i="1"/>
  <c r="M2404" i="1" s="1"/>
  <c r="L2405" i="1"/>
  <c r="M2405" i="1" s="1"/>
  <c r="L2406" i="1"/>
  <c r="M2406" i="1" s="1"/>
  <c r="L2407" i="1"/>
  <c r="M2407" i="1" s="1"/>
  <c r="L2408" i="1"/>
  <c r="M2408" i="1" s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M2423" i="1" s="1"/>
  <c r="L2424" i="1"/>
  <c r="M2424" i="1" s="1"/>
  <c r="L2425" i="1"/>
  <c r="M2425" i="1" s="1"/>
  <c r="L2426" i="1"/>
  <c r="M2426" i="1" s="1"/>
  <c r="L2427" i="1"/>
  <c r="M2427" i="1" s="1"/>
  <c r="L2428" i="1"/>
  <c r="M2428" i="1" s="1"/>
  <c r="L2429" i="1"/>
  <c r="M2429" i="1" s="1"/>
  <c r="L2430" i="1"/>
  <c r="M2430" i="1" s="1"/>
  <c r="L2431" i="1"/>
  <c r="M2431" i="1" s="1"/>
  <c r="L2432" i="1"/>
  <c r="M2432" i="1" s="1"/>
  <c r="L2433" i="1"/>
  <c r="M2433" i="1" s="1"/>
  <c r="L2434" i="1"/>
  <c r="M2434" i="1" s="1"/>
  <c r="L2435" i="1"/>
  <c r="M2435" i="1" s="1"/>
  <c r="L2436" i="1"/>
  <c r="M2436" i="1" s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M2443" i="1" s="1"/>
  <c r="L2444" i="1"/>
  <c r="M2444" i="1" s="1"/>
  <c r="L2445" i="1"/>
  <c r="M2445" i="1" s="1"/>
  <c r="L2446" i="1"/>
  <c r="M2446" i="1" s="1"/>
  <c r="L2447" i="1"/>
  <c r="M2447" i="1" s="1"/>
  <c r="L2448" i="1"/>
  <c r="M2448" i="1" s="1"/>
  <c r="L2449" i="1"/>
  <c r="M2449" i="1" s="1"/>
  <c r="L2450" i="1"/>
  <c r="M2450" i="1" s="1"/>
  <c r="L2451" i="1"/>
  <c r="M2451" i="1" s="1"/>
  <c r="L2452" i="1"/>
  <c r="M2452" i="1" s="1"/>
  <c r="L2453" i="1"/>
  <c r="M2453" i="1" s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M2463" i="1" s="1"/>
  <c r="L2464" i="1"/>
  <c r="M2464" i="1" s="1"/>
  <c r="L2465" i="1"/>
  <c r="M2465" i="1" s="1"/>
  <c r="L2466" i="1"/>
  <c r="M2466" i="1" s="1"/>
  <c r="L2467" i="1"/>
  <c r="M2467" i="1" s="1"/>
  <c r="L2468" i="1"/>
  <c r="M2468" i="1" s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M2482" i="1" s="1"/>
  <c r="L2483" i="1"/>
  <c r="M2483" i="1" s="1"/>
  <c r="L2484" i="1"/>
  <c r="M2484" i="1" s="1"/>
  <c r="L2485" i="1"/>
  <c r="M2485" i="1" s="1"/>
  <c r="L2486" i="1"/>
  <c r="M2486" i="1" s="1"/>
  <c r="L2487" i="1"/>
  <c r="M2487" i="1" s="1"/>
  <c r="L2488" i="1"/>
  <c r="M2488" i="1" s="1"/>
  <c r="L2489" i="1"/>
  <c r="M2489" i="1" s="1"/>
  <c r="L2490" i="1"/>
  <c r="M2490" i="1" s="1"/>
  <c r="L2491" i="1"/>
  <c r="M2491" i="1" s="1"/>
  <c r="L2492" i="1"/>
  <c r="M2492" i="1" s="1"/>
  <c r="L2493" i="1"/>
  <c r="M2493" i="1" s="1"/>
  <c r="L2494" i="1"/>
  <c r="M2494" i="1" s="1"/>
  <c r="L2495" i="1"/>
  <c r="M2495" i="1" s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M2503" i="1" s="1"/>
  <c r="L2504" i="1"/>
  <c r="M2504" i="1" s="1"/>
  <c r="L2505" i="1"/>
  <c r="M2505" i="1" s="1"/>
  <c r="L2506" i="1"/>
  <c r="M2506" i="1" s="1"/>
  <c r="L2507" i="1"/>
  <c r="M2507" i="1" s="1"/>
  <c r="L2508" i="1"/>
  <c r="M2508" i="1" s="1"/>
  <c r="L2509" i="1"/>
  <c r="M2509" i="1" s="1"/>
  <c r="L2510" i="1"/>
  <c r="M2510" i="1" s="1"/>
  <c r="L2511" i="1"/>
  <c r="M2511" i="1" s="1"/>
  <c r="L2512" i="1"/>
  <c r="M2512" i="1" s="1"/>
  <c r="L2513" i="1"/>
  <c r="M2513" i="1" s="1"/>
  <c r="L2514" i="1"/>
  <c r="M2514" i="1" s="1"/>
  <c r="L2515" i="1"/>
  <c r="M2515" i="1" s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M2524" i="1" s="1"/>
  <c r="L2525" i="1"/>
  <c r="M2525" i="1" s="1"/>
  <c r="L2526" i="1"/>
  <c r="M2526" i="1" s="1"/>
  <c r="L2527" i="1"/>
  <c r="M2527" i="1" s="1"/>
  <c r="L2528" i="1"/>
  <c r="M2528" i="1" s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M2544" i="1" s="1"/>
  <c r="L2545" i="1"/>
  <c r="M2545" i="1" s="1"/>
  <c r="L2546" i="1"/>
  <c r="M2546" i="1" s="1"/>
  <c r="L2547" i="1"/>
  <c r="M2547" i="1" s="1"/>
  <c r="L2548" i="1"/>
  <c r="M2548" i="1" s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M2556" i="1" s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M2563" i="1" s="1"/>
  <c r="L2564" i="1"/>
  <c r="M2564" i="1" s="1"/>
  <c r="L2565" i="1"/>
  <c r="M2565" i="1" s="1"/>
  <c r="L2566" i="1"/>
  <c r="M2566" i="1" s="1"/>
  <c r="L2567" i="1"/>
  <c r="M2567" i="1" s="1"/>
  <c r="L2568" i="1"/>
  <c r="M2568" i="1" s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M2583" i="1" s="1"/>
  <c r="L2584" i="1"/>
  <c r="M2584" i="1" s="1"/>
  <c r="L2585" i="1"/>
  <c r="M2585" i="1" s="1"/>
  <c r="L2586" i="1"/>
  <c r="M2586" i="1" s="1"/>
  <c r="L2587" i="1"/>
  <c r="M2587" i="1" s="1"/>
  <c r="L2588" i="1"/>
  <c r="M2588" i="1" s="1"/>
  <c r="L2589" i="1"/>
  <c r="M2589" i="1" s="1"/>
  <c r="L2590" i="1"/>
  <c r="M2590" i="1" s="1"/>
  <c r="L2591" i="1"/>
  <c r="M2591" i="1" s="1"/>
  <c r="L2592" i="1"/>
  <c r="M2592" i="1" s="1"/>
  <c r="L2593" i="1"/>
  <c r="M2593" i="1" s="1"/>
  <c r="L2594" i="1"/>
  <c r="M2594" i="1" s="1"/>
  <c r="L2595" i="1"/>
  <c r="M2595" i="1" s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M2603" i="1" s="1"/>
  <c r="L2604" i="1"/>
  <c r="M2604" i="1" s="1"/>
  <c r="L2605" i="1"/>
  <c r="M2605" i="1" s="1"/>
  <c r="L2606" i="1"/>
  <c r="M2606" i="1" s="1"/>
  <c r="L2607" i="1"/>
  <c r="M2607" i="1" s="1"/>
  <c r="L2608" i="1"/>
  <c r="M2608" i="1" s="1"/>
  <c r="L2609" i="1"/>
  <c r="M2609" i="1" s="1"/>
  <c r="L2610" i="1"/>
  <c r="M2610" i="1" s="1"/>
  <c r="L2611" i="1"/>
  <c r="M2611" i="1" s="1"/>
  <c r="L2612" i="1"/>
  <c r="M2612" i="1" s="1"/>
  <c r="L2613" i="1"/>
  <c r="M2613" i="1" s="1"/>
  <c r="L2614" i="1"/>
  <c r="M2614" i="1" s="1"/>
  <c r="L2615" i="1"/>
  <c r="M2615" i="1" s="1"/>
  <c r="L2616" i="1"/>
  <c r="M2616" i="1" s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M2623" i="1" s="1"/>
  <c r="L2624" i="1"/>
  <c r="M2624" i="1" s="1"/>
  <c r="L2625" i="1"/>
  <c r="M2625" i="1" s="1"/>
  <c r="L2626" i="1"/>
  <c r="M2626" i="1" s="1"/>
  <c r="L2627" i="1"/>
  <c r="M2627" i="1" s="1"/>
  <c r="L2628" i="1"/>
  <c r="M2628" i="1" s="1"/>
  <c r="L2629" i="1"/>
  <c r="M2629" i="1" s="1"/>
  <c r="L2630" i="1"/>
  <c r="M2630" i="1" s="1"/>
  <c r="L2631" i="1"/>
  <c r="M2631" i="1" s="1"/>
  <c r="L2632" i="1"/>
  <c r="M2632" i="1" s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M2642" i="1" s="1"/>
  <c r="L2643" i="1"/>
  <c r="M2643" i="1" s="1"/>
  <c r="L2644" i="1"/>
  <c r="M2644" i="1" s="1"/>
  <c r="L2645" i="1"/>
  <c r="M2645" i="1" s="1"/>
  <c r="L2646" i="1"/>
  <c r="M2646" i="1" s="1"/>
  <c r="L2647" i="1"/>
  <c r="M2647" i="1" s="1"/>
  <c r="L2648" i="1"/>
  <c r="M2648" i="1" s="1"/>
  <c r="L2649" i="1"/>
  <c r="M2649" i="1" s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M2663" i="1" s="1"/>
  <c r="L2664" i="1"/>
  <c r="M2664" i="1" s="1"/>
  <c r="L2665" i="1"/>
  <c r="M2665" i="1" s="1"/>
  <c r="L2666" i="1"/>
  <c r="M2666" i="1" s="1"/>
  <c r="L2667" i="1"/>
  <c r="M2667" i="1" s="1"/>
  <c r="L2668" i="1"/>
  <c r="M2668" i="1" s="1"/>
  <c r="L2669" i="1"/>
  <c r="M2669" i="1" s="1"/>
  <c r="L2670" i="1"/>
  <c r="M2670" i="1" s="1"/>
  <c r="L2671" i="1"/>
  <c r="M2671" i="1" s="1"/>
  <c r="L2672" i="1"/>
  <c r="M2672" i="1" s="1"/>
  <c r="L2673" i="1"/>
  <c r="M2673" i="1" s="1"/>
  <c r="L2674" i="1"/>
  <c r="M2674" i="1" s="1"/>
  <c r="L2675" i="1"/>
  <c r="M2675" i="1" s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M2683" i="1" s="1"/>
  <c r="L2684" i="1"/>
  <c r="M2684" i="1" s="1"/>
  <c r="L2685" i="1"/>
  <c r="M2685" i="1" s="1"/>
  <c r="L2686" i="1"/>
  <c r="M2686" i="1" s="1"/>
  <c r="L2687" i="1"/>
  <c r="M2687" i="1" s="1"/>
  <c r="L2688" i="1"/>
  <c r="M2688" i="1" s="1"/>
  <c r="L2689" i="1"/>
  <c r="M2689" i="1" s="1"/>
  <c r="L2690" i="1"/>
  <c r="M2690" i="1" s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M2703" i="1" s="1"/>
  <c r="L2704" i="1"/>
  <c r="M2704" i="1" s="1"/>
  <c r="L2705" i="1"/>
  <c r="M2705" i="1" s="1"/>
  <c r="L2706" i="1"/>
  <c r="M2706" i="1" s="1"/>
  <c r="L2707" i="1"/>
  <c r="M2707" i="1" s="1"/>
  <c r="L2708" i="1"/>
  <c r="M2708" i="1" s="1"/>
  <c r="L2709" i="1"/>
  <c r="M2709" i="1" s="1"/>
  <c r="L2710" i="1"/>
  <c r="M2710" i="1" s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M2723" i="1" s="1"/>
  <c r="L2724" i="1"/>
  <c r="M2724" i="1" s="1"/>
  <c r="L2725" i="1"/>
  <c r="M2725" i="1" s="1"/>
  <c r="L2726" i="1"/>
  <c r="M2726" i="1" s="1"/>
  <c r="L2727" i="1"/>
  <c r="M2727" i="1" s="1"/>
  <c r="L2728" i="1"/>
  <c r="M2728" i="1" s="1"/>
  <c r="L2729" i="1"/>
  <c r="M2729" i="1" s="1"/>
  <c r="L2730" i="1"/>
  <c r="M2730" i="1" s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M2743" i="1" s="1"/>
  <c r="L2744" i="1"/>
  <c r="M2744" i="1" s="1"/>
  <c r="L2745" i="1"/>
  <c r="M2745" i="1" s="1"/>
  <c r="L2746" i="1"/>
  <c r="M2746" i="1" s="1"/>
  <c r="L2747" i="1"/>
  <c r="M2747" i="1" s="1"/>
  <c r="L2748" i="1"/>
  <c r="M2748" i="1" s="1"/>
  <c r="L2749" i="1"/>
  <c r="M2749" i="1" s="1"/>
  <c r="L2750" i="1"/>
  <c r="M2750" i="1" s="1"/>
  <c r="L2751" i="1"/>
  <c r="M2751" i="1" s="1"/>
  <c r="L2752" i="1"/>
  <c r="M2752" i="1" s="1"/>
  <c r="L2753" i="1"/>
  <c r="M2753" i="1" s="1"/>
  <c r="L2754" i="1"/>
  <c r="M2754" i="1" s="1"/>
  <c r="L2755" i="1"/>
  <c r="M2755" i="1" s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M2763" i="1" s="1"/>
  <c r="L2764" i="1"/>
  <c r="M2764" i="1" s="1"/>
  <c r="L2765" i="1"/>
  <c r="M2765" i="1" s="1"/>
  <c r="L2766" i="1"/>
  <c r="M2766" i="1" s="1"/>
  <c r="L2767" i="1"/>
  <c r="M2767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M2783" i="1" s="1"/>
  <c r="L2784" i="1"/>
  <c r="M2784" i="1" s="1"/>
  <c r="L2785" i="1"/>
  <c r="M2785" i="1" s="1"/>
  <c r="L2786" i="1"/>
  <c r="M2786" i="1" s="1"/>
  <c r="L2787" i="1"/>
  <c r="M2787" i="1" s="1"/>
  <c r="L2788" i="1"/>
  <c r="M2788" i="1" s="1"/>
  <c r="L2789" i="1"/>
  <c r="M2789" i="1" s="1"/>
  <c r="L2790" i="1"/>
  <c r="M2790" i="1" s="1"/>
  <c r="L2791" i="1"/>
  <c r="M2791" i="1" s="1"/>
  <c r="L2792" i="1"/>
  <c r="M2792" i="1" s="1"/>
  <c r="L2793" i="1"/>
  <c r="M2793" i="1" s="1"/>
  <c r="L2794" i="1"/>
  <c r="M2794" i="1" s="1"/>
  <c r="L2795" i="1"/>
  <c r="M2795" i="1" s="1"/>
  <c r="L2796" i="1"/>
  <c r="M2796" i="1" s="1"/>
  <c r="L2797" i="1"/>
  <c r="M2797" i="1" s="1"/>
  <c r="L2798" i="1"/>
  <c r="M2798" i="1" s="1"/>
  <c r="L2799" i="1"/>
  <c r="M2799" i="1" s="1"/>
  <c r="L2800" i="1"/>
  <c r="M2800" i="1" s="1"/>
  <c r="L2801" i="1"/>
  <c r="M2801" i="1" s="1"/>
  <c r="L2802" i="1"/>
  <c r="M2802" i="1" s="1"/>
  <c r="L2803" i="1"/>
  <c r="M2803" i="1" s="1"/>
  <c r="L2804" i="1"/>
  <c r="M2804" i="1" s="1"/>
  <c r="L2805" i="1"/>
  <c r="M2805" i="1" s="1"/>
  <c r="L2806" i="1"/>
  <c r="M2806" i="1" s="1"/>
  <c r="L2807" i="1"/>
  <c r="M2807" i="1" s="1"/>
  <c r="L2808" i="1"/>
  <c r="M2808" i="1" s="1"/>
  <c r="L2809" i="1"/>
  <c r="M2809" i="1" s="1"/>
  <c r="L2810" i="1"/>
  <c r="M2810" i="1" s="1"/>
  <c r="L2811" i="1"/>
  <c r="M2811" i="1" s="1"/>
  <c r="L2812" i="1"/>
  <c r="M2812" i="1" s="1"/>
  <c r="L2813" i="1"/>
  <c r="M2813" i="1" s="1"/>
  <c r="L2814" i="1"/>
  <c r="M2814" i="1" s="1"/>
  <c r="L2815" i="1"/>
  <c r="M2815" i="1" s="1"/>
  <c r="L2816" i="1"/>
  <c r="M2816" i="1" s="1"/>
  <c r="L2817" i="1"/>
  <c r="M2817" i="1" s="1"/>
  <c r="L2818" i="1"/>
  <c r="M2818" i="1" s="1"/>
  <c r="L2819" i="1"/>
  <c r="M2819" i="1" s="1"/>
  <c r="L2820" i="1"/>
  <c r="M2820" i="1" s="1"/>
  <c r="L2821" i="1"/>
  <c r="M2821" i="1" s="1"/>
  <c r="L2822" i="1"/>
  <c r="M2822" i="1" s="1"/>
  <c r="L2823" i="1"/>
  <c r="M2823" i="1" s="1"/>
  <c r="L2824" i="1"/>
  <c r="M2824" i="1" s="1"/>
  <c r="L2825" i="1"/>
  <c r="M2825" i="1" s="1"/>
  <c r="L2826" i="1"/>
  <c r="M2826" i="1" s="1"/>
  <c r="L2827" i="1"/>
  <c r="M2827" i="1" s="1"/>
  <c r="L2828" i="1"/>
  <c r="M2828" i="1" s="1"/>
  <c r="L2829" i="1"/>
  <c r="M2829" i="1" s="1"/>
  <c r="L2830" i="1"/>
  <c r="M2830" i="1" s="1"/>
  <c r="L2831" i="1"/>
  <c r="M2831" i="1" s="1"/>
  <c r="L2832" i="1"/>
  <c r="M2832" i="1" s="1"/>
  <c r="L2833" i="1"/>
  <c r="M2833" i="1" s="1"/>
  <c r="L2834" i="1"/>
  <c r="M2834" i="1" s="1"/>
  <c r="L2835" i="1"/>
  <c r="M2835" i="1" s="1"/>
  <c r="L2836" i="1"/>
  <c r="M2836" i="1" s="1"/>
  <c r="L2837" i="1"/>
  <c r="M2837" i="1" s="1"/>
  <c r="L2838" i="1"/>
  <c r="M2838" i="1" s="1"/>
  <c r="L2839" i="1"/>
  <c r="M2839" i="1" s="1"/>
  <c r="L2840" i="1"/>
  <c r="M2840" i="1" s="1"/>
  <c r="L2841" i="1"/>
  <c r="M2841" i="1" s="1"/>
  <c r="L2842" i="1"/>
  <c r="M2842" i="1" s="1"/>
  <c r="L2843" i="1"/>
  <c r="M2843" i="1" s="1"/>
  <c r="L2844" i="1"/>
  <c r="M2844" i="1" s="1"/>
  <c r="L2845" i="1"/>
  <c r="M2845" i="1" s="1"/>
  <c r="L2846" i="1"/>
  <c r="M2846" i="1" s="1"/>
  <c r="L2847" i="1"/>
  <c r="M2847" i="1" s="1"/>
  <c r="L2848" i="1"/>
  <c r="M2848" i="1" s="1"/>
  <c r="L2849" i="1"/>
  <c r="M2849" i="1" s="1"/>
  <c r="L2850" i="1"/>
  <c r="M2850" i="1" s="1"/>
  <c r="L2851" i="1"/>
  <c r="M2851" i="1" s="1"/>
  <c r="L2852" i="1"/>
  <c r="M2852" i="1" s="1"/>
  <c r="L2853" i="1"/>
  <c r="M2853" i="1" s="1"/>
  <c r="L2854" i="1"/>
  <c r="M2854" i="1" s="1"/>
  <c r="L2855" i="1"/>
  <c r="M2855" i="1" s="1"/>
  <c r="L2856" i="1"/>
  <c r="M2856" i="1" s="1"/>
  <c r="L2857" i="1"/>
  <c r="M2857" i="1" s="1"/>
  <c r="L2858" i="1"/>
  <c r="M2858" i="1" s="1"/>
  <c r="L2859" i="1"/>
  <c r="M2859" i="1" s="1"/>
  <c r="L2860" i="1"/>
  <c r="M2860" i="1" s="1"/>
  <c r="L2861" i="1"/>
  <c r="M2861" i="1" s="1"/>
  <c r="L2862" i="1"/>
  <c r="M2862" i="1" s="1"/>
  <c r="L2863" i="1"/>
  <c r="M2863" i="1" s="1"/>
  <c r="L2864" i="1"/>
  <c r="M2864" i="1" s="1"/>
  <c r="L2865" i="1"/>
  <c r="M2865" i="1" s="1"/>
  <c r="L2866" i="1"/>
  <c r="M2866" i="1" s="1"/>
  <c r="L2867" i="1"/>
  <c r="M2867" i="1" s="1"/>
  <c r="L2868" i="1"/>
  <c r="M2868" i="1" s="1"/>
  <c r="L2869" i="1"/>
  <c r="M2869" i="1" s="1"/>
  <c r="L2870" i="1"/>
  <c r="M2870" i="1" s="1"/>
  <c r="L2871" i="1"/>
  <c r="M2871" i="1" s="1"/>
  <c r="L2872" i="1"/>
  <c r="M2872" i="1" s="1"/>
  <c r="L2873" i="1"/>
  <c r="M2873" i="1" s="1"/>
  <c r="L2874" i="1"/>
  <c r="M2874" i="1" s="1"/>
  <c r="L2875" i="1"/>
  <c r="M2875" i="1" s="1"/>
  <c r="L2876" i="1"/>
  <c r="M2876" i="1" s="1"/>
  <c r="L2877" i="1"/>
  <c r="M2877" i="1" s="1"/>
  <c r="L2878" i="1"/>
  <c r="M2878" i="1" s="1"/>
  <c r="L2879" i="1"/>
  <c r="M2879" i="1" s="1"/>
  <c r="L2880" i="1"/>
  <c r="M2880" i="1" s="1"/>
  <c r="L2881" i="1"/>
  <c r="M2881" i="1" s="1"/>
  <c r="L2882" i="1"/>
  <c r="M2882" i="1" s="1"/>
  <c r="L2883" i="1"/>
  <c r="M2883" i="1" s="1"/>
  <c r="L2884" i="1"/>
  <c r="M2884" i="1" s="1"/>
  <c r="L2885" i="1"/>
  <c r="M2885" i="1" s="1"/>
  <c r="L2886" i="1"/>
  <c r="M2886" i="1" s="1"/>
  <c r="L2887" i="1"/>
  <c r="M2887" i="1" s="1"/>
  <c r="L2888" i="1"/>
  <c r="M2888" i="1" s="1"/>
  <c r="L2889" i="1"/>
  <c r="M2889" i="1" s="1"/>
  <c r="L2890" i="1"/>
  <c r="M2890" i="1" s="1"/>
  <c r="L2891" i="1"/>
  <c r="M2891" i="1" s="1"/>
  <c r="L2892" i="1"/>
  <c r="M2892" i="1" s="1"/>
  <c r="L2893" i="1"/>
  <c r="M2893" i="1" s="1"/>
  <c r="L2894" i="1"/>
  <c r="M2894" i="1" s="1"/>
  <c r="L2895" i="1"/>
  <c r="M2895" i="1" s="1"/>
  <c r="L2896" i="1"/>
  <c r="M2896" i="1" s="1"/>
  <c r="L2897" i="1"/>
  <c r="M2897" i="1" s="1"/>
  <c r="L2898" i="1"/>
  <c r="M2898" i="1" s="1"/>
  <c r="L2899" i="1"/>
  <c r="M2899" i="1" s="1"/>
  <c r="L2900" i="1"/>
  <c r="M2900" i="1" s="1"/>
  <c r="L2901" i="1"/>
  <c r="M2901" i="1" s="1"/>
  <c r="L2902" i="1"/>
  <c r="M2902" i="1" s="1"/>
  <c r="L2903" i="1"/>
  <c r="M2903" i="1" s="1"/>
  <c r="L2904" i="1"/>
  <c r="M2904" i="1" s="1"/>
  <c r="L2905" i="1"/>
  <c r="M2905" i="1" s="1"/>
  <c r="L2906" i="1"/>
  <c r="M2906" i="1" s="1"/>
  <c r="L2907" i="1"/>
  <c r="M2907" i="1" s="1"/>
  <c r="L2908" i="1"/>
  <c r="M2908" i="1" s="1"/>
  <c r="L2909" i="1"/>
  <c r="M2909" i="1" s="1"/>
  <c r="L2910" i="1"/>
  <c r="M2910" i="1" s="1"/>
  <c r="L2911" i="1"/>
  <c r="M2911" i="1" s="1"/>
  <c r="L2912" i="1"/>
  <c r="M2912" i="1" s="1"/>
  <c r="L2913" i="1"/>
  <c r="M2913" i="1" s="1"/>
  <c r="L2914" i="1"/>
  <c r="M2914" i="1" s="1"/>
  <c r="L2915" i="1"/>
  <c r="M2915" i="1" s="1"/>
  <c r="L2916" i="1"/>
  <c r="M2916" i="1" s="1"/>
  <c r="L2917" i="1"/>
  <c r="M2917" i="1" s="1"/>
  <c r="L2918" i="1"/>
  <c r="M2918" i="1" s="1"/>
  <c r="L2919" i="1"/>
  <c r="M2919" i="1" s="1"/>
  <c r="L2920" i="1"/>
  <c r="M2920" i="1" s="1"/>
  <c r="L2921" i="1"/>
  <c r="M2921" i="1" s="1"/>
  <c r="L2922" i="1"/>
  <c r="M2922" i="1" s="1"/>
  <c r="L2923" i="1"/>
  <c r="M2923" i="1" s="1"/>
  <c r="L2924" i="1"/>
  <c r="M2924" i="1" s="1"/>
  <c r="L2925" i="1"/>
  <c r="M2925" i="1" s="1"/>
  <c r="L2926" i="1"/>
  <c r="M2926" i="1" s="1"/>
  <c r="L2927" i="1"/>
  <c r="M2927" i="1" s="1"/>
  <c r="L2928" i="1"/>
  <c r="M2928" i="1" s="1"/>
  <c r="L2929" i="1"/>
  <c r="M2929" i="1" s="1"/>
  <c r="L2930" i="1"/>
  <c r="M2930" i="1" s="1"/>
  <c r="L2931" i="1"/>
  <c r="M2931" i="1" s="1"/>
  <c r="L2932" i="1"/>
  <c r="M2932" i="1" s="1"/>
  <c r="L2933" i="1"/>
  <c r="M2933" i="1" s="1"/>
  <c r="L2934" i="1"/>
  <c r="M2934" i="1" s="1"/>
  <c r="L2935" i="1"/>
  <c r="M2935" i="1" s="1"/>
  <c r="L2936" i="1"/>
  <c r="M2936" i="1" s="1"/>
  <c r="L2937" i="1"/>
  <c r="M2937" i="1" s="1"/>
  <c r="L2938" i="1"/>
  <c r="M2938" i="1" s="1"/>
  <c r="L2939" i="1"/>
  <c r="M2939" i="1" s="1"/>
  <c r="L2940" i="1"/>
  <c r="M2940" i="1" s="1"/>
  <c r="L2941" i="1"/>
  <c r="M2941" i="1" s="1"/>
  <c r="L2942" i="1"/>
  <c r="M2942" i="1" s="1"/>
  <c r="L2943" i="1"/>
  <c r="M2943" i="1" s="1"/>
  <c r="L2944" i="1"/>
  <c r="M2944" i="1" s="1"/>
  <c r="L2945" i="1"/>
  <c r="M2945" i="1" s="1"/>
  <c r="L2946" i="1"/>
  <c r="M2946" i="1" s="1"/>
  <c r="L2947" i="1"/>
  <c r="M2947" i="1" s="1"/>
  <c r="L2948" i="1"/>
  <c r="M2948" i="1" s="1"/>
  <c r="L2949" i="1"/>
  <c r="M2949" i="1" s="1"/>
  <c r="L2950" i="1"/>
  <c r="M2950" i="1" s="1"/>
  <c r="L2951" i="1"/>
  <c r="M2951" i="1" s="1"/>
  <c r="L2952" i="1"/>
  <c r="M2952" i="1" s="1"/>
  <c r="L2953" i="1"/>
  <c r="M2953" i="1" s="1"/>
  <c r="L2954" i="1"/>
  <c r="M2954" i="1" s="1"/>
  <c r="L2955" i="1"/>
  <c r="M2955" i="1" s="1"/>
  <c r="L2956" i="1"/>
  <c r="M2956" i="1" s="1"/>
  <c r="L2957" i="1"/>
  <c r="M2957" i="1" s="1"/>
  <c r="L2958" i="1"/>
  <c r="M2958" i="1" s="1"/>
  <c r="L2959" i="1"/>
  <c r="M2959" i="1" s="1"/>
  <c r="L2960" i="1"/>
  <c r="M2960" i="1" s="1"/>
  <c r="L2961" i="1"/>
  <c r="M2961" i="1" s="1"/>
  <c r="L2962" i="1"/>
  <c r="M2962" i="1" s="1"/>
  <c r="L2963" i="1"/>
  <c r="M2963" i="1" s="1"/>
  <c r="L2964" i="1"/>
  <c r="M2964" i="1" s="1"/>
  <c r="L2965" i="1"/>
  <c r="M2965" i="1" s="1"/>
  <c r="L2966" i="1"/>
  <c r="M2966" i="1" s="1"/>
  <c r="L2967" i="1"/>
  <c r="M2967" i="1" s="1"/>
  <c r="L2968" i="1"/>
  <c r="M2968" i="1" s="1"/>
  <c r="L2969" i="1"/>
  <c r="M2969" i="1" s="1"/>
  <c r="L2970" i="1"/>
  <c r="M2970" i="1" s="1"/>
  <c r="L2971" i="1"/>
  <c r="M2971" i="1" s="1"/>
  <c r="L2972" i="1"/>
  <c r="M2972" i="1" s="1"/>
  <c r="L2973" i="1"/>
  <c r="M2973" i="1" s="1"/>
  <c r="L2974" i="1"/>
  <c r="M2974" i="1" s="1"/>
  <c r="L2975" i="1"/>
  <c r="M2975" i="1" s="1"/>
  <c r="L2976" i="1"/>
  <c r="M2976" i="1" s="1"/>
  <c r="L2977" i="1"/>
  <c r="M2977" i="1" s="1"/>
  <c r="L2978" i="1"/>
  <c r="M2978" i="1" s="1"/>
  <c r="L2979" i="1"/>
  <c r="M2979" i="1" s="1"/>
  <c r="L2980" i="1"/>
  <c r="M2980" i="1" s="1"/>
  <c r="L2981" i="1"/>
  <c r="M2981" i="1" s="1"/>
  <c r="L2982" i="1"/>
  <c r="M2982" i="1" s="1"/>
  <c r="L2983" i="1"/>
  <c r="M2983" i="1" s="1"/>
  <c r="L2984" i="1"/>
  <c r="M2984" i="1" s="1"/>
  <c r="L2985" i="1"/>
  <c r="M2985" i="1" s="1"/>
  <c r="L2986" i="1"/>
  <c r="M2986" i="1" s="1"/>
  <c r="L2987" i="1"/>
  <c r="M2987" i="1" s="1"/>
  <c r="L2988" i="1"/>
  <c r="M2988" i="1" s="1"/>
  <c r="L2989" i="1"/>
  <c r="M2989" i="1" s="1"/>
  <c r="L2990" i="1"/>
  <c r="M2990" i="1" s="1"/>
  <c r="L2991" i="1"/>
  <c r="M2991" i="1" s="1"/>
  <c r="L2992" i="1"/>
  <c r="M2992" i="1" s="1"/>
  <c r="L2993" i="1"/>
  <c r="M2993" i="1" s="1"/>
  <c r="L2994" i="1"/>
  <c r="M2994" i="1" s="1"/>
  <c r="L2995" i="1"/>
  <c r="M2995" i="1" s="1"/>
  <c r="L2996" i="1"/>
  <c r="M2996" i="1" s="1"/>
  <c r="L2997" i="1"/>
  <c r="M2997" i="1" s="1"/>
  <c r="L2998" i="1"/>
  <c r="M2998" i="1" s="1"/>
  <c r="L2999" i="1"/>
  <c r="M2999" i="1" s="1"/>
  <c r="L3000" i="1"/>
  <c r="M3000" i="1" s="1"/>
  <c r="L3001" i="1"/>
  <c r="M3001" i="1" s="1"/>
  <c r="L3002" i="1"/>
  <c r="M3002" i="1" s="1"/>
  <c r="L3003" i="1"/>
  <c r="M3003" i="1" s="1"/>
  <c r="L3004" i="1"/>
  <c r="M3004" i="1" s="1"/>
  <c r="L3005" i="1"/>
  <c r="M3005" i="1" s="1"/>
  <c r="L3006" i="1"/>
  <c r="M3006" i="1" s="1"/>
  <c r="L3007" i="1"/>
  <c r="M3007" i="1" s="1"/>
  <c r="L3008" i="1"/>
  <c r="M3008" i="1" s="1"/>
  <c r="L3009" i="1"/>
  <c r="M3009" i="1" s="1"/>
  <c r="L3010" i="1"/>
  <c r="M3010" i="1" s="1"/>
  <c r="L3011" i="1"/>
  <c r="M3011" i="1" s="1"/>
  <c r="L3012" i="1"/>
  <c r="M3012" i="1" s="1"/>
  <c r="L3013" i="1"/>
  <c r="M3013" i="1" s="1"/>
  <c r="L3014" i="1"/>
  <c r="M3014" i="1" s="1"/>
  <c r="L3015" i="1"/>
  <c r="M3015" i="1" s="1"/>
  <c r="L3016" i="1"/>
  <c r="M3016" i="1" s="1"/>
  <c r="L3017" i="1"/>
  <c r="M3017" i="1" s="1"/>
  <c r="L3018" i="1"/>
  <c r="M3018" i="1" s="1"/>
  <c r="L3019" i="1"/>
  <c r="M3019" i="1" s="1"/>
  <c r="L3020" i="1"/>
  <c r="M3020" i="1" s="1"/>
  <c r="L3021" i="1"/>
  <c r="M3021" i="1" s="1"/>
  <c r="L3022" i="1"/>
  <c r="M3022" i="1" s="1"/>
  <c r="L3023" i="1"/>
  <c r="M3023" i="1" s="1"/>
  <c r="L3024" i="1"/>
  <c r="M3024" i="1" s="1"/>
  <c r="L3025" i="1"/>
  <c r="M3025" i="1" s="1"/>
  <c r="L3026" i="1"/>
  <c r="M3026" i="1" s="1"/>
  <c r="L3027" i="1"/>
  <c r="M3027" i="1" s="1"/>
  <c r="L3028" i="1"/>
  <c r="M3028" i="1" s="1"/>
  <c r="L3029" i="1"/>
  <c r="M3029" i="1" s="1"/>
  <c r="L3030" i="1"/>
  <c r="M3030" i="1" s="1"/>
  <c r="L3031" i="1"/>
  <c r="M3031" i="1" s="1"/>
  <c r="L3032" i="1"/>
  <c r="M3032" i="1" s="1"/>
  <c r="L3033" i="1"/>
  <c r="M3033" i="1" s="1"/>
  <c r="L3034" i="1"/>
  <c r="M3034" i="1" s="1"/>
  <c r="L3035" i="1"/>
  <c r="M3035" i="1" s="1"/>
  <c r="L3036" i="1"/>
  <c r="M3036" i="1" s="1"/>
  <c r="L3037" i="1"/>
  <c r="M3037" i="1" s="1"/>
  <c r="L3038" i="1"/>
  <c r="M3038" i="1" s="1"/>
  <c r="L3039" i="1"/>
  <c r="M3039" i="1" s="1"/>
  <c r="L3040" i="1"/>
  <c r="M3040" i="1" s="1"/>
  <c r="L3041" i="1"/>
  <c r="M3041" i="1" s="1"/>
  <c r="L3042" i="1"/>
  <c r="M3042" i="1" s="1"/>
  <c r="L3043" i="1"/>
  <c r="M3043" i="1" s="1"/>
  <c r="L3044" i="1"/>
  <c r="M3044" i="1" s="1"/>
  <c r="L3045" i="1"/>
  <c r="M3045" i="1" s="1"/>
  <c r="L3046" i="1"/>
  <c r="M3046" i="1" s="1"/>
  <c r="L3047" i="1"/>
  <c r="M3047" i="1" s="1"/>
  <c r="L3048" i="1"/>
  <c r="M3048" i="1" s="1"/>
  <c r="L3049" i="1"/>
  <c r="M3049" i="1" s="1"/>
  <c r="L3050" i="1"/>
  <c r="M3050" i="1" s="1"/>
  <c r="L3051" i="1"/>
  <c r="M3051" i="1" s="1"/>
  <c r="L3052" i="1"/>
  <c r="M3052" i="1" s="1"/>
  <c r="L3053" i="1"/>
  <c r="M3053" i="1" s="1"/>
  <c r="L3054" i="1"/>
  <c r="M3054" i="1" s="1"/>
  <c r="L3055" i="1"/>
  <c r="M3055" i="1" s="1"/>
  <c r="L3056" i="1"/>
  <c r="M3056" i="1" s="1"/>
  <c r="L3057" i="1"/>
  <c r="M3057" i="1" s="1"/>
  <c r="L3058" i="1"/>
  <c r="M3058" i="1" s="1"/>
  <c r="L3059" i="1"/>
  <c r="M3059" i="1" s="1"/>
  <c r="L3060" i="1"/>
  <c r="M3060" i="1" s="1"/>
  <c r="L3061" i="1"/>
  <c r="M3061" i="1" s="1"/>
  <c r="L3062" i="1"/>
  <c r="M3062" i="1" s="1"/>
  <c r="L3063" i="1"/>
  <c r="M3063" i="1" s="1"/>
  <c r="L3064" i="1"/>
  <c r="M3064" i="1" s="1"/>
  <c r="L3065" i="1"/>
  <c r="M3065" i="1" s="1"/>
  <c r="L3066" i="1"/>
  <c r="M3066" i="1" s="1"/>
  <c r="L3067" i="1"/>
  <c r="M3067" i="1" s="1"/>
  <c r="L3068" i="1"/>
  <c r="M3068" i="1" s="1"/>
  <c r="L3069" i="1"/>
  <c r="M3069" i="1" s="1"/>
  <c r="L3070" i="1"/>
  <c r="M3070" i="1" s="1"/>
  <c r="L3071" i="1"/>
  <c r="M3071" i="1" s="1"/>
  <c r="L3072" i="1"/>
  <c r="M3072" i="1" s="1"/>
  <c r="L3073" i="1"/>
  <c r="M3073" i="1" s="1"/>
  <c r="L3074" i="1"/>
  <c r="M3074" i="1" s="1"/>
  <c r="L3075" i="1"/>
  <c r="M3075" i="1" s="1"/>
  <c r="L3076" i="1"/>
  <c r="M3076" i="1" s="1"/>
  <c r="L3077" i="1"/>
  <c r="M3077" i="1" s="1"/>
  <c r="L3078" i="1"/>
  <c r="M3078" i="1" s="1"/>
  <c r="L3079" i="1"/>
  <c r="M3079" i="1" s="1"/>
  <c r="L3080" i="1"/>
  <c r="M3080" i="1" s="1"/>
  <c r="L3081" i="1"/>
  <c r="M3081" i="1" s="1"/>
  <c r="L3082" i="1"/>
  <c r="M3082" i="1" s="1"/>
  <c r="L3083" i="1"/>
  <c r="M3083" i="1" s="1"/>
  <c r="L3084" i="1"/>
  <c r="M3084" i="1" s="1"/>
  <c r="L3085" i="1"/>
  <c r="M3085" i="1" s="1"/>
  <c r="L3086" i="1"/>
  <c r="M3086" i="1" s="1"/>
  <c r="L3087" i="1"/>
  <c r="M3087" i="1" s="1"/>
  <c r="L3088" i="1"/>
  <c r="M3088" i="1" s="1"/>
  <c r="L3089" i="1"/>
  <c r="M3089" i="1" s="1"/>
  <c r="L3090" i="1"/>
  <c r="M3090" i="1" s="1"/>
  <c r="L3091" i="1"/>
  <c r="M3091" i="1" s="1"/>
  <c r="L3092" i="1"/>
  <c r="M3092" i="1" s="1"/>
  <c r="L3093" i="1"/>
  <c r="M3093" i="1" s="1"/>
  <c r="L3094" i="1"/>
  <c r="M3094" i="1" s="1"/>
  <c r="L3095" i="1"/>
  <c r="M3095" i="1" s="1"/>
  <c r="L3096" i="1"/>
  <c r="M3096" i="1" s="1"/>
  <c r="L3097" i="1"/>
  <c r="M3097" i="1" s="1"/>
  <c r="L3098" i="1"/>
  <c r="M3098" i="1" s="1"/>
  <c r="L3099" i="1"/>
  <c r="M3099" i="1" s="1"/>
  <c r="L3100" i="1"/>
  <c r="M3100" i="1" s="1"/>
  <c r="L3101" i="1"/>
  <c r="M3101" i="1" s="1"/>
  <c r="L3102" i="1"/>
  <c r="M3102" i="1" s="1"/>
  <c r="L3103" i="1"/>
  <c r="M3103" i="1" s="1"/>
  <c r="L3104" i="1"/>
  <c r="M3104" i="1" s="1"/>
  <c r="L3105" i="1"/>
  <c r="M3105" i="1" s="1"/>
  <c r="L3106" i="1"/>
  <c r="M3106" i="1" s="1"/>
  <c r="L3107" i="1"/>
  <c r="M3107" i="1" s="1"/>
  <c r="L3108" i="1"/>
  <c r="M3108" i="1" s="1"/>
  <c r="L3109" i="1"/>
  <c r="M3109" i="1" s="1"/>
  <c r="L3110" i="1"/>
  <c r="M3110" i="1" s="1"/>
  <c r="L3111" i="1"/>
  <c r="M3111" i="1" s="1"/>
  <c r="L3112" i="1"/>
  <c r="M3112" i="1" s="1"/>
  <c r="L3113" i="1"/>
  <c r="M3113" i="1" s="1"/>
  <c r="L3114" i="1"/>
  <c r="M3114" i="1" s="1"/>
  <c r="L3115" i="1"/>
  <c r="M3115" i="1" s="1"/>
  <c r="L3116" i="1"/>
  <c r="M3116" i="1" s="1"/>
  <c r="L3117" i="1"/>
  <c r="M3117" i="1" s="1"/>
  <c r="L3118" i="1"/>
  <c r="M3118" i="1" s="1"/>
  <c r="L3119" i="1"/>
  <c r="M3119" i="1" s="1"/>
  <c r="L3120" i="1"/>
  <c r="M3120" i="1" s="1"/>
  <c r="L3121" i="1"/>
  <c r="M3121" i="1" s="1"/>
  <c r="L3122" i="1"/>
  <c r="M3122" i="1" s="1"/>
  <c r="L3123" i="1"/>
  <c r="M3123" i="1" s="1"/>
  <c r="L3124" i="1"/>
  <c r="M3124" i="1" s="1"/>
  <c r="L3125" i="1"/>
  <c r="M3125" i="1" s="1"/>
  <c r="L3126" i="1"/>
  <c r="M3126" i="1" s="1"/>
  <c r="L3127" i="1"/>
  <c r="M3127" i="1" s="1"/>
  <c r="L3128" i="1"/>
  <c r="M3128" i="1" s="1"/>
  <c r="L3129" i="1"/>
  <c r="M3129" i="1" s="1"/>
  <c r="L3130" i="1"/>
  <c r="M3130" i="1" s="1"/>
  <c r="L3131" i="1"/>
  <c r="M3131" i="1" s="1"/>
  <c r="L3132" i="1"/>
  <c r="M3132" i="1" s="1"/>
  <c r="L3133" i="1"/>
  <c r="M3133" i="1" s="1"/>
  <c r="L3134" i="1"/>
  <c r="M3134" i="1" s="1"/>
  <c r="L3135" i="1"/>
  <c r="M3135" i="1" s="1"/>
  <c r="L3136" i="1"/>
  <c r="M3136" i="1" s="1"/>
  <c r="L3137" i="1"/>
  <c r="M3137" i="1" s="1"/>
  <c r="L3138" i="1"/>
  <c r="M3138" i="1" s="1"/>
  <c r="L3139" i="1"/>
  <c r="M3139" i="1" s="1"/>
  <c r="L3140" i="1"/>
  <c r="M3140" i="1" s="1"/>
  <c r="L3141" i="1"/>
  <c r="M3141" i="1" s="1"/>
  <c r="L3142" i="1"/>
  <c r="M3142" i="1" s="1"/>
  <c r="L3143" i="1"/>
  <c r="M3143" i="1" s="1"/>
  <c r="L3144" i="1"/>
  <c r="M3144" i="1" s="1"/>
  <c r="L3145" i="1"/>
  <c r="M3145" i="1" s="1"/>
  <c r="L3146" i="1"/>
  <c r="M3146" i="1" s="1"/>
  <c r="L3147" i="1"/>
  <c r="M3147" i="1" s="1"/>
  <c r="L3148" i="1"/>
  <c r="M3148" i="1" s="1"/>
  <c r="L3149" i="1"/>
  <c r="M3149" i="1" s="1"/>
  <c r="L3150" i="1"/>
  <c r="M3150" i="1" s="1"/>
  <c r="L3151" i="1"/>
  <c r="M3151" i="1" s="1"/>
  <c r="L3152" i="1"/>
  <c r="M3152" i="1" s="1"/>
  <c r="L3153" i="1"/>
  <c r="M3153" i="1" s="1"/>
  <c r="L3154" i="1"/>
  <c r="M3154" i="1" s="1"/>
  <c r="L3155" i="1"/>
  <c r="M3155" i="1" s="1"/>
  <c r="L3156" i="1"/>
  <c r="M3156" i="1" s="1"/>
  <c r="L3157" i="1"/>
  <c r="M3157" i="1" s="1"/>
  <c r="L3158" i="1"/>
  <c r="M3158" i="1" s="1"/>
  <c r="L3159" i="1"/>
  <c r="M3159" i="1" s="1"/>
  <c r="L3160" i="1"/>
  <c r="M3160" i="1" s="1"/>
  <c r="L3161" i="1"/>
  <c r="M3161" i="1" s="1"/>
  <c r="L3162" i="1"/>
  <c r="M3162" i="1" s="1"/>
  <c r="L3163" i="1"/>
  <c r="M3163" i="1" s="1"/>
  <c r="L3164" i="1"/>
  <c r="M3164" i="1" s="1"/>
  <c r="L3165" i="1"/>
  <c r="M3165" i="1" s="1"/>
  <c r="L3166" i="1"/>
  <c r="M3166" i="1" s="1"/>
  <c r="L3167" i="1"/>
  <c r="M3167" i="1" s="1"/>
  <c r="L3168" i="1"/>
  <c r="M3168" i="1" s="1"/>
  <c r="L3169" i="1"/>
  <c r="M3169" i="1" s="1"/>
  <c r="L3170" i="1"/>
  <c r="M3170" i="1" s="1"/>
  <c r="L3171" i="1"/>
  <c r="M3171" i="1" s="1"/>
  <c r="L3172" i="1"/>
  <c r="M3172" i="1" s="1"/>
  <c r="L3173" i="1"/>
  <c r="M3173" i="1" s="1"/>
  <c r="L3174" i="1"/>
  <c r="M3174" i="1" s="1"/>
  <c r="L3175" i="1"/>
  <c r="M3175" i="1" s="1"/>
  <c r="L3176" i="1"/>
  <c r="M3176" i="1" s="1"/>
  <c r="L3177" i="1"/>
  <c r="M3177" i="1" s="1"/>
  <c r="L3178" i="1"/>
  <c r="M3178" i="1" s="1"/>
  <c r="L3179" i="1"/>
  <c r="M3179" i="1" s="1"/>
  <c r="L3180" i="1"/>
  <c r="M3180" i="1" s="1"/>
  <c r="L3181" i="1"/>
  <c r="M3181" i="1" s="1"/>
  <c r="L3182" i="1"/>
  <c r="M3182" i="1" s="1"/>
  <c r="L3183" i="1"/>
  <c r="M3183" i="1" s="1"/>
  <c r="L3184" i="1"/>
  <c r="M3184" i="1" s="1"/>
  <c r="L3185" i="1"/>
  <c r="M3185" i="1" s="1"/>
  <c r="L3186" i="1"/>
  <c r="M3186" i="1" s="1"/>
  <c r="L3187" i="1"/>
  <c r="M3187" i="1" s="1"/>
  <c r="L3188" i="1"/>
  <c r="M3188" i="1" s="1"/>
  <c r="L3189" i="1"/>
  <c r="M3189" i="1" s="1"/>
  <c r="L3190" i="1"/>
  <c r="M3190" i="1" s="1"/>
  <c r="L3191" i="1"/>
  <c r="M3191" i="1" s="1"/>
  <c r="L3192" i="1"/>
  <c r="M3192" i="1" s="1"/>
  <c r="L3193" i="1"/>
  <c r="M3193" i="1" s="1"/>
  <c r="L3194" i="1"/>
  <c r="M3194" i="1" s="1"/>
  <c r="L3195" i="1"/>
  <c r="M3195" i="1" s="1"/>
  <c r="L3196" i="1"/>
  <c r="M3196" i="1" s="1"/>
  <c r="L3197" i="1"/>
  <c r="M3197" i="1" s="1"/>
  <c r="L3198" i="1"/>
  <c r="M3198" i="1" s="1"/>
  <c r="L3199" i="1"/>
  <c r="M3199" i="1" s="1"/>
  <c r="L3200" i="1"/>
  <c r="M3200" i="1" s="1"/>
  <c r="L3201" i="1"/>
  <c r="M3201" i="1" s="1"/>
  <c r="L3202" i="1"/>
  <c r="M3202" i="1" s="1"/>
  <c r="L3203" i="1"/>
  <c r="M3203" i="1" s="1"/>
  <c r="L3204" i="1"/>
  <c r="M3204" i="1" s="1"/>
  <c r="L3205" i="1"/>
  <c r="M3205" i="1" s="1"/>
  <c r="L3206" i="1"/>
  <c r="M3206" i="1" s="1"/>
  <c r="L3207" i="1"/>
  <c r="M3207" i="1" s="1"/>
  <c r="L3208" i="1"/>
  <c r="M3208" i="1" s="1"/>
  <c r="L3209" i="1"/>
  <c r="M3209" i="1" s="1"/>
  <c r="L3210" i="1"/>
  <c r="M3210" i="1" s="1"/>
  <c r="L3211" i="1"/>
  <c r="M3211" i="1" s="1"/>
  <c r="L3212" i="1"/>
  <c r="M3212" i="1" s="1"/>
  <c r="L3213" i="1"/>
  <c r="M3213" i="1" s="1"/>
  <c r="L3214" i="1"/>
  <c r="M3214" i="1" s="1"/>
  <c r="L3215" i="1"/>
  <c r="M3215" i="1" s="1"/>
  <c r="L3216" i="1"/>
  <c r="M3216" i="1" s="1"/>
  <c r="L3217" i="1"/>
  <c r="M3217" i="1" s="1"/>
  <c r="L3218" i="1"/>
  <c r="M3218" i="1" s="1"/>
  <c r="L3219" i="1"/>
  <c r="M3219" i="1" s="1"/>
  <c r="L3220" i="1"/>
  <c r="M3220" i="1" s="1"/>
  <c r="L3221" i="1"/>
  <c r="M3221" i="1" s="1"/>
  <c r="L3222" i="1"/>
  <c r="M3222" i="1" s="1"/>
  <c r="L3223" i="1"/>
  <c r="M3223" i="1" s="1"/>
  <c r="L3224" i="1"/>
  <c r="M3224" i="1" s="1"/>
  <c r="L3225" i="1"/>
  <c r="M3225" i="1" s="1"/>
  <c r="L3226" i="1"/>
  <c r="M3226" i="1" s="1"/>
  <c r="L3227" i="1"/>
  <c r="M3227" i="1" s="1"/>
  <c r="L3228" i="1"/>
  <c r="M3228" i="1" s="1"/>
  <c r="L3229" i="1"/>
  <c r="M3229" i="1" s="1"/>
  <c r="L3230" i="1"/>
  <c r="M3230" i="1" s="1"/>
  <c r="L3231" i="1"/>
  <c r="M3231" i="1" s="1"/>
  <c r="L3232" i="1"/>
  <c r="M3232" i="1" s="1"/>
  <c r="L3233" i="1"/>
  <c r="M3233" i="1" s="1"/>
  <c r="L3234" i="1"/>
  <c r="M3234" i="1" s="1"/>
  <c r="L3235" i="1"/>
  <c r="M3235" i="1" s="1"/>
  <c r="L3236" i="1"/>
  <c r="M3236" i="1" s="1"/>
  <c r="L3237" i="1"/>
  <c r="M3237" i="1" s="1"/>
  <c r="L3238" i="1"/>
  <c r="M3238" i="1" s="1"/>
  <c r="L3239" i="1"/>
  <c r="M3239" i="1" s="1"/>
  <c r="L3240" i="1"/>
  <c r="M3240" i="1" s="1"/>
  <c r="L3241" i="1"/>
  <c r="M3241" i="1" s="1"/>
  <c r="L3242" i="1"/>
  <c r="M3242" i="1" s="1"/>
  <c r="L3243" i="1"/>
  <c r="M3243" i="1" s="1"/>
  <c r="L3244" i="1"/>
  <c r="M3244" i="1" s="1"/>
  <c r="L3245" i="1"/>
  <c r="M3245" i="1" s="1"/>
  <c r="L3246" i="1"/>
  <c r="M3246" i="1" s="1"/>
  <c r="L3247" i="1"/>
  <c r="M3247" i="1" s="1"/>
  <c r="L3248" i="1"/>
  <c r="M3248" i="1" s="1"/>
  <c r="L3249" i="1"/>
  <c r="M3249" i="1" s="1"/>
  <c r="L3250" i="1"/>
  <c r="M3250" i="1" s="1"/>
  <c r="L3251" i="1"/>
  <c r="M3251" i="1" s="1"/>
  <c r="L3252" i="1"/>
  <c r="M3252" i="1" s="1"/>
  <c r="L3253" i="1"/>
  <c r="M3253" i="1" s="1"/>
  <c r="L3254" i="1"/>
  <c r="M3254" i="1" s="1"/>
  <c r="L3255" i="1"/>
  <c r="M3255" i="1" s="1"/>
  <c r="L3256" i="1"/>
  <c r="M3256" i="1" s="1"/>
  <c r="L3257" i="1"/>
  <c r="M3257" i="1" s="1"/>
  <c r="L3258" i="1"/>
  <c r="M3258" i="1" s="1"/>
  <c r="L3259" i="1"/>
  <c r="M3259" i="1" s="1"/>
  <c r="L3260" i="1"/>
  <c r="M3260" i="1" s="1"/>
  <c r="L3261" i="1"/>
  <c r="M3261" i="1" s="1"/>
  <c r="L3262" i="1"/>
  <c r="M3262" i="1" s="1"/>
  <c r="L3263" i="1"/>
  <c r="M3263" i="1" s="1"/>
  <c r="L3264" i="1"/>
  <c r="M3264" i="1" s="1"/>
  <c r="L3265" i="1"/>
  <c r="M3265" i="1" s="1"/>
  <c r="L3266" i="1"/>
  <c r="M3266" i="1" s="1"/>
  <c r="L3267" i="1"/>
  <c r="M3267" i="1" s="1"/>
  <c r="L3268" i="1"/>
  <c r="M3268" i="1" s="1"/>
  <c r="L3269" i="1"/>
  <c r="M3269" i="1" s="1"/>
  <c r="L3270" i="1"/>
  <c r="M3270" i="1" s="1"/>
  <c r="L3271" i="1"/>
  <c r="M3271" i="1" s="1"/>
  <c r="L3272" i="1"/>
  <c r="M3272" i="1" s="1"/>
  <c r="L3273" i="1"/>
  <c r="M3273" i="1" s="1"/>
  <c r="L3274" i="1"/>
  <c r="M3274" i="1" s="1"/>
  <c r="L3275" i="1"/>
  <c r="M3275" i="1" s="1"/>
  <c r="L3276" i="1"/>
  <c r="M3276" i="1" s="1"/>
  <c r="L3277" i="1"/>
  <c r="M3277" i="1" s="1"/>
  <c r="L3278" i="1"/>
  <c r="M3278" i="1" s="1"/>
  <c r="L3279" i="1"/>
  <c r="M3279" i="1" s="1"/>
  <c r="L3280" i="1"/>
  <c r="M3280" i="1" s="1"/>
  <c r="L3281" i="1"/>
  <c r="M3281" i="1" s="1"/>
  <c r="L3282" i="1"/>
  <c r="M3282" i="1" s="1"/>
  <c r="L3283" i="1"/>
  <c r="M3283" i="1" s="1"/>
  <c r="L3284" i="1"/>
  <c r="M3284" i="1" s="1"/>
  <c r="L3285" i="1"/>
  <c r="M3285" i="1" s="1"/>
  <c r="L3286" i="1"/>
  <c r="M3286" i="1" s="1"/>
  <c r="L3287" i="1"/>
  <c r="M3287" i="1" s="1"/>
  <c r="L3288" i="1"/>
  <c r="M3288" i="1" s="1"/>
  <c r="L3289" i="1"/>
  <c r="M3289" i="1" s="1"/>
  <c r="L3290" i="1"/>
  <c r="M3290" i="1" s="1"/>
  <c r="L3291" i="1"/>
  <c r="M3291" i="1" s="1"/>
  <c r="L3292" i="1"/>
  <c r="M3292" i="1" s="1"/>
  <c r="L3293" i="1"/>
  <c r="M3293" i="1" s="1"/>
  <c r="L3294" i="1"/>
  <c r="M3294" i="1" s="1"/>
  <c r="L3295" i="1"/>
  <c r="M3295" i="1" s="1"/>
  <c r="L3296" i="1"/>
  <c r="M3296" i="1" s="1"/>
  <c r="L3297" i="1"/>
  <c r="M3297" i="1" s="1"/>
  <c r="L3298" i="1"/>
  <c r="M3298" i="1" s="1"/>
  <c r="L3299" i="1"/>
  <c r="M3299" i="1" s="1"/>
  <c r="L3300" i="1"/>
  <c r="M3300" i="1" s="1"/>
  <c r="L3301" i="1"/>
  <c r="M3301" i="1" s="1"/>
  <c r="L3302" i="1"/>
  <c r="M3302" i="1" s="1"/>
  <c r="L3303" i="1"/>
  <c r="M3303" i="1" s="1"/>
  <c r="L3304" i="1"/>
  <c r="M3304" i="1" s="1"/>
  <c r="L3305" i="1"/>
  <c r="M3305" i="1" s="1"/>
  <c r="L3306" i="1"/>
  <c r="M3306" i="1" s="1"/>
  <c r="L3307" i="1"/>
  <c r="M3307" i="1" s="1"/>
  <c r="L3308" i="1"/>
  <c r="M3308" i="1" s="1"/>
  <c r="L3309" i="1"/>
  <c r="M3309" i="1" s="1"/>
  <c r="L3310" i="1"/>
  <c r="M3310" i="1" s="1"/>
  <c r="L3311" i="1"/>
  <c r="M3311" i="1" s="1"/>
  <c r="L3312" i="1"/>
  <c r="M3312" i="1" s="1"/>
  <c r="L3313" i="1"/>
  <c r="M3313" i="1" s="1"/>
  <c r="L3314" i="1"/>
  <c r="M3314" i="1" s="1"/>
  <c r="L3315" i="1"/>
  <c r="M3315" i="1" s="1"/>
  <c r="L3316" i="1"/>
  <c r="M3316" i="1" s="1"/>
  <c r="L3317" i="1"/>
  <c r="M3317" i="1" s="1"/>
  <c r="L3318" i="1"/>
  <c r="M3318" i="1" s="1"/>
  <c r="L3319" i="1"/>
  <c r="M3319" i="1" s="1"/>
  <c r="L3320" i="1"/>
  <c r="M3320" i="1" s="1"/>
  <c r="L3321" i="1"/>
  <c r="M3321" i="1" s="1"/>
  <c r="L3322" i="1"/>
  <c r="M3322" i="1" s="1"/>
  <c r="L3323" i="1"/>
  <c r="M3323" i="1" s="1"/>
  <c r="L3324" i="1"/>
  <c r="M3324" i="1" s="1"/>
  <c r="L3325" i="1"/>
  <c r="M3325" i="1" s="1"/>
  <c r="L3326" i="1"/>
  <c r="M3326" i="1" s="1"/>
  <c r="L3327" i="1"/>
  <c r="M3327" i="1" s="1"/>
  <c r="L3328" i="1"/>
  <c r="M3328" i="1" s="1"/>
  <c r="L3329" i="1"/>
  <c r="M3329" i="1" s="1"/>
  <c r="L3330" i="1"/>
  <c r="M3330" i="1" s="1"/>
  <c r="L3331" i="1"/>
  <c r="M3331" i="1" s="1"/>
  <c r="L3332" i="1"/>
  <c r="M3332" i="1" s="1"/>
  <c r="L3333" i="1"/>
  <c r="M3333" i="1" s="1"/>
  <c r="L3334" i="1"/>
  <c r="M3334" i="1" s="1"/>
  <c r="L3335" i="1"/>
  <c r="M3335" i="1" s="1"/>
  <c r="L3336" i="1"/>
  <c r="M3336" i="1" s="1"/>
  <c r="L3337" i="1"/>
  <c r="M3337" i="1" s="1"/>
  <c r="L3338" i="1"/>
  <c r="M3338" i="1" s="1"/>
  <c r="L3339" i="1"/>
  <c r="M3339" i="1" s="1"/>
  <c r="L3340" i="1"/>
  <c r="M3340" i="1" s="1"/>
  <c r="L3341" i="1"/>
  <c r="M3341" i="1" s="1"/>
  <c r="L3342" i="1"/>
  <c r="M3342" i="1" s="1"/>
  <c r="L3343" i="1"/>
  <c r="M3343" i="1" s="1"/>
  <c r="L3344" i="1"/>
  <c r="M3344" i="1" s="1"/>
  <c r="L3345" i="1"/>
  <c r="M3345" i="1" s="1"/>
  <c r="L3346" i="1"/>
  <c r="M3346" i="1" s="1"/>
  <c r="L3347" i="1"/>
  <c r="M3347" i="1" s="1"/>
  <c r="L3348" i="1"/>
  <c r="M3348" i="1" s="1"/>
  <c r="L3349" i="1"/>
  <c r="M3349" i="1" s="1"/>
  <c r="L3350" i="1"/>
  <c r="M3350" i="1" s="1"/>
  <c r="L3351" i="1"/>
  <c r="M3351" i="1" s="1"/>
  <c r="L3352" i="1"/>
  <c r="M3352" i="1" s="1"/>
  <c r="L3353" i="1"/>
  <c r="M3353" i="1" s="1"/>
  <c r="L3354" i="1"/>
  <c r="M3354" i="1" s="1"/>
  <c r="L3355" i="1"/>
  <c r="M3355" i="1" s="1"/>
  <c r="L3356" i="1"/>
  <c r="M3356" i="1" s="1"/>
  <c r="L3357" i="1"/>
  <c r="M3357" i="1" s="1"/>
  <c r="L3358" i="1"/>
  <c r="M3358" i="1" s="1"/>
  <c r="L3359" i="1"/>
  <c r="M3359" i="1" s="1"/>
  <c r="L3360" i="1"/>
  <c r="M3360" i="1" s="1"/>
  <c r="L3361" i="1"/>
  <c r="M3361" i="1" s="1"/>
  <c r="L3362" i="1"/>
  <c r="M3362" i="1" s="1"/>
  <c r="L3363" i="1"/>
  <c r="M3363" i="1" s="1"/>
  <c r="L3364" i="1"/>
  <c r="M3364" i="1" s="1"/>
  <c r="L3365" i="1"/>
  <c r="M3365" i="1" s="1"/>
  <c r="L3366" i="1"/>
  <c r="M3366" i="1" s="1"/>
  <c r="L3367" i="1"/>
  <c r="M3367" i="1" s="1"/>
  <c r="L3368" i="1"/>
  <c r="M3368" i="1" s="1"/>
  <c r="L3369" i="1"/>
  <c r="M3369" i="1" s="1"/>
  <c r="L3370" i="1"/>
  <c r="M3370" i="1" s="1"/>
  <c r="L3371" i="1"/>
  <c r="M3371" i="1" s="1"/>
  <c r="L3372" i="1"/>
  <c r="M3372" i="1" s="1"/>
  <c r="L3373" i="1"/>
  <c r="M3373" i="1" s="1"/>
  <c r="L3374" i="1"/>
  <c r="M3374" i="1" s="1"/>
  <c r="L3375" i="1"/>
  <c r="M3375" i="1" s="1"/>
  <c r="L3376" i="1"/>
  <c r="M3376" i="1" s="1"/>
  <c r="L3377" i="1"/>
  <c r="M3377" i="1" s="1"/>
  <c r="L3378" i="1"/>
  <c r="M3378" i="1" s="1"/>
  <c r="L3379" i="1"/>
  <c r="M3379" i="1" s="1"/>
  <c r="L3380" i="1"/>
  <c r="M3380" i="1" s="1"/>
  <c r="L3381" i="1"/>
  <c r="M3381" i="1" s="1"/>
  <c r="L3382" i="1"/>
  <c r="M3382" i="1" s="1"/>
  <c r="L3383" i="1"/>
  <c r="M3383" i="1" s="1"/>
  <c r="L3384" i="1"/>
  <c r="M3384" i="1" s="1"/>
  <c r="L3385" i="1"/>
  <c r="M3385" i="1" s="1"/>
  <c r="L3386" i="1"/>
  <c r="M3386" i="1" s="1"/>
  <c r="L3387" i="1"/>
  <c r="M3387" i="1" s="1"/>
  <c r="L3388" i="1"/>
  <c r="M3388" i="1" s="1"/>
  <c r="L3389" i="1"/>
  <c r="M3389" i="1" s="1"/>
  <c r="L3390" i="1"/>
  <c r="M3390" i="1" s="1"/>
  <c r="L3391" i="1"/>
  <c r="M3391" i="1" s="1"/>
  <c r="L3392" i="1"/>
  <c r="M3392" i="1" s="1"/>
  <c r="L3393" i="1"/>
  <c r="M3393" i="1" s="1"/>
  <c r="L3394" i="1"/>
  <c r="M3394" i="1" s="1"/>
  <c r="L3395" i="1"/>
  <c r="M3395" i="1" s="1"/>
  <c r="L3396" i="1"/>
  <c r="M3396" i="1" s="1"/>
  <c r="L3397" i="1"/>
  <c r="M3397" i="1" s="1"/>
  <c r="L3398" i="1"/>
  <c r="M3398" i="1" s="1"/>
  <c r="L3399" i="1"/>
  <c r="M3399" i="1" s="1"/>
  <c r="L3400" i="1"/>
  <c r="M3400" i="1" s="1"/>
  <c r="L3401" i="1"/>
  <c r="M3401" i="1" s="1"/>
  <c r="L3402" i="1"/>
  <c r="M3402" i="1" s="1"/>
  <c r="L3403" i="1"/>
  <c r="M3403" i="1" s="1"/>
  <c r="L3404" i="1"/>
  <c r="M3404" i="1" s="1"/>
  <c r="L3405" i="1"/>
  <c r="M3405" i="1" s="1"/>
  <c r="L3406" i="1"/>
  <c r="M3406" i="1" s="1"/>
  <c r="L3407" i="1"/>
  <c r="M3407" i="1" s="1"/>
  <c r="L3408" i="1"/>
  <c r="M3408" i="1" s="1"/>
  <c r="L3409" i="1"/>
  <c r="M3409" i="1" s="1"/>
  <c r="L3410" i="1"/>
  <c r="M3410" i="1" s="1"/>
  <c r="L3411" i="1"/>
  <c r="M3411" i="1" s="1"/>
  <c r="L3412" i="1"/>
  <c r="M3412" i="1" s="1"/>
  <c r="L3413" i="1"/>
  <c r="M3413" i="1" s="1"/>
  <c r="L3414" i="1"/>
  <c r="M3414" i="1" s="1"/>
  <c r="L3415" i="1"/>
  <c r="M3415" i="1" s="1"/>
  <c r="L3416" i="1"/>
  <c r="M3416" i="1" s="1"/>
  <c r="L3417" i="1"/>
  <c r="M3417" i="1" s="1"/>
  <c r="L3418" i="1"/>
  <c r="M3418" i="1" s="1"/>
  <c r="L3419" i="1"/>
  <c r="M3419" i="1" s="1"/>
  <c r="L3420" i="1"/>
  <c r="M3420" i="1" s="1"/>
  <c r="L3421" i="1"/>
  <c r="M3421" i="1" s="1"/>
  <c r="L3422" i="1"/>
  <c r="M3422" i="1" s="1"/>
  <c r="L3423" i="1"/>
  <c r="M3423" i="1" s="1"/>
  <c r="L3424" i="1"/>
  <c r="M3424" i="1" s="1"/>
  <c r="L3425" i="1"/>
  <c r="M3425" i="1" s="1"/>
  <c r="L3426" i="1"/>
  <c r="M3426" i="1" s="1"/>
  <c r="L3427" i="1"/>
  <c r="M3427" i="1" s="1"/>
  <c r="L3428" i="1"/>
  <c r="M3428" i="1" s="1"/>
  <c r="L3429" i="1"/>
  <c r="M3429" i="1" s="1"/>
  <c r="L3430" i="1"/>
  <c r="M3430" i="1" s="1"/>
  <c r="L3431" i="1"/>
  <c r="M3431" i="1" s="1"/>
  <c r="L3432" i="1"/>
  <c r="M3432" i="1" s="1"/>
  <c r="L3433" i="1"/>
  <c r="M3433" i="1" s="1"/>
  <c r="L3434" i="1"/>
  <c r="M3434" i="1" s="1"/>
  <c r="L3435" i="1"/>
  <c r="M3435" i="1" s="1"/>
  <c r="L3436" i="1"/>
  <c r="M3436" i="1" s="1"/>
  <c r="L3437" i="1"/>
  <c r="M3437" i="1" s="1"/>
  <c r="L3438" i="1"/>
  <c r="M3438" i="1" s="1"/>
  <c r="L3439" i="1"/>
  <c r="M3439" i="1" s="1"/>
  <c r="L3440" i="1"/>
  <c r="M3440" i="1" s="1"/>
  <c r="L3441" i="1"/>
  <c r="M3441" i="1" s="1"/>
  <c r="L3442" i="1"/>
  <c r="M3442" i="1" s="1"/>
  <c r="L3443" i="1"/>
  <c r="M3443" i="1" s="1"/>
  <c r="L3444" i="1"/>
  <c r="M3444" i="1" s="1"/>
  <c r="L3445" i="1"/>
  <c r="M3445" i="1" s="1"/>
  <c r="L3446" i="1"/>
  <c r="M3446" i="1" s="1"/>
  <c r="L3447" i="1"/>
  <c r="M3447" i="1" s="1"/>
  <c r="L3448" i="1"/>
  <c r="M3448" i="1" s="1"/>
  <c r="L3449" i="1"/>
  <c r="M3449" i="1" s="1"/>
  <c r="L3450" i="1"/>
  <c r="M3450" i="1" s="1"/>
  <c r="L3451" i="1"/>
  <c r="M3451" i="1" s="1"/>
  <c r="L3452" i="1"/>
  <c r="M3452" i="1" s="1"/>
  <c r="L3453" i="1"/>
  <c r="M3453" i="1" s="1"/>
  <c r="L3454" i="1"/>
  <c r="M3454" i="1" s="1"/>
  <c r="L3455" i="1"/>
  <c r="M3455" i="1" s="1"/>
  <c r="L3456" i="1"/>
  <c r="M3456" i="1" s="1"/>
  <c r="L3457" i="1"/>
  <c r="M3457" i="1" s="1"/>
  <c r="L3458" i="1"/>
  <c r="M3458" i="1" s="1"/>
  <c r="L3459" i="1"/>
  <c r="M3459" i="1" s="1"/>
  <c r="L3460" i="1"/>
  <c r="M3460" i="1" s="1"/>
  <c r="L3461" i="1"/>
  <c r="M3461" i="1" s="1"/>
  <c r="L3462" i="1"/>
  <c r="M3462" i="1" s="1"/>
  <c r="L3463" i="1"/>
  <c r="M3463" i="1" s="1"/>
  <c r="L3464" i="1"/>
  <c r="M3464" i="1" s="1"/>
  <c r="L3465" i="1"/>
  <c r="M3465" i="1" s="1"/>
  <c r="L3466" i="1"/>
  <c r="M3466" i="1" s="1"/>
  <c r="L3467" i="1"/>
  <c r="M3467" i="1" s="1"/>
  <c r="L3468" i="1"/>
  <c r="M3468" i="1" s="1"/>
  <c r="L3469" i="1"/>
  <c r="M3469" i="1" s="1"/>
  <c r="L3470" i="1"/>
  <c r="M3470" i="1" s="1"/>
  <c r="L3471" i="1"/>
  <c r="M3471" i="1" s="1"/>
  <c r="L3472" i="1"/>
  <c r="M3472" i="1" s="1"/>
  <c r="L3473" i="1"/>
  <c r="M3473" i="1" s="1"/>
  <c r="L3474" i="1"/>
  <c r="M3474" i="1" s="1"/>
  <c r="L3475" i="1"/>
  <c r="M3475" i="1" s="1"/>
  <c r="L3476" i="1"/>
  <c r="M3476" i="1" s="1"/>
  <c r="L3477" i="1"/>
  <c r="M3477" i="1" s="1"/>
  <c r="L3478" i="1"/>
  <c r="M3478" i="1" s="1"/>
  <c r="L3479" i="1"/>
  <c r="M3479" i="1" s="1"/>
  <c r="L3480" i="1"/>
  <c r="M3480" i="1" s="1"/>
  <c r="L3481" i="1"/>
  <c r="M3481" i="1" s="1"/>
  <c r="L3482" i="1"/>
  <c r="M3482" i="1" s="1"/>
  <c r="L3483" i="1"/>
  <c r="M3483" i="1" s="1"/>
  <c r="L3484" i="1"/>
  <c r="M3484" i="1" s="1"/>
  <c r="L3485" i="1"/>
  <c r="M3485" i="1" s="1"/>
  <c r="L3486" i="1"/>
  <c r="M3486" i="1" s="1"/>
  <c r="L3487" i="1"/>
  <c r="M3487" i="1" s="1"/>
  <c r="L3488" i="1"/>
  <c r="M3488" i="1" s="1"/>
  <c r="L3489" i="1"/>
  <c r="M3489" i="1" s="1"/>
  <c r="L3490" i="1"/>
  <c r="M3490" i="1" s="1"/>
  <c r="L3491" i="1"/>
  <c r="M3491" i="1" s="1"/>
  <c r="L3492" i="1"/>
  <c r="M3492" i="1" s="1"/>
  <c r="L3493" i="1"/>
  <c r="M3493" i="1" s="1"/>
  <c r="L3494" i="1"/>
  <c r="M3494" i="1" s="1"/>
  <c r="L3495" i="1"/>
  <c r="M3495" i="1" s="1"/>
  <c r="L3496" i="1"/>
  <c r="M3496" i="1" s="1"/>
  <c r="L3497" i="1"/>
  <c r="M3497" i="1" s="1"/>
  <c r="L3498" i="1"/>
  <c r="M3498" i="1" s="1"/>
  <c r="L3499" i="1"/>
  <c r="M3499" i="1" s="1"/>
  <c r="L3500" i="1"/>
  <c r="M3500" i="1" s="1"/>
  <c r="L3501" i="1"/>
  <c r="M3501" i="1" s="1"/>
  <c r="L3502" i="1"/>
  <c r="M3502" i="1" s="1"/>
  <c r="L3503" i="1"/>
  <c r="M3503" i="1" s="1"/>
  <c r="L3504" i="1"/>
  <c r="M3504" i="1" s="1"/>
  <c r="L3505" i="1"/>
  <c r="M3505" i="1" s="1"/>
  <c r="L3506" i="1"/>
  <c r="M3506" i="1" s="1"/>
  <c r="L3507" i="1"/>
  <c r="M3507" i="1" s="1"/>
  <c r="L3508" i="1"/>
  <c r="M3508" i="1" s="1"/>
  <c r="L3509" i="1"/>
  <c r="M3509" i="1" s="1"/>
  <c r="L3510" i="1"/>
  <c r="M3510" i="1" s="1"/>
  <c r="L3511" i="1"/>
  <c r="M3511" i="1" s="1"/>
  <c r="L3512" i="1"/>
  <c r="M3512" i="1" s="1"/>
  <c r="L3513" i="1"/>
  <c r="M3513" i="1" s="1"/>
  <c r="L3514" i="1"/>
  <c r="M3514" i="1" s="1"/>
  <c r="L3515" i="1"/>
  <c r="M3515" i="1" s="1"/>
  <c r="L3516" i="1"/>
  <c r="M3516" i="1" s="1"/>
  <c r="L3517" i="1"/>
  <c r="M3517" i="1" s="1"/>
  <c r="L3518" i="1"/>
  <c r="M3518" i="1" s="1"/>
  <c r="L3519" i="1"/>
  <c r="M3519" i="1" s="1"/>
  <c r="L3520" i="1"/>
  <c r="M3520" i="1" s="1"/>
  <c r="L3521" i="1"/>
  <c r="M3521" i="1" s="1"/>
  <c r="L3522" i="1"/>
  <c r="M3522" i="1" s="1"/>
  <c r="L3523" i="1"/>
  <c r="M3523" i="1" s="1"/>
  <c r="L3524" i="1"/>
  <c r="M3524" i="1" s="1"/>
  <c r="L3525" i="1"/>
  <c r="M3525" i="1" s="1"/>
  <c r="L3526" i="1"/>
  <c r="M3526" i="1" s="1"/>
  <c r="L3527" i="1"/>
  <c r="M3527" i="1" s="1"/>
  <c r="L3528" i="1"/>
  <c r="M3528" i="1" s="1"/>
  <c r="L3529" i="1"/>
  <c r="M3529" i="1" s="1"/>
  <c r="L3530" i="1"/>
  <c r="M3530" i="1" s="1"/>
  <c r="L3531" i="1"/>
  <c r="M3531" i="1" s="1"/>
  <c r="L3532" i="1"/>
  <c r="M3532" i="1" s="1"/>
  <c r="L3533" i="1"/>
  <c r="M3533" i="1" s="1"/>
  <c r="L3534" i="1"/>
  <c r="M3534" i="1" s="1"/>
  <c r="L3535" i="1"/>
  <c r="M3535" i="1" s="1"/>
  <c r="L3536" i="1"/>
  <c r="M3536" i="1" s="1"/>
  <c r="L3537" i="1"/>
  <c r="M3537" i="1" s="1"/>
  <c r="L3538" i="1"/>
  <c r="M3538" i="1" s="1"/>
  <c r="L3539" i="1"/>
  <c r="M3539" i="1" s="1"/>
  <c r="L3540" i="1"/>
  <c r="M3540" i="1" s="1"/>
  <c r="L3541" i="1"/>
  <c r="M3541" i="1" s="1"/>
  <c r="L3542" i="1"/>
  <c r="M3542" i="1" s="1"/>
  <c r="L3543" i="1"/>
  <c r="M3543" i="1" s="1"/>
  <c r="L3544" i="1"/>
  <c r="M3544" i="1" s="1"/>
  <c r="L3545" i="1"/>
  <c r="M3545" i="1" s="1"/>
  <c r="L3546" i="1"/>
  <c r="M3546" i="1" s="1"/>
  <c r="L3547" i="1"/>
  <c r="M3547" i="1" s="1"/>
  <c r="L3548" i="1"/>
  <c r="M3548" i="1" s="1"/>
  <c r="L3549" i="1"/>
  <c r="M3549" i="1" s="1"/>
  <c r="L3550" i="1"/>
  <c r="M3550" i="1" s="1"/>
  <c r="L3551" i="1"/>
  <c r="M3551" i="1" s="1"/>
  <c r="L3552" i="1"/>
  <c r="M3552" i="1" s="1"/>
  <c r="L3553" i="1"/>
  <c r="M3553" i="1" s="1"/>
  <c r="L3554" i="1"/>
  <c r="M3554" i="1" s="1"/>
  <c r="L3555" i="1"/>
  <c r="M3555" i="1" s="1"/>
  <c r="L3556" i="1"/>
  <c r="M3556" i="1" s="1"/>
  <c r="L3557" i="1"/>
  <c r="M3557" i="1" s="1"/>
  <c r="L3558" i="1"/>
  <c r="M3558" i="1" s="1"/>
  <c r="L3559" i="1"/>
  <c r="M3559" i="1" s="1"/>
  <c r="L3560" i="1"/>
  <c r="M3560" i="1" s="1"/>
  <c r="L3561" i="1"/>
  <c r="M3561" i="1" s="1"/>
  <c r="L3562" i="1"/>
  <c r="M3562" i="1" s="1"/>
  <c r="L3563" i="1"/>
  <c r="M3563" i="1" s="1"/>
  <c r="L3564" i="1"/>
  <c r="M3564" i="1" s="1"/>
  <c r="L3565" i="1"/>
  <c r="M3565" i="1" s="1"/>
  <c r="L3566" i="1"/>
  <c r="M3566" i="1" s="1"/>
  <c r="L3567" i="1"/>
  <c r="M3567" i="1" s="1"/>
  <c r="L3568" i="1"/>
  <c r="M3568" i="1" s="1"/>
  <c r="L3569" i="1"/>
  <c r="M3569" i="1" s="1"/>
  <c r="L3570" i="1"/>
  <c r="M3570" i="1" s="1"/>
  <c r="L3571" i="1"/>
  <c r="M3571" i="1" s="1"/>
  <c r="L3572" i="1"/>
  <c r="M3572" i="1" s="1"/>
  <c r="L3573" i="1"/>
  <c r="M3573" i="1" s="1"/>
  <c r="L3574" i="1"/>
  <c r="M3574" i="1" s="1"/>
  <c r="L3575" i="1"/>
  <c r="M3575" i="1" s="1"/>
  <c r="L3576" i="1"/>
  <c r="M3576" i="1" s="1"/>
  <c r="L3577" i="1"/>
  <c r="M3577" i="1" s="1"/>
  <c r="L3578" i="1"/>
  <c r="M3578" i="1" s="1"/>
  <c r="L3579" i="1"/>
  <c r="M3579" i="1" s="1"/>
  <c r="L3580" i="1"/>
  <c r="M3580" i="1" s="1"/>
  <c r="L3581" i="1"/>
  <c r="M3581" i="1" s="1"/>
  <c r="L3582" i="1"/>
  <c r="M3582" i="1" s="1"/>
  <c r="L3583" i="1"/>
  <c r="M3583" i="1" s="1"/>
  <c r="L3584" i="1"/>
  <c r="M3584" i="1" s="1"/>
  <c r="L3585" i="1"/>
  <c r="M3585" i="1" s="1"/>
  <c r="L3586" i="1"/>
  <c r="M3586" i="1" s="1"/>
  <c r="L3587" i="1"/>
  <c r="M3587" i="1" s="1"/>
  <c r="L3588" i="1"/>
  <c r="M3588" i="1" s="1"/>
  <c r="L3589" i="1"/>
  <c r="M3589" i="1" s="1"/>
  <c r="L3590" i="1"/>
  <c r="M3590" i="1" s="1"/>
  <c r="L3591" i="1"/>
  <c r="M3591" i="1" s="1"/>
  <c r="L3592" i="1"/>
  <c r="M3592" i="1" s="1"/>
  <c r="L3593" i="1"/>
  <c r="M3593" i="1" s="1"/>
  <c r="L3594" i="1"/>
  <c r="M3594" i="1" s="1"/>
  <c r="L3595" i="1"/>
  <c r="M3595" i="1" s="1"/>
  <c r="L3596" i="1"/>
  <c r="M3596" i="1" s="1"/>
  <c r="L3597" i="1"/>
  <c r="M3597" i="1" s="1"/>
  <c r="L3598" i="1"/>
  <c r="M3598" i="1" s="1"/>
  <c r="L3599" i="1"/>
  <c r="M3599" i="1" s="1"/>
  <c r="L3600" i="1"/>
  <c r="M3600" i="1" s="1"/>
  <c r="L3601" i="1"/>
  <c r="M3601" i="1" s="1"/>
  <c r="L3602" i="1"/>
  <c r="M3602" i="1" s="1"/>
  <c r="L3603" i="1"/>
  <c r="M3603" i="1" s="1"/>
  <c r="L3604" i="1"/>
  <c r="M3604" i="1" s="1"/>
  <c r="L3605" i="1"/>
  <c r="M3605" i="1" s="1"/>
  <c r="L3606" i="1"/>
  <c r="M3606" i="1" s="1"/>
  <c r="L3607" i="1"/>
  <c r="M3607" i="1" s="1"/>
  <c r="L3608" i="1"/>
  <c r="M3608" i="1" s="1"/>
  <c r="L3609" i="1"/>
  <c r="M3609" i="1" s="1"/>
  <c r="L3610" i="1"/>
  <c r="M3610" i="1" s="1"/>
  <c r="L3611" i="1"/>
  <c r="M3611" i="1" s="1"/>
  <c r="L3612" i="1"/>
  <c r="M3612" i="1" s="1"/>
  <c r="L3613" i="1"/>
  <c r="M3613" i="1" s="1"/>
  <c r="L3614" i="1"/>
  <c r="M3614" i="1" s="1"/>
  <c r="L3615" i="1"/>
  <c r="M3615" i="1" s="1"/>
  <c r="L3616" i="1"/>
  <c r="M3616" i="1" s="1"/>
  <c r="L3617" i="1"/>
  <c r="M3617" i="1" s="1"/>
  <c r="L3618" i="1"/>
  <c r="M3618" i="1" s="1"/>
  <c r="L3619" i="1"/>
  <c r="M3619" i="1" s="1"/>
  <c r="L3620" i="1"/>
  <c r="M3620" i="1" s="1"/>
  <c r="L3621" i="1"/>
  <c r="M3621" i="1" s="1"/>
  <c r="L3622" i="1"/>
  <c r="M3622" i="1" s="1"/>
  <c r="L3623" i="1"/>
  <c r="M3623" i="1" s="1"/>
  <c r="L3624" i="1"/>
  <c r="M3624" i="1" s="1"/>
  <c r="L3625" i="1"/>
  <c r="M3625" i="1" s="1"/>
  <c r="L3626" i="1"/>
  <c r="M3626" i="1" s="1"/>
  <c r="L3627" i="1"/>
  <c r="M3627" i="1" s="1"/>
  <c r="L3628" i="1"/>
  <c r="M3628" i="1" s="1"/>
  <c r="L3629" i="1"/>
  <c r="M3629" i="1" s="1"/>
  <c r="L3630" i="1"/>
  <c r="M3630" i="1" s="1"/>
  <c r="L3631" i="1"/>
  <c r="M3631" i="1" s="1"/>
  <c r="L3632" i="1"/>
  <c r="M3632" i="1" s="1"/>
  <c r="L3633" i="1"/>
  <c r="M3633" i="1" s="1"/>
  <c r="L3634" i="1"/>
  <c r="M3634" i="1" s="1"/>
  <c r="L3635" i="1"/>
  <c r="M3635" i="1" s="1"/>
  <c r="L3636" i="1"/>
  <c r="M3636" i="1" s="1"/>
  <c r="L3637" i="1"/>
  <c r="M3637" i="1" s="1"/>
  <c r="L3638" i="1"/>
  <c r="M3638" i="1" s="1"/>
  <c r="L3639" i="1"/>
  <c r="M3639" i="1" s="1"/>
  <c r="L3640" i="1"/>
  <c r="M3640" i="1" s="1"/>
  <c r="L3641" i="1"/>
  <c r="M3641" i="1" s="1"/>
  <c r="L3642" i="1"/>
  <c r="M3642" i="1" s="1"/>
  <c r="L3643" i="1"/>
  <c r="M3643" i="1" s="1"/>
  <c r="L3644" i="1"/>
  <c r="M3644" i="1" s="1"/>
  <c r="L3645" i="1"/>
  <c r="M3645" i="1" s="1"/>
  <c r="L3646" i="1"/>
  <c r="M3646" i="1" s="1"/>
  <c r="L3647" i="1"/>
  <c r="M3647" i="1" s="1"/>
  <c r="L3648" i="1"/>
  <c r="M3648" i="1" s="1"/>
  <c r="L3649" i="1"/>
  <c r="M3649" i="1" s="1"/>
  <c r="L3650" i="1"/>
  <c r="M3650" i="1" s="1"/>
  <c r="L3651" i="1"/>
  <c r="M3651" i="1" s="1"/>
  <c r="L3652" i="1"/>
  <c r="M3652" i="1" s="1"/>
  <c r="L3653" i="1"/>
  <c r="M3653" i="1" s="1"/>
  <c r="L3654" i="1"/>
  <c r="M3654" i="1" s="1"/>
  <c r="L3655" i="1"/>
  <c r="M3655" i="1" s="1"/>
  <c r="L3656" i="1"/>
  <c r="M3656" i="1" s="1"/>
  <c r="L3657" i="1"/>
  <c r="M3657" i="1" s="1"/>
  <c r="L3658" i="1"/>
  <c r="M3658" i="1" s="1"/>
  <c r="L3659" i="1"/>
  <c r="M3659" i="1" s="1"/>
  <c r="L3660" i="1"/>
  <c r="M3660" i="1" s="1"/>
  <c r="L3661" i="1"/>
  <c r="M3661" i="1" s="1"/>
  <c r="L3662" i="1"/>
  <c r="M3662" i="1" s="1"/>
  <c r="L3663" i="1"/>
  <c r="M3663" i="1" s="1"/>
  <c r="L3664" i="1"/>
  <c r="M3664" i="1" s="1"/>
  <c r="L3665" i="1"/>
  <c r="M3665" i="1" s="1"/>
  <c r="L3666" i="1"/>
  <c r="M3666" i="1" s="1"/>
  <c r="L3667" i="1"/>
  <c r="M3667" i="1" s="1"/>
  <c r="L3668" i="1"/>
  <c r="M3668" i="1" s="1"/>
  <c r="L3669" i="1"/>
  <c r="M3669" i="1" s="1"/>
  <c r="L3670" i="1"/>
  <c r="M3670" i="1" s="1"/>
  <c r="L3671" i="1"/>
  <c r="M3671" i="1" s="1"/>
  <c r="L3672" i="1"/>
  <c r="M3672" i="1" s="1"/>
  <c r="L3673" i="1"/>
  <c r="M3673" i="1" s="1"/>
  <c r="L3674" i="1"/>
  <c r="M3674" i="1" s="1"/>
  <c r="L3675" i="1"/>
  <c r="M3675" i="1" s="1"/>
  <c r="L3676" i="1"/>
  <c r="M3676" i="1" s="1"/>
  <c r="L3677" i="1"/>
  <c r="M3677" i="1" s="1"/>
  <c r="L3678" i="1"/>
  <c r="M3678" i="1" s="1"/>
  <c r="L3679" i="1"/>
  <c r="M3679" i="1" s="1"/>
  <c r="L3680" i="1"/>
  <c r="M3680" i="1" s="1"/>
  <c r="L3681" i="1"/>
  <c r="M3681" i="1" s="1"/>
  <c r="L3682" i="1"/>
  <c r="M3682" i="1" s="1"/>
  <c r="L3683" i="1"/>
  <c r="M3683" i="1" s="1"/>
  <c r="L3684" i="1"/>
  <c r="M3684" i="1" s="1"/>
  <c r="L3685" i="1"/>
  <c r="M3685" i="1" s="1"/>
  <c r="L3686" i="1"/>
  <c r="M3686" i="1" s="1"/>
  <c r="L3687" i="1"/>
  <c r="M3687" i="1" s="1"/>
  <c r="L3688" i="1"/>
  <c r="M3688" i="1" s="1"/>
  <c r="L3689" i="1"/>
  <c r="M3689" i="1" s="1"/>
  <c r="L3690" i="1"/>
  <c r="M3690" i="1" s="1"/>
  <c r="L3691" i="1"/>
  <c r="M3691" i="1" s="1"/>
  <c r="L3692" i="1"/>
  <c r="M3692" i="1" s="1"/>
  <c r="L3693" i="1"/>
  <c r="M3693" i="1" s="1"/>
  <c r="L3694" i="1"/>
  <c r="M3694" i="1" s="1"/>
  <c r="L3695" i="1"/>
  <c r="M3695" i="1" s="1"/>
  <c r="L3696" i="1"/>
  <c r="M3696" i="1" s="1"/>
  <c r="L3697" i="1"/>
  <c r="M3697" i="1" s="1"/>
  <c r="L3698" i="1"/>
  <c r="M3698" i="1" s="1"/>
  <c r="L3699" i="1"/>
  <c r="M3699" i="1" s="1"/>
  <c r="L3700" i="1"/>
  <c r="M3700" i="1" s="1"/>
  <c r="L3701" i="1"/>
  <c r="M3701" i="1" s="1"/>
  <c r="L3702" i="1"/>
  <c r="M3702" i="1" s="1"/>
  <c r="L3703" i="1"/>
  <c r="M3703" i="1" s="1"/>
  <c r="L3704" i="1"/>
  <c r="M3704" i="1" s="1"/>
  <c r="L3705" i="1"/>
  <c r="M3705" i="1" s="1"/>
  <c r="L3706" i="1"/>
  <c r="M3706" i="1" s="1"/>
  <c r="L3707" i="1"/>
  <c r="M3707" i="1" s="1"/>
  <c r="L3708" i="1"/>
  <c r="M3708" i="1" s="1"/>
  <c r="L3709" i="1"/>
  <c r="M3709" i="1" s="1"/>
  <c r="L3710" i="1"/>
  <c r="M3710" i="1" s="1"/>
  <c r="L3711" i="1"/>
  <c r="M3711" i="1" s="1"/>
  <c r="L3712" i="1"/>
  <c r="M3712" i="1" s="1"/>
  <c r="L3713" i="1"/>
  <c r="M3713" i="1" s="1"/>
  <c r="L3714" i="1"/>
  <c r="M3714" i="1" s="1"/>
  <c r="L3715" i="1"/>
  <c r="M3715" i="1" s="1"/>
  <c r="L3716" i="1"/>
  <c r="M3716" i="1" s="1"/>
  <c r="L3717" i="1"/>
  <c r="M3717" i="1" s="1"/>
  <c r="L3718" i="1"/>
  <c r="M3718" i="1" s="1"/>
  <c r="L3719" i="1"/>
  <c r="M3719" i="1" s="1"/>
  <c r="L3720" i="1"/>
  <c r="M3720" i="1" s="1"/>
  <c r="L3721" i="1"/>
  <c r="M3721" i="1" s="1"/>
  <c r="L3722" i="1"/>
  <c r="M3722" i="1" s="1"/>
  <c r="L3723" i="1"/>
  <c r="M3723" i="1" s="1"/>
  <c r="L3724" i="1"/>
  <c r="M3724" i="1" s="1"/>
  <c r="L3725" i="1"/>
  <c r="M3725" i="1" s="1"/>
  <c r="L3726" i="1"/>
  <c r="M3726" i="1" s="1"/>
  <c r="L3727" i="1"/>
  <c r="M3727" i="1" s="1"/>
  <c r="L3728" i="1"/>
  <c r="M3728" i="1" s="1"/>
  <c r="L3729" i="1"/>
  <c r="M3729" i="1" s="1"/>
  <c r="L3730" i="1"/>
  <c r="M3730" i="1" s="1"/>
  <c r="L3731" i="1"/>
  <c r="M3731" i="1" s="1"/>
  <c r="L3732" i="1"/>
  <c r="M3732" i="1" s="1"/>
  <c r="L3733" i="1"/>
  <c r="M3733" i="1" s="1"/>
  <c r="L3734" i="1"/>
  <c r="M3734" i="1" s="1"/>
  <c r="L3735" i="1"/>
  <c r="M3735" i="1" s="1"/>
  <c r="L3736" i="1"/>
  <c r="M3736" i="1" s="1"/>
  <c r="L3737" i="1"/>
  <c r="M3737" i="1" s="1"/>
  <c r="L3738" i="1"/>
  <c r="M3738" i="1" s="1"/>
  <c r="L3739" i="1"/>
  <c r="M3739" i="1" s="1"/>
  <c r="L3740" i="1"/>
  <c r="M3740" i="1" s="1"/>
  <c r="L3741" i="1"/>
  <c r="M3741" i="1" s="1"/>
  <c r="L3742" i="1"/>
  <c r="M3742" i="1" s="1"/>
  <c r="L3743" i="1"/>
  <c r="M3743" i="1" s="1"/>
  <c r="L3744" i="1"/>
  <c r="M3744" i="1" s="1"/>
  <c r="L3745" i="1"/>
  <c r="M3745" i="1" s="1"/>
  <c r="L3746" i="1"/>
  <c r="M3746" i="1" s="1"/>
  <c r="L3747" i="1"/>
  <c r="M3747" i="1" s="1"/>
  <c r="L3748" i="1"/>
  <c r="M3748" i="1" s="1"/>
  <c r="L3749" i="1"/>
  <c r="M3749" i="1" s="1"/>
  <c r="L3750" i="1"/>
  <c r="M3750" i="1" s="1"/>
  <c r="L3751" i="1"/>
  <c r="M3751" i="1" s="1"/>
  <c r="L3752" i="1"/>
  <c r="M3752" i="1" s="1"/>
  <c r="L3753" i="1"/>
  <c r="M3753" i="1" s="1"/>
  <c r="L3754" i="1"/>
  <c r="M3754" i="1" s="1"/>
  <c r="L3755" i="1"/>
  <c r="M3755" i="1" s="1"/>
  <c r="L3756" i="1"/>
  <c r="M3756" i="1" s="1"/>
  <c r="L3757" i="1"/>
  <c r="M3757" i="1" s="1"/>
  <c r="L3758" i="1"/>
  <c r="M3758" i="1" s="1"/>
  <c r="L3759" i="1"/>
  <c r="M3759" i="1" s="1"/>
  <c r="L3760" i="1"/>
  <c r="M3760" i="1" s="1"/>
  <c r="L3761" i="1"/>
  <c r="M3761" i="1" s="1"/>
  <c r="L3762" i="1"/>
  <c r="M3762" i="1" s="1"/>
  <c r="L3763" i="1"/>
  <c r="M3763" i="1" s="1"/>
  <c r="L3764" i="1"/>
  <c r="M3764" i="1" s="1"/>
  <c r="L3765" i="1"/>
  <c r="M3765" i="1" s="1"/>
  <c r="L3766" i="1"/>
  <c r="M3766" i="1" s="1"/>
  <c r="L3767" i="1"/>
  <c r="M3767" i="1" s="1"/>
  <c r="L3768" i="1"/>
  <c r="M3768" i="1" s="1"/>
  <c r="L3769" i="1"/>
  <c r="M3769" i="1" s="1"/>
  <c r="L3770" i="1"/>
  <c r="M3770" i="1" s="1"/>
  <c r="L3771" i="1"/>
  <c r="M3771" i="1" s="1"/>
  <c r="L3772" i="1"/>
  <c r="M3772" i="1" s="1"/>
  <c r="L3773" i="1"/>
  <c r="M3773" i="1" s="1"/>
  <c r="L3774" i="1"/>
  <c r="M3774" i="1" s="1"/>
  <c r="L3775" i="1"/>
  <c r="M3775" i="1" s="1"/>
  <c r="L3776" i="1"/>
  <c r="M3776" i="1" s="1"/>
  <c r="L3777" i="1"/>
  <c r="M3777" i="1" s="1"/>
  <c r="L3778" i="1"/>
  <c r="M3778" i="1" s="1"/>
  <c r="L3779" i="1"/>
  <c r="M3779" i="1" s="1"/>
  <c r="L3780" i="1"/>
  <c r="M3780" i="1" s="1"/>
  <c r="L3781" i="1"/>
  <c r="M3781" i="1" s="1"/>
  <c r="L3782" i="1"/>
  <c r="M3782" i="1" s="1"/>
  <c r="L3783" i="1"/>
  <c r="M3783" i="1" s="1"/>
  <c r="L3784" i="1"/>
  <c r="M3784" i="1" s="1"/>
  <c r="L3785" i="1"/>
  <c r="M3785" i="1" s="1"/>
  <c r="L3786" i="1"/>
  <c r="M3786" i="1" s="1"/>
  <c r="L3787" i="1"/>
  <c r="M3787" i="1" s="1"/>
  <c r="L3788" i="1"/>
  <c r="M3788" i="1" s="1"/>
  <c r="L3789" i="1"/>
  <c r="M3789" i="1" s="1"/>
  <c r="L3790" i="1"/>
  <c r="M3790" i="1" s="1"/>
  <c r="L3791" i="1"/>
  <c r="M3791" i="1" s="1"/>
  <c r="L3792" i="1"/>
  <c r="M3792" i="1" s="1"/>
  <c r="L3793" i="1"/>
  <c r="M3793" i="1" s="1"/>
  <c r="L3794" i="1"/>
  <c r="M3794" i="1" s="1"/>
  <c r="L3795" i="1"/>
  <c r="M3795" i="1" s="1"/>
  <c r="L3796" i="1"/>
  <c r="M3796" i="1" s="1"/>
  <c r="L3797" i="1"/>
  <c r="M3797" i="1" s="1"/>
  <c r="L3798" i="1"/>
  <c r="M3798" i="1" s="1"/>
  <c r="L3799" i="1"/>
  <c r="M3799" i="1" s="1"/>
  <c r="L3800" i="1"/>
  <c r="M3800" i="1" s="1"/>
  <c r="L3801" i="1"/>
  <c r="M3801" i="1" s="1"/>
  <c r="L3802" i="1"/>
  <c r="M3802" i="1" s="1"/>
  <c r="L3803" i="1"/>
  <c r="M3803" i="1" s="1"/>
  <c r="L3804" i="1"/>
  <c r="M3804" i="1" s="1"/>
  <c r="L3805" i="1"/>
  <c r="M3805" i="1" s="1"/>
  <c r="L3806" i="1"/>
  <c r="M3806" i="1" s="1"/>
  <c r="L3807" i="1"/>
  <c r="M3807" i="1" s="1"/>
  <c r="L3808" i="1"/>
  <c r="M3808" i="1" s="1"/>
  <c r="L3809" i="1"/>
  <c r="M3809" i="1" s="1"/>
  <c r="L3810" i="1"/>
  <c r="M3810" i="1" s="1"/>
  <c r="L3811" i="1"/>
  <c r="M3811" i="1" s="1"/>
  <c r="L3812" i="1"/>
  <c r="M3812" i="1" s="1"/>
  <c r="L3813" i="1"/>
  <c r="M3813" i="1" s="1"/>
  <c r="L3814" i="1"/>
  <c r="M3814" i="1" s="1"/>
  <c r="L3815" i="1"/>
  <c r="M3815" i="1" s="1"/>
  <c r="L3816" i="1"/>
  <c r="M3816" i="1" s="1"/>
  <c r="L3817" i="1"/>
  <c r="M3817" i="1" s="1"/>
  <c r="L3818" i="1"/>
  <c r="M3818" i="1" s="1"/>
  <c r="L3819" i="1"/>
  <c r="M3819" i="1" s="1"/>
  <c r="L3820" i="1"/>
  <c r="M3820" i="1" s="1"/>
  <c r="L3821" i="1"/>
  <c r="M3821" i="1" s="1"/>
  <c r="L3822" i="1"/>
  <c r="M3822" i="1" s="1"/>
  <c r="L3823" i="1"/>
  <c r="M3823" i="1" s="1"/>
  <c r="L3824" i="1"/>
  <c r="M3824" i="1" s="1"/>
  <c r="L3825" i="1"/>
  <c r="M3825" i="1" s="1"/>
  <c r="L3826" i="1"/>
  <c r="M3826" i="1" s="1"/>
  <c r="L3827" i="1"/>
  <c r="M3827" i="1" s="1"/>
  <c r="L3828" i="1"/>
  <c r="M3828" i="1" s="1"/>
  <c r="L3829" i="1"/>
  <c r="M3829" i="1" s="1"/>
  <c r="L3830" i="1"/>
  <c r="M3830" i="1" s="1"/>
  <c r="L3831" i="1"/>
  <c r="M3831" i="1" s="1"/>
  <c r="L3832" i="1"/>
  <c r="M3832" i="1" s="1"/>
  <c r="L3833" i="1"/>
  <c r="M3833" i="1" s="1"/>
  <c r="L3834" i="1"/>
  <c r="M3834" i="1" s="1"/>
  <c r="L3835" i="1"/>
  <c r="M3835" i="1" s="1"/>
  <c r="L3836" i="1"/>
  <c r="M3836" i="1" s="1"/>
  <c r="L3837" i="1"/>
  <c r="M3837" i="1" s="1"/>
  <c r="L3838" i="1"/>
  <c r="M3838" i="1" s="1"/>
  <c r="L3839" i="1"/>
  <c r="M3839" i="1" s="1"/>
  <c r="L3840" i="1"/>
  <c r="M3840" i="1" s="1"/>
  <c r="L3841" i="1"/>
  <c r="M3841" i="1" s="1"/>
  <c r="L3842" i="1"/>
  <c r="M3842" i="1" s="1"/>
  <c r="L3843" i="1"/>
  <c r="M3843" i="1" s="1"/>
  <c r="L3844" i="1"/>
  <c r="M3844" i="1" s="1"/>
  <c r="L3845" i="1"/>
  <c r="M3845" i="1" s="1"/>
  <c r="L3846" i="1"/>
  <c r="M3846" i="1" s="1"/>
  <c r="L3847" i="1"/>
  <c r="M3847" i="1" s="1"/>
  <c r="L3848" i="1"/>
  <c r="M3848" i="1" s="1"/>
  <c r="L3849" i="1"/>
  <c r="M3849" i="1" s="1"/>
  <c r="L3850" i="1"/>
  <c r="M3850" i="1" s="1"/>
  <c r="L3851" i="1"/>
  <c r="M3851" i="1" s="1"/>
  <c r="L3852" i="1"/>
  <c r="M3852" i="1" s="1"/>
  <c r="L3853" i="1"/>
  <c r="M3853" i="1" s="1"/>
  <c r="L3854" i="1"/>
  <c r="M3854" i="1" s="1"/>
  <c r="L3855" i="1"/>
  <c r="M3855" i="1" s="1"/>
  <c r="L3856" i="1"/>
  <c r="M3856" i="1" s="1"/>
  <c r="L3857" i="1"/>
  <c r="M3857" i="1" s="1"/>
  <c r="L3858" i="1"/>
  <c r="M3858" i="1" s="1"/>
  <c r="L3859" i="1"/>
  <c r="M3859" i="1" s="1"/>
  <c r="L3860" i="1"/>
  <c r="M3860" i="1" s="1"/>
  <c r="L3861" i="1"/>
  <c r="M3861" i="1" s="1"/>
  <c r="L3862" i="1"/>
  <c r="M3862" i="1" s="1"/>
  <c r="L3863" i="1"/>
  <c r="M3863" i="1" s="1"/>
  <c r="L3864" i="1"/>
  <c r="M3864" i="1" s="1"/>
  <c r="L3865" i="1"/>
  <c r="M3865" i="1" s="1"/>
  <c r="L3866" i="1"/>
  <c r="M3866" i="1" s="1"/>
  <c r="L3867" i="1"/>
  <c r="M3867" i="1" s="1"/>
  <c r="L3868" i="1"/>
  <c r="M3868" i="1" s="1"/>
  <c r="L3869" i="1"/>
  <c r="M3869" i="1" s="1"/>
  <c r="L3870" i="1"/>
  <c r="M3870" i="1" s="1"/>
  <c r="L3871" i="1"/>
  <c r="M3871" i="1" s="1"/>
  <c r="L3872" i="1"/>
  <c r="M3872" i="1" s="1"/>
  <c r="L3873" i="1"/>
  <c r="M3873" i="1" s="1"/>
  <c r="L3874" i="1"/>
  <c r="M3874" i="1" s="1"/>
  <c r="L3875" i="1"/>
  <c r="M3875" i="1" s="1"/>
  <c r="L3876" i="1"/>
  <c r="M3876" i="1" s="1"/>
  <c r="L3877" i="1"/>
  <c r="M3877" i="1" s="1"/>
  <c r="L3878" i="1"/>
  <c r="M3878" i="1" s="1"/>
  <c r="L3879" i="1"/>
  <c r="M3879" i="1" s="1"/>
  <c r="L3880" i="1"/>
  <c r="M3880" i="1" s="1"/>
  <c r="L3881" i="1"/>
  <c r="M3881" i="1" s="1"/>
  <c r="L3882" i="1"/>
  <c r="M3882" i="1" s="1"/>
  <c r="L3883" i="1"/>
  <c r="M3883" i="1" s="1"/>
  <c r="L3884" i="1"/>
  <c r="M3884" i="1" s="1"/>
  <c r="L3885" i="1"/>
  <c r="M3885" i="1" s="1"/>
  <c r="L3886" i="1"/>
  <c r="M3886" i="1" s="1"/>
  <c r="L3887" i="1"/>
  <c r="M3887" i="1" s="1"/>
  <c r="L3888" i="1"/>
  <c r="M3888" i="1" s="1"/>
  <c r="L3889" i="1"/>
  <c r="M3889" i="1" s="1"/>
  <c r="L3890" i="1"/>
  <c r="M3890" i="1" s="1"/>
  <c r="L3891" i="1"/>
  <c r="M3891" i="1" s="1"/>
  <c r="L3892" i="1"/>
  <c r="M3892" i="1" s="1"/>
  <c r="L3893" i="1"/>
  <c r="M3893" i="1" s="1"/>
  <c r="L3894" i="1"/>
  <c r="M3894" i="1" s="1"/>
  <c r="L3895" i="1"/>
  <c r="M3895" i="1" s="1"/>
  <c r="L3896" i="1"/>
  <c r="M3896" i="1" s="1"/>
  <c r="L3897" i="1"/>
  <c r="M3897" i="1" s="1"/>
  <c r="L3898" i="1"/>
  <c r="M3898" i="1" s="1"/>
  <c r="L3899" i="1"/>
  <c r="M3899" i="1" s="1"/>
  <c r="L3900" i="1"/>
  <c r="M3900" i="1" s="1"/>
  <c r="L3901" i="1"/>
  <c r="M3901" i="1" s="1"/>
  <c r="L3902" i="1"/>
  <c r="M3902" i="1" s="1"/>
  <c r="L3903" i="1"/>
  <c r="M3903" i="1" s="1"/>
  <c r="L3904" i="1"/>
  <c r="M3904" i="1" s="1"/>
  <c r="L3905" i="1"/>
  <c r="M3905" i="1" s="1"/>
  <c r="L3906" i="1"/>
  <c r="M3906" i="1" s="1"/>
  <c r="L3907" i="1"/>
  <c r="M3907" i="1" s="1"/>
  <c r="L3908" i="1"/>
  <c r="M3908" i="1" s="1"/>
  <c r="L3909" i="1"/>
  <c r="M3909" i="1" s="1"/>
  <c r="L3910" i="1"/>
  <c r="M3910" i="1" s="1"/>
  <c r="L3911" i="1"/>
  <c r="M3911" i="1" s="1"/>
  <c r="L3912" i="1"/>
  <c r="M3912" i="1" s="1"/>
  <c r="L3913" i="1"/>
  <c r="M3913" i="1" s="1"/>
  <c r="L3914" i="1"/>
  <c r="M3914" i="1" s="1"/>
  <c r="L3915" i="1"/>
  <c r="M3915" i="1" s="1"/>
  <c r="L3916" i="1"/>
  <c r="M3916" i="1" s="1"/>
  <c r="L3917" i="1"/>
  <c r="M3917" i="1" s="1"/>
  <c r="L3918" i="1"/>
  <c r="M3918" i="1" s="1"/>
  <c r="L3919" i="1"/>
  <c r="M3919" i="1" s="1"/>
  <c r="L3920" i="1"/>
  <c r="M3920" i="1" s="1"/>
  <c r="L3921" i="1"/>
  <c r="M3921" i="1" s="1"/>
  <c r="L3922" i="1"/>
  <c r="M3922" i="1" s="1"/>
  <c r="L3923" i="1"/>
  <c r="M3923" i="1" s="1"/>
  <c r="L3924" i="1"/>
  <c r="M3924" i="1" s="1"/>
  <c r="L3925" i="1"/>
  <c r="M3925" i="1" s="1"/>
  <c r="L3926" i="1"/>
  <c r="M3926" i="1" s="1"/>
  <c r="L3927" i="1"/>
  <c r="M3927" i="1" s="1"/>
  <c r="L3928" i="1"/>
  <c r="M3928" i="1" s="1"/>
  <c r="L3929" i="1"/>
  <c r="M3929" i="1" s="1"/>
  <c r="L3930" i="1"/>
  <c r="M3930" i="1" s="1"/>
  <c r="L3931" i="1"/>
  <c r="M3931" i="1" s="1"/>
  <c r="L3932" i="1"/>
  <c r="M3932" i="1" s="1"/>
  <c r="L3933" i="1"/>
  <c r="M3933" i="1" s="1"/>
  <c r="L3934" i="1"/>
  <c r="M3934" i="1" s="1"/>
  <c r="L3935" i="1"/>
  <c r="M3935" i="1" s="1"/>
  <c r="L3936" i="1"/>
  <c r="M3936" i="1" s="1"/>
  <c r="L3937" i="1"/>
  <c r="M3937" i="1" s="1"/>
  <c r="L3938" i="1"/>
  <c r="M3938" i="1" s="1"/>
  <c r="L3939" i="1"/>
  <c r="M3939" i="1" s="1"/>
  <c r="L3940" i="1"/>
  <c r="M3940" i="1" s="1"/>
  <c r="L3941" i="1"/>
  <c r="M3941" i="1" s="1"/>
  <c r="L3942" i="1"/>
  <c r="M3942" i="1" s="1"/>
  <c r="L3943" i="1"/>
  <c r="M3943" i="1" s="1"/>
  <c r="L3944" i="1"/>
  <c r="M3944" i="1" s="1"/>
  <c r="L3945" i="1"/>
  <c r="M3945" i="1" s="1"/>
  <c r="L3946" i="1"/>
  <c r="M3946" i="1" s="1"/>
  <c r="L3947" i="1"/>
  <c r="M3947" i="1" s="1"/>
  <c r="L3948" i="1"/>
  <c r="M3948" i="1" s="1"/>
  <c r="L3949" i="1"/>
  <c r="M3949" i="1" s="1"/>
  <c r="L3950" i="1"/>
  <c r="M3950" i="1" s="1"/>
  <c r="L3951" i="1"/>
  <c r="M3951" i="1" s="1"/>
  <c r="L3952" i="1"/>
  <c r="M3952" i="1" s="1"/>
  <c r="L3953" i="1"/>
  <c r="M3953" i="1" s="1"/>
  <c r="L3954" i="1"/>
  <c r="M3954" i="1" s="1"/>
  <c r="L3955" i="1"/>
  <c r="M3955" i="1" s="1"/>
  <c r="L3956" i="1"/>
  <c r="M3956" i="1" s="1"/>
  <c r="L3957" i="1"/>
  <c r="M3957" i="1" s="1"/>
  <c r="L3958" i="1"/>
  <c r="M3958" i="1" s="1"/>
  <c r="L3959" i="1"/>
  <c r="M3959" i="1" s="1"/>
  <c r="L3960" i="1"/>
  <c r="M3960" i="1" s="1"/>
  <c r="L3961" i="1"/>
  <c r="M3961" i="1" s="1"/>
  <c r="L3962" i="1"/>
  <c r="M3962" i="1" s="1"/>
  <c r="L3963" i="1"/>
  <c r="M3963" i="1" s="1"/>
  <c r="L3964" i="1"/>
  <c r="M3964" i="1" s="1"/>
  <c r="L3965" i="1"/>
  <c r="M3965" i="1" s="1"/>
  <c r="L3966" i="1"/>
  <c r="M3966" i="1" s="1"/>
  <c r="L3967" i="1"/>
  <c r="M3967" i="1" s="1"/>
  <c r="L3968" i="1"/>
  <c r="M3968" i="1" s="1"/>
  <c r="L3969" i="1"/>
  <c r="M3969" i="1" s="1"/>
  <c r="L3970" i="1"/>
  <c r="M3970" i="1" s="1"/>
  <c r="L3971" i="1"/>
  <c r="M3971" i="1" s="1"/>
  <c r="L3972" i="1"/>
  <c r="M3972" i="1" s="1"/>
  <c r="L3973" i="1"/>
  <c r="M3973" i="1" s="1"/>
  <c r="L3974" i="1"/>
  <c r="M3974" i="1" s="1"/>
  <c r="L3975" i="1"/>
  <c r="M3975" i="1" s="1"/>
  <c r="L3976" i="1"/>
  <c r="M3976" i="1" s="1"/>
  <c r="L3977" i="1"/>
  <c r="M3977" i="1" s="1"/>
  <c r="L3978" i="1"/>
  <c r="M3978" i="1" s="1"/>
  <c r="L3979" i="1"/>
  <c r="M3979" i="1" s="1"/>
  <c r="L3980" i="1"/>
  <c r="M3980" i="1" s="1"/>
  <c r="L3981" i="1"/>
  <c r="M3981" i="1" s="1"/>
  <c r="L3982" i="1"/>
  <c r="M3982" i="1" s="1"/>
  <c r="L3983" i="1"/>
  <c r="M3983" i="1" s="1"/>
  <c r="L3984" i="1"/>
  <c r="M3984" i="1" s="1"/>
  <c r="L3985" i="1"/>
  <c r="M3985" i="1" s="1"/>
  <c r="L3986" i="1"/>
  <c r="M3986" i="1" s="1"/>
  <c r="L3987" i="1"/>
  <c r="M3987" i="1" s="1"/>
  <c r="L3988" i="1"/>
  <c r="M3988" i="1" s="1"/>
  <c r="L3989" i="1"/>
  <c r="M3989" i="1" s="1"/>
  <c r="L3990" i="1"/>
  <c r="M3990" i="1" s="1"/>
  <c r="L3991" i="1"/>
  <c r="M3991" i="1" s="1"/>
  <c r="L3992" i="1"/>
  <c r="M3992" i="1" s="1"/>
  <c r="L3993" i="1"/>
  <c r="M3993" i="1" s="1"/>
  <c r="L3994" i="1"/>
  <c r="M3994" i="1" s="1"/>
  <c r="L3995" i="1"/>
  <c r="M3995" i="1" s="1"/>
  <c r="L3996" i="1"/>
  <c r="M3996" i="1" s="1"/>
  <c r="L3997" i="1"/>
  <c r="M3997" i="1" s="1"/>
  <c r="L3998" i="1"/>
  <c r="M3998" i="1" s="1"/>
  <c r="L3999" i="1"/>
  <c r="M3999" i="1" s="1"/>
  <c r="L4000" i="1"/>
  <c r="M4000" i="1" s="1"/>
  <c r="L4001" i="1"/>
  <c r="M4001" i="1" s="1"/>
  <c r="L4002" i="1"/>
  <c r="M4002" i="1" s="1"/>
  <c r="L4003" i="1"/>
  <c r="M4003" i="1" s="1"/>
  <c r="L4004" i="1"/>
  <c r="M4004" i="1" s="1"/>
  <c r="L4005" i="1"/>
  <c r="M4005" i="1" s="1"/>
  <c r="L4006" i="1"/>
  <c r="M4006" i="1" s="1"/>
  <c r="L4007" i="1"/>
  <c r="M4007" i="1" s="1"/>
  <c r="L4008" i="1"/>
  <c r="M4008" i="1" s="1"/>
  <c r="L4009" i="1"/>
  <c r="M4009" i="1" s="1"/>
  <c r="L4010" i="1"/>
  <c r="M4010" i="1" s="1"/>
  <c r="L4011" i="1"/>
  <c r="M4011" i="1" s="1"/>
  <c r="L4012" i="1"/>
  <c r="M4012" i="1" s="1"/>
  <c r="L4013" i="1"/>
  <c r="M4013" i="1" s="1"/>
  <c r="L4014" i="1"/>
  <c r="M4014" i="1" s="1"/>
  <c r="L4015" i="1"/>
  <c r="M4015" i="1" s="1"/>
  <c r="L4016" i="1"/>
  <c r="M4016" i="1" s="1"/>
  <c r="L4017" i="1"/>
  <c r="M4017" i="1" s="1"/>
  <c r="L4018" i="1"/>
  <c r="M4018" i="1" s="1"/>
  <c r="L4019" i="1"/>
  <c r="M4019" i="1" s="1"/>
  <c r="L4020" i="1"/>
  <c r="M4020" i="1" s="1"/>
  <c r="L4021" i="1"/>
  <c r="M4021" i="1" s="1"/>
  <c r="L4022" i="1"/>
  <c r="M4022" i="1" s="1"/>
  <c r="L4023" i="1"/>
  <c r="M4023" i="1" s="1"/>
  <c r="L4024" i="1"/>
  <c r="M4024" i="1" s="1"/>
  <c r="L4025" i="1"/>
  <c r="M4025" i="1" s="1"/>
  <c r="L4026" i="1"/>
  <c r="M4026" i="1" s="1"/>
  <c r="L4027" i="1"/>
  <c r="M4027" i="1" s="1"/>
  <c r="L4028" i="1"/>
  <c r="M4028" i="1" s="1"/>
  <c r="L4029" i="1"/>
  <c r="M4029" i="1" s="1"/>
  <c r="L4030" i="1"/>
  <c r="M4030" i="1" s="1"/>
  <c r="L4031" i="1"/>
  <c r="M4031" i="1" s="1"/>
  <c r="L4032" i="1"/>
  <c r="M4032" i="1" s="1"/>
  <c r="L4033" i="1"/>
  <c r="M4033" i="1" s="1"/>
  <c r="L4034" i="1"/>
  <c r="M4034" i="1" s="1"/>
  <c r="L4035" i="1"/>
  <c r="M4035" i="1" s="1"/>
  <c r="L4036" i="1"/>
  <c r="M4036" i="1" s="1"/>
  <c r="L4037" i="1"/>
  <c r="M4037" i="1" s="1"/>
  <c r="L4038" i="1"/>
  <c r="M4038" i="1" s="1"/>
  <c r="L4039" i="1"/>
  <c r="M4039" i="1" s="1"/>
  <c r="L4040" i="1"/>
  <c r="M4040" i="1" s="1"/>
  <c r="L4041" i="1"/>
  <c r="M4041" i="1" s="1"/>
  <c r="L4042" i="1"/>
  <c r="M4042" i="1" s="1"/>
  <c r="L4043" i="1"/>
  <c r="M4043" i="1" s="1"/>
  <c r="L4044" i="1"/>
  <c r="M4044" i="1" s="1"/>
  <c r="L4045" i="1"/>
  <c r="M4045" i="1" s="1"/>
  <c r="L4046" i="1"/>
  <c r="M4046" i="1" s="1"/>
  <c r="L4047" i="1"/>
  <c r="M4047" i="1" s="1"/>
  <c r="L4048" i="1"/>
  <c r="M4048" i="1" s="1"/>
  <c r="L4049" i="1"/>
  <c r="M4049" i="1" s="1"/>
  <c r="L4050" i="1"/>
  <c r="M4050" i="1" s="1"/>
  <c r="L4051" i="1"/>
  <c r="M4051" i="1" s="1"/>
  <c r="L4052" i="1"/>
  <c r="M4052" i="1" s="1"/>
  <c r="L4053" i="1"/>
  <c r="M4053" i="1" s="1"/>
  <c r="L4054" i="1"/>
  <c r="M4054" i="1" s="1"/>
  <c r="L4055" i="1"/>
  <c r="M4055" i="1" s="1"/>
  <c r="L4056" i="1"/>
  <c r="M4056" i="1" s="1"/>
  <c r="L4057" i="1"/>
  <c r="M4057" i="1" s="1"/>
  <c r="L4058" i="1"/>
  <c r="M4058" i="1" s="1"/>
  <c r="L4059" i="1"/>
  <c r="M4059" i="1" s="1"/>
  <c r="L4060" i="1"/>
  <c r="M4060" i="1" s="1"/>
  <c r="L4061" i="1"/>
  <c r="M4061" i="1" s="1"/>
  <c r="L4062" i="1"/>
  <c r="M4062" i="1" s="1"/>
  <c r="L4063" i="1"/>
  <c r="M4063" i="1" s="1"/>
  <c r="L4064" i="1"/>
  <c r="M4064" i="1" s="1"/>
  <c r="L4065" i="1"/>
  <c r="M4065" i="1" s="1"/>
  <c r="L4066" i="1"/>
  <c r="M4066" i="1" s="1"/>
  <c r="L4067" i="1"/>
  <c r="M4067" i="1" s="1"/>
  <c r="L4068" i="1"/>
  <c r="M4068" i="1" s="1"/>
  <c r="L4069" i="1"/>
  <c r="M4069" i="1" s="1"/>
  <c r="L4070" i="1"/>
  <c r="M4070" i="1" s="1"/>
  <c r="L4071" i="1"/>
  <c r="M4071" i="1" s="1"/>
  <c r="L4072" i="1"/>
  <c r="M4072" i="1" s="1"/>
  <c r="L4073" i="1"/>
  <c r="M4073" i="1" s="1"/>
  <c r="L4074" i="1"/>
  <c r="M4074" i="1" s="1"/>
  <c r="L4075" i="1"/>
  <c r="M4075" i="1" s="1"/>
  <c r="L4076" i="1"/>
  <c r="M4076" i="1" s="1"/>
  <c r="L4077" i="1"/>
  <c r="M4077" i="1" s="1"/>
  <c r="L4078" i="1"/>
  <c r="M4078" i="1" s="1"/>
  <c r="L4079" i="1"/>
  <c r="M4079" i="1" s="1"/>
  <c r="L4080" i="1"/>
  <c r="M4080" i="1" s="1"/>
  <c r="L4081" i="1"/>
  <c r="M4081" i="1" s="1"/>
  <c r="L4082" i="1"/>
  <c r="M4082" i="1" s="1"/>
  <c r="L4083" i="1"/>
  <c r="M4083" i="1" s="1"/>
  <c r="L4084" i="1"/>
  <c r="M4084" i="1" s="1"/>
  <c r="L4085" i="1"/>
  <c r="M4085" i="1" s="1"/>
  <c r="L4086" i="1"/>
  <c r="M4086" i="1" s="1"/>
  <c r="L4087" i="1"/>
  <c r="M4087" i="1" s="1"/>
  <c r="L4088" i="1"/>
  <c r="M4088" i="1" s="1"/>
  <c r="L4089" i="1"/>
  <c r="M4089" i="1" s="1"/>
  <c r="L4090" i="1"/>
  <c r="M4090" i="1" s="1"/>
  <c r="L4091" i="1"/>
  <c r="M4091" i="1" s="1"/>
  <c r="L4092" i="1"/>
  <c r="M4092" i="1" s="1"/>
  <c r="L4093" i="1"/>
  <c r="M4093" i="1" s="1"/>
  <c r="L4094" i="1"/>
  <c r="M4094" i="1" s="1"/>
  <c r="L4095" i="1"/>
  <c r="M4095" i="1" s="1"/>
  <c r="L4096" i="1"/>
  <c r="M4096" i="1" s="1"/>
  <c r="L4097" i="1"/>
  <c r="M4097" i="1" s="1"/>
  <c r="L4098" i="1"/>
  <c r="M4098" i="1" s="1"/>
  <c r="L4099" i="1"/>
  <c r="M4099" i="1" s="1"/>
  <c r="L4100" i="1"/>
  <c r="M4100" i="1" s="1"/>
  <c r="L4101" i="1"/>
  <c r="M4101" i="1" s="1"/>
  <c r="L4102" i="1"/>
  <c r="M4102" i="1" s="1"/>
  <c r="L4103" i="1"/>
  <c r="M4103" i="1" s="1"/>
  <c r="L4104" i="1"/>
  <c r="M4104" i="1" s="1"/>
  <c r="L4105" i="1"/>
  <c r="M4105" i="1" s="1"/>
  <c r="L4106" i="1"/>
  <c r="M4106" i="1" s="1"/>
  <c r="L4107" i="1"/>
  <c r="M4107" i="1" s="1"/>
  <c r="L4108" i="1"/>
  <c r="M4108" i="1" s="1"/>
  <c r="L4109" i="1"/>
  <c r="M4109" i="1" s="1"/>
  <c r="L4110" i="1"/>
  <c r="M4110" i="1" s="1"/>
  <c r="L4111" i="1"/>
  <c r="M4111" i="1" s="1"/>
  <c r="L4112" i="1"/>
  <c r="M4112" i="1" s="1"/>
  <c r="L4113" i="1"/>
  <c r="M4113" i="1" s="1"/>
  <c r="L4114" i="1"/>
  <c r="M4114" i="1" s="1"/>
  <c r="L4115" i="1"/>
  <c r="M4115" i="1" s="1"/>
  <c r="L4116" i="1"/>
  <c r="M4116" i="1" s="1"/>
  <c r="L4117" i="1"/>
  <c r="M4117" i="1" s="1"/>
  <c r="L4118" i="1"/>
  <c r="M4118" i="1" s="1"/>
  <c r="L4119" i="1"/>
  <c r="M4119" i="1" s="1"/>
  <c r="L4120" i="1"/>
  <c r="M4120" i="1" s="1"/>
  <c r="L4121" i="1"/>
  <c r="M4121" i="1" s="1"/>
  <c r="L4122" i="1"/>
  <c r="M4122" i="1" s="1"/>
  <c r="L4123" i="1"/>
  <c r="M4123" i="1" s="1"/>
  <c r="L4124" i="1"/>
  <c r="M4124" i="1" s="1"/>
  <c r="L4125" i="1"/>
  <c r="M4125" i="1" s="1"/>
  <c r="L4126" i="1"/>
  <c r="M4126" i="1" s="1"/>
  <c r="L4127" i="1"/>
  <c r="M4127" i="1" s="1"/>
  <c r="L4128" i="1"/>
  <c r="M4128" i="1" s="1"/>
  <c r="L4129" i="1"/>
  <c r="M4129" i="1" s="1"/>
  <c r="L4130" i="1"/>
  <c r="M4130" i="1" s="1"/>
  <c r="L4131" i="1"/>
  <c r="M4131" i="1" s="1"/>
  <c r="L4132" i="1"/>
  <c r="M4132" i="1" s="1"/>
  <c r="L4133" i="1"/>
  <c r="M4133" i="1" s="1"/>
  <c r="L4134" i="1"/>
  <c r="M4134" i="1" s="1"/>
  <c r="L4135" i="1"/>
  <c r="M4135" i="1" s="1"/>
  <c r="L4136" i="1"/>
  <c r="M4136" i="1" s="1"/>
  <c r="L4137" i="1"/>
  <c r="M4137" i="1" s="1"/>
  <c r="L4138" i="1"/>
  <c r="M4138" i="1" s="1"/>
  <c r="L4139" i="1"/>
  <c r="M4139" i="1" s="1"/>
  <c r="L4140" i="1"/>
  <c r="M4140" i="1" s="1"/>
  <c r="L4141" i="1"/>
  <c r="M4141" i="1" s="1"/>
  <c r="L4142" i="1"/>
  <c r="M4142" i="1" s="1"/>
  <c r="L4143" i="1"/>
  <c r="M4143" i="1" s="1"/>
  <c r="L4144" i="1"/>
  <c r="M4144" i="1" s="1"/>
  <c r="L4145" i="1"/>
  <c r="M4145" i="1" s="1"/>
  <c r="L4146" i="1"/>
  <c r="M4146" i="1" s="1"/>
  <c r="L4147" i="1"/>
  <c r="M4147" i="1" s="1"/>
  <c r="L4148" i="1"/>
  <c r="M4148" i="1" s="1"/>
  <c r="L4149" i="1"/>
  <c r="M4149" i="1" s="1"/>
  <c r="L4150" i="1"/>
  <c r="M4150" i="1" s="1"/>
  <c r="L4151" i="1"/>
  <c r="M4151" i="1" s="1"/>
  <c r="L4152" i="1"/>
  <c r="M4152" i="1" s="1"/>
  <c r="L4153" i="1"/>
  <c r="M4153" i="1" s="1"/>
  <c r="L4154" i="1"/>
  <c r="M4154" i="1" s="1"/>
  <c r="L4155" i="1"/>
  <c r="M4155" i="1" s="1"/>
  <c r="L4156" i="1"/>
  <c r="M4156" i="1" s="1"/>
  <c r="L4157" i="1"/>
  <c r="M4157" i="1" s="1"/>
  <c r="L4158" i="1"/>
  <c r="M4158" i="1" s="1"/>
  <c r="L4159" i="1"/>
  <c r="M4159" i="1" s="1"/>
  <c r="L4160" i="1"/>
  <c r="M4160" i="1" s="1"/>
  <c r="L4161" i="1"/>
  <c r="M4161" i="1" s="1"/>
  <c r="L4162" i="1"/>
  <c r="M4162" i="1" s="1"/>
  <c r="L4163" i="1"/>
  <c r="M4163" i="1" s="1"/>
  <c r="L4164" i="1"/>
  <c r="M4164" i="1" s="1"/>
  <c r="L4165" i="1"/>
  <c r="M4165" i="1" s="1"/>
  <c r="L4166" i="1"/>
  <c r="M4166" i="1" s="1"/>
  <c r="L4167" i="1"/>
  <c r="M4167" i="1" s="1"/>
  <c r="L4168" i="1"/>
  <c r="M4168" i="1" s="1"/>
  <c r="L4169" i="1"/>
  <c r="M4169" i="1" s="1"/>
  <c r="L4170" i="1"/>
  <c r="M4170" i="1" s="1"/>
  <c r="L4171" i="1"/>
  <c r="M4171" i="1" s="1"/>
  <c r="L4172" i="1"/>
  <c r="M4172" i="1" s="1"/>
  <c r="L4173" i="1"/>
  <c r="M4173" i="1" s="1"/>
  <c r="L4174" i="1"/>
  <c r="M4174" i="1" s="1"/>
  <c r="L4175" i="1"/>
  <c r="M4175" i="1" s="1"/>
  <c r="L4176" i="1"/>
  <c r="M4176" i="1" s="1"/>
  <c r="L4177" i="1"/>
  <c r="M4177" i="1" s="1"/>
  <c r="L4178" i="1"/>
  <c r="M4178" i="1" s="1"/>
  <c r="L4179" i="1"/>
  <c r="M4179" i="1" s="1"/>
  <c r="L4180" i="1"/>
  <c r="M4180" i="1" s="1"/>
  <c r="L4181" i="1"/>
  <c r="M4181" i="1" s="1"/>
  <c r="L4182" i="1"/>
  <c r="M4182" i="1" s="1"/>
  <c r="L4183" i="1"/>
  <c r="M4183" i="1" s="1"/>
  <c r="L4184" i="1"/>
  <c r="M4184" i="1" s="1"/>
  <c r="L4185" i="1"/>
  <c r="M4185" i="1" s="1"/>
  <c r="L4186" i="1"/>
  <c r="M4186" i="1" s="1"/>
  <c r="L4187" i="1"/>
  <c r="M4187" i="1" s="1"/>
  <c r="L4188" i="1"/>
  <c r="M4188" i="1" s="1"/>
  <c r="L4189" i="1"/>
  <c r="M4189" i="1" s="1"/>
  <c r="L4190" i="1"/>
  <c r="M4190" i="1" s="1"/>
  <c r="L4191" i="1"/>
  <c r="M4191" i="1" s="1"/>
  <c r="L4192" i="1"/>
  <c r="M4192" i="1" s="1"/>
  <c r="L4193" i="1"/>
  <c r="M4193" i="1" s="1"/>
  <c r="L4194" i="1"/>
  <c r="M4194" i="1" s="1"/>
  <c r="L4195" i="1"/>
  <c r="M4195" i="1" s="1"/>
  <c r="L4196" i="1"/>
  <c r="M4196" i="1" s="1"/>
  <c r="L4197" i="1"/>
  <c r="M4197" i="1" s="1"/>
  <c r="L4198" i="1"/>
  <c r="M4198" i="1" s="1"/>
  <c r="L4199" i="1"/>
  <c r="M4199" i="1" s="1"/>
  <c r="L4200" i="1"/>
  <c r="M4200" i="1" s="1"/>
  <c r="L4201" i="1"/>
  <c r="M4201" i="1" s="1"/>
  <c r="L4202" i="1"/>
  <c r="M4202" i="1" s="1"/>
  <c r="L4203" i="1"/>
  <c r="M4203" i="1" s="1"/>
  <c r="L4204" i="1"/>
  <c r="M4204" i="1" s="1"/>
  <c r="L4205" i="1"/>
  <c r="M4205" i="1" s="1"/>
  <c r="L4206" i="1"/>
  <c r="M4206" i="1" s="1"/>
  <c r="L4207" i="1"/>
  <c r="M4207" i="1" s="1"/>
  <c r="L4208" i="1"/>
  <c r="M4208" i="1" s="1"/>
  <c r="L4209" i="1"/>
  <c r="M4209" i="1" s="1"/>
  <c r="L4210" i="1"/>
  <c r="M4210" i="1" s="1"/>
  <c r="L4211" i="1"/>
  <c r="M4211" i="1" s="1"/>
  <c r="L4212" i="1"/>
  <c r="M4212" i="1" s="1"/>
  <c r="L4213" i="1"/>
  <c r="M4213" i="1" s="1"/>
  <c r="L4214" i="1"/>
  <c r="M4214" i="1" s="1"/>
  <c r="L4215" i="1"/>
  <c r="M4215" i="1" s="1"/>
  <c r="L4216" i="1"/>
  <c r="M4216" i="1" s="1"/>
  <c r="L4217" i="1"/>
  <c r="M4217" i="1" s="1"/>
  <c r="L4218" i="1"/>
  <c r="M4218" i="1" s="1"/>
  <c r="L4219" i="1"/>
  <c r="M4219" i="1" s="1"/>
  <c r="L4220" i="1"/>
  <c r="M4220" i="1" s="1"/>
  <c r="L4221" i="1"/>
  <c r="M4221" i="1" s="1"/>
  <c r="L4222" i="1"/>
  <c r="M4222" i="1" s="1"/>
  <c r="L4223" i="1"/>
  <c r="M4223" i="1" s="1"/>
  <c r="L4224" i="1"/>
  <c r="M4224" i="1" s="1"/>
  <c r="L4225" i="1"/>
  <c r="M4225" i="1" s="1"/>
  <c r="L4226" i="1"/>
  <c r="M4226" i="1" s="1"/>
  <c r="L4227" i="1"/>
  <c r="M4227" i="1" s="1"/>
  <c r="L4228" i="1"/>
  <c r="M4228" i="1" s="1"/>
  <c r="L4229" i="1"/>
  <c r="M4229" i="1" s="1"/>
  <c r="L4230" i="1"/>
  <c r="M4230" i="1" s="1"/>
  <c r="L4231" i="1"/>
  <c r="M4231" i="1" s="1"/>
  <c r="L4232" i="1"/>
  <c r="M4232" i="1" s="1"/>
  <c r="L4233" i="1"/>
  <c r="M4233" i="1" s="1"/>
  <c r="L4234" i="1"/>
  <c r="M4234" i="1" s="1"/>
  <c r="L4235" i="1"/>
  <c r="M4235" i="1" s="1"/>
  <c r="L4236" i="1"/>
  <c r="M4236" i="1" s="1"/>
  <c r="L4237" i="1"/>
  <c r="M4237" i="1" s="1"/>
  <c r="L4238" i="1"/>
  <c r="M4238" i="1" s="1"/>
  <c r="L4239" i="1"/>
  <c r="M4239" i="1" s="1"/>
  <c r="L4240" i="1"/>
  <c r="M4240" i="1" s="1"/>
  <c r="L4241" i="1"/>
  <c r="M4241" i="1" s="1"/>
  <c r="L4242" i="1"/>
  <c r="M4242" i="1" s="1"/>
  <c r="L4243" i="1"/>
  <c r="M4243" i="1" s="1"/>
  <c r="L4244" i="1"/>
  <c r="M4244" i="1" s="1"/>
  <c r="L4245" i="1"/>
  <c r="M4245" i="1" s="1"/>
  <c r="L4246" i="1"/>
  <c r="M4246" i="1" s="1"/>
  <c r="L4247" i="1"/>
  <c r="M4247" i="1" s="1"/>
  <c r="L4248" i="1"/>
  <c r="M4248" i="1" s="1"/>
  <c r="L4249" i="1"/>
  <c r="M4249" i="1" s="1"/>
  <c r="L4250" i="1"/>
  <c r="M4250" i="1" s="1"/>
  <c r="L4251" i="1"/>
  <c r="M4251" i="1" s="1"/>
  <c r="L4252" i="1"/>
  <c r="M4252" i="1" s="1"/>
  <c r="L4253" i="1"/>
  <c r="M4253" i="1" s="1"/>
  <c r="L4254" i="1"/>
  <c r="M4254" i="1" s="1"/>
  <c r="L4255" i="1"/>
  <c r="M4255" i="1" s="1"/>
  <c r="L4256" i="1"/>
  <c r="M4256" i="1" s="1"/>
  <c r="L4257" i="1"/>
  <c r="M4257" i="1" s="1"/>
  <c r="L4258" i="1"/>
  <c r="M4258" i="1" s="1"/>
  <c r="L4259" i="1"/>
  <c r="M4259" i="1" s="1"/>
  <c r="L4260" i="1"/>
  <c r="M4260" i="1" s="1"/>
  <c r="L4261" i="1"/>
  <c r="M4261" i="1" s="1"/>
  <c r="L4262" i="1"/>
  <c r="M4262" i="1" s="1"/>
  <c r="L4263" i="1"/>
  <c r="M4263" i="1" s="1"/>
  <c r="L4264" i="1"/>
  <c r="M4264" i="1" s="1"/>
  <c r="L4265" i="1"/>
  <c r="M4265" i="1" s="1"/>
  <c r="L4266" i="1"/>
  <c r="M4266" i="1" s="1"/>
  <c r="L4267" i="1"/>
  <c r="M4267" i="1" s="1"/>
  <c r="L4268" i="1"/>
  <c r="M4268" i="1" s="1"/>
  <c r="L4269" i="1"/>
  <c r="M4269" i="1" s="1"/>
  <c r="L4270" i="1"/>
  <c r="M4270" i="1" s="1"/>
  <c r="L4271" i="1"/>
  <c r="M4271" i="1" s="1"/>
  <c r="L4272" i="1"/>
  <c r="M4272" i="1" s="1"/>
  <c r="L4273" i="1"/>
  <c r="M4273" i="1" s="1"/>
  <c r="L4274" i="1"/>
  <c r="M4274" i="1" s="1"/>
  <c r="L4275" i="1"/>
  <c r="M4275" i="1" s="1"/>
  <c r="L4276" i="1"/>
  <c r="M4276" i="1" s="1"/>
  <c r="L4277" i="1"/>
  <c r="M4277" i="1" s="1"/>
  <c r="L4278" i="1"/>
  <c r="M4278" i="1" s="1"/>
  <c r="L4279" i="1"/>
  <c r="M4279" i="1" s="1"/>
  <c r="L4280" i="1"/>
  <c r="M4280" i="1" s="1"/>
  <c r="L4281" i="1"/>
  <c r="M4281" i="1" s="1"/>
  <c r="L4282" i="1"/>
  <c r="M4282" i="1" s="1"/>
  <c r="L4283" i="1"/>
  <c r="M4283" i="1" s="1"/>
  <c r="L4284" i="1"/>
  <c r="M4284" i="1" s="1"/>
  <c r="L4285" i="1"/>
  <c r="M4285" i="1" s="1"/>
  <c r="L4286" i="1"/>
  <c r="M4286" i="1" s="1"/>
  <c r="L4287" i="1"/>
  <c r="M4287" i="1" s="1"/>
  <c r="L4288" i="1"/>
  <c r="M4288" i="1" s="1"/>
  <c r="L4289" i="1"/>
  <c r="M4289" i="1" s="1"/>
  <c r="L4290" i="1"/>
  <c r="M4290" i="1" s="1"/>
  <c r="L4291" i="1"/>
  <c r="M4291" i="1" s="1"/>
  <c r="L4292" i="1"/>
  <c r="M4292" i="1" s="1"/>
  <c r="L4293" i="1"/>
  <c r="M4293" i="1" s="1"/>
  <c r="L4294" i="1"/>
  <c r="M4294" i="1" s="1"/>
  <c r="L4295" i="1"/>
  <c r="M4295" i="1" s="1"/>
  <c r="L4296" i="1"/>
  <c r="M4296" i="1" s="1"/>
  <c r="L4297" i="1"/>
  <c r="M4297" i="1" s="1"/>
  <c r="L4298" i="1"/>
  <c r="M4298" i="1" s="1"/>
  <c r="L4299" i="1"/>
  <c r="M4299" i="1" s="1"/>
  <c r="L4300" i="1"/>
  <c r="M4300" i="1" s="1"/>
  <c r="L4301" i="1"/>
  <c r="M4301" i="1" s="1"/>
  <c r="L4302" i="1"/>
  <c r="M4302" i="1" s="1"/>
  <c r="L4303" i="1"/>
  <c r="M4303" i="1" s="1"/>
  <c r="L4304" i="1"/>
  <c r="M4304" i="1" s="1"/>
  <c r="L4305" i="1"/>
  <c r="M4305" i="1" s="1"/>
  <c r="L4306" i="1"/>
  <c r="M4306" i="1" s="1"/>
  <c r="L4307" i="1"/>
  <c r="M4307" i="1" s="1"/>
  <c r="L4308" i="1"/>
  <c r="M4308" i="1" s="1"/>
  <c r="L4309" i="1"/>
  <c r="M4309" i="1" s="1"/>
  <c r="L4310" i="1"/>
  <c r="M4310" i="1" s="1"/>
  <c r="L4311" i="1"/>
  <c r="M4311" i="1" s="1"/>
  <c r="L4312" i="1"/>
  <c r="M4312" i="1" s="1"/>
  <c r="L4313" i="1"/>
  <c r="M4313" i="1" s="1"/>
  <c r="L4314" i="1"/>
  <c r="M4314" i="1" s="1"/>
  <c r="L4315" i="1"/>
  <c r="M4315" i="1" s="1"/>
  <c r="L4316" i="1"/>
  <c r="M4316" i="1" s="1"/>
  <c r="L4317" i="1"/>
  <c r="M4317" i="1" s="1"/>
  <c r="L4318" i="1"/>
  <c r="M4318" i="1" s="1"/>
  <c r="L4319" i="1"/>
  <c r="M4319" i="1" s="1"/>
  <c r="L4320" i="1"/>
  <c r="M4320" i="1" s="1"/>
  <c r="L4321" i="1"/>
  <c r="M4321" i="1" s="1"/>
  <c r="L4322" i="1"/>
  <c r="M4322" i="1" s="1"/>
  <c r="L4323" i="1"/>
  <c r="M4323" i="1" s="1"/>
  <c r="L4324" i="1"/>
  <c r="M4324" i="1" s="1"/>
  <c r="L4325" i="1"/>
  <c r="M4325" i="1" s="1"/>
  <c r="L4326" i="1"/>
  <c r="M4326" i="1" s="1"/>
  <c r="L4327" i="1"/>
  <c r="M4327" i="1" s="1"/>
  <c r="L4328" i="1"/>
  <c r="M4328" i="1" s="1"/>
  <c r="L4329" i="1"/>
  <c r="M4329" i="1" s="1"/>
  <c r="L4330" i="1"/>
  <c r="M4330" i="1" s="1"/>
  <c r="L4331" i="1"/>
  <c r="M4331" i="1" s="1"/>
  <c r="L4332" i="1"/>
  <c r="M4332" i="1" s="1"/>
  <c r="L4333" i="1"/>
  <c r="M4333" i="1" s="1"/>
  <c r="L4334" i="1"/>
  <c r="M4334" i="1" s="1"/>
  <c r="L4335" i="1"/>
  <c r="M4335" i="1" s="1"/>
  <c r="L4336" i="1"/>
  <c r="M4336" i="1" s="1"/>
  <c r="L4337" i="1"/>
  <c r="M4337" i="1" s="1"/>
  <c r="L4338" i="1"/>
  <c r="M4338" i="1" s="1"/>
  <c r="L4339" i="1"/>
  <c r="M4339" i="1" s="1"/>
  <c r="L4340" i="1"/>
  <c r="M4340" i="1" s="1"/>
  <c r="L4341" i="1"/>
  <c r="M4341" i="1" s="1"/>
  <c r="L4342" i="1"/>
  <c r="M4342" i="1" s="1"/>
  <c r="L4343" i="1"/>
  <c r="M4343" i="1" s="1"/>
  <c r="L4344" i="1"/>
  <c r="M4344" i="1" s="1"/>
  <c r="L4345" i="1"/>
  <c r="M4345" i="1" s="1"/>
  <c r="L4346" i="1"/>
  <c r="M4346" i="1" s="1"/>
  <c r="L4347" i="1"/>
  <c r="M4347" i="1" s="1"/>
  <c r="L4348" i="1"/>
  <c r="M4348" i="1" s="1"/>
  <c r="L4349" i="1"/>
  <c r="M4349" i="1" s="1"/>
  <c r="L4350" i="1"/>
  <c r="M4350" i="1" s="1"/>
  <c r="L4351" i="1"/>
  <c r="M4351" i="1" s="1"/>
  <c r="L4352" i="1"/>
  <c r="M4352" i="1" s="1"/>
  <c r="L4353" i="1"/>
  <c r="M4353" i="1" s="1"/>
  <c r="L4354" i="1"/>
  <c r="M4354" i="1" s="1"/>
  <c r="L4355" i="1"/>
  <c r="M4355" i="1" s="1"/>
  <c r="L4356" i="1"/>
  <c r="M4356" i="1" s="1"/>
  <c r="L4357" i="1"/>
  <c r="M4357" i="1" s="1"/>
  <c r="L4358" i="1"/>
  <c r="M4358" i="1" s="1"/>
  <c r="L4359" i="1"/>
  <c r="M4359" i="1" s="1"/>
  <c r="L4360" i="1"/>
  <c r="M4360" i="1" s="1"/>
  <c r="L4361" i="1"/>
  <c r="M4361" i="1" s="1"/>
  <c r="L4362" i="1"/>
  <c r="M4362" i="1" s="1"/>
  <c r="L4363" i="1"/>
  <c r="M4363" i="1" s="1"/>
  <c r="L4364" i="1"/>
  <c r="M4364" i="1" s="1"/>
  <c r="L4365" i="1"/>
  <c r="M4365" i="1" s="1"/>
  <c r="L4366" i="1"/>
  <c r="M4366" i="1" s="1"/>
  <c r="L4367" i="1"/>
  <c r="M4367" i="1" s="1"/>
  <c r="L4368" i="1"/>
  <c r="M4368" i="1" s="1"/>
  <c r="L4369" i="1"/>
  <c r="M4369" i="1" s="1"/>
  <c r="L4370" i="1"/>
  <c r="M4370" i="1" s="1"/>
  <c r="L4371" i="1"/>
  <c r="M4371" i="1" s="1"/>
  <c r="L4372" i="1"/>
  <c r="M4372" i="1" s="1"/>
  <c r="L4373" i="1"/>
  <c r="M4373" i="1" s="1"/>
  <c r="L4374" i="1"/>
  <c r="M4374" i="1" s="1"/>
  <c r="L4375" i="1"/>
  <c r="M4375" i="1" s="1"/>
  <c r="L4376" i="1"/>
  <c r="M4376" i="1" s="1"/>
  <c r="L4377" i="1"/>
  <c r="M4377" i="1" s="1"/>
  <c r="L4378" i="1"/>
  <c r="M4378" i="1" s="1"/>
  <c r="L4379" i="1"/>
  <c r="M4379" i="1" s="1"/>
  <c r="L4380" i="1"/>
  <c r="M4380" i="1" s="1"/>
  <c r="L4381" i="1"/>
  <c r="M4381" i="1" s="1"/>
  <c r="L4382" i="1"/>
  <c r="M4382" i="1" s="1"/>
  <c r="L4383" i="1"/>
  <c r="M4383" i="1" s="1"/>
  <c r="L4384" i="1"/>
  <c r="M4384" i="1" s="1"/>
  <c r="L4385" i="1"/>
  <c r="M4385" i="1" s="1"/>
  <c r="L4386" i="1"/>
  <c r="M4386" i="1" s="1"/>
  <c r="L4387" i="1"/>
  <c r="M4387" i="1" s="1"/>
  <c r="L4388" i="1"/>
  <c r="M4388" i="1" s="1"/>
  <c r="L4389" i="1"/>
  <c r="M4389" i="1" s="1"/>
  <c r="L4390" i="1"/>
  <c r="M4390" i="1" s="1"/>
  <c r="L4391" i="1"/>
  <c r="M4391" i="1" s="1"/>
  <c r="L4392" i="1"/>
  <c r="M4392" i="1" s="1"/>
  <c r="L4393" i="1"/>
  <c r="M4393" i="1" s="1"/>
  <c r="L4394" i="1"/>
  <c r="M4394" i="1" s="1"/>
  <c r="L4395" i="1"/>
  <c r="M4395" i="1" s="1"/>
  <c r="L4396" i="1"/>
  <c r="M4396" i="1" s="1"/>
  <c r="L4397" i="1"/>
  <c r="M4397" i="1" s="1"/>
  <c r="L4398" i="1"/>
  <c r="M4398" i="1" s="1"/>
  <c r="L4399" i="1"/>
  <c r="M4399" i="1" s="1"/>
  <c r="L4400" i="1"/>
  <c r="M4400" i="1" s="1"/>
  <c r="L4401" i="1"/>
  <c r="M4401" i="1" s="1"/>
  <c r="L4402" i="1"/>
  <c r="M4402" i="1" s="1"/>
  <c r="L4403" i="1"/>
  <c r="M4403" i="1" s="1"/>
  <c r="L4404" i="1"/>
  <c r="M4404" i="1" s="1"/>
  <c r="L4405" i="1"/>
  <c r="M4405" i="1" s="1"/>
  <c r="L4406" i="1"/>
  <c r="M4406" i="1" s="1"/>
  <c r="L4407" i="1"/>
  <c r="M4407" i="1" s="1"/>
  <c r="L4408" i="1"/>
  <c r="M4408" i="1" s="1"/>
  <c r="L4409" i="1"/>
  <c r="M4409" i="1" s="1"/>
  <c r="L4410" i="1"/>
  <c r="M4410" i="1" s="1"/>
  <c r="L4411" i="1"/>
  <c r="M4411" i="1" s="1"/>
  <c r="L4412" i="1"/>
  <c r="M4412" i="1" s="1"/>
  <c r="L4413" i="1"/>
  <c r="M4413" i="1" s="1"/>
  <c r="L4414" i="1"/>
  <c r="M4414" i="1" s="1"/>
  <c r="L4415" i="1"/>
  <c r="M4415" i="1" s="1"/>
  <c r="L4416" i="1"/>
  <c r="M4416" i="1" s="1"/>
  <c r="L4417" i="1"/>
  <c r="M4417" i="1" s="1"/>
  <c r="L4418" i="1"/>
  <c r="M4418" i="1" s="1"/>
  <c r="L4419" i="1"/>
  <c r="M4419" i="1" s="1"/>
  <c r="L4420" i="1"/>
  <c r="M4420" i="1" s="1"/>
  <c r="L4421" i="1"/>
  <c r="M4421" i="1" s="1"/>
  <c r="L4422" i="1"/>
  <c r="M4422" i="1" s="1"/>
  <c r="L4423" i="1"/>
  <c r="M4423" i="1" s="1"/>
  <c r="L4424" i="1"/>
  <c r="M4424" i="1" s="1"/>
  <c r="L4425" i="1"/>
  <c r="M4425" i="1" s="1"/>
  <c r="L4426" i="1"/>
  <c r="M4426" i="1" s="1"/>
  <c r="L4427" i="1"/>
  <c r="M4427" i="1" s="1"/>
  <c r="L4428" i="1"/>
  <c r="M4428" i="1" s="1"/>
  <c r="L4429" i="1"/>
  <c r="M4429" i="1" s="1"/>
  <c r="L4430" i="1"/>
  <c r="M4430" i="1" s="1"/>
  <c r="L4431" i="1"/>
  <c r="M4431" i="1" s="1"/>
  <c r="L4432" i="1"/>
  <c r="M4432" i="1" s="1"/>
  <c r="L4433" i="1"/>
  <c r="M4433" i="1" s="1"/>
  <c r="L4434" i="1"/>
  <c r="M4434" i="1" s="1"/>
  <c r="L4435" i="1"/>
  <c r="M4435" i="1" s="1"/>
  <c r="L4436" i="1"/>
  <c r="M4436" i="1" s="1"/>
  <c r="L4437" i="1"/>
  <c r="M4437" i="1" s="1"/>
  <c r="L4438" i="1"/>
  <c r="M4438" i="1" s="1"/>
  <c r="L4439" i="1"/>
  <c r="M4439" i="1" s="1"/>
  <c r="L4440" i="1"/>
  <c r="M4440" i="1" s="1"/>
  <c r="L4441" i="1"/>
  <c r="M4441" i="1" s="1"/>
  <c r="L4442" i="1"/>
  <c r="M4442" i="1" s="1"/>
  <c r="L4443" i="1"/>
  <c r="M4443" i="1" s="1"/>
  <c r="L4444" i="1"/>
  <c r="M4444" i="1" s="1"/>
  <c r="L4445" i="1"/>
  <c r="M4445" i="1" s="1"/>
  <c r="L4446" i="1"/>
  <c r="M4446" i="1" s="1"/>
  <c r="L4447" i="1"/>
  <c r="M4447" i="1" s="1"/>
  <c r="L4448" i="1"/>
  <c r="M4448" i="1" s="1"/>
  <c r="L4449" i="1"/>
  <c r="M4449" i="1" s="1"/>
  <c r="L4450" i="1"/>
  <c r="M4450" i="1" s="1"/>
  <c r="L4451" i="1"/>
  <c r="M4451" i="1" s="1"/>
  <c r="L4452" i="1"/>
  <c r="M4452" i="1" s="1"/>
  <c r="L4453" i="1"/>
  <c r="M4453" i="1" s="1"/>
  <c r="L4454" i="1"/>
  <c r="M4454" i="1" s="1"/>
  <c r="L4455" i="1"/>
  <c r="M4455" i="1" s="1"/>
  <c r="L4456" i="1"/>
  <c r="M4456" i="1" s="1"/>
  <c r="L4457" i="1"/>
  <c r="M4457" i="1" s="1"/>
  <c r="L4458" i="1"/>
  <c r="M4458" i="1" s="1"/>
  <c r="L4459" i="1"/>
  <c r="M4459" i="1" s="1"/>
  <c r="L4460" i="1"/>
  <c r="M4460" i="1" s="1"/>
  <c r="L4461" i="1"/>
  <c r="M4461" i="1" s="1"/>
  <c r="L4462" i="1"/>
  <c r="M4462" i="1" s="1"/>
  <c r="L4463" i="1"/>
  <c r="M4463" i="1" s="1"/>
  <c r="L4464" i="1"/>
  <c r="M4464" i="1" s="1"/>
  <c r="L4465" i="1"/>
  <c r="M4465" i="1" s="1"/>
  <c r="L4466" i="1"/>
  <c r="M4466" i="1" s="1"/>
  <c r="L4467" i="1"/>
  <c r="M4467" i="1" s="1"/>
  <c r="L4468" i="1"/>
  <c r="M4468" i="1" s="1"/>
  <c r="L4469" i="1"/>
  <c r="M4469" i="1" s="1"/>
  <c r="L4470" i="1"/>
  <c r="M4470" i="1" s="1"/>
  <c r="L4471" i="1"/>
  <c r="M4471" i="1" s="1"/>
  <c r="L4472" i="1"/>
  <c r="M4472" i="1" s="1"/>
  <c r="L4473" i="1"/>
  <c r="M4473" i="1" s="1"/>
  <c r="L4474" i="1"/>
  <c r="M4474" i="1" s="1"/>
  <c r="L4475" i="1"/>
  <c r="M4475" i="1" s="1"/>
  <c r="L4476" i="1"/>
  <c r="M4476" i="1" s="1"/>
  <c r="L4477" i="1"/>
  <c r="M4477" i="1" s="1"/>
  <c r="L4478" i="1"/>
  <c r="M4478" i="1" s="1"/>
  <c r="L4479" i="1"/>
  <c r="M4479" i="1" s="1"/>
  <c r="L4480" i="1"/>
  <c r="M4480" i="1" s="1"/>
  <c r="L4481" i="1"/>
  <c r="M4481" i="1" s="1"/>
  <c r="L4482" i="1"/>
  <c r="M4482" i="1" s="1"/>
  <c r="L4483" i="1"/>
  <c r="M4483" i="1" s="1"/>
  <c r="L4484" i="1"/>
  <c r="M4484" i="1" s="1"/>
  <c r="L4485" i="1"/>
  <c r="M4485" i="1" s="1"/>
  <c r="L4486" i="1"/>
  <c r="M4486" i="1" s="1"/>
  <c r="L4487" i="1"/>
  <c r="M4487" i="1" s="1"/>
  <c r="L4488" i="1"/>
  <c r="M4488" i="1" s="1"/>
  <c r="L4489" i="1"/>
  <c r="M4489" i="1" s="1"/>
  <c r="L4490" i="1"/>
  <c r="M4490" i="1" s="1"/>
  <c r="L4491" i="1"/>
  <c r="M4491" i="1" s="1"/>
  <c r="L4492" i="1"/>
  <c r="M4492" i="1" s="1"/>
  <c r="L4493" i="1"/>
  <c r="M4493" i="1" s="1"/>
  <c r="L4494" i="1"/>
  <c r="M4494" i="1" s="1"/>
  <c r="L4495" i="1"/>
  <c r="M4495" i="1" s="1"/>
  <c r="L4496" i="1"/>
  <c r="M4496" i="1" s="1"/>
  <c r="L4497" i="1"/>
  <c r="M4497" i="1" s="1"/>
  <c r="L4498" i="1"/>
  <c r="M4498" i="1" s="1"/>
  <c r="L4499" i="1"/>
  <c r="M4499" i="1" s="1"/>
  <c r="L4500" i="1"/>
  <c r="M4500" i="1" s="1"/>
  <c r="L4501" i="1"/>
  <c r="M4501" i="1" s="1"/>
  <c r="L4502" i="1"/>
  <c r="M4502" i="1" s="1"/>
  <c r="L4503" i="1"/>
  <c r="M4503" i="1" s="1"/>
  <c r="L4504" i="1"/>
  <c r="M4504" i="1" s="1"/>
  <c r="L4505" i="1"/>
  <c r="M4505" i="1" s="1"/>
  <c r="L4506" i="1"/>
  <c r="M4506" i="1" s="1"/>
  <c r="L4507" i="1"/>
  <c r="M4507" i="1" s="1"/>
  <c r="L4508" i="1"/>
  <c r="M4508" i="1" s="1"/>
  <c r="L4509" i="1"/>
  <c r="M4509" i="1" s="1"/>
  <c r="L4510" i="1"/>
  <c r="M4510" i="1" s="1"/>
  <c r="L4511" i="1"/>
  <c r="M4511" i="1" s="1"/>
  <c r="L4512" i="1"/>
  <c r="M4512" i="1" s="1"/>
  <c r="L4513" i="1"/>
  <c r="M4513" i="1" s="1"/>
  <c r="L4514" i="1"/>
  <c r="M4514" i="1" s="1"/>
  <c r="L4515" i="1"/>
  <c r="M4515" i="1" s="1"/>
  <c r="L4516" i="1"/>
  <c r="M4516" i="1" s="1"/>
  <c r="L4517" i="1"/>
  <c r="M4517" i="1" s="1"/>
  <c r="L4518" i="1"/>
  <c r="M4518" i="1" s="1"/>
  <c r="L4519" i="1"/>
  <c r="M4519" i="1" s="1"/>
  <c r="L4520" i="1"/>
  <c r="M4520" i="1" s="1"/>
  <c r="L4521" i="1"/>
  <c r="M4521" i="1" s="1"/>
  <c r="L4522" i="1"/>
  <c r="M4522" i="1" s="1"/>
  <c r="L4523" i="1"/>
  <c r="M4523" i="1" s="1"/>
  <c r="L4524" i="1"/>
  <c r="M4524" i="1" s="1"/>
  <c r="L4525" i="1"/>
  <c r="M4525" i="1" s="1"/>
  <c r="L4526" i="1"/>
  <c r="M4526" i="1" s="1"/>
  <c r="L4527" i="1"/>
  <c r="M4527" i="1" s="1"/>
  <c r="L4528" i="1"/>
  <c r="M4528" i="1" s="1"/>
  <c r="L4529" i="1"/>
  <c r="M4529" i="1" s="1"/>
  <c r="L4530" i="1"/>
  <c r="M4530" i="1" s="1"/>
  <c r="L4531" i="1"/>
  <c r="M4531" i="1" s="1"/>
  <c r="L4532" i="1"/>
  <c r="M4532" i="1" s="1"/>
  <c r="L4533" i="1"/>
  <c r="M4533" i="1" s="1"/>
  <c r="L4534" i="1"/>
  <c r="M4534" i="1" s="1"/>
  <c r="L4535" i="1"/>
  <c r="M4535" i="1" s="1"/>
  <c r="L4536" i="1"/>
  <c r="M4536" i="1" s="1"/>
  <c r="L4537" i="1"/>
  <c r="M4537" i="1" s="1"/>
  <c r="L4538" i="1"/>
  <c r="M4538" i="1" s="1"/>
  <c r="L4539" i="1"/>
  <c r="M4539" i="1" s="1"/>
  <c r="L4540" i="1"/>
  <c r="M4540" i="1" s="1"/>
  <c r="L4541" i="1"/>
  <c r="M4541" i="1" s="1"/>
  <c r="L4542" i="1"/>
  <c r="M4542" i="1" s="1"/>
  <c r="L4543" i="1"/>
  <c r="M4543" i="1" s="1"/>
  <c r="L4544" i="1"/>
  <c r="M4544" i="1" s="1"/>
  <c r="L4545" i="1"/>
  <c r="M4545" i="1" s="1"/>
  <c r="L4546" i="1"/>
  <c r="M4546" i="1" s="1"/>
  <c r="L4547" i="1"/>
  <c r="M4547" i="1" s="1"/>
  <c r="L4548" i="1"/>
  <c r="M4548" i="1" s="1"/>
  <c r="L4549" i="1"/>
  <c r="M4549" i="1" s="1"/>
  <c r="L4550" i="1"/>
  <c r="M4550" i="1" s="1"/>
  <c r="L4551" i="1"/>
  <c r="M4551" i="1" s="1"/>
  <c r="L4552" i="1"/>
  <c r="M4552" i="1" s="1"/>
  <c r="L4553" i="1"/>
  <c r="M4553" i="1" s="1"/>
  <c r="L4554" i="1"/>
  <c r="M4554" i="1" s="1"/>
  <c r="L4555" i="1"/>
  <c r="M4555" i="1" s="1"/>
  <c r="L4556" i="1"/>
  <c r="M4556" i="1" s="1"/>
  <c r="L4557" i="1"/>
  <c r="M4557" i="1" s="1"/>
  <c r="L4558" i="1"/>
  <c r="M4558" i="1" s="1"/>
  <c r="L4559" i="1"/>
  <c r="M4559" i="1" s="1"/>
  <c r="L4560" i="1"/>
  <c r="M4560" i="1" s="1"/>
  <c r="L4561" i="1"/>
  <c r="M4561" i="1" s="1"/>
  <c r="L4562" i="1"/>
  <c r="M4562" i="1" s="1"/>
  <c r="L4563" i="1"/>
  <c r="M4563" i="1" s="1"/>
  <c r="L4564" i="1"/>
  <c r="M4564" i="1" s="1"/>
  <c r="L4565" i="1"/>
  <c r="M4565" i="1" s="1"/>
  <c r="L4566" i="1"/>
  <c r="M4566" i="1" s="1"/>
  <c r="L4567" i="1"/>
  <c r="M4567" i="1" s="1"/>
  <c r="L4568" i="1"/>
  <c r="M4568" i="1" s="1"/>
  <c r="L4569" i="1"/>
  <c r="M4569" i="1" s="1"/>
  <c r="L4570" i="1"/>
  <c r="M4570" i="1" s="1"/>
  <c r="L4571" i="1"/>
  <c r="M4571" i="1" s="1"/>
  <c r="L4572" i="1"/>
  <c r="M4572" i="1" s="1"/>
  <c r="L4573" i="1"/>
  <c r="M4573" i="1" s="1"/>
  <c r="L4574" i="1"/>
  <c r="M4574" i="1" s="1"/>
  <c r="L4575" i="1"/>
  <c r="M4575" i="1" s="1"/>
  <c r="L4576" i="1"/>
  <c r="M4576" i="1" s="1"/>
  <c r="L4577" i="1"/>
  <c r="M4577" i="1" s="1"/>
  <c r="L4578" i="1"/>
  <c r="M4578" i="1" s="1"/>
  <c r="L4579" i="1"/>
  <c r="M4579" i="1" s="1"/>
  <c r="L4580" i="1"/>
  <c r="M4580" i="1" s="1"/>
  <c r="L4581" i="1"/>
  <c r="M4581" i="1" s="1"/>
  <c r="L4582" i="1"/>
  <c r="M4582" i="1" s="1"/>
  <c r="L4583" i="1"/>
  <c r="M4583" i="1" s="1"/>
  <c r="L4584" i="1"/>
  <c r="M4584" i="1" s="1"/>
  <c r="L4585" i="1"/>
  <c r="M4585" i="1" s="1"/>
  <c r="L4586" i="1"/>
  <c r="M4586" i="1" s="1"/>
  <c r="L4587" i="1"/>
  <c r="M4587" i="1" s="1"/>
  <c r="L4588" i="1"/>
  <c r="M4588" i="1" s="1"/>
  <c r="L4589" i="1"/>
  <c r="M4589" i="1" s="1"/>
  <c r="L4590" i="1"/>
  <c r="M4590" i="1" s="1"/>
  <c r="L4591" i="1"/>
  <c r="M4591" i="1" s="1"/>
  <c r="L4592" i="1"/>
  <c r="M4592" i="1" s="1"/>
  <c r="L4593" i="1"/>
  <c r="M4593" i="1" s="1"/>
  <c r="L4594" i="1"/>
  <c r="M4594" i="1" s="1"/>
  <c r="L4595" i="1"/>
  <c r="M4595" i="1" s="1"/>
  <c r="L4596" i="1"/>
  <c r="M4596" i="1" s="1"/>
  <c r="L4597" i="1"/>
  <c r="M4597" i="1" s="1"/>
  <c r="L4598" i="1"/>
  <c r="M4598" i="1" s="1"/>
  <c r="L4599" i="1"/>
  <c r="M4599" i="1" s="1"/>
  <c r="L4600" i="1"/>
  <c r="M4600" i="1" s="1"/>
  <c r="L4601" i="1"/>
  <c r="M4601" i="1" s="1"/>
  <c r="L4602" i="1"/>
  <c r="M4602" i="1" s="1"/>
  <c r="L4603" i="1"/>
  <c r="M4603" i="1" s="1"/>
  <c r="L4604" i="1"/>
  <c r="M4604" i="1" s="1"/>
  <c r="L4605" i="1"/>
  <c r="M4605" i="1" s="1"/>
  <c r="L4606" i="1"/>
  <c r="M4606" i="1" s="1"/>
  <c r="L4607" i="1"/>
  <c r="M4607" i="1" s="1"/>
  <c r="L4608" i="1"/>
  <c r="M4608" i="1" s="1"/>
  <c r="L4609" i="1"/>
  <c r="M4609" i="1" s="1"/>
  <c r="L4610" i="1"/>
  <c r="M4610" i="1" s="1"/>
  <c r="L4611" i="1"/>
  <c r="M4611" i="1" s="1"/>
  <c r="L4612" i="1"/>
  <c r="M4612" i="1" s="1"/>
  <c r="L4613" i="1"/>
  <c r="M4613" i="1" s="1"/>
  <c r="L4614" i="1"/>
  <c r="M4614" i="1" s="1"/>
  <c r="L4615" i="1"/>
  <c r="M4615" i="1" s="1"/>
  <c r="L4616" i="1"/>
  <c r="M4616" i="1" s="1"/>
  <c r="L4617" i="1"/>
  <c r="M4617" i="1" s="1"/>
  <c r="L4618" i="1"/>
  <c r="M4618" i="1" s="1"/>
  <c r="L4619" i="1"/>
  <c r="M4619" i="1" s="1"/>
  <c r="L4620" i="1"/>
  <c r="M4620" i="1" s="1"/>
  <c r="L4621" i="1"/>
  <c r="M4621" i="1" s="1"/>
  <c r="L4622" i="1"/>
  <c r="M4622" i="1" s="1"/>
  <c r="L4623" i="1"/>
  <c r="M4623" i="1" s="1"/>
  <c r="L4624" i="1"/>
  <c r="M4624" i="1" s="1"/>
  <c r="L4625" i="1"/>
  <c r="M4625" i="1" s="1"/>
  <c r="L4626" i="1"/>
  <c r="M4626" i="1" s="1"/>
  <c r="L4627" i="1"/>
  <c r="M4627" i="1" s="1"/>
  <c r="L4628" i="1"/>
  <c r="M4628" i="1" s="1"/>
  <c r="L4629" i="1"/>
  <c r="M4629" i="1" s="1"/>
  <c r="L4630" i="1"/>
  <c r="M4630" i="1" s="1"/>
  <c r="L4631" i="1"/>
  <c r="M4631" i="1" s="1"/>
  <c r="L4632" i="1"/>
  <c r="M4632" i="1" s="1"/>
  <c r="L4633" i="1"/>
  <c r="M4633" i="1" s="1"/>
  <c r="L4634" i="1"/>
  <c r="M4634" i="1" s="1"/>
  <c r="L4635" i="1"/>
  <c r="M4635" i="1" s="1"/>
  <c r="L4636" i="1"/>
  <c r="M4636" i="1" s="1"/>
  <c r="L4637" i="1"/>
  <c r="M4637" i="1" s="1"/>
  <c r="L4638" i="1"/>
  <c r="M4638" i="1" s="1"/>
  <c r="L4639" i="1"/>
  <c r="M4639" i="1" s="1"/>
  <c r="L4640" i="1"/>
  <c r="M4640" i="1" s="1"/>
  <c r="L4641" i="1"/>
  <c r="M4641" i="1" s="1"/>
  <c r="L4642" i="1"/>
  <c r="M4642" i="1" s="1"/>
  <c r="L4643" i="1"/>
  <c r="M4643" i="1" s="1"/>
  <c r="L4644" i="1"/>
  <c r="M4644" i="1" s="1"/>
  <c r="L4645" i="1"/>
  <c r="M4645" i="1" s="1"/>
  <c r="L4646" i="1"/>
  <c r="M4646" i="1" s="1"/>
  <c r="L4647" i="1"/>
  <c r="M4647" i="1" s="1"/>
  <c r="L4648" i="1"/>
  <c r="M4648" i="1" s="1"/>
  <c r="L4649" i="1"/>
  <c r="M4649" i="1" s="1"/>
  <c r="L4650" i="1"/>
  <c r="M4650" i="1" s="1"/>
  <c r="L4651" i="1"/>
  <c r="M4651" i="1" s="1"/>
  <c r="L4652" i="1"/>
  <c r="M4652" i="1" s="1"/>
  <c r="L4653" i="1"/>
  <c r="M4653" i="1" s="1"/>
  <c r="L4654" i="1"/>
  <c r="M4654" i="1" s="1"/>
  <c r="L4655" i="1"/>
  <c r="M4655" i="1" s="1"/>
  <c r="L4656" i="1"/>
  <c r="M4656" i="1" s="1"/>
  <c r="L4657" i="1"/>
  <c r="M4657" i="1" s="1"/>
  <c r="L4658" i="1"/>
  <c r="M4658" i="1" s="1"/>
  <c r="L4659" i="1"/>
  <c r="M4659" i="1" s="1"/>
  <c r="L4660" i="1"/>
  <c r="M4660" i="1" s="1"/>
  <c r="L4661" i="1"/>
  <c r="M4661" i="1" s="1"/>
  <c r="L4662" i="1"/>
  <c r="M4662" i="1" s="1"/>
  <c r="L4663" i="1"/>
  <c r="M4663" i="1" s="1"/>
  <c r="L4664" i="1"/>
  <c r="M4664" i="1" s="1"/>
  <c r="L4665" i="1"/>
  <c r="M4665" i="1" s="1"/>
  <c r="L4666" i="1"/>
  <c r="M4666" i="1" s="1"/>
  <c r="L4667" i="1"/>
  <c r="M4667" i="1" s="1"/>
  <c r="L4668" i="1"/>
  <c r="M4668" i="1" s="1"/>
  <c r="L4669" i="1"/>
  <c r="M4669" i="1" s="1"/>
  <c r="L4670" i="1"/>
  <c r="M4670" i="1" s="1"/>
  <c r="L4671" i="1"/>
  <c r="M4671" i="1" s="1"/>
  <c r="L4672" i="1"/>
  <c r="M4672" i="1" s="1"/>
  <c r="L4673" i="1"/>
  <c r="M4673" i="1" s="1"/>
  <c r="L4674" i="1"/>
  <c r="M4674" i="1" s="1"/>
  <c r="L4675" i="1"/>
  <c r="M4675" i="1" s="1"/>
  <c r="L4676" i="1"/>
  <c r="M4676" i="1" s="1"/>
  <c r="L4677" i="1"/>
  <c r="M4677" i="1" s="1"/>
  <c r="L4678" i="1"/>
  <c r="M4678" i="1" s="1"/>
  <c r="L4679" i="1"/>
  <c r="M4679" i="1" s="1"/>
  <c r="L4680" i="1"/>
  <c r="M4680" i="1" s="1"/>
  <c r="L4681" i="1"/>
  <c r="M4681" i="1" s="1"/>
  <c r="L4682" i="1"/>
  <c r="M4682" i="1" s="1"/>
  <c r="L4683" i="1"/>
  <c r="M4683" i="1" s="1"/>
  <c r="L4684" i="1"/>
  <c r="M4684" i="1" s="1"/>
  <c r="L4685" i="1"/>
  <c r="M4685" i="1" s="1"/>
  <c r="L4686" i="1"/>
  <c r="M4686" i="1" s="1"/>
  <c r="L4687" i="1"/>
  <c r="M4687" i="1" s="1"/>
  <c r="L4688" i="1"/>
  <c r="M4688" i="1" s="1"/>
  <c r="L4689" i="1"/>
  <c r="M4689" i="1" s="1"/>
  <c r="L4690" i="1"/>
  <c r="M4690" i="1" s="1"/>
  <c r="L4691" i="1"/>
  <c r="M4691" i="1" s="1"/>
  <c r="L4692" i="1"/>
  <c r="M4692" i="1" s="1"/>
  <c r="L4693" i="1"/>
  <c r="M4693" i="1" s="1"/>
  <c r="L4694" i="1"/>
  <c r="M4694" i="1" s="1"/>
  <c r="L4695" i="1"/>
  <c r="M4695" i="1" s="1"/>
  <c r="L4696" i="1"/>
  <c r="M4696" i="1" s="1"/>
  <c r="L4697" i="1"/>
  <c r="M4697" i="1" s="1"/>
  <c r="L4698" i="1"/>
  <c r="M4698" i="1" s="1"/>
  <c r="L4699" i="1"/>
  <c r="M4699" i="1" s="1"/>
  <c r="L4700" i="1"/>
  <c r="M4700" i="1" s="1"/>
  <c r="L4701" i="1"/>
  <c r="M4701" i="1" s="1"/>
  <c r="L4702" i="1"/>
  <c r="M4702" i="1" s="1"/>
  <c r="L4703" i="1"/>
  <c r="M4703" i="1" s="1"/>
  <c r="L4704" i="1"/>
  <c r="M4704" i="1" s="1"/>
  <c r="L4705" i="1"/>
  <c r="M4705" i="1" s="1"/>
  <c r="L4706" i="1"/>
  <c r="M4706" i="1" s="1"/>
  <c r="L4707" i="1"/>
  <c r="M4707" i="1" s="1"/>
  <c r="L4708" i="1"/>
  <c r="M4708" i="1" s="1"/>
  <c r="L4709" i="1"/>
  <c r="M4709" i="1" s="1"/>
  <c r="L4710" i="1"/>
  <c r="M4710" i="1" s="1"/>
  <c r="L4711" i="1"/>
  <c r="M4711" i="1" s="1"/>
  <c r="L4712" i="1"/>
  <c r="M4712" i="1" s="1"/>
  <c r="L4713" i="1"/>
  <c r="M4713" i="1" s="1"/>
  <c r="L4714" i="1"/>
  <c r="M4714" i="1" s="1"/>
  <c r="L4715" i="1"/>
  <c r="M4715" i="1" s="1"/>
  <c r="L4716" i="1"/>
  <c r="M4716" i="1" s="1"/>
  <c r="L4717" i="1"/>
  <c r="M4717" i="1" s="1"/>
  <c r="L4718" i="1"/>
  <c r="M4718" i="1" s="1"/>
  <c r="L4719" i="1"/>
  <c r="M4719" i="1" s="1"/>
  <c r="L4720" i="1"/>
  <c r="M4720" i="1" s="1"/>
  <c r="L4721" i="1"/>
  <c r="M4721" i="1" s="1"/>
  <c r="L4722" i="1"/>
  <c r="M4722" i="1" s="1"/>
  <c r="L4723" i="1"/>
  <c r="M4723" i="1" s="1"/>
  <c r="L4724" i="1"/>
  <c r="M4724" i="1" s="1"/>
  <c r="L4725" i="1"/>
  <c r="M4725" i="1" s="1"/>
  <c r="L4726" i="1"/>
  <c r="M4726" i="1" s="1"/>
  <c r="L4727" i="1"/>
  <c r="M4727" i="1" s="1"/>
  <c r="L4728" i="1"/>
  <c r="M4728" i="1" s="1"/>
  <c r="L4729" i="1"/>
  <c r="M4729" i="1" s="1"/>
  <c r="L4730" i="1"/>
  <c r="M4730" i="1" s="1"/>
  <c r="L4731" i="1"/>
  <c r="M4731" i="1" s="1"/>
  <c r="L4732" i="1"/>
  <c r="M4732" i="1" s="1"/>
  <c r="L4733" i="1"/>
  <c r="M4733" i="1" s="1"/>
  <c r="L4734" i="1"/>
  <c r="M4734" i="1" s="1"/>
  <c r="L4735" i="1"/>
  <c r="M4735" i="1" s="1"/>
  <c r="L4736" i="1"/>
  <c r="M4736" i="1" s="1"/>
  <c r="L4737" i="1"/>
  <c r="M4737" i="1" s="1"/>
  <c r="L4738" i="1"/>
  <c r="M4738" i="1" s="1"/>
  <c r="L4739" i="1"/>
  <c r="M4739" i="1" s="1"/>
  <c r="L4740" i="1"/>
  <c r="M4740" i="1" s="1"/>
  <c r="L4741" i="1"/>
  <c r="M4741" i="1" s="1"/>
  <c r="L4742" i="1"/>
  <c r="M4742" i="1" s="1"/>
  <c r="L4743" i="1"/>
  <c r="M4743" i="1" s="1"/>
  <c r="L4744" i="1"/>
  <c r="M4744" i="1" s="1"/>
  <c r="L4745" i="1"/>
  <c r="M4745" i="1" s="1"/>
  <c r="L4746" i="1"/>
  <c r="M4746" i="1" s="1"/>
  <c r="L4747" i="1"/>
  <c r="M4747" i="1" s="1"/>
  <c r="L4748" i="1"/>
  <c r="M4748" i="1" s="1"/>
  <c r="L4749" i="1"/>
  <c r="M4749" i="1" s="1"/>
  <c r="L4750" i="1"/>
  <c r="M4750" i="1" s="1"/>
  <c r="L4751" i="1"/>
  <c r="M4751" i="1" s="1"/>
  <c r="L4752" i="1"/>
  <c r="M4752" i="1" s="1"/>
  <c r="L4753" i="1"/>
  <c r="M4753" i="1" s="1"/>
  <c r="L4754" i="1"/>
  <c r="M4754" i="1" s="1"/>
  <c r="L4755" i="1"/>
  <c r="M4755" i="1" s="1"/>
  <c r="L4756" i="1"/>
  <c r="M4756" i="1" s="1"/>
  <c r="L4757" i="1"/>
  <c r="M4757" i="1" s="1"/>
  <c r="L4758" i="1"/>
  <c r="M4758" i="1" s="1"/>
  <c r="L4759" i="1"/>
  <c r="M4759" i="1" s="1"/>
  <c r="L4760" i="1"/>
  <c r="M4760" i="1" s="1"/>
  <c r="L4761" i="1"/>
  <c r="M4761" i="1" s="1"/>
  <c r="L4762" i="1"/>
  <c r="M4762" i="1" s="1"/>
  <c r="L4763" i="1"/>
  <c r="M4763" i="1" s="1"/>
  <c r="L4764" i="1"/>
  <c r="M4764" i="1" s="1"/>
  <c r="L4765" i="1"/>
  <c r="M4765" i="1" s="1"/>
  <c r="L4766" i="1"/>
  <c r="M4766" i="1" s="1"/>
  <c r="L4767" i="1"/>
  <c r="M4767" i="1" s="1"/>
  <c r="L4768" i="1"/>
  <c r="M4768" i="1" s="1"/>
  <c r="L4769" i="1"/>
  <c r="M4769" i="1" s="1"/>
  <c r="L4770" i="1"/>
  <c r="M4770" i="1" s="1"/>
  <c r="L4771" i="1"/>
  <c r="M4771" i="1" s="1"/>
  <c r="L4772" i="1"/>
  <c r="M4772" i="1" s="1"/>
  <c r="L4773" i="1"/>
  <c r="M4773" i="1" s="1"/>
  <c r="L4774" i="1"/>
  <c r="M4774" i="1" s="1"/>
  <c r="L4775" i="1"/>
  <c r="M4775" i="1" s="1"/>
  <c r="L4776" i="1"/>
  <c r="M4776" i="1" s="1"/>
  <c r="L4777" i="1"/>
  <c r="M4777" i="1" s="1"/>
  <c r="L4778" i="1"/>
  <c r="M4778" i="1" s="1"/>
  <c r="L4779" i="1"/>
  <c r="M4779" i="1" s="1"/>
  <c r="L4780" i="1"/>
  <c r="M4780" i="1" s="1"/>
  <c r="L4781" i="1"/>
  <c r="M4781" i="1" s="1"/>
  <c r="L4782" i="1"/>
  <c r="M4782" i="1" s="1"/>
  <c r="L4783" i="1"/>
  <c r="M4783" i="1" s="1"/>
  <c r="L4784" i="1"/>
  <c r="M4784" i="1" s="1"/>
  <c r="L4785" i="1"/>
  <c r="M4785" i="1" s="1"/>
  <c r="L4786" i="1"/>
  <c r="M4786" i="1" s="1"/>
  <c r="L4787" i="1"/>
  <c r="M4787" i="1" s="1"/>
  <c r="L4788" i="1"/>
  <c r="M4788" i="1" s="1"/>
  <c r="L4789" i="1"/>
  <c r="M4789" i="1" s="1"/>
  <c r="L4790" i="1"/>
  <c r="M4790" i="1" s="1"/>
  <c r="L4791" i="1"/>
  <c r="M4791" i="1" s="1"/>
  <c r="L4792" i="1"/>
  <c r="M4792" i="1" s="1"/>
  <c r="L4793" i="1"/>
  <c r="M4793" i="1" s="1"/>
  <c r="L4794" i="1"/>
  <c r="M4794" i="1" s="1"/>
  <c r="L4795" i="1"/>
  <c r="M4795" i="1" s="1"/>
  <c r="L4796" i="1"/>
  <c r="M4796" i="1" s="1"/>
  <c r="L4797" i="1"/>
  <c r="M4797" i="1" s="1"/>
  <c r="L4798" i="1"/>
  <c r="M4798" i="1" s="1"/>
  <c r="L4799" i="1"/>
  <c r="M4799" i="1" s="1"/>
  <c r="L4800" i="1"/>
  <c r="M4800" i="1" s="1"/>
  <c r="L4801" i="1"/>
  <c r="M4801" i="1" s="1"/>
  <c r="L4802" i="1"/>
  <c r="M4802" i="1" s="1"/>
  <c r="L4803" i="1"/>
  <c r="M4803" i="1" s="1"/>
  <c r="L4804" i="1"/>
  <c r="M4804" i="1" s="1"/>
  <c r="L4805" i="1"/>
  <c r="M4805" i="1" s="1"/>
  <c r="L4806" i="1"/>
  <c r="M4806" i="1" s="1"/>
  <c r="L4807" i="1"/>
  <c r="M4807" i="1" s="1"/>
  <c r="L4808" i="1"/>
  <c r="M4808" i="1" s="1"/>
  <c r="L4809" i="1"/>
  <c r="M4809" i="1" s="1"/>
  <c r="L4810" i="1"/>
  <c r="M4810" i="1" s="1"/>
  <c r="L4811" i="1"/>
  <c r="M4811" i="1" s="1"/>
  <c r="L4812" i="1"/>
  <c r="M4812" i="1" s="1"/>
  <c r="L4813" i="1"/>
  <c r="M4813" i="1" s="1"/>
  <c r="L4814" i="1"/>
  <c r="M4814" i="1" s="1"/>
  <c r="L4815" i="1"/>
  <c r="M4815" i="1" s="1"/>
  <c r="L4816" i="1"/>
  <c r="M4816" i="1" s="1"/>
  <c r="L4817" i="1"/>
  <c r="M4817" i="1" s="1"/>
  <c r="L4818" i="1"/>
  <c r="M4818" i="1" s="1"/>
  <c r="L4819" i="1"/>
  <c r="M4819" i="1" s="1"/>
  <c r="L4820" i="1"/>
  <c r="M4820" i="1" s="1"/>
  <c r="L4821" i="1"/>
  <c r="M4821" i="1" s="1"/>
  <c r="L4822" i="1"/>
  <c r="M4822" i="1" s="1"/>
  <c r="L4823" i="1"/>
  <c r="M4823" i="1" s="1"/>
  <c r="L4824" i="1"/>
  <c r="M4824" i="1" s="1"/>
  <c r="L4825" i="1"/>
  <c r="M4825" i="1" s="1"/>
  <c r="L4826" i="1"/>
  <c r="M4826" i="1" s="1"/>
  <c r="L4827" i="1"/>
  <c r="M4827" i="1" s="1"/>
  <c r="L4828" i="1"/>
  <c r="M4828" i="1" s="1"/>
  <c r="L4829" i="1"/>
  <c r="M4829" i="1" s="1"/>
  <c r="L4830" i="1"/>
  <c r="M4830" i="1" s="1"/>
  <c r="L4831" i="1"/>
  <c r="M4831" i="1" s="1"/>
  <c r="L4832" i="1"/>
  <c r="M4832" i="1" s="1"/>
  <c r="L4833" i="1"/>
  <c r="M4833" i="1" s="1"/>
  <c r="L4834" i="1"/>
  <c r="M4834" i="1" s="1"/>
  <c r="L4835" i="1"/>
  <c r="M4835" i="1" s="1"/>
  <c r="L4836" i="1"/>
  <c r="M4836" i="1" s="1"/>
  <c r="L4837" i="1"/>
  <c r="M4837" i="1" s="1"/>
  <c r="L4838" i="1"/>
  <c r="M4838" i="1" s="1"/>
  <c r="L4839" i="1"/>
  <c r="M4839" i="1" s="1"/>
  <c r="L4840" i="1"/>
  <c r="M4840" i="1" s="1"/>
  <c r="L4841" i="1"/>
  <c r="M4841" i="1" s="1"/>
  <c r="L4842" i="1"/>
  <c r="M4842" i="1" s="1"/>
  <c r="L4843" i="1"/>
  <c r="M4843" i="1" s="1"/>
  <c r="L4844" i="1"/>
  <c r="M4844" i="1" s="1"/>
  <c r="L4845" i="1"/>
  <c r="M4845" i="1" s="1"/>
  <c r="L4846" i="1"/>
  <c r="M4846" i="1" s="1"/>
  <c r="L4847" i="1"/>
  <c r="M4847" i="1" s="1"/>
  <c r="L4848" i="1"/>
  <c r="M4848" i="1" s="1"/>
  <c r="L4849" i="1"/>
  <c r="M4849" i="1" s="1"/>
  <c r="L4850" i="1"/>
  <c r="M4850" i="1" s="1"/>
  <c r="L4851" i="1"/>
  <c r="M4851" i="1" s="1"/>
  <c r="L4852" i="1"/>
  <c r="M4852" i="1" s="1"/>
  <c r="L4853" i="1"/>
  <c r="M4853" i="1" s="1"/>
  <c r="L4854" i="1"/>
  <c r="M4854" i="1" s="1"/>
  <c r="L4855" i="1"/>
  <c r="M4855" i="1" s="1"/>
  <c r="L4856" i="1"/>
  <c r="M4856" i="1" s="1"/>
  <c r="L4857" i="1"/>
  <c r="M4857" i="1" s="1"/>
  <c r="L4858" i="1"/>
  <c r="M4858" i="1" s="1"/>
  <c r="L4859" i="1"/>
  <c r="M4859" i="1" s="1"/>
  <c r="L4860" i="1"/>
  <c r="M4860" i="1" s="1"/>
  <c r="L4861" i="1"/>
  <c r="M4861" i="1" s="1"/>
  <c r="L4862" i="1"/>
  <c r="M4862" i="1" s="1"/>
  <c r="L4863" i="1"/>
  <c r="M4863" i="1" s="1"/>
  <c r="L4864" i="1"/>
  <c r="M4864" i="1" s="1"/>
  <c r="L4865" i="1"/>
  <c r="M4865" i="1" s="1"/>
  <c r="L4866" i="1"/>
  <c r="M4866" i="1" s="1"/>
  <c r="L4867" i="1"/>
  <c r="M4867" i="1" s="1"/>
  <c r="L4868" i="1"/>
  <c r="M4868" i="1" s="1"/>
  <c r="L4869" i="1"/>
  <c r="M4869" i="1" s="1"/>
  <c r="L4870" i="1"/>
  <c r="M4870" i="1" s="1"/>
  <c r="L4871" i="1"/>
  <c r="M4871" i="1" s="1"/>
  <c r="L4872" i="1"/>
  <c r="M4872" i="1" s="1"/>
  <c r="L4873" i="1"/>
  <c r="M4873" i="1" s="1"/>
  <c r="L4874" i="1"/>
  <c r="M4874" i="1" s="1"/>
  <c r="L4875" i="1"/>
  <c r="M4875" i="1" s="1"/>
  <c r="L4876" i="1"/>
  <c r="M4876" i="1" s="1"/>
  <c r="L4877" i="1"/>
  <c r="M4877" i="1" s="1"/>
  <c r="L4878" i="1"/>
  <c r="M4878" i="1" s="1"/>
  <c r="L4879" i="1"/>
  <c r="M4879" i="1" s="1"/>
  <c r="L4880" i="1"/>
  <c r="M4880" i="1" s="1"/>
  <c r="L4881" i="1"/>
  <c r="M4881" i="1" s="1"/>
  <c r="L4882" i="1"/>
  <c r="M4882" i="1" s="1"/>
  <c r="L4883" i="1"/>
  <c r="M4883" i="1" s="1"/>
  <c r="L4884" i="1"/>
  <c r="M4884" i="1" s="1"/>
  <c r="L4885" i="1"/>
  <c r="M4885" i="1" s="1"/>
  <c r="L4886" i="1"/>
  <c r="M4886" i="1" s="1"/>
  <c r="L4887" i="1"/>
  <c r="M4887" i="1" s="1"/>
  <c r="L4888" i="1"/>
  <c r="M4888" i="1" s="1"/>
  <c r="L4889" i="1"/>
  <c r="M4889" i="1" s="1"/>
  <c r="L4890" i="1"/>
  <c r="M4890" i="1" s="1"/>
  <c r="L4891" i="1"/>
  <c r="M4891" i="1" s="1"/>
  <c r="L4892" i="1"/>
  <c r="M4892" i="1" s="1"/>
  <c r="L4893" i="1"/>
  <c r="M4893" i="1" s="1"/>
  <c r="L4894" i="1"/>
  <c r="M4894" i="1" s="1"/>
  <c r="L4895" i="1"/>
  <c r="M4895" i="1" s="1"/>
  <c r="L4896" i="1"/>
  <c r="M4896" i="1" s="1"/>
  <c r="L4897" i="1"/>
  <c r="M4897" i="1" s="1"/>
  <c r="L4898" i="1"/>
  <c r="M4898" i="1" s="1"/>
  <c r="L4899" i="1"/>
  <c r="M4899" i="1" s="1"/>
  <c r="L4900" i="1"/>
  <c r="M4900" i="1" s="1"/>
  <c r="L4901" i="1"/>
  <c r="M4901" i="1" s="1"/>
  <c r="L4902" i="1"/>
  <c r="M4902" i="1" s="1"/>
  <c r="L4903" i="1"/>
  <c r="M4903" i="1" s="1"/>
  <c r="L4904" i="1"/>
  <c r="M4904" i="1" s="1"/>
  <c r="L4905" i="1"/>
  <c r="M4905" i="1" s="1"/>
  <c r="L4906" i="1"/>
  <c r="M4906" i="1" s="1"/>
  <c r="L4907" i="1"/>
  <c r="M4907" i="1" s="1"/>
  <c r="L4908" i="1"/>
  <c r="M4908" i="1" s="1"/>
  <c r="L4909" i="1"/>
  <c r="M4909" i="1" s="1"/>
  <c r="L4910" i="1"/>
  <c r="M4910" i="1" s="1"/>
  <c r="L4911" i="1"/>
  <c r="M4911" i="1" s="1"/>
  <c r="L4912" i="1"/>
  <c r="M4912" i="1" s="1"/>
  <c r="L4913" i="1"/>
  <c r="M4913" i="1" s="1"/>
  <c r="L4914" i="1"/>
  <c r="M4914" i="1" s="1"/>
  <c r="L4915" i="1"/>
  <c r="M4915" i="1" s="1"/>
  <c r="L4916" i="1"/>
  <c r="M4916" i="1" s="1"/>
  <c r="L4917" i="1"/>
  <c r="M4917" i="1" s="1"/>
  <c r="L4918" i="1"/>
  <c r="M4918" i="1" s="1"/>
  <c r="L4919" i="1"/>
  <c r="M4919" i="1" s="1"/>
  <c r="L4920" i="1"/>
  <c r="M4920" i="1" s="1"/>
  <c r="L4921" i="1"/>
  <c r="M4921" i="1" s="1"/>
  <c r="L4922" i="1"/>
  <c r="M4922" i="1" s="1"/>
  <c r="L4923" i="1"/>
  <c r="M4923" i="1" s="1"/>
  <c r="L4924" i="1"/>
  <c r="M4924" i="1" s="1"/>
  <c r="L4925" i="1"/>
  <c r="M4925" i="1" s="1"/>
  <c r="L4926" i="1"/>
  <c r="M4926" i="1" s="1"/>
  <c r="L4927" i="1"/>
  <c r="M4927" i="1" s="1"/>
  <c r="L4928" i="1"/>
  <c r="M4928" i="1" s="1"/>
  <c r="L4929" i="1"/>
  <c r="M4929" i="1" s="1"/>
  <c r="L4930" i="1"/>
  <c r="M4930" i="1" s="1"/>
  <c r="L4931" i="1"/>
  <c r="M4931" i="1" s="1"/>
  <c r="L4932" i="1"/>
  <c r="M4932" i="1" s="1"/>
  <c r="L4933" i="1"/>
  <c r="M4933" i="1" s="1"/>
  <c r="L4934" i="1"/>
  <c r="M4934" i="1" s="1"/>
  <c r="L4935" i="1"/>
  <c r="M4935" i="1" s="1"/>
  <c r="L4936" i="1"/>
  <c r="M4936" i="1" s="1"/>
  <c r="L4937" i="1"/>
  <c r="M4937" i="1" s="1"/>
  <c r="L4938" i="1"/>
  <c r="M4938" i="1" s="1"/>
  <c r="L4939" i="1"/>
  <c r="M4939" i="1" s="1"/>
  <c r="L4940" i="1"/>
  <c r="M4940" i="1" s="1"/>
  <c r="L4941" i="1"/>
  <c r="M4941" i="1" s="1"/>
  <c r="L4942" i="1"/>
  <c r="M4942" i="1" s="1"/>
  <c r="L4943" i="1"/>
  <c r="M4943" i="1" s="1"/>
  <c r="L4944" i="1"/>
  <c r="M4944" i="1" s="1"/>
  <c r="L4945" i="1"/>
  <c r="M4945" i="1" s="1"/>
  <c r="L4946" i="1"/>
  <c r="M4946" i="1" s="1"/>
  <c r="L4947" i="1"/>
  <c r="M4947" i="1" s="1"/>
  <c r="L4948" i="1"/>
  <c r="M4948" i="1" s="1"/>
  <c r="L4949" i="1"/>
  <c r="M4949" i="1" s="1"/>
  <c r="L4950" i="1"/>
  <c r="M4950" i="1" s="1"/>
  <c r="L4951" i="1"/>
  <c r="M4951" i="1" s="1"/>
  <c r="L4952" i="1"/>
  <c r="M4952" i="1" s="1"/>
  <c r="L4953" i="1"/>
  <c r="M4953" i="1" s="1"/>
  <c r="L4954" i="1"/>
  <c r="M4954" i="1" s="1"/>
  <c r="L4955" i="1"/>
  <c r="M4955" i="1" s="1"/>
  <c r="L4956" i="1"/>
  <c r="M4956" i="1" s="1"/>
  <c r="L4957" i="1"/>
  <c r="M4957" i="1" s="1"/>
  <c r="L4958" i="1"/>
  <c r="M4958" i="1" s="1"/>
  <c r="L4959" i="1"/>
  <c r="M4959" i="1" s="1"/>
  <c r="L4960" i="1"/>
  <c r="M4960" i="1" s="1"/>
  <c r="L4961" i="1"/>
  <c r="M4961" i="1" s="1"/>
  <c r="L4962" i="1"/>
  <c r="M4962" i="1" s="1"/>
  <c r="L4963" i="1"/>
  <c r="M4963" i="1" s="1"/>
  <c r="L4964" i="1"/>
  <c r="M4964" i="1" s="1"/>
  <c r="L4965" i="1"/>
  <c r="M4965" i="1" s="1"/>
  <c r="L4966" i="1"/>
  <c r="M4966" i="1" s="1"/>
  <c r="L4967" i="1"/>
  <c r="M4967" i="1" s="1"/>
  <c r="L4968" i="1"/>
  <c r="M4968" i="1" s="1"/>
  <c r="L4969" i="1"/>
  <c r="M4969" i="1" s="1"/>
  <c r="L4970" i="1"/>
  <c r="M4970" i="1" s="1"/>
  <c r="L4971" i="1"/>
  <c r="M4971" i="1" s="1"/>
  <c r="L4972" i="1"/>
  <c r="M4972" i="1" s="1"/>
  <c r="L4973" i="1"/>
  <c r="M4973" i="1" s="1"/>
  <c r="L4974" i="1"/>
  <c r="M4974" i="1" s="1"/>
  <c r="L4975" i="1"/>
  <c r="M4975" i="1" s="1"/>
  <c r="L4976" i="1"/>
  <c r="M4976" i="1" s="1"/>
  <c r="L4977" i="1"/>
  <c r="M4977" i="1" s="1"/>
  <c r="L4978" i="1"/>
  <c r="M4978" i="1" s="1"/>
  <c r="L4979" i="1"/>
  <c r="M4979" i="1" s="1"/>
  <c r="L4980" i="1"/>
  <c r="M4980" i="1" s="1"/>
  <c r="L4981" i="1"/>
  <c r="M4981" i="1" s="1"/>
  <c r="L4982" i="1"/>
  <c r="M4982" i="1" s="1"/>
  <c r="L4983" i="1"/>
  <c r="M4983" i="1" s="1"/>
  <c r="L4984" i="1"/>
  <c r="M4984" i="1" s="1"/>
  <c r="L4985" i="1"/>
  <c r="M4985" i="1" s="1"/>
  <c r="L4986" i="1"/>
  <c r="M4986" i="1" s="1"/>
  <c r="L4987" i="1"/>
  <c r="M4987" i="1" s="1"/>
  <c r="L4988" i="1"/>
  <c r="M4988" i="1" s="1"/>
  <c r="L4989" i="1"/>
  <c r="M4989" i="1" s="1"/>
  <c r="L4990" i="1"/>
  <c r="M4990" i="1" s="1"/>
  <c r="L4991" i="1"/>
  <c r="M4991" i="1" s="1"/>
  <c r="L4992" i="1"/>
  <c r="M4992" i="1" s="1"/>
  <c r="L4993" i="1"/>
  <c r="M4993" i="1" s="1"/>
  <c r="L4994" i="1"/>
  <c r="M4994" i="1" s="1"/>
  <c r="L4995" i="1"/>
  <c r="M4995" i="1" s="1"/>
  <c r="L4996" i="1"/>
  <c r="M4996" i="1" s="1"/>
  <c r="L4997" i="1"/>
  <c r="M4997" i="1" s="1"/>
  <c r="L4998" i="1"/>
  <c r="M4998" i="1" s="1"/>
  <c r="L4999" i="1"/>
  <c r="M4999" i="1" s="1"/>
  <c r="L5000" i="1"/>
  <c r="M5000" i="1" s="1"/>
  <c r="L5001" i="1"/>
  <c r="M5001" i="1" s="1"/>
  <c r="L5002" i="1"/>
  <c r="M5002" i="1" s="1"/>
  <c r="L5003" i="1"/>
  <c r="M5003" i="1" s="1"/>
  <c r="L5004" i="1"/>
  <c r="M5004" i="1" s="1"/>
  <c r="L5005" i="1"/>
  <c r="M5005" i="1" s="1"/>
  <c r="L5006" i="1"/>
  <c r="M5006" i="1" s="1"/>
  <c r="L5007" i="1"/>
  <c r="M5007" i="1" s="1"/>
  <c r="L5008" i="1"/>
  <c r="M5008" i="1" s="1"/>
  <c r="L5009" i="1"/>
  <c r="M5009" i="1" s="1"/>
  <c r="L5010" i="1"/>
  <c r="M5010" i="1" s="1"/>
  <c r="L5011" i="1"/>
  <c r="M5011" i="1" s="1"/>
  <c r="L5012" i="1"/>
  <c r="M5012" i="1" s="1"/>
  <c r="L5013" i="1"/>
  <c r="M5013" i="1" s="1"/>
  <c r="L5014" i="1"/>
  <c r="M5014" i="1" s="1"/>
  <c r="L5015" i="1"/>
  <c r="M5015" i="1" s="1"/>
  <c r="L5016" i="1"/>
  <c r="M5016" i="1" s="1"/>
  <c r="L5017" i="1"/>
  <c r="M5017" i="1" s="1"/>
  <c r="L5018" i="1"/>
  <c r="M5018" i="1" s="1"/>
  <c r="L5019" i="1"/>
  <c r="M5019" i="1" s="1"/>
  <c r="L5020" i="1"/>
  <c r="M5020" i="1" s="1"/>
  <c r="L5021" i="1"/>
  <c r="M5021" i="1" s="1"/>
  <c r="L5022" i="1"/>
  <c r="M5022" i="1" s="1"/>
  <c r="L5023" i="1"/>
  <c r="M5023" i="1" s="1"/>
  <c r="L5024" i="1"/>
  <c r="M5024" i="1" s="1"/>
  <c r="L5025" i="1"/>
  <c r="M5025" i="1" s="1"/>
  <c r="L5026" i="1"/>
  <c r="M5026" i="1" s="1"/>
  <c r="L5027" i="1"/>
  <c r="M5027" i="1" s="1"/>
  <c r="L5028" i="1"/>
  <c r="M5028" i="1" s="1"/>
  <c r="L5029" i="1"/>
  <c r="M5029" i="1" s="1"/>
  <c r="L5030" i="1"/>
  <c r="M5030" i="1" s="1"/>
  <c r="L5031" i="1"/>
  <c r="M5031" i="1" s="1"/>
  <c r="L5032" i="1"/>
  <c r="M5032" i="1" s="1"/>
  <c r="L5033" i="1"/>
  <c r="M5033" i="1" s="1"/>
  <c r="L5034" i="1"/>
  <c r="M5034" i="1" s="1"/>
  <c r="L5035" i="1"/>
  <c r="M5035" i="1" s="1"/>
  <c r="L5036" i="1"/>
  <c r="M5036" i="1" s="1"/>
  <c r="L5037" i="1"/>
  <c r="M5037" i="1" s="1"/>
  <c r="L5038" i="1"/>
  <c r="M5038" i="1" s="1"/>
  <c r="L5039" i="1"/>
  <c r="M5039" i="1" s="1"/>
  <c r="L5040" i="1"/>
  <c r="M5040" i="1" s="1"/>
  <c r="L5041" i="1"/>
  <c r="M5041" i="1" s="1"/>
  <c r="L5042" i="1"/>
  <c r="M5042" i="1" s="1"/>
  <c r="L5043" i="1"/>
  <c r="M5043" i="1" s="1"/>
  <c r="L5044" i="1"/>
  <c r="M5044" i="1" s="1"/>
  <c r="L5045" i="1"/>
  <c r="M5045" i="1" s="1"/>
  <c r="L5046" i="1"/>
  <c r="M5046" i="1" s="1"/>
  <c r="L5047" i="1"/>
  <c r="M5047" i="1" s="1"/>
  <c r="L5048" i="1"/>
  <c r="M5048" i="1" s="1"/>
  <c r="L5049" i="1"/>
  <c r="M5049" i="1" s="1"/>
  <c r="L5050" i="1"/>
  <c r="M5050" i="1" s="1"/>
  <c r="L5051" i="1"/>
  <c r="M5051" i="1" s="1"/>
  <c r="L5052" i="1"/>
  <c r="M5052" i="1" s="1"/>
  <c r="L5053" i="1"/>
  <c r="M5053" i="1" s="1"/>
  <c r="L5054" i="1"/>
  <c r="M5054" i="1" s="1"/>
  <c r="L5055" i="1"/>
  <c r="M5055" i="1" s="1"/>
  <c r="L5056" i="1"/>
  <c r="M5056" i="1" s="1"/>
  <c r="L5057" i="1"/>
  <c r="M5057" i="1" s="1"/>
  <c r="L5058" i="1"/>
  <c r="M5058" i="1" s="1"/>
  <c r="L5059" i="1"/>
  <c r="M5059" i="1" s="1"/>
  <c r="L5060" i="1"/>
  <c r="M5060" i="1" s="1"/>
  <c r="L5061" i="1"/>
  <c r="M5061" i="1" s="1"/>
  <c r="L5062" i="1"/>
  <c r="M5062" i="1" s="1"/>
  <c r="L5063" i="1"/>
  <c r="M5063" i="1" s="1"/>
  <c r="L5064" i="1"/>
  <c r="M5064" i="1" s="1"/>
  <c r="L5065" i="1"/>
  <c r="M5065" i="1" s="1"/>
  <c r="L5066" i="1"/>
  <c r="M5066" i="1" s="1"/>
  <c r="L5067" i="1"/>
  <c r="M5067" i="1" s="1"/>
  <c r="L5068" i="1"/>
  <c r="M5068" i="1" s="1"/>
  <c r="L5069" i="1"/>
  <c r="M5069" i="1" s="1"/>
  <c r="L5070" i="1"/>
  <c r="M5070" i="1" s="1"/>
  <c r="L5071" i="1"/>
  <c r="M5071" i="1" s="1"/>
  <c r="L5072" i="1"/>
  <c r="M5072" i="1" s="1"/>
  <c r="L5073" i="1"/>
  <c r="M5073" i="1" s="1"/>
  <c r="L5074" i="1"/>
  <c r="M5074" i="1" s="1"/>
  <c r="L5075" i="1"/>
  <c r="M5075" i="1" s="1"/>
  <c r="L5076" i="1"/>
  <c r="M5076" i="1" s="1"/>
  <c r="L5077" i="1"/>
  <c r="M5077" i="1" s="1"/>
  <c r="L5078" i="1"/>
  <c r="M5078" i="1" s="1"/>
  <c r="L5079" i="1"/>
  <c r="M5079" i="1" s="1"/>
  <c r="L5080" i="1"/>
  <c r="M5080" i="1" s="1"/>
  <c r="L5081" i="1"/>
  <c r="M5081" i="1" s="1"/>
  <c r="L5082" i="1"/>
  <c r="M5082" i="1" s="1"/>
  <c r="L5083" i="1"/>
  <c r="M5083" i="1" s="1"/>
  <c r="L5084" i="1"/>
  <c r="M5084" i="1" s="1"/>
  <c r="L5085" i="1"/>
  <c r="M5085" i="1" s="1"/>
  <c r="L5086" i="1"/>
  <c r="M5086" i="1" s="1"/>
  <c r="L5087" i="1"/>
  <c r="M5087" i="1" s="1"/>
  <c r="L5088" i="1"/>
  <c r="M5088" i="1" s="1"/>
  <c r="L5089" i="1"/>
  <c r="M5089" i="1" s="1"/>
  <c r="L5090" i="1"/>
  <c r="M5090" i="1" s="1"/>
  <c r="L5091" i="1"/>
  <c r="M5091" i="1" s="1"/>
  <c r="L5092" i="1"/>
  <c r="M5092" i="1" s="1"/>
  <c r="L5093" i="1"/>
  <c r="M5093" i="1" s="1"/>
  <c r="L5094" i="1"/>
  <c r="M5094" i="1" s="1"/>
  <c r="L5095" i="1"/>
  <c r="M5095" i="1" s="1"/>
  <c r="L5096" i="1"/>
  <c r="M5096" i="1" s="1"/>
  <c r="L5097" i="1"/>
  <c r="M5097" i="1" s="1"/>
  <c r="L5098" i="1"/>
  <c r="M5098" i="1" s="1"/>
  <c r="L5099" i="1"/>
  <c r="M5099" i="1" s="1"/>
  <c r="L5100" i="1"/>
  <c r="M5100" i="1" s="1"/>
  <c r="L5101" i="1"/>
  <c r="M5101" i="1" s="1"/>
  <c r="L5102" i="1"/>
  <c r="M5102" i="1" s="1"/>
  <c r="L5103" i="1"/>
  <c r="M5103" i="1" s="1"/>
  <c r="L5104" i="1"/>
  <c r="M5104" i="1" s="1"/>
  <c r="L5105" i="1"/>
  <c r="M5105" i="1" s="1"/>
  <c r="L5106" i="1"/>
  <c r="M5106" i="1" s="1"/>
  <c r="L5107" i="1"/>
  <c r="M5107" i="1" s="1"/>
  <c r="L5108" i="1"/>
  <c r="M5108" i="1" s="1"/>
  <c r="L5109" i="1"/>
  <c r="M5109" i="1" s="1"/>
  <c r="L5110" i="1"/>
  <c r="M5110" i="1" s="1"/>
  <c r="L5111" i="1"/>
  <c r="M5111" i="1" s="1"/>
  <c r="L5112" i="1"/>
  <c r="M5112" i="1" s="1"/>
  <c r="L5113" i="1"/>
  <c r="M5113" i="1" s="1"/>
  <c r="L5114" i="1"/>
  <c r="M5114" i="1" s="1"/>
  <c r="L5115" i="1"/>
  <c r="M5115" i="1" s="1"/>
  <c r="L5116" i="1"/>
  <c r="M5116" i="1" s="1"/>
  <c r="L5117" i="1"/>
  <c r="M5117" i="1" s="1"/>
  <c r="L5118" i="1"/>
  <c r="M5118" i="1" s="1"/>
  <c r="L5119" i="1"/>
  <c r="M5119" i="1" s="1"/>
  <c r="L5120" i="1"/>
  <c r="M5120" i="1" s="1"/>
  <c r="L5121" i="1"/>
  <c r="M5121" i="1" s="1"/>
  <c r="L5122" i="1"/>
  <c r="M5122" i="1" s="1"/>
  <c r="L5123" i="1"/>
  <c r="M5123" i="1" s="1"/>
  <c r="L5124" i="1"/>
  <c r="M5124" i="1" s="1"/>
  <c r="L5125" i="1"/>
  <c r="M5125" i="1" s="1"/>
  <c r="L5126" i="1"/>
  <c r="M5126" i="1" s="1"/>
  <c r="L5127" i="1"/>
  <c r="M5127" i="1" s="1"/>
  <c r="L5128" i="1"/>
  <c r="M5128" i="1" s="1"/>
  <c r="L5129" i="1"/>
  <c r="M5129" i="1" s="1"/>
  <c r="L5130" i="1"/>
  <c r="M5130" i="1" s="1"/>
  <c r="L5131" i="1"/>
  <c r="M5131" i="1" s="1"/>
  <c r="L5132" i="1"/>
  <c r="M5132" i="1" s="1"/>
  <c r="L5133" i="1"/>
  <c r="M5133" i="1" s="1"/>
  <c r="L5134" i="1"/>
  <c r="M5134" i="1" s="1"/>
  <c r="L5135" i="1"/>
  <c r="M5135" i="1" s="1"/>
  <c r="L5136" i="1"/>
  <c r="M5136" i="1" s="1"/>
  <c r="L5137" i="1"/>
  <c r="M5137" i="1" s="1"/>
  <c r="L5138" i="1"/>
  <c r="M5138" i="1" s="1"/>
  <c r="L5139" i="1"/>
  <c r="M5139" i="1" s="1"/>
  <c r="L5140" i="1"/>
  <c r="M5140" i="1" s="1"/>
  <c r="L5141" i="1"/>
  <c r="M5141" i="1" s="1"/>
  <c r="L5142" i="1"/>
  <c r="M5142" i="1" s="1"/>
  <c r="L5143" i="1"/>
  <c r="M5143" i="1" s="1"/>
  <c r="L5144" i="1"/>
  <c r="M5144" i="1" s="1"/>
  <c r="L5145" i="1"/>
  <c r="M5145" i="1" s="1"/>
  <c r="L5146" i="1"/>
  <c r="M5146" i="1" s="1"/>
  <c r="L5147" i="1"/>
  <c r="M5147" i="1" s="1"/>
  <c r="L5148" i="1"/>
  <c r="M5148" i="1" s="1"/>
  <c r="L5149" i="1"/>
  <c r="M5149" i="1" s="1"/>
  <c r="L5150" i="1"/>
  <c r="M5150" i="1" s="1"/>
  <c r="L5151" i="1"/>
  <c r="M5151" i="1" s="1"/>
  <c r="L5152" i="1"/>
  <c r="M5152" i="1" s="1"/>
  <c r="L5153" i="1"/>
  <c r="M5153" i="1" s="1"/>
  <c r="L5154" i="1"/>
  <c r="M5154" i="1" s="1"/>
  <c r="L5155" i="1"/>
  <c r="M5155" i="1" s="1"/>
  <c r="L5156" i="1"/>
  <c r="M5156" i="1" s="1"/>
  <c r="L5157" i="1"/>
  <c r="M5157" i="1" s="1"/>
  <c r="L5158" i="1"/>
  <c r="M5158" i="1" s="1"/>
  <c r="L5159" i="1"/>
  <c r="M5159" i="1" s="1"/>
  <c r="L5160" i="1"/>
  <c r="M5160" i="1" s="1"/>
  <c r="L5161" i="1"/>
  <c r="M5161" i="1" s="1"/>
  <c r="L5162" i="1"/>
  <c r="M5162" i="1" s="1"/>
  <c r="L5163" i="1"/>
  <c r="M5163" i="1" s="1"/>
  <c r="L5164" i="1"/>
  <c r="M5164" i="1" s="1"/>
  <c r="L5165" i="1"/>
  <c r="M5165" i="1" s="1"/>
  <c r="L5166" i="1"/>
  <c r="M5166" i="1" s="1"/>
  <c r="L5167" i="1"/>
  <c r="M5167" i="1" s="1"/>
  <c r="L5168" i="1"/>
  <c r="M5168" i="1" s="1"/>
  <c r="L5169" i="1"/>
  <c r="M5169" i="1" s="1"/>
  <c r="L5170" i="1"/>
  <c r="M5170" i="1" s="1"/>
  <c r="L5171" i="1"/>
  <c r="M5171" i="1" s="1"/>
  <c r="L5172" i="1"/>
  <c r="M5172" i="1" s="1"/>
  <c r="L5173" i="1"/>
  <c r="M5173" i="1" s="1"/>
  <c r="L5174" i="1"/>
  <c r="M5174" i="1" s="1"/>
  <c r="L5175" i="1"/>
  <c r="M5175" i="1" s="1"/>
  <c r="L5176" i="1"/>
  <c r="M5176" i="1" s="1"/>
  <c r="L5177" i="1"/>
  <c r="M5177" i="1" s="1"/>
  <c r="L5178" i="1"/>
  <c r="M5178" i="1" s="1"/>
  <c r="L5179" i="1"/>
  <c r="M5179" i="1" s="1"/>
  <c r="L5180" i="1"/>
  <c r="M5180" i="1" s="1"/>
  <c r="L5181" i="1"/>
  <c r="M5181" i="1" s="1"/>
  <c r="L5182" i="1"/>
  <c r="M5182" i="1" s="1"/>
  <c r="L5183" i="1"/>
  <c r="M5183" i="1" s="1"/>
  <c r="L5184" i="1"/>
  <c r="M5184" i="1" s="1"/>
  <c r="L5185" i="1"/>
  <c r="M5185" i="1" s="1"/>
  <c r="L5186" i="1"/>
  <c r="M5186" i="1" s="1"/>
  <c r="L5187" i="1"/>
  <c r="M5187" i="1" s="1"/>
  <c r="L5188" i="1"/>
  <c r="M5188" i="1" s="1"/>
  <c r="L5189" i="1"/>
  <c r="M5189" i="1" s="1"/>
  <c r="L5190" i="1"/>
  <c r="M5190" i="1" s="1"/>
  <c r="L5191" i="1"/>
  <c r="M5191" i="1" s="1"/>
  <c r="L5192" i="1"/>
  <c r="M5192" i="1" s="1"/>
  <c r="L5193" i="1"/>
  <c r="M5193" i="1" s="1"/>
  <c r="L5194" i="1"/>
  <c r="M5194" i="1" s="1"/>
  <c r="L5195" i="1"/>
  <c r="M5195" i="1" s="1"/>
  <c r="L5196" i="1"/>
  <c r="M5196" i="1" s="1"/>
  <c r="L5197" i="1"/>
  <c r="M5197" i="1" s="1"/>
  <c r="L5198" i="1"/>
  <c r="M5198" i="1" s="1"/>
  <c r="L5199" i="1"/>
  <c r="M5199" i="1" s="1"/>
  <c r="L5200" i="1"/>
  <c r="M5200" i="1" s="1"/>
  <c r="L5201" i="1"/>
  <c r="M5201" i="1" s="1"/>
  <c r="L5202" i="1"/>
  <c r="M5202" i="1" s="1"/>
  <c r="L5203" i="1"/>
  <c r="M5203" i="1" s="1"/>
  <c r="L5204" i="1"/>
  <c r="M5204" i="1" s="1"/>
  <c r="L5205" i="1"/>
  <c r="M5205" i="1" s="1"/>
  <c r="L5206" i="1"/>
  <c r="M5206" i="1" s="1"/>
  <c r="L5207" i="1"/>
  <c r="M5207" i="1" s="1"/>
  <c r="L5208" i="1"/>
  <c r="M5208" i="1" s="1"/>
  <c r="L5209" i="1"/>
  <c r="M5209" i="1" s="1"/>
  <c r="L5210" i="1"/>
  <c r="M5210" i="1" s="1"/>
  <c r="L5211" i="1"/>
  <c r="M5211" i="1" s="1"/>
  <c r="L5212" i="1"/>
  <c r="M5212" i="1" s="1"/>
  <c r="L5213" i="1"/>
  <c r="M5213" i="1" s="1"/>
  <c r="L5214" i="1"/>
  <c r="M5214" i="1" s="1"/>
  <c r="L5215" i="1"/>
  <c r="M5215" i="1" s="1"/>
  <c r="L5216" i="1"/>
  <c r="M5216" i="1" s="1"/>
  <c r="L5217" i="1"/>
  <c r="M5217" i="1" s="1"/>
  <c r="L5218" i="1"/>
  <c r="M5218" i="1" s="1"/>
  <c r="L5219" i="1"/>
  <c r="M5219" i="1" s="1"/>
  <c r="L5220" i="1"/>
  <c r="M5220" i="1" s="1"/>
  <c r="L5221" i="1"/>
  <c r="M5221" i="1" s="1"/>
  <c r="L5222" i="1"/>
  <c r="M5222" i="1" s="1"/>
  <c r="L5223" i="1"/>
  <c r="M5223" i="1" s="1"/>
  <c r="L5224" i="1"/>
  <c r="M5224" i="1" s="1"/>
  <c r="L5225" i="1"/>
  <c r="M5225" i="1" s="1"/>
  <c r="L5226" i="1"/>
  <c r="M5226" i="1" s="1"/>
  <c r="L5227" i="1"/>
  <c r="M5227" i="1" s="1"/>
  <c r="L5228" i="1"/>
  <c r="M5228" i="1" s="1"/>
  <c r="L5229" i="1"/>
  <c r="M5229" i="1" s="1"/>
  <c r="L5230" i="1"/>
  <c r="M5230" i="1" s="1"/>
  <c r="L5231" i="1"/>
  <c r="M5231" i="1" s="1"/>
  <c r="L5232" i="1"/>
  <c r="M5232" i="1" s="1"/>
  <c r="L5233" i="1"/>
  <c r="M5233" i="1" s="1"/>
  <c r="L5234" i="1"/>
  <c r="M5234" i="1" s="1"/>
  <c r="L5235" i="1"/>
  <c r="M5235" i="1" s="1"/>
  <c r="L5236" i="1"/>
  <c r="M5236" i="1" s="1"/>
  <c r="L5237" i="1"/>
  <c r="M5237" i="1" s="1"/>
  <c r="L5238" i="1"/>
  <c r="M5238" i="1" s="1"/>
  <c r="L5239" i="1"/>
  <c r="M5239" i="1" s="1"/>
  <c r="L5240" i="1"/>
  <c r="M5240" i="1" s="1"/>
  <c r="L5241" i="1"/>
  <c r="M5241" i="1" s="1"/>
  <c r="L5242" i="1"/>
  <c r="M5242" i="1" s="1"/>
  <c r="L5243" i="1"/>
  <c r="M5243" i="1" s="1"/>
  <c r="L5244" i="1"/>
  <c r="M5244" i="1" s="1"/>
  <c r="L5245" i="1"/>
  <c r="M5245" i="1" s="1"/>
  <c r="L5246" i="1"/>
  <c r="M5246" i="1" s="1"/>
  <c r="L5247" i="1"/>
  <c r="M5247" i="1" s="1"/>
  <c r="L5248" i="1"/>
  <c r="M5248" i="1" s="1"/>
  <c r="L5249" i="1"/>
  <c r="M5249" i="1" s="1"/>
  <c r="L5250" i="1"/>
  <c r="M5250" i="1" s="1"/>
  <c r="L5251" i="1"/>
  <c r="M5251" i="1" s="1"/>
  <c r="L5252" i="1"/>
  <c r="M5252" i="1" s="1"/>
  <c r="L5253" i="1"/>
  <c r="M5253" i="1" s="1"/>
  <c r="L5254" i="1"/>
  <c r="M5254" i="1" s="1"/>
  <c r="L5255" i="1"/>
  <c r="M5255" i="1" s="1"/>
  <c r="L5256" i="1"/>
  <c r="M5256" i="1" s="1"/>
  <c r="L5257" i="1"/>
  <c r="M5257" i="1" s="1"/>
  <c r="L5258" i="1"/>
  <c r="M5258" i="1" s="1"/>
  <c r="L5259" i="1"/>
  <c r="M5259" i="1" s="1"/>
  <c r="L5260" i="1"/>
  <c r="M5260" i="1" s="1"/>
  <c r="L5261" i="1"/>
  <c r="M5261" i="1" s="1"/>
  <c r="L5262" i="1"/>
  <c r="M5262" i="1" s="1"/>
  <c r="L5263" i="1"/>
  <c r="M5263" i="1" s="1"/>
  <c r="L5264" i="1"/>
  <c r="M5264" i="1" s="1"/>
  <c r="L5265" i="1"/>
  <c r="M5265" i="1" s="1"/>
  <c r="L5266" i="1"/>
  <c r="M5266" i="1" s="1"/>
  <c r="L5267" i="1"/>
  <c r="M5267" i="1" s="1"/>
  <c r="L5268" i="1"/>
  <c r="M5268" i="1" s="1"/>
  <c r="L5269" i="1"/>
  <c r="M5269" i="1" s="1"/>
  <c r="L5270" i="1"/>
  <c r="M5270" i="1" s="1"/>
  <c r="L5271" i="1"/>
  <c r="M5271" i="1" s="1"/>
  <c r="L5272" i="1"/>
  <c r="M5272" i="1" s="1"/>
  <c r="L5273" i="1"/>
  <c r="M5273" i="1" s="1"/>
  <c r="L5274" i="1"/>
  <c r="M5274" i="1" s="1"/>
  <c r="L5275" i="1"/>
  <c r="M5275" i="1" s="1"/>
  <c r="L5276" i="1"/>
  <c r="M5276" i="1" s="1"/>
  <c r="L5277" i="1"/>
  <c r="M5277" i="1" s="1"/>
  <c r="L5278" i="1"/>
  <c r="M5278" i="1" s="1"/>
  <c r="L5279" i="1"/>
  <c r="M5279" i="1" s="1"/>
  <c r="L5280" i="1"/>
  <c r="M5280" i="1" s="1"/>
  <c r="L5281" i="1"/>
  <c r="M5281" i="1" s="1"/>
  <c r="L5282" i="1"/>
  <c r="M5282" i="1" s="1"/>
  <c r="L5283" i="1"/>
  <c r="M5283" i="1" s="1"/>
  <c r="L5284" i="1"/>
  <c r="M5284" i="1" s="1"/>
  <c r="L5285" i="1"/>
  <c r="M5285" i="1" s="1"/>
  <c r="L5286" i="1"/>
  <c r="M5286" i="1" s="1"/>
  <c r="L5287" i="1"/>
  <c r="M5287" i="1" s="1"/>
  <c r="L5288" i="1"/>
  <c r="M5288" i="1" s="1"/>
  <c r="L5289" i="1"/>
  <c r="M5289" i="1" s="1"/>
  <c r="L5290" i="1"/>
  <c r="M5290" i="1" s="1"/>
  <c r="L5291" i="1"/>
  <c r="M5291" i="1" s="1"/>
  <c r="L5292" i="1"/>
  <c r="M5292" i="1" s="1"/>
  <c r="L5293" i="1"/>
  <c r="M5293" i="1" s="1"/>
  <c r="L5294" i="1"/>
  <c r="M5294" i="1" s="1"/>
  <c r="L5295" i="1"/>
  <c r="M5295" i="1" s="1"/>
  <c r="L5296" i="1"/>
  <c r="M5296" i="1" s="1"/>
  <c r="L5297" i="1"/>
  <c r="M5297" i="1" s="1"/>
  <c r="L5298" i="1"/>
  <c r="M5298" i="1" s="1"/>
  <c r="L5299" i="1"/>
  <c r="M5299" i="1" s="1"/>
  <c r="L5300" i="1"/>
  <c r="M5300" i="1" s="1"/>
  <c r="L5301" i="1"/>
  <c r="M5301" i="1" s="1"/>
  <c r="L5302" i="1"/>
  <c r="M5302" i="1" s="1"/>
  <c r="L5303" i="1"/>
  <c r="M5303" i="1" s="1"/>
  <c r="L5304" i="1"/>
  <c r="M5304" i="1" s="1"/>
  <c r="L5305" i="1"/>
  <c r="M5305" i="1" s="1"/>
  <c r="L5306" i="1"/>
  <c r="M5306" i="1" s="1"/>
  <c r="L5307" i="1"/>
  <c r="M5307" i="1" s="1"/>
  <c r="L5308" i="1"/>
  <c r="M5308" i="1" s="1"/>
  <c r="L5309" i="1"/>
  <c r="M5309" i="1" s="1"/>
  <c r="L5310" i="1"/>
  <c r="M5310" i="1" s="1"/>
  <c r="L5311" i="1"/>
  <c r="M5311" i="1" s="1"/>
  <c r="L5312" i="1"/>
  <c r="M5312" i="1" s="1"/>
  <c r="L5313" i="1"/>
  <c r="M5313" i="1" s="1"/>
  <c r="L5314" i="1"/>
  <c r="M5314" i="1" s="1"/>
  <c r="L5315" i="1"/>
  <c r="M5315" i="1" s="1"/>
  <c r="L5316" i="1"/>
  <c r="M5316" i="1" s="1"/>
  <c r="L5317" i="1"/>
  <c r="M5317" i="1" s="1"/>
  <c r="L5318" i="1"/>
  <c r="M5318" i="1" s="1"/>
  <c r="L5319" i="1"/>
  <c r="M5319" i="1" s="1"/>
  <c r="L5320" i="1"/>
  <c r="M5320" i="1" s="1"/>
  <c r="L5321" i="1"/>
  <c r="M5321" i="1" s="1"/>
  <c r="L5322" i="1"/>
  <c r="M5322" i="1" s="1"/>
  <c r="L5323" i="1"/>
  <c r="M5323" i="1" s="1"/>
  <c r="L5324" i="1"/>
  <c r="M5324" i="1" s="1"/>
  <c r="L5325" i="1"/>
  <c r="M5325" i="1" s="1"/>
  <c r="L5326" i="1"/>
  <c r="M5326" i="1" s="1"/>
  <c r="L5327" i="1"/>
  <c r="M5327" i="1" s="1"/>
  <c r="L5328" i="1"/>
  <c r="M5328" i="1" s="1"/>
  <c r="L5329" i="1"/>
  <c r="M5329" i="1" s="1"/>
  <c r="L5330" i="1"/>
  <c r="M5330" i="1" s="1"/>
  <c r="L5331" i="1"/>
  <c r="M5331" i="1" s="1"/>
  <c r="L5332" i="1"/>
  <c r="M5332" i="1" s="1"/>
  <c r="L5333" i="1"/>
  <c r="M5333" i="1" s="1"/>
  <c r="L5334" i="1"/>
  <c r="M5334" i="1" s="1"/>
  <c r="L5335" i="1"/>
  <c r="M5335" i="1" s="1"/>
  <c r="L5336" i="1"/>
  <c r="M5336" i="1" s="1"/>
  <c r="L5337" i="1"/>
  <c r="M5337" i="1" s="1"/>
  <c r="L5338" i="1"/>
  <c r="M5338" i="1" s="1"/>
  <c r="L5339" i="1"/>
  <c r="M5339" i="1" s="1"/>
  <c r="L5340" i="1"/>
  <c r="M5340" i="1" s="1"/>
  <c r="L5341" i="1"/>
  <c r="M5341" i="1" s="1"/>
  <c r="L5342" i="1"/>
  <c r="M5342" i="1" s="1"/>
  <c r="L5343" i="1"/>
  <c r="M5343" i="1" s="1"/>
  <c r="L5344" i="1"/>
  <c r="M5344" i="1" s="1"/>
  <c r="L5345" i="1"/>
  <c r="M5345" i="1" s="1"/>
  <c r="L5346" i="1"/>
  <c r="M5346" i="1" s="1"/>
  <c r="L5347" i="1"/>
  <c r="M5347" i="1" s="1"/>
  <c r="L5348" i="1"/>
  <c r="M5348" i="1" s="1"/>
  <c r="L5349" i="1"/>
  <c r="M5349" i="1" s="1"/>
  <c r="L5350" i="1"/>
  <c r="M5350" i="1" s="1"/>
  <c r="L5351" i="1"/>
  <c r="M5351" i="1" s="1"/>
  <c r="L5352" i="1"/>
  <c r="M5352" i="1" s="1"/>
  <c r="L5353" i="1"/>
  <c r="M5353" i="1" s="1"/>
  <c r="L5354" i="1"/>
  <c r="M5354" i="1" s="1"/>
  <c r="L5355" i="1"/>
  <c r="M5355" i="1" s="1"/>
  <c r="L5356" i="1"/>
  <c r="M5356" i="1" s="1"/>
  <c r="L5357" i="1"/>
  <c r="M5357" i="1" s="1"/>
  <c r="L5358" i="1"/>
  <c r="M5358" i="1" s="1"/>
  <c r="L5359" i="1"/>
  <c r="M5359" i="1" s="1"/>
  <c r="L5360" i="1"/>
  <c r="M5360" i="1" s="1"/>
  <c r="L5361" i="1"/>
  <c r="M5361" i="1" s="1"/>
  <c r="L5362" i="1"/>
  <c r="M5362" i="1" s="1"/>
  <c r="L5363" i="1"/>
  <c r="M5363" i="1" s="1"/>
  <c r="L5364" i="1"/>
  <c r="M5364" i="1" s="1"/>
  <c r="L5365" i="1"/>
  <c r="M5365" i="1" s="1"/>
  <c r="L5366" i="1"/>
  <c r="M5366" i="1" s="1"/>
  <c r="L5367" i="1"/>
  <c r="M5367" i="1" s="1"/>
  <c r="L5368" i="1"/>
  <c r="M5368" i="1" s="1"/>
  <c r="L5369" i="1"/>
  <c r="M5369" i="1" s="1"/>
  <c r="L5370" i="1"/>
  <c r="M5370" i="1" s="1"/>
  <c r="L5371" i="1"/>
  <c r="M5371" i="1" s="1"/>
  <c r="L5372" i="1"/>
  <c r="M5372" i="1" s="1"/>
  <c r="L5373" i="1"/>
  <c r="M5373" i="1" s="1"/>
  <c r="L5374" i="1"/>
  <c r="M5374" i="1" s="1"/>
  <c r="L5375" i="1"/>
  <c r="M5375" i="1" s="1"/>
  <c r="L5376" i="1"/>
  <c r="M5376" i="1" s="1"/>
  <c r="L5377" i="1"/>
  <c r="M5377" i="1" s="1"/>
  <c r="L5378" i="1"/>
  <c r="M5378" i="1" s="1"/>
  <c r="L5379" i="1"/>
  <c r="M5379" i="1" s="1"/>
  <c r="L5380" i="1"/>
  <c r="M5380" i="1" s="1"/>
  <c r="L5381" i="1"/>
  <c r="M5381" i="1" s="1"/>
  <c r="L5382" i="1"/>
  <c r="M5382" i="1" s="1"/>
  <c r="L5383" i="1"/>
  <c r="M5383" i="1" s="1"/>
  <c r="L5384" i="1"/>
  <c r="M5384" i="1" s="1"/>
  <c r="L5385" i="1"/>
  <c r="M5385" i="1" s="1"/>
  <c r="L5386" i="1"/>
  <c r="M5386" i="1" s="1"/>
  <c r="L5387" i="1"/>
  <c r="M5387" i="1" s="1"/>
  <c r="L5388" i="1"/>
  <c r="M5388" i="1" s="1"/>
  <c r="L5389" i="1"/>
  <c r="M5389" i="1" s="1"/>
  <c r="L5390" i="1"/>
  <c r="M5390" i="1" s="1"/>
  <c r="L5391" i="1"/>
  <c r="M5391" i="1" s="1"/>
  <c r="L5392" i="1"/>
  <c r="M5392" i="1" s="1"/>
  <c r="L5393" i="1"/>
  <c r="M5393" i="1" s="1"/>
  <c r="L5394" i="1"/>
  <c r="M5394" i="1" s="1"/>
  <c r="L5395" i="1"/>
  <c r="M5395" i="1" s="1"/>
  <c r="L5396" i="1"/>
  <c r="M5396" i="1" s="1"/>
  <c r="L5397" i="1"/>
  <c r="M5397" i="1" s="1"/>
  <c r="L5398" i="1"/>
  <c r="M5398" i="1" s="1"/>
  <c r="L5399" i="1"/>
  <c r="M5399" i="1" s="1"/>
  <c r="L5400" i="1"/>
  <c r="M5400" i="1" s="1"/>
  <c r="L5401" i="1"/>
  <c r="M5401" i="1" s="1"/>
  <c r="L5402" i="1"/>
  <c r="M5402" i="1" s="1"/>
  <c r="L5403" i="1"/>
  <c r="M5403" i="1" s="1"/>
  <c r="L5404" i="1"/>
  <c r="M5404" i="1" s="1"/>
  <c r="L5405" i="1"/>
  <c r="M5405" i="1" s="1"/>
  <c r="L5406" i="1"/>
  <c r="M5406" i="1" s="1"/>
  <c r="L5407" i="1"/>
  <c r="M5407" i="1" s="1"/>
  <c r="L5408" i="1"/>
  <c r="M5408" i="1" s="1"/>
  <c r="L5409" i="1"/>
  <c r="M5409" i="1" s="1"/>
  <c r="L5410" i="1"/>
  <c r="M5410" i="1" s="1"/>
  <c r="L5411" i="1"/>
  <c r="M5411" i="1" s="1"/>
  <c r="L5412" i="1"/>
  <c r="M5412" i="1" s="1"/>
  <c r="L5413" i="1"/>
  <c r="M5413" i="1" s="1"/>
  <c r="L5414" i="1"/>
  <c r="M5414" i="1" s="1"/>
  <c r="L5415" i="1"/>
  <c r="M5415" i="1" s="1"/>
  <c r="L5416" i="1"/>
  <c r="M5416" i="1" s="1"/>
  <c r="L5417" i="1"/>
  <c r="M5417" i="1" s="1"/>
  <c r="L5418" i="1"/>
  <c r="M5418" i="1" s="1"/>
  <c r="L5419" i="1"/>
  <c r="M5419" i="1" s="1"/>
  <c r="L5420" i="1"/>
  <c r="M5420" i="1" s="1"/>
  <c r="L5421" i="1"/>
  <c r="M5421" i="1" s="1"/>
  <c r="L5422" i="1"/>
  <c r="M5422" i="1" s="1"/>
  <c r="L5423" i="1"/>
  <c r="M5423" i="1" s="1"/>
  <c r="L5424" i="1"/>
  <c r="M5424" i="1" s="1"/>
  <c r="L5425" i="1"/>
  <c r="M5425" i="1" s="1"/>
  <c r="L5426" i="1"/>
  <c r="M5426" i="1" s="1"/>
  <c r="L5427" i="1"/>
  <c r="M5427" i="1" s="1"/>
  <c r="L5428" i="1"/>
  <c r="M5428" i="1" s="1"/>
  <c r="L5429" i="1"/>
  <c r="M5429" i="1" s="1"/>
  <c r="L5430" i="1"/>
  <c r="M5430" i="1" s="1"/>
  <c r="L5431" i="1"/>
  <c r="M5431" i="1" s="1"/>
  <c r="L5432" i="1"/>
  <c r="M5432" i="1" s="1"/>
  <c r="L5433" i="1"/>
  <c r="M5433" i="1" s="1"/>
  <c r="L5434" i="1"/>
  <c r="M5434" i="1" s="1"/>
  <c r="L5435" i="1"/>
  <c r="M5435" i="1" s="1"/>
  <c r="L5436" i="1"/>
  <c r="M5436" i="1" s="1"/>
  <c r="L5437" i="1"/>
  <c r="M5437" i="1" s="1"/>
  <c r="L5438" i="1"/>
  <c r="M5438" i="1" s="1"/>
  <c r="L5439" i="1"/>
  <c r="M5439" i="1" s="1"/>
  <c r="L5440" i="1"/>
  <c r="M5440" i="1" s="1"/>
  <c r="L5441" i="1"/>
  <c r="M5441" i="1" s="1"/>
  <c r="L5442" i="1"/>
  <c r="M5442" i="1" s="1"/>
  <c r="L5443" i="1"/>
  <c r="M5443" i="1" s="1"/>
  <c r="L5444" i="1"/>
  <c r="M5444" i="1" s="1"/>
  <c r="L5445" i="1"/>
  <c r="M5445" i="1" s="1"/>
  <c r="L5446" i="1"/>
  <c r="M5446" i="1" s="1"/>
  <c r="L5447" i="1"/>
  <c r="M5447" i="1" s="1"/>
  <c r="L5448" i="1"/>
  <c r="M5448" i="1" s="1"/>
  <c r="L5449" i="1"/>
  <c r="M5449" i="1" s="1"/>
  <c r="L5450" i="1"/>
  <c r="M5450" i="1" s="1"/>
  <c r="L5451" i="1"/>
  <c r="M5451" i="1" s="1"/>
  <c r="L5452" i="1"/>
  <c r="M5452" i="1" s="1"/>
  <c r="L5453" i="1"/>
  <c r="M5453" i="1" s="1"/>
  <c r="L5454" i="1"/>
  <c r="M5454" i="1" s="1"/>
  <c r="L5455" i="1"/>
  <c r="M5455" i="1" s="1"/>
  <c r="L5456" i="1"/>
  <c r="M5456" i="1" s="1"/>
  <c r="L5457" i="1"/>
  <c r="M5457" i="1" s="1"/>
  <c r="L5458" i="1"/>
  <c r="M5458" i="1" s="1"/>
  <c r="L5459" i="1"/>
  <c r="M5459" i="1" s="1"/>
  <c r="L5460" i="1"/>
  <c r="M5460" i="1" s="1"/>
  <c r="L5461" i="1"/>
  <c r="M5461" i="1" s="1"/>
  <c r="L5462" i="1"/>
  <c r="M5462" i="1" s="1"/>
  <c r="L5463" i="1"/>
  <c r="M5463" i="1" s="1"/>
  <c r="L5464" i="1"/>
  <c r="M5464" i="1" s="1"/>
  <c r="L5465" i="1"/>
  <c r="M5465" i="1" s="1"/>
  <c r="L5466" i="1"/>
  <c r="M5466" i="1" s="1"/>
  <c r="L5467" i="1"/>
  <c r="M5467" i="1" s="1"/>
  <c r="L5468" i="1"/>
  <c r="M5468" i="1" s="1"/>
  <c r="L5469" i="1"/>
  <c r="M5469" i="1" s="1"/>
  <c r="L5470" i="1"/>
  <c r="M5470" i="1" s="1"/>
  <c r="L5471" i="1"/>
  <c r="M5471" i="1" s="1"/>
  <c r="L5472" i="1"/>
  <c r="M5472" i="1" s="1"/>
  <c r="L5473" i="1"/>
  <c r="M5473" i="1" s="1"/>
  <c r="L5474" i="1"/>
  <c r="M5474" i="1" s="1"/>
  <c r="L5475" i="1"/>
  <c r="M5475" i="1" s="1"/>
  <c r="L5476" i="1"/>
  <c r="M5476" i="1" s="1"/>
  <c r="L5477" i="1"/>
  <c r="M5477" i="1" s="1"/>
  <c r="L5478" i="1"/>
  <c r="M5478" i="1" s="1"/>
  <c r="L5479" i="1"/>
  <c r="M5479" i="1" s="1"/>
  <c r="L5480" i="1"/>
  <c r="M5480" i="1" s="1"/>
  <c r="L5481" i="1"/>
  <c r="M5481" i="1" s="1"/>
  <c r="L5482" i="1"/>
  <c r="M5482" i="1" s="1"/>
  <c r="L5483" i="1"/>
  <c r="M5483" i="1" s="1"/>
  <c r="L5484" i="1"/>
  <c r="M5484" i="1" s="1"/>
  <c r="L5485" i="1"/>
  <c r="M5485" i="1" s="1"/>
  <c r="L5486" i="1"/>
  <c r="M5486" i="1" s="1"/>
  <c r="L5487" i="1"/>
  <c r="M5487" i="1" s="1"/>
  <c r="L5488" i="1"/>
  <c r="M5488" i="1" s="1"/>
  <c r="L5489" i="1"/>
  <c r="M5489" i="1" s="1"/>
  <c r="L5490" i="1"/>
  <c r="M5490" i="1" s="1"/>
  <c r="L5491" i="1"/>
  <c r="M5491" i="1" s="1"/>
  <c r="L5492" i="1"/>
  <c r="M5492" i="1" s="1"/>
  <c r="L5493" i="1"/>
  <c r="M5493" i="1" s="1"/>
  <c r="L5494" i="1"/>
  <c r="M5494" i="1" s="1"/>
  <c r="L5495" i="1"/>
  <c r="M5495" i="1" s="1"/>
  <c r="L5496" i="1"/>
  <c r="M5496" i="1" s="1"/>
  <c r="L5497" i="1"/>
  <c r="M5497" i="1" s="1"/>
  <c r="L5498" i="1"/>
  <c r="M5498" i="1" s="1"/>
  <c r="L5499" i="1"/>
  <c r="M5499" i="1" s="1"/>
  <c r="L5500" i="1"/>
  <c r="M5500" i="1" s="1"/>
  <c r="L5501" i="1"/>
  <c r="M5501" i="1" s="1"/>
  <c r="L5502" i="1"/>
  <c r="M5502" i="1" s="1"/>
  <c r="L5503" i="1"/>
  <c r="M5503" i="1" s="1"/>
  <c r="L5504" i="1"/>
  <c r="M5504" i="1" s="1"/>
  <c r="L5505" i="1"/>
  <c r="M5505" i="1" s="1"/>
  <c r="L5506" i="1"/>
  <c r="M5506" i="1" s="1"/>
  <c r="L5507" i="1"/>
  <c r="M5507" i="1" s="1"/>
  <c r="L5508" i="1"/>
  <c r="M5508" i="1" s="1"/>
  <c r="L5509" i="1"/>
  <c r="M5509" i="1" s="1"/>
  <c r="L5510" i="1"/>
  <c r="M5510" i="1" s="1"/>
  <c r="L5511" i="1"/>
  <c r="M5511" i="1" s="1"/>
  <c r="L5512" i="1"/>
  <c r="M5512" i="1" s="1"/>
  <c r="L5513" i="1"/>
  <c r="M5513" i="1" s="1"/>
  <c r="L5514" i="1"/>
  <c r="M5514" i="1" s="1"/>
  <c r="L5515" i="1"/>
  <c r="M5515" i="1" s="1"/>
  <c r="L5516" i="1"/>
  <c r="M5516" i="1" s="1"/>
  <c r="L5517" i="1"/>
  <c r="M5517" i="1" s="1"/>
  <c r="L5518" i="1"/>
  <c r="M5518" i="1" s="1"/>
  <c r="L5519" i="1"/>
  <c r="M5519" i="1" s="1"/>
  <c r="L5520" i="1"/>
  <c r="M5520" i="1" s="1"/>
  <c r="L5521" i="1"/>
  <c r="M5521" i="1" s="1"/>
  <c r="L5522" i="1"/>
  <c r="M5522" i="1" s="1"/>
  <c r="L5523" i="1"/>
  <c r="M5523" i="1" s="1"/>
  <c r="L5524" i="1"/>
  <c r="M5524" i="1" s="1"/>
  <c r="L5525" i="1"/>
  <c r="M5525" i="1" s="1"/>
  <c r="L5526" i="1"/>
  <c r="M5526" i="1" s="1"/>
  <c r="L5527" i="1"/>
  <c r="M5527" i="1" s="1"/>
  <c r="L5528" i="1"/>
  <c r="M5528" i="1" s="1"/>
  <c r="L5529" i="1"/>
  <c r="M5529" i="1" s="1"/>
  <c r="L5530" i="1"/>
  <c r="M5530" i="1" s="1"/>
  <c r="L5531" i="1"/>
  <c r="M5531" i="1" s="1"/>
  <c r="L5532" i="1"/>
  <c r="M5532" i="1" s="1"/>
  <c r="L5533" i="1"/>
  <c r="M5533" i="1" s="1"/>
  <c r="L5534" i="1"/>
  <c r="M5534" i="1" s="1"/>
  <c r="L5535" i="1"/>
  <c r="M5535" i="1" s="1"/>
  <c r="L5536" i="1"/>
  <c r="M5536" i="1" s="1"/>
  <c r="L5537" i="1"/>
  <c r="M5537" i="1" s="1"/>
  <c r="L5538" i="1"/>
  <c r="M5538" i="1" s="1"/>
  <c r="L5539" i="1"/>
  <c r="M5539" i="1" s="1"/>
  <c r="L5540" i="1"/>
  <c r="M5540" i="1" s="1"/>
  <c r="L5541" i="1"/>
  <c r="M5541" i="1" s="1"/>
  <c r="L5542" i="1"/>
  <c r="M5542" i="1" s="1"/>
  <c r="L5543" i="1"/>
  <c r="M5543" i="1" s="1"/>
  <c r="L5544" i="1"/>
  <c r="M5544" i="1" s="1"/>
  <c r="L5545" i="1"/>
  <c r="M5545" i="1" s="1"/>
  <c r="L5546" i="1"/>
  <c r="M5546" i="1" s="1"/>
  <c r="L5547" i="1"/>
  <c r="M5547" i="1" s="1"/>
  <c r="L5548" i="1"/>
  <c r="M5548" i="1" s="1"/>
  <c r="L5549" i="1"/>
  <c r="M5549" i="1" s="1"/>
  <c r="L5550" i="1"/>
  <c r="M5550" i="1" s="1"/>
  <c r="L5551" i="1"/>
  <c r="M5551" i="1" s="1"/>
  <c r="L5552" i="1"/>
  <c r="M5552" i="1" s="1"/>
  <c r="L5553" i="1"/>
  <c r="M5553" i="1" s="1"/>
  <c r="L5554" i="1"/>
  <c r="M5554" i="1" s="1"/>
  <c r="L5555" i="1"/>
  <c r="M5555" i="1" s="1"/>
  <c r="L5556" i="1"/>
  <c r="M5556" i="1" s="1"/>
  <c r="L5557" i="1"/>
  <c r="M5557" i="1" s="1"/>
  <c r="L5558" i="1"/>
  <c r="M5558" i="1" s="1"/>
  <c r="L5559" i="1"/>
  <c r="M5559" i="1" s="1"/>
  <c r="L5560" i="1"/>
  <c r="M5560" i="1" s="1"/>
  <c r="L5561" i="1"/>
  <c r="M5561" i="1" s="1"/>
  <c r="L5562" i="1"/>
  <c r="M5562" i="1" s="1"/>
  <c r="L5563" i="1"/>
  <c r="M5563" i="1" s="1"/>
  <c r="L5564" i="1"/>
  <c r="M5564" i="1" s="1"/>
  <c r="L5565" i="1"/>
  <c r="M5565" i="1" s="1"/>
  <c r="L5566" i="1"/>
  <c r="M5566" i="1" s="1"/>
  <c r="L5567" i="1"/>
  <c r="M5567" i="1" s="1"/>
  <c r="L5568" i="1"/>
  <c r="M5568" i="1" s="1"/>
  <c r="L5569" i="1"/>
  <c r="M5569" i="1" s="1"/>
  <c r="L5570" i="1"/>
  <c r="M5570" i="1" s="1"/>
  <c r="L5571" i="1"/>
  <c r="M5571" i="1" s="1"/>
  <c r="L5572" i="1"/>
  <c r="M5572" i="1" s="1"/>
  <c r="L5573" i="1"/>
  <c r="M5573" i="1" s="1"/>
  <c r="L5574" i="1"/>
  <c r="M5574" i="1" s="1"/>
  <c r="L5575" i="1"/>
  <c r="M5575" i="1" s="1"/>
  <c r="L5576" i="1"/>
  <c r="M5576" i="1" s="1"/>
  <c r="L5577" i="1"/>
  <c r="M5577" i="1" s="1"/>
  <c r="L5578" i="1"/>
  <c r="M5578" i="1" s="1"/>
  <c r="L5579" i="1"/>
  <c r="M5579" i="1" s="1"/>
  <c r="L5580" i="1"/>
  <c r="M5580" i="1" s="1"/>
  <c r="L5581" i="1"/>
  <c r="M5581" i="1" s="1"/>
  <c r="L5582" i="1"/>
  <c r="M5582" i="1" s="1"/>
  <c r="L5583" i="1"/>
  <c r="M5583" i="1" s="1"/>
  <c r="L5584" i="1"/>
  <c r="M5584" i="1" s="1"/>
  <c r="L5585" i="1"/>
  <c r="M5585" i="1" s="1"/>
  <c r="L5586" i="1"/>
  <c r="M5586" i="1" s="1"/>
  <c r="L5587" i="1"/>
  <c r="M5587" i="1" s="1"/>
  <c r="L5588" i="1"/>
  <c r="M5588" i="1" s="1"/>
  <c r="L5589" i="1"/>
  <c r="M5589" i="1" s="1"/>
  <c r="L5590" i="1"/>
  <c r="M5590" i="1" s="1"/>
  <c r="L5591" i="1"/>
  <c r="M5591" i="1" s="1"/>
  <c r="L5592" i="1"/>
  <c r="M5592" i="1" s="1"/>
  <c r="L5593" i="1"/>
  <c r="M5593" i="1" s="1"/>
  <c r="L5594" i="1"/>
  <c r="M5594" i="1" s="1"/>
  <c r="L5595" i="1"/>
  <c r="M5595" i="1" s="1"/>
  <c r="L5596" i="1"/>
  <c r="M5596" i="1" s="1"/>
  <c r="L5597" i="1"/>
  <c r="M5597" i="1" s="1"/>
  <c r="L5598" i="1"/>
  <c r="M5598" i="1" s="1"/>
  <c r="L5599" i="1"/>
  <c r="M5599" i="1" s="1"/>
  <c r="L5600" i="1"/>
  <c r="M5600" i="1" s="1"/>
  <c r="L5601" i="1"/>
  <c r="M5601" i="1" s="1"/>
  <c r="L5602" i="1"/>
  <c r="M5602" i="1" s="1"/>
  <c r="L5603" i="1"/>
  <c r="M5603" i="1" s="1"/>
  <c r="L5604" i="1"/>
  <c r="M5604" i="1" s="1"/>
  <c r="L5605" i="1"/>
  <c r="M5605" i="1" s="1"/>
  <c r="L5606" i="1"/>
  <c r="M5606" i="1" s="1"/>
  <c r="L5607" i="1"/>
  <c r="M5607" i="1" s="1"/>
  <c r="L5608" i="1"/>
  <c r="M5608" i="1" s="1"/>
  <c r="L5609" i="1"/>
  <c r="M5609" i="1" s="1"/>
  <c r="L5610" i="1"/>
  <c r="M5610" i="1" s="1"/>
  <c r="L5611" i="1"/>
  <c r="M5611" i="1" s="1"/>
  <c r="L5612" i="1"/>
  <c r="M5612" i="1" s="1"/>
  <c r="L5613" i="1"/>
  <c r="M5613" i="1" s="1"/>
  <c r="L5614" i="1"/>
  <c r="M5614" i="1" s="1"/>
  <c r="L5615" i="1"/>
  <c r="M5615" i="1" s="1"/>
  <c r="L5616" i="1"/>
  <c r="M5616" i="1" s="1"/>
  <c r="L5617" i="1"/>
  <c r="M5617" i="1" s="1"/>
  <c r="L5618" i="1"/>
  <c r="M5618" i="1" s="1"/>
  <c r="L5619" i="1"/>
  <c r="M5619" i="1" s="1"/>
  <c r="L5620" i="1"/>
  <c r="M5620" i="1" s="1"/>
  <c r="L5621" i="1"/>
  <c r="M5621" i="1" s="1"/>
  <c r="L5622" i="1"/>
  <c r="M5622" i="1" s="1"/>
  <c r="L5623" i="1"/>
  <c r="M5623" i="1" s="1"/>
  <c r="L5624" i="1"/>
  <c r="M5624" i="1" s="1"/>
  <c r="L5625" i="1"/>
  <c r="M5625" i="1" s="1"/>
  <c r="L5626" i="1"/>
  <c r="M5626" i="1" s="1"/>
  <c r="L5627" i="1"/>
  <c r="M5627" i="1" s="1"/>
  <c r="L5628" i="1"/>
  <c r="M5628" i="1" s="1"/>
  <c r="L5629" i="1"/>
  <c r="M5629" i="1" s="1"/>
  <c r="L5630" i="1"/>
  <c r="M5630" i="1" s="1"/>
  <c r="L5631" i="1"/>
  <c r="M5631" i="1" s="1"/>
  <c r="L5632" i="1"/>
  <c r="M5632" i="1" s="1"/>
  <c r="L5633" i="1"/>
  <c r="M5633" i="1" s="1"/>
  <c r="L5634" i="1"/>
  <c r="M5634" i="1" s="1"/>
  <c r="L5635" i="1"/>
  <c r="M5635" i="1" s="1"/>
  <c r="L5636" i="1"/>
  <c r="M5636" i="1" s="1"/>
  <c r="L5637" i="1"/>
  <c r="M5637" i="1" s="1"/>
  <c r="L5638" i="1"/>
  <c r="M5638" i="1" s="1"/>
  <c r="L5639" i="1"/>
  <c r="M5639" i="1" s="1"/>
  <c r="L5640" i="1"/>
  <c r="M5640" i="1" s="1"/>
  <c r="L5641" i="1"/>
  <c r="M5641" i="1" s="1"/>
  <c r="L5642" i="1"/>
  <c r="M5642" i="1" s="1"/>
  <c r="L5643" i="1"/>
  <c r="M5643" i="1" s="1"/>
  <c r="L5644" i="1"/>
  <c r="M5644" i="1" s="1"/>
  <c r="L5645" i="1"/>
  <c r="M5645" i="1" s="1"/>
  <c r="L5646" i="1"/>
  <c r="M5646" i="1" s="1"/>
  <c r="L5647" i="1"/>
  <c r="M5647" i="1" s="1"/>
  <c r="L5648" i="1"/>
  <c r="M5648" i="1" s="1"/>
  <c r="L5649" i="1"/>
  <c r="M5649" i="1" s="1"/>
  <c r="L5650" i="1"/>
  <c r="M5650" i="1" s="1"/>
  <c r="L5651" i="1"/>
  <c r="M5651" i="1" s="1"/>
  <c r="L5652" i="1"/>
  <c r="M5652" i="1" s="1"/>
  <c r="L5653" i="1"/>
  <c r="M5653" i="1" s="1"/>
  <c r="L5654" i="1"/>
  <c r="M5654" i="1" s="1"/>
  <c r="L5655" i="1"/>
  <c r="M5655" i="1" s="1"/>
  <c r="L5656" i="1"/>
  <c r="M5656" i="1" s="1"/>
  <c r="L5657" i="1"/>
  <c r="M5657" i="1" s="1"/>
  <c r="L5658" i="1"/>
  <c r="M5658" i="1" s="1"/>
  <c r="L5659" i="1"/>
  <c r="M5659" i="1" s="1"/>
  <c r="L5660" i="1"/>
  <c r="M5660" i="1" s="1"/>
  <c r="L5661" i="1"/>
  <c r="M5661" i="1" s="1"/>
  <c r="L5662" i="1"/>
  <c r="M5662" i="1" s="1"/>
  <c r="L5663" i="1"/>
  <c r="M5663" i="1" s="1"/>
  <c r="L5664" i="1"/>
  <c r="M5664" i="1" s="1"/>
  <c r="L5665" i="1"/>
  <c r="M5665" i="1" s="1"/>
  <c r="L5666" i="1"/>
  <c r="M5666" i="1" s="1"/>
  <c r="L5667" i="1"/>
  <c r="M5667" i="1" s="1"/>
  <c r="L5668" i="1"/>
  <c r="M5668" i="1" s="1"/>
  <c r="L5669" i="1"/>
  <c r="M5669" i="1" s="1"/>
  <c r="L5670" i="1"/>
  <c r="M5670" i="1" s="1"/>
  <c r="L5671" i="1"/>
  <c r="M5671" i="1" s="1"/>
  <c r="L5672" i="1"/>
  <c r="M5672" i="1" s="1"/>
  <c r="L5673" i="1"/>
  <c r="M5673" i="1" s="1"/>
  <c r="L5674" i="1"/>
  <c r="M5674" i="1" s="1"/>
  <c r="L5675" i="1"/>
  <c r="M5675" i="1" s="1"/>
  <c r="L5676" i="1"/>
  <c r="M5676" i="1" s="1"/>
  <c r="L5677" i="1"/>
  <c r="M5677" i="1" s="1"/>
  <c r="L5678" i="1"/>
  <c r="M5678" i="1" s="1"/>
  <c r="L5679" i="1"/>
  <c r="M5679" i="1" s="1"/>
  <c r="L5680" i="1"/>
  <c r="M5680" i="1" s="1"/>
  <c r="L5681" i="1"/>
  <c r="M5681" i="1" s="1"/>
  <c r="L5682" i="1"/>
  <c r="M5682" i="1" s="1"/>
  <c r="L5683" i="1"/>
  <c r="M5683" i="1" s="1"/>
  <c r="L5684" i="1"/>
  <c r="M5684" i="1" s="1"/>
  <c r="L5685" i="1"/>
  <c r="M5685" i="1" s="1"/>
  <c r="L5686" i="1"/>
  <c r="M5686" i="1" s="1"/>
  <c r="L5687" i="1"/>
  <c r="M5687" i="1" s="1"/>
  <c r="L5688" i="1"/>
  <c r="M5688" i="1" s="1"/>
  <c r="L5689" i="1"/>
  <c r="M5689" i="1" s="1"/>
  <c r="L5690" i="1"/>
  <c r="M5690" i="1" s="1"/>
  <c r="L5691" i="1"/>
  <c r="M5691" i="1" s="1"/>
  <c r="L5692" i="1"/>
  <c r="M5692" i="1" s="1"/>
  <c r="L5693" i="1"/>
  <c r="M5693" i="1" s="1"/>
  <c r="L5694" i="1"/>
  <c r="M5694" i="1" s="1"/>
  <c r="L5695" i="1"/>
  <c r="M5695" i="1" s="1"/>
  <c r="L5696" i="1"/>
  <c r="M5696" i="1" s="1"/>
  <c r="L5697" i="1"/>
  <c r="M5697" i="1" s="1"/>
  <c r="L5698" i="1"/>
  <c r="M5698" i="1" s="1"/>
  <c r="L5699" i="1"/>
  <c r="M5699" i="1" s="1"/>
  <c r="L5700" i="1"/>
  <c r="M5700" i="1" s="1"/>
  <c r="L5701" i="1"/>
  <c r="M5701" i="1" s="1"/>
  <c r="L5702" i="1"/>
  <c r="M5702" i="1" s="1"/>
  <c r="L5703" i="1"/>
  <c r="M5703" i="1" s="1"/>
  <c r="L5704" i="1"/>
  <c r="M5704" i="1" s="1"/>
  <c r="L5705" i="1"/>
  <c r="M5705" i="1" s="1"/>
  <c r="L5706" i="1"/>
  <c r="M5706" i="1" s="1"/>
  <c r="L5707" i="1"/>
  <c r="M5707" i="1" s="1"/>
  <c r="L5708" i="1"/>
  <c r="M5708" i="1" s="1"/>
  <c r="L5709" i="1"/>
  <c r="M5709" i="1" s="1"/>
  <c r="L5710" i="1"/>
  <c r="M5710" i="1" s="1"/>
  <c r="L5711" i="1"/>
  <c r="M5711" i="1" s="1"/>
  <c r="L5712" i="1"/>
  <c r="M5712" i="1" s="1"/>
  <c r="L5713" i="1"/>
  <c r="M5713" i="1" s="1"/>
  <c r="L5714" i="1"/>
  <c r="M5714" i="1" s="1"/>
  <c r="L5715" i="1"/>
  <c r="M5715" i="1" s="1"/>
  <c r="L5716" i="1"/>
  <c r="M5716" i="1" s="1"/>
  <c r="L5717" i="1"/>
  <c r="M5717" i="1" s="1"/>
  <c r="L5718" i="1"/>
  <c r="M5718" i="1" s="1"/>
  <c r="L5719" i="1"/>
  <c r="M5719" i="1" s="1"/>
  <c r="L5720" i="1"/>
  <c r="M5720" i="1" s="1"/>
  <c r="L5721" i="1"/>
  <c r="M5721" i="1" s="1"/>
  <c r="L5722" i="1"/>
  <c r="M5722" i="1" s="1"/>
  <c r="L5723" i="1"/>
  <c r="M5723" i="1" s="1"/>
  <c r="L5724" i="1"/>
  <c r="M5724" i="1" s="1"/>
  <c r="L5725" i="1"/>
  <c r="M5725" i="1" s="1"/>
  <c r="L5726" i="1"/>
  <c r="M5726" i="1" s="1"/>
  <c r="L5727" i="1"/>
  <c r="M5727" i="1" s="1"/>
  <c r="L5728" i="1"/>
  <c r="M5728" i="1" s="1"/>
  <c r="L5729" i="1"/>
  <c r="M5729" i="1" s="1"/>
  <c r="L5730" i="1"/>
  <c r="M5730" i="1" s="1"/>
  <c r="L5731" i="1"/>
  <c r="M5731" i="1" s="1"/>
  <c r="L5732" i="1"/>
  <c r="M5732" i="1" s="1"/>
  <c r="L5733" i="1"/>
  <c r="M5733" i="1" s="1"/>
  <c r="L5734" i="1"/>
  <c r="M5734" i="1" s="1"/>
  <c r="L5735" i="1"/>
  <c r="M5735" i="1" s="1"/>
  <c r="L5736" i="1"/>
  <c r="M5736" i="1" s="1"/>
  <c r="L5737" i="1"/>
  <c r="M5737" i="1" s="1"/>
  <c r="L5738" i="1"/>
  <c r="M5738" i="1" s="1"/>
  <c r="L5739" i="1"/>
  <c r="M5739" i="1" s="1"/>
  <c r="L5740" i="1"/>
  <c r="M5740" i="1" s="1"/>
  <c r="L5741" i="1"/>
  <c r="M5741" i="1" s="1"/>
  <c r="L5742" i="1"/>
  <c r="M5742" i="1" s="1"/>
  <c r="L5743" i="1"/>
  <c r="M5743" i="1" s="1"/>
  <c r="L5744" i="1"/>
  <c r="M5744" i="1" s="1"/>
  <c r="L5745" i="1"/>
  <c r="M5745" i="1" s="1"/>
  <c r="L5746" i="1"/>
  <c r="M5746" i="1" s="1"/>
  <c r="L5747" i="1"/>
  <c r="M5747" i="1" s="1"/>
  <c r="L5748" i="1"/>
  <c r="M5748" i="1" s="1"/>
  <c r="L5749" i="1"/>
  <c r="M5749" i="1" s="1"/>
  <c r="L5750" i="1"/>
  <c r="M5750" i="1" s="1"/>
  <c r="L5751" i="1"/>
  <c r="M5751" i="1" s="1"/>
  <c r="L5752" i="1"/>
  <c r="M5752" i="1" s="1"/>
  <c r="L5753" i="1"/>
  <c r="M5753" i="1" s="1"/>
  <c r="L5754" i="1"/>
  <c r="M5754" i="1" s="1"/>
  <c r="L5755" i="1"/>
  <c r="M5755" i="1" s="1"/>
  <c r="L5756" i="1"/>
  <c r="M5756" i="1" s="1"/>
  <c r="L5757" i="1"/>
  <c r="M5757" i="1" s="1"/>
  <c r="L5758" i="1"/>
  <c r="M5758" i="1" s="1"/>
  <c r="L5759" i="1"/>
  <c r="M5759" i="1" s="1"/>
  <c r="L5760" i="1"/>
  <c r="M5760" i="1" s="1"/>
  <c r="L5761" i="1"/>
  <c r="M5761" i="1" s="1"/>
  <c r="L5762" i="1"/>
  <c r="M5762" i="1" s="1"/>
  <c r="L5763" i="1"/>
  <c r="M5763" i="1" s="1"/>
  <c r="L5764" i="1"/>
  <c r="M5764" i="1" s="1"/>
  <c r="L5765" i="1"/>
  <c r="M5765" i="1" s="1"/>
  <c r="L5766" i="1"/>
  <c r="M5766" i="1" s="1"/>
  <c r="L5767" i="1"/>
  <c r="M5767" i="1" s="1"/>
  <c r="L5768" i="1"/>
  <c r="M5768" i="1" s="1"/>
  <c r="L5769" i="1"/>
  <c r="M5769" i="1" s="1"/>
  <c r="L5770" i="1"/>
  <c r="M5770" i="1" s="1"/>
  <c r="L5771" i="1"/>
  <c r="M5771" i="1" s="1"/>
  <c r="L5772" i="1"/>
  <c r="M5772" i="1" s="1"/>
  <c r="L5773" i="1"/>
  <c r="M5773" i="1" s="1"/>
  <c r="L5774" i="1"/>
  <c r="M5774" i="1" s="1"/>
  <c r="L5775" i="1"/>
  <c r="M5775" i="1" s="1"/>
  <c r="L5776" i="1"/>
  <c r="M5776" i="1" s="1"/>
  <c r="L5777" i="1"/>
  <c r="M5777" i="1" s="1"/>
  <c r="L5778" i="1"/>
  <c r="M5778" i="1" s="1"/>
  <c r="L5779" i="1"/>
  <c r="M5779" i="1" s="1"/>
  <c r="L5780" i="1"/>
  <c r="M5780" i="1" s="1"/>
  <c r="L5781" i="1"/>
  <c r="M5781" i="1" s="1"/>
  <c r="L5782" i="1"/>
  <c r="M5782" i="1" s="1"/>
  <c r="L5783" i="1"/>
  <c r="M5783" i="1" s="1"/>
  <c r="L5784" i="1"/>
  <c r="M5784" i="1" s="1"/>
  <c r="L5785" i="1"/>
  <c r="M5785" i="1" s="1"/>
  <c r="L5786" i="1"/>
  <c r="M5786" i="1" s="1"/>
  <c r="L5787" i="1"/>
  <c r="M5787" i="1" s="1"/>
  <c r="L5788" i="1"/>
  <c r="M5788" i="1" s="1"/>
  <c r="L5789" i="1"/>
  <c r="M5789" i="1" s="1"/>
  <c r="L5790" i="1"/>
  <c r="M5790" i="1" s="1"/>
  <c r="L5791" i="1"/>
  <c r="M5791" i="1" s="1"/>
  <c r="L5792" i="1"/>
  <c r="M5792" i="1" s="1"/>
  <c r="L5793" i="1"/>
  <c r="M5793" i="1" s="1"/>
  <c r="L5794" i="1"/>
  <c r="M5794" i="1" s="1"/>
  <c r="L5795" i="1"/>
  <c r="M5795" i="1" s="1"/>
  <c r="L5796" i="1"/>
  <c r="M5796" i="1" s="1"/>
  <c r="L5797" i="1"/>
  <c r="M5797" i="1" s="1"/>
  <c r="L5798" i="1"/>
  <c r="M5798" i="1" s="1"/>
  <c r="L5799" i="1"/>
  <c r="M5799" i="1" s="1"/>
  <c r="L5800" i="1"/>
  <c r="M5800" i="1" s="1"/>
  <c r="L5801" i="1"/>
  <c r="M5801" i="1" s="1"/>
  <c r="L5802" i="1"/>
  <c r="M5802" i="1" s="1"/>
  <c r="L5803" i="1"/>
  <c r="M5803" i="1" s="1"/>
  <c r="L5804" i="1"/>
  <c r="M5804" i="1" s="1"/>
  <c r="L5805" i="1"/>
  <c r="M5805" i="1" s="1"/>
  <c r="L5806" i="1"/>
  <c r="M5806" i="1" s="1"/>
  <c r="L5807" i="1"/>
  <c r="M5807" i="1" s="1"/>
  <c r="L5808" i="1"/>
  <c r="M5808" i="1" s="1"/>
  <c r="L5809" i="1"/>
  <c r="M5809" i="1" s="1"/>
  <c r="L5810" i="1"/>
  <c r="M5810" i="1" s="1"/>
  <c r="L5811" i="1"/>
  <c r="M5811" i="1" s="1"/>
  <c r="L5812" i="1"/>
  <c r="M5812" i="1" s="1"/>
  <c r="L5813" i="1"/>
  <c r="M5813" i="1" s="1"/>
  <c r="L5814" i="1"/>
  <c r="M5814" i="1" s="1"/>
  <c r="L5815" i="1"/>
  <c r="M5815" i="1" s="1"/>
  <c r="L5816" i="1"/>
  <c r="M5816" i="1" s="1"/>
  <c r="L5817" i="1"/>
  <c r="M5817" i="1" s="1"/>
  <c r="L5818" i="1"/>
  <c r="M5818" i="1" s="1"/>
  <c r="L5819" i="1"/>
  <c r="M5819" i="1" s="1"/>
  <c r="L5820" i="1"/>
  <c r="M5820" i="1" s="1"/>
  <c r="L5821" i="1"/>
  <c r="M5821" i="1" s="1"/>
  <c r="L5822" i="1"/>
  <c r="M5822" i="1" s="1"/>
  <c r="L5823" i="1"/>
  <c r="M5823" i="1" s="1"/>
  <c r="L5824" i="1"/>
  <c r="M5824" i="1" s="1"/>
  <c r="L5825" i="1"/>
  <c r="M5825" i="1" s="1"/>
  <c r="L5826" i="1"/>
  <c r="M5826" i="1" s="1"/>
  <c r="L5827" i="1"/>
  <c r="M5827" i="1" s="1"/>
  <c r="L5828" i="1"/>
  <c r="M5828" i="1" s="1"/>
  <c r="L5829" i="1"/>
  <c r="M5829" i="1" s="1"/>
  <c r="L5830" i="1"/>
  <c r="M5830" i="1" s="1"/>
  <c r="L5831" i="1"/>
  <c r="M5831" i="1" s="1"/>
  <c r="L5832" i="1"/>
  <c r="M5832" i="1" s="1"/>
  <c r="L5833" i="1"/>
  <c r="M5833" i="1" s="1"/>
  <c r="L5834" i="1"/>
  <c r="M5834" i="1" s="1"/>
  <c r="L5835" i="1"/>
  <c r="M5835" i="1" s="1"/>
  <c r="L5836" i="1"/>
  <c r="M5836" i="1" s="1"/>
  <c r="L5837" i="1"/>
  <c r="M5837" i="1" s="1"/>
  <c r="L5838" i="1"/>
  <c r="M5838" i="1" s="1"/>
  <c r="L5839" i="1"/>
  <c r="M5839" i="1" s="1"/>
  <c r="L5840" i="1"/>
  <c r="M5840" i="1" s="1"/>
  <c r="L5841" i="1"/>
  <c r="M5841" i="1" s="1"/>
  <c r="L5842" i="1"/>
  <c r="M5842" i="1" s="1"/>
  <c r="L5843" i="1"/>
  <c r="M5843" i="1" s="1"/>
  <c r="L5844" i="1"/>
  <c r="M5844" i="1" s="1"/>
  <c r="L5845" i="1"/>
  <c r="M5845" i="1" s="1"/>
  <c r="L5846" i="1"/>
  <c r="M5846" i="1" s="1"/>
  <c r="L5847" i="1"/>
  <c r="M5847" i="1" s="1"/>
  <c r="L5848" i="1"/>
  <c r="M5848" i="1" s="1"/>
  <c r="L5849" i="1"/>
  <c r="M5849" i="1" s="1"/>
  <c r="L5850" i="1"/>
  <c r="M5850" i="1" s="1"/>
  <c r="L5851" i="1"/>
  <c r="M5851" i="1" s="1"/>
  <c r="L5852" i="1"/>
  <c r="M5852" i="1" s="1"/>
  <c r="L5853" i="1"/>
  <c r="M5853" i="1" s="1"/>
  <c r="L5854" i="1"/>
  <c r="M5854" i="1" s="1"/>
  <c r="L5855" i="1"/>
  <c r="M5855" i="1" s="1"/>
  <c r="L5856" i="1"/>
  <c r="M5856" i="1" s="1"/>
  <c r="L5857" i="1"/>
  <c r="M5857" i="1" s="1"/>
  <c r="L5858" i="1"/>
  <c r="M5858" i="1" s="1"/>
  <c r="L5859" i="1"/>
  <c r="M5859" i="1" s="1"/>
  <c r="L5860" i="1"/>
  <c r="M5860" i="1" s="1"/>
  <c r="L5861" i="1"/>
  <c r="M5861" i="1" s="1"/>
  <c r="L5862" i="1"/>
  <c r="M5862" i="1" s="1"/>
  <c r="L5863" i="1"/>
  <c r="M5863" i="1" s="1"/>
  <c r="L5864" i="1"/>
  <c r="M5864" i="1" s="1"/>
  <c r="L5865" i="1"/>
  <c r="M5865" i="1" s="1"/>
  <c r="L5866" i="1"/>
  <c r="M5866" i="1" s="1"/>
  <c r="L5867" i="1"/>
  <c r="M5867" i="1" s="1"/>
  <c r="L5868" i="1"/>
  <c r="M5868" i="1" s="1"/>
  <c r="L5869" i="1"/>
  <c r="M5869" i="1" s="1"/>
  <c r="L5870" i="1"/>
  <c r="M5870" i="1" s="1"/>
  <c r="L5871" i="1"/>
  <c r="M5871" i="1" s="1"/>
  <c r="L5872" i="1"/>
  <c r="M5872" i="1" s="1"/>
  <c r="L5873" i="1"/>
  <c r="M5873" i="1" s="1"/>
  <c r="L5874" i="1"/>
  <c r="M5874" i="1" s="1"/>
  <c r="L5875" i="1"/>
  <c r="M5875" i="1" s="1"/>
  <c r="L5876" i="1"/>
  <c r="M5876" i="1" s="1"/>
  <c r="L5877" i="1"/>
  <c r="M5877" i="1" s="1"/>
  <c r="L5878" i="1"/>
  <c r="M5878" i="1" s="1"/>
  <c r="L5879" i="1"/>
  <c r="M5879" i="1" s="1"/>
  <c r="L5880" i="1"/>
  <c r="M5880" i="1" s="1"/>
  <c r="L5881" i="1"/>
  <c r="M5881" i="1" s="1"/>
  <c r="L5882" i="1"/>
  <c r="M5882" i="1" s="1"/>
  <c r="L5883" i="1"/>
  <c r="M5883" i="1" s="1"/>
  <c r="L5884" i="1"/>
  <c r="M5884" i="1" s="1"/>
  <c r="L5885" i="1"/>
  <c r="M5885" i="1" s="1"/>
  <c r="L5886" i="1"/>
  <c r="M5886" i="1" s="1"/>
  <c r="L5887" i="1"/>
  <c r="M5887" i="1" s="1"/>
  <c r="L5888" i="1"/>
  <c r="M5888" i="1" s="1"/>
  <c r="L5889" i="1"/>
  <c r="M5889" i="1" s="1"/>
  <c r="L5890" i="1"/>
  <c r="M5890" i="1" s="1"/>
  <c r="L5891" i="1"/>
  <c r="M5891" i="1" s="1"/>
  <c r="L5892" i="1"/>
  <c r="M5892" i="1" s="1"/>
  <c r="L5893" i="1"/>
  <c r="M5893" i="1" s="1"/>
  <c r="L5894" i="1"/>
  <c r="M5894" i="1" s="1"/>
  <c r="L5895" i="1"/>
  <c r="M5895" i="1" s="1"/>
  <c r="L5896" i="1"/>
  <c r="M5896" i="1" s="1"/>
  <c r="L5897" i="1"/>
  <c r="M5897" i="1" s="1"/>
  <c r="L5898" i="1"/>
  <c r="M5898" i="1" s="1"/>
  <c r="L5899" i="1"/>
  <c r="M5899" i="1" s="1"/>
  <c r="L5900" i="1"/>
  <c r="M5900" i="1" s="1"/>
  <c r="L5901" i="1"/>
  <c r="M5901" i="1" s="1"/>
  <c r="L5902" i="1"/>
  <c r="M5902" i="1" s="1"/>
  <c r="L5903" i="1"/>
  <c r="M5903" i="1" s="1"/>
  <c r="L5904" i="1"/>
  <c r="M5904" i="1" s="1"/>
  <c r="L5905" i="1"/>
  <c r="M5905" i="1" s="1"/>
  <c r="L5906" i="1"/>
  <c r="M5906" i="1" s="1"/>
  <c r="L5907" i="1"/>
  <c r="M5907" i="1" s="1"/>
  <c r="L5908" i="1"/>
  <c r="M5908" i="1" s="1"/>
  <c r="L5909" i="1"/>
  <c r="M5909" i="1" s="1"/>
  <c r="L5910" i="1"/>
  <c r="M5910" i="1" s="1"/>
  <c r="L5911" i="1"/>
  <c r="M5911" i="1" s="1"/>
  <c r="L5912" i="1"/>
  <c r="M5912" i="1" s="1"/>
  <c r="L5913" i="1"/>
  <c r="M5913" i="1" s="1"/>
  <c r="L5914" i="1"/>
  <c r="M5914" i="1" s="1"/>
  <c r="L5915" i="1"/>
  <c r="M5915" i="1" s="1"/>
  <c r="L5916" i="1"/>
  <c r="M5916" i="1" s="1"/>
  <c r="L5917" i="1"/>
  <c r="M5917" i="1" s="1"/>
  <c r="L5918" i="1"/>
  <c r="M5918" i="1" s="1"/>
  <c r="L5919" i="1"/>
  <c r="M5919" i="1" s="1"/>
  <c r="L5920" i="1"/>
  <c r="M5920" i="1" s="1"/>
  <c r="L5921" i="1"/>
  <c r="M5921" i="1" s="1"/>
  <c r="L5922" i="1"/>
  <c r="M5922" i="1" s="1"/>
  <c r="L5923" i="1"/>
  <c r="M5923" i="1" s="1"/>
  <c r="L5924" i="1"/>
  <c r="M5924" i="1" s="1"/>
  <c r="L5925" i="1"/>
  <c r="M5925" i="1" s="1"/>
  <c r="L5926" i="1"/>
  <c r="M5926" i="1" s="1"/>
  <c r="L5927" i="1"/>
  <c r="M5927" i="1" s="1"/>
  <c r="L5928" i="1"/>
  <c r="M5928" i="1" s="1"/>
  <c r="L5929" i="1"/>
  <c r="M5929" i="1" s="1"/>
  <c r="L5930" i="1"/>
  <c r="M5930" i="1" s="1"/>
  <c r="L5931" i="1"/>
  <c r="M5931" i="1" s="1"/>
  <c r="L5932" i="1"/>
  <c r="M5932" i="1" s="1"/>
  <c r="L5933" i="1"/>
  <c r="M5933" i="1" s="1"/>
  <c r="L5934" i="1"/>
  <c r="M5934" i="1" s="1"/>
  <c r="L5935" i="1"/>
  <c r="M5935" i="1" s="1"/>
  <c r="L5936" i="1"/>
  <c r="M5936" i="1" s="1"/>
  <c r="L5937" i="1"/>
  <c r="M5937" i="1" s="1"/>
  <c r="L5938" i="1"/>
  <c r="M5938" i="1" s="1"/>
  <c r="L5939" i="1"/>
  <c r="M5939" i="1" s="1"/>
  <c r="L5940" i="1"/>
  <c r="M5940" i="1" s="1"/>
  <c r="L5941" i="1"/>
  <c r="M5941" i="1" s="1"/>
  <c r="L5942" i="1"/>
  <c r="M5942" i="1" s="1"/>
  <c r="L5943" i="1"/>
  <c r="M5943" i="1" s="1"/>
  <c r="L5944" i="1"/>
  <c r="M5944" i="1" s="1"/>
  <c r="L5945" i="1"/>
  <c r="M5945" i="1" s="1"/>
  <c r="L5946" i="1"/>
  <c r="M5946" i="1" s="1"/>
  <c r="L5947" i="1"/>
  <c r="M5947" i="1" s="1"/>
  <c r="L5948" i="1"/>
  <c r="M5948" i="1" s="1"/>
  <c r="L5949" i="1"/>
  <c r="M5949" i="1" s="1"/>
  <c r="L5950" i="1"/>
  <c r="M5950" i="1" s="1"/>
  <c r="L5951" i="1"/>
  <c r="M5951" i="1" s="1"/>
  <c r="L5952" i="1"/>
  <c r="M5952" i="1" s="1"/>
  <c r="L5953" i="1"/>
  <c r="M5953" i="1" s="1"/>
  <c r="L5954" i="1"/>
  <c r="M5954" i="1" s="1"/>
  <c r="L5955" i="1"/>
  <c r="M5955" i="1" s="1"/>
  <c r="L5956" i="1"/>
  <c r="M5956" i="1" s="1"/>
  <c r="L5957" i="1"/>
  <c r="M5957" i="1" s="1"/>
  <c r="L5958" i="1"/>
  <c r="M5958" i="1" s="1"/>
  <c r="L5959" i="1"/>
  <c r="M5959" i="1" s="1"/>
  <c r="L5960" i="1"/>
  <c r="M5960" i="1" s="1"/>
  <c r="L5961" i="1"/>
  <c r="M5961" i="1" s="1"/>
  <c r="L5962" i="1"/>
  <c r="M5962" i="1" s="1"/>
  <c r="L5963" i="1"/>
  <c r="M5963" i="1" s="1"/>
  <c r="L5964" i="1"/>
  <c r="M5964" i="1" s="1"/>
  <c r="L5965" i="1"/>
  <c r="M5965" i="1" s="1"/>
  <c r="L5966" i="1"/>
  <c r="M5966" i="1" s="1"/>
  <c r="L5967" i="1"/>
  <c r="M5967" i="1" s="1"/>
  <c r="L5968" i="1"/>
  <c r="M5968" i="1" s="1"/>
  <c r="L5969" i="1"/>
  <c r="M5969" i="1" s="1"/>
  <c r="L5970" i="1"/>
  <c r="M5970" i="1" s="1"/>
  <c r="L5971" i="1"/>
  <c r="M5971" i="1" s="1"/>
  <c r="L5972" i="1"/>
  <c r="M5972" i="1" s="1"/>
  <c r="L5973" i="1"/>
  <c r="M5973" i="1" s="1"/>
  <c r="L5974" i="1"/>
  <c r="M5974" i="1" s="1"/>
  <c r="L5975" i="1"/>
  <c r="M5975" i="1" s="1"/>
  <c r="L5976" i="1"/>
  <c r="M5976" i="1" s="1"/>
  <c r="L5977" i="1"/>
  <c r="M5977" i="1" s="1"/>
  <c r="L5978" i="1"/>
  <c r="M5978" i="1" s="1"/>
  <c r="L5979" i="1"/>
  <c r="M5979" i="1" s="1"/>
  <c r="L5980" i="1"/>
  <c r="M5980" i="1" s="1"/>
  <c r="L5981" i="1"/>
  <c r="M5981" i="1" s="1"/>
  <c r="L5982" i="1"/>
  <c r="M5982" i="1" s="1"/>
  <c r="L5983" i="1"/>
  <c r="M5983" i="1" s="1"/>
  <c r="L5984" i="1"/>
  <c r="M5984" i="1" s="1"/>
  <c r="L5985" i="1"/>
  <c r="M5985" i="1" s="1"/>
  <c r="L5986" i="1"/>
  <c r="M5986" i="1" s="1"/>
  <c r="L5987" i="1"/>
  <c r="M5987" i="1" s="1"/>
  <c r="L5988" i="1"/>
  <c r="M5988" i="1" s="1"/>
  <c r="L5989" i="1"/>
  <c r="M5989" i="1" s="1"/>
  <c r="L5990" i="1"/>
  <c r="M5990" i="1" s="1"/>
  <c r="L5991" i="1"/>
  <c r="M5991" i="1" s="1"/>
  <c r="L5992" i="1"/>
  <c r="M5992" i="1" s="1"/>
  <c r="L5993" i="1"/>
  <c r="M5993" i="1" s="1"/>
  <c r="L5994" i="1"/>
  <c r="M5994" i="1" s="1"/>
  <c r="L5995" i="1"/>
  <c r="M5995" i="1" s="1"/>
  <c r="L5996" i="1"/>
  <c r="M5996" i="1" s="1"/>
  <c r="L5997" i="1"/>
  <c r="M5997" i="1" s="1"/>
  <c r="L5998" i="1"/>
  <c r="M5998" i="1" s="1"/>
  <c r="L5999" i="1"/>
  <c r="M5999" i="1" s="1"/>
  <c r="L6000" i="1"/>
  <c r="M6000" i="1" s="1"/>
  <c r="L6001" i="1"/>
  <c r="M6001" i="1" s="1"/>
  <c r="L6002" i="1"/>
  <c r="M6002" i="1" s="1"/>
  <c r="L6003" i="1"/>
  <c r="M6003" i="1" s="1"/>
  <c r="L6004" i="1"/>
  <c r="M6004" i="1" s="1"/>
  <c r="L6005" i="1"/>
  <c r="M6005" i="1" s="1"/>
  <c r="L6006" i="1"/>
  <c r="M6006" i="1" s="1"/>
  <c r="L6007" i="1"/>
  <c r="M6007" i="1" s="1"/>
  <c r="L6008" i="1"/>
  <c r="M6008" i="1" s="1"/>
  <c r="L6009" i="1"/>
  <c r="M6009" i="1" s="1"/>
  <c r="L6010" i="1"/>
  <c r="M6010" i="1" s="1"/>
  <c r="L6011" i="1"/>
  <c r="M6011" i="1" s="1"/>
  <c r="L6012" i="1"/>
  <c r="M6012" i="1" s="1"/>
  <c r="L6013" i="1"/>
  <c r="M6013" i="1" s="1"/>
  <c r="L6014" i="1"/>
  <c r="M6014" i="1" s="1"/>
  <c r="L6015" i="1"/>
  <c r="M6015" i="1" s="1"/>
  <c r="L6016" i="1"/>
  <c r="M6016" i="1" s="1"/>
  <c r="L6017" i="1"/>
  <c r="M6017" i="1" s="1"/>
  <c r="L6018" i="1"/>
  <c r="M6018" i="1" s="1"/>
  <c r="L6019" i="1"/>
  <c r="M6019" i="1" s="1"/>
  <c r="L6020" i="1"/>
  <c r="M6020" i="1" s="1"/>
  <c r="L6021" i="1"/>
  <c r="M6021" i="1" s="1"/>
  <c r="L6022" i="1"/>
  <c r="M6022" i="1" s="1"/>
  <c r="L6023" i="1"/>
  <c r="M6023" i="1" s="1"/>
  <c r="L6024" i="1"/>
  <c r="M6024" i="1" s="1"/>
  <c r="L6025" i="1"/>
  <c r="M6025" i="1" s="1"/>
  <c r="L6026" i="1"/>
  <c r="M6026" i="1" s="1"/>
  <c r="L6027" i="1"/>
  <c r="M6027" i="1" s="1"/>
  <c r="L6028" i="1"/>
  <c r="M6028" i="1" s="1"/>
  <c r="L6029" i="1"/>
  <c r="M6029" i="1" s="1"/>
  <c r="L6030" i="1"/>
  <c r="M6030" i="1" s="1"/>
  <c r="L6031" i="1"/>
  <c r="M6031" i="1" s="1"/>
  <c r="L6032" i="1"/>
  <c r="M6032" i="1" s="1"/>
  <c r="L6033" i="1"/>
  <c r="M6033" i="1" s="1"/>
  <c r="L6034" i="1"/>
  <c r="M6034" i="1" s="1"/>
  <c r="L6035" i="1"/>
  <c r="M6035" i="1" s="1"/>
  <c r="L6036" i="1"/>
  <c r="M6036" i="1" s="1"/>
  <c r="L6037" i="1"/>
  <c r="M6037" i="1" s="1"/>
  <c r="L6038" i="1"/>
  <c r="M6038" i="1" s="1"/>
  <c r="L6039" i="1"/>
  <c r="M6039" i="1" s="1"/>
  <c r="L6040" i="1"/>
  <c r="M6040" i="1" s="1"/>
  <c r="L6041" i="1"/>
  <c r="M6041" i="1" s="1"/>
  <c r="L6042" i="1"/>
  <c r="M6042" i="1" s="1"/>
  <c r="L6043" i="1"/>
  <c r="M6043" i="1" s="1"/>
  <c r="L6044" i="1"/>
  <c r="M6044" i="1" s="1"/>
  <c r="L6045" i="1"/>
  <c r="M6045" i="1" s="1"/>
  <c r="L6046" i="1"/>
  <c r="M6046" i="1" s="1"/>
  <c r="L6047" i="1"/>
  <c r="M6047" i="1" s="1"/>
  <c r="L6048" i="1"/>
  <c r="M6048" i="1" s="1"/>
  <c r="L6049" i="1"/>
  <c r="M6049" i="1" s="1"/>
  <c r="L6050" i="1"/>
  <c r="M6050" i="1" s="1"/>
  <c r="L6051" i="1"/>
  <c r="M6051" i="1" s="1"/>
  <c r="L6052" i="1"/>
  <c r="M6052" i="1" s="1"/>
  <c r="L6053" i="1"/>
  <c r="M6053" i="1" s="1"/>
  <c r="L6054" i="1"/>
  <c r="M6054" i="1" s="1"/>
  <c r="L6055" i="1"/>
  <c r="M6055" i="1" s="1"/>
  <c r="L6056" i="1"/>
  <c r="M6056" i="1" s="1"/>
  <c r="L6057" i="1"/>
  <c r="M6057" i="1" s="1"/>
  <c r="L6058" i="1"/>
  <c r="M6058" i="1" s="1"/>
  <c r="L6059" i="1"/>
  <c r="M6059" i="1" s="1"/>
  <c r="L6060" i="1"/>
  <c r="M6060" i="1" s="1"/>
  <c r="L6061" i="1"/>
  <c r="M6061" i="1" s="1"/>
  <c r="L6062" i="1"/>
  <c r="M6062" i="1" s="1"/>
  <c r="L6063" i="1"/>
  <c r="M6063" i="1" s="1"/>
  <c r="L6064" i="1"/>
  <c r="M6064" i="1" s="1"/>
  <c r="L6065" i="1"/>
  <c r="M6065" i="1" s="1"/>
  <c r="L6066" i="1"/>
  <c r="M6066" i="1" s="1"/>
  <c r="L6067" i="1"/>
  <c r="M6067" i="1" s="1"/>
  <c r="L6068" i="1"/>
  <c r="M6068" i="1" s="1"/>
  <c r="L6069" i="1"/>
  <c r="M6069" i="1" s="1"/>
  <c r="L6070" i="1"/>
  <c r="M6070" i="1" s="1"/>
  <c r="L6071" i="1"/>
  <c r="M6071" i="1" s="1"/>
  <c r="L6072" i="1"/>
  <c r="M6072" i="1" s="1"/>
  <c r="L6073" i="1"/>
  <c r="M6073" i="1" s="1"/>
  <c r="L6074" i="1"/>
  <c r="M6074" i="1" s="1"/>
  <c r="L6075" i="1"/>
  <c r="M6075" i="1" s="1"/>
  <c r="L6076" i="1"/>
  <c r="M6076" i="1" s="1"/>
  <c r="L6077" i="1"/>
  <c r="M6077" i="1" s="1"/>
  <c r="L6078" i="1"/>
  <c r="M6078" i="1" s="1"/>
  <c r="L6079" i="1"/>
  <c r="M6079" i="1" s="1"/>
  <c r="L6080" i="1"/>
  <c r="M6080" i="1" s="1"/>
  <c r="L6081" i="1"/>
  <c r="M6081" i="1" s="1"/>
  <c r="L6082" i="1"/>
  <c r="M6082" i="1" s="1"/>
  <c r="L6083" i="1"/>
  <c r="M6083" i="1" s="1"/>
  <c r="L6084" i="1"/>
  <c r="M6084" i="1" s="1"/>
  <c r="L6085" i="1"/>
  <c r="M6085" i="1" s="1"/>
  <c r="L6086" i="1"/>
  <c r="M6086" i="1" s="1"/>
  <c r="L6087" i="1"/>
  <c r="M6087" i="1" s="1"/>
  <c r="L6088" i="1"/>
  <c r="M6088" i="1" s="1"/>
  <c r="L6089" i="1"/>
  <c r="M6089" i="1" s="1"/>
  <c r="L6090" i="1"/>
  <c r="M6090" i="1" s="1"/>
  <c r="L6091" i="1"/>
  <c r="M6091" i="1" s="1"/>
  <c r="L6092" i="1"/>
  <c r="M6092" i="1" s="1"/>
  <c r="L6093" i="1"/>
  <c r="M6093" i="1" s="1"/>
  <c r="L6094" i="1"/>
  <c r="M6094" i="1" s="1"/>
  <c r="L6095" i="1"/>
  <c r="M6095" i="1" s="1"/>
  <c r="L6096" i="1"/>
  <c r="M6096" i="1" s="1"/>
  <c r="L6097" i="1"/>
  <c r="M6097" i="1" s="1"/>
  <c r="L6098" i="1"/>
  <c r="M6098" i="1" s="1"/>
  <c r="L6099" i="1"/>
  <c r="M6099" i="1" s="1"/>
  <c r="L6100" i="1"/>
  <c r="M6100" i="1" s="1"/>
  <c r="L6101" i="1"/>
  <c r="M6101" i="1" s="1"/>
  <c r="L6102" i="1"/>
  <c r="M6102" i="1" s="1"/>
  <c r="L6103" i="1"/>
  <c r="M6103" i="1" s="1"/>
  <c r="L6104" i="1"/>
  <c r="M6104" i="1" s="1"/>
  <c r="L6105" i="1"/>
  <c r="M6105" i="1" s="1"/>
  <c r="L6106" i="1"/>
  <c r="M6106" i="1" s="1"/>
  <c r="L6107" i="1"/>
  <c r="M6107" i="1" s="1"/>
  <c r="L6108" i="1"/>
  <c r="M6108" i="1" s="1"/>
  <c r="L6109" i="1"/>
  <c r="M6109" i="1" s="1"/>
  <c r="L6110" i="1"/>
  <c r="M6110" i="1" s="1"/>
  <c r="L6111" i="1"/>
  <c r="M6111" i="1" s="1"/>
  <c r="L6112" i="1"/>
  <c r="M6112" i="1" s="1"/>
  <c r="L6113" i="1"/>
  <c r="M6113" i="1" s="1"/>
  <c r="L6114" i="1"/>
  <c r="M6114" i="1" s="1"/>
  <c r="L6115" i="1"/>
  <c r="M6115" i="1" s="1"/>
  <c r="L6116" i="1"/>
  <c r="M6116" i="1" s="1"/>
  <c r="L6117" i="1"/>
  <c r="M6117" i="1" s="1"/>
  <c r="L6118" i="1"/>
  <c r="M6118" i="1" s="1"/>
  <c r="L6119" i="1"/>
  <c r="M6119" i="1" s="1"/>
  <c r="L6120" i="1"/>
  <c r="M6120" i="1" s="1"/>
  <c r="L6121" i="1"/>
  <c r="M6121" i="1" s="1"/>
  <c r="L6122" i="1"/>
  <c r="M6122" i="1" s="1"/>
  <c r="L6123" i="1"/>
  <c r="M6123" i="1" s="1"/>
  <c r="L6124" i="1"/>
  <c r="M6124" i="1" s="1"/>
  <c r="L6125" i="1"/>
  <c r="M6125" i="1" s="1"/>
  <c r="L6126" i="1"/>
  <c r="M6126" i="1" s="1"/>
  <c r="L6127" i="1"/>
  <c r="M6127" i="1" s="1"/>
  <c r="L6128" i="1"/>
  <c r="M6128" i="1" s="1"/>
  <c r="L6129" i="1"/>
  <c r="M6129" i="1" s="1"/>
  <c r="L6130" i="1"/>
  <c r="M6130" i="1" s="1"/>
  <c r="L6131" i="1"/>
  <c r="M6131" i="1" s="1"/>
  <c r="L6132" i="1"/>
  <c r="M6132" i="1" s="1"/>
  <c r="L6133" i="1"/>
  <c r="M6133" i="1" s="1"/>
  <c r="L6134" i="1"/>
  <c r="M6134" i="1" s="1"/>
  <c r="L6135" i="1"/>
  <c r="M6135" i="1" s="1"/>
  <c r="L6136" i="1"/>
  <c r="M6136" i="1" s="1"/>
  <c r="L6137" i="1"/>
  <c r="M6137" i="1" s="1"/>
  <c r="L6138" i="1"/>
  <c r="M6138" i="1" s="1"/>
  <c r="L6139" i="1"/>
  <c r="M6139" i="1" s="1"/>
  <c r="L6140" i="1"/>
  <c r="M6140" i="1" s="1"/>
  <c r="L6141" i="1"/>
  <c r="M6141" i="1" s="1"/>
  <c r="L6142" i="1"/>
  <c r="M6142" i="1" s="1"/>
  <c r="L6143" i="1"/>
  <c r="M6143" i="1" s="1"/>
  <c r="L6144" i="1"/>
  <c r="M6144" i="1" s="1"/>
  <c r="L6145" i="1"/>
  <c r="M6145" i="1" s="1"/>
  <c r="L6146" i="1"/>
  <c r="M6146" i="1" s="1"/>
  <c r="L6147" i="1"/>
  <c r="M6147" i="1" s="1"/>
  <c r="L6148" i="1"/>
  <c r="M6148" i="1" s="1"/>
  <c r="L6149" i="1"/>
  <c r="M6149" i="1" s="1"/>
  <c r="L6150" i="1"/>
  <c r="M6150" i="1" s="1"/>
  <c r="L6151" i="1"/>
  <c r="M6151" i="1" s="1"/>
  <c r="L6152" i="1"/>
  <c r="M6152" i="1" s="1"/>
  <c r="L6153" i="1"/>
  <c r="M6153" i="1" s="1"/>
  <c r="L6154" i="1"/>
  <c r="M6154" i="1" s="1"/>
  <c r="L6155" i="1"/>
  <c r="M6155" i="1" s="1"/>
  <c r="L6156" i="1"/>
  <c r="M6156" i="1" s="1"/>
  <c r="L6157" i="1"/>
  <c r="M6157" i="1" s="1"/>
  <c r="L6158" i="1"/>
  <c r="M6158" i="1" s="1"/>
  <c r="L6159" i="1"/>
  <c r="M6159" i="1" s="1"/>
  <c r="L6160" i="1"/>
  <c r="M6160" i="1" s="1"/>
  <c r="L6161" i="1"/>
  <c r="M6161" i="1" s="1"/>
  <c r="L6162" i="1"/>
  <c r="M6162" i="1" s="1"/>
  <c r="L6163" i="1"/>
  <c r="M6163" i="1" s="1"/>
  <c r="L6164" i="1"/>
  <c r="M6164" i="1" s="1"/>
  <c r="L6165" i="1"/>
  <c r="M6165" i="1" s="1"/>
  <c r="L6166" i="1"/>
  <c r="M6166" i="1" s="1"/>
  <c r="L6167" i="1"/>
  <c r="M6167" i="1" s="1"/>
  <c r="L6168" i="1"/>
  <c r="M6168" i="1" s="1"/>
  <c r="L6169" i="1"/>
  <c r="M6169" i="1" s="1"/>
  <c r="L6170" i="1"/>
  <c r="M6170" i="1" s="1"/>
  <c r="L6171" i="1"/>
  <c r="M6171" i="1" s="1"/>
  <c r="L6172" i="1"/>
  <c r="M6172" i="1" s="1"/>
  <c r="L6173" i="1"/>
  <c r="M6173" i="1" s="1"/>
  <c r="L6174" i="1"/>
  <c r="M6174" i="1" s="1"/>
  <c r="L6175" i="1"/>
  <c r="M6175" i="1" s="1"/>
  <c r="L6176" i="1"/>
  <c r="M6176" i="1" s="1"/>
  <c r="L6177" i="1"/>
  <c r="M6177" i="1" s="1"/>
  <c r="L6178" i="1"/>
  <c r="M6178" i="1" s="1"/>
  <c r="L6179" i="1"/>
  <c r="M6179" i="1" s="1"/>
  <c r="L6180" i="1"/>
  <c r="M6180" i="1" s="1"/>
  <c r="L6181" i="1"/>
  <c r="M6181" i="1" s="1"/>
  <c r="L6182" i="1"/>
  <c r="M6182" i="1" s="1"/>
  <c r="L6183" i="1"/>
  <c r="M6183" i="1" s="1"/>
  <c r="L6184" i="1"/>
  <c r="M6184" i="1" s="1"/>
  <c r="L6185" i="1"/>
  <c r="M6185" i="1" s="1"/>
  <c r="L6186" i="1"/>
  <c r="M6186" i="1" s="1"/>
  <c r="L6187" i="1"/>
  <c r="M6187" i="1" s="1"/>
  <c r="L6188" i="1"/>
  <c r="M6188" i="1" s="1"/>
  <c r="L6189" i="1"/>
  <c r="M6189" i="1" s="1"/>
  <c r="L6190" i="1"/>
  <c r="M6190" i="1" s="1"/>
  <c r="L6191" i="1"/>
  <c r="M6191" i="1" s="1"/>
  <c r="L6192" i="1"/>
  <c r="M6192" i="1" s="1"/>
  <c r="L6193" i="1"/>
  <c r="M6193" i="1" s="1"/>
  <c r="L6194" i="1"/>
  <c r="M6194" i="1" s="1"/>
  <c r="L6195" i="1"/>
  <c r="M6195" i="1" s="1"/>
  <c r="L6196" i="1"/>
  <c r="M6196" i="1" s="1"/>
  <c r="L6197" i="1"/>
  <c r="M6197" i="1" s="1"/>
  <c r="L6198" i="1"/>
  <c r="M6198" i="1" s="1"/>
  <c r="L6199" i="1"/>
  <c r="M6199" i="1" s="1"/>
  <c r="L6200" i="1"/>
  <c r="M6200" i="1" s="1"/>
  <c r="L6201" i="1"/>
  <c r="M6201" i="1" s="1"/>
  <c r="L6202" i="1"/>
  <c r="M6202" i="1" s="1"/>
  <c r="L6203" i="1"/>
  <c r="M6203" i="1" s="1"/>
  <c r="L6204" i="1"/>
  <c r="M6204" i="1" s="1"/>
  <c r="L6205" i="1"/>
  <c r="M6205" i="1" s="1"/>
  <c r="L6206" i="1"/>
  <c r="M6206" i="1" s="1"/>
  <c r="L6207" i="1"/>
  <c r="M6207" i="1" s="1"/>
  <c r="L6208" i="1"/>
  <c r="M6208" i="1" s="1"/>
  <c r="L6209" i="1"/>
  <c r="M6209" i="1" s="1"/>
  <c r="L6210" i="1"/>
  <c r="M6210" i="1" s="1"/>
  <c r="L6211" i="1"/>
  <c r="M6211" i="1" s="1"/>
  <c r="L6212" i="1"/>
  <c r="M6212" i="1" s="1"/>
  <c r="L6213" i="1"/>
  <c r="M6213" i="1" s="1"/>
  <c r="L6214" i="1"/>
  <c r="M6214" i="1" s="1"/>
  <c r="L6215" i="1"/>
  <c r="M6215" i="1" s="1"/>
  <c r="L6216" i="1"/>
  <c r="M6216" i="1" s="1"/>
  <c r="L6217" i="1"/>
  <c r="M6217" i="1" s="1"/>
  <c r="L6218" i="1"/>
  <c r="M6218" i="1" s="1"/>
  <c r="L6219" i="1"/>
  <c r="M6219" i="1" s="1"/>
  <c r="L6220" i="1"/>
  <c r="M6220" i="1" s="1"/>
  <c r="L6221" i="1"/>
  <c r="M6221" i="1" s="1"/>
  <c r="L6222" i="1"/>
  <c r="M6222" i="1" s="1"/>
  <c r="L6223" i="1"/>
  <c r="M6223" i="1" s="1"/>
  <c r="L6224" i="1"/>
  <c r="M6224" i="1" s="1"/>
  <c r="L6225" i="1"/>
  <c r="M6225" i="1" s="1"/>
  <c r="L6226" i="1"/>
  <c r="M6226" i="1" s="1"/>
  <c r="L6227" i="1"/>
  <c r="M6227" i="1" s="1"/>
  <c r="L6228" i="1"/>
  <c r="M6228" i="1" s="1"/>
  <c r="L6229" i="1"/>
  <c r="M6229" i="1" s="1"/>
  <c r="L6230" i="1"/>
  <c r="M6230" i="1" s="1"/>
  <c r="L6231" i="1"/>
  <c r="M6231" i="1" s="1"/>
  <c r="L6232" i="1"/>
  <c r="M6232" i="1" s="1"/>
  <c r="L6233" i="1"/>
  <c r="M6233" i="1" s="1"/>
  <c r="L6234" i="1"/>
  <c r="M6234" i="1" s="1"/>
  <c r="L6235" i="1"/>
  <c r="M6235" i="1" s="1"/>
  <c r="L6236" i="1"/>
  <c r="M6236" i="1" s="1"/>
  <c r="L6237" i="1"/>
  <c r="M6237" i="1" s="1"/>
  <c r="L6238" i="1"/>
  <c r="M6238" i="1" s="1"/>
  <c r="L6239" i="1"/>
  <c r="M6239" i="1" s="1"/>
  <c r="L6240" i="1"/>
  <c r="M6240" i="1" s="1"/>
  <c r="L6241" i="1"/>
  <c r="M6241" i="1" s="1"/>
  <c r="L6242" i="1"/>
  <c r="M6242" i="1" s="1"/>
  <c r="L6243" i="1"/>
  <c r="M6243" i="1" s="1"/>
  <c r="L6244" i="1"/>
  <c r="M6244" i="1" s="1"/>
  <c r="L6245" i="1"/>
  <c r="M6245" i="1" s="1"/>
  <c r="L6246" i="1"/>
  <c r="M6246" i="1" s="1"/>
  <c r="L6247" i="1"/>
  <c r="M6247" i="1" s="1"/>
  <c r="L6248" i="1"/>
  <c r="M6248" i="1" s="1"/>
  <c r="L6249" i="1"/>
  <c r="M6249" i="1" s="1"/>
  <c r="L6250" i="1"/>
  <c r="M6250" i="1" s="1"/>
  <c r="L6251" i="1"/>
  <c r="M6251" i="1" s="1"/>
  <c r="L6252" i="1"/>
  <c r="M6252" i="1" s="1"/>
  <c r="L6253" i="1"/>
  <c r="M6253" i="1" s="1"/>
  <c r="L6254" i="1"/>
  <c r="M6254" i="1" s="1"/>
  <c r="L6255" i="1"/>
  <c r="M6255" i="1" s="1"/>
  <c r="L6256" i="1"/>
  <c r="M6256" i="1" s="1"/>
  <c r="L6257" i="1"/>
  <c r="M6257" i="1" s="1"/>
  <c r="L6258" i="1"/>
  <c r="M6258" i="1" s="1"/>
  <c r="L6259" i="1"/>
  <c r="M6259" i="1" s="1"/>
  <c r="L6260" i="1"/>
  <c r="M6260" i="1" s="1"/>
  <c r="L6261" i="1"/>
  <c r="M6261" i="1" s="1"/>
  <c r="L6262" i="1"/>
  <c r="M6262" i="1" s="1"/>
  <c r="L6263" i="1"/>
  <c r="M6263" i="1" s="1"/>
  <c r="L6264" i="1"/>
  <c r="M6264" i="1" s="1"/>
  <c r="L6265" i="1"/>
  <c r="M6265" i="1" s="1"/>
  <c r="L6266" i="1"/>
  <c r="M6266" i="1" s="1"/>
  <c r="L6267" i="1"/>
  <c r="M6267" i="1" s="1"/>
  <c r="L6268" i="1"/>
  <c r="M6268" i="1" s="1"/>
  <c r="L6269" i="1"/>
  <c r="M6269" i="1" s="1"/>
  <c r="L6270" i="1"/>
  <c r="M6270" i="1" s="1"/>
  <c r="L6271" i="1"/>
  <c r="M6271" i="1" s="1"/>
  <c r="L6272" i="1"/>
  <c r="M6272" i="1" s="1"/>
  <c r="L6273" i="1"/>
  <c r="M6273" i="1" s="1"/>
  <c r="L6274" i="1"/>
  <c r="M6274" i="1" s="1"/>
  <c r="L6275" i="1"/>
  <c r="M6275" i="1" s="1"/>
  <c r="L6276" i="1"/>
  <c r="M6276" i="1" s="1"/>
  <c r="L6277" i="1"/>
  <c r="M6277" i="1" s="1"/>
  <c r="L6278" i="1"/>
  <c r="M6278" i="1" s="1"/>
  <c r="L6279" i="1"/>
  <c r="M6279" i="1" s="1"/>
  <c r="L6280" i="1"/>
  <c r="M6280" i="1" s="1"/>
  <c r="L6281" i="1"/>
  <c r="M6281" i="1" s="1"/>
  <c r="L6282" i="1"/>
  <c r="M6282" i="1" s="1"/>
  <c r="L6283" i="1"/>
  <c r="M6283" i="1" s="1"/>
  <c r="L6284" i="1"/>
  <c r="M6284" i="1" s="1"/>
  <c r="L6285" i="1"/>
  <c r="M6285" i="1" s="1"/>
  <c r="L6286" i="1"/>
  <c r="M6286" i="1" s="1"/>
  <c r="L6287" i="1"/>
  <c r="M6287" i="1" s="1"/>
  <c r="L6288" i="1"/>
  <c r="M6288" i="1" s="1"/>
  <c r="L6289" i="1"/>
  <c r="M6289" i="1" s="1"/>
  <c r="L6290" i="1"/>
  <c r="M6290" i="1" s="1"/>
  <c r="L6291" i="1"/>
  <c r="M6291" i="1" s="1"/>
  <c r="L6292" i="1"/>
  <c r="M6292" i="1" s="1"/>
  <c r="L6293" i="1"/>
  <c r="M6293" i="1" s="1"/>
  <c r="L6294" i="1"/>
  <c r="M6294" i="1" s="1"/>
  <c r="L6295" i="1"/>
  <c r="M6295" i="1" s="1"/>
  <c r="L6296" i="1"/>
  <c r="M6296" i="1" s="1"/>
  <c r="L6297" i="1"/>
  <c r="M6297" i="1" s="1"/>
  <c r="L6298" i="1"/>
  <c r="M6298" i="1" s="1"/>
  <c r="L6299" i="1"/>
  <c r="M6299" i="1" s="1"/>
  <c r="L6300" i="1"/>
  <c r="M6300" i="1" s="1"/>
  <c r="L6301" i="1"/>
  <c r="M6301" i="1" s="1"/>
  <c r="L6302" i="1"/>
  <c r="M6302" i="1" s="1"/>
  <c r="L6303" i="1"/>
  <c r="M6303" i="1" s="1"/>
  <c r="L6304" i="1"/>
  <c r="M6304" i="1" s="1"/>
  <c r="L6305" i="1"/>
  <c r="M6305" i="1" s="1"/>
  <c r="L6306" i="1"/>
  <c r="M6306" i="1" s="1"/>
  <c r="L6307" i="1"/>
  <c r="M6307" i="1" s="1"/>
  <c r="L6308" i="1"/>
  <c r="M6308" i="1" s="1"/>
  <c r="L6309" i="1"/>
  <c r="M6309" i="1" s="1"/>
  <c r="L6310" i="1"/>
  <c r="M6310" i="1" s="1"/>
  <c r="L6311" i="1"/>
  <c r="M6311" i="1" s="1"/>
  <c r="L6312" i="1"/>
  <c r="M6312" i="1" s="1"/>
  <c r="L6313" i="1"/>
  <c r="M6313" i="1" s="1"/>
  <c r="L6314" i="1"/>
  <c r="M6314" i="1" s="1"/>
  <c r="L6315" i="1"/>
  <c r="M6315" i="1" s="1"/>
  <c r="L6316" i="1"/>
  <c r="M6316" i="1" s="1"/>
  <c r="L6317" i="1"/>
  <c r="M6317" i="1" s="1"/>
  <c r="L6318" i="1"/>
  <c r="M6318" i="1" s="1"/>
  <c r="L6319" i="1"/>
  <c r="M6319" i="1" s="1"/>
  <c r="L6320" i="1"/>
  <c r="M6320" i="1" s="1"/>
  <c r="L6321" i="1"/>
  <c r="M6321" i="1" s="1"/>
  <c r="L6322" i="1"/>
  <c r="M6322" i="1" s="1"/>
  <c r="L6323" i="1"/>
  <c r="M6323" i="1" s="1"/>
  <c r="L6324" i="1"/>
  <c r="M6324" i="1" s="1"/>
  <c r="L6325" i="1"/>
  <c r="M6325" i="1" s="1"/>
  <c r="L6326" i="1"/>
  <c r="M6326" i="1" s="1"/>
  <c r="L6327" i="1"/>
  <c r="M6327" i="1" s="1"/>
  <c r="L6328" i="1"/>
  <c r="M6328" i="1" s="1"/>
  <c r="L6329" i="1"/>
  <c r="M6329" i="1" s="1"/>
  <c r="L6330" i="1"/>
  <c r="M6330" i="1" s="1"/>
  <c r="L6331" i="1"/>
  <c r="M6331" i="1" s="1"/>
  <c r="L6332" i="1"/>
  <c r="M6332" i="1" s="1"/>
  <c r="L6333" i="1"/>
  <c r="M6333" i="1" s="1"/>
  <c r="L6334" i="1"/>
  <c r="M6334" i="1" s="1"/>
  <c r="L6335" i="1"/>
  <c r="M6335" i="1" s="1"/>
  <c r="L6336" i="1"/>
  <c r="M6336" i="1" s="1"/>
  <c r="L6337" i="1"/>
  <c r="M6337" i="1" s="1"/>
  <c r="L6338" i="1"/>
  <c r="M6338" i="1" s="1"/>
  <c r="L6339" i="1"/>
  <c r="M6339" i="1" s="1"/>
  <c r="L6340" i="1"/>
  <c r="M6340" i="1" s="1"/>
  <c r="L6341" i="1"/>
  <c r="M6341" i="1" s="1"/>
  <c r="L6342" i="1"/>
  <c r="M6342" i="1" s="1"/>
  <c r="L6343" i="1"/>
  <c r="M6343" i="1" s="1"/>
  <c r="L6344" i="1"/>
  <c r="M6344" i="1" s="1"/>
  <c r="L6345" i="1"/>
  <c r="M6345" i="1" s="1"/>
  <c r="L6346" i="1"/>
  <c r="M6346" i="1" s="1"/>
  <c r="L6347" i="1"/>
  <c r="M6347" i="1" s="1"/>
  <c r="L6348" i="1"/>
  <c r="M6348" i="1" s="1"/>
  <c r="L6349" i="1"/>
  <c r="M6349" i="1" s="1"/>
  <c r="L6350" i="1"/>
  <c r="M6350" i="1" s="1"/>
  <c r="L6351" i="1"/>
  <c r="M6351" i="1" s="1"/>
  <c r="L6352" i="1"/>
  <c r="M6352" i="1" s="1"/>
  <c r="L6353" i="1"/>
  <c r="M6353" i="1" s="1"/>
  <c r="L6354" i="1"/>
  <c r="M6354" i="1" s="1"/>
  <c r="L6355" i="1"/>
  <c r="M6355" i="1" s="1"/>
  <c r="L6356" i="1"/>
  <c r="M6356" i="1" s="1"/>
  <c r="L6357" i="1"/>
  <c r="M6357" i="1" s="1"/>
  <c r="L6358" i="1"/>
  <c r="M6358" i="1" s="1"/>
  <c r="L6359" i="1"/>
  <c r="M6359" i="1" s="1"/>
  <c r="L6360" i="1"/>
  <c r="M6360" i="1" s="1"/>
  <c r="L6361" i="1"/>
  <c r="M6361" i="1" s="1"/>
  <c r="L6362" i="1"/>
  <c r="M6362" i="1" s="1"/>
  <c r="L6363" i="1"/>
  <c r="M6363" i="1" s="1"/>
  <c r="L6364" i="1"/>
  <c r="M6364" i="1" s="1"/>
  <c r="L6365" i="1"/>
  <c r="M6365" i="1" s="1"/>
  <c r="L6366" i="1"/>
  <c r="M6366" i="1" s="1"/>
  <c r="L6367" i="1"/>
  <c r="M6367" i="1" s="1"/>
  <c r="L6368" i="1"/>
  <c r="M6368" i="1" s="1"/>
  <c r="L6369" i="1"/>
  <c r="M6369" i="1" s="1"/>
  <c r="L6370" i="1"/>
  <c r="M6370" i="1" s="1"/>
  <c r="L6371" i="1"/>
  <c r="M6371" i="1" s="1"/>
  <c r="L6372" i="1"/>
  <c r="M6372" i="1" s="1"/>
  <c r="L6373" i="1"/>
  <c r="M6373" i="1" s="1"/>
  <c r="L6374" i="1"/>
  <c r="M6374" i="1" s="1"/>
  <c r="L6375" i="1"/>
  <c r="M6375" i="1" s="1"/>
  <c r="L6376" i="1"/>
  <c r="M6376" i="1" s="1"/>
  <c r="L6377" i="1"/>
  <c r="M6377" i="1" s="1"/>
  <c r="L6378" i="1"/>
  <c r="M6378" i="1" s="1"/>
  <c r="L6379" i="1"/>
  <c r="M6379" i="1" s="1"/>
  <c r="L6380" i="1"/>
  <c r="M6380" i="1" s="1"/>
  <c r="L6381" i="1"/>
  <c r="M6381" i="1" s="1"/>
  <c r="L6382" i="1"/>
  <c r="M6382" i="1" s="1"/>
  <c r="L6383" i="1"/>
  <c r="M6383" i="1" s="1"/>
  <c r="L6384" i="1"/>
  <c r="M6384" i="1" s="1"/>
  <c r="L6385" i="1"/>
  <c r="M6385" i="1" s="1"/>
  <c r="L6386" i="1"/>
  <c r="M6386" i="1" s="1"/>
  <c r="L6387" i="1"/>
  <c r="M6387" i="1" s="1"/>
  <c r="L6388" i="1"/>
  <c r="M6388" i="1" s="1"/>
  <c r="L6389" i="1"/>
  <c r="M6389" i="1" s="1"/>
  <c r="L6390" i="1"/>
  <c r="M6390" i="1" s="1"/>
  <c r="L6391" i="1"/>
  <c r="M6391" i="1" s="1"/>
  <c r="L6392" i="1"/>
  <c r="M6392" i="1" s="1"/>
  <c r="L6393" i="1"/>
  <c r="M6393" i="1" s="1"/>
  <c r="L6394" i="1"/>
  <c r="M6394" i="1" s="1"/>
  <c r="L6395" i="1"/>
  <c r="M6395" i="1" s="1"/>
  <c r="L6396" i="1"/>
  <c r="M6396" i="1" s="1"/>
  <c r="L6397" i="1"/>
  <c r="M6397" i="1" s="1"/>
  <c r="L6398" i="1"/>
  <c r="M6398" i="1" s="1"/>
  <c r="L6399" i="1"/>
  <c r="M6399" i="1" s="1"/>
  <c r="L6400" i="1"/>
  <c r="M6400" i="1" s="1"/>
  <c r="L6401" i="1"/>
  <c r="M6401" i="1" s="1"/>
  <c r="L6402" i="1"/>
  <c r="M6402" i="1" s="1"/>
  <c r="L6403" i="1"/>
  <c r="M6403" i="1" s="1"/>
  <c r="L6404" i="1"/>
  <c r="M6404" i="1" s="1"/>
  <c r="L6405" i="1"/>
  <c r="M6405" i="1" s="1"/>
  <c r="L6406" i="1"/>
  <c r="M6406" i="1" s="1"/>
  <c r="L6407" i="1"/>
  <c r="M6407" i="1" s="1"/>
  <c r="L6408" i="1"/>
  <c r="M6408" i="1" s="1"/>
  <c r="L6409" i="1"/>
  <c r="M6409" i="1" s="1"/>
  <c r="L6410" i="1"/>
  <c r="M6410" i="1" s="1"/>
  <c r="L6411" i="1"/>
  <c r="M6411" i="1" s="1"/>
  <c r="L6412" i="1"/>
  <c r="M6412" i="1" s="1"/>
  <c r="L6413" i="1"/>
  <c r="M6413" i="1" s="1"/>
  <c r="L6414" i="1"/>
  <c r="M6414" i="1" s="1"/>
  <c r="L6415" i="1"/>
  <c r="M6415" i="1" s="1"/>
  <c r="L6416" i="1"/>
  <c r="M6416" i="1" s="1"/>
  <c r="L6417" i="1"/>
  <c r="M6417" i="1" s="1"/>
  <c r="L6418" i="1"/>
  <c r="M6418" i="1" s="1"/>
  <c r="L6419" i="1"/>
  <c r="M6419" i="1" s="1"/>
  <c r="L6420" i="1"/>
  <c r="M6420" i="1" s="1"/>
  <c r="L6421" i="1"/>
  <c r="M6421" i="1" s="1"/>
  <c r="L6422" i="1"/>
  <c r="M6422" i="1" s="1"/>
  <c r="L6423" i="1"/>
  <c r="M6423" i="1" s="1"/>
  <c r="L6424" i="1"/>
  <c r="M6424" i="1" s="1"/>
  <c r="L6425" i="1"/>
  <c r="M6425" i="1" s="1"/>
  <c r="L6426" i="1"/>
  <c r="M6426" i="1" s="1"/>
  <c r="L6427" i="1"/>
  <c r="M6427" i="1" s="1"/>
  <c r="L6428" i="1"/>
  <c r="M6428" i="1" s="1"/>
  <c r="L6429" i="1"/>
  <c r="M6429" i="1" s="1"/>
  <c r="L6430" i="1"/>
  <c r="M6430" i="1" s="1"/>
  <c r="L6431" i="1"/>
  <c r="M6431" i="1" s="1"/>
  <c r="L6432" i="1"/>
  <c r="M6432" i="1" s="1"/>
  <c r="L6433" i="1"/>
  <c r="M6433" i="1" s="1"/>
  <c r="L6434" i="1"/>
  <c r="M6434" i="1" s="1"/>
  <c r="L6435" i="1"/>
  <c r="M6435" i="1" s="1"/>
  <c r="L6436" i="1"/>
  <c r="M6436" i="1" s="1"/>
  <c r="L6437" i="1"/>
  <c r="M6437" i="1" s="1"/>
  <c r="L6438" i="1"/>
  <c r="M6438" i="1" s="1"/>
  <c r="L6439" i="1"/>
  <c r="M6439" i="1" s="1"/>
  <c r="L6440" i="1"/>
  <c r="M6440" i="1" s="1"/>
  <c r="L6441" i="1"/>
  <c r="M6441" i="1" s="1"/>
  <c r="L6442" i="1"/>
  <c r="M6442" i="1" s="1"/>
  <c r="L6443" i="1"/>
  <c r="M6443" i="1" s="1"/>
  <c r="L6444" i="1"/>
  <c r="M6444" i="1" s="1"/>
  <c r="L6445" i="1"/>
  <c r="M6445" i="1" s="1"/>
  <c r="L6446" i="1"/>
  <c r="M6446" i="1" s="1"/>
  <c r="L6447" i="1"/>
  <c r="M6447" i="1" s="1"/>
  <c r="L6448" i="1"/>
  <c r="M6448" i="1" s="1"/>
  <c r="L6449" i="1"/>
  <c r="M6449" i="1" s="1"/>
  <c r="L6450" i="1"/>
  <c r="M6450" i="1" s="1"/>
  <c r="L6451" i="1"/>
  <c r="M6451" i="1" s="1"/>
  <c r="L6452" i="1"/>
  <c r="M6452" i="1" s="1"/>
  <c r="L6453" i="1"/>
  <c r="M6453" i="1" s="1"/>
  <c r="L6454" i="1"/>
  <c r="M6454" i="1" s="1"/>
  <c r="L6455" i="1"/>
  <c r="M6455" i="1" s="1"/>
  <c r="L6456" i="1"/>
  <c r="M6456" i="1" s="1"/>
  <c r="L6457" i="1"/>
  <c r="M6457" i="1" s="1"/>
  <c r="L6458" i="1"/>
  <c r="M6458" i="1" s="1"/>
  <c r="L6459" i="1"/>
  <c r="M6459" i="1" s="1"/>
  <c r="L6460" i="1"/>
  <c r="M6460" i="1" s="1"/>
  <c r="L6461" i="1"/>
  <c r="M6461" i="1" s="1"/>
  <c r="L6462" i="1"/>
  <c r="M6462" i="1" s="1"/>
  <c r="L6463" i="1"/>
  <c r="M6463" i="1" s="1"/>
  <c r="L6464" i="1"/>
  <c r="M6464" i="1" s="1"/>
  <c r="L6465" i="1"/>
  <c r="M6465" i="1" s="1"/>
  <c r="L6466" i="1"/>
  <c r="M6466" i="1" s="1"/>
  <c r="L6467" i="1"/>
  <c r="M6467" i="1" s="1"/>
  <c r="L6468" i="1"/>
  <c r="M6468" i="1" s="1"/>
  <c r="L6469" i="1"/>
  <c r="M6469" i="1" s="1"/>
  <c r="L6470" i="1"/>
  <c r="M6470" i="1" s="1"/>
  <c r="L6471" i="1"/>
  <c r="M6471" i="1" s="1"/>
  <c r="L6472" i="1"/>
  <c r="M6472" i="1" s="1"/>
  <c r="L6473" i="1"/>
  <c r="M6473" i="1" s="1"/>
  <c r="L6474" i="1"/>
  <c r="M6474" i="1" s="1"/>
  <c r="L6475" i="1"/>
  <c r="M6475" i="1" s="1"/>
  <c r="L6476" i="1"/>
  <c r="M6476" i="1" s="1"/>
  <c r="L6477" i="1"/>
  <c r="M6477" i="1" s="1"/>
  <c r="L6478" i="1"/>
  <c r="M6478" i="1" s="1"/>
  <c r="L6479" i="1"/>
  <c r="M6479" i="1" s="1"/>
  <c r="L6480" i="1"/>
  <c r="M6480" i="1" s="1"/>
  <c r="L6481" i="1"/>
  <c r="M6481" i="1" s="1"/>
  <c r="L6482" i="1"/>
  <c r="M6482" i="1" s="1"/>
  <c r="L6483" i="1"/>
  <c r="M6483" i="1" s="1"/>
  <c r="L6484" i="1"/>
  <c r="M6484" i="1" s="1"/>
  <c r="L6485" i="1"/>
  <c r="M6485" i="1" s="1"/>
  <c r="L6486" i="1"/>
  <c r="M6486" i="1" s="1"/>
  <c r="L6487" i="1"/>
  <c r="M6487" i="1" s="1"/>
  <c r="L6488" i="1"/>
  <c r="M6488" i="1" s="1"/>
  <c r="L6489" i="1"/>
  <c r="M6489" i="1" s="1"/>
  <c r="L6490" i="1"/>
  <c r="M6490" i="1" s="1"/>
  <c r="L6491" i="1"/>
  <c r="M6491" i="1" s="1"/>
  <c r="L6492" i="1"/>
  <c r="M6492" i="1" s="1"/>
  <c r="L6493" i="1"/>
  <c r="M6493" i="1" s="1"/>
  <c r="L6494" i="1"/>
  <c r="M6494" i="1" s="1"/>
  <c r="L6495" i="1"/>
  <c r="M6495" i="1" s="1"/>
  <c r="L6496" i="1"/>
  <c r="M6496" i="1" s="1"/>
  <c r="L6497" i="1"/>
  <c r="M6497" i="1" s="1"/>
  <c r="L6498" i="1"/>
  <c r="M6498" i="1" s="1"/>
  <c r="L6499" i="1"/>
  <c r="M6499" i="1" s="1"/>
  <c r="L6500" i="1"/>
  <c r="M6500" i="1" s="1"/>
  <c r="L6501" i="1"/>
  <c r="M6501" i="1" s="1"/>
  <c r="L6502" i="1"/>
  <c r="M6502" i="1" s="1"/>
  <c r="L6503" i="1"/>
  <c r="M6503" i="1" s="1"/>
  <c r="L6504" i="1"/>
  <c r="M6504" i="1" s="1"/>
  <c r="L6505" i="1"/>
  <c r="M6505" i="1" s="1"/>
  <c r="L6506" i="1"/>
  <c r="M6506" i="1" s="1"/>
  <c r="L6507" i="1"/>
  <c r="M6507" i="1" s="1"/>
  <c r="L6508" i="1"/>
  <c r="M6508" i="1" s="1"/>
  <c r="L6509" i="1"/>
  <c r="M6509" i="1" s="1"/>
  <c r="L6510" i="1"/>
  <c r="M6510" i="1" s="1"/>
  <c r="L6511" i="1"/>
  <c r="M6511" i="1" s="1"/>
  <c r="L6512" i="1"/>
  <c r="M6512" i="1" s="1"/>
  <c r="L6513" i="1"/>
  <c r="M6513" i="1" s="1"/>
  <c r="L6514" i="1"/>
  <c r="M6514" i="1" s="1"/>
  <c r="L6515" i="1"/>
  <c r="M6515" i="1" s="1"/>
  <c r="L6516" i="1"/>
  <c r="M6516" i="1" s="1"/>
  <c r="L6517" i="1"/>
  <c r="M6517" i="1" s="1"/>
  <c r="L6518" i="1"/>
  <c r="M6518" i="1" s="1"/>
  <c r="L6519" i="1"/>
  <c r="M6519" i="1" s="1"/>
  <c r="L6520" i="1"/>
  <c r="M6520" i="1" s="1"/>
  <c r="L6521" i="1"/>
  <c r="M6521" i="1" s="1"/>
  <c r="L6522" i="1"/>
  <c r="M6522" i="1" s="1"/>
  <c r="L6523" i="1"/>
  <c r="M6523" i="1" s="1"/>
  <c r="L6524" i="1"/>
  <c r="M6524" i="1" s="1"/>
  <c r="L6525" i="1"/>
  <c r="M6525" i="1" s="1"/>
  <c r="L6526" i="1"/>
  <c r="M6526" i="1" s="1"/>
  <c r="L6527" i="1"/>
  <c r="M6527" i="1" s="1"/>
  <c r="L6528" i="1"/>
  <c r="M6528" i="1" s="1"/>
  <c r="L6529" i="1"/>
  <c r="M6529" i="1" s="1"/>
  <c r="L6530" i="1"/>
  <c r="M6530" i="1" s="1"/>
  <c r="L6531" i="1"/>
  <c r="M6531" i="1" s="1"/>
  <c r="L6532" i="1"/>
  <c r="M6532" i="1" s="1"/>
  <c r="L6533" i="1"/>
  <c r="M6533" i="1" s="1"/>
  <c r="L6534" i="1"/>
  <c r="M6534" i="1" s="1"/>
  <c r="L6535" i="1"/>
  <c r="M6535" i="1" s="1"/>
  <c r="L6536" i="1"/>
  <c r="M6536" i="1" s="1"/>
  <c r="L6537" i="1"/>
  <c r="M6537" i="1" s="1"/>
  <c r="L6538" i="1"/>
  <c r="M6538" i="1" s="1"/>
  <c r="L6539" i="1"/>
  <c r="M6539" i="1" s="1"/>
  <c r="L6540" i="1"/>
  <c r="M6540" i="1" s="1"/>
  <c r="L6541" i="1"/>
  <c r="M6541" i="1" s="1"/>
  <c r="L6542" i="1"/>
  <c r="M6542" i="1" s="1"/>
  <c r="L6543" i="1"/>
  <c r="M6543" i="1" s="1"/>
  <c r="L6544" i="1"/>
  <c r="M6544" i="1" s="1"/>
  <c r="L6545" i="1"/>
  <c r="M6545" i="1" s="1"/>
  <c r="L6546" i="1"/>
  <c r="M6546" i="1" s="1"/>
  <c r="L6547" i="1"/>
  <c r="M6547" i="1" s="1"/>
  <c r="L6548" i="1"/>
  <c r="M6548" i="1" s="1"/>
  <c r="L6549" i="1"/>
  <c r="M6549" i="1" s="1"/>
  <c r="L6550" i="1"/>
  <c r="M6550" i="1" s="1"/>
  <c r="L6551" i="1"/>
  <c r="M6551" i="1" s="1"/>
  <c r="L6552" i="1"/>
  <c r="M6552" i="1" s="1"/>
  <c r="L6553" i="1"/>
  <c r="M6553" i="1" s="1"/>
  <c r="L6554" i="1"/>
  <c r="M6554" i="1" s="1"/>
  <c r="L6555" i="1"/>
  <c r="M6555" i="1" s="1"/>
  <c r="L6556" i="1"/>
  <c r="M6556" i="1" s="1"/>
  <c r="L6557" i="1"/>
  <c r="M6557" i="1" s="1"/>
  <c r="L6558" i="1"/>
  <c r="M6558" i="1" s="1"/>
  <c r="L6559" i="1"/>
  <c r="M6559" i="1" s="1"/>
  <c r="L6560" i="1"/>
  <c r="M6560" i="1" s="1"/>
  <c r="L6561" i="1"/>
  <c r="M6561" i="1" s="1"/>
  <c r="L6562" i="1"/>
  <c r="M6562" i="1" s="1"/>
  <c r="L6563" i="1"/>
  <c r="M6563" i="1" s="1"/>
  <c r="L6564" i="1"/>
  <c r="M6564" i="1" s="1"/>
  <c r="L6565" i="1"/>
  <c r="M6565" i="1" s="1"/>
  <c r="L6566" i="1"/>
  <c r="M6566" i="1" s="1"/>
  <c r="L6567" i="1"/>
  <c r="M6567" i="1" s="1"/>
  <c r="L6568" i="1"/>
  <c r="M6568" i="1" s="1"/>
  <c r="L6569" i="1"/>
  <c r="M6569" i="1" s="1"/>
  <c r="L6570" i="1"/>
  <c r="M6570" i="1" s="1"/>
  <c r="L6571" i="1"/>
  <c r="M6571" i="1" s="1"/>
  <c r="L6572" i="1"/>
  <c r="M6572" i="1" s="1"/>
  <c r="L6573" i="1"/>
  <c r="M6573" i="1" s="1"/>
  <c r="L6574" i="1"/>
  <c r="M6574" i="1" s="1"/>
  <c r="L6575" i="1"/>
  <c r="M6575" i="1" s="1"/>
  <c r="L6576" i="1"/>
  <c r="M6576" i="1" s="1"/>
  <c r="L6577" i="1"/>
  <c r="M6577" i="1" s="1"/>
  <c r="L6578" i="1"/>
  <c r="M6578" i="1" s="1"/>
  <c r="L6579" i="1"/>
  <c r="M6579" i="1" s="1"/>
  <c r="L6580" i="1"/>
  <c r="M6580" i="1" s="1"/>
  <c r="L6581" i="1"/>
  <c r="M6581" i="1" s="1"/>
  <c r="L6582" i="1"/>
  <c r="M6582" i="1" s="1"/>
  <c r="L6583" i="1"/>
  <c r="M6583" i="1" s="1"/>
  <c r="L6584" i="1"/>
  <c r="M6584" i="1" s="1"/>
  <c r="L6585" i="1"/>
  <c r="M6585" i="1" s="1"/>
  <c r="L6586" i="1"/>
  <c r="M6586" i="1" s="1"/>
  <c r="L6587" i="1"/>
  <c r="M6587" i="1" s="1"/>
  <c r="L6588" i="1"/>
  <c r="M6588" i="1" s="1"/>
  <c r="L6589" i="1"/>
  <c r="M6589" i="1" s="1"/>
  <c r="L6590" i="1"/>
  <c r="M6590" i="1" s="1"/>
  <c r="L6591" i="1"/>
  <c r="M6591" i="1" s="1"/>
  <c r="L6592" i="1"/>
  <c r="M6592" i="1" s="1"/>
  <c r="L6593" i="1"/>
  <c r="M6593" i="1" s="1"/>
  <c r="L6594" i="1"/>
  <c r="M6594" i="1" s="1"/>
  <c r="L6595" i="1"/>
  <c r="M6595" i="1" s="1"/>
  <c r="L6596" i="1"/>
  <c r="M6596" i="1" s="1"/>
  <c r="L6597" i="1"/>
  <c r="M6597" i="1" s="1"/>
  <c r="L6598" i="1"/>
  <c r="M6598" i="1" s="1"/>
  <c r="L6599" i="1"/>
  <c r="M6599" i="1" s="1"/>
  <c r="L6600" i="1"/>
  <c r="M6600" i="1" s="1"/>
  <c r="L6601" i="1"/>
  <c r="M6601" i="1" s="1"/>
  <c r="L6602" i="1"/>
  <c r="M6602" i="1" s="1"/>
  <c r="L6603" i="1"/>
  <c r="M6603" i="1" s="1"/>
  <c r="L6604" i="1"/>
  <c r="M6604" i="1" s="1"/>
  <c r="L6605" i="1"/>
  <c r="M6605" i="1" s="1"/>
  <c r="L6606" i="1"/>
  <c r="M6606" i="1" s="1"/>
  <c r="L6607" i="1"/>
  <c r="M6607" i="1" s="1"/>
  <c r="L6608" i="1"/>
  <c r="M6608" i="1" s="1"/>
  <c r="L6609" i="1"/>
  <c r="M6609" i="1" s="1"/>
  <c r="L6610" i="1"/>
  <c r="M6610" i="1" s="1"/>
  <c r="L6611" i="1"/>
  <c r="M6611" i="1" s="1"/>
  <c r="L6612" i="1"/>
  <c r="M6612" i="1" s="1"/>
  <c r="L6613" i="1"/>
  <c r="M6613" i="1" s="1"/>
  <c r="L6614" i="1"/>
  <c r="M6614" i="1" s="1"/>
  <c r="L6615" i="1"/>
  <c r="M6615" i="1" s="1"/>
  <c r="L6616" i="1"/>
  <c r="M6616" i="1" s="1"/>
  <c r="L6617" i="1"/>
  <c r="M6617" i="1" s="1"/>
  <c r="L6618" i="1"/>
  <c r="M6618" i="1" s="1"/>
  <c r="L6619" i="1"/>
  <c r="M6619" i="1" s="1"/>
  <c r="L6620" i="1"/>
  <c r="M6620" i="1" s="1"/>
  <c r="L6621" i="1"/>
  <c r="M6621" i="1" s="1"/>
  <c r="L6622" i="1"/>
  <c r="M6622" i="1" s="1"/>
  <c r="L6623" i="1"/>
  <c r="M6623" i="1" s="1"/>
  <c r="L6624" i="1"/>
  <c r="M6624" i="1" s="1"/>
  <c r="L6625" i="1"/>
  <c r="M6625" i="1" s="1"/>
  <c r="L6626" i="1"/>
  <c r="M6626" i="1" s="1"/>
  <c r="L6627" i="1"/>
  <c r="M6627" i="1" s="1"/>
  <c r="L6628" i="1"/>
  <c r="M6628" i="1" s="1"/>
  <c r="L6629" i="1"/>
  <c r="M6629" i="1" s="1"/>
  <c r="L6630" i="1"/>
  <c r="M6630" i="1" s="1"/>
  <c r="L6631" i="1"/>
  <c r="M6631" i="1" s="1"/>
  <c r="L6632" i="1"/>
  <c r="M6632" i="1" s="1"/>
  <c r="L6633" i="1"/>
  <c r="M6633" i="1" s="1"/>
  <c r="L6634" i="1"/>
  <c r="M6634" i="1" s="1"/>
  <c r="L6635" i="1"/>
  <c r="M6635" i="1" s="1"/>
  <c r="L6636" i="1"/>
  <c r="M6636" i="1" s="1"/>
  <c r="L6637" i="1"/>
  <c r="M6637" i="1" s="1"/>
  <c r="L6638" i="1"/>
  <c r="M6638" i="1" s="1"/>
  <c r="L6639" i="1"/>
  <c r="M6639" i="1" s="1"/>
  <c r="L6640" i="1"/>
  <c r="M6640" i="1" s="1"/>
  <c r="L6641" i="1"/>
  <c r="M6641" i="1" s="1"/>
  <c r="L6642" i="1"/>
  <c r="M6642" i="1" s="1"/>
  <c r="L6643" i="1"/>
  <c r="M6643" i="1" s="1"/>
  <c r="L6644" i="1"/>
  <c r="M6644" i="1" s="1"/>
  <c r="L6645" i="1"/>
  <c r="M6645" i="1" s="1"/>
  <c r="L6646" i="1"/>
  <c r="M6646" i="1" s="1"/>
  <c r="L6647" i="1"/>
  <c r="M6647" i="1" s="1"/>
  <c r="L6648" i="1"/>
  <c r="M6648" i="1" s="1"/>
  <c r="L6649" i="1"/>
  <c r="M6649" i="1" s="1"/>
  <c r="L6650" i="1"/>
  <c r="M6650" i="1" s="1"/>
  <c r="L6651" i="1"/>
  <c r="M6651" i="1" s="1"/>
  <c r="L6652" i="1"/>
  <c r="M6652" i="1" s="1"/>
  <c r="L6653" i="1"/>
  <c r="M6653" i="1" s="1"/>
  <c r="L6654" i="1"/>
  <c r="M6654" i="1" s="1"/>
  <c r="L6655" i="1"/>
  <c r="M6655" i="1" s="1"/>
  <c r="L6656" i="1"/>
  <c r="M6656" i="1" s="1"/>
  <c r="L6657" i="1"/>
  <c r="M6657" i="1" s="1"/>
  <c r="L6658" i="1"/>
  <c r="M6658" i="1" s="1"/>
  <c r="L6659" i="1"/>
  <c r="M6659" i="1" s="1"/>
  <c r="L6660" i="1"/>
  <c r="M6660" i="1" s="1"/>
  <c r="L6661" i="1"/>
  <c r="M6661" i="1" s="1"/>
  <c r="L6662" i="1"/>
  <c r="M6662" i="1" s="1"/>
  <c r="L6663" i="1"/>
  <c r="M6663" i="1" s="1"/>
  <c r="L6664" i="1"/>
  <c r="M6664" i="1" s="1"/>
  <c r="L6665" i="1"/>
  <c r="M6665" i="1" s="1"/>
  <c r="L6666" i="1"/>
  <c r="M6666" i="1" s="1"/>
  <c r="L6667" i="1"/>
  <c r="M6667" i="1" s="1"/>
  <c r="L6668" i="1"/>
  <c r="M6668" i="1" s="1"/>
  <c r="L6669" i="1"/>
  <c r="M6669" i="1" s="1"/>
  <c r="L6670" i="1"/>
  <c r="M6670" i="1" s="1"/>
  <c r="L6671" i="1"/>
  <c r="M6671" i="1" s="1"/>
  <c r="L6672" i="1"/>
  <c r="M6672" i="1" s="1"/>
  <c r="L6673" i="1"/>
  <c r="M6673" i="1" s="1"/>
  <c r="L6674" i="1"/>
  <c r="M6674" i="1" s="1"/>
  <c r="L6675" i="1"/>
  <c r="M6675" i="1" s="1"/>
  <c r="L6676" i="1"/>
  <c r="M6676" i="1" s="1"/>
  <c r="L6677" i="1"/>
  <c r="M6677" i="1" s="1"/>
  <c r="L6678" i="1"/>
  <c r="M6678" i="1" s="1"/>
  <c r="L6679" i="1"/>
  <c r="M6679" i="1" s="1"/>
  <c r="L6680" i="1"/>
  <c r="M6680" i="1" s="1"/>
  <c r="L6681" i="1"/>
  <c r="M6681" i="1" s="1"/>
  <c r="L6682" i="1"/>
  <c r="M6682" i="1" s="1"/>
  <c r="L6683" i="1"/>
  <c r="M6683" i="1" s="1"/>
  <c r="L6684" i="1"/>
  <c r="M6684" i="1" s="1"/>
  <c r="L6685" i="1"/>
  <c r="M6685" i="1" s="1"/>
  <c r="L6686" i="1"/>
  <c r="M6686" i="1" s="1"/>
  <c r="L6687" i="1"/>
  <c r="M6687" i="1" s="1"/>
  <c r="L6688" i="1"/>
  <c r="M6688" i="1" s="1"/>
  <c r="L6689" i="1"/>
  <c r="M6689" i="1" s="1"/>
  <c r="L6690" i="1"/>
  <c r="M6690" i="1" s="1"/>
  <c r="L6691" i="1"/>
  <c r="M6691" i="1" s="1"/>
  <c r="L6692" i="1"/>
  <c r="M6692" i="1" s="1"/>
  <c r="L6693" i="1"/>
  <c r="M6693" i="1" s="1"/>
  <c r="L6694" i="1"/>
  <c r="M6694" i="1" s="1"/>
  <c r="L6695" i="1"/>
  <c r="M6695" i="1" s="1"/>
  <c r="L6696" i="1"/>
  <c r="M6696" i="1" s="1"/>
  <c r="L6697" i="1"/>
  <c r="M6697" i="1" s="1"/>
  <c r="L6698" i="1"/>
  <c r="M6698" i="1" s="1"/>
  <c r="L6699" i="1"/>
  <c r="M6699" i="1" s="1"/>
  <c r="L6700" i="1"/>
  <c r="M6700" i="1" s="1"/>
  <c r="L6701" i="1"/>
  <c r="M6701" i="1" s="1"/>
  <c r="L6702" i="1"/>
  <c r="M6702" i="1" s="1"/>
  <c r="L6703" i="1"/>
  <c r="M6703" i="1" s="1"/>
  <c r="L6704" i="1"/>
  <c r="M6704" i="1" s="1"/>
  <c r="L6705" i="1"/>
  <c r="M6705" i="1" s="1"/>
  <c r="L6706" i="1"/>
  <c r="M6706" i="1" s="1"/>
  <c r="L6707" i="1"/>
  <c r="M6707" i="1" s="1"/>
  <c r="L6708" i="1"/>
  <c r="M6708" i="1" s="1"/>
  <c r="L6709" i="1"/>
  <c r="M6709" i="1" s="1"/>
  <c r="L6710" i="1"/>
  <c r="M6710" i="1" s="1"/>
  <c r="L6711" i="1"/>
  <c r="M6711" i="1" s="1"/>
  <c r="L6712" i="1"/>
  <c r="M6712" i="1" s="1"/>
  <c r="L6713" i="1"/>
  <c r="M6713" i="1" s="1"/>
  <c r="L6714" i="1"/>
  <c r="M6714" i="1" s="1"/>
  <c r="L6715" i="1"/>
  <c r="M6715" i="1" s="1"/>
  <c r="L6716" i="1"/>
  <c r="M6716" i="1" s="1"/>
  <c r="L6717" i="1"/>
  <c r="M6717" i="1" s="1"/>
  <c r="L6718" i="1"/>
  <c r="M6718" i="1" s="1"/>
  <c r="L6719" i="1"/>
  <c r="M6719" i="1" s="1"/>
  <c r="L6720" i="1"/>
  <c r="M6720" i="1" s="1"/>
  <c r="L6721" i="1"/>
  <c r="M6721" i="1" s="1"/>
  <c r="L6722" i="1"/>
  <c r="M6722" i="1" s="1"/>
  <c r="L6723" i="1"/>
  <c r="M6723" i="1" s="1"/>
  <c r="L6724" i="1"/>
  <c r="M6724" i="1" s="1"/>
  <c r="L6725" i="1"/>
  <c r="M6725" i="1" s="1"/>
  <c r="L6726" i="1"/>
  <c r="M6726" i="1" s="1"/>
  <c r="L6727" i="1"/>
  <c r="M6727" i="1" s="1"/>
  <c r="L6728" i="1"/>
  <c r="M6728" i="1" s="1"/>
  <c r="L6729" i="1"/>
  <c r="M6729" i="1" s="1"/>
  <c r="L6730" i="1"/>
  <c r="M6730" i="1" s="1"/>
  <c r="L6731" i="1"/>
  <c r="M6731" i="1" s="1"/>
  <c r="L6732" i="1"/>
  <c r="M6732" i="1" s="1"/>
  <c r="L6733" i="1"/>
  <c r="M6733" i="1" s="1"/>
  <c r="L6734" i="1"/>
  <c r="M6734" i="1" s="1"/>
  <c r="L6735" i="1"/>
  <c r="M6735" i="1" s="1"/>
  <c r="L6736" i="1"/>
  <c r="M6736" i="1" s="1"/>
  <c r="L6737" i="1"/>
  <c r="M6737" i="1" s="1"/>
  <c r="L6738" i="1"/>
  <c r="M6738" i="1" s="1"/>
  <c r="L6739" i="1"/>
  <c r="M6739" i="1" s="1"/>
  <c r="L6740" i="1"/>
  <c r="M6740" i="1" s="1"/>
  <c r="L6741" i="1"/>
  <c r="M6741" i="1" s="1"/>
  <c r="L6742" i="1"/>
  <c r="M6742" i="1" s="1"/>
  <c r="L6743" i="1"/>
  <c r="M6743" i="1" s="1"/>
  <c r="L6744" i="1"/>
  <c r="M6744" i="1" s="1"/>
  <c r="L6745" i="1"/>
  <c r="M6745" i="1" s="1"/>
  <c r="L6746" i="1"/>
  <c r="M6746" i="1" s="1"/>
  <c r="L6747" i="1"/>
  <c r="M6747" i="1" s="1"/>
  <c r="L6748" i="1"/>
  <c r="M6748" i="1" s="1"/>
  <c r="L6749" i="1"/>
  <c r="M6749" i="1" s="1"/>
  <c r="L6750" i="1"/>
  <c r="M6750" i="1" s="1"/>
  <c r="L6751" i="1"/>
  <c r="M6751" i="1" s="1"/>
  <c r="L6752" i="1"/>
  <c r="M6752" i="1" s="1"/>
  <c r="L6753" i="1"/>
  <c r="M6753" i="1" s="1"/>
  <c r="L6754" i="1"/>
  <c r="M6754" i="1" s="1"/>
  <c r="L6755" i="1"/>
  <c r="M6755" i="1" s="1"/>
  <c r="L6756" i="1"/>
  <c r="M6756" i="1" s="1"/>
  <c r="L6757" i="1"/>
  <c r="M6757" i="1" s="1"/>
  <c r="L6758" i="1"/>
  <c r="M6758" i="1" s="1"/>
  <c r="L6759" i="1"/>
  <c r="M6759" i="1" s="1"/>
  <c r="L6760" i="1"/>
  <c r="M6760" i="1" s="1"/>
  <c r="L6761" i="1"/>
  <c r="M6761" i="1" s="1"/>
  <c r="L6762" i="1"/>
  <c r="M6762" i="1" s="1"/>
  <c r="L6763" i="1"/>
  <c r="M6763" i="1" s="1"/>
  <c r="L6764" i="1"/>
  <c r="M6764" i="1" s="1"/>
  <c r="L6765" i="1"/>
  <c r="M6765" i="1" s="1"/>
  <c r="L6766" i="1"/>
  <c r="M6766" i="1" s="1"/>
  <c r="L6767" i="1"/>
  <c r="M6767" i="1" s="1"/>
  <c r="L6768" i="1"/>
  <c r="M6768" i="1" s="1"/>
  <c r="L6769" i="1"/>
  <c r="M6769" i="1" s="1"/>
  <c r="L6770" i="1"/>
  <c r="M6770" i="1" s="1"/>
  <c r="L6771" i="1"/>
  <c r="M6771" i="1" s="1"/>
  <c r="L6772" i="1"/>
  <c r="M6772" i="1" s="1"/>
  <c r="L6773" i="1"/>
  <c r="M6773" i="1" s="1"/>
  <c r="L6774" i="1"/>
  <c r="M6774" i="1" s="1"/>
  <c r="L6775" i="1"/>
  <c r="M6775" i="1" s="1"/>
  <c r="L6776" i="1"/>
  <c r="M6776" i="1" s="1"/>
  <c r="L6777" i="1"/>
  <c r="M6777" i="1" s="1"/>
  <c r="L6778" i="1"/>
  <c r="M6778" i="1" s="1"/>
  <c r="L6779" i="1"/>
  <c r="M6779" i="1" s="1"/>
  <c r="L6780" i="1"/>
  <c r="M6780" i="1" s="1"/>
  <c r="L6781" i="1"/>
  <c r="M6781" i="1" s="1"/>
  <c r="L6782" i="1"/>
  <c r="M6782" i="1" s="1"/>
  <c r="L6783" i="1"/>
  <c r="M6783" i="1" s="1"/>
  <c r="L6784" i="1"/>
  <c r="M6784" i="1" s="1"/>
  <c r="L6785" i="1"/>
  <c r="M6785" i="1" s="1"/>
  <c r="L6786" i="1"/>
  <c r="M6786" i="1" s="1"/>
  <c r="L6787" i="1"/>
  <c r="M6787" i="1" s="1"/>
  <c r="L6788" i="1"/>
  <c r="M6788" i="1" s="1"/>
  <c r="L6789" i="1"/>
  <c r="M6789" i="1" s="1"/>
  <c r="L6790" i="1"/>
  <c r="M6790" i="1" s="1"/>
  <c r="L6791" i="1"/>
  <c r="M6791" i="1" s="1"/>
  <c r="L6792" i="1"/>
  <c r="M6792" i="1" s="1"/>
  <c r="L6793" i="1"/>
  <c r="M6793" i="1" s="1"/>
  <c r="L6794" i="1"/>
  <c r="M6794" i="1" s="1"/>
  <c r="L6795" i="1"/>
  <c r="M6795" i="1" s="1"/>
  <c r="L6796" i="1"/>
  <c r="M6796" i="1" s="1"/>
  <c r="L6797" i="1"/>
  <c r="M6797" i="1" s="1"/>
  <c r="L6798" i="1"/>
  <c r="M6798" i="1" s="1"/>
  <c r="L6799" i="1"/>
  <c r="M6799" i="1" s="1"/>
  <c r="L6800" i="1"/>
  <c r="M6800" i="1" s="1"/>
  <c r="L6801" i="1"/>
  <c r="M6801" i="1" s="1"/>
  <c r="L6802" i="1"/>
  <c r="M6802" i="1" s="1"/>
  <c r="L6803" i="1"/>
  <c r="M6803" i="1" s="1"/>
  <c r="L6804" i="1"/>
  <c r="M6804" i="1" s="1"/>
  <c r="L6805" i="1"/>
  <c r="M6805" i="1" s="1"/>
  <c r="L6806" i="1"/>
  <c r="M6806" i="1" s="1"/>
  <c r="L6807" i="1"/>
  <c r="M6807" i="1" s="1"/>
  <c r="L6808" i="1"/>
  <c r="M6808" i="1" s="1"/>
  <c r="L6809" i="1"/>
  <c r="M6809" i="1" s="1"/>
  <c r="L6810" i="1"/>
  <c r="M6810" i="1" s="1"/>
  <c r="L6811" i="1"/>
  <c r="M6811" i="1" s="1"/>
  <c r="L6812" i="1"/>
  <c r="M6812" i="1" s="1"/>
  <c r="L6813" i="1"/>
  <c r="M6813" i="1" s="1"/>
  <c r="L6814" i="1"/>
  <c r="M6814" i="1" s="1"/>
  <c r="L6815" i="1"/>
  <c r="M6815" i="1" s="1"/>
  <c r="L6816" i="1"/>
  <c r="M6816" i="1" s="1"/>
  <c r="L6817" i="1"/>
  <c r="M6817" i="1" s="1"/>
  <c r="L6818" i="1"/>
  <c r="M6818" i="1" s="1"/>
  <c r="L6819" i="1"/>
  <c r="M6819" i="1" s="1"/>
  <c r="L6820" i="1"/>
  <c r="M6820" i="1" s="1"/>
  <c r="L6821" i="1"/>
  <c r="M6821" i="1" s="1"/>
  <c r="L6822" i="1"/>
  <c r="M6822" i="1" s="1"/>
  <c r="L6823" i="1"/>
  <c r="M6823" i="1" s="1"/>
  <c r="L6824" i="1"/>
  <c r="M6824" i="1" s="1"/>
  <c r="L6825" i="1"/>
  <c r="M6825" i="1" s="1"/>
  <c r="L6826" i="1"/>
  <c r="M6826" i="1" s="1"/>
  <c r="L6827" i="1"/>
  <c r="M6827" i="1" s="1"/>
  <c r="L6828" i="1"/>
  <c r="M6828" i="1" s="1"/>
  <c r="L6829" i="1"/>
  <c r="M6829" i="1" s="1"/>
  <c r="L6830" i="1"/>
  <c r="M6830" i="1" s="1"/>
  <c r="L6831" i="1"/>
  <c r="M6831" i="1" s="1"/>
  <c r="L6832" i="1"/>
  <c r="M6832" i="1" s="1"/>
  <c r="L6833" i="1"/>
  <c r="M6833" i="1" s="1"/>
  <c r="L6834" i="1"/>
  <c r="M6834" i="1" s="1"/>
  <c r="L6835" i="1"/>
  <c r="M6835" i="1" s="1"/>
  <c r="L6836" i="1"/>
  <c r="M6836" i="1" s="1"/>
  <c r="L6837" i="1"/>
  <c r="M6837" i="1" s="1"/>
  <c r="L6838" i="1"/>
  <c r="M6838" i="1" s="1"/>
  <c r="L6839" i="1"/>
  <c r="M6839" i="1" s="1"/>
  <c r="L6840" i="1"/>
  <c r="M6840" i="1" s="1"/>
  <c r="L6841" i="1"/>
  <c r="M6841" i="1" s="1"/>
  <c r="L6842" i="1"/>
  <c r="M6842" i="1" s="1"/>
  <c r="L6843" i="1"/>
  <c r="M6843" i="1" s="1"/>
  <c r="L6844" i="1"/>
  <c r="M6844" i="1" s="1"/>
  <c r="L6845" i="1"/>
  <c r="M6845" i="1" s="1"/>
  <c r="L6846" i="1"/>
  <c r="M6846" i="1" s="1"/>
  <c r="L6847" i="1"/>
  <c r="M6847" i="1" s="1"/>
  <c r="L6848" i="1"/>
  <c r="M6848" i="1" s="1"/>
  <c r="L6849" i="1"/>
  <c r="M6849" i="1" s="1"/>
  <c r="L6850" i="1"/>
  <c r="M6850" i="1" s="1"/>
  <c r="L6851" i="1"/>
  <c r="M6851" i="1" s="1"/>
  <c r="L6852" i="1"/>
  <c r="M6852" i="1" s="1"/>
  <c r="L6853" i="1"/>
  <c r="M6853" i="1" s="1"/>
  <c r="L6854" i="1"/>
  <c r="M6854" i="1" s="1"/>
  <c r="L6855" i="1"/>
  <c r="M6855" i="1" s="1"/>
  <c r="L6856" i="1"/>
  <c r="M6856" i="1" s="1"/>
  <c r="L6857" i="1"/>
  <c r="M6857" i="1" s="1"/>
  <c r="L6858" i="1"/>
  <c r="M6858" i="1" s="1"/>
  <c r="L6859" i="1"/>
  <c r="M6859" i="1" s="1"/>
  <c r="L6860" i="1"/>
  <c r="M6860" i="1" s="1"/>
  <c r="L6861" i="1"/>
  <c r="M6861" i="1" s="1"/>
  <c r="L6862" i="1"/>
  <c r="M6862" i="1" s="1"/>
  <c r="L6863" i="1"/>
  <c r="M6863" i="1" s="1"/>
  <c r="L6864" i="1"/>
  <c r="M6864" i="1" s="1"/>
  <c r="L6865" i="1"/>
  <c r="M6865" i="1" s="1"/>
  <c r="L6866" i="1"/>
  <c r="M6866" i="1" s="1"/>
  <c r="L6867" i="1"/>
  <c r="M6867" i="1" s="1"/>
  <c r="L6868" i="1"/>
  <c r="M6868" i="1" s="1"/>
  <c r="L6869" i="1"/>
  <c r="M6869" i="1" s="1"/>
  <c r="L6870" i="1"/>
  <c r="M6870" i="1" s="1"/>
  <c r="L6871" i="1"/>
  <c r="M6871" i="1" s="1"/>
  <c r="L6872" i="1"/>
  <c r="M6872" i="1" s="1"/>
  <c r="L6873" i="1"/>
  <c r="M6873" i="1" s="1"/>
  <c r="L6874" i="1"/>
  <c r="M6874" i="1" s="1"/>
  <c r="L6875" i="1"/>
  <c r="M6875" i="1" s="1"/>
  <c r="L6876" i="1"/>
  <c r="M6876" i="1" s="1"/>
  <c r="L6877" i="1"/>
  <c r="M6877" i="1" s="1"/>
  <c r="L6878" i="1"/>
  <c r="M6878" i="1" s="1"/>
  <c r="L6879" i="1"/>
  <c r="M6879" i="1" s="1"/>
  <c r="L6880" i="1"/>
  <c r="M6880" i="1" s="1"/>
  <c r="L6881" i="1"/>
  <c r="M6881" i="1" s="1"/>
  <c r="L6882" i="1"/>
  <c r="M6882" i="1" s="1"/>
  <c r="L6883" i="1"/>
  <c r="M6883" i="1" s="1"/>
  <c r="L6884" i="1"/>
  <c r="M6884" i="1" s="1"/>
  <c r="L6885" i="1"/>
  <c r="M6885" i="1" s="1"/>
  <c r="L6886" i="1"/>
  <c r="M6886" i="1" s="1"/>
  <c r="L6887" i="1"/>
  <c r="M6887" i="1" s="1"/>
  <c r="L6888" i="1"/>
  <c r="M6888" i="1" s="1"/>
  <c r="L6889" i="1"/>
  <c r="M6889" i="1" s="1"/>
  <c r="L6890" i="1"/>
  <c r="M6890" i="1" s="1"/>
  <c r="L6891" i="1"/>
  <c r="M6891" i="1" s="1"/>
  <c r="L6892" i="1"/>
  <c r="M6892" i="1" s="1"/>
  <c r="L6893" i="1"/>
  <c r="M6893" i="1" s="1"/>
  <c r="L6894" i="1"/>
  <c r="M6894" i="1" s="1"/>
  <c r="L6895" i="1"/>
  <c r="M6895" i="1" s="1"/>
  <c r="L6896" i="1"/>
  <c r="M6896" i="1" s="1"/>
  <c r="L6897" i="1"/>
  <c r="M6897" i="1" s="1"/>
  <c r="L6898" i="1"/>
  <c r="M6898" i="1" s="1"/>
  <c r="L6899" i="1"/>
  <c r="M6899" i="1" s="1"/>
  <c r="L6900" i="1"/>
  <c r="M6900" i="1" s="1"/>
  <c r="L6901" i="1"/>
  <c r="M6901" i="1" s="1"/>
  <c r="L6902" i="1"/>
  <c r="M6902" i="1" s="1"/>
  <c r="L6903" i="1"/>
  <c r="M6903" i="1" s="1"/>
  <c r="L6904" i="1"/>
  <c r="M6904" i="1" s="1"/>
  <c r="L6905" i="1"/>
  <c r="M6905" i="1" s="1"/>
  <c r="L6906" i="1"/>
  <c r="M6906" i="1" s="1"/>
  <c r="L6907" i="1"/>
  <c r="M6907" i="1" s="1"/>
  <c r="L6908" i="1"/>
  <c r="M6908" i="1" s="1"/>
  <c r="L6909" i="1"/>
  <c r="M6909" i="1" s="1"/>
  <c r="L6910" i="1"/>
  <c r="M6910" i="1" s="1"/>
  <c r="L6911" i="1"/>
  <c r="M6911" i="1" s="1"/>
  <c r="L6912" i="1"/>
  <c r="M6912" i="1" s="1"/>
  <c r="L6913" i="1"/>
  <c r="M6913" i="1" s="1"/>
  <c r="L6914" i="1"/>
  <c r="M6914" i="1" s="1"/>
  <c r="L6915" i="1"/>
  <c r="M6915" i="1" s="1"/>
  <c r="L6916" i="1"/>
  <c r="M6916" i="1" s="1"/>
  <c r="L6917" i="1"/>
  <c r="M6917" i="1" s="1"/>
  <c r="L6918" i="1"/>
  <c r="M6918" i="1" s="1"/>
  <c r="L6919" i="1"/>
  <c r="M6919" i="1" s="1"/>
  <c r="L6920" i="1"/>
  <c r="M6920" i="1" s="1"/>
  <c r="L6921" i="1"/>
  <c r="M6921" i="1" s="1"/>
  <c r="L6922" i="1"/>
  <c r="M6922" i="1" s="1"/>
  <c r="L6923" i="1"/>
  <c r="M6923" i="1" s="1"/>
  <c r="L6924" i="1"/>
  <c r="M6924" i="1" s="1"/>
  <c r="L6925" i="1"/>
  <c r="M6925" i="1" s="1"/>
  <c r="L6926" i="1"/>
  <c r="M6926" i="1" s="1"/>
  <c r="L6927" i="1"/>
  <c r="M6927" i="1" s="1"/>
  <c r="L6928" i="1"/>
  <c r="M6928" i="1" s="1"/>
  <c r="L6929" i="1"/>
  <c r="M6929" i="1" s="1"/>
  <c r="L6930" i="1"/>
  <c r="M6930" i="1" s="1"/>
  <c r="L6931" i="1"/>
  <c r="M6931" i="1" s="1"/>
  <c r="L6932" i="1"/>
  <c r="M6932" i="1" s="1"/>
  <c r="L6933" i="1"/>
  <c r="M6933" i="1" s="1"/>
  <c r="L6934" i="1"/>
  <c r="M6934" i="1" s="1"/>
  <c r="L6935" i="1"/>
  <c r="M6935" i="1" s="1"/>
  <c r="L6936" i="1"/>
  <c r="M6936" i="1" s="1"/>
  <c r="L6937" i="1"/>
  <c r="M6937" i="1" s="1"/>
  <c r="L6938" i="1"/>
  <c r="M6938" i="1" s="1"/>
  <c r="L6939" i="1"/>
  <c r="M6939" i="1" s="1"/>
  <c r="L6940" i="1"/>
  <c r="M6940" i="1" s="1"/>
  <c r="L6941" i="1"/>
  <c r="M6941" i="1" s="1"/>
  <c r="L6942" i="1"/>
  <c r="M6942" i="1" s="1"/>
  <c r="L6943" i="1"/>
  <c r="M6943" i="1" s="1"/>
  <c r="L6944" i="1"/>
  <c r="M6944" i="1" s="1"/>
  <c r="L6945" i="1"/>
  <c r="M6945" i="1" s="1"/>
  <c r="L6946" i="1"/>
  <c r="M6946" i="1" s="1"/>
  <c r="L6947" i="1"/>
  <c r="M6947" i="1" s="1"/>
  <c r="L6948" i="1"/>
  <c r="M6948" i="1" s="1"/>
  <c r="L6949" i="1"/>
  <c r="M6949" i="1" s="1"/>
  <c r="L6950" i="1"/>
  <c r="M6950" i="1" s="1"/>
  <c r="L6951" i="1"/>
  <c r="M6951" i="1" s="1"/>
  <c r="L6952" i="1"/>
  <c r="M6952" i="1" s="1"/>
  <c r="L6953" i="1"/>
  <c r="M6953" i="1" s="1"/>
  <c r="L6954" i="1"/>
  <c r="M6954" i="1" s="1"/>
  <c r="L6955" i="1"/>
  <c r="M6955" i="1" s="1"/>
  <c r="L6956" i="1"/>
  <c r="M6956" i="1" s="1"/>
  <c r="L6957" i="1"/>
  <c r="M6957" i="1" s="1"/>
  <c r="L6958" i="1"/>
  <c r="M6958" i="1" s="1"/>
  <c r="L6959" i="1"/>
  <c r="M6959" i="1" s="1"/>
  <c r="L6960" i="1"/>
  <c r="M6960" i="1" s="1"/>
  <c r="L6961" i="1"/>
  <c r="M6961" i="1" s="1"/>
  <c r="L6962" i="1"/>
  <c r="M6962" i="1" s="1"/>
  <c r="L6963" i="1"/>
  <c r="M6963" i="1" s="1"/>
  <c r="L6964" i="1"/>
  <c r="M6964" i="1" s="1"/>
  <c r="L6965" i="1"/>
  <c r="M6965" i="1" s="1"/>
  <c r="L6966" i="1"/>
  <c r="M6966" i="1" s="1"/>
  <c r="L6967" i="1"/>
  <c r="M6967" i="1" s="1"/>
  <c r="L6968" i="1"/>
  <c r="M6968" i="1" s="1"/>
  <c r="L6969" i="1"/>
  <c r="M6969" i="1" s="1"/>
  <c r="L6970" i="1"/>
  <c r="M6970" i="1" s="1"/>
  <c r="L6971" i="1"/>
  <c r="M6971" i="1" s="1"/>
  <c r="L6972" i="1"/>
  <c r="M6972" i="1" s="1"/>
  <c r="L6973" i="1"/>
  <c r="M6973" i="1" s="1"/>
  <c r="L6974" i="1"/>
  <c r="M6974" i="1" s="1"/>
  <c r="L6975" i="1"/>
  <c r="M6975" i="1" s="1"/>
  <c r="L6976" i="1"/>
  <c r="M6976" i="1" s="1"/>
  <c r="L6977" i="1"/>
  <c r="M6977" i="1" s="1"/>
  <c r="L6978" i="1"/>
  <c r="M6978" i="1" s="1"/>
  <c r="L6979" i="1"/>
  <c r="M6979" i="1" s="1"/>
  <c r="L6980" i="1"/>
  <c r="M6980" i="1" s="1"/>
  <c r="L6981" i="1"/>
  <c r="M6981" i="1" s="1"/>
  <c r="L6982" i="1"/>
  <c r="M6982" i="1" s="1"/>
  <c r="L6983" i="1"/>
  <c r="M6983" i="1" s="1"/>
  <c r="L6984" i="1"/>
  <c r="M6984" i="1" s="1"/>
  <c r="L6985" i="1"/>
  <c r="M6985" i="1" s="1"/>
  <c r="L6986" i="1"/>
  <c r="M6986" i="1" s="1"/>
  <c r="L6987" i="1"/>
  <c r="M6987" i="1" s="1"/>
  <c r="L6988" i="1"/>
  <c r="M6988" i="1" s="1"/>
  <c r="L6989" i="1"/>
  <c r="M6989" i="1" s="1"/>
  <c r="L6990" i="1"/>
  <c r="M6990" i="1" s="1"/>
  <c r="L6991" i="1"/>
  <c r="M6991" i="1" s="1"/>
  <c r="L6992" i="1"/>
  <c r="M6992" i="1" s="1"/>
  <c r="L6993" i="1"/>
  <c r="M6993" i="1" s="1"/>
  <c r="L6994" i="1"/>
  <c r="M6994" i="1" s="1"/>
  <c r="L6995" i="1"/>
  <c r="M6995" i="1" s="1"/>
  <c r="L6996" i="1"/>
  <c r="M6996" i="1" s="1"/>
  <c r="L6997" i="1"/>
  <c r="M6997" i="1" s="1"/>
  <c r="L6998" i="1"/>
  <c r="M6998" i="1" s="1"/>
  <c r="L6999" i="1"/>
  <c r="M6999" i="1" s="1"/>
  <c r="L7000" i="1"/>
  <c r="M7000" i="1" s="1"/>
  <c r="L7001" i="1"/>
  <c r="M7001" i="1" s="1"/>
  <c r="L7002" i="1"/>
  <c r="M7002" i="1" s="1"/>
  <c r="L7003" i="1"/>
  <c r="M7003" i="1" s="1"/>
  <c r="L7004" i="1"/>
  <c r="M7004" i="1" s="1"/>
  <c r="L7005" i="1"/>
  <c r="M7005" i="1" s="1"/>
  <c r="L7006" i="1"/>
  <c r="M7006" i="1" s="1"/>
  <c r="L7007" i="1"/>
  <c r="M7007" i="1" s="1"/>
  <c r="L7008" i="1"/>
  <c r="M7008" i="1" s="1"/>
  <c r="L7009" i="1"/>
  <c r="M7009" i="1" s="1"/>
  <c r="L7010" i="1"/>
  <c r="M7010" i="1" s="1"/>
  <c r="L7011" i="1"/>
  <c r="M7011" i="1" s="1"/>
  <c r="L7012" i="1"/>
  <c r="M7012" i="1" s="1"/>
  <c r="L7013" i="1"/>
  <c r="M7013" i="1" s="1"/>
  <c r="L7014" i="1"/>
  <c r="M7014" i="1" s="1"/>
  <c r="L7015" i="1"/>
  <c r="M7015" i="1" s="1"/>
  <c r="L7016" i="1"/>
  <c r="M7016" i="1" s="1"/>
  <c r="L7017" i="1"/>
  <c r="M7017" i="1" s="1"/>
  <c r="L7018" i="1"/>
  <c r="M7018" i="1" s="1"/>
  <c r="L7019" i="1"/>
  <c r="M7019" i="1" s="1"/>
  <c r="L7020" i="1"/>
  <c r="M7020" i="1" s="1"/>
  <c r="L7021" i="1"/>
  <c r="M7021" i="1" s="1"/>
  <c r="L7022" i="1"/>
  <c r="M7022" i="1" s="1"/>
  <c r="L7023" i="1"/>
  <c r="M7023" i="1" s="1"/>
  <c r="L7024" i="1"/>
  <c r="M7024" i="1" s="1"/>
  <c r="L7025" i="1"/>
  <c r="M7025" i="1" s="1"/>
  <c r="L7026" i="1"/>
  <c r="M7026" i="1" s="1"/>
  <c r="L7027" i="1"/>
  <c r="M7027" i="1" s="1"/>
  <c r="L7028" i="1"/>
  <c r="M7028" i="1" s="1"/>
  <c r="L7029" i="1"/>
  <c r="M7029" i="1" s="1"/>
  <c r="L7030" i="1"/>
  <c r="M7030" i="1" s="1"/>
  <c r="L7031" i="1"/>
  <c r="M7031" i="1" s="1"/>
  <c r="L7032" i="1"/>
  <c r="M7032" i="1" s="1"/>
  <c r="L7033" i="1"/>
  <c r="M7033" i="1" s="1"/>
  <c r="L7034" i="1"/>
  <c r="M7034" i="1" s="1"/>
  <c r="L7035" i="1"/>
  <c r="M7035" i="1" s="1"/>
  <c r="L7036" i="1"/>
  <c r="M7036" i="1" s="1"/>
  <c r="L7037" i="1"/>
  <c r="M7037" i="1" s="1"/>
  <c r="L7038" i="1"/>
  <c r="M7038" i="1" s="1"/>
  <c r="L7039" i="1"/>
  <c r="M7039" i="1" s="1"/>
  <c r="L7040" i="1"/>
  <c r="M7040" i="1" s="1"/>
  <c r="L7041" i="1"/>
  <c r="M7041" i="1" s="1"/>
  <c r="L7042" i="1"/>
  <c r="M7042" i="1" s="1"/>
  <c r="L7043" i="1"/>
  <c r="M7043" i="1" s="1"/>
  <c r="L7044" i="1"/>
  <c r="M7044" i="1" s="1"/>
  <c r="L7045" i="1"/>
  <c r="M7045" i="1" s="1"/>
  <c r="L7046" i="1"/>
  <c r="M7046" i="1" s="1"/>
  <c r="L7047" i="1"/>
  <c r="M7047" i="1" s="1"/>
  <c r="L7048" i="1"/>
  <c r="M7048" i="1" s="1"/>
  <c r="L7049" i="1"/>
  <c r="M7049" i="1" s="1"/>
  <c r="L7050" i="1"/>
  <c r="M7050" i="1" s="1"/>
  <c r="L7051" i="1"/>
  <c r="M7051" i="1" s="1"/>
  <c r="L7052" i="1"/>
  <c r="M7052" i="1" s="1"/>
  <c r="L7053" i="1"/>
  <c r="M7053" i="1" s="1"/>
  <c r="L7054" i="1"/>
  <c r="M7054" i="1" s="1"/>
  <c r="L7055" i="1"/>
  <c r="M7055" i="1" s="1"/>
  <c r="L7056" i="1"/>
  <c r="M7056" i="1" s="1"/>
  <c r="L7057" i="1"/>
  <c r="M7057" i="1" s="1"/>
  <c r="L7058" i="1"/>
  <c r="M7058" i="1" s="1"/>
  <c r="L7059" i="1"/>
  <c r="M7059" i="1" s="1"/>
  <c r="L7060" i="1"/>
  <c r="M7060" i="1" s="1"/>
  <c r="L7061" i="1"/>
  <c r="M7061" i="1" s="1"/>
  <c r="L7062" i="1"/>
  <c r="M7062" i="1" s="1"/>
  <c r="L7063" i="1"/>
  <c r="M7063" i="1" s="1"/>
  <c r="L7064" i="1"/>
  <c r="M7064" i="1" s="1"/>
  <c r="L7065" i="1"/>
  <c r="M7065" i="1" s="1"/>
  <c r="L7066" i="1"/>
  <c r="M7066" i="1" s="1"/>
  <c r="L7067" i="1"/>
  <c r="M7067" i="1" s="1"/>
  <c r="L7068" i="1"/>
  <c r="M7068" i="1" s="1"/>
  <c r="L7069" i="1"/>
  <c r="M7069" i="1" s="1"/>
  <c r="L7070" i="1"/>
  <c r="M7070" i="1" s="1"/>
  <c r="L7071" i="1"/>
  <c r="M7071" i="1" s="1"/>
  <c r="L7072" i="1"/>
  <c r="M7072" i="1" s="1"/>
  <c r="L7073" i="1"/>
  <c r="M7073" i="1" s="1"/>
  <c r="L7074" i="1"/>
  <c r="M7074" i="1" s="1"/>
  <c r="L7075" i="1"/>
  <c r="M7075" i="1" s="1"/>
  <c r="L7076" i="1"/>
  <c r="M7076" i="1" s="1"/>
  <c r="L7077" i="1"/>
  <c r="M7077" i="1" s="1"/>
  <c r="L7078" i="1"/>
  <c r="M7078" i="1" s="1"/>
  <c r="L7079" i="1"/>
  <c r="M7079" i="1" s="1"/>
  <c r="L7080" i="1"/>
  <c r="M7080" i="1" s="1"/>
  <c r="L7081" i="1"/>
  <c r="M7081" i="1" s="1"/>
  <c r="L7082" i="1"/>
  <c r="M7082" i="1" s="1"/>
  <c r="L7083" i="1"/>
  <c r="M7083" i="1" s="1"/>
  <c r="L7084" i="1"/>
  <c r="M7084" i="1" s="1"/>
  <c r="L7085" i="1"/>
  <c r="M7085" i="1" s="1"/>
  <c r="L7086" i="1"/>
  <c r="M7086" i="1" s="1"/>
  <c r="L7087" i="1"/>
  <c r="M7087" i="1" s="1"/>
  <c r="L7088" i="1"/>
  <c r="M7088" i="1" s="1"/>
  <c r="L7089" i="1"/>
  <c r="M7089" i="1" s="1"/>
  <c r="L7090" i="1"/>
  <c r="M7090" i="1" s="1"/>
  <c r="L7091" i="1"/>
  <c r="M7091" i="1" s="1"/>
  <c r="L7092" i="1"/>
  <c r="M7092" i="1" s="1"/>
  <c r="L7093" i="1"/>
  <c r="M7093" i="1" s="1"/>
  <c r="L7094" i="1"/>
  <c r="M7094" i="1" s="1"/>
  <c r="L7095" i="1"/>
  <c r="M7095" i="1" s="1"/>
  <c r="L7096" i="1"/>
  <c r="M7096" i="1" s="1"/>
  <c r="L7097" i="1"/>
  <c r="M7097" i="1" s="1"/>
  <c r="L7098" i="1"/>
  <c r="M7098" i="1" s="1"/>
  <c r="L7099" i="1"/>
  <c r="M7099" i="1" s="1"/>
  <c r="L7100" i="1"/>
  <c r="M7100" i="1" s="1"/>
  <c r="L7101" i="1"/>
  <c r="M7101" i="1" s="1"/>
  <c r="L7102" i="1"/>
  <c r="M7102" i="1" s="1"/>
  <c r="L7103" i="1"/>
  <c r="M7103" i="1" s="1"/>
  <c r="L7104" i="1"/>
  <c r="M7104" i="1" s="1"/>
  <c r="L7105" i="1"/>
  <c r="M7105" i="1" s="1"/>
  <c r="L7106" i="1"/>
  <c r="M7106" i="1" s="1"/>
  <c r="L7107" i="1"/>
  <c r="M7107" i="1" s="1"/>
  <c r="L7108" i="1"/>
  <c r="M7108" i="1" s="1"/>
  <c r="L7109" i="1"/>
  <c r="M7109" i="1" s="1"/>
  <c r="L7110" i="1"/>
  <c r="M7110" i="1" s="1"/>
  <c r="L7111" i="1"/>
  <c r="M7111" i="1" s="1"/>
  <c r="L7112" i="1"/>
  <c r="M7112" i="1" s="1"/>
  <c r="L7113" i="1"/>
  <c r="M7113" i="1" s="1"/>
  <c r="L7114" i="1"/>
  <c r="M7114" i="1" s="1"/>
  <c r="L7115" i="1"/>
  <c r="M7115" i="1" s="1"/>
  <c r="L7116" i="1"/>
  <c r="M7116" i="1" s="1"/>
  <c r="L7117" i="1"/>
  <c r="M7117" i="1" s="1"/>
  <c r="L7118" i="1"/>
  <c r="M7118" i="1" s="1"/>
  <c r="L7119" i="1"/>
  <c r="M7119" i="1" s="1"/>
  <c r="L7120" i="1"/>
  <c r="M7120" i="1" s="1"/>
  <c r="L7121" i="1"/>
  <c r="M7121" i="1" s="1"/>
  <c r="L7122" i="1"/>
  <c r="M7122" i="1" s="1"/>
  <c r="L7123" i="1"/>
  <c r="M7123" i="1" s="1"/>
  <c r="L7124" i="1"/>
  <c r="M7124" i="1" s="1"/>
  <c r="L7125" i="1"/>
  <c r="M7125" i="1" s="1"/>
  <c r="L7126" i="1"/>
  <c r="M7126" i="1" s="1"/>
  <c r="L7127" i="1"/>
  <c r="M7127" i="1" s="1"/>
  <c r="L7128" i="1"/>
  <c r="M7128" i="1" s="1"/>
  <c r="L7129" i="1"/>
  <c r="M7129" i="1" s="1"/>
  <c r="L7130" i="1"/>
  <c r="M7130" i="1" s="1"/>
  <c r="L7131" i="1"/>
  <c r="M7131" i="1" s="1"/>
  <c r="L7132" i="1"/>
  <c r="M7132" i="1" s="1"/>
  <c r="L7133" i="1"/>
  <c r="M7133" i="1" s="1"/>
  <c r="L7134" i="1"/>
  <c r="M7134" i="1" s="1"/>
  <c r="L7135" i="1"/>
  <c r="M7135" i="1" s="1"/>
  <c r="L7136" i="1"/>
  <c r="M7136" i="1" s="1"/>
  <c r="L7137" i="1"/>
  <c r="M7137" i="1" s="1"/>
  <c r="L7138" i="1"/>
  <c r="M7138" i="1" s="1"/>
  <c r="L7139" i="1"/>
  <c r="M7139" i="1" s="1"/>
  <c r="L7140" i="1"/>
  <c r="M7140" i="1" s="1"/>
  <c r="L7141" i="1"/>
  <c r="M7141" i="1" s="1"/>
  <c r="L7142" i="1"/>
  <c r="M7142" i="1" s="1"/>
  <c r="L7143" i="1"/>
  <c r="M7143" i="1" s="1"/>
  <c r="L7144" i="1"/>
  <c r="M7144" i="1" s="1"/>
  <c r="L7145" i="1"/>
  <c r="M7145" i="1" s="1"/>
  <c r="L7146" i="1"/>
  <c r="M7146" i="1" s="1"/>
  <c r="L7147" i="1"/>
  <c r="M7147" i="1" s="1"/>
  <c r="L7148" i="1"/>
  <c r="M7148" i="1" s="1"/>
  <c r="L7149" i="1"/>
  <c r="M7149" i="1" s="1"/>
  <c r="L7150" i="1"/>
  <c r="M7150" i="1" s="1"/>
  <c r="L7151" i="1"/>
  <c r="M7151" i="1" s="1"/>
  <c r="L7152" i="1"/>
  <c r="M7152" i="1" s="1"/>
  <c r="L7153" i="1"/>
  <c r="M7153" i="1" s="1"/>
  <c r="L7154" i="1"/>
  <c r="M7154" i="1" s="1"/>
  <c r="L7155" i="1"/>
  <c r="M7155" i="1" s="1"/>
  <c r="L7156" i="1"/>
  <c r="M7156" i="1" s="1"/>
  <c r="L7157" i="1"/>
  <c r="M7157" i="1" s="1"/>
  <c r="L7158" i="1"/>
  <c r="M7158" i="1" s="1"/>
  <c r="L7159" i="1"/>
  <c r="M7159" i="1" s="1"/>
  <c r="L7160" i="1"/>
  <c r="M7160" i="1" s="1"/>
  <c r="L7161" i="1"/>
  <c r="M7161" i="1" s="1"/>
  <c r="L7162" i="1"/>
  <c r="M7162" i="1" s="1"/>
  <c r="L7163" i="1"/>
  <c r="M7163" i="1" s="1"/>
  <c r="L7164" i="1"/>
  <c r="M7164" i="1" s="1"/>
  <c r="L7165" i="1"/>
  <c r="M7165" i="1" s="1"/>
  <c r="L7166" i="1"/>
  <c r="M7166" i="1" s="1"/>
  <c r="L7167" i="1"/>
  <c r="M7167" i="1" s="1"/>
  <c r="L7168" i="1"/>
  <c r="M7168" i="1" s="1"/>
  <c r="L7169" i="1"/>
  <c r="M7169" i="1" s="1"/>
  <c r="L7170" i="1"/>
  <c r="M7170" i="1" s="1"/>
  <c r="L7171" i="1"/>
  <c r="M7171" i="1" s="1"/>
  <c r="L7172" i="1"/>
  <c r="M7172" i="1" s="1"/>
  <c r="L7173" i="1"/>
  <c r="M7173" i="1" s="1"/>
  <c r="L7174" i="1"/>
  <c r="M7174" i="1" s="1"/>
  <c r="L7175" i="1"/>
  <c r="M7175" i="1" s="1"/>
  <c r="L7176" i="1"/>
  <c r="M7176" i="1" s="1"/>
  <c r="L7177" i="1"/>
  <c r="M7177" i="1" s="1"/>
  <c r="L7178" i="1"/>
  <c r="M7178" i="1" s="1"/>
  <c r="L7179" i="1"/>
  <c r="M7179" i="1" s="1"/>
  <c r="L7180" i="1"/>
  <c r="M7180" i="1" s="1"/>
  <c r="L7181" i="1"/>
  <c r="M7181" i="1" s="1"/>
  <c r="L7182" i="1"/>
  <c r="M7182" i="1" s="1"/>
  <c r="L7183" i="1"/>
  <c r="M7183" i="1" s="1"/>
  <c r="L7184" i="1"/>
  <c r="M7184" i="1" s="1"/>
  <c r="L7185" i="1"/>
  <c r="M7185" i="1" s="1"/>
  <c r="L7186" i="1"/>
  <c r="M7186" i="1" s="1"/>
  <c r="L7187" i="1"/>
  <c r="M7187" i="1" s="1"/>
  <c r="L7188" i="1"/>
  <c r="M7188" i="1" s="1"/>
  <c r="L7189" i="1"/>
  <c r="M7189" i="1" s="1"/>
  <c r="L7190" i="1"/>
  <c r="M7190" i="1" s="1"/>
  <c r="L7191" i="1"/>
  <c r="M7191" i="1" s="1"/>
  <c r="L7192" i="1"/>
  <c r="M7192" i="1" s="1"/>
  <c r="L7193" i="1"/>
  <c r="M7193" i="1" s="1"/>
  <c r="L7194" i="1"/>
  <c r="M7194" i="1" s="1"/>
  <c r="L7195" i="1"/>
  <c r="M7195" i="1" s="1"/>
  <c r="L7196" i="1"/>
  <c r="M7196" i="1" s="1"/>
  <c r="L7197" i="1"/>
  <c r="M7197" i="1" s="1"/>
  <c r="L7198" i="1"/>
  <c r="M7198" i="1" s="1"/>
  <c r="L7199" i="1"/>
  <c r="M7199" i="1" s="1"/>
  <c r="L7200" i="1"/>
  <c r="M7200" i="1" s="1"/>
  <c r="L7201" i="1"/>
  <c r="M7201" i="1" s="1"/>
  <c r="L7202" i="1"/>
  <c r="M7202" i="1" s="1"/>
  <c r="L7203" i="1"/>
  <c r="M7203" i="1" s="1"/>
  <c r="L7204" i="1"/>
  <c r="M7204" i="1" s="1"/>
  <c r="L7205" i="1"/>
  <c r="M7205" i="1" s="1"/>
  <c r="L7206" i="1"/>
  <c r="M7206" i="1" s="1"/>
  <c r="L7207" i="1"/>
  <c r="M7207" i="1" s="1"/>
  <c r="L7208" i="1"/>
  <c r="M7208" i="1" s="1"/>
  <c r="L7209" i="1"/>
  <c r="M7209" i="1" s="1"/>
  <c r="L7210" i="1"/>
  <c r="M7210" i="1" s="1"/>
  <c r="L7211" i="1"/>
  <c r="M7211" i="1" s="1"/>
  <c r="L7212" i="1"/>
  <c r="M7212" i="1" s="1"/>
  <c r="L7213" i="1"/>
  <c r="M7213" i="1" s="1"/>
  <c r="L7214" i="1"/>
  <c r="M7214" i="1" s="1"/>
  <c r="L7215" i="1"/>
  <c r="M7215" i="1" s="1"/>
  <c r="L7216" i="1"/>
  <c r="M7216" i="1" s="1"/>
  <c r="L7217" i="1"/>
  <c r="M7217" i="1" s="1"/>
  <c r="L7218" i="1"/>
  <c r="M7218" i="1" s="1"/>
  <c r="L7219" i="1"/>
  <c r="M7219" i="1" s="1"/>
  <c r="L7220" i="1"/>
  <c r="M7220" i="1" s="1"/>
  <c r="L7221" i="1"/>
  <c r="M7221" i="1" s="1"/>
  <c r="L7222" i="1"/>
  <c r="M7222" i="1" s="1"/>
  <c r="L7223" i="1"/>
  <c r="M7223" i="1" s="1"/>
  <c r="L7224" i="1"/>
  <c r="M7224" i="1" s="1"/>
  <c r="L7225" i="1"/>
  <c r="M7225" i="1" s="1"/>
  <c r="L7226" i="1"/>
  <c r="M7226" i="1" s="1"/>
  <c r="L7227" i="1"/>
  <c r="M7227" i="1" s="1"/>
  <c r="L7228" i="1"/>
  <c r="M7228" i="1" s="1"/>
  <c r="L7229" i="1"/>
  <c r="M7229" i="1" s="1"/>
  <c r="L7230" i="1"/>
  <c r="M7230" i="1" s="1"/>
  <c r="L7231" i="1"/>
  <c r="M7231" i="1" s="1"/>
  <c r="L7232" i="1"/>
  <c r="M7232" i="1" s="1"/>
  <c r="L7233" i="1"/>
  <c r="M7233" i="1" s="1"/>
  <c r="L7234" i="1"/>
  <c r="M7234" i="1" s="1"/>
  <c r="L7235" i="1"/>
  <c r="M7235" i="1" s="1"/>
  <c r="L7236" i="1"/>
  <c r="M7236" i="1" s="1"/>
  <c r="L7237" i="1"/>
  <c r="M7237" i="1" s="1"/>
  <c r="L7238" i="1"/>
  <c r="M7238" i="1" s="1"/>
  <c r="L7239" i="1"/>
  <c r="M7239" i="1" s="1"/>
  <c r="L7240" i="1"/>
  <c r="M7240" i="1" s="1"/>
  <c r="L7241" i="1"/>
  <c r="M7241" i="1" s="1"/>
  <c r="L7242" i="1"/>
  <c r="M7242" i="1" s="1"/>
  <c r="L7243" i="1"/>
  <c r="M7243" i="1" s="1"/>
  <c r="L7244" i="1"/>
  <c r="M7244" i="1" s="1"/>
  <c r="L7245" i="1"/>
  <c r="M7245" i="1" s="1"/>
  <c r="L7246" i="1"/>
  <c r="M7246" i="1" s="1"/>
  <c r="L7247" i="1"/>
  <c r="M7247" i="1" s="1"/>
  <c r="L7248" i="1"/>
  <c r="M7248" i="1" s="1"/>
  <c r="L7249" i="1"/>
  <c r="M7249" i="1" s="1"/>
  <c r="L7250" i="1"/>
  <c r="M7250" i="1" s="1"/>
  <c r="L7251" i="1"/>
  <c r="M7251" i="1" s="1"/>
  <c r="L7252" i="1"/>
  <c r="M7252" i="1" s="1"/>
  <c r="L7253" i="1"/>
  <c r="M7253" i="1" s="1"/>
  <c r="L7254" i="1"/>
  <c r="M7254" i="1" s="1"/>
  <c r="L7255" i="1"/>
  <c r="M7255" i="1" s="1"/>
  <c r="L7256" i="1"/>
  <c r="M7256" i="1" s="1"/>
  <c r="L7257" i="1"/>
  <c r="M7257" i="1" s="1"/>
  <c r="L7258" i="1"/>
  <c r="M7258" i="1" s="1"/>
  <c r="L7259" i="1"/>
  <c r="M7259" i="1" s="1"/>
  <c r="L7260" i="1"/>
  <c r="M7260" i="1" s="1"/>
  <c r="L7261" i="1"/>
  <c r="M7261" i="1" s="1"/>
  <c r="L7262" i="1"/>
  <c r="M7262" i="1" s="1"/>
  <c r="L7263" i="1"/>
  <c r="M7263" i="1" s="1"/>
  <c r="L7264" i="1"/>
  <c r="M7264" i="1" s="1"/>
  <c r="L7265" i="1"/>
  <c r="M7265" i="1" s="1"/>
  <c r="L7266" i="1"/>
  <c r="M7266" i="1" s="1"/>
  <c r="L7267" i="1"/>
  <c r="M7267" i="1" s="1"/>
  <c r="L7268" i="1"/>
  <c r="M7268" i="1" s="1"/>
  <c r="L7269" i="1"/>
  <c r="M7269" i="1" s="1"/>
  <c r="L7270" i="1"/>
  <c r="M7270" i="1" s="1"/>
  <c r="L7271" i="1"/>
  <c r="M7271" i="1" s="1"/>
  <c r="L7272" i="1"/>
  <c r="M7272" i="1" s="1"/>
  <c r="L7273" i="1"/>
  <c r="M7273" i="1" s="1"/>
  <c r="L7274" i="1"/>
  <c r="M7274" i="1" s="1"/>
  <c r="L7275" i="1"/>
  <c r="M7275" i="1" s="1"/>
  <c r="L7276" i="1"/>
  <c r="M7276" i="1" s="1"/>
  <c r="L7277" i="1"/>
  <c r="M7277" i="1" s="1"/>
  <c r="L7278" i="1"/>
  <c r="M7278" i="1" s="1"/>
  <c r="L7279" i="1"/>
  <c r="M7279" i="1" s="1"/>
  <c r="L7280" i="1"/>
  <c r="M7280" i="1" s="1"/>
  <c r="L7281" i="1"/>
  <c r="M7281" i="1" s="1"/>
  <c r="L7282" i="1"/>
  <c r="M7282" i="1" s="1"/>
  <c r="L7283" i="1"/>
  <c r="M7283" i="1" s="1"/>
  <c r="L7284" i="1"/>
  <c r="M7284" i="1" s="1"/>
  <c r="L7285" i="1"/>
  <c r="M7285" i="1" s="1"/>
  <c r="L7286" i="1"/>
  <c r="M7286" i="1" s="1"/>
  <c r="L7287" i="1"/>
  <c r="M7287" i="1" s="1"/>
  <c r="L7288" i="1"/>
  <c r="M7288" i="1" s="1"/>
  <c r="L7289" i="1"/>
  <c r="M7289" i="1" s="1"/>
  <c r="L7290" i="1"/>
  <c r="M7290" i="1" s="1"/>
  <c r="L7291" i="1"/>
  <c r="M7291" i="1" s="1"/>
  <c r="L7292" i="1"/>
  <c r="M7292" i="1" s="1"/>
  <c r="L7293" i="1"/>
  <c r="M7293" i="1" s="1"/>
  <c r="L7294" i="1"/>
  <c r="M7294" i="1" s="1"/>
  <c r="L7295" i="1"/>
  <c r="M7295" i="1" s="1"/>
  <c r="L7296" i="1"/>
  <c r="M7296" i="1" s="1"/>
  <c r="L7297" i="1"/>
  <c r="M7297" i="1" s="1"/>
  <c r="L7298" i="1"/>
  <c r="M7298" i="1" s="1"/>
  <c r="L7299" i="1"/>
  <c r="M7299" i="1" s="1"/>
  <c r="L7300" i="1"/>
  <c r="M7300" i="1" s="1"/>
  <c r="L7301" i="1"/>
  <c r="M7301" i="1" s="1"/>
  <c r="L7302" i="1"/>
  <c r="M7302" i="1" s="1"/>
  <c r="L7303" i="1"/>
  <c r="M7303" i="1" s="1"/>
  <c r="L7304" i="1"/>
  <c r="M7304" i="1" s="1"/>
  <c r="L7305" i="1"/>
  <c r="M7305" i="1" s="1"/>
  <c r="L7306" i="1"/>
  <c r="M7306" i="1" s="1"/>
  <c r="L7307" i="1"/>
  <c r="M7307" i="1" s="1"/>
  <c r="L7308" i="1"/>
  <c r="M7308" i="1" s="1"/>
  <c r="L7309" i="1"/>
  <c r="M7309" i="1" s="1"/>
  <c r="L7310" i="1"/>
  <c r="M7310" i="1" s="1"/>
  <c r="L7311" i="1"/>
  <c r="M7311" i="1" s="1"/>
  <c r="L7312" i="1"/>
  <c r="M7312" i="1" s="1"/>
  <c r="L7313" i="1"/>
  <c r="M7313" i="1" s="1"/>
  <c r="L7314" i="1"/>
  <c r="M7314" i="1" s="1"/>
  <c r="L7315" i="1"/>
  <c r="M7315" i="1" s="1"/>
  <c r="L7316" i="1"/>
  <c r="M7316" i="1" s="1"/>
  <c r="L7317" i="1"/>
  <c r="M7317" i="1" s="1"/>
  <c r="L7318" i="1"/>
  <c r="M7318" i="1" s="1"/>
  <c r="L7319" i="1"/>
  <c r="M7319" i="1" s="1"/>
  <c r="L7320" i="1"/>
  <c r="M7320" i="1" s="1"/>
  <c r="L7321" i="1"/>
  <c r="M7321" i="1" s="1"/>
  <c r="L7322" i="1"/>
  <c r="M7322" i="1" s="1"/>
  <c r="L7323" i="1"/>
  <c r="M7323" i="1" s="1"/>
  <c r="L7324" i="1"/>
  <c r="M7324" i="1" s="1"/>
  <c r="L7325" i="1"/>
  <c r="M7325" i="1" s="1"/>
  <c r="L7326" i="1"/>
  <c r="M7326" i="1" s="1"/>
  <c r="L7327" i="1"/>
  <c r="M7327" i="1" s="1"/>
  <c r="L7328" i="1"/>
  <c r="M7328" i="1" s="1"/>
  <c r="L7329" i="1"/>
  <c r="M7329" i="1" s="1"/>
  <c r="L7330" i="1"/>
  <c r="M7330" i="1" s="1"/>
  <c r="L7331" i="1"/>
  <c r="M7331" i="1" s="1"/>
  <c r="L7332" i="1"/>
  <c r="M7332" i="1" s="1"/>
  <c r="L7333" i="1"/>
  <c r="M7333" i="1" s="1"/>
  <c r="L7334" i="1"/>
  <c r="M7334" i="1" s="1"/>
  <c r="L7335" i="1"/>
  <c r="M7335" i="1" s="1"/>
  <c r="L7336" i="1"/>
  <c r="M7336" i="1" s="1"/>
  <c r="L7337" i="1"/>
  <c r="M7337" i="1" s="1"/>
  <c r="L7338" i="1"/>
  <c r="M7338" i="1" s="1"/>
  <c r="L7339" i="1"/>
  <c r="M7339" i="1" s="1"/>
  <c r="L7340" i="1"/>
  <c r="M7340" i="1" s="1"/>
  <c r="L7341" i="1"/>
  <c r="M7341" i="1" s="1"/>
  <c r="L7342" i="1"/>
  <c r="M7342" i="1" s="1"/>
  <c r="L7343" i="1"/>
  <c r="M7343" i="1" s="1"/>
  <c r="L7344" i="1"/>
  <c r="M7344" i="1" s="1"/>
  <c r="L7345" i="1"/>
  <c r="M7345" i="1" s="1"/>
  <c r="L7346" i="1"/>
  <c r="M7346" i="1" s="1"/>
  <c r="L7347" i="1"/>
  <c r="M7347" i="1" s="1"/>
  <c r="L7348" i="1"/>
  <c r="M7348" i="1" s="1"/>
  <c r="L7349" i="1"/>
  <c r="M7349" i="1" s="1"/>
  <c r="L7350" i="1"/>
  <c r="M7350" i="1" s="1"/>
  <c r="L7351" i="1"/>
  <c r="M7351" i="1" s="1"/>
  <c r="L7352" i="1"/>
  <c r="M7352" i="1" s="1"/>
  <c r="L7353" i="1"/>
  <c r="M7353" i="1" s="1"/>
  <c r="L7354" i="1"/>
  <c r="M7354" i="1" s="1"/>
  <c r="L7355" i="1"/>
  <c r="M7355" i="1" s="1"/>
  <c r="L7356" i="1"/>
  <c r="M7356" i="1" s="1"/>
  <c r="L7357" i="1"/>
  <c r="M7357" i="1" s="1"/>
  <c r="L7358" i="1"/>
  <c r="M7358" i="1" s="1"/>
  <c r="L7359" i="1"/>
  <c r="M7359" i="1" s="1"/>
  <c r="L7360" i="1"/>
  <c r="M7360" i="1" s="1"/>
  <c r="L7361" i="1"/>
  <c r="M7361" i="1" s="1"/>
  <c r="L7362" i="1"/>
  <c r="M7362" i="1" s="1"/>
  <c r="L7363" i="1"/>
  <c r="M7363" i="1" s="1"/>
  <c r="L7364" i="1"/>
  <c r="M7364" i="1" s="1"/>
  <c r="L7365" i="1"/>
  <c r="M7365" i="1" s="1"/>
  <c r="L7366" i="1"/>
  <c r="M7366" i="1" s="1"/>
  <c r="L7367" i="1"/>
  <c r="M7367" i="1" s="1"/>
  <c r="L7368" i="1"/>
  <c r="M7368" i="1" s="1"/>
  <c r="L7369" i="1"/>
  <c r="M7369" i="1" s="1"/>
  <c r="L7370" i="1"/>
  <c r="M7370" i="1" s="1"/>
  <c r="L7371" i="1"/>
  <c r="M7371" i="1" s="1"/>
  <c r="L7372" i="1"/>
  <c r="M7372" i="1" s="1"/>
  <c r="L7373" i="1"/>
  <c r="M7373" i="1" s="1"/>
  <c r="L7374" i="1"/>
  <c r="M7374" i="1" s="1"/>
  <c r="L7375" i="1"/>
  <c r="M7375" i="1" s="1"/>
  <c r="L7376" i="1"/>
  <c r="M7376" i="1" s="1"/>
  <c r="L7377" i="1"/>
  <c r="M7377" i="1" s="1"/>
  <c r="L7378" i="1"/>
  <c r="M7378" i="1" s="1"/>
  <c r="L7379" i="1"/>
  <c r="M7379" i="1" s="1"/>
  <c r="L7380" i="1"/>
  <c r="M7380" i="1" s="1"/>
  <c r="L7381" i="1"/>
  <c r="M7381" i="1" s="1"/>
  <c r="L7382" i="1"/>
  <c r="M7382" i="1" s="1"/>
  <c r="L7383" i="1"/>
  <c r="M7383" i="1" s="1"/>
  <c r="L7384" i="1"/>
  <c r="M7384" i="1" s="1"/>
  <c r="L7385" i="1"/>
  <c r="M7385" i="1" s="1"/>
  <c r="L7386" i="1"/>
  <c r="M7386" i="1" s="1"/>
  <c r="L7387" i="1"/>
  <c r="M7387" i="1" s="1"/>
  <c r="L7388" i="1"/>
  <c r="M7388" i="1" s="1"/>
  <c r="L7389" i="1"/>
  <c r="M7389" i="1" s="1"/>
  <c r="L7390" i="1"/>
  <c r="M7390" i="1" s="1"/>
  <c r="L7391" i="1"/>
  <c r="M7391" i="1" s="1"/>
  <c r="L7392" i="1"/>
  <c r="M7392" i="1" s="1"/>
  <c r="L7393" i="1"/>
  <c r="M7393" i="1" s="1"/>
  <c r="L7394" i="1"/>
  <c r="M7394" i="1" s="1"/>
  <c r="L7395" i="1"/>
  <c r="M7395" i="1" s="1"/>
  <c r="L7396" i="1"/>
  <c r="M7396" i="1" s="1"/>
  <c r="L7397" i="1"/>
  <c r="M7397" i="1" s="1"/>
  <c r="L7398" i="1"/>
  <c r="M7398" i="1" s="1"/>
  <c r="L7399" i="1"/>
  <c r="M7399" i="1" s="1"/>
  <c r="L7400" i="1"/>
  <c r="M7400" i="1" s="1"/>
  <c r="L7401" i="1"/>
  <c r="M7401" i="1" s="1"/>
  <c r="L7402" i="1"/>
  <c r="M7402" i="1" s="1"/>
  <c r="L7403" i="1"/>
  <c r="M7403" i="1" s="1"/>
  <c r="L7404" i="1"/>
  <c r="M7404" i="1" s="1"/>
  <c r="L7405" i="1"/>
  <c r="M7405" i="1" s="1"/>
  <c r="L7406" i="1"/>
  <c r="M7406" i="1" s="1"/>
  <c r="L7407" i="1"/>
  <c r="M7407" i="1" s="1"/>
  <c r="L7408" i="1"/>
  <c r="M7408" i="1" s="1"/>
  <c r="L7409" i="1"/>
  <c r="M7409" i="1" s="1"/>
  <c r="L7410" i="1"/>
  <c r="M7410" i="1" s="1"/>
  <c r="L7411" i="1"/>
  <c r="M7411" i="1" s="1"/>
  <c r="L7412" i="1"/>
  <c r="M7412" i="1" s="1"/>
  <c r="L7413" i="1"/>
  <c r="M7413" i="1" s="1"/>
  <c r="L7414" i="1"/>
  <c r="M7414" i="1" s="1"/>
  <c r="L7415" i="1"/>
  <c r="M7415" i="1" s="1"/>
  <c r="L7416" i="1"/>
  <c r="M7416" i="1" s="1"/>
  <c r="L7417" i="1"/>
  <c r="M7417" i="1" s="1"/>
  <c r="L7418" i="1"/>
  <c r="M7418" i="1" s="1"/>
  <c r="L7419" i="1"/>
  <c r="M7419" i="1" s="1"/>
  <c r="L7420" i="1"/>
  <c r="M7420" i="1" s="1"/>
  <c r="L7421" i="1"/>
  <c r="M7421" i="1" s="1"/>
  <c r="L7422" i="1"/>
  <c r="M7422" i="1" s="1"/>
  <c r="L7423" i="1"/>
  <c r="M7423" i="1" s="1"/>
  <c r="L7424" i="1"/>
  <c r="M7424" i="1" s="1"/>
  <c r="L7425" i="1"/>
  <c r="M7425" i="1" s="1"/>
  <c r="L7426" i="1"/>
  <c r="M7426" i="1" s="1"/>
  <c r="L7427" i="1"/>
  <c r="M7427" i="1" s="1"/>
  <c r="L7428" i="1"/>
  <c r="M7428" i="1" s="1"/>
  <c r="L7429" i="1"/>
  <c r="M7429" i="1" s="1"/>
  <c r="L7430" i="1"/>
  <c r="M7430" i="1" s="1"/>
  <c r="L7431" i="1"/>
  <c r="M7431" i="1" s="1"/>
  <c r="L7432" i="1"/>
  <c r="M7432" i="1" s="1"/>
  <c r="L7433" i="1"/>
  <c r="M7433" i="1" s="1"/>
  <c r="L7434" i="1"/>
  <c r="M7434" i="1" s="1"/>
  <c r="L7435" i="1"/>
  <c r="M7435" i="1" s="1"/>
  <c r="L7436" i="1"/>
  <c r="M7436" i="1" s="1"/>
  <c r="L7437" i="1"/>
  <c r="M7437" i="1" s="1"/>
  <c r="L7438" i="1"/>
  <c r="M7438" i="1" s="1"/>
  <c r="L7439" i="1"/>
  <c r="M7439" i="1" s="1"/>
  <c r="L7440" i="1"/>
  <c r="M7440" i="1" s="1"/>
  <c r="L7441" i="1"/>
  <c r="M7441" i="1" s="1"/>
  <c r="L7442" i="1"/>
  <c r="M7442" i="1" s="1"/>
  <c r="L7443" i="1"/>
  <c r="M7443" i="1" s="1"/>
  <c r="L7444" i="1"/>
  <c r="M7444" i="1" s="1"/>
  <c r="L7445" i="1"/>
  <c r="M7445" i="1" s="1"/>
  <c r="L7446" i="1"/>
  <c r="M7446" i="1" s="1"/>
  <c r="L7447" i="1"/>
  <c r="M7447" i="1" s="1"/>
  <c r="L7448" i="1"/>
  <c r="M7448" i="1" s="1"/>
  <c r="L7449" i="1"/>
  <c r="M7449" i="1" s="1"/>
  <c r="L7450" i="1"/>
  <c r="M7450" i="1" s="1"/>
  <c r="L7451" i="1"/>
  <c r="M7451" i="1" s="1"/>
  <c r="L7452" i="1"/>
  <c r="M7452" i="1" s="1"/>
  <c r="L7453" i="1"/>
  <c r="M7453" i="1" s="1"/>
  <c r="L7454" i="1"/>
  <c r="M7454" i="1" s="1"/>
  <c r="L7455" i="1"/>
  <c r="M7455" i="1" s="1"/>
  <c r="L7456" i="1"/>
  <c r="M7456" i="1" s="1"/>
  <c r="L7457" i="1"/>
  <c r="M7457" i="1" s="1"/>
  <c r="L7458" i="1"/>
  <c r="M7458" i="1" s="1"/>
  <c r="L7459" i="1"/>
  <c r="M7459" i="1" s="1"/>
  <c r="L7460" i="1"/>
  <c r="M7460" i="1" s="1"/>
  <c r="L7461" i="1"/>
  <c r="M7461" i="1" s="1"/>
  <c r="L7462" i="1"/>
  <c r="M7462" i="1" s="1"/>
  <c r="L7463" i="1"/>
  <c r="M7463" i="1" s="1"/>
  <c r="L7464" i="1"/>
  <c r="M7464" i="1" s="1"/>
  <c r="L7465" i="1"/>
  <c r="M7465" i="1" s="1"/>
  <c r="L7466" i="1"/>
  <c r="M7466" i="1" s="1"/>
  <c r="L7467" i="1"/>
  <c r="M7467" i="1" s="1"/>
  <c r="L7468" i="1"/>
  <c r="M7468" i="1" s="1"/>
  <c r="L7469" i="1"/>
  <c r="M7469" i="1" s="1"/>
  <c r="L7470" i="1"/>
  <c r="M7470" i="1" s="1"/>
  <c r="L7471" i="1"/>
  <c r="M7471" i="1" s="1"/>
  <c r="L7472" i="1"/>
  <c r="M7472" i="1" s="1"/>
  <c r="L7473" i="1"/>
  <c r="M7473" i="1" s="1"/>
  <c r="L7474" i="1"/>
  <c r="M7474" i="1" s="1"/>
  <c r="L7475" i="1"/>
  <c r="M7475" i="1" s="1"/>
  <c r="L7476" i="1"/>
  <c r="M7476" i="1" s="1"/>
  <c r="L7477" i="1"/>
  <c r="M7477" i="1" s="1"/>
  <c r="L7478" i="1"/>
  <c r="M7478" i="1" s="1"/>
  <c r="L7479" i="1"/>
  <c r="M7479" i="1" s="1"/>
  <c r="L7480" i="1"/>
  <c r="M7480" i="1" s="1"/>
  <c r="L7481" i="1"/>
  <c r="M7481" i="1" s="1"/>
  <c r="L7482" i="1"/>
  <c r="M7482" i="1" s="1"/>
  <c r="L7483" i="1"/>
  <c r="M7483" i="1" s="1"/>
  <c r="L7484" i="1"/>
  <c r="M7484" i="1" s="1"/>
  <c r="L7485" i="1"/>
  <c r="M7485" i="1" s="1"/>
  <c r="L7486" i="1"/>
  <c r="M7486" i="1" s="1"/>
  <c r="L7487" i="1"/>
  <c r="M7487" i="1" s="1"/>
  <c r="L7488" i="1"/>
  <c r="M7488" i="1" s="1"/>
  <c r="L7489" i="1"/>
  <c r="M7489" i="1" s="1"/>
  <c r="L7490" i="1"/>
  <c r="M7490" i="1" s="1"/>
  <c r="L7491" i="1"/>
  <c r="M7491" i="1" s="1"/>
  <c r="L7492" i="1"/>
  <c r="M7492" i="1" s="1"/>
  <c r="L7493" i="1"/>
  <c r="M7493" i="1" s="1"/>
  <c r="L7494" i="1"/>
  <c r="M7494" i="1" s="1"/>
  <c r="L7495" i="1"/>
  <c r="M7495" i="1" s="1"/>
  <c r="L7496" i="1"/>
  <c r="M7496" i="1" s="1"/>
  <c r="L7497" i="1"/>
  <c r="M7497" i="1" s="1"/>
  <c r="L7498" i="1"/>
  <c r="M7498" i="1" s="1"/>
  <c r="L7499" i="1"/>
  <c r="M7499" i="1" s="1"/>
  <c r="L7500" i="1"/>
  <c r="M7500" i="1" s="1"/>
  <c r="L7501" i="1"/>
  <c r="M7501" i="1" s="1"/>
  <c r="L7502" i="1"/>
  <c r="M7502" i="1" s="1"/>
  <c r="L7503" i="1"/>
  <c r="M7503" i="1" s="1"/>
  <c r="L7504" i="1"/>
  <c r="M7504" i="1" s="1"/>
  <c r="L7505" i="1"/>
  <c r="M7505" i="1" s="1"/>
  <c r="L7506" i="1"/>
  <c r="M7506" i="1" s="1"/>
  <c r="L7507" i="1"/>
  <c r="M7507" i="1" s="1"/>
  <c r="L7508" i="1"/>
  <c r="M7508" i="1" s="1"/>
  <c r="L7509" i="1"/>
  <c r="M7509" i="1" s="1"/>
  <c r="L7510" i="1"/>
  <c r="M7510" i="1" s="1"/>
  <c r="L7511" i="1"/>
  <c r="M7511" i="1" s="1"/>
  <c r="L7512" i="1"/>
  <c r="M7512" i="1" s="1"/>
  <c r="L7513" i="1"/>
  <c r="M7513" i="1" s="1"/>
  <c r="L7514" i="1"/>
  <c r="M7514" i="1" s="1"/>
  <c r="L7515" i="1"/>
  <c r="M7515" i="1" s="1"/>
  <c r="L7516" i="1"/>
  <c r="M7516" i="1" s="1"/>
  <c r="L7517" i="1"/>
  <c r="M7517" i="1" s="1"/>
  <c r="L7518" i="1"/>
  <c r="M7518" i="1" s="1"/>
  <c r="L7519" i="1"/>
  <c r="M7519" i="1" s="1"/>
  <c r="L7520" i="1"/>
  <c r="M7520" i="1" s="1"/>
  <c r="L7521" i="1"/>
  <c r="M7521" i="1" s="1"/>
  <c r="L7522" i="1"/>
  <c r="M7522" i="1" s="1"/>
  <c r="L7523" i="1"/>
  <c r="M7523" i="1" s="1"/>
  <c r="L7524" i="1"/>
  <c r="M7524" i="1" s="1"/>
  <c r="L7525" i="1"/>
  <c r="M7525" i="1" s="1"/>
  <c r="L7526" i="1"/>
  <c r="M7526" i="1" s="1"/>
  <c r="L7527" i="1"/>
  <c r="M7527" i="1" s="1"/>
  <c r="L7528" i="1"/>
  <c r="M7528" i="1" s="1"/>
  <c r="L7529" i="1"/>
  <c r="M7529" i="1" s="1"/>
  <c r="L7530" i="1"/>
  <c r="M7530" i="1" s="1"/>
  <c r="L7531" i="1"/>
  <c r="M7531" i="1" s="1"/>
  <c r="L7532" i="1"/>
  <c r="M7532" i="1" s="1"/>
  <c r="L7533" i="1"/>
  <c r="M7533" i="1" s="1"/>
  <c r="L7534" i="1"/>
  <c r="M7534" i="1" s="1"/>
  <c r="L7535" i="1"/>
  <c r="M7535" i="1" s="1"/>
  <c r="L7536" i="1"/>
  <c r="M7536" i="1" s="1"/>
  <c r="L7537" i="1"/>
  <c r="M7537" i="1" s="1"/>
  <c r="L7538" i="1"/>
  <c r="M7538" i="1" s="1"/>
  <c r="L7539" i="1"/>
  <c r="M7539" i="1" s="1"/>
  <c r="L7540" i="1"/>
  <c r="M7540" i="1" s="1"/>
  <c r="L7541" i="1"/>
  <c r="M7541" i="1" s="1"/>
  <c r="L7542" i="1"/>
  <c r="M7542" i="1" s="1"/>
  <c r="L7543" i="1"/>
  <c r="M7543" i="1" s="1"/>
  <c r="L7544" i="1"/>
  <c r="M7544" i="1" s="1"/>
  <c r="L7545" i="1"/>
  <c r="M7545" i="1" s="1"/>
  <c r="L7546" i="1"/>
  <c r="M7546" i="1" s="1"/>
  <c r="L7547" i="1"/>
  <c r="M7547" i="1" s="1"/>
  <c r="L7548" i="1"/>
  <c r="M7548" i="1" s="1"/>
  <c r="L7549" i="1"/>
  <c r="M7549" i="1" s="1"/>
  <c r="L7550" i="1"/>
  <c r="M7550" i="1" s="1"/>
  <c r="L7551" i="1"/>
  <c r="M7551" i="1" s="1"/>
  <c r="L7552" i="1"/>
  <c r="M7552" i="1" s="1"/>
  <c r="L7553" i="1"/>
  <c r="M7553" i="1" s="1"/>
  <c r="L7554" i="1"/>
  <c r="M7554" i="1" s="1"/>
  <c r="L7555" i="1"/>
  <c r="M7555" i="1" s="1"/>
  <c r="L7556" i="1"/>
  <c r="M7556" i="1" s="1"/>
  <c r="L7557" i="1"/>
  <c r="M7557" i="1" s="1"/>
  <c r="L7558" i="1"/>
  <c r="M7558" i="1" s="1"/>
  <c r="L7559" i="1"/>
  <c r="M7559" i="1" s="1"/>
  <c r="L7560" i="1"/>
  <c r="M7560" i="1" s="1"/>
  <c r="L7561" i="1"/>
  <c r="M7561" i="1" s="1"/>
  <c r="L7562" i="1"/>
  <c r="M7562" i="1" s="1"/>
  <c r="L7563" i="1"/>
  <c r="M7563" i="1" s="1"/>
  <c r="L7564" i="1"/>
  <c r="M7564" i="1" s="1"/>
  <c r="L7565" i="1"/>
  <c r="M7565" i="1" s="1"/>
  <c r="L7566" i="1"/>
  <c r="M7566" i="1" s="1"/>
  <c r="L7567" i="1"/>
  <c r="M7567" i="1" s="1"/>
  <c r="L7568" i="1"/>
  <c r="M7568" i="1" s="1"/>
  <c r="L7569" i="1"/>
  <c r="M7569" i="1" s="1"/>
  <c r="L7570" i="1"/>
  <c r="M7570" i="1" s="1"/>
  <c r="L7571" i="1"/>
  <c r="M7571" i="1" s="1"/>
  <c r="L7572" i="1"/>
  <c r="M7572" i="1" s="1"/>
  <c r="L7573" i="1"/>
  <c r="M7573" i="1" s="1"/>
  <c r="L7574" i="1"/>
  <c r="M7574" i="1" s="1"/>
  <c r="L7575" i="1"/>
  <c r="M7575" i="1" s="1"/>
  <c r="L7576" i="1"/>
  <c r="M7576" i="1" s="1"/>
  <c r="L7577" i="1"/>
  <c r="M7577" i="1" s="1"/>
  <c r="L7578" i="1"/>
  <c r="M7578" i="1" s="1"/>
  <c r="L7579" i="1"/>
  <c r="M7579" i="1" s="1"/>
  <c r="L7580" i="1"/>
  <c r="M7580" i="1" s="1"/>
  <c r="L7581" i="1"/>
  <c r="M7581" i="1" s="1"/>
  <c r="L7582" i="1"/>
  <c r="M7582" i="1" s="1"/>
  <c r="L7583" i="1"/>
  <c r="M7583" i="1" s="1"/>
  <c r="L7584" i="1"/>
  <c r="M7584" i="1" s="1"/>
  <c r="L7585" i="1"/>
  <c r="M7585" i="1" s="1"/>
  <c r="L7586" i="1"/>
  <c r="M7586" i="1" s="1"/>
  <c r="L7587" i="1"/>
  <c r="M7587" i="1" s="1"/>
  <c r="L7588" i="1"/>
  <c r="M7588" i="1" s="1"/>
  <c r="L7589" i="1"/>
  <c r="M7589" i="1" s="1"/>
  <c r="L7590" i="1"/>
  <c r="M7590" i="1" s="1"/>
  <c r="L7591" i="1"/>
  <c r="M7591" i="1" s="1"/>
  <c r="L7592" i="1"/>
  <c r="M7592" i="1" s="1"/>
  <c r="L7593" i="1"/>
  <c r="M7593" i="1" s="1"/>
  <c r="L7594" i="1"/>
  <c r="M7594" i="1" s="1"/>
  <c r="L7595" i="1"/>
  <c r="M7595" i="1" s="1"/>
  <c r="L7596" i="1"/>
  <c r="M7596" i="1" s="1"/>
  <c r="L7597" i="1"/>
  <c r="M7597" i="1" s="1"/>
  <c r="L7598" i="1"/>
  <c r="M7598" i="1" s="1"/>
  <c r="L7599" i="1"/>
  <c r="M7599" i="1" s="1"/>
  <c r="L7600" i="1"/>
  <c r="M7600" i="1" s="1"/>
  <c r="L7601" i="1"/>
  <c r="M7601" i="1" s="1"/>
  <c r="L7602" i="1"/>
  <c r="M7602" i="1" s="1"/>
  <c r="L7603" i="1"/>
  <c r="M7603" i="1" s="1"/>
  <c r="L7604" i="1"/>
  <c r="M7604" i="1" s="1"/>
  <c r="L7605" i="1"/>
  <c r="M7605" i="1" s="1"/>
  <c r="L7606" i="1"/>
  <c r="M7606" i="1" s="1"/>
  <c r="L7607" i="1"/>
  <c r="M7607" i="1" s="1"/>
  <c r="L7608" i="1"/>
  <c r="M7608" i="1" s="1"/>
  <c r="L7609" i="1"/>
  <c r="M7609" i="1" s="1"/>
  <c r="L7610" i="1"/>
  <c r="M7610" i="1" s="1"/>
  <c r="L7611" i="1"/>
  <c r="M7611" i="1" s="1"/>
  <c r="L7612" i="1"/>
  <c r="M7612" i="1" s="1"/>
  <c r="L7613" i="1"/>
  <c r="M7613" i="1" s="1"/>
  <c r="L7614" i="1"/>
  <c r="M7614" i="1" s="1"/>
  <c r="L7615" i="1"/>
  <c r="M7615" i="1" s="1"/>
  <c r="L7616" i="1"/>
  <c r="M7616" i="1" s="1"/>
  <c r="L7617" i="1"/>
  <c r="M7617" i="1" s="1"/>
  <c r="L7618" i="1"/>
  <c r="M7618" i="1" s="1"/>
  <c r="L7619" i="1"/>
  <c r="M7619" i="1" s="1"/>
  <c r="L7620" i="1"/>
  <c r="M7620" i="1" s="1"/>
  <c r="L7621" i="1"/>
  <c r="M7621" i="1" s="1"/>
  <c r="L7622" i="1"/>
  <c r="M7622" i="1" s="1"/>
  <c r="L7623" i="1"/>
  <c r="M7623" i="1" s="1"/>
  <c r="L7624" i="1"/>
  <c r="M7624" i="1" s="1"/>
  <c r="L7625" i="1"/>
  <c r="M7625" i="1" s="1"/>
  <c r="L7626" i="1"/>
  <c r="M7626" i="1" s="1"/>
  <c r="L7627" i="1"/>
  <c r="M7627" i="1" s="1"/>
  <c r="L7628" i="1"/>
  <c r="M7628" i="1" s="1"/>
  <c r="L7629" i="1"/>
  <c r="M7629" i="1" s="1"/>
  <c r="L7630" i="1"/>
  <c r="M7630" i="1" s="1"/>
  <c r="L7631" i="1"/>
  <c r="M7631" i="1" s="1"/>
  <c r="L7632" i="1"/>
  <c r="M7632" i="1" s="1"/>
  <c r="L7633" i="1"/>
  <c r="M7633" i="1" s="1"/>
  <c r="L7634" i="1"/>
  <c r="M7634" i="1" s="1"/>
  <c r="L7635" i="1"/>
  <c r="M7635" i="1" s="1"/>
  <c r="L7636" i="1"/>
  <c r="M7636" i="1" s="1"/>
  <c r="L7637" i="1"/>
  <c r="M7637" i="1" s="1"/>
  <c r="L7638" i="1"/>
  <c r="M7638" i="1" s="1"/>
  <c r="L7639" i="1"/>
  <c r="M7639" i="1" s="1"/>
  <c r="L7640" i="1"/>
  <c r="M7640" i="1" s="1"/>
  <c r="L7641" i="1"/>
  <c r="M7641" i="1" s="1"/>
  <c r="L7642" i="1"/>
  <c r="M7642" i="1" s="1"/>
  <c r="L7643" i="1"/>
  <c r="M7643" i="1" s="1"/>
  <c r="L7644" i="1"/>
  <c r="M7644" i="1" s="1"/>
  <c r="L7645" i="1"/>
  <c r="M7645" i="1" s="1"/>
  <c r="L7646" i="1"/>
  <c r="M7646" i="1" s="1"/>
  <c r="L7647" i="1"/>
  <c r="M7647" i="1" s="1"/>
  <c r="L7648" i="1"/>
  <c r="M7648" i="1" s="1"/>
  <c r="L7649" i="1"/>
  <c r="M7649" i="1" s="1"/>
  <c r="L7650" i="1"/>
  <c r="M7650" i="1" s="1"/>
  <c r="L7651" i="1"/>
  <c r="M7651" i="1" s="1"/>
  <c r="L7652" i="1"/>
  <c r="M7652" i="1" s="1"/>
  <c r="L7653" i="1"/>
  <c r="M7653" i="1" s="1"/>
  <c r="L7654" i="1"/>
  <c r="M7654" i="1" s="1"/>
  <c r="L7655" i="1"/>
  <c r="M7655" i="1" s="1"/>
  <c r="L7656" i="1"/>
  <c r="M7656" i="1" s="1"/>
  <c r="L7657" i="1"/>
  <c r="M7657" i="1" s="1"/>
  <c r="L7658" i="1"/>
  <c r="M7658" i="1" s="1"/>
  <c r="L7659" i="1"/>
  <c r="M7659" i="1" s="1"/>
  <c r="L7660" i="1"/>
  <c r="M7660" i="1" s="1"/>
  <c r="L7661" i="1"/>
  <c r="M7661" i="1" s="1"/>
  <c r="L7662" i="1"/>
  <c r="M7662" i="1" s="1"/>
  <c r="L7663" i="1"/>
  <c r="M7663" i="1" s="1"/>
  <c r="L7664" i="1"/>
  <c r="M7664" i="1" s="1"/>
  <c r="L7665" i="1"/>
  <c r="M7665" i="1" s="1"/>
  <c r="L7666" i="1"/>
  <c r="M7666" i="1" s="1"/>
  <c r="L7667" i="1"/>
  <c r="M7667" i="1" s="1"/>
  <c r="L7668" i="1"/>
  <c r="M7668" i="1" s="1"/>
  <c r="L7669" i="1"/>
  <c r="M7669" i="1" s="1"/>
  <c r="L7670" i="1"/>
  <c r="M7670" i="1" s="1"/>
  <c r="L7671" i="1"/>
  <c r="M7671" i="1" s="1"/>
  <c r="L7672" i="1"/>
  <c r="M7672" i="1" s="1"/>
  <c r="L7673" i="1"/>
  <c r="M7673" i="1" s="1"/>
  <c r="L7674" i="1"/>
  <c r="M7674" i="1" s="1"/>
  <c r="L7675" i="1"/>
  <c r="M7675" i="1" s="1"/>
  <c r="L7676" i="1"/>
  <c r="M7676" i="1" s="1"/>
  <c r="L7677" i="1"/>
  <c r="M7677" i="1" s="1"/>
  <c r="L7678" i="1"/>
  <c r="M7678" i="1" s="1"/>
  <c r="L7679" i="1"/>
  <c r="M7679" i="1" s="1"/>
  <c r="L7680" i="1"/>
  <c r="M7680" i="1" s="1"/>
  <c r="L7681" i="1"/>
  <c r="M7681" i="1" s="1"/>
  <c r="L7682" i="1"/>
  <c r="M7682" i="1" s="1"/>
  <c r="L7683" i="1"/>
  <c r="M7683" i="1" s="1"/>
  <c r="L7684" i="1"/>
  <c r="M7684" i="1" s="1"/>
  <c r="L7685" i="1"/>
  <c r="M7685" i="1" s="1"/>
  <c r="L7686" i="1"/>
  <c r="M7686" i="1" s="1"/>
  <c r="L7687" i="1"/>
  <c r="M7687" i="1" s="1"/>
  <c r="L7688" i="1"/>
  <c r="M7688" i="1" s="1"/>
  <c r="L7689" i="1"/>
  <c r="M7689" i="1" s="1"/>
  <c r="L7690" i="1"/>
  <c r="M7690" i="1" s="1"/>
  <c r="L7691" i="1"/>
  <c r="M7691" i="1" s="1"/>
  <c r="L7692" i="1"/>
  <c r="M7692" i="1" s="1"/>
  <c r="L7693" i="1"/>
  <c r="M7693" i="1" s="1"/>
  <c r="L7694" i="1"/>
  <c r="M7694" i="1" s="1"/>
  <c r="L7695" i="1"/>
  <c r="M7695" i="1" s="1"/>
  <c r="L7696" i="1"/>
  <c r="M7696" i="1" s="1"/>
  <c r="L7697" i="1"/>
  <c r="M7697" i="1" s="1"/>
  <c r="L7698" i="1"/>
  <c r="M7698" i="1" s="1"/>
  <c r="L7699" i="1"/>
  <c r="M7699" i="1" s="1"/>
  <c r="L7700" i="1"/>
  <c r="M7700" i="1" s="1"/>
  <c r="L7701" i="1"/>
  <c r="M7701" i="1" s="1"/>
  <c r="L7702" i="1"/>
  <c r="M7702" i="1" s="1"/>
  <c r="L7703" i="1"/>
  <c r="M7703" i="1" s="1"/>
  <c r="L7704" i="1"/>
  <c r="M7704" i="1" s="1"/>
  <c r="L7705" i="1"/>
  <c r="M7705" i="1" s="1"/>
  <c r="L7706" i="1"/>
  <c r="M7706" i="1" s="1"/>
  <c r="L7707" i="1"/>
  <c r="M7707" i="1" s="1"/>
  <c r="L7708" i="1"/>
  <c r="M7708" i="1" s="1"/>
  <c r="L7709" i="1"/>
  <c r="M7709" i="1" s="1"/>
  <c r="L7710" i="1"/>
  <c r="M7710" i="1" s="1"/>
  <c r="L7711" i="1"/>
  <c r="M7711" i="1" s="1"/>
  <c r="L7712" i="1"/>
  <c r="M7712" i="1" s="1"/>
  <c r="L7713" i="1"/>
  <c r="M7713" i="1" s="1"/>
  <c r="L7714" i="1"/>
  <c r="M7714" i="1" s="1"/>
  <c r="L7715" i="1"/>
  <c r="M7715" i="1" s="1"/>
  <c r="L7716" i="1"/>
  <c r="M7716" i="1" s="1"/>
  <c r="L7717" i="1"/>
  <c r="M7717" i="1" s="1"/>
  <c r="L7718" i="1"/>
  <c r="M7718" i="1" s="1"/>
  <c r="L7719" i="1"/>
  <c r="M7719" i="1" s="1"/>
  <c r="L7720" i="1"/>
  <c r="M7720" i="1" s="1"/>
  <c r="L7721" i="1"/>
  <c r="M7721" i="1" s="1"/>
  <c r="L7722" i="1"/>
  <c r="M7722" i="1" s="1"/>
  <c r="L7723" i="1"/>
  <c r="M7723" i="1" s="1"/>
  <c r="L7724" i="1"/>
  <c r="M7724" i="1" s="1"/>
  <c r="L7725" i="1"/>
  <c r="M7725" i="1" s="1"/>
  <c r="L7726" i="1"/>
  <c r="M7726" i="1" s="1"/>
  <c r="L7727" i="1"/>
  <c r="M7727" i="1" s="1"/>
  <c r="L7728" i="1"/>
  <c r="M7728" i="1" s="1"/>
  <c r="L7729" i="1"/>
  <c r="M7729" i="1" s="1"/>
  <c r="L7730" i="1"/>
  <c r="M7730" i="1" s="1"/>
  <c r="L7731" i="1"/>
  <c r="M7731" i="1" s="1"/>
  <c r="L7732" i="1"/>
  <c r="M7732" i="1" s="1"/>
  <c r="L7733" i="1"/>
  <c r="M7733" i="1" s="1"/>
  <c r="L7734" i="1"/>
  <c r="M7734" i="1" s="1"/>
  <c r="L7735" i="1"/>
  <c r="M7735" i="1" s="1"/>
  <c r="L7736" i="1"/>
  <c r="M7736" i="1" s="1"/>
  <c r="L7737" i="1"/>
  <c r="M7737" i="1" s="1"/>
  <c r="L7738" i="1"/>
  <c r="M7738" i="1" s="1"/>
  <c r="L7739" i="1"/>
  <c r="M7739" i="1" s="1"/>
  <c r="L7740" i="1"/>
  <c r="M7740" i="1" s="1"/>
  <c r="L7741" i="1"/>
  <c r="M7741" i="1" s="1"/>
  <c r="L7742" i="1"/>
  <c r="M7742" i="1" s="1"/>
  <c r="L7743" i="1"/>
  <c r="M7743" i="1" s="1"/>
  <c r="L7744" i="1"/>
  <c r="M7744" i="1" s="1"/>
  <c r="L7745" i="1"/>
  <c r="M7745" i="1" s="1"/>
  <c r="L7746" i="1"/>
  <c r="M7746" i="1" s="1"/>
  <c r="L7747" i="1"/>
  <c r="M7747" i="1" s="1"/>
  <c r="L7748" i="1"/>
  <c r="M7748" i="1" s="1"/>
  <c r="L7749" i="1"/>
  <c r="M7749" i="1" s="1"/>
  <c r="L7750" i="1"/>
  <c r="M7750" i="1" s="1"/>
  <c r="L7751" i="1"/>
  <c r="M7751" i="1" s="1"/>
  <c r="L7752" i="1"/>
  <c r="M7752" i="1" s="1"/>
  <c r="L7753" i="1"/>
  <c r="M7753" i="1" s="1"/>
  <c r="L7754" i="1"/>
  <c r="M7754" i="1" s="1"/>
  <c r="L7755" i="1"/>
  <c r="M7755" i="1" s="1"/>
  <c r="L7756" i="1"/>
  <c r="M7756" i="1" s="1"/>
  <c r="L7757" i="1"/>
  <c r="M7757" i="1" s="1"/>
  <c r="L7758" i="1"/>
  <c r="M7758" i="1" s="1"/>
  <c r="L7759" i="1"/>
  <c r="M7759" i="1" s="1"/>
  <c r="L7760" i="1"/>
  <c r="M7760" i="1" s="1"/>
  <c r="L7761" i="1"/>
  <c r="M7761" i="1" s="1"/>
  <c r="L7762" i="1"/>
  <c r="M7762" i="1" s="1"/>
  <c r="L7763" i="1"/>
  <c r="M7763" i="1" s="1"/>
  <c r="L7764" i="1"/>
  <c r="M7764" i="1" s="1"/>
  <c r="L7765" i="1"/>
  <c r="M7765" i="1" s="1"/>
  <c r="L7766" i="1"/>
  <c r="M7766" i="1" s="1"/>
  <c r="L7767" i="1"/>
  <c r="M7767" i="1" s="1"/>
  <c r="L7768" i="1"/>
  <c r="M7768" i="1" s="1"/>
  <c r="L7769" i="1"/>
  <c r="M7769" i="1" s="1"/>
  <c r="L7770" i="1"/>
  <c r="M7770" i="1" s="1"/>
  <c r="L7771" i="1"/>
  <c r="M7771" i="1" s="1"/>
  <c r="L7772" i="1"/>
  <c r="M7772" i="1" s="1"/>
  <c r="L7773" i="1"/>
  <c r="M7773" i="1" s="1"/>
  <c r="L7774" i="1"/>
  <c r="M7774" i="1" s="1"/>
  <c r="L7775" i="1"/>
  <c r="M7775" i="1" s="1"/>
  <c r="L7776" i="1"/>
  <c r="M7776" i="1" s="1"/>
  <c r="L7777" i="1"/>
  <c r="M7777" i="1" s="1"/>
  <c r="L7778" i="1"/>
  <c r="M7778" i="1" s="1"/>
  <c r="L7779" i="1"/>
  <c r="M7779" i="1" s="1"/>
  <c r="L7780" i="1"/>
  <c r="M7780" i="1" s="1"/>
  <c r="L7781" i="1"/>
  <c r="M7781" i="1" s="1"/>
  <c r="L7782" i="1"/>
  <c r="M7782" i="1" s="1"/>
  <c r="L7783" i="1"/>
  <c r="M7783" i="1" s="1"/>
  <c r="L7784" i="1"/>
  <c r="M7784" i="1" s="1"/>
  <c r="L7785" i="1"/>
  <c r="M7785" i="1" s="1"/>
  <c r="L7786" i="1"/>
  <c r="M7786" i="1" s="1"/>
  <c r="L7787" i="1"/>
  <c r="M7787" i="1" s="1"/>
  <c r="L7788" i="1"/>
  <c r="M7788" i="1" s="1"/>
  <c r="L7789" i="1"/>
  <c r="M7789" i="1" s="1"/>
  <c r="L7790" i="1"/>
  <c r="M7790" i="1" s="1"/>
  <c r="L7791" i="1"/>
  <c r="M7791" i="1" s="1"/>
  <c r="L7792" i="1"/>
  <c r="M7792" i="1" s="1"/>
  <c r="L7793" i="1"/>
  <c r="M7793" i="1" s="1"/>
  <c r="L7794" i="1"/>
  <c r="M7794" i="1" s="1"/>
  <c r="L7795" i="1"/>
  <c r="M7795" i="1" s="1"/>
  <c r="L7796" i="1"/>
  <c r="M7796" i="1" s="1"/>
  <c r="L7797" i="1"/>
  <c r="M7797" i="1" s="1"/>
  <c r="L7798" i="1"/>
  <c r="M7798" i="1" s="1"/>
  <c r="L7799" i="1"/>
  <c r="M7799" i="1" s="1"/>
  <c r="L7800" i="1"/>
  <c r="M7800" i="1" s="1"/>
  <c r="L7801" i="1"/>
  <c r="M7801" i="1" s="1"/>
  <c r="L7802" i="1"/>
  <c r="M7802" i="1" s="1"/>
  <c r="L7803" i="1"/>
  <c r="M7803" i="1" s="1"/>
  <c r="L7804" i="1"/>
  <c r="M7804" i="1" s="1"/>
  <c r="L7805" i="1"/>
  <c r="M7805" i="1" s="1"/>
  <c r="L7806" i="1"/>
  <c r="M7806" i="1" s="1"/>
  <c r="L7807" i="1"/>
  <c r="M7807" i="1" s="1"/>
  <c r="L7808" i="1"/>
  <c r="M7808" i="1" s="1"/>
  <c r="L7809" i="1"/>
  <c r="M7809" i="1" s="1"/>
  <c r="L7810" i="1"/>
  <c r="M7810" i="1" s="1"/>
  <c r="L7811" i="1"/>
  <c r="M7811" i="1" s="1"/>
  <c r="L7812" i="1"/>
  <c r="M7812" i="1" s="1"/>
  <c r="L7813" i="1"/>
  <c r="M7813" i="1" s="1"/>
  <c r="L7814" i="1"/>
  <c r="M7814" i="1" s="1"/>
  <c r="L7815" i="1"/>
  <c r="M7815" i="1" s="1"/>
  <c r="L7816" i="1"/>
  <c r="M7816" i="1" s="1"/>
  <c r="L7817" i="1"/>
  <c r="M7817" i="1" s="1"/>
  <c r="L7818" i="1"/>
  <c r="M7818" i="1" s="1"/>
  <c r="L7819" i="1"/>
  <c r="M7819" i="1" s="1"/>
  <c r="L7820" i="1"/>
  <c r="M7820" i="1" s="1"/>
  <c r="L7821" i="1"/>
  <c r="M7821" i="1" s="1"/>
  <c r="L7822" i="1"/>
  <c r="M7822" i="1" s="1"/>
  <c r="L7823" i="1"/>
  <c r="M7823" i="1" s="1"/>
  <c r="L7824" i="1"/>
  <c r="M7824" i="1" s="1"/>
  <c r="L7825" i="1"/>
  <c r="M7825" i="1" s="1"/>
  <c r="L7826" i="1"/>
  <c r="M7826" i="1" s="1"/>
  <c r="L7827" i="1"/>
  <c r="M7827" i="1" s="1"/>
  <c r="L7828" i="1"/>
  <c r="M7828" i="1" s="1"/>
  <c r="L7829" i="1"/>
  <c r="M7829" i="1" s="1"/>
  <c r="L7830" i="1"/>
  <c r="M7830" i="1" s="1"/>
  <c r="L7831" i="1"/>
  <c r="M7831" i="1" s="1"/>
  <c r="L7832" i="1"/>
  <c r="M7832" i="1" s="1"/>
  <c r="L7833" i="1"/>
  <c r="M7833" i="1" s="1"/>
  <c r="L7834" i="1"/>
  <c r="M7834" i="1" s="1"/>
  <c r="L7835" i="1"/>
  <c r="M7835" i="1" s="1"/>
  <c r="L7836" i="1"/>
  <c r="M7836" i="1" s="1"/>
  <c r="L7837" i="1"/>
  <c r="M7837" i="1" s="1"/>
  <c r="L7838" i="1"/>
  <c r="M7838" i="1" s="1"/>
  <c r="L7839" i="1"/>
  <c r="M7839" i="1" s="1"/>
  <c r="L7840" i="1"/>
  <c r="M7840" i="1" s="1"/>
  <c r="L7841" i="1"/>
  <c r="M7841" i="1" s="1"/>
  <c r="L7842" i="1"/>
  <c r="M7842" i="1" s="1"/>
  <c r="L7843" i="1"/>
  <c r="M7843" i="1" s="1"/>
  <c r="L7844" i="1"/>
  <c r="M7844" i="1" s="1"/>
  <c r="L7845" i="1"/>
  <c r="M7845" i="1" s="1"/>
  <c r="L7846" i="1"/>
  <c r="M7846" i="1" s="1"/>
  <c r="L7847" i="1"/>
  <c r="M7847" i="1" s="1"/>
  <c r="L7848" i="1"/>
  <c r="M7848" i="1" s="1"/>
  <c r="L7849" i="1"/>
  <c r="M7849" i="1" s="1"/>
  <c r="L7850" i="1"/>
  <c r="M7850" i="1" s="1"/>
  <c r="L7851" i="1"/>
  <c r="M7851" i="1" s="1"/>
  <c r="L7852" i="1"/>
  <c r="M7852" i="1" s="1"/>
  <c r="L7853" i="1"/>
  <c r="M7853" i="1" s="1"/>
  <c r="L7854" i="1"/>
  <c r="M7854" i="1" s="1"/>
  <c r="L7855" i="1"/>
  <c r="M7855" i="1" s="1"/>
  <c r="L7856" i="1"/>
  <c r="M7856" i="1" s="1"/>
  <c r="L7857" i="1"/>
  <c r="M7857" i="1" s="1"/>
  <c r="L7858" i="1"/>
  <c r="M7858" i="1" s="1"/>
  <c r="L7859" i="1"/>
  <c r="M7859" i="1" s="1"/>
  <c r="L7860" i="1"/>
  <c r="M7860" i="1" s="1"/>
  <c r="L7861" i="1"/>
  <c r="M7861" i="1" s="1"/>
  <c r="L7862" i="1"/>
  <c r="M7862" i="1" s="1"/>
  <c r="L7863" i="1"/>
  <c r="M7863" i="1" s="1"/>
  <c r="L7864" i="1"/>
  <c r="M7864" i="1" s="1"/>
  <c r="L7865" i="1"/>
  <c r="M7865" i="1" s="1"/>
  <c r="L7866" i="1"/>
  <c r="M7866" i="1" s="1"/>
  <c r="L7867" i="1"/>
  <c r="M7867" i="1" s="1"/>
  <c r="L7868" i="1"/>
  <c r="M7868" i="1" s="1"/>
  <c r="L7869" i="1"/>
  <c r="M7869" i="1" s="1"/>
  <c r="L7870" i="1"/>
  <c r="M7870" i="1" s="1"/>
  <c r="L7871" i="1"/>
  <c r="M7871" i="1" s="1"/>
  <c r="L7872" i="1"/>
  <c r="M7872" i="1" s="1"/>
  <c r="L7873" i="1"/>
  <c r="M7873" i="1" s="1"/>
  <c r="L7874" i="1"/>
  <c r="M7874" i="1" s="1"/>
  <c r="L7875" i="1"/>
  <c r="M7875" i="1" s="1"/>
  <c r="L7876" i="1"/>
  <c r="M7876" i="1" s="1"/>
  <c r="L7877" i="1"/>
  <c r="M7877" i="1" s="1"/>
  <c r="L7878" i="1"/>
  <c r="M7878" i="1" s="1"/>
  <c r="L7879" i="1"/>
  <c r="M7879" i="1" s="1"/>
  <c r="L7880" i="1"/>
  <c r="M7880" i="1" s="1"/>
  <c r="L7881" i="1"/>
  <c r="M7881" i="1" s="1"/>
  <c r="L7882" i="1"/>
  <c r="M7882" i="1" s="1"/>
  <c r="L7883" i="1"/>
  <c r="M7883" i="1" s="1"/>
  <c r="L7884" i="1"/>
  <c r="M7884" i="1" s="1"/>
  <c r="L7885" i="1"/>
  <c r="M7885" i="1" s="1"/>
  <c r="L7886" i="1"/>
  <c r="M7886" i="1" s="1"/>
  <c r="L7887" i="1"/>
  <c r="M7887" i="1" s="1"/>
  <c r="L7888" i="1"/>
  <c r="M7888" i="1" s="1"/>
  <c r="L7889" i="1"/>
  <c r="M7889" i="1" s="1"/>
  <c r="L7890" i="1"/>
  <c r="M7890" i="1" s="1"/>
  <c r="L7891" i="1"/>
  <c r="M7891" i="1" s="1"/>
  <c r="L7892" i="1"/>
  <c r="M7892" i="1" s="1"/>
  <c r="L7893" i="1"/>
  <c r="M7893" i="1" s="1"/>
  <c r="L7894" i="1"/>
  <c r="M7894" i="1" s="1"/>
  <c r="L7895" i="1"/>
  <c r="M7895" i="1" s="1"/>
  <c r="L7896" i="1"/>
  <c r="M7896" i="1" s="1"/>
  <c r="L7897" i="1"/>
  <c r="M7897" i="1" s="1"/>
  <c r="L7898" i="1"/>
  <c r="M7898" i="1" s="1"/>
  <c r="L7899" i="1"/>
  <c r="M7899" i="1" s="1"/>
  <c r="L7900" i="1"/>
  <c r="M7900" i="1" s="1"/>
  <c r="L7901" i="1"/>
  <c r="M7901" i="1" s="1"/>
  <c r="L7902" i="1"/>
  <c r="M7902" i="1" s="1"/>
  <c r="L7903" i="1"/>
  <c r="M7903" i="1" s="1"/>
  <c r="L7904" i="1"/>
  <c r="M7904" i="1" s="1"/>
  <c r="L7905" i="1"/>
  <c r="M7905" i="1" s="1"/>
  <c r="L7906" i="1"/>
  <c r="M7906" i="1" s="1"/>
  <c r="L7907" i="1"/>
  <c r="M7907" i="1" s="1"/>
  <c r="L7908" i="1"/>
  <c r="M7908" i="1" s="1"/>
  <c r="L7909" i="1"/>
  <c r="M7909" i="1" s="1"/>
  <c r="L7910" i="1"/>
  <c r="M7910" i="1" s="1"/>
  <c r="L7911" i="1"/>
  <c r="M7911" i="1" s="1"/>
  <c r="L7912" i="1"/>
  <c r="M7912" i="1" s="1"/>
  <c r="L7913" i="1"/>
  <c r="M7913" i="1" s="1"/>
  <c r="L7914" i="1"/>
  <c r="M7914" i="1" s="1"/>
  <c r="L7915" i="1"/>
  <c r="M7915" i="1" s="1"/>
  <c r="L7916" i="1"/>
  <c r="M7916" i="1" s="1"/>
  <c r="L7917" i="1"/>
  <c r="M7917" i="1" s="1"/>
  <c r="L7918" i="1"/>
  <c r="M7918" i="1" s="1"/>
  <c r="L7919" i="1"/>
  <c r="M7919" i="1" s="1"/>
  <c r="L7920" i="1"/>
  <c r="M7920" i="1" s="1"/>
  <c r="L7921" i="1"/>
  <c r="M7921" i="1" s="1"/>
  <c r="L7922" i="1"/>
  <c r="M7922" i="1" s="1"/>
  <c r="L7923" i="1"/>
  <c r="M7923" i="1" s="1"/>
  <c r="L7924" i="1"/>
  <c r="M7924" i="1" s="1"/>
  <c r="L7925" i="1"/>
  <c r="M7925" i="1" s="1"/>
  <c r="L7926" i="1"/>
  <c r="M7926" i="1" s="1"/>
  <c r="L7927" i="1"/>
  <c r="M7927" i="1" s="1"/>
  <c r="L7928" i="1"/>
  <c r="M7928" i="1" s="1"/>
  <c r="L7929" i="1"/>
  <c r="M7929" i="1" s="1"/>
  <c r="L7930" i="1"/>
  <c r="M7930" i="1" s="1"/>
  <c r="L7931" i="1"/>
  <c r="M7931" i="1" s="1"/>
  <c r="L7932" i="1"/>
  <c r="M7932" i="1" s="1"/>
  <c r="L7933" i="1"/>
  <c r="M7933" i="1" s="1"/>
  <c r="L7934" i="1"/>
  <c r="M7934" i="1" s="1"/>
  <c r="L7935" i="1"/>
  <c r="M7935" i="1" s="1"/>
  <c r="L7936" i="1"/>
  <c r="M7936" i="1" s="1"/>
  <c r="L7937" i="1"/>
  <c r="M7937" i="1" s="1"/>
  <c r="L7938" i="1"/>
  <c r="M7938" i="1" s="1"/>
  <c r="L7939" i="1"/>
  <c r="M7939" i="1" s="1"/>
  <c r="L7940" i="1"/>
  <c r="M7940" i="1" s="1"/>
  <c r="L7941" i="1"/>
  <c r="M7941" i="1" s="1"/>
  <c r="L7942" i="1"/>
  <c r="M7942" i="1" s="1"/>
  <c r="L7943" i="1"/>
  <c r="M7943" i="1" s="1"/>
  <c r="L7944" i="1"/>
  <c r="M7944" i="1" s="1"/>
  <c r="L7945" i="1"/>
  <c r="M7945" i="1" s="1"/>
  <c r="L7946" i="1"/>
  <c r="M7946" i="1" s="1"/>
  <c r="L7947" i="1"/>
  <c r="M7947" i="1" s="1"/>
  <c r="L7948" i="1"/>
  <c r="M7948" i="1" s="1"/>
  <c r="L7949" i="1"/>
  <c r="M7949" i="1" s="1"/>
  <c r="L7950" i="1"/>
  <c r="M7950" i="1" s="1"/>
  <c r="L7951" i="1"/>
  <c r="M7951" i="1" s="1"/>
  <c r="L7952" i="1"/>
  <c r="M7952" i="1" s="1"/>
  <c r="L7953" i="1"/>
  <c r="M7953" i="1" s="1"/>
  <c r="L7954" i="1"/>
  <c r="M7954" i="1" s="1"/>
  <c r="L7955" i="1"/>
  <c r="M7955" i="1" s="1"/>
  <c r="L7956" i="1"/>
  <c r="M7956" i="1" s="1"/>
  <c r="L7957" i="1"/>
  <c r="M7957" i="1" s="1"/>
  <c r="L7958" i="1"/>
  <c r="M7958" i="1" s="1"/>
  <c r="L7959" i="1"/>
  <c r="M7959" i="1" s="1"/>
  <c r="L7960" i="1"/>
  <c r="M7960" i="1" s="1"/>
  <c r="L7961" i="1"/>
  <c r="M7961" i="1" s="1"/>
  <c r="L7962" i="1"/>
  <c r="M7962" i="1" s="1"/>
  <c r="L7963" i="1"/>
  <c r="M7963" i="1" s="1"/>
  <c r="L7964" i="1"/>
  <c r="M7964" i="1" s="1"/>
  <c r="L7965" i="1"/>
  <c r="M7965" i="1" s="1"/>
  <c r="L7966" i="1"/>
  <c r="M7966" i="1" s="1"/>
  <c r="L7967" i="1"/>
  <c r="M7967" i="1" s="1"/>
  <c r="L7968" i="1"/>
  <c r="M7968" i="1" s="1"/>
  <c r="L7969" i="1"/>
  <c r="M7969" i="1" s="1"/>
  <c r="L7970" i="1"/>
  <c r="M7970" i="1" s="1"/>
  <c r="L7971" i="1"/>
  <c r="M7971" i="1" s="1"/>
  <c r="L7972" i="1"/>
  <c r="M7972" i="1" s="1"/>
  <c r="L7973" i="1"/>
  <c r="M7973" i="1" s="1"/>
  <c r="L7974" i="1"/>
  <c r="M7974" i="1" s="1"/>
  <c r="L7975" i="1"/>
  <c r="M7975" i="1" s="1"/>
  <c r="L7976" i="1"/>
  <c r="M7976" i="1" s="1"/>
  <c r="L7977" i="1"/>
  <c r="M7977" i="1" s="1"/>
  <c r="L7978" i="1"/>
  <c r="M7978" i="1" s="1"/>
  <c r="L7979" i="1"/>
  <c r="M7979" i="1" s="1"/>
  <c r="L7980" i="1"/>
  <c r="M7980" i="1" s="1"/>
  <c r="L7981" i="1"/>
  <c r="M7981" i="1" s="1"/>
  <c r="L7982" i="1"/>
  <c r="M7982" i="1" s="1"/>
  <c r="L7983" i="1"/>
  <c r="M7983" i="1" s="1"/>
  <c r="L7984" i="1"/>
  <c r="M7984" i="1" s="1"/>
  <c r="L7985" i="1"/>
  <c r="M7985" i="1" s="1"/>
  <c r="L7986" i="1"/>
  <c r="M7986" i="1" s="1"/>
  <c r="L7987" i="1"/>
  <c r="M7987" i="1" s="1"/>
  <c r="L7988" i="1"/>
  <c r="M7988" i="1" s="1"/>
  <c r="L7989" i="1"/>
  <c r="M7989" i="1" s="1"/>
  <c r="L7990" i="1"/>
  <c r="M7990" i="1" s="1"/>
  <c r="L7991" i="1"/>
  <c r="M7991" i="1" s="1"/>
  <c r="L7992" i="1"/>
  <c r="M7992" i="1" s="1"/>
  <c r="L7993" i="1"/>
  <c r="M7993" i="1" s="1"/>
  <c r="L7994" i="1"/>
  <c r="M7994" i="1" s="1"/>
  <c r="L7995" i="1"/>
  <c r="M7995" i="1" s="1"/>
  <c r="L7996" i="1"/>
  <c r="M7996" i="1" s="1"/>
  <c r="L7997" i="1"/>
  <c r="M7997" i="1" s="1"/>
  <c r="L7998" i="1"/>
  <c r="M7998" i="1" s="1"/>
  <c r="L7999" i="1"/>
  <c r="M7999" i="1" s="1"/>
  <c r="L8000" i="1"/>
  <c r="M8000" i="1" s="1"/>
  <c r="L8001" i="1"/>
  <c r="M8001" i="1" s="1"/>
  <c r="L8002" i="1"/>
  <c r="M8002" i="1" s="1"/>
  <c r="L8003" i="1"/>
  <c r="M8003" i="1" s="1"/>
  <c r="L8004" i="1"/>
  <c r="M8004" i="1" s="1"/>
  <c r="L8005" i="1"/>
  <c r="M8005" i="1" s="1"/>
  <c r="L8006" i="1"/>
  <c r="M8006" i="1" s="1"/>
  <c r="L8007" i="1"/>
  <c r="M8007" i="1" s="1"/>
  <c r="L8008" i="1"/>
  <c r="M8008" i="1" s="1"/>
  <c r="L8009" i="1"/>
  <c r="M8009" i="1" s="1"/>
  <c r="L8010" i="1"/>
  <c r="M8010" i="1" s="1"/>
  <c r="L8011" i="1"/>
  <c r="M8011" i="1" s="1"/>
  <c r="L8012" i="1"/>
  <c r="M8012" i="1" s="1"/>
  <c r="L8013" i="1"/>
  <c r="M8013" i="1" s="1"/>
  <c r="L8014" i="1"/>
  <c r="M8014" i="1" s="1"/>
  <c r="L8015" i="1"/>
  <c r="M8015" i="1" s="1"/>
  <c r="L8016" i="1"/>
  <c r="M8016" i="1" s="1"/>
  <c r="L8017" i="1"/>
  <c r="M8017" i="1" s="1"/>
  <c r="L8018" i="1"/>
  <c r="M8018" i="1" s="1"/>
  <c r="L8019" i="1"/>
  <c r="M8019" i="1" s="1"/>
  <c r="L8020" i="1"/>
  <c r="M8020" i="1" s="1"/>
  <c r="L8021" i="1"/>
  <c r="M8021" i="1" s="1"/>
  <c r="L8022" i="1"/>
  <c r="M8022" i="1" s="1"/>
  <c r="L8023" i="1"/>
  <c r="M8023" i="1" s="1"/>
  <c r="L8024" i="1"/>
  <c r="M8024" i="1" s="1"/>
  <c r="L8025" i="1"/>
  <c r="M8025" i="1" s="1"/>
  <c r="L8026" i="1"/>
  <c r="M8026" i="1" s="1"/>
  <c r="L8027" i="1"/>
  <c r="M8027" i="1" s="1"/>
  <c r="L8028" i="1"/>
  <c r="M8028" i="1" s="1"/>
  <c r="L8029" i="1"/>
  <c r="M8029" i="1" s="1"/>
  <c r="L8030" i="1"/>
  <c r="M8030" i="1" s="1"/>
  <c r="L8031" i="1"/>
  <c r="M8031" i="1" s="1"/>
  <c r="L8032" i="1"/>
  <c r="M8032" i="1" s="1"/>
  <c r="L8033" i="1"/>
  <c r="M8033" i="1" s="1"/>
  <c r="L8034" i="1"/>
  <c r="M8034" i="1" s="1"/>
  <c r="L8035" i="1"/>
  <c r="M8035" i="1" s="1"/>
  <c r="L8036" i="1"/>
  <c r="M8036" i="1" s="1"/>
  <c r="L8037" i="1"/>
  <c r="M8037" i="1" s="1"/>
  <c r="L8038" i="1"/>
  <c r="M8038" i="1" s="1"/>
  <c r="L8039" i="1"/>
  <c r="M8039" i="1" s="1"/>
  <c r="L8040" i="1"/>
  <c r="M8040" i="1" s="1"/>
  <c r="L8041" i="1"/>
  <c r="M8041" i="1" s="1"/>
  <c r="L8042" i="1"/>
  <c r="M8042" i="1" s="1"/>
  <c r="L8043" i="1"/>
  <c r="M8043" i="1" s="1"/>
  <c r="L8044" i="1"/>
  <c r="M8044" i="1" s="1"/>
  <c r="L8045" i="1"/>
  <c r="M8045" i="1" s="1"/>
  <c r="L8046" i="1"/>
  <c r="M8046" i="1" s="1"/>
  <c r="L8047" i="1"/>
  <c r="M8047" i="1" s="1"/>
  <c r="L8048" i="1"/>
  <c r="M8048" i="1" s="1"/>
  <c r="L8049" i="1"/>
  <c r="M8049" i="1" s="1"/>
  <c r="L8050" i="1"/>
  <c r="M8050" i="1" s="1"/>
  <c r="L8051" i="1"/>
  <c r="M8051" i="1" s="1"/>
  <c r="L8052" i="1"/>
  <c r="M8052" i="1" s="1"/>
  <c r="L8053" i="1"/>
  <c r="M8053" i="1" s="1"/>
  <c r="L8054" i="1"/>
  <c r="M8054" i="1" s="1"/>
  <c r="L8055" i="1"/>
  <c r="M8055" i="1" s="1"/>
  <c r="L8056" i="1"/>
  <c r="M8056" i="1" s="1"/>
  <c r="L8057" i="1"/>
  <c r="M8057" i="1" s="1"/>
  <c r="L8058" i="1"/>
  <c r="M8058" i="1" s="1"/>
  <c r="L8059" i="1"/>
  <c r="M8059" i="1" s="1"/>
  <c r="L8060" i="1"/>
  <c r="M8060" i="1" s="1"/>
  <c r="L8061" i="1"/>
  <c r="M8061" i="1" s="1"/>
  <c r="L8062" i="1"/>
  <c r="M8062" i="1" s="1"/>
  <c r="L8063" i="1"/>
  <c r="M8063" i="1" s="1"/>
  <c r="L8064" i="1"/>
  <c r="M8064" i="1" s="1"/>
  <c r="L8065" i="1"/>
  <c r="M8065" i="1" s="1"/>
  <c r="L8066" i="1"/>
  <c r="M8066" i="1" s="1"/>
  <c r="L8067" i="1"/>
  <c r="M8067" i="1" s="1"/>
  <c r="L8068" i="1"/>
  <c r="M8068" i="1" s="1"/>
  <c r="L8069" i="1"/>
  <c r="M8069" i="1" s="1"/>
  <c r="L8070" i="1"/>
  <c r="M8070" i="1" s="1"/>
  <c r="L8071" i="1"/>
  <c r="M8071" i="1" s="1"/>
  <c r="L8072" i="1"/>
  <c r="M8072" i="1" s="1"/>
  <c r="L8073" i="1"/>
  <c r="M8073" i="1" s="1"/>
  <c r="L8074" i="1"/>
  <c r="M8074" i="1" s="1"/>
  <c r="L8075" i="1"/>
  <c r="M8075" i="1" s="1"/>
  <c r="L8076" i="1"/>
  <c r="M8076" i="1" s="1"/>
  <c r="L8077" i="1"/>
  <c r="M8077" i="1" s="1"/>
  <c r="L8078" i="1"/>
  <c r="M8078" i="1" s="1"/>
  <c r="L8079" i="1"/>
  <c r="M8079" i="1" s="1"/>
  <c r="L8080" i="1"/>
  <c r="M8080" i="1" s="1"/>
  <c r="L8081" i="1"/>
  <c r="M8081" i="1" s="1"/>
  <c r="L8082" i="1"/>
  <c r="M8082" i="1" s="1"/>
  <c r="L8083" i="1"/>
  <c r="M8083" i="1" s="1"/>
  <c r="L8084" i="1"/>
  <c r="M8084" i="1" s="1"/>
  <c r="L8085" i="1"/>
  <c r="M8085" i="1" s="1"/>
  <c r="L8086" i="1"/>
  <c r="M8086" i="1" s="1"/>
  <c r="L8087" i="1"/>
  <c r="M8087" i="1" s="1"/>
  <c r="L8088" i="1"/>
  <c r="M8088" i="1" s="1"/>
  <c r="L8089" i="1"/>
  <c r="M8089" i="1" s="1"/>
  <c r="L8090" i="1"/>
  <c r="M8090" i="1" s="1"/>
  <c r="L8091" i="1"/>
  <c r="M8091" i="1" s="1"/>
  <c r="L8092" i="1"/>
  <c r="M8092" i="1" s="1"/>
  <c r="L8093" i="1"/>
  <c r="M8093" i="1" s="1"/>
  <c r="L8094" i="1"/>
  <c r="M8094" i="1" s="1"/>
  <c r="L8095" i="1"/>
  <c r="M8095" i="1" s="1"/>
  <c r="L8096" i="1"/>
  <c r="M8096" i="1" s="1"/>
  <c r="L8097" i="1"/>
  <c r="M8097" i="1" s="1"/>
  <c r="L8098" i="1"/>
  <c r="M8098" i="1" s="1"/>
  <c r="L8099" i="1"/>
  <c r="M8099" i="1" s="1"/>
  <c r="L8100" i="1"/>
  <c r="M8100" i="1" s="1"/>
  <c r="L8101" i="1"/>
  <c r="M8101" i="1" s="1"/>
  <c r="L8102" i="1"/>
  <c r="M8102" i="1" s="1"/>
  <c r="L8103" i="1"/>
  <c r="M8103" i="1" s="1"/>
  <c r="L8104" i="1"/>
  <c r="M8104" i="1" s="1"/>
  <c r="L8105" i="1"/>
  <c r="M8105" i="1" s="1"/>
  <c r="L8106" i="1"/>
  <c r="M8106" i="1" s="1"/>
  <c r="L8107" i="1"/>
  <c r="M8107" i="1" s="1"/>
  <c r="L8108" i="1"/>
  <c r="M8108" i="1" s="1"/>
  <c r="L8109" i="1"/>
  <c r="M8109" i="1" s="1"/>
  <c r="L8110" i="1"/>
  <c r="M8110" i="1" s="1"/>
  <c r="L8111" i="1"/>
  <c r="M8111" i="1" s="1"/>
  <c r="L8112" i="1"/>
  <c r="M8112" i="1" s="1"/>
  <c r="L8113" i="1"/>
  <c r="M8113" i="1" s="1"/>
  <c r="L8114" i="1"/>
  <c r="M8114" i="1" s="1"/>
  <c r="L8115" i="1"/>
  <c r="M8115" i="1" s="1"/>
  <c r="L8116" i="1"/>
  <c r="M8116" i="1" s="1"/>
  <c r="L8117" i="1"/>
  <c r="M8117" i="1" s="1"/>
  <c r="L8118" i="1"/>
  <c r="M8118" i="1" s="1"/>
  <c r="L8119" i="1"/>
  <c r="M8119" i="1" s="1"/>
  <c r="L8120" i="1"/>
  <c r="M8120" i="1" s="1"/>
  <c r="L8121" i="1"/>
  <c r="M8121" i="1" s="1"/>
  <c r="L8122" i="1"/>
  <c r="M8122" i="1" s="1"/>
  <c r="L8123" i="1"/>
  <c r="M8123" i="1" s="1"/>
  <c r="L8124" i="1"/>
  <c r="M8124" i="1" s="1"/>
  <c r="L8125" i="1"/>
  <c r="M8125" i="1" s="1"/>
  <c r="L8126" i="1"/>
  <c r="M8126" i="1" s="1"/>
  <c r="L8127" i="1"/>
  <c r="M8127" i="1" s="1"/>
  <c r="L8128" i="1"/>
  <c r="M8128" i="1" s="1"/>
  <c r="L8129" i="1"/>
  <c r="M8129" i="1" s="1"/>
  <c r="L8130" i="1"/>
  <c r="M8130" i="1" s="1"/>
  <c r="L8131" i="1"/>
  <c r="M8131" i="1" s="1"/>
  <c r="L8132" i="1"/>
  <c r="M8132" i="1" s="1"/>
  <c r="L8133" i="1"/>
  <c r="M8133" i="1" s="1"/>
  <c r="L8134" i="1"/>
  <c r="M8134" i="1" s="1"/>
  <c r="L8135" i="1"/>
  <c r="M8135" i="1" s="1"/>
  <c r="L8136" i="1"/>
  <c r="M8136" i="1" s="1"/>
  <c r="L8137" i="1"/>
  <c r="M8137" i="1" s="1"/>
  <c r="L8138" i="1"/>
  <c r="M8138" i="1" s="1"/>
  <c r="L8139" i="1"/>
  <c r="M8139" i="1" s="1"/>
  <c r="L8140" i="1"/>
  <c r="M8140" i="1" s="1"/>
  <c r="L8141" i="1"/>
  <c r="M8141" i="1" s="1"/>
  <c r="L8142" i="1"/>
  <c r="M8142" i="1" s="1"/>
  <c r="L8143" i="1"/>
  <c r="M8143" i="1" s="1"/>
  <c r="L8144" i="1"/>
  <c r="M8144" i="1" s="1"/>
  <c r="L8145" i="1"/>
  <c r="M8145" i="1" s="1"/>
  <c r="L8146" i="1"/>
  <c r="M8146" i="1" s="1"/>
  <c r="L8147" i="1"/>
  <c r="M8147" i="1" s="1"/>
  <c r="L8148" i="1"/>
  <c r="M8148" i="1" s="1"/>
  <c r="L8149" i="1"/>
  <c r="M8149" i="1" s="1"/>
  <c r="L8150" i="1"/>
  <c r="M8150" i="1" s="1"/>
  <c r="L8151" i="1"/>
  <c r="M8151" i="1" s="1"/>
  <c r="L8152" i="1"/>
  <c r="M8152" i="1" s="1"/>
  <c r="L8153" i="1"/>
  <c r="M8153" i="1" s="1"/>
  <c r="L8154" i="1"/>
  <c r="M8154" i="1" s="1"/>
  <c r="L8155" i="1"/>
  <c r="M8155" i="1" s="1"/>
  <c r="L8156" i="1"/>
  <c r="M8156" i="1" s="1"/>
  <c r="L8157" i="1"/>
  <c r="M8157" i="1" s="1"/>
  <c r="L8158" i="1"/>
  <c r="M8158" i="1" s="1"/>
  <c r="L8159" i="1"/>
  <c r="M8159" i="1" s="1"/>
  <c r="L8160" i="1"/>
  <c r="M8160" i="1" s="1"/>
  <c r="L8161" i="1"/>
  <c r="M8161" i="1" s="1"/>
  <c r="L8162" i="1"/>
  <c r="M8162" i="1" s="1"/>
  <c r="L8163" i="1"/>
  <c r="M8163" i="1" s="1"/>
  <c r="L8164" i="1"/>
  <c r="M8164" i="1" s="1"/>
  <c r="L8165" i="1"/>
  <c r="M8165" i="1" s="1"/>
  <c r="L8166" i="1"/>
  <c r="M8166" i="1" s="1"/>
  <c r="L8167" i="1"/>
  <c r="M8167" i="1" s="1"/>
  <c r="L8168" i="1"/>
  <c r="M8168" i="1" s="1"/>
  <c r="L8169" i="1"/>
  <c r="M8169" i="1" s="1"/>
  <c r="L8170" i="1"/>
  <c r="M8170" i="1" s="1"/>
  <c r="L8171" i="1"/>
  <c r="M8171" i="1" s="1"/>
  <c r="L8172" i="1"/>
  <c r="M8172" i="1" s="1"/>
  <c r="L8173" i="1"/>
  <c r="M8173" i="1" s="1"/>
  <c r="L8174" i="1"/>
  <c r="M8174" i="1" s="1"/>
  <c r="L8175" i="1"/>
  <c r="M8175" i="1" s="1"/>
  <c r="L8176" i="1"/>
  <c r="M8176" i="1" s="1"/>
  <c r="L8177" i="1"/>
  <c r="M8177" i="1" s="1"/>
  <c r="L8178" i="1"/>
  <c r="M8178" i="1" s="1"/>
  <c r="L8179" i="1"/>
  <c r="M8179" i="1" s="1"/>
  <c r="L8180" i="1"/>
  <c r="M8180" i="1" s="1"/>
  <c r="L8181" i="1"/>
  <c r="M8181" i="1" s="1"/>
  <c r="L8182" i="1"/>
  <c r="M8182" i="1" s="1"/>
  <c r="L8183" i="1"/>
  <c r="M8183" i="1" s="1"/>
  <c r="L8184" i="1"/>
  <c r="M8184" i="1" s="1"/>
  <c r="L8185" i="1"/>
  <c r="M8185" i="1" s="1"/>
  <c r="L8186" i="1"/>
  <c r="M8186" i="1" s="1"/>
  <c r="L8187" i="1"/>
  <c r="M8187" i="1" s="1"/>
  <c r="L8188" i="1"/>
  <c r="M8188" i="1" s="1"/>
  <c r="L8189" i="1"/>
  <c r="M8189" i="1" s="1"/>
  <c r="L8190" i="1"/>
  <c r="M8190" i="1" s="1"/>
  <c r="L8191" i="1"/>
  <c r="M8191" i="1" s="1"/>
  <c r="L8192" i="1"/>
  <c r="M8192" i="1" s="1"/>
  <c r="L8193" i="1"/>
  <c r="M8193" i="1" s="1"/>
  <c r="L8194" i="1"/>
  <c r="M8194" i="1" s="1"/>
  <c r="L8195" i="1"/>
  <c r="M8195" i="1" s="1"/>
  <c r="L8196" i="1"/>
  <c r="M8196" i="1" s="1"/>
  <c r="L8197" i="1"/>
  <c r="M8197" i="1" s="1"/>
  <c r="L8198" i="1"/>
  <c r="M8198" i="1" s="1"/>
  <c r="L8199" i="1"/>
  <c r="M8199" i="1" s="1"/>
  <c r="L8200" i="1"/>
  <c r="M8200" i="1" s="1"/>
  <c r="L8201" i="1"/>
  <c r="M8201" i="1" s="1"/>
  <c r="L8202" i="1"/>
  <c r="M8202" i="1" s="1"/>
  <c r="L8203" i="1"/>
  <c r="M8203" i="1" s="1"/>
  <c r="L8204" i="1"/>
  <c r="M8204" i="1" s="1"/>
  <c r="L8205" i="1"/>
  <c r="M8205" i="1" s="1"/>
  <c r="L8206" i="1"/>
  <c r="M8206" i="1" s="1"/>
  <c r="L8207" i="1"/>
  <c r="M8207" i="1" s="1"/>
  <c r="L8208" i="1"/>
  <c r="M8208" i="1" s="1"/>
  <c r="L8209" i="1"/>
  <c r="M8209" i="1" s="1"/>
  <c r="L8210" i="1"/>
  <c r="M8210" i="1" s="1"/>
  <c r="L8211" i="1"/>
  <c r="M8211" i="1" s="1"/>
  <c r="L8212" i="1"/>
  <c r="M8212" i="1" s="1"/>
  <c r="L8213" i="1"/>
  <c r="M8213" i="1" s="1"/>
  <c r="L8214" i="1"/>
  <c r="M8214" i="1" s="1"/>
  <c r="L8215" i="1"/>
  <c r="M8215" i="1" s="1"/>
  <c r="L8216" i="1"/>
  <c r="M8216" i="1" s="1"/>
  <c r="L8217" i="1"/>
  <c r="M8217" i="1" s="1"/>
  <c r="L8218" i="1"/>
  <c r="M8218" i="1" s="1"/>
  <c r="L8219" i="1"/>
  <c r="M8219" i="1" s="1"/>
  <c r="L8220" i="1"/>
  <c r="M8220" i="1" s="1"/>
  <c r="L8221" i="1"/>
  <c r="M8221" i="1" s="1"/>
  <c r="L8222" i="1"/>
  <c r="M8222" i="1" s="1"/>
  <c r="L8223" i="1"/>
  <c r="M8223" i="1" s="1"/>
  <c r="L8224" i="1"/>
  <c r="M8224" i="1" s="1"/>
  <c r="L8225" i="1"/>
  <c r="M8225" i="1" s="1"/>
  <c r="L8226" i="1"/>
  <c r="M8226" i="1" s="1"/>
  <c r="L8227" i="1"/>
  <c r="M8227" i="1" s="1"/>
  <c r="L8228" i="1"/>
  <c r="M8228" i="1" s="1"/>
  <c r="L8229" i="1"/>
  <c r="M8229" i="1" s="1"/>
  <c r="L8230" i="1"/>
  <c r="M8230" i="1" s="1"/>
  <c r="L8231" i="1"/>
  <c r="M8231" i="1" s="1"/>
  <c r="L8232" i="1"/>
  <c r="M8232" i="1" s="1"/>
  <c r="L8233" i="1"/>
  <c r="M8233" i="1" s="1"/>
  <c r="L8234" i="1"/>
  <c r="M8234" i="1" s="1"/>
  <c r="L8235" i="1"/>
  <c r="M8235" i="1" s="1"/>
  <c r="L8236" i="1"/>
  <c r="M8236" i="1" s="1"/>
  <c r="L8237" i="1"/>
  <c r="M8237" i="1" s="1"/>
  <c r="L8238" i="1"/>
  <c r="M8238" i="1" s="1"/>
  <c r="L8239" i="1"/>
  <c r="M8239" i="1" s="1"/>
  <c r="L8240" i="1"/>
  <c r="M8240" i="1" s="1"/>
  <c r="L8241" i="1"/>
  <c r="M8241" i="1" s="1"/>
  <c r="L8242" i="1"/>
  <c r="M8242" i="1" s="1"/>
  <c r="L8243" i="1"/>
  <c r="M8243" i="1" s="1"/>
  <c r="L8244" i="1"/>
  <c r="M8244" i="1" s="1"/>
  <c r="L8245" i="1"/>
  <c r="M8245" i="1" s="1"/>
  <c r="L8246" i="1"/>
  <c r="M8246" i="1" s="1"/>
  <c r="L8247" i="1"/>
  <c r="M8247" i="1" s="1"/>
  <c r="L8248" i="1"/>
  <c r="M8248" i="1" s="1"/>
  <c r="L8249" i="1"/>
  <c r="M8249" i="1" s="1"/>
  <c r="L8250" i="1"/>
  <c r="M8250" i="1" s="1"/>
  <c r="L8251" i="1"/>
  <c r="M8251" i="1" s="1"/>
  <c r="L8252" i="1"/>
  <c r="M8252" i="1" s="1"/>
  <c r="L8253" i="1"/>
  <c r="M8253" i="1" s="1"/>
  <c r="L8254" i="1"/>
  <c r="M8254" i="1" s="1"/>
  <c r="L8255" i="1"/>
  <c r="M8255" i="1" s="1"/>
  <c r="L8256" i="1"/>
  <c r="M8256" i="1" s="1"/>
  <c r="L8257" i="1"/>
  <c r="M8257" i="1" s="1"/>
  <c r="L8258" i="1"/>
  <c r="M8258" i="1" s="1"/>
  <c r="L8259" i="1"/>
  <c r="M8259" i="1" s="1"/>
  <c r="L8260" i="1"/>
  <c r="M8260" i="1" s="1"/>
  <c r="L8261" i="1"/>
  <c r="M8261" i="1" s="1"/>
  <c r="L8262" i="1"/>
  <c r="M8262" i="1" s="1"/>
  <c r="L8263" i="1"/>
  <c r="M8263" i="1" s="1"/>
  <c r="L8264" i="1"/>
  <c r="M8264" i="1" s="1"/>
  <c r="L8265" i="1"/>
  <c r="M8265" i="1" s="1"/>
  <c r="L8266" i="1"/>
  <c r="M8266" i="1" s="1"/>
  <c r="L8267" i="1"/>
  <c r="M8267" i="1" s="1"/>
  <c r="L8268" i="1"/>
  <c r="M8268" i="1" s="1"/>
  <c r="L8269" i="1"/>
  <c r="M8269" i="1" s="1"/>
  <c r="L8270" i="1"/>
  <c r="M8270" i="1" s="1"/>
  <c r="L8271" i="1"/>
  <c r="M8271" i="1" s="1"/>
  <c r="L8272" i="1"/>
  <c r="M8272" i="1" s="1"/>
  <c r="L8273" i="1"/>
  <c r="M8273" i="1" s="1"/>
  <c r="L8274" i="1"/>
  <c r="M8274" i="1" s="1"/>
  <c r="L8275" i="1"/>
  <c r="M8275" i="1" s="1"/>
  <c r="L8276" i="1"/>
  <c r="M8276" i="1" s="1"/>
  <c r="L8277" i="1"/>
  <c r="M8277" i="1" s="1"/>
  <c r="L8278" i="1"/>
  <c r="M8278" i="1" s="1"/>
  <c r="L8279" i="1"/>
  <c r="M8279" i="1" s="1"/>
  <c r="L8280" i="1"/>
  <c r="M8280" i="1" s="1"/>
  <c r="L8281" i="1"/>
  <c r="M8281" i="1" s="1"/>
  <c r="L8282" i="1"/>
  <c r="M8282" i="1" s="1"/>
  <c r="L8283" i="1"/>
  <c r="M8283" i="1" s="1"/>
  <c r="L8284" i="1"/>
  <c r="M8284" i="1" s="1"/>
  <c r="L8285" i="1"/>
  <c r="M8285" i="1" s="1"/>
  <c r="L8286" i="1"/>
  <c r="M8286" i="1" s="1"/>
  <c r="L8287" i="1"/>
  <c r="M8287" i="1" s="1"/>
  <c r="L8288" i="1"/>
  <c r="M8288" i="1" s="1"/>
  <c r="L8289" i="1"/>
  <c r="M8289" i="1" s="1"/>
  <c r="L8290" i="1"/>
  <c r="M8290" i="1" s="1"/>
  <c r="L8291" i="1"/>
  <c r="M8291" i="1" s="1"/>
  <c r="L8292" i="1"/>
  <c r="M8292" i="1" s="1"/>
  <c r="L8293" i="1"/>
  <c r="M8293" i="1" s="1"/>
  <c r="L8294" i="1"/>
  <c r="M8294" i="1" s="1"/>
  <c r="L8295" i="1"/>
  <c r="M8295" i="1" s="1"/>
  <c r="L8296" i="1"/>
  <c r="M8296" i="1" s="1"/>
  <c r="L8297" i="1"/>
  <c r="M8297" i="1" s="1"/>
  <c r="L8298" i="1"/>
  <c r="M8298" i="1" s="1"/>
  <c r="L8299" i="1"/>
  <c r="M8299" i="1" s="1"/>
  <c r="L8300" i="1"/>
  <c r="M8300" i="1" s="1"/>
  <c r="L8301" i="1"/>
  <c r="M8301" i="1" s="1"/>
  <c r="L2" i="1"/>
  <c r="M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5687E6-6F41-40DE-B4EB-8894E1779D6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<sst xmlns="http://schemas.openxmlformats.org/spreadsheetml/2006/main" count="19909" uniqueCount="331">
  <si>
    <t>Sample ID</t>
  </si>
  <si>
    <t>Location</t>
  </si>
  <si>
    <t>Sample Date</t>
  </si>
  <si>
    <t>Common Name</t>
  </si>
  <si>
    <t>Genus</t>
  </si>
  <si>
    <t>Species</t>
  </si>
  <si>
    <t>Sex</t>
  </si>
  <si>
    <t>Tissue</t>
  </si>
  <si>
    <t>Length</t>
  </si>
  <si>
    <t>log_Length</t>
  </si>
  <si>
    <t>Weight</t>
  </si>
  <si>
    <t>log_Weight</t>
  </si>
  <si>
    <t>PFBA</t>
  </si>
  <si>
    <t>PFPeA</t>
  </si>
  <si>
    <t>PFHxA</t>
  </si>
  <si>
    <t>PFHpA</t>
  </si>
  <si>
    <t>PFOA</t>
  </si>
  <si>
    <t>PFNA</t>
  </si>
  <si>
    <t>PFDA</t>
  </si>
  <si>
    <t>PFUnA</t>
  </si>
  <si>
    <t>PFDoA</t>
  </si>
  <si>
    <t>PFTrDA</t>
  </si>
  <si>
    <t>PFTeDA</t>
  </si>
  <si>
    <t>PFHxDA</t>
  </si>
  <si>
    <t>PFPrS</t>
  </si>
  <si>
    <t>PFBS</t>
  </si>
  <si>
    <t>PFPeS</t>
  </si>
  <si>
    <t>PFHxS</t>
  </si>
  <si>
    <t>PFHpS</t>
  </si>
  <si>
    <t>PFOS</t>
  </si>
  <si>
    <t>PFNS</t>
  </si>
  <si>
    <t>PFDS</t>
  </si>
  <si>
    <t>PFDoS</t>
  </si>
  <si>
    <t>Cl-PFOS</t>
  </si>
  <si>
    <t>PFEtCHxS</t>
  </si>
  <si>
    <t>FBSA</t>
  </si>
  <si>
    <t>FHxSA</t>
  </si>
  <si>
    <t>FOSA</t>
  </si>
  <si>
    <t>N-MeFOSA</t>
  </si>
  <si>
    <t>N-EtFOSA</t>
  </si>
  <si>
    <t>FOSAA</t>
  </si>
  <si>
    <t>N-MeFOSAA</t>
  </si>
  <si>
    <t>N-EtFOSAA</t>
  </si>
  <si>
    <t>4:2 FTS</t>
  </si>
  <si>
    <t>6:2 FTS</t>
  </si>
  <si>
    <t>8:2 FTS</t>
  </si>
  <si>
    <t>10:2 FTS</t>
  </si>
  <si>
    <t>3:3 FTCA</t>
  </si>
  <si>
    <t>5:3 FTCA</t>
  </si>
  <si>
    <t>7:3 FTCA</t>
  </si>
  <si>
    <t>6:2 FTCA</t>
  </si>
  <si>
    <t>8:2 FTCA</t>
  </si>
  <si>
    <t>10:2 FTCA</t>
  </si>
  <si>
    <t>6:2 FTUCA</t>
  </si>
  <si>
    <t>8:2 FTUCA</t>
  </si>
  <si>
    <t>ADONA</t>
  </si>
  <si>
    <t>9Cl-PF3ONS</t>
  </si>
  <si>
    <t>11Cl-PF3OUdS</t>
  </si>
  <si>
    <t>HFPO-DA</t>
  </si>
  <si>
    <t>6:2 diPAP</t>
  </si>
  <si>
    <t>8:2 diPAP</t>
  </si>
  <si>
    <t>diSAmPAP</t>
  </si>
  <si>
    <t>SumPFAS</t>
  </si>
  <si>
    <t>log_PFBA</t>
  </si>
  <si>
    <t>log_PFPeA</t>
  </si>
  <si>
    <t>log_PFHxA</t>
  </si>
  <si>
    <t>log_PFHpA</t>
  </si>
  <si>
    <t>log_PFOA</t>
  </si>
  <si>
    <t>log_PFNA</t>
  </si>
  <si>
    <t>log_PFDA</t>
  </si>
  <si>
    <t>log_PFUnA</t>
  </si>
  <si>
    <t>log_PFDoA</t>
  </si>
  <si>
    <t>log_PFTrDA</t>
  </si>
  <si>
    <t>log_PFTeDA</t>
  </si>
  <si>
    <t>log_PFHxDA</t>
  </si>
  <si>
    <t>log_PFPrS</t>
  </si>
  <si>
    <t>log_PFBS</t>
  </si>
  <si>
    <t>log_PFPeS</t>
  </si>
  <si>
    <t>log_PFHxS</t>
  </si>
  <si>
    <t>log_PFHpS</t>
  </si>
  <si>
    <t>log_PFOS</t>
  </si>
  <si>
    <t>log_PFNS</t>
  </si>
  <si>
    <t>log_PFDS</t>
  </si>
  <si>
    <t>log_PFDoS</t>
  </si>
  <si>
    <t>log_Cl-PFOS</t>
  </si>
  <si>
    <t>log_PFEtCHxS</t>
  </si>
  <si>
    <t>log_FBSA</t>
  </si>
  <si>
    <t>log_FHxSA</t>
  </si>
  <si>
    <t>log_FOSA</t>
  </si>
  <si>
    <t>log_N-MeFOSA</t>
  </si>
  <si>
    <t>log_N-EtFOSA</t>
  </si>
  <si>
    <t>log_FOSAA</t>
  </si>
  <si>
    <t>log_N-MeFOSAA</t>
  </si>
  <si>
    <t>log_N-EtFOSAA</t>
  </si>
  <si>
    <t>log_4:2 FTS</t>
  </si>
  <si>
    <t>log_6:2 FTS</t>
  </si>
  <si>
    <t>log_8:2 FTS</t>
  </si>
  <si>
    <t>log_10:2 FTS</t>
  </si>
  <si>
    <t>log_3:3 FTCA</t>
  </si>
  <si>
    <t>log_5:3 FTCA</t>
  </si>
  <si>
    <t>log_7:3 FTCA</t>
  </si>
  <si>
    <t>log_6:2 FTCA</t>
  </si>
  <si>
    <t>log_8:2 FTCA</t>
  </si>
  <si>
    <t>log_10:2 FTCA</t>
  </si>
  <si>
    <t>log_6:2 FTUCA</t>
  </si>
  <si>
    <t>log_8:2 FTUCA</t>
  </si>
  <si>
    <t>log_ADONA</t>
  </si>
  <si>
    <t>log_9Cl-PF3ONS</t>
  </si>
  <si>
    <t>log_11Cl-PF3OUdS</t>
  </si>
  <si>
    <t>log_HFPO-DA</t>
  </si>
  <si>
    <t>log_6:2 diPAP</t>
  </si>
  <si>
    <t>log_8:2 diPAP</t>
  </si>
  <si>
    <t>log_diSAmPAP</t>
  </si>
  <si>
    <t>BK001-JBA-08132021</t>
  </si>
  <si>
    <t>Spill</t>
  </si>
  <si>
    <t>Banded Killifish</t>
  </si>
  <si>
    <t>Fundulus</t>
  </si>
  <si>
    <t>diaphanus</t>
  </si>
  <si>
    <t>U</t>
  </si>
  <si>
    <t>Whole Body</t>
  </si>
  <si>
    <t>BRS001-JBA-08132021</t>
  </si>
  <si>
    <t>Down</t>
  </si>
  <si>
    <t>Darter sp.</t>
  </si>
  <si>
    <t>Etheostoma</t>
  </si>
  <si>
    <t>fusiforme</t>
  </si>
  <si>
    <t>BRS002-JBA-08132021</t>
  </si>
  <si>
    <t>BRS003-JBA-08132021</t>
  </si>
  <si>
    <t>BRS004-JBA-08132021</t>
  </si>
  <si>
    <t>BRS005-JBA-08132021</t>
  </si>
  <si>
    <t>BRS006-JBA-08132021</t>
  </si>
  <si>
    <t>CC001-JBA-08132021</t>
  </si>
  <si>
    <t>Dace. Sp</t>
  </si>
  <si>
    <t>Clinostomus</t>
  </si>
  <si>
    <t>funduloides</t>
  </si>
  <si>
    <t>CC002-JBA-08132021</t>
  </si>
  <si>
    <t>CC003-JBA-08132021</t>
  </si>
  <si>
    <t>CC004-JBA-08132021</t>
  </si>
  <si>
    <t>CC005-JBA-08132021</t>
  </si>
  <si>
    <t>CC007-JBA-08132021</t>
  </si>
  <si>
    <t>Creek Chubsucker</t>
  </si>
  <si>
    <t>Erimyzon</t>
  </si>
  <si>
    <t>oblongus</t>
  </si>
  <si>
    <t>CC008-JBA-08162021</t>
  </si>
  <si>
    <t>CC009-JBA-08162021</t>
  </si>
  <si>
    <t>CC010-JBA-08162021</t>
  </si>
  <si>
    <t>Rhinichthys</t>
  </si>
  <si>
    <t>atratulus</t>
  </si>
  <si>
    <t>CC011-JBA-08162021</t>
  </si>
  <si>
    <t>CC012-JBA-08162021</t>
  </si>
  <si>
    <t>CC013-JBA-08162021</t>
  </si>
  <si>
    <t>CC014-JBA-08162021</t>
  </si>
  <si>
    <t>CC015-JBA-08162021</t>
  </si>
  <si>
    <t>CC016-JBA-08162021</t>
  </si>
  <si>
    <t>CC017-JBA-08162021</t>
  </si>
  <si>
    <t>CCS001-JBA-08162021</t>
  </si>
  <si>
    <t>CCS002-JBA-08162021</t>
  </si>
  <si>
    <t>CS001-JBA-08132021</t>
  </si>
  <si>
    <t>olmstedi</t>
  </si>
  <si>
    <t>CS002-JBA-08132021</t>
  </si>
  <si>
    <t>CS003-JBA-08132021</t>
  </si>
  <si>
    <t>CS004-JBA-08132021</t>
  </si>
  <si>
    <t>CS005-JBA-08132021</t>
  </si>
  <si>
    <t>CS006-JBA-08132021</t>
  </si>
  <si>
    <t>CS007-JBA-08162021</t>
  </si>
  <si>
    <t>EMM001-JBA-08132021</t>
  </si>
  <si>
    <t>Eastern Mudminnow</t>
  </si>
  <si>
    <t>Umbra</t>
  </si>
  <si>
    <t>pygmaea</t>
  </si>
  <si>
    <t>EMM002-JBA-08132021</t>
  </si>
  <si>
    <t>EMM003-JBA-08132021</t>
  </si>
  <si>
    <t>EMM004-JBA-08132021</t>
  </si>
  <si>
    <t>EMM005-JBA-08132021</t>
  </si>
  <si>
    <t>EMM006-JBA-08162021</t>
  </si>
  <si>
    <t>EMM007-JBA-08162021</t>
  </si>
  <si>
    <t>EMM008-JBA-08162021</t>
  </si>
  <si>
    <t>ESM001-JBA-08162021</t>
  </si>
  <si>
    <t>Fallfish</t>
  </si>
  <si>
    <t>Semotilus</t>
  </si>
  <si>
    <t>corporalis</t>
  </si>
  <si>
    <t>ESM002-JBA-08162021</t>
  </si>
  <si>
    <t>ESM003-JBA-08162021</t>
  </si>
  <si>
    <t>ESM004-JBA-08162021</t>
  </si>
  <si>
    <t>GC001-JBA-08132021</t>
  </si>
  <si>
    <t>Swallowtail Shiner</t>
  </si>
  <si>
    <t>Notropis</t>
  </si>
  <si>
    <t>procne</t>
  </si>
  <si>
    <t>GC002-JBA-08132021</t>
  </si>
  <si>
    <t>GC003-JBA-08132021</t>
  </si>
  <si>
    <t>GC004-JBA-08132021</t>
  </si>
  <si>
    <t>GC005-JBA-08132021</t>
  </si>
  <si>
    <t>GC006-JBA-08132021</t>
  </si>
  <si>
    <t>GC007-JBA-08132021</t>
  </si>
  <si>
    <t>GC008-JBA-08132021</t>
  </si>
  <si>
    <t>GC009-JBA-08132021</t>
  </si>
  <si>
    <t>GC010-JBA-08132021</t>
  </si>
  <si>
    <t>GC012-JBA-08132021</t>
  </si>
  <si>
    <t>GC013-JBA-08132021</t>
  </si>
  <si>
    <t>GC014-JBA-08132021</t>
  </si>
  <si>
    <t>GC015-JBA-08132021</t>
  </si>
  <si>
    <t>GC016-JBA-08132021</t>
  </si>
  <si>
    <t>GC017-JBA-08132021</t>
  </si>
  <si>
    <t>GC018-JBA-08162021</t>
  </si>
  <si>
    <t>GC019-JBA-08162021</t>
  </si>
  <si>
    <t>GC020-JBA-08162021</t>
  </si>
  <si>
    <t>GC021-JBA-08162021</t>
  </si>
  <si>
    <t>GC022-JBA-08162021</t>
  </si>
  <si>
    <t>GC023-JBA-08162021</t>
  </si>
  <si>
    <t>GC024-JBA-08162021</t>
  </si>
  <si>
    <t>GC025-JBA-08162021</t>
  </si>
  <si>
    <t>LMB001-JBA-08162021</t>
  </si>
  <si>
    <t>Large Mouth Bass</t>
  </si>
  <si>
    <t>Micropterus</t>
  </si>
  <si>
    <t>salmoides</t>
  </si>
  <si>
    <t>LMB002-JBA-08162021</t>
  </si>
  <si>
    <t>MM001-JBA-08132021</t>
  </si>
  <si>
    <t>Margined Madtom</t>
  </si>
  <si>
    <t>Noturus</t>
  </si>
  <si>
    <t>insignis</t>
  </si>
  <si>
    <t>MM002-JBA-08132021</t>
  </si>
  <si>
    <t>F</t>
  </si>
  <si>
    <t>MM003-JBA-08132021</t>
  </si>
  <si>
    <t>MM004-JBA-08132021</t>
  </si>
  <si>
    <t>MM005-JBA-08162021</t>
  </si>
  <si>
    <t>MM006-JBA-08162021</t>
  </si>
  <si>
    <t>MM007-JBA-08162021</t>
  </si>
  <si>
    <t>PU001-JBA-08132021</t>
  </si>
  <si>
    <t>Pumpkinseed</t>
  </si>
  <si>
    <t>Lepomis</t>
  </si>
  <si>
    <t>gibbosus</t>
  </si>
  <si>
    <t>PU002-JBA-08132021</t>
  </si>
  <si>
    <t>PU003-JBA-08132021</t>
  </si>
  <si>
    <t>PU004-JBA-08132021</t>
  </si>
  <si>
    <t>PU005-JBA-08132021</t>
  </si>
  <si>
    <t>PU006-JBA-08132021</t>
  </si>
  <si>
    <t>PU007-JBA-08132021</t>
  </si>
  <si>
    <t>PU008-JBA-08132021</t>
  </si>
  <si>
    <t>PU009-JBA-08132021</t>
  </si>
  <si>
    <t>PU010-JBA-08132021</t>
  </si>
  <si>
    <t>PU011-JBA-08132021</t>
  </si>
  <si>
    <t>PU012-JBA-08132021</t>
  </si>
  <si>
    <t>PU013-JBA-08132021</t>
  </si>
  <si>
    <t>PU014-JBA-08132021</t>
  </si>
  <si>
    <t>PU015-JBA-08132021</t>
  </si>
  <si>
    <t>PU016-LIV-08132021</t>
  </si>
  <si>
    <t>Liver</t>
  </si>
  <si>
    <t>PU016-MU-08132021</t>
  </si>
  <si>
    <t>Muscle</t>
  </si>
  <si>
    <t>PU017-JBA-08132021</t>
  </si>
  <si>
    <t>PU018-JBA-08132021</t>
  </si>
  <si>
    <t>PU019-JBA-08132021</t>
  </si>
  <si>
    <t>PU020-JBA-08132021</t>
  </si>
  <si>
    <t>PU021-JBA-08132021</t>
  </si>
  <si>
    <t>PU022-JBA-08132021</t>
  </si>
  <si>
    <t>PU023-JBA-08132021</t>
  </si>
  <si>
    <t>PU024-JBA-08132021</t>
  </si>
  <si>
    <t>PU025-JBA-08132021</t>
  </si>
  <si>
    <t>PU026-JBA-08132021</t>
  </si>
  <si>
    <t>PU027-JBA-08132021</t>
  </si>
  <si>
    <t>PU028-JBA-08132021</t>
  </si>
  <si>
    <t>PU029-JBA-08132021</t>
  </si>
  <si>
    <t>PU030-JBA-08162021</t>
  </si>
  <si>
    <t>PU031-JBA-08162021</t>
  </si>
  <si>
    <t>PU032-JBA-08162021</t>
  </si>
  <si>
    <t>PU033-JBA-08162021</t>
  </si>
  <si>
    <t>PU034-JBA-08162021</t>
  </si>
  <si>
    <t>PU035-JBA-08162021</t>
  </si>
  <si>
    <t>PU036-JBA-08162021</t>
  </si>
  <si>
    <t>PU037-JBA-08162021</t>
  </si>
  <si>
    <t>PU038-JBA-08162021</t>
  </si>
  <si>
    <t>PU039-JBA-08162021</t>
  </si>
  <si>
    <t>PU040-LIV-08162021</t>
  </si>
  <si>
    <t>M</t>
  </si>
  <si>
    <t>PU040-MU-08162021</t>
  </si>
  <si>
    <t>PU041-LIV-08162021</t>
  </si>
  <si>
    <t>PU041-MU-08162021</t>
  </si>
  <si>
    <t>PU042-JBA-08162021</t>
  </si>
  <si>
    <t>PU043-JBA-08162021</t>
  </si>
  <si>
    <t>PU044-JBA-08162021</t>
  </si>
  <si>
    <t>PU045-JBA-08162021</t>
  </si>
  <si>
    <t>PU046-JBA-08162021</t>
  </si>
  <si>
    <t>PU047-JBA-08162021</t>
  </si>
  <si>
    <t>PU048-JBA-08162021</t>
  </si>
  <si>
    <t>PU049-JBA-08162021</t>
  </si>
  <si>
    <t>PU050-JBA-08162021</t>
  </si>
  <si>
    <t>PU051-JBA-08162021</t>
  </si>
  <si>
    <t>PU052-JBA-08162021</t>
  </si>
  <si>
    <t>PU053-JBA-08162021</t>
  </si>
  <si>
    <t>PU054-JBA-08162021</t>
  </si>
  <si>
    <t>PU055-JBA-08162021</t>
  </si>
  <si>
    <t>PU056-JBA-08162021</t>
  </si>
  <si>
    <t>PU057-JBA-08162021</t>
  </si>
  <si>
    <t>PU058-JBA-08162021</t>
  </si>
  <si>
    <t>PU059-JBA-08162021</t>
  </si>
  <si>
    <t>PU060-LIV-08162021</t>
  </si>
  <si>
    <t>PU060-MU-08162021</t>
  </si>
  <si>
    <t>PU061-LIV-08162021</t>
  </si>
  <si>
    <t>PU061-MU-08162021</t>
  </si>
  <si>
    <t>PU062-JBA-08162021</t>
  </si>
  <si>
    <t>PU063-JBA-08162021</t>
  </si>
  <si>
    <t>PU064-LIV-08162021</t>
  </si>
  <si>
    <t>PU064-MU-08162021</t>
  </si>
  <si>
    <t>PU065-JBA-08162021</t>
  </si>
  <si>
    <t>PU066-JBA-08162021</t>
  </si>
  <si>
    <t>PU067-JBA-08162021</t>
  </si>
  <si>
    <t>PU068-JBA-08162021</t>
  </si>
  <si>
    <t>PU069-JBA-08162021</t>
  </si>
  <si>
    <t>PU070-JBA-08162021</t>
  </si>
  <si>
    <t>PU071-JBA-08162021</t>
  </si>
  <si>
    <t>PU072-JBA-08162021</t>
  </si>
  <si>
    <t>PU073-JBA-08162021</t>
  </si>
  <si>
    <t>SM001-JBA-08132021</t>
  </si>
  <si>
    <t>SM002-JBA-08132021</t>
  </si>
  <si>
    <t>SS001-JBA-08132021</t>
  </si>
  <si>
    <t>SS002-JBA-08132021</t>
  </si>
  <si>
    <t>cataractae</t>
  </si>
  <si>
    <t>SS003-JBA-08132021</t>
  </si>
  <si>
    <t>SS004-JBA-08132021</t>
  </si>
  <si>
    <t>SS005-JBA-08132021</t>
  </si>
  <si>
    <t>SS006-JBA-08132021</t>
  </si>
  <si>
    <t>SS007-JBA-08162021</t>
  </si>
  <si>
    <t xml:space="preserve"> </t>
  </si>
  <si>
    <t>Average of Result</t>
  </si>
  <si>
    <t>Column Labels</t>
  </si>
  <si>
    <t>Row Labels</t>
  </si>
  <si>
    <t>Seasonality</t>
  </si>
  <si>
    <t>Spring</t>
  </si>
  <si>
    <t>Summer</t>
  </si>
  <si>
    <t>Analyte</t>
  </si>
  <si>
    <t>CAS_rn</t>
  </si>
  <si>
    <t>Order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</si>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</sst>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A0C5E84D-6B04-499F-96DB-C1CF60E1931E}"/>
  </cellStyles>
  <dxfs count="11">
    <dxf>
      <numFmt numFmtId="164" formatCode="m/d/yy;@"/>
    </dxf>
    <dxf>
      <numFmt numFmtId="164" formatCode="m/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FAS_Bioaccumulation_JBA_V2.xlsx" TargetMode="External"/><Relationship Id="rId1" Type="http://schemas.openxmlformats.org/officeDocument/2006/relationships/externalLinkPath" Target="/PFAS_Bioaccumulation_JBA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Files\analyte_order.xlsx" TargetMode="External"/><Relationship Id="rId1" Type="http://schemas.openxmlformats.org/officeDocument/2006/relationships/externalLinkPath" Target="/Data%20Files/analyte_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cropsy Notes"/>
      <sheetName val="Sheet2"/>
      <sheetName val="Tissue Data"/>
      <sheetName val="Tissue Pivot"/>
      <sheetName val="BAF"/>
      <sheetName val="SW Inventory"/>
      <sheetName val="SW Data"/>
      <sheetName val="Water Quality"/>
      <sheetName val="SED Inventory"/>
      <sheetName val="SED Notes"/>
      <sheetName val="SED Data"/>
    </sheetNames>
    <sheetDataSet>
      <sheetData sheetId="0"/>
      <sheetData sheetId="1"/>
      <sheetData sheetId="2">
        <row r="1">
          <cell r="A1" t="str">
            <v>Sample ID</v>
          </cell>
          <cell r="C1" t="str">
            <v>Location</v>
          </cell>
          <cell r="D1" t="str">
            <v>Sample Date</v>
          </cell>
          <cell r="F1" t="str">
            <v>Common Name</v>
          </cell>
          <cell r="H1" t="str">
            <v>Genus</v>
          </cell>
          <cell r="I1" t="str">
            <v>Species</v>
          </cell>
          <cell r="J1" t="str">
            <v>Sex</v>
          </cell>
          <cell r="K1" t="str">
            <v>Tissue</v>
          </cell>
          <cell r="L1" t="str">
            <v>Length (cm)</v>
          </cell>
          <cell r="M1" t="str">
            <v>Weight (g)</v>
          </cell>
        </row>
        <row r="2">
          <cell r="A2" t="str">
            <v>PU001-JBA-08132021</v>
          </cell>
          <cell r="C2" t="str">
            <v>Down</v>
          </cell>
          <cell r="D2">
            <v>44314</v>
          </cell>
          <cell r="F2" t="str">
            <v>Pumpkinseed</v>
          </cell>
          <cell r="H2" t="str">
            <v>Lepomis</v>
          </cell>
          <cell r="I2" t="str">
            <v>gibbosus</v>
          </cell>
          <cell r="J2" t="str">
            <v>U</v>
          </cell>
          <cell r="K2" t="str">
            <v>Whole Body</v>
          </cell>
          <cell r="L2">
            <v>8</v>
          </cell>
          <cell r="M2">
            <v>11.81</v>
          </cell>
        </row>
        <row r="3">
          <cell r="A3" t="str">
            <v>PU002-JBA-08132021</v>
          </cell>
          <cell r="C3" t="str">
            <v>Down</v>
          </cell>
          <cell r="D3">
            <v>44314</v>
          </cell>
          <cell r="F3" t="str">
            <v>Pumpkinseed</v>
          </cell>
          <cell r="H3" t="str">
            <v>Lepomis</v>
          </cell>
          <cell r="I3" t="str">
            <v>gibbosus</v>
          </cell>
          <cell r="J3" t="str">
            <v>U</v>
          </cell>
          <cell r="K3" t="str">
            <v>Whole Body</v>
          </cell>
          <cell r="L3">
            <v>8.5</v>
          </cell>
          <cell r="M3">
            <v>12.37</v>
          </cell>
        </row>
        <row r="4">
          <cell r="A4" t="str">
            <v>PU003-JBA-08132021</v>
          </cell>
          <cell r="C4" t="str">
            <v>Down</v>
          </cell>
          <cell r="D4">
            <v>44314</v>
          </cell>
          <cell r="F4" t="str">
            <v>Pumpkinseed</v>
          </cell>
          <cell r="H4" t="str">
            <v>Lepomis</v>
          </cell>
          <cell r="I4" t="str">
            <v>gibbosus</v>
          </cell>
          <cell r="J4" t="str">
            <v>U</v>
          </cell>
          <cell r="K4" t="str">
            <v>Whole Body</v>
          </cell>
          <cell r="L4">
            <v>8</v>
          </cell>
          <cell r="M4">
            <v>10.71</v>
          </cell>
        </row>
        <row r="5">
          <cell r="A5" t="str">
            <v>PU004-JBA-08132021</v>
          </cell>
          <cell r="C5" t="str">
            <v>Down</v>
          </cell>
          <cell r="D5">
            <v>44314</v>
          </cell>
          <cell r="F5" t="str">
            <v>Pumpkinseed</v>
          </cell>
          <cell r="H5" t="str">
            <v>Lepomis</v>
          </cell>
          <cell r="I5" t="str">
            <v>gibbosus</v>
          </cell>
          <cell r="J5" t="str">
            <v>U</v>
          </cell>
          <cell r="K5" t="str">
            <v>Whole Body</v>
          </cell>
          <cell r="L5">
            <v>7.5</v>
          </cell>
          <cell r="M5">
            <v>7.52</v>
          </cell>
        </row>
        <row r="6">
          <cell r="A6" t="str">
            <v>PU005-JBA-08132021</v>
          </cell>
          <cell r="C6" t="str">
            <v>Down</v>
          </cell>
          <cell r="D6">
            <v>44314</v>
          </cell>
          <cell r="F6" t="str">
            <v>Pumpkinseed</v>
          </cell>
          <cell r="H6" t="str">
            <v>Lepomis</v>
          </cell>
          <cell r="I6" t="str">
            <v>gibbosus</v>
          </cell>
          <cell r="J6" t="str">
            <v>U</v>
          </cell>
          <cell r="K6" t="str">
            <v>Whole Body</v>
          </cell>
          <cell r="L6">
            <v>7.5</v>
          </cell>
          <cell r="M6">
            <v>5.73</v>
          </cell>
        </row>
        <row r="7">
          <cell r="A7" t="str">
            <v>PU006-JBA-08132021</v>
          </cell>
          <cell r="C7" t="str">
            <v>Down</v>
          </cell>
          <cell r="D7">
            <v>44314</v>
          </cell>
          <cell r="F7" t="str">
            <v>Pumpkinseed</v>
          </cell>
          <cell r="H7" t="str">
            <v>Lepomis</v>
          </cell>
          <cell r="I7" t="str">
            <v>gibbosus</v>
          </cell>
          <cell r="J7" t="str">
            <v>U</v>
          </cell>
          <cell r="K7" t="str">
            <v>Whole Body</v>
          </cell>
          <cell r="L7">
            <v>6.5</v>
          </cell>
          <cell r="M7">
            <v>5.57</v>
          </cell>
        </row>
        <row r="8">
          <cell r="A8" t="str">
            <v>PU007-JBA-08132021</v>
          </cell>
          <cell r="C8" t="str">
            <v>Down</v>
          </cell>
          <cell r="D8">
            <v>44314</v>
          </cell>
          <cell r="F8" t="str">
            <v>Pumpkinseed</v>
          </cell>
          <cell r="H8" t="str">
            <v>Lepomis</v>
          </cell>
          <cell r="I8" t="str">
            <v>gibbosus</v>
          </cell>
          <cell r="J8" t="str">
            <v>U</v>
          </cell>
          <cell r="K8" t="str">
            <v>Whole Body</v>
          </cell>
          <cell r="L8">
            <v>4.75</v>
          </cell>
          <cell r="M8">
            <v>9.52</v>
          </cell>
        </row>
        <row r="9">
          <cell r="A9" t="str">
            <v>PU008-JBA-08132021</v>
          </cell>
          <cell r="C9" t="str">
            <v>Down</v>
          </cell>
          <cell r="D9">
            <v>44314</v>
          </cell>
          <cell r="F9" t="str">
            <v>Pumpkinseed</v>
          </cell>
          <cell r="H9" t="str">
            <v>Lepomis</v>
          </cell>
          <cell r="I9" t="str">
            <v>gibbosus</v>
          </cell>
          <cell r="J9" t="str">
            <v>U</v>
          </cell>
          <cell r="K9" t="str">
            <v>Whole Body</v>
          </cell>
          <cell r="L9">
            <v>7</v>
          </cell>
          <cell r="M9">
            <v>16.059999999999999</v>
          </cell>
        </row>
        <row r="10">
          <cell r="A10" t="str">
            <v>PU009-JBA-08132021</v>
          </cell>
          <cell r="C10" t="str">
            <v>Down</v>
          </cell>
          <cell r="D10">
            <v>44314</v>
          </cell>
          <cell r="F10" t="str">
            <v>Pumpkinseed</v>
          </cell>
          <cell r="H10" t="str">
            <v>Lepomis</v>
          </cell>
          <cell r="I10" t="str">
            <v>gibbosus</v>
          </cell>
          <cell r="J10" t="str">
            <v>U</v>
          </cell>
          <cell r="K10" t="str">
            <v>Whole Body</v>
          </cell>
          <cell r="L10">
            <v>8.5</v>
          </cell>
          <cell r="M10">
            <v>14.62</v>
          </cell>
        </row>
        <row r="11">
          <cell r="A11" t="str">
            <v>PU010-JBA-08132021</v>
          </cell>
          <cell r="C11" t="str">
            <v>Down</v>
          </cell>
          <cell r="D11">
            <v>44314</v>
          </cell>
          <cell r="F11" t="str">
            <v>Pumpkinseed</v>
          </cell>
          <cell r="H11" t="str">
            <v>Lepomis</v>
          </cell>
          <cell r="I11" t="str">
            <v>gibbosus</v>
          </cell>
          <cell r="J11" t="str">
            <v>U</v>
          </cell>
          <cell r="K11" t="str">
            <v>Whole Body</v>
          </cell>
          <cell r="L11">
            <v>9</v>
          </cell>
          <cell r="M11">
            <v>8.4499999999999993</v>
          </cell>
        </row>
        <row r="12">
          <cell r="A12" t="str">
            <v>PU011-JBA-08132021</v>
          </cell>
          <cell r="C12" t="str">
            <v>Down</v>
          </cell>
          <cell r="D12">
            <v>44314</v>
          </cell>
          <cell r="F12" t="str">
            <v>Pumpkinseed</v>
          </cell>
          <cell r="H12" t="str">
            <v>Lepomis</v>
          </cell>
          <cell r="I12" t="str">
            <v>gibbosus</v>
          </cell>
          <cell r="J12" t="str">
            <v>U</v>
          </cell>
          <cell r="K12" t="str">
            <v>Whole Body</v>
          </cell>
          <cell r="L12">
            <v>8</v>
          </cell>
          <cell r="M12">
            <v>4.75</v>
          </cell>
        </row>
        <row r="13">
          <cell r="A13" t="str">
            <v>CC001-JBA-08132021</v>
          </cell>
          <cell r="C13" t="str">
            <v>Down</v>
          </cell>
          <cell r="D13">
            <v>44314</v>
          </cell>
          <cell r="F13" t="str">
            <v>Rosyside Dace</v>
          </cell>
          <cell r="H13" t="str">
            <v>Clinostomus</v>
          </cell>
          <cell r="I13" t="str">
            <v>funduloides</v>
          </cell>
          <cell r="J13" t="str">
            <v>U</v>
          </cell>
          <cell r="K13" t="str">
            <v>Whole Body</v>
          </cell>
          <cell r="L13">
            <v>5.25</v>
          </cell>
          <cell r="M13">
            <v>3.6</v>
          </cell>
        </row>
        <row r="14">
          <cell r="A14" t="str">
            <v>CC002-JBA-08132021</v>
          </cell>
          <cell r="C14" t="str">
            <v>Down</v>
          </cell>
          <cell r="D14">
            <v>44314</v>
          </cell>
          <cell r="F14" t="str">
            <v>Rosyside Dace</v>
          </cell>
          <cell r="H14" t="str">
            <v>Clinostomus</v>
          </cell>
          <cell r="I14" t="str">
            <v>funduloides</v>
          </cell>
          <cell r="J14" t="str">
            <v>U</v>
          </cell>
          <cell r="K14" t="str">
            <v>Whole Body</v>
          </cell>
          <cell r="L14">
            <v>7.5</v>
          </cell>
          <cell r="M14">
            <v>5.45</v>
          </cell>
        </row>
        <row r="15">
          <cell r="A15" t="str">
            <v>CC003-JBA-08132021</v>
          </cell>
          <cell r="C15" t="str">
            <v>Down</v>
          </cell>
          <cell r="D15">
            <v>44314</v>
          </cell>
          <cell r="F15" t="str">
            <v>Rosyside Dace</v>
          </cell>
          <cell r="H15" t="str">
            <v>Clinostomus</v>
          </cell>
          <cell r="I15" t="str">
            <v>funduloides</v>
          </cell>
          <cell r="J15" t="str">
            <v>U</v>
          </cell>
          <cell r="K15" t="str">
            <v>Whole Body</v>
          </cell>
          <cell r="L15">
            <v>8</v>
          </cell>
          <cell r="M15">
            <v>8.15</v>
          </cell>
        </row>
        <row r="16">
          <cell r="A16" t="str">
            <v>CC004-JBA-08132021</v>
          </cell>
          <cell r="C16" t="str">
            <v>Down</v>
          </cell>
          <cell r="D16">
            <v>44314</v>
          </cell>
          <cell r="F16" t="str">
            <v>Rosyside Dace</v>
          </cell>
          <cell r="H16" t="str">
            <v>Clinostomus</v>
          </cell>
          <cell r="I16" t="str">
            <v>funduloides</v>
          </cell>
          <cell r="J16" t="str">
            <v>U</v>
          </cell>
          <cell r="K16" t="str">
            <v>Whole Body</v>
          </cell>
          <cell r="L16">
            <v>7.5</v>
          </cell>
          <cell r="M16">
            <v>6.8</v>
          </cell>
        </row>
        <row r="17">
          <cell r="A17" t="str">
            <v>CC005-JBA-08132021</v>
          </cell>
          <cell r="C17" t="str">
            <v>Down</v>
          </cell>
          <cell r="D17">
            <v>44314</v>
          </cell>
          <cell r="F17" t="str">
            <v>Rosyside Dace</v>
          </cell>
          <cell r="H17" t="str">
            <v>Clinostomus</v>
          </cell>
          <cell r="I17" t="str">
            <v>funduloides</v>
          </cell>
          <cell r="J17" t="str">
            <v>U</v>
          </cell>
          <cell r="K17" t="str">
            <v>Whole Body</v>
          </cell>
          <cell r="L17">
            <v>7.5</v>
          </cell>
          <cell r="M17">
            <v>6.15</v>
          </cell>
        </row>
        <row r="18">
          <cell r="A18" t="str">
            <v>SM001-JBA-08132021</v>
          </cell>
          <cell r="C18" t="str">
            <v>Down</v>
          </cell>
          <cell r="D18">
            <v>44314</v>
          </cell>
          <cell r="F18" t="str">
            <v>Rosyside Dace</v>
          </cell>
          <cell r="H18" t="str">
            <v>Clinostomus</v>
          </cell>
          <cell r="I18" t="str">
            <v>funduloides</v>
          </cell>
          <cell r="J18" t="str">
            <v>U</v>
          </cell>
          <cell r="K18" t="str">
            <v>Whole Body</v>
          </cell>
          <cell r="L18">
            <v>8</v>
          </cell>
          <cell r="M18">
            <v>5.7</v>
          </cell>
        </row>
        <row r="19">
          <cell r="A19" t="str">
            <v>SM002-JBA-08132021</v>
          </cell>
          <cell r="C19" t="str">
            <v>Down</v>
          </cell>
          <cell r="D19">
            <v>44314</v>
          </cell>
          <cell r="F19" t="str">
            <v>Rosyside Dace</v>
          </cell>
          <cell r="H19" t="str">
            <v>Clinostomus</v>
          </cell>
          <cell r="I19" t="str">
            <v>funduloides</v>
          </cell>
          <cell r="J19" t="str">
            <v>U</v>
          </cell>
          <cell r="K19" t="str">
            <v>Whole Body</v>
          </cell>
          <cell r="L19">
            <v>7.5</v>
          </cell>
          <cell r="M19">
            <v>5.2</v>
          </cell>
        </row>
        <row r="20">
          <cell r="A20" t="str">
            <v>GC001-JBA-08132021</v>
          </cell>
          <cell r="C20" t="str">
            <v>Down</v>
          </cell>
          <cell r="D20">
            <v>44314</v>
          </cell>
          <cell r="F20" t="str">
            <v>Swallowtail Shiner</v>
          </cell>
          <cell r="H20" t="str">
            <v>Notropis</v>
          </cell>
          <cell r="I20" t="str">
            <v>procne</v>
          </cell>
          <cell r="J20" t="str">
            <v>U</v>
          </cell>
          <cell r="K20" t="str">
            <v>Whole Body</v>
          </cell>
          <cell r="L20">
            <v>6.5</v>
          </cell>
          <cell r="M20">
            <v>2.8</v>
          </cell>
        </row>
        <row r="21">
          <cell r="A21" t="str">
            <v>BRS001-JBA-08132021</v>
          </cell>
          <cell r="C21" t="str">
            <v>Down</v>
          </cell>
          <cell r="D21">
            <v>44314</v>
          </cell>
          <cell r="F21" t="str">
            <v>Swamp Darter</v>
          </cell>
          <cell r="H21" t="str">
            <v>Etheostoma</v>
          </cell>
          <cell r="I21" t="str">
            <v>fusiforme</v>
          </cell>
          <cell r="J21" t="str">
            <v>U</v>
          </cell>
          <cell r="K21" t="str">
            <v>Whole Body</v>
          </cell>
          <cell r="L21">
            <v>7.5</v>
          </cell>
          <cell r="M21">
            <v>4.25</v>
          </cell>
        </row>
        <row r="22">
          <cell r="A22" t="str">
            <v>SS001-JBA-08132021</v>
          </cell>
          <cell r="C22" t="str">
            <v>Down</v>
          </cell>
          <cell r="D22">
            <v>44314</v>
          </cell>
          <cell r="F22" t="str">
            <v>Blacknose Dace</v>
          </cell>
          <cell r="H22" t="str">
            <v>Rhinichthys</v>
          </cell>
          <cell r="I22" t="str">
            <v>atratulus</v>
          </cell>
          <cell r="J22" t="str">
            <v>U</v>
          </cell>
          <cell r="K22" t="str">
            <v>Whole Body</v>
          </cell>
          <cell r="L22">
            <v>5.5</v>
          </cell>
          <cell r="M22">
            <v>1.75</v>
          </cell>
        </row>
        <row r="23">
          <cell r="A23" t="str">
            <v>EMM001-JBA-08132021</v>
          </cell>
          <cell r="C23" t="str">
            <v>Down</v>
          </cell>
          <cell r="D23">
            <v>44314</v>
          </cell>
          <cell r="F23" t="str">
            <v>Eastern Mudminnow</v>
          </cell>
          <cell r="H23" t="str">
            <v>Umbra</v>
          </cell>
          <cell r="I23" t="str">
            <v>pygmaea</v>
          </cell>
          <cell r="J23" t="str">
            <v>U</v>
          </cell>
          <cell r="K23" t="str">
            <v>Whole Body</v>
          </cell>
          <cell r="L23">
            <v>5.5</v>
          </cell>
          <cell r="M23">
            <v>2.25</v>
          </cell>
        </row>
        <row r="24">
          <cell r="A24" t="str">
            <v>CS001-JBA-08132021</v>
          </cell>
          <cell r="C24" t="str">
            <v>Down</v>
          </cell>
          <cell r="D24">
            <v>44314</v>
          </cell>
          <cell r="F24" t="str">
            <v>Tessellated Darter</v>
          </cell>
          <cell r="H24" t="str">
            <v>Etheostoma</v>
          </cell>
          <cell r="I24" t="str">
            <v>olmstedi</v>
          </cell>
          <cell r="J24" t="str">
            <v>U</v>
          </cell>
          <cell r="K24" t="str">
            <v>Whole Body</v>
          </cell>
          <cell r="L24">
            <v>6</v>
          </cell>
          <cell r="M24">
            <v>2.5</v>
          </cell>
        </row>
        <row r="25">
          <cell r="A25" t="str">
            <v>CS002-JBA-08132021</v>
          </cell>
          <cell r="C25" t="str">
            <v>Down</v>
          </cell>
          <cell r="D25">
            <v>44314</v>
          </cell>
          <cell r="F25" t="str">
            <v>Tessellated Darter</v>
          </cell>
          <cell r="H25" t="str">
            <v>Etheostoma</v>
          </cell>
          <cell r="I25" t="str">
            <v>olmstedi</v>
          </cell>
          <cell r="J25" t="str">
            <v>U</v>
          </cell>
          <cell r="K25" t="str">
            <v>Whole Body</v>
          </cell>
          <cell r="L25">
            <v>7</v>
          </cell>
          <cell r="M25">
            <v>3</v>
          </cell>
        </row>
        <row r="26">
          <cell r="A26" t="str">
            <v>CS003-JBA-08132021</v>
          </cell>
          <cell r="C26" t="str">
            <v>Down</v>
          </cell>
          <cell r="D26">
            <v>44314</v>
          </cell>
          <cell r="F26" t="str">
            <v>Tessellated Darter</v>
          </cell>
          <cell r="H26" t="str">
            <v>Etheostoma</v>
          </cell>
          <cell r="I26" t="str">
            <v>olmstedi</v>
          </cell>
          <cell r="J26" t="str">
            <v>U</v>
          </cell>
          <cell r="K26" t="str">
            <v>Whole Body</v>
          </cell>
          <cell r="L26">
            <v>8.5</v>
          </cell>
          <cell r="M26">
            <v>3.25</v>
          </cell>
        </row>
        <row r="27">
          <cell r="A27" t="str">
            <v>CS004-JBA-08132021</v>
          </cell>
          <cell r="C27" t="str">
            <v>Down</v>
          </cell>
          <cell r="D27">
            <v>44314</v>
          </cell>
          <cell r="F27" t="str">
            <v>Tessellated Darter</v>
          </cell>
          <cell r="H27" t="str">
            <v>Etheostoma</v>
          </cell>
          <cell r="I27" t="str">
            <v>olmstedi</v>
          </cell>
          <cell r="J27" t="str">
            <v>U</v>
          </cell>
          <cell r="K27" t="str">
            <v>Whole Body</v>
          </cell>
          <cell r="L27">
            <v>6</v>
          </cell>
          <cell r="M27">
            <v>2.35</v>
          </cell>
        </row>
        <row r="28">
          <cell r="A28" t="str">
            <v>MM001-JBA-08132021</v>
          </cell>
          <cell r="C28" t="str">
            <v>Down</v>
          </cell>
          <cell r="D28">
            <v>44314</v>
          </cell>
          <cell r="F28" t="str">
            <v>Margined Madtom</v>
          </cell>
          <cell r="H28" t="str">
            <v>Noturus</v>
          </cell>
          <cell r="I28" t="str">
            <v>insignis</v>
          </cell>
          <cell r="J28" t="str">
            <v>U</v>
          </cell>
          <cell r="K28" t="str">
            <v>Whole Body</v>
          </cell>
          <cell r="L28">
            <v>5</v>
          </cell>
          <cell r="M28">
            <v>1.35</v>
          </cell>
        </row>
        <row r="29">
          <cell r="A29" t="str">
            <v>MM002-JBA-08132021</v>
          </cell>
          <cell r="C29" t="str">
            <v>Down</v>
          </cell>
          <cell r="D29">
            <v>44314</v>
          </cell>
          <cell r="F29" t="str">
            <v>Margined Madtom</v>
          </cell>
          <cell r="H29" t="str">
            <v>Noturus</v>
          </cell>
          <cell r="I29" t="str">
            <v>insignis</v>
          </cell>
          <cell r="J29" t="str">
            <v>F</v>
          </cell>
          <cell r="K29" t="str">
            <v>Whole Body</v>
          </cell>
          <cell r="L29">
            <v>12</v>
          </cell>
          <cell r="M29">
            <v>16.399999999999999</v>
          </cell>
        </row>
        <row r="30">
          <cell r="A30" t="str">
            <v>PU012-JBA-08132021</v>
          </cell>
          <cell r="C30" t="str">
            <v>Spill</v>
          </cell>
          <cell r="D30">
            <v>44314</v>
          </cell>
          <cell r="F30" t="str">
            <v>Pumpkinseed</v>
          </cell>
          <cell r="H30" t="str">
            <v>Lepomis</v>
          </cell>
          <cell r="I30" t="str">
            <v>gibbosus</v>
          </cell>
          <cell r="J30" t="str">
            <v>U</v>
          </cell>
          <cell r="K30" t="str">
            <v>Whole Body</v>
          </cell>
          <cell r="L30">
            <v>7</v>
          </cell>
          <cell r="M30">
            <v>10</v>
          </cell>
        </row>
        <row r="31">
          <cell r="A31" t="str">
            <v>PU013-JBA-08132021</v>
          </cell>
          <cell r="C31" t="str">
            <v>Spill</v>
          </cell>
          <cell r="D31">
            <v>44314</v>
          </cell>
          <cell r="F31" t="str">
            <v>Pumpkinseed</v>
          </cell>
          <cell r="H31" t="str">
            <v>Lepomis</v>
          </cell>
          <cell r="I31" t="str">
            <v>gibbosus</v>
          </cell>
          <cell r="J31" t="str">
            <v>U</v>
          </cell>
          <cell r="K31" t="str">
            <v>Whole Body</v>
          </cell>
          <cell r="L31">
            <v>7</v>
          </cell>
          <cell r="M31">
            <v>8.8000000000000007</v>
          </cell>
        </row>
        <row r="32">
          <cell r="A32" t="str">
            <v>PU014-JBA-08132021</v>
          </cell>
          <cell r="C32" t="str">
            <v>Spill</v>
          </cell>
          <cell r="D32">
            <v>44314</v>
          </cell>
          <cell r="F32" t="str">
            <v>Pumpkinseed</v>
          </cell>
          <cell r="H32" t="str">
            <v>Lepomis</v>
          </cell>
          <cell r="I32" t="str">
            <v>gibbosus</v>
          </cell>
          <cell r="J32" t="str">
            <v>U</v>
          </cell>
          <cell r="K32" t="str">
            <v>Whole Body</v>
          </cell>
          <cell r="L32">
            <v>6</v>
          </cell>
          <cell r="M32">
            <v>7.5</v>
          </cell>
        </row>
        <row r="33">
          <cell r="A33" t="str">
            <v>PU015-JBA-08132021</v>
          </cell>
          <cell r="C33" t="str">
            <v>Spill</v>
          </cell>
          <cell r="D33">
            <v>44314</v>
          </cell>
          <cell r="F33" t="str">
            <v>Pumpkinseed</v>
          </cell>
          <cell r="H33" t="str">
            <v>Lepomis</v>
          </cell>
          <cell r="I33" t="str">
            <v>gibbosus</v>
          </cell>
          <cell r="J33" t="str">
            <v>U</v>
          </cell>
          <cell r="K33" t="str">
            <v>Whole Body</v>
          </cell>
          <cell r="L33">
            <v>9.5</v>
          </cell>
          <cell r="M33">
            <v>18.3</v>
          </cell>
        </row>
        <row r="34">
          <cell r="A34" t="str">
            <v>PU016-MU-08132021</v>
          </cell>
          <cell r="C34" t="str">
            <v>Spill</v>
          </cell>
          <cell r="D34">
            <v>44314</v>
          </cell>
          <cell r="F34" t="str">
            <v>Pumpkinseed</v>
          </cell>
          <cell r="H34" t="str">
            <v>Lepomis</v>
          </cell>
          <cell r="I34" t="str">
            <v>gibbosus</v>
          </cell>
          <cell r="J34" t="str">
            <v>U</v>
          </cell>
          <cell r="K34" t="str">
            <v>Muscle</v>
          </cell>
          <cell r="L34">
            <v>10</v>
          </cell>
          <cell r="M34">
            <v>25.5</v>
          </cell>
        </row>
        <row r="35">
          <cell r="A35" t="str">
            <v>PU016-LIV-08132021</v>
          </cell>
          <cell r="C35" t="str">
            <v>Spill</v>
          </cell>
          <cell r="D35">
            <v>44314</v>
          </cell>
          <cell r="F35" t="str">
            <v>Pumpkinseed</v>
          </cell>
          <cell r="H35" t="str">
            <v>Lepomis</v>
          </cell>
          <cell r="I35" t="str">
            <v>gibbosus</v>
          </cell>
          <cell r="J35" t="str">
            <v>U</v>
          </cell>
          <cell r="K35" t="str">
            <v>Liver</v>
          </cell>
          <cell r="L35">
            <v>10</v>
          </cell>
          <cell r="M35">
            <v>25.5</v>
          </cell>
        </row>
        <row r="36">
          <cell r="A36" t="str">
            <v>PU017-JBA-08132021</v>
          </cell>
          <cell r="C36" t="str">
            <v>Spill</v>
          </cell>
          <cell r="D36">
            <v>44314</v>
          </cell>
          <cell r="F36" t="str">
            <v>Pumpkinseed</v>
          </cell>
          <cell r="H36" t="str">
            <v>Lepomis</v>
          </cell>
          <cell r="I36" t="str">
            <v>gibbosus</v>
          </cell>
          <cell r="J36" t="str">
            <v>U</v>
          </cell>
          <cell r="K36" t="str">
            <v>Whole Body</v>
          </cell>
          <cell r="L36">
            <v>6</v>
          </cell>
          <cell r="M36">
            <v>6.3</v>
          </cell>
        </row>
        <row r="37">
          <cell r="A37" t="str">
            <v>PU018-JBA-08132021</v>
          </cell>
          <cell r="C37" t="str">
            <v>Spill</v>
          </cell>
          <cell r="D37">
            <v>44314</v>
          </cell>
          <cell r="F37" t="str">
            <v>Pumpkinseed</v>
          </cell>
          <cell r="H37" t="str">
            <v>Lepomis</v>
          </cell>
          <cell r="I37" t="str">
            <v>gibbosus</v>
          </cell>
          <cell r="J37" t="str">
            <v>U</v>
          </cell>
          <cell r="K37" t="str">
            <v>Whole Body</v>
          </cell>
          <cell r="L37">
            <v>8.5</v>
          </cell>
          <cell r="M37">
            <v>13.9</v>
          </cell>
        </row>
        <row r="38">
          <cell r="A38" t="str">
            <v>PU019-JBA-08132021</v>
          </cell>
          <cell r="C38" t="str">
            <v>Spill</v>
          </cell>
          <cell r="D38">
            <v>44314</v>
          </cell>
          <cell r="F38" t="str">
            <v>Pumpkinseed</v>
          </cell>
          <cell r="H38" t="str">
            <v>Lepomis</v>
          </cell>
          <cell r="I38" t="str">
            <v>gibbosus</v>
          </cell>
          <cell r="J38" t="str">
            <v>U</v>
          </cell>
          <cell r="K38" t="str">
            <v>Whole Body</v>
          </cell>
          <cell r="L38">
            <v>8</v>
          </cell>
          <cell r="M38">
            <v>10.5</v>
          </cell>
        </row>
        <row r="39">
          <cell r="A39" t="str">
            <v>PU020-JBA-08132021</v>
          </cell>
          <cell r="C39" t="str">
            <v>Spill</v>
          </cell>
          <cell r="D39">
            <v>44314</v>
          </cell>
          <cell r="F39" t="str">
            <v>Pumpkinseed</v>
          </cell>
          <cell r="H39" t="str">
            <v>Lepomis</v>
          </cell>
          <cell r="I39" t="str">
            <v>gibbosus</v>
          </cell>
          <cell r="J39" t="str">
            <v>U</v>
          </cell>
          <cell r="K39" t="str">
            <v>Whole Body</v>
          </cell>
          <cell r="L39">
            <v>7.5</v>
          </cell>
          <cell r="M39">
            <v>9.6999999999999993</v>
          </cell>
        </row>
        <row r="40">
          <cell r="A40" t="str">
            <v>PU021-JBA-08132021</v>
          </cell>
          <cell r="C40" t="str">
            <v>Spill</v>
          </cell>
          <cell r="D40">
            <v>44314</v>
          </cell>
          <cell r="F40" t="str">
            <v>Pumpkinseed</v>
          </cell>
          <cell r="H40" t="str">
            <v>Lepomis</v>
          </cell>
          <cell r="I40" t="str">
            <v>gibbosus</v>
          </cell>
          <cell r="J40" t="str">
            <v>U</v>
          </cell>
          <cell r="K40" t="str">
            <v>Whole Body</v>
          </cell>
          <cell r="L40">
            <v>8</v>
          </cell>
          <cell r="M40">
            <v>10.9</v>
          </cell>
        </row>
        <row r="41">
          <cell r="A41" t="str">
            <v>PU022-JBA-08132021</v>
          </cell>
          <cell r="C41" t="str">
            <v>Spill</v>
          </cell>
          <cell r="D41">
            <v>44314</v>
          </cell>
          <cell r="F41" t="str">
            <v>Pumpkinseed</v>
          </cell>
          <cell r="H41" t="str">
            <v>Lepomis</v>
          </cell>
          <cell r="I41" t="str">
            <v>gibbosus</v>
          </cell>
          <cell r="J41" t="str">
            <v>U</v>
          </cell>
          <cell r="K41" t="str">
            <v>Whole Body</v>
          </cell>
          <cell r="L41">
            <v>4.75</v>
          </cell>
          <cell r="M41">
            <v>4.1500000000000004</v>
          </cell>
        </row>
        <row r="42">
          <cell r="A42" t="str">
            <v>PU023-JBA-08132021</v>
          </cell>
          <cell r="C42" t="str">
            <v>Spill</v>
          </cell>
          <cell r="D42">
            <v>44314</v>
          </cell>
          <cell r="F42" t="str">
            <v>Pumpkinseed</v>
          </cell>
          <cell r="H42" t="str">
            <v>Lepomis</v>
          </cell>
          <cell r="I42" t="str">
            <v>gibbosus</v>
          </cell>
          <cell r="J42" t="str">
            <v>U</v>
          </cell>
          <cell r="K42" t="str">
            <v>Whole Body</v>
          </cell>
          <cell r="L42">
            <v>8</v>
          </cell>
          <cell r="M42">
            <v>9.35</v>
          </cell>
        </row>
        <row r="43">
          <cell r="A43" t="str">
            <v>PU024-JBA-08132021</v>
          </cell>
          <cell r="C43" t="str">
            <v>Spill</v>
          </cell>
          <cell r="D43">
            <v>44314</v>
          </cell>
          <cell r="F43" t="str">
            <v>Pumpkinseed</v>
          </cell>
          <cell r="H43" t="str">
            <v>Lepomis</v>
          </cell>
          <cell r="I43" t="str">
            <v>gibbosus</v>
          </cell>
          <cell r="J43" t="str">
            <v>U</v>
          </cell>
          <cell r="K43" t="str">
            <v>Whole Body</v>
          </cell>
          <cell r="L43">
            <v>10.5</v>
          </cell>
          <cell r="M43">
            <v>19.55</v>
          </cell>
        </row>
        <row r="44">
          <cell r="A44" t="str">
            <v>PU025-JBA-08132021</v>
          </cell>
          <cell r="C44" t="str">
            <v>Spill</v>
          </cell>
          <cell r="D44">
            <v>44314</v>
          </cell>
          <cell r="F44" t="str">
            <v>Pumpkinseed</v>
          </cell>
          <cell r="H44" t="str">
            <v>Lepomis</v>
          </cell>
          <cell r="I44" t="str">
            <v>gibbosus</v>
          </cell>
          <cell r="J44" t="str">
            <v>U</v>
          </cell>
          <cell r="K44" t="str">
            <v>Whole Body</v>
          </cell>
          <cell r="L44">
            <v>6</v>
          </cell>
          <cell r="M44">
            <v>4.3499999999999996</v>
          </cell>
        </row>
        <row r="45">
          <cell r="A45" t="str">
            <v>PU026-JBA-08132021</v>
          </cell>
          <cell r="C45" t="str">
            <v>Spill</v>
          </cell>
          <cell r="D45">
            <v>44314</v>
          </cell>
          <cell r="F45" t="str">
            <v>Pumpkinseed</v>
          </cell>
          <cell r="H45" t="str">
            <v>Lepomis</v>
          </cell>
          <cell r="I45" t="str">
            <v>gibbosus</v>
          </cell>
          <cell r="J45" t="str">
            <v>U</v>
          </cell>
          <cell r="K45" t="str">
            <v>Whole Body</v>
          </cell>
          <cell r="L45">
            <v>6.5</v>
          </cell>
          <cell r="M45">
            <v>4.45</v>
          </cell>
        </row>
        <row r="46">
          <cell r="A46" t="str">
            <v>PU027-JBA-08132021</v>
          </cell>
          <cell r="C46" t="str">
            <v>Spill</v>
          </cell>
          <cell r="D46">
            <v>44314</v>
          </cell>
          <cell r="F46" t="str">
            <v>Pumpkinseed</v>
          </cell>
          <cell r="H46" t="str">
            <v>Lepomis</v>
          </cell>
          <cell r="I46" t="str">
            <v>gibbosus</v>
          </cell>
          <cell r="J46" t="str">
            <v>U</v>
          </cell>
          <cell r="K46" t="str">
            <v>Whole Body</v>
          </cell>
          <cell r="L46">
            <v>8</v>
          </cell>
          <cell r="M46">
            <v>12.95</v>
          </cell>
        </row>
        <row r="47">
          <cell r="A47" t="str">
            <v>PU028-JBA-08132021</v>
          </cell>
          <cell r="C47" t="str">
            <v>Spill</v>
          </cell>
          <cell r="D47">
            <v>44314</v>
          </cell>
          <cell r="F47" t="str">
            <v>Pumpkinseed</v>
          </cell>
          <cell r="H47" t="str">
            <v>Lepomis</v>
          </cell>
          <cell r="I47" t="str">
            <v>gibbosus</v>
          </cell>
          <cell r="J47" t="str">
            <v>U</v>
          </cell>
          <cell r="K47" t="str">
            <v>Whole Body</v>
          </cell>
          <cell r="L47">
            <v>7.5</v>
          </cell>
          <cell r="M47">
            <v>8.5500000000000007</v>
          </cell>
        </row>
        <row r="48">
          <cell r="A48" t="str">
            <v>PU029-JBA-08132021</v>
          </cell>
          <cell r="C48" t="str">
            <v>Spill</v>
          </cell>
          <cell r="D48">
            <v>44314</v>
          </cell>
          <cell r="F48" t="str">
            <v>Pumpkinseed</v>
          </cell>
          <cell r="H48" t="str">
            <v>Lepomis</v>
          </cell>
          <cell r="I48" t="str">
            <v>gibbosus</v>
          </cell>
          <cell r="J48" t="str">
            <v>U</v>
          </cell>
          <cell r="K48" t="str">
            <v>Whole Body</v>
          </cell>
          <cell r="L48">
            <v>5.5</v>
          </cell>
          <cell r="M48">
            <v>3.15</v>
          </cell>
        </row>
        <row r="49">
          <cell r="A49" t="str">
            <v>GC002-JBA-08132021</v>
          </cell>
          <cell r="C49" t="str">
            <v>Spill</v>
          </cell>
          <cell r="D49">
            <v>44314</v>
          </cell>
          <cell r="F49" t="str">
            <v>Swallowtail Shiner</v>
          </cell>
          <cell r="H49" t="str">
            <v>Notropis</v>
          </cell>
          <cell r="I49" t="str">
            <v>procne</v>
          </cell>
          <cell r="J49" t="str">
            <v>U</v>
          </cell>
          <cell r="K49" t="str">
            <v>Whole Body</v>
          </cell>
          <cell r="L49">
            <v>5.5</v>
          </cell>
          <cell r="M49">
            <v>2.4500000000000002</v>
          </cell>
        </row>
        <row r="50">
          <cell r="A50" t="str">
            <v>GC003-JBA-08132021</v>
          </cell>
          <cell r="C50" t="str">
            <v>Spill</v>
          </cell>
          <cell r="D50">
            <v>44314</v>
          </cell>
          <cell r="F50" t="str">
            <v>Swallowtail Shiner</v>
          </cell>
          <cell r="H50" t="str">
            <v>Notropis</v>
          </cell>
          <cell r="I50" t="str">
            <v>procne</v>
          </cell>
          <cell r="J50" t="str">
            <v>U</v>
          </cell>
          <cell r="K50" t="str">
            <v>Whole Body</v>
          </cell>
          <cell r="L50">
            <v>5.5</v>
          </cell>
          <cell r="M50">
            <v>1.95</v>
          </cell>
        </row>
        <row r="51">
          <cell r="A51" t="str">
            <v>GC004-JBA-08132021</v>
          </cell>
          <cell r="C51" t="str">
            <v>Spill</v>
          </cell>
          <cell r="D51">
            <v>44314</v>
          </cell>
          <cell r="F51" t="str">
            <v>Swallowtail Shiner</v>
          </cell>
          <cell r="H51" t="str">
            <v>Notropis</v>
          </cell>
          <cell r="I51" t="str">
            <v>procne</v>
          </cell>
          <cell r="J51" t="str">
            <v>U</v>
          </cell>
          <cell r="K51" t="str">
            <v>Whole Body</v>
          </cell>
          <cell r="L51">
            <v>5.5</v>
          </cell>
          <cell r="M51">
            <v>2.4</v>
          </cell>
        </row>
        <row r="52">
          <cell r="A52" t="str">
            <v>GC005-JBA-08132021</v>
          </cell>
          <cell r="C52" t="str">
            <v>Spill</v>
          </cell>
          <cell r="D52">
            <v>44314</v>
          </cell>
          <cell r="F52" t="str">
            <v>Swallowtail Shiner</v>
          </cell>
          <cell r="H52" t="str">
            <v>Notropis</v>
          </cell>
          <cell r="I52" t="str">
            <v>procne</v>
          </cell>
          <cell r="J52" t="str">
            <v>U</v>
          </cell>
          <cell r="K52" t="str">
            <v>Whole Body</v>
          </cell>
          <cell r="L52">
            <v>5.5</v>
          </cell>
          <cell r="M52">
            <v>2.75</v>
          </cell>
        </row>
        <row r="53">
          <cell r="A53" t="str">
            <v>GC006-JBA-08132021</v>
          </cell>
          <cell r="C53" t="str">
            <v>Spill</v>
          </cell>
          <cell r="D53">
            <v>44314</v>
          </cell>
          <cell r="F53" t="str">
            <v>Swallowtail Shiner</v>
          </cell>
          <cell r="H53" t="str">
            <v>Notropis</v>
          </cell>
          <cell r="I53" t="str">
            <v>procne</v>
          </cell>
          <cell r="J53" t="str">
            <v>U</v>
          </cell>
          <cell r="K53" t="str">
            <v>Whole Body</v>
          </cell>
          <cell r="L53">
            <v>5.5</v>
          </cell>
          <cell r="M53">
            <v>2.25</v>
          </cell>
        </row>
        <row r="54">
          <cell r="A54" t="str">
            <v>GC007-JBA-08132021</v>
          </cell>
          <cell r="C54" t="str">
            <v>Spill</v>
          </cell>
          <cell r="D54">
            <v>44314</v>
          </cell>
          <cell r="F54" t="str">
            <v>Swallowtail Shiner</v>
          </cell>
          <cell r="H54" t="str">
            <v>Notropis</v>
          </cell>
          <cell r="I54" t="str">
            <v>procne</v>
          </cell>
          <cell r="J54" t="str">
            <v>U</v>
          </cell>
          <cell r="K54" t="str">
            <v>Whole Body</v>
          </cell>
          <cell r="L54">
            <v>5.5</v>
          </cell>
          <cell r="M54">
            <v>2.1</v>
          </cell>
        </row>
        <row r="55">
          <cell r="A55" t="str">
            <v>GC008-JBA-08132021</v>
          </cell>
          <cell r="C55" t="str">
            <v>Spill</v>
          </cell>
          <cell r="D55">
            <v>44314</v>
          </cell>
          <cell r="F55" t="str">
            <v>Swallowtail Shiner</v>
          </cell>
          <cell r="H55" t="str">
            <v>Notropis</v>
          </cell>
          <cell r="I55" t="str">
            <v>procne</v>
          </cell>
          <cell r="J55" t="str">
            <v>U</v>
          </cell>
          <cell r="K55" t="str">
            <v>Whole Body</v>
          </cell>
          <cell r="L55">
            <v>5</v>
          </cell>
          <cell r="M55">
            <v>1.9</v>
          </cell>
        </row>
        <row r="56">
          <cell r="A56" t="str">
            <v>GC009-JBA-08132021</v>
          </cell>
          <cell r="C56" t="str">
            <v>Spill</v>
          </cell>
          <cell r="D56">
            <v>44314</v>
          </cell>
          <cell r="F56" t="str">
            <v>Swallowtail Shiner</v>
          </cell>
          <cell r="H56" t="str">
            <v>Notropis</v>
          </cell>
          <cell r="I56" t="str">
            <v>procne</v>
          </cell>
          <cell r="J56" t="str">
            <v>U</v>
          </cell>
          <cell r="K56" t="str">
            <v>Whole Body</v>
          </cell>
          <cell r="L56">
            <v>5.25</v>
          </cell>
          <cell r="M56">
            <v>2.4500000000000002</v>
          </cell>
        </row>
        <row r="57">
          <cell r="A57" t="str">
            <v>GC010-JBA-08132021</v>
          </cell>
          <cell r="C57" t="str">
            <v>Spill</v>
          </cell>
          <cell r="D57">
            <v>44314</v>
          </cell>
          <cell r="F57" t="str">
            <v>Swallowtail Shiner</v>
          </cell>
          <cell r="H57" t="str">
            <v>Notropis</v>
          </cell>
          <cell r="I57" t="str">
            <v>procne</v>
          </cell>
          <cell r="J57" t="str">
            <v>U</v>
          </cell>
          <cell r="K57" t="str">
            <v>Whole Body</v>
          </cell>
          <cell r="L57">
            <v>5.5</v>
          </cell>
          <cell r="M57">
            <v>2.4</v>
          </cell>
        </row>
        <row r="58">
          <cell r="A58" t="str">
            <v>GC012-JBA-08132021</v>
          </cell>
          <cell r="C58" t="str">
            <v>Spill</v>
          </cell>
          <cell r="D58">
            <v>44314</v>
          </cell>
          <cell r="F58" t="str">
            <v>Swallowtail Shiner</v>
          </cell>
          <cell r="H58" t="str">
            <v>Notropis</v>
          </cell>
          <cell r="I58" t="str">
            <v>procne</v>
          </cell>
          <cell r="J58" t="str">
            <v>U</v>
          </cell>
          <cell r="K58" t="str">
            <v>Whole Body</v>
          </cell>
          <cell r="L58">
            <v>5.5</v>
          </cell>
          <cell r="M58">
            <v>2.2999999999999998</v>
          </cell>
        </row>
        <row r="59">
          <cell r="A59" t="str">
            <v>GC013-JBA-08132021</v>
          </cell>
          <cell r="C59" t="str">
            <v>Spill</v>
          </cell>
          <cell r="D59">
            <v>44314</v>
          </cell>
          <cell r="F59" t="str">
            <v>Swallowtail Shiner</v>
          </cell>
          <cell r="H59" t="str">
            <v>Notropis</v>
          </cell>
          <cell r="I59" t="str">
            <v>procne</v>
          </cell>
          <cell r="J59" t="str">
            <v>U</v>
          </cell>
          <cell r="K59" t="str">
            <v>Whole Body</v>
          </cell>
          <cell r="L59">
            <v>5</v>
          </cell>
          <cell r="M59">
            <v>1.6</v>
          </cell>
        </row>
        <row r="60">
          <cell r="A60" t="str">
            <v>GC014-JBA-08132021</v>
          </cell>
          <cell r="C60" t="str">
            <v>Spill</v>
          </cell>
          <cell r="D60">
            <v>44314</v>
          </cell>
          <cell r="F60" t="str">
            <v>Swallowtail Shiner</v>
          </cell>
          <cell r="H60" t="str">
            <v>Notropis</v>
          </cell>
          <cell r="I60" t="str">
            <v>procne</v>
          </cell>
          <cell r="J60" t="str">
            <v>U</v>
          </cell>
          <cell r="K60" t="str">
            <v>Whole Body</v>
          </cell>
          <cell r="L60">
            <v>5.5</v>
          </cell>
          <cell r="M60">
            <v>2.15</v>
          </cell>
        </row>
        <row r="61">
          <cell r="A61" t="str">
            <v>GC015-JBA-08132021</v>
          </cell>
          <cell r="C61" t="str">
            <v>Spill</v>
          </cell>
          <cell r="D61">
            <v>44314</v>
          </cell>
          <cell r="F61" t="str">
            <v>Swallowtail Shiner</v>
          </cell>
          <cell r="H61" t="str">
            <v>Notropis</v>
          </cell>
          <cell r="I61" t="str">
            <v>procne</v>
          </cell>
          <cell r="J61" t="str">
            <v>U</v>
          </cell>
          <cell r="K61" t="str">
            <v>Whole Body</v>
          </cell>
          <cell r="L61">
            <v>5</v>
          </cell>
          <cell r="M61">
            <v>2.25</v>
          </cell>
        </row>
        <row r="62">
          <cell r="A62" t="str">
            <v>GC016-JBA-08132021</v>
          </cell>
          <cell r="C62" t="str">
            <v>Spill</v>
          </cell>
          <cell r="D62">
            <v>44314</v>
          </cell>
          <cell r="F62" t="str">
            <v>Swallowtail Shiner</v>
          </cell>
          <cell r="H62" t="str">
            <v>Notropis</v>
          </cell>
          <cell r="I62" t="str">
            <v>procne</v>
          </cell>
          <cell r="J62" t="str">
            <v>U</v>
          </cell>
          <cell r="K62" t="str">
            <v>Whole Body</v>
          </cell>
          <cell r="L62">
            <v>6</v>
          </cell>
          <cell r="M62">
            <v>2.4500000000000002</v>
          </cell>
        </row>
        <row r="63">
          <cell r="A63" t="str">
            <v>GC017-JBA-08132021</v>
          </cell>
          <cell r="C63" t="str">
            <v>Spill</v>
          </cell>
          <cell r="D63">
            <v>44314</v>
          </cell>
          <cell r="F63" t="str">
            <v>Swallowtail Shiner</v>
          </cell>
          <cell r="H63" t="str">
            <v>Notropis</v>
          </cell>
          <cell r="I63" t="str">
            <v>procne</v>
          </cell>
          <cell r="J63" t="str">
            <v>U</v>
          </cell>
          <cell r="K63" t="str">
            <v>Whole Body</v>
          </cell>
          <cell r="L63">
            <v>5.5</v>
          </cell>
          <cell r="M63">
            <v>2.0499999999999998</v>
          </cell>
        </row>
        <row r="64">
          <cell r="A64" t="str">
            <v>BRS002-JBA-08132021</v>
          </cell>
          <cell r="C64" t="str">
            <v>Spill</v>
          </cell>
          <cell r="D64">
            <v>44314</v>
          </cell>
          <cell r="F64" t="str">
            <v>Swamp Darter</v>
          </cell>
          <cell r="H64" t="str">
            <v>Etheostoma</v>
          </cell>
          <cell r="I64" t="str">
            <v>fusiforme</v>
          </cell>
          <cell r="J64" t="str">
            <v>U</v>
          </cell>
          <cell r="K64" t="str">
            <v>Whole Body</v>
          </cell>
          <cell r="L64">
            <v>8</v>
          </cell>
          <cell r="M64">
            <v>5.25</v>
          </cell>
        </row>
        <row r="65">
          <cell r="A65" t="str">
            <v>BRS003-JBA-08132021</v>
          </cell>
          <cell r="C65" t="str">
            <v>Spill</v>
          </cell>
          <cell r="D65">
            <v>44314</v>
          </cell>
          <cell r="F65" t="str">
            <v>Swamp Darter</v>
          </cell>
          <cell r="H65" t="str">
            <v>Etheostoma</v>
          </cell>
          <cell r="I65" t="str">
            <v>fusiforme</v>
          </cell>
          <cell r="J65" t="str">
            <v>U</v>
          </cell>
          <cell r="K65" t="str">
            <v>Whole Body</v>
          </cell>
          <cell r="L65">
            <v>7.5</v>
          </cell>
          <cell r="M65">
            <v>4.95</v>
          </cell>
        </row>
        <row r="66">
          <cell r="A66" t="str">
            <v>BRS004-JBA-08132021</v>
          </cell>
          <cell r="C66" t="str">
            <v>Spill</v>
          </cell>
          <cell r="D66">
            <v>44314</v>
          </cell>
          <cell r="F66" t="str">
            <v>Swamp Darter</v>
          </cell>
          <cell r="H66" t="str">
            <v>Etheostoma</v>
          </cell>
          <cell r="I66" t="str">
            <v>fusiforme</v>
          </cell>
          <cell r="J66" t="str">
            <v>U</v>
          </cell>
          <cell r="K66" t="str">
            <v>Whole Body</v>
          </cell>
          <cell r="L66">
            <v>8</v>
          </cell>
          <cell r="M66">
            <v>5.85</v>
          </cell>
        </row>
        <row r="67">
          <cell r="A67" t="str">
            <v>BRS005-JBA-08132021</v>
          </cell>
          <cell r="C67" t="str">
            <v>Spill</v>
          </cell>
          <cell r="D67">
            <v>44314</v>
          </cell>
          <cell r="F67" t="str">
            <v>Swamp Darter</v>
          </cell>
          <cell r="H67" t="str">
            <v>Etheostoma</v>
          </cell>
          <cell r="I67" t="str">
            <v>fusiforme</v>
          </cell>
          <cell r="J67" t="str">
            <v>U</v>
          </cell>
          <cell r="K67" t="str">
            <v>Whole Body</v>
          </cell>
          <cell r="L67">
            <v>7.5</v>
          </cell>
          <cell r="M67">
            <v>5.4</v>
          </cell>
        </row>
        <row r="68">
          <cell r="A68" t="str">
            <v>BRS006-JBA-08132021</v>
          </cell>
          <cell r="C68" t="str">
            <v>Spill</v>
          </cell>
          <cell r="D68">
            <v>44314</v>
          </cell>
          <cell r="F68" t="str">
            <v>Swamp Darter</v>
          </cell>
          <cell r="H68" t="str">
            <v>Etheostoma</v>
          </cell>
          <cell r="I68" t="str">
            <v>fusiforme</v>
          </cell>
          <cell r="J68" t="str">
            <v>U</v>
          </cell>
          <cell r="K68" t="str">
            <v>Whole Body</v>
          </cell>
          <cell r="L68">
            <v>7</v>
          </cell>
          <cell r="M68">
            <v>4.5999999999999996</v>
          </cell>
        </row>
        <row r="69">
          <cell r="A69" t="str">
            <v>EMM002-JBA-08132021</v>
          </cell>
          <cell r="C69" t="str">
            <v>Spill</v>
          </cell>
          <cell r="D69">
            <v>44314</v>
          </cell>
          <cell r="F69" t="str">
            <v>Eastern Mudminnow</v>
          </cell>
          <cell r="H69" t="str">
            <v>Umbra</v>
          </cell>
          <cell r="I69" t="str">
            <v>pygmaea</v>
          </cell>
          <cell r="J69" t="str">
            <v>U</v>
          </cell>
          <cell r="K69" t="str">
            <v>Whole Body</v>
          </cell>
          <cell r="L69">
            <v>6</v>
          </cell>
          <cell r="M69">
            <v>2.75</v>
          </cell>
        </row>
        <row r="70">
          <cell r="A70" t="str">
            <v>EMM003-JBA-08132021</v>
          </cell>
          <cell r="C70" t="str">
            <v>Spill</v>
          </cell>
          <cell r="D70">
            <v>44314</v>
          </cell>
          <cell r="F70" t="str">
            <v>Eastern Mudminnow</v>
          </cell>
          <cell r="H70" t="str">
            <v>Umbra</v>
          </cell>
          <cell r="I70" t="str">
            <v>pygmaea</v>
          </cell>
          <cell r="J70" t="str">
            <v>U</v>
          </cell>
          <cell r="K70" t="str">
            <v>Whole Body</v>
          </cell>
          <cell r="L70">
            <v>5.5</v>
          </cell>
          <cell r="M70">
            <v>2.15</v>
          </cell>
        </row>
        <row r="71">
          <cell r="A71" t="str">
            <v>EMM004-JBA-08132021</v>
          </cell>
          <cell r="C71" t="str">
            <v>Spill</v>
          </cell>
          <cell r="D71">
            <v>44314</v>
          </cell>
          <cell r="F71" t="str">
            <v>Eastern Mudminnow</v>
          </cell>
          <cell r="H71" t="str">
            <v>Umbra</v>
          </cell>
          <cell r="I71" t="str">
            <v>pygmaea</v>
          </cell>
          <cell r="J71" t="str">
            <v>U</v>
          </cell>
          <cell r="K71" t="str">
            <v>Whole Body</v>
          </cell>
          <cell r="L71">
            <v>6.5</v>
          </cell>
          <cell r="M71">
            <v>4.05</v>
          </cell>
        </row>
        <row r="72">
          <cell r="A72" t="str">
            <v>EMM005-JBA-08132021</v>
          </cell>
          <cell r="C72" t="str">
            <v>Spill</v>
          </cell>
          <cell r="D72">
            <v>44314</v>
          </cell>
          <cell r="F72" t="str">
            <v>Eastern Mudminnow</v>
          </cell>
          <cell r="H72" t="str">
            <v>Umbra</v>
          </cell>
          <cell r="I72" t="str">
            <v>pygmaea</v>
          </cell>
          <cell r="J72" t="str">
            <v>U</v>
          </cell>
          <cell r="K72" t="str">
            <v>Whole Body</v>
          </cell>
          <cell r="L72">
            <v>7</v>
          </cell>
          <cell r="M72">
            <v>3.9</v>
          </cell>
        </row>
        <row r="73">
          <cell r="A73" t="str">
            <v>SS002-JBA-08132021</v>
          </cell>
          <cell r="C73" t="str">
            <v>Spill</v>
          </cell>
          <cell r="D73">
            <v>44314</v>
          </cell>
          <cell r="F73" t="str">
            <v>Longnose Dace</v>
          </cell>
          <cell r="H73" t="str">
            <v>Rhinichthys</v>
          </cell>
          <cell r="I73" t="str">
            <v>cataractae</v>
          </cell>
          <cell r="J73" t="str">
            <v>U</v>
          </cell>
          <cell r="K73" t="str">
            <v>Whole Body</v>
          </cell>
          <cell r="L73">
            <v>6.5</v>
          </cell>
          <cell r="M73">
            <v>3</v>
          </cell>
        </row>
        <row r="74">
          <cell r="A74" t="str">
            <v>CCS001-JBA-08162021</v>
          </cell>
          <cell r="C74" t="str">
            <v>Spill</v>
          </cell>
          <cell r="D74">
            <v>44314</v>
          </cell>
          <cell r="F74" t="str">
            <v>Creek Chubsucker</v>
          </cell>
          <cell r="H74" t="str">
            <v>Erimyzon</v>
          </cell>
          <cell r="I74" t="str">
            <v>oblongus</v>
          </cell>
          <cell r="J74" t="str">
            <v>U</v>
          </cell>
          <cell r="K74" t="str">
            <v>Whole Body</v>
          </cell>
          <cell r="L74">
            <v>12</v>
          </cell>
          <cell r="M74">
            <v>22.23</v>
          </cell>
        </row>
        <row r="75">
          <cell r="A75" t="str">
            <v>CCS002-JBA-08162021</v>
          </cell>
          <cell r="C75" t="str">
            <v>Spill</v>
          </cell>
          <cell r="D75">
            <v>44314</v>
          </cell>
          <cell r="F75" t="str">
            <v>Rosyside Dace</v>
          </cell>
          <cell r="H75" t="str">
            <v>Clinostomus</v>
          </cell>
          <cell r="I75" t="str">
            <v>funduloides</v>
          </cell>
          <cell r="J75" t="str">
            <v>U</v>
          </cell>
          <cell r="K75" t="str">
            <v>Whole Body</v>
          </cell>
          <cell r="L75">
            <v>11</v>
          </cell>
          <cell r="M75">
            <v>13.86</v>
          </cell>
        </row>
        <row r="76">
          <cell r="A76" t="str">
            <v>CC007-JBA-08132021</v>
          </cell>
          <cell r="C76" t="str">
            <v>Spill</v>
          </cell>
          <cell r="D76">
            <v>44314</v>
          </cell>
          <cell r="F76" t="str">
            <v>Creek Chubsucker</v>
          </cell>
          <cell r="H76" t="str">
            <v>Erimyzon</v>
          </cell>
          <cell r="I76" t="str">
            <v>oblongus</v>
          </cell>
          <cell r="J76" t="str">
            <v>U</v>
          </cell>
          <cell r="K76" t="str">
            <v>Whole Body</v>
          </cell>
          <cell r="L76">
            <v>9.5</v>
          </cell>
          <cell r="M76">
            <v>7.65</v>
          </cell>
        </row>
        <row r="77">
          <cell r="A77" t="str">
            <v>CS005-JBA-08132021</v>
          </cell>
          <cell r="C77" t="str">
            <v>Spill</v>
          </cell>
          <cell r="D77">
            <v>44314</v>
          </cell>
          <cell r="F77" t="str">
            <v>Tessellated Darter</v>
          </cell>
          <cell r="H77" t="str">
            <v>Etheostoma</v>
          </cell>
          <cell r="I77" t="str">
            <v>olmstedi</v>
          </cell>
          <cell r="J77" t="str">
            <v>U</v>
          </cell>
          <cell r="K77" t="str">
            <v>Whole Body</v>
          </cell>
          <cell r="L77">
            <v>7</v>
          </cell>
          <cell r="M77">
            <v>3.15</v>
          </cell>
        </row>
        <row r="78">
          <cell r="A78" t="str">
            <v>CS006-JBA-08132021</v>
          </cell>
          <cell r="C78" t="str">
            <v>Spill</v>
          </cell>
          <cell r="D78">
            <v>44314</v>
          </cell>
          <cell r="F78" t="str">
            <v>Tessellated Darter</v>
          </cell>
          <cell r="H78" t="str">
            <v>Etheostoma</v>
          </cell>
          <cell r="I78" t="str">
            <v>olmstedi</v>
          </cell>
          <cell r="J78" t="str">
            <v>U</v>
          </cell>
          <cell r="K78" t="str">
            <v>Whole Body</v>
          </cell>
          <cell r="L78">
            <v>6.5</v>
          </cell>
          <cell r="M78">
            <v>2.6</v>
          </cell>
        </row>
        <row r="79">
          <cell r="A79" t="str">
            <v>MM003-JBA-08132021</v>
          </cell>
          <cell r="C79" t="str">
            <v>Spill</v>
          </cell>
          <cell r="D79">
            <v>44314</v>
          </cell>
          <cell r="F79" t="str">
            <v>Margined Madtom</v>
          </cell>
          <cell r="H79" t="str">
            <v>Noturus</v>
          </cell>
          <cell r="I79" t="str">
            <v>insignis</v>
          </cell>
          <cell r="J79" t="str">
            <v>U</v>
          </cell>
          <cell r="K79" t="str">
            <v>Whole Body</v>
          </cell>
          <cell r="L79">
            <v>5.5</v>
          </cell>
          <cell r="M79">
            <v>1.5</v>
          </cell>
        </row>
        <row r="80">
          <cell r="A80" t="str">
            <v>MM004-JBA-08132021</v>
          </cell>
          <cell r="C80" t="str">
            <v>Spill</v>
          </cell>
          <cell r="D80">
            <v>44314</v>
          </cell>
          <cell r="F80" t="str">
            <v>Margined Madtom</v>
          </cell>
          <cell r="H80" t="str">
            <v>Noturus</v>
          </cell>
          <cell r="I80" t="str">
            <v>insignis</v>
          </cell>
          <cell r="J80" t="str">
            <v>U</v>
          </cell>
          <cell r="K80" t="str">
            <v>Whole Body</v>
          </cell>
          <cell r="L80">
            <v>12</v>
          </cell>
          <cell r="M80">
            <v>15.8</v>
          </cell>
        </row>
        <row r="81">
          <cell r="A81" t="str">
            <v>BK001-JBA-08132021</v>
          </cell>
          <cell r="C81" t="str">
            <v>Spill</v>
          </cell>
          <cell r="D81">
            <v>44314</v>
          </cell>
          <cell r="F81" t="str">
            <v>Banded Killifish</v>
          </cell>
          <cell r="H81" t="str">
            <v>Fundulus</v>
          </cell>
          <cell r="I81" t="str">
            <v>diaphanus</v>
          </cell>
          <cell r="J81" t="str">
            <v>U</v>
          </cell>
          <cell r="K81" t="str">
            <v>Whole Body</v>
          </cell>
          <cell r="L81">
            <v>9</v>
          </cell>
          <cell r="M81">
            <v>6.75</v>
          </cell>
        </row>
        <row r="82">
          <cell r="A82" t="str">
            <v>PU030-JBA-08162021</v>
          </cell>
          <cell r="C82" t="str">
            <v>Spill</v>
          </cell>
          <cell r="D82">
            <v>44393</v>
          </cell>
          <cell r="F82" t="str">
            <v>Pumpkinseed</v>
          </cell>
          <cell r="H82" t="str">
            <v>Lepomis</v>
          </cell>
          <cell r="I82" t="str">
            <v>gibbosus</v>
          </cell>
          <cell r="J82" t="str">
            <v>U</v>
          </cell>
          <cell r="K82" t="str">
            <v>Whole Body</v>
          </cell>
          <cell r="L82">
            <v>9.5</v>
          </cell>
          <cell r="M82">
            <v>18.28</v>
          </cell>
        </row>
        <row r="83">
          <cell r="A83" t="str">
            <v>PU031-JBA-08162021</v>
          </cell>
          <cell r="C83" t="str">
            <v>Spill</v>
          </cell>
          <cell r="D83">
            <v>44393</v>
          </cell>
          <cell r="F83" t="str">
            <v>Pumpkinseed</v>
          </cell>
          <cell r="H83" t="str">
            <v>Lepomis</v>
          </cell>
          <cell r="I83" t="str">
            <v>gibbosus</v>
          </cell>
          <cell r="J83" t="str">
            <v>U</v>
          </cell>
          <cell r="K83" t="str">
            <v>Whole Body</v>
          </cell>
          <cell r="L83">
            <v>9</v>
          </cell>
          <cell r="M83">
            <v>19.45</v>
          </cell>
        </row>
        <row r="84">
          <cell r="A84" t="str">
            <v>PU032-JBA-08162021</v>
          </cell>
          <cell r="C84" t="str">
            <v>Spill</v>
          </cell>
          <cell r="D84">
            <v>44393</v>
          </cell>
          <cell r="F84" t="str">
            <v>Pumpkinseed</v>
          </cell>
          <cell r="H84" t="str">
            <v>Lepomis</v>
          </cell>
          <cell r="I84" t="str">
            <v>gibbosus</v>
          </cell>
          <cell r="J84" t="str">
            <v>U</v>
          </cell>
          <cell r="K84" t="str">
            <v>Whole Body</v>
          </cell>
          <cell r="L84">
            <v>5</v>
          </cell>
          <cell r="M84">
            <v>6.29</v>
          </cell>
        </row>
        <row r="85">
          <cell r="A85" t="str">
            <v>PU033-JBA-08162021</v>
          </cell>
          <cell r="C85" t="str">
            <v>Spill</v>
          </cell>
          <cell r="D85">
            <v>44393</v>
          </cell>
          <cell r="F85" t="str">
            <v>Pumpkinseed</v>
          </cell>
          <cell r="H85" t="str">
            <v>Lepomis</v>
          </cell>
          <cell r="I85" t="str">
            <v>gibbosus</v>
          </cell>
          <cell r="J85" t="str">
            <v>U</v>
          </cell>
          <cell r="K85" t="str">
            <v>Whole Body</v>
          </cell>
          <cell r="L85">
            <v>7.5</v>
          </cell>
          <cell r="M85">
            <v>10.95</v>
          </cell>
        </row>
        <row r="86">
          <cell r="A86" t="str">
            <v>PU034-JBA-08162021</v>
          </cell>
          <cell r="C86" t="str">
            <v>Spill</v>
          </cell>
          <cell r="D86">
            <v>44393</v>
          </cell>
          <cell r="F86" t="str">
            <v>Pumpkinseed</v>
          </cell>
          <cell r="H86" t="str">
            <v>Lepomis</v>
          </cell>
          <cell r="I86" t="str">
            <v>gibbosus</v>
          </cell>
          <cell r="J86" t="str">
            <v>U</v>
          </cell>
          <cell r="K86" t="str">
            <v>Whole Body</v>
          </cell>
          <cell r="L86">
            <v>6</v>
          </cell>
          <cell r="M86">
            <v>6.99</v>
          </cell>
        </row>
        <row r="87">
          <cell r="A87" t="str">
            <v>PU035-JBA-08162021</v>
          </cell>
          <cell r="C87" t="str">
            <v>Spill</v>
          </cell>
          <cell r="D87">
            <v>44393</v>
          </cell>
          <cell r="F87" t="str">
            <v>Pumpkinseed</v>
          </cell>
          <cell r="H87" t="str">
            <v>Lepomis</v>
          </cell>
          <cell r="I87" t="str">
            <v>gibbosus</v>
          </cell>
          <cell r="J87" t="str">
            <v>U</v>
          </cell>
          <cell r="K87" t="str">
            <v>Whole Body</v>
          </cell>
          <cell r="L87">
            <v>5.5</v>
          </cell>
          <cell r="M87">
            <v>5.14</v>
          </cell>
        </row>
        <row r="88">
          <cell r="A88" t="str">
            <v>PU036-JBA-08162021</v>
          </cell>
          <cell r="C88" t="str">
            <v>Spill</v>
          </cell>
          <cell r="D88">
            <v>44393</v>
          </cell>
          <cell r="F88" t="str">
            <v>Pumpkinseed</v>
          </cell>
          <cell r="H88" t="str">
            <v>Lepomis</v>
          </cell>
          <cell r="I88" t="str">
            <v>gibbosus</v>
          </cell>
          <cell r="J88" t="str">
            <v>U</v>
          </cell>
          <cell r="K88" t="str">
            <v>Whole Body</v>
          </cell>
          <cell r="L88">
            <v>7</v>
          </cell>
          <cell r="M88">
            <v>10.31</v>
          </cell>
        </row>
        <row r="89">
          <cell r="A89" t="str">
            <v>PU037-JBA-08162021</v>
          </cell>
          <cell r="C89" t="str">
            <v>Spill</v>
          </cell>
          <cell r="D89">
            <v>44393</v>
          </cell>
          <cell r="F89" t="str">
            <v>Pumpkinseed</v>
          </cell>
          <cell r="H89" t="str">
            <v>Lepomis</v>
          </cell>
          <cell r="I89" t="str">
            <v>gibbosus</v>
          </cell>
          <cell r="J89" t="str">
            <v>U</v>
          </cell>
          <cell r="K89" t="str">
            <v>Whole Body</v>
          </cell>
          <cell r="L89">
            <v>8.5</v>
          </cell>
          <cell r="M89">
            <v>15.35</v>
          </cell>
        </row>
        <row r="90">
          <cell r="A90" t="str">
            <v>PU038-JBA-08162021</v>
          </cell>
          <cell r="C90" t="str">
            <v>Spill</v>
          </cell>
          <cell r="D90">
            <v>44393</v>
          </cell>
          <cell r="F90" t="str">
            <v>Pumpkinseed</v>
          </cell>
          <cell r="H90" t="str">
            <v>Lepomis</v>
          </cell>
          <cell r="I90" t="str">
            <v>gibbosus</v>
          </cell>
          <cell r="J90" t="str">
            <v>U</v>
          </cell>
          <cell r="K90" t="str">
            <v>Whole Body</v>
          </cell>
          <cell r="L90">
            <v>7.5</v>
          </cell>
          <cell r="M90">
            <v>12.02</v>
          </cell>
        </row>
        <row r="91">
          <cell r="A91" t="str">
            <v>PU039-JBA-08162021</v>
          </cell>
          <cell r="C91" t="str">
            <v>Spill</v>
          </cell>
          <cell r="D91">
            <v>44393</v>
          </cell>
          <cell r="F91" t="str">
            <v>Pumpkinseed</v>
          </cell>
          <cell r="H91" t="str">
            <v>Lepomis</v>
          </cell>
          <cell r="I91" t="str">
            <v>gibbosus</v>
          </cell>
          <cell r="J91" t="str">
            <v>U</v>
          </cell>
          <cell r="K91" t="str">
            <v>Whole Body</v>
          </cell>
          <cell r="L91">
            <v>8.5</v>
          </cell>
          <cell r="M91">
            <v>14.64</v>
          </cell>
        </row>
        <row r="92">
          <cell r="A92" t="str">
            <v>PU040-LIV-08162021</v>
          </cell>
          <cell r="C92" t="str">
            <v>Spill</v>
          </cell>
          <cell r="D92">
            <v>44393</v>
          </cell>
          <cell r="F92" t="str">
            <v>Pumpkinseed</v>
          </cell>
          <cell r="H92" t="str">
            <v>Lepomis</v>
          </cell>
          <cell r="I92" t="str">
            <v>gibbosus</v>
          </cell>
          <cell r="J92" t="str">
            <v>M</v>
          </cell>
          <cell r="K92" t="str">
            <v>Liver</v>
          </cell>
          <cell r="L92">
            <v>13</v>
          </cell>
          <cell r="M92">
            <v>40.79</v>
          </cell>
        </row>
        <row r="93">
          <cell r="A93" t="str">
            <v>PU040-MU-08162021</v>
          </cell>
          <cell r="C93" t="str">
            <v>Spill</v>
          </cell>
          <cell r="D93">
            <v>44393</v>
          </cell>
          <cell r="F93" t="str">
            <v>Pumpkinseed</v>
          </cell>
          <cell r="H93" t="str">
            <v>Lepomis</v>
          </cell>
          <cell r="I93" t="str">
            <v>gibbosus</v>
          </cell>
          <cell r="J93" t="str">
            <v>M</v>
          </cell>
          <cell r="K93" t="str">
            <v>Muscle</v>
          </cell>
          <cell r="L93">
            <v>13</v>
          </cell>
          <cell r="M93">
            <v>40.79</v>
          </cell>
        </row>
        <row r="94">
          <cell r="A94" t="str">
            <v>PU041-LIV-08162021</v>
          </cell>
          <cell r="C94" t="str">
            <v>Spill</v>
          </cell>
          <cell r="D94">
            <v>44393</v>
          </cell>
          <cell r="F94" t="str">
            <v>Pumpkinseed</v>
          </cell>
          <cell r="H94" t="str">
            <v>Lepomis</v>
          </cell>
          <cell r="I94" t="str">
            <v>gibbosus</v>
          </cell>
          <cell r="J94" t="str">
            <v>M</v>
          </cell>
          <cell r="K94" t="str">
            <v>Liver</v>
          </cell>
          <cell r="L94">
            <v>12.5</v>
          </cell>
          <cell r="M94">
            <v>30.45</v>
          </cell>
        </row>
        <row r="95">
          <cell r="A95" t="str">
            <v>PU041-MU-08162021</v>
          </cell>
          <cell r="C95" t="str">
            <v>Spill</v>
          </cell>
          <cell r="D95">
            <v>44393</v>
          </cell>
          <cell r="F95" t="str">
            <v>Pumpkinseed</v>
          </cell>
          <cell r="H95" t="str">
            <v>Lepomis</v>
          </cell>
          <cell r="I95" t="str">
            <v>gibbosus</v>
          </cell>
          <cell r="J95" t="str">
            <v>M</v>
          </cell>
          <cell r="K95" t="str">
            <v>Muscle</v>
          </cell>
          <cell r="L95">
            <v>12.5</v>
          </cell>
          <cell r="M95">
            <v>30.45</v>
          </cell>
        </row>
        <row r="96">
          <cell r="A96" t="str">
            <v>PU042-JBA-08162021</v>
          </cell>
          <cell r="C96" t="str">
            <v>Spill</v>
          </cell>
          <cell r="D96">
            <v>44393</v>
          </cell>
          <cell r="F96" t="str">
            <v>Pumpkinseed</v>
          </cell>
          <cell r="H96" t="str">
            <v>Lepomis</v>
          </cell>
          <cell r="I96" t="str">
            <v>gibbosus</v>
          </cell>
          <cell r="J96" t="str">
            <v>U</v>
          </cell>
          <cell r="K96" t="str">
            <v>Whole Body</v>
          </cell>
          <cell r="L96">
            <v>9</v>
          </cell>
          <cell r="M96">
            <v>10.43</v>
          </cell>
        </row>
        <row r="97">
          <cell r="A97" t="str">
            <v>PU043-JBA-08162021</v>
          </cell>
          <cell r="C97" t="str">
            <v>Spill</v>
          </cell>
          <cell r="D97">
            <v>44393</v>
          </cell>
          <cell r="F97" t="str">
            <v>Pumpkinseed</v>
          </cell>
          <cell r="H97" t="str">
            <v>Lepomis</v>
          </cell>
          <cell r="I97" t="str">
            <v>gibbosus</v>
          </cell>
          <cell r="J97" t="str">
            <v>U</v>
          </cell>
          <cell r="K97" t="str">
            <v>Whole Body</v>
          </cell>
          <cell r="L97">
            <v>8</v>
          </cell>
          <cell r="M97">
            <v>7.72</v>
          </cell>
        </row>
        <row r="98">
          <cell r="A98" t="str">
            <v>PU044-JBA-08162021</v>
          </cell>
          <cell r="C98" t="str">
            <v>Spill</v>
          </cell>
          <cell r="D98">
            <v>44393</v>
          </cell>
          <cell r="F98" t="str">
            <v>Pumpkinseed</v>
          </cell>
          <cell r="H98" t="str">
            <v>Lepomis</v>
          </cell>
          <cell r="I98" t="str">
            <v>gibbosus</v>
          </cell>
          <cell r="J98" t="str">
            <v>U</v>
          </cell>
          <cell r="K98" t="str">
            <v>Whole Body</v>
          </cell>
          <cell r="L98">
            <v>8</v>
          </cell>
          <cell r="M98">
            <v>8.65</v>
          </cell>
        </row>
        <row r="99">
          <cell r="A99" t="str">
            <v>PU045-JBA-08162021</v>
          </cell>
          <cell r="C99" t="str">
            <v>Spill</v>
          </cell>
          <cell r="D99">
            <v>44393</v>
          </cell>
          <cell r="F99" t="str">
            <v>Pumpkinseed</v>
          </cell>
          <cell r="H99" t="str">
            <v>Lepomis</v>
          </cell>
          <cell r="I99" t="str">
            <v>gibbosus</v>
          </cell>
          <cell r="J99" t="str">
            <v>U</v>
          </cell>
          <cell r="K99" t="str">
            <v>Whole Body</v>
          </cell>
          <cell r="L99">
            <v>10</v>
          </cell>
          <cell r="M99">
            <v>21.27</v>
          </cell>
        </row>
        <row r="100">
          <cell r="A100" t="str">
            <v>PU046-JBA-08162021</v>
          </cell>
          <cell r="C100" t="str">
            <v>Spill</v>
          </cell>
          <cell r="D100">
            <v>44393</v>
          </cell>
          <cell r="F100" t="str">
            <v>Pumpkinseed</v>
          </cell>
          <cell r="H100" t="str">
            <v>Lepomis</v>
          </cell>
          <cell r="I100" t="str">
            <v>gibbosus</v>
          </cell>
          <cell r="J100" t="str">
            <v>U</v>
          </cell>
          <cell r="K100" t="str">
            <v>Whole Body</v>
          </cell>
          <cell r="L100">
            <v>5.5</v>
          </cell>
          <cell r="M100">
            <v>3.24</v>
          </cell>
        </row>
        <row r="101">
          <cell r="A101" t="str">
            <v>PU047-JBA-08162021</v>
          </cell>
          <cell r="C101" t="str">
            <v>Spill</v>
          </cell>
          <cell r="D101">
            <v>44393</v>
          </cell>
          <cell r="F101" t="str">
            <v>Pumpkinseed</v>
          </cell>
          <cell r="H101" t="str">
            <v>Lepomis</v>
          </cell>
          <cell r="I101" t="str">
            <v>gibbosus</v>
          </cell>
          <cell r="J101" t="str">
            <v>U</v>
          </cell>
          <cell r="K101" t="str">
            <v>Whole Body</v>
          </cell>
          <cell r="L101">
            <v>7</v>
          </cell>
          <cell r="M101">
            <v>5.78</v>
          </cell>
        </row>
        <row r="102">
          <cell r="A102" t="str">
            <v>PU048-JBA-08162021</v>
          </cell>
          <cell r="C102" t="str">
            <v>Spill</v>
          </cell>
          <cell r="D102">
            <v>44393</v>
          </cell>
          <cell r="F102" t="str">
            <v>Pumpkinseed</v>
          </cell>
          <cell r="H102" t="str">
            <v>Lepomis</v>
          </cell>
          <cell r="I102" t="str">
            <v>gibbosus</v>
          </cell>
          <cell r="J102" t="str">
            <v>U</v>
          </cell>
          <cell r="K102" t="str">
            <v>Whole Body</v>
          </cell>
          <cell r="L102">
            <v>6.5</v>
          </cell>
          <cell r="M102">
            <v>4.38</v>
          </cell>
        </row>
        <row r="103">
          <cell r="A103" t="str">
            <v>PU049-JBA-08162021</v>
          </cell>
          <cell r="C103" t="str">
            <v>Spill</v>
          </cell>
          <cell r="D103">
            <v>44393</v>
          </cell>
          <cell r="F103" t="str">
            <v>Pumpkinseed</v>
          </cell>
          <cell r="H103" t="str">
            <v>Lepomis</v>
          </cell>
          <cell r="I103" t="str">
            <v>gibbosus</v>
          </cell>
          <cell r="J103" t="str">
            <v>U</v>
          </cell>
          <cell r="K103" t="str">
            <v>Whole Body</v>
          </cell>
          <cell r="L103">
            <v>5.5</v>
          </cell>
          <cell r="M103">
            <v>3.29</v>
          </cell>
        </row>
        <row r="104">
          <cell r="A104" t="str">
            <v>PU050-JBA-08162021</v>
          </cell>
          <cell r="C104" t="str">
            <v>Spill</v>
          </cell>
          <cell r="D104">
            <v>44393</v>
          </cell>
          <cell r="F104" t="str">
            <v>Pumpkinseed</v>
          </cell>
          <cell r="H104" t="str">
            <v>Lepomis</v>
          </cell>
          <cell r="I104" t="str">
            <v>gibbosus</v>
          </cell>
          <cell r="J104" t="str">
            <v>U</v>
          </cell>
          <cell r="K104" t="str">
            <v>Whole Body</v>
          </cell>
          <cell r="L104">
            <v>6.5</v>
          </cell>
          <cell r="M104">
            <v>5.55</v>
          </cell>
        </row>
        <row r="105">
          <cell r="A105" t="str">
            <v>PU051-JBA-08162021</v>
          </cell>
          <cell r="C105" t="str">
            <v>Spill</v>
          </cell>
          <cell r="D105">
            <v>44393</v>
          </cell>
          <cell r="F105" t="str">
            <v>Pumpkinseed</v>
          </cell>
          <cell r="H105" t="str">
            <v>Lepomis</v>
          </cell>
          <cell r="I105" t="str">
            <v>gibbosus</v>
          </cell>
          <cell r="J105" t="str">
            <v>U</v>
          </cell>
          <cell r="K105" t="str">
            <v>Whole Body</v>
          </cell>
          <cell r="L105">
            <v>5</v>
          </cell>
          <cell r="M105">
            <v>4.68</v>
          </cell>
        </row>
        <row r="106">
          <cell r="A106" t="str">
            <v>PU052-JBA-08162021</v>
          </cell>
          <cell r="C106" t="str">
            <v>Spill</v>
          </cell>
          <cell r="D106">
            <v>44393</v>
          </cell>
          <cell r="F106" t="str">
            <v>Pumpkinseed</v>
          </cell>
          <cell r="H106" t="str">
            <v>Lepomis</v>
          </cell>
          <cell r="I106" t="str">
            <v>gibbosus</v>
          </cell>
          <cell r="J106" t="str">
            <v>U</v>
          </cell>
          <cell r="K106" t="str">
            <v>Whole Body</v>
          </cell>
          <cell r="L106">
            <v>7.5</v>
          </cell>
          <cell r="M106">
            <v>9.56</v>
          </cell>
        </row>
        <row r="107">
          <cell r="A107" t="str">
            <v>PU053-JBA-08162021</v>
          </cell>
          <cell r="C107" t="str">
            <v>Spill</v>
          </cell>
          <cell r="D107">
            <v>44393</v>
          </cell>
          <cell r="F107" t="str">
            <v>Pumpkinseed</v>
          </cell>
          <cell r="H107" t="str">
            <v>Lepomis</v>
          </cell>
          <cell r="I107" t="str">
            <v>gibbosus</v>
          </cell>
          <cell r="J107" t="str">
            <v>U</v>
          </cell>
          <cell r="K107" t="str">
            <v>Whole Body</v>
          </cell>
          <cell r="L107">
            <v>8</v>
          </cell>
          <cell r="M107">
            <v>11.85</v>
          </cell>
        </row>
        <row r="108">
          <cell r="A108" t="str">
            <v>PU054-JBA-08162021</v>
          </cell>
          <cell r="C108" t="str">
            <v>Spill</v>
          </cell>
          <cell r="D108">
            <v>44393</v>
          </cell>
          <cell r="F108" t="str">
            <v>Pumpkinseed</v>
          </cell>
          <cell r="H108" t="str">
            <v>Lepomis</v>
          </cell>
          <cell r="I108" t="str">
            <v>gibbosus</v>
          </cell>
          <cell r="J108" t="str">
            <v>U</v>
          </cell>
          <cell r="K108" t="str">
            <v>Whole Body</v>
          </cell>
          <cell r="L108">
            <v>8.5</v>
          </cell>
          <cell r="M108">
            <v>12.25</v>
          </cell>
        </row>
        <row r="109">
          <cell r="A109" t="str">
            <v>PU055-JBA-08162021</v>
          </cell>
          <cell r="C109" t="str">
            <v>Spill</v>
          </cell>
          <cell r="D109">
            <v>44393</v>
          </cell>
          <cell r="F109" t="str">
            <v>Pumpkinseed</v>
          </cell>
          <cell r="H109" t="str">
            <v>Lepomis</v>
          </cell>
          <cell r="I109" t="str">
            <v>gibbosus</v>
          </cell>
          <cell r="J109" t="str">
            <v>U</v>
          </cell>
          <cell r="K109" t="str">
            <v>Whole Body</v>
          </cell>
          <cell r="L109">
            <v>8</v>
          </cell>
          <cell r="M109">
            <v>12.21</v>
          </cell>
        </row>
        <row r="110">
          <cell r="A110" t="str">
            <v>PU056-JBA-08162021</v>
          </cell>
          <cell r="C110" t="str">
            <v>Spill</v>
          </cell>
          <cell r="D110">
            <v>44393</v>
          </cell>
          <cell r="F110" t="str">
            <v>Pumpkinseed</v>
          </cell>
          <cell r="H110" t="str">
            <v>Lepomis</v>
          </cell>
          <cell r="I110" t="str">
            <v>gibbosus</v>
          </cell>
          <cell r="J110" t="str">
            <v>U</v>
          </cell>
          <cell r="K110" t="str">
            <v>Whole Body</v>
          </cell>
          <cell r="L110">
            <v>7</v>
          </cell>
          <cell r="M110">
            <v>8.8000000000000007</v>
          </cell>
        </row>
        <row r="111">
          <cell r="A111" t="str">
            <v>PU057-JBA-08162021</v>
          </cell>
          <cell r="C111" t="str">
            <v>Spill</v>
          </cell>
          <cell r="D111">
            <v>44393</v>
          </cell>
          <cell r="F111" t="str">
            <v>Pumpkinseed</v>
          </cell>
          <cell r="H111" t="str">
            <v>Lepomis</v>
          </cell>
          <cell r="I111" t="str">
            <v>gibbosus</v>
          </cell>
          <cell r="J111" t="str">
            <v>U</v>
          </cell>
          <cell r="K111" t="str">
            <v>Whole Body</v>
          </cell>
          <cell r="L111">
            <v>6.5</v>
          </cell>
          <cell r="M111">
            <v>6.3</v>
          </cell>
        </row>
        <row r="112">
          <cell r="A112" t="str">
            <v>PU058-JBA-08162021</v>
          </cell>
          <cell r="C112" t="str">
            <v>Spill</v>
          </cell>
          <cell r="D112">
            <v>44393</v>
          </cell>
          <cell r="F112" t="str">
            <v>Pumpkinseed</v>
          </cell>
          <cell r="H112" t="str">
            <v>Lepomis</v>
          </cell>
          <cell r="I112" t="str">
            <v>gibbosus</v>
          </cell>
          <cell r="J112" t="str">
            <v>U</v>
          </cell>
          <cell r="K112" t="str">
            <v>Whole Body</v>
          </cell>
          <cell r="L112">
            <v>6.5</v>
          </cell>
          <cell r="M112">
            <v>5.93</v>
          </cell>
        </row>
        <row r="113">
          <cell r="A113" t="str">
            <v>PU059-JBA-08162021</v>
          </cell>
          <cell r="C113" t="str">
            <v>Spill</v>
          </cell>
          <cell r="D113">
            <v>44393</v>
          </cell>
          <cell r="F113" t="str">
            <v>Pumpkinseed</v>
          </cell>
          <cell r="H113" t="str">
            <v>Lepomis</v>
          </cell>
          <cell r="I113" t="str">
            <v>gibbosus</v>
          </cell>
          <cell r="J113" t="str">
            <v>U</v>
          </cell>
          <cell r="K113" t="str">
            <v>Whole Body</v>
          </cell>
          <cell r="L113">
            <v>9</v>
          </cell>
          <cell r="M113">
            <v>13.89</v>
          </cell>
        </row>
        <row r="114">
          <cell r="A114" t="str">
            <v>GC018-JBA-08162021</v>
          </cell>
          <cell r="C114" t="str">
            <v>Spill</v>
          </cell>
          <cell r="D114">
            <v>44393</v>
          </cell>
          <cell r="F114" t="str">
            <v>Swallowtail Shiner</v>
          </cell>
          <cell r="H114" t="str">
            <v>Notropis</v>
          </cell>
          <cell r="I114" t="str">
            <v>procne</v>
          </cell>
          <cell r="J114" t="str">
            <v>U</v>
          </cell>
          <cell r="K114" t="str">
            <v>Whole Body</v>
          </cell>
          <cell r="L114">
            <v>5.5</v>
          </cell>
          <cell r="M114">
            <v>1.88</v>
          </cell>
        </row>
        <row r="115">
          <cell r="A115" t="str">
            <v>GC019-JBA-08162021</v>
          </cell>
          <cell r="C115" t="str">
            <v>Spill</v>
          </cell>
          <cell r="D115">
            <v>44393</v>
          </cell>
          <cell r="F115" t="str">
            <v>Swallowtail Shiner</v>
          </cell>
          <cell r="H115" t="str">
            <v>Notropis</v>
          </cell>
          <cell r="I115" t="str">
            <v>procne</v>
          </cell>
          <cell r="J115" t="str">
            <v>U</v>
          </cell>
          <cell r="K115" t="str">
            <v>Whole Body</v>
          </cell>
          <cell r="L115">
            <v>5.5</v>
          </cell>
          <cell r="M115">
            <v>1.79</v>
          </cell>
        </row>
        <row r="116">
          <cell r="A116" t="str">
            <v>GC020-JBA-08162021</v>
          </cell>
          <cell r="C116" t="str">
            <v>Spill</v>
          </cell>
          <cell r="D116">
            <v>44393</v>
          </cell>
          <cell r="F116" t="str">
            <v>Swallowtail Shiner</v>
          </cell>
          <cell r="H116" t="str">
            <v>Notropis</v>
          </cell>
          <cell r="I116" t="str">
            <v>procne</v>
          </cell>
          <cell r="J116" t="str">
            <v>U</v>
          </cell>
          <cell r="K116" t="str">
            <v>Whole Body</v>
          </cell>
          <cell r="L116">
            <v>5</v>
          </cell>
          <cell r="M116">
            <v>1.31</v>
          </cell>
        </row>
        <row r="117">
          <cell r="A117" t="str">
            <v>CS007-JBA-08162021</v>
          </cell>
          <cell r="C117" t="str">
            <v>Spill</v>
          </cell>
          <cell r="D117">
            <v>44393</v>
          </cell>
          <cell r="F117" t="str">
            <v>Tessellated Darter</v>
          </cell>
          <cell r="H117" t="str">
            <v>Etheostoma</v>
          </cell>
          <cell r="I117" t="str">
            <v>olmstedi</v>
          </cell>
          <cell r="J117" t="str">
            <v>U</v>
          </cell>
          <cell r="K117" t="str">
            <v>Whole Body</v>
          </cell>
          <cell r="L117">
            <v>3.83</v>
          </cell>
          <cell r="M117">
            <v>1.34</v>
          </cell>
        </row>
        <row r="118">
          <cell r="A118" t="str">
            <v>LMB001-JBA-08162021</v>
          </cell>
          <cell r="C118" t="str">
            <v>Spill</v>
          </cell>
          <cell r="D118">
            <v>44393</v>
          </cell>
          <cell r="F118" t="str">
            <v>Large Mouth Bass</v>
          </cell>
          <cell r="H118" t="str">
            <v>Micropterus</v>
          </cell>
          <cell r="I118" t="str">
            <v>salmoides</v>
          </cell>
          <cell r="J118" t="str">
            <v>U</v>
          </cell>
          <cell r="K118" t="str">
            <v>Whole Body</v>
          </cell>
          <cell r="L118">
            <v>7.75</v>
          </cell>
          <cell r="M118">
            <v>25.51</v>
          </cell>
        </row>
        <row r="119">
          <cell r="A119" t="str">
            <v>CC008-JBA-08162021</v>
          </cell>
          <cell r="C119" t="str">
            <v>Spill</v>
          </cell>
          <cell r="D119">
            <v>44393</v>
          </cell>
          <cell r="F119" t="str">
            <v>Rosyside Dace</v>
          </cell>
          <cell r="H119" t="str">
            <v>Clinostomus</v>
          </cell>
          <cell r="I119" t="str">
            <v>funduloides</v>
          </cell>
          <cell r="J119" t="str">
            <v>U</v>
          </cell>
          <cell r="K119" t="str">
            <v>Whole Body</v>
          </cell>
          <cell r="L119">
            <v>12</v>
          </cell>
          <cell r="M119">
            <v>23.18</v>
          </cell>
        </row>
        <row r="120">
          <cell r="A120" t="str">
            <v>CC009-JBA-08162021</v>
          </cell>
          <cell r="C120" t="str">
            <v>Spill</v>
          </cell>
          <cell r="D120">
            <v>44393</v>
          </cell>
          <cell r="F120" t="str">
            <v>Rosyside Dace</v>
          </cell>
          <cell r="H120" t="str">
            <v>Clinostomus</v>
          </cell>
          <cell r="I120" t="str">
            <v>funduloides</v>
          </cell>
          <cell r="J120" t="str">
            <v>U</v>
          </cell>
          <cell r="K120" t="str">
            <v>Whole Body</v>
          </cell>
          <cell r="L120">
            <v>9</v>
          </cell>
          <cell r="M120">
            <v>10.02</v>
          </cell>
        </row>
        <row r="121">
          <cell r="A121" t="str">
            <v>ESM001-JBA-08162021</v>
          </cell>
          <cell r="C121" t="str">
            <v>Spill</v>
          </cell>
          <cell r="D121">
            <v>44393</v>
          </cell>
          <cell r="F121" t="str">
            <v>Fallfish</v>
          </cell>
          <cell r="H121" t="str">
            <v>Semotilus</v>
          </cell>
          <cell r="I121" t="str">
            <v>corporalis</v>
          </cell>
          <cell r="J121" t="str">
            <v>U</v>
          </cell>
          <cell r="K121" t="str">
            <v>Whole Body</v>
          </cell>
          <cell r="L121">
            <v>8</v>
          </cell>
          <cell r="M121">
            <v>4.83</v>
          </cell>
        </row>
        <row r="122">
          <cell r="A122" t="str">
            <v>ESM002-JBA-08162021</v>
          </cell>
          <cell r="C122" t="str">
            <v>Spill</v>
          </cell>
          <cell r="D122">
            <v>44393</v>
          </cell>
          <cell r="F122" t="str">
            <v>Fallfish</v>
          </cell>
          <cell r="H122" t="str">
            <v>Semotilus</v>
          </cell>
          <cell r="I122" t="str">
            <v>corporalis</v>
          </cell>
          <cell r="J122" t="str">
            <v>U</v>
          </cell>
          <cell r="K122" t="str">
            <v>Whole Body</v>
          </cell>
          <cell r="L122">
            <v>7.5</v>
          </cell>
          <cell r="M122">
            <v>3.57</v>
          </cell>
        </row>
        <row r="123">
          <cell r="A123" t="str">
            <v>ESM003-JBA-08162021</v>
          </cell>
          <cell r="C123" t="str">
            <v>Spill</v>
          </cell>
          <cell r="D123">
            <v>44393</v>
          </cell>
          <cell r="F123" t="str">
            <v>Fallfish</v>
          </cell>
          <cell r="H123" t="str">
            <v>Semotilus</v>
          </cell>
          <cell r="I123" t="str">
            <v>corporalis</v>
          </cell>
          <cell r="J123" t="str">
            <v>U</v>
          </cell>
          <cell r="K123" t="str">
            <v>Whole Body</v>
          </cell>
          <cell r="L123">
            <v>8</v>
          </cell>
          <cell r="M123">
            <v>4.43</v>
          </cell>
        </row>
        <row r="124">
          <cell r="A124" t="str">
            <v>SS003-JBA-08132021</v>
          </cell>
          <cell r="C124" t="str">
            <v>Spill</v>
          </cell>
          <cell r="D124">
            <v>44393</v>
          </cell>
          <cell r="F124" t="str">
            <v>Blacknose Dace</v>
          </cell>
          <cell r="H124" t="str">
            <v>Rhinichthys</v>
          </cell>
          <cell r="I124" t="str">
            <v>atratulus</v>
          </cell>
          <cell r="J124" t="str">
            <v>U</v>
          </cell>
          <cell r="K124" t="str">
            <v>Whole Body</v>
          </cell>
          <cell r="L124">
            <v>4.3</v>
          </cell>
          <cell r="M124">
            <v>2.0099999999999998</v>
          </cell>
        </row>
        <row r="125">
          <cell r="A125" t="str">
            <v>SS004-JBA-08132021</v>
          </cell>
          <cell r="C125" t="str">
            <v>Spill</v>
          </cell>
          <cell r="D125">
            <v>44393</v>
          </cell>
          <cell r="F125" t="str">
            <v>Blacknose Dace</v>
          </cell>
          <cell r="H125" t="str">
            <v>Rhinichthys</v>
          </cell>
          <cell r="I125" t="str">
            <v>atratulus</v>
          </cell>
          <cell r="J125" t="str">
            <v>U</v>
          </cell>
          <cell r="K125" t="str">
            <v>Whole Body</v>
          </cell>
          <cell r="L125">
            <v>6</v>
          </cell>
          <cell r="M125">
            <v>2.12</v>
          </cell>
        </row>
        <row r="126">
          <cell r="A126" t="str">
            <v>SS005-JBA-08132021</v>
          </cell>
          <cell r="C126" t="str">
            <v>Spill</v>
          </cell>
          <cell r="D126">
            <v>44393</v>
          </cell>
          <cell r="F126" t="str">
            <v>Blacknose Dace</v>
          </cell>
          <cell r="H126" t="str">
            <v>Rhinichthys</v>
          </cell>
          <cell r="I126" t="str">
            <v>atratulus</v>
          </cell>
          <cell r="J126" t="str">
            <v>U</v>
          </cell>
          <cell r="K126" t="str">
            <v>Whole Body</v>
          </cell>
          <cell r="L126">
            <v>5</v>
          </cell>
          <cell r="M126">
            <v>2.04</v>
          </cell>
        </row>
        <row r="127">
          <cell r="A127" t="str">
            <v>SS006-JBA-08132021</v>
          </cell>
          <cell r="C127" t="str">
            <v>Spill</v>
          </cell>
          <cell r="D127">
            <v>44393</v>
          </cell>
          <cell r="F127" t="str">
            <v>Blacknose Dace</v>
          </cell>
          <cell r="H127" t="str">
            <v>Rhinichthys</v>
          </cell>
          <cell r="I127" t="str">
            <v>atratulus</v>
          </cell>
          <cell r="J127" t="str">
            <v>U</v>
          </cell>
          <cell r="K127" t="str">
            <v>Whole Body</v>
          </cell>
          <cell r="L127">
            <v>4.2</v>
          </cell>
          <cell r="M127">
            <v>3.02</v>
          </cell>
        </row>
        <row r="128">
          <cell r="A128" t="str">
            <v>MM005-JBA-08162021</v>
          </cell>
          <cell r="C128" t="str">
            <v>Spill</v>
          </cell>
          <cell r="D128">
            <v>44393</v>
          </cell>
          <cell r="F128" t="str">
            <v>Margined Madtom</v>
          </cell>
          <cell r="H128" t="str">
            <v>Noturus</v>
          </cell>
          <cell r="I128" t="str">
            <v>insignis</v>
          </cell>
          <cell r="J128" t="str">
            <v>U</v>
          </cell>
          <cell r="K128" t="str">
            <v>Whole Body</v>
          </cell>
          <cell r="L128">
            <v>13</v>
          </cell>
          <cell r="M128">
            <v>18.59</v>
          </cell>
        </row>
        <row r="129">
          <cell r="A129" t="str">
            <v>MM006-JBA-08162021</v>
          </cell>
          <cell r="C129" t="str">
            <v>Spill</v>
          </cell>
          <cell r="D129">
            <v>44393</v>
          </cell>
          <cell r="F129" t="str">
            <v>Margined Madtom</v>
          </cell>
          <cell r="H129" t="str">
            <v>Noturus</v>
          </cell>
          <cell r="I129" t="str">
            <v>insignis</v>
          </cell>
          <cell r="J129" t="str">
            <v>U</v>
          </cell>
          <cell r="K129" t="str">
            <v>Whole Body</v>
          </cell>
          <cell r="L129">
            <v>8</v>
          </cell>
          <cell r="M129">
            <v>3.74</v>
          </cell>
        </row>
        <row r="130">
          <cell r="A130" t="str">
            <v>MM007-JBA-08162021</v>
          </cell>
          <cell r="C130" t="str">
            <v>Spill</v>
          </cell>
          <cell r="D130">
            <v>44393</v>
          </cell>
          <cell r="F130" t="str">
            <v>Margined Madtom</v>
          </cell>
          <cell r="H130" t="str">
            <v>Noturus</v>
          </cell>
          <cell r="I130" t="str">
            <v>insignis</v>
          </cell>
          <cell r="J130" t="str">
            <v>U</v>
          </cell>
          <cell r="K130" t="str">
            <v>Whole Body</v>
          </cell>
          <cell r="L130">
            <v>7</v>
          </cell>
          <cell r="M130">
            <v>3.22</v>
          </cell>
        </row>
        <row r="131">
          <cell r="A131" t="str">
            <v>EMM006-JBA-08162021</v>
          </cell>
          <cell r="C131" t="str">
            <v>Spill</v>
          </cell>
          <cell r="D131">
            <v>44393</v>
          </cell>
          <cell r="F131" t="str">
            <v>Eastern Mudminnow</v>
          </cell>
          <cell r="H131" t="str">
            <v>Umbra</v>
          </cell>
          <cell r="I131" t="str">
            <v>pygmaea</v>
          </cell>
          <cell r="J131" t="str">
            <v>U</v>
          </cell>
          <cell r="K131" t="str">
            <v>Whole Body</v>
          </cell>
          <cell r="L131">
            <v>6</v>
          </cell>
          <cell r="M131">
            <v>2.62</v>
          </cell>
        </row>
        <row r="132">
          <cell r="A132" t="str">
            <v>EMM007-JBA-08162021</v>
          </cell>
          <cell r="C132" t="str">
            <v>Spill</v>
          </cell>
          <cell r="D132">
            <v>44393</v>
          </cell>
          <cell r="F132" t="str">
            <v>Eastern Mudminnow</v>
          </cell>
          <cell r="H132" t="str">
            <v>Umbra</v>
          </cell>
          <cell r="I132" t="str">
            <v>pygmaea</v>
          </cell>
          <cell r="J132" t="str">
            <v>U</v>
          </cell>
          <cell r="K132" t="str">
            <v>Whole Body</v>
          </cell>
          <cell r="L132">
            <v>5.5</v>
          </cell>
          <cell r="M132">
            <v>1.95</v>
          </cell>
        </row>
        <row r="133">
          <cell r="A133" t="str">
            <v>PU060-LIV-08162021</v>
          </cell>
          <cell r="C133" t="str">
            <v>Down</v>
          </cell>
          <cell r="D133">
            <v>44393</v>
          </cell>
          <cell r="F133" t="str">
            <v>Pumpkinseed</v>
          </cell>
          <cell r="H133" t="str">
            <v>Lepomis</v>
          </cell>
          <cell r="I133" t="str">
            <v>gibbosus</v>
          </cell>
          <cell r="J133" t="str">
            <v>M</v>
          </cell>
          <cell r="K133" t="str">
            <v>Liver</v>
          </cell>
          <cell r="L133">
            <v>11.5</v>
          </cell>
          <cell r="M133">
            <v>34.450000000000003</v>
          </cell>
        </row>
        <row r="134">
          <cell r="A134" t="str">
            <v>PU060-MU-08162021</v>
          </cell>
          <cell r="C134" t="str">
            <v>Down</v>
          </cell>
          <cell r="D134">
            <v>44393</v>
          </cell>
          <cell r="F134" t="str">
            <v>Pumpkinseed</v>
          </cell>
          <cell r="H134" t="str">
            <v>Lepomis</v>
          </cell>
          <cell r="I134" t="str">
            <v>gibbosus</v>
          </cell>
          <cell r="J134" t="str">
            <v>M</v>
          </cell>
          <cell r="K134" t="str">
            <v>Muscle</v>
          </cell>
          <cell r="L134">
            <v>11.5</v>
          </cell>
          <cell r="M134">
            <v>34.450000000000003</v>
          </cell>
        </row>
        <row r="135">
          <cell r="A135" t="str">
            <v>PU061-LIV-08162021</v>
          </cell>
          <cell r="C135" t="str">
            <v>Down</v>
          </cell>
          <cell r="D135">
            <v>44393</v>
          </cell>
          <cell r="F135" t="str">
            <v>Pumpkinseed</v>
          </cell>
          <cell r="H135" t="str">
            <v>Lepomis</v>
          </cell>
          <cell r="I135" t="str">
            <v>gibbosus</v>
          </cell>
          <cell r="J135" t="str">
            <v>M</v>
          </cell>
          <cell r="K135" t="str">
            <v>Liver</v>
          </cell>
          <cell r="L135">
            <v>12.5</v>
          </cell>
          <cell r="M135">
            <v>36.32</v>
          </cell>
        </row>
        <row r="136">
          <cell r="A136" t="str">
            <v>PU061-MU-08162021</v>
          </cell>
          <cell r="C136" t="str">
            <v>Down</v>
          </cell>
          <cell r="D136">
            <v>44393</v>
          </cell>
          <cell r="F136" t="str">
            <v>Pumpkinseed</v>
          </cell>
          <cell r="H136" t="str">
            <v>Lepomis</v>
          </cell>
          <cell r="I136" t="str">
            <v>gibbosus</v>
          </cell>
          <cell r="J136" t="str">
            <v>M</v>
          </cell>
          <cell r="K136" t="str">
            <v>Muscle</v>
          </cell>
          <cell r="L136">
            <v>12.5</v>
          </cell>
          <cell r="M136">
            <v>36.32</v>
          </cell>
        </row>
        <row r="137">
          <cell r="A137" t="str">
            <v>PU062-JBA-08162021</v>
          </cell>
          <cell r="C137" t="str">
            <v>Down</v>
          </cell>
          <cell r="D137">
            <v>44393</v>
          </cell>
          <cell r="F137" t="str">
            <v>Pumpkinseed</v>
          </cell>
          <cell r="H137" t="str">
            <v>Lepomis</v>
          </cell>
          <cell r="I137" t="str">
            <v>gibbosus</v>
          </cell>
          <cell r="J137" t="str">
            <v>U</v>
          </cell>
          <cell r="K137" t="str">
            <v>Whole Body</v>
          </cell>
          <cell r="L137">
            <v>8</v>
          </cell>
          <cell r="M137">
            <v>11.56</v>
          </cell>
        </row>
        <row r="138">
          <cell r="A138" t="str">
            <v>PU063-JBA-08162021</v>
          </cell>
          <cell r="C138" t="str">
            <v>Down</v>
          </cell>
          <cell r="D138">
            <v>44393</v>
          </cell>
          <cell r="F138" t="str">
            <v>Pumpkinseed</v>
          </cell>
          <cell r="H138" t="str">
            <v>Lepomis</v>
          </cell>
          <cell r="I138" t="str">
            <v>gibbosus</v>
          </cell>
          <cell r="J138" t="str">
            <v>U</v>
          </cell>
          <cell r="K138" t="str">
            <v>Whole Body</v>
          </cell>
          <cell r="L138">
            <v>8.5</v>
          </cell>
          <cell r="M138">
            <v>16.59</v>
          </cell>
        </row>
        <row r="139">
          <cell r="A139" t="str">
            <v>PU064-LIV-08162021</v>
          </cell>
          <cell r="C139" t="str">
            <v>Down</v>
          </cell>
          <cell r="D139">
            <v>44393</v>
          </cell>
          <cell r="F139" t="str">
            <v>Pumpkinseed</v>
          </cell>
          <cell r="H139" t="str">
            <v>Lepomis</v>
          </cell>
          <cell r="I139" t="str">
            <v>gibbosus</v>
          </cell>
          <cell r="J139" t="str">
            <v>M</v>
          </cell>
          <cell r="K139" t="str">
            <v>Liver</v>
          </cell>
          <cell r="L139">
            <v>12.5</v>
          </cell>
          <cell r="M139">
            <v>55</v>
          </cell>
        </row>
        <row r="140">
          <cell r="A140" t="str">
            <v>PU064-MU-08162021</v>
          </cell>
          <cell r="C140" t="str">
            <v>Down</v>
          </cell>
          <cell r="D140">
            <v>44393</v>
          </cell>
          <cell r="F140" t="str">
            <v>Pumpkinseed</v>
          </cell>
          <cell r="H140" t="str">
            <v>Lepomis</v>
          </cell>
          <cell r="I140" t="str">
            <v>gibbosus</v>
          </cell>
          <cell r="J140" t="str">
            <v>M</v>
          </cell>
          <cell r="K140" t="str">
            <v>Muscle</v>
          </cell>
          <cell r="L140">
            <v>12.5</v>
          </cell>
          <cell r="M140">
            <v>55</v>
          </cell>
        </row>
        <row r="141">
          <cell r="A141" t="str">
            <v>PU065-JBA-08162021</v>
          </cell>
          <cell r="C141" t="str">
            <v>Down</v>
          </cell>
          <cell r="D141">
            <v>44393</v>
          </cell>
          <cell r="F141" t="str">
            <v>Pumpkinseed</v>
          </cell>
          <cell r="H141" t="str">
            <v>Lepomis</v>
          </cell>
          <cell r="I141" t="str">
            <v>gibbosus</v>
          </cell>
          <cell r="J141" t="str">
            <v>U</v>
          </cell>
          <cell r="K141" t="str">
            <v>Whole Body</v>
          </cell>
          <cell r="L141">
            <v>7</v>
          </cell>
          <cell r="M141">
            <v>6.27</v>
          </cell>
        </row>
        <row r="142">
          <cell r="A142" t="str">
            <v>PU066-JBA-08162021</v>
          </cell>
          <cell r="C142" t="str">
            <v>Down</v>
          </cell>
          <cell r="D142">
            <v>44393</v>
          </cell>
          <cell r="F142" t="str">
            <v>Pumpkinseed</v>
          </cell>
          <cell r="H142" t="str">
            <v>Lepomis</v>
          </cell>
          <cell r="I142" t="str">
            <v>gibbosus</v>
          </cell>
          <cell r="J142" t="str">
            <v>U</v>
          </cell>
          <cell r="K142" t="str">
            <v>Whole Body</v>
          </cell>
          <cell r="L142">
            <v>7.5</v>
          </cell>
          <cell r="M142">
            <v>10.210000000000001</v>
          </cell>
        </row>
        <row r="143">
          <cell r="A143" t="str">
            <v>PU067-JBA-08162021</v>
          </cell>
          <cell r="C143" t="str">
            <v>Down</v>
          </cell>
          <cell r="D143">
            <v>44393</v>
          </cell>
          <cell r="F143" t="str">
            <v>Pumpkinseed</v>
          </cell>
          <cell r="H143" t="str">
            <v>Lepomis</v>
          </cell>
          <cell r="I143" t="str">
            <v>gibbosus</v>
          </cell>
          <cell r="J143" t="str">
            <v>U</v>
          </cell>
          <cell r="K143" t="str">
            <v>Whole Body</v>
          </cell>
          <cell r="L143">
            <v>11</v>
          </cell>
          <cell r="M143">
            <v>22.29</v>
          </cell>
        </row>
        <row r="144">
          <cell r="A144" t="str">
            <v>PU068-JBA-08162021</v>
          </cell>
          <cell r="C144" t="str">
            <v>Down</v>
          </cell>
          <cell r="D144">
            <v>44393</v>
          </cell>
          <cell r="F144" t="str">
            <v>Pumpkinseed</v>
          </cell>
          <cell r="H144" t="str">
            <v>Lepomis</v>
          </cell>
          <cell r="I144" t="str">
            <v>gibbosus</v>
          </cell>
          <cell r="J144" t="str">
            <v>U</v>
          </cell>
          <cell r="K144" t="str">
            <v>Whole Body</v>
          </cell>
          <cell r="L144">
            <v>10</v>
          </cell>
          <cell r="M144">
            <v>15.22</v>
          </cell>
        </row>
        <row r="145">
          <cell r="A145" t="str">
            <v>PU069-JBA-08162021</v>
          </cell>
          <cell r="C145" t="str">
            <v>Down</v>
          </cell>
          <cell r="D145">
            <v>44393</v>
          </cell>
          <cell r="F145" t="str">
            <v>Pumpkinseed</v>
          </cell>
          <cell r="H145" t="str">
            <v>Lepomis</v>
          </cell>
          <cell r="I145" t="str">
            <v>gibbosus</v>
          </cell>
          <cell r="J145" t="str">
            <v>U</v>
          </cell>
          <cell r="K145" t="str">
            <v>Whole Body</v>
          </cell>
          <cell r="L145">
            <v>9</v>
          </cell>
          <cell r="M145">
            <v>13.2</v>
          </cell>
        </row>
        <row r="146">
          <cell r="A146" t="str">
            <v>PU070-JBA-08162021</v>
          </cell>
          <cell r="C146" t="str">
            <v>Down</v>
          </cell>
          <cell r="D146">
            <v>44393</v>
          </cell>
          <cell r="F146" t="str">
            <v>Pumpkinseed</v>
          </cell>
          <cell r="H146" t="str">
            <v>Lepomis</v>
          </cell>
          <cell r="I146" t="str">
            <v>gibbosus</v>
          </cell>
          <cell r="J146" t="str">
            <v>U</v>
          </cell>
          <cell r="K146" t="str">
            <v>Whole Body</v>
          </cell>
          <cell r="L146">
            <v>9.5</v>
          </cell>
          <cell r="M146">
            <v>13.51</v>
          </cell>
        </row>
        <row r="147">
          <cell r="A147" t="str">
            <v>PU071-JBA-08162021</v>
          </cell>
          <cell r="C147" t="str">
            <v>Down</v>
          </cell>
          <cell r="D147">
            <v>44393</v>
          </cell>
          <cell r="F147" t="str">
            <v>Pumpkinseed</v>
          </cell>
          <cell r="H147" t="str">
            <v>Lepomis</v>
          </cell>
          <cell r="I147" t="str">
            <v>gibbosus</v>
          </cell>
          <cell r="J147" t="str">
            <v>U</v>
          </cell>
          <cell r="K147" t="str">
            <v>Whole Body</v>
          </cell>
          <cell r="L147">
            <v>9</v>
          </cell>
          <cell r="M147">
            <v>11.46</v>
          </cell>
        </row>
        <row r="148">
          <cell r="A148" t="str">
            <v>PU072-JBA-08162021</v>
          </cell>
          <cell r="C148" t="str">
            <v>Down</v>
          </cell>
          <cell r="D148">
            <v>44393</v>
          </cell>
          <cell r="F148" t="str">
            <v>Pumpkinseed</v>
          </cell>
          <cell r="H148" t="str">
            <v>Lepomis</v>
          </cell>
          <cell r="I148" t="str">
            <v>gibbosus</v>
          </cell>
          <cell r="J148" t="str">
            <v>U</v>
          </cell>
          <cell r="K148" t="str">
            <v>Whole Body</v>
          </cell>
          <cell r="L148">
            <v>9</v>
          </cell>
          <cell r="M148">
            <v>11.52</v>
          </cell>
        </row>
        <row r="149">
          <cell r="A149" t="str">
            <v>PU073-JBA-08162021</v>
          </cell>
          <cell r="C149" t="str">
            <v>Down</v>
          </cell>
          <cell r="D149">
            <v>44393</v>
          </cell>
          <cell r="F149" t="str">
            <v>Pumpkinseed</v>
          </cell>
          <cell r="H149" t="str">
            <v>Lepomis</v>
          </cell>
          <cell r="I149" t="str">
            <v>gibbosus</v>
          </cell>
          <cell r="J149" t="str">
            <v>U</v>
          </cell>
          <cell r="K149" t="str">
            <v>Whole Body</v>
          </cell>
          <cell r="L149">
            <v>8</v>
          </cell>
          <cell r="M149">
            <v>9.23</v>
          </cell>
        </row>
        <row r="150">
          <cell r="A150" t="str">
            <v>EMM008-JBA-08162021</v>
          </cell>
          <cell r="C150" t="str">
            <v>Down</v>
          </cell>
          <cell r="D150">
            <v>44393</v>
          </cell>
          <cell r="F150" t="str">
            <v>Eastern Mudminnow</v>
          </cell>
          <cell r="H150" t="str">
            <v>Umbra</v>
          </cell>
          <cell r="I150" t="str">
            <v>pygmaea</v>
          </cell>
          <cell r="J150" t="str">
            <v>U</v>
          </cell>
          <cell r="K150" t="str">
            <v>Whole Body</v>
          </cell>
          <cell r="L150">
            <v>8</v>
          </cell>
          <cell r="M150">
            <v>6.98</v>
          </cell>
        </row>
        <row r="151">
          <cell r="A151" t="str">
            <v>ESM004-JBA-08162021</v>
          </cell>
          <cell r="C151" t="str">
            <v>Down</v>
          </cell>
          <cell r="D151">
            <v>44393</v>
          </cell>
          <cell r="F151" t="str">
            <v>Fallfish</v>
          </cell>
          <cell r="H151" t="str">
            <v>Semotilus</v>
          </cell>
          <cell r="I151" t="str">
            <v>corporalis</v>
          </cell>
          <cell r="J151" t="str">
            <v>U</v>
          </cell>
          <cell r="K151" t="str">
            <v>Whole Body</v>
          </cell>
          <cell r="L151">
            <v>7.5</v>
          </cell>
          <cell r="M151">
            <v>5.37</v>
          </cell>
        </row>
        <row r="152">
          <cell r="A152" t="str">
            <v>GC021-JBA-08162021</v>
          </cell>
          <cell r="C152" t="str">
            <v>Down</v>
          </cell>
          <cell r="D152">
            <v>44393</v>
          </cell>
          <cell r="F152" t="str">
            <v>Swallowtail Shiner</v>
          </cell>
          <cell r="H152" t="str">
            <v>Notropis</v>
          </cell>
          <cell r="I152" t="str">
            <v>procne</v>
          </cell>
          <cell r="J152" t="str">
            <v>U</v>
          </cell>
          <cell r="K152" t="str">
            <v>Whole Body</v>
          </cell>
          <cell r="L152">
            <v>5</v>
          </cell>
          <cell r="M152">
            <v>1.65</v>
          </cell>
        </row>
        <row r="153">
          <cell r="A153" t="str">
            <v>GC022-JBA-08162021</v>
          </cell>
          <cell r="C153" t="str">
            <v>Down</v>
          </cell>
          <cell r="D153">
            <v>44393</v>
          </cell>
          <cell r="F153" t="str">
            <v>Swallowtail Shiner</v>
          </cell>
          <cell r="H153" t="str">
            <v>Notropis</v>
          </cell>
          <cell r="I153" t="str">
            <v>procne</v>
          </cell>
          <cell r="J153" t="str">
            <v>U</v>
          </cell>
          <cell r="K153" t="str">
            <v>Whole Body</v>
          </cell>
          <cell r="L153">
            <v>5.5</v>
          </cell>
          <cell r="M153">
            <v>1.89</v>
          </cell>
        </row>
        <row r="154">
          <cell r="A154" t="str">
            <v>GC023-JBA-08162021</v>
          </cell>
          <cell r="C154" t="str">
            <v>Down</v>
          </cell>
          <cell r="D154">
            <v>44393</v>
          </cell>
          <cell r="F154" t="str">
            <v>Swallowtail Shiner</v>
          </cell>
          <cell r="H154" t="str">
            <v>Notropis</v>
          </cell>
          <cell r="I154" t="str">
            <v>procne</v>
          </cell>
          <cell r="J154" t="str">
            <v>U</v>
          </cell>
          <cell r="K154" t="str">
            <v>Whole Body</v>
          </cell>
          <cell r="L154">
            <v>5.5</v>
          </cell>
          <cell r="M154">
            <v>2.2000000000000002</v>
          </cell>
        </row>
        <row r="155">
          <cell r="A155" t="str">
            <v>GC024-JBA-08162021</v>
          </cell>
          <cell r="C155" t="str">
            <v>Down</v>
          </cell>
          <cell r="D155">
            <v>44393</v>
          </cell>
          <cell r="F155" t="str">
            <v>Swallowtail Shiner</v>
          </cell>
          <cell r="H155" t="str">
            <v>Notropis</v>
          </cell>
          <cell r="I155" t="str">
            <v>procne</v>
          </cell>
          <cell r="J155" t="str">
            <v>U</v>
          </cell>
          <cell r="K155" t="str">
            <v>Whole Body</v>
          </cell>
          <cell r="L155">
            <v>5.5</v>
          </cell>
          <cell r="M155">
            <v>1.93</v>
          </cell>
        </row>
        <row r="156">
          <cell r="A156" t="str">
            <v>GC025-JBA-08162021</v>
          </cell>
          <cell r="C156" t="str">
            <v>Down</v>
          </cell>
          <cell r="D156">
            <v>44393</v>
          </cell>
          <cell r="F156" t="str">
            <v>Swallowtail Shiner</v>
          </cell>
          <cell r="H156" t="str">
            <v>Notropis</v>
          </cell>
          <cell r="I156" t="str">
            <v>procne</v>
          </cell>
          <cell r="J156" t="str">
            <v>U</v>
          </cell>
          <cell r="K156" t="str">
            <v>Whole Body</v>
          </cell>
          <cell r="L156">
            <v>6</v>
          </cell>
          <cell r="M156">
            <v>2.4500000000000002</v>
          </cell>
        </row>
        <row r="157">
          <cell r="A157" t="str">
            <v>LMB002-JBA-08162021</v>
          </cell>
          <cell r="C157" t="str">
            <v>Down</v>
          </cell>
          <cell r="D157">
            <v>44393</v>
          </cell>
          <cell r="F157" t="str">
            <v>Large Mouth Bass</v>
          </cell>
          <cell r="H157" t="str">
            <v>Micropterus</v>
          </cell>
          <cell r="I157" t="str">
            <v>salmoides</v>
          </cell>
          <cell r="J157" t="str">
            <v>U</v>
          </cell>
          <cell r="K157" t="str">
            <v>Whole Body</v>
          </cell>
          <cell r="L157">
            <v>7</v>
          </cell>
          <cell r="M157">
            <v>4.1500000000000004</v>
          </cell>
        </row>
        <row r="158">
          <cell r="A158" t="str">
            <v>CC010-JBA-08162021</v>
          </cell>
          <cell r="C158" t="str">
            <v>Down</v>
          </cell>
          <cell r="D158">
            <v>44393</v>
          </cell>
          <cell r="F158" t="str">
            <v>Blacknose Dace</v>
          </cell>
          <cell r="H158" t="str">
            <v>Rhinichthys</v>
          </cell>
          <cell r="I158" t="str">
            <v>atratulus</v>
          </cell>
          <cell r="J158" t="str">
            <v>U</v>
          </cell>
          <cell r="K158" t="str">
            <v>Whole Body</v>
          </cell>
          <cell r="L158">
            <v>8.5</v>
          </cell>
          <cell r="M158">
            <v>7.6</v>
          </cell>
        </row>
        <row r="159">
          <cell r="A159" t="str">
            <v>CC011-JBA-08162021</v>
          </cell>
          <cell r="C159" t="str">
            <v>Down</v>
          </cell>
          <cell r="D159">
            <v>44393</v>
          </cell>
          <cell r="F159" t="str">
            <v>Blacknose Dace</v>
          </cell>
          <cell r="H159" t="str">
            <v>Rhinichthys</v>
          </cell>
          <cell r="I159" t="str">
            <v>atratulus</v>
          </cell>
          <cell r="J159" t="str">
            <v>U</v>
          </cell>
          <cell r="K159" t="str">
            <v>Whole Body</v>
          </cell>
          <cell r="L159">
            <v>7.5</v>
          </cell>
          <cell r="M159">
            <v>4.16</v>
          </cell>
        </row>
        <row r="160">
          <cell r="A160" t="str">
            <v>CC012-JBA-08162021</v>
          </cell>
          <cell r="C160" t="str">
            <v>Down</v>
          </cell>
          <cell r="D160">
            <v>44393</v>
          </cell>
          <cell r="F160" t="str">
            <v>Blacknose Dace</v>
          </cell>
          <cell r="H160" t="str">
            <v>Rhinichthys</v>
          </cell>
          <cell r="I160" t="str">
            <v>atratulus</v>
          </cell>
          <cell r="J160" t="str">
            <v>U</v>
          </cell>
          <cell r="K160" t="str">
            <v>Whole Body</v>
          </cell>
          <cell r="L160">
            <v>8</v>
          </cell>
          <cell r="M160">
            <v>6.17</v>
          </cell>
        </row>
        <row r="161">
          <cell r="A161" t="str">
            <v>CC013-JBA-08162021</v>
          </cell>
          <cell r="C161" t="str">
            <v>Down</v>
          </cell>
          <cell r="D161">
            <v>44393</v>
          </cell>
          <cell r="F161" t="str">
            <v>Blacknose Dace</v>
          </cell>
          <cell r="H161" t="str">
            <v>Rhinichthys</v>
          </cell>
          <cell r="I161" t="str">
            <v>atratulus</v>
          </cell>
          <cell r="J161" t="str">
            <v>U</v>
          </cell>
          <cell r="K161" t="str">
            <v>Whole Body</v>
          </cell>
          <cell r="L161">
            <v>11</v>
          </cell>
          <cell r="M161">
            <v>14.56</v>
          </cell>
        </row>
        <row r="162">
          <cell r="A162" t="str">
            <v>CC014-JBA-08162021</v>
          </cell>
          <cell r="C162" t="str">
            <v>Down</v>
          </cell>
          <cell r="D162">
            <v>44393</v>
          </cell>
          <cell r="F162" t="str">
            <v>Blacknose Dace</v>
          </cell>
          <cell r="H162" t="str">
            <v>Rhinichthys</v>
          </cell>
          <cell r="I162" t="str">
            <v>atratulus</v>
          </cell>
          <cell r="J162" t="str">
            <v>U</v>
          </cell>
          <cell r="K162" t="str">
            <v>Whole Body</v>
          </cell>
          <cell r="L162">
            <v>10</v>
          </cell>
          <cell r="M162">
            <v>9.0500000000000007</v>
          </cell>
        </row>
        <row r="163">
          <cell r="A163" t="str">
            <v>CC015-JBA-08162021</v>
          </cell>
          <cell r="C163" t="str">
            <v>Down</v>
          </cell>
          <cell r="D163">
            <v>44393</v>
          </cell>
          <cell r="F163" t="str">
            <v>Blacknose Dace</v>
          </cell>
          <cell r="H163" t="str">
            <v>Rhinichthys</v>
          </cell>
          <cell r="I163" t="str">
            <v>atratulus</v>
          </cell>
          <cell r="J163" t="str">
            <v>U</v>
          </cell>
          <cell r="K163" t="str">
            <v>Whole Body</v>
          </cell>
          <cell r="L163">
            <v>6</v>
          </cell>
          <cell r="M163">
            <v>2.0299999999999998</v>
          </cell>
        </row>
        <row r="164">
          <cell r="A164" t="str">
            <v>CC016-JBA-08162021</v>
          </cell>
          <cell r="C164" t="str">
            <v>Down</v>
          </cell>
          <cell r="D164">
            <v>44393</v>
          </cell>
          <cell r="F164" t="str">
            <v>Blacknose Dace</v>
          </cell>
          <cell r="H164" t="str">
            <v>Rhinichthys</v>
          </cell>
          <cell r="I164" t="str">
            <v>atratulus</v>
          </cell>
          <cell r="J164" t="str">
            <v>U</v>
          </cell>
          <cell r="K164" t="str">
            <v>Whole Body</v>
          </cell>
          <cell r="L164">
            <v>5</v>
          </cell>
          <cell r="M164">
            <v>1.63</v>
          </cell>
        </row>
        <row r="165">
          <cell r="A165" t="str">
            <v>CC017-JBA-08162021</v>
          </cell>
          <cell r="C165" t="str">
            <v>Down</v>
          </cell>
          <cell r="D165">
            <v>44393</v>
          </cell>
          <cell r="F165" t="str">
            <v>Blacknose Dace</v>
          </cell>
          <cell r="H165" t="str">
            <v>Rhinichthys</v>
          </cell>
          <cell r="I165" t="str">
            <v>atratulus</v>
          </cell>
          <cell r="J165" t="str">
            <v>U</v>
          </cell>
          <cell r="K165" t="str">
            <v>Whole Body</v>
          </cell>
          <cell r="L165">
            <v>4.5</v>
          </cell>
          <cell r="M165">
            <v>1.63</v>
          </cell>
        </row>
        <row r="166">
          <cell r="A166" t="str">
            <v>SS007-JBA-08162021</v>
          </cell>
          <cell r="C166" t="str">
            <v>Down</v>
          </cell>
          <cell r="D166">
            <v>44393</v>
          </cell>
          <cell r="F166" t="str">
            <v>Rosyside Dace</v>
          </cell>
          <cell r="H166" t="str">
            <v>Clinostomus</v>
          </cell>
          <cell r="I166" t="str">
            <v>funduloides</v>
          </cell>
          <cell r="J166" t="str">
            <v>U</v>
          </cell>
          <cell r="K166" t="str">
            <v>Whole Body</v>
          </cell>
          <cell r="L166">
            <v>4</v>
          </cell>
          <cell r="M166">
            <v>1.79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te_order"/>
    </sheetNames>
    <sheetDataSet>
      <sheetData sheetId="0">
        <row r="1">
          <cell r="B1" t="str">
            <v>short_name</v>
          </cell>
          <cell r="C1" t="str">
            <v>cas_rn</v>
          </cell>
          <cell r="E1" t="str">
            <v>order</v>
          </cell>
        </row>
        <row r="2">
          <cell r="B2" t="str">
            <v>PFBA</v>
          </cell>
          <cell r="C2" t="str">
            <v>375-22-4</v>
          </cell>
          <cell r="E2">
            <v>1</v>
          </cell>
        </row>
        <row r="3">
          <cell r="B3" t="str">
            <v>PFPeA</v>
          </cell>
          <cell r="C3" t="str">
            <v>2706-90-3</v>
          </cell>
          <cell r="E3">
            <v>2</v>
          </cell>
        </row>
        <row r="4">
          <cell r="B4" t="str">
            <v>PFHxA</v>
          </cell>
          <cell r="C4" t="str">
            <v>307-24-4</v>
          </cell>
          <cell r="E4">
            <v>3</v>
          </cell>
        </row>
        <row r="5">
          <cell r="B5" t="str">
            <v>PFHpA</v>
          </cell>
          <cell r="C5" t="str">
            <v>375-85-9</v>
          </cell>
          <cell r="E5">
            <v>4</v>
          </cell>
        </row>
        <row r="6">
          <cell r="B6" t="str">
            <v>PFOA</v>
          </cell>
          <cell r="C6" t="str">
            <v>335-67-1</v>
          </cell>
          <cell r="E6">
            <v>5</v>
          </cell>
        </row>
        <row r="7">
          <cell r="B7" t="str">
            <v>PFNA</v>
          </cell>
          <cell r="C7" t="str">
            <v>375-95-1</v>
          </cell>
          <cell r="E7">
            <v>6</v>
          </cell>
        </row>
        <row r="8">
          <cell r="B8" t="str">
            <v>PFDA</v>
          </cell>
          <cell r="C8" t="str">
            <v>335-76-2</v>
          </cell>
          <cell r="E8">
            <v>7</v>
          </cell>
        </row>
        <row r="9">
          <cell r="B9" t="str">
            <v>PFUnA</v>
          </cell>
          <cell r="C9" t="str">
            <v>2058-94-8</v>
          </cell>
          <cell r="E9">
            <v>8</v>
          </cell>
        </row>
        <row r="10">
          <cell r="B10" t="str">
            <v>PFDoA</v>
          </cell>
          <cell r="C10" t="str">
            <v>307-55-1</v>
          </cell>
          <cell r="E10">
            <v>9</v>
          </cell>
        </row>
        <row r="11">
          <cell r="B11" t="str">
            <v>PFTrDA</v>
          </cell>
          <cell r="C11" t="str">
            <v>72629-94-8</v>
          </cell>
          <cell r="E11">
            <v>10</v>
          </cell>
        </row>
        <row r="12">
          <cell r="B12" t="str">
            <v>PFTeDA</v>
          </cell>
          <cell r="C12" t="str">
            <v>376-06-7</v>
          </cell>
          <cell r="E12">
            <v>11</v>
          </cell>
        </row>
        <row r="13">
          <cell r="B13" t="str">
            <v>PFHxDA</v>
          </cell>
          <cell r="C13" t="str">
            <v>67905-19-5</v>
          </cell>
          <cell r="E13">
            <v>12</v>
          </cell>
        </row>
        <row r="14">
          <cell r="B14" t="str">
            <v>PFODA</v>
          </cell>
          <cell r="C14" t="str">
            <v>16517-11-6</v>
          </cell>
          <cell r="E14">
            <v>13</v>
          </cell>
        </row>
        <row r="15">
          <cell r="B15" t="str">
            <v>PFBS</v>
          </cell>
          <cell r="C15" t="str">
            <v>375-73-5</v>
          </cell>
          <cell r="E15">
            <v>14</v>
          </cell>
        </row>
        <row r="16">
          <cell r="B16" t="str">
            <v>PFPeS</v>
          </cell>
          <cell r="C16" t="str">
            <v>2706-91-4</v>
          </cell>
          <cell r="E16">
            <v>15</v>
          </cell>
        </row>
        <row r="17">
          <cell r="B17" t="str">
            <v>PFHxS</v>
          </cell>
          <cell r="C17" t="str">
            <v>355-46-4</v>
          </cell>
          <cell r="E17">
            <v>16</v>
          </cell>
        </row>
        <row r="18">
          <cell r="B18" t="str">
            <v>PFHpS</v>
          </cell>
          <cell r="C18" t="str">
            <v>375-92-8</v>
          </cell>
          <cell r="E18">
            <v>17</v>
          </cell>
        </row>
        <row r="19">
          <cell r="B19" t="str">
            <v>PFOS</v>
          </cell>
          <cell r="C19" t="str">
            <v>1763-23-1</v>
          </cell>
          <cell r="E19">
            <v>18</v>
          </cell>
        </row>
        <row r="20">
          <cell r="B20" t="str">
            <v>PFNS</v>
          </cell>
          <cell r="C20" t="str">
            <v>68259-12-1</v>
          </cell>
          <cell r="E20">
            <v>19</v>
          </cell>
        </row>
        <row r="21">
          <cell r="B21" t="str">
            <v>PFDS</v>
          </cell>
          <cell r="C21" t="str">
            <v>335-77-3</v>
          </cell>
          <cell r="E21">
            <v>20</v>
          </cell>
        </row>
        <row r="22">
          <cell r="B22" t="str">
            <v>PFDoS</v>
          </cell>
          <cell r="C22" t="str">
            <v>79780-39-5</v>
          </cell>
          <cell r="E22">
            <v>21</v>
          </cell>
        </row>
        <row r="23">
          <cell r="B23" t="str">
            <v>4:2 FTS</v>
          </cell>
          <cell r="C23" t="str">
            <v>757124-72-4</v>
          </cell>
          <cell r="E23">
            <v>22</v>
          </cell>
        </row>
        <row r="24">
          <cell r="B24" t="str">
            <v>6:2 FTS</v>
          </cell>
          <cell r="C24" t="str">
            <v>27619-97-2</v>
          </cell>
          <cell r="E24">
            <v>23</v>
          </cell>
        </row>
        <row r="25">
          <cell r="B25" t="str">
            <v>8:2 FTS</v>
          </cell>
          <cell r="C25" t="str">
            <v>39108-34-4</v>
          </cell>
          <cell r="E25">
            <v>24</v>
          </cell>
        </row>
        <row r="26">
          <cell r="B26" t="str">
            <v>10:2 FTS</v>
          </cell>
          <cell r="C26" t="str">
            <v>120226-60-0</v>
          </cell>
          <cell r="E26">
            <v>25</v>
          </cell>
        </row>
        <row r="27">
          <cell r="B27" t="str">
            <v>N-MeFOSAA</v>
          </cell>
          <cell r="C27" t="str">
            <v>2355-31-9</v>
          </cell>
          <cell r="E27">
            <v>26</v>
          </cell>
        </row>
        <row r="28">
          <cell r="B28" t="str">
            <v>N-EtFOSAA</v>
          </cell>
          <cell r="C28" t="str">
            <v>2991-50-6</v>
          </cell>
          <cell r="E28">
            <v>27</v>
          </cell>
        </row>
        <row r="29">
          <cell r="B29" t="str">
            <v>FOSA</v>
          </cell>
          <cell r="C29" t="str">
            <v>754-91-6</v>
          </cell>
          <cell r="E29">
            <v>28</v>
          </cell>
        </row>
        <row r="30">
          <cell r="B30" t="str">
            <v>FOSAA</v>
          </cell>
          <cell r="C30" t="str">
            <v>2806-24-8</v>
          </cell>
          <cell r="E30">
            <v>29</v>
          </cell>
        </row>
        <row r="31">
          <cell r="B31" t="str">
            <v>N-MeFOSA</v>
          </cell>
          <cell r="C31" t="str">
            <v>31506-32-8</v>
          </cell>
          <cell r="E31">
            <v>30</v>
          </cell>
        </row>
        <row r="32">
          <cell r="B32" t="str">
            <v>N-EtFOSA</v>
          </cell>
          <cell r="C32" t="str">
            <v>4151-50-2</v>
          </cell>
          <cell r="E32">
            <v>31</v>
          </cell>
        </row>
        <row r="33">
          <cell r="B33" t="str">
            <v>N-MeFOSE</v>
          </cell>
          <cell r="C33" t="str">
            <v>24448-09-7</v>
          </cell>
          <cell r="E33">
            <v>32</v>
          </cell>
        </row>
        <row r="34">
          <cell r="B34" t="str">
            <v>N-EtFOSE</v>
          </cell>
          <cell r="C34" t="str">
            <v>1691-99-2</v>
          </cell>
          <cell r="E34">
            <v>33</v>
          </cell>
        </row>
        <row r="35">
          <cell r="B35" t="str">
            <v>HFPO-DA</v>
          </cell>
          <cell r="C35" t="str">
            <v>13252-13-6</v>
          </cell>
          <cell r="E35">
            <v>34</v>
          </cell>
        </row>
        <row r="36">
          <cell r="B36" t="str">
            <v>ADONA</v>
          </cell>
          <cell r="C36" t="str">
            <v>919005-14-4</v>
          </cell>
          <cell r="E36">
            <v>35</v>
          </cell>
        </row>
        <row r="37">
          <cell r="B37" t="str">
            <v>9Cl-PF3ONS</v>
          </cell>
          <cell r="C37" t="str">
            <v>756426-58-1</v>
          </cell>
          <cell r="E37">
            <v>36</v>
          </cell>
        </row>
        <row r="38">
          <cell r="B38" t="str">
            <v>11Cl-PF3OUdS</v>
          </cell>
          <cell r="C38" t="str">
            <v>763051-92-9</v>
          </cell>
          <cell r="E38">
            <v>37</v>
          </cell>
        </row>
        <row r="39">
          <cell r="B39" t="str">
            <v>3:3 FTCA</v>
          </cell>
          <cell r="C39" t="str">
            <v>356-02-5</v>
          </cell>
          <cell r="E39">
            <v>38</v>
          </cell>
        </row>
        <row r="40">
          <cell r="B40" t="str">
            <v>5:3 FTCA</v>
          </cell>
          <cell r="C40" t="str">
            <v>914637-49-3</v>
          </cell>
          <cell r="E40">
            <v>39</v>
          </cell>
        </row>
        <row r="41">
          <cell r="B41" t="str">
            <v>7:3 FTCA</v>
          </cell>
          <cell r="C41" t="str">
            <v>812-70-4</v>
          </cell>
          <cell r="E41">
            <v>40</v>
          </cell>
        </row>
        <row r="42">
          <cell r="B42" t="str">
            <v>6:2 FTCA</v>
          </cell>
          <cell r="C42" t="str">
            <v>53826-12-3</v>
          </cell>
          <cell r="E42">
            <v>41</v>
          </cell>
        </row>
        <row r="43">
          <cell r="B43" t="str">
            <v>8:2 FTCA</v>
          </cell>
          <cell r="C43" t="str">
            <v>27854-31-5</v>
          </cell>
          <cell r="E43">
            <v>42</v>
          </cell>
        </row>
        <row r="44">
          <cell r="B44" t="str">
            <v>10:2 FTCA</v>
          </cell>
          <cell r="C44" t="str">
            <v>53826-13-4</v>
          </cell>
          <cell r="E44">
            <v>43</v>
          </cell>
        </row>
        <row r="45">
          <cell r="B45" t="str">
            <v>6:2 FTUCA</v>
          </cell>
          <cell r="C45" t="str">
            <v>161094-75-3</v>
          </cell>
          <cell r="E45">
            <v>44</v>
          </cell>
        </row>
        <row r="46">
          <cell r="B46" t="str">
            <v>8:2 FTUCA</v>
          </cell>
          <cell r="C46" t="str">
            <v>70887-84-2</v>
          </cell>
          <cell r="E46">
            <v>45</v>
          </cell>
        </row>
        <row r="47">
          <cell r="B47" t="str">
            <v>6:2 DiPAP</v>
          </cell>
          <cell r="C47" t="str">
            <v>57677-95-9</v>
          </cell>
          <cell r="E47">
            <v>46</v>
          </cell>
        </row>
        <row r="48">
          <cell r="B48" t="str">
            <v>PFEESA</v>
          </cell>
          <cell r="C48" t="str">
            <v>113507-82-7</v>
          </cell>
          <cell r="E48">
            <v>47</v>
          </cell>
        </row>
        <row r="49">
          <cell r="B49" t="str">
            <v>PFMBA</v>
          </cell>
          <cell r="C49" t="str">
            <v>863090-89-5</v>
          </cell>
          <cell r="E49">
            <v>48</v>
          </cell>
        </row>
        <row r="50">
          <cell r="B50" t="str">
            <v>PFMPA</v>
          </cell>
          <cell r="C50" t="str">
            <v>377-73-1</v>
          </cell>
          <cell r="E50">
            <v>49</v>
          </cell>
        </row>
        <row r="51">
          <cell r="B51" t="str">
            <v>NFDHA</v>
          </cell>
          <cell r="C51" t="str">
            <v>151772-58-6</v>
          </cell>
          <cell r="E51">
            <v>50</v>
          </cell>
        </row>
        <row r="52">
          <cell r="B52" t="str">
            <v>FBSA</v>
          </cell>
          <cell r="C52" t="str">
            <v>30334-69-1</v>
          </cell>
          <cell r="E52">
            <v>51</v>
          </cell>
        </row>
        <row r="53">
          <cell r="B53" t="str">
            <v>FHxSA</v>
          </cell>
          <cell r="C53" t="str">
            <v>41997-13-1</v>
          </cell>
          <cell r="E53">
            <v>52</v>
          </cell>
        </row>
        <row r="54">
          <cell r="B54" t="str">
            <v>PFPrS</v>
          </cell>
          <cell r="C54" t="str">
            <v>423-41-6</v>
          </cell>
          <cell r="E54">
            <v>53</v>
          </cell>
        </row>
        <row r="55">
          <cell r="B55" t="str">
            <v>Cl-PFOS</v>
          </cell>
          <cell r="C55" t="str">
            <v>777011-38-8</v>
          </cell>
          <cell r="E55">
            <v>54</v>
          </cell>
        </row>
        <row r="56">
          <cell r="B56" t="str">
            <v>PFEtCHxS</v>
          </cell>
          <cell r="C56" t="str">
            <v>646-83-3</v>
          </cell>
          <cell r="E56">
            <v>55</v>
          </cell>
        </row>
        <row r="57">
          <cell r="B57" t="str">
            <v>8:2 diPAP</v>
          </cell>
          <cell r="C57" t="str">
            <v>678-41-1</v>
          </cell>
          <cell r="E57">
            <v>56</v>
          </cell>
        </row>
        <row r="58">
          <cell r="B58" t="str">
            <v>diSAmPAP</v>
          </cell>
          <cell r="C58" t="str">
            <v>2965-52-8</v>
          </cell>
          <cell r="E58">
            <v>57</v>
          </cell>
        </row>
        <row r="59">
          <cell r="B59" t="str">
            <v>Precipitation</v>
          </cell>
          <cell r="C59" t="str">
            <v>PRECIP</v>
          </cell>
          <cell r="E59">
            <v>58</v>
          </cell>
        </row>
        <row r="60">
          <cell r="B60" t="str">
            <v>Temp</v>
          </cell>
          <cell r="C60" t="str">
            <v>TEMP</v>
          </cell>
          <cell r="E60">
            <v>59</v>
          </cell>
        </row>
        <row r="61">
          <cell r="B61" t="str">
            <v>DO</v>
          </cell>
          <cell r="C61" t="str">
            <v>DO</v>
          </cell>
          <cell r="E61">
            <v>60</v>
          </cell>
        </row>
        <row r="62">
          <cell r="B62" t="str">
            <v>Cond</v>
          </cell>
          <cell r="C62" t="str">
            <v>COND</v>
          </cell>
          <cell r="E62">
            <v>61</v>
          </cell>
        </row>
        <row r="63">
          <cell r="B63" t="str">
            <v>pH</v>
          </cell>
          <cell r="C63" t="str">
            <v>PH</v>
          </cell>
          <cell r="E63">
            <v>62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wn, Abbi" refreshedDate="45533.457725347223" createdVersion="8" refreshedVersion="8" minRefreshableVersion="3" recordCount="8300" xr:uid="{2D44A737-C62A-41EF-B1EB-1D78249E4819}">
  <cacheSource type="worksheet">
    <worksheetSource name="Table1"/>
  </cacheSource>
  <cacheFields count="16">
    <cacheField name="Sample ID" numFmtId="0">
      <sharedItems/>
    </cacheField>
    <cacheField name="Location" numFmtId="0">
      <sharedItems/>
    </cacheField>
    <cacheField name="Sample Date" numFmtId="164">
      <sharedItems containsSemiMixedTypes="0" containsNonDate="0" containsDate="1" containsString="0" minDate="2021-04-28T00:00:00" maxDate="2021-07-17T00:00:00" count="2">
        <d v="2021-04-28T00:00:00"/>
        <d v="2021-07-16T00:00:00"/>
      </sharedItems>
      <fieldGroup par="15"/>
    </cacheField>
    <cacheField name="Common Name" numFmtId="164">
      <sharedItems/>
    </cacheField>
    <cacheField name="Genus" numFmtId="0">
      <sharedItems/>
    </cacheField>
    <cacheField name="Species" numFmtId="0">
      <sharedItems/>
    </cacheField>
    <cacheField name="Sex" numFmtId="0">
      <sharedItems/>
    </cacheField>
    <cacheField name="Tissue" numFmtId="0">
      <sharedItems count="3">
        <s v="Whole Body"/>
        <s v="Muscle"/>
        <s v="Liver"/>
      </sharedItems>
    </cacheField>
    <cacheField name="Length" numFmtId="0">
      <sharedItems containsSemiMixedTypes="0" containsString="0" containsNumber="1" containsInteger="1" minValue="8" maxValue="8"/>
    </cacheField>
    <cacheField name="Weight" numFmtId="0">
      <sharedItems containsSemiMixedTypes="0" containsString="0" containsNumber="1" minValue="11.81" maxValue="11.81"/>
    </cacheField>
    <cacheField name="Analyte" numFmtId="0">
      <sharedItems count="50">
        <s v="PFBA"/>
        <s v="PFPeA"/>
        <s v="PFHxA"/>
        <s v="PFHpA"/>
        <s v="PFOA"/>
        <s v="PFNA"/>
        <s v="PFDA"/>
        <s v="PFUnA"/>
        <s v="PFDoA"/>
        <s v="PFTrDA"/>
        <s v="PFTeDA"/>
        <s v="PFHxDA"/>
        <s v="PFPrS"/>
        <s v="PFBS"/>
        <s v="PFPeS"/>
        <s v="PFHxS"/>
        <s v="PFHpS"/>
        <s v="PFOS"/>
        <s v="PFNS"/>
        <s v="PFDS"/>
        <s v="PFDoS"/>
        <s v="Cl-PFOS"/>
        <s v="PFEtCHxS"/>
        <s v="FBSA"/>
        <s v="FHxSA"/>
        <s v="FOSA"/>
        <s v="N-MeFOSA"/>
        <s v="N-EtFOSA"/>
        <s v="FOSAA"/>
        <s v="N-MeFOSAA"/>
        <s v="N-EtFOSAA"/>
        <s v="4:2 FTS"/>
        <s v="6:2 FTS"/>
        <s v="8:2 FTS"/>
        <s v="10:2 FTS"/>
        <s v="3:3 FTCA"/>
        <s v="5:3 FTCA"/>
        <s v="7:3 FTCA"/>
        <s v="6:2 FTCA"/>
        <s v="8:2 FTCA"/>
        <s v="10:2 FTCA"/>
        <s v="6:2 FTUCA"/>
        <s v="8:2 FTUCA"/>
        <s v="ADONA"/>
        <s v="9Cl-PF3ONS"/>
        <s v="11Cl-PF3OUdS"/>
        <s v="HFPO-DA"/>
        <s v="6:2 diPAP"/>
        <s v="8:2 diPAP"/>
        <s v="diSAmPAP"/>
      </sharedItems>
    </cacheField>
    <cacheField name="CAS_rn" numFmtId="0">
      <sharedItems/>
    </cacheField>
    <cacheField name="Order" numFmtId="0">
      <sharedItems containsSemiMixedTypes="0" containsString="0" containsNumber="1" containsInteger="1" minValue="1" maxValue="57" count="50">
        <n v="1"/>
        <n v="2"/>
        <n v="3"/>
        <n v="4"/>
        <n v="5"/>
        <n v="6"/>
        <n v="7"/>
        <n v="8"/>
        <n v="9"/>
        <n v="10"/>
        <n v="11"/>
        <n v="12"/>
        <n v="53"/>
        <n v="14"/>
        <n v="15"/>
        <n v="16"/>
        <n v="17"/>
        <n v="18"/>
        <n v="19"/>
        <n v="20"/>
        <n v="21"/>
        <n v="54"/>
        <n v="55"/>
        <n v="51"/>
        <n v="52"/>
        <n v="28"/>
        <n v="30"/>
        <n v="31"/>
        <n v="29"/>
        <n v="26"/>
        <n v="27"/>
        <n v="22"/>
        <n v="23"/>
        <n v="24"/>
        <n v="25"/>
        <n v="38"/>
        <n v="39"/>
        <n v="40"/>
        <n v="41"/>
        <n v="42"/>
        <n v="43"/>
        <n v="44"/>
        <n v="45"/>
        <n v="35"/>
        <n v="36"/>
        <n v="37"/>
        <n v="34"/>
        <n v="46"/>
        <n v="56"/>
        <n v="57"/>
      </sharedItems>
    </cacheField>
    <cacheField name="Result" numFmtId="0">
      <sharedItems containsSemiMixedTypes="0" containsString="0" containsNumber="1" minValue="2.3902477890207951E-2" maxValue="4870"/>
    </cacheField>
    <cacheField name="Days (Sample Date)" numFmtId="0" databaseField="0">
      <fieldGroup base="2">
        <rangePr groupBy="days" startDate="2021-04-28T00:00:00" endDate="2021-07-17T00:00:00"/>
        <groupItems count="368">
          <s v="&lt;4/28/2021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7/2021"/>
        </groupItems>
      </fieldGroup>
    </cacheField>
    <cacheField name="Months (Sample Date)" numFmtId="0" databaseField="0">
      <fieldGroup base="2">
        <rangePr groupBy="months" startDate="2021-04-28T00:00:00" endDate="2021-07-17T00:00:00"/>
        <groupItems count="14">
          <s v="&lt;4/28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7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0">
  <r>
    <s v="PU001-JBA-08132021"/>
    <s v="Down"/>
    <x v="0"/>
    <s v="Pumpkinseed"/>
    <s v="Lepomis"/>
    <s v="gibbosus"/>
    <s v="U"/>
    <x v="0"/>
    <n v="8"/>
    <n v="11.81"/>
    <x v="0"/>
    <s v="375-22-4"/>
    <x v="0"/>
    <n v="0.245"/>
  </r>
  <r>
    <s v="PU001-JBA-08132021"/>
    <s v="Down"/>
    <x v="0"/>
    <s v="Pumpkinseed"/>
    <s v="Lepomis"/>
    <s v="gibbosus"/>
    <s v="U"/>
    <x v="0"/>
    <n v="8"/>
    <n v="11.81"/>
    <x v="1"/>
    <s v="2706-90-3"/>
    <x v="1"/>
    <n v="0.16103301360215763"/>
  </r>
  <r>
    <s v="PU001-JBA-08132021"/>
    <s v="Down"/>
    <x v="0"/>
    <s v="Pumpkinseed"/>
    <s v="Lepomis"/>
    <s v="gibbosus"/>
    <s v="U"/>
    <x v="0"/>
    <n v="8"/>
    <n v="11.81"/>
    <x v="2"/>
    <s v="307-24-4"/>
    <x v="2"/>
    <n v="0.12300499753782922"/>
  </r>
  <r>
    <s v="PU001-JBA-08132021"/>
    <s v="Down"/>
    <x v="0"/>
    <s v="Pumpkinseed"/>
    <s v="Lepomis"/>
    <s v="gibbosus"/>
    <s v="U"/>
    <x v="0"/>
    <n v="8"/>
    <n v="11.81"/>
    <x v="3"/>
    <s v="375-85-9"/>
    <x v="3"/>
    <n v="9.116693679092383E-2"/>
  </r>
  <r>
    <s v="PU001-JBA-08132021"/>
    <s v="Down"/>
    <x v="0"/>
    <s v="Pumpkinseed"/>
    <s v="Lepomis"/>
    <s v="gibbosus"/>
    <s v="U"/>
    <x v="0"/>
    <n v="8"/>
    <n v="11.81"/>
    <x v="4"/>
    <s v="335-67-1"/>
    <x v="4"/>
    <n v="1.8"/>
  </r>
  <r>
    <s v="PU001-JBA-08132021"/>
    <s v="Down"/>
    <x v="0"/>
    <s v="Pumpkinseed"/>
    <s v="Lepomis"/>
    <s v="gibbosus"/>
    <s v="U"/>
    <x v="0"/>
    <n v="8"/>
    <n v="11.81"/>
    <x v="5"/>
    <s v="375-95-1"/>
    <x v="5"/>
    <n v="1.76"/>
  </r>
  <r>
    <s v="PU001-JBA-08132021"/>
    <s v="Down"/>
    <x v="0"/>
    <s v="Pumpkinseed"/>
    <s v="Lepomis"/>
    <s v="gibbosus"/>
    <s v="U"/>
    <x v="0"/>
    <n v="8"/>
    <n v="11.81"/>
    <x v="6"/>
    <s v="335-76-2"/>
    <x v="6"/>
    <n v="4.8099999999999996"/>
  </r>
  <r>
    <s v="PU001-JBA-08132021"/>
    <s v="Down"/>
    <x v="0"/>
    <s v="Pumpkinseed"/>
    <s v="Lepomis"/>
    <s v="gibbosus"/>
    <s v="U"/>
    <x v="0"/>
    <n v="8"/>
    <n v="11.81"/>
    <x v="7"/>
    <s v="2058-94-8"/>
    <x v="7"/>
    <n v="6.48"/>
  </r>
  <r>
    <s v="PU001-JBA-08132021"/>
    <s v="Down"/>
    <x v="0"/>
    <s v="Pumpkinseed"/>
    <s v="Lepomis"/>
    <s v="gibbosus"/>
    <s v="U"/>
    <x v="0"/>
    <n v="8"/>
    <n v="11.81"/>
    <x v="8"/>
    <s v="307-55-1"/>
    <x v="8"/>
    <n v="43"/>
  </r>
  <r>
    <s v="PU001-JBA-08132021"/>
    <s v="Down"/>
    <x v="0"/>
    <s v="Pumpkinseed"/>
    <s v="Lepomis"/>
    <s v="gibbosus"/>
    <s v="U"/>
    <x v="0"/>
    <n v="8"/>
    <n v="11.81"/>
    <x v="9"/>
    <s v="72629-94-8"/>
    <x v="9"/>
    <n v="2.04"/>
  </r>
  <r>
    <s v="PU001-JBA-08132021"/>
    <s v="Down"/>
    <x v="0"/>
    <s v="Pumpkinseed"/>
    <s v="Lepomis"/>
    <s v="gibbosus"/>
    <s v="U"/>
    <x v="0"/>
    <n v="8"/>
    <n v="11.81"/>
    <x v="10"/>
    <s v="376-06-7"/>
    <x v="10"/>
    <n v="8.61"/>
  </r>
  <r>
    <s v="PU001-JBA-08132021"/>
    <s v="Down"/>
    <x v="0"/>
    <s v="Pumpkinseed"/>
    <s v="Lepomis"/>
    <s v="gibbosus"/>
    <s v="U"/>
    <x v="0"/>
    <n v="8"/>
    <n v="11.81"/>
    <x v="11"/>
    <s v="67905-19-5"/>
    <x v="11"/>
    <n v="8.3479659501746462E-2"/>
  </r>
  <r>
    <s v="PU001-JBA-08132021"/>
    <s v="Down"/>
    <x v="0"/>
    <s v="Pumpkinseed"/>
    <s v="Lepomis"/>
    <s v="gibbosus"/>
    <s v="U"/>
    <x v="0"/>
    <n v="8"/>
    <n v="11.81"/>
    <x v="12"/>
    <s v="423-41-6"/>
    <x v="12"/>
    <n v="5.3441071388432293E-2"/>
  </r>
  <r>
    <s v="PU001-JBA-08132021"/>
    <s v="Down"/>
    <x v="0"/>
    <s v="Pumpkinseed"/>
    <s v="Lepomis"/>
    <s v="gibbosus"/>
    <s v="U"/>
    <x v="0"/>
    <n v="8"/>
    <n v="11.81"/>
    <x v="13"/>
    <s v="375-73-5"/>
    <x v="13"/>
    <n v="23"/>
  </r>
  <r>
    <s v="PU001-JBA-08132021"/>
    <s v="Down"/>
    <x v="0"/>
    <s v="Pumpkinseed"/>
    <s v="Lepomis"/>
    <s v="gibbosus"/>
    <s v="U"/>
    <x v="0"/>
    <n v="8"/>
    <n v="11.81"/>
    <x v="14"/>
    <s v="2706-91-4"/>
    <x v="14"/>
    <n v="0.31900000000000001"/>
  </r>
  <r>
    <s v="PU001-JBA-08132021"/>
    <s v="Down"/>
    <x v="0"/>
    <s v="Pumpkinseed"/>
    <s v="Lepomis"/>
    <s v="gibbosus"/>
    <s v="U"/>
    <x v="0"/>
    <n v="8"/>
    <n v="11.81"/>
    <x v="15"/>
    <s v="355-46-4"/>
    <x v="15"/>
    <n v="46.2"/>
  </r>
  <r>
    <s v="PU001-JBA-08132021"/>
    <s v="Down"/>
    <x v="0"/>
    <s v="Pumpkinseed"/>
    <s v="Lepomis"/>
    <s v="gibbosus"/>
    <s v="U"/>
    <x v="0"/>
    <n v="8"/>
    <n v="11.81"/>
    <x v="16"/>
    <s v="375-92-8"/>
    <x v="16"/>
    <n v="1.45"/>
  </r>
  <r>
    <s v="PU001-JBA-08132021"/>
    <s v="Down"/>
    <x v="0"/>
    <s v="Pumpkinseed"/>
    <s v="Lepomis"/>
    <s v="gibbosus"/>
    <s v="U"/>
    <x v="0"/>
    <n v="8"/>
    <n v="11.81"/>
    <x v="17"/>
    <s v="1763-23-1"/>
    <x v="17"/>
    <n v="1180"/>
  </r>
  <r>
    <s v="PU001-JBA-08132021"/>
    <s v="Down"/>
    <x v="0"/>
    <s v="Pumpkinseed"/>
    <s v="Lepomis"/>
    <s v="gibbosus"/>
    <s v="U"/>
    <x v="0"/>
    <n v="8"/>
    <n v="11.81"/>
    <x v="18"/>
    <s v="68259-12-1"/>
    <x v="18"/>
    <n v="2.76"/>
  </r>
  <r>
    <s v="PU001-JBA-08132021"/>
    <s v="Down"/>
    <x v="0"/>
    <s v="Pumpkinseed"/>
    <s v="Lepomis"/>
    <s v="gibbosus"/>
    <s v="U"/>
    <x v="0"/>
    <n v="8"/>
    <n v="11.81"/>
    <x v="19"/>
    <s v="335-77-3"/>
    <x v="19"/>
    <n v="3.03"/>
  </r>
  <r>
    <s v="PU001-JBA-08132021"/>
    <s v="Down"/>
    <x v="0"/>
    <s v="Pumpkinseed"/>
    <s v="Lepomis"/>
    <s v="gibbosus"/>
    <s v="U"/>
    <x v="0"/>
    <n v="8"/>
    <n v="11.81"/>
    <x v="20"/>
    <s v="79780-39-5"/>
    <x v="20"/>
    <n v="0.875"/>
  </r>
  <r>
    <s v="PU001-JBA-08132021"/>
    <s v="Down"/>
    <x v="0"/>
    <s v="Pumpkinseed"/>
    <s v="Lepomis"/>
    <s v="gibbosus"/>
    <s v="U"/>
    <x v="0"/>
    <n v="8"/>
    <n v="11.81"/>
    <x v="21"/>
    <s v="777011-38-8"/>
    <x v="21"/>
    <n v="0.13850176587410859"/>
  </r>
  <r>
    <s v="PU001-JBA-08132021"/>
    <s v="Down"/>
    <x v="0"/>
    <s v="Pumpkinseed"/>
    <s v="Lepomis"/>
    <s v="gibbosus"/>
    <s v="U"/>
    <x v="0"/>
    <n v="8"/>
    <n v="11.81"/>
    <x v="22"/>
    <s v="646-83-3"/>
    <x v="22"/>
    <n v="9.116693679092383E-2"/>
  </r>
  <r>
    <s v="PU001-JBA-08132021"/>
    <s v="Down"/>
    <x v="0"/>
    <s v="Pumpkinseed"/>
    <s v="Lepomis"/>
    <s v="gibbosus"/>
    <s v="U"/>
    <x v="0"/>
    <n v="8"/>
    <n v="11.81"/>
    <x v="23"/>
    <s v="30334-69-1"/>
    <x v="23"/>
    <n v="37.700000000000003"/>
  </r>
  <r>
    <s v="PU001-JBA-08132021"/>
    <s v="Down"/>
    <x v="0"/>
    <s v="Pumpkinseed"/>
    <s v="Lepomis"/>
    <s v="gibbosus"/>
    <s v="U"/>
    <x v="0"/>
    <n v="8"/>
    <n v="11.81"/>
    <x v="24"/>
    <s v="41997-13-1"/>
    <x v="24"/>
    <n v="55.1"/>
  </r>
  <r>
    <s v="PU001-JBA-08132021"/>
    <s v="Down"/>
    <x v="0"/>
    <s v="Pumpkinseed"/>
    <s v="Lepomis"/>
    <s v="gibbosus"/>
    <s v="U"/>
    <x v="0"/>
    <n v="8"/>
    <n v="11.81"/>
    <x v="25"/>
    <s v="754-91-6"/>
    <x v="25"/>
    <n v="19.5"/>
  </r>
  <r>
    <s v="PU001-JBA-08132021"/>
    <s v="Down"/>
    <x v="0"/>
    <s v="Pumpkinseed"/>
    <s v="Lepomis"/>
    <s v="gibbosus"/>
    <s v="U"/>
    <x v="0"/>
    <n v="8"/>
    <n v="11.81"/>
    <x v="26"/>
    <s v="31506-32-8"/>
    <x v="26"/>
    <n v="5.3961505333881235E-2"/>
  </r>
  <r>
    <s v="PU001-JBA-08132021"/>
    <s v="Down"/>
    <x v="0"/>
    <s v="Pumpkinseed"/>
    <s v="Lepomis"/>
    <s v="gibbosus"/>
    <s v="U"/>
    <x v="0"/>
    <n v="8"/>
    <n v="11.81"/>
    <x v="27"/>
    <s v="4151-50-2"/>
    <x v="27"/>
    <n v="8.1739602964351746E-2"/>
  </r>
  <r>
    <s v="PU001-JBA-08132021"/>
    <s v="Down"/>
    <x v="0"/>
    <s v="Pumpkinseed"/>
    <s v="Lepomis"/>
    <s v="gibbosus"/>
    <s v="U"/>
    <x v="0"/>
    <n v="8"/>
    <n v="11.81"/>
    <x v="28"/>
    <s v="2806-24-8"/>
    <x v="28"/>
    <n v="5.521194770186974E-2"/>
  </r>
  <r>
    <s v="PU001-JBA-08132021"/>
    <s v="Down"/>
    <x v="0"/>
    <s v="Pumpkinseed"/>
    <s v="Lepomis"/>
    <s v="gibbosus"/>
    <s v="U"/>
    <x v="0"/>
    <n v="8"/>
    <n v="11.81"/>
    <x v="29"/>
    <s v="2355-31-9"/>
    <x v="29"/>
    <n v="7.046881086552291E-2"/>
  </r>
  <r>
    <s v="PU001-JBA-08132021"/>
    <s v="Down"/>
    <x v="0"/>
    <s v="Pumpkinseed"/>
    <s v="Lepomis"/>
    <s v="gibbosus"/>
    <s v="U"/>
    <x v="0"/>
    <n v="8"/>
    <n v="11.81"/>
    <x v="30"/>
    <s v="2991-50-6"/>
    <x v="30"/>
    <n v="6.0798405682658721E-2"/>
  </r>
  <r>
    <s v="PU001-JBA-08132021"/>
    <s v="Down"/>
    <x v="0"/>
    <s v="Pumpkinseed"/>
    <s v="Lepomis"/>
    <s v="gibbosus"/>
    <s v="U"/>
    <x v="0"/>
    <n v="8"/>
    <n v="11.81"/>
    <x v="31"/>
    <s v="757124-72-4"/>
    <x v="31"/>
    <n v="5.7534171130059583E-2"/>
  </r>
  <r>
    <s v="PU001-JBA-08132021"/>
    <s v="Down"/>
    <x v="0"/>
    <s v="Pumpkinseed"/>
    <s v="Lepomis"/>
    <s v="gibbosus"/>
    <s v="U"/>
    <x v="0"/>
    <n v="8"/>
    <n v="11.81"/>
    <x v="32"/>
    <s v="27619-97-2"/>
    <x v="32"/>
    <n v="0.31900000000000001"/>
  </r>
  <r>
    <s v="PU001-JBA-08132021"/>
    <s v="Down"/>
    <x v="0"/>
    <s v="Pumpkinseed"/>
    <s v="Lepomis"/>
    <s v="gibbosus"/>
    <s v="U"/>
    <x v="0"/>
    <n v="8"/>
    <n v="11.81"/>
    <x v="33"/>
    <s v="39108-34-4"/>
    <x v="33"/>
    <n v="2.71"/>
  </r>
  <r>
    <s v="PU001-JBA-08132021"/>
    <s v="Down"/>
    <x v="0"/>
    <s v="Pumpkinseed"/>
    <s v="Lepomis"/>
    <s v="gibbosus"/>
    <s v="U"/>
    <x v="0"/>
    <n v="8"/>
    <n v="11.81"/>
    <x v="34"/>
    <s v="120226-60-0"/>
    <x v="34"/>
    <n v="0.25879228577795782"/>
  </r>
  <r>
    <s v="PU001-JBA-08132021"/>
    <s v="Down"/>
    <x v="0"/>
    <s v="Pumpkinseed"/>
    <s v="Lepomis"/>
    <s v="gibbosus"/>
    <s v="U"/>
    <x v="0"/>
    <n v="8"/>
    <n v="11.81"/>
    <x v="35"/>
    <s v="356-02-5"/>
    <x v="35"/>
    <n v="8.0796144244401069E-2"/>
  </r>
  <r>
    <s v="PU001-JBA-08132021"/>
    <s v="Down"/>
    <x v="0"/>
    <s v="Pumpkinseed"/>
    <s v="Lepomis"/>
    <s v="gibbosus"/>
    <s v="U"/>
    <x v="0"/>
    <n v="8"/>
    <n v="11.81"/>
    <x v="36"/>
    <s v="914637-49-3"/>
    <x v="36"/>
    <n v="0.17199901762803887"/>
  </r>
  <r>
    <s v="PU001-JBA-08132021"/>
    <s v="Down"/>
    <x v="0"/>
    <s v="Pumpkinseed"/>
    <s v="Lepomis"/>
    <s v="gibbosus"/>
    <s v="U"/>
    <x v="0"/>
    <n v="8"/>
    <n v="11.81"/>
    <x v="37"/>
    <s v="812-70-4"/>
    <x v="37"/>
    <n v="5.6408688944935274E-2"/>
  </r>
  <r>
    <s v="PU001-JBA-08132021"/>
    <s v="Down"/>
    <x v="0"/>
    <s v="Pumpkinseed"/>
    <s v="Lepomis"/>
    <s v="gibbosus"/>
    <s v="U"/>
    <x v="0"/>
    <n v="8"/>
    <n v="11.81"/>
    <x v="38"/>
    <s v="53826-12-3"/>
    <x v="38"/>
    <n v="4.07"/>
  </r>
  <r>
    <s v="PU001-JBA-08132021"/>
    <s v="Down"/>
    <x v="0"/>
    <s v="Pumpkinseed"/>
    <s v="Lepomis"/>
    <s v="gibbosus"/>
    <s v="U"/>
    <x v="0"/>
    <n v="8"/>
    <n v="11.81"/>
    <x v="39"/>
    <s v="27854-31-5"/>
    <x v="39"/>
    <n v="2.8018006238676056E-2"/>
  </r>
  <r>
    <s v="PU001-JBA-08132021"/>
    <s v="Down"/>
    <x v="0"/>
    <s v="Pumpkinseed"/>
    <s v="Lepomis"/>
    <s v="gibbosus"/>
    <s v="U"/>
    <x v="0"/>
    <n v="8"/>
    <n v="11.81"/>
    <x v="40"/>
    <s v="53826-13-4"/>
    <x v="40"/>
    <n v="0.10452064748253544"/>
  </r>
  <r>
    <s v="PU001-JBA-08132021"/>
    <s v="Down"/>
    <x v="0"/>
    <s v="Pumpkinseed"/>
    <s v="Lepomis"/>
    <s v="gibbosus"/>
    <s v="U"/>
    <x v="0"/>
    <n v="8"/>
    <n v="11.81"/>
    <x v="41"/>
    <s v="161094-75-3"/>
    <x v="41"/>
    <n v="5.4999104460653377E-2"/>
  </r>
  <r>
    <s v="PU001-JBA-08132021"/>
    <s v="Down"/>
    <x v="0"/>
    <s v="Pumpkinseed"/>
    <s v="Lepomis"/>
    <s v="gibbosus"/>
    <s v="U"/>
    <x v="0"/>
    <n v="8"/>
    <n v="11.81"/>
    <x v="42"/>
    <s v="70887-84-2"/>
    <x v="42"/>
    <n v="4.2328520160930756E-2"/>
  </r>
  <r>
    <s v="PU001-JBA-08132021"/>
    <s v="Down"/>
    <x v="0"/>
    <s v="Pumpkinseed"/>
    <s v="Lepomis"/>
    <s v="gibbosus"/>
    <s v="U"/>
    <x v="0"/>
    <n v="8"/>
    <n v="11.81"/>
    <x v="43"/>
    <s v="919005-14-4"/>
    <x v="43"/>
    <n v="7.004501559669013E-2"/>
  </r>
  <r>
    <s v="PU001-JBA-08132021"/>
    <s v="Down"/>
    <x v="0"/>
    <s v="Pumpkinseed"/>
    <s v="Lepomis"/>
    <s v="gibbosus"/>
    <s v="U"/>
    <x v="0"/>
    <n v="8"/>
    <n v="11.81"/>
    <x v="44"/>
    <s v="756426-58-1"/>
    <x v="44"/>
    <n v="4.8618710370351342E-2"/>
  </r>
  <r>
    <s v="PU001-JBA-08132021"/>
    <s v="Down"/>
    <x v="0"/>
    <s v="Pumpkinseed"/>
    <s v="Lepomis"/>
    <s v="gibbosus"/>
    <s v="U"/>
    <x v="0"/>
    <n v="8"/>
    <n v="11.81"/>
    <x v="45"/>
    <s v="763051-92-9"/>
    <x v="45"/>
    <n v="5.5194810038524757E-2"/>
  </r>
  <r>
    <s v="PU001-JBA-08132021"/>
    <s v="Down"/>
    <x v="0"/>
    <s v="Pumpkinseed"/>
    <s v="Lepomis"/>
    <s v="gibbosus"/>
    <s v="U"/>
    <x v="0"/>
    <n v="8"/>
    <n v="11.81"/>
    <x v="46"/>
    <s v="13252-13-6"/>
    <x v="46"/>
    <n v="0.10051659821501951"/>
  </r>
  <r>
    <s v="PU001-JBA-08132021"/>
    <s v="Down"/>
    <x v="0"/>
    <s v="Pumpkinseed"/>
    <s v="Lepomis"/>
    <s v="gibbosus"/>
    <s v="U"/>
    <x v="0"/>
    <n v="8"/>
    <n v="11.81"/>
    <x v="47"/>
    <s v="57677-95-9"/>
    <x v="47"/>
    <n v="7.456494588812411E-2"/>
  </r>
  <r>
    <s v="PU001-JBA-08132021"/>
    <s v="Down"/>
    <x v="0"/>
    <s v="Pumpkinseed"/>
    <s v="Lepomis"/>
    <s v="gibbosus"/>
    <s v="U"/>
    <x v="0"/>
    <n v="8"/>
    <n v="11.81"/>
    <x v="48"/>
    <s v="678-41-1"/>
    <x v="48"/>
    <n v="9.2866662834908562E-2"/>
  </r>
  <r>
    <s v="PU001-JBA-08132021"/>
    <s v="Down"/>
    <x v="0"/>
    <s v="Pumpkinseed"/>
    <s v="Lepomis"/>
    <s v="gibbosus"/>
    <s v="U"/>
    <x v="0"/>
    <n v="8"/>
    <n v="11.81"/>
    <x v="49"/>
    <s v="2965-52-8"/>
    <x v="49"/>
    <n v="0.12327922745017464"/>
  </r>
  <r>
    <s v="PU002-JBA-08132021"/>
    <s v="Down"/>
    <x v="0"/>
    <s v="Pumpkinseed"/>
    <s v="Lepomis"/>
    <s v="gibbosus"/>
    <s v="U"/>
    <x v="0"/>
    <n v="8"/>
    <n v="11.81"/>
    <x v="0"/>
    <s v="375-22-4"/>
    <x v="0"/>
    <n v="9.4359404487313892E-2"/>
  </r>
  <r>
    <s v="PU002-JBA-08132021"/>
    <s v="Down"/>
    <x v="0"/>
    <s v="Pumpkinseed"/>
    <s v="Lepomis"/>
    <s v="gibbosus"/>
    <s v="U"/>
    <x v="0"/>
    <n v="8"/>
    <n v="11.81"/>
    <x v="1"/>
    <s v="2706-90-3"/>
    <x v="1"/>
    <n v="4.8797882909744739E-2"/>
  </r>
  <r>
    <s v="PU002-JBA-08132021"/>
    <s v="Down"/>
    <x v="0"/>
    <s v="Pumpkinseed"/>
    <s v="Lepomis"/>
    <s v="gibbosus"/>
    <s v="U"/>
    <x v="0"/>
    <n v="8"/>
    <n v="11.81"/>
    <x v="2"/>
    <s v="307-24-4"/>
    <x v="2"/>
    <n v="0.12731236482422417"/>
  </r>
  <r>
    <s v="PU002-JBA-08132021"/>
    <s v="Down"/>
    <x v="0"/>
    <s v="Pumpkinseed"/>
    <s v="Lepomis"/>
    <s v="gibbosus"/>
    <s v="U"/>
    <x v="0"/>
    <n v="8"/>
    <n v="11.81"/>
    <x v="3"/>
    <s v="375-85-9"/>
    <x v="3"/>
    <n v="9.4359404487313892E-2"/>
  </r>
  <r>
    <s v="PU002-JBA-08132021"/>
    <s v="Down"/>
    <x v="0"/>
    <s v="Pumpkinseed"/>
    <s v="Lepomis"/>
    <s v="gibbosus"/>
    <s v="U"/>
    <x v="0"/>
    <n v="8"/>
    <n v="11.81"/>
    <x v="4"/>
    <s v="335-67-1"/>
    <x v="4"/>
    <n v="0.29599999999999999"/>
  </r>
  <r>
    <s v="PU002-JBA-08132021"/>
    <s v="Down"/>
    <x v="0"/>
    <s v="Pumpkinseed"/>
    <s v="Lepomis"/>
    <s v="gibbosus"/>
    <s v="U"/>
    <x v="0"/>
    <n v="8"/>
    <n v="11.81"/>
    <x v="5"/>
    <s v="375-95-1"/>
    <x v="5"/>
    <n v="1.74"/>
  </r>
  <r>
    <s v="PU002-JBA-08132021"/>
    <s v="Down"/>
    <x v="0"/>
    <s v="Pumpkinseed"/>
    <s v="Lepomis"/>
    <s v="gibbosus"/>
    <s v="U"/>
    <x v="0"/>
    <n v="8"/>
    <n v="11.81"/>
    <x v="6"/>
    <s v="335-76-2"/>
    <x v="6"/>
    <n v="4.93"/>
  </r>
  <r>
    <s v="PU002-JBA-08132021"/>
    <s v="Down"/>
    <x v="0"/>
    <s v="Pumpkinseed"/>
    <s v="Lepomis"/>
    <s v="gibbosus"/>
    <s v="U"/>
    <x v="0"/>
    <n v="8"/>
    <n v="11.81"/>
    <x v="7"/>
    <s v="2058-94-8"/>
    <x v="7"/>
    <n v="11.1"/>
  </r>
  <r>
    <s v="PU002-JBA-08132021"/>
    <s v="Down"/>
    <x v="0"/>
    <s v="Pumpkinseed"/>
    <s v="Lepomis"/>
    <s v="gibbosus"/>
    <s v="U"/>
    <x v="0"/>
    <n v="8"/>
    <n v="11.81"/>
    <x v="8"/>
    <s v="307-55-1"/>
    <x v="8"/>
    <n v="29.2"/>
  </r>
  <r>
    <s v="PU002-JBA-08132021"/>
    <s v="Down"/>
    <x v="0"/>
    <s v="Pumpkinseed"/>
    <s v="Lepomis"/>
    <s v="gibbosus"/>
    <s v="U"/>
    <x v="0"/>
    <n v="8"/>
    <n v="11.81"/>
    <x v="9"/>
    <s v="72629-94-8"/>
    <x v="9"/>
    <n v="11"/>
  </r>
  <r>
    <s v="PU002-JBA-08132021"/>
    <s v="Down"/>
    <x v="0"/>
    <s v="Pumpkinseed"/>
    <s v="Lepomis"/>
    <s v="gibbosus"/>
    <s v="U"/>
    <x v="0"/>
    <n v="8"/>
    <n v="11.81"/>
    <x v="10"/>
    <s v="376-06-7"/>
    <x v="10"/>
    <n v="7.28"/>
  </r>
  <r>
    <s v="PU002-JBA-08132021"/>
    <s v="Down"/>
    <x v="0"/>
    <s v="Pumpkinseed"/>
    <s v="Lepomis"/>
    <s v="gibbosus"/>
    <s v="U"/>
    <x v="0"/>
    <n v="8"/>
    <n v="11.81"/>
    <x v="11"/>
    <s v="67905-19-5"/>
    <x v="11"/>
    <n v="8.231270315944085E-2"/>
  </r>
  <r>
    <s v="PU002-JBA-08132021"/>
    <s v="Down"/>
    <x v="0"/>
    <s v="Pumpkinseed"/>
    <s v="Lepomis"/>
    <s v="gibbosus"/>
    <s v="U"/>
    <x v="0"/>
    <n v="8"/>
    <n v="11.81"/>
    <x v="12"/>
    <s v="423-41-6"/>
    <x v="12"/>
    <n v="5.269402237591167E-2"/>
  </r>
  <r>
    <s v="PU002-JBA-08132021"/>
    <s v="Down"/>
    <x v="0"/>
    <s v="Pumpkinseed"/>
    <s v="Lepomis"/>
    <s v="gibbosus"/>
    <s v="U"/>
    <x v="0"/>
    <n v="8"/>
    <n v="11.81"/>
    <x v="13"/>
    <s v="375-73-5"/>
    <x v="13"/>
    <n v="3.33"/>
  </r>
  <r>
    <s v="PU002-JBA-08132021"/>
    <s v="Down"/>
    <x v="0"/>
    <s v="Pumpkinseed"/>
    <s v="Lepomis"/>
    <s v="gibbosus"/>
    <s v="U"/>
    <x v="0"/>
    <n v="8"/>
    <n v="11.81"/>
    <x v="14"/>
    <s v="2706-91-4"/>
    <x v="14"/>
    <n v="0.12491886229007131"/>
  </r>
  <r>
    <s v="PU002-JBA-08132021"/>
    <s v="Down"/>
    <x v="0"/>
    <s v="Pumpkinseed"/>
    <s v="Lepomis"/>
    <s v="gibbosus"/>
    <s v="U"/>
    <x v="0"/>
    <n v="8"/>
    <n v="11.81"/>
    <x v="15"/>
    <s v="355-46-4"/>
    <x v="15"/>
    <n v="16.399999999999999"/>
  </r>
  <r>
    <s v="PU002-JBA-08132021"/>
    <s v="Down"/>
    <x v="0"/>
    <s v="Pumpkinseed"/>
    <s v="Lepomis"/>
    <s v="gibbosus"/>
    <s v="U"/>
    <x v="0"/>
    <n v="8"/>
    <n v="11.81"/>
    <x v="16"/>
    <s v="375-92-8"/>
    <x v="16"/>
    <n v="0.82699999999999996"/>
  </r>
  <r>
    <s v="PU002-JBA-08132021"/>
    <s v="Down"/>
    <x v="0"/>
    <s v="Pumpkinseed"/>
    <s v="Lepomis"/>
    <s v="gibbosus"/>
    <s v="U"/>
    <x v="0"/>
    <n v="8"/>
    <n v="11.81"/>
    <x v="17"/>
    <s v="1763-23-1"/>
    <x v="17"/>
    <n v="1020"/>
  </r>
  <r>
    <s v="PU002-JBA-08132021"/>
    <s v="Down"/>
    <x v="0"/>
    <s v="Pumpkinseed"/>
    <s v="Lepomis"/>
    <s v="gibbosus"/>
    <s v="U"/>
    <x v="0"/>
    <n v="8"/>
    <n v="11.81"/>
    <x v="18"/>
    <s v="68259-12-1"/>
    <x v="18"/>
    <n v="0.98899999999999999"/>
  </r>
  <r>
    <s v="PU002-JBA-08132021"/>
    <s v="Down"/>
    <x v="0"/>
    <s v="Pumpkinseed"/>
    <s v="Lepomis"/>
    <s v="gibbosus"/>
    <s v="U"/>
    <x v="0"/>
    <n v="8"/>
    <n v="11.81"/>
    <x v="19"/>
    <s v="335-77-3"/>
    <x v="19"/>
    <n v="0.95799999999999996"/>
  </r>
  <r>
    <s v="PU002-JBA-08132021"/>
    <s v="Down"/>
    <x v="0"/>
    <s v="Pumpkinseed"/>
    <s v="Lepomis"/>
    <s v="gibbosus"/>
    <s v="U"/>
    <x v="0"/>
    <n v="8"/>
    <n v="11.81"/>
    <x v="20"/>
    <s v="79780-39-5"/>
    <x v="20"/>
    <n v="0.25226285320974001"/>
  </r>
  <r>
    <s v="PU002-JBA-08132021"/>
    <s v="Down"/>
    <x v="0"/>
    <s v="Pumpkinseed"/>
    <s v="Lepomis"/>
    <s v="gibbosus"/>
    <s v="U"/>
    <x v="0"/>
    <n v="8"/>
    <n v="11.81"/>
    <x v="21"/>
    <s v="777011-38-8"/>
    <x v="21"/>
    <n v="0.14335179625804151"/>
  </r>
  <r>
    <s v="PU002-JBA-08132021"/>
    <s v="Down"/>
    <x v="0"/>
    <s v="Pumpkinseed"/>
    <s v="Lepomis"/>
    <s v="gibbosus"/>
    <s v="U"/>
    <x v="0"/>
    <n v="8"/>
    <n v="11.81"/>
    <x v="22"/>
    <s v="646-83-3"/>
    <x v="22"/>
    <n v="9.4359404487313892E-2"/>
  </r>
  <r>
    <s v="PU002-JBA-08132021"/>
    <s v="Down"/>
    <x v="0"/>
    <s v="Pumpkinseed"/>
    <s v="Lepomis"/>
    <s v="gibbosus"/>
    <s v="U"/>
    <x v="0"/>
    <n v="8"/>
    <n v="11.81"/>
    <x v="23"/>
    <s v="30334-69-1"/>
    <x v="23"/>
    <n v="146"/>
  </r>
  <r>
    <s v="PU002-JBA-08132021"/>
    <s v="Down"/>
    <x v="0"/>
    <s v="Pumpkinseed"/>
    <s v="Lepomis"/>
    <s v="gibbosus"/>
    <s v="U"/>
    <x v="0"/>
    <n v="8"/>
    <n v="11.81"/>
    <x v="24"/>
    <s v="41997-13-1"/>
    <x v="24"/>
    <n v="81.099999999999994"/>
  </r>
  <r>
    <s v="PU002-JBA-08132021"/>
    <s v="Down"/>
    <x v="0"/>
    <s v="Pumpkinseed"/>
    <s v="Lepomis"/>
    <s v="gibbosus"/>
    <s v="U"/>
    <x v="0"/>
    <n v="8"/>
    <n v="11.81"/>
    <x v="25"/>
    <s v="754-91-6"/>
    <x v="25"/>
    <n v="26.2"/>
  </r>
  <r>
    <s v="PU002-JBA-08132021"/>
    <s v="Down"/>
    <x v="0"/>
    <s v="Pumpkinseed"/>
    <s v="Lepomis"/>
    <s v="gibbosus"/>
    <s v="U"/>
    <x v="0"/>
    <n v="8"/>
    <n v="11.81"/>
    <x v="26"/>
    <s v="31506-32-8"/>
    <x v="26"/>
    <n v="5.3207181211507297E-2"/>
  </r>
  <r>
    <s v="PU002-JBA-08132021"/>
    <s v="Down"/>
    <x v="0"/>
    <s v="Pumpkinseed"/>
    <s v="Lepomis"/>
    <s v="gibbosus"/>
    <s v="U"/>
    <x v="0"/>
    <n v="8"/>
    <n v="11.81"/>
    <x v="27"/>
    <s v="4151-50-2"/>
    <x v="27"/>
    <n v="8.0596970751114258E-2"/>
  </r>
  <r>
    <s v="PU002-JBA-08132021"/>
    <s v="Down"/>
    <x v="0"/>
    <s v="Pumpkinseed"/>
    <s v="Lepomis"/>
    <s v="gibbosus"/>
    <s v="U"/>
    <x v="0"/>
    <n v="8"/>
    <n v="11.81"/>
    <x v="28"/>
    <s v="2806-24-8"/>
    <x v="28"/>
    <n v="5.4440143732779583E-2"/>
  </r>
  <r>
    <s v="PU002-JBA-08132021"/>
    <s v="Down"/>
    <x v="0"/>
    <s v="Pumpkinseed"/>
    <s v="Lepomis"/>
    <s v="gibbosus"/>
    <s v="U"/>
    <x v="0"/>
    <n v="8"/>
    <n v="11.81"/>
    <x v="29"/>
    <s v="2355-31-9"/>
    <x v="29"/>
    <n v="2.8"/>
  </r>
  <r>
    <s v="PU002-JBA-08132021"/>
    <s v="Down"/>
    <x v="0"/>
    <s v="Pumpkinseed"/>
    <s v="Lepomis"/>
    <s v="gibbosus"/>
    <s v="U"/>
    <x v="0"/>
    <n v="8"/>
    <n v="11.81"/>
    <x v="30"/>
    <s v="2991-50-6"/>
    <x v="30"/>
    <n v="5.9948509006786874E-2"/>
  </r>
  <r>
    <s v="PU002-JBA-08132021"/>
    <s v="Down"/>
    <x v="0"/>
    <s v="Pumpkinseed"/>
    <s v="Lepomis"/>
    <s v="gibbosus"/>
    <s v="U"/>
    <x v="0"/>
    <n v="8"/>
    <n v="11.81"/>
    <x v="31"/>
    <s v="757124-72-4"/>
    <x v="31"/>
    <n v="5.6729904961507295E-2"/>
  </r>
  <r>
    <s v="PU002-JBA-08132021"/>
    <s v="Down"/>
    <x v="0"/>
    <s v="Pumpkinseed"/>
    <s v="Lepomis"/>
    <s v="gibbosus"/>
    <s v="U"/>
    <x v="0"/>
    <n v="8"/>
    <n v="11.81"/>
    <x v="32"/>
    <s v="27619-97-2"/>
    <x v="32"/>
    <n v="0.375"/>
  </r>
  <r>
    <s v="PU002-JBA-08132021"/>
    <s v="Down"/>
    <x v="0"/>
    <s v="Pumpkinseed"/>
    <s v="Lepomis"/>
    <s v="gibbosus"/>
    <s v="U"/>
    <x v="0"/>
    <n v="8"/>
    <n v="11.81"/>
    <x v="33"/>
    <s v="39108-34-4"/>
    <x v="33"/>
    <n v="1.95"/>
  </r>
  <r>
    <s v="PU002-JBA-08132021"/>
    <s v="Down"/>
    <x v="0"/>
    <s v="Pumpkinseed"/>
    <s v="Lepomis"/>
    <s v="gibbosus"/>
    <s v="U"/>
    <x v="0"/>
    <n v="8"/>
    <n v="11.81"/>
    <x v="34"/>
    <s v="120226-60-0"/>
    <x v="34"/>
    <n v="0.26785462834975882"/>
  </r>
  <r>
    <s v="PU002-JBA-08132021"/>
    <s v="Down"/>
    <x v="0"/>
    <s v="Pumpkinseed"/>
    <s v="Lepomis"/>
    <s v="gibbosus"/>
    <s v="U"/>
    <x v="0"/>
    <n v="8"/>
    <n v="11.81"/>
    <x v="35"/>
    <s v="356-02-5"/>
    <x v="35"/>
    <n v="7.9666700574858182E-2"/>
  </r>
  <r>
    <s v="PU002-JBA-08132021"/>
    <s v="Down"/>
    <x v="0"/>
    <s v="Pumpkinseed"/>
    <s v="Lepomis"/>
    <s v="gibbosus"/>
    <s v="U"/>
    <x v="0"/>
    <n v="8"/>
    <n v="11.81"/>
    <x v="36"/>
    <s v="914637-49-3"/>
    <x v="36"/>
    <n v="7.86"/>
  </r>
  <r>
    <s v="PU002-JBA-08132021"/>
    <s v="Down"/>
    <x v="0"/>
    <s v="Pumpkinseed"/>
    <s v="Lepomis"/>
    <s v="gibbosus"/>
    <s v="U"/>
    <x v="0"/>
    <n v="8"/>
    <n v="11.81"/>
    <x v="37"/>
    <s v="812-70-4"/>
    <x v="37"/>
    <n v="79.7"/>
  </r>
  <r>
    <s v="PU002-JBA-08132021"/>
    <s v="Down"/>
    <x v="0"/>
    <s v="Pumpkinseed"/>
    <s v="Lepomis"/>
    <s v="gibbosus"/>
    <s v="U"/>
    <x v="0"/>
    <n v="8"/>
    <n v="11.81"/>
    <x v="38"/>
    <s v="53826-12-3"/>
    <x v="38"/>
    <n v="4.37"/>
  </r>
  <r>
    <s v="PU002-JBA-08132021"/>
    <s v="Down"/>
    <x v="0"/>
    <s v="Pumpkinseed"/>
    <s v="Lepomis"/>
    <s v="gibbosus"/>
    <s v="U"/>
    <x v="0"/>
    <n v="8"/>
    <n v="11.81"/>
    <x v="39"/>
    <s v="27854-31-5"/>
    <x v="39"/>
    <n v="1.05"/>
  </r>
  <r>
    <s v="PU002-JBA-08132021"/>
    <s v="Down"/>
    <x v="0"/>
    <s v="Pumpkinseed"/>
    <s v="Lepomis"/>
    <s v="gibbosus"/>
    <s v="U"/>
    <x v="0"/>
    <n v="8"/>
    <n v="11.81"/>
    <x v="40"/>
    <s v="53826-13-4"/>
    <x v="40"/>
    <n v="0.10305956063563615"/>
  </r>
  <r>
    <s v="PU002-JBA-08132021"/>
    <s v="Down"/>
    <x v="0"/>
    <s v="Pumpkinseed"/>
    <s v="Lepomis"/>
    <s v="gibbosus"/>
    <s v="U"/>
    <x v="0"/>
    <n v="8"/>
    <n v="11.81"/>
    <x v="41"/>
    <s v="161094-75-3"/>
    <x v="41"/>
    <n v="5.4230275812398705E-2"/>
  </r>
  <r>
    <s v="PU002-JBA-08132021"/>
    <s v="Down"/>
    <x v="0"/>
    <s v="Pumpkinseed"/>
    <s v="Lepomis"/>
    <s v="gibbosus"/>
    <s v="U"/>
    <x v="0"/>
    <n v="8"/>
    <n v="11.81"/>
    <x v="42"/>
    <s v="70887-84-2"/>
    <x v="42"/>
    <n v="4.1736812727562807E-2"/>
  </r>
  <r>
    <s v="PU002-JBA-08132021"/>
    <s v="Down"/>
    <x v="0"/>
    <s v="Pumpkinseed"/>
    <s v="Lepomis"/>
    <s v="gibbosus"/>
    <s v="U"/>
    <x v="0"/>
    <n v="8"/>
    <n v="11.81"/>
    <x v="43"/>
    <s v="919005-14-4"/>
    <x v="43"/>
    <n v="6.9065861205245327E-2"/>
  </r>
  <r>
    <s v="PU002-JBA-08132021"/>
    <s v="Down"/>
    <x v="0"/>
    <s v="Pumpkinseed"/>
    <s v="Lepomis"/>
    <s v="gibbosus"/>
    <s v="U"/>
    <x v="0"/>
    <n v="8"/>
    <n v="11.81"/>
    <x v="44"/>
    <s v="756426-58-1"/>
    <x v="44"/>
    <n v="4.7939072806422206E-2"/>
  </r>
  <r>
    <s v="PU002-JBA-08132021"/>
    <s v="Down"/>
    <x v="0"/>
    <s v="Pumpkinseed"/>
    <s v="Lepomis"/>
    <s v="gibbosus"/>
    <s v="U"/>
    <x v="0"/>
    <n v="8"/>
    <n v="11.81"/>
    <x v="45"/>
    <s v="763051-92-9"/>
    <x v="45"/>
    <n v="5.4423245635636143E-2"/>
  </r>
  <r>
    <s v="PU002-JBA-08132021"/>
    <s v="Down"/>
    <x v="0"/>
    <s v="Pumpkinseed"/>
    <s v="Lepomis"/>
    <s v="gibbosus"/>
    <s v="U"/>
    <x v="0"/>
    <n v="8"/>
    <n v="11.81"/>
    <x v="46"/>
    <s v="13252-13-6"/>
    <x v="46"/>
    <n v="9.9111483693780408E-2"/>
  </r>
  <r>
    <s v="PU002-JBA-08132021"/>
    <s v="Down"/>
    <x v="0"/>
    <s v="Pumpkinseed"/>
    <s v="Lepomis"/>
    <s v="gibbosus"/>
    <s v="U"/>
    <x v="0"/>
    <n v="8"/>
    <n v="11.81"/>
    <x v="47"/>
    <s v="57677-95-9"/>
    <x v="47"/>
    <n v="7.3522607706138582E-2"/>
  </r>
  <r>
    <s v="PU002-JBA-08132021"/>
    <s v="Down"/>
    <x v="0"/>
    <s v="Pumpkinseed"/>
    <s v="Lepomis"/>
    <s v="gibbosus"/>
    <s v="U"/>
    <x v="0"/>
    <n v="8"/>
    <n v="11.81"/>
    <x v="48"/>
    <s v="678-41-1"/>
    <x v="48"/>
    <n v="9.1568486227208271E-2"/>
  </r>
  <r>
    <s v="PU002-JBA-08132021"/>
    <s v="Down"/>
    <x v="0"/>
    <s v="Pumpkinseed"/>
    <s v="Lepomis"/>
    <s v="gibbosus"/>
    <s v="U"/>
    <x v="0"/>
    <n v="8"/>
    <n v="11.81"/>
    <x v="49"/>
    <s v="2965-52-8"/>
    <x v="49"/>
    <n v="0.12155591572123177"/>
  </r>
  <r>
    <s v="PU003-JBA-08132021"/>
    <s v="Down"/>
    <x v="0"/>
    <s v="Pumpkinseed"/>
    <s v="Lepomis"/>
    <s v="gibbosus"/>
    <s v="U"/>
    <x v="0"/>
    <n v="8"/>
    <n v="11.81"/>
    <x v="0"/>
    <s v="375-22-4"/>
    <x v="0"/>
    <n v="9.6670247046186875E-2"/>
  </r>
  <r>
    <s v="PU003-JBA-08132021"/>
    <s v="Down"/>
    <x v="0"/>
    <s v="Pumpkinseed"/>
    <s v="Lepomis"/>
    <s v="gibbosus"/>
    <s v="U"/>
    <x v="0"/>
    <n v="8"/>
    <n v="11.81"/>
    <x v="1"/>
    <s v="2706-90-3"/>
    <x v="1"/>
    <n v="5.0506678557873774E-2"/>
  </r>
  <r>
    <s v="PU003-JBA-08132021"/>
    <s v="Down"/>
    <x v="0"/>
    <s v="Pumpkinseed"/>
    <s v="Lepomis"/>
    <s v="gibbosus"/>
    <s v="U"/>
    <x v="0"/>
    <n v="8"/>
    <n v="11.81"/>
    <x v="2"/>
    <s v="307-24-4"/>
    <x v="2"/>
    <n v="3.8579504492189144E-2"/>
  </r>
  <r>
    <s v="PU003-JBA-08132021"/>
    <s v="Down"/>
    <x v="0"/>
    <s v="Pumpkinseed"/>
    <s v="Lepomis"/>
    <s v="gibbosus"/>
    <s v="U"/>
    <x v="0"/>
    <n v="8"/>
    <n v="11.81"/>
    <x v="3"/>
    <s v="375-85-9"/>
    <x v="3"/>
    <n v="9.6670247046186875E-2"/>
  </r>
  <r>
    <s v="PU003-JBA-08132021"/>
    <s v="Down"/>
    <x v="0"/>
    <s v="Pumpkinseed"/>
    <s v="Lepomis"/>
    <s v="gibbosus"/>
    <s v="U"/>
    <x v="0"/>
    <n v="8"/>
    <n v="11.81"/>
    <x v="4"/>
    <s v="335-67-1"/>
    <x v="4"/>
    <n v="9.6670247046186875E-2"/>
  </r>
  <r>
    <s v="PU003-JBA-08132021"/>
    <s v="Down"/>
    <x v="0"/>
    <s v="Pumpkinseed"/>
    <s v="Lepomis"/>
    <s v="gibbosus"/>
    <s v="U"/>
    <x v="0"/>
    <n v="8"/>
    <n v="11.81"/>
    <x v="5"/>
    <s v="375-95-1"/>
    <x v="5"/>
    <n v="4.9470441770287268E-2"/>
  </r>
  <r>
    <s v="PU003-JBA-08132021"/>
    <s v="Down"/>
    <x v="0"/>
    <s v="Pumpkinseed"/>
    <s v="Lepomis"/>
    <s v="gibbosus"/>
    <s v="U"/>
    <x v="0"/>
    <n v="8"/>
    <n v="11.81"/>
    <x v="6"/>
    <s v="335-76-2"/>
    <x v="6"/>
    <n v="1.61"/>
  </r>
  <r>
    <s v="PU003-JBA-08132021"/>
    <s v="Down"/>
    <x v="0"/>
    <s v="Pumpkinseed"/>
    <s v="Lepomis"/>
    <s v="gibbosus"/>
    <s v="U"/>
    <x v="0"/>
    <n v="8"/>
    <n v="11.81"/>
    <x v="7"/>
    <s v="2058-94-8"/>
    <x v="7"/>
    <n v="4.03"/>
  </r>
  <r>
    <s v="PU003-JBA-08132021"/>
    <s v="Down"/>
    <x v="0"/>
    <s v="Pumpkinseed"/>
    <s v="Lepomis"/>
    <s v="gibbosus"/>
    <s v="U"/>
    <x v="0"/>
    <n v="8"/>
    <n v="11.81"/>
    <x v="8"/>
    <s v="307-55-1"/>
    <x v="8"/>
    <n v="5.7075992791465704E-2"/>
  </r>
  <r>
    <s v="PU003-JBA-08132021"/>
    <s v="Down"/>
    <x v="0"/>
    <s v="Pumpkinseed"/>
    <s v="Lepomis"/>
    <s v="gibbosus"/>
    <s v="U"/>
    <x v="0"/>
    <n v="8"/>
    <n v="11.81"/>
    <x v="9"/>
    <s v="72629-94-8"/>
    <x v="9"/>
    <n v="3.45"/>
  </r>
  <r>
    <s v="PU003-JBA-08132021"/>
    <s v="Down"/>
    <x v="0"/>
    <s v="Pumpkinseed"/>
    <s v="Lepomis"/>
    <s v="gibbosus"/>
    <s v="U"/>
    <x v="0"/>
    <n v="8"/>
    <n v="11.81"/>
    <x v="10"/>
    <s v="376-06-7"/>
    <x v="10"/>
    <n v="5.68"/>
  </r>
  <r>
    <s v="PU003-JBA-08132021"/>
    <s v="Down"/>
    <x v="0"/>
    <s v="Pumpkinseed"/>
    <s v="Lepomis"/>
    <s v="gibbosus"/>
    <s v="U"/>
    <x v="0"/>
    <n v="8"/>
    <n v="11.81"/>
    <x v="11"/>
    <s v="67905-19-5"/>
    <x v="11"/>
    <n v="8.5195114865799976E-2"/>
  </r>
  <r>
    <s v="PU003-JBA-08132021"/>
    <s v="Down"/>
    <x v="0"/>
    <s v="Pumpkinseed"/>
    <s v="Lepomis"/>
    <s v="gibbosus"/>
    <s v="U"/>
    <x v="0"/>
    <n v="8"/>
    <n v="11.81"/>
    <x v="12"/>
    <s v="423-41-6"/>
    <x v="12"/>
    <n v="5.4539252347976512E-2"/>
  </r>
  <r>
    <s v="PU003-JBA-08132021"/>
    <s v="Down"/>
    <x v="0"/>
    <s v="Pumpkinseed"/>
    <s v="Lepomis"/>
    <s v="gibbosus"/>
    <s v="U"/>
    <x v="0"/>
    <n v="8"/>
    <n v="11.81"/>
    <x v="13"/>
    <s v="375-73-5"/>
    <x v="13"/>
    <n v="0.16448667761842101"/>
  </r>
  <r>
    <s v="PU003-JBA-08132021"/>
    <s v="Down"/>
    <x v="0"/>
    <s v="Pumpkinseed"/>
    <s v="Lepomis"/>
    <s v="gibbosus"/>
    <s v="U"/>
    <x v="0"/>
    <n v="8"/>
    <n v="11.81"/>
    <x v="14"/>
    <s v="2706-91-4"/>
    <x v="14"/>
    <n v="0.12797809973390978"/>
  </r>
  <r>
    <s v="PU003-JBA-08132021"/>
    <s v="Down"/>
    <x v="0"/>
    <s v="Pumpkinseed"/>
    <s v="Lepomis"/>
    <s v="gibbosus"/>
    <s v="U"/>
    <x v="0"/>
    <n v="8"/>
    <n v="11.81"/>
    <x v="15"/>
    <s v="355-46-4"/>
    <x v="15"/>
    <n v="3.78"/>
  </r>
  <r>
    <s v="PU003-JBA-08132021"/>
    <s v="Down"/>
    <x v="0"/>
    <s v="Pumpkinseed"/>
    <s v="Lepomis"/>
    <s v="gibbosus"/>
    <s v="U"/>
    <x v="0"/>
    <n v="8"/>
    <n v="11.81"/>
    <x v="16"/>
    <s v="375-92-8"/>
    <x v="16"/>
    <n v="0.24167561761546721"/>
  </r>
  <r>
    <s v="PU003-JBA-08132021"/>
    <s v="Down"/>
    <x v="0"/>
    <s v="Pumpkinseed"/>
    <s v="Lepomis"/>
    <s v="gibbosus"/>
    <s v="U"/>
    <x v="0"/>
    <n v="8"/>
    <n v="11.81"/>
    <x v="17"/>
    <s v="1763-23-1"/>
    <x v="17"/>
    <n v="560"/>
  </r>
  <r>
    <s v="PU003-JBA-08132021"/>
    <s v="Down"/>
    <x v="0"/>
    <s v="Pumpkinseed"/>
    <s v="Lepomis"/>
    <s v="gibbosus"/>
    <s v="U"/>
    <x v="0"/>
    <n v="8"/>
    <n v="11.81"/>
    <x v="18"/>
    <s v="68259-12-1"/>
    <x v="18"/>
    <n v="0.38"/>
  </r>
  <r>
    <s v="PU003-JBA-08132021"/>
    <s v="Down"/>
    <x v="0"/>
    <s v="Pumpkinseed"/>
    <s v="Lepomis"/>
    <s v="gibbosus"/>
    <s v="U"/>
    <x v="0"/>
    <n v="8"/>
    <n v="11.81"/>
    <x v="19"/>
    <s v="335-77-3"/>
    <x v="19"/>
    <n v="0.47099999999999997"/>
  </r>
  <r>
    <s v="PU003-JBA-08132021"/>
    <s v="Down"/>
    <x v="0"/>
    <s v="Pumpkinseed"/>
    <s v="Lepomis"/>
    <s v="gibbosus"/>
    <s v="U"/>
    <x v="0"/>
    <n v="8"/>
    <n v="11.81"/>
    <x v="20"/>
    <s v="79780-39-5"/>
    <x v="20"/>
    <n v="0.2584407190026316"/>
  </r>
  <r>
    <s v="PU003-JBA-08132021"/>
    <s v="Down"/>
    <x v="0"/>
    <s v="Pumpkinseed"/>
    <s v="Lepomis"/>
    <s v="gibbosus"/>
    <s v="U"/>
    <x v="0"/>
    <n v="8"/>
    <n v="11.81"/>
    <x v="21"/>
    <s v="777011-38-8"/>
    <x v="21"/>
    <n v="0.14686245249293234"/>
  </r>
  <r>
    <s v="PU003-JBA-08132021"/>
    <s v="Down"/>
    <x v="0"/>
    <s v="Pumpkinseed"/>
    <s v="Lepomis"/>
    <s v="gibbosus"/>
    <s v="U"/>
    <x v="0"/>
    <n v="8"/>
    <n v="11.81"/>
    <x v="22"/>
    <s v="646-83-3"/>
    <x v="22"/>
    <n v="9.6670247046186875E-2"/>
  </r>
  <r>
    <s v="PU003-JBA-08132021"/>
    <s v="Down"/>
    <x v="0"/>
    <s v="Pumpkinseed"/>
    <s v="Lepomis"/>
    <s v="gibbosus"/>
    <s v="U"/>
    <x v="0"/>
    <n v="8"/>
    <n v="11.81"/>
    <x v="23"/>
    <s v="30334-69-1"/>
    <x v="23"/>
    <n v="61"/>
  </r>
  <r>
    <s v="PU003-JBA-08132021"/>
    <s v="Down"/>
    <x v="0"/>
    <s v="Pumpkinseed"/>
    <s v="Lepomis"/>
    <s v="gibbosus"/>
    <s v="U"/>
    <x v="0"/>
    <n v="8"/>
    <n v="11.81"/>
    <x v="24"/>
    <s v="41997-13-1"/>
    <x v="24"/>
    <n v="49.5"/>
  </r>
  <r>
    <s v="PU003-JBA-08132021"/>
    <s v="Down"/>
    <x v="0"/>
    <s v="Pumpkinseed"/>
    <s v="Lepomis"/>
    <s v="gibbosus"/>
    <s v="U"/>
    <x v="0"/>
    <n v="8"/>
    <n v="11.81"/>
    <x v="25"/>
    <s v="754-91-6"/>
    <x v="25"/>
    <n v="13.8"/>
  </r>
  <r>
    <s v="PU003-JBA-08132021"/>
    <s v="Down"/>
    <x v="0"/>
    <s v="Pumpkinseed"/>
    <s v="Lepomis"/>
    <s v="gibbosus"/>
    <s v="U"/>
    <x v="0"/>
    <n v="8"/>
    <n v="11.81"/>
    <x v="26"/>
    <s v="31506-32-8"/>
    <x v="26"/>
    <n v="5.5070380889075281E-2"/>
  </r>
  <r>
    <s v="PU003-JBA-08132021"/>
    <s v="Down"/>
    <x v="0"/>
    <s v="Pumpkinseed"/>
    <s v="Lepomis"/>
    <s v="gibbosus"/>
    <s v="U"/>
    <x v="0"/>
    <n v="8"/>
    <n v="11.81"/>
    <x v="27"/>
    <s v="4151-50-2"/>
    <x v="27"/>
    <n v="8.341930124292303E-2"/>
  </r>
  <r>
    <s v="PU003-JBA-08132021"/>
    <s v="Down"/>
    <x v="0"/>
    <s v="Pumpkinseed"/>
    <s v="Lepomis"/>
    <s v="gibbosus"/>
    <s v="U"/>
    <x v="0"/>
    <n v="8"/>
    <n v="11.81"/>
    <x v="28"/>
    <s v="2806-24-8"/>
    <x v="28"/>
    <n v="5.6346519074229398E-2"/>
  </r>
  <r>
    <s v="PU003-JBA-08132021"/>
    <s v="Down"/>
    <x v="0"/>
    <s v="Pumpkinseed"/>
    <s v="Lepomis"/>
    <s v="gibbosus"/>
    <s v="U"/>
    <x v="0"/>
    <n v="8"/>
    <n v="11.81"/>
    <x v="29"/>
    <s v="2355-31-9"/>
    <x v="29"/>
    <n v="8.85"/>
  </r>
  <r>
    <s v="PU003-JBA-08132021"/>
    <s v="Down"/>
    <x v="0"/>
    <s v="Pumpkinseed"/>
    <s v="Lepomis"/>
    <s v="gibbosus"/>
    <s v="U"/>
    <x v="0"/>
    <n v="8"/>
    <n v="11.81"/>
    <x v="30"/>
    <s v="2991-50-6"/>
    <x v="30"/>
    <n v="6.2047775310861815E-2"/>
  </r>
  <r>
    <s v="PU003-JBA-08132021"/>
    <s v="Down"/>
    <x v="0"/>
    <s v="Pumpkinseed"/>
    <s v="Lepomis"/>
    <s v="gibbosus"/>
    <s v="U"/>
    <x v="0"/>
    <n v="8"/>
    <n v="11.81"/>
    <x v="31"/>
    <s v="757124-72-4"/>
    <x v="31"/>
    <n v="0.19850957592631577"/>
  </r>
  <r>
    <s v="PU003-JBA-08132021"/>
    <s v="Down"/>
    <x v="0"/>
    <s v="Pumpkinseed"/>
    <s v="Lepomis"/>
    <s v="gibbosus"/>
    <s v="U"/>
    <x v="0"/>
    <n v="8"/>
    <n v="11.81"/>
    <x v="32"/>
    <s v="27619-97-2"/>
    <x v="32"/>
    <n v="4.315775150089117E-2"/>
  </r>
  <r>
    <s v="PU003-JBA-08132021"/>
    <s v="Down"/>
    <x v="0"/>
    <s v="Pumpkinseed"/>
    <s v="Lepomis"/>
    <s v="gibbosus"/>
    <s v="U"/>
    <x v="0"/>
    <n v="8"/>
    <n v="11.81"/>
    <x v="33"/>
    <s v="39108-34-4"/>
    <x v="33"/>
    <n v="0.77600000000000002"/>
  </r>
  <r>
    <s v="PU003-JBA-08132021"/>
    <s v="Down"/>
    <x v="0"/>
    <s v="Pumpkinseed"/>
    <s v="Lepomis"/>
    <s v="gibbosus"/>
    <s v="U"/>
    <x v="0"/>
    <n v="8"/>
    <n v="11.81"/>
    <x v="34"/>
    <s v="120226-60-0"/>
    <x v="34"/>
    <n v="8.1168069196896619E-2"/>
  </r>
  <r>
    <s v="PU003-JBA-08132021"/>
    <s v="Down"/>
    <x v="0"/>
    <s v="Pumpkinseed"/>
    <s v="Lepomis"/>
    <s v="gibbosus"/>
    <s v="U"/>
    <x v="0"/>
    <n v="8"/>
    <n v="11.81"/>
    <x v="35"/>
    <s v="356-02-5"/>
    <x v="35"/>
    <n v="8.2456455029880471E-2"/>
  </r>
  <r>
    <s v="PU003-JBA-08132021"/>
    <s v="Down"/>
    <x v="0"/>
    <s v="Pumpkinseed"/>
    <s v="Lepomis"/>
    <s v="gibbosus"/>
    <s v="U"/>
    <x v="0"/>
    <n v="8"/>
    <n v="11.81"/>
    <x v="36"/>
    <s v="914637-49-3"/>
    <x v="36"/>
    <n v="1.67"/>
  </r>
  <r>
    <s v="PU003-JBA-08132021"/>
    <s v="Down"/>
    <x v="0"/>
    <s v="Pumpkinseed"/>
    <s v="Lepomis"/>
    <s v="gibbosus"/>
    <s v="U"/>
    <x v="0"/>
    <n v="8"/>
    <n v="11.81"/>
    <x v="37"/>
    <s v="812-70-4"/>
    <x v="37"/>
    <n v="31.9"/>
  </r>
  <r>
    <s v="PU003-JBA-08132021"/>
    <s v="Down"/>
    <x v="0"/>
    <s v="Pumpkinseed"/>
    <s v="Lepomis"/>
    <s v="gibbosus"/>
    <s v="U"/>
    <x v="0"/>
    <n v="8"/>
    <n v="11.81"/>
    <x v="38"/>
    <s v="53826-12-3"/>
    <x v="38"/>
    <n v="2.81"/>
  </r>
  <r>
    <s v="PU003-JBA-08132021"/>
    <s v="Down"/>
    <x v="0"/>
    <s v="Pumpkinseed"/>
    <s v="Lepomis"/>
    <s v="gibbosus"/>
    <s v="U"/>
    <x v="0"/>
    <n v="8"/>
    <n v="11.81"/>
    <x v="39"/>
    <s v="27854-31-5"/>
    <x v="39"/>
    <n v="2.8593758935549666E-2"/>
  </r>
  <r>
    <s v="PU003-JBA-08132021"/>
    <s v="Down"/>
    <x v="0"/>
    <s v="Pumpkinseed"/>
    <s v="Lepomis"/>
    <s v="gibbosus"/>
    <s v="U"/>
    <x v="0"/>
    <n v="8"/>
    <n v="11.81"/>
    <x v="40"/>
    <s v="53826-13-4"/>
    <x v="40"/>
    <n v="0.10666848213409522"/>
  </r>
  <r>
    <s v="PU003-JBA-08132021"/>
    <s v="Down"/>
    <x v="0"/>
    <s v="Pumpkinseed"/>
    <s v="Lepomis"/>
    <s v="gibbosus"/>
    <s v="U"/>
    <x v="0"/>
    <n v="8"/>
    <n v="11.81"/>
    <x v="41"/>
    <s v="161094-75-3"/>
    <x v="41"/>
    <n v="5.612930203606626E-2"/>
  </r>
  <r>
    <s v="PU003-JBA-08132021"/>
    <s v="Down"/>
    <x v="0"/>
    <s v="Pumpkinseed"/>
    <s v="Lepomis"/>
    <s v="gibbosus"/>
    <s v="U"/>
    <x v="0"/>
    <n v="8"/>
    <n v="11.81"/>
    <x v="42"/>
    <s v="70887-84-2"/>
    <x v="42"/>
    <n v="4.319834506673307E-2"/>
  </r>
  <r>
    <s v="PU003-JBA-08132021"/>
    <s v="Down"/>
    <x v="0"/>
    <s v="Pumpkinseed"/>
    <s v="Lepomis"/>
    <s v="gibbosus"/>
    <s v="U"/>
    <x v="0"/>
    <n v="8"/>
    <n v="11.81"/>
    <x v="43"/>
    <s v="919005-14-4"/>
    <x v="43"/>
    <n v="7.148439733887417E-2"/>
  </r>
  <r>
    <s v="PU003-JBA-08132021"/>
    <s v="Down"/>
    <x v="0"/>
    <s v="Pumpkinseed"/>
    <s v="Lepomis"/>
    <s v="gibbosus"/>
    <s v="U"/>
    <x v="0"/>
    <n v="8"/>
    <n v="11.81"/>
    <x v="44"/>
    <s v="756426-58-1"/>
    <x v="44"/>
    <n v="4.961779479398197E-2"/>
  </r>
  <r>
    <s v="PU003-JBA-08132021"/>
    <s v="Down"/>
    <x v="0"/>
    <s v="Pumpkinseed"/>
    <s v="Lepomis"/>
    <s v="gibbosus"/>
    <s v="U"/>
    <x v="0"/>
    <n v="8"/>
    <n v="11.81"/>
    <x v="45"/>
    <s v="763051-92-9"/>
    <x v="45"/>
    <n v="5.6329029242503673E-2"/>
  </r>
  <r>
    <s v="PU003-JBA-08132021"/>
    <s v="Down"/>
    <x v="0"/>
    <s v="Pumpkinseed"/>
    <s v="Lepomis"/>
    <s v="gibbosus"/>
    <s v="U"/>
    <x v="0"/>
    <n v="8"/>
    <n v="11.81"/>
    <x v="46"/>
    <s v="13252-13-6"/>
    <x v="46"/>
    <n v="0.1025821521309499"/>
  </r>
  <r>
    <s v="PU003-JBA-08132021"/>
    <s v="Down"/>
    <x v="0"/>
    <s v="Pumpkinseed"/>
    <s v="Lepomis"/>
    <s v="gibbosus"/>
    <s v="U"/>
    <x v="0"/>
    <n v="8"/>
    <n v="11.81"/>
    <x v="47"/>
    <s v="57677-95-9"/>
    <x v="47"/>
    <n v="7.609720940186622E-2"/>
  </r>
  <r>
    <s v="PU003-JBA-08132021"/>
    <s v="Down"/>
    <x v="0"/>
    <s v="Pumpkinseed"/>
    <s v="Lepomis"/>
    <s v="gibbosus"/>
    <s v="U"/>
    <x v="0"/>
    <n v="8"/>
    <n v="11.81"/>
    <x v="48"/>
    <s v="678-41-1"/>
    <x v="48"/>
    <n v="9.4775015310861813E-2"/>
  </r>
  <r>
    <s v="PU003-JBA-08132021"/>
    <s v="Down"/>
    <x v="0"/>
    <s v="Pumpkinseed"/>
    <s v="Lepomis"/>
    <s v="gibbosus"/>
    <s v="U"/>
    <x v="0"/>
    <n v="8"/>
    <n v="11.81"/>
    <x v="49"/>
    <s v="2965-52-8"/>
    <x v="49"/>
    <n v="0.12581253931641853"/>
  </r>
  <r>
    <s v="PU004-JBA-08132021"/>
    <s v="Down"/>
    <x v="0"/>
    <s v="Pumpkinseed"/>
    <s v="Lepomis"/>
    <s v="gibbosus"/>
    <s v="U"/>
    <x v="0"/>
    <n v="8"/>
    <n v="11.81"/>
    <x v="0"/>
    <s v="375-22-4"/>
    <x v="0"/>
    <n v="9.5744680851063829E-2"/>
  </r>
  <r>
    <s v="PU004-JBA-08132021"/>
    <s v="Down"/>
    <x v="0"/>
    <s v="Pumpkinseed"/>
    <s v="Lepomis"/>
    <s v="gibbosus"/>
    <s v="U"/>
    <x v="0"/>
    <n v="8"/>
    <n v="11.81"/>
    <x v="1"/>
    <s v="2706-90-3"/>
    <x v="1"/>
    <n v="5.1743576808270679E-2"/>
  </r>
  <r>
    <s v="PU004-JBA-08132021"/>
    <s v="Down"/>
    <x v="0"/>
    <s v="Pumpkinseed"/>
    <s v="Lepomis"/>
    <s v="gibbosus"/>
    <s v="U"/>
    <x v="0"/>
    <n v="8"/>
    <n v="11.81"/>
    <x v="2"/>
    <s v="307-24-4"/>
    <x v="2"/>
    <n v="0.12918141869079255"/>
  </r>
  <r>
    <s v="PU004-JBA-08132021"/>
    <s v="Down"/>
    <x v="0"/>
    <s v="Pumpkinseed"/>
    <s v="Lepomis"/>
    <s v="gibbosus"/>
    <s v="U"/>
    <x v="0"/>
    <n v="8"/>
    <n v="11.81"/>
    <x v="3"/>
    <s v="375-85-9"/>
    <x v="3"/>
    <n v="2.9294014256420267E-2"/>
  </r>
  <r>
    <s v="PU004-JBA-08132021"/>
    <s v="Down"/>
    <x v="0"/>
    <s v="Pumpkinseed"/>
    <s v="Lepomis"/>
    <s v="gibbosus"/>
    <s v="U"/>
    <x v="0"/>
    <n v="8"/>
    <n v="11.81"/>
    <x v="4"/>
    <s v="335-67-1"/>
    <x v="4"/>
    <n v="0.54700000000000004"/>
  </r>
  <r>
    <s v="PU004-JBA-08132021"/>
    <s v="Down"/>
    <x v="0"/>
    <s v="Pumpkinseed"/>
    <s v="Lepomis"/>
    <s v="gibbosus"/>
    <s v="U"/>
    <x v="0"/>
    <n v="8"/>
    <n v="11.81"/>
    <x v="5"/>
    <s v="375-95-1"/>
    <x v="5"/>
    <n v="5.0681962793233074E-2"/>
  </r>
  <r>
    <s v="PU004-JBA-08132021"/>
    <s v="Down"/>
    <x v="0"/>
    <s v="Pumpkinseed"/>
    <s v="Lepomis"/>
    <s v="gibbosus"/>
    <s v="U"/>
    <x v="0"/>
    <n v="8"/>
    <n v="11.81"/>
    <x v="6"/>
    <s v="335-76-2"/>
    <x v="6"/>
    <n v="4.0599999999999996"/>
  </r>
  <r>
    <s v="PU004-JBA-08132021"/>
    <s v="Down"/>
    <x v="0"/>
    <s v="Pumpkinseed"/>
    <s v="Lepomis"/>
    <s v="gibbosus"/>
    <s v="U"/>
    <x v="0"/>
    <n v="8"/>
    <n v="11.81"/>
    <x v="7"/>
    <s v="2058-94-8"/>
    <x v="7"/>
    <n v="6.18"/>
  </r>
  <r>
    <s v="PU004-JBA-08132021"/>
    <s v="Down"/>
    <x v="0"/>
    <s v="Pumpkinseed"/>
    <s v="Lepomis"/>
    <s v="gibbosus"/>
    <s v="U"/>
    <x v="0"/>
    <n v="8"/>
    <n v="11.81"/>
    <x v="8"/>
    <s v="307-55-1"/>
    <x v="8"/>
    <n v="5.8473772206766916E-2"/>
  </r>
  <r>
    <s v="PU004-JBA-08132021"/>
    <s v="Down"/>
    <x v="0"/>
    <s v="Pumpkinseed"/>
    <s v="Lepomis"/>
    <s v="gibbosus"/>
    <s v="U"/>
    <x v="0"/>
    <n v="8"/>
    <n v="11.81"/>
    <x v="9"/>
    <s v="72629-94-8"/>
    <x v="9"/>
    <n v="4.12"/>
  </r>
  <r>
    <s v="PU004-JBA-08132021"/>
    <s v="Down"/>
    <x v="0"/>
    <s v="Pumpkinseed"/>
    <s v="Lepomis"/>
    <s v="gibbosus"/>
    <s v="U"/>
    <x v="0"/>
    <n v="8"/>
    <n v="11.81"/>
    <x v="10"/>
    <s v="376-06-7"/>
    <x v="10"/>
    <n v="3.74"/>
  </r>
  <r>
    <s v="PU004-JBA-08132021"/>
    <s v="Down"/>
    <x v="0"/>
    <s v="Pumpkinseed"/>
    <s v="Lepomis"/>
    <s v="gibbosus"/>
    <s v="U"/>
    <x v="0"/>
    <n v="8"/>
    <n v="11.81"/>
    <x v="11"/>
    <s v="67905-19-5"/>
    <x v="11"/>
    <n v="8.7281525842105245E-2"/>
  </r>
  <r>
    <s v="PU004-JBA-08132021"/>
    <s v="Down"/>
    <x v="0"/>
    <s v="Pumpkinseed"/>
    <s v="Lepomis"/>
    <s v="gibbosus"/>
    <s v="U"/>
    <x v="0"/>
    <n v="8"/>
    <n v="11.81"/>
    <x v="12"/>
    <s v="423-41-6"/>
    <x v="12"/>
    <n v="5.5874907507518799E-2"/>
  </r>
  <r>
    <s v="PU004-JBA-08132021"/>
    <s v="Down"/>
    <x v="0"/>
    <s v="Pumpkinseed"/>
    <s v="Lepomis"/>
    <s v="gibbosus"/>
    <s v="U"/>
    <x v="0"/>
    <n v="8"/>
    <n v="11.81"/>
    <x v="13"/>
    <s v="375-73-5"/>
    <x v="13"/>
    <n v="0.1629118051731383"/>
  </r>
  <r>
    <s v="PU004-JBA-08132021"/>
    <s v="Down"/>
    <x v="0"/>
    <s v="Pumpkinseed"/>
    <s v="Lepomis"/>
    <s v="gibbosus"/>
    <s v="U"/>
    <x v="0"/>
    <n v="8"/>
    <n v="11.81"/>
    <x v="14"/>
    <s v="2706-91-4"/>
    <x v="14"/>
    <n v="0.1267527775024149"/>
  </r>
  <r>
    <s v="PU004-JBA-08132021"/>
    <s v="Down"/>
    <x v="0"/>
    <s v="Pumpkinseed"/>
    <s v="Lepomis"/>
    <s v="gibbosus"/>
    <s v="U"/>
    <x v="0"/>
    <n v="8"/>
    <n v="11.81"/>
    <x v="15"/>
    <s v="355-46-4"/>
    <x v="15"/>
    <n v="8.6"/>
  </r>
  <r>
    <s v="PU004-JBA-08132021"/>
    <s v="Down"/>
    <x v="0"/>
    <s v="Pumpkinseed"/>
    <s v="Lepomis"/>
    <s v="gibbosus"/>
    <s v="U"/>
    <x v="0"/>
    <n v="8"/>
    <n v="11.81"/>
    <x v="16"/>
    <s v="375-92-8"/>
    <x v="16"/>
    <n v="1.7"/>
  </r>
  <r>
    <s v="PU004-JBA-08132021"/>
    <s v="Down"/>
    <x v="0"/>
    <s v="Pumpkinseed"/>
    <s v="Lepomis"/>
    <s v="gibbosus"/>
    <s v="U"/>
    <x v="0"/>
    <n v="8"/>
    <n v="11.81"/>
    <x v="17"/>
    <s v="1763-23-1"/>
    <x v="17"/>
    <n v="831"/>
  </r>
  <r>
    <s v="PU004-JBA-08132021"/>
    <s v="Down"/>
    <x v="0"/>
    <s v="Pumpkinseed"/>
    <s v="Lepomis"/>
    <s v="gibbosus"/>
    <s v="U"/>
    <x v="0"/>
    <n v="8"/>
    <n v="11.81"/>
    <x v="18"/>
    <s v="68259-12-1"/>
    <x v="18"/>
    <n v="0.86899999999999999"/>
  </r>
  <r>
    <s v="PU004-JBA-08132021"/>
    <s v="Down"/>
    <x v="0"/>
    <s v="Pumpkinseed"/>
    <s v="Lepomis"/>
    <s v="gibbosus"/>
    <s v="U"/>
    <x v="0"/>
    <n v="8"/>
    <n v="11.81"/>
    <x v="19"/>
    <s v="335-77-3"/>
    <x v="19"/>
    <n v="0.54900000000000004"/>
  </r>
  <r>
    <s v="PU004-JBA-08132021"/>
    <s v="Down"/>
    <x v="0"/>
    <s v="Pumpkinseed"/>
    <s v="Lepomis"/>
    <s v="gibbosus"/>
    <s v="U"/>
    <x v="0"/>
    <n v="8"/>
    <n v="11.81"/>
    <x v="20"/>
    <s v="79780-39-5"/>
    <x v="20"/>
    <n v="0.25596628658664899"/>
  </r>
  <r>
    <s v="PU004-JBA-08132021"/>
    <s v="Down"/>
    <x v="0"/>
    <s v="Pumpkinseed"/>
    <s v="Lepomis"/>
    <s v="gibbosus"/>
    <s v="U"/>
    <x v="0"/>
    <n v="8"/>
    <n v="11.81"/>
    <x v="21"/>
    <s v="777011-38-8"/>
    <x v="21"/>
    <n v="0.14545632262863831"/>
  </r>
  <r>
    <s v="PU004-JBA-08132021"/>
    <s v="Down"/>
    <x v="0"/>
    <s v="Pumpkinseed"/>
    <s v="Lepomis"/>
    <s v="gibbosus"/>
    <s v="U"/>
    <x v="0"/>
    <n v="8"/>
    <n v="11.81"/>
    <x v="22"/>
    <s v="646-83-3"/>
    <x v="22"/>
    <n v="9.5744680851063829E-2"/>
  </r>
  <r>
    <s v="PU004-JBA-08132021"/>
    <s v="Down"/>
    <x v="0"/>
    <s v="Pumpkinseed"/>
    <s v="Lepomis"/>
    <s v="gibbosus"/>
    <s v="U"/>
    <x v="0"/>
    <n v="8"/>
    <n v="11.81"/>
    <x v="23"/>
    <s v="30334-69-1"/>
    <x v="23"/>
    <n v="150"/>
  </r>
  <r>
    <s v="PU004-JBA-08132021"/>
    <s v="Down"/>
    <x v="0"/>
    <s v="Pumpkinseed"/>
    <s v="Lepomis"/>
    <s v="gibbosus"/>
    <s v="U"/>
    <x v="0"/>
    <n v="8"/>
    <n v="11.81"/>
    <x v="24"/>
    <s v="41997-13-1"/>
    <x v="24"/>
    <n v="240"/>
  </r>
  <r>
    <s v="PU004-JBA-08132021"/>
    <s v="Down"/>
    <x v="0"/>
    <s v="Pumpkinseed"/>
    <s v="Lepomis"/>
    <s v="gibbosus"/>
    <s v="U"/>
    <x v="0"/>
    <n v="8"/>
    <n v="11.81"/>
    <x v="25"/>
    <s v="754-91-6"/>
    <x v="25"/>
    <n v="27.6"/>
  </r>
  <r>
    <s v="PU004-JBA-08132021"/>
    <s v="Down"/>
    <x v="0"/>
    <s v="Pumpkinseed"/>
    <s v="Lepomis"/>
    <s v="gibbosus"/>
    <s v="U"/>
    <x v="0"/>
    <n v="8"/>
    <n v="11.81"/>
    <x v="26"/>
    <s v="31506-32-8"/>
    <x v="26"/>
    <n v="5.6419043278195483E-2"/>
  </r>
  <r>
    <s v="PU004-JBA-08132021"/>
    <s v="Down"/>
    <x v="0"/>
    <s v="Pumpkinseed"/>
    <s v="Lepomis"/>
    <s v="gibbosus"/>
    <s v="U"/>
    <x v="0"/>
    <n v="8"/>
    <n v="11.81"/>
    <x v="27"/>
    <s v="4151-50-2"/>
    <x v="27"/>
    <n v="8.5462222906015017E-2"/>
  </r>
  <r>
    <s v="PU004-JBA-08132021"/>
    <s v="Down"/>
    <x v="0"/>
    <s v="Pumpkinseed"/>
    <s v="Lepomis"/>
    <s v="gibbosus"/>
    <s v="U"/>
    <x v="0"/>
    <n v="8"/>
    <n v="11.81"/>
    <x v="28"/>
    <s v="2806-24-8"/>
    <x v="28"/>
    <n v="5.7726433827067672E-2"/>
  </r>
  <r>
    <s v="PU004-JBA-08132021"/>
    <s v="Down"/>
    <x v="0"/>
    <s v="Pumpkinseed"/>
    <s v="Lepomis"/>
    <s v="gibbosus"/>
    <s v="U"/>
    <x v="0"/>
    <n v="8"/>
    <n v="11.81"/>
    <x v="29"/>
    <s v="2355-31-9"/>
    <x v="29"/>
    <n v="7.3678131575187975E-2"/>
  </r>
  <r>
    <s v="PU004-JBA-08132021"/>
    <s v="Down"/>
    <x v="0"/>
    <s v="Pumpkinseed"/>
    <s v="Lepomis"/>
    <s v="gibbosus"/>
    <s v="U"/>
    <x v="0"/>
    <n v="8"/>
    <n v="11.81"/>
    <x v="30"/>
    <s v="2991-50-6"/>
    <x v="30"/>
    <n v="6.3567312665413531E-2"/>
  </r>
  <r>
    <s v="PU004-JBA-08132021"/>
    <s v="Down"/>
    <x v="0"/>
    <s v="Pumpkinseed"/>
    <s v="Lepomis"/>
    <s v="gibbosus"/>
    <s v="U"/>
    <x v="0"/>
    <n v="8"/>
    <n v="11.81"/>
    <x v="31"/>
    <s v="757124-72-4"/>
    <x v="31"/>
    <n v="6.0154416947368415E-2"/>
  </r>
  <r>
    <s v="PU004-JBA-08132021"/>
    <s v="Down"/>
    <x v="0"/>
    <s v="Pumpkinseed"/>
    <s v="Lepomis"/>
    <s v="gibbosus"/>
    <s v="U"/>
    <x v="0"/>
    <n v="8"/>
    <n v="11.81"/>
    <x v="32"/>
    <s v="27619-97-2"/>
    <x v="32"/>
    <n v="0.59399999999999997"/>
  </r>
  <r>
    <s v="PU004-JBA-08132021"/>
    <s v="Down"/>
    <x v="0"/>
    <s v="Pumpkinseed"/>
    <s v="Lepomis"/>
    <s v="gibbosus"/>
    <s v="U"/>
    <x v="0"/>
    <n v="8"/>
    <n v="11.81"/>
    <x v="33"/>
    <s v="39108-34-4"/>
    <x v="33"/>
    <n v="1.6"/>
  </r>
  <r>
    <s v="PU004-JBA-08132021"/>
    <s v="Down"/>
    <x v="0"/>
    <s v="Pumpkinseed"/>
    <s v="Lepomis"/>
    <s v="gibbosus"/>
    <s v="U"/>
    <x v="0"/>
    <n v="8"/>
    <n v="11.81"/>
    <x v="34"/>
    <s v="120226-60-0"/>
    <x v="34"/>
    <n v="8.3155858646616537E-2"/>
  </r>
  <r>
    <s v="PU004-JBA-08132021"/>
    <s v="Down"/>
    <x v="0"/>
    <s v="Pumpkinseed"/>
    <s v="Lepomis"/>
    <s v="gibbosus"/>
    <s v="U"/>
    <x v="0"/>
    <n v="8"/>
    <n v="11.81"/>
    <x v="35"/>
    <s v="356-02-5"/>
    <x v="35"/>
    <n v="8.4475796785714277E-2"/>
  </r>
  <r>
    <s v="PU004-JBA-08132021"/>
    <s v="Down"/>
    <x v="0"/>
    <s v="Pumpkinseed"/>
    <s v="Lepomis"/>
    <s v="gibbosus"/>
    <s v="U"/>
    <x v="0"/>
    <n v="8"/>
    <n v="11.81"/>
    <x v="36"/>
    <s v="914637-49-3"/>
    <x v="36"/>
    <n v="12.4"/>
  </r>
  <r>
    <s v="PU004-JBA-08132021"/>
    <s v="Down"/>
    <x v="0"/>
    <s v="Pumpkinseed"/>
    <s v="Lepomis"/>
    <s v="gibbosus"/>
    <s v="U"/>
    <x v="0"/>
    <n v="8"/>
    <n v="11.81"/>
    <x v="37"/>
    <s v="812-70-4"/>
    <x v="37"/>
    <n v="13.5"/>
  </r>
  <r>
    <s v="PU004-JBA-08132021"/>
    <s v="Down"/>
    <x v="0"/>
    <s v="Pumpkinseed"/>
    <s v="Lepomis"/>
    <s v="gibbosus"/>
    <s v="U"/>
    <x v="0"/>
    <n v="8"/>
    <n v="11.81"/>
    <x v="38"/>
    <s v="53826-12-3"/>
    <x v="38"/>
    <n v="0.63200000000000001"/>
  </r>
  <r>
    <s v="PU004-JBA-08132021"/>
    <s v="Down"/>
    <x v="0"/>
    <s v="Pumpkinseed"/>
    <s v="Lepomis"/>
    <s v="gibbosus"/>
    <s v="U"/>
    <x v="0"/>
    <n v="8"/>
    <n v="11.81"/>
    <x v="39"/>
    <s v="27854-31-5"/>
    <x v="39"/>
    <n v="2.9294014256420267E-2"/>
  </r>
  <r>
    <s v="PU004-JBA-08132021"/>
    <s v="Down"/>
    <x v="0"/>
    <s v="Pumpkinseed"/>
    <s v="Lepomis"/>
    <s v="gibbosus"/>
    <s v="U"/>
    <x v="0"/>
    <n v="8"/>
    <n v="11.81"/>
    <x v="40"/>
    <s v="53826-13-4"/>
    <x v="40"/>
    <n v="0.10928077149248121"/>
  </r>
  <r>
    <s v="PU004-JBA-08132021"/>
    <s v="Down"/>
    <x v="0"/>
    <s v="Pumpkinseed"/>
    <s v="Lepomis"/>
    <s v="gibbosus"/>
    <s v="U"/>
    <x v="0"/>
    <n v="8"/>
    <n v="11.81"/>
    <x v="41"/>
    <s v="161094-75-3"/>
    <x v="41"/>
    <n v="5.7503897187969916E-2"/>
  </r>
  <r>
    <s v="PU004-JBA-08132021"/>
    <s v="Down"/>
    <x v="0"/>
    <s v="Pumpkinseed"/>
    <s v="Lepomis"/>
    <s v="gibbosus"/>
    <s v="U"/>
    <x v="0"/>
    <n v="8"/>
    <n v="11.81"/>
    <x v="42"/>
    <s v="70887-84-2"/>
    <x v="42"/>
    <n v="4.4256263721428567E-2"/>
  </r>
  <r>
    <s v="PU004-JBA-08132021"/>
    <s v="Down"/>
    <x v="0"/>
    <s v="Pumpkinseed"/>
    <s v="Lepomis"/>
    <s v="gibbosus"/>
    <s v="U"/>
    <x v="0"/>
    <n v="8"/>
    <n v="11.81"/>
    <x v="43"/>
    <s v="919005-14-4"/>
    <x v="43"/>
    <n v="7.3235035641050675E-2"/>
  </r>
  <r>
    <s v="PU004-JBA-08132021"/>
    <s v="Down"/>
    <x v="0"/>
    <s v="Pumpkinseed"/>
    <s v="Lepomis"/>
    <s v="gibbosus"/>
    <s v="U"/>
    <x v="0"/>
    <n v="8"/>
    <n v="11.81"/>
    <x v="44"/>
    <s v="756426-58-1"/>
    <x v="44"/>
    <n v="5.0832924462406011E-2"/>
  </r>
  <r>
    <s v="PU004-JBA-08132021"/>
    <s v="Down"/>
    <x v="0"/>
    <s v="Pumpkinseed"/>
    <s v="Lepomis"/>
    <s v="gibbosus"/>
    <s v="U"/>
    <x v="0"/>
    <n v="8"/>
    <n v="11.81"/>
    <x v="45"/>
    <s v="763051-92-9"/>
    <x v="45"/>
    <n v="5.7708515672932323E-2"/>
  </r>
  <r>
    <s v="PU004-JBA-08132021"/>
    <s v="Down"/>
    <x v="0"/>
    <s v="Pumpkinseed"/>
    <s v="Lepomis"/>
    <s v="gibbosus"/>
    <s v="U"/>
    <x v="0"/>
    <n v="8"/>
    <n v="11.81"/>
    <x v="46"/>
    <s v="13252-13-6"/>
    <x v="46"/>
    <n v="0.10509436810150377"/>
  </r>
  <r>
    <s v="PU004-JBA-08132021"/>
    <s v="Down"/>
    <x v="0"/>
    <s v="Pumpkinseed"/>
    <s v="Lepomis"/>
    <s v="gibbosus"/>
    <s v="U"/>
    <x v="0"/>
    <n v="8"/>
    <n v="11.81"/>
    <x v="47"/>
    <s v="57677-95-9"/>
    <x v="47"/>
    <n v="7.7960814530075195E-2"/>
  </r>
  <r>
    <s v="PU004-JBA-08132021"/>
    <s v="Down"/>
    <x v="0"/>
    <s v="Pumpkinseed"/>
    <s v="Lepomis"/>
    <s v="gibbosus"/>
    <s v="U"/>
    <x v="0"/>
    <n v="8"/>
    <n v="11.81"/>
    <x v="48"/>
    <s v="678-41-1"/>
    <x v="48"/>
    <n v="9.7096036093984955E-2"/>
  </r>
  <r>
    <s v="PU004-JBA-08132021"/>
    <s v="Down"/>
    <x v="0"/>
    <s v="Pumpkinseed"/>
    <s v="Lepomis"/>
    <s v="gibbosus"/>
    <s v="U"/>
    <x v="0"/>
    <n v="8"/>
    <n v="11.81"/>
    <x v="49"/>
    <s v="2965-52-8"/>
    <x v="49"/>
    <n v="0.12889366272824918"/>
  </r>
  <r>
    <s v="PU005-JBA-08132021"/>
    <s v="Down"/>
    <x v="0"/>
    <s v="Pumpkinseed"/>
    <s v="Lepomis"/>
    <s v="gibbosus"/>
    <s v="U"/>
    <x v="0"/>
    <n v="8"/>
    <n v="11.81"/>
    <x v="0"/>
    <s v="375-22-4"/>
    <x v="0"/>
    <n v="9.5077118106908928E-2"/>
  </r>
  <r>
    <s v="PU005-JBA-08132021"/>
    <s v="Down"/>
    <x v="0"/>
    <s v="Pumpkinseed"/>
    <s v="Lepomis"/>
    <s v="gibbosus"/>
    <s v="U"/>
    <x v="0"/>
    <n v="8"/>
    <n v="11.81"/>
    <x v="1"/>
    <s v="2706-90-3"/>
    <x v="1"/>
    <n v="5.1248159583510644E-2"/>
  </r>
  <r>
    <s v="PU005-JBA-08132021"/>
    <s v="Down"/>
    <x v="0"/>
    <s v="Pumpkinseed"/>
    <s v="Lepomis"/>
    <s v="gibbosus"/>
    <s v="U"/>
    <x v="0"/>
    <n v="8"/>
    <n v="11.81"/>
    <x v="2"/>
    <s v="307-24-4"/>
    <x v="2"/>
    <n v="0.12828072424397316"/>
  </r>
  <r>
    <s v="PU005-JBA-08132021"/>
    <s v="Down"/>
    <x v="0"/>
    <s v="Pumpkinseed"/>
    <s v="Lepomis"/>
    <s v="gibbosus"/>
    <s v="U"/>
    <x v="0"/>
    <n v="8"/>
    <n v="11.81"/>
    <x v="3"/>
    <s v="375-85-9"/>
    <x v="3"/>
    <n v="9.5077118106908928E-2"/>
  </r>
  <r>
    <s v="PU005-JBA-08132021"/>
    <s v="Down"/>
    <x v="0"/>
    <s v="Pumpkinseed"/>
    <s v="Lepomis"/>
    <s v="gibbosus"/>
    <s v="U"/>
    <x v="0"/>
    <n v="8"/>
    <n v="11.81"/>
    <x v="4"/>
    <s v="335-67-1"/>
    <x v="4"/>
    <n v="0.41699999999999998"/>
  </r>
  <r>
    <s v="PU005-JBA-08132021"/>
    <s v="Down"/>
    <x v="0"/>
    <s v="Pumpkinseed"/>
    <s v="Lepomis"/>
    <s v="gibbosus"/>
    <s v="U"/>
    <x v="0"/>
    <n v="8"/>
    <n v="11.81"/>
    <x v="5"/>
    <s v="375-95-1"/>
    <x v="5"/>
    <n v="0.16449418369918653"/>
  </r>
  <r>
    <s v="PU005-JBA-08132021"/>
    <s v="Down"/>
    <x v="0"/>
    <s v="Pumpkinseed"/>
    <s v="Lepomis"/>
    <s v="gibbosus"/>
    <s v="U"/>
    <x v="0"/>
    <n v="8"/>
    <n v="11.81"/>
    <x v="6"/>
    <s v="335-76-2"/>
    <x v="6"/>
    <n v="1.2"/>
  </r>
  <r>
    <s v="PU005-JBA-08132021"/>
    <s v="Down"/>
    <x v="0"/>
    <s v="Pumpkinseed"/>
    <s v="Lepomis"/>
    <s v="gibbosus"/>
    <s v="U"/>
    <x v="0"/>
    <n v="8"/>
    <n v="11.81"/>
    <x v="7"/>
    <s v="2058-94-8"/>
    <x v="7"/>
    <n v="2.5099999999999998"/>
  </r>
  <r>
    <s v="PU005-JBA-08132021"/>
    <s v="Down"/>
    <x v="0"/>
    <s v="Pumpkinseed"/>
    <s v="Lepomis"/>
    <s v="gibbosus"/>
    <s v="U"/>
    <x v="0"/>
    <n v="8"/>
    <n v="11.81"/>
    <x v="8"/>
    <s v="307-55-1"/>
    <x v="8"/>
    <n v="5.7913916940957454E-2"/>
  </r>
  <r>
    <s v="PU005-JBA-08132021"/>
    <s v="Down"/>
    <x v="0"/>
    <s v="Pumpkinseed"/>
    <s v="Lepomis"/>
    <s v="gibbosus"/>
    <s v="U"/>
    <x v="0"/>
    <n v="8"/>
    <n v="11.81"/>
    <x v="9"/>
    <s v="72629-94-8"/>
    <x v="9"/>
    <n v="1.31"/>
  </r>
  <r>
    <s v="PU005-JBA-08132021"/>
    <s v="Down"/>
    <x v="0"/>
    <s v="Pumpkinseed"/>
    <s v="Lepomis"/>
    <s v="gibbosus"/>
    <s v="U"/>
    <x v="0"/>
    <n v="8"/>
    <n v="11.81"/>
    <x v="10"/>
    <s v="376-06-7"/>
    <x v="10"/>
    <n v="2.65"/>
  </r>
  <r>
    <s v="PU005-JBA-08132021"/>
    <s v="Down"/>
    <x v="0"/>
    <s v="Pumpkinseed"/>
    <s v="Lepomis"/>
    <s v="gibbosus"/>
    <s v="U"/>
    <x v="0"/>
    <n v="8"/>
    <n v="11.81"/>
    <x v="11"/>
    <s v="67905-19-5"/>
    <x v="11"/>
    <n v="8.6445851658510653E-2"/>
  </r>
  <r>
    <s v="PU005-JBA-08132021"/>
    <s v="Down"/>
    <x v="0"/>
    <s v="Pumpkinseed"/>
    <s v="Lepomis"/>
    <s v="gibbosus"/>
    <s v="U"/>
    <x v="0"/>
    <n v="8"/>
    <n v="11.81"/>
    <x v="12"/>
    <s v="423-41-6"/>
    <x v="12"/>
    <n v="5.5339934988829789E-2"/>
  </r>
  <r>
    <s v="PU005-JBA-08132021"/>
    <s v="Down"/>
    <x v="0"/>
    <s v="Pumpkinseed"/>
    <s v="Lepomis"/>
    <s v="gibbosus"/>
    <s v="U"/>
    <x v="0"/>
    <n v="8"/>
    <n v="11.81"/>
    <x v="13"/>
    <s v="375-73-5"/>
    <x v="13"/>
    <n v="0.16177593161076481"/>
  </r>
  <r>
    <s v="PU005-JBA-08132021"/>
    <s v="Down"/>
    <x v="0"/>
    <s v="Pumpkinseed"/>
    <s v="Lepomis"/>
    <s v="gibbosus"/>
    <s v="U"/>
    <x v="0"/>
    <n v="8"/>
    <n v="11.81"/>
    <x v="14"/>
    <s v="2706-91-4"/>
    <x v="14"/>
    <n v="0.12586901632397002"/>
  </r>
  <r>
    <s v="PU005-JBA-08132021"/>
    <s v="Down"/>
    <x v="0"/>
    <s v="Pumpkinseed"/>
    <s v="Lepomis"/>
    <s v="gibbosus"/>
    <s v="U"/>
    <x v="0"/>
    <n v="8"/>
    <n v="11.81"/>
    <x v="15"/>
    <s v="355-46-4"/>
    <x v="15"/>
    <n v="5"/>
  </r>
  <r>
    <s v="PU005-JBA-08132021"/>
    <s v="Down"/>
    <x v="0"/>
    <s v="Pumpkinseed"/>
    <s v="Lepomis"/>
    <s v="gibbosus"/>
    <s v="U"/>
    <x v="0"/>
    <n v="8"/>
    <n v="11.81"/>
    <x v="16"/>
    <s v="375-92-8"/>
    <x v="16"/>
    <n v="0.23769279526727233"/>
  </r>
  <r>
    <s v="PU005-JBA-08132021"/>
    <s v="Down"/>
    <x v="0"/>
    <s v="Pumpkinseed"/>
    <s v="Lepomis"/>
    <s v="gibbosus"/>
    <s v="U"/>
    <x v="0"/>
    <n v="8"/>
    <n v="11.81"/>
    <x v="17"/>
    <s v="1763-23-1"/>
    <x v="17"/>
    <n v="115"/>
  </r>
  <r>
    <s v="PU005-JBA-08132021"/>
    <s v="Down"/>
    <x v="0"/>
    <s v="Pumpkinseed"/>
    <s v="Lepomis"/>
    <s v="gibbosus"/>
    <s v="U"/>
    <x v="0"/>
    <n v="8"/>
    <n v="11.81"/>
    <x v="18"/>
    <s v="68259-12-1"/>
    <x v="18"/>
    <n v="0.13549214213290725"/>
  </r>
  <r>
    <s v="PU005-JBA-08132021"/>
    <s v="Down"/>
    <x v="0"/>
    <s v="Pumpkinseed"/>
    <s v="Lepomis"/>
    <s v="gibbosus"/>
    <s v="U"/>
    <x v="0"/>
    <n v="8"/>
    <n v="11.81"/>
    <x v="19"/>
    <s v="335-77-3"/>
    <x v="19"/>
    <n v="0.19465879541073311"/>
  </r>
  <r>
    <s v="PU005-JBA-08132021"/>
    <s v="Down"/>
    <x v="0"/>
    <s v="Pumpkinseed"/>
    <s v="Lepomis"/>
    <s v="gibbosus"/>
    <s v="U"/>
    <x v="0"/>
    <n v="8"/>
    <n v="11.81"/>
    <x v="20"/>
    <s v="79780-39-5"/>
    <x v="20"/>
    <n v="0.2541816072168287"/>
  </r>
  <r>
    <s v="PU005-JBA-08132021"/>
    <s v="Down"/>
    <x v="0"/>
    <s v="Pumpkinseed"/>
    <s v="Lepomis"/>
    <s v="gibbosus"/>
    <s v="U"/>
    <x v="0"/>
    <n v="8"/>
    <n v="11.81"/>
    <x v="21"/>
    <s v="777011-38-8"/>
    <x v="21"/>
    <n v="4.407767352382979E-2"/>
  </r>
  <r>
    <s v="PU005-JBA-08132021"/>
    <s v="Down"/>
    <x v="0"/>
    <s v="Pumpkinseed"/>
    <s v="Lepomis"/>
    <s v="gibbosus"/>
    <s v="U"/>
    <x v="0"/>
    <n v="8"/>
    <n v="11.81"/>
    <x v="22"/>
    <s v="646-83-3"/>
    <x v="22"/>
    <n v="9.5077118106908928E-2"/>
  </r>
  <r>
    <s v="PU005-JBA-08132021"/>
    <s v="Down"/>
    <x v="0"/>
    <s v="Pumpkinseed"/>
    <s v="Lepomis"/>
    <s v="gibbosus"/>
    <s v="U"/>
    <x v="0"/>
    <n v="8"/>
    <n v="11.81"/>
    <x v="23"/>
    <s v="30334-69-1"/>
    <x v="23"/>
    <n v="14"/>
  </r>
  <r>
    <s v="PU005-JBA-08132021"/>
    <s v="Down"/>
    <x v="0"/>
    <s v="Pumpkinseed"/>
    <s v="Lepomis"/>
    <s v="gibbosus"/>
    <s v="U"/>
    <x v="0"/>
    <n v="8"/>
    <n v="11.81"/>
    <x v="24"/>
    <s v="41997-13-1"/>
    <x v="24"/>
    <n v="31.5"/>
  </r>
  <r>
    <s v="PU005-JBA-08132021"/>
    <s v="Down"/>
    <x v="0"/>
    <s v="Pumpkinseed"/>
    <s v="Lepomis"/>
    <s v="gibbosus"/>
    <s v="U"/>
    <x v="0"/>
    <n v="8"/>
    <n v="11.81"/>
    <x v="25"/>
    <s v="754-91-6"/>
    <x v="25"/>
    <n v="4.1399999999999997"/>
  </r>
  <r>
    <s v="PU005-JBA-08132021"/>
    <s v="Down"/>
    <x v="0"/>
    <s v="Pumpkinseed"/>
    <s v="Lepomis"/>
    <s v="gibbosus"/>
    <s v="U"/>
    <x v="0"/>
    <n v="8"/>
    <n v="11.81"/>
    <x v="26"/>
    <s v="31506-32-8"/>
    <x v="26"/>
    <n v="5.5878860948936175E-2"/>
  </r>
  <r>
    <s v="PU005-JBA-08132021"/>
    <s v="Down"/>
    <x v="0"/>
    <s v="Pumpkinseed"/>
    <s v="Lepomis"/>
    <s v="gibbosus"/>
    <s v="U"/>
    <x v="0"/>
    <n v="8"/>
    <n v="11.81"/>
    <x v="27"/>
    <s v="4151-50-2"/>
    <x v="27"/>
    <n v="8.4643967580319154E-2"/>
  </r>
  <r>
    <s v="PU005-JBA-08132021"/>
    <s v="Down"/>
    <x v="0"/>
    <s v="Pumpkinseed"/>
    <s v="Lepomis"/>
    <s v="gibbosus"/>
    <s v="U"/>
    <x v="0"/>
    <n v="8"/>
    <n v="11.81"/>
    <x v="28"/>
    <s v="2806-24-8"/>
    <x v="28"/>
    <n v="5.7173733928723394E-2"/>
  </r>
  <r>
    <s v="PU005-JBA-08132021"/>
    <s v="Down"/>
    <x v="0"/>
    <s v="Pumpkinseed"/>
    <s v="Lepomis"/>
    <s v="gibbosus"/>
    <s v="U"/>
    <x v="0"/>
    <n v="8"/>
    <n v="11.81"/>
    <x v="29"/>
    <s v="2355-31-9"/>
    <x v="29"/>
    <n v="7.2972702655851068E-2"/>
  </r>
  <r>
    <s v="PU005-JBA-08132021"/>
    <s v="Down"/>
    <x v="0"/>
    <s v="Pumpkinseed"/>
    <s v="Lepomis"/>
    <s v="gibbosus"/>
    <s v="U"/>
    <x v="0"/>
    <n v="8"/>
    <n v="11.81"/>
    <x v="30"/>
    <s v="2991-50-6"/>
    <x v="30"/>
    <n v="6.2958689459042552E-2"/>
  </r>
  <r>
    <s v="PU005-JBA-08132021"/>
    <s v="Down"/>
    <x v="0"/>
    <s v="Pumpkinseed"/>
    <s v="Lepomis"/>
    <s v="gibbosus"/>
    <s v="U"/>
    <x v="0"/>
    <n v="8"/>
    <n v="11.81"/>
    <x v="31"/>
    <s v="757124-72-4"/>
    <x v="31"/>
    <n v="5.9578470402127659E-2"/>
  </r>
  <r>
    <s v="PU005-JBA-08132021"/>
    <s v="Down"/>
    <x v="0"/>
    <s v="Pumpkinseed"/>
    <s v="Lepomis"/>
    <s v="gibbosus"/>
    <s v="U"/>
    <x v="0"/>
    <n v="8"/>
    <n v="11.81"/>
    <x v="32"/>
    <s v="27619-97-2"/>
    <x v="32"/>
    <n v="0.73799999999999999"/>
  </r>
  <r>
    <s v="PU005-JBA-08132021"/>
    <s v="Down"/>
    <x v="0"/>
    <s v="Pumpkinseed"/>
    <s v="Lepomis"/>
    <s v="gibbosus"/>
    <s v="U"/>
    <x v="0"/>
    <n v="8"/>
    <n v="11.81"/>
    <x v="33"/>
    <s v="39108-34-4"/>
    <x v="33"/>
    <n v="0.14846470469381998"/>
  </r>
  <r>
    <s v="PU005-JBA-08132021"/>
    <s v="Down"/>
    <x v="0"/>
    <s v="Pumpkinseed"/>
    <s v="Lepomis"/>
    <s v="gibbosus"/>
    <s v="U"/>
    <x v="0"/>
    <n v="8"/>
    <n v="11.81"/>
    <x v="34"/>
    <s v="120226-60-0"/>
    <x v="34"/>
    <n v="8.2359685531914889E-2"/>
  </r>
  <r>
    <s v="PU005-JBA-08132021"/>
    <s v="Down"/>
    <x v="0"/>
    <s v="Pumpkinseed"/>
    <s v="Lepomis"/>
    <s v="gibbosus"/>
    <s v="U"/>
    <x v="0"/>
    <n v="8"/>
    <n v="11.81"/>
    <x v="35"/>
    <s v="356-02-5"/>
    <x v="35"/>
    <n v="8.3666985965425544E-2"/>
  </r>
  <r>
    <s v="PU005-JBA-08132021"/>
    <s v="Down"/>
    <x v="0"/>
    <s v="Pumpkinseed"/>
    <s v="Lepomis"/>
    <s v="gibbosus"/>
    <s v="U"/>
    <x v="0"/>
    <n v="8"/>
    <n v="11.81"/>
    <x v="36"/>
    <s v="914637-49-3"/>
    <x v="36"/>
    <n v="5.4738049710638302E-2"/>
  </r>
  <r>
    <s v="PU005-JBA-08132021"/>
    <s v="Down"/>
    <x v="0"/>
    <s v="Pumpkinseed"/>
    <s v="Lepomis"/>
    <s v="gibbosus"/>
    <s v="U"/>
    <x v="0"/>
    <n v="8"/>
    <n v="11.81"/>
    <x v="37"/>
    <s v="812-70-4"/>
    <x v="37"/>
    <n v="0.19141888738928792"/>
  </r>
  <r>
    <s v="PU005-JBA-08132021"/>
    <s v="Down"/>
    <x v="0"/>
    <s v="Pumpkinseed"/>
    <s v="Lepomis"/>
    <s v="gibbosus"/>
    <s v="U"/>
    <x v="0"/>
    <n v="8"/>
    <n v="11.81"/>
    <x v="38"/>
    <s v="53826-12-3"/>
    <x v="38"/>
    <n v="3.25"/>
  </r>
  <r>
    <s v="PU005-JBA-08132021"/>
    <s v="Down"/>
    <x v="0"/>
    <s v="Pumpkinseed"/>
    <s v="Lepomis"/>
    <s v="gibbosus"/>
    <s v="U"/>
    <x v="0"/>
    <n v="8"/>
    <n v="11.81"/>
    <x v="39"/>
    <s v="27854-31-5"/>
    <x v="39"/>
    <n v="1.25"/>
  </r>
  <r>
    <s v="PU005-JBA-08132021"/>
    <s v="Down"/>
    <x v="0"/>
    <s v="Pumpkinseed"/>
    <s v="Lepomis"/>
    <s v="gibbosus"/>
    <s v="U"/>
    <x v="0"/>
    <n v="8"/>
    <n v="11.81"/>
    <x v="40"/>
    <s v="53826-13-4"/>
    <x v="40"/>
    <n v="0.10823446623351064"/>
  </r>
  <r>
    <s v="PU005-JBA-08132021"/>
    <s v="Down"/>
    <x v="0"/>
    <s v="Pumpkinseed"/>
    <s v="Lepomis"/>
    <s v="gibbosus"/>
    <s v="U"/>
    <x v="0"/>
    <n v="8"/>
    <n v="11.81"/>
    <x v="41"/>
    <s v="161094-75-3"/>
    <x v="41"/>
    <n v="5.6953327959574467E-2"/>
  </r>
  <r>
    <s v="PU005-JBA-08132021"/>
    <s v="Down"/>
    <x v="0"/>
    <s v="Pumpkinseed"/>
    <s v="Lepomis"/>
    <s v="gibbosus"/>
    <s v="U"/>
    <x v="0"/>
    <n v="8"/>
    <n v="11.81"/>
    <x v="42"/>
    <s v="70887-84-2"/>
    <x v="42"/>
    <n v="4.3832533536861708E-2"/>
  </r>
  <r>
    <s v="PU005-JBA-08132021"/>
    <s v="Down"/>
    <x v="0"/>
    <s v="Pumpkinseed"/>
    <s v="Lepomis"/>
    <s v="gibbosus"/>
    <s v="U"/>
    <x v="0"/>
    <n v="8"/>
    <n v="11.81"/>
    <x v="43"/>
    <s v="919005-14-4"/>
    <x v="43"/>
    <n v="7.2533849129593819E-2"/>
  </r>
  <r>
    <s v="PU005-JBA-08132021"/>
    <s v="Down"/>
    <x v="0"/>
    <s v="Pumpkinseed"/>
    <s v="Lepomis"/>
    <s v="gibbosus"/>
    <s v="U"/>
    <x v="0"/>
    <n v="8"/>
    <n v="11.81"/>
    <x v="44"/>
    <s v="756426-58-1"/>
    <x v="44"/>
    <n v="5.0346226249468086E-2"/>
  </r>
  <r>
    <s v="PU005-JBA-08132021"/>
    <s v="Down"/>
    <x v="0"/>
    <s v="Pumpkinseed"/>
    <s v="Lepomis"/>
    <s v="gibbosus"/>
    <s v="U"/>
    <x v="0"/>
    <n v="8"/>
    <n v="11.81"/>
    <x v="45"/>
    <s v="763051-92-9"/>
    <x v="45"/>
    <n v="5.7155987331382989E-2"/>
  </r>
  <r>
    <s v="PU005-JBA-08132021"/>
    <s v="Down"/>
    <x v="0"/>
    <s v="Pumpkinseed"/>
    <s v="Lepomis"/>
    <s v="gibbosus"/>
    <s v="U"/>
    <x v="0"/>
    <n v="8"/>
    <n v="11.81"/>
    <x v="46"/>
    <s v="13252-13-6"/>
    <x v="46"/>
    <n v="0.1040881454281915"/>
  </r>
  <r>
    <s v="PU005-JBA-08132021"/>
    <s v="Down"/>
    <x v="0"/>
    <s v="Pumpkinseed"/>
    <s v="Lepomis"/>
    <s v="gibbosus"/>
    <s v="U"/>
    <x v="0"/>
    <n v="8"/>
    <n v="11.81"/>
    <x v="47"/>
    <s v="57677-95-9"/>
    <x v="47"/>
    <n v="7.721438119946808E-2"/>
  </r>
  <r>
    <s v="PU005-JBA-08132021"/>
    <s v="Down"/>
    <x v="0"/>
    <s v="Pumpkinseed"/>
    <s v="Lepomis"/>
    <s v="gibbosus"/>
    <s v="U"/>
    <x v="0"/>
    <n v="8"/>
    <n v="11.81"/>
    <x v="48"/>
    <s v="678-41-1"/>
    <x v="48"/>
    <n v="9.6166393195212779E-2"/>
  </r>
  <r>
    <s v="PU005-JBA-08132021"/>
    <s v="Down"/>
    <x v="0"/>
    <s v="Pumpkinseed"/>
    <s v="Lepomis"/>
    <s v="gibbosus"/>
    <s v="U"/>
    <x v="0"/>
    <n v="8"/>
    <n v="11.81"/>
    <x v="49"/>
    <s v="2965-52-8"/>
    <x v="49"/>
    <n v="0.1276595744680851"/>
  </r>
  <r>
    <s v="PU006-JBA-08132021"/>
    <s v="Down"/>
    <x v="0"/>
    <s v="Pumpkinseed"/>
    <s v="Lepomis"/>
    <s v="gibbosus"/>
    <s v="U"/>
    <x v="0"/>
    <n v="8"/>
    <n v="11.81"/>
    <x v="0"/>
    <s v="375-22-4"/>
    <x v="0"/>
    <n v="2.8811247911184525E-2"/>
  </r>
  <r>
    <s v="PU006-JBA-08132021"/>
    <s v="Down"/>
    <x v="0"/>
    <s v="Pumpkinseed"/>
    <s v="Lepomis"/>
    <s v="gibbosus"/>
    <s v="U"/>
    <x v="0"/>
    <n v="8"/>
    <n v="11.81"/>
    <x v="1"/>
    <s v="2706-90-3"/>
    <x v="1"/>
    <n v="0.17878069166447369"/>
  </r>
  <r>
    <s v="PU006-JBA-08132021"/>
    <s v="Down"/>
    <x v="0"/>
    <s v="Pumpkinseed"/>
    <s v="Lepomis"/>
    <s v="gibbosus"/>
    <s v="U"/>
    <x v="0"/>
    <n v="8"/>
    <n v="11.81"/>
    <x v="2"/>
    <s v="307-24-4"/>
    <x v="2"/>
    <n v="3.8872946740597929E-2"/>
  </r>
  <r>
    <s v="PU006-JBA-08132021"/>
    <s v="Down"/>
    <x v="0"/>
    <s v="Pumpkinseed"/>
    <s v="Lepomis"/>
    <s v="gibbosus"/>
    <s v="U"/>
    <x v="0"/>
    <n v="8"/>
    <n v="11.81"/>
    <x v="3"/>
    <s v="375-85-9"/>
    <x v="3"/>
    <n v="0.10121457489878542"/>
  </r>
  <r>
    <s v="PU006-JBA-08132021"/>
    <s v="Down"/>
    <x v="0"/>
    <s v="Pumpkinseed"/>
    <s v="Lepomis"/>
    <s v="gibbosus"/>
    <s v="U"/>
    <x v="0"/>
    <n v="8"/>
    <n v="11.81"/>
    <x v="4"/>
    <s v="335-67-1"/>
    <x v="4"/>
    <n v="0.53200000000000003"/>
  </r>
  <r>
    <s v="PU006-JBA-08132021"/>
    <s v="Down"/>
    <x v="0"/>
    <s v="Pumpkinseed"/>
    <s v="Lepomis"/>
    <s v="gibbosus"/>
    <s v="U"/>
    <x v="0"/>
    <n v="8"/>
    <n v="11.81"/>
    <x v="5"/>
    <s v="375-95-1"/>
    <x v="5"/>
    <n v="0.64"/>
  </r>
  <r>
    <s v="PU006-JBA-08132021"/>
    <s v="Down"/>
    <x v="0"/>
    <s v="Pumpkinseed"/>
    <s v="Lepomis"/>
    <s v="gibbosus"/>
    <s v="U"/>
    <x v="0"/>
    <n v="8"/>
    <n v="11.81"/>
    <x v="6"/>
    <s v="335-76-2"/>
    <x v="6"/>
    <n v="4.7300000000000004"/>
  </r>
  <r>
    <s v="PU006-JBA-08132021"/>
    <s v="Down"/>
    <x v="0"/>
    <s v="Pumpkinseed"/>
    <s v="Lepomis"/>
    <s v="gibbosus"/>
    <s v="U"/>
    <x v="0"/>
    <n v="8"/>
    <n v="11.81"/>
    <x v="7"/>
    <s v="2058-94-8"/>
    <x v="7"/>
    <n v="8.1999999999999993"/>
  </r>
  <r>
    <s v="PU006-JBA-08132021"/>
    <s v="Down"/>
    <x v="0"/>
    <s v="Pumpkinseed"/>
    <s v="Lepomis"/>
    <s v="gibbosus"/>
    <s v="U"/>
    <x v="0"/>
    <n v="8"/>
    <n v="11.81"/>
    <x v="8"/>
    <s v="307-55-1"/>
    <x v="8"/>
    <n v="5.7510122464081985E-2"/>
  </r>
  <r>
    <s v="PU006-JBA-08132021"/>
    <s v="Down"/>
    <x v="0"/>
    <s v="Pumpkinseed"/>
    <s v="Lepomis"/>
    <s v="gibbosus"/>
    <s v="U"/>
    <x v="0"/>
    <n v="8"/>
    <n v="11.81"/>
    <x v="9"/>
    <s v="72629-94-8"/>
    <x v="9"/>
    <n v="1.37"/>
  </r>
  <r>
    <s v="PU006-JBA-08132021"/>
    <s v="Down"/>
    <x v="0"/>
    <s v="Pumpkinseed"/>
    <s v="Lepomis"/>
    <s v="gibbosus"/>
    <s v="U"/>
    <x v="0"/>
    <n v="8"/>
    <n v="11.81"/>
    <x v="10"/>
    <s v="376-06-7"/>
    <x v="10"/>
    <n v="3.34"/>
  </r>
  <r>
    <s v="PU006-JBA-08132021"/>
    <s v="Down"/>
    <x v="0"/>
    <s v="Pumpkinseed"/>
    <s v="Lepomis"/>
    <s v="gibbosus"/>
    <s v="U"/>
    <x v="0"/>
    <n v="8"/>
    <n v="11.81"/>
    <x v="11"/>
    <s v="67905-19-5"/>
    <x v="11"/>
    <n v="8.5843123345658148E-2"/>
  </r>
  <r>
    <s v="PU006-JBA-08132021"/>
    <s v="Down"/>
    <x v="0"/>
    <s v="Pumpkinseed"/>
    <s v="Lepomis"/>
    <s v="gibbosus"/>
    <s v="U"/>
    <x v="0"/>
    <n v="8"/>
    <n v="11.81"/>
    <x v="12"/>
    <s v="423-41-6"/>
    <x v="12"/>
    <n v="5.4954087142932602E-2"/>
  </r>
  <r>
    <s v="PU006-JBA-08132021"/>
    <s v="Down"/>
    <x v="0"/>
    <s v="Pumpkinseed"/>
    <s v="Lepomis"/>
    <s v="gibbosus"/>
    <s v="U"/>
    <x v="0"/>
    <n v="8"/>
    <n v="11.81"/>
    <x v="13"/>
    <s v="375-73-5"/>
    <x v="13"/>
    <n v="0.17221895733552628"/>
  </r>
  <r>
    <s v="PU006-JBA-08132021"/>
    <s v="Down"/>
    <x v="0"/>
    <s v="Pumpkinseed"/>
    <s v="Lepomis"/>
    <s v="gibbosus"/>
    <s v="U"/>
    <x v="0"/>
    <n v="8"/>
    <n v="11.81"/>
    <x v="14"/>
    <s v="2706-91-4"/>
    <x v="14"/>
    <n v="0.1339941642513158"/>
  </r>
  <r>
    <s v="PU006-JBA-08132021"/>
    <s v="Down"/>
    <x v="0"/>
    <s v="Pumpkinseed"/>
    <s v="Lepomis"/>
    <s v="gibbosus"/>
    <s v="U"/>
    <x v="0"/>
    <n v="8"/>
    <n v="11.81"/>
    <x v="15"/>
    <s v="355-46-4"/>
    <x v="15"/>
    <n v="13.2"/>
  </r>
  <r>
    <s v="PU006-JBA-08132021"/>
    <s v="Down"/>
    <x v="0"/>
    <s v="Pumpkinseed"/>
    <s v="Lepomis"/>
    <s v="gibbosus"/>
    <s v="U"/>
    <x v="0"/>
    <n v="8"/>
    <n v="11.81"/>
    <x v="16"/>
    <s v="375-92-8"/>
    <x v="16"/>
    <n v="0.64500000000000002"/>
  </r>
  <r>
    <s v="PU006-JBA-08132021"/>
    <s v="Down"/>
    <x v="0"/>
    <s v="Pumpkinseed"/>
    <s v="Lepomis"/>
    <s v="gibbosus"/>
    <s v="U"/>
    <x v="0"/>
    <n v="8"/>
    <n v="11.81"/>
    <x v="17"/>
    <s v="1763-23-1"/>
    <x v="17"/>
    <n v="912"/>
  </r>
  <r>
    <s v="PU006-JBA-08132021"/>
    <s v="Down"/>
    <x v="0"/>
    <s v="Pumpkinseed"/>
    <s v="Lepomis"/>
    <s v="gibbosus"/>
    <s v="U"/>
    <x v="0"/>
    <n v="8"/>
    <n v="11.81"/>
    <x v="18"/>
    <s v="68259-12-1"/>
    <x v="18"/>
    <n v="0.84"/>
  </r>
  <r>
    <s v="PU006-JBA-08132021"/>
    <s v="Down"/>
    <x v="0"/>
    <s v="Pumpkinseed"/>
    <s v="Lepomis"/>
    <s v="gibbosus"/>
    <s v="U"/>
    <x v="0"/>
    <n v="8"/>
    <n v="11.81"/>
    <x v="19"/>
    <s v="335-77-3"/>
    <x v="19"/>
    <n v="0.58199999999999996"/>
  </r>
  <r>
    <s v="PU006-JBA-08132021"/>
    <s v="Down"/>
    <x v="0"/>
    <s v="Pumpkinseed"/>
    <s v="Lepomis"/>
    <s v="gibbosus"/>
    <s v="U"/>
    <x v="0"/>
    <n v="8"/>
    <n v="11.81"/>
    <x v="20"/>
    <s v="79780-39-5"/>
    <x v="20"/>
    <n v="0.27058964169078953"/>
  </r>
  <r>
    <s v="PU006-JBA-08132021"/>
    <s v="Down"/>
    <x v="0"/>
    <s v="Pumpkinseed"/>
    <s v="Lepomis"/>
    <s v="gibbosus"/>
    <s v="U"/>
    <x v="0"/>
    <n v="8"/>
    <n v="11.81"/>
    <x v="21"/>
    <s v="777011-38-8"/>
    <x v="21"/>
    <n v="0.15376624299473685"/>
  </r>
  <r>
    <s v="PU006-JBA-08132021"/>
    <s v="Down"/>
    <x v="0"/>
    <s v="Pumpkinseed"/>
    <s v="Lepomis"/>
    <s v="gibbosus"/>
    <s v="U"/>
    <x v="0"/>
    <n v="8"/>
    <n v="11.81"/>
    <x v="22"/>
    <s v="646-83-3"/>
    <x v="22"/>
    <n v="0.10121457489878542"/>
  </r>
  <r>
    <s v="PU006-JBA-08132021"/>
    <s v="Down"/>
    <x v="0"/>
    <s v="Pumpkinseed"/>
    <s v="Lepomis"/>
    <s v="gibbosus"/>
    <s v="U"/>
    <x v="0"/>
    <n v="8"/>
    <n v="11.81"/>
    <x v="23"/>
    <s v="30334-69-1"/>
    <x v="23"/>
    <n v="60.4"/>
  </r>
  <r>
    <s v="PU006-JBA-08132021"/>
    <s v="Down"/>
    <x v="0"/>
    <s v="Pumpkinseed"/>
    <s v="Lepomis"/>
    <s v="gibbosus"/>
    <s v="U"/>
    <x v="0"/>
    <n v="8"/>
    <n v="11.81"/>
    <x v="24"/>
    <s v="41997-13-1"/>
    <x v="24"/>
    <n v="80.400000000000006"/>
  </r>
  <r>
    <s v="PU006-JBA-08132021"/>
    <s v="Down"/>
    <x v="0"/>
    <s v="Pumpkinseed"/>
    <s v="Lepomis"/>
    <s v="gibbosus"/>
    <s v="U"/>
    <x v="0"/>
    <n v="8"/>
    <n v="11.81"/>
    <x v="25"/>
    <s v="754-91-6"/>
    <x v="25"/>
    <n v="19.8"/>
  </r>
  <r>
    <s v="PU006-JBA-08132021"/>
    <s v="Down"/>
    <x v="0"/>
    <s v="Pumpkinseed"/>
    <s v="Lepomis"/>
    <s v="gibbosus"/>
    <s v="U"/>
    <x v="0"/>
    <n v="8"/>
    <n v="11.81"/>
    <x v="26"/>
    <s v="31506-32-8"/>
    <x v="26"/>
    <n v="5.5489255537713916E-2"/>
  </r>
  <r>
    <s v="PU006-JBA-08132021"/>
    <s v="Down"/>
    <x v="0"/>
    <s v="Pumpkinseed"/>
    <s v="Lepomis"/>
    <s v="gibbosus"/>
    <s v="U"/>
    <x v="0"/>
    <n v="8"/>
    <n v="11.81"/>
    <x v="27"/>
    <s v="4151-50-2"/>
    <x v="27"/>
    <n v="8.4053802583456599E-2"/>
  </r>
  <r>
    <s v="PU006-JBA-08132021"/>
    <s v="Down"/>
    <x v="0"/>
    <s v="Pumpkinseed"/>
    <s v="Lepomis"/>
    <s v="gibbosus"/>
    <s v="U"/>
    <x v="0"/>
    <n v="8"/>
    <n v="11.81"/>
    <x v="28"/>
    <s v="2806-24-8"/>
    <x v="28"/>
    <n v="5.6775100246144093E-2"/>
  </r>
  <r>
    <s v="PU006-JBA-08132021"/>
    <s v="Down"/>
    <x v="0"/>
    <s v="Pumpkinseed"/>
    <s v="Lepomis"/>
    <s v="gibbosus"/>
    <s v="U"/>
    <x v="0"/>
    <n v="8"/>
    <n v="11.81"/>
    <x v="29"/>
    <s v="2355-31-9"/>
    <x v="29"/>
    <n v="11.9"/>
  </r>
  <r>
    <s v="PU006-JBA-08132021"/>
    <s v="Down"/>
    <x v="0"/>
    <s v="Pumpkinseed"/>
    <s v="Lepomis"/>
    <s v="gibbosus"/>
    <s v="U"/>
    <x v="0"/>
    <n v="8"/>
    <n v="11.81"/>
    <x v="30"/>
    <s v="2991-50-6"/>
    <x v="30"/>
    <n v="6.251972120378195E-2"/>
  </r>
  <r>
    <s v="PU006-JBA-08132021"/>
    <s v="Down"/>
    <x v="0"/>
    <s v="Pumpkinseed"/>
    <s v="Lepomis"/>
    <s v="gibbosus"/>
    <s v="U"/>
    <x v="0"/>
    <n v="8"/>
    <n v="11.81"/>
    <x v="31"/>
    <s v="757124-72-4"/>
    <x v="31"/>
    <n v="5.9163070122543841E-2"/>
  </r>
  <r>
    <s v="PU006-JBA-08132021"/>
    <s v="Down"/>
    <x v="0"/>
    <s v="Pumpkinseed"/>
    <s v="Lepomis"/>
    <s v="gibbosus"/>
    <s v="U"/>
    <x v="0"/>
    <n v="8"/>
    <n v="11.81"/>
    <x v="32"/>
    <s v="27619-97-2"/>
    <x v="32"/>
    <n v="4.3486016671825473E-2"/>
  </r>
  <r>
    <s v="PU006-JBA-08132021"/>
    <s v="Down"/>
    <x v="0"/>
    <s v="Pumpkinseed"/>
    <s v="Lepomis"/>
    <s v="gibbosus"/>
    <s v="U"/>
    <x v="0"/>
    <n v="8"/>
    <n v="11.81"/>
    <x v="33"/>
    <s v="39108-34-4"/>
    <x v="33"/>
    <n v="2.92"/>
  </r>
  <r>
    <s v="PU006-JBA-08132021"/>
    <s v="Down"/>
    <x v="0"/>
    <s v="Pumpkinseed"/>
    <s v="Lepomis"/>
    <s v="gibbosus"/>
    <s v="U"/>
    <x v="0"/>
    <n v="8"/>
    <n v="11.81"/>
    <x v="34"/>
    <s v="120226-60-0"/>
    <x v="34"/>
    <n v="0.28731415263157889"/>
  </r>
  <r>
    <s v="PU006-JBA-08132021"/>
    <s v="Down"/>
    <x v="0"/>
    <s v="Pumpkinseed"/>
    <s v="Lepomis"/>
    <s v="gibbosus"/>
    <s v="U"/>
    <x v="0"/>
    <n v="8"/>
    <n v="11.81"/>
    <x v="35"/>
    <s v="356-02-5"/>
    <x v="35"/>
    <n v="8.3083632798964718E-2"/>
  </r>
  <r>
    <s v="PU006-JBA-08132021"/>
    <s v="Down"/>
    <x v="0"/>
    <s v="Pumpkinseed"/>
    <s v="Lepomis"/>
    <s v="gibbosus"/>
    <s v="U"/>
    <x v="0"/>
    <n v="8"/>
    <n v="11.81"/>
    <x v="36"/>
    <s v="914637-49-3"/>
    <x v="36"/>
    <n v="0.19095527463157891"/>
  </r>
  <r>
    <s v="PU006-JBA-08132021"/>
    <s v="Down"/>
    <x v="0"/>
    <s v="Pumpkinseed"/>
    <s v="Lepomis"/>
    <s v="gibbosus"/>
    <s v="U"/>
    <x v="0"/>
    <n v="8"/>
    <n v="11.81"/>
    <x v="37"/>
    <s v="812-70-4"/>
    <x v="37"/>
    <n v="1.63"/>
  </r>
  <r>
    <s v="PU006-JBA-08132021"/>
    <s v="Down"/>
    <x v="0"/>
    <s v="Pumpkinseed"/>
    <s v="Lepomis"/>
    <s v="gibbosus"/>
    <s v="U"/>
    <x v="0"/>
    <n v="8"/>
    <n v="11.81"/>
    <x v="38"/>
    <s v="53826-12-3"/>
    <x v="38"/>
    <n v="3.58"/>
  </r>
  <r>
    <s v="PU006-JBA-08132021"/>
    <s v="Down"/>
    <x v="0"/>
    <s v="Pumpkinseed"/>
    <s v="Lepomis"/>
    <s v="gibbosus"/>
    <s v="U"/>
    <x v="0"/>
    <n v="8"/>
    <n v="11.81"/>
    <x v="39"/>
    <s v="27854-31-5"/>
    <x v="39"/>
    <n v="2.8811247911184525E-2"/>
  </r>
  <r>
    <s v="PU006-JBA-08132021"/>
    <s v="Down"/>
    <x v="0"/>
    <s v="Pumpkinseed"/>
    <s v="Lepomis"/>
    <s v="gibbosus"/>
    <s v="U"/>
    <x v="0"/>
    <n v="8"/>
    <n v="11.81"/>
    <x v="40"/>
    <s v="53826-13-4"/>
    <x v="40"/>
    <n v="0.10747982068402706"/>
  </r>
  <r>
    <s v="PU006-JBA-08132021"/>
    <s v="Down"/>
    <x v="0"/>
    <s v="Pumpkinseed"/>
    <s v="Lepomis"/>
    <s v="gibbosus"/>
    <s v="U"/>
    <x v="0"/>
    <n v="8"/>
    <n v="11.81"/>
    <x v="41"/>
    <s v="161094-75-3"/>
    <x v="41"/>
    <n v="5.6556231018381579E-2"/>
  </r>
  <r>
    <s v="PU006-JBA-08132021"/>
    <s v="Down"/>
    <x v="0"/>
    <s v="Pumpkinseed"/>
    <s v="Lepomis"/>
    <s v="gibbosus"/>
    <s v="U"/>
    <x v="0"/>
    <n v="8"/>
    <n v="11.81"/>
    <x v="42"/>
    <s v="70887-84-2"/>
    <x v="42"/>
    <n v="4.35269189992077E-2"/>
  </r>
  <r>
    <s v="PU006-JBA-08132021"/>
    <s v="Down"/>
    <x v="0"/>
    <s v="Pumpkinseed"/>
    <s v="Lepomis"/>
    <s v="gibbosus"/>
    <s v="U"/>
    <x v="0"/>
    <n v="8"/>
    <n v="11.81"/>
    <x v="43"/>
    <s v="919005-14-4"/>
    <x v="43"/>
    <n v="7.2028119777961322E-2"/>
  </r>
  <r>
    <s v="PU006-JBA-08132021"/>
    <s v="Down"/>
    <x v="0"/>
    <s v="Pumpkinseed"/>
    <s v="Lepomis"/>
    <s v="gibbosus"/>
    <s v="U"/>
    <x v="0"/>
    <n v="8"/>
    <n v="11.81"/>
    <x v="44"/>
    <s v="756426-58-1"/>
    <x v="44"/>
    <n v="4.9995196148848516E-2"/>
  </r>
  <r>
    <s v="PU006-JBA-08132021"/>
    <s v="Down"/>
    <x v="0"/>
    <s v="Pumpkinseed"/>
    <s v="Lepomis"/>
    <s v="gibbosus"/>
    <s v="U"/>
    <x v="0"/>
    <n v="8"/>
    <n v="11.81"/>
    <x v="45"/>
    <s v="763051-92-9"/>
    <x v="45"/>
    <n v="5.6757477383794636E-2"/>
  </r>
  <r>
    <s v="PU006-JBA-08132021"/>
    <s v="Down"/>
    <x v="0"/>
    <s v="Pumpkinseed"/>
    <s v="Lepomis"/>
    <s v="gibbosus"/>
    <s v="U"/>
    <x v="0"/>
    <n v="8"/>
    <n v="11.81"/>
    <x v="46"/>
    <s v="13252-13-6"/>
    <x v="46"/>
    <n v="0.10336240936245511"/>
  </r>
  <r>
    <s v="PU006-JBA-08132021"/>
    <s v="Down"/>
    <x v="0"/>
    <s v="Pumpkinseed"/>
    <s v="Lepomis"/>
    <s v="gibbosus"/>
    <s v="U"/>
    <x v="0"/>
    <n v="8"/>
    <n v="11.81"/>
    <x v="47"/>
    <s v="57677-95-9"/>
    <x v="47"/>
    <n v="7.667601767113881E-2"/>
  </r>
  <r>
    <s v="PU006-JBA-08132021"/>
    <s v="Down"/>
    <x v="0"/>
    <s v="Pumpkinseed"/>
    <s v="Lepomis"/>
    <s v="gibbosus"/>
    <s v="U"/>
    <x v="0"/>
    <n v="8"/>
    <n v="11.81"/>
    <x v="48"/>
    <s v="678-41-1"/>
    <x v="48"/>
    <n v="9.54958901368054E-2"/>
  </r>
  <r>
    <s v="PU006-JBA-08132021"/>
    <s v="Down"/>
    <x v="0"/>
    <s v="Pumpkinseed"/>
    <s v="Lepomis"/>
    <s v="gibbosus"/>
    <s v="U"/>
    <x v="0"/>
    <n v="8"/>
    <n v="11.81"/>
    <x v="49"/>
    <s v="2965-52-8"/>
    <x v="49"/>
    <n v="0.1267694908092119"/>
  </r>
  <r>
    <s v="PU007-JBA-08132021"/>
    <s v="Down"/>
    <x v="0"/>
    <s v="Pumpkinseed"/>
    <s v="Lepomis"/>
    <s v="gibbosus"/>
    <s v="U"/>
    <x v="0"/>
    <n v="8"/>
    <n v="11.81"/>
    <x v="0"/>
    <s v="375-22-4"/>
    <x v="0"/>
    <n v="0.10085163603765128"/>
  </r>
  <r>
    <s v="PU007-JBA-08132021"/>
    <s v="Down"/>
    <x v="0"/>
    <s v="Pumpkinseed"/>
    <s v="Lepomis"/>
    <s v="gibbosus"/>
    <s v="U"/>
    <x v="0"/>
    <n v="8"/>
    <n v="11.81"/>
    <x v="1"/>
    <s v="2706-90-3"/>
    <x v="1"/>
    <n v="0.17813961343349394"/>
  </r>
  <r>
    <s v="PU007-JBA-08132021"/>
    <s v="Down"/>
    <x v="0"/>
    <s v="Pumpkinseed"/>
    <s v="Lepomis"/>
    <s v="gibbosus"/>
    <s v="U"/>
    <x v="0"/>
    <n v="8"/>
    <n v="11.81"/>
    <x v="2"/>
    <s v="307-24-4"/>
    <x v="2"/>
    <n v="0.13607186639325977"/>
  </r>
  <r>
    <s v="PU007-JBA-08132021"/>
    <s v="Down"/>
    <x v="0"/>
    <s v="Pumpkinseed"/>
    <s v="Lepomis"/>
    <s v="gibbosus"/>
    <s v="U"/>
    <x v="0"/>
    <n v="8"/>
    <n v="11.81"/>
    <x v="3"/>
    <s v="375-85-9"/>
    <x v="3"/>
    <n v="0.10085163603765128"/>
  </r>
  <r>
    <s v="PU007-JBA-08132021"/>
    <s v="Down"/>
    <x v="0"/>
    <s v="Pumpkinseed"/>
    <s v="Lepomis"/>
    <s v="gibbosus"/>
    <s v="U"/>
    <x v="0"/>
    <n v="8"/>
    <n v="11.81"/>
    <x v="4"/>
    <s v="335-67-1"/>
    <x v="4"/>
    <n v="0.41099999999999998"/>
  </r>
  <r>
    <s v="PU007-JBA-08132021"/>
    <s v="Down"/>
    <x v="0"/>
    <s v="Pumpkinseed"/>
    <s v="Lepomis"/>
    <s v="gibbosus"/>
    <s v="U"/>
    <x v="0"/>
    <n v="8"/>
    <n v="11.81"/>
    <x v="5"/>
    <s v="375-95-1"/>
    <x v="5"/>
    <n v="0.53800000000000003"/>
  </r>
  <r>
    <s v="PU007-JBA-08132021"/>
    <s v="Down"/>
    <x v="0"/>
    <s v="Pumpkinseed"/>
    <s v="Lepomis"/>
    <s v="gibbosus"/>
    <s v="U"/>
    <x v="0"/>
    <n v="8"/>
    <n v="11.81"/>
    <x v="6"/>
    <s v="335-76-2"/>
    <x v="6"/>
    <n v="3.76"/>
  </r>
  <r>
    <s v="PU007-JBA-08132021"/>
    <s v="Down"/>
    <x v="0"/>
    <s v="Pumpkinseed"/>
    <s v="Lepomis"/>
    <s v="gibbosus"/>
    <s v="U"/>
    <x v="0"/>
    <n v="8"/>
    <n v="11.81"/>
    <x v="7"/>
    <s v="2058-94-8"/>
    <x v="7"/>
    <n v="5.88"/>
  </r>
  <r>
    <s v="PU007-JBA-08132021"/>
    <s v="Down"/>
    <x v="0"/>
    <s v="Pumpkinseed"/>
    <s v="Lepomis"/>
    <s v="gibbosus"/>
    <s v="U"/>
    <x v="0"/>
    <n v="8"/>
    <n v="11.81"/>
    <x v="8"/>
    <s v="307-55-1"/>
    <x v="8"/>
    <n v="6.1222539276315782E-2"/>
  </r>
  <r>
    <s v="PU007-JBA-08132021"/>
    <s v="Down"/>
    <x v="0"/>
    <s v="Pumpkinseed"/>
    <s v="Lepomis"/>
    <s v="gibbosus"/>
    <s v="U"/>
    <x v="0"/>
    <n v="8"/>
    <n v="11.81"/>
    <x v="9"/>
    <s v="72629-94-8"/>
    <x v="9"/>
    <n v="3.14"/>
  </r>
  <r>
    <s v="PU007-JBA-08132021"/>
    <s v="Down"/>
    <x v="0"/>
    <s v="Pumpkinseed"/>
    <s v="Lepomis"/>
    <s v="gibbosus"/>
    <s v="U"/>
    <x v="0"/>
    <n v="8"/>
    <n v="11.81"/>
    <x v="10"/>
    <s v="376-06-7"/>
    <x v="10"/>
    <n v="7.09"/>
  </r>
  <r>
    <s v="PU007-JBA-08132021"/>
    <s v="Down"/>
    <x v="0"/>
    <s v="Pumpkinseed"/>
    <s v="Lepomis"/>
    <s v="gibbosus"/>
    <s v="U"/>
    <x v="0"/>
    <n v="8"/>
    <n v="11.81"/>
    <x v="11"/>
    <s v="67905-19-5"/>
    <x v="11"/>
    <n v="9.1384503552631571E-2"/>
  </r>
  <r>
    <s v="PU007-JBA-08132021"/>
    <s v="Down"/>
    <x v="0"/>
    <s v="Pumpkinseed"/>
    <s v="Lepomis"/>
    <s v="gibbosus"/>
    <s v="U"/>
    <x v="0"/>
    <n v="8"/>
    <n v="11.81"/>
    <x v="12"/>
    <s v="423-41-6"/>
    <x v="12"/>
    <n v="5.8501505723684219E-2"/>
  </r>
  <r>
    <s v="PU007-JBA-08132021"/>
    <s v="Down"/>
    <x v="0"/>
    <s v="Pumpkinseed"/>
    <s v="Lepomis"/>
    <s v="gibbosus"/>
    <s v="U"/>
    <x v="0"/>
    <n v="8"/>
    <n v="11.81"/>
    <x v="13"/>
    <s v="375-73-5"/>
    <x v="13"/>
    <n v="0.17160140840738455"/>
  </r>
  <r>
    <s v="PU007-JBA-08132021"/>
    <s v="Down"/>
    <x v="0"/>
    <s v="Pumpkinseed"/>
    <s v="Lepomis"/>
    <s v="gibbosus"/>
    <s v="U"/>
    <x v="0"/>
    <n v="8"/>
    <n v="11.81"/>
    <x v="14"/>
    <s v="2706-91-4"/>
    <x v="14"/>
    <n v="0.26900000000000002"/>
  </r>
  <r>
    <s v="PU007-JBA-08132021"/>
    <s v="Down"/>
    <x v="0"/>
    <s v="Pumpkinseed"/>
    <s v="Lepomis"/>
    <s v="gibbosus"/>
    <s v="U"/>
    <x v="0"/>
    <n v="8"/>
    <n v="11.81"/>
    <x v="15"/>
    <s v="355-46-4"/>
    <x v="15"/>
    <n v="32.1"/>
  </r>
  <r>
    <s v="PU007-JBA-08132021"/>
    <s v="Down"/>
    <x v="0"/>
    <s v="Pumpkinseed"/>
    <s v="Lepomis"/>
    <s v="gibbosus"/>
    <s v="U"/>
    <x v="0"/>
    <n v="8"/>
    <n v="11.81"/>
    <x v="16"/>
    <s v="375-92-8"/>
    <x v="16"/>
    <n v="1.1000000000000001"/>
  </r>
  <r>
    <s v="PU007-JBA-08132021"/>
    <s v="Down"/>
    <x v="0"/>
    <s v="Pumpkinseed"/>
    <s v="Lepomis"/>
    <s v="gibbosus"/>
    <s v="U"/>
    <x v="0"/>
    <n v="8"/>
    <n v="11.81"/>
    <x v="17"/>
    <s v="1763-23-1"/>
    <x v="17"/>
    <n v="877"/>
  </r>
  <r>
    <s v="PU007-JBA-08132021"/>
    <s v="Down"/>
    <x v="0"/>
    <s v="Pumpkinseed"/>
    <s v="Lepomis"/>
    <s v="gibbosus"/>
    <s v="U"/>
    <x v="0"/>
    <n v="8"/>
    <n v="11.81"/>
    <x v="18"/>
    <s v="68259-12-1"/>
    <x v="18"/>
    <n v="0.73499999999999999"/>
  </r>
  <r>
    <s v="PU007-JBA-08132021"/>
    <s v="Down"/>
    <x v="0"/>
    <s v="Pumpkinseed"/>
    <s v="Lepomis"/>
    <s v="gibbosus"/>
    <s v="U"/>
    <x v="0"/>
    <n v="8"/>
    <n v="11.81"/>
    <x v="19"/>
    <s v="335-77-3"/>
    <x v="19"/>
    <n v="0.89900000000000002"/>
  </r>
  <r>
    <s v="PU007-JBA-08132021"/>
    <s v="Down"/>
    <x v="0"/>
    <s v="Pumpkinseed"/>
    <s v="Lepomis"/>
    <s v="gibbosus"/>
    <s v="U"/>
    <x v="0"/>
    <n v="8"/>
    <n v="11.81"/>
    <x v="20"/>
    <s v="79780-39-5"/>
    <x v="20"/>
    <n v="0.26961935162645678"/>
  </r>
  <r>
    <s v="PU007-JBA-08132021"/>
    <s v="Down"/>
    <x v="0"/>
    <s v="Pumpkinseed"/>
    <s v="Lepomis"/>
    <s v="gibbosus"/>
    <s v="U"/>
    <x v="0"/>
    <n v="8"/>
    <n v="11.81"/>
    <x v="21"/>
    <s v="777011-38-8"/>
    <x v="21"/>
    <n v="0.15321486247301658"/>
  </r>
  <r>
    <s v="PU007-JBA-08132021"/>
    <s v="Down"/>
    <x v="0"/>
    <s v="Pumpkinseed"/>
    <s v="Lepomis"/>
    <s v="gibbosus"/>
    <s v="U"/>
    <x v="0"/>
    <n v="8"/>
    <n v="11.81"/>
    <x v="22"/>
    <s v="646-83-3"/>
    <x v="22"/>
    <n v="0.10085163603765128"/>
  </r>
  <r>
    <s v="PU007-JBA-08132021"/>
    <s v="Down"/>
    <x v="0"/>
    <s v="Pumpkinseed"/>
    <s v="Lepomis"/>
    <s v="gibbosus"/>
    <s v="U"/>
    <x v="0"/>
    <n v="8"/>
    <n v="11.81"/>
    <x v="23"/>
    <s v="30334-69-1"/>
    <x v="23"/>
    <n v="35.799999999999997"/>
  </r>
  <r>
    <s v="PU007-JBA-08132021"/>
    <s v="Down"/>
    <x v="0"/>
    <s v="Pumpkinseed"/>
    <s v="Lepomis"/>
    <s v="gibbosus"/>
    <s v="U"/>
    <x v="0"/>
    <n v="8"/>
    <n v="11.81"/>
    <x v="24"/>
    <s v="41997-13-1"/>
    <x v="24"/>
    <n v="27.6"/>
  </r>
  <r>
    <s v="PU007-JBA-08132021"/>
    <s v="Down"/>
    <x v="0"/>
    <s v="Pumpkinseed"/>
    <s v="Lepomis"/>
    <s v="gibbosus"/>
    <s v="U"/>
    <x v="0"/>
    <n v="8"/>
    <n v="11.81"/>
    <x v="25"/>
    <s v="754-91-6"/>
    <x v="25"/>
    <n v="6.88"/>
  </r>
  <r>
    <s v="PU007-JBA-08132021"/>
    <s v="Down"/>
    <x v="0"/>
    <s v="Pumpkinseed"/>
    <s v="Lepomis"/>
    <s v="gibbosus"/>
    <s v="U"/>
    <x v="0"/>
    <n v="8"/>
    <n v="11.81"/>
    <x v="26"/>
    <s v="31506-32-8"/>
    <x v="26"/>
    <n v="5.9071220526315797E-2"/>
  </r>
  <r>
    <s v="PU007-JBA-08132021"/>
    <s v="Down"/>
    <x v="0"/>
    <s v="Pumpkinseed"/>
    <s v="Lepomis"/>
    <s v="gibbosus"/>
    <s v="U"/>
    <x v="0"/>
    <n v="8"/>
    <n v="11.81"/>
    <x v="27"/>
    <s v="4151-50-2"/>
    <x v="27"/>
    <n v="8.9479677828947377E-2"/>
  </r>
  <r>
    <s v="PU007-JBA-08132021"/>
    <s v="Down"/>
    <x v="0"/>
    <s v="Pumpkinseed"/>
    <s v="Lepomis"/>
    <s v="gibbosus"/>
    <s v="U"/>
    <x v="0"/>
    <n v="8"/>
    <n v="11.81"/>
    <x v="28"/>
    <s v="2806-24-8"/>
    <x v="28"/>
    <n v="6.0440069605263158E-2"/>
  </r>
  <r>
    <s v="PU007-JBA-08132021"/>
    <s v="Down"/>
    <x v="0"/>
    <s v="Pumpkinseed"/>
    <s v="Lepomis"/>
    <s v="gibbosus"/>
    <s v="U"/>
    <x v="0"/>
    <n v="8"/>
    <n v="11.81"/>
    <x v="29"/>
    <s v="2355-31-9"/>
    <x v="29"/>
    <n v="10.3"/>
  </r>
  <r>
    <s v="PU007-JBA-08132021"/>
    <s v="Down"/>
    <x v="0"/>
    <s v="Pumpkinseed"/>
    <s v="Lepomis"/>
    <s v="gibbosus"/>
    <s v="U"/>
    <x v="0"/>
    <n v="8"/>
    <n v="11.81"/>
    <x v="30"/>
    <s v="2991-50-6"/>
    <x v="30"/>
    <n v="6.6555519671052638E-2"/>
  </r>
  <r>
    <s v="PU007-JBA-08132021"/>
    <s v="Down"/>
    <x v="0"/>
    <s v="Pumpkinseed"/>
    <s v="Lepomis"/>
    <s v="gibbosus"/>
    <s v="U"/>
    <x v="0"/>
    <n v="8"/>
    <n v="11.81"/>
    <x v="31"/>
    <s v="757124-72-4"/>
    <x v="31"/>
    <n v="6.2982188684210516E-2"/>
  </r>
  <r>
    <s v="PU007-JBA-08132021"/>
    <s v="Down"/>
    <x v="0"/>
    <s v="Pumpkinseed"/>
    <s v="Lepomis"/>
    <s v="gibbosus"/>
    <s v="U"/>
    <x v="0"/>
    <n v="8"/>
    <n v="11.81"/>
    <x v="32"/>
    <s v="27619-97-2"/>
    <x v="32"/>
    <n v="4.6293143703947374E-2"/>
  </r>
  <r>
    <s v="PU007-JBA-08132021"/>
    <s v="Down"/>
    <x v="0"/>
    <s v="Pumpkinseed"/>
    <s v="Lepomis"/>
    <s v="gibbosus"/>
    <s v="U"/>
    <x v="0"/>
    <n v="8"/>
    <n v="11.81"/>
    <x v="33"/>
    <s v="39108-34-4"/>
    <x v="33"/>
    <n v="2.2200000000000002"/>
  </r>
  <r>
    <s v="PU007-JBA-08132021"/>
    <s v="Down"/>
    <x v="0"/>
    <s v="Pumpkinseed"/>
    <s v="Lepomis"/>
    <s v="gibbosus"/>
    <s v="U"/>
    <x v="0"/>
    <n v="8"/>
    <n v="11.81"/>
    <x v="34"/>
    <s v="120226-60-0"/>
    <x v="34"/>
    <n v="0.28628389121470188"/>
  </r>
  <r>
    <s v="PU007-JBA-08132021"/>
    <s v="Down"/>
    <x v="0"/>
    <s v="Pumpkinseed"/>
    <s v="Lepomis"/>
    <s v="gibbosus"/>
    <s v="U"/>
    <x v="0"/>
    <n v="8"/>
    <n v="11.81"/>
    <x v="35"/>
    <s v="356-02-5"/>
    <x v="35"/>
    <n v="8.8446881249999998E-2"/>
  </r>
  <r>
    <s v="PU007-JBA-08132021"/>
    <s v="Down"/>
    <x v="0"/>
    <s v="Pumpkinseed"/>
    <s v="Lepomis"/>
    <s v="gibbosus"/>
    <s v="U"/>
    <x v="0"/>
    <n v="8"/>
    <n v="11.81"/>
    <x v="36"/>
    <s v="914637-49-3"/>
    <x v="36"/>
    <n v="0.63"/>
  </r>
  <r>
    <s v="PU007-JBA-08132021"/>
    <s v="Down"/>
    <x v="0"/>
    <s v="Pumpkinseed"/>
    <s v="Lepomis"/>
    <s v="gibbosus"/>
    <s v="U"/>
    <x v="0"/>
    <n v="8"/>
    <n v="11.81"/>
    <x v="37"/>
    <s v="812-70-4"/>
    <x v="37"/>
    <n v="4.9400000000000004"/>
  </r>
  <r>
    <s v="PU007-JBA-08132021"/>
    <s v="Down"/>
    <x v="0"/>
    <s v="Pumpkinseed"/>
    <s v="Lepomis"/>
    <s v="gibbosus"/>
    <s v="U"/>
    <x v="0"/>
    <n v="8"/>
    <n v="11.81"/>
    <x v="38"/>
    <s v="53826-12-3"/>
    <x v="38"/>
    <n v="4.3499999999999996"/>
  </r>
  <r>
    <s v="PU007-JBA-08132021"/>
    <s v="Down"/>
    <x v="0"/>
    <s v="Pumpkinseed"/>
    <s v="Lepomis"/>
    <s v="gibbosus"/>
    <s v="U"/>
    <x v="0"/>
    <n v="8"/>
    <n v="11.81"/>
    <x v="39"/>
    <s v="27854-31-5"/>
    <x v="39"/>
    <n v="2.29"/>
  </r>
  <r>
    <s v="PU007-JBA-08132021"/>
    <s v="Down"/>
    <x v="0"/>
    <s v="Pumpkinseed"/>
    <s v="Lepomis"/>
    <s v="gibbosus"/>
    <s v="U"/>
    <x v="0"/>
    <n v="8"/>
    <n v="11.81"/>
    <x v="40"/>
    <s v="53826-13-4"/>
    <x v="40"/>
    <n v="0.11441790177631579"/>
  </r>
  <r>
    <s v="PU007-JBA-08132021"/>
    <s v="Down"/>
    <x v="0"/>
    <s v="Pumpkinseed"/>
    <s v="Lepomis"/>
    <s v="gibbosus"/>
    <s v="U"/>
    <x v="0"/>
    <n v="8"/>
    <n v="11.81"/>
    <x v="41"/>
    <s v="161094-75-3"/>
    <x v="41"/>
    <n v="6.0207071842105268E-2"/>
  </r>
  <r>
    <s v="PU007-JBA-08132021"/>
    <s v="Down"/>
    <x v="0"/>
    <s v="Pumpkinseed"/>
    <s v="Lepomis"/>
    <s v="gibbosus"/>
    <s v="U"/>
    <x v="0"/>
    <n v="8"/>
    <n v="11.81"/>
    <x v="42"/>
    <s v="70887-84-2"/>
    <x v="42"/>
    <n v="4.6336686375000005E-2"/>
  </r>
  <r>
    <s v="PU007-JBA-08132021"/>
    <s v="Down"/>
    <x v="0"/>
    <s v="Pumpkinseed"/>
    <s v="Lepomis"/>
    <s v="gibbosus"/>
    <s v="U"/>
    <x v="0"/>
    <n v="8"/>
    <n v="11.81"/>
    <x v="43"/>
    <s v="919005-14-4"/>
    <x v="43"/>
    <n v="7.6677708256655625E-2"/>
  </r>
  <r>
    <s v="PU007-JBA-08132021"/>
    <s v="Down"/>
    <x v="0"/>
    <s v="Pumpkinseed"/>
    <s v="Lepomis"/>
    <s v="gibbosus"/>
    <s v="U"/>
    <x v="0"/>
    <n v="8"/>
    <n v="11.81"/>
    <x v="44"/>
    <s v="756426-58-1"/>
    <x v="44"/>
    <n v="5.3222506381578952E-2"/>
  </r>
  <r>
    <s v="PU007-JBA-08132021"/>
    <s v="Down"/>
    <x v="0"/>
    <s v="Pumpkinseed"/>
    <s v="Lepomis"/>
    <s v="gibbosus"/>
    <s v="U"/>
    <x v="0"/>
    <n v="8"/>
    <n v="11.81"/>
    <x v="45"/>
    <s v="763051-92-9"/>
    <x v="45"/>
    <n v="6.0421309144736847E-2"/>
  </r>
  <r>
    <s v="PU007-JBA-08132021"/>
    <s v="Down"/>
    <x v="0"/>
    <s v="Pumpkinseed"/>
    <s v="Lepomis"/>
    <s v="gibbosus"/>
    <s v="U"/>
    <x v="0"/>
    <n v="8"/>
    <n v="11.81"/>
    <x v="46"/>
    <s v="13252-13-6"/>
    <x v="46"/>
    <n v="0.11003470164473686"/>
  </r>
  <r>
    <s v="PU007-JBA-08132021"/>
    <s v="Down"/>
    <x v="0"/>
    <s v="Pumpkinseed"/>
    <s v="Lepomis"/>
    <s v="gibbosus"/>
    <s v="U"/>
    <x v="0"/>
    <n v="8"/>
    <n v="11.81"/>
    <x v="47"/>
    <s v="57677-95-9"/>
    <x v="47"/>
    <n v="8.1625639144736833E-2"/>
  </r>
  <r>
    <s v="PU007-JBA-08132021"/>
    <s v="Down"/>
    <x v="0"/>
    <s v="Pumpkinseed"/>
    <s v="Lepomis"/>
    <s v="gibbosus"/>
    <s v="U"/>
    <x v="0"/>
    <n v="8"/>
    <n v="11.81"/>
    <x v="48"/>
    <s v="678-41-1"/>
    <x v="48"/>
    <n v="0.10166037967105264"/>
  </r>
  <r>
    <s v="PU007-JBA-08132021"/>
    <s v="Down"/>
    <x v="0"/>
    <s v="Pumpkinseed"/>
    <s v="Lepomis"/>
    <s v="gibbosus"/>
    <s v="U"/>
    <x v="0"/>
    <n v="8"/>
    <n v="11.81"/>
    <x v="49"/>
    <s v="2965-52-8"/>
    <x v="49"/>
    <n v="0.1349527665317139"/>
  </r>
  <r>
    <s v="PU008-JBA-08132021"/>
    <s v="Down"/>
    <x v="0"/>
    <s v="Pumpkinseed"/>
    <s v="Lepomis"/>
    <s v="gibbosus"/>
    <s v="U"/>
    <x v="0"/>
    <n v="8"/>
    <n v="11.81"/>
    <x v="0"/>
    <s v="375-22-4"/>
    <x v="0"/>
    <n v="9.3710953769262792E-2"/>
  </r>
  <r>
    <s v="PU008-JBA-08132021"/>
    <s v="Down"/>
    <x v="0"/>
    <s v="Pumpkinseed"/>
    <s v="Lepomis"/>
    <s v="gibbosus"/>
    <s v="U"/>
    <x v="0"/>
    <n v="8"/>
    <n v="11.81"/>
    <x v="1"/>
    <s v="2706-90-3"/>
    <x v="1"/>
    <n v="5.3981701040452711E-2"/>
  </r>
  <r>
    <s v="PU008-JBA-08132021"/>
    <s v="Down"/>
    <x v="0"/>
    <s v="Pumpkinseed"/>
    <s v="Lepomis"/>
    <s v="gibbosus"/>
    <s v="U"/>
    <x v="0"/>
    <n v="8"/>
    <n v="11.81"/>
    <x v="2"/>
    <s v="307-24-4"/>
    <x v="2"/>
    <n v="4.123389890704842E-2"/>
  </r>
  <r>
    <s v="PU008-JBA-08132021"/>
    <s v="Down"/>
    <x v="0"/>
    <s v="Pumpkinseed"/>
    <s v="Lepomis"/>
    <s v="gibbosus"/>
    <s v="U"/>
    <x v="0"/>
    <n v="8"/>
    <n v="11.81"/>
    <x v="3"/>
    <s v="375-85-9"/>
    <x v="3"/>
    <n v="9.3710953769262792E-2"/>
  </r>
  <r>
    <s v="PU008-JBA-08132021"/>
    <s v="Down"/>
    <x v="0"/>
    <s v="Pumpkinseed"/>
    <s v="Lepomis"/>
    <s v="gibbosus"/>
    <s v="U"/>
    <x v="0"/>
    <n v="8"/>
    <n v="11.81"/>
    <x v="4"/>
    <s v="335-67-1"/>
    <x v="4"/>
    <n v="0.29099999999999998"/>
  </r>
  <r>
    <s v="PU008-JBA-08132021"/>
    <s v="Down"/>
    <x v="0"/>
    <s v="Pumpkinseed"/>
    <s v="Lepomis"/>
    <s v="gibbosus"/>
    <s v="U"/>
    <x v="0"/>
    <n v="8"/>
    <n v="11.81"/>
    <x v="5"/>
    <s v="375-95-1"/>
    <x v="5"/>
    <n v="0.16213056464978132"/>
  </r>
  <r>
    <s v="PU008-JBA-08132021"/>
    <s v="Down"/>
    <x v="0"/>
    <s v="Pumpkinseed"/>
    <s v="Lepomis"/>
    <s v="gibbosus"/>
    <s v="U"/>
    <x v="0"/>
    <n v="8"/>
    <n v="11.81"/>
    <x v="6"/>
    <s v="335-76-2"/>
    <x v="6"/>
    <n v="9.2899999999999991"/>
  </r>
  <r>
    <s v="PU008-JBA-08132021"/>
    <s v="Down"/>
    <x v="0"/>
    <s v="Pumpkinseed"/>
    <s v="Lepomis"/>
    <s v="gibbosus"/>
    <s v="U"/>
    <x v="0"/>
    <n v="8"/>
    <n v="11.81"/>
    <x v="7"/>
    <s v="2058-94-8"/>
    <x v="7"/>
    <n v="6.93"/>
  </r>
  <r>
    <s v="PU008-JBA-08132021"/>
    <s v="Down"/>
    <x v="0"/>
    <s v="Pumpkinseed"/>
    <s v="Lepomis"/>
    <s v="gibbosus"/>
    <s v="U"/>
    <x v="0"/>
    <n v="8"/>
    <n v="11.81"/>
    <x v="8"/>
    <s v="307-55-1"/>
    <x v="8"/>
    <n v="6.1003005294150606E-2"/>
  </r>
  <r>
    <s v="PU008-JBA-08132021"/>
    <s v="Down"/>
    <x v="0"/>
    <s v="Pumpkinseed"/>
    <s v="Lepomis"/>
    <s v="gibbosus"/>
    <s v="U"/>
    <x v="0"/>
    <n v="8"/>
    <n v="11.81"/>
    <x v="9"/>
    <s v="72629-94-8"/>
    <x v="9"/>
    <n v="3.77"/>
  </r>
  <r>
    <s v="PU008-JBA-08132021"/>
    <s v="Down"/>
    <x v="0"/>
    <s v="Pumpkinseed"/>
    <s v="Lepomis"/>
    <s v="gibbosus"/>
    <s v="U"/>
    <x v="0"/>
    <n v="8"/>
    <n v="11.81"/>
    <x v="10"/>
    <s v="376-06-7"/>
    <x v="10"/>
    <n v="11.4"/>
  </r>
  <r>
    <s v="PU008-JBA-08132021"/>
    <s v="Down"/>
    <x v="0"/>
    <s v="Pumpkinseed"/>
    <s v="Lepomis"/>
    <s v="gibbosus"/>
    <s v="U"/>
    <x v="0"/>
    <n v="8"/>
    <n v="11.81"/>
    <x v="11"/>
    <s v="67905-19-5"/>
    <x v="11"/>
    <n v="9.1056813714701923E-2"/>
  </r>
  <r>
    <s v="PU008-JBA-08132021"/>
    <s v="Down"/>
    <x v="0"/>
    <s v="Pumpkinseed"/>
    <s v="Lepomis"/>
    <s v="gibbosus"/>
    <s v="U"/>
    <x v="0"/>
    <n v="8"/>
    <n v="11.81"/>
    <x v="12"/>
    <s v="423-41-6"/>
    <x v="12"/>
    <n v="5.8291728921447787E-2"/>
  </r>
  <r>
    <s v="PU008-JBA-08132021"/>
    <s v="Down"/>
    <x v="0"/>
    <s v="Pumpkinseed"/>
    <s v="Lepomis"/>
    <s v="gibbosus"/>
    <s v="U"/>
    <x v="0"/>
    <n v="8"/>
    <n v="11.81"/>
    <x v="13"/>
    <s v="375-73-5"/>
    <x v="13"/>
    <n v="0.46899999999999997"/>
  </r>
  <r>
    <s v="PU008-JBA-08132021"/>
    <s v="Down"/>
    <x v="0"/>
    <s v="Pumpkinseed"/>
    <s v="Lepomis"/>
    <s v="gibbosus"/>
    <s v="U"/>
    <x v="0"/>
    <n v="8"/>
    <n v="11.81"/>
    <x v="14"/>
    <s v="2706-91-4"/>
    <x v="14"/>
    <n v="0.1240604028032799"/>
  </r>
  <r>
    <s v="PU008-JBA-08132021"/>
    <s v="Down"/>
    <x v="0"/>
    <s v="Pumpkinseed"/>
    <s v="Lepomis"/>
    <s v="gibbosus"/>
    <s v="U"/>
    <x v="0"/>
    <n v="8"/>
    <n v="11.81"/>
    <x v="15"/>
    <s v="355-46-4"/>
    <x v="15"/>
    <n v="20.100000000000001"/>
  </r>
  <r>
    <s v="PU008-JBA-08132021"/>
    <s v="Down"/>
    <x v="0"/>
    <s v="Pumpkinseed"/>
    <s v="Lepomis"/>
    <s v="gibbosus"/>
    <s v="U"/>
    <x v="0"/>
    <n v="8"/>
    <n v="11.81"/>
    <x v="16"/>
    <s v="375-92-8"/>
    <x v="16"/>
    <n v="2.2799999999999998"/>
  </r>
  <r>
    <s v="PU008-JBA-08132021"/>
    <s v="Down"/>
    <x v="0"/>
    <s v="Pumpkinseed"/>
    <s v="Lepomis"/>
    <s v="gibbosus"/>
    <s v="U"/>
    <x v="0"/>
    <n v="8"/>
    <n v="11.81"/>
    <x v="17"/>
    <s v="1763-23-1"/>
    <x v="17"/>
    <n v="3330"/>
  </r>
  <r>
    <s v="PU008-JBA-08132021"/>
    <s v="Down"/>
    <x v="0"/>
    <s v="Pumpkinseed"/>
    <s v="Lepomis"/>
    <s v="gibbosus"/>
    <s v="U"/>
    <x v="0"/>
    <n v="8"/>
    <n v="11.81"/>
    <x v="18"/>
    <s v="68259-12-1"/>
    <x v="18"/>
    <n v="2.11"/>
  </r>
  <r>
    <s v="PU008-JBA-08132021"/>
    <s v="Down"/>
    <x v="0"/>
    <s v="Pumpkinseed"/>
    <s v="Lepomis"/>
    <s v="gibbosus"/>
    <s v="U"/>
    <x v="0"/>
    <n v="8"/>
    <n v="11.81"/>
    <x v="19"/>
    <s v="335-77-3"/>
    <x v="19"/>
    <n v="1.59"/>
  </r>
  <r>
    <s v="PU008-JBA-08132021"/>
    <s v="Down"/>
    <x v="0"/>
    <s v="Pumpkinseed"/>
    <s v="Lepomis"/>
    <s v="gibbosus"/>
    <s v="U"/>
    <x v="0"/>
    <n v="8"/>
    <n v="11.81"/>
    <x v="20"/>
    <s v="79780-39-5"/>
    <x v="20"/>
    <n v="0.25052926842091838"/>
  </r>
  <r>
    <s v="PU008-JBA-08132021"/>
    <s v="Down"/>
    <x v="0"/>
    <s v="Pumpkinseed"/>
    <s v="Lepomis"/>
    <s v="gibbosus"/>
    <s v="U"/>
    <x v="0"/>
    <n v="8"/>
    <n v="11.81"/>
    <x v="21"/>
    <s v="777011-38-8"/>
    <x v="21"/>
    <n v="0.29899999999999999"/>
  </r>
  <r>
    <s v="PU008-JBA-08132021"/>
    <s v="Down"/>
    <x v="0"/>
    <s v="Pumpkinseed"/>
    <s v="Lepomis"/>
    <s v="gibbosus"/>
    <s v="U"/>
    <x v="0"/>
    <n v="8"/>
    <n v="11.81"/>
    <x v="22"/>
    <s v="646-83-3"/>
    <x v="22"/>
    <n v="0.21"/>
  </r>
  <r>
    <s v="PU008-JBA-08132021"/>
    <s v="Down"/>
    <x v="0"/>
    <s v="Pumpkinseed"/>
    <s v="Lepomis"/>
    <s v="gibbosus"/>
    <s v="U"/>
    <x v="0"/>
    <n v="8"/>
    <n v="11.81"/>
    <x v="23"/>
    <s v="30334-69-1"/>
    <x v="23"/>
    <n v="100"/>
  </r>
  <r>
    <s v="PU008-JBA-08132021"/>
    <s v="Down"/>
    <x v="0"/>
    <s v="Pumpkinseed"/>
    <s v="Lepomis"/>
    <s v="gibbosus"/>
    <s v="U"/>
    <x v="0"/>
    <n v="8"/>
    <n v="11.81"/>
    <x v="24"/>
    <s v="41997-13-1"/>
    <x v="24"/>
    <n v="82.5"/>
  </r>
  <r>
    <s v="PU008-JBA-08132021"/>
    <s v="Down"/>
    <x v="0"/>
    <s v="Pumpkinseed"/>
    <s v="Lepomis"/>
    <s v="gibbosus"/>
    <s v="U"/>
    <x v="0"/>
    <n v="8"/>
    <n v="11.81"/>
    <x v="25"/>
    <s v="754-91-6"/>
    <x v="25"/>
    <n v="42.6"/>
  </r>
  <r>
    <s v="PU008-JBA-08132021"/>
    <s v="Down"/>
    <x v="0"/>
    <s v="Pumpkinseed"/>
    <s v="Lepomis"/>
    <s v="gibbosus"/>
    <s v="U"/>
    <x v="0"/>
    <n v="8"/>
    <n v="11.81"/>
    <x v="26"/>
    <s v="31506-32-8"/>
    <x v="26"/>
    <n v="5.8859400820259977E-2"/>
  </r>
  <r>
    <s v="PU008-JBA-08132021"/>
    <s v="Down"/>
    <x v="0"/>
    <s v="Pumpkinseed"/>
    <s v="Lepomis"/>
    <s v="gibbosus"/>
    <s v="U"/>
    <x v="0"/>
    <n v="8"/>
    <n v="11.81"/>
    <x v="27"/>
    <s v="4151-50-2"/>
    <x v="27"/>
    <n v="8.9158818383572383E-2"/>
  </r>
  <r>
    <s v="PU008-JBA-08132021"/>
    <s v="Down"/>
    <x v="0"/>
    <s v="Pumpkinseed"/>
    <s v="Lepomis"/>
    <s v="gibbosus"/>
    <s v="U"/>
    <x v="0"/>
    <n v="8"/>
    <n v="11.81"/>
    <x v="28"/>
    <s v="2806-24-8"/>
    <x v="28"/>
    <n v="6.022334143097266E-2"/>
  </r>
  <r>
    <s v="PU008-JBA-08132021"/>
    <s v="Down"/>
    <x v="0"/>
    <s v="Pumpkinseed"/>
    <s v="Lepomis"/>
    <s v="gibbosus"/>
    <s v="U"/>
    <x v="0"/>
    <n v="8"/>
    <n v="11.81"/>
    <x v="29"/>
    <s v="2355-31-9"/>
    <x v="29"/>
    <n v="8.76"/>
  </r>
  <r>
    <s v="PU008-JBA-08132021"/>
    <s v="Down"/>
    <x v="0"/>
    <s v="Pumpkinseed"/>
    <s v="Lepomis"/>
    <s v="gibbosus"/>
    <s v="U"/>
    <x v="0"/>
    <n v="8"/>
    <n v="11.81"/>
    <x v="30"/>
    <s v="2991-50-6"/>
    <x v="30"/>
    <n v="6.6316862496077975E-2"/>
  </r>
  <r>
    <s v="PU008-JBA-08132021"/>
    <s v="Down"/>
    <x v="0"/>
    <s v="Pumpkinseed"/>
    <s v="Lepomis"/>
    <s v="gibbosus"/>
    <s v="U"/>
    <x v="0"/>
    <n v="8"/>
    <n v="11.81"/>
    <x v="31"/>
    <s v="757124-72-4"/>
    <x v="31"/>
    <n v="6.2756344887942628E-2"/>
  </r>
  <r>
    <s v="PU008-JBA-08132021"/>
    <s v="Down"/>
    <x v="0"/>
    <s v="Pumpkinseed"/>
    <s v="Lepomis"/>
    <s v="gibbosus"/>
    <s v="U"/>
    <x v="0"/>
    <n v="8"/>
    <n v="11.81"/>
    <x v="32"/>
    <s v="27619-97-2"/>
    <x v="32"/>
    <n v="0.141441846271465"/>
  </r>
  <r>
    <s v="PU008-JBA-08132021"/>
    <s v="Down"/>
    <x v="0"/>
    <s v="Pumpkinseed"/>
    <s v="Lepomis"/>
    <s v="gibbosus"/>
    <s v="U"/>
    <x v="0"/>
    <n v="8"/>
    <n v="11.81"/>
    <x v="33"/>
    <s v="39108-34-4"/>
    <x v="33"/>
    <n v="1.23"/>
  </r>
  <r>
    <s v="PU008-JBA-08132021"/>
    <s v="Down"/>
    <x v="0"/>
    <s v="Pumpkinseed"/>
    <s v="Lepomis"/>
    <s v="gibbosus"/>
    <s v="U"/>
    <x v="0"/>
    <n v="8"/>
    <n v="11.81"/>
    <x v="34"/>
    <s v="120226-60-0"/>
    <x v="34"/>
    <n v="0.26601389475218656"/>
  </r>
  <r>
    <s v="PU008-JBA-08132021"/>
    <s v="Down"/>
    <x v="0"/>
    <s v="Pumpkinseed"/>
    <s v="Lepomis"/>
    <s v="gibbosus"/>
    <s v="U"/>
    <x v="0"/>
    <n v="8"/>
    <n v="11.81"/>
    <x v="35"/>
    <s v="356-02-5"/>
    <x v="35"/>
    <n v="8.8129725243724782E-2"/>
  </r>
  <r>
    <s v="PU008-JBA-08132021"/>
    <s v="Down"/>
    <x v="0"/>
    <s v="Pumpkinseed"/>
    <s v="Lepomis"/>
    <s v="gibbosus"/>
    <s v="U"/>
    <x v="0"/>
    <n v="8"/>
    <n v="11.81"/>
    <x v="36"/>
    <s v="914637-49-3"/>
    <x v="36"/>
    <n v="4.7699999999999996"/>
  </r>
  <r>
    <s v="PU008-JBA-08132021"/>
    <s v="Down"/>
    <x v="0"/>
    <s v="Pumpkinseed"/>
    <s v="Lepomis"/>
    <s v="gibbosus"/>
    <s v="U"/>
    <x v="0"/>
    <n v="8"/>
    <n v="11.81"/>
    <x v="37"/>
    <s v="812-70-4"/>
    <x v="37"/>
    <n v="36.799999999999997"/>
  </r>
  <r>
    <s v="PU008-JBA-08132021"/>
    <s v="Down"/>
    <x v="0"/>
    <s v="Pumpkinseed"/>
    <s v="Lepomis"/>
    <s v="gibbosus"/>
    <s v="U"/>
    <x v="0"/>
    <n v="8"/>
    <n v="11.81"/>
    <x v="38"/>
    <s v="53826-12-3"/>
    <x v="38"/>
    <n v="2.96"/>
  </r>
  <r>
    <s v="PU008-JBA-08132021"/>
    <s v="Down"/>
    <x v="0"/>
    <s v="Pumpkinseed"/>
    <s v="Lepomis"/>
    <s v="gibbosus"/>
    <s v="U"/>
    <x v="0"/>
    <n v="8"/>
    <n v="11.81"/>
    <x v="39"/>
    <s v="27854-31-5"/>
    <x v="39"/>
    <n v="3.99"/>
  </r>
  <r>
    <s v="PU008-JBA-08132021"/>
    <s v="Down"/>
    <x v="0"/>
    <s v="Pumpkinseed"/>
    <s v="Lepomis"/>
    <s v="gibbosus"/>
    <s v="U"/>
    <x v="0"/>
    <n v="8"/>
    <n v="11.81"/>
    <x v="40"/>
    <s v="53826-13-4"/>
    <x v="40"/>
    <n v="0.11400761795103094"/>
  </r>
  <r>
    <s v="PU008-JBA-08132021"/>
    <s v="Down"/>
    <x v="0"/>
    <s v="Pumpkinseed"/>
    <s v="Lepomis"/>
    <s v="gibbosus"/>
    <s v="U"/>
    <x v="0"/>
    <n v="8"/>
    <n v="11.81"/>
    <x v="41"/>
    <s v="161094-75-3"/>
    <x v="41"/>
    <n v="5.9991179159569703E-2"/>
  </r>
  <r>
    <s v="PU008-JBA-08132021"/>
    <s v="Down"/>
    <x v="0"/>
    <s v="Pumpkinseed"/>
    <s v="Lepomis"/>
    <s v="gibbosus"/>
    <s v="U"/>
    <x v="0"/>
    <n v="8"/>
    <n v="11.81"/>
    <x v="42"/>
    <s v="70887-84-2"/>
    <x v="42"/>
    <n v="4.6170530619285076E-2"/>
  </r>
  <r>
    <s v="PU008-JBA-08132021"/>
    <s v="Down"/>
    <x v="0"/>
    <s v="Pumpkinseed"/>
    <s v="Lepomis"/>
    <s v="gibbosus"/>
    <s v="U"/>
    <x v="0"/>
    <n v="8"/>
    <n v="11.81"/>
    <x v="43"/>
    <s v="919005-14-4"/>
    <x v="43"/>
    <n v="7.6402754573978243E-2"/>
  </r>
  <r>
    <s v="PU008-JBA-08132021"/>
    <s v="Down"/>
    <x v="0"/>
    <s v="Pumpkinseed"/>
    <s v="Lepomis"/>
    <s v="gibbosus"/>
    <s v="U"/>
    <x v="0"/>
    <n v="8"/>
    <n v="11.81"/>
    <x v="44"/>
    <s v="756426-58-1"/>
    <x v="44"/>
    <n v="5.3031659204952931E-2"/>
  </r>
  <r>
    <s v="PU008-JBA-08132021"/>
    <s v="Down"/>
    <x v="0"/>
    <s v="Pumpkinseed"/>
    <s v="Lepomis"/>
    <s v="gibbosus"/>
    <s v="U"/>
    <x v="0"/>
    <n v="8"/>
    <n v="11.81"/>
    <x v="45"/>
    <s v="763051-92-9"/>
    <x v="45"/>
    <n v="6.0204648242380095E-2"/>
  </r>
  <r>
    <s v="PU008-JBA-08132021"/>
    <s v="Down"/>
    <x v="0"/>
    <s v="Pumpkinseed"/>
    <s v="Lepomis"/>
    <s v="gibbosus"/>
    <s v="U"/>
    <x v="0"/>
    <n v="8"/>
    <n v="11.81"/>
    <x v="46"/>
    <s v="13252-13-6"/>
    <x v="46"/>
    <n v="0.10964013525605112"/>
  </r>
  <r>
    <s v="PU008-JBA-08132021"/>
    <s v="Down"/>
    <x v="0"/>
    <s v="Pumpkinseed"/>
    <s v="Lepomis"/>
    <s v="gibbosus"/>
    <s v="U"/>
    <x v="0"/>
    <n v="8"/>
    <n v="11.81"/>
    <x v="47"/>
    <s v="57677-95-9"/>
    <x v="47"/>
    <n v="8.1332942993612739E-2"/>
  </r>
  <r>
    <s v="PU008-JBA-08132021"/>
    <s v="Down"/>
    <x v="0"/>
    <s v="Pumpkinseed"/>
    <s v="Lepomis"/>
    <s v="gibbosus"/>
    <s v="U"/>
    <x v="0"/>
    <n v="8"/>
    <n v="11.81"/>
    <x v="48"/>
    <s v="678-41-1"/>
    <x v="48"/>
    <n v="0.10129584222714029"/>
  </r>
  <r>
    <s v="PU008-JBA-08132021"/>
    <s v="Down"/>
    <x v="0"/>
    <s v="Pumpkinseed"/>
    <s v="Lepomis"/>
    <s v="gibbosus"/>
    <s v="U"/>
    <x v="0"/>
    <n v="8"/>
    <n v="11.81"/>
    <x v="49"/>
    <s v="2965-52-8"/>
    <x v="49"/>
    <n v="0.13446884805020171"/>
  </r>
  <r>
    <s v="PU009-JBA-08132021"/>
    <s v="Down"/>
    <x v="0"/>
    <s v="Pumpkinseed"/>
    <s v="Lepomis"/>
    <s v="gibbosus"/>
    <s v="U"/>
    <x v="0"/>
    <n v="8"/>
    <n v="11.81"/>
    <x v="0"/>
    <s v="375-22-4"/>
    <x v="0"/>
    <n v="2.8397258717958423E-2"/>
  </r>
  <r>
    <s v="PU009-JBA-08132021"/>
    <s v="Down"/>
    <x v="0"/>
    <s v="Pumpkinseed"/>
    <s v="Lepomis"/>
    <s v="gibbosus"/>
    <s v="U"/>
    <x v="0"/>
    <n v="8"/>
    <n v="11.81"/>
    <x v="1"/>
    <s v="2706-90-3"/>
    <x v="1"/>
    <n v="5.0159589763119537E-2"/>
  </r>
  <r>
    <s v="PU009-JBA-08132021"/>
    <s v="Down"/>
    <x v="0"/>
    <s v="Pumpkinseed"/>
    <s v="Lepomis"/>
    <s v="gibbosus"/>
    <s v="U"/>
    <x v="0"/>
    <n v="8"/>
    <n v="11.81"/>
    <x v="2"/>
    <s v="307-24-4"/>
    <x v="2"/>
    <n v="3.8314380866982509E-2"/>
  </r>
  <r>
    <s v="PU009-JBA-08132021"/>
    <s v="Down"/>
    <x v="0"/>
    <s v="Pumpkinseed"/>
    <s v="Lepomis"/>
    <s v="gibbosus"/>
    <s v="U"/>
    <x v="0"/>
    <n v="8"/>
    <n v="11.81"/>
    <x v="3"/>
    <s v="375-85-9"/>
    <x v="3"/>
    <n v="8.9766606822262118E-2"/>
  </r>
  <r>
    <s v="PU009-JBA-08132021"/>
    <s v="Down"/>
    <x v="0"/>
    <s v="Pumpkinseed"/>
    <s v="Lepomis"/>
    <s v="gibbosus"/>
    <s v="U"/>
    <x v="0"/>
    <n v="8"/>
    <n v="11.81"/>
    <x v="4"/>
    <s v="335-67-1"/>
    <x v="4"/>
    <n v="0.28499999999999998"/>
  </r>
  <r>
    <s v="PU009-JBA-08132021"/>
    <s v="Down"/>
    <x v="0"/>
    <s v="Pumpkinseed"/>
    <s v="Lepomis"/>
    <s v="gibbosus"/>
    <s v="U"/>
    <x v="0"/>
    <n v="8"/>
    <n v="11.81"/>
    <x v="5"/>
    <s v="375-95-1"/>
    <x v="5"/>
    <n v="0.34599999999999997"/>
  </r>
  <r>
    <s v="PU009-JBA-08132021"/>
    <s v="Down"/>
    <x v="0"/>
    <s v="Pumpkinseed"/>
    <s v="Lepomis"/>
    <s v="gibbosus"/>
    <s v="U"/>
    <x v="0"/>
    <n v="8"/>
    <n v="11.81"/>
    <x v="6"/>
    <s v="335-76-2"/>
    <x v="6"/>
    <n v="3.5"/>
  </r>
  <r>
    <s v="PU009-JBA-08132021"/>
    <s v="Down"/>
    <x v="0"/>
    <s v="Pumpkinseed"/>
    <s v="Lepomis"/>
    <s v="gibbosus"/>
    <s v="U"/>
    <x v="0"/>
    <n v="8"/>
    <n v="11.81"/>
    <x v="7"/>
    <s v="2058-94-8"/>
    <x v="7"/>
    <n v="6.01"/>
  </r>
  <r>
    <s v="PU009-JBA-08132021"/>
    <s v="Down"/>
    <x v="0"/>
    <s v="Pumpkinseed"/>
    <s v="Lepomis"/>
    <s v="gibbosus"/>
    <s v="U"/>
    <x v="0"/>
    <n v="8"/>
    <n v="11.81"/>
    <x v="8"/>
    <s v="307-55-1"/>
    <x v="8"/>
    <n v="5.6683758771865878E-2"/>
  </r>
  <r>
    <s v="PU009-JBA-08132021"/>
    <s v="Down"/>
    <x v="0"/>
    <s v="Pumpkinseed"/>
    <s v="Lepomis"/>
    <s v="gibbosus"/>
    <s v="U"/>
    <x v="0"/>
    <n v="8"/>
    <n v="11.81"/>
    <x v="9"/>
    <s v="72629-94-8"/>
    <x v="9"/>
    <n v="1.19"/>
  </r>
  <r>
    <s v="PU009-JBA-08132021"/>
    <s v="Down"/>
    <x v="0"/>
    <s v="Pumpkinseed"/>
    <s v="Lepomis"/>
    <s v="gibbosus"/>
    <s v="U"/>
    <x v="0"/>
    <n v="8"/>
    <n v="11.81"/>
    <x v="10"/>
    <s v="376-06-7"/>
    <x v="10"/>
    <n v="6.42"/>
  </r>
  <r>
    <s v="PU009-JBA-08132021"/>
    <s v="Down"/>
    <x v="0"/>
    <s v="Pumpkinseed"/>
    <s v="Lepomis"/>
    <s v="gibbosus"/>
    <s v="U"/>
    <x v="0"/>
    <n v="8"/>
    <n v="11.81"/>
    <x v="11"/>
    <s v="67905-19-5"/>
    <x v="11"/>
    <n v="8.4609642397959178E-2"/>
  </r>
  <r>
    <s v="PU009-JBA-08132021"/>
    <s v="Down"/>
    <x v="0"/>
    <s v="Pumpkinseed"/>
    <s v="Lepomis"/>
    <s v="gibbosus"/>
    <s v="U"/>
    <x v="0"/>
    <n v="8"/>
    <n v="11.81"/>
    <x v="12"/>
    <s v="423-41-6"/>
    <x v="12"/>
    <n v="5.4164451155247817E-2"/>
  </r>
  <r>
    <s v="PU009-JBA-08132021"/>
    <s v="Down"/>
    <x v="0"/>
    <s v="Pumpkinseed"/>
    <s v="Lepomis"/>
    <s v="gibbosus"/>
    <s v="U"/>
    <x v="0"/>
    <n v="8"/>
    <n v="11.81"/>
    <x v="13"/>
    <s v="375-73-5"/>
    <x v="13"/>
    <n v="0.15273997293312386"/>
  </r>
  <r>
    <s v="PU009-JBA-08132021"/>
    <s v="Down"/>
    <x v="0"/>
    <s v="Pumpkinseed"/>
    <s v="Lepomis"/>
    <s v="gibbosus"/>
    <s v="U"/>
    <x v="0"/>
    <n v="8"/>
    <n v="11.81"/>
    <x v="14"/>
    <s v="2706-91-4"/>
    <x v="14"/>
    <n v="0.1188386304131957"/>
  </r>
  <r>
    <s v="PU009-JBA-08132021"/>
    <s v="Down"/>
    <x v="0"/>
    <s v="Pumpkinseed"/>
    <s v="Lepomis"/>
    <s v="gibbosus"/>
    <s v="U"/>
    <x v="0"/>
    <n v="8"/>
    <n v="11.81"/>
    <x v="15"/>
    <s v="355-46-4"/>
    <x v="15"/>
    <n v="5.8"/>
  </r>
  <r>
    <s v="PU009-JBA-08132021"/>
    <s v="Down"/>
    <x v="0"/>
    <s v="Pumpkinseed"/>
    <s v="Lepomis"/>
    <s v="gibbosus"/>
    <s v="U"/>
    <x v="0"/>
    <n v="8"/>
    <n v="11.81"/>
    <x v="16"/>
    <s v="375-92-8"/>
    <x v="16"/>
    <n v="1.8"/>
  </r>
  <r>
    <s v="PU009-JBA-08132021"/>
    <s v="Down"/>
    <x v="0"/>
    <s v="Pumpkinseed"/>
    <s v="Lepomis"/>
    <s v="gibbosus"/>
    <s v="U"/>
    <x v="0"/>
    <n v="8"/>
    <n v="11.81"/>
    <x v="17"/>
    <s v="1763-23-1"/>
    <x v="17"/>
    <n v="879"/>
  </r>
  <r>
    <s v="PU009-JBA-08132021"/>
    <s v="Down"/>
    <x v="0"/>
    <s v="Pumpkinseed"/>
    <s v="Lepomis"/>
    <s v="gibbosus"/>
    <s v="U"/>
    <x v="0"/>
    <n v="8"/>
    <n v="11.81"/>
    <x v="18"/>
    <s v="68259-12-1"/>
    <x v="18"/>
    <n v="1.76"/>
  </r>
  <r>
    <s v="PU009-JBA-08132021"/>
    <s v="Down"/>
    <x v="0"/>
    <s v="Pumpkinseed"/>
    <s v="Lepomis"/>
    <s v="gibbosus"/>
    <s v="U"/>
    <x v="0"/>
    <n v="8"/>
    <n v="11.81"/>
    <x v="19"/>
    <s v="335-77-3"/>
    <x v="19"/>
    <n v="1.99"/>
  </r>
  <r>
    <s v="PU009-JBA-08132021"/>
    <s v="Down"/>
    <x v="0"/>
    <s v="Pumpkinseed"/>
    <s v="Lepomis"/>
    <s v="gibbosus"/>
    <s v="U"/>
    <x v="0"/>
    <n v="8"/>
    <n v="11.81"/>
    <x v="20"/>
    <s v="79780-39-5"/>
    <x v="20"/>
    <n v="1.02"/>
  </r>
  <r>
    <s v="PU009-JBA-08132021"/>
    <s v="Down"/>
    <x v="0"/>
    <s v="Pumpkinseed"/>
    <s v="Lepomis"/>
    <s v="gibbosus"/>
    <s v="U"/>
    <x v="0"/>
    <n v="8"/>
    <n v="11.81"/>
    <x v="21"/>
    <s v="777011-38-8"/>
    <x v="21"/>
    <n v="0.13637436990915619"/>
  </r>
  <r>
    <s v="PU009-JBA-08132021"/>
    <s v="Down"/>
    <x v="0"/>
    <s v="Pumpkinseed"/>
    <s v="Lepomis"/>
    <s v="gibbosus"/>
    <s v="U"/>
    <x v="0"/>
    <n v="8"/>
    <n v="11.81"/>
    <x v="22"/>
    <s v="646-83-3"/>
    <x v="22"/>
    <n v="0.23200000000000001"/>
  </r>
  <r>
    <s v="PU009-JBA-08132021"/>
    <s v="Down"/>
    <x v="0"/>
    <s v="Pumpkinseed"/>
    <s v="Lepomis"/>
    <s v="gibbosus"/>
    <s v="U"/>
    <x v="0"/>
    <n v="8"/>
    <n v="11.81"/>
    <x v="23"/>
    <s v="30334-69-1"/>
    <x v="23"/>
    <n v="17.899999999999999"/>
  </r>
  <r>
    <s v="PU009-JBA-08132021"/>
    <s v="Down"/>
    <x v="0"/>
    <s v="Pumpkinseed"/>
    <s v="Lepomis"/>
    <s v="gibbosus"/>
    <s v="U"/>
    <x v="0"/>
    <n v="8"/>
    <n v="11.81"/>
    <x v="24"/>
    <s v="41997-13-1"/>
    <x v="24"/>
    <n v="36.1"/>
  </r>
  <r>
    <s v="PU009-JBA-08132021"/>
    <s v="Down"/>
    <x v="0"/>
    <s v="Pumpkinseed"/>
    <s v="Lepomis"/>
    <s v="gibbosus"/>
    <s v="U"/>
    <x v="0"/>
    <n v="8"/>
    <n v="11.81"/>
    <x v="25"/>
    <s v="754-91-6"/>
    <x v="25"/>
    <n v="22.8"/>
  </r>
  <r>
    <s v="PU009-JBA-08132021"/>
    <s v="Down"/>
    <x v="0"/>
    <s v="Pumpkinseed"/>
    <s v="Lepomis"/>
    <s v="gibbosus"/>
    <s v="U"/>
    <x v="0"/>
    <n v="8"/>
    <n v="11.81"/>
    <x v="26"/>
    <s v="31506-32-8"/>
    <x v="26"/>
    <n v="5.4691929708454809E-2"/>
  </r>
  <r>
    <s v="PU009-JBA-08132021"/>
    <s v="Down"/>
    <x v="0"/>
    <s v="Pumpkinseed"/>
    <s v="Lepomis"/>
    <s v="gibbosus"/>
    <s v="U"/>
    <x v="0"/>
    <n v="8"/>
    <n v="11.81"/>
    <x v="27"/>
    <s v="4151-50-2"/>
    <x v="27"/>
    <n v="8.2846032408892128E-2"/>
  </r>
  <r>
    <s v="PU009-JBA-08132021"/>
    <s v="Down"/>
    <x v="0"/>
    <s v="Pumpkinseed"/>
    <s v="Lepomis"/>
    <s v="gibbosus"/>
    <s v="U"/>
    <x v="0"/>
    <n v="8"/>
    <n v="11.81"/>
    <x v="28"/>
    <s v="2806-24-8"/>
    <x v="28"/>
    <n v="5.5959298097667635E-2"/>
  </r>
  <r>
    <s v="PU009-JBA-08132021"/>
    <s v="Down"/>
    <x v="0"/>
    <s v="Pumpkinseed"/>
    <s v="Lepomis"/>
    <s v="gibbosus"/>
    <s v="U"/>
    <x v="0"/>
    <n v="8"/>
    <n v="11.81"/>
    <x v="29"/>
    <s v="2355-31-9"/>
    <x v="29"/>
    <n v="7.1422678567784267E-2"/>
  </r>
  <r>
    <s v="PU009-JBA-08132021"/>
    <s v="Down"/>
    <x v="0"/>
    <s v="Pumpkinseed"/>
    <s v="Lepomis"/>
    <s v="gibbosus"/>
    <s v="U"/>
    <x v="0"/>
    <n v="8"/>
    <n v="11.81"/>
    <x v="30"/>
    <s v="2991-50-6"/>
    <x v="30"/>
    <n v="6.1621374522594745E-2"/>
  </r>
  <r>
    <s v="PU009-JBA-08132021"/>
    <s v="Down"/>
    <x v="0"/>
    <s v="Pumpkinseed"/>
    <s v="Lepomis"/>
    <s v="gibbosus"/>
    <s v="U"/>
    <x v="0"/>
    <n v="8"/>
    <n v="11.81"/>
    <x v="31"/>
    <s v="757124-72-4"/>
    <x v="31"/>
    <n v="5.8312955204081626E-2"/>
  </r>
  <r>
    <s v="PU009-JBA-08132021"/>
    <s v="Down"/>
    <x v="0"/>
    <s v="Pumpkinseed"/>
    <s v="Lepomis"/>
    <s v="gibbosus"/>
    <s v="U"/>
    <x v="0"/>
    <n v="8"/>
    <n v="11.81"/>
    <x v="32"/>
    <s v="27619-97-2"/>
    <x v="32"/>
    <n v="0.30599999999999999"/>
  </r>
  <r>
    <s v="PU009-JBA-08132021"/>
    <s v="Down"/>
    <x v="0"/>
    <s v="Pumpkinseed"/>
    <s v="Lepomis"/>
    <s v="gibbosus"/>
    <s v="U"/>
    <x v="0"/>
    <n v="8"/>
    <n v="11.81"/>
    <x v="33"/>
    <s v="39108-34-4"/>
    <x v="33"/>
    <n v="1.19"/>
  </r>
  <r>
    <s v="PU009-JBA-08132021"/>
    <s v="Down"/>
    <x v="0"/>
    <s v="Pumpkinseed"/>
    <s v="Lepomis"/>
    <s v="gibbosus"/>
    <s v="U"/>
    <x v="0"/>
    <n v="8"/>
    <n v="11.81"/>
    <x v="34"/>
    <s v="120226-60-0"/>
    <x v="34"/>
    <n v="0.25481721974865346"/>
  </r>
  <r>
    <s v="PU009-JBA-08132021"/>
    <s v="Down"/>
    <x v="0"/>
    <s v="Pumpkinseed"/>
    <s v="Lepomis"/>
    <s v="gibbosus"/>
    <s v="U"/>
    <x v="0"/>
    <n v="8"/>
    <n v="11.81"/>
    <x v="35"/>
    <s v="356-02-5"/>
    <x v="35"/>
    <n v="8.1889803006559764E-2"/>
  </r>
  <r>
    <s v="PU009-JBA-08132021"/>
    <s v="Down"/>
    <x v="0"/>
    <s v="Pumpkinseed"/>
    <s v="Lepomis"/>
    <s v="gibbosus"/>
    <s v="U"/>
    <x v="0"/>
    <n v="8"/>
    <n v="11.81"/>
    <x v="36"/>
    <s v="914637-49-3"/>
    <x v="36"/>
    <n v="15.9"/>
  </r>
  <r>
    <s v="PU009-JBA-08132021"/>
    <s v="Down"/>
    <x v="0"/>
    <s v="Pumpkinseed"/>
    <s v="Lepomis"/>
    <s v="gibbosus"/>
    <s v="U"/>
    <x v="0"/>
    <n v="8"/>
    <n v="11.81"/>
    <x v="37"/>
    <s v="812-70-4"/>
    <x v="37"/>
    <n v="5.5"/>
  </r>
  <r>
    <s v="PU009-JBA-08132021"/>
    <s v="Down"/>
    <x v="0"/>
    <s v="Pumpkinseed"/>
    <s v="Lepomis"/>
    <s v="gibbosus"/>
    <s v="U"/>
    <x v="0"/>
    <n v="8"/>
    <n v="11.81"/>
    <x v="38"/>
    <s v="53826-12-3"/>
    <x v="38"/>
    <n v="4.5553942367711368E-2"/>
  </r>
  <r>
    <s v="PU009-JBA-08132021"/>
    <s v="Down"/>
    <x v="0"/>
    <s v="Pumpkinseed"/>
    <s v="Lepomis"/>
    <s v="gibbosus"/>
    <s v="U"/>
    <x v="0"/>
    <n v="8"/>
    <n v="11.81"/>
    <x v="39"/>
    <s v="27854-31-5"/>
    <x v="39"/>
    <n v="2.8397258717958423E-2"/>
  </r>
  <r>
    <s v="PU009-JBA-08132021"/>
    <s v="Down"/>
    <x v="0"/>
    <s v="Pumpkinseed"/>
    <s v="Lepomis"/>
    <s v="gibbosus"/>
    <s v="U"/>
    <x v="0"/>
    <n v="8"/>
    <n v="11.81"/>
    <x v="40"/>
    <s v="53826-13-4"/>
    <x v="40"/>
    <n v="0.10593544175291546"/>
  </r>
  <r>
    <s v="PU009-JBA-08132021"/>
    <s v="Down"/>
    <x v="0"/>
    <s v="Pumpkinseed"/>
    <s v="Lepomis"/>
    <s v="gibbosus"/>
    <s v="U"/>
    <x v="0"/>
    <n v="8"/>
    <n v="11.81"/>
    <x v="41"/>
    <s v="161094-75-3"/>
    <x v="41"/>
    <n v="5.5743573804664721E-2"/>
  </r>
  <r>
    <s v="PU009-JBA-08132021"/>
    <s v="Down"/>
    <x v="0"/>
    <s v="Pumpkinseed"/>
    <s v="Lepomis"/>
    <s v="gibbosus"/>
    <s v="U"/>
    <x v="0"/>
    <n v="8"/>
    <n v="11.81"/>
    <x v="42"/>
    <s v="70887-84-2"/>
    <x v="42"/>
    <n v="4.2901480138119535E-2"/>
  </r>
  <r>
    <s v="PU009-JBA-08132021"/>
    <s v="Down"/>
    <x v="0"/>
    <s v="Pumpkinseed"/>
    <s v="Lepomis"/>
    <s v="gibbosus"/>
    <s v="U"/>
    <x v="0"/>
    <n v="8"/>
    <n v="11.81"/>
    <x v="43"/>
    <s v="919005-14-4"/>
    <x v="43"/>
    <n v="7.0993146794896073E-2"/>
  </r>
  <r>
    <s v="PU009-JBA-08132021"/>
    <s v="Down"/>
    <x v="0"/>
    <s v="Pumpkinseed"/>
    <s v="Lepomis"/>
    <s v="gibbosus"/>
    <s v="U"/>
    <x v="0"/>
    <n v="8"/>
    <n v="11.81"/>
    <x v="44"/>
    <s v="756426-58-1"/>
    <x v="44"/>
    <n v="4.9276814529883382E-2"/>
  </r>
  <r>
    <s v="PU009-JBA-08132021"/>
    <s v="Down"/>
    <x v="0"/>
    <s v="Pumpkinseed"/>
    <s v="Lepomis"/>
    <s v="gibbosus"/>
    <s v="U"/>
    <x v="0"/>
    <n v="8"/>
    <n v="11.81"/>
    <x v="45"/>
    <s v="763051-92-9"/>
    <x v="45"/>
    <n v="5.5941928458454811E-2"/>
  </r>
  <r>
    <s v="PU009-JBA-08132021"/>
    <s v="Down"/>
    <x v="0"/>
    <s v="Pumpkinseed"/>
    <s v="Lepomis"/>
    <s v="gibbosus"/>
    <s v="U"/>
    <x v="0"/>
    <n v="8"/>
    <n v="11.81"/>
    <x v="46"/>
    <s v="13252-13-6"/>
    <x v="46"/>
    <n v="0.10187719356778427"/>
  </r>
  <r>
    <s v="PU009-JBA-08132021"/>
    <s v="Down"/>
    <x v="0"/>
    <s v="Pumpkinseed"/>
    <s v="Lepomis"/>
    <s v="gibbosus"/>
    <s v="U"/>
    <x v="0"/>
    <n v="8"/>
    <n v="11.81"/>
    <x v="47"/>
    <s v="57677-95-9"/>
    <x v="47"/>
    <n v="7.5574258983236137E-2"/>
  </r>
  <r>
    <s v="PU009-JBA-08132021"/>
    <s v="Down"/>
    <x v="0"/>
    <s v="Pumpkinseed"/>
    <s v="Lepomis"/>
    <s v="gibbosus"/>
    <s v="U"/>
    <x v="0"/>
    <n v="8"/>
    <n v="11.81"/>
    <x v="48"/>
    <s v="678-41-1"/>
    <x v="48"/>
    <n v="9.4123708458454802E-2"/>
  </r>
  <r>
    <s v="PU009-JBA-08132021"/>
    <s v="Down"/>
    <x v="0"/>
    <s v="Pumpkinseed"/>
    <s v="Lepomis"/>
    <s v="gibbosus"/>
    <s v="U"/>
    <x v="0"/>
    <n v="8"/>
    <n v="11.81"/>
    <x v="49"/>
    <s v="2965-52-8"/>
    <x v="49"/>
    <n v="0.12494793835901706"/>
  </r>
  <r>
    <s v="PU011-JBA-08132021"/>
    <s v="Down"/>
    <x v="0"/>
    <s v="Pumpkinseed"/>
    <s v="Lepomis"/>
    <s v="gibbosus"/>
    <s v="U"/>
    <x v="0"/>
    <n v="8"/>
    <n v="11.81"/>
    <x v="0"/>
    <s v="375-22-4"/>
    <x v="0"/>
    <n v="9.3516209476309217E-2"/>
  </r>
  <r>
    <s v="PU011-JBA-08132021"/>
    <s v="Down"/>
    <x v="0"/>
    <s v="Pumpkinseed"/>
    <s v="Lepomis"/>
    <s v="gibbosus"/>
    <s v="U"/>
    <x v="0"/>
    <n v="8"/>
    <n v="11.81"/>
    <x v="1"/>
    <s v="2706-90-3"/>
    <x v="1"/>
    <n v="4.8048344313285467E-2"/>
  </r>
  <r>
    <s v="PU011-JBA-08132021"/>
    <s v="Down"/>
    <x v="0"/>
    <s v="Pumpkinseed"/>
    <s v="Lepomis"/>
    <s v="gibbosus"/>
    <s v="U"/>
    <x v="0"/>
    <n v="8"/>
    <n v="11.81"/>
    <x v="2"/>
    <s v="307-24-4"/>
    <x v="2"/>
    <n v="0.12617470237878739"/>
  </r>
  <r>
    <s v="PU011-JBA-08132021"/>
    <s v="Down"/>
    <x v="0"/>
    <s v="Pumpkinseed"/>
    <s v="Lepomis"/>
    <s v="gibbosus"/>
    <s v="U"/>
    <x v="0"/>
    <n v="8"/>
    <n v="11.81"/>
    <x v="3"/>
    <s v="375-85-9"/>
    <x v="3"/>
    <n v="9.3516209476309217E-2"/>
  </r>
  <r>
    <s v="PU011-JBA-08132021"/>
    <s v="Down"/>
    <x v="0"/>
    <s v="Pumpkinseed"/>
    <s v="Lepomis"/>
    <s v="gibbosus"/>
    <s v="U"/>
    <x v="0"/>
    <n v="8"/>
    <n v="11.81"/>
    <x v="4"/>
    <s v="335-67-1"/>
    <x v="4"/>
    <n v="1.37"/>
  </r>
  <r>
    <s v="PU011-JBA-08132021"/>
    <s v="Down"/>
    <x v="0"/>
    <s v="Pumpkinseed"/>
    <s v="Lepomis"/>
    <s v="gibbosus"/>
    <s v="U"/>
    <x v="0"/>
    <n v="8"/>
    <n v="11.81"/>
    <x v="5"/>
    <s v="375-95-1"/>
    <x v="5"/>
    <n v="0.82199999999999995"/>
  </r>
  <r>
    <s v="PU011-JBA-08132021"/>
    <s v="Down"/>
    <x v="0"/>
    <s v="Pumpkinseed"/>
    <s v="Lepomis"/>
    <s v="gibbosus"/>
    <s v="U"/>
    <x v="0"/>
    <n v="8"/>
    <n v="11.81"/>
    <x v="6"/>
    <s v="335-76-2"/>
    <x v="6"/>
    <n v="5.0199999999999996"/>
  </r>
  <r>
    <s v="PU011-JBA-08132021"/>
    <s v="Down"/>
    <x v="0"/>
    <s v="Pumpkinseed"/>
    <s v="Lepomis"/>
    <s v="gibbosus"/>
    <s v="U"/>
    <x v="0"/>
    <n v="8"/>
    <n v="11.81"/>
    <x v="7"/>
    <s v="2058-94-8"/>
    <x v="7"/>
    <n v="9.27"/>
  </r>
  <r>
    <s v="PU011-JBA-08132021"/>
    <s v="Down"/>
    <x v="0"/>
    <s v="Pumpkinseed"/>
    <s v="Lepomis"/>
    <s v="gibbosus"/>
    <s v="U"/>
    <x v="0"/>
    <n v="8"/>
    <n v="11.81"/>
    <x v="8"/>
    <s v="307-55-1"/>
    <x v="8"/>
    <n v="5.429790736535009E-2"/>
  </r>
  <r>
    <s v="PU011-JBA-08132021"/>
    <s v="Down"/>
    <x v="0"/>
    <s v="Pumpkinseed"/>
    <s v="Lepomis"/>
    <s v="gibbosus"/>
    <s v="U"/>
    <x v="0"/>
    <n v="8"/>
    <n v="11.81"/>
    <x v="9"/>
    <s v="72629-94-8"/>
    <x v="9"/>
    <n v="2.5099999999999998"/>
  </r>
  <r>
    <s v="PU011-JBA-08132021"/>
    <s v="Down"/>
    <x v="0"/>
    <s v="Pumpkinseed"/>
    <s v="Lepomis"/>
    <s v="gibbosus"/>
    <s v="U"/>
    <x v="0"/>
    <n v="8"/>
    <n v="11.81"/>
    <x v="10"/>
    <s v="376-06-7"/>
    <x v="10"/>
    <n v="5.49"/>
  </r>
  <r>
    <s v="PU011-JBA-08132021"/>
    <s v="Down"/>
    <x v="0"/>
    <s v="Pumpkinseed"/>
    <s v="Lepomis"/>
    <s v="gibbosus"/>
    <s v="U"/>
    <x v="0"/>
    <n v="8"/>
    <n v="11.81"/>
    <x v="11"/>
    <s v="67905-19-5"/>
    <x v="11"/>
    <n v="8.1048374784560159E-2"/>
  </r>
  <r>
    <s v="PU011-JBA-08132021"/>
    <s v="Down"/>
    <x v="0"/>
    <s v="Pumpkinseed"/>
    <s v="Lepomis"/>
    <s v="gibbosus"/>
    <s v="U"/>
    <x v="0"/>
    <n v="8"/>
    <n v="11.81"/>
    <x v="12"/>
    <s v="423-41-6"/>
    <x v="12"/>
    <n v="5.1884638828545784E-2"/>
  </r>
  <r>
    <s v="PU011-JBA-08132021"/>
    <s v="Down"/>
    <x v="0"/>
    <s v="Pumpkinseed"/>
    <s v="Lepomis"/>
    <s v="gibbosus"/>
    <s v="U"/>
    <x v="0"/>
    <n v="8"/>
    <n v="11.81"/>
    <x v="13"/>
    <s v="375-73-5"/>
    <x v="13"/>
    <n v="0.15912000920900871"/>
  </r>
  <r>
    <s v="PU011-JBA-08132021"/>
    <s v="Down"/>
    <x v="0"/>
    <s v="Pumpkinseed"/>
    <s v="Lepomis"/>
    <s v="gibbosus"/>
    <s v="U"/>
    <x v="0"/>
    <n v="8"/>
    <n v="11.81"/>
    <x v="14"/>
    <s v="2706-91-4"/>
    <x v="14"/>
    <n v="0.12380258816736284"/>
  </r>
  <r>
    <s v="PU011-JBA-08132021"/>
    <s v="Down"/>
    <x v="0"/>
    <s v="Pumpkinseed"/>
    <s v="Lepomis"/>
    <s v="gibbosus"/>
    <s v="U"/>
    <x v="0"/>
    <n v="8"/>
    <n v="11.81"/>
    <x v="15"/>
    <s v="355-46-4"/>
    <x v="15"/>
    <n v="22.1"/>
  </r>
  <r>
    <s v="PU011-JBA-08132021"/>
    <s v="Down"/>
    <x v="0"/>
    <s v="Pumpkinseed"/>
    <s v="Lepomis"/>
    <s v="gibbosus"/>
    <s v="U"/>
    <x v="0"/>
    <n v="8"/>
    <n v="11.81"/>
    <x v="16"/>
    <s v="375-92-8"/>
    <x v="16"/>
    <n v="1.06"/>
  </r>
  <r>
    <s v="PU011-JBA-08132021"/>
    <s v="Down"/>
    <x v="0"/>
    <s v="Pumpkinseed"/>
    <s v="Lepomis"/>
    <s v="gibbosus"/>
    <s v="U"/>
    <x v="0"/>
    <n v="8"/>
    <n v="11.81"/>
    <x v="17"/>
    <s v="1763-23-1"/>
    <x v="17"/>
    <n v="1800"/>
  </r>
  <r>
    <s v="PU011-JBA-08132021"/>
    <s v="Down"/>
    <x v="0"/>
    <s v="Pumpkinseed"/>
    <s v="Lepomis"/>
    <s v="gibbosus"/>
    <s v="U"/>
    <x v="0"/>
    <n v="8"/>
    <n v="11.81"/>
    <x v="18"/>
    <s v="68259-12-1"/>
    <x v="18"/>
    <n v="0.94399999999999995"/>
  </r>
  <r>
    <s v="PU011-JBA-08132021"/>
    <s v="Down"/>
    <x v="0"/>
    <s v="Pumpkinseed"/>
    <s v="Lepomis"/>
    <s v="gibbosus"/>
    <s v="U"/>
    <x v="0"/>
    <n v="8"/>
    <n v="11.81"/>
    <x v="19"/>
    <s v="335-77-3"/>
    <x v="19"/>
    <n v="0.65900000000000003"/>
  </r>
  <r>
    <s v="PU011-JBA-08132021"/>
    <s v="Down"/>
    <x v="0"/>
    <s v="Pumpkinseed"/>
    <s v="Lepomis"/>
    <s v="gibbosus"/>
    <s v="U"/>
    <x v="0"/>
    <n v="8"/>
    <n v="11.81"/>
    <x v="20"/>
    <s v="79780-39-5"/>
    <x v="20"/>
    <n v="0.2500086340310162"/>
  </r>
  <r>
    <s v="PU011-JBA-08132021"/>
    <s v="Down"/>
    <x v="0"/>
    <s v="Pumpkinseed"/>
    <s v="Lepomis"/>
    <s v="gibbosus"/>
    <s v="U"/>
    <x v="0"/>
    <n v="8"/>
    <n v="11.81"/>
    <x v="21"/>
    <s v="777011-38-8"/>
    <x v="21"/>
    <n v="0.14207080555997506"/>
  </r>
  <r>
    <s v="PU011-JBA-08132021"/>
    <s v="Down"/>
    <x v="0"/>
    <s v="Pumpkinseed"/>
    <s v="Lepomis"/>
    <s v="gibbosus"/>
    <s v="U"/>
    <x v="0"/>
    <n v="8"/>
    <n v="11.81"/>
    <x v="22"/>
    <s v="646-83-3"/>
    <x v="22"/>
    <n v="9.3516209476309217E-2"/>
  </r>
  <r>
    <s v="PU011-JBA-08132021"/>
    <s v="Down"/>
    <x v="0"/>
    <s v="Pumpkinseed"/>
    <s v="Lepomis"/>
    <s v="gibbosus"/>
    <s v="U"/>
    <x v="0"/>
    <n v="8"/>
    <n v="11.81"/>
    <x v="23"/>
    <s v="30334-69-1"/>
    <x v="23"/>
    <n v="75.3"/>
  </r>
  <r>
    <s v="PU011-JBA-08132021"/>
    <s v="Down"/>
    <x v="0"/>
    <s v="Pumpkinseed"/>
    <s v="Lepomis"/>
    <s v="gibbosus"/>
    <s v="U"/>
    <x v="0"/>
    <n v="8"/>
    <n v="11.81"/>
    <x v="24"/>
    <s v="41997-13-1"/>
    <x v="24"/>
    <n v="98.3"/>
  </r>
  <r>
    <s v="PU011-JBA-08132021"/>
    <s v="Down"/>
    <x v="0"/>
    <s v="Pumpkinseed"/>
    <s v="Lepomis"/>
    <s v="gibbosus"/>
    <s v="U"/>
    <x v="0"/>
    <n v="8"/>
    <n v="11.81"/>
    <x v="25"/>
    <s v="754-91-6"/>
    <x v="25"/>
    <n v="24.7"/>
  </r>
  <r>
    <s v="PU011-JBA-08132021"/>
    <s v="Down"/>
    <x v="0"/>
    <s v="Pumpkinseed"/>
    <s v="Lepomis"/>
    <s v="gibbosus"/>
    <s v="U"/>
    <x v="0"/>
    <n v="8"/>
    <n v="11.81"/>
    <x v="26"/>
    <s v="31506-32-8"/>
    <x v="26"/>
    <n v="5.238991551166966E-2"/>
  </r>
  <r>
    <s v="PU011-JBA-08132021"/>
    <s v="Down"/>
    <x v="0"/>
    <s v="Pumpkinseed"/>
    <s v="Lepomis"/>
    <s v="gibbosus"/>
    <s v="U"/>
    <x v="0"/>
    <n v="8"/>
    <n v="11.81"/>
    <x v="27"/>
    <s v="4151-50-2"/>
    <x v="27"/>
    <n v="7.9358996135547588E-2"/>
  </r>
  <r>
    <s v="PU011-JBA-08132021"/>
    <s v="Down"/>
    <x v="0"/>
    <s v="Pumpkinseed"/>
    <s v="Lepomis"/>
    <s v="gibbosus"/>
    <s v="U"/>
    <x v="0"/>
    <n v="8"/>
    <n v="11.81"/>
    <x v="28"/>
    <s v="2806-24-8"/>
    <x v="28"/>
    <n v="5.360393964991024E-2"/>
  </r>
  <r>
    <s v="PU011-JBA-08132021"/>
    <s v="Down"/>
    <x v="0"/>
    <s v="Pumpkinseed"/>
    <s v="Lepomis"/>
    <s v="gibbosus"/>
    <s v="U"/>
    <x v="0"/>
    <n v="8"/>
    <n v="11.81"/>
    <x v="29"/>
    <s v="2355-31-9"/>
    <x v="29"/>
    <n v="9.07"/>
  </r>
  <r>
    <s v="PU011-JBA-08132021"/>
    <s v="Down"/>
    <x v="0"/>
    <s v="Pumpkinseed"/>
    <s v="Lepomis"/>
    <s v="gibbosus"/>
    <s v="U"/>
    <x v="0"/>
    <n v="8"/>
    <n v="11.81"/>
    <x v="30"/>
    <s v="2991-50-6"/>
    <x v="30"/>
    <n v="5.9027696081687613E-2"/>
  </r>
  <r>
    <s v="PU011-JBA-08132021"/>
    <s v="Down"/>
    <x v="0"/>
    <s v="Pumpkinseed"/>
    <s v="Lepomis"/>
    <s v="gibbosus"/>
    <s v="U"/>
    <x v="0"/>
    <n v="8"/>
    <n v="11.81"/>
    <x v="31"/>
    <s v="757124-72-4"/>
    <x v="31"/>
    <n v="5.5858530000000003E-2"/>
  </r>
  <r>
    <s v="PU011-JBA-08132021"/>
    <s v="Down"/>
    <x v="0"/>
    <s v="Pumpkinseed"/>
    <s v="Lepomis"/>
    <s v="gibbosus"/>
    <s v="U"/>
    <x v="0"/>
    <n v="8"/>
    <n v="11.81"/>
    <x v="32"/>
    <s v="27619-97-2"/>
    <x v="32"/>
    <n v="0.14114791059758414"/>
  </r>
  <r>
    <s v="PU011-JBA-08132021"/>
    <s v="Down"/>
    <x v="0"/>
    <s v="Pumpkinseed"/>
    <s v="Lepomis"/>
    <s v="gibbosus"/>
    <s v="U"/>
    <x v="0"/>
    <n v="8"/>
    <n v="11.81"/>
    <x v="33"/>
    <s v="39108-34-4"/>
    <x v="33"/>
    <n v="2.4300000000000002"/>
  </r>
  <r>
    <s v="PU011-JBA-08132021"/>
    <s v="Down"/>
    <x v="0"/>
    <s v="Pumpkinseed"/>
    <s v="Lepomis"/>
    <s v="gibbosus"/>
    <s v="U"/>
    <x v="0"/>
    <n v="8"/>
    <n v="11.81"/>
    <x v="34"/>
    <s v="120226-60-0"/>
    <x v="34"/>
    <n v="0.26546108117206979"/>
  </r>
  <r>
    <s v="PU011-JBA-08132021"/>
    <s v="Down"/>
    <x v="0"/>
    <s v="Pumpkinseed"/>
    <s v="Lepomis"/>
    <s v="gibbosus"/>
    <s v="U"/>
    <x v="0"/>
    <n v="8"/>
    <n v="11.81"/>
    <x v="35"/>
    <s v="356-02-5"/>
    <x v="35"/>
    <n v="7.8443014968581692E-2"/>
  </r>
  <r>
    <s v="PU011-JBA-08132021"/>
    <s v="Down"/>
    <x v="0"/>
    <s v="Pumpkinseed"/>
    <s v="Lepomis"/>
    <s v="gibbosus"/>
    <s v="U"/>
    <x v="0"/>
    <n v="8"/>
    <n v="11.81"/>
    <x v="36"/>
    <s v="914637-49-3"/>
    <x v="36"/>
    <n v="5.1320333859964089E-2"/>
  </r>
  <r>
    <s v="PU011-JBA-08132021"/>
    <s v="Down"/>
    <x v="0"/>
    <s v="Pumpkinseed"/>
    <s v="Lepomis"/>
    <s v="gibbosus"/>
    <s v="U"/>
    <x v="0"/>
    <n v="8"/>
    <n v="11.81"/>
    <x v="37"/>
    <s v="812-70-4"/>
    <x v="37"/>
    <n v="1.58"/>
  </r>
  <r>
    <s v="PU011-JBA-08132021"/>
    <s v="Down"/>
    <x v="0"/>
    <s v="Pumpkinseed"/>
    <s v="Lepomis"/>
    <s v="gibbosus"/>
    <s v="U"/>
    <x v="0"/>
    <n v="8"/>
    <n v="11.81"/>
    <x v="38"/>
    <s v="53826-12-3"/>
    <x v="38"/>
    <n v="2.56"/>
  </r>
  <r>
    <s v="PU011-JBA-08132021"/>
    <s v="Down"/>
    <x v="0"/>
    <s v="Pumpkinseed"/>
    <s v="Lepomis"/>
    <s v="gibbosus"/>
    <s v="U"/>
    <x v="0"/>
    <n v="8"/>
    <n v="11.81"/>
    <x v="39"/>
    <s v="27854-31-5"/>
    <x v="39"/>
    <n v="2.7202002067352158E-2"/>
  </r>
  <r>
    <s v="PU011-JBA-08132021"/>
    <s v="Down"/>
    <x v="0"/>
    <s v="Pumpkinseed"/>
    <s v="Lepomis"/>
    <s v="gibbosus"/>
    <s v="U"/>
    <x v="0"/>
    <n v="8"/>
    <n v="11.81"/>
    <x v="40"/>
    <s v="53826-13-4"/>
    <x v="40"/>
    <n v="0.10147655920556553"/>
  </r>
  <r>
    <s v="PU011-JBA-08132021"/>
    <s v="Down"/>
    <x v="0"/>
    <s v="Pumpkinseed"/>
    <s v="Lepomis"/>
    <s v="gibbosus"/>
    <s v="U"/>
    <x v="0"/>
    <n v="8"/>
    <n v="11.81"/>
    <x v="41"/>
    <s v="161094-75-3"/>
    <x v="41"/>
    <n v="5.3397295314183121E-2"/>
  </r>
  <r>
    <s v="PU011-JBA-08132021"/>
    <s v="Down"/>
    <x v="0"/>
    <s v="Pumpkinseed"/>
    <s v="Lepomis"/>
    <s v="gibbosus"/>
    <s v="U"/>
    <x v="0"/>
    <n v="8"/>
    <n v="11.81"/>
    <x v="42"/>
    <s v="70887-84-2"/>
    <x v="42"/>
    <n v="4.1095732619838427E-2"/>
  </r>
  <r>
    <s v="PU011-JBA-08132021"/>
    <s v="Down"/>
    <x v="0"/>
    <s v="Pumpkinseed"/>
    <s v="Lepomis"/>
    <s v="gibbosus"/>
    <s v="U"/>
    <x v="0"/>
    <n v="8"/>
    <n v="11.81"/>
    <x v="43"/>
    <s v="919005-14-4"/>
    <x v="43"/>
    <n v="6.80050051683804E-2"/>
  </r>
  <r>
    <s v="PU011-JBA-08132021"/>
    <s v="Down"/>
    <x v="0"/>
    <s v="Pumpkinseed"/>
    <s v="Lepomis"/>
    <s v="gibbosus"/>
    <s v="U"/>
    <x v="0"/>
    <n v="8"/>
    <n v="11.81"/>
    <x v="44"/>
    <s v="756426-58-1"/>
    <x v="44"/>
    <n v="4.7202725587971277E-2"/>
  </r>
  <r>
    <s v="PU011-JBA-08132021"/>
    <s v="Down"/>
    <x v="0"/>
    <s v="Pumpkinseed"/>
    <s v="Lepomis"/>
    <s v="gibbosus"/>
    <s v="U"/>
    <x v="0"/>
    <n v="8"/>
    <n v="11.81"/>
    <x v="45"/>
    <s v="763051-92-9"/>
    <x v="45"/>
    <n v="5.3587301108617598E-2"/>
  </r>
  <r>
    <s v="PU011-JBA-08132021"/>
    <s v="Down"/>
    <x v="0"/>
    <s v="Pumpkinseed"/>
    <s v="Lepomis"/>
    <s v="gibbosus"/>
    <s v="U"/>
    <x v="0"/>
    <n v="8"/>
    <n v="11.81"/>
    <x v="46"/>
    <s v="13252-13-6"/>
    <x v="46"/>
    <n v="9.7589124977558367E-2"/>
  </r>
  <r>
    <s v="PU011-JBA-08132021"/>
    <s v="Down"/>
    <x v="0"/>
    <s v="Pumpkinseed"/>
    <s v="Lepomis"/>
    <s v="gibbosus"/>
    <s v="U"/>
    <x v="0"/>
    <n v="8"/>
    <n v="11.81"/>
    <x v="47"/>
    <s v="57677-95-9"/>
    <x v="47"/>
    <n v="7.2393295758527834E-2"/>
  </r>
  <r>
    <s v="PU011-JBA-08132021"/>
    <s v="Down"/>
    <x v="0"/>
    <s v="Pumpkinseed"/>
    <s v="Lepomis"/>
    <s v="gibbosus"/>
    <s v="U"/>
    <x v="0"/>
    <n v="8"/>
    <n v="11.81"/>
    <x v="48"/>
    <s v="678-41-1"/>
    <x v="48"/>
    <n v="9.0161988433572718E-2"/>
  </r>
  <r>
    <s v="PU011-JBA-08132021"/>
    <s v="Down"/>
    <x v="0"/>
    <s v="Pumpkinseed"/>
    <s v="Lepomis"/>
    <s v="gibbosus"/>
    <s v="U"/>
    <x v="0"/>
    <n v="8"/>
    <n v="11.81"/>
    <x v="49"/>
    <s v="2965-52-8"/>
    <x v="49"/>
    <n v="0.11968880909634949"/>
  </r>
  <r>
    <s v="CC001-JBA-08132021"/>
    <s v="Down"/>
    <x v="0"/>
    <s v="Dace. Sp"/>
    <s v="Clinostomus"/>
    <s v="gibbosus"/>
    <s v="U"/>
    <x v="0"/>
    <n v="8"/>
    <n v="11.81"/>
    <x v="0"/>
    <s v="375-22-4"/>
    <x v="0"/>
    <n v="2.8338245295851279E-2"/>
  </r>
  <r>
    <s v="CC001-JBA-08132021"/>
    <s v="Down"/>
    <x v="0"/>
    <s v="Dace. Sp"/>
    <s v="Clinostomus"/>
    <s v="gibbosus"/>
    <s v="U"/>
    <x v="0"/>
    <n v="8"/>
    <n v="11.81"/>
    <x v="1"/>
    <s v="2706-90-3"/>
    <x v="1"/>
    <n v="5.0055351214152118E-2"/>
  </r>
  <r>
    <s v="CC001-JBA-08132021"/>
    <s v="Down"/>
    <x v="0"/>
    <s v="Dace. Sp"/>
    <s v="Clinostomus"/>
    <s v="gibbosus"/>
    <s v="U"/>
    <x v="0"/>
    <n v="8"/>
    <n v="11.81"/>
    <x v="2"/>
    <s v="307-24-4"/>
    <x v="2"/>
    <n v="3.8234758296602243E-2"/>
  </r>
  <r>
    <s v="CC001-JBA-08132021"/>
    <s v="Down"/>
    <x v="0"/>
    <s v="Dace. Sp"/>
    <s v="Clinostomus"/>
    <s v="gibbosus"/>
    <s v="U"/>
    <x v="0"/>
    <n v="8"/>
    <n v="11.81"/>
    <x v="3"/>
    <s v="375-85-9"/>
    <x v="3"/>
    <n v="8.9003164556962014E-2"/>
  </r>
  <r>
    <s v="CC001-JBA-08132021"/>
    <s v="Down"/>
    <x v="0"/>
    <s v="Dace. Sp"/>
    <s v="Clinostomus"/>
    <s v="gibbosus"/>
    <s v="U"/>
    <x v="0"/>
    <n v="8"/>
    <n v="11.81"/>
    <x v="4"/>
    <s v="335-67-1"/>
    <x v="4"/>
    <n v="0.91"/>
  </r>
  <r>
    <s v="CC001-JBA-08132021"/>
    <s v="Down"/>
    <x v="0"/>
    <s v="Dace. Sp"/>
    <s v="Clinostomus"/>
    <s v="gibbosus"/>
    <s v="U"/>
    <x v="0"/>
    <n v="8"/>
    <n v="11.81"/>
    <x v="5"/>
    <s v="375-95-1"/>
    <x v="5"/>
    <n v="3.36"/>
  </r>
  <r>
    <s v="CC001-JBA-08132021"/>
    <s v="Down"/>
    <x v="0"/>
    <s v="Dace. Sp"/>
    <s v="Clinostomus"/>
    <s v="gibbosus"/>
    <s v="U"/>
    <x v="0"/>
    <n v="8"/>
    <n v="11.81"/>
    <x v="6"/>
    <s v="335-76-2"/>
    <x v="6"/>
    <n v="8.33"/>
  </r>
  <r>
    <s v="CC001-JBA-08132021"/>
    <s v="Down"/>
    <x v="0"/>
    <s v="Dace. Sp"/>
    <s v="Clinostomus"/>
    <s v="gibbosus"/>
    <s v="U"/>
    <x v="0"/>
    <n v="8"/>
    <n v="11.81"/>
    <x v="7"/>
    <s v="2058-94-8"/>
    <x v="7"/>
    <n v="11.1"/>
  </r>
  <r>
    <s v="CC001-JBA-08132021"/>
    <s v="Down"/>
    <x v="0"/>
    <s v="Dace. Sp"/>
    <s v="Clinostomus"/>
    <s v="gibbosus"/>
    <s v="U"/>
    <x v="0"/>
    <n v="8"/>
    <n v="11.81"/>
    <x v="8"/>
    <s v="307-55-1"/>
    <x v="8"/>
    <n v="5.6565962099438906E-2"/>
  </r>
  <r>
    <s v="CC001-JBA-08132021"/>
    <s v="Down"/>
    <x v="0"/>
    <s v="Dace. Sp"/>
    <s v="Clinostomus"/>
    <s v="gibbosus"/>
    <s v="U"/>
    <x v="0"/>
    <n v="8"/>
    <n v="11.81"/>
    <x v="9"/>
    <s v="72629-94-8"/>
    <x v="9"/>
    <n v="3.22"/>
  </r>
  <r>
    <s v="CC001-JBA-08132021"/>
    <s v="Down"/>
    <x v="0"/>
    <s v="Dace. Sp"/>
    <s v="Clinostomus"/>
    <s v="gibbosus"/>
    <s v="U"/>
    <x v="0"/>
    <n v="8"/>
    <n v="11.81"/>
    <x v="10"/>
    <s v="376-06-7"/>
    <x v="10"/>
    <n v="8.85"/>
  </r>
  <r>
    <s v="CC001-JBA-08132021"/>
    <s v="Down"/>
    <x v="0"/>
    <s v="Dace. Sp"/>
    <s v="Clinostomus"/>
    <s v="gibbosus"/>
    <s v="U"/>
    <x v="0"/>
    <n v="8"/>
    <n v="11.81"/>
    <x v="11"/>
    <s v="67905-19-5"/>
    <x v="11"/>
    <n v="8.4433811885910204E-2"/>
  </r>
  <r>
    <s v="CC001-JBA-08132021"/>
    <s v="Down"/>
    <x v="0"/>
    <s v="Dace. Sp"/>
    <s v="Clinostomus"/>
    <s v="gibbosus"/>
    <s v="U"/>
    <x v="0"/>
    <n v="8"/>
    <n v="11.81"/>
    <x v="12"/>
    <s v="423-41-6"/>
    <x v="12"/>
    <n v="5.4051889951683287E-2"/>
  </r>
  <r>
    <s v="CC001-JBA-08132021"/>
    <s v="Down"/>
    <x v="0"/>
    <s v="Dace. Sp"/>
    <s v="Clinostomus"/>
    <s v="gibbosus"/>
    <s v="U"/>
    <x v="0"/>
    <n v="8"/>
    <n v="11.81"/>
    <x v="13"/>
    <s v="375-73-5"/>
    <x v="13"/>
    <n v="0.15144095813167519"/>
  </r>
  <r>
    <s v="CC001-JBA-08132021"/>
    <s v="Down"/>
    <x v="0"/>
    <s v="Dace. Sp"/>
    <s v="Clinostomus"/>
    <s v="gibbosus"/>
    <s v="U"/>
    <x v="0"/>
    <n v="8"/>
    <n v="11.81"/>
    <x v="14"/>
    <s v="2706-91-4"/>
    <x v="14"/>
    <n v="0.34599999999999997"/>
  </r>
  <r>
    <s v="CC001-JBA-08132021"/>
    <s v="Down"/>
    <x v="0"/>
    <s v="Dace. Sp"/>
    <s v="Clinostomus"/>
    <s v="gibbosus"/>
    <s v="U"/>
    <x v="0"/>
    <n v="8"/>
    <n v="11.81"/>
    <x v="15"/>
    <s v="355-46-4"/>
    <x v="15"/>
    <n v="41.1"/>
  </r>
  <r>
    <s v="CC001-JBA-08132021"/>
    <s v="Down"/>
    <x v="0"/>
    <s v="Dace. Sp"/>
    <s v="Clinostomus"/>
    <s v="gibbosus"/>
    <s v="U"/>
    <x v="0"/>
    <n v="8"/>
    <n v="11.81"/>
    <x v="16"/>
    <s v="375-92-8"/>
    <x v="16"/>
    <n v="3.11"/>
  </r>
  <r>
    <s v="CC001-JBA-08132021"/>
    <s v="Down"/>
    <x v="0"/>
    <s v="Dace. Sp"/>
    <s v="Clinostomus"/>
    <s v="gibbosus"/>
    <s v="U"/>
    <x v="0"/>
    <n v="8"/>
    <n v="11.81"/>
    <x v="17"/>
    <s v="1763-23-1"/>
    <x v="17"/>
    <n v="1540"/>
  </r>
  <r>
    <s v="CC001-JBA-08132021"/>
    <s v="Down"/>
    <x v="0"/>
    <s v="Dace. Sp"/>
    <s v="Clinostomus"/>
    <s v="gibbosus"/>
    <s v="U"/>
    <x v="0"/>
    <n v="8"/>
    <n v="11.81"/>
    <x v="18"/>
    <s v="68259-12-1"/>
    <x v="18"/>
    <n v="1.0900000000000001"/>
  </r>
  <r>
    <s v="CC001-JBA-08132021"/>
    <s v="Down"/>
    <x v="0"/>
    <s v="Dace. Sp"/>
    <s v="Clinostomus"/>
    <s v="gibbosus"/>
    <s v="U"/>
    <x v="0"/>
    <n v="8"/>
    <n v="11.81"/>
    <x v="19"/>
    <s v="335-77-3"/>
    <x v="19"/>
    <n v="2.23"/>
  </r>
  <r>
    <s v="CC001-JBA-08132021"/>
    <s v="Down"/>
    <x v="0"/>
    <s v="Dace. Sp"/>
    <s v="Clinostomus"/>
    <s v="gibbosus"/>
    <s v="U"/>
    <x v="0"/>
    <n v="8"/>
    <n v="11.81"/>
    <x v="20"/>
    <s v="79780-39-5"/>
    <x v="20"/>
    <n v="1.37"/>
  </r>
  <r>
    <s v="CC001-JBA-08132021"/>
    <s v="Down"/>
    <x v="0"/>
    <s v="Dace. Sp"/>
    <s v="Clinostomus"/>
    <s v="gibbosus"/>
    <s v="U"/>
    <x v="0"/>
    <n v="8"/>
    <n v="11.81"/>
    <x v="21"/>
    <s v="777011-38-8"/>
    <x v="21"/>
    <n v="0.42099999999999999"/>
  </r>
  <r>
    <s v="CC001-JBA-08132021"/>
    <s v="Down"/>
    <x v="0"/>
    <s v="Dace. Sp"/>
    <s v="Clinostomus"/>
    <s v="gibbosus"/>
    <s v="U"/>
    <x v="0"/>
    <n v="8"/>
    <n v="11.81"/>
    <x v="22"/>
    <s v="646-83-3"/>
    <x v="22"/>
    <n v="0.19900000000000001"/>
  </r>
  <r>
    <s v="CC001-JBA-08132021"/>
    <s v="Down"/>
    <x v="0"/>
    <s v="Dace. Sp"/>
    <s v="Clinostomus"/>
    <s v="gibbosus"/>
    <s v="U"/>
    <x v="0"/>
    <n v="8"/>
    <n v="11.81"/>
    <x v="23"/>
    <s v="30334-69-1"/>
    <x v="23"/>
    <n v="16.600000000000001"/>
  </r>
  <r>
    <s v="CC001-JBA-08132021"/>
    <s v="Down"/>
    <x v="0"/>
    <s v="Dace. Sp"/>
    <s v="Clinostomus"/>
    <s v="gibbosus"/>
    <s v="U"/>
    <x v="0"/>
    <n v="8"/>
    <n v="11.81"/>
    <x v="24"/>
    <s v="41997-13-1"/>
    <x v="24"/>
    <n v="53.5"/>
  </r>
  <r>
    <s v="CC001-JBA-08132021"/>
    <s v="Down"/>
    <x v="0"/>
    <s v="Dace. Sp"/>
    <s v="Clinostomus"/>
    <s v="gibbosus"/>
    <s v="U"/>
    <x v="0"/>
    <n v="8"/>
    <n v="11.81"/>
    <x v="25"/>
    <s v="754-91-6"/>
    <x v="25"/>
    <n v="13.3"/>
  </r>
  <r>
    <s v="CC001-JBA-08132021"/>
    <s v="Down"/>
    <x v="0"/>
    <s v="Dace. Sp"/>
    <s v="Clinostomus"/>
    <s v="gibbosus"/>
    <s v="U"/>
    <x v="0"/>
    <n v="8"/>
    <n v="11.81"/>
    <x v="26"/>
    <s v="31506-32-8"/>
    <x v="26"/>
    <n v="5.457827233167082E-2"/>
  </r>
  <r>
    <s v="CC001-JBA-08132021"/>
    <s v="Down"/>
    <x v="0"/>
    <s v="Dace. Sp"/>
    <s v="Clinostomus"/>
    <s v="gibbosus"/>
    <s v="U"/>
    <x v="0"/>
    <n v="8"/>
    <n v="11.81"/>
    <x v="27"/>
    <s v="4151-50-2"/>
    <x v="27"/>
    <n v="8.2673866921758099E-2"/>
  </r>
  <r>
    <s v="CC001-JBA-08132021"/>
    <s v="Down"/>
    <x v="0"/>
    <s v="Dace. Sp"/>
    <s v="Clinostomus"/>
    <s v="gibbosus"/>
    <s v="U"/>
    <x v="0"/>
    <n v="8"/>
    <n v="11.81"/>
    <x v="28"/>
    <s v="2806-24-8"/>
    <x v="28"/>
    <n v="5.584300695448878E-2"/>
  </r>
  <r>
    <s v="CC001-JBA-08132021"/>
    <s v="Down"/>
    <x v="0"/>
    <s v="Dace. Sp"/>
    <s v="Clinostomus"/>
    <s v="gibbosus"/>
    <s v="U"/>
    <x v="0"/>
    <n v="8"/>
    <n v="11.81"/>
    <x v="29"/>
    <s v="2355-31-9"/>
    <x v="29"/>
    <n v="7.1274252386221953E-2"/>
  </r>
  <r>
    <s v="CC001-JBA-08132021"/>
    <s v="Down"/>
    <x v="0"/>
    <s v="Dace. Sp"/>
    <s v="Clinostomus"/>
    <s v="gibbosus"/>
    <s v="U"/>
    <x v="0"/>
    <n v="8"/>
    <n v="11.81"/>
    <x v="30"/>
    <s v="2991-50-6"/>
    <x v="30"/>
    <n v="6.1493316803304242E-2"/>
  </r>
  <r>
    <s v="CC001-JBA-08132021"/>
    <s v="Down"/>
    <x v="0"/>
    <s v="Dace. Sp"/>
    <s v="Clinostomus"/>
    <s v="gibbosus"/>
    <s v="U"/>
    <x v="0"/>
    <n v="8"/>
    <n v="11.81"/>
    <x v="31"/>
    <s v="757124-72-4"/>
    <x v="31"/>
    <n v="5.8191772836658349E-2"/>
  </r>
  <r>
    <s v="CC001-JBA-08132021"/>
    <s v="Down"/>
    <x v="0"/>
    <s v="Dace. Sp"/>
    <s v="Clinostomus"/>
    <s v="gibbosus"/>
    <s v="U"/>
    <x v="0"/>
    <n v="8"/>
    <n v="11.81"/>
    <x v="32"/>
    <s v="27619-97-2"/>
    <x v="32"/>
    <n v="0.32800000000000001"/>
  </r>
  <r>
    <s v="CC001-JBA-08132021"/>
    <s v="Down"/>
    <x v="0"/>
    <s v="Dace. Sp"/>
    <s v="Clinostomus"/>
    <s v="gibbosus"/>
    <s v="U"/>
    <x v="0"/>
    <n v="8"/>
    <n v="11.81"/>
    <x v="33"/>
    <s v="39108-34-4"/>
    <x v="33"/>
    <n v="6.98"/>
  </r>
  <r>
    <s v="CC001-JBA-08132021"/>
    <s v="Down"/>
    <x v="0"/>
    <s v="Dace. Sp"/>
    <s v="Clinostomus"/>
    <s v="gibbosus"/>
    <s v="U"/>
    <x v="0"/>
    <n v="8"/>
    <n v="11.81"/>
    <x v="34"/>
    <s v="120226-60-0"/>
    <x v="34"/>
    <n v="0.54400000000000004"/>
  </r>
  <r>
    <s v="CC001-JBA-08132021"/>
    <s v="Down"/>
    <x v="0"/>
    <s v="Dace. Sp"/>
    <s v="Clinostomus"/>
    <s v="gibbosus"/>
    <s v="U"/>
    <x v="0"/>
    <n v="8"/>
    <n v="11.81"/>
    <x v="35"/>
    <s v="356-02-5"/>
    <x v="35"/>
    <n v="8.1719624696072315E-2"/>
  </r>
  <r>
    <s v="CC001-JBA-08132021"/>
    <s v="Down"/>
    <x v="0"/>
    <s v="Dace. Sp"/>
    <s v="Clinostomus"/>
    <s v="gibbosus"/>
    <s v="U"/>
    <x v="0"/>
    <n v="8"/>
    <n v="11.81"/>
    <x v="36"/>
    <s v="914637-49-3"/>
    <x v="36"/>
    <n v="3.91"/>
  </r>
  <r>
    <s v="CC001-JBA-08132021"/>
    <s v="Down"/>
    <x v="0"/>
    <s v="Dace. Sp"/>
    <s v="Clinostomus"/>
    <s v="gibbosus"/>
    <s v="U"/>
    <x v="0"/>
    <n v="8"/>
    <n v="11.81"/>
    <x v="37"/>
    <s v="812-70-4"/>
    <x v="37"/>
    <n v="5.19"/>
  </r>
  <r>
    <s v="CC001-JBA-08132021"/>
    <s v="Down"/>
    <x v="0"/>
    <s v="Dace. Sp"/>
    <s v="Clinostomus"/>
    <s v="gibbosus"/>
    <s v="U"/>
    <x v="0"/>
    <n v="8"/>
    <n v="11.81"/>
    <x v="38"/>
    <s v="53826-12-3"/>
    <x v="38"/>
    <n v="4.5459274989557354E-2"/>
  </r>
  <r>
    <s v="CC001-JBA-08132021"/>
    <s v="Down"/>
    <x v="0"/>
    <s v="Dace. Sp"/>
    <s v="Clinostomus"/>
    <s v="gibbosus"/>
    <s v="U"/>
    <x v="0"/>
    <n v="8"/>
    <n v="11.81"/>
    <x v="39"/>
    <s v="27854-31-5"/>
    <x v="39"/>
    <n v="2.8338245295851279E-2"/>
  </r>
  <r>
    <s v="CC001-JBA-08132021"/>
    <s v="Down"/>
    <x v="0"/>
    <s v="Dace. Sp"/>
    <s v="Clinostomus"/>
    <s v="gibbosus"/>
    <s v="U"/>
    <x v="0"/>
    <n v="8"/>
    <n v="11.81"/>
    <x v="40"/>
    <s v="53826-13-4"/>
    <x v="40"/>
    <n v="0.10571529328709477"/>
  </r>
  <r>
    <s v="CC001-JBA-08132021"/>
    <s v="Down"/>
    <x v="0"/>
    <s v="Dace. Sp"/>
    <s v="Clinostomus"/>
    <s v="gibbosus"/>
    <s v="U"/>
    <x v="0"/>
    <n v="8"/>
    <n v="11.81"/>
    <x v="41"/>
    <s v="161094-75-3"/>
    <x v="41"/>
    <n v="5.5627730966334159E-2"/>
  </r>
  <r>
    <s v="CC001-JBA-08132021"/>
    <s v="Down"/>
    <x v="0"/>
    <s v="Dace. Sp"/>
    <s v="Clinostomus"/>
    <s v="gibbosus"/>
    <s v="U"/>
    <x v="0"/>
    <n v="8"/>
    <n v="11.81"/>
    <x v="42"/>
    <s v="70887-84-2"/>
    <x v="42"/>
    <n v="4.2812324942487531E-2"/>
  </r>
  <r>
    <s v="CC001-JBA-08132021"/>
    <s v="Down"/>
    <x v="0"/>
    <s v="Dace. Sp"/>
    <s v="Clinostomus"/>
    <s v="gibbosus"/>
    <s v="U"/>
    <x v="0"/>
    <n v="8"/>
    <n v="11.81"/>
    <x v="43"/>
    <s v="919005-14-4"/>
    <x v="43"/>
    <n v="7.0845613239628194E-2"/>
  </r>
  <r>
    <s v="CC001-JBA-08132021"/>
    <s v="Down"/>
    <x v="0"/>
    <s v="Dace. Sp"/>
    <s v="Clinostomus"/>
    <s v="gibbosus"/>
    <s v="U"/>
    <x v="0"/>
    <n v="8"/>
    <n v="11.81"/>
    <x v="44"/>
    <s v="756426-58-1"/>
    <x v="44"/>
    <n v="4.9174410509663341E-2"/>
  </r>
  <r>
    <s v="CC001-JBA-08132021"/>
    <s v="Down"/>
    <x v="0"/>
    <s v="Dace. Sp"/>
    <s v="Clinostomus"/>
    <s v="gibbosus"/>
    <s v="U"/>
    <x v="0"/>
    <n v="8"/>
    <n v="11.81"/>
    <x v="45"/>
    <s v="763051-92-9"/>
    <x v="45"/>
    <n v="5.5825673411783044E-2"/>
  </r>
  <r>
    <s v="CC001-JBA-08132021"/>
    <s v="Down"/>
    <x v="0"/>
    <s v="Dace. Sp"/>
    <s v="Clinostomus"/>
    <s v="gibbosus"/>
    <s v="U"/>
    <x v="0"/>
    <n v="8"/>
    <n v="11.81"/>
    <x v="46"/>
    <s v="13252-13-6"/>
    <x v="46"/>
    <n v="0.10166547870168328"/>
  </r>
  <r>
    <s v="CC001-JBA-08132021"/>
    <s v="Down"/>
    <x v="0"/>
    <s v="Dace. Sp"/>
    <s v="Clinostomus"/>
    <s v="gibbosus"/>
    <s v="U"/>
    <x v="0"/>
    <n v="8"/>
    <n v="11.81"/>
    <x v="47"/>
    <s v="57677-95-9"/>
    <x v="47"/>
    <n v="7.5417205244700747E-2"/>
  </r>
  <r>
    <s v="CC001-JBA-08132021"/>
    <s v="Down"/>
    <x v="0"/>
    <s v="Dace. Sp"/>
    <s v="Clinostomus"/>
    <s v="gibbosus"/>
    <s v="U"/>
    <x v="0"/>
    <n v="8"/>
    <n v="11.81"/>
    <x v="48"/>
    <s v="678-41-1"/>
    <x v="48"/>
    <n v="9.3928106404301742E-2"/>
  </r>
  <r>
    <s v="CC001-JBA-08132021"/>
    <s v="Down"/>
    <x v="0"/>
    <s v="Dace. Sp"/>
    <s v="Clinostomus"/>
    <s v="gibbosus"/>
    <s v="U"/>
    <x v="0"/>
    <n v="8"/>
    <n v="11.81"/>
    <x v="49"/>
    <s v="2965-52-8"/>
    <x v="49"/>
    <n v="0.12468827930174561"/>
  </r>
  <r>
    <s v="CC002-JBA-08132021"/>
    <s v="Down"/>
    <x v="0"/>
    <s v="Dace. Sp"/>
    <s v="Clinostomus"/>
    <s v="gibbosus"/>
    <s v="U"/>
    <x v="0"/>
    <n v="8"/>
    <n v="11.81"/>
    <x v="0"/>
    <s v="375-22-4"/>
    <x v="0"/>
    <n v="2.6970655926352127E-2"/>
  </r>
  <r>
    <s v="CC002-JBA-08132021"/>
    <s v="Down"/>
    <x v="0"/>
    <s v="Dace. Sp"/>
    <s v="Clinostomus"/>
    <s v="gibbosus"/>
    <s v="U"/>
    <x v="0"/>
    <n v="8"/>
    <n v="11.81"/>
    <x v="1"/>
    <s v="2706-90-3"/>
    <x v="1"/>
    <n v="4.7639705309038764E-2"/>
  </r>
  <r>
    <s v="CC002-JBA-08132021"/>
    <s v="Down"/>
    <x v="0"/>
    <s v="Dace. Sp"/>
    <s v="Clinostomus"/>
    <s v="gibbosus"/>
    <s v="U"/>
    <x v="0"/>
    <n v="8"/>
    <n v="11.81"/>
    <x v="2"/>
    <s v="307-24-4"/>
    <x v="2"/>
    <n v="3.638956822057951E-2"/>
  </r>
  <r>
    <s v="CC002-JBA-08132021"/>
    <s v="Down"/>
    <x v="0"/>
    <s v="Dace. Sp"/>
    <s v="Clinostomus"/>
    <s v="gibbosus"/>
    <s v="U"/>
    <x v="0"/>
    <n v="8"/>
    <n v="11.81"/>
    <x v="3"/>
    <s v="375-85-9"/>
    <x v="3"/>
    <n v="2.6970655926352127E-2"/>
  </r>
  <r>
    <s v="CC002-JBA-08132021"/>
    <s v="Down"/>
    <x v="0"/>
    <s v="Dace. Sp"/>
    <s v="Clinostomus"/>
    <s v="gibbosus"/>
    <s v="U"/>
    <x v="0"/>
    <n v="8"/>
    <n v="11.81"/>
    <x v="4"/>
    <s v="335-67-1"/>
    <x v="4"/>
    <n v="0.95899999999999996"/>
  </r>
  <r>
    <s v="CC002-JBA-08132021"/>
    <s v="Down"/>
    <x v="0"/>
    <s v="Dace. Sp"/>
    <s v="Clinostomus"/>
    <s v="gibbosus"/>
    <s v="U"/>
    <x v="0"/>
    <n v="8"/>
    <n v="11.81"/>
    <x v="5"/>
    <s v="375-95-1"/>
    <x v="5"/>
    <n v="2.82"/>
  </r>
  <r>
    <s v="CC002-JBA-08132021"/>
    <s v="Down"/>
    <x v="0"/>
    <s v="Dace. Sp"/>
    <s v="Clinostomus"/>
    <s v="gibbosus"/>
    <s v="U"/>
    <x v="0"/>
    <n v="8"/>
    <n v="11.81"/>
    <x v="6"/>
    <s v="335-76-2"/>
    <x v="6"/>
    <n v="6.63"/>
  </r>
  <r>
    <s v="CC002-JBA-08132021"/>
    <s v="Down"/>
    <x v="0"/>
    <s v="Dace. Sp"/>
    <s v="Clinostomus"/>
    <s v="gibbosus"/>
    <s v="U"/>
    <x v="0"/>
    <n v="8"/>
    <n v="11.81"/>
    <x v="7"/>
    <s v="2058-94-8"/>
    <x v="7"/>
    <n v="17.8"/>
  </r>
  <r>
    <s v="CC002-JBA-08132021"/>
    <s v="Down"/>
    <x v="0"/>
    <s v="Dace. Sp"/>
    <s v="Clinostomus"/>
    <s v="gibbosus"/>
    <s v="U"/>
    <x v="0"/>
    <n v="8"/>
    <n v="11.81"/>
    <x v="8"/>
    <s v="307-55-1"/>
    <x v="8"/>
    <n v="0.18139031739786954"/>
  </r>
  <r>
    <s v="CC002-JBA-08132021"/>
    <s v="Down"/>
    <x v="0"/>
    <s v="Dace. Sp"/>
    <s v="Clinostomus"/>
    <s v="gibbosus"/>
    <s v="U"/>
    <x v="0"/>
    <n v="8"/>
    <n v="11.81"/>
    <x v="9"/>
    <s v="72629-94-8"/>
    <x v="9"/>
    <n v="3.22"/>
  </r>
  <r>
    <s v="CC002-JBA-08132021"/>
    <s v="Down"/>
    <x v="0"/>
    <s v="Dace. Sp"/>
    <s v="Clinostomus"/>
    <s v="gibbosus"/>
    <s v="U"/>
    <x v="0"/>
    <n v="8"/>
    <n v="11.81"/>
    <x v="10"/>
    <s v="376-06-7"/>
    <x v="10"/>
    <n v="7.99"/>
  </r>
  <r>
    <s v="CC002-JBA-08132021"/>
    <s v="Down"/>
    <x v="0"/>
    <s v="Dace. Sp"/>
    <s v="Clinostomus"/>
    <s v="gibbosus"/>
    <s v="U"/>
    <x v="0"/>
    <n v="8"/>
    <n v="11.81"/>
    <x v="11"/>
    <s v="67905-19-5"/>
    <x v="11"/>
    <n v="8.0359078875593348E-2"/>
  </r>
  <r>
    <s v="CC002-JBA-08132021"/>
    <s v="Down"/>
    <x v="0"/>
    <s v="Dace. Sp"/>
    <s v="Clinostomus"/>
    <s v="gibbosus"/>
    <s v="U"/>
    <x v="0"/>
    <n v="8"/>
    <n v="11.81"/>
    <x v="12"/>
    <s v="423-41-6"/>
    <x v="12"/>
    <n v="5.1443373110660592E-2"/>
  </r>
  <r>
    <s v="CC002-JBA-08132021"/>
    <s v="Down"/>
    <x v="0"/>
    <s v="Dace. Sp"/>
    <s v="Clinostomus"/>
    <s v="gibbosus"/>
    <s v="U"/>
    <x v="0"/>
    <n v="8"/>
    <n v="11.81"/>
    <x v="13"/>
    <s v="375-73-5"/>
    <x v="13"/>
    <n v="4.5891199433840971E-2"/>
  </r>
  <r>
    <s v="CC002-JBA-08132021"/>
    <s v="Down"/>
    <x v="0"/>
    <s v="Dace. Sp"/>
    <s v="Clinostomus"/>
    <s v="gibbosus"/>
    <s v="U"/>
    <x v="0"/>
    <n v="8"/>
    <n v="11.81"/>
    <x v="14"/>
    <s v="2706-91-4"/>
    <x v="14"/>
    <n v="0.53900000000000003"/>
  </r>
  <r>
    <s v="CC002-JBA-08132021"/>
    <s v="Down"/>
    <x v="0"/>
    <s v="Dace. Sp"/>
    <s v="Clinostomus"/>
    <s v="gibbosus"/>
    <s v="U"/>
    <x v="0"/>
    <n v="8"/>
    <n v="11.81"/>
    <x v="15"/>
    <s v="355-46-4"/>
    <x v="15"/>
    <n v="45"/>
  </r>
  <r>
    <s v="CC002-JBA-08132021"/>
    <s v="Down"/>
    <x v="0"/>
    <s v="Dace. Sp"/>
    <s v="Clinostomus"/>
    <s v="gibbosus"/>
    <s v="U"/>
    <x v="0"/>
    <n v="8"/>
    <n v="11.81"/>
    <x v="16"/>
    <s v="375-92-8"/>
    <x v="16"/>
    <n v="11.9"/>
  </r>
  <r>
    <s v="CC002-JBA-08132021"/>
    <s v="Down"/>
    <x v="0"/>
    <s v="Dace. Sp"/>
    <s v="Clinostomus"/>
    <s v="gibbosus"/>
    <s v="U"/>
    <x v="0"/>
    <n v="8"/>
    <n v="11.81"/>
    <x v="17"/>
    <s v="1763-23-1"/>
    <x v="17"/>
    <n v="1550"/>
  </r>
  <r>
    <s v="CC002-JBA-08132021"/>
    <s v="Down"/>
    <x v="0"/>
    <s v="Dace. Sp"/>
    <s v="Clinostomus"/>
    <s v="gibbosus"/>
    <s v="U"/>
    <x v="0"/>
    <n v="8"/>
    <n v="11.81"/>
    <x v="18"/>
    <s v="68259-12-1"/>
    <x v="18"/>
    <n v="2.31"/>
  </r>
  <r>
    <s v="CC002-JBA-08132021"/>
    <s v="Down"/>
    <x v="0"/>
    <s v="Dace. Sp"/>
    <s v="Clinostomus"/>
    <s v="gibbosus"/>
    <s v="U"/>
    <x v="0"/>
    <n v="8"/>
    <n v="11.81"/>
    <x v="19"/>
    <s v="335-77-3"/>
    <x v="19"/>
    <n v="7.07"/>
  </r>
  <r>
    <s v="CC002-JBA-08132021"/>
    <s v="Down"/>
    <x v="0"/>
    <s v="Dace. Sp"/>
    <s v="Clinostomus"/>
    <s v="gibbosus"/>
    <s v="U"/>
    <x v="0"/>
    <n v="8"/>
    <n v="11.81"/>
    <x v="20"/>
    <s v="79780-39-5"/>
    <x v="20"/>
    <n v="4.0599999999999996"/>
  </r>
  <r>
    <s v="CC002-JBA-08132021"/>
    <s v="Down"/>
    <x v="0"/>
    <s v="Dace. Sp"/>
    <s v="Clinostomus"/>
    <s v="gibbosus"/>
    <s v="U"/>
    <x v="0"/>
    <n v="8"/>
    <n v="11.81"/>
    <x v="21"/>
    <s v="777011-38-8"/>
    <x v="21"/>
    <n v="0.63900000000000001"/>
  </r>
  <r>
    <s v="CC002-JBA-08132021"/>
    <s v="Down"/>
    <x v="0"/>
    <s v="Dace. Sp"/>
    <s v="Clinostomus"/>
    <s v="gibbosus"/>
    <s v="U"/>
    <x v="0"/>
    <n v="8"/>
    <n v="11.81"/>
    <x v="22"/>
    <s v="646-83-3"/>
    <x v="22"/>
    <n v="1.1599999999999999"/>
  </r>
  <r>
    <s v="CC002-JBA-08132021"/>
    <s v="Down"/>
    <x v="0"/>
    <s v="Dace. Sp"/>
    <s v="Clinostomus"/>
    <s v="gibbosus"/>
    <s v="U"/>
    <x v="0"/>
    <n v="8"/>
    <n v="11.81"/>
    <x v="23"/>
    <s v="30334-69-1"/>
    <x v="23"/>
    <n v="15.5"/>
  </r>
  <r>
    <s v="CC002-JBA-08132021"/>
    <s v="Down"/>
    <x v="0"/>
    <s v="Dace. Sp"/>
    <s v="Clinostomus"/>
    <s v="gibbosus"/>
    <s v="U"/>
    <x v="0"/>
    <n v="8"/>
    <n v="11.81"/>
    <x v="24"/>
    <s v="41997-13-1"/>
    <x v="24"/>
    <n v="67.2"/>
  </r>
  <r>
    <s v="CC002-JBA-08132021"/>
    <s v="Down"/>
    <x v="0"/>
    <s v="Dace. Sp"/>
    <s v="Clinostomus"/>
    <s v="gibbosus"/>
    <s v="U"/>
    <x v="0"/>
    <n v="8"/>
    <n v="11.81"/>
    <x v="25"/>
    <s v="754-91-6"/>
    <x v="25"/>
    <n v="10.7"/>
  </r>
  <r>
    <s v="CC002-JBA-08132021"/>
    <s v="Down"/>
    <x v="0"/>
    <s v="Dace. Sp"/>
    <s v="Clinostomus"/>
    <s v="gibbosus"/>
    <s v="U"/>
    <x v="0"/>
    <n v="8"/>
    <n v="11.81"/>
    <x v="26"/>
    <s v="31506-32-8"/>
    <x v="26"/>
    <n v="5.1944352543512658E-2"/>
  </r>
  <r>
    <s v="CC002-JBA-08132021"/>
    <s v="Down"/>
    <x v="0"/>
    <s v="Dace. Sp"/>
    <s v="Clinostomus"/>
    <s v="gibbosus"/>
    <s v="U"/>
    <x v="0"/>
    <n v="8"/>
    <n v="11.81"/>
    <x v="27"/>
    <s v="4151-50-2"/>
    <x v="27"/>
    <n v="7.8684067964299845E-2"/>
  </r>
  <r>
    <s v="CC002-JBA-08132021"/>
    <s v="Down"/>
    <x v="0"/>
    <s v="Dace. Sp"/>
    <s v="Clinostomus"/>
    <s v="gibbosus"/>
    <s v="U"/>
    <x v="0"/>
    <n v="8"/>
    <n v="11.81"/>
    <x v="28"/>
    <s v="2806-24-8"/>
    <x v="28"/>
    <n v="5.3148051713805378E-2"/>
  </r>
  <r>
    <s v="CC002-JBA-08132021"/>
    <s v="Down"/>
    <x v="0"/>
    <s v="Dace. Sp"/>
    <s v="Clinostomus"/>
    <s v="gibbosus"/>
    <s v="U"/>
    <x v="0"/>
    <n v="8"/>
    <n v="11.81"/>
    <x v="29"/>
    <s v="2355-31-9"/>
    <x v="29"/>
    <n v="6.7834593054291931E-2"/>
  </r>
  <r>
    <s v="CC002-JBA-08132021"/>
    <s v="Down"/>
    <x v="0"/>
    <s v="Dace. Sp"/>
    <s v="Clinostomus"/>
    <s v="gibbosus"/>
    <s v="U"/>
    <x v="0"/>
    <n v="8"/>
    <n v="11.81"/>
    <x v="30"/>
    <s v="2991-50-6"/>
    <x v="30"/>
    <n v="5.8525680470233377E-2"/>
  </r>
  <r>
    <s v="CC002-JBA-08132021"/>
    <s v="Down"/>
    <x v="0"/>
    <s v="Dace. Sp"/>
    <s v="Clinostomus"/>
    <s v="gibbosus"/>
    <s v="U"/>
    <x v="0"/>
    <n v="8"/>
    <n v="11.81"/>
    <x v="31"/>
    <s v="757124-72-4"/>
    <x v="31"/>
    <n v="5.5383467343749992E-2"/>
  </r>
  <r>
    <s v="CC002-JBA-08132021"/>
    <s v="Down"/>
    <x v="0"/>
    <s v="Dace. Sp"/>
    <s v="Clinostomus"/>
    <s v="gibbosus"/>
    <s v="U"/>
    <x v="0"/>
    <n v="8"/>
    <n v="11.81"/>
    <x v="32"/>
    <s v="27619-97-2"/>
    <x v="32"/>
    <n v="4.0707934514982197E-2"/>
  </r>
  <r>
    <s v="CC002-JBA-08132021"/>
    <s v="Down"/>
    <x v="0"/>
    <s v="Dace. Sp"/>
    <s v="Clinostomus"/>
    <s v="gibbosus"/>
    <s v="U"/>
    <x v="0"/>
    <n v="8"/>
    <n v="11.81"/>
    <x v="33"/>
    <s v="39108-34-4"/>
    <x v="33"/>
    <n v="5.67"/>
  </r>
  <r>
    <s v="CC002-JBA-08132021"/>
    <s v="Down"/>
    <x v="0"/>
    <s v="Dace. Sp"/>
    <s v="Clinostomus"/>
    <s v="gibbosus"/>
    <s v="U"/>
    <x v="0"/>
    <n v="8"/>
    <n v="11.81"/>
    <x v="34"/>
    <s v="120226-60-0"/>
    <x v="34"/>
    <n v="0.88"/>
  </r>
  <r>
    <s v="CC002-JBA-08132021"/>
    <s v="Down"/>
    <x v="0"/>
    <s v="Dace. Sp"/>
    <s v="Clinostomus"/>
    <s v="gibbosus"/>
    <s v="U"/>
    <x v="0"/>
    <n v="8"/>
    <n v="11.81"/>
    <x v="35"/>
    <s v="356-02-5"/>
    <x v="35"/>
    <n v="7.7775876985265016E-2"/>
  </r>
  <r>
    <s v="CC002-JBA-08132021"/>
    <s v="Down"/>
    <x v="0"/>
    <s v="Dace. Sp"/>
    <s v="Clinostomus"/>
    <s v="gibbosus"/>
    <s v="U"/>
    <x v="0"/>
    <n v="8"/>
    <n v="11.81"/>
    <x v="36"/>
    <s v="914637-49-3"/>
    <x v="36"/>
    <n v="1.79"/>
  </r>
  <r>
    <s v="CC002-JBA-08132021"/>
    <s v="Down"/>
    <x v="0"/>
    <s v="Dace. Sp"/>
    <s v="Clinostomus"/>
    <s v="gibbosus"/>
    <s v="U"/>
    <x v="0"/>
    <n v="8"/>
    <n v="11.81"/>
    <x v="37"/>
    <s v="812-70-4"/>
    <x v="37"/>
    <n v="1.66"/>
  </r>
  <r>
    <s v="CC002-JBA-08132021"/>
    <s v="Down"/>
    <x v="0"/>
    <s v="Dace. Sp"/>
    <s v="Clinostomus"/>
    <s v="gibbosus"/>
    <s v="U"/>
    <x v="0"/>
    <n v="8"/>
    <n v="11.81"/>
    <x v="38"/>
    <s v="53826-12-3"/>
    <x v="38"/>
    <n v="2.77"/>
  </r>
  <r>
    <s v="CC002-JBA-08132021"/>
    <s v="Down"/>
    <x v="0"/>
    <s v="Dace. Sp"/>
    <s v="Clinostomus"/>
    <s v="gibbosus"/>
    <s v="U"/>
    <x v="0"/>
    <n v="8"/>
    <n v="11.81"/>
    <x v="39"/>
    <s v="27854-31-5"/>
    <x v="39"/>
    <n v="0.59"/>
  </r>
  <r>
    <s v="CC002-JBA-08132021"/>
    <s v="Down"/>
    <x v="0"/>
    <s v="Dace. Sp"/>
    <s v="Clinostomus"/>
    <s v="gibbosus"/>
    <s v="U"/>
    <x v="0"/>
    <n v="8"/>
    <n v="11.81"/>
    <x v="40"/>
    <s v="53826-13-4"/>
    <x v="40"/>
    <n v="0.10061352675979034"/>
  </r>
  <r>
    <s v="CC002-JBA-08132021"/>
    <s v="Down"/>
    <x v="0"/>
    <s v="Dace. Sp"/>
    <s v="Clinostomus"/>
    <s v="gibbosus"/>
    <s v="U"/>
    <x v="0"/>
    <n v="8"/>
    <n v="11.81"/>
    <x v="41"/>
    <s v="161094-75-3"/>
    <x v="41"/>
    <n v="5.2943164835838601E-2"/>
  </r>
  <r>
    <s v="CC002-JBA-08132021"/>
    <s v="Down"/>
    <x v="0"/>
    <s v="Dace. Sp"/>
    <s v="Clinostomus"/>
    <s v="gibbosus"/>
    <s v="U"/>
    <x v="0"/>
    <n v="8"/>
    <n v="11.81"/>
    <x v="42"/>
    <s v="70887-84-2"/>
    <x v="42"/>
    <n v="4.0746223817889636E-2"/>
  </r>
  <r>
    <s v="CC002-JBA-08132021"/>
    <s v="Down"/>
    <x v="0"/>
    <s v="Dace. Sp"/>
    <s v="Clinostomus"/>
    <s v="gibbosus"/>
    <s v="U"/>
    <x v="0"/>
    <n v="8"/>
    <n v="11.81"/>
    <x v="43"/>
    <s v="919005-14-4"/>
    <x v="43"/>
    <n v="6.7426639815880318E-2"/>
  </r>
  <r>
    <s v="CC002-JBA-08132021"/>
    <s v="Down"/>
    <x v="0"/>
    <s v="Dace. Sp"/>
    <s v="Clinostomus"/>
    <s v="gibbosus"/>
    <s v="U"/>
    <x v="0"/>
    <n v="8"/>
    <n v="11.81"/>
    <x v="44"/>
    <s v="756426-58-1"/>
    <x v="44"/>
    <n v="4.680127835690269E-2"/>
  </r>
  <r>
    <s v="CC002-JBA-08132021"/>
    <s v="Down"/>
    <x v="0"/>
    <s v="Dace. Sp"/>
    <s v="Clinostomus"/>
    <s v="gibbosus"/>
    <s v="U"/>
    <x v="0"/>
    <n v="8"/>
    <n v="11.81"/>
    <x v="45"/>
    <s v="763051-92-9"/>
    <x v="45"/>
    <n v="5.313155467909414E-2"/>
  </r>
  <r>
    <s v="CC002-JBA-08132021"/>
    <s v="Down"/>
    <x v="0"/>
    <s v="Dace. Sp"/>
    <s v="Clinostomus"/>
    <s v="gibbosus"/>
    <s v="U"/>
    <x v="0"/>
    <n v="8"/>
    <n v="11.81"/>
    <x v="46"/>
    <s v="13252-13-6"/>
    <x v="46"/>
    <n v="9.6759154175731818E-2"/>
  </r>
  <r>
    <s v="CC002-JBA-08132021"/>
    <s v="Down"/>
    <x v="0"/>
    <s v="Dace. Sp"/>
    <s v="Clinostomus"/>
    <s v="gibbosus"/>
    <s v="U"/>
    <x v="0"/>
    <n v="8"/>
    <n v="11.81"/>
    <x v="47"/>
    <s v="57677-95-9"/>
    <x v="47"/>
    <n v="7.1777609105518184E-2"/>
  </r>
  <r>
    <s v="CC002-JBA-08132021"/>
    <s v="Down"/>
    <x v="0"/>
    <s v="Dace. Sp"/>
    <s v="Clinostomus"/>
    <s v="gibbosus"/>
    <s v="U"/>
    <x v="0"/>
    <n v="8"/>
    <n v="11.81"/>
    <x v="48"/>
    <s v="678-41-1"/>
    <x v="48"/>
    <n v="8.9395183547765031E-2"/>
  </r>
  <r>
    <s v="CC002-JBA-08132021"/>
    <s v="Down"/>
    <x v="0"/>
    <s v="Dace. Sp"/>
    <s v="Clinostomus"/>
    <s v="gibbosus"/>
    <s v="U"/>
    <x v="0"/>
    <n v="8"/>
    <n v="11.81"/>
    <x v="49"/>
    <s v="2965-52-8"/>
    <x v="49"/>
    <n v="0.11867088607594935"/>
  </r>
  <r>
    <s v="CC003-JBA-08132021"/>
    <s v="Down"/>
    <x v="0"/>
    <s v="Dace. Sp"/>
    <s v="Clinostomus"/>
    <s v="gibbosus"/>
    <s v="U"/>
    <x v="0"/>
    <n v="8"/>
    <n v="11.81"/>
    <x v="0"/>
    <s v="375-22-4"/>
    <x v="0"/>
    <n v="2.7537083272139815E-2"/>
  </r>
  <r>
    <s v="CC003-JBA-08132021"/>
    <s v="Down"/>
    <x v="0"/>
    <s v="Dace. Sp"/>
    <s v="Clinostomus"/>
    <s v="gibbosus"/>
    <s v="U"/>
    <x v="0"/>
    <n v="8"/>
    <n v="11.81"/>
    <x v="1"/>
    <s v="2706-90-3"/>
    <x v="1"/>
    <n v="4.8640216082895801E-2"/>
  </r>
  <r>
    <s v="CC003-JBA-08132021"/>
    <s v="Down"/>
    <x v="0"/>
    <s v="Dace. Sp"/>
    <s v="Clinostomus"/>
    <s v="gibbosus"/>
    <s v="U"/>
    <x v="0"/>
    <n v="8"/>
    <n v="11.81"/>
    <x v="2"/>
    <s v="307-24-4"/>
    <x v="2"/>
    <n v="3.715380794088248E-2"/>
  </r>
  <r>
    <s v="CC003-JBA-08132021"/>
    <s v="Down"/>
    <x v="0"/>
    <s v="Dace. Sp"/>
    <s v="Clinostomus"/>
    <s v="gibbosus"/>
    <s v="U"/>
    <x v="0"/>
    <n v="8"/>
    <n v="11.81"/>
    <x v="3"/>
    <s v="375-85-9"/>
    <x v="3"/>
    <n v="9.0397750100441931E-2"/>
  </r>
  <r>
    <s v="CC003-JBA-08132021"/>
    <s v="Down"/>
    <x v="0"/>
    <s v="Dace. Sp"/>
    <s v="Clinostomus"/>
    <s v="gibbosus"/>
    <s v="U"/>
    <x v="0"/>
    <n v="8"/>
    <n v="11.81"/>
    <x v="4"/>
    <s v="335-67-1"/>
    <x v="4"/>
    <n v="0.68600000000000005"/>
  </r>
  <r>
    <s v="CC003-JBA-08132021"/>
    <s v="Down"/>
    <x v="0"/>
    <s v="Dace. Sp"/>
    <s v="Clinostomus"/>
    <s v="gibbosus"/>
    <s v="U"/>
    <x v="0"/>
    <n v="8"/>
    <n v="11.81"/>
    <x v="5"/>
    <s v="375-95-1"/>
    <x v="5"/>
    <n v="0.98699999999999999"/>
  </r>
  <r>
    <s v="CC003-JBA-08132021"/>
    <s v="Down"/>
    <x v="0"/>
    <s v="Dace. Sp"/>
    <s v="Clinostomus"/>
    <s v="gibbosus"/>
    <s v="U"/>
    <x v="0"/>
    <n v="8"/>
    <n v="11.81"/>
    <x v="6"/>
    <s v="335-76-2"/>
    <x v="6"/>
    <n v="4.8499999999999996"/>
  </r>
  <r>
    <s v="CC003-JBA-08132021"/>
    <s v="Down"/>
    <x v="0"/>
    <s v="Dace. Sp"/>
    <s v="Clinostomus"/>
    <s v="gibbosus"/>
    <s v="U"/>
    <x v="0"/>
    <n v="8"/>
    <n v="11.81"/>
    <x v="7"/>
    <s v="2058-94-8"/>
    <x v="7"/>
    <n v="8.7100000000000009"/>
  </r>
  <r>
    <s v="CC003-JBA-08132021"/>
    <s v="Down"/>
    <x v="0"/>
    <s v="Dace. Sp"/>
    <s v="Clinostomus"/>
    <s v="gibbosus"/>
    <s v="U"/>
    <x v="0"/>
    <n v="8"/>
    <n v="11.81"/>
    <x v="8"/>
    <s v="307-55-1"/>
    <x v="8"/>
    <n v="0.18044291919530933"/>
  </r>
  <r>
    <s v="CC003-JBA-08132021"/>
    <s v="Down"/>
    <x v="0"/>
    <s v="Dace. Sp"/>
    <s v="Clinostomus"/>
    <s v="gibbosus"/>
    <s v="U"/>
    <x v="0"/>
    <n v="8"/>
    <n v="11.81"/>
    <x v="9"/>
    <s v="72629-94-8"/>
    <x v="9"/>
    <n v="5.87"/>
  </r>
  <r>
    <s v="CC003-JBA-08132021"/>
    <s v="Down"/>
    <x v="0"/>
    <s v="Dace. Sp"/>
    <s v="Clinostomus"/>
    <s v="gibbosus"/>
    <s v="U"/>
    <x v="0"/>
    <n v="8"/>
    <n v="11.81"/>
    <x v="10"/>
    <s v="376-06-7"/>
    <x v="10"/>
    <n v="5.2"/>
  </r>
  <r>
    <s v="CC003-JBA-08132021"/>
    <s v="Down"/>
    <x v="0"/>
    <s v="Dace. Sp"/>
    <s v="Clinostomus"/>
    <s v="gibbosus"/>
    <s v="U"/>
    <x v="0"/>
    <n v="8"/>
    <n v="11.81"/>
    <x v="11"/>
    <s v="67905-19-5"/>
    <x v="11"/>
    <n v="8.204674935278676E-2"/>
  </r>
  <r>
    <s v="CC003-JBA-08132021"/>
    <s v="Down"/>
    <x v="0"/>
    <s v="Dace. Sp"/>
    <s v="Clinostomus"/>
    <s v="gibbosus"/>
    <s v="U"/>
    <x v="0"/>
    <n v="8"/>
    <n v="11.81"/>
    <x v="12"/>
    <s v="423-41-6"/>
    <x v="12"/>
    <n v="5.2523767053210824E-2"/>
  </r>
  <r>
    <s v="CC003-JBA-08132021"/>
    <s v="Down"/>
    <x v="0"/>
    <s v="Dace. Sp"/>
    <s v="Clinostomus"/>
    <s v="gibbosus"/>
    <s v="U"/>
    <x v="0"/>
    <n v="8"/>
    <n v="11.81"/>
    <x v="13"/>
    <s v="375-73-5"/>
    <x v="13"/>
    <n v="0.15381387792562271"/>
  </r>
  <r>
    <s v="CC003-JBA-08132021"/>
    <s v="Down"/>
    <x v="0"/>
    <s v="Dace. Sp"/>
    <s v="Clinostomus"/>
    <s v="gibbosus"/>
    <s v="U"/>
    <x v="0"/>
    <n v="8"/>
    <n v="11.81"/>
    <x v="14"/>
    <s v="2706-91-4"/>
    <x v="14"/>
    <n v="0.51100000000000001"/>
  </r>
  <r>
    <s v="CC003-JBA-08132021"/>
    <s v="Down"/>
    <x v="0"/>
    <s v="Dace. Sp"/>
    <s v="Clinostomus"/>
    <s v="gibbosus"/>
    <s v="U"/>
    <x v="0"/>
    <n v="8"/>
    <n v="11.81"/>
    <x v="15"/>
    <s v="355-46-4"/>
    <x v="15"/>
    <n v="45.8"/>
  </r>
  <r>
    <s v="CC003-JBA-08132021"/>
    <s v="Down"/>
    <x v="0"/>
    <s v="Dace. Sp"/>
    <s v="Clinostomus"/>
    <s v="gibbosus"/>
    <s v="U"/>
    <x v="0"/>
    <n v="8"/>
    <n v="11.81"/>
    <x v="16"/>
    <s v="375-92-8"/>
    <x v="16"/>
    <n v="3.31"/>
  </r>
  <r>
    <s v="CC003-JBA-08132021"/>
    <s v="Down"/>
    <x v="0"/>
    <s v="Dace. Sp"/>
    <s v="Clinostomus"/>
    <s v="gibbosus"/>
    <s v="U"/>
    <x v="0"/>
    <n v="8"/>
    <n v="11.81"/>
    <x v="17"/>
    <s v="1763-23-1"/>
    <x v="17"/>
    <n v="1120"/>
  </r>
  <r>
    <s v="CC003-JBA-08132021"/>
    <s v="Down"/>
    <x v="0"/>
    <s v="Dace. Sp"/>
    <s v="Clinostomus"/>
    <s v="gibbosus"/>
    <s v="U"/>
    <x v="0"/>
    <n v="8"/>
    <n v="11.81"/>
    <x v="18"/>
    <s v="68259-12-1"/>
    <x v="18"/>
    <n v="1.1100000000000001"/>
  </r>
  <r>
    <s v="CC003-JBA-08132021"/>
    <s v="Down"/>
    <x v="0"/>
    <s v="Dace. Sp"/>
    <s v="Clinostomus"/>
    <s v="gibbosus"/>
    <s v="U"/>
    <x v="0"/>
    <n v="8"/>
    <n v="11.81"/>
    <x v="19"/>
    <s v="335-77-3"/>
    <x v="19"/>
    <n v="2.2999999999999998"/>
  </r>
  <r>
    <s v="CC003-JBA-08132021"/>
    <s v="Down"/>
    <x v="0"/>
    <s v="Dace. Sp"/>
    <s v="Clinostomus"/>
    <s v="gibbosus"/>
    <s v="U"/>
    <x v="0"/>
    <n v="8"/>
    <n v="11.81"/>
    <x v="20"/>
    <s v="79780-39-5"/>
    <x v="20"/>
    <n v="1.1000000000000001"/>
  </r>
  <r>
    <s v="CC003-JBA-08132021"/>
    <s v="Down"/>
    <x v="0"/>
    <s v="Dace. Sp"/>
    <s v="Clinostomus"/>
    <s v="gibbosus"/>
    <s v="U"/>
    <x v="0"/>
    <n v="8"/>
    <n v="11.81"/>
    <x v="21"/>
    <s v="777011-38-8"/>
    <x v="21"/>
    <n v="0.33200000000000002"/>
  </r>
  <r>
    <s v="CC003-JBA-08132021"/>
    <s v="Down"/>
    <x v="0"/>
    <s v="Dace. Sp"/>
    <s v="Clinostomus"/>
    <s v="gibbosus"/>
    <s v="U"/>
    <x v="0"/>
    <n v="8"/>
    <n v="11.81"/>
    <x v="22"/>
    <s v="646-83-3"/>
    <x v="22"/>
    <n v="0.254"/>
  </r>
  <r>
    <s v="CC003-JBA-08132021"/>
    <s v="Down"/>
    <x v="0"/>
    <s v="Dace. Sp"/>
    <s v="Clinostomus"/>
    <s v="gibbosus"/>
    <s v="U"/>
    <x v="0"/>
    <n v="8"/>
    <n v="11.81"/>
    <x v="23"/>
    <s v="30334-69-1"/>
    <x v="23"/>
    <n v="11.3"/>
  </r>
  <r>
    <s v="CC003-JBA-08132021"/>
    <s v="Down"/>
    <x v="0"/>
    <s v="Dace. Sp"/>
    <s v="Clinostomus"/>
    <s v="gibbosus"/>
    <s v="U"/>
    <x v="0"/>
    <n v="8"/>
    <n v="11.81"/>
    <x v="24"/>
    <s v="41997-13-1"/>
    <x v="24"/>
    <n v="36.9"/>
  </r>
  <r>
    <s v="CC003-JBA-08132021"/>
    <s v="Down"/>
    <x v="0"/>
    <s v="Dace. Sp"/>
    <s v="Clinostomus"/>
    <s v="gibbosus"/>
    <s v="U"/>
    <x v="0"/>
    <n v="8"/>
    <n v="11.81"/>
    <x v="25"/>
    <s v="754-91-6"/>
    <x v="25"/>
    <n v="7.13"/>
  </r>
  <r>
    <s v="CC003-JBA-08132021"/>
    <s v="Down"/>
    <x v="0"/>
    <s v="Dace. Sp"/>
    <s v="Clinostomus"/>
    <s v="gibbosus"/>
    <s v="U"/>
    <x v="0"/>
    <n v="8"/>
    <n v="11.81"/>
    <x v="26"/>
    <s v="31506-32-8"/>
    <x v="26"/>
    <n v="5.3035267863489506E-2"/>
  </r>
  <r>
    <s v="CC003-JBA-08132021"/>
    <s v="Down"/>
    <x v="0"/>
    <s v="Dace. Sp"/>
    <s v="Clinostomus"/>
    <s v="gibbosus"/>
    <s v="U"/>
    <x v="0"/>
    <n v="8"/>
    <n v="11.81"/>
    <x v="27"/>
    <s v="4151-50-2"/>
    <x v="27"/>
    <n v="8.0336560506361065E-2"/>
  </r>
  <r>
    <s v="CC003-JBA-08132021"/>
    <s v="Down"/>
    <x v="0"/>
    <s v="Dace. Sp"/>
    <s v="Clinostomus"/>
    <s v="gibbosus"/>
    <s v="U"/>
    <x v="0"/>
    <n v="8"/>
    <n v="11.81"/>
    <x v="28"/>
    <s v="2806-24-8"/>
    <x v="28"/>
    <n v="5.4264246660945072E-2"/>
  </r>
  <r>
    <s v="CC003-JBA-08132021"/>
    <s v="Down"/>
    <x v="0"/>
    <s v="Dace. Sp"/>
    <s v="Clinostomus"/>
    <s v="gibbosus"/>
    <s v="U"/>
    <x v="0"/>
    <n v="8"/>
    <n v="11.81"/>
    <x v="29"/>
    <s v="2355-31-9"/>
    <x v="29"/>
    <n v="6.9259229095819871E-2"/>
  </r>
  <r>
    <s v="CC003-JBA-08132021"/>
    <s v="Down"/>
    <x v="0"/>
    <s v="Dace. Sp"/>
    <s v="Clinostomus"/>
    <s v="gibbosus"/>
    <s v="U"/>
    <x v="0"/>
    <n v="8"/>
    <n v="11.81"/>
    <x v="30"/>
    <s v="2991-50-6"/>
    <x v="30"/>
    <n v="5.975481430886511E-2"/>
  </r>
  <r>
    <s v="CC003-JBA-08132021"/>
    <s v="Down"/>
    <x v="0"/>
    <s v="Dace. Sp"/>
    <s v="Clinostomus"/>
    <s v="gibbosus"/>
    <s v="U"/>
    <x v="0"/>
    <n v="8"/>
    <n v="11.81"/>
    <x v="31"/>
    <s v="757124-72-4"/>
    <x v="31"/>
    <n v="5.6546609630452348E-2"/>
  </r>
  <r>
    <s v="CC003-JBA-08132021"/>
    <s v="Down"/>
    <x v="0"/>
    <s v="Dace. Sp"/>
    <s v="Clinostomus"/>
    <s v="gibbosus"/>
    <s v="U"/>
    <x v="0"/>
    <n v="8"/>
    <n v="11.81"/>
    <x v="32"/>
    <s v="27619-97-2"/>
    <x v="32"/>
    <n v="4.1562866903826733E-2"/>
  </r>
  <r>
    <s v="CC003-JBA-08132021"/>
    <s v="Down"/>
    <x v="0"/>
    <s v="Dace. Sp"/>
    <s v="Clinostomus"/>
    <s v="gibbosus"/>
    <s v="U"/>
    <x v="0"/>
    <n v="8"/>
    <n v="11.81"/>
    <x v="33"/>
    <s v="39108-34-4"/>
    <x v="33"/>
    <n v="4.59"/>
  </r>
  <r>
    <s v="CC003-JBA-08132021"/>
    <s v="Down"/>
    <x v="0"/>
    <s v="Dace. Sp"/>
    <s v="Clinostomus"/>
    <s v="gibbosus"/>
    <s v="U"/>
    <x v="0"/>
    <n v="8"/>
    <n v="11.81"/>
    <x v="34"/>
    <s v="120226-60-0"/>
    <x v="34"/>
    <n v="0.2566088233427079"/>
  </r>
  <r>
    <s v="CC003-JBA-08132021"/>
    <s v="Down"/>
    <x v="0"/>
    <s v="Dace. Sp"/>
    <s v="Clinostomus"/>
    <s v="gibbosus"/>
    <s v="U"/>
    <x v="0"/>
    <n v="8"/>
    <n v="11.81"/>
    <x v="35"/>
    <s v="356-02-5"/>
    <x v="35"/>
    <n v="7.9409296049575931E-2"/>
  </r>
  <r>
    <s v="CC003-JBA-08132021"/>
    <s v="Down"/>
    <x v="0"/>
    <s v="Dace. Sp"/>
    <s v="Clinostomus"/>
    <s v="gibbosus"/>
    <s v="U"/>
    <x v="0"/>
    <n v="8"/>
    <n v="11.81"/>
    <x v="36"/>
    <s v="914637-49-3"/>
    <x v="36"/>
    <n v="5.1952510831987077E-2"/>
  </r>
  <r>
    <s v="CC003-JBA-08132021"/>
    <s v="Down"/>
    <x v="0"/>
    <s v="Dace. Sp"/>
    <s v="Clinostomus"/>
    <s v="gibbosus"/>
    <s v="U"/>
    <x v="0"/>
    <n v="8"/>
    <n v="11.81"/>
    <x v="37"/>
    <s v="812-70-4"/>
    <x v="37"/>
    <n v="2.23"/>
  </r>
  <r>
    <s v="CC003-JBA-08132021"/>
    <s v="Down"/>
    <x v="0"/>
    <s v="Dace. Sp"/>
    <s v="Clinostomus"/>
    <s v="gibbosus"/>
    <s v="U"/>
    <x v="0"/>
    <n v="8"/>
    <n v="11.81"/>
    <x v="38"/>
    <s v="53826-12-3"/>
    <x v="38"/>
    <n v="4.4174077392922055E-2"/>
  </r>
  <r>
    <s v="CC003-JBA-08132021"/>
    <s v="Down"/>
    <x v="0"/>
    <s v="Dace. Sp"/>
    <s v="Clinostomus"/>
    <s v="gibbosus"/>
    <s v="U"/>
    <x v="0"/>
    <n v="8"/>
    <n v="11.81"/>
    <x v="39"/>
    <s v="27854-31-5"/>
    <x v="39"/>
    <n v="2.7537083272139815E-2"/>
  </r>
  <r>
    <s v="CC003-JBA-08132021"/>
    <s v="Down"/>
    <x v="0"/>
    <s v="Dace. Sp"/>
    <s v="Clinostomus"/>
    <s v="gibbosus"/>
    <s v="U"/>
    <x v="0"/>
    <n v="8"/>
    <n v="11.81"/>
    <x v="40"/>
    <s v="53826-13-4"/>
    <x v="40"/>
    <n v="0.10272657336379241"/>
  </r>
  <r>
    <s v="CC003-JBA-08132021"/>
    <s v="Down"/>
    <x v="0"/>
    <s v="Dace. Sp"/>
    <s v="Clinostomus"/>
    <s v="gibbosus"/>
    <s v="U"/>
    <x v="0"/>
    <n v="8"/>
    <n v="11.81"/>
    <x v="41"/>
    <s v="161094-75-3"/>
    <x v="41"/>
    <n v="5.4055056827544433E-2"/>
  </r>
  <r>
    <s v="CC003-JBA-08132021"/>
    <s v="Down"/>
    <x v="0"/>
    <s v="Dace. Sp"/>
    <s v="Clinostomus"/>
    <s v="gibbosus"/>
    <s v="U"/>
    <x v="0"/>
    <n v="8"/>
    <n v="11.81"/>
    <x v="42"/>
    <s v="70887-84-2"/>
    <x v="42"/>
    <n v="4.1601960343951944E-2"/>
  </r>
  <r>
    <s v="CC003-JBA-08132021"/>
    <s v="Down"/>
    <x v="0"/>
    <s v="Dace. Sp"/>
    <s v="Clinostomus"/>
    <s v="gibbosus"/>
    <s v="U"/>
    <x v="0"/>
    <n v="8"/>
    <n v="11.81"/>
    <x v="43"/>
    <s v="919005-14-4"/>
    <x v="43"/>
    <n v="6.8842708180349543E-2"/>
  </r>
  <r>
    <s v="CC003-JBA-08132021"/>
    <s v="Down"/>
    <x v="0"/>
    <s v="Dace. Sp"/>
    <s v="Clinostomus"/>
    <s v="gibbosus"/>
    <s v="U"/>
    <x v="0"/>
    <n v="8"/>
    <n v="11.81"/>
    <x v="44"/>
    <s v="756426-58-1"/>
    <x v="44"/>
    <n v="4.778418081027868E-2"/>
  </r>
  <r>
    <s v="CC003-JBA-08132021"/>
    <s v="Down"/>
    <x v="0"/>
    <s v="Dace. Sp"/>
    <s v="Clinostomus"/>
    <s v="gibbosus"/>
    <s v="U"/>
    <x v="0"/>
    <n v="8"/>
    <n v="11.81"/>
    <x v="45"/>
    <s v="763051-92-9"/>
    <x v="45"/>
    <n v="5.4247403161853801E-2"/>
  </r>
  <r>
    <s v="CC003-JBA-08132021"/>
    <s v="Down"/>
    <x v="0"/>
    <s v="Dace. Sp"/>
    <s v="Clinostomus"/>
    <s v="gibbosus"/>
    <s v="U"/>
    <x v="0"/>
    <n v="8"/>
    <n v="11.81"/>
    <x v="46"/>
    <s v="13252-13-6"/>
    <x v="46"/>
    <n v="9.8791252728695489E-2"/>
  </r>
  <r>
    <s v="CC003-JBA-08132021"/>
    <s v="Down"/>
    <x v="0"/>
    <s v="Dace. Sp"/>
    <s v="Clinostomus"/>
    <s v="gibbosus"/>
    <s v="U"/>
    <x v="0"/>
    <n v="8"/>
    <n v="11.81"/>
    <x v="47"/>
    <s v="57677-95-9"/>
    <x v="47"/>
    <n v="7.3285054854099349E-2"/>
  </r>
  <r>
    <s v="CC003-JBA-08132021"/>
    <s v="Down"/>
    <x v="0"/>
    <s v="Dace. Sp"/>
    <s v="Clinostomus"/>
    <s v="gibbosus"/>
    <s v="U"/>
    <x v="0"/>
    <n v="8"/>
    <n v="11.81"/>
    <x v="48"/>
    <s v="678-41-1"/>
    <x v="48"/>
    <n v="9.1272626820981417E-2"/>
  </r>
  <r>
    <s v="CC003-JBA-08132021"/>
    <s v="Down"/>
    <x v="0"/>
    <s v="Dace. Sp"/>
    <s v="Clinostomus"/>
    <s v="gibbosus"/>
    <s v="U"/>
    <x v="0"/>
    <n v="8"/>
    <n v="11.81"/>
    <x v="49"/>
    <s v="2965-52-8"/>
    <x v="49"/>
    <n v="0.12116316639741519"/>
  </r>
  <r>
    <s v="CC004-JBA-08132021"/>
    <s v="Down"/>
    <x v="0"/>
    <s v="Dace. Sp"/>
    <s v="Clinostomus"/>
    <s v="gibbosus"/>
    <s v="U"/>
    <x v="0"/>
    <n v="8"/>
    <n v="11.81"/>
    <x v="0"/>
    <s v="375-22-4"/>
    <x v="0"/>
    <n v="2.7393257606194526E-2"/>
  </r>
  <r>
    <s v="CC004-JBA-08132021"/>
    <s v="Down"/>
    <x v="0"/>
    <s v="Dace. Sp"/>
    <s v="Clinostomus"/>
    <s v="gibbosus"/>
    <s v="U"/>
    <x v="0"/>
    <n v="8"/>
    <n v="11.81"/>
    <x v="1"/>
    <s v="2706-90-3"/>
    <x v="1"/>
    <n v="4.8386169152772197E-2"/>
  </r>
  <r>
    <s v="CC004-JBA-08132021"/>
    <s v="Down"/>
    <x v="0"/>
    <s v="Dace. Sp"/>
    <s v="Clinostomus"/>
    <s v="gibbosus"/>
    <s v="U"/>
    <x v="0"/>
    <n v="8"/>
    <n v="11.81"/>
    <x v="2"/>
    <s v="307-24-4"/>
    <x v="2"/>
    <n v="3.6959754303585779E-2"/>
  </r>
  <r>
    <s v="CC004-JBA-08132021"/>
    <s v="Down"/>
    <x v="0"/>
    <s v="Dace. Sp"/>
    <s v="Clinostomus"/>
    <s v="gibbosus"/>
    <s v="U"/>
    <x v="0"/>
    <n v="8"/>
    <n v="11.81"/>
    <x v="3"/>
    <s v="375-85-9"/>
    <x v="3"/>
    <n v="9.5826235093696754E-2"/>
  </r>
  <r>
    <s v="CC004-JBA-08132021"/>
    <s v="Down"/>
    <x v="0"/>
    <s v="Dace. Sp"/>
    <s v="Clinostomus"/>
    <s v="gibbosus"/>
    <s v="U"/>
    <x v="0"/>
    <n v="8"/>
    <n v="11.81"/>
    <x v="4"/>
    <s v="335-67-1"/>
    <x v="4"/>
    <n v="0.61499999999999999"/>
  </r>
  <r>
    <s v="CC004-JBA-08132021"/>
    <s v="Down"/>
    <x v="0"/>
    <s v="Dace. Sp"/>
    <s v="Clinostomus"/>
    <s v="gibbosus"/>
    <s v="U"/>
    <x v="0"/>
    <n v="8"/>
    <n v="11.81"/>
    <x v="5"/>
    <s v="375-95-1"/>
    <x v="5"/>
    <n v="0.86"/>
  </r>
  <r>
    <s v="CC004-JBA-08132021"/>
    <s v="Down"/>
    <x v="0"/>
    <s v="Dace. Sp"/>
    <s v="Clinostomus"/>
    <s v="gibbosus"/>
    <s v="U"/>
    <x v="0"/>
    <n v="8"/>
    <n v="11.81"/>
    <x v="6"/>
    <s v="335-76-2"/>
    <x v="6"/>
    <n v="4.62"/>
  </r>
  <r>
    <s v="CC004-JBA-08132021"/>
    <s v="Down"/>
    <x v="0"/>
    <s v="Dace. Sp"/>
    <s v="Clinostomus"/>
    <s v="gibbosus"/>
    <s v="U"/>
    <x v="0"/>
    <n v="8"/>
    <n v="11.81"/>
    <x v="7"/>
    <s v="2058-94-8"/>
    <x v="7"/>
    <n v="6.64"/>
  </r>
  <r>
    <s v="CC004-JBA-08132021"/>
    <s v="Down"/>
    <x v="0"/>
    <s v="Dace. Sp"/>
    <s v="Clinostomus"/>
    <s v="gibbosus"/>
    <s v="U"/>
    <x v="0"/>
    <n v="8"/>
    <n v="11.81"/>
    <x v="8"/>
    <s v="307-55-1"/>
    <x v="8"/>
    <n v="5.4679672483427075E-2"/>
  </r>
  <r>
    <s v="CC004-JBA-08132021"/>
    <s v="Down"/>
    <x v="0"/>
    <s v="Dace. Sp"/>
    <s v="Clinostomus"/>
    <s v="gibbosus"/>
    <s v="U"/>
    <x v="0"/>
    <n v="8"/>
    <n v="11.81"/>
    <x v="9"/>
    <s v="72629-94-8"/>
    <x v="9"/>
    <n v="3.03"/>
  </r>
  <r>
    <s v="CC004-JBA-08132021"/>
    <s v="Down"/>
    <x v="0"/>
    <s v="Dace. Sp"/>
    <s v="Clinostomus"/>
    <s v="gibbosus"/>
    <s v="U"/>
    <x v="0"/>
    <n v="8"/>
    <n v="11.81"/>
    <x v="10"/>
    <s v="376-06-7"/>
    <x v="10"/>
    <n v="4.4800000000000004"/>
  </r>
  <r>
    <s v="CC004-JBA-08132021"/>
    <s v="Down"/>
    <x v="0"/>
    <s v="Dace. Sp"/>
    <s v="Clinostomus"/>
    <s v="gibbosus"/>
    <s v="U"/>
    <x v="0"/>
    <n v="8"/>
    <n v="11.81"/>
    <x v="11"/>
    <s v="67905-19-5"/>
    <x v="11"/>
    <n v="8.1618220730212937E-2"/>
  </r>
  <r>
    <s v="CC004-JBA-08132021"/>
    <s v="Down"/>
    <x v="0"/>
    <s v="Dace. Sp"/>
    <s v="Clinostomus"/>
    <s v="gibbosus"/>
    <s v="U"/>
    <x v="0"/>
    <n v="8"/>
    <n v="11.81"/>
    <x v="12"/>
    <s v="423-41-6"/>
    <x v="12"/>
    <n v="5.2249436409702692E-2"/>
  </r>
  <r>
    <s v="CC004-JBA-08132021"/>
    <s v="Down"/>
    <x v="0"/>
    <s v="Dace. Sp"/>
    <s v="Clinostomus"/>
    <s v="gibbosus"/>
    <s v="U"/>
    <x v="0"/>
    <n v="8"/>
    <n v="11.81"/>
    <x v="13"/>
    <s v="375-73-5"/>
    <x v="13"/>
    <n v="4.6610266038067491E-2"/>
  </r>
  <r>
    <s v="CC004-JBA-08132021"/>
    <s v="Down"/>
    <x v="0"/>
    <s v="Dace. Sp"/>
    <s v="Clinostomus"/>
    <s v="gibbosus"/>
    <s v="U"/>
    <x v="0"/>
    <n v="8"/>
    <n v="11.81"/>
    <x v="14"/>
    <s v="2706-91-4"/>
    <x v="14"/>
    <n v="0.40100000000000002"/>
  </r>
  <r>
    <s v="CC004-JBA-08132021"/>
    <s v="Down"/>
    <x v="0"/>
    <s v="Dace. Sp"/>
    <s v="Clinostomus"/>
    <s v="gibbosus"/>
    <s v="U"/>
    <x v="0"/>
    <n v="8"/>
    <n v="11.81"/>
    <x v="15"/>
    <s v="355-46-4"/>
    <x v="15"/>
    <n v="40.4"/>
  </r>
  <r>
    <s v="CC004-JBA-08132021"/>
    <s v="Down"/>
    <x v="0"/>
    <s v="Dace. Sp"/>
    <s v="Clinostomus"/>
    <s v="gibbosus"/>
    <s v="U"/>
    <x v="0"/>
    <n v="8"/>
    <n v="11.81"/>
    <x v="16"/>
    <s v="375-92-8"/>
    <x v="16"/>
    <n v="3.01"/>
  </r>
  <r>
    <s v="CC004-JBA-08132021"/>
    <s v="Down"/>
    <x v="0"/>
    <s v="Dace. Sp"/>
    <s v="Clinostomus"/>
    <s v="gibbosus"/>
    <s v="U"/>
    <x v="0"/>
    <n v="8"/>
    <n v="11.81"/>
    <x v="17"/>
    <s v="1763-23-1"/>
    <x v="17"/>
    <n v="1050"/>
  </r>
  <r>
    <s v="CC004-JBA-08132021"/>
    <s v="Down"/>
    <x v="0"/>
    <s v="Dace. Sp"/>
    <s v="Clinostomus"/>
    <s v="gibbosus"/>
    <s v="U"/>
    <x v="0"/>
    <n v="8"/>
    <n v="11.81"/>
    <x v="18"/>
    <s v="68259-12-1"/>
    <x v="18"/>
    <n v="1.1100000000000001"/>
  </r>
  <r>
    <s v="CC004-JBA-08132021"/>
    <s v="Down"/>
    <x v="0"/>
    <s v="Dace. Sp"/>
    <s v="Clinostomus"/>
    <s v="gibbosus"/>
    <s v="U"/>
    <x v="0"/>
    <n v="8"/>
    <n v="11.81"/>
    <x v="19"/>
    <s v="335-77-3"/>
    <x v="19"/>
    <n v="2.9"/>
  </r>
  <r>
    <s v="CC004-JBA-08132021"/>
    <s v="Down"/>
    <x v="0"/>
    <s v="Dace. Sp"/>
    <s v="Clinostomus"/>
    <s v="gibbosus"/>
    <s v="U"/>
    <x v="0"/>
    <n v="8"/>
    <n v="11.81"/>
    <x v="20"/>
    <s v="79780-39-5"/>
    <x v="20"/>
    <n v="2.35"/>
  </r>
  <r>
    <s v="CC004-JBA-08132021"/>
    <s v="Down"/>
    <x v="0"/>
    <s v="Dace. Sp"/>
    <s v="Clinostomus"/>
    <s v="gibbosus"/>
    <s v="U"/>
    <x v="0"/>
    <n v="8"/>
    <n v="11.81"/>
    <x v="21"/>
    <s v="777011-38-8"/>
    <x v="21"/>
    <n v="0.41899999999999998"/>
  </r>
  <r>
    <s v="CC004-JBA-08132021"/>
    <s v="Down"/>
    <x v="0"/>
    <s v="Dace. Sp"/>
    <s v="Clinostomus"/>
    <s v="gibbosus"/>
    <s v="U"/>
    <x v="0"/>
    <n v="8"/>
    <n v="11.81"/>
    <x v="22"/>
    <s v="646-83-3"/>
    <x v="22"/>
    <n v="0.39300000000000002"/>
  </r>
  <r>
    <s v="CC004-JBA-08132021"/>
    <s v="Down"/>
    <x v="0"/>
    <s v="Dace. Sp"/>
    <s v="Clinostomus"/>
    <s v="gibbosus"/>
    <s v="U"/>
    <x v="0"/>
    <n v="8"/>
    <n v="11.81"/>
    <x v="23"/>
    <s v="30334-69-1"/>
    <x v="23"/>
    <n v="9.7100000000000009"/>
  </r>
  <r>
    <s v="CC004-JBA-08132021"/>
    <s v="Down"/>
    <x v="0"/>
    <s v="Dace. Sp"/>
    <s v="Clinostomus"/>
    <s v="gibbosus"/>
    <s v="U"/>
    <x v="0"/>
    <n v="8"/>
    <n v="11.81"/>
    <x v="24"/>
    <s v="41997-13-1"/>
    <x v="24"/>
    <n v="48.5"/>
  </r>
  <r>
    <s v="CC004-JBA-08132021"/>
    <s v="Down"/>
    <x v="0"/>
    <s v="Dace. Sp"/>
    <s v="Clinostomus"/>
    <s v="gibbosus"/>
    <s v="U"/>
    <x v="0"/>
    <n v="8"/>
    <n v="11.81"/>
    <x v="25"/>
    <s v="754-91-6"/>
    <x v="25"/>
    <n v="6.39"/>
  </r>
  <r>
    <s v="CC004-JBA-08132021"/>
    <s v="Down"/>
    <x v="0"/>
    <s v="Dace. Sp"/>
    <s v="Clinostomus"/>
    <s v="gibbosus"/>
    <s v="U"/>
    <x v="0"/>
    <n v="8"/>
    <n v="11.81"/>
    <x v="26"/>
    <s v="31506-32-8"/>
    <x v="26"/>
    <n v="5.2758265660907994E-2"/>
  </r>
  <r>
    <s v="CC004-JBA-08132021"/>
    <s v="Down"/>
    <x v="0"/>
    <s v="Dace. Sp"/>
    <s v="Clinostomus"/>
    <s v="gibbosus"/>
    <s v="U"/>
    <x v="0"/>
    <n v="8"/>
    <n v="11.81"/>
    <x v="27"/>
    <s v="4151-50-2"/>
    <x v="27"/>
    <n v="7.9916964167838472E-2"/>
  </r>
  <r>
    <s v="CC004-JBA-08132021"/>
    <s v="Down"/>
    <x v="0"/>
    <s v="Dace. Sp"/>
    <s v="Clinostomus"/>
    <s v="gibbosus"/>
    <s v="U"/>
    <x v="0"/>
    <n v="8"/>
    <n v="11.81"/>
    <x v="28"/>
    <s v="2806-24-8"/>
    <x v="28"/>
    <n v="5.3980825525311367E-2"/>
  </r>
  <r>
    <s v="CC004-JBA-08132021"/>
    <s v="Down"/>
    <x v="0"/>
    <s v="Dace. Sp"/>
    <s v="Clinostomus"/>
    <s v="gibbosus"/>
    <s v="U"/>
    <x v="0"/>
    <n v="8"/>
    <n v="11.81"/>
    <x v="29"/>
    <s v="2355-31-9"/>
    <x v="29"/>
    <n v="6.8897489450080354E-2"/>
  </r>
  <r>
    <s v="CC004-JBA-08132021"/>
    <s v="Down"/>
    <x v="0"/>
    <s v="Dace. Sp"/>
    <s v="Clinostomus"/>
    <s v="gibbosus"/>
    <s v="U"/>
    <x v="0"/>
    <n v="8"/>
    <n v="11.81"/>
    <x v="30"/>
    <s v="2991-50-6"/>
    <x v="30"/>
    <n v="5.9442716042085161E-2"/>
  </r>
  <r>
    <s v="CC004-JBA-08132021"/>
    <s v="Down"/>
    <x v="0"/>
    <s v="Dace. Sp"/>
    <s v="Clinostomus"/>
    <s v="gibbosus"/>
    <s v="U"/>
    <x v="0"/>
    <n v="8"/>
    <n v="11.81"/>
    <x v="31"/>
    <s v="757124-72-4"/>
    <x v="31"/>
    <n v="5.6251267756126953E-2"/>
  </r>
  <r>
    <s v="CC004-JBA-08132021"/>
    <s v="Down"/>
    <x v="0"/>
    <s v="Dace. Sp"/>
    <s v="Clinostomus"/>
    <s v="gibbosus"/>
    <s v="U"/>
    <x v="0"/>
    <n v="8"/>
    <n v="11.81"/>
    <x v="32"/>
    <s v="27619-97-2"/>
    <x v="32"/>
    <n v="4.1345784834823228E-2"/>
  </r>
  <r>
    <s v="CC004-JBA-08132021"/>
    <s v="Down"/>
    <x v="0"/>
    <s v="Dace. Sp"/>
    <s v="Clinostomus"/>
    <s v="gibbosus"/>
    <s v="U"/>
    <x v="0"/>
    <n v="8"/>
    <n v="11.81"/>
    <x v="33"/>
    <s v="39108-34-4"/>
    <x v="33"/>
    <n v="4.6399999999999997"/>
  </r>
  <r>
    <s v="CC004-JBA-08132021"/>
    <s v="Down"/>
    <x v="0"/>
    <s v="Dace. Sp"/>
    <s v="Clinostomus"/>
    <s v="gibbosus"/>
    <s v="U"/>
    <x v="0"/>
    <n v="8"/>
    <n v="11.81"/>
    <x v="34"/>
    <s v="120226-60-0"/>
    <x v="34"/>
    <n v="0.27201846733390117"/>
  </r>
  <r>
    <s v="CC004-JBA-08132021"/>
    <s v="Down"/>
    <x v="0"/>
    <s v="Dace. Sp"/>
    <s v="Clinostomus"/>
    <s v="gibbosus"/>
    <s v="U"/>
    <x v="0"/>
    <n v="8"/>
    <n v="11.81"/>
    <x v="35"/>
    <s v="356-02-5"/>
    <x v="35"/>
    <n v="7.8994542795801523E-2"/>
  </r>
  <r>
    <s v="CC004-JBA-08132021"/>
    <s v="Down"/>
    <x v="0"/>
    <s v="Dace. Sp"/>
    <s v="Clinostomus"/>
    <s v="gibbosus"/>
    <s v="U"/>
    <x v="0"/>
    <n v="8"/>
    <n v="11.81"/>
    <x v="36"/>
    <s v="914637-49-3"/>
    <x v="36"/>
    <n v="5.1681163848935313E-2"/>
  </r>
  <r>
    <s v="CC004-JBA-08132021"/>
    <s v="Down"/>
    <x v="0"/>
    <s v="Dace. Sp"/>
    <s v="Clinostomus"/>
    <s v="gibbosus"/>
    <s v="U"/>
    <x v="0"/>
    <n v="8"/>
    <n v="11.81"/>
    <x v="37"/>
    <s v="812-70-4"/>
    <x v="37"/>
    <n v="6.08"/>
  </r>
  <r>
    <s v="CC004-JBA-08132021"/>
    <s v="Down"/>
    <x v="0"/>
    <s v="Dace. Sp"/>
    <s v="Clinostomus"/>
    <s v="gibbosus"/>
    <s v="U"/>
    <x v="0"/>
    <n v="8"/>
    <n v="11.81"/>
    <x v="38"/>
    <s v="53826-12-3"/>
    <x v="38"/>
    <n v="0.15372127408947506"/>
  </r>
  <r>
    <s v="CC004-JBA-08132021"/>
    <s v="Down"/>
    <x v="0"/>
    <s v="Dace. Sp"/>
    <s v="Clinostomus"/>
    <s v="gibbosus"/>
    <s v="U"/>
    <x v="0"/>
    <n v="8"/>
    <n v="11.81"/>
    <x v="39"/>
    <s v="27854-31-5"/>
    <x v="39"/>
    <n v="2.7393257606194526E-2"/>
  </r>
  <r>
    <s v="CC004-JBA-08132021"/>
    <s v="Down"/>
    <x v="0"/>
    <s v="Dace. Sp"/>
    <s v="Clinostomus"/>
    <s v="gibbosus"/>
    <s v="U"/>
    <x v="0"/>
    <n v="8"/>
    <n v="11.81"/>
    <x v="40"/>
    <s v="53826-13-4"/>
    <x v="40"/>
    <n v="0.102190034410908"/>
  </r>
  <r>
    <s v="CC004-JBA-08132021"/>
    <s v="Down"/>
    <x v="0"/>
    <s v="Dace. Sp"/>
    <s v="Clinostomus"/>
    <s v="gibbosus"/>
    <s v="U"/>
    <x v="0"/>
    <n v="8"/>
    <n v="11.81"/>
    <x v="41"/>
    <s v="161094-75-3"/>
    <x v="41"/>
    <n v="5.3772728286460431E-2"/>
  </r>
  <r>
    <s v="CC004-JBA-08132021"/>
    <s v="Down"/>
    <x v="0"/>
    <s v="Dace. Sp"/>
    <s v="Clinostomus"/>
    <s v="gibbosus"/>
    <s v="U"/>
    <x v="0"/>
    <n v="8"/>
    <n v="11.81"/>
    <x v="42"/>
    <s v="70887-84-2"/>
    <x v="42"/>
    <n v="4.138467409064886E-2"/>
  </r>
  <r>
    <s v="CC004-JBA-08132021"/>
    <s v="Down"/>
    <x v="0"/>
    <s v="Dace. Sp"/>
    <s v="Clinostomus"/>
    <s v="gibbosus"/>
    <s v="U"/>
    <x v="0"/>
    <n v="8"/>
    <n v="11.81"/>
    <x v="43"/>
    <s v="919005-14-4"/>
    <x v="43"/>
    <n v="6.848314401548633E-2"/>
  </r>
  <r>
    <s v="CC004-JBA-08132021"/>
    <s v="Down"/>
    <x v="0"/>
    <s v="Dace. Sp"/>
    <s v="Clinostomus"/>
    <s v="gibbosus"/>
    <s v="U"/>
    <x v="0"/>
    <n v="8"/>
    <n v="11.81"/>
    <x v="44"/>
    <s v="756426-58-1"/>
    <x v="44"/>
    <n v="4.753460493621936E-2"/>
  </r>
  <r>
    <s v="CC004-JBA-08132021"/>
    <s v="Down"/>
    <x v="0"/>
    <s v="Dace. Sp"/>
    <s v="Clinostomus"/>
    <s v="gibbosus"/>
    <s v="U"/>
    <x v="0"/>
    <n v="8"/>
    <n v="11.81"/>
    <x v="45"/>
    <s v="763051-92-9"/>
    <x v="45"/>
    <n v="5.396406999949778E-2"/>
  </r>
  <r>
    <s v="CC004-JBA-08132021"/>
    <s v="Down"/>
    <x v="0"/>
    <s v="Dace. Sp"/>
    <s v="Clinostomus"/>
    <s v="gibbosus"/>
    <s v="U"/>
    <x v="0"/>
    <n v="8"/>
    <n v="11.81"/>
    <x v="46"/>
    <s v="13252-13-6"/>
    <x v="46"/>
    <n v="9.8275267881177186E-2"/>
  </r>
  <r>
    <s v="CC004-JBA-08132021"/>
    <s v="Down"/>
    <x v="0"/>
    <s v="Dace. Sp"/>
    <s v="Clinostomus"/>
    <s v="gibbosus"/>
    <s v="U"/>
    <x v="0"/>
    <n v="8"/>
    <n v="11.81"/>
    <x v="47"/>
    <s v="57677-95-9"/>
    <x v="47"/>
    <n v="7.2902288396444345E-2"/>
  </r>
  <r>
    <s v="CC004-JBA-08132021"/>
    <s v="Down"/>
    <x v="0"/>
    <s v="Dace. Sp"/>
    <s v="Clinostomus"/>
    <s v="gibbosus"/>
    <s v="U"/>
    <x v="0"/>
    <n v="8"/>
    <n v="11.81"/>
    <x v="48"/>
    <s v="678-41-1"/>
    <x v="48"/>
    <n v="9.0795911614604263E-2"/>
  </r>
  <r>
    <s v="CC004-JBA-08132021"/>
    <s v="Down"/>
    <x v="0"/>
    <s v="Dace. Sp"/>
    <s v="Clinostomus"/>
    <s v="gibbosus"/>
    <s v="U"/>
    <x v="0"/>
    <n v="8"/>
    <n v="11.81"/>
    <x v="49"/>
    <s v="2965-52-8"/>
    <x v="49"/>
    <n v="0.1205303334672559"/>
  </r>
  <r>
    <s v="CC005-JBA-08132021"/>
    <s v="Down"/>
    <x v="0"/>
    <s v="Dace. Sp"/>
    <s v="Clinostomus"/>
    <s v="gibbosus"/>
    <s v="U"/>
    <x v="0"/>
    <n v="8"/>
    <n v="11.81"/>
    <x v="0"/>
    <s v="375-22-4"/>
    <x v="0"/>
    <n v="2.9038253058695989E-2"/>
  </r>
  <r>
    <s v="CC005-JBA-08132021"/>
    <s v="Down"/>
    <x v="0"/>
    <s v="Dace. Sp"/>
    <s v="Clinostomus"/>
    <s v="gibbosus"/>
    <s v="U"/>
    <x v="0"/>
    <n v="8"/>
    <n v="11.81"/>
    <x v="1"/>
    <s v="2706-90-3"/>
    <x v="1"/>
    <n v="5.1291812189629478E-2"/>
  </r>
  <r>
    <s v="CC005-JBA-08132021"/>
    <s v="Down"/>
    <x v="0"/>
    <s v="Dace. Sp"/>
    <s v="Clinostomus"/>
    <s v="gibbosus"/>
    <s v="U"/>
    <x v="0"/>
    <n v="8"/>
    <n v="11.81"/>
    <x v="2"/>
    <s v="307-24-4"/>
    <x v="2"/>
    <n v="3.9179228475990209E-2"/>
  </r>
  <r>
    <s v="CC005-JBA-08132021"/>
    <s v="Down"/>
    <x v="0"/>
    <s v="Dace. Sp"/>
    <s v="Clinostomus"/>
    <s v="gibbosus"/>
    <s v="U"/>
    <x v="0"/>
    <n v="8"/>
    <n v="11.81"/>
    <x v="3"/>
    <s v="375-85-9"/>
    <x v="3"/>
    <n v="2.9038253058695989E-2"/>
  </r>
  <r>
    <s v="CC005-JBA-08132021"/>
    <s v="Down"/>
    <x v="0"/>
    <s v="Dace. Sp"/>
    <s v="Clinostomus"/>
    <s v="gibbosus"/>
    <s v="U"/>
    <x v="0"/>
    <n v="8"/>
    <n v="11.81"/>
    <x v="4"/>
    <s v="335-67-1"/>
    <x v="4"/>
    <n v="0.94299999999999995"/>
  </r>
  <r>
    <s v="CC005-JBA-08132021"/>
    <s v="Down"/>
    <x v="0"/>
    <s v="Dace. Sp"/>
    <s v="Clinostomus"/>
    <s v="gibbosus"/>
    <s v="U"/>
    <x v="0"/>
    <n v="8"/>
    <n v="11.81"/>
    <x v="5"/>
    <s v="375-95-1"/>
    <x v="5"/>
    <n v="7.36"/>
  </r>
  <r>
    <s v="CC005-JBA-08132021"/>
    <s v="Down"/>
    <x v="0"/>
    <s v="Dace. Sp"/>
    <s v="Clinostomus"/>
    <s v="gibbosus"/>
    <s v="U"/>
    <x v="0"/>
    <n v="8"/>
    <n v="11.81"/>
    <x v="6"/>
    <s v="335-76-2"/>
    <x v="6"/>
    <n v="32"/>
  </r>
  <r>
    <s v="CC005-JBA-08132021"/>
    <s v="Down"/>
    <x v="0"/>
    <s v="Dace. Sp"/>
    <s v="Clinostomus"/>
    <s v="gibbosus"/>
    <s v="U"/>
    <x v="0"/>
    <n v="8"/>
    <n v="11.81"/>
    <x v="7"/>
    <s v="2058-94-8"/>
    <x v="7"/>
    <n v="24.6"/>
  </r>
  <r>
    <s v="CC005-JBA-08132021"/>
    <s v="Down"/>
    <x v="0"/>
    <s v="Dace. Sp"/>
    <s v="Clinostomus"/>
    <s v="gibbosus"/>
    <s v="U"/>
    <x v="0"/>
    <n v="8"/>
    <n v="11.81"/>
    <x v="8"/>
    <s v="307-55-1"/>
    <x v="8"/>
    <n v="5.7963247364246163E-2"/>
  </r>
  <r>
    <s v="CC005-JBA-08132021"/>
    <s v="Down"/>
    <x v="0"/>
    <s v="Dace. Sp"/>
    <s v="Clinostomus"/>
    <s v="gibbosus"/>
    <s v="U"/>
    <x v="0"/>
    <n v="8"/>
    <n v="11.81"/>
    <x v="9"/>
    <s v="72629-94-8"/>
    <x v="9"/>
    <n v="9.15"/>
  </r>
  <r>
    <s v="CC005-JBA-08132021"/>
    <s v="Down"/>
    <x v="0"/>
    <s v="Dace. Sp"/>
    <s v="Clinostomus"/>
    <s v="gibbosus"/>
    <s v="U"/>
    <x v="0"/>
    <n v="8"/>
    <n v="11.81"/>
    <x v="10"/>
    <s v="376-06-7"/>
    <x v="10"/>
    <n v="7.83"/>
  </r>
  <r>
    <s v="CC005-JBA-08132021"/>
    <s v="Down"/>
    <x v="0"/>
    <s v="Dace. Sp"/>
    <s v="Clinostomus"/>
    <s v="gibbosus"/>
    <s v="U"/>
    <x v="0"/>
    <n v="8"/>
    <n v="11.81"/>
    <x v="11"/>
    <s v="67905-19-5"/>
    <x v="11"/>
    <n v="8.6519485262989776E-2"/>
  </r>
  <r>
    <s v="CC005-JBA-08132021"/>
    <s v="Down"/>
    <x v="0"/>
    <s v="Dace. Sp"/>
    <s v="Clinostomus"/>
    <s v="gibbosus"/>
    <s v="U"/>
    <x v="0"/>
    <n v="8"/>
    <n v="11.81"/>
    <x v="12"/>
    <s v="423-41-6"/>
    <x v="12"/>
    <n v="5.5387072923232541E-2"/>
  </r>
  <r>
    <s v="CC005-JBA-08132021"/>
    <s v="Down"/>
    <x v="0"/>
    <s v="Dace. Sp"/>
    <s v="Clinostomus"/>
    <s v="gibbosus"/>
    <s v="U"/>
    <x v="0"/>
    <n v="8"/>
    <n v="11.81"/>
    <x v="13"/>
    <s v="375-73-5"/>
    <x v="13"/>
    <n v="0.15810148344285566"/>
  </r>
  <r>
    <s v="CC005-JBA-08132021"/>
    <s v="Down"/>
    <x v="0"/>
    <s v="Dace. Sp"/>
    <s v="Clinostomus"/>
    <s v="gibbosus"/>
    <s v="U"/>
    <x v="0"/>
    <n v="8"/>
    <n v="11.81"/>
    <x v="14"/>
    <s v="2706-91-4"/>
    <x v="14"/>
    <n v="0.57499999999999996"/>
  </r>
  <r>
    <s v="CC005-JBA-08132021"/>
    <s v="Down"/>
    <x v="0"/>
    <s v="Dace. Sp"/>
    <s v="Clinostomus"/>
    <s v="gibbosus"/>
    <s v="U"/>
    <x v="0"/>
    <n v="8"/>
    <n v="11.81"/>
    <x v="15"/>
    <s v="355-46-4"/>
    <x v="15"/>
    <n v="80.099999999999994"/>
  </r>
  <r>
    <s v="CC005-JBA-08132021"/>
    <s v="Down"/>
    <x v="0"/>
    <s v="Dace. Sp"/>
    <s v="Clinostomus"/>
    <s v="gibbosus"/>
    <s v="U"/>
    <x v="0"/>
    <n v="8"/>
    <n v="11.81"/>
    <x v="16"/>
    <s v="375-92-8"/>
    <x v="16"/>
    <n v="18.100000000000001"/>
  </r>
  <r>
    <s v="CC005-JBA-08132021"/>
    <s v="Down"/>
    <x v="0"/>
    <s v="Dace. Sp"/>
    <s v="Clinostomus"/>
    <s v="gibbosus"/>
    <s v="U"/>
    <x v="0"/>
    <n v="8"/>
    <n v="11.81"/>
    <x v="17"/>
    <s v="1763-23-1"/>
    <x v="17"/>
    <n v="4420"/>
  </r>
  <r>
    <s v="CC005-JBA-08132021"/>
    <s v="Down"/>
    <x v="0"/>
    <s v="Dace. Sp"/>
    <s v="Clinostomus"/>
    <s v="gibbosus"/>
    <s v="U"/>
    <x v="0"/>
    <n v="8"/>
    <n v="11.81"/>
    <x v="18"/>
    <s v="68259-12-1"/>
    <x v="18"/>
    <n v="5.97"/>
  </r>
  <r>
    <s v="CC005-JBA-08132021"/>
    <s v="Down"/>
    <x v="0"/>
    <s v="Dace. Sp"/>
    <s v="Clinostomus"/>
    <s v="gibbosus"/>
    <s v="U"/>
    <x v="0"/>
    <n v="8"/>
    <n v="11.81"/>
    <x v="19"/>
    <s v="335-77-3"/>
    <x v="19"/>
    <n v="7.82"/>
  </r>
  <r>
    <s v="CC005-JBA-08132021"/>
    <s v="Down"/>
    <x v="0"/>
    <s v="Dace. Sp"/>
    <s v="Clinostomus"/>
    <s v="gibbosus"/>
    <s v="U"/>
    <x v="0"/>
    <n v="8"/>
    <n v="11.81"/>
    <x v="20"/>
    <s v="79780-39-5"/>
    <x v="20"/>
    <n v="3.79"/>
  </r>
  <r>
    <s v="CC005-JBA-08132021"/>
    <s v="Down"/>
    <x v="0"/>
    <s v="Dace. Sp"/>
    <s v="Clinostomus"/>
    <s v="gibbosus"/>
    <s v="U"/>
    <x v="0"/>
    <n v="8"/>
    <n v="11.81"/>
    <x v="21"/>
    <s v="777011-38-8"/>
    <x v="21"/>
    <n v="1.77"/>
  </r>
  <r>
    <s v="CC005-JBA-08132021"/>
    <s v="Down"/>
    <x v="0"/>
    <s v="Dace. Sp"/>
    <s v="Clinostomus"/>
    <s v="gibbosus"/>
    <s v="U"/>
    <x v="0"/>
    <n v="8"/>
    <n v="11.81"/>
    <x v="22"/>
    <s v="646-83-3"/>
    <x v="22"/>
    <n v="0.38800000000000001"/>
  </r>
  <r>
    <s v="CC005-JBA-08132021"/>
    <s v="Down"/>
    <x v="0"/>
    <s v="Dace. Sp"/>
    <s v="Clinostomus"/>
    <s v="gibbosus"/>
    <s v="U"/>
    <x v="0"/>
    <n v="8"/>
    <n v="11.81"/>
    <x v="23"/>
    <s v="30334-69-1"/>
    <x v="23"/>
    <n v="25"/>
  </r>
  <r>
    <s v="CC005-JBA-08132021"/>
    <s v="Down"/>
    <x v="0"/>
    <s v="Dace. Sp"/>
    <s v="Clinostomus"/>
    <s v="gibbosus"/>
    <s v="U"/>
    <x v="0"/>
    <n v="8"/>
    <n v="11.81"/>
    <x v="24"/>
    <s v="41997-13-1"/>
    <x v="24"/>
    <n v="101"/>
  </r>
  <r>
    <s v="CC005-JBA-08132021"/>
    <s v="Down"/>
    <x v="0"/>
    <s v="Dace. Sp"/>
    <s v="Clinostomus"/>
    <s v="gibbosus"/>
    <s v="U"/>
    <x v="0"/>
    <n v="8"/>
    <n v="11.81"/>
    <x v="25"/>
    <s v="754-91-6"/>
    <x v="25"/>
    <n v="11.4"/>
  </r>
  <r>
    <s v="CC005-JBA-08132021"/>
    <s v="Down"/>
    <x v="0"/>
    <s v="Dace. Sp"/>
    <s v="Clinostomus"/>
    <s v="gibbosus"/>
    <s v="U"/>
    <x v="0"/>
    <n v="8"/>
    <n v="11.81"/>
    <x v="26"/>
    <s v="31506-32-8"/>
    <x v="26"/>
    <n v="5.5926457934412262E-2"/>
  </r>
  <r>
    <s v="CC005-JBA-08132021"/>
    <s v="Down"/>
    <x v="0"/>
    <s v="Dace. Sp"/>
    <s v="Clinostomus"/>
    <s v="gibbosus"/>
    <s v="U"/>
    <x v="0"/>
    <n v="8"/>
    <n v="11.81"/>
    <x v="27"/>
    <s v="4151-50-2"/>
    <x v="27"/>
    <n v="8.4716066360200168E-2"/>
  </r>
  <r>
    <s v="CC005-JBA-08132021"/>
    <s v="Down"/>
    <x v="0"/>
    <s v="Dace. Sp"/>
    <s v="Clinostomus"/>
    <s v="gibbosus"/>
    <s v="U"/>
    <x v="0"/>
    <n v="8"/>
    <n v="11.81"/>
    <x v="28"/>
    <s v="2806-24-8"/>
    <x v="28"/>
    <n v="5.7222433872444627E-2"/>
  </r>
  <r>
    <s v="CC005-JBA-08132021"/>
    <s v="Down"/>
    <x v="0"/>
    <s v="Dace. Sp"/>
    <s v="Clinostomus"/>
    <s v="gibbosus"/>
    <s v="U"/>
    <x v="0"/>
    <n v="8"/>
    <n v="11.81"/>
    <x v="29"/>
    <s v="2355-31-9"/>
    <x v="29"/>
    <n v="7.3034859983496597E-2"/>
  </r>
  <r>
    <s v="CC005-JBA-08132021"/>
    <s v="Down"/>
    <x v="0"/>
    <s v="Dace. Sp"/>
    <s v="Clinostomus"/>
    <s v="gibbosus"/>
    <s v="U"/>
    <x v="0"/>
    <n v="8"/>
    <n v="11.81"/>
    <x v="30"/>
    <s v="2991-50-6"/>
    <x v="30"/>
    <n v="6.3012316962840709E-2"/>
  </r>
  <r>
    <s v="CC005-JBA-08132021"/>
    <s v="Down"/>
    <x v="0"/>
    <s v="Dace. Sp"/>
    <s v="Clinostomus"/>
    <s v="gibbosus"/>
    <s v="U"/>
    <x v="0"/>
    <n v="8"/>
    <n v="11.81"/>
    <x v="31"/>
    <s v="757124-72-4"/>
    <x v="31"/>
    <n v="5.9629218673339E-2"/>
  </r>
  <r>
    <s v="CC005-JBA-08132021"/>
    <s v="Down"/>
    <x v="0"/>
    <s v="Dace. Sp"/>
    <s v="Clinostomus"/>
    <s v="gibbosus"/>
    <s v="U"/>
    <x v="0"/>
    <n v="8"/>
    <n v="11.81"/>
    <x v="32"/>
    <s v="27619-97-2"/>
    <x v="32"/>
    <n v="0.14024442407507226"/>
  </r>
  <r>
    <s v="CC005-JBA-08132021"/>
    <s v="Down"/>
    <x v="0"/>
    <s v="Dace. Sp"/>
    <s v="Clinostomus"/>
    <s v="gibbosus"/>
    <s v="U"/>
    <x v="0"/>
    <n v="8"/>
    <n v="11.81"/>
    <x v="33"/>
    <s v="39108-34-4"/>
    <x v="33"/>
    <n v="29.5"/>
  </r>
  <r>
    <s v="CC005-JBA-08132021"/>
    <s v="Down"/>
    <x v="0"/>
    <s v="Dace. Sp"/>
    <s v="Clinostomus"/>
    <s v="gibbosus"/>
    <s v="U"/>
    <x v="0"/>
    <n v="8"/>
    <n v="11.81"/>
    <x v="34"/>
    <s v="120226-60-0"/>
    <x v="34"/>
    <n v="4.08"/>
  </r>
  <r>
    <s v="CC005-JBA-08132021"/>
    <s v="Down"/>
    <x v="0"/>
    <s v="Dace. Sp"/>
    <s v="Clinostomus"/>
    <s v="gibbosus"/>
    <s v="U"/>
    <x v="0"/>
    <n v="8"/>
    <n v="11.81"/>
    <x v="35"/>
    <s v="356-02-5"/>
    <x v="35"/>
    <n v="8.3738252563351795E-2"/>
  </r>
  <r>
    <s v="CC005-JBA-08132021"/>
    <s v="Down"/>
    <x v="0"/>
    <s v="Dace. Sp"/>
    <s v="Clinostomus"/>
    <s v="gibbosus"/>
    <s v="U"/>
    <x v="0"/>
    <n v="8"/>
    <n v="11.81"/>
    <x v="36"/>
    <s v="914637-49-3"/>
    <x v="36"/>
    <n v="3.68"/>
  </r>
  <r>
    <s v="CC005-JBA-08132021"/>
    <s v="Down"/>
    <x v="0"/>
    <s v="Dace. Sp"/>
    <s v="Clinostomus"/>
    <s v="gibbosus"/>
    <s v="U"/>
    <x v="0"/>
    <n v="8"/>
    <n v="11.81"/>
    <x v="37"/>
    <s v="812-70-4"/>
    <x v="37"/>
    <n v="18"/>
  </r>
  <r>
    <s v="CC005-JBA-08132021"/>
    <s v="Down"/>
    <x v="0"/>
    <s v="Dace. Sp"/>
    <s v="Clinostomus"/>
    <s v="gibbosus"/>
    <s v="U"/>
    <x v="0"/>
    <n v="8"/>
    <n v="11.81"/>
    <x v="38"/>
    <s v="53826-12-3"/>
    <x v="38"/>
    <n v="3.12"/>
  </r>
  <r>
    <s v="CC005-JBA-08132021"/>
    <s v="Down"/>
    <x v="0"/>
    <s v="Dace. Sp"/>
    <s v="Clinostomus"/>
    <s v="gibbosus"/>
    <s v="U"/>
    <x v="0"/>
    <n v="8"/>
    <n v="11.81"/>
    <x v="39"/>
    <s v="27854-31-5"/>
    <x v="39"/>
    <n v="2.9038253058695989E-2"/>
  </r>
  <r>
    <s v="CC005-JBA-08132021"/>
    <s v="Down"/>
    <x v="0"/>
    <s v="Dace. Sp"/>
    <s v="Clinostomus"/>
    <s v="gibbosus"/>
    <s v="U"/>
    <x v="0"/>
    <n v="8"/>
    <n v="11.81"/>
    <x v="40"/>
    <s v="53826-13-4"/>
    <x v="40"/>
    <n v="0.10832665913490205"/>
  </r>
  <r>
    <s v="CC005-JBA-08132021"/>
    <s v="Down"/>
    <x v="0"/>
    <s v="Dace. Sp"/>
    <s v="Clinostomus"/>
    <s v="gibbosus"/>
    <s v="U"/>
    <x v="0"/>
    <n v="8"/>
    <n v="11.81"/>
    <x v="41"/>
    <s v="161094-75-3"/>
    <x v="41"/>
    <n v="5.7001840163969336E-2"/>
  </r>
  <r>
    <s v="CC005-JBA-08132021"/>
    <s v="Down"/>
    <x v="0"/>
    <s v="Dace. Sp"/>
    <s v="Clinostomus"/>
    <s v="gibbosus"/>
    <s v="U"/>
    <x v="0"/>
    <n v="8"/>
    <n v="11.81"/>
    <x v="42"/>
    <s v="70887-84-2"/>
    <x v="42"/>
    <n v="4.3869869596092417E-2"/>
  </r>
  <r>
    <s v="CC005-JBA-08132021"/>
    <s v="Down"/>
    <x v="0"/>
    <s v="Dace. Sp"/>
    <s v="Clinostomus"/>
    <s v="gibbosus"/>
    <s v="U"/>
    <x v="0"/>
    <n v="8"/>
    <n v="11.81"/>
    <x v="43"/>
    <s v="919005-14-4"/>
    <x v="43"/>
    <n v="7.2595632646739974E-2"/>
  </r>
  <r>
    <s v="CC005-JBA-08132021"/>
    <s v="Down"/>
    <x v="0"/>
    <s v="Dace. Sp"/>
    <s v="Clinostomus"/>
    <s v="gibbosus"/>
    <s v="U"/>
    <x v="0"/>
    <n v="8"/>
    <n v="11.81"/>
    <x v="44"/>
    <s v="756426-58-1"/>
    <x v="44"/>
    <n v="5.0389110598913968E-2"/>
  </r>
  <r>
    <s v="CC005-JBA-08132021"/>
    <s v="Down"/>
    <x v="0"/>
    <s v="Dace. Sp"/>
    <s v="Clinostomus"/>
    <s v="gibbosus"/>
    <s v="U"/>
    <x v="0"/>
    <n v="8"/>
    <n v="11.81"/>
    <x v="45"/>
    <s v="763051-92-9"/>
    <x v="45"/>
    <n v="5.7204672158752121E-2"/>
  </r>
  <r>
    <s v="CC005-JBA-08132021"/>
    <s v="Down"/>
    <x v="0"/>
    <s v="Dace. Sp"/>
    <s v="Clinostomus"/>
    <s v="gibbosus"/>
    <s v="U"/>
    <x v="0"/>
    <n v="8"/>
    <n v="11.81"/>
    <x v="46"/>
    <s v="13252-13-6"/>
    <x v="46"/>
    <n v="0.10417680654014055"/>
  </r>
  <r>
    <s v="CC005-JBA-08132021"/>
    <s v="Down"/>
    <x v="0"/>
    <s v="Dace. Sp"/>
    <s v="Clinostomus"/>
    <s v="gibbosus"/>
    <s v="U"/>
    <x v="0"/>
    <n v="8"/>
    <n v="11.81"/>
    <x v="47"/>
    <s v="57677-95-9"/>
    <x v="47"/>
    <n v="7.7280151541205294E-2"/>
  </r>
  <r>
    <s v="CC005-JBA-08132021"/>
    <s v="Down"/>
    <x v="0"/>
    <s v="Dace. Sp"/>
    <s v="Clinostomus"/>
    <s v="gibbosus"/>
    <s v="U"/>
    <x v="0"/>
    <n v="8"/>
    <n v="11.81"/>
    <x v="48"/>
    <s v="678-41-1"/>
    <x v="48"/>
    <n v="9.6248306647678875E-2"/>
  </r>
  <r>
    <s v="CC005-JBA-08132021"/>
    <s v="Down"/>
    <x v="0"/>
    <s v="Dace. Sp"/>
    <s v="Clinostomus"/>
    <s v="gibbosus"/>
    <s v="U"/>
    <x v="0"/>
    <n v="8"/>
    <n v="11.81"/>
    <x v="49"/>
    <s v="2965-52-8"/>
    <x v="49"/>
    <n v="0.12776831345826234"/>
  </r>
  <r>
    <s v="SM001-JBA-08132021"/>
    <s v="Down"/>
    <x v="0"/>
    <s v="Dace. Sp"/>
    <s v="Clinostomus"/>
    <s v="gibbosus"/>
    <s v="U"/>
    <x v="0"/>
    <n v="8"/>
    <n v="11.81"/>
    <x v="0"/>
    <s v="375-22-4"/>
    <x v="0"/>
    <n v="2.8156852439321981E-2"/>
  </r>
  <r>
    <s v="SM001-JBA-08132021"/>
    <s v="Down"/>
    <x v="0"/>
    <s v="Dace. Sp"/>
    <s v="Clinostomus"/>
    <s v="gibbosus"/>
    <s v="U"/>
    <x v="0"/>
    <n v="8"/>
    <n v="11.81"/>
    <x v="1"/>
    <s v="2706-90-3"/>
    <x v="1"/>
    <n v="4.9734947355461495E-2"/>
  </r>
  <r>
    <s v="SM001-JBA-08132021"/>
    <s v="Down"/>
    <x v="0"/>
    <s v="Dace. Sp"/>
    <s v="Clinostomus"/>
    <s v="gibbosus"/>
    <s v="U"/>
    <x v="0"/>
    <n v="8"/>
    <n v="11.81"/>
    <x v="2"/>
    <s v="307-24-4"/>
    <x v="2"/>
    <n v="0.379"/>
  </r>
  <r>
    <s v="SM001-JBA-08132021"/>
    <s v="Down"/>
    <x v="0"/>
    <s v="Dace. Sp"/>
    <s v="Clinostomus"/>
    <s v="gibbosus"/>
    <s v="U"/>
    <x v="0"/>
    <n v="8"/>
    <n v="11.81"/>
    <x v="3"/>
    <s v="375-85-9"/>
    <x v="3"/>
    <n v="9.7171237313755127E-2"/>
  </r>
  <r>
    <s v="SM001-JBA-08132021"/>
    <s v="Down"/>
    <x v="0"/>
    <s v="Dace. Sp"/>
    <s v="Clinostomus"/>
    <s v="gibbosus"/>
    <s v="U"/>
    <x v="0"/>
    <n v="8"/>
    <n v="11.81"/>
    <x v="4"/>
    <s v="335-67-1"/>
    <x v="4"/>
    <n v="2.21"/>
  </r>
  <r>
    <s v="SM001-JBA-08132021"/>
    <s v="Down"/>
    <x v="0"/>
    <s v="Dace. Sp"/>
    <s v="Clinostomus"/>
    <s v="gibbosus"/>
    <s v="U"/>
    <x v="0"/>
    <n v="8"/>
    <n v="11.81"/>
    <x v="5"/>
    <s v="375-95-1"/>
    <x v="5"/>
    <n v="6.46"/>
  </r>
  <r>
    <s v="SM001-JBA-08132021"/>
    <s v="Down"/>
    <x v="0"/>
    <s v="Dace. Sp"/>
    <s v="Clinostomus"/>
    <s v="gibbosus"/>
    <s v="U"/>
    <x v="0"/>
    <n v="8"/>
    <n v="11.81"/>
    <x v="6"/>
    <s v="335-76-2"/>
    <x v="6"/>
    <n v="11.4"/>
  </r>
  <r>
    <s v="SM001-JBA-08132021"/>
    <s v="Down"/>
    <x v="0"/>
    <s v="Dace. Sp"/>
    <s v="Clinostomus"/>
    <s v="gibbosus"/>
    <s v="U"/>
    <x v="0"/>
    <n v="8"/>
    <n v="11.81"/>
    <x v="7"/>
    <s v="2058-94-8"/>
    <x v="7"/>
    <n v="17.3"/>
  </r>
  <r>
    <s v="SM001-JBA-08132021"/>
    <s v="Down"/>
    <x v="0"/>
    <s v="Dace. Sp"/>
    <s v="Clinostomus"/>
    <s v="gibbosus"/>
    <s v="U"/>
    <x v="0"/>
    <n v="8"/>
    <n v="11.81"/>
    <x v="8"/>
    <s v="307-55-1"/>
    <x v="8"/>
    <n v="0.39900000000000002"/>
  </r>
  <r>
    <s v="SM001-JBA-08132021"/>
    <s v="Down"/>
    <x v="0"/>
    <s v="Dace. Sp"/>
    <s v="Clinostomus"/>
    <s v="gibbosus"/>
    <s v="U"/>
    <x v="0"/>
    <n v="8"/>
    <n v="11.81"/>
    <x v="9"/>
    <s v="72629-94-8"/>
    <x v="9"/>
    <n v="7.22"/>
  </r>
  <r>
    <s v="SM001-JBA-08132021"/>
    <s v="Down"/>
    <x v="0"/>
    <s v="Dace. Sp"/>
    <s v="Clinostomus"/>
    <s v="gibbosus"/>
    <s v="U"/>
    <x v="0"/>
    <n v="8"/>
    <n v="11.81"/>
    <x v="10"/>
    <s v="376-06-7"/>
    <x v="10"/>
    <n v="9.8000000000000007"/>
  </r>
  <r>
    <s v="SM001-JBA-08132021"/>
    <s v="Down"/>
    <x v="0"/>
    <s v="Dace. Sp"/>
    <s v="Clinostomus"/>
    <s v="gibbosus"/>
    <s v="U"/>
    <x v="0"/>
    <n v="8"/>
    <n v="11.81"/>
    <x v="11"/>
    <s v="67905-19-5"/>
    <x v="11"/>
    <n v="8.3893351805698943E-2"/>
  </r>
  <r>
    <s v="SM001-JBA-08132021"/>
    <s v="Down"/>
    <x v="0"/>
    <s v="Dace. Sp"/>
    <s v="Clinostomus"/>
    <s v="gibbosus"/>
    <s v="U"/>
    <x v="0"/>
    <n v="8"/>
    <n v="11.81"/>
    <x v="12"/>
    <s v="423-41-6"/>
    <x v="12"/>
    <n v="5.3705904284018169E-2"/>
  </r>
  <r>
    <s v="SM001-JBA-08132021"/>
    <s v="Down"/>
    <x v="0"/>
    <s v="Dace. Sp"/>
    <s v="Clinostomus"/>
    <s v="gibbosus"/>
    <s v="U"/>
    <x v="0"/>
    <n v="8"/>
    <n v="11.81"/>
    <x v="13"/>
    <s v="375-73-5"/>
    <x v="13"/>
    <n v="0.16533912423099761"/>
  </r>
  <r>
    <s v="SM001-JBA-08132021"/>
    <s v="Down"/>
    <x v="0"/>
    <s v="Dace. Sp"/>
    <s v="Clinostomus"/>
    <s v="gibbosus"/>
    <s v="U"/>
    <x v="0"/>
    <n v="8"/>
    <n v="11.81"/>
    <x v="14"/>
    <s v="2706-91-4"/>
    <x v="14"/>
    <n v="0.442"/>
  </r>
  <r>
    <s v="SM001-JBA-08132021"/>
    <s v="Down"/>
    <x v="0"/>
    <s v="Dace. Sp"/>
    <s v="Clinostomus"/>
    <s v="gibbosus"/>
    <s v="U"/>
    <x v="0"/>
    <n v="8"/>
    <n v="11.81"/>
    <x v="15"/>
    <s v="355-46-4"/>
    <x v="15"/>
    <n v="16.7"/>
  </r>
  <r>
    <s v="SM001-JBA-08132021"/>
    <s v="Down"/>
    <x v="0"/>
    <s v="Dace. Sp"/>
    <s v="Clinostomus"/>
    <s v="gibbosus"/>
    <s v="U"/>
    <x v="0"/>
    <n v="8"/>
    <n v="11.81"/>
    <x v="16"/>
    <s v="375-92-8"/>
    <x v="16"/>
    <n v="7.39"/>
  </r>
  <r>
    <s v="SM001-JBA-08132021"/>
    <s v="Down"/>
    <x v="0"/>
    <s v="Dace. Sp"/>
    <s v="Clinostomus"/>
    <s v="gibbosus"/>
    <s v="U"/>
    <x v="0"/>
    <n v="8"/>
    <n v="11.81"/>
    <x v="17"/>
    <s v="1763-23-1"/>
    <x v="17"/>
    <n v="1750"/>
  </r>
  <r>
    <s v="SM001-JBA-08132021"/>
    <s v="Down"/>
    <x v="0"/>
    <s v="Dace. Sp"/>
    <s v="Clinostomus"/>
    <s v="gibbosus"/>
    <s v="U"/>
    <x v="0"/>
    <n v="8"/>
    <n v="11.81"/>
    <x v="18"/>
    <s v="68259-12-1"/>
    <x v="18"/>
    <n v="1.35"/>
  </r>
  <r>
    <s v="SM001-JBA-08132021"/>
    <s v="Down"/>
    <x v="0"/>
    <s v="Dace. Sp"/>
    <s v="Clinostomus"/>
    <s v="gibbosus"/>
    <s v="U"/>
    <x v="0"/>
    <n v="8"/>
    <n v="11.81"/>
    <x v="19"/>
    <s v="335-77-3"/>
    <x v="19"/>
    <n v="4.74"/>
  </r>
  <r>
    <s v="SM001-JBA-08132021"/>
    <s v="Down"/>
    <x v="0"/>
    <s v="Dace. Sp"/>
    <s v="Clinostomus"/>
    <s v="gibbosus"/>
    <s v="U"/>
    <x v="0"/>
    <n v="8"/>
    <n v="11.81"/>
    <x v="20"/>
    <s v="79780-39-5"/>
    <x v="20"/>
    <n v="1.1100000000000001"/>
  </r>
  <r>
    <s v="SM001-JBA-08132021"/>
    <s v="Down"/>
    <x v="0"/>
    <s v="Dace. Sp"/>
    <s v="Clinostomus"/>
    <s v="gibbosus"/>
    <s v="U"/>
    <x v="0"/>
    <n v="8"/>
    <n v="11.81"/>
    <x v="21"/>
    <s v="777011-38-8"/>
    <x v="21"/>
    <n v="0.14762356215819475"/>
  </r>
  <r>
    <s v="SM001-JBA-08132021"/>
    <s v="Down"/>
    <x v="0"/>
    <s v="Dace. Sp"/>
    <s v="Clinostomus"/>
    <s v="gibbosus"/>
    <s v="U"/>
    <x v="0"/>
    <n v="8"/>
    <n v="11.81"/>
    <x v="22"/>
    <s v="646-83-3"/>
    <x v="22"/>
    <n v="0.57599999999999996"/>
  </r>
  <r>
    <s v="SM001-JBA-08132021"/>
    <s v="Down"/>
    <x v="0"/>
    <s v="Dace. Sp"/>
    <s v="Clinostomus"/>
    <s v="gibbosus"/>
    <s v="U"/>
    <x v="0"/>
    <n v="8"/>
    <n v="11.81"/>
    <x v="23"/>
    <s v="30334-69-1"/>
    <x v="23"/>
    <n v="185"/>
  </r>
  <r>
    <s v="SM001-JBA-08132021"/>
    <s v="Down"/>
    <x v="0"/>
    <s v="Dace. Sp"/>
    <s v="Clinostomus"/>
    <s v="gibbosus"/>
    <s v="U"/>
    <x v="0"/>
    <n v="8"/>
    <n v="11.81"/>
    <x v="24"/>
    <s v="41997-13-1"/>
    <x v="24"/>
    <n v="1050"/>
  </r>
  <r>
    <s v="SM001-JBA-08132021"/>
    <s v="Down"/>
    <x v="0"/>
    <s v="Dace. Sp"/>
    <s v="Clinostomus"/>
    <s v="gibbosus"/>
    <s v="U"/>
    <x v="0"/>
    <n v="8"/>
    <n v="11.81"/>
    <x v="25"/>
    <s v="754-91-6"/>
    <x v="25"/>
    <n v="93.4"/>
  </r>
  <r>
    <s v="SM001-JBA-08132021"/>
    <s v="Down"/>
    <x v="0"/>
    <s v="Dace. Sp"/>
    <s v="Clinostomus"/>
    <s v="gibbosus"/>
    <s v="U"/>
    <x v="0"/>
    <n v="8"/>
    <n v="11.81"/>
    <x v="26"/>
    <s v="31506-32-8"/>
    <x v="26"/>
    <n v="5.4228917295065036E-2"/>
  </r>
  <r>
    <s v="SM001-JBA-08132021"/>
    <s v="Down"/>
    <x v="0"/>
    <s v="Dace. Sp"/>
    <s v="Clinostomus"/>
    <s v="gibbosus"/>
    <s v="U"/>
    <x v="0"/>
    <n v="8"/>
    <n v="11.81"/>
    <x v="27"/>
    <s v="4151-50-2"/>
    <x v="27"/>
    <n v="8.2144672233636168E-2"/>
  </r>
  <r>
    <s v="SM001-JBA-08132021"/>
    <s v="Down"/>
    <x v="0"/>
    <s v="Dace. Sp"/>
    <s v="Clinostomus"/>
    <s v="gibbosus"/>
    <s v="U"/>
    <x v="0"/>
    <n v="8"/>
    <n v="11.81"/>
    <x v="28"/>
    <s v="2806-24-8"/>
    <x v="28"/>
    <n v="5.5485556362791656E-2"/>
  </r>
  <r>
    <s v="SM001-JBA-08132021"/>
    <s v="Down"/>
    <x v="0"/>
    <s v="Dace. Sp"/>
    <s v="Clinostomus"/>
    <s v="gibbosus"/>
    <s v="U"/>
    <x v="0"/>
    <n v="8"/>
    <n v="11.81"/>
    <x v="29"/>
    <s v="2355-31-9"/>
    <x v="29"/>
    <n v="7.081802652952715E-2"/>
  </r>
  <r>
    <s v="SM001-JBA-08132021"/>
    <s v="Down"/>
    <x v="0"/>
    <s v="Dace. Sp"/>
    <s v="Clinostomus"/>
    <s v="gibbosus"/>
    <s v="U"/>
    <x v="0"/>
    <n v="8"/>
    <n v="11.81"/>
    <x v="30"/>
    <s v="2991-50-6"/>
    <x v="30"/>
    <n v="6.1099698628432786E-2"/>
  </r>
  <r>
    <s v="SM001-JBA-08132021"/>
    <s v="Down"/>
    <x v="0"/>
    <s v="Dace. Sp"/>
    <s v="Clinostomus"/>
    <s v="gibbosus"/>
    <s v="U"/>
    <x v="0"/>
    <n v="8"/>
    <n v="11.81"/>
    <x v="31"/>
    <s v="757124-72-4"/>
    <x v="31"/>
    <n v="5.7819287815403672E-2"/>
  </r>
  <r>
    <s v="SM001-JBA-08132021"/>
    <s v="Down"/>
    <x v="0"/>
    <s v="Dace. Sp"/>
    <s v="Clinostomus"/>
    <s v="gibbosus"/>
    <s v="U"/>
    <x v="0"/>
    <n v="8"/>
    <n v="11.81"/>
    <x v="32"/>
    <s v="27619-97-2"/>
    <x v="32"/>
    <n v="3.89"/>
  </r>
  <r>
    <s v="SM001-JBA-08132021"/>
    <s v="Down"/>
    <x v="0"/>
    <s v="Dace. Sp"/>
    <s v="Clinostomus"/>
    <s v="gibbosus"/>
    <s v="U"/>
    <x v="0"/>
    <n v="8"/>
    <n v="11.81"/>
    <x v="33"/>
    <s v="39108-34-4"/>
    <x v="33"/>
    <n v="15.1"/>
  </r>
  <r>
    <s v="SM001-JBA-08132021"/>
    <s v="Down"/>
    <x v="0"/>
    <s v="Dace. Sp"/>
    <s v="Clinostomus"/>
    <s v="gibbosus"/>
    <s v="U"/>
    <x v="0"/>
    <n v="8"/>
    <n v="11.81"/>
    <x v="34"/>
    <s v="120226-60-0"/>
    <x v="34"/>
    <n v="0.27583647648456056"/>
  </r>
  <r>
    <s v="SM001-JBA-08132021"/>
    <s v="Down"/>
    <x v="0"/>
    <s v="Dace. Sp"/>
    <s v="Clinostomus"/>
    <s v="gibbosus"/>
    <s v="U"/>
    <x v="0"/>
    <n v="8"/>
    <n v="11.81"/>
    <x v="35"/>
    <s v="356-02-5"/>
    <x v="35"/>
    <n v="8.1196538103964488E-2"/>
  </r>
  <r>
    <s v="SM001-JBA-08132021"/>
    <s v="Down"/>
    <x v="0"/>
    <s v="Dace. Sp"/>
    <s v="Clinostomus"/>
    <s v="gibbosus"/>
    <s v="U"/>
    <x v="0"/>
    <n v="8"/>
    <n v="11.81"/>
    <x v="36"/>
    <s v="914637-49-3"/>
    <x v="36"/>
    <n v="2.61"/>
  </r>
  <r>
    <s v="SM001-JBA-08132021"/>
    <s v="Down"/>
    <x v="0"/>
    <s v="Dace. Sp"/>
    <s v="Clinostomus"/>
    <s v="gibbosus"/>
    <s v="U"/>
    <x v="0"/>
    <n v="8"/>
    <n v="11.81"/>
    <x v="37"/>
    <s v="812-70-4"/>
    <x v="37"/>
    <n v="0.19563498035273158"/>
  </r>
  <r>
    <s v="SM001-JBA-08132021"/>
    <s v="Down"/>
    <x v="0"/>
    <s v="Dace. Sp"/>
    <s v="Clinostomus"/>
    <s v="gibbosus"/>
    <s v="U"/>
    <x v="0"/>
    <n v="8"/>
    <n v="11.81"/>
    <x v="38"/>
    <s v="53826-12-3"/>
    <x v="38"/>
    <n v="4.3"/>
  </r>
  <r>
    <s v="SM001-JBA-08132021"/>
    <s v="Down"/>
    <x v="0"/>
    <s v="Dace. Sp"/>
    <s v="Clinostomus"/>
    <s v="gibbosus"/>
    <s v="U"/>
    <x v="0"/>
    <n v="8"/>
    <n v="11.81"/>
    <x v="39"/>
    <s v="27854-31-5"/>
    <x v="39"/>
    <n v="2.81"/>
  </r>
  <r>
    <s v="SM001-JBA-08132021"/>
    <s v="Down"/>
    <x v="0"/>
    <s v="Dace. Sp"/>
    <s v="Clinostomus"/>
    <s v="gibbosus"/>
    <s v="U"/>
    <x v="0"/>
    <n v="8"/>
    <n v="11.81"/>
    <x v="40"/>
    <s v="53826-13-4"/>
    <x v="40"/>
    <n v="0.1050386106333884"/>
  </r>
  <r>
    <s v="SM001-JBA-08132021"/>
    <s v="Down"/>
    <x v="0"/>
    <s v="Dace. Sp"/>
    <s v="Clinostomus"/>
    <s v="gibbosus"/>
    <s v="U"/>
    <x v="0"/>
    <n v="8"/>
    <n v="11.81"/>
    <x v="41"/>
    <s v="161094-75-3"/>
    <x v="41"/>
    <n v="5.5271658354325834E-2"/>
  </r>
  <r>
    <s v="SM001-JBA-08132021"/>
    <s v="Down"/>
    <x v="0"/>
    <s v="Dace. Sp"/>
    <s v="Clinostomus"/>
    <s v="gibbosus"/>
    <s v="U"/>
    <x v="0"/>
    <n v="8"/>
    <n v="11.81"/>
    <x v="42"/>
    <s v="70887-84-2"/>
    <x v="42"/>
    <n v="4.2538283630652492E-2"/>
  </r>
  <r>
    <s v="SM001-JBA-08132021"/>
    <s v="Down"/>
    <x v="0"/>
    <s v="Dace. Sp"/>
    <s v="Clinostomus"/>
    <s v="gibbosus"/>
    <s v="U"/>
    <x v="0"/>
    <n v="8"/>
    <n v="11.81"/>
    <x v="43"/>
    <s v="919005-14-4"/>
    <x v="43"/>
    <n v="7.0392131098304958E-2"/>
  </r>
  <r>
    <s v="SM001-JBA-08132021"/>
    <s v="Down"/>
    <x v="0"/>
    <s v="Dace. Sp"/>
    <s v="Clinostomus"/>
    <s v="gibbosus"/>
    <s v="U"/>
    <x v="0"/>
    <n v="8"/>
    <n v="11.81"/>
    <x v="44"/>
    <s v="756426-58-1"/>
    <x v="44"/>
    <n v="4.8859645544600455E-2"/>
  </r>
  <r>
    <s v="SM001-JBA-08132021"/>
    <s v="Down"/>
    <x v="0"/>
    <s v="Dace. Sp"/>
    <s v="Clinostomus"/>
    <s v="gibbosus"/>
    <s v="U"/>
    <x v="0"/>
    <n v="8"/>
    <n v="11.81"/>
    <x v="45"/>
    <s v="763051-92-9"/>
    <x v="45"/>
    <n v="5.5468333771938876E-2"/>
  </r>
  <r>
    <s v="SM001-JBA-08132021"/>
    <s v="Down"/>
    <x v="0"/>
    <s v="Dace. Sp"/>
    <s v="Clinostomus"/>
    <s v="gibbosus"/>
    <s v="U"/>
    <x v="0"/>
    <n v="8"/>
    <n v="11.81"/>
    <x v="46"/>
    <s v="13252-13-6"/>
    <x v="46"/>
    <n v="0.10101471887518068"/>
  </r>
  <r>
    <s v="SM001-JBA-08132021"/>
    <s v="Down"/>
    <x v="0"/>
    <s v="Dace. Sp"/>
    <s v="Clinostomus"/>
    <s v="gibbosus"/>
    <s v="U"/>
    <x v="0"/>
    <n v="8"/>
    <n v="11.81"/>
    <x v="47"/>
    <s v="57677-95-9"/>
    <x v="47"/>
    <n v="7.4934460383543261E-2"/>
  </r>
  <r>
    <s v="SM001-JBA-08132021"/>
    <s v="Down"/>
    <x v="0"/>
    <s v="Dace. Sp"/>
    <s v="Clinostomus"/>
    <s v="gibbosus"/>
    <s v="U"/>
    <x v="0"/>
    <n v="8"/>
    <n v="11.81"/>
    <x v="48"/>
    <s v="678-41-1"/>
    <x v="48"/>
    <n v="9.332687342917613E-2"/>
  </r>
  <r>
    <s v="SM001-JBA-08132021"/>
    <s v="Down"/>
    <x v="0"/>
    <s v="Dace. Sp"/>
    <s v="Clinostomus"/>
    <s v="gibbosus"/>
    <s v="U"/>
    <x v="0"/>
    <n v="8"/>
    <n v="11.81"/>
    <x v="49"/>
    <s v="2965-52-8"/>
    <x v="49"/>
    <n v="0.12389015073301672"/>
  </r>
  <r>
    <s v="SM002-JBA-08132021"/>
    <s v="Down"/>
    <x v="0"/>
    <s v="Dace. Sp"/>
    <s v="Clinostomus"/>
    <s v="gibbosus"/>
    <s v="U"/>
    <x v="0"/>
    <n v="8"/>
    <n v="11.81"/>
    <x v="0"/>
    <s v="375-22-4"/>
    <x v="0"/>
    <n v="2.9445829489016705E-2"/>
  </r>
  <r>
    <s v="SM002-JBA-08132021"/>
    <s v="Down"/>
    <x v="0"/>
    <s v="Dace. Sp"/>
    <s v="Clinostomus"/>
    <s v="gibbosus"/>
    <s v="U"/>
    <x v="0"/>
    <n v="8"/>
    <n v="11.81"/>
    <x v="1"/>
    <s v="2706-90-3"/>
    <x v="1"/>
    <n v="5.2011736135283961E-2"/>
  </r>
  <r>
    <s v="SM002-JBA-08132021"/>
    <s v="Down"/>
    <x v="0"/>
    <s v="Dace. Sp"/>
    <s v="Clinostomus"/>
    <s v="gibbosus"/>
    <s v="U"/>
    <x v="0"/>
    <n v="8"/>
    <n v="11.81"/>
    <x v="2"/>
    <s v="307-24-4"/>
    <x v="2"/>
    <n v="3.9729142069369464E-2"/>
  </r>
  <r>
    <s v="SM002-JBA-08132021"/>
    <s v="Down"/>
    <x v="0"/>
    <s v="Dace. Sp"/>
    <s v="Clinostomus"/>
    <s v="gibbosus"/>
    <s v="U"/>
    <x v="0"/>
    <n v="8"/>
    <n v="11.81"/>
    <x v="3"/>
    <s v="375-85-9"/>
    <x v="3"/>
    <n v="2.9445829489016705E-2"/>
  </r>
  <r>
    <s v="SM002-JBA-08132021"/>
    <s v="Down"/>
    <x v="0"/>
    <s v="Dace. Sp"/>
    <s v="Clinostomus"/>
    <s v="gibbosus"/>
    <s v="U"/>
    <x v="0"/>
    <n v="8"/>
    <n v="11.81"/>
    <x v="4"/>
    <s v="335-67-1"/>
    <x v="4"/>
    <n v="1.47"/>
  </r>
  <r>
    <s v="SM002-JBA-08132021"/>
    <s v="Down"/>
    <x v="0"/>
    <s v="Dace. Sp"/>
    <s v="Clinostomus"/>
    <s v="gibbosus"/>
    <s v="U"/>
    <x v="0"/>
    <n v="8"/>
    <n v="11.81"/>
    <x v="5"/>
    <s v="375-95-1"/>
    <x v="5"/>
    <n v="2.96"/>
  </r>
  <r>
    <s v="SM002-JBA-08132021"/>
    <s v="Down"/>
    <x v="0"/>
    <s v="Dace. Sp"/>
    <s v="Clinostomus"/>
    <s v="gibbosus"/>
    <s v="U"/>
    <x v="0"/>
    <n v="8"/>
    <n v="11.81"/>
    <x v="6"/>
    <s v="335-76-2"/>
    <x v="6"/>
    <n v="7.61"/>
  </r>
  <r>
    <s v="SM002-JBA-08132021"/>
    <s v="Down"/>
    <x v="0"/>
    <s v="Dace. Sp"/>
    <s v="Clinostomus"/>
    <s v="gibbosus"/>
    <s v="U"/>
    <x v="0"/>
    <n v="8"/>
    <n v="11.81"/>
    <x v="7"/>
    <s v="2058-94-8"/>
    <x v="7"/>
    <n v="16.100000000000001"/>
  </r>
  <r>
    <s v="SM002-JBA-08132021"/>
    <s v="Down"/>
    <x v="0"/>
    <s v="Dace. Sp"/>
    <s v="Clinostomus"/>
    <s v="gibbosus"/>
    <s v="U"/>
    <x v="0"/>
    <n v="8"/>
    <n v="11.81"/>
    <x v="8"/>
    <s v="307-55-1"/>
    <x v="8"/>
    <n v="5.8776810542539408E-2"/>
  </r>
  <r>
    <s v="SM002-JBA-08132021"/>
    <s v="Down"/>
    <x v="0"/>
    <s v="Dace. Sp"/>
    <s v="Clinostomus"/>
    <s v="gibbosus"/>
    <s v="U"/>
    <x v="0"/>
    <n v="8"/>
    <n v="11.81"/>
    <x v="9"/>
    <s v="72629-94-8"/>
    <x v="9"/>
    <n v="7.19"/>
  </r>
  <r>
    <s v="SM002-JBA-08132021"/>
    <s v="Down"/>
    <x v="0"/>
    <s v="Dace. Sp"/>
    <s v="Clinostomus"/>
    <s v="gibbosus"/>
    <s v="U"/>
    <x v="0"/>
    <n v="8"/>
    <n v="11.81"/>
    <x v="10"/>
    <s v="376-06-7"/>
    <x v="10"/>
    <n v="7.71"/>
  </r>
  <r>
    <s v="SM002-JBA-08132021"/>
    <s v="Down"/>
    <x v="0"/>
    <s v="Dace. Sp"/>
    <s v="Clinostomus"/>
    <s v="gibbosus"/>
    <s v="U"/>
    <x v="0"/>
    <n v="8"/>
    <n v="11.81"/>
    <x v="11"/>
    <s v="67905-19-5"/>
    <x v="11"/>
    <n v="8.7733859381343121E-2"/>
  </r>
  <r>
    <s v="SM002-JBA-08132021"/>
    <s v="Down"/>
    <x v="0"/>
    <s v="Dace. Sp"/>
    <s v="Clinostomus"/>
    <s v="gibbosus"/>
    <s v="U"/>
    <x v="0"/>
    <n v="8"/>
    <n v="11.81"/>
    <x v="12"/>
    <s v="423-41-6"/>
    <x v="12"/>
    <n v="5.6164477315374647E-2"/>
  </r>
  <r>
    <s v="SM002-JBA-08132021"/>
    <s v="Down"/>
    <x v="0"/>
    <s v="Dace. Sp"/>
    <s v="Clinostomus"/>
    <s v="gibbosus"/>
    <s v="U"/>
    <x v="0"/>
    <n v="8"/>
    <n v="11.81"/>
    <x v="13"/>
    <s v="375-73-5"/>
    <x v="13"/>
    <n v="5.010276491848413E-2"/>
  </r>
  <r>
    <s v="SM002-JBA-08132021"/>
    <s v="Down"/>
    <x v="0"/>
    <s v="Dace. Sp"/>
    <s v="Clinostomus"/>
    <s v="gibbosus"/>
    <s v="U"/>
    <x v="0"/>
    <n v="8"/>
    <n v="11.81"/>
    <x v="14"/>
    <s v="2706-91-4"/>
    <x v="14"/>
    <n v="0.25800000000000001"/>
  </r>
  <r>
    <s v="SM002-JBA-08132021"/>
    <s v="Down"/>
    <x v="0"/>
    <s v="Dace. Sp"/>
    <s v="Clinostomus"/>
    <s v="gibbosus"/>
    <s v="U"/>
    <x v="0"/>
    <n v="8"/>
    <n v="11.81"/>
    <x v="15"/>
    <s v="355-46-4"/>
    <x v="15"/>
    <n v="38"/>
  </r>
  <r>
    <s v="SM002-JBA-08132021"/>
    <s v="Down"/>
    <x v="0"/>
    <s v="Dace. Sp"/>
    <s v="Clinostomus"/>
    <s v="gibbosus"/>
    <s v="U"/>
    <x v="0"/>
    <n v="8"/>
    <n v="11.81"/>
    <x v="16"/>
    <s v="375-92-8"/>
    <x v="16"/>
    <n v="9.9600000000000009"/>
  </r>
  <r>
    <s v="SM002-JBA-08132021"/>
    <s v="Down"/>
    <x v="0"/>
    <s v="Dace. Sp"/>
    <s v="Clinostomus"/>
    <s v="gibbosus"/>
    <s v="U"/>
    <x v="0"/>
    <n v="8"/>
    <n v="11.81"/>
    <x v="17"/>
    <s v="1763-23-1"/>
    <x v="17"/>
    <n v="1260"/>
  </r>
  <r>
    <s v="SM002-JBA-08132021"/>
    <s v="Down"/>
    <x v="0"/>
    <s v="Dace. Sp"/>
    <s v="Clinostomus"/>
    <s v="gibbosus"/>
    <s v="U"/>
    <x v="0"/>
    <n v="8"/>
    <n v="11.81"/>
    <x v="18"/>
    <s v="68259-12-1"/>
    <x v="18"/>
    <n v="2.73"/>
  </r>
  <r>
    <s v="SM002-JBA-08132021"/>
    <s v="Down"/>
    <x v="0"/>
    <s v="Dace. Sp"/>
    <s v="Clinostomus"/>
    <s v="gibbosus"/>
    <s v="U"/>
    <x v="0"/>
    <n v="8"/>
    <n v="11.81"/>
    <x v="19"/>
    <s v="335-77-3"/>
    <x v="19"/>
    <n v="13.7"/>
  </r>
  <r>
    <s v="SM002-JBA-08132021"/>
    <s v="Down"/>
    <x v="0"/>
    <s v="Dace. Sp"/>
    <s v="Clinostomus"/>
    <s v="gibbosus"/>
    <s v="U"/>
    <x v="0"/>
    <n v="8"/>
    <n v="11.81"/>
    <x v="20"/>
    <s v="79780-39-5"/>
    <x v="20"/>
    <n v="4.3099999999999996"/>
  </r>
  <r>
    <s v="SM002-JBA-08132021"/>
    <s v="Down"/>
    <x v="0"/>
    <s v="Dace. Sp"/>
    <s v="Clinostomus"/>
    <s v="gibbosus"/>
    <s v="U"/>
    <x v="0"/>
    <n v="8"/>
    <n v="11.81"/>
    <x v="21"/>
    <s v="777011-38-8"/>
    <x v="21"/>
    <n v="0.73299999999999998"/>
  </r>
  <r>
    <s v="SM002-JBA-08132021"/>
    <s v="Down"/>
    <x v="0"/>
    <s v="Dace. Sp"/>
    <s v="Clinostomus"/>
    <s v="gibbosus"/>
    <s v="U"/>
    <x v="0"/>
    <n v="8"/>
    <n v="11.81"/>
    <x v="22"/>
    <s v="646-83-3"/>
    <x v="22"/>
    <n v="0.377"/>
  </r>
  <r>
    <s v="SM002-JBA-08132021"/>
    <s v="Down"/>
    <x v="0"/>
    <s v="Dace. Sp"/>
    <s v="Clinostomus"/>
    <s v="gibbosus"/>
    <s v="U"/>
    <x v="0"/>
    <n v="8"/>
    <n v="11.81"/>
    <x v="23"/>
    <s v="30334-69-1"/>
    <x v="23"/>
    <n v="14"/>
  </r>
  <r>
    <s v="SM002-JBA-08132021"/>
    <s v="Down"/>
    <x v="0"/>
    <s v="Dace. Sp"/>
    <s v="Clinostomus"/>
    <s v="gibbosus"/>
    <s v="U"/>
    <x v="0"/>
    <n v="8"/>
    <n v="11.81"/>
    <x v="24"/>
    <s v="41997-13-1"/>
    <x v="24"/>
    <n v="185"/>
  </r>
  <r>
    <s v="SM002-JBA-08132021"/>
    <s v="Down"/>
    <x v="0"/>
    <s v="Dace. Sp"/>
    <s v="Clinostomus"/>
    <s v="gibbosus"/>
    <s v="U"/>
    <x v="0"/>
    <n v="8"/>
    <n v="11.81"/>
    <x v="25"/>
    <s v="754-91-6"/>
    <x v="25"/>
    <n v="17"/>
  </r>
  <r>
    <s v="SM002-JBA-08132021"/>
    <s v="Down"/>
    <x v="0"/>
    <s v="Dace. Sp"/>
    <s v="Clinostomus"/>
    <s v="gibbosus"/>
    <s v="U"/>
    <x v="0"/>
    <n v="8"/>
    <n v="11.81"/>
    <x v="26"/>
    <s v="31506-32-8"/>
    <x v="26"/>
    <n v="5.6711433051176853E-2"/>
  </r>
  <r>
    <s v="SM002-JBA-08132021"/>
    <s v="Down"/>
    <x v="0"/>
    <s v="Dace. Sp"/>
    <s v="Clinostomus"/>
    <s v="gibbosus"/>
    <s v="U"/>
    <x v="0"/>
    <n v="8"/>
    <n v="11.81"/>
    <x v="27"/>
    <s v="4151-50-2"/>
    <x v="27"/>
    <n v="8.5905127969660974E-2"/>
  </r>
  <r>
    <s v="SM002-JBA-08132021"/>
    <s v="Down"/>
    <x v="0"/>
    <s v="Dace. Sp"/>
    <s v="Clinostomus"/>
    <s v="gibbosus"/>
    <s v="U"/>
    <x v="0"/>
    <n v="8"/>
    <n v="11.81"/>
    <x v="28"/>
    <s v="2806-24-8"/>
    <x v="28"/>
    <n v="5.8025599107104295E-2"/>
  </r>
  <r>
    <s v="SM002-JBA-08132021"/>
    <s v="Down"/>
    <x v="0"/>
    <s v="Dace. Sp"/>
    <s v="Clinostomus"/>
    <s v="gibbosus"/>
    <s v="U"/>
    <x v="0"/>
    <n v="8"/>
    <n v="11.81"/>
    <x v="29"/>
    <s v="2355-31-9"/>
    <x v="29"/>
    <n v="10.199999999999999"/>
  </r>
  <r>
    <s v="SM002-JBA-08132021"/>
    <s v="Down"/>
    <x v="0"/>
    <s v="Dace. Sp"/>
    <s v="Clinostomus"/>
    <s v="gibbosus"/>
    <s v="U"/>
    <x v="0"/>
    <n v="8"/>
    <n v="11.81"/>
    <x v="30"/>
    <s v="2991-50-6"/>
    <x v="30"/>
    <n v="6.3896748101381989E-2"/>
  </r>
  <r>
    <s v="SM002-JBA-08132021"/>
    <s v="Down"/>
    <x v="0"/>
    <s v="Dace. Sp"/>
    <s v="Clinostomus"/>
    <s v="gibbosus"/>
    <s v="U"/>
    <x v="0"/>
    <n v="8"/>
    <n v="11.81"/>
    <x v="31"/>
    <s v="757124-72-4"/>
    <x v="31"/>
    <n v="6.0466165167350462E-2"/>
  </r>
  <r>
    <s v="SM002-JBA-08132021"/>
    <s v="Down"/>
    <x v="0"/>
    <s v="Dace. Sp"/>
    <s v="Clinostomus"/>
    <s v="gibbosus"/>
    <s v="U"/>
    <x v="0"/>
    <n v="8"/>
    <n v="11.81"/>
    <x v="32"/>
    <s v="27619-97-2"/>
    <x v="32"/>
    <n v="0.13679833752176737"/>
  </r>
  <r>
    <s v="SM002-JBA-08132021"/>
    <s v="Down"/>
    <x v="0"/>
    <s v="Dace. Sp"/>
    <s v="Clinostomus"/>
    <s v="gibbosus"/>
    <s v="U"/>
    <x v="0"/>
    <n v="8"/>
    <n v="11.81"/>
    <x v="33"/>
    <s v="39108-34-4"/>
    <x v="33"/>
    <n v="6.94"/>
  </r>
  <r>
    <s v="SM002-JBA-08132021"/>
    <s v="Down"/>
    <x v="0"/>
    <s v="Dace. Sp"/>
    <s v="Clinostomus"/>
    <s v="gibbosus"/>
    <s v="U"/>
    <x v="0"/>
    <n v="8"/>
    <n v="11.81"/>
    <x v="34"/>
    <s v="120226-60-0"/>
    <x v="34"/>
    <n v="0.64800000000000002"/>
  </r>
  <r>
    <s v="SM002-JBA-08132021"/>
    <s v="Down"/>
    <x v="0"/>
    <s v="Dace. Sp"/>
    <s v="Clinostomus"/>
    <s v="gibbosus"/>
    <s v="U"/>
    <x v="0"/>
    <n v="8"/>
    <n v="11.81"/>
    <x v="35"/>
    <s v="356-02-5"/>
    <x v="35"/>
    <n v="8.4913589729540065E-2"/>
  </r>
  <r>
    <s v="SM002-JBA-08132021"/>
    <s v="Down"/>
    <x v="0"/>
    <s v="Dace. Sp"/>
    <s v="Clinostomus"/>
    <s v="gibbosus"/>
    <s v="U"/>
    <x v="0"/>
    <n v="8"/>
    <n v="11.81"/>
    <x v="36"/>
    <s v="914637-49-3"/>
    <x v="36"/>
    <n v="0.17099439093897278"/>
  </r>
  <r>
    <s v="SM002-JBA-08132021"/>
    <s v="Down"/>
    <x v="0"/>
    <s v="Dace. Sp"/>
    <s v="Clinostomus"/>
    <s v="gibbosus"/>
    <s v="U"/>
    <x v="0"/>
    <n v="8"/>
    <n v="11.81"/>
    <x v="37"/>
    <s v="812-70-4"/>
    <x v="37"/>
    <n v="4.8600000000000003"/>
  </r>
  <r>
    <s v="SM002-JBA-08132021"/>
    <s v="Down"/>
    <x v="0"/>
    <s v="Dace. Sp"/>
    <s v="Clinostomus"/>
    <s v="gibbosus"/>
    <s v="U"/>
    <x v="0"/>
    <n v="8"/>
    <n v="11.81"/>
    <x v="38"/>
    <s v="53826-12-3"/>
    <x v="38"/>
    <n v="3.5"/>
  </r>
  <r>
    <s v="SM002-JBA-08132021"/>
    <s v="Down"/>
    <x v="0"/>
    <s v="Dace. Sp"/>
    <s v="Clinostomus"/>
    <s v="gibbosus"/>
    <s v="U"/>
    <x v="0"/>
    <n v="8"/>
    <n v="11.81"/>
    <x v="39"/>
    <s v="27854-31-5"/>
    <x v="39"/>
    <n v="2.9445829489016705E-2"/>
  </r>
  <r>
    <s v="SM002-JBA-08132021"/>
    <s v="Down"/>
    <x v="0"/>
    <s v="Dace. Sp"/>
    <s v="Clinostomus"/>
    <s v="gibbosus"/>
    <s v="U"/>
    <x v="0"/>
    <n v="8"/>
    <n v="11.81"/>
    <x v="40"/>
    <s v="53826-13-4"/>
    <x v="40"/>
    <n v="0.10984711537410927"/>
  </r>
  <r>
    <s v="SM002-JBA-08132021"/>
    <s v="Down"/>
    <x v="0"/>
    <s v="Dace. Sp"/>
    <s v="Clinostomus"/>
    <s v="gibbosus"/>
    <s v="U"/>
    <x v="0"/>
    <n v="8"/>
    <n v="11.81"/>
    <x v="41"/>
    <s v="161094-75-3"/>
    <x v="41"/>
    <n v="5.7801909179442883E-2"/>
  </r>
  <r>
    <s v="SM002-JBA-08132021"/>
    <s v="Down"/>
    <x v="0"/>
    <s v="Dace. Sp"/>
    <s v="Clinostomus"/>
    <s v="gibbosus"/>
    <s v="U"/>
    <x v="0"/>
    <n v="8"/>
    <n v="11.81"/>
    <x v="42"/>
    <s v="70887-84-2"/>
    <x v="42"/>
    <n v="4.4485620303012306E-2"/>
  </r>
  <r>
    <s v="SM002-JBA-08132021"/>
    <s v="Down"/>
    <x v="0"/>
    <s v="Dace. Sp"/>
    <s v="Clinostomus"/>
    <s v="gibbosus"/>
    <s v="U"/>
    <x v="0"/>
    <n v="8"/>
    <n v="11.81"/>
    <x v="43"/>
    <s v="919005-14-4"/>
    <x v="43"/>
    <n v="7.3614573722541765E-2"/>
  </r>
  <r>
    <s v="SM002-JBA-08132021"/>
    <s v="Down"/>
    <x v="0"/>
    <s v="Dace. Sp"/>
    <s v="Clinostomus"/>
    <s v="gibbosus"/>
    <s v="U"/>
    <x v="0"/>
    <n v="8"/>
    <n v="11.81"/>
    <x v="44"/>
    <s v="756426-58-1"/>
    <x v="44"/>
    <n v="5.1096364364608078E-2"/>
  </r>
  <r>
    <s v="SM002-JBA-08132021"/>
    <s v="Down"/>
    <x v="0"/>
    <s v="Dace. Sp"/>
    <s v="Clinostomus"/>
    <s v="gibbosus"/>
    <s v="U"/>
    <x v="0"/>
    <n v="8"/>
    <n v="11.81"/>
    <x v="45"/>
    <s v="763051-92-9"/>
    <x v="45"/>
    <n v="5.8007588092744554E-2"/>
  </r>
  <r>
    <s v="SM002-JBA-08132021"/>
    <s v="Down"/>
    <x v="0"/>
    <s v="Dace. Sp"/>
    <s v="Clinostomus"/>
    <s v="gibbosus"/>
    <s v="U"/>
    <x v="0"/>
    <n v="8"/>
    <n v="11.81"/>
    <x v="46"/>
    <s v="13252-13-6"/>
    <x v="46"/>
    <n v="0.10563901608993739"/>
  </r>
  <r>
    <s v="SM002-JBA-08132021"/>
    <s v="Down"/>
    <x v="0"/>
    <s v="Dace. Sp"/>
    <s v="Clinostomus"/>
    <s v="gibbosus"/>
    <s v="U"/>
    <x v="0"/>
    <n v="8"/>
    <n v="11.81"/>
    <x v="47"/>
    <s v="57677-95-9"/>
    <x v="47"/>
    <n v="7.8364843799935205E-2"/>
  </r>
  <r>
    <s v="SM002-JBA-08132021"/>
    <s v="Down"/>
    <x v="0"/>
    <s v="Dace. Sp"/>
    <s v="Clinostomus"/>
    <s v="gibbosus"/>
    <s v="U"/>
    <x v="0"/>
    <n v="8"/>
    <n v="11.81"/>
    <x v="48"/>
    <s v="678-41-1"/>
    <x v="48"/>
    <n v="9.7599232998812346E-2"/>
  </r>
  <r>
    <s v="SM002-JBA-08132021"/>
    <s v="Down"/>
    <x v="0"/>
    <s v="Dace. Sp"/>
    <s v="Clinostomus"/>
    <s v="gibbosus"/>
    <s v="U"/>
    <x v="0"/>
    <n v="8"/>
    <n v="11.81"/>
    <x v="49"/>
    <s v="2965-52-8"/>
    <x v="49"/>
    <n v="0.1295616497516735"/>
  </r>
  <r>
    <s v="GC001-JBA-08132021"/>
    <s v="Down"/>
    <x v="0"/>
    <s v="Swallowtail Shiner"/>
    <s v="Notropis"/>
    <s v="gibbosus"/>
    <s v="U"/>
    <x v="0"/>
    <n v="8"/>
    <n v="11.81"/>
    <x v="0"/>
    <s v="375-22-4"/>
    <x v="0"/>
    <n v="2.7464982147761604E-2"/>
  </r>
  <r>
    <s v="GC001-JBA-08132021"/>
    <s v="Down"/>
    <x v="0"/>
    <s v="Swallowtail Shiner"/>
    <s v="Notropis"/>
    <s v="gibbosus"/>
    <s v="U"/>
    <x v="0"/>
    <n v="8"/>
    <n v="11.81"/>
    <x v="1"/>
    <s v="2706-90-3"/>
    <x v="1"/>
    <n v="4.8512860028700908E-2"/>
  </r>
  <r>
    <s v="GC001-JBA-08132021"/>
    <s v="Down"/>
    <x v="0"/>
    <s v="Swallowtail Shiner"/>
    <s v="Notropis"/>
    <s v="gibbosus"/>
    <s v="U"/>
    <x v="0"/>
    <n v="8"/>
    <n v="11.81"/>
    <x v="2"/>
    <s v="307-24-4"/>
    <x v="2"/>
    <n v="0.36299999999999999"/>
  </r>
  <r>
    <s v="GC001-JBA-08132021"/>
    <s v="Down"/>
    <x v="0"/>
    <s v="Swallowtail Shiner"/>
    <s v="Notropis"/>
    <s v="gibbosus"/>
    <s v="U"/>
    <x v="0"/>
    <n v="8"/>
    <n v="11.81"/>
    <x v="3"/>
    <s v="375-85-9"/>
    <x v="3"/>
    <n v="2.7464982147761604E-2"/>
  </r>
  <r>
    <s v="GC001-JBA-08132021"/>
    <s v="Down"/>
    <x v="0"/>
    <s v="Swallowtail Shiner"/>
    <s v="Notropis"/>
    <s v="gibbosus"/>
    <s v="U"/>
    <x v="0"/>
    <n v="8"/>
    <n v="11.81"/>
    <x v="4"/>
    <s v="335-67-1"/>
    <x v="4"/>
    <n v="3.4"/>
  </r>
  <r>
    <s v="GC001-JBA-08132021"/>
    <s v="Down"/>
    <x v="0"/>
    <s v="Swallowtail Shiner"/>
    <s v="Notropis"/>
    <s v="gibbosus"/>
    <s v="U"/>
    <x v="0"/>
    <n v="8"/>
    <n v="11.81"/>
    <x v="5"/>
    <s v="375-95-1"/>
    <x v="5"/>
    <n v="16.100000000000001"/>
  </r>
  <r>
    <s v="GC001-JBA-08132021"/>
    <s v="Down"/>
    <x v="0"/>
    <s v="Swallowtail Shiner"/>
    <s v="Notropis"/>
    <s v="gibbosus"/>
    <s v="U"/>
    <x v="0"/>
    <n v="8"/>
    <n v="11.81"/>
    <x v="6"/>
    <s v="335-76-2"/>
    <x v="6"/>
    <n v="32.1"/>
  </r>
  <r>
    <s v="GC001-JBA-08132021"/>
    <s v="Down"/>
    <x v="0"/>
    <s v="Swallowtail Shiner"/>
    <s v="Notropis"/>
    <s v="gibbosus"/>
    <s v="U"/>
    <x v="0"/>
    <n v="8"/>
    <n v="11.81"/>
    <x v="7"/>
    <s v="2058-94-8"/>
    <x v="7"/>
    <n v="19.7"/>
  </r>
  <r>
    <s v="GC001-JBA-08132021"/>
    <s v="Down"/>
    <x v="0"/>
    <s v="Swallowtail Shiner"/>
    <s v="Notropis"/>
    <s v="gibbosus"/>
    <s v="U"/>
    <x v="0"/>
    <n v="8"/>
    <n v="11.81"/>
    <x v="8"/>
    <s v="307-55-1"/>
    <x v="8"/>
    <n v="38.1"/>
  </r>
  <r>
    <s v="GC001-JBA-08132021"/>
    <s v="Down"/>
    <x v="0"/>
    <s v="Swallowtail Shiner"/>
    <s v="Notropis"/>
    <s v="gibbosus"/>
    <s v="U"/>
    <x v="0"/>
    <n v="8"/>
    <n v="11.81"/>
    <x v="9"/>
    <s v="72629-94-8"/>
    <x v="9"/>
    <n v="8.3000000000000007"/>
  </r>
  <r>
    <s v="GC001-JBA-08132021"/>
    <s v="Down"/>
    <x v="0"/>
    <s v="Swallowtail Shiner"/>
    <s v="Notropis"/>
    <s v="gibbosus"/>
    <s v="U"/>
    <x v="0"/>
    <n v="8"/>
    <n v="11.81"/>
    <x v="10"/>
    <s v="376-06-7"/>
    <x v="10"/>
    <n v="5.26"/>
  </r>
  <r>
    <s v="GC001-JBA-08132021"/>
    <s v="Down"/>
    <x v="0"/>
    <s v="Swallowtail Shiner"/>
    <s v="Notropis"/>
    <s v="gibbosus"/>
    <s v="U"/>
    <x v="0"/>
    <n v="8"/>
    <n v="11.81"/>
    <x v="11"/>
    <s v="67905-19-5"/>
    <x v="11"/>
    <n v="8.1831924027190348E-2"/>
  </r>
  <r>
    <s v="GC001-JBA-08132021"/>
    <s v="Down"/>
    <x v="0"/>
    <s v="Swallowtail Shiner"/>
    <s v="Notropis"/>
    <s v="gibbosus"/>
    <s v="U"/>
    <x v="0"/>
    <n v="8"/>
    <n v="11.81"/>
    <x v="12"/>
    <s v="423-41-6"/>
    <x v="12"/>
    <n v="5.2386242587613291E-2"/>
  </r>
  <r>
    <s v="GC001-JBA-08132021"/>
    <s v="Down"/>
    <x v="0"/>
    <s v="Swallowtail Shiner"/>
    <s v="Notropis"/>
    <s v="gibbosus"/>
    <s v="U"/>
    <x v="0"/>
    <n v="8"/>
    <n v="11.81"/>
    <x v="13"/>
    <s v="375-73-5"/>
    <x v="13"/>
    <n v="0.15693492197453368"/>
  </r>
  <r>
    <s v="GC001-JBA-08132021"/>
    <s v="Down"/>
    <x v="0"/>
    <s v="Swallowtail Shiner"/>
    <s v="Notropis"/>
    <s v="gibbosus"/>
    <s v="U"/>
    <x v="0"/>
    <n v="8"/>
    <n v="11.81"/>
    <x v="14"/>
    <s v="2706-91-4"/>
    <x v="14"/>
    <n v="2.11"/>
  </r>
  <r>
    <s v="GC001-JBA-08132021"/>
    <s v="Down"/>
    <x v="0"/>
    <s v="Swallowtail Shiner"/>
    <s v="Notropis"/>
    <s v="gibbosus"/>
    <s v="U"/>
    <x v="0"/>
    <n v="8"/>
    <n v="11.81"/>
    <x v="15"/>
    <s v="355-46-4"/>
    <x v="15"/>
    <n v="143"/>
  </r>
  <r>
    <s v="GC001-JBA-08132021"/>
    <s v="Down"/>
    <x v="0"/>
    <s v="Swallowtail Shiner"/>
    <s v="Notropis"/>
    <s v="gibbosus"/>
    <s v="U"/>
    <x v="0"/>
    <n v="8"/>
    <n v="11.81"/>
    <x v="16"/>
    <s v="375-92-8"/>
    <x v="16"/>
    <n v="24.9"/>
  </r>
  <r>
    <s v="GC001-JBA-08132021"/>
    <s v="Down"/>
    <x v="0"/>
    <s v="Swallowtail Shiner"/>
    <s v="Notropis"/>
    <s v="gibbosus"/>
    <s v="U"/>
    <x v="0"/>
    <n v="8"/>
    <n v="11.81"/>
    <x v="17"/>
    <s v="1763-23-1"/>
    <x v="17"/>
    <n v="4620"/>
  </r>
  <r>
    <s v="GC001-JBA-08132021"/>
    <s v="Down"/>
    <x v="0"/>
    <s v="Swallowtail Shiner"/>
    <s v="Notropis"/>
    <s v="gibbosus"/>
    <s v="U"/>
    <x v="0"/>
    <n v="8"/>
    <n v="11.81"/>
    <x v="18"/>
    <s v="68259-12-1"/>
    <x v="18"/>
    <n v="9.9600000000000009"/>
  </r>
  <r>
    <s v="GC001-JBA-08132021"/>
    <s v="Down"/>
    <x v="0"/>
    <s v="Swallowtail Shiner"/>
    <s v="Notropis"/>
    <s v="gibbosus"/>
    <s v="U"/>
    <x v="0"/>
    <n v="8"/>
    <n v="11.81"/>
    <x v="19"/>
    <s v="335-77-3"/>
    <x v="19"/>
    <n v="4.79"/>
  </r>
  <r>
    <s v="GC001-JBA-08132021"/>
    <s v="Down"/>
    <x v="0"/>
    <s v="Swallowtail Shiner"/>
    <s v="Notropis"/>
    <s v="gibbosus"/>
    <s v="U"/>
    <x v="0"/>
    <n v="8"/>
    <n v="11.81"/>
    <x v="20"/>
    <s v="79780-39-5"/>
    <x v="20"/>
    <n v="2.46"/>
  </r>
  <r>
    <s v="GC001-JBA-08132021"/>
    <s v="Down"/>
    <x v="0"/>
    <s v="Swallowtail Shiner"/>
    <s v="Notropis"/>
    <s v="gibbosus"/>
    <s v="U"/>
    <x v="0"/>
    <n v="8"/>
    <n v="11.81"/>
    <x v="21"/>
    <s v="777011-38-8"/>
    <x v="21"/>
    <n v="4.1100000000000003"/>
  </r>
  <r>
    <s v="GC001-JBA-08132021"/>
    <s v="Down"/>
    <x v="0"/>
    <s v="Swallowtail Shiner"/>
    <s v="Notropis"/>
    <s v="gibbosus"/>
    <s v="U"/>
    <x v="0"/>
    <n v="8"/>
    <n v="11.81"/>
    <x v="22"/>
    <s v="646-83-3"/>
    <x v="22"/>
    <n v="0.41399999999999998"/>
  </r>
  <r>
    <s v="GC001-JBA-08132021"/>
    <s v="Down"/>
    <x v="0"/>
    <s v="Swallowtail Shiner"/>
    <s v="Notropis"/>
    <s v="gibbosus"/>
    <s v="U"/>
    <x v="0"/>
    <n v="8"/>
    <n v="11.81"/>
    <x v="23"/>
    <s v="30334-69-1"/>
    <x v="23"/>
    <n v="73.3"/>
  </r>
  <r>
    <s v="GC001-JBA-08132021"/>
    <s v="Down"/>
    <x v="0"/>
    <s v="Swallowtail Shiner"/>
    <s v="Notropis"/>
    <s v="gibbosus"/>
    <s v="U"/>
    <x v="0"/>
    <n v="8"/>
    <n v="11.81"/>
    <x v="24"/>
    <s v="41997-13-1"/>
    <x v="24"/>
    <n v="609"/>
  </r>
  <r>
    <s v="GC001-JBA-08132021"/>
    <s v="Down"/>
    <x v="0"/>
    <s v="Swallowtail Shiner"/>
    <s v="Notropis"/>
    <s v="gibbosus"/>
    <s v="U"/>
    <x v="0"/>
    <n v="8"/>
    <n v="11.81"/>
    <x v="25"/>
    <s v="754-91-6"/>
    <x v="25"/>
    <n v="25.2"/>
  </r>
  <r>
    <s v="GC001-JBA-08132021"/>
    <s v="Down"/>
    <x v="0"/>
    <s v="Swallowtail Shiner"/>
    <s v="Notropis"/>
    <s v="gibbosus"/>
    <s v="U"/>
    <x v="0"/>
    <n v="8"/>
    <n v="11.81"/>
    <x v="26"/>
    <s v="31506-32-8"/>
    <x v="26"/>
    <n v="5.2896404120845918E-2"/>
  </r>
  <r>
    <s v="GC001-JBA-08132021"/>
    <s v="Down"/>
    <x v="0"/>
    <s v="Swallowtail Shiner"/>
    <s v="Notropis"/>
    <s v="gibbosus"/>
    <s v="U"/>
    <x v="0"/>
    <n v="8"/>
    <n v="11.81"/>
    <x v="27"/>
    <s v="4151-50-2"/>
    <x v="27"/>
    <n v="8.0126213016616307E-2"/>
  </r>
  <r>
    <s v="GC001-JBA-08132021"/>
    <s v="Down"/>
    <x v="0"/>
    <s v="Swallowtail Shiner"/>
    <s v="Notropis"/>
    <s v="gibbosus"/>
    <s v="U"/>
    <x v="0"/>
    <n v="8"/>
    <n v="11.81"/>
    <x v="28"/>
    <s v="2806-24-8"/>
    <x v="28"/>
    <n v="0.18175130420875177"/>
  </r>
  <r>
    <s v="GC001-JBA-08132021"/>
    <s v="Down"/>
    <x v="0"/>
    <s v="Swallowtail Shiner"/>
    <s v="Notropis"/>
    <s v="gibbosus"/>
    <s v="U"/>
    <x v="0"/>
    <n v="8"/>
    <n v="11.81"/>
    <x v="29"/>
    <s v="2355-31-9"/>
    <x v="29"/>
    <n v="6.907788569637463E-2"/>
  </r>
  <r>
    <s v="GC001-JBA-08132021"/>
    <s v="Down"/>
    <x v="0"/>
    <s v="Swallowtail Shiner"/>
    <s v="Notropis"/>
    <s v="gibbosus"/>
    <s v="U"/>
    <x v="0"/>
    <n v="8"/>
    <n v="11.81"/>
    <x v="30"/>
    <s v="2991-50-6"/>
    <x v="30"/>
    <n v="5.9598356587613296E-2"/>
  </r>
  <r>
    <s v="GC001-JBA-08132021"/>
    <s v="Down"/>
    <x v="0"/>
    <s v="Swallowtail Shiner"/>
    <s v="Notropis"/>
    <s v="gibbosus"/>
    <s v="U"/>
    <x v="0"/>
    <n v="8"/>
    <n v="11.81"/>
    <x v="31"/>
    <s v="757124-72-4"/>
    <x v="31"/>
    <n v="5.6398552042296067E-2"/>
  </r>
  <r>
    <s v="GC001-JBA-08132021"/>
    <s v="Down"/>
    <x v="0"/>
    <s v="Swallowtail Shiner"/>
    <s v="Notropis"/>
    <s v="gibbosus"/>
    <s v="U"/>
    <x v="0"/>
    <n v="8"/>
    <n v="11.81"/>
    <x v="32"/>
    <s v="27619-97-2"/>
    <x v="32"/>
    <n v="1.06"/>
  </r>
  <r>
    <s v="GC001-JBA-08132021"/>
    <s v="Down"/>
    <x v="0"/>
    <s v="Swallowtail Shiner"/>
    <s v="Notropis"/>
    <s v="gibbosus"/>
    <s v="U"/>
    <x v="0"/>
    <n v="8"/>
    <n v="11.81"/>
    <x v="33"/>
    <s v="39108-34-4"/>
    <x v="33"/>
    <n v="38.6"/>
  </r>
  <r>
    <s v="GC001-JBA-08132021"/>
    <s v="Down"/>
    <x v="0"/>
    <s v="Swallowtail Shiner"/>
    <s v="Notropis"/>
    <s v="gibbosus"/>
    <s v="U"/>
    <x v="0"/>
    <n v="8"/>
    <n v="11.81"/>
    <x v="34"/>
    <s v="120226-60-0"/>
    <x v="34"/>
    <n v="1.54"/>
  </r>
  <r>
    <s v="GC001-JBA-08132021"/>
    <s v="Down"/>
    <x v="0"/>
    <s v="Swallowtail Shiner"/>
    <s v="Notropis"/>
    <s v="gibbosus"/>
    <s v="U"/>
    <x v="0"/>
    <n v="8"/>
    <n v="11.81"/>
    <x v="35"/>
    <s v="356-02-5"/>
    <x v="35"/>
    <n v="7.9201376442598198E-2"/>
  </r>
  <r>
    <s v="GC001-JBA-08132021"/>
    <s v="Down"/>
    <x v="0"/>
    <s v="Swallowtail Shiner"/>
    <s v="Notropis"/>
    <s v="gibbosus"/>
    <s v="U"/>
    <x v="0"/>
    <n v="8"/>
    <n v="11.81"/>
    <x v="36"/>
    <s v="914637-49-3"/>
    <x v="36"/>
    <n v="24.4"/>
  </r>
  <r>
    <s v="GC001-JBA-08132021"/>
    <s v="Down"/>
    <x v="0"/>
    <s v="Swallowtail Shiner"/>
    <s v="Notropis"/>
    <s v="gibbosus"/>
    <s v="U"/>
    <x v="0"/>
    <n v="8"/>
    <n v="11.81"/>
    <x v="37"/>
    <s v="812-70-4"/>
    <x v="37"/>
    <n v="41.8"/>
  </r>
  <r>
    <s v="GC001-JBA-08132021"/>
    <s v="Down"/>
    <x v="0"/>
    <s v="Swallowtail Shiner"/>
    <s v="Notropis"/>
    <s v="gibbosus"/>
    <s v="U"/>
    <x v="0"/>
    <n v="8"/>
    <n v="11.81"/>
    <x v="38"/>
    <s v="53826-12-3"/>
    <x v="38"/>
    <n v="4.4058415156042294E-2"/>
  </r>
  <r>
    <s v="GC001-JBA-08132021"/>
    <s v="Down"/>
    <x v="0"/>
    <s v="Swallowtail Shiner"/>
    <s v="Notropis"/>
    <s v="gibbosus"/>
    <s v="U"/>
    <x v="0"/>
    <n v="8"/>
    <n v="11.81"/>
    <x v="39"/>
    <s v="27854-31-5"/>
    <x v="39"/>
    <n v="2.7464982147761604E-2"/>
  </r>
  <r>
    <s v="GC001-JBA-08132021"/>
    <s v="Down"/>
    <x v="0"/>
    <s v="Swallowtail Shiner"/>
    <s v="Notropis"/>
    <s v="gibbosus"/>
    <s v="U"/>
    <x v="0"/>
    <n v="8"/>
    <n v="11.81"/>
    <x v="40"/>
    <s v="53826-13-4"/>
    <x v="40"/>
    <n v="0.10245760146978854"/>
  </r>
  <r>
    <s v="GC001-JBA-08132021"/>
    <s v="Down"/>
    <x v="0"/>
    <s v="Swallowtail Shiner"/>
    <s v="Notropis"/>
    <s v="gibbosus"/>
    <s v="U"/>
    <x v="0"/>
    <n v="8"/>
    <n v="11.81"/>
    <x v="41"/>
    <s v="161094-75-3"/>
    <x v="41"/>
    <n v="5.3913522942598185E-2"/>
  </r>
  <r>
    <s v="GC001-JBA-08132021"/>
    <s v="Down"/>
    <x v="0"/>
    <s v="Swallowtail Shiner"/>
    <s v="Notropis"/>
    <s v="gibbosus"/>
    <s v="U"/>
    <x v="0"/>
    <n v="8"/>
    <n v="11.81"/>
    <x v="42"/>
    <s v="70887-84-2"/>
    <x v="42"/>
    <n v="4.1493032753927489E-2"/>
  </r>
  <r>
    <s v="GC001-JBA-08132021"/>
    <s v="Down"/>
    <x v="0"/>
    <s v="Swallowtail Shiner"/>
    <s v="Notropis"/>
    <s v="gibbosus"/>
    <s v="U"/>
    <x v="0"/>
    <n v="8"/>
    <n v="11.81"/>
    <x v="43"/>
    <s v="919005-14-4"/>
    <x v="43"/>
    <n v="6.8662455369404019E-2"/>
  </r>
  <r>
    <s v="GC001-JBA-08132021"/>
    <s v="Down"/>
    <x v="0"/>
    <s v="Swallowtail Shiner"/>
    <s v="Notropis"/>
    <s v="gibbosus"/>
    <s v="U"/>
    <x v="0"/>
    <n v="8"/>
    <n v="11.81"/>
    <x v="44"/>
    <s v="756426-58-1"/>
    <x v="44"/>
    <n v="4.7659066137462243E-2"/>
  </r>
  <r>
    <s v="GC001-JBA-08132021"/>
    <s v="Down"/>
    <x v="0"/>
    <s v="Swallowtail Shiner"/>
    <s v="Notropis"/>
    <s v="gibbosus"/>
    <s v="U"/>
    <x v="0"/>
    <n v="8"/>
    <n v="11.81"/>
    <x v="45"/>
    <s v="763051-92-9"/>
    <x v="45"/>
    <n v="5.4105365651057398E-2"/>
  </r>
  <r>
    <s v="GC001-JBA-08132021"/>
    <s v="Down"/>
    <x v="0"/>
    <s v="Swallowtail Shiner"/>
    <s v="Notropis"/>
    <s v="gibbosus"/>
    <s v="U"/>
    <x v="0"/>
    <n v="8"/>
    <n v="11.81"/>
    <x v="46"/>
    <s v="13252-13-6"/>
    <x v="46"/>
    <n v="9.8532584796072506E-2"/>
  </r>
  <r>
    <s v="GC001-JBA-08132021"/>
    <s v="Down"/>
    <x v="0"/>
    <s v="Swallowtail Shiner"/>
    <s v="Notropis"/>
    <s v="gibbosus"/>
    <s v="U"/>
    <x v="0"/>
    <n v="8"/>
    <n v="11.81"/>
    <x v="47"/>
    <s v="57677-95-9"/>
    <x v="47"/>
    <n v="7.3093170521148026E-2"/>
  </r>
  <r>
    <s v="GC001-JBA-08132021"/>
    <s v="Down"/>
    <x v="0"/>
    <s v="Swallowtail Shiner"/>
    <s v="Notropis"/>
    <s v="gibbosus"/>
    <s v="U"/>
    <x v="0"/>
    <n v="8"/>
    <n v="11.81"/>
    <x v="48"/>
    <s v="678-41-1"/>
    <x v="48"/>
    <n v="9.1033645119335344E-2"/>
  </r>
  <r>
    <s v="GC001-JBA-08132021"/>
    <s v="Down"/>
    <x v="0"/>
    <s v="Swallowtail Shiner"/>
    <s v="Notropis"/>
    <s v="gibbosus"/>
    <s v="U"/>
    <x v="0"/>
    <n v="8"/>
    <n v="11.81"/>
    <x v="49"/>
    <s v="2965-52-8"/>
    <x v="49"/>
    <n v="0.12084592145015104"/>
  </r>
  <r>
    <s v="BRS001-JBA-08132021"/>
    <s v="Down"/>
    <x v="0"/>
    <s v="Darter sp."/>
    <s v="Etheostoma"/>
    <s v="gibbosus"/>
    <s v="U"/>
    <x v="0"/>
    <n v="8"/>
    <n v="11.81"/>
    <x v="0"/>
    <s v="375-22-4"/>
    <x v="0"/>
    <n v="8.6638428956488253E-2"/>
  </r>
  <r>
    <s v="BRS001-JBA-08132021"/>
    <s v="Down"/>
    <x v="0"/>
    <s v="Darter sp."/>
    <s v="Etheostoma"/>
    <s v="gibbosus"/>
    <s v="U"/>
    <x v="0"/>
    <n v="8"/>
    <n v="11.81"/>
    <x v="1"/>
    <s v="2706-90-3"/>
    <x v="1"/>
    <n v="4.9367975003586799E-2"/>
  </r>
  <r>
    <s v="BRS001-JBA-08132021"/>
    <s v="Down"/>
    <x v="0"/>
    <s v="Darter sp."/>
    <s v="Etheostoma"/>
    <s v="gibbosus"/>
    <s v="U"/>
    <x v="0"/>
    <n v="8"/>
    <n v="11.81"/>
    <x v="2"/>
    <s v="307-24-4"/>
    <x v="2"/>
    <n v="0.116895007286624"/>
  </r>
  <r>
    <s v="BRS001-JBA-08132021"/>
    <s v="Down"/>
    <x v="0"/>
    <s v="Darter sp."/>
    <s v="Etheostoma"/>
    <s v="gibbosus"/>
    <s v="U"/>
    <x v="0"/>
    <n v="8"/>
    <n v="11.81"/>
    <x v="3"/>
    <s v="375-85-9"/>
    <x v="3"/>
    <n v="8.6638428956488253E-2"/>
  </r>
  <r>
    <s v="BRS001-JBA-08132021"/>
    <s v="Down"/>
    <x v="0"/>
    <s v="Darter sp."/>
    <s v="Etheostoma"/>
    <s v="gibbosus"/>
    <s v="U"/>
    <x v="0"/>
    <n v="8"/>
    <n v="11.81"/>
    <x v="4"/>
    <s v="335-67-1"/>
    <x v="4"/>
    <n v="0.54600000000000004"/>
  </r>
  <r>
    <s v="BRS001-JBA-08132021"/>
    <s v="Down"/>
    <x v="0"/>
    <s v="Darter sp."/>
    <s v="Etheostoma"/>
    <s v="gibbosus"/>
    <s v="U"/>
    <x v="0"/>
    <n v="8"/>
    <n v="11.81"/>
    <x v="5"/>
    <s v="375-95-1"/>
    <x v="5"/>
    <n v="0.51200000000000001"/>
  </r>
  <r>
    <s v="BRS001-JBA-08132021"/>
    <s v="Down"/>
    <x v="0"/>
    <s v="Darter sp."/>
    <s v="Etheostoma"/>
    <s v="gibbosus"/>
    <s v="U"/>
    <x v="0"/>
    <n v="8"/>
    <n v="11.81"/>
    <x v="6"/>
    <s v="335-76-2"/>
    <x v="6"/>
    <n v="4.59"/>
  </r>
  <r>
    <s v="BRS001-JBA-08132021"/>
    <s v="Down"/>
    <x v="0"/>
    <s v="Darter sp."/>
    <s v="Etheostoma"/>
    <s v="gibbosus"/>
    <s v="U"/>
    <x v="0"/>
    <n v="8"/>
    <n v="11.81"/>
    <x v="7"/>
    <s v="2058-94-8"/>
    <x v="7"/>
    <n v="5.93"/>
  </r>
  <r>
    <s v="BRS001-JBA-08132021"/>
    <s v="Down"/>
    <x v="0"/>
    <s v="Darter sp."/>
    <s v="Etheostoma"/>
    <s v="gibbosus"/>
    <s v="U"/>
    <x v="0"/>
    <n v="8"/>
    <n v="11.81"/>
    <x v="8"/>
    <s v="307-55-1"/>
    <x v="8"/>
    <n v="5.5789180082496413E-2"/>
  </r>
  <r>
    <s v="BRS001-JBA-08132021"/>
    <s v="Down"/>
    <x v="0"/>
    <s v="Darter sp."/>
    <s v="Etheostoma"/>
    <s v="gibbosus"/>
    <s v="U"/>
    <x v="0"/>
    <n v="8"/>
    <n v="11.81"/>
    <x v="9"/>
    <s v="72629-94-8"/>
    <x v="9"/>
    <n v="1.98"/>
  </r>
  <r>
    <s v="BRS001-JBA-08132021"/>
    <s v="Down"/>
    <x v="0"/>
    <s v="Darter sp."/>
    <s v="Etheostoma"/>
    <s v="gibbosus"/>
    <s v="U"/>
    <x v="0"/>
    <n v="8"/>
    <n v="11.81"/>
    <x v="10"/>
    <s v="376-06-7"/>
    <x v="10"/>
    <n v="3.19"/>
  </r>
  <r>
    <s v="BRS001-JBA-08132021"/>
    <s v="Down"/>
    <x v="0"/>
    <s v="Darter sp."/>
    <s v="Etheostoma"/>
    <s v="gibbosus"/>
    <s v="U"/>
    <x v="0"/>
    <n v="8"/>
    <n v="11.81"/>
    <x v="11"/>
    <s v="67905-19-5"/>
    <x v="11"/>
    <n v="8.327433957675752E-2"/>
  </r>
  <r>
    <s v="BRS001-JBA-08132021"/>
    <s v="Down"/>
    <x v="0"/>
    <s v="Darter sp."/>
    <s v="Etheostoma"/>
    <s v="gibbosus"/>
    <s v="U"/>
    <x v="0"/>
    <n v="8"/>
    <n v="11.81"/>
    <x v="12"/>
    <s v="423-41-6"/>
    <x v="12"/>
    <n v="5.3309631983500722E-2"/>
  </r>
  <r>
    <s v="BRS001-JBA-08132021"/>
    <s v="Down"/>
    <x v="0"/>
    <s v="Darter sp."/>
    <s v="Etheostoma"/>
    <s v="gibbosus"/>
    <s v="U"/>
    <x v="0"/>
    <n v="8"/>
    <n v="11.81"/>
    <x v="13"/>
    <s v="375-73-5"/>
    <x v="13"/>
    <n v="0.42199999999999999"/>
  </r>
  <r>
    <s v="BRS001-JBA-08132021"/>
    <s v="Down"/>
    <x v="0"/>
    <s v="Darter sp."/>
    <s v="Etheostoma"/>
    <s v="gibbosus"/>
    <s v="U"/>
    <x v="0"/>
    <n v="8"/>
    <n v="11.81"/>
    <x v="14"/>
    <s v="2706-91-4"/>
    <x v="14"/>
    <n v="0.11469735353510783"/>
  </r>
  <r>
    <s v="BRS001-JBA-08132021"/>
    <s v="Down"/>
    <x v="0"/>
    <s v="Darter sp."/>
    <s v="Etheostoma"/>
    <s v="gibbosus"/>
    <s v="U"/>
    <x v="0"/>
    <n v="8"/>
    <n v="11.81"/>
    <x v="15"/>
    <s v="355-46-4"/>
    <x v="15"/>
    <n v="11.6"/>
  </r>
  <r>
    <s v="BRS001-JBA-08132021"/>
    <s v="Down"/>
    <x v="0"/>
    <s v="Darter sp."/>
    <s v="Etheostoma"/>
    <s v="gibbosus"/>
    <s v="U"/>
    <x v="0"/>
    <n v="8"/>
    <n v="11.81"/>
    <x v="16"/>
    <s v="375-92-8"/>
    <x v="16"/>
    <n v="2.77"/>
  </r>
  <r>
    <s v="BRS001-JBA-08132021"/>
    <s v="Down"/>
    <x v="0"/>
    <s v="Darter sp."/>
    <s v="Etheostoma"/>
    <s v="gibbosus"/>
    <s v="U"/>
    <x v="0"/>
    <n v="8"/>
    <n v="11.81"/>
    <x v="17"/>
    <s v="1763-23-1"/>
    <x v="17"/>
    <n v="872"/>
  </r>
  <r>
    <s v="BRS001-JBA-08132021"/>
    <s v="Down"/>
    <x v="0"/>
    <s v="Darter sp."/>
    <s v="Etheostoma"/>
    <s v="gibbosus"/>
    <s v="U"/>
    <x v="0"/>
    <n v="8"/>
    <n v="11.81"/>
    <x v="18"/>
    <s v="68259-12-1"/>
    <x v="18"/>
    <n v="1.1499999999999999"/>
  </r>
  <r>
    <s v="BRS001-JBA-08132021"/>
    <s v="Down"/>
    <x v="0"/>
    <s v="Darter sp."/>
    <s v="Etheostoma"/>
    <s v="gibbosus"/>
    <s v="U"/>
    <x v="0"/>
    <n v="8"/>
    <n v="11.81"/>
    <x v="19"/>
    <s v="335-77-3"/>
    <x v="19"/>
    <n v="0.91500000000000004"/>
  </r>
  <r>
    <s v="BRS001-JBA-08132021"/>
    <s v="Down"/>
    <x v="0"/>
    <s v="Darter sp."/>
    <s v="Etheostoma"/>
    <s v="gibbosus"/>
    <s v="U"/>
    <x v="0"/>
    <n v="8"/>
    <n v="11.81"/>
    <x v="20"/>
    <s v="79780-39-5"/>
    <x v="20"/>
    <n v="0.23162139910613211"/>
  </r>
  <r>
    <s v="BRS001-JBA-08132021"/>
    <s v="Down"/>
    <x v="0"/>
    <s v="Darter sp."/>
    <s v="Etheostoma"/>
    <s v="gibbosus"/>
    <s v="U"/>
    <x v="0"/>
    <n v="8"/>
    <n v="11.81"/>
    <x v="21"/>
    <s v="777011-38-8"/>
    <x v="21"/>
    <n v="0.1316220093097035"/>
  </r>
  <r>
    <s v="BRS001-JBA-08132021"/>
    <s v="Down"/>
    <x v="0"/>
    <s v="Darter sp."/>
    <s v="Etheostoma"/>
    <s v="gibbosus"/>
    <s v="U"/>
    <x v="0"/>
    <n v="8"/>
    <n v="11.81"/>
    <x v="22"/>
    <s v="646-83-3"/>
    <x v="22"/>
    <n v="0.35099999999999998"/>
  </r>
  <r>
    <s v="BRS001-JBA-08132021"/>
    <s v="Down"/>
    <x v="0"/>
    <s v="Darter sp."/>
    <s v="Etheostoma"/>
    <s v="gibbosus"/>
    <s v="U"/>
    <x v="0"/>
    <n v="8"/>
    <n v="11.81"/>
    <x v="23"/>
    <s v="30334-69-1"/>
    <x v="23"/>
    <n v="22.6"/>
  </r>
  <r>
    <s v="BRS001-JBA-08132021"/>
    <s v="Down"/>
    <x v="0"/>
    <s v="Darter sp."/>
    <s v="Etheostoma"/>
    <s v="gibbosus"/>
    <s v="U"/>
    <x v="0"/>
    <n v="8"/>
    <n v="11.81"/>
    <x v="24"/>
    <s v="41997-13-1"/>
    <x v="24"/>
    <n v="158"/>
  </r>
  <r>
    <s v="BRS001-JBA-08132021"/>
    <s v="Down"/>
    <x v="0"/>
    <s v="Darter sp."/>
    <s v="Etheostoma"/>
    <s v="gibbosus"/>
    <s v="U"/>
    <x v="0"/>
    <n v="8"/>
    <n v="11.81"/>
    <x v="25"/>
    <s v="754-91-6"/>
    <x v="25"/>
    <n v="42.7"/>
  </r>
  <r>
    <s v="BRS001-JBA-08132021"/>
    <s v="Down"/>
    <x v="0"/>
    <s v="Darter sp."/>
    <s v="Etheostoma"/>
    <s v="gibbosus"/>
    <s v="U"/>
    <x v="0"/>
    <n v="8"/>
    <n v="11.81"/>
    <x v="26"/>
    <s v="31506-32-8"/>
    <x v="26"/>
    <n v="5.3828785911047346E-2"/>
  </r>
  <r>
    <s v="BRS001-JBA-08132021"/>
    <s v="Down"/>
    <x v="0"/>
    <s v="Darter sp."/>
    <s v="Etheostoma"/>
    <s v="gibbosus"/>
    <s v="U"/>
    <x v="0"/>
    <n v="8"/>
    <n v="11.81"/>
    <x v="27"/>
    <s v="4151-50-2"/>
    <x v="27"/>
    <n v="8.1538562743902449E-2"/>
  </r>
  <r>
    <s v="BRS001-JBA-08132021"/>
    <s v="Down"/>
    <x v="0"/>
    <s v="Darter sp."/>
    <s v="Etheostoma"/>
    <s v="gibbosus"/>
    <s v="U"/>
    <x v="0"/>
    <n v="8"/>
    <n v="11.81"/>
    <x v="28"/>
    <s v="2806-24-8"/>
    <x v="28"/>
    <n v="5.5076152790530838E-2"/>
  </r>
  <r>
    <s v="BRS001-JBA-08132021"/>
    <s v="Down"/>
    <x v="0"/>
    <s v="Darter sp."/>
    <s v="Etheostoma"/>
    <s v="gibbosus"/>
    <s v="U"/>
    <x v="0"/>
    <n v="8"/>
    <n v="11.81"/>
    <x v="29"/>
    <s v="2355-31-9"/>
    <x v="29"/>
    <n v="13.3"/>
  </r>
  <r>
    <s v="BRS001-JBA-08132021"/>
    <s v="Down"/>
    <x v="0"/>
    <s v="Darter sp."/>
    <s v="Etheostoma"/>
    <s v="gibbosus"/>
    <s v="U"/>
    <x v="0"/>
    <n v="8"/>
    <n v="11.81"/>
    <x v="30"/>
    <s v="2991-50-6"/>
    <x v="30"/>
    <n v="0.18800332566610511"/>
  </r>
  <r>
    <s v="BRS001-JBA-08132021"/>
    <s v="Down"/>
    <x v="0"/>
    <s v="Darter sp."/>
    <s v="Etheostoma"/>
    <s v="gibbosus"/>
    <s v="U"/>
    <x v="0"/>
    <n v="8"/>
    <n v="11.81"/>
    <x v="31"/>
    <s v="757124-72-4"/>
    <x v="31"/>
    <n v="5.7392664662840744E-2"/>
  </r>
  <r>
    <s v="BRS001-JBA-08132021"/>
    <s v="Down"/>
    <x v="0"/>
    <s v="Darter sp."/>
    <s v="Etheostoma"/>
    <s v="gibbosus"/>
    <s v="U"/>
    <x v="0"/>
    <n v="8"/>
    <n v="11.81"/>
    <x v="32"/>
    <s v="27619-97-2"/>
    <x v="32"/>
    <n v="0.13076698994909031"/>
  </r>
  <r>
    <s v="BRS001-JBA-08132021"/>
    <s v="Down"/>
    <x v="0"/>
    <s v="Darter sp."/>
    <s v="Etheostoma"/>
    <s v="gibbosus"/>
    <s v="U"/>
    <x v="0"/>
    <n v="8"/>
    <n v="11.81"/>
    <x v="33"/>
    <s v="39108-34-4"/>
    <x v="33"/>
    <n v="2.5"/>
  </r>
  <r>
    <s v="BRS001-JBA-08132021"/>
    <s v="Down"/>
    <x v="0"/>
    <s v="Darter sp."/>
    <s v="Etheostoma"/>
    <s v="gibbosus"/>
    <s v="U"/>
    <x v="0"/>
    <n v="8"/>
    <n v="11.81"/>
    <x v="34"/>
    <s v="120226-60-0"/>
    <x v="34"/>
    <n v="7.9338086083213771E-2"/>
  </r>
  <r>
    <s v="BRS001-JBA-08132021"/>
    <s v="Down"/>
    <x v="0"/>
    <s v="Darter sp."/>
    <s v="Etheostoma"/>
    <s v="gibbosus"/>
    <s v="U"/>
    <x v="0"/>
    <n v="8"/>
    <n v="11.81"/>
    <x v="35"/>
    <s v="356-02-5"/>
    <x v="35"/>
    <n v="8.0597424479913915E-2"/>
  </r>
  <r>
    <s v="BRS001-JBA-08132021"/>
    <s v="Down"/>
    <x v="0"/>
    <s v="Darter sp."/>
    <s v="Etheostoma"/>
    <s v="gibbosus"/>
    <s v="U"/>
    <x v="0"/>
    <n v="8"/>
    <n v="11.81"/>
    <x v="36"/>
    <s v="914637-49-3"/>
    <x v="36"/>
    <n v="0.45100000000000001"/>
  </r>
  <r>
    <s v="BRS001-JBA-08132021"/>
    <s v="Down"/>
    <x v="0"/>
    <s v="Darter sp."/>
    <s v="Etheostoma"/>
    <s v="gibbosus"/>
    <s v="U"/>
    <x v="0"/>
    <n v="8"/>
    <n v="11.81"/>
    <x v="37"/>
    <s v="812-70-4"/>
    <x v="37"/>
    <n v="2.82"/>
  </r>
  <r>
    <s v="BRS001-JBA-08132021"/>
    <s v="Down"/>
    <x v="0"/>
    <s v="Darter sp."/>
    <s v="Etheostoma"/>
    <s v="gibbosus"/>
    <s v="U"/>
    <x v="0"/>
    <n v="8"/>
    <n v="11.81"/>
    <x v="38"/>
    <s v="53826-12-3"/>
    <x v="38"/>
    <n v="2.97"/>
  </r>
  <r>
    <s v="BRS001-JBA-08132021"/>
    <s v="Down"/>
    <x v="0"/>
    <s v="Darter sp."/>
    <s v="Etheostoma"/>
    <s v="gibbosus"/>
    <s v="U"/>
    <x v="0"/>
    <n v="8"/>
    <n v="11.81"/>
    <x v="39"/>
    <s v="27854-31-5"/>
    <x v="39"/>
    <n v="0.193"/>
  </r>
  <r>
    <s v="BRS001-JBA-08132021"/>
    <s v="Down"/>
    <x v="0"/>
    <s v="Darter sp."/>
    <s v="Etheostoma"/>
    <s v="gibbosus"/>
    <s v="U"/>
    <x v="0"/>
    <n v="8"/>
    <n v="11.81"/>
    <x v="40"/>
    <s v="53826-13-4"/>
    <x v="40"/>
    <n v="0.1042635768185079"/>
  </r>
  <r>
    <s v="BRS001-JBA-08132021"/>
    <s v="Down"/>
    <x v="0"/>
    <s v="Darter sp."/>
    <s v="Etheostoma"/>
    <s v="gibbosus"/>
    <s v="U"/>
    <x v="0"/>
    <n v="8"/>
    <n v="11.81"/>
    <x v="41"/>
    <s v="161094-75-3"/>
    <x v="41"/>
    <n v="5.4863833041606892E-2"/>
  </r>
  <r>
    <s v="BRS001-JBA-08132021"/>
    <s v="Down"/>
    <x v="0"/>
    <s v="Darter sp."/>
    <s v="Etheostoma"/>
    <s v="gibbosus"/>
    <s v="U"/>
    <x v="0"/>
    <n v="8"/>
    <n v="11.81"/>
    <x v="42"/>
    <s v="70887-84-2"/>
    <x v="42"/>
    <n v="4.2224412302367294E-2"/>
  </r>
  <r>
    <s v="BRS001-JBA-08132021"/>
    <s v="Down"/>
    <x v="0"/>
    <s v="Darter sp."/>
    <s v="Etheostoma"/>
    <s v="gibbosus"/>
    <s v="U"/>
    <x v="0"/>
    <n v="8"/>
    <n v="11.81"/>
    <x v="43"/>
    <s v="919005-14-4"/>
    <x v="43"/>
    <n v="6.9872738452365427E-2"/>
  </r>
  <r>
    <s v="BRS001-JBA-08132021"/>
    <s v="Down"/>
    <x v="0"/>
    <s v="Darter sp."/>
    <s v="Etheostoma"/>
    <s v="gibbosus"/>
    <s v="U"/>
    <x v="0"/>
    <n v="8"/>
    <n v="11.81"/>
    <x v="44"/>
    <s v="756426-58-1"/>
    <x v="44"/>
    <n v="4.8499131660688664E-2"/>
  </r>
  <r>
    <s v="BRS001-JBA-08132021"/>
    <s v="Down"/>
    <x v="0"/>
    <s v="Darter sp."/>
    <s v="Etheostoma"/>
    <s v="gibbosus"/>
    <s v="U"/>
    <x v="0"/>
    <n v="8"/>
    <n v="11.81"/>
    <x v="45"/>
    <s v="763051-92-9"/>
    <x v="45"/>
    <n v="5.505905727761836E-2"/>
  </r>
  <r>
    <s v="BRS001-JBA-08132021"/>
    <s v="Down"/>
    <x v="0"/>
    <s v="Darter sp."/>
    <s v="Etheostoma"/>
    <s v="gibbosus"/>
    <s v="U"/>
    <x v="0"/>
    <n v="8"/>
    <n v="11.81"/>
    <x v="46"/>
    <s v="13252-13-6"/>
    <x v="46"/>
    <n v="0.10026937559182211"/>
  </r>
  <r>
    <s v="BRS001-JBA-08132021"/>
    <s v="Down"/>
    <x v="0"/>
    <s v="Darter sp."/>
    <s v="Etheostoma"/>
    <s v="gibbosus"/>
    <s v="U"/>
    <x v="0"/>
    <n v="8"/>
    <n v="11.81"/>
    <x v="47"/>
    <s v="57677-95-9"/>
    <x v="47"/>
    <n v="7.4381551883070302E-2"/>
  </r>
  <r>
    <s v="BRS001-JBA-08132021"/>
    <s v="Down"/>
    <x v="0"/>
    <s v="Darter sp."/>
    <s v="Etheostoma"/>
    <s v="gibbosus"/>
    <s v="U"/>
    <x v="0"/>
    <n v="8"/>
    <n v="11.81"/>
    <x v="48"/>
    <s v="678-41-1"/>
    <x v="48"/>
    <n v="9.2638255383787657E-2"/>
  </r>
  <r>
    <s v="BRS001-JBA-08132021"/>
    <s v="Down"/>
    <x v="0"/>
    <s v="Darter sp."/>
    <s v="Etheostoma"/>
    <s v="gibbosus"/>
    <s v="U"/>
    <x v="0"/>
    <n v="8"/>
    <n v="11.81"/>
    <x v="49"/>
    <s v="2965-52-8"/>
    <x v="49"/>
    <n v="0.12297601967616312"/>
  </r>
  <r>
    <s v="SS001-JBA-08132021"/>
    <s v="Down"/>
    <x v="0"/>
    <s v="Dace. Sp"/>
    <s v="Rhinichthys"/>
    <s v="gibbosus"/>
    <s v="U"/>
    <x v="0"/>
    <n v="8"/>
    <n v="11.81"/>
    <x v="0"/>
    <s v="375-22-4"/>
    <x v="0"/>
    <n v="9.8554533508541403E-2"/>
  </r>
  <r>
    <s v="SS001-JBA-08132021"/>
    <s v="Down"/>
    <x v="0"/>
    <s v="Dace. Sp"/>
    <s v="Rhinichthys"/>
    <s v="gibbosus"/>
    <s v="U"/>
    <x v="0"/>
    <n v="8"/>
    <n v="11.81"/>
    <x v="1"/>
    <s v="2706-90-3"/>
    <x v="1"/>
    <n v="4.6373960347035045E-2"/>
  </r>
  <r>
    <s v="SS001-JBA-08132021"/>
    <s v="Down"/>
    <x v="0"/>
    <s v="Dace. Sp"/>
    <s v="Rhinichthys"/>
    <s v="gibbosus"/>
    <s v="U"/>
    <x v="0"/>
    <n v="8"/>
    <n v="11.81"/>
    <x v="2"/>
    <s v="307-24-4"/>
    <x v="2"/>
    <n v="0.13297255099577857"/>
  </r>
  <r>
    <s v="SS001-JBA-08132021"/>
    <s v="Down"/>
    <x v="0"/>
    <s v="Dace. Sp"/>
    <s v="Rhinichthys"/>
    <s v="gibbosus"/>
    <s v="U"/>
    <x v="0"/>
    <n v="8"/>
    <n v="11.81"/>
    <x v="3"/>
    <s v="375-85-9"/>
    <x v="3"/>
    <n v="9.8554533508541403E-2"/>
  </r>
  <r>
    <s v="SS001-JBA-08132021"/>
    <s v="Down"/>
    <x v="0"/>
    <s v="Dace. Sp"/>
    <s v="Rhinichthys"/>
    <s v="gibbosus"/>
    <s v="U"/>
    <x v="0"/>
    <n v="8"/>
    <n v="11.81"/>
    <x v="4"/>
    <s v="335-67-1"/>
    <x v="4"/>
    <n v="4.5"/>
  </r>
  <r>
    <s v="SS001-JBA-08132021"/>
    <s v="Down"/>
    <x v="0"/>
    <s v="Dace. Sp"/>
    <s v="Rhinichthys"/>
    <s v="gibbosus"/>
    <s v="U"/>
    <x v="0"/>
    <n v="8"/>
    <n v="11.81"/>
    <x v="5"/>
    <s v="375-95-1"/>
    <x v="5"/>
    <n v="34.799999999999997"/>
  </r>
  <r>
    <s v="SS001-JBA-08132021"/>
    <s v="Down"/>
    <x v="0"/>
    <s v="Dace. Sp"/>
    <s v="Rhinichthys"/>
    <s v="gibbosus"/>
    <s v="U"/>
    <x v="0"/>
    <n v="8"/>
    <n v="11.81"/>
    <x v="6"/>
    <s v="335-76-2"/>
    <x v="6"/>
    <n v="33.5"/>
  </r>
  <r>
    <s v="SS001-JBA-08132021"/>
    <s v="Down"/>
    <x v="0"/>
    <s v="Dace. Sp"/>
    <s v="Rhinichthys"/>
    <s v="gibbosus"/>
    <s v="U"/>
    <x v="0"/>
    <n v="8"/>
    <n v="11.81"/>
    <x v="7"/>
    <s v="2058-94-8"/>
    <x v="7"/>
    <n v="25.1"/>
  </r>
  <r>
    <s v="SS001-JBA-08132021"/>
    <s v="Down"/>
    <x v="0"/>
    <s v="Dace. Sp"/>
    <s v="Rhinichthys"/>
    <s v="gibbosus"/>
    <s v="U"/>
    <x v="0"/>
    <n v="8"/>
    <n v="11.81"/>
    <x v="8"/>
    <s v="307-55-1"/>
    <x v="8"/>
    <n v="5.2405739241913746E-2"/>
  </r>
  <r>
    <s v="SS001-JBA-08132021"/>
    <s v="Down"/>
    <x v="0"/>
    <s v="Dace. Sp"/>
    <s v="Rhinichthys"/>
    <s v="gibbosus"/>
    <s v="U"/>
    <x v="0"/>
    <n v="8"/>
    <n v="11.81"/>
    <x v="9"/>
    <s v="72629-94-8"/>
    <x v="9"/>
    <n v="5.94"/>
  </r>
  <r>
    <s v="SS001-JBA-08132021"/>
    <s v="Down"/>
    <x v="0"/>
    <s v="Dace. Sp"/>
    <s v="Rhinichthys"/>
    <s v="gibbosus"/>
    <s v="U"/>
    <x v="0"/>
    <n v="8"/>
    <n v="11.81"/>
    <x v="10"/>
    <s v="376-06-7"/>
    <x v="10"/>
    <n v="5.5"/>
  </r>
  <r>
    <s v="SS001-JBA-08132021"/>
    <s v="Down"/>
    <x v="0"/>
    <s v="Dace. Sp"/>
    <s v="Rhinichthys"/>
    <s v="gibbosus"/>
    <s v="U"/>
    <x v="0"/>
    <n v="8"/>
    <n v="11.81"/>
    <x v="11"/>
    <s v="67905-19-5"/>
    <x v="11"/>
    <n v="7.8224009009433965E-2"/>
  </r>
  <r>
    <s v="SS001-JBA-08132021"/>
    <s v="Down"/>
    <x v="0"/>
    <s v="Dace. Sp"/>
    <s v="Rhinichthys"/>
    <s v="gibbosus"/>
    <s v="U"/>
    <x v="0"/>
    <n v="8"/>
    <n v="11.81"/>
    <x v="12"/>
    <s v="423-41-6"/>
    <x v="12"/>
    <n v="5.0076568049191375E-2"/>
  </r>
  <r>
    <s v="SS001-JBA-08132021"/>
    <s v="Down"/>
    <x v="0"/>
    <s v="Dace. Sp"/>
    <s v="Rhinichthys"/>
    <s v="gibbosus"/>
    <s v="U"/>
    <x v="0"/>
    <n v="8"/>
    <n v="11.81"/>
    <x v="13"/>
    <s v="375-73-5"/>
    <x v="13"/>
    <n v="0.16769283493511822"/>
  </r>
  <r>
    <s v="SS001-JBA-08132021"/>
    <s v="Down"/>
    <x v="0"/>
    <s v="Dace. Sp"/>
    <s v="Rhinichthys"/>
    <s v="gibbosus"/>
    <s v="U"/>
    <x v="0"/>
    <n v="8"/>
    <n v="11.81"/>
    <x v="14"/>
    <s v="2706-91-4"/>
    <x v="14"/>
    <n v="0.623"/>
  </r>
  <r>
    <s v="SS001-JBA-08132021"/>
    <s v="Down"/>
    <x v="0"/>
    <s v="Dace. Sp"/>
    <s v="Rhinichthys"/>
    <s v="gibbosus"/>
    <s v="U"/>
    <x v="0"/>
    <n v="8"/>
    <n v="11.81"/>
    <x v="15"/>
    <s v="355-46-4"/>
    <x v="15"/>
    <n v="92.9"/>
  </r>
  <r>
    <s v="SS001-JBA-08132021"/>
    <s v="Down"/>
    <x v="0"/>
    <s v="Dace. Sp"/>
    <s v="Rhinichthys"/>
    <s v="gibbosus"/>
    <s v="U"/>
    <x v="0"/>
    <n v="8"/>
    <n v="11.81"/>
    <x v="16"/>
    <s v="375-92-8"/>
    <x v="16"/>
    <n v="12.3"/>
  </r>
  <r>
    <s v="SS001-JBA-08132021"/>
    <s v="Down"/>
    <x v="0"/>
    <s v="Dace. Sp"/>
    <s v="Rhinichthys"/>
    <s v="gibbosus"/>
    <s v="U"/>
    <x v="0"/>
    <n v="8"/>
    <n v="11.81"/>
    <x v="17"/>
    <s v="1763-23-1"/>
    <x v="17"/>
    <n v="3330"/>
  </r>
  <r>
    <s v="SS001-JBA-08132021"/>
    <s v="Down"/>
    <x v="0"/>
    <s v="Dace. Sp"/>
    <s v="Rhinichthys"/>
    <s v="gibbosus"/>
    <s v="U"/>
    <x v="0"/>
    <n v="8"/>
    <n v="11.81"/>
    <x v="18"/>
    <s v="68259-12-1"/>
    <x v="18"/>
    <n v="2.46"/>
  </r>
  <r>
    <s v="SS001-JBA-08132021"/>
    <s v="Down"/>
    <x v="0"/>
    <s v="Dace. Sp"/>
    <s v="Rhinichthys"/>
    <s v="gibbosus"/>
    <s v="U"/>
    <x v="0"/>
    <n v="8"/>
    <n v="11.81"/>
    <x v="19"/>
    <s v="335-77-3"/>
    <x v="19"/>
    <n v="2.1"/>
  </r>
  <r>
    <s v="SS001-JBA-08132021"/>
    <s v="Down"/>
    <x v="0"/>
    <s v="Dace. Sp"/>
    <s v="Rhinichthys"/>
    <s v="gibbosus"/>
    <s v="U"/>
    <x v="0"/>
    <n v="8"/>
    <n v="11.81"/>
    <x v="20"/>
    <s v="79780-39-5"/>
    <x v="20"/>
    <n v="0.58099999999999996"/>
  </r>
  <r>
    <s v="SS001-JBA-08132021"/>
    <s v="Down"/>
    <x v="0"/>
    <s v="Dace. Sp"/>
    <s v="Rhinichthys"/>
    <s v="gibbosus"/>
    <s v="U"/>
    <x v="0"/>
    <n v="8"/>
    <n v="11.81"/>
    <x v="21"/>
    <s v="777011-38-8"/>
    <x v="21"/>
    <n v="1.28"/>
  </r>
  <r>
    <s v="SS001-JBA-08132021"/>
    <s v="Down"/>
    <x v="0"/>
    <s v="Dace. Sp"/>
    <s v="Rhinichthys"/>
    <s v="gibbosus"/>
    <s v="U"/>
    <x v="0"/>
    <n v="8"/>
    <n v="11.81"/>
    <x v="22"/>
    <s v="646-83-3"/>
    <x v="22"/>
    <n v="0.40300000000000002"/>
  </r>
  <r>
    <s v="SS001-JBA-08132021"/>
    <s v="Down"/>
    <x v="0"/>
    <s v="Dace. Sp"/>
    <s v="Rhinichthys"/>
    <s v="gibbosus"/>
    <s v="U"/>
    <x v="0"/>
    <n v="8"/>
    <n v="11.81"/>
    <x v="23"/>
    <s v="30334-69-1"/>
    <x v="23"/>
    <n v="81.3"/>
  </r>
  <r>
    <s v="SS001-JBA-08132021"/>
    <s v="Down"/>
    <x v="0"/>
    <s v="Dace. Sp"/>
    <s v="Rhinichthys"/>
    <s v="gibbosus"/>
    <s v="U"/>
    <x v="0"/>
    <n v="8"/>
    <n v="11.81"/>
    <x v="24"/>
    <s v="41997-13-1"/>
    <x v="24"/>
    <n v="401"/>
  </r>
  <r>
    <s v="SS001-JBA-08132021"/>
    <s v="Down"/>
    <x v="0"/>
    <s v="Dace. Sp"/>
    <s v="Rhinichthys"/>
    <s v="gibbosus"/>
    <s v="U"/>
    <x v="0"/>
    <n v="8"/>
    <n v="11.81"/>
    <x v="25"/>
    <s v="754-91-6"/>
    <x v="25"/>
    <n v="41.9"/>
  </r>
  <r>
    <s v="SS001-JBA-08132021"/>
    <s v="Down"/>
    <x v="0"/>
    <s v="Dace. Sp"/>
    <s v="Rhinichthys"/>
    <s v="gibbosus"/>
    <s v="U"/>
    <x v="0"/>
    <n v="8"/>
    <n v="11.81"/>
    <x v="26"/>
    <s v="31506-32-8"/>
    <x v="26"/>
    <n v="5.0564236900269545E-2"/>
  </r>
  <r>
    <s v="SS001-JBA-08132021"/>
    <s v="Down"/>
    <x v="0"/>
    <s v="Dace. Sp"/>
    <s v="Rhinichthys"/>
    <s v="gibbosus"/>
    <s v="U"/>
    <x v="0"/>
    <n v="8"/>
    <n v="11.81"/>
    <x v="27"/>
    <s v="4151-50-2"/>
    <x v="27"/>
    <n v="7.6593501661051208E-2"/>
  </r>
  <r>
    <s v="SS001-JBA-08132021"/>
    <s v="Down"/>
    <x v="0"/>
    <s v="Dace. Sp"/>
    <s v="Rhinichthys"/>
    <s v="gibbosus"/>
    <s v="U"/>
    <x v="0"/>
    <n v="8"/>
    <n v="11.81"/>
    <x v="28"/>
    <s v="2806-24-8"/>
    <x v="28"/>
    <n v="0.19421038397601839"/>
  </r>
  <r>
    <s v="SS001-JBA-08132021"/>
    <s v="Down"/>
    <x v="0"/>
    <s v="Dace. Sp"/>
    <s v="Rhinichthys"/>
    <s v="gibbosus"/>
    <s v="U"/>
    <x v="0"/>
    <n v="8"/>
    <n v="11.81"/>
    <x v="29"/>
    <s v="2355-31-9"/>
    <x v="29"/>
    <n v="6.6032287732479794E-2"/>
  </r>
  <r>
    <s v="SS001-JBA-08132021"/>
    <s v="Down"/>
    <x v="0"/>
    <s v="Dace. Sp"/>
    <s v="Rhinichthys"/>
    <s v="gibbosus"/>
    <s v="U"/>
    <x v="0"/>
    <n v="8"/>
    <n v="11.81"/>
    <x v="30"/>
    <s v="2991-50-6"/>
    <x v="30"/>
    <n v="5.6970704747304583E-2"/>
  </r>
  <r>
    <s v="SS001-JBA-08132021"/>
    <s v="Down"/>
    <x v="0"/>
    <s v="Dace. Sp"/>
    <s v="Rhinichthys"/>
    <s v="gibbosus"/>
    <s v="U"/>
    <x v="0"/>
    <n v="8"/>
    <n v="11.81"/>
    <x v="31"/>
    <s v="757124-72-4"/>
    <x v="31"/>
    <n v="5.391197745283019E-2"/>
  </r>
  <r>
    <s v="SS001-JBA-08132021"/>
    <s v="Down"/>
    <x v="0"/>
    <s v="Dace. Sp"/>
    <s v="Rhinichthys"/>
    <s v="gibbosus"/>
    <s v="U"/>
    <x v="0"/>
    <n v="8"/>
    <n v="11.81"/>
    <x v="32"/>
    <s v="27619-97-2"/>
    <x v="32"/>
    <n v="0.65500000000000003"/>
  </r>
  <r>
    <s v="SS001-JBA-08132021"/>
    <s v="Down"/>
    <x v="0"/>
    <s v="Dace. Sp"/>
    <s v="Rhinichthys"/>
    <s v="gibbosus"/>
    <s v="U"/>
    <x v="0"/>
    <n v="8"/>
    <n v="11.81"/>
    <x v="33"/>
    <s v="39108-34-4"/>
    <x v="33"/>
    <n v="44"/>
  </r>
  <r>
    <s v="SS001-JBA-08132021"/>
    <s v="Down"/>
    <x v="0"/>
    <s v="Dace. Sp"/>
    <s v="Rhinichthys"/>
    <s v="gibbosus"/>
    <s v="U"/>
    <x v="0"/>
    <n v="8"/>
    <n v="11.81"/>
    <x v="34"/>
    <s v="120226-60-0"/>
    <x v="34"/>
    <n v="1.17"/>
  </r>
  <r>
    <s v="SS001-JBA-08132021"/>
    <s v="Down"/>
    <x v="0"/>
    <s v="Dace. Sp"/>
    <s v="Rhinichthys"/>
    <s v="gibbosus"/>
    <s v="U"/>
    <x v="0"/>
    <n v="8"/>
    <n v="11.81"/>
    <x v="35"/>
    <s v="356-02-5"/>
    <x v="35"/>
    <n v="7.570944051549866E-2"/>
  </r>
  <r>
    <s v="SS001-JBA-08132021"/>
    <s v="Down"/>
    <x v="0"/>
    <s v="Dace. Sp"/>
    <s v="Rhinichthys"/>
    <s v="gibbosus"/>
    <s v="U"/>
    <x v="0"/>
    <n v="8"/>
    <n v="11.81"/>
    <x v="36"/>
    <s v="914637-49-3"/>
    <x v="36"/>
    <n v="10.199999999999999"/>
  </r>
  <r>
    <s v="SS001-JBA-08132021"/>
    <s v="Down"/>
    <x v="0"/>
    <s v="Dace. Sp"/>
    <s v="Rhinichthys"/>
    <s v="gibbosus"/>
    <s v="U"/>
    <x v="0"/>
    <n v="8"/>
    <n v="11.81"/>
    <x v="37"/>
    <s v="812-70-4"/>
    <x v="37"/>
    <n v="19"/>
  </r>
  <r>
    <s v="SS001-JBA-08132021"/>
    <s v="Down"/>
    <x v="0"/>
    <s v="Dace. Sp"/>
    <s v="Rhinichthys"/>
    <s v="gibbosus"/>
    <s v="U"/>
    <x v="0"/>
    <n v="8"/>
    <n v="11.81"/>
    <x v="38"/>
    <s v="53826-12-3"/>
    <x v="38"/>
    <n v="3.68"/>
  </r>
  <r>
    <s v="SS001-JBA-08132021"/>
    <s v="Down"/>
    <x v="0"/>
    <s v="Dace. Sp"/>
    <s v="Rhinichthys"/>
    <s v="gibbosus"/>
    <s v="U"/>
    <x v="0"/>
    <n v="8"/>
    <n v="11.81"/>
    <x v="39"/>
    <s v="27854-31-5"/>
    <x v="39"/>
    <n v="0.68600000000000005"/>
  </r>
  <r>
    <s v="SS001-JBA-08132021"/>
    <s v="Down"/>
    <x v="0"/>
    <s v="Dace. Sp"/>
    <s v="Rhinichthys"/>
    <s v="gibbosus"/>
    <s v="U"/>
    <x v="0"/>
    <n v="8"/>
    <n v="11.81"/>
    <x v="40"/>
    <s v="53826-13-4"/>
    <x v="40"/>
    <n v="9.7940314073450149E-2"/>
  </r>
  <r>
    <s v="SS001-JBA-08132021"/>
    <s v="Down"/>
    <x v="0"/>
    <s v="Dace. Sp"/>
    <s v="Rhinichthys"/>
    <s v="gibbosus"/>
    <s v="U"/>
    <x v="0"/>
    <n v="8"/>
    <n v="11.81"/>
    <x v="41"/>
    <s v="161094-75-3"/>
    <x v="41"/>
    <n v="5.1536511630727769E-2"/>
  </r>
  <r>
    <s v="SS001-JBA-08132021"/>
    <s v="Down"/>
    <x v="0"/>
    <s v="Dace. Sp"/>
    <s v="Rhinichthys"/>
    <s v="gibbosus"/>
    <s v="U"/>
    <x v="0"/>
    <n v="8"/>
    <n v="11.81"/>
    <x v="42"/>
    <s v="70887-84-2"/>
    <x v="42"/>
    <n v="3.9663632580525604E-2"/>
  </r>
  <r>
    <s v="SS001-JBA-08132021"/>
    <s v="Down"/>
    <x v="0"/>
    <s v="Dace. Sp"/>
    <s v="Rhinichthys"/>
    <s v="gibbosus"/>
    <s v="U"/>
    <x v="0"/>
    <n v="8"/>
    <n v="11.81"/>
    <x v="43"/>
    <s v="919005-14-4"/>
    <x v="43"/>
    <n v="6.5635173451885048E-2"/>
  </r>
  <r>
    <s v="SS001-JBA-08132021"/>
    <s v="Down"/>
    <x v="0"/>
    <s v="Dace. Sp"/>
    <s v="Rhinichthys"/>
    <s v="gibbosus"/>
    <s v="U"/>
    <x v="0"/>
    <n v="8"/>
    <n v="11.81"/>
    <x v="44"/>
    <s v="756426-58-1"/>
    <x v="44"/>
    <n v="4.5557809659703505E-2"/>
  </r>
  <r>
    <s v="SS001-JBA-08132021"/>
    <s v="Down"/>
    <x v="0"/>
    <s v="Dace. Sp"/>
    <s v="Rhinichthys"/>
    <s v="gibbosus"/>
    <s v="U"/>
    <x v="0"/>
    <n v="8"/>
    <n v="11.81"/>
    <x v="45"/>
    <s v="763051-92-9"/>
    <x v="45"/>
    <n v="5.1719896121967653E-2"/>
  </r>
  <r>
    <s v="SS001-JBA-08132021"/>
    <s v="Down"/>
    <x v="0"/>
    <s v="Dace. Sp"/>
    <s v="Rhinichthys"/>
    <s v="gibbosus"/>
    <s v="U"/>
    <x v="0"/>
    <n v="8"/>
    <n v="11.81"/>
    <x v="46"/>
    <s v="13252-13-6"/>
    <x v="46"/>
    <n v="9.418834877021566E-2"/>
  </r>
  <r>
    <s v="SS001-JBA-08132021"/>
    <s v="Down"/>
    <x v="0"/>
    <s v="Dace. Sp"/>
    <s v="Rhinichthys"/>
    <s v="gibbosus"/>
    <s v="U"/>
    <x v="0"/>
    <n v="8"/>
    <n v="11.81"/>
    <x v="47"/>
    <s v="57677-95-9"/>
    <x v="47"/>
    <n v="6.9870541324124E-2"/>
  </r>
  <r>
    <s v="SS001-JBA-08132021"/>
    <s v="Down"/>
    <x v="0"/>
    <s v="Dace. Sp"/>
    <s v="Rhinichthys"/>
    <s v="gibbosus"/>
    <s v="U"/>
    <x v="0"/>
    <n v="8"/>
    <n v="11.81"/>
    <x v="48"/>
    <s v="678-41-1"/>
    <x v="48"/>
    <n v="8.7020032348382764E-2"/>
  </r>
  <r>
    <s v="SS001-JBA-08132021"/>
    <s v="Down"/>
    <x v="0"/>
    <s v="Dace. Sp"/>
    <s v="Rhinichthys"/>
    <s v="gibbosus"/>
    <s v="U"/>
    <x v="0"/>
    <n v="8"/>
    <n v="11.81"/>
    <x v="49"/>
    <s v="2965-52-8"/>
    <x v="49"/>
    <n v="0.11551790527531768"/>
  </r>
  <r>
    <s v="EMM001-JBA-08132021"/>
    <s v="Down"/>
    <x v="0"/>
    <s v="Eastern Mudminnow"/>
    <s v="Umbra"/>
    <s v="gibbosus"/>
    <s v="U"/>
    <x v="0"/>
    <n v="8"/>
    <n v="11.81"/>
    <x v="0"/>
    <s v="375-22-4"/>
    <x v="0"/>
    <n v="9.3477357706688816E-2"/>
  </r>
  <r>
    <s v="EMM001-JBA-08132021"/>
    <s v="Down"/>
    <x v="0"/>
    <s v="Eastern Mudminnow"/>
    <s v="Umbra"/>
    <s v="gibbosus"/>
    <s v="U"/>
    <x v="0"/>
    <n v="8"/>
    <n v="11.81"/>
    <x v="1"/>
    <s v="2706-90-3"/>
    <x v="1"/>
    <n v="5.2752157258541398E-2"/>
  </r>
  <r>
    <s v="EMM001-JBA-08132021"/>
    <s v="Down"/>
    <x v="0"/>
    <s v="Eastern Mudminnow"/>
    <s v="Umbra"/>
    <s v="gibbosus"/>
    <s v="U"/>
    <x v="0"/>
    <n v="8"/>
    <n v="11.81"/>
    <x v="2"/>
    <s v="307-24-4"/>
    <x v="2"/>
    <n v="4.0294712422963203E-2"/>
  </r>
  <r>
    <s v="EMM001-JBA-08132021"/>
    <s v="Down"/>
    <x v="0"/>
    <s v="Eastern Mudminnow"/>
    <s v="Umbra"/>
    <s v="gibbosus"/>
    <s v="U"/>
    <x v="0"/>
    <n v="8"/>
    <n v="11.81"/>
    <x v="3"/>
    <s v="375-85-9"/>
    <x v="3"/>
    <n v="9.3477357706688816E-2"/>
  </r>
  <r>
    <s v="EMM001-JBA-08132021"/>
    <s v="Down"/>
    <x v="0"/>
    <s v="Eastern Mudminnow"/>
    <s v="Umbra"/>
    <s v="gibbosus"/>
    <s v="U"/>
    <x v="0"/>
    <n v="8"/>
    <n v="11.81"/>
    <x v="4"/>
    <s v="335-67-1"/>
    <x v="4"/>
    <n v="3.26"/>
  </r>
  <r>
    <s v="EMM001-JBA-08132021"/>
    <s v="Down"/>
    <x v="0"/>
    <s v="Eastern Mudminnow"/>
    <s v="Umbra"/>
    <s v="gibbosus"/>
    <s v="U"/>
    <x v="0"/>
    <n v="8"/>
    <n v="11.81"/>
    <x v="5"/>
    <s v="375-95-1"/>
    <x v="5"/>
    <n v="1.44"/>
  </r>
  <r>
    <s v="EMM001-JBA-08132021"/>
    <s v="Down"/>
    <x v="0"/>
    <s v="Eastern Mudminnow"/>
    <s v="Umbra"/>
    <s v="gibbosus"/>
    <s v="U"/>
    <x v="0"/>
    <n v="8"/>
    <n v="11.81"/>
    <x v="6"/>
    <s v="335-76-2"/>
    <x v="6"/>
    <n v="3.18"/>
  </r>
  <r>
    <s v="EMM001-JBA-08132021"/>
    <s v="Down"/>
    <x v="0"/>
    <s v="Eastern Mudminnow"/>
    <s v="Umbra"/>
    <s v="gibbosus"/>
    <s v="U"/>
    <x v="0"/>
    <n v="8"/>
    <n v="11.81"/>
    <x v="7"/>
    <s v="2058-94-8"/>
    <x v="7"/>
    <n v="6.01"/>
  </r>
  <r>
    <s v="EMM001-JBA-08132021"/>
    <s v="Down"/>
    <x v="0"/>
    <s v="Eastern Mudminnow"/>
    <s v="Umbra"/>
    <s v="gibbosus"/>
    <s v="U"/>
    <x v="0"/>
    <n v="8"/>
    <n v="11.81"/>
    <x v="8"/>
    <s v="307-55-1"/>
    <x v="8"/>
    <n v="5.961353693002628E-2"/>
  </r>
  <r>
    <s v="EMM001-JBA-08132021"/>
    <s v="Down"/>
    <x v="0"/>
    <s v="Eastern Mudminnow"/>
    <s v="Umbra"/>
    <s v="gibbosus"/>
    <s v="U"/>
    <x v="0"/>
    <n v="8"/>
    <n v="11.81"/>
    <x v="9"/>
    <s v="72629-94-8"/>
    <x v="9"/>
    <n v="1.95"/>
  </r>
  <r>
    <s v="EMM001-JBA-08132021"/>
    <s v="Down"/>
    <x v="0"/>
    <s v="Eastern Mudminnow"/>
    <s v="Umbra"/>
    <s v="gibbosus"/>
    <s v="U"/>
    <x v="0"/>
    <n v="8"/>
    <n v="11.81"/>
    <x v="10"/>
    <s v="376-06-7"/>
    <x v="10"/>
    <n v="5.05"/>
  </r>
  <r>
    <s v="EMM001-JBA-08132021"/>
    <s v="Down"/>
    <x v="0"/>
    <s v="Eastern Mudminnow"/>
    <s v="Umbra"/>
    <s v="gibbosus"/>
    <s v="U"/>
    <x v="0"/>
    <n v="8"/>
    <n v="11.81"/>
    <x v="11"/>
    <s v="67905-19-5"/>
    <x v="11"/>
    <n v="8.8982808321287785E-2"/>
  </r>
  <r>
    <s v="EMM001-JBA-08132021"/>
    <s v="Down"/>
    <x v="0"/>
    <s v="Eastern Mudminnow"/>
    <s v="Umbra"/>
    <s v="gibbosus"/>
    <s v="U"/>
    <x v="0"/>
    <n v="8"/>
    <n v="11.81"/>
    <x v="12"/>
    <s v="423-41-6"/>
    <x v="12"/>
    <n v="5.6964015428712218E-2"/>
  </r>
  <r>
    <s v="EMM001-JBA-08132021"/>
    <s v="Down"/>
    <x v="0"/>
    <s v="Eastern Mudminnow"/>
    <s v="Umbra"/>
    <s v="gibbosus"/>
    <s v="U"/>
    <x v="0"/>
    <n v="8"/>
    <n v="11.81"/>
    <x v="13"/>
    <s v="375-73-5"/>
    <x v="13"/>
    <n v="0.67800000000000005"/>
  </r>
  <r>
    <s v="EMM001-JBA-08132021"/>
    <s v="Down"/>
    <x v="0"/>
    <s v="Eastern Mudminnow"/>
    <s v="Umbra"/>
    <s v="gibbosus"/>
    <s v="U"/>
    <x v="0"/>
    <n v="8"/>
    <n v="11.81"/>
    <x v="14"/>
    <s v="2706-91-4"/>
    <x v="14"/>
    <n v="0.12375115377261114"/>
  </r>
  <r>
    <s v="EMM001-JBA-08132021"/>
    <s v="Down"/>
    <x v="0"/>
    <s v="Eastern Mudminnow"/>
    <s v="Umbra"/>
    <s v="gibbosus"/>
    <s v="U"/>
    <x v="0"/>
    <n v="8"/>
    <n v="11.81"/>
    <x v="15"/>
    <s v="355-46-4"/>
    <x v="15"/>
    <n v="26.2"/>
  </r>
  <r>
    <s v="EMM001-JBA-08132021"/>
    <s v="Down"/>
    <x v="0"/>
    <s v="Eastern Mudminnow"/>
    <s v="Umbra"/>
    <s v="gibbosus"/>
    <s v="U"/>
    <x v="0"/>
    <n v="8"/>
    <n v="11.81"/>
    <x v="16"/>
    <s v="375-92-8"/>
    <x v="16"/>
    <n v="1.43"/>
  </r>
  <r>
    <s v="EMM001-JBA-08132021"/>
    <s v="Down"/>
    <x v="0"/>
    <s v="Eastern Mudminnow"/>
    <s v="Umbra"/>
    <s v="gibbosus"/>
    <s v="U"/>
    <x v="0"/>
    <n v="8"/>
    <n v="11.81"/>
    <x v="17"/>
    <s v="1763-23-1"/>
    <x v="17"/>
    <n v="595"/>
  </r>
  <r>
    <s v="EMM001-JBA-08132021"/>
    <s v="Down"/>
    <x v="0"/>
    <s v="Eastern Mudminnow"/>
    <s v="Umbra"/>
    <s v="gibbosus"/>
    <s v="U"/>
    <x v="0"/>
    <n v="8"/>
    <n v="11.81"/>
    <x v="18"/>
    <s v="68259-12-1"/>
    <x v="18"/>
    <n v="0.872"/>
  </r>
  <r>
    <s v="EMM001-JBA-08132021"/>
    <s v="Down"/>
    <x v="0"/>
    <s v="Eastern Mudminnow"/>
    <s v="Umbra"/>
    <s v="gibbosus"/>
    <s v="U"/>
    <x v="0"/>
    <n v="8"/>
    <n v="11.81"/>
    <x v="19"/>
    <s v="335-77-3"/>
    <x v="19"/>
    <n v="0.98399999999999999"/>
  </r>
  <r>
    <s v="EMM001-JBA-08132021"/>
    <s v="Down"/>
    <x v="0"/>
    <s v="Eastern Mudminnow"/>
    <s v="Umbra"/>
    <s v="gibbosus"/>
    <s v="U"/>
    <x v="0"/>
    <n v="8"/>
    <n v="11.81"/>
    <x v="20"/>
    <s v="79780-39-5"/>
    <x v="20"/>
    <n v="0.627"/>
  </r>
  <r>
    <s v="EMM001-JBA-08132021"/>
    <s v="Down"/>
    <x v="0"/>
    <s v="Eastern Mudminnow"/>
    <s v="Umbra"/>
    <s v="gibbosus"/>
    <s v="U"/>
    <x v="0"/>
    <n v="8"/>
    <n v="11.81"/>
    <x v="21"/>
    <s v="777011-38-8"/>
    <x v="21"/>
    <n v="0.14201178154437058"/>
  </r>
  <r>
    <s v="EMM001-JBA-08132021"/>
    <s v="Down"/>
    <x v="0"/>
    <s v="Eastern Mudminnow"/>
    <s v="Umbra"/>
    <s v="gibbosus"/>
    <s v="U"/>
    <x v="0"/>
    <n v="8"/>
    <n v="11.81"/>
    <x v="22"/>
    <s v="646-83-3"/>
    <x v="22"/>
    <n v="0.20399999999999999"/>
  </r>
  <r>
    <s v="EMM001-JBA-08132021"/>
    <s v="Down"/>
    <x v="0"/>
    <s v="Eastern Mudminnow"/>
    <s v="Umbra"/>
    <s v="gibbosus"/>
    <s v="U"/>
    <x v="0"/>
    <n v="8"/>
    <n v="11.81"/>
    <x v="23"/>
    <s v="30334-69-1"/>
    <x v="23"/>
    <n v="18.8"/>
  </r>
  <r>
    <s v="EMM001-JBA-08132021"/>
    <s v="Down"/>
    <x v="0"/>
    <s v="Eastern Mudminnow"/>
    <s v="Umbra"/>
    <s v="gibbosus"/>
    <s v="U"/>
    <x v="0"/>
    <n v="8"/>
    <n v="11.81"/>
    <x v="24"/>
    <s v="41997-13-1"/>
    <x v="24"/>
    <n v="99.3"/>
  </r>
  <r>
    <s v="EMM001-JBA-08132021"/>
    <s v="Down"/>
    <x v="0"/>
    <s v="Eastern Mudminnow"/>
    <s v="Umbra"/>
    <s v="gibbosus"/>
    <s v="U"/>
    <x v="0"/>
    <n v="8"/>
    <n v="11.81"/>
    <x v="25"/>
    <s v="754-91-6"/>
    <x v="25"/>
    <n v="13.4"/>
  </r>
  <r>
    <s v="EMM001-JBA-08132021"/>
    <s v="Down"/>
    <x v="0"/>
    <s v="Eastern Mudminnow"/>
    <s v="Umbra"/>
    <s v="gibbosus"/>
    <s v="U"/>
    <x v="0"/>
    <n v="8"/>
    <n v="11.81"/>
    <x v="26"/>
    <s v="31506-32-8"/>
    <x v="26"/>
    <n v="5.7518757437582127E-2"/>
  </r>
  <r>
    <s v="EMM001-JBA-08132021"/>
    <s v="Down"/>
    <x v="0"/>
    <s v="Eastern Mudminnow"/>
    <s v="Umbra"/>
    <s v="gibbosus"/>
    <s v="U"/>
    <x v="0"/>
    <n v="8"/>
    <n v="11.81"/>
    <x v="27"/>
    <s v="4151-50-2"/>
    <x v="27"/>
    <n v="8.7128043720433632E-2"/>
  </r>
  <r>
    <s v="EMM001-JBA-08132021"/>
    <s v="Down"/>
    <x v="0"/>
    <s v="Eastern Mudminnow"/>
    <s v="Umbra"/>
    <s v="gibbosus"/>
    <s v="U"/>
    <x v="0"/>
    <n v="8"/>
    <n v="11.81"/>
    <x v="28"/>
    <s v="2806-24-8"/>
    <x v="28"/>
    <n v="5.8851631507884361E-2"/>
  </r>
  <r>
    <s v="EMM001-JBA-08132021"/>
    <s v="Down"/>
    <x v="0"/>
    <s v="Eastern Mudminnow"/>
    <s v="Umbra"/>
    <s v="gibbosus"/>
    <s v="U"/>
    <x v="0"/>
    <n v="8"/>
    <n v="11.81"/>
    <x v="29"/>
    <s v="2355-31-9"/>
    <x v="29"/>
    <n v="0.82699999999999996"/>
  </r>
  <r>
    <s v="EMM001-JBA-08132021"/>
    <s v="Down"/>
    <x v="0"/>
    <s v="Eastern Mudminnow"/>
    <s v="Umbra"/>
    <s v="gibbosus"/>
    <s v="U"/>
    <x v="0"/>
    <n v="8"/>
    <n v="11.81"/>
    <x v="30"/>
    <s v="2991-50-6"/>
    <x v="30"/>
    <n v="6.4806360152759521E-2"/>
  </r>
  <r>
    <s v="EMM001-JBA-08132021"/>
    <s v="Down"/>
    <x v="0"/>
    <s v="Eastern Mudminnow"/>
    <s v="Umbra"/>
    <s v="gibbosus"/>
    <s v="U"/>
    <x v="0"/>
    <n v="8"/>
    <n v="11.81"/>
    <x v="31"/>
    <s v="757124-72-4"/>
    <x v="31"/>
    <n v="6.1326940624178705E-2"/>
  </r>
  <r>
    <s v="EMM001-JBA-08132021"/>
    <s v="Down"/>
    <x v="0"/>
    <s v="Eastern Mudminnow"/>
    <s v="Umbra"/>
    <s v="gibbosus"/>
    <s v="U"/>
    <x v="0"/>
    <n v="8"/>
    <n v="11.81"/>
    <x v="32"/>
    <s v="27619-97-2"/>
    <x v="32"/>
    <n v="0.48899999999999999"/>
  </r>
  <r>
    <s v="EMM001-JBA-08132021"/>
    <s v="Down"/>
    <x v="0"/>
    <s v="Eastern Mudminnow"/>
    <s v="Umbra"/>
    <s v="gibbosus"/>
    <s v="U"/>
    <x v="0"/>
    <n v="8"/>
    <n v="11.81"/>
    <x v="33"/>
    <s v="39108-34-4"/>
    <x v="33"/>
    <n v="1.43"/>
  </r>
  <r>
    <s v="EMM001-JBA-08132021"/>
    <s v="Down"/>
    <x v="0"/>
    <s v="Eastern Mudminnow"/>
    <s v="Umbra"/>
    <s v="gibbosus"/>
    <s v="U"/>
    <x v="0"/>
    <n v="8"/>
    <n v="11.81"/>
    <x v="34"/>
    <s v="120226-60-0"/>
    <x v="34"/>
    <n v="0.26535079405899453"/>
  </r>
  <r>
    <s v="EMM001-JBA-08132021"/>
    <s v="Down"/>
    <x v="0"/>
    <s v="Eastern Mudminnow"/>
    <s v="Umbra"/>
    <s v="gibbosus"/>
    <s v="U"/>
    <x v="0"/>
    <n v="8"/>
    <n v="11.81"/>
    <x v="35"/>
    <s v="356-02-5"/>
    <x v="35"/>
    <n v="8.6122390284165573E-2"/>
  </r>
  <r>
    <s v="EMM001-JBA-08132021"/>
    <s v="Down"/>
    <x v="0"/>
    <s v="Eastern Mudminnow"/>
    <s v="Umbra"/>
    <s v="gibbosus"/>
    <s v="U"/>
    <x v="0"/>
    <n v="8"/>
    <n v="11.81"/>
    <x v="36"/>
    <s v="914637-49-3"/>
    <x v="36"/>
    <n v="0.35599999999999998"/>
  </r>
  <r>
    <s v="EMM001-JBA-08132021"/>
    <s v="Down"/>
    <x v="0"/>
    <s v="Eastern Mudminnow"/>
    <s v="Umbra"/>
    <s v="gibbosus"/>
    <s v="U"/>
    <x v="0"/>
    <n v="8"/>
    <n v="11.81"/>
    <x v="37"/>
    <s v="812-70-4"/>
    <x v="37"/>
    <n v="5.36"/>
  </r>
  <r>
    <s v="EMM001-JBA-08132021"/>
    <s v="Down"/>
    <x v="0"/>
    <s v="Eastern Mudminnow"/>
    <s v="Umbra"/>
    <s v="gibbosus"/>
    <s v="U"/>
    <x v="0"/>
    <n v="8"/>
    <n v="11.81"/>
    <x v="38"/>
    <s v="53826-12-3"/>
    <x v="38"/>
    <n v="1.81"/>
  </r>
  <r>
    <s v="EMM001-JBA-08132021"/>
    <s v="Down"/>
    <x v="0"/>
    <s v="Eastern Mudminnow"/>
    <s v="Umbra"/>
    <s v="gibbosus"/>
    <s v="U"/>
    <x v="0"/>
    <n v="8"/>
    <n v="11.81"/>
    <x v="39"/>
    <s v="27854-31-5"/>
    <x v="39"/>
    <n v="2.9865010154103457E-2"/>
  </r>
  <r>
    <s v="EMM001-JBA-08132021"/>
    <s v="Down"/>
    <x v="0"/>
    <s v="Eastern Mudminnow"/>
    <s v="Umbra"/>
    <s v="gibbosus"/>
    <s v="U"/>
    <x v="0"/>
    <n v="8"/>
    <n v="11.81"/>
    <x v="40"/>
    <s v="53826-13-4"/>
    <x v="40"/>
    <n v="0.11141086099375822"/>
  </r>
  <r>
    <s v="EMM001-JBA-08132021"/>
    <s v="Down"/>
    <x v="0"/>
    <s v="Eastern Mudminnow"/>
    <s v="Umbra"/>
    <s v="gibbosus"/>
    <s v="U"/>
    <x v="0"/>
    <n v="8"/>
    <n v="11.81"/>
    <x v="41"/>
    <s v="161094-75-3"/>
    <x v="41"/>
    <n v="5.8624757207621558E-2"/>
  </r>
  <r>
    <s v="EMM001-JBA-08132021"/>
    <s v="Down"/>
    <x v="0"/>
    <s v="Eastern Mudminnow"/>
    <s v="Umbra"/>
    <s v="gibbosus"/>
    <s v="U"/>
    <x v="0"/>
    <n v="8"/>
    <n v="11.81"/>
    <x v="42"/>
    <s v="70887-84-2"/>
    <x v="42"/>
    <n v="4.511890223899475E-2"/>
  </r>
  <r>
    <s v="EMM001-JBA-08132021"/>
    <s v="Down"/>
    <x v="0"/>
    <s v="Eastern Mudminnow"/>
    <s v="Umbra"/>
    <s v="gibbosus"/>
    <s v="U"/>
    <x v="0"/>
    <n v="8"/>
    <n v="11.81"/>
    <x v="43"/>
    <s v="919005-14-4"/>
    <x v="43"/>
    <n v="7.4662525385258638E-2"/>
  </r>
  <r>
    <s v="EMM001-JBA-08132021"/>
    <s v="Down"/>
    <x v="0"/>
    <s v="Eastern Mudminnow"/>
    <s v="Umbra"/>
    <s v="gibbosus"/>
    <s v="U"/>
    <x v="0"/>
    <n v="8"/>
    <n v="11.81"/>
    <x v="44"/>
    <s v="756426-58-1"/>
    <x v="44"/>
    <n v="5.1823754571287781E-2"/>
  </r>
  <r>
    <s v="EMM001-JBA-08132021"/>
    <s v="Down"/>
    <x v="0"/>
    <s v="Eastern Mudminnow"/>
    <s v="Umbra"/>
    <s v="gibbosus"/>
    <s v="U"/>
    <x v="0"/>
    <n v="8"/>
    <n v="11.81"/>
    <x v="45"/>
    <s v="763051-92-9"/>
    <x v="45"/>
    <n v="5.8833364094940874E-2"/>
  </r>
  <r>
    <s v="EMM001-JBA-08132021"/>
    <s v="Down"/>
    <x v="0"/>
    <s v="Eastern Mudminnow"/>
    <s v="Umbra"/>
    <s v="gibbosus"/>
    <s v="U"/>
    <x v="0"/>
    <n v="8"/>
    <n v="11.81"/>
    <x v="46"/>
    <s v="13252-13-6"/>
    <x v="46"/>
    <n v="0.1071428566606439"/>
  </r>
  <r>
    <s v="EMM001-JBA-08132021"/>
    <s v="Down"/>
    <x v="0"/>
    <s v="Eastern Mudminnow"/>
    <s v="Umbra"/>
    <s v="gibbosus"/>
    <s v="U"/>
    <x v="0"/>
    <n v="8"/>
    <n v="11.81"/>
    <x v="47"/>
    <s v="57677-95-9"/>
    <x v="47"/>
    <n v="7.9480418667871228E-2"/>
  </r>
  <r>
    <s v="EMM001-JBA-08132021"/>
    <s v="Down"/>
    <x v="0"/>
    <s v="Eastern Mudminnow"/>
    <s v="Umbra"/>
    <s v="gibbosus"/>
    <s v="U"/>
    <x v="0"/>
    <n v="8"/>
    <n v="11.81"/>
    <x v="48"/>
    <s v="678-41-1"/>
    <x v="48"/>
    <n v="9.898862199244414E-2"/>
  </r>
  <r>
    <s v="EMM001-JBA-08132021"/>
    <s v="Down"/>
    <x v="0"/>
    <s v="Eastern Mudminnow"/>
    <s v="Umbra"/>
    <s v="gibbosus"/>
    <s v="U"/>
    <x v="0"/>
    <n v="8"/>
    <n v="11.81"/>
    <x v="49"/>
    <s v="2965-52-8"/>
    <x v="49"/>
    <n v="0.13140604467805517"/>
  </r>
  <r>
    <s v="CS001-JBA-08132021"/>
    <s v="Down"/>
    <x v="0"/>
    <s v="Darter sp."/>
    <s v="Etheostoma"/>
    <s v="gibbosus"/>
    <s v="U"/>
    <x v="0"/>
    <n v="8"/>
    <n v="11.81"/>
    <x v="0"/>
    <s v="375-22-4"/>
    <x v="0"/>
    <n v="9.7402597402597393E-2"/>
  </r>
  <r>
    <s v="CS001-JBA-08132021"/>
    <s v="Down"/>
    <x v="0"/>
    <s v="Darter sp."/>
    <s v="Etheostoma"/>
    <s v="gibbosus"/>
    <s v="U"/>
    <x v="0"/>
    <n v="8"/>
    <n v="11.81"/>
    <x v="1"/>
    <s v="2706-90-3"/>
    <x v="1"/>
    <n v="5.0034555472060663E-2"/>
  </r>
  <r>
    <s v="CS001-JBA-08132021"/>
    <s v="Down"/>
    <x v="0"/>
    <s v="Darter sp."/>
    <s v="Etheostoma"/>
    <s v="gibbosus"/>
    <s v="U"/>
    <x v="0"/>
    <n v="8"/>
    <n v="11.81"/>
    <x v="2"/>
    <s v="307-24-4"/>
    <x v="2"/>
    <n v="0.61099999999999999"/>
  </r>
  <r>
    <s v="CS001-JBA-08132021"/>
    <s v="Down"/>
    <x v="0"/>
    <s v="Darter sp."/>
    <s v="Etheostoma"/>
    <s v="gibbosus"/>
    <s v="U"/>
    <x v="0"/>
    <n v="8"/>
    <n v="11.81"/>
    <x v="3"/>
    <s v="375-85-9"/>
    <x v="3"/>
    <n v="0.245"/>
  </r>
  <r>
    <s v="CS001-JBA-08132021"/>
    <s v="Down"/>
    <x v="0"/>
    <s v="Darter sp."/>
    <s v="Etheostoma"/>
    <s v="gibbosus"/>
    <s v="U"/>
    <x v="0"/>
    <n v="8"/>
    <n v="11.81"/>
    <x v="4"/>
    <s v="335-67-1"/>
    <x v="4"/>
    <n v="5.4"/>
  </r>
  <r>
    <s v="CS001-JBA-08132021"/>
    <s v="Down"/>
    <x v="0"/>
    <s v="Darter sp."/>
    <s v="Etheostoma"/>
    <s v="gibbosus"/>
    <s v="U"/>
    <x v="0"/>
    <n v="8"/>
    <n v="11.81"/>
    <x v="5"/>
    <s v="375-95-1"/>
    <x v="5"/>
    <n v="2.71"/>
  </r>
  <r>
    <s v="CS001-JBA-08132021"/>
    <s v="Down"/>
    <x v="0"/>
    <s v="Darter sp."/>
    <s v="Etheostoma"/>
    <s v="gibbosus"/>
    <s v="U"/>
    <x v="0"/>
    <n v="8"/>
    <n v="11.81"/>
    <x v="6"/>
    <s v="335-76-2"/>
    <x v="6"/>
    <n v="1.84"/>
  </r>
  <r>
    <s v="CS001-JBA-08132021"/>
    <s v="Down"/>
    <x v="0"/>
    <s v="Darter sp."/>
    <s v="Etheostoma"/>
    <s v="gibbosus"/>
    <s v="U"/>
    <x v="0"/>
    <n v="8"/>
    <n v="11.81"/>
    <x v="7"/>
    <s v="2058-94-8"/>
    <x v="7"/>
    <n v="1.94"/>
  </r>
  <r>
    <s v="CS001-JBA-08132021"/>
    <s v="Down"/>
    <x v="0"/>
    <s v="Darter sp."/>
    <s v="Etheostoma"/>
    <s v="gibbosus"/>
    <s v="U"/>
    <x v="0"/>
    <n v="8"/>
    <n v="11.81"/>
    <x v="8"/>
    <s v="307-55-1"/>
    <x v="8"/>
    <n v="5.654246149200249E-2"/>
  </r>
  <r>
    <s v="CS001-JBA-08132021"/>
    <s v="Down"/>
    <x v="0"/>
    <s v="Darter sp."/>
    <s v="Etheostoma"/>
    <s v="gibbosus"/>
    <s v="U"/>
    <x v="0"/>
    <n v="8"/>
    <n v="11.81"/>
    <x v="9"/>
    <s v="72629-94-8"/>
    <x v="9"/>
    <n v="0.59299999999999997"/>
  </r>
  <r>
    <s v="CS001-JBA-08132021"/>
    <s v="Down"/>
    <x v="0"/>
    <s v="Darter sp."/>
    <s v="Etheostoma"/>
    <s v="gibbosus"/>
    <s v="U"/>
    <x v="0"/>
    <n v="8"/>
    <n v="11.81"/>
    <x v="10"/>
    <s v="376-06-7"/>
    <x v="10"/>
    <n v="0.83299999999999996"/>
  </r>
  <r>
    <s v="CS001-JBA-08132021"/>
    <s v="Down"/>
    <x v="0"/>
    <s v="Darter sp."/>
    <s v="Etheostoma"/>
    <s v="gibbosus"/>
    <s v="U"/>
    <x v="0"/>
    <n v="8"/>
    <n v="11.81"/>
    <x v="11"/>
    <s v="67905-19-5"/>
    <x v="11"/>
    <n v="8.4398733443082671E-2"/>
  </r>
  <r>
    <s v="CS001-JBA-08132021"/>
    <s v="Down"/>
    <x v="0"/>
    <s v="Darter sp."/>
    <s v="Etheostoma"/>
    <s v="gibbosus"/>
    <s v="U"/>
    <x v="0"/>
    <n v="8"/>
    <n v="11.81"/>
    <x v="12"/>
    <s v="423-41-6"/>
    <x v="12"/>
    <n v="5.4029433827897801E-2"/>
  </r>
  <r>
    <s v="CS001-JBA-08132021"/>
    <s v="Down"/>
    <x v="0"/>
    <s v="Darter sp."/>
    <s v="Etheostoma"/>
    <s v="gibbosus"/>
    <s v="U"/>
    <x v="0"/>
    <n v="8"/>
    <n v="11.81"/>
    <x v="13"/>
    <s v="375-73-5"/>
    <x v="13"/>
    <n v="0.16573278881249998"/>
  </r>
  <r>
    <s v="CS001-JBA-08132021"/>
    <s v="Down"/>
    <x v="0"/>
    <s v="Darter sp."/>
    <s v="Etheostoma"/>
    <s v="gibbosus"/>
    <s v="U"/>
    <x v="0"/>
    <n v="8"/>
    <n v="11.81"/>
    <x v="14"/>
    <s v="2706-91-4"/>
    <x v="14"/>
    <n v="1.02"/>
  </r>
  <r>
    <s v="CS001-JBA-08132021"/>
    <s v="Down"/>
    <x v="0"/>
    <s v="Darter sp."/>
    <s v="Etheostoma"/>
    <s v="gibbosus"/>
    <s v="U"/>
    <x v="0"/>
    <n v="8"/>
    <n v="11.81"/>
    <x v="15"/>
    <s v="355-46-4"/>
    <x v="15"/>
    <n v="60.4"/>
  </r>
  <r>
    <s v="CS001-JBA-08132021"/>
    <s v="Down"/>
    <x v="0"/>
    <s v="Darter sp."/>
    <s v="Etheostoma"/>
    <s v="gibbosus"/>
    <s v="U"/>
    <x v="0"/>
    <n v="8"/>
    <n v="11.81"/>
    <x v="16"/>
    <s v="375-92-8"/>
    <x v="16"/>
    <n v="1.88"/>
  </r>
  <r>
    <s v="CS001-JBA-08132021"/>
    <s v="Down"/>
    <x v="0"/>
    <s v="Darter sp."/>
    <s v="Etheostoma"/>
    <s v="gibbosus"/>
    <s v="U"/>
    <x v="0"/>
    <n v="8"/>
    <n v="11.81"/>
    <x v="17"/>
    <s v="1763-23-1"/>
    <x v="17"/>
    <n v="351"/>
  </r>
  <r>
    <s v="CS001-JBA-08132021"/>
    <s v="Down"/>
    <x v="0"/>
    <s v="Darter sp."/>
    <s v="Etheostoma"/>
    <s v="gibbosus"/>
    <s v="U"/>
    <x v="0"/>
    <n v="8"/>
    <n v="11.81"/>
    <x v="18"/>
    <s v="68259-12-1"/>
    <x v="18"/>
    <n v="0.39700000000000002"/>
  </r>
  <r>
    <s v="CS001-JBA-08132021"/>
    <s v="Down"/>
    <x v="0"/>
    <s v="Darter sp."/>
    <s v="Etheostoma"/>
    <s v="gibbosus"/>
    <s v="U"/>
    <x v="0"/>
    <n v="8"/>
    <n v="11.81"/>
    <x v="19"/>
    <s v="335-77-3"/>
    <x v="19"/>
    <n v="0.19941993044999998"/>
  </r>
  <r>
    <s v="CS001-JBA-08132021"/>
    <s v="Down"/>
    <x v="0"/>
    <s v="Darter sp."/>
    <s v="Etheostoma"/>
    <s v="gibbosus"/>
    <s v="U"/>
    <x v="0"/>
    <n v="8"/>
    <n v="11.81"/>
    <x v="20"/>
    <s v="79780-39-5"/>
    <x v="20"/>
    <n v="0.26039860323750003"/>
  </r>
  <r>
    <s v="CS001-JBA-08132021"/>
    <s v="Down"/>
    <x v="0"/>
    <s v="Darter sp."/>
    <s v="Etheostoma"/>
    <s v="gibbosus"/>
    <s v="U"/>
    <x v="0"/>
    <n v="8"/>
    <n v="11.81"/>
    <x v="21"/>
    <s v="777011-38-8"/>
    <x v="21"/>
    <n v="0.14797504682999998"/>
  </r>
  <r>
    <s v="CS001-JBA-08132021"/>
    <s v="Down"/>
    <x v="0"/>
    <s v="Darter sp."/>
    <s v="Etheostoma"/>
    <s v="gibbosus"/>
    <s v="U"/>
    <x v="0"/>
    <n v="8"/>
    <n v="11.81"/>
    <x v="22"/>
    <s v="646-83-3"/>
    <x v="22"/>
    <n v="0.25"/>
  </r>
  <r>
    <s v="CS001-JBA-08132021"/>
    <s v="Down"/>
    <x v="0"/>
    <s v="Darter sp."/>
    <s v="Etheostoma"/>
    <s v="gibbosus"/>
    <s v="U"/>
    <x v="0"/>
    <n v="8"/>
    <n v="11.81"/>
    <x v="23"/>
    <s v="30334-69-1"/>
    <x v="23"/>
    <n v="20.3"/>
  </r>
  <r>
    <s v="CS001-JBA-08132021"/>
    <s v="Down"/>
    <x v="0"/>
    <s v="Darter sp."/>
    <s v="Etheostoma"/>
    <s v="gibbosus"/>
    <s v="U"/>
    <x v="0"/>
    <n v="8"/>
    <n v="11.81"/>
    <x v="24"/>
    <s v="41997-13-1"/>
    <x v="24"/>
    <n v="72.099999999999994"/>
  </r>
  <r>
    <s v="CS001-JBA-08132021"/>
    <s v="Down"/>
    <x v="0"/>
    <s v="Darter sp."/>
    <s v="Etheostoma"/>
    <s v="gibbosus"/>
    <s v="U"/>
    <x v="0"/>
    <n v="8"/>
    <n v="11.81"/>
    <x v="25"/>
    <s v="754-91-6"/>
    <x v="25"/>
    <n v="40.700000000000003"/>
  </r>
  <r>
    <s v="CS001-JBA-08132021"/>
    <s v="Down"/>
    <x v="0"/>
    <s v="Darter sp."/>
    <s v="Etheostoma"/>
    <s v="gibbosus"/>
    <s v="U"/>
    <x v="0"/>
    <n v="8"/>
    <n v="11.81"/>
    <x v="26"/>
    <s v="31506-32-8"/>
    <x v="26"/>
    <n v="5.4555597519734107E-2"/>
  </r>
  <r>
    <s v="CS001-JBA-08132021"/>
    <s v="Down"/>
    <x v="0"/>
    <s v="Darter sp."/>
    <s v="Etheostoma"/>
    <s v="gibbosus"/>
    <s v="U"/>
    <x v="0"/>
    <n v="8"/>
    <n v="11.81"/>
    <x v="27"/>
    <s v="4151-50-2"/>
    <x v="27"/>
    <n v="8.2639519656730373E-2"/>
  </r>
  <r>
    <s v="CS001-JBA-08132021"/>
    <s v="Down"/>
    <x v="0"/>
    <s v="Darter sp."/>
    <s v="Etheostoma"/>
    <s v="gibbosus"/>
    <s v="U"/>
    <x v="0"/>
    <n v="8"/>
    <n v="11.81"/>
    <x v="28"/>
    <s v="2806-24-8"/>
    <x v="28"/>
    <n v="5.5819806702326551E-2"/>
  </r>
  <r>
    <s v="CS001-JBA-08132021"/>
    <s v="Down"/>
    <x v="0"/>
    <s v="Darter sp."/>
    <s v="Etheostoma"/>
    <s v="gibbosus"/>
    <s v="U"/>
    <x v="0"/>
    <n v="8"/>
    <n v="11.81"/>
    <x v="29"/>
    <s v="2355-31-9"/>
    <x v="29"/>
    <n v="17.600000000000001"/>
  </r>
  <r>
    <s v="CS001-JBA-08132021"/>
    <s v="Down"/>
    <x v="0"/>
    <s v="Darter sp."/>
    <s v="Etheostoma"/>
    <s v="gibbosus"/>
    <s v="U"/>
    <x v="0"/>
    <n v="8"/>
    <n v="11.81"/>
    <x v="30"/>
    <s v="2991-50-6"/>
    <x v="30"/>
    <n v="6.1467769102098044E-2"/>
  </r>
  <r>
    <s v="CS001-JBA-08132021"/>
    <s v="Down"/>
    <x v="0"/>
    <s v="Darter sp."/>
    <s v="Etheostoma"/>
    <s v="gibbosus"/>
    <s v="U"/>
    <x v="0"/>
    <n v="8"/>
    <n v="11.81"/>
    <x v="31"/>
    <s v="757124-72-4"/>
    <x v="31"/>
    <n v="5.816759677814707E-2"/>
  </r>
  <r>
    <s v="CS001-JBA-08132021"/>
    <s v="Down"/>
    <x v="0"/>
    <s v="Darter sp."/>
    <s v="Etheostoma"/>
    <s v="gibbosus"/>
    <s v="U"/>
    <x v="0"/>
    <n v="8"/>
    <n v="11.81"/>
    <x v="32"/>
    <s v="27619-97-2"/>
    <x v="32"/>
    <n v="2.35"/>
  </r>
  <r>
    <s v="CS001-JBA-08132021"/>
    <s v="Down"/>
    <x v="0"/>
    <s v="Darter sp."/>
    <s v="Etheostoma"/>
    <s v="gibbosus"/>
    <s v="U"/>
    <x v="0"/>
    <n v="8"/>
    <n v="11.81"/>
    <x v="33"/>
    <s v="39108-34-4"/>
    <x v="33"/>
    <n v="1.84"/>
  </r>
  <r>
    <s v="CS001-JBA-08132021"/>
    <s v="Down"/>
    <x v="0"/>
    <s v="Darter sp."/>
    <s v="Etheostoma"/>
    <s v="gibbosus"/>
    <s v="U"/>
    <x v="0"/>
    <n v="8"/>
    <n v="11.81"/>
    <x v="34"/>
    <s v="120226-60-0"/>
    <x v="34"/>
    <n v="8.040933153302865E-2"/>
  </r>
  <r>
    <s v="CS001-JBA-08132021"/>
    <s v="Down"/>
    <x v="0"/>
    <s v="Darter sp."/>
    <s v="Etheostoma"/>
    <s v="gibbosus"/>
    <s v="U"/>
    <x v="0"/>
    <n v="8"/>
    <n v="11.81"/>
    <x v="35"/>
    <s v="356-02-5"/>
    <x v="35"/>
    <n v="8.168567387567513E-2"/>
  </r>
  <r>
    <s v="CS001-JBA-08132021"/>
    <s v="Down"/>
    <x v="0"/>
    <s v="Darter sp."/>
    <s v="Etheostoma"/>
    <s v="gibbosus"/>
    <s v="U"/>
    <x v="0"/>
    <n v="8"/>
    <n v="11.81"/>
    <x v="36"/>
    <s v="914637-49-3"/>
    <x v="36"/>
    <n v="0.18376345259999999"/>
  </r>
  <r>
    <s v="CS001-JBA-08132021"/>
    <s v="Down"/>
    <x v="0"/>
    <s v="Darter sp."/>
    <s v="Etheostoma"/>
    <s v="gibbosus"/>
    <s v="U"/>
    <x v="0"/>
    <n v="8"/>
    <n v="11.81"/>
    <x v="37"/>
    <s v="812-70-4"/>
    <x v="37"/>
    <n v="2.59"/>
  </r>
  <r>
    <s v="CS001-JBA-08132021"/>
    <s v="Down"/>
    <x v="0"/>
    <s v="Darter sp."/>
    <s v="Etheostoma"/>
    <s v="gibbosus"/>
    <s v="U"/>
    <x v="0"/>
    <n v="8"/>
    <n v="11.81"/>
    <x v="38"/>
    <s v="53826-12-3"/>
    <x v="38"/>
    <n v="3.47"/>
  </r>
  <r>
    <s v="CS001-JBA-08132021"/>
    <s v="Down"/>
    <x v="0"/>
    <s v="Darter sp."/>
    <s v="Etheostoma"/>
    <s v="gibbosus"/>
    <s v="U"/>
    <x v="0"/>
    <n v="8"/>
    <n v="11.81"/>
    <x v="39"/>
    <s v="27854-31-5"/>
    <x v="39"/>
    <n v="2.8326472032329946E-2"/>
  </r>
  <r>
    <s v="CS001-JBA-08132021"/>
    <s v="Down"/>
    <x v="0"/>
    <s v="Darter sp."/>
    <s v="Etheostoma"/>
    <s v="gibbosus"/>
    <s v="U"/>
    <x v="0"/>
    <n v="8"/>
    <n v="11.81"/>
    <x v="40"/>
    <s v="53826-13-4"/>
    <x v="40"/>
    <n v="0.10567137334804738"/>
  </r>
  <r>
    <s v="CS001-JBA-08132021"/>
    <s v="Down"/>
    <x v="0"/>
    <s v="Darter sp."/>
    <s v="Etheostoma"/>
    <s v="gibbosus"/>
    <s v="U"/>
    <x v="0"/>
    <n v="8"/>
    <n v="11.81"/>
    <x v="41"/>
    <s v="161094-75-3"/>
    <x v="41"/>
    <n v="5.560462015164104E-2"/>
  </r>
  <r>
    <s v="CS001-JBA-08132021"/>
    <s v="Down"/>
    <x v="0"/>
    <s v="Darter sp."/>
    <s v="Etheostoma"/>
    <s v="gibbosus"/>
    <s v="U"/>
    <x v="0"/>
    <n v="8"/>
    <n v="11.81"/>
    <x v="42"/>
    <s v="70887-84-2"/>
    <x v="42"/>
    <n v="4.2794538351319071E-2"/>
  </r>
  <r>
    <s v="CS001-JBA-08132021"/>
    <s v="Down"/>
    <x v="0"/>
    <s v="Darter sp."/>
    <s v="Etheostoma"/>
    <s v="gibbosus"/>
    <s v="U"/>
    <x v="0"/>
    <n v="8"/>
    <n v="11.81"/>
    <x v="43"/>
    <s v="919005-14-4"/>
    <x v="43"/>
    <n v="7.0816180080824881E-2"/>
  </r>
  <r>
    <s v="CS001-JBA-08132021"/>
    <s v="Down"/>
    <x v="0"/>
    <s v="Darter sp."/>
    <s v="Etheostoma"/>
    <s v="gibbosus"/>
    <s v="U"/>
    <x v="0"/>
    <n v="8"/>
    <n v="11.81"/>
    <x v="44"/>
    <s v="756426-58-1"/>
    <x v="44"/>
    <n v="4.9153980758724562E-2"/>
  </r>
  <r>
    <s v="CS001-JBA-08132021"/>
    <s v="Down"/>
    <x v="0"/>
    <s v="Darter sp."/>
    <s v="Etheostoma"/>
    <s v="gibbosus"/>
    <s v="U"/>
    <x v="0"/>
    <n v="8"/>
    <n v="11.81"/>
    <x v="45"/>
    <s v="763051-92-9"/>
    <x v="45"/>
    <n v="5.5802480360926464E-2"/>
  </r>
  <r>
    <s v="CS001-JBA-08132021"/>
    <s v="Down"/>
    <x v="0"/>
    <s v="Darter sp."/>
    <s v="Etheostoma"/>
    <s v="gibbosus"/>
    <s v="U"/>
    <x v="0"/>
    <n v="8"/>
    <n v="11.81"/>
    <x v="46"/>
    <s v="13252-13-6"/>
    <x v="46"/>
    <n v="0.10162324127804322"/>
  </r>
  <r>
    <s v="CS001-JBA-08132021"/>
    <s v="Down"/>
    <x v="0"/>
    <s v="Darter sp."/>
    <s v="Etheostoma"/>
    <s v="gibbosus"/>
    <s v="U"/>
    <x v="0"/>
    <n v="8"/>
    <n v="11.81"/>
    <x v="47"/>
    <s v="57677-95-9"/>
    <x v="47"/>
    <n v="7.5385872795492317E-2"/>
  </r>
  <r>
    <s v="CS001-JBA-08132021"/>
    <s v="Down"/>
    <x v="0"/>
    <s v="Darter sp."/>
    <s v="Etheostoma"/>
    <s v="gibbosus"/>
    <s v="U"/>
    <x v="0"/>
    <n v="8"/>
    <n v="11.81"/>
    <x v="48"/>
    <s v="678-41-1"/>
    <x v="48"/>
    <n v="9.3889083510074786E-2"/>
  </r>
  <r>
    <s v="CS001-JBA-08132021"/>
    <s v="Down"/>
    <x v="0"/>
    <s v="Darter sp."/>
    <s v="Etheostoma"/>
    <s v="gibbosus"/>
    <s v="U"/>
    <x v="0"/>
    <n v="8"/>
    <n v="11.81"/>
    <x v="49"/>
    <s v="2965-52-8"/>
    <x v="49"/>
    <n v="0.12463647694225174"/>
  </r>
  <r>
    <s v="CS002-JBA-08132021"/>
    <s v="Down"/>
    <x v="0"/>
    <s v="Darter sp."/>
    <s v="Etheostoma"/>
    <s v="gibbosus"/>
    <s v="U"/>
    <x v="0"/>
    <n v="8"/>
    <n v="11.81"/>
    <x v="0"/>
    <s v="375-22-4"/>
    <x v="0"/>
    <n v="9.5928373481134074E-2"/>
  </r>
  <r>
    <s v="CS002-JBA-08132021"/>
    <s v="Down"/>
    <x v="0"/>
    <s v="Darter sp."/>
    <s v="Etheostoma"/>
    <s v="gibbosus"/>
    <s v="U"/>
    <x v="0"/>
    <n v="8"/>
    <n v="11.81"/>
    <x v="1"/>
    <s v="2706-90-3"/>
    <x v="1"/>
    <n v="0.16944339269670644"/>
  </r>
  <r>
    <s v="CS002-JBA-08132021"/>
    <s v="Down"/>
    <x v="0"/>
    <s v="Darter sp."/>
    <s v="Etheostoma"/>
    <s v="gibbosus"/>
    <s v="U"/>
    <x v="0"/>
    <n v="8"/>
    <n v="11.81"/>
    <x v="2"/>
    <s v="307-24-4"/>
    <x v="2"/>
    <n v="1.37"/>
  </r>
  <r>
    <s v="CS002-JBA-08132021"/>
    <s v="Down"/>
    <x v="0"/>
    <s v="Darter sp."/>
    <s v="Etheostoma"/>
    <s v="gibbosus"/>
    <s v="U"/>
    <x v="0"/>
    <n v="8"/>
    <n v="11.81"/>
    <x v="3"/>
    <s v="375-85-9"/>
    <x v="3"/>
    <n v="0.48699999999999999"/>
  </r>
  <r>
    <s v="CS002-JBA-08132021"/>
    <s v="Down"/>
    <x v="0"/>
    <s v="Darter sp."/>
    <s v="Etheostoma"/>
    <s v="gibbosus"/>
    <s v="U"/>
    <x v="0"/>
    <n v="8"/>
    <n v="11.81"/>
    <x v="4"/>
    <s v="335-67-1"/>
    <x v="4"/>
    <n v="5.74"/>
  </r>
  <r>
    <s v="CS002-JBA-08132021"/>
    <s v="Down"/>
    <x v="0"/>
    <s v="Darter sp."/>
    <s v="Etheostoma"/>
    <s v="gibbosus"/>
    <s v="U"/>
    <x v="0"/>
    <n v="8"/>
    <n v="11.81"/>
    <x v="5"/>
    <s v="375-95-1"/>
    <x v="5"/>
    <n v="2.16"/>
  </r>
  <r>
    <s v="CS002-JBA-08132021"/>
    <s v="Down"/>
    <x v="0"/>
    <s v="Darter sp."/>
    <s v="Etheostoma"/>
    <s v="gibbosus"/>
    <s v="U"/>
    <x v="0"/>
    <n v="8"/>
    <n v="11.81"/>
    <x v="6"/>
    <s v="335-76-2"/>
    <x v="6"/>
    <n v="3.45"/>
  </r>
  <r>
    <s v="CS002-JBA-08132021"/>
    <s v="Down"/>
    <x v="0"/>
    <s v="Darter sp."/>
    <s v="Etheostoma"/>
    <s v="gibbosus"/>
    <s v="U"/>
    <x v="0"/>
    <n v="8"/>
    <n v="11.81"/>
    <x v="7"/>
    <s v="2058-94-8"/>
    <x v="7"/>
    <n v="3.41"/>
  </r>
  <r>
    <s v="CS002-JBA-08132021"/>
    <s v="Down"/>
    <x v="0"/>
    <s v="Darter sp."/>
    <s v="Etheostoma"/>
    <s v="gibbosus"/>
    <s v="U"/>
    <x v="0"/>
    <n v="8"/>
    <n v="11.81"/>
    <x v="8"/>
    <s v="307-55-1"/>
    <x v="8"/>
    <n v="5.8916755329545448E-2"/>
  </r>
  <r>
    <s v="CS002-JBA-08132021"/>
    <s v="Down"/>
    <x v="0"/>
    <s v="Darter sp."/>
    <s v="Etheostoma"/>
    <s v="gibbosus"/>
    <s v="U"/>
    <x v="0"/>
    <n v="8"/>
    <n v="11.81"/>
    <x v="9"/>
    <s v="72629-94-8"/>
    <x v="9"/>
    <n v="0.90700000000000003"/>
  </r>
  <r>
    <s v="CS002-JBA-08132021"/>
    <s v="Down"/>
    <x v="0"/>
    <s v="Darter sp."/>
    <s v="Etheostoma"/>
    <s v="gibbosus"/>
    <s v="U"/>
    <x v="0"/>
    <n v="8"/>
    <n v="11.81"/>
    <x v="10"/>
    <s v="376-06-7"/>
    <x v="10"/>
    <n v="1.19"/>
  </r>
  <r>
    <s v="CS002-JBA-08132021"/>
    <s v="Down"/>
    <x v="0"/>
    <s v="Darter sp."/>
    <s v="Etheostoma"/>
    <s v="gibbosus"/>
    <s v="U"/>
    <x v="0"/>
    <n v="8"/>
    <n v="11.81"/>
    <x v="11"/>
    <s v="67905-19-5"/>
    <x v="11"/>
    <n v="8.7942749522727265E-2"/>
  </r>
  <r>
    <s v="CS002-JBA-08132021"/>
    <s v="Down"/>
    <x v="0"/>
    <s v="Darter sp."/>
    <s v="Etheostoma"/>
    <s v="gibbosus"/>
    <s v="U"/>
    <x v="0"/>
    <n v="8"/>
    <n v="11.81"/>
    <x v="12"/>
    <s v="423-41-6"/>
    <x v="12"/>
    <n v="5.6298202261363631E-2"/>
  </r>
  <r>
    <s v="CS002-JBA-08132021"/>
    <s v="Down"/>
    <x v="0"/>
    <s v="Darter sp."/>
    <s v="Etheostoma"/>
    <s v="gibbosus"/>
    <s v="U"/>
    <x v="0"/>
    <n v="8"/>
    <n v="11.81"/>
    <x v="13"/>
    <s v="375-73-5"/>
    <x v="13"/>
    <n v="1.29"/>
  </r>
  <r>
    <s v="CS002-JBA-08132021"/>
    <s v="Down"/>
    <x v="0"/>
    <s v="Darter sp."/>
    <s v="Etheostoma"/>
    <s v="gibbosus"/>
    <s v="U"/>
    <x v="0"/>
    <n v="8"/>
    <n v="11.81"/>
    <x v="14"/>
    <s v="2706-91-4"/>
    <x v="14"/>
    <n v="1.84"/>
  </r>
  <r>
    <s v="CS002-JBA-08132021"/>
    <s v="Down"/>
    <x v="0"/>
    <s v="Darter sp."/>
    <s v="Etheostoma"/>
    <s v="gibbosus"/>
    <s v="U"/>
    <x v="0"/>
    <n v="8"/>
    <n v="11.81"/>
    <x v="15"/>
    <s v="355-46-4"/>
    <x v="15"/>
    <n v="79.099999999999994"/>
  </r>
  <r>
    <s v="CS002-JBA-08132021"/>
    <s v="Down"/>
    <x v="0"/>
    <s v="Darter sp."/>
    <s v="Etheostoma"/>
    <s v="gibbosus"/>
    <s v="U"/>
    <x v="0"/>
    <n v="8"/>
    <n v="11.81"/>
    <x v="16"/>
    <s v="375-92-8"/>
    <x v="16"/>
    <n v="3.32"/>
  </r>
  <r>
    <s v="CS002-JBA-08132021"/>
    <s v="Down"/>
    <x v="0"/>
    <s v="Darter sp."/>
    <s v="Etheostoma"/>
    <s v="gibbosus"/>
    <s v="U"/>
    <x v="0"/>
    <n v="8"/>
    <n v="11.81"/>
    <x v="17"/>
    <s v="1763-23-1"/>
    <x v="17"/>
    <n v="551"/>
  </r>
  <r>
    <s v="CS002-JBA-08132021"/>
    <s v="Down"/>
    <x v="0"/>
    <s v="Darter sp."/>
    <s v="Etheostoma"/>
    <s v="gibbosus"/>
    <s v="U"/>
    <x v="0"/>
    <n v="8"/>
    <n v="11.81"/>
    <x v="18"/>
    <s v="68259-12-1"/>
    <x v="18"/>
    <n v="0.88300000000000001"/>
  </r>
  <r>
    <s v="CS002-JBA-08132021"/>
    <s v="Down"/>
    <x v="0"/>
    <s v="Darter sp."/>
    <s v="Etheostoma"/>
    <s v="gibbosus"/>
    <s v="U"/>
    <x v="0"/>
    <n v="8"/>
    <n v="11.81"/>
    <x v="19"/>
    <s v="335-77-3"/>
    <x v="19"/>
    <n v="0.65700000000000003"/>
  </r>
  <r>
    <s v="CS002-JBA-08132021"/>
    <s v="Down"/>
    <x v="0"/>
    <s v="Darter sp."/>
    <s v="Etheostoma"/>
    <s v="gibbosus"/>
    <s v="U"/>
    <x v="0"/>
    <n v="8"/>
    <n v="11.81"/>
    <x v="20"/>
    <s v="79780-39-5"/>
    <x v="20"/>
    <n v="0.25645737517741424"/>
  </r>
  <r>
    <s v="CS002-JBA-08132021"/>
    <s v="Down"/>
    <x v="0"/>
    <s v="Darter sp."/>
    <s v="Etheostoma"/>
    <s v="gibbosus"/>
    <s v="U"/>
    <x v="0"/>
    <n v="8"/>
    <n v="11.81"/>
    <x v="21"/>
    <s v="777011-38-8"/>
    <x v="21"/>
    <n v="0.14573539039748454"/>
  </r>
  <r>
    <s v="CS002-JBA-08132021"/>
    <s v="Down"/>
    <x v="0"/>
    <s v="Darter sp."/>
    <s v="Etheostoma"/>
    <s v="gibbosus"/>
    <s v="U"/>
    <x v="0"/>
    <n v="8"/>
    <n v="11.81"/>
    <x v="22"/>
    <s v="646-83-3"/>
    <x v="22"/>
    <n v="0.501"/>
  </r>
  <r>
    <s v="CS002-JBA-08132021"/>
    <s v="Down"/>
    <x v="0"/>
    <s v="Darter sp."/>
    <s v="Etheostoma"/>
    <s v="gibbosus"/>
    <s v="U"/>
    <x v="0"/>
    <n v="8"/>
    <n v="11.81"/>
    <x v="23"/>
    <s v="30334-69-1"/>
    <x v="23"/>
    <n v="11.7"/>
  </r>
  <r>
    <s v="CS002-JBA-08132021"/>
    <s v="Down"/>
    <x v="0"/>
    <s v="Darter sp."/>
    <s v="Etheostoma"/>
    <s v="gibbosus"/>
    <s v="U"/>
    <x v="0"/>
    <n v="8"/>
    <n v="11.81"/>
    <x v="24"/>
    <s v="41997-13-1"/>
    <x v="24"/>
    <n v="41"/>
  </r>
  <r>
    <s v="CS002-JBA-08132021"/>
    <s v="Down"/>
    <x v="0"/>
    <s v="Darter sp."/>
    <s v="Etheostoma"/>
    <s v="gibbosus"/>
    <s v="U"/>
    <x v="0"/>
    <n v="8"/>
    <n v="11.81"/>
    <x v="25"/>
    <s v="754-91-6"/>
    <x v="25"/>
    <n v="47"/>
  </r>
  <r>
    <s v="CS002-JBA-08132021"/>
    <s v="Down"/>
    <x v="0"/>
    <s v="Darter sp."/>
    <s v="Etheostoma"/>
    <s v="gibbosus"/>
    <s v="U"/>
    <x v="0"/>
    <n v="8"/>
    <n v="11.81"/>
    <x v="26"/>
    <s v="31506-32-8"/>
    <x v="26"/>
    <n v="5.6846460272727273E-2"/>
  </r>
  <r>
    <s v="CS002-JBA-08132021"/>
    <s v="Down"/>
    <x v="0"/>
    <s v="Darter sp."/>
    <s v="Etheostoma"/>
    <s v="gibbosus"/>
    <s v="U"/>
    <x v="0"/>
    <n v="8"/>
    <n v="11.81"/>
    <x v="27"/>
    <s v="4151-50-2"/>
    <x v="27"/>
    <n v="8.6109663988636356E-2"/>
  </r>
  <r>
    <s v="CS002-JBA-08132021"/>
    <s v="Down"/>
    <x v="0"/>
    <s v="Darter sp."/>
    <s v="Etheostoma"/>
    <s v="gibbosus"/>
    <s v="U"/>
    <x v="0"/>
    <n v="8"/>
    <n v="11.81"/>
    <x v="28"/>
    <s v="2806-24-8"/>
    <x v="28"/>
    <n v="5.8163755295454547E-2"/>
  </r>
  <r>
    <s v="CS002-JBA-08132021"/>
    <s v="Down"/>
    <x v="0"/>
    <s v="Darter sp."/>
    <s v="Etheostoma"/>
    <s v="gibbosus"/>
    <s v="U"/>
    <x v="0"/>
    <n v="8"/>
    <n v="11.81"/>
    <x v="29"/>
    <s v="2355-31-9"/>
    <x v="29"/>
    <n v="15.2"/>
  </r>
  <r>
    <s v="CS002-JBA-08132021"/>
    <s v="Down"/>
    <x v="0"/>
    <s v="Darter sp."/>
    <s v="Etheostoma"/>
    <s v="gibbosus"/>
    <s v="U"/>
    <x v="0"/>
    <n v="8"/>
    <n v="11.81"/>
    <x v="30"/>
    <s v="2991-50-6"/>
    <x v="30"/>
    <n v="0.20816228384347685"/>
  </r>
  <r>
    <s v="CS002-JBA-08132021"/>
    <s v="Down"/>
    <x v="0"/>
    <s v="Darter sp."/>
    <s v="Etheostoma"/>
    <s v="gibbosus"/>
    <s v="U"/>
    <x v="0"/>
    <n v="8"/>
    <n v="11.81"/>
    <x v="31"/>
    <s v="757124-72-4"/>
    <x v="31"/>
    <n v="6.0610132227272719E-2"/>
  </r>
  <r>
    <s v="CS002-JBA-08132021"/>
    <s v="Down"/>
    <x v="0"/>
    <s v="Darter sp."/>
    <s v="Etheostoma"/>
    <s v="gibbosus"/>
    <s v="U"/>
    <x v="0"/>
    <n v="8"/>
    <n v="11.81"/>
    <x v="32"/>
    <s v="27619-97-2"/>
    <x v="32"/>
    <n v="1.66"/>
  </r>
  <r>
    <s v="CS002-JBA-08132021"/>
    <s v="Down"/>
    <x v="0"/>
    <s v="Darter sp."/>
    <s v="Etheostoma"/>
    <s v="gibbosus"/>
    <s v="U"/>
    <x v="0"/>
    <n v="8"/>
    <n v="11.81"/>
    <x v="33"/>
    <s v="39108-34-4"/>
    <x v="33"/>
    <n v="1.87"/>
  </r>
  <r>
    <s v="CS002-JBA-08132021"/>
    <s v="Down"/>
    <x v="0"/>
    <s v="Darter sp."/>
    <s v="Etheostoma"/>
    <s v="gibbosus"/>
    <s v="U"/>
    <x v="0"/>
    <n v="8"/>
    <n v="11.81"/>
    <x v="34"/>
    <s v="120226-60-0"/>
    <x v="34"/>
    <n v="8.3785827272727265E-2"/>
  </r>
  <r>
    <s v="CS002-JBA-08132021"/>
    <s v="Down"/>
    <x v="0"/>
    <s v="Darter sp."/>
    <s v="Etheostoma"/>
    <s v="gibbosus"/>
    <s v="U"/>
    <x v="0"/>
    <n v="8"/>
    <n v="11.81"/>
    <x v="35"/>
    <s v="356-02-5"/>
    <x v="35"/>
    <n v="8.5115764943181821E-2"/>
  </r>
  <r>
    <s v="CS002-JBA-08132021"/>
    <s v="Down"/>
    <x v="0"/>
    <s v="Darter sp."/>
    <s v="Etheostoma"/>
    <s v="gibbosus"/>
    <s v="U"/>
    <x v="0"/>
    <n v="8"/>
    <n v="11.81"/>
    <x v="36"/>
    <s v="914637-49-3"/>
    <x v="36"/>
    <n v="0.56899999999999995"/>
  </r>
  <r>
    <s v="CS002-JBA-08132021"/>
    <s v="Down"/>
    <x v="0"/>
    <s v="Darter sp."/>
    <s v="Etheostoma"/>
    <s v="gibbosus"/>
    <s v="U"/>
    <x v="0"/>
    <n v="8"/>
    <n v="11.81"/>
    <x v="37"/>
    <s v="812-70-4"/>
    <x v="37"/>
    <n v="5.62"/>
  </r>
  <r>
    <s v="CS002-JBA-08132021"/>
    <s v="Down"/>
    <x v="0"/>
    <s v="Darter sp."/>
    <s v="Etheostoma"/>
    <s v="gibbosus"/>
    <s v="U"/>
    <x v="0"/>
    <n v="8"/>
    <n v="11.81"/>
    <x v="38"/>
    <s v="53826-12-3"/>
    <x v="38"/>
    <n v="4.0599999999999996"/>
  </r>
  <r>
    <s v="CS002-JBA-08132021"/>
    <s v="Down"/>
    <x v="0"/>
    <s v="Darter sp."/>
    <s v="Etheostoma"/>
    <s v="gibbosus"/>
    <s v="U"/>
    <x v="0"/>
    <n v="8"/>
    <n v="11.81"/>
    <x v="39"/>
    <s v="27854-31-5"/>
    <x v="39"/>
    <n v="2.9515938606847696E-2"/>
  </r>
  <r>
    <s v="CS002-JBA-08132021"/>
    <s v="Down"/>
    <x v="0"/>
    <s v="Darter sp."/>
    <s v="Etheostoma"/>
    <s v="gibbosus"/>
    <s v="U"/>
    <x v="0"/>
    <n v="8"/>
    <n v="11.81"/>
    <x v="40"/>
    <s v="53826-13-4"/>
    <x v="40"/>
    <n v="0.110108656125"/>
  </r>
  <r>
    <s v="CS002-JBA-08132021"/>
    <s v="Down"/>
    <x v="0"/>
    <s v="Darter sp."/>
    <s v="Etheostoma"/>
    <s v="gibbosus"/>
    <s v="U"/>
    <x v="0"/>
    <n v="8"/>
    <n v="11.81"/>
    <x v="41"/>
    <s v="161094-75-3"/>
    <x v="41"/>
    <n v="5.7939532772727266E-2"/>
  </r>
  <r>
    <s v="CS002-JBA-08132021"/>
    <s v="Down"/>
    <x v="0"/>
    <s v="Darter sp."/>
    <s v="Etheostoma"/>
    <s v="gibbosus"/>
    <s v="U"/>
    <x v="0"/>
    <n v="8"/>
    <n v="11.81"/>
    <x v="42"/>
    <s v="70887-84-2"/>
    <x v="42"/>
    <n v="4.4591538446590903E-2"/>
  </r>
  <r>
    <s v="CS002-JBA-08132021"/>
    <s v="Down"/>
    <x v="0"/>
    <s v="Darter sp."/>
    <s v="Etheostoma"/>
    <s v="gibbosus"/>
    <s v="U"/>
    <x v="0"/>
    <n v="8"/>
    <n v="11.81"/>
    <x v="43"/>
    <s v="919005-14-4"/>
    <x v="43"/>
    <n v="7.3789846517119242E-2"/>
  </r>
  <r>
    <s v="CS002-JBA-08132021"/>
    <s v="Down"/>
    <x v="0"/>
    <s v="Darter sp."/>
    <s v="Etheostoma"/>
    <s v="gibbosus"/>
    <s v="U"/>
    <x v="0"/>
    <n v="8"/>
    <n v="11.81"/>
    <x v="44"/>
    <s v="756426-58-1"/>
    <x v="44"/>
    <n v="5.1218022374999998E-2"/>
  </r>
  <r>
    <s v="CS002-JBA-08132021"/>
    <s v="Down"/>
    <x v="0"/>
    <s v="Darter sp."/>
    <s v="Etheostoma"/>
    <s v="gibbosus"/>
    <s v="U"/>
    <x v="0"/>
    <n v="8"/>
    <n v="11.81"/>
    <x v="45"/>
    <s v="763051-92-9"/>
    <x v="45"/>
    <n v="5.8145701397727262E-2"/>
  </r>
  <r>
    <s v="CS002-JBA-08132021"/>
    <s v="Down"/>
    <x v="0"/>
    <s v="Darter sp."/>
    <s v="Etheostoma"/>
    <s v="gibbosus"/>
    <s v="U"/>
    <x v="0"/>
    <n v="8"/>
    <n v="11.81"/>
    <x v="46"/>
    <s v="13252-13-6"/>
    <x v="46"/>
    <n v="0.10589053755681818"/>
  </r>
  <r>
    <s v="CS002-JBA-08132021"/>
    <s v="Down"/>
    <x v="0"/>
    <s v="Darter sp."/>
    <s v="Etheostoma"/>
    <s v="gibbosus"/>
    <s v="U"/>
    <x v="0"/>
    <n v="8"/>
    <n v="11.81"/>
    <x v="47"/>
    <s v="57677-95-9"/>
    <x v="47"/>
    <n v="7.8551426761363632E-2"/>
  </r>
  <r>
    <s v="CS002-JBA-08132021"/>
    <s v="Down"/>
    <x v="0"/>
    <s v="Darter sp."/>
    <s v="Etheostoma"/>
    <s v="gibbosus"/>
    <s v="U"/>
    <x v="0"/>
    <n v="8"/>
    <n v="11.81"/>
    <x v="48"/>
    <s v="678-41-1"/>
    <x v="48"/>
    <n v="9.7831612124999995E-2"/>
  </r>
  <r>
    <s v="CS002-JBA-08132021"/>
    <s v="Down"/>
    <x v="0"/>
    <s v="Darter sp."/>
    <s v="Etheostoma"/>
    <s v="gibbosus"/>
    <s v="U"/>
    <x v="0"/>
    <n v="8"/>
    <n v="11.81"/>
    <x v="49"/>
    <s v="2965-52-8"/>
    <x v="49"/>
    <n v="0.12987012987012986"/>
  </r>
  <r>
    <s v="CS003-JBA-08132021"/>
    <s v="Down"/>
    <x v="0"/>
    <s v="Darter sp."/>
    <s v="Etheostoma"/>
    <s v="gibbosus"/>
    <s v="U"/>
    <x v="0"/>
    <n v="8"/>
    <n v="11.81"/>
    <x v="0"/>
    <s v="375-22-4"/>
    <x v="0"/>
    <n v="9.3071354705274043E-2"/>
  </r>
  <r>
    <s v="CS003-JBA-08132021"/>
    <s v="Down"/>
    <x v="0"/>
    <s v="Darter sp."/>
    <s v="Etheostoma"/>
    <s v="gibbosus"/>
    <s v="U"/>
    <x v="0"/>
    <n v="8"/>
    <n v="11.81"/>
    <x v="1"/>
    <s v="2706-90-3"/>
    <x v="1"/>
    <n v="0.16439688834338159"/>
  </r>
  <r>
    <s v="CS003-JBA-08132021"/>
    <s v="Down"/>
    <x v="0"/>
    <s v="Darter sp."/>
    <s v="Etheostoma"/>
    <s v="gibbosus"/>
    <s v="U"/>
    <x v="0"/>
    <n v="8"/>
    <n v="11.81"/>
    <x v="2"/>
    <s v="307-24-4"/>
    <x v="2"/>
    <n v="0.91400000000000003"/>
  </r>
  <r>
    <s v="CS003-JBA-08132021"/>
    <s v="Down"/>
    <x v="0"/>
    <s v="Darter sp."/>
    <s v="Etheostoma"/>
    <s v="gibbosus"/>
    <s v="U"/>
    <x v="0"/>
    <n v="8"/>
    <n v="11.81"/>
    <x v="3"/>
    <s v="375-85-9"/>
    <x v="3"/>
    <n v="0.32"/>
  </r>
  <r>
    <s v="CS003-JBA-08132021"/>
    <s v="Down"/>
    <x v="0"/>
    <s v="Darter sp."/>
    <s v="Etheostoma"/>
    <s v="gibbosus"/>
    <s v="U"/>
    <x v="0"/>
    <n v="8"/>
    <n v="11.81"/>
    <x v="4"/>
    <s v="335-67-1"/>
    <x v="4"/>
    <n v="4.96"/>
  </r>
  <r>
    <s v="CS003-JBA-08132021"/>
    <s v="Down"/>
    <x v="0"/>
    <s v="Darter sp."/>
    <s v="Etheostoma"/>
    <s v="gibbosus"/>
    <s v="U"/>
    <x v="0"/>
    <n v="8"/>
    <n v="11.81"/>
    <x v="5"/>
    <s v="375-95-1"/>
    <x v="5"/>
    <n v="2.79"/>
  </r>
  <r>
    <s v="CS003-JBA-08132021"/>
    <s v="Down"/>
    <x v="0"/>
    <s v="Darter sp."/>
    <s v="Etheostoma"/>
    <s v="gibbosus"/>
    <s v="U"/>
    <x v="0"/>
    <n v="8"/>
    <n v="11.81"/>
    <x v="6"/>
    <s v="335-76-2"/>
    <x v="6"/>
    <n v="2.93"/>
  </r>
  <r>
    <s v="CS003-JBA-08132021"/>
    <s v="Down"/>
    <x v="0"/>
    <s v="Darter sp."/>
    <s v="Etheostoma"/>
    <s v="gibbosus"/>
    <s v="U"/>
    <x v="0"/>
    <n v="8"/>
    <n v="11.81"/>
    <x v="7"/>
    <s v="2058-94-8"/>
    <x v="7"/>
    <n v="2.87"/>
  </r>
  <r>
    <s v="CS003-JBA-08132021"/>
    <s v="Down"/>
    <x v="0"/>
    <s v="Darter sp."/>
    <s v="Etheostoma"/>
    <s v="gibbosus"/>
    <s v="U"/>
    <x v="0"/>
    <n v="8"/>
    <n v="11.81"/>
    <x v="8"/>
    <s v="307-55-1"/>
    <x v="8"/>
    <n v="5.80250286980388E-2"/>
  </r>
  <r>
    <s v="CS003-JBA-08132021"/>
    <s v="Down"/>
    <x v="0"/>
    <s v="Darter sp."/>
    <s v="Etheostoma"/>
    <s v="gibbosus"/>
    <s v="U"/>
    <x v="0"/>
    <n v="8"/>
    <n v="11.81"/>
    <x v="9"/>
    <s v="72629-94-8"/>
    <x v="9"/>
    <n v="0.55000000000000004"/>
  </r>
  <r>
    <s v="CS003-JBA-08132021"/>
    <s v="Down"/>
    <x v="0"/>
    <s v="Darter sp."/>
    <s v="Etheostoma"/>
    <s v="gibbosus"/>
    <s v="U"/>
    <x v="0"/>
    <n v="8"/>
    <n v="11.81"/>
    <x v="10"/>
    <s v="376-06-7"/>
    <x v="10"/>
    <n v="1.23"/>
  </r>
  <r>
    <s v="CS003-JBA-08132021"/>
    <s v="Down"/>
    <x v="0"/>
    <s v="Darter sp."/>
    <s v="Etheostoma"/>
    <s v="gibbosus"/>
    <s v="U"/>
    <x v="0"/>
    <n v="8"/>
    <n v="11.81"/>
    <x v="11"/>
    <s v="67905-19-5"/>
    <x v="11"/>
    <n v="8.6611703857386479E-2"/>
  </r>
  <r>
    <s v="CS003-JBA-08132021"/>
    <s v="Down"/>
    <x v="0"/>
    <s v="Darter sp."/>
    <s v="Etheostoma"/>
    <s v="gibbosus"/>
    <s v="U"/>
    <x v="0"/>
    <n v="8"/>
    <n v="11.81"/>
    <x v="12"/>
    <s v="423-41-6"/>
    <x v="12"/>
    <n v="5.5446108387870389E-2"/>
  </r>
  <r>
    <s v="CS003-JBA-08132021"/>
    <s v="Down"/>
    <x v="0"/>
    <s v="Darter sp."/>
    <s v="Etheostoma"/>
    <s v="gibbosus"/>
    <s v="U"/>
    <x v="0"/>
    <n v="8"/>
    <n v="11.81"/>
    <x v="13"/>
    <s v="375-73-5"/>
    <x v="13"/>
    <n v="0.44600000000000001"/>
  </r>
  <r>
    <s v="CS003-JBA-08132021"/>
    <s v="Down"/>
    <x v="0"/>
    <s v="Darter sp."/>
    <s v="Etheostoma"/>
    <s v="gibbosus"/>
    <s v="U"/>
    <x v="0"/>
    <n v="8"/>
    <n v="11.81"/>
    <x v="14"/>
    <s v="2706-91-4"/>
    <x v="14"/>
    <n v="1.22"/>
  </r>
  <r>
    <s v="CS003-JBA-08132021"/>
    <s v="Down"/>
    <x v="0"/>
    <s v="Darter sp."/>
    <s v="Etheostoma"/>
    <s v="gibbosus"/>
    <s v="U"/>
    <x v="0"/>
    <n v="8"/>
    <n v="11.81"/>
    <x v="15"/>
    <s v="355-46-4"/>
    <x v="15"/>
    <n v="79.5"/>
  </r>
  <r>
    <s v="CS003-JBA-08132021"/>
    <s v="Down"/>
    <x v="0"/>
    <s v="Darter sp."/>
    <s v="Etheostoma"/>
    <s v="gibbosus"/>
    <s v="U"/>
    <x v="0"/>
    <n v="8"/>
    <n v="11.81"/>
    <x v="16"/>
    <s v="375-92-8"/>
    <x v="16"/>
    <n v="3.57"/>
  </r>
  <r>
    <s v="CS003-JBA-08132021"/>
    <s v="Down"/>
    <x v="0"/>
    <s v="Darter sp."/>
    <s v="Etheostoma"/>
    <s v="gibbosus"/>
    <s v="U"/>
    <x v="0"/>
    <n v="8"/>
    <n v="11.81"/>
    <x v="17"/>
    <s v="1763-23-1"/>
    <x v="17"/>
    <n v="506"/>
  </r>
  <r>
    <s v="CS003-JBA-08132021"/>
    <s v="Down"/>
    <x v="0"/>
    <s v="Darter sp."/>
    <s v="Etheostoma"/>
    <s v="gibbosus"/>
    <s v="U"/>
    <x v="0"/>
    <n v="8"/>
    <n v="11.81"/>
    <x v="18"/>
    <s v="68259-12-1"/>
    <x v="18"/>
    <n v="1.1100000000000001"/>
  </r>
  <r>
    <s v="CS003-JBA-08132021"/>
    <s v="Down"/>
    <x v="0"/>
    <s v="Darter sp."/>
    <s v="Etheostoma"/>
    <s v="gibbosus"/>
    <s v="U"/>
    <x v="0"/>
    <n v="8"/>
    <n v="11.81"/>
    <x v="19"/>
    <s v="335-77-3"/>
    <x v="19"/>
    <n v="0.67900000000000005"/>
  </r>
  <r>
    <s v="CS003-JBA-08132021"/>
    <s v="Down"/>
    <x v="0"/>
    <s v="Darter sp."/>
    <s v="Etheostoma"/>
    <s v="gibbosus"/>
    <s v="U"/>
    <x v="0"/>
    <n v="8"/>
    <n v="11.81"/>
    <x v="20"/>
    <s v="79780-39-5"/>
    <x v="20"/>
    <n v="0.24881934787119964"/>
  </r>
  <r>
    <s v="CS003-JBA-08132021"/>
    <s v="Down"/>
    <x v="0"/>
    <s v="Darter sp."/>
    <s v="Etheostoma"/>
    <s v="gibbosus"/>
    <s v="U"/>
    <x v="0"/>
    <n v="8"/>
    <n v="11.81"/>
    <x v="21"/>
    <s v="777011-38-8"/>
    <x v="21"/>
    <n v="0.14139497752938987"/>
  </r>
  <r>
    <s v="CS003-JBA-08132021"/>
    <s v="Down"/>
    <x v="0"/>
    <s v="Darter sp."/>
    <s v="Etheostoma"/>
    <s v="gibbosus"/>
    <s v="U"/>
    <x v="0"/>
    <n v="8"/>
    <n v="11.81"/>
    <x v="22"/>
    <s v="646-83-3"/>
    <x v="22"/>
    <n v="0.501"/>
  </r>
  <r>
    <s v="CS003-JBA-08132021"/>
    <s v="Down"/>
    <x v="0"/>
    <s v="Darter sp."/>
    <s v="Etheostoma"/>
    <s v="gibbosus"/>
    <s v="U"/>
    <x v="0"/>
    <n v="8"/>
    <n v="11.81"/>
    <x v="23"/>
    <s v="30334-69-1"/>
    <x v="23"/>
    <n v="9.1199999999999992"/>
  </r>
  <r>
    <s v="CS003-JBA-08132021"/>
    <s v="Down"/>
    <x v="0"/>
    <s v="Darter sp."/>
    <s v="Etheostoma"/>
    <s v="gibbosus"/>
    <s v="U"/>
    <x v="0"/>
    <n v="8"/>
    <n v="11.81"/>
    <x v="24"/>
    <s v="41997-13-1"/>
    <x v="24"/>
    <n v="46.2"/>
  </r>
  <r>
    <s v="CS003-JBA-08132021"/>
    <s v="Down"/>
    <x v="0"/>
    <s v="Darter sp."/>
    <s v="Etheostoma"/>
    <s v="gibbosus"/>
    <s v="U"/>
    <x v="0"/>
    <n v="8"/>
    <n v="11.81"/>
    <x v="25"/>
    <s v="754-91-6"/>
    <x v="25"/>
    <n v="53.2"/>
  </r>
  <r>
    <s v="CS003-JBA-08132021"/>
    <s v="Down"/>
    <x v="0"/>
    <s v="Darter sp."/>
    <s v="Etheostoma"/>
    <s v="gibbosus"/>
    <s v="U"/>
    <x v="0"/>
    <n v="8"/>
    <n v="11.81"/>
    <x v="26"/>
    <s v="31506-32-8"/>
    <x v="26"/>
    <n v="5.5986068313792367E-2"/>
  </r>
  <r>
    <s v="CS003-JBA-08132021"/>
    <s v="Down"/>
    <x v="0"/>
    <s v="Darter sp."/>
    <s v="Etheostoma"/>
    <s v="gibbosus"/>
    <s v="U"/>
    <x v="0"/>
    <n v="8"/>
    <n v="11.81"/>
    <x v="27"/>
    <s v="4151-50-2"/>
    <x v="27"/>
    <n v="8.4806362743018532E-2"/>
  </r>
  <r>
    <s v="CS003-JBA-08132021"/>
    <s v="Down"/>
    <x v="0"/>
    <s v="Darter sp."/>
    <s v="Etheostoma"/>
    <s v="gibbosus"/>
    <s v="U"/>
    <x v="0"/>
    <n v="8"/>
    <n v="11.81"/>
    <x v="28"/>
    <s v="2806-24-8"/>
    <x v="28"/>
    <n v="5.7283425594755917E-2"/>
  </r>
  <r>
    <s v="CS003-JBA-08132021"/>
    <s v="Down"/>
    <x v="0"/>
    <s v="Darter sp."/>
    <s v="Etheostoma"/>
    <s v="gibbosus"/>
    <s v="U"/>
    <x v="0"/>
    <n v="8"/>
    <n v="11.81"/>
    <x v="29"/>
    <s v="2355-31-9"/>
    <x v="29"/>
    <n v="13"/>
  </r>
  <r>
    <s v="CS003-JBA-08132021"/>
    <s v="Down"/>
    <x v="0"/>
    <s v="Darter sp."/>
    <s v="Etheostoma"/>
    <s v="gibbosus"/>
    <s v="U"/>
    <x v="0"/>
    <n v="8"/>
    <n v="11.81"/>
    <x v="30"/>
    <s v="2991-50-6"/>
    <x v="30"/>
    <n v="0.20196262120160285"/>
  </r>
  <r>
    <s v="CS003-JBA-08132021"/>
    <s v="Down"/>
    <x v="0"/>
    <s v="Darter sp."/>
    <s v="Etheostoma"/>
    <s v="gibbosus"/>
    <s v="U"/>
    <x v="0"/>
    <n v="8"/>
    <n v="11.81"/>
    <x v="31"/>
    <s v="757124-72-4"/>
    <x v="31"/>
    <n v="5.9692775717331059E-2"/>
  </r>
  <r>
    <s v="CS003-JBA-08132021"/>
    <s v="Down"/>
    <x v="0"/>
    <s v="Darter sp."/>
    <s v="Etheostoma"/>
    <s v="gibbosus"/>
    <s v="U"/>
    <x v="0"/>
    <n v="8"/>
    <n v="11.81"/>
    <x v="32"/>
    <s v="27619-97-2"/>
    <x v="32"/>
    <n v="2.34"/>
  </r>
  <r>
    <s v="CS003-JBA-08132021"/>
    <s v="Down"/>
    <x v="0"/>
    <s v="Darter sp."/>
    <s v="Etheostoma"/>
    <s v="gibbosus"/>
    <s v="U"/>
    <x v="0"/>
    <n v="8"/>
    <n v="11.81"/>
    <x v="33"/>
    <s v="39108-34-4"/>
    <x v="33"/>
    <n v="3.27"/>
  </r>
  <r>
    <s v="CS003-JBA-08132021"/>
    <s v="Down"/>
    <x v="0"/>
    <s v="Darter sp."/>
    <s v="Etheostoma"/>
    <s v="gibbosus"/>
    <s v="U"/>
    <x v="0"/>
    <n v="8"/>
    <n v="11.81"/>
    <x v="34"/>
    <s v="120226-60-0"/>
    <x v="34"/>
    <n v="8.2517698145384774E-2"/>
  </r>
  <r>
    <s v="CS003-JBA-08132021"/>
    <s v="Down"/>
    <x v="0"/>
    <s v="Darter sp."/>
    <s v="Etheostoma"/>
    <s v="gibbosus"/>
    <s v="U"/>
    <x v="0"/>
    <n v="8"/>
    <n v="11.81"/>
    <x v="35"/>
    <s v="356-02-5"/>
    <x v="35"/>
    <n v="8.3827506722980172E-2"/>
  </r>
  <r>
    <s v="CS003-JBA-08132021"/>
    <s v="Down"/>
    <x v="0"/>
    <s v="Darter sp."/>
    <s v="Etheostoma"/>
    <s v="gibbosus"/>
    <s v="U"/>
    <x v="0"/>
    <n v="8"/>
    <n v="11.81"/>
    <x v="36"/>
    <s v="914637-49-3"/>
    <x v="36"/>
    <n v="0.17559196504901756"/>
  </r>
  <r>
    <s v="CS003-JBA-08132021"/>
    <s v="Down"/>
    <x v="0"/>
    <s v="Darter sp."/>
    <s v="Etheostoma"/>
    <s v="gibbosus"/>
    <s v="U"/>
    <x v="0"/>
    <n v="8"/>
    <n v="11.81"/>
    <x v="37"/>
    <s v="812-70-4"/>
    <x v="37"/>
    <n v="40.5"/>
  </r>
  <r>
    <s v="CS003-JBA-08132021"/>
    <s v="Down"/>
    <x v="0"/>
    <s v="Darter sp."/>
    <s v="Etheostoma"/>
    <s v="gibbosus"/>
    <s v="U"/>
    <x v="0"/>
    <n v="8"/>
    <n v="11.81"/>
    <x v="38"/>
    <s v="53826-12-3"/>
    <x v="38"/>
    <n v="4.28"/>
  </r>
  <r>
    <s v="CS003-JBA-08132021"/>
    <s v="Down"/>
    <x v="0"/>
    <s v="Darter sp."/>
    <s v="Etheostoma"/>
    <s v="gibbosus"/>
    <s v="U"/>
    <x v="0"/>
    <n v="8"/>
    <n v="11.81"/>
    <x v="39"/>
    <s v="27854-31-5"/>
    <x v="39"/>
    <n v="2.61"/>
  </r>
  <r>
    <s v="CS003-JBA-08132021"/>
    <s v="Down"/>
    <x v="0"/>
    <s v="Darter sp."/>
    <s v="Etheostoma"/>
    <s v="gibbosus"/>
    <s v="U"/>
    <x v="0"/>
    <n v="8"/>
    <n v="11.81"/>
    <x v="40"/>
    <s v="53826-13-4"/>
    <x v="40"/>
    <n v="1.41"/>
  </r>
  <r>
    <s v="CS003-JBA-08132021"/>
    <s v="Down"/>
    <x v="0"/>
    <s v="Darter sp."/>
    <s v="Etheostoma"/>
    <s v="gibbosus"/>
    <s v="U"/>
    <x v="0"/>
    <n v="8"/>
    <n v="11.81"/>
    <x v="41"/>
    <s v="161094-75-3"/>
    <x v="41"/>
    <n v="5.7062596761884452E-2"/>
  </r>
  <r>
    <s v="CS003-JBA-08132021"/>
    <s v="Down"/>
    <x v="0"/>
    <s v="Darter sp."/>
    <s v="Etheostoma"/>
    <s v="gibbosus"/>
    <s v="U"/>
    <x v="0"/>
    <n v="8"/>
    <n v="11.81"/>
    <x v="42"/>
    <s v="70887-84-2"/>
    <x v="42"/>
    <n v="4.3916629209816663E-2"/>
  </r>
  <r>
    <s v="CS003-JBA-08132021"/>
    <s v="Down"/>
    <x v="0"/>
    <s v="Darter sp."/>
    <s v="Etheostoma"/>
    <s v="gibbosus"/>
    <s v="U"/>
    <x v="0"/>
    <n v="8"/>
    <n v="11.81"/>
    <x v="43"/>
    <s v="919005-14-4"/>
    <x v="43"/>
    <n v="7.2673010212980366E-2"/>
  </r>
  <r>
    <s v="CS003-JBA-08132021"/>
    <s v="Down"/>
    <x v="0"/>
    <s v="Darter sp."/>
    <s v="Etheostoma"/>
    <s v="gibbosus"/>
    <s v="U"/>
    <x v="0"/>
    <n v="8"/>
    <n v="11.81"/>
    <x v="44"/>
    <s v="756426-58-1"/>
    <x v="44"/>
    <n v="5.0442818881368576E-2"/>
  </r>
  <r>
    <s v="CS003-JBA-08132021"/>
    <s v="Down"/>
    <x v="0"/>
    <s v="Darter sp."/>
    <s v="Etheostoma"/>
    <s v="gibbosus"/>
    <s v="U"/>
    <x v="0"/>
    <n v="8"/>
    <n v="11.81"/>
    <x v="45"/>
    <s v="763051-92-9"/>
    <x v="45"/>
    <n v="5.7265644949371142E-2"/>
  </r>
  <r>
    <s v="CS003-JBA-08132021"/>
    <s v="Down"/>
    <x v="0"/>
    <s v="Darter sp."/>
    <s v="Etheostoma"/>
    <s v="gibbosus"/>
    <s v="U"/>
    <x v="0"/>
    <n v="8"/>
    <n v="11.81"/>
    <x v="46"/>
    <s v="13252-13-6"/>
    <x v="46"/>
    <n v="0.3339001314563082"/>
  </r>
  <r>
    <s v="CS003-JBA-08132021"/>
    <s v="Down"/>
    <x v="0"/>
    <s v="Darter sp."/>
    <s v="Etheostoma"/>
    <s v="gibbosus"/>
    <s v="U"/>
    <x v="0"/>
    <n v="8"/>
    <n v="11.81"/>
    <x v="47"/>
    <s v="57677-95-9"/>
    <x v="47"/>
    <n v="7.7362522199424424E-2"/>
  </r>
  <r>
    <s v="CS003-JBA-08132021"/>
    <s v="Down"/>
    <x v="0"/>
    <s v="Darter sp."/>
    <s v="Etheostoma"/>
    <s v="gibbosus"/>
    <s v="U"/>
    <x v="0"/>
    <n v="8"/>
    <n v="11.81"/>
    <x v="48"/>
    <s v="678-41-1"/>
    <x v="48"/>
    <n v="9.6350894908868043E-2"/>
  </r>
  <r>
    <s v="CS003-JBA-08132021"/>
    <s v="Down"/>
    <x v="0"/>
    <s v="Darter sp."/>
    <s v="Etheostoma"/>
    <s v="gibbosus"/>
    <s v="U"/>
    <x v="0"/>
    <n v="8"/>
    <n v="11.81"/>
    <x v="49"/>
    <s v="2965-52-8"/>
    <x v="49"/>
    <n v="0.12790449797484543"/>
  </r>
  <r>
    <s v="CS004-JBA-08132021"/>
    <s v="Down"/>
    <x v="0"/>
    <s v="Darter sp."/>
    <s v="Etheostoma"/>
    <s v="gibbosus"/>
    <s v="U"/>
    <x v="0"/>
    <n v="8"/>
    <n v="11.81"/>
    <x v="0"/>
    <s v="375-22-4"/>
    <x v="0"/>
    <n v="8.8845014807502468E-2"/>
  </r>
  <r>
    <s v="CS004-JBA-08132021"/>
    <s v="Down"/>
    <x v="0"/>
    <s v="Darter sp."/>
    <s v="Etheostoma"/>
    <s v="gibbosus"/>
    <s v="U"/>
    <x v="0"/>
    <n v="8"/>
    <n v="11.81"/>
    <x v="1"/>
    <s v="2706-90-3"/>
    <x v="1"/>
    <n v="0.1569316791984699"/>
  </r>
  <r>
    <s v="CS004-JBA-08132021"/>
    <s v="Down"/>
    <x v="0"/>
    <s v="Darter sp."/>
    <s v="Etheostoma"/>
    <s v="gibbosus"/>
    <s v="U"/>
    <x v="0"/>
    <n v="8"/>
    <n v="11.81"/>
    <x v="2"/>
    <s v="307-24-4"/>
    <x v="2"/>
    <n v="0.753"/>
  </r>
  <r>
    <s v="CS004-JBA-08132021"/>
    <s v="Down"/>
    <x v="0"/>
    <s v="Darter sp."/>
    <s v="Etheostoma"/>
    <s v="gibbosus"/>
    <s v="U"/>
    <x v="0"/>
    <n v="8"/>
    <n v="11.81"/>
    <x v="3"/>
    <s v="375-85-9"/>
    <x v="3"/>
    <n v="0.29099999999999998"/>
  </r>
  <r>
    <s v="CS004-JBA-08132021"/>
    <s v="Down"/>
    <x v="0"/>
    <s v="Darter sp."/>
    <s v="Etheostoma"/>
    <s v="gibbosus"/>
    <s v="U"/>
    <x v="0"/>
    <n v="8"/>
    <n v="11.81"/>
    <x v="4"/>
    <s v="335-67-1"/>
    <x v="4"/>
    <n v="3.78"/>
  </r>
  <r>
    <s v="CS004-JBA-08132021"/>
    <s v="Down"/>
    <x v="0"/>
    <s v="Darter sp."/>
    <s v="Etheostoma"/>
    <s v="gibbosus"/>
    <s v="U"/>
    <x v="0"/>
    <n v="8"/>
    <n v="11.81"/>
    <x v="5"/>
    <s v="375-95-1"/>
    <x v="5"/>
    <n v="2.63"/>
  </r>
  <r>
    <s v="CS004-JBA-08132021"/>
    <s v="Down"/>
    <x v="0"/>
    <s v="Darter sp."/>
    <s v="Etheostoma"/>
    <s v="gibbosus"/>
    <s v="U"/>
    <x v="0"/>
    <n v="8"/>
    <n v="11.81"/>
    <x v="6"/>
    <s v="335-76-2"/>
    <x v="6"/>
    <n v="2.94"/>
  </r>
  <r>
    <s v="CS004-JBA-08132021"/>
    <s v="Down"/>
    <x v="0"/>
    <s v="Darter sp."/>
    <s v="Etheostoma"/>
    <s v="gibbosus"/>
    <s v="U"/>
    <x v="0"/>
    <n v="8"/>
    <n v="11.81"/>
    <x v="7"/>
    <s v="2058-94-8"/>
    <x v="7"/>
    <n v="2.99"/>
  </r>
  <r>
    <s v="CS004-JBA-08132021"/>
    <s v="Down"/>
    <x v="0"/>
    <s v="Darter sp."/>
    <s v="Etheostoma"/>
    <s v="gibbosus"/>
    <s v="U"/>
    <x v="0"/>
    <n v="8"/>
    <n v="11.81"/>
    <x v="8"/>
    <s v="307-55-1"/>
    <x v="8"/>
    <n v="5.6296878929162353E-2"/>
  </r>
  <r>
    <s v="CS004-JBA-08132021"/>
    <s v="Down"/>
    <x v="0"/>
    <s v="Darter sp."/>
    <s v="Etheostoma"/>
    <s v="gibbosus"/>
    <s v="U"/>
    <x v="0"/>
    <n v="8"/>
    <n v="11.81"/>
    <x v="9"/>
    <s v="72629-94-8"/>
    <x v="9"/>
    <n v="0.52400000000000002"/>
  </r>
  <r>
    <s v="CS004-JBA-08132021"/>
    <s v="Down"/>
    <x v="0"/>
    <s v="Darter sp."/>
    <s v="Etheostoma"/>
    <s v="gibbosus"/>
    <s v="U"/>
    <x v="0"/>
    <n v="8"/>
    <n v="11.81"/>
    <x v="10"/>
    <s v="376-06-7"/>
    <x v="10"/>
    <n v="0.52400000000000002"/>
  </r>
  <r>
    <s v="CS004-JBA-08132021"/>
    <s v="Down"/>
    <x v="0"/>
    <s v="Darter sp."/>
    <s v="Etheostoma"/>
    <s v="gibbosus"/>
    <s v="U"/>
    <x v="0"/>
    <n v="8"/>
    <n v="11.81"/>
    <x v="11"/>
    <s v="67905-19-5"/>
    <x v="11"/>
    <n v="8.403216190175801E-2"/>
  </r>
  <r>
    <s v="CS004-JBA-08132021"/>
    <s v="Down"/>
    <x v="0"/>
    <s v="Darter sp."/>
    <s v="Etheostoma"/>
    <s v="gibbosus"/>
    <s v="U"/>
    <x v="0"/>
    <n v="8"/>
    <n v="11.81"/>
    <x v="12"/>
    <s v="423-41-6"/>
    <x v="12"/>
    <n v="5.3794766173216144E-2"/>
  </r>
  <r>
    <s v="CS004-JBA-08132021"/>
    <s v="Down"/>
    <x v="0"/>
    <s v="Darter sp."/>
    <s v="Etheostoma"/>
    <s v="gibbosus"/>
    <s v="U"/>
    <x v="0"/>
    <n v="8"/>
    <n v="11.81"/>
    <x v="13"/>
    <s v="375-73-5"/>
    <x v="13"/>
    <n v="0.1511718626483218"/>
  </r>
  <r>
    <s v="CS004-JBA-08132021"/>
    <s v="Down"/>
    <x v="0"/>
    <s v="Darter sp."/>
    <s v="Etheostoma"/>
    <s v="gibbosus"/>
    <s v="U"/>
    <x v="0"/>
    <n v="8"/>
    <n v="11.81"/>
    <x v="14"/>
    <s v="2706-91-4"/>
    <x v="14"/>
    <n v="0.99299999999999999"/>
  </r>
  <r>
    <s v="CS004-JBA-08132021"/>
    <s v="Down"/>
    <x v="0"/>
    <s v="Darter sp."/>
    <s v="Etheostoma"/>
    <s v="gibbosus"/>
    <s v="U"/>
    <x v="0"/>
    <n v="8"/>
    <n v="11.81"/>
    <x v="15"/>
    <s v="355-46-4"/>
    <x v="15"/>
    <n v="51.5"/>
  </r>
  <r>
    <s v="CS004-JBA-08132021"/>
    <s v="Down"/>
    <x v="0"/>
    <s v="Darter sp."/>
    <s v="Etheostoma"/>
    <s v="gibbosus"/>
    <s v="U"/>
    <x v="0"/>
    <n v="8"/>
    <n v="11.81"/>
    <x v="16"/>
    <s v="375-92-8"/>
    <x v="16"/>
    <n v="4.3499999999999996"/>
  </r>
  <r>
    <s v="CS004-JBA-08132021"/>
    <s v="Down"/>
    <x v="0"/>
    <s v="Darter sp."/>
    <s v="Etheostoma"/>
    <s v="gibbosus"/>
    <s v="U"/>
    <x v="0"/>
    <n v="8"/>
    <n v="11.81"/>
    <x v="17"/>
    <s v="1763-23-1"/>
    <x v="17"/>
    <n v="561"/>
  </r>
  <r>
    <s v="CS004-JBA-08132021"/>
    <s v="Down"/>
    <x v="0"/>
    <s v="Darter sp."/>
    <s v="Etheostoma"/>
    <s v="gibbosus"/>
    <s v="U"/>
    <x v="0"/>
    <n v="8"/>
    <n v="11.81"/>
    <x v="18"/>
    <s v="68259-12-1"/>
    <x v="18"/>
    <n v="0.97199999999999998"/>
  </r>
  <r>
    <s v="CS004-JBA-08132021"/>
    <s v="Down"/>
    <x v="0"/>
    <s v="Darter sp."/>
    <s v="Etheostoma"/>
    <s v="gibbosus"/>
    <s v="U"/>
    <x v="0"/>
    <n v="8"/>
    <n v="11.81"/>
    <x v="19"/>
    <s v="335-77-3"/>
    <x v="19"/>
    <n v="0.53700000000000003"/>
  </r>
  <r>
    <s v="CS004-JBA-08132021"/>
    <s v="Down"/>
    <x v="0"/>
    <s v="Darter sp."/>
    <s v="Etheostoma"/>
    <s v="gibbosus"/>
    <s v="U"/>
    <x v="0"/>
    <n v="8"/>
    <n v="11.81"/>
    <x v="20"/>
    <s v="79780-39-5"/>
    <x v="20"/>
    <n v="0.23752054234101683"/>
  </r>
  <r>
    <s v="CS004-JBA-08132021"/>
    <s v="Down"/>
    <x v="0"/>
    <s v="Darter sp."/>
    <s v="Etheostoma"/>
    <s v="gibbosus"/>
    <s v="U"/>
    <x v="0"/>
    <n v="8"/>
    <n v="11.81"/>
    <x v="21"/>
    <s v="777011-38-8"/>
    <x v="21"/>
    <n v="0.13497427766132281"/>
  </r>
  <r>
    <s v="CS004-JBA-08132021"/>
    <s v="Down"/>
    <x v="0"/>
    <s v="Darter sp."/>
    <s v="Etheostoma"/>
    <s v="gibbosus"/>
    <s v="U"/>
    <x v="0"/>
    <n v="8"/>
    <n v="11.81"/>
    <x v="22"/>
    <s v="646-83-3"/>
    <x v="22"/>
    <n v="0.374"/>
  </r>
  <r>
    <s v="CS004-JBA-08132021"/>
    <s v="Down"/>
    <x v="0"/>
    <s v="Darter sp."/>
    <s v="Etheostoma"/>
    <s v="gibbosus"/>
    <s v="U"/>
    <x v="0"/>
    <n v="8"/>
    <n v="11.81"/>
    <x v="23"/>
    <s v="30334-69-1"/>
    <x v="23"/>
    <n v="28.6"/>
  </r>
  <r>
    <s v="CS004-JBA-08132021"/>
    <s v="Down"/>
    <x v="0"/>
    <s v="Darter sp."/>
    <s v="Etheostoma"/>
    <s v="gibbosus"/>
    <s v="U"/>
    <x v="0"/>
    <n v="8"/>
    <n v="11.81"/>
    <x v="24"/>
    <s v="41997-13-1"/>
    <x v="24"/>
    <n v="178"/>
  </r>
  <r>
    <s v="CS004-JBA-08132021"/>
    <s v="Down"/>
    <x v="0"/>
    <s v="Darter sp."/>
    <s v="Etheostoma"/>
    <s v="gibbosus"/>
    <s v="U"/>
    <x v="0"/>
    <n v="8"/>
    <n v="11.81"/>
    <x v="25"/>
    <s v="754-91-6"/>
    <x v="25"/>
    <n v="54.7"/>
  </r>
  <r>
    <s v="CS004-JBA-08132021"/>
    <s v="Down"/>
    <x v="0"/>
    <s v="Darter sp."/>
    <s v="Etheostoma"/>
    <s v="gibbosus"/>
    <s v="U"/>
    <x v="0"/>
    <n v="8"/>
    <n v="11.81"/>
    <x v="26"/>
    <s v="31506-32-8"/>
    <x v="26"/>
    <n v="5.431864456256464E-2"/>
  </r>
  <r>
    <s v="CS004-JBA-08132021"/>
    <s v="Down"/>
    <x v="0"/>
    <s v="Darter sp."/>
    <s v="Etheostoma"/>
    <s v="gibbosus"/>
    <s v="U"/>
    <x v="0"/>
    <n v="8"/>
    <n v="11.81"/>
    <x v="27"/>
    <s v="4151-50-2"/>
    <x v="27"/>
    <n v="8.2280588961220272E-2"/>
  </r>
  <r>
    <s v="CS004-JBA-08132021"/>
    <s v="Down"/>
    <x v="0"/>
    <s v="Darter sp."/>
    <s v="Etheostoma"/>
    <s v="gibbosus"/>
    <s v="U"/>
    <x v="0"/>
    <n v="8"/>
    <n v="11.81"/>
    <x v="28"/>
    <s v="2806-24-8"/>
    <x v="28"/>
    <n v="5.557736286763186E-2"/>
  </r>
  <r>
    <s v="CS004-JBA-08132021"/>
    <s v="Down"/>
    <x v="0"/>
    <s v="Darter sp."/>
    <s v="Etheostoma"/>
    <s v="gibbosus"/>
    <s v="U"/>
    <x v="0"/>
    <n v="8"/>
    <n v="11.81"/>
    <x v="29"/>
    <s v="2355-31-9"/>
    <x v="29"/>
    <n v="12.5"/>
  </r>
  <r>
    <s v="CS004-JBA-08132021"/>
    <s v="Down"/>
    <x v="0"/>
    <s v="Darter sp."/>
    <s v="Etheostoma"/>
    <s v="gibbosus"/>
    <s v="U"/>
    <x v="0"/>
    <n v="8"/>
    <n v="11.81"/>
    <x v="30"/>
    <s v="2991-50-6"/>
    <x v="30"/>
    <n v="0.19279156436520234"/>
  </r>
  <r>
    <s v="CS004-JBA-08132021"/>
    <s v="Down"/>
    <x v="0"/>
    <s v="Darter sp."/>
    <s v="Etheostoma"/>
    <s v="gibbosus"/>
    <s v="U"/>
    <x v="0"/>
    <n v="8"/>
    <n v="11.81"/>
    <x v="31"/>
    <s v="757124-72-4"/>
    <x v="31"/>
    <n v="5.7914955716649431E-2"/>
  </r>
  <r>
    <s v="CS004-JBA-08132021"/>
    <s v="Down"/>
    <x v="0"/>
    <s v="Darter sp."/>
    <s v="Etheostoma"/>
    <s v="gibbosus"/>
    <s v="U"/>
    <x v="0"/>
    <n v="8"/>
    <n v="11.81"/>
    <x v="32"/>
    <s v="27619-97-2"/>
    <x v="32"/>
    <n v="0.999"/>
  </r>
  <r>
    <s v="CS004-JBA-08132021"/>
    <s v="Down"/>
    <x v="0"/>
    <s v="Darter sp."/>
    <s v="Etheostoma"/>
    <s v="gibbosus"/>
    <s v="U"/>
    <x v="0"/>
    <n v="8"/>
    <n v="11.81"/>
    <x v="33"/>
    <s v="39108-34-4"/>
    <x v="33"/>
    <n v="2.72"/>
  </r>
  <r>
    <s v="CS004-JBA-08132021"/>
    <s v="Down"/>
    <x v="0"/>
    <s v="Darter sp."/>
    <s v="Etheostoma"/>
    <s v="gibbosus"/>
    <s v="U"/>
    <x v="0"/>
    <n v="8"/>
    <n v="11.81"/>
    <x v="34"/>
    <s v="120226-60-0"/>
    <x v="34"/>
    <n v="8.0060087280248202E-2"/>
  </r>
  <r>
    <s v="CS004-JBA-08132021"/>
    <s v="Down"/>
    <x v="0"/>
    <s v="Darter sp."/>
    <s v="Etheostoma"/>
    <s v="gibbosus"/>
    <s v="U"/>
    <x v="0"/>
    <n v="8"/>
    <n v="11.81"/>
    <x v="35"/>
    <s v="356-02-5"/>
    <x v="35"/>
    <n v="8.1330886047052728E-2"/>
  </r>
  <r>
    <s v="CS004-JBA-08132021"/>
    <s v="Down"/>
    <x v="0"/>
    <s v="Darter sp."/>
    <s v="Etheostoma"/>
    <s v="gibbosus"/>
    <s v="U"/>
    <x v="0"/>
    <n v="8"/>
    <n v="11.81"/>
    <x v="36"/>
    <s v="914637-49-3"/>
    <x v="36"/>
    <n v="0.16761839111786772"/>
  </r>
  <r>
    <s v="CS004-JBA-08132021"/>
    <s v="Down"/>
    <x v="0"/>
    <s v="Darter sp."/>
    <s v="Etheostoma"/>
    <s v="gibbosus"/>
    <s v="U"/>
    <x v="0"/>
    <n v="8"/>
    <n v="11.81"/>
    <x v="37"/>
    <s v="812-70-4"/>
    <x v="37"/>
    <n v="3.07"/>
  </r>
  <r>
    <s v="CS004-JBA-08132021"/>
    <s v="Down"/>
    <x v="0"/>
    <s v="Darter sp."/>
    <s v="Etheostoma"/>
    <s v="gibbosus"/>
    <s v="U"/>
    <x v="0"/>
    <n v="8"/>
    <n v="11.81"/>
    <x v="38"/>
    <s v="53826-12-3"/>
    <x v="38"/>
    <n v="3.53"/>
  </r>
  <r>
    <s v="CS004-JBA-08132021"/>
    <s v="Down"/>
    <x v="0"/>
    <s v="Darter sp."/>
    <s v="Etheostoma"/>
    <s v="gibbosus"/>
    <s v="U"/>
    <x v="0"/>
    <n v="8"/>
    <n v="11.81"/>
    <x v="39"/>
    <s v="27854-31-5"/>
    <x v="39"/>
    <n v="8.8845014807502468E-2"/>
  </r>
  <r>
    <s v="CS004-JBA-08132021"/>
    <s v="Down"/>
    <x v="0"/>
    <s v="Darter sp."/>
    <s v="Etheostoma"/>
    <s v="gibbosus"/>
    <s v="U"/>
    <x v="0"/>
    <n v="8"/>
    <n v="11.81"/>
    <x v="40"/>
    <s v="53826-13-4"/>
    <x v="40"/>
    <n v="0.10521240771406414"/>
  </r>
  <r>
    <s v="CS004-JBA-08132021"/>
    <s v="Down"/>
    <x v="0"/>
    <s v="Darter sp."/>
    <s v="Etheostoma"/>
    <s v="gibbosus"/>
    <s v="U"/>
    <x v="0"/>
    <n v="8"/>
    <n v="11.81"/>
    <x v="41"/>
    <s v="161094-75-3"/>
    <x v="41"/>
    <n v="5.5363110943123066E-2"/>
  </r>
  <r>
    <s v="CS004-JBA-08132021"/>
    <s v="Down"/>
    <x v="0"/>
    <s v="Darter sp."/>
    <s v="Etheostoma"/>
    <s v="gibbosus"/>
    <s v="U"/>
    <x v="0"/>
    <n v="8"/>
    <n v="11.81"/>
    <x v="42"/>
    <s v="70887-84-2"/>
    <x v="42"/>
    <n v="4.2608667553929683E-2"/>
  </r>
  <r>
    <s v="CS004-JBA-08132021"/>
    <s v="Down"/>
    <x v="0"/>
    <s v="Darter sp."/>
    <s v="Etheostoma"/>
    <s v="gibbosus"/>
    <s v="U"/>
    <x v="0"/>
    <n v="8"/>
    <n v="11.81"/>
    <x v="43"/>
    <s v="919005-14-4"/>
    <x v="43"/>
    <n v="7.0508602049450045E-2"/>
  </r>
  <r>
    <s v="CS004-JBA-08132021"/>
    <s v="Down"/>
    <x v="0"/>
    <s v="Darter sp."/>
    <s v="Etheostoma"/>
    <s v="gibbosus"/>
    <s v="U"/>
    <x v="0"/>
    <n v="8"/>
    <n v="11.81"/>
    <x v="44"/>
    <s v="756426-58-1"/>
    <x v="44"/>
    <n v="4.8940488805067218E-2"/>
  </r>
  <r>
    <s v="CS004-JBA-08132021"/>
    <s v="Down"/>
    <x v="0"/>
    <s v="Darter sp."/>
    <s v="Etheostoma"/>
    <s v="gibbosus"/>
    <s v="U"/>
    <x v="0"/>
    <n v="8"/>
    <n v="11.81"/>
    <x v="45"/>
    <s v="763051-92-9"/>
    <x v="45"/>
    <n v="5.5560111780248195E-2"/>
  </r>
  <r>
    <s v="CS004-JBA-08132021"/>
    <s v="Down"/>
    <x v="0"/>
    <s v="Darter sp."/>
    <s v="Etheostoma"/>
    <s v="gibbosus"/>
    <s v="U"/>
    <x v="0"/>
    <n v="8"/>
    <n v="11.81"/>
    <x v="46"/>
    <s v="13252-13-6"/>
    <x v="46"/>
    <n v="0.1011818580170631"/>
  </r>
  <r>
    <s v="CS004-JBA-08132021"/>
    <s v="Down"/>
    <x v="0"/>
    <s v="Darter sp."/>
    <s v="Etheostoma"/>
    <s v="gibbosus"/>
    <s v="U"/>
    <x v="0"/>
    <n v="8"/>
    <n v="11.81"/>
    <x v="47"/>
    <s v="57677-95-9"/>
    <x v="47"/>
    <n v="7.5058447081178897E-2"/>
  </r>
  <r>
    <s v="CS004-JBA-08132021"/>
    <s v="Down"/>
    <x v="0"/>
    <s v="Darter sp."/>
    <s v="Etheostoma"/>
    <s v="gibbosus"/>
    <s v="U"/>
    <x v="0"/>
    <n v="8"/>
    <n v="11.81"/>
    <x v="48"/>
    <s v="678-41-1"/>
    <x v="48"/>
    <n v="9.3481292247673209E-2"/>
  </r>
  <r>
    <s v="CS004-JBA-08132021"/>
    <s v="Down"/>
    <x v="0"/>
    <s v="Darter sp."/>
    <s v="Etheostoma"/>
    <s v="gibbosus"/>
    <s v="U"/>
    <x v="0"/>
    <n v="8"/>
    <n v="11.81"/>
    <x v="49"/>
    <s v="2965-52-8"/>
    <x v="49"/>
    <n v="0.12409513960703206"/>
  </r>
  <r>
    <s v="MM001-JBA-08132021"/>
    <s v="Down"/>
    <x v="0"/>
    <s v="Margined Madtom"/>
    <s v="Noturus"/>
    <s v="gibbosus"/>
    <s v="U"/>
    <x v="0"/>
    <n v="8"/>
    <n v="11.81"/>
    <x v="0"/>
    <s v="375-22-4"/>
    <x v="0"/>
    <n v="7.8878177037686237E-2"/>
  </r>
  <r>
    <s v="MM001-JBA-08132021"/>
    <s v="Down"/>
    <x v="0"/>
    <s v="Margined Madtom"/>
    <s v="Noturus"/>
    <s v="gibbosus"/>
    <s v="U"/>
    <x v="0"/>
    <n v="8"/>
    <n v="11.81"/>
    <x v="1"/>
    <s v="2706-90-3"/>
    <x v="1"/>
    <n v="0.13932672307453989"/>
  </r>
  <r>
    <s v="MM001-JBA-08132021"/>
    <s v="Down"/>
    <x v="0"/>
    <s v="Margined Madtom"/>
    <s v="Noturus"/>
    <s v="gibbosus"/>
    <s v="U"/>
    <x v="0"/>
    <n v="8"/>
    <n v="11.81"/>
    <x v="2"/>
    <s v="307-24-4"/>
    <x v="2"/>
    <n v="0.10642465694070552"/>
  </r>
  <r>
    <s v="MM001-JBA-08132021"/>
    <s v="Down"/>
    <x v="0"/>
    <s v="Margined Madtom"/>
    <s v="Noturus"/>
    <s v="gibbosus"/>
    <s v="U"/>
    <x v="0"/>
    <n v="8"/>
    <n v="11.81"/>
    <x v="3"/>
    <s v="375-85-9"/>
    <x v="3"/>
    <n v="7.8878177037686237E-2"/>
  </r>
  <r>
    <s v="MM001-JBA-08132021"/>
    <s v="Down"/>
    <x v="0"/>
    <s v="Margined Madtom"/>
    <s v="Noturus"/>
    <s v="gibbosus"/>
    <s v="U"/>
    <x v="0"/>
    <n v="8"/>
    <n v="11.81"/>
    <x v="4"/>
    <s v="335-67-1"/>
    <x v="4"/>
    <n v="1.43"/>
  </r>
  <r>
    <s v="MM001-JBA-08132021"/>
    <s v="Down"/>
    <x v="0"/>
    <s v="Margined Madtom"/>
    <s v="Noturus"/>
    <s v="gibbosus"/>
    <s v="U"/>
    <x v="0"/>
    <n v="8"/>
    <n v="11.81"/>
    <x v="5"/>
    <s v="375-95-1"/>
    <x v="5"/>
    <n v="0.60499999999999998"/>
  </r>
  <r>
    <s v="MM001-JBA-08132021"/>
    <s v="Down"/>
    <x v="0"/>
    <s v="Margined Madtom"/>
    <s v="Noturus"/>
    <s v="gibbosus"/>
    <s v="U"/>
    <x v="0"/>
    <n v="8"/>
    <n v="11.81"/>
    <x v="6"/>
    <s v="335-76-2"/>
    <x v="6"/>
    <n v="3.72"/>
  </r>
  <r>
    <s v="MM001-JBA-08132021"/>
    <s v="Down"/>
    <x v="0"/>
    <s v="Margined Madtom"/>
    <s v="Noturus"/>
    <s v="gibbosus"/>
    <s v="U"/>
    <x v="0"/>
    <n v="8"/>
    <n v="11.81"/>
    <x v="7"/>
    <s v="2058-94-8"/>
    <x v="7"/>
    <n v="6.6"/>
  </r>
  <r>
    <s v="MM001-JBA-08132021"/>
    <s v="Down"/>
    <x v="0"/>
    <s v="Margined Madtom"/>
    <s v="Noturus"/>
    <s v="gibbosus"/>
    <s v="U"/>
    <x v="0"/>
    <n v="8"/>
    <n v="11.81"/>
    <x v="8"/>
    <s v="307-55-1"/>
    <x v="8"/>
    <n v="5.3740455996544922E-2"/>
  </r>
  <r>
    <s v="MM001-JBA-08132021"/>
    <s v="Down"/>
    <x v="0"/>
    <s v="Margined Madtom"/>
    <s v="Noturus"/>
    <s v="gibbosus"/>
    <s v="U"/>
    <x v="0"/>
    <n v="8"/>
    <n v="11.81"/>
    <x v="9"/>
    <s v="72629-94-8"/>
    <x v="9"/>
    <n v="3.29"/>
  </r>
  <r>
    <s v="MM001-JBA-08132021"/>
    <s v="Down"/>
    <x v="0"/>
    <s v="Margined Madtom"/>
    <s v="Noturus"/>
    <s v="gibbosus"/>
    <s v="U"/>
    <x v="0"/>
    <n v="8"/>
    <n v="11.81"/>
    <x v="10"/>
    <s v="376-06-7"/>
    <x v="10"/>
    <n v="3.91"/>
  </r>
  <r>
    <s v="MM001-JBA-08132021"/>
    <s v="Down"/>
    <x v="0"/>
    <s v="Margined Madtom"/>
    <s v="Noturus"/>
    <s v="gibbosus"/>
    <s v="U"/>
    <x v="0"/>
    <n v="8"/>
    <n v="11.81"/>
    <x v="11"/>
    <s v="67905-19-5"/>
    <x v="11"/>
    <n v="8.0216288804540972E-2"/>
  </r>
  <r>
    <s v="MM001-JBA-08132021"/>
    <s v="Down"/>
    <x v="0"/>
    <s v="Margined Madtom"/>
    <s v="Noturus"/>
    <s v="gibbosus"/>
    <s v="U"/>
    <x v="0"/>
    <n v="8"/>
    <n v="11.81"/>
    <x v="12"/>
    <s v="423-41-6"/>
    <x v="12"/>
    <n v="5.135196336574531E-2"/>
  </r>
  <r>
    <s v="MM001-JBA-08132021"/>
    <s v="Down"/>
    <x v="0"/>
    <s v="Margined Madtom"/>
    <s v="Noturus"/>
    <s v="gibbosus"/>
    <s v="U"/>
    <x v="0"/>
    <n v="8"/>
    <n v="11.81"/>
    <x v="13"/>
    <s v="375-73-5"/>
    <x v="13"/>
    <n v="0.13421305597085886"/>
  </r>
  <r>
    <s v="MM001-JBA-08132021"/>
    <s v="Down"/>
    <x v="0"/>
    <s v="Margined Madtom"/>
    <s v="Noturus"/>
    <s v="gibbosus"/>
    <s v="U"/>
    <x v="0"/>
    <n v="8"/>
    <n v="11.81"/>
    <x v="14"/>
    <s v="2706-91-4"/>
    <x v="14"/>
    <n v="0.27200000000000002"/>
  </r>
  <r>
    <s v="MM001-JBA-08132021"/>
    <s v="Down"/>
    <x v="0"/>
    <s v="Margined Madtom"/>
    <s v="Noturus"/>
    <s v="gibbosus"/>
    <s v="U"/>
    <x v="0"/>
    <n v="8"/>
    <n v="11.81"/>
    <x v="15"/>
    <s v="355-46-4"/>
    <x v="15"/>
    <n v="30.6"/>
  </r>
  <r>
    <s v="MM001-JBA-08132021"/>
    <s v="Down"/>
    <x v="0"/>
    <s v="Margined Madtom"/>
    <s v="Noturus"/>
    <s v="gibbosus"/>
    <s v="U"/>
    <x v="0"/>
    <n v="8"/>
    <n v="11.81"/>
    <x v="16"/>
    <s v="375-92-8"/>
    <x v="16"/>
    <n v="1.04"/>
  </r>
  <r>
    <s v="MM001-JBA-08132021"/>
    <s v="Down"/>
    <x v="0"/>
    <s v="Margined Madtom"/>
    <s v="Noturus"/>
    <s v="gibbosus"/>
    <s v="U"/>
    <x v="0"/>
    <n v="8"/>
    <n v="11.81"/>
    <x v="17"/>
    <s v="1763-23-1"/>
    <x v="17"/>
    <n v="470"/>
  </r>
  <r>
    <s v="MM001-JBA-08132021"/>
    <s v="Down"/>
    <x v="0"/>
    <s v="Margined Madtom"/>
    <s v="Noturus"/>
    <s v="gibbosus"/>
    <s v="U"/>
    <x v="0"/>
    <n v="8"/>
    <n v="11.81"/>
    <x v="18"/>
    <s v="68259-12-1"/>
    <x v="18"/>
    <n v="0.47299999999999998"/>
  </r>
  <r>
    <s v="MM001-JBA-08132021"/>
    <s v="Down"/>
    <x v="0"/>
    <s v="Margined Madtom"/>
    <s v="Noturus"/>
    <s v="gibbosus"/>
    <s v="U"/>
    <x v="0"/>
    <n v="8"/>
    <n v="11.81"/>
    <x v="19"/>
    <s v="335-77-3"/>
    <x v="19"/>
    <n v="0.58199999999999996"/>
  </r>
  <r>
    <s v="MM001-JBA-08132021"/>
    <s v="Down"/>
    <x v="0"/>
    <s v="Margined Madtom"/>
    <s v="Noturus"/>
    <s v="gibbosus"/>
    <s v="U"/>
    <x v="0"/>
    <n v="8"/>
    <n v="11.81"/>
    <x v="20"/>
    <s v="79780-39-5"/>
    <x v="20"/>
    <n v="0.21087494249907979"/>
  </r>
  <r>
    <s v="MM001-JBA-08132021"/>
    <s v="Down"/>
    <x v="0"/>
    <s v="Margined Madtom"/>
    <s v="Noturus"/>
    <s v="gibbosus"/>
    <s v="U"/>
    <x v="0"/>
    <n v="8"/>
    <n v="11.81"/>
    <x v="21"/>
    <s v="777011-38-8"/>
    <x v="21"/>
    <n v="0.11983255326110429"/>
  </r>
  <r>
    <s v="MM001-JBA-08132021"/>
    <s v="Down"/>
    <x v="0"/>
    <s v="Margined Madtom"/>
    <s v="Noturus"/>
    <s v="gibbosus"/>
    <s v="U"/>
    <x v="0"/>
    <n v="8"/>
    <n v="11.81"/>
    <x v="22"/>
    <s v="646-83-3"/>
    <x v="22"/>
    <n v="7.8878177037686237E-2"/>
  </r>
  <r>
    <s v="MM001-JBA-08132021"/>
    <s v="Down"/>
    <x v="0"/>
    <s v="Margined Madtom"/>
    <s v="Noturus"/>
    <s v="gibbosus"/>
    <s v="U"/>
    <x v="0"/>
    <n v="8"/>
    <n v="11.81"/>
    <x v="23"/>
    <s v="30334-69-1"/>
    <x v="23"/>
    <n v="65.7"/>
  </r>
  <r>
    <s v="MM001-JBA-08132021"/>
    <s v="Down"/>
    <x v="0"/>
    <s v="Margined Madtom"/>
    <s v="Noturus"/>
    <s v="gibbosus"/>
    <s v="U"/>
    <x v="0"/>
    <n v="8"/>
    <n v="11.81"/>
    <x v="24"/>
    <s v="41997-13-1"/>
    <x v="24"/>
    <n v="169"/>
  </r>
  <r>
    <s v="MM001-JBA-08132021"/>
    <s v="Down"/>
    <x v="0"/>
    <s v="Margined Madtom"/>
    <s v="Noturus"/>
    <s v="gibbosus"/>
    <s v="U"/>
    <x v="0"/>
    <n v="8"/>
    <n v="11.81"/>
    <x v="25"/>
    <s v="754-91-6"/>
    <x v="25"/>
    <n v="27.6"/>
  </r>
  <r>
    <s v="MM001-JBA-08132021"/>
    <s v="Down"/>
    <x v="0"/>
    <s v="Margined Madtom"/>
    <s v="Noturus"/>
    <s v="gibbosus"/>
    <s v="U"/>
    <x v="0"/>
    <n v="8"/>
    <n v="11.81"/>
    <x v="26"/>
    <s v="31506-32-8"/>
    <x v="26"/>
    <n v="5.1852052608094779E-2"/>
  </r>
  <r>
    <s v="MM001-JBA-08132021"/>
    <s v="Down"/>
    <x v="0"/>
    <s v="Margined Madtom"/>
    <s v="Noturus"/>
    <s v="gibbosus"/>
    <s v="U"/>
    <x v="0"/>
    <n v="8"/>
    <n v="11.81"/>
    <x v="27"/>
    <s v="4151-50-2"/>
    <x v="27"/>
    <n v="7.8544254220631798E-2"/>
  </r>
  <r>
    <s v="MM001-JBA-08132021"/>
    <s v="Down"/>
    <x v="0"/>
    <s v="Margined Madtom"/>
    <s v="Noturus"/>
    <s v="gibbosus"/>
    <s v="U"/>
    <x v="0"/>
    <n v="8"/>
    <n v="11.81"/>
    <x v="28"/>
    <s v="2806-24-8"/>
    <x v="28"/>
    <n v="5.3053612924975325E-2"/>
  </r>
  <r>
    <s v="MM001-JBA-08132021"/>
    <s v="Down"/>
    <x v="0"/>
    <s v="Margined Madtom"/>
    <s v="Noturus"/>
    <s v="gibbosus"/>
    <s v="U"/>
    <x v="0"/>
    <n v="8"/>
    <n v="11.81"/>
    <x v="29"/>
    <s v="2355-31-9"/>
    <x v="29"/>
    <n v="6.84"/>
  </r>
  <r>
    <s v="MM001-JBA-08132021"/>
    <s v="Down"/>
    <x v="0"/>
    <s v="Margined Madtom"/>
    <s v="Noturus"/>
    <s v="gibbosus"/>
    <s v="U"/>
    <x v="0"/>
    <n v="8"/>
    <n v="11.81"/>
    <x v="30"/>
    <s v="2991-50-6"/>
    <x v="30"/>
    <n v="5.842168617127344E-2"/>
  </r>
  <r>
    <s v="MM001-JBA-08132021"/>
    <s v="Down"/>
    <x v="0"/>
    <s v="Margined Madtom"/>
    <s v="Noturus"/>
    <s v="gibbosus"/>
    <s v="U"/>
    <x v="0"/>
    <n v="8"/>
    <n v="11.81"/>
    <x v="31"/>
    <s v="757124-72-4"/>
    <x v="31"/>
    <n v="5.5285056444225072E-2"/>
  </r>
  <r>
    <s v="MM001-JBA-08132021"/>
    <s v="Down"/>
    <x v="0"/>
    <s v="Margined Madtom"/>
    <s v="Noturus"/>
    <s v="gibbosus"/>
    <s v="U"/>
    <x v="0"/>
    <n v="8"/>
    <n v="11.81"/>
    <x v="32"/>
    <s v="27619-97-2"/>
    <x v="32"/>
    <n v="1.0900000000000001"/>
  </r>
  <r>
    <s v="MM001-JBA-08132021"/>
    <s v="Down"/>
    <x v="0"/>
    <s v="Margined Madtom"/>
    <s v="Noturus"/>
    <s v="gibbosus"/>
    <s v="U"/>
    <x v="0"/>
    <n v="8"/>
    <n v="11.81"/>
    <x v="33"/>
    <s v="39108-34-4"/>
    <x v="33"/>
    <n v="6.51"/>
  </r>
  <r>
    <s v="MM001-JBA-08132021"/>
    <s v="Down"/>
    <x v="0"/>
    <s v="Margined Madtom"/>
    <s v="Noturus"/>
    <s v="gibbosus"/>
    <s v="U"/>
    <x v="0"/>
    <n v="8"/>
    <n v="11.81"/>
    <x v="34"/>
    <s v="120226-60-0"/>
    <x v="34"/>
    <n v="0.22390862797546007"/>
  </r>
  <r>
    <s v="MM001-JBA-08132021"/>
    <s v="Down"/>
    <x v="0"/>
    <s v="Margined Madtom"/>
    <s v="Noturus"/>
    <s v="gibbosus"/>
    <s v="U"/>
    <x v="0"/>
    <n v="8"/>
    <n v="11.81"/>
    <x v="35"/>
    <s v="356-02-5"/>
    <x v="35"/>
    <n v="7.7637677006416606E-2"/>
  </r>
  <r>
    <s v="MM001-JBA-08132021"/>
    <s v="Down"/>
    <x v="0"/>
    <s v="Margined Madtom"/>
    <s v="Noturus"/>
    <s v="gibbosus"/>
    <s v="U"/>
    <x v="0"/>
    <n v="8"/>
    <n v="11.81"/>
    <x v="36"/>
    <s v="914637-49-3"/>
    <x v="36"/>
    <n v="1.1000000000000001"/>
  </r>
  <r>
    <s v="MM001-JBA-08132021"/>
    <s v="Down"/>
    <x v="0"/>
    <s v="Margined Madtom"/>
    <s v="Noturus"/>
    <s v="gibbosus"/>
    <s v="U"/>
    <x v="0"/>
    <n v="8"/>
    <n v="11.81"/>
    <x v="37"/>
    <s v="812-70-4"/>
    <x v="37"/>
    <n v="11.9"/>
  </r>
  <r>
    <s v="MM001-JBA-08132021"/>
    <s v="Down"/>
    <x v="0"/>
    <s v="Margined Madtom"/>
    <s v="Noturus"/>
    <s v="gibbosus"/>
    <s v="U"/>
    <x v="0"/>
    <n v="8"/>
    <n v="11.81"/>
    <x v="38"/>
    <s v="53826-12-3"/>
    <x v="38"/>
    <n v="2.2599999999999998"/>
  </r>
  <r>
    <s v="MM001-JBA-08132021"/>
    <s v="Down"/>
    <x v="0"/>
    <s v="Margined Madtom"/>
    <s v="Noturus"/>
    <s v="gibbosus"/>
    <s v="U"/>
    <x v="0"/>
    <n v="8"/>
    <n v="11.81"/>
    <x v="39"/>
    <s v="27854-31-5"/>
    <x v="39"/>
    <n v="0.67100000000000004"/>
  </r>
  <r>
    <s v="MM001-JBA-08132021"/>
    <s v="Down"/>
    <x v="0"/>
    <s v="Margined Madtom"/>
    <s v="Noturus"/>
    <s v="gibbosus"/>
    <s v="U"/>
    <x v="0"/>
    <n v="8"/>
    <n v="11.81"/>
    <x v="40"/>
    <s v="53826-13-4"/>
    <x v="40"/>
    <n v="0.10043474655429419"/>
  </r>
  <r>
    <s v="MM001-JBA-08132021"/>
    <s v="Down"/>
    <x v="0"/>
    <s v="Margined Madtom"/>
    <s v="Noturus"/>
    <s v="gibbosus"/>
    <s v="U"/>
    <x v="0"/>
    <n v="8"/>
    <n v="11.81"/>
    <x v="41"/>
    <s v="161094-75-3"/>
    <x v="41"/>
    <n v="5.2849090110562692E-2"/>
  </r>
  <r>
    <s v="MM001-JBA-08132021"/>
    <s v="Down"/>
    <x v="0"/>
    <s v="Margined Madtom"/>
    <s v="Noturus"/>
    <s v="gibbosus"/>
    <s v="U"/>
    <x v="0"/>
    <n v="8"/>
    <n v="11.81"/>
    <x v="42"/>
    <s v="70887-84-2"/>
    <x v="42"/>
    <n v="4.0673821840720638E-2"/>
  </r>
  <r>
    <s v="MM001-JBA-08132021"/>
    <s v="Down"/>
    <x v="0"/>
    <s v="Margined Madtom"/>
    <s v="Noturus"/>
    <s v="gibbosus"/>
    <s v="U"/>
    <x v="0"/>
    <n v="8"/>
    <n v="11.81"/>
    <x v="43"/>
    <s v="919005-14-4"/>
    <x v="43"/>
    <n v="6.7306829399623097E-2"/>
  </r>
  <r>
    <s v="MM001-JBA-08132021"/>
    <s v="Down"/>
    <x v="0"/>
    <s v="Margined Madtom"/>
    <s v="Noturus"/>
    <s v="gibbosus"/>
    <s v="U"/>
    <x v="0"/>
    <n v="8"/>
    <n v="11.81"/>
    <x v="44"/>
    <s v="756426-58-1"/>
    <x v="44"/>
    <n v="4.6718117151530118E-2"/>
  </r>
  <r>
    <s v="MM001-JBA-08132021"/>
    <s v="Down"/>
    <x v="0"/>
    <s v="Margined Madtom"/>
    <s v="Noturus"/>
    <s v="gibbosus"/>
    <s v="U"/>
    <x v="0"/>
    <n v="8"/>
    <n v="11.81"/>
    <x v="45"/>
    <s v="763051-92-9"/>
    <x v="45"/>
    <n v="5.3037145203849959E-2"/>
  </r>
  <r>
    <s v="MM001-JBA-08132021"/>
    <s v="Down"/>
    <x v="0"/>
    <s v="Margined Madtom"/>
    <s v="Noturus"/>
    <s v="gibbosus"/>
    <s v="U"/>
    <x v="0"/>
    <n v="8"/>
    <n v="11.81"/>
    <x v="46"/>
    <s v="13252-13-6"/>
    <x v="46"/>
    <n v="9.658722280602175E-2"/>
  </r>
  <r>
    <s v="MM001-JBA-08132021"/>
    <s v="Down"/>
    <x v="0"/>
    <s v="Margined Madtom"/>
    <s v="Noturus"/>
    <s v="gibbosus"/>
    <s v="U"/>
    <x v="0"/>
    <n v="8"/>
    <n v="11.81"/>
    <x v="47"/>
    <s v="57677-95-9"/>
    <x v="47"/>
    <n v="7.1650067450641661E-2"/>
  </r>
  <r>
    <s v="MM001-JBA-08132021"/>
    <s v="Down"/>
    <x v="0"/>
    <s v="Margined Madtom"/>
    <s v="Noturus"/>
    <s v="gibbosus"/>
    <s v="U"/>
    <x v="0"/>
    <n v="8"/>
    <n v="11.81"/>
    <x v="48"/>
    <s v="678-41-1"/>
    <x v="48"/>
    <n v="8.9236337219644621E-2"/>
  </r>
  <r>
    <s v="MM001-JBA-08132021"/>
    <s v="Down"/>
    <x v="0"/>
    <s v="Margined Madtom"/>
    <s v="Noturus"/>
    <s v="gibbosus"/>
    <s v="U"/>
    <x v="0"/>
    <n v="8"/>
    <n v="11.81"/>
    <x v="49"/>
    <s v="2965-52-8"/>
    <x v="49"/>
    <n v="0.11846001974333663"/>
  </r>
  <r>
    <s v="MM002-JBA-08132021"/>
    <s v="Down"/>
    <x v="0"/>
    <s v="Margined Madtom"/>
    <s v="Noturus"/>
    <s v="gibbosus"/>
    <s v="U"/>
    <x v="0"/>
    <n v="8"/>
    <n v="11.81"/>
    <x v="0"/>
    <s v="375-22-4"/>
    <x v="0"/>
    <n v="9.0799031476997583E-2"/>
  </r>
  <r>
    <s v="MM002-JBA-08132021"/>
    <s v="Down"/>
    <x v="0"/>
    <s v="Margined Madtom"/>
    <s v="Noturus"/>
    <s v="gibbosus"/>
    <s v="U"/>
    <x v="0"/>
    <n v="8"/>
    <n v="11.81"/>
    <x v="1"/>
    <s v="2706-90-3"/>
    <x v="1"/>
    <n v="4.2220219113496937E-2"/>
  </r>
  <r>
    <s v="MM002-JBA-08132021"/>
    <s v="Down"/>
    <x v="0"/>
    <s v="Margined Madtom"/>
    <s v="Noturus"/>
    <s v="gibbosus"/>
    <s v="U"/>
    <x v="0"/>
    <n v="8"/>
    <n v="11.81"/>
    <x v="2"/>
    <s v="307-24-4"/>
    <x v="2"/>
    <n v="0.12250860933146186"/>
  </r>
  <r>
    <s v="MM002-JBA-08132021"/>
    <s v="Down"/>
    <x v="0"/>
    <s v="Margined Madtom"/>
    <s v="Noturus"/>
    <s v="gibbosus"/>
    <s v="U"/>
    <x v="0"/>
    <n v="8"/>
    <n v="11.81"/>
    <x v="3"/>
    <s v="375-85-9"/>
    <x v="3"/>
    <n v="9.0799031476997583E-2"/>
  </r>
  <r>
    <s v="MM002-JBA-08132021"/>
    <s v="Down"/>
    <x v="0"/>
    <s v="Margined Madtom"/>
    <s v="Noturus"/>
    <s v="gibbosus"/>
    <s v="U"/>
    <x v="0"/>
    <n v="8"/>
    <n v="11.81"/>
    <x v="4"/>
    <s v="335-67-1"/>
    <x v="4"/>
    <n v="0.68700000000000006"/>
  </r>
  <r>
    <s v="MM002-JBA-08132021"/>
    <s v="Down"/>
    <x v="0"/>
    <s v="Margined Madtom"/>
    <s v="Noturus"/>
    <s v="gibbosus"/>
    <s v="U"/>
    <x v="0"/>
    <n v="8"/>
    <n v="11.81"/>
    <x v="5"/>
    <s v="375-95-1"/>
    <x v="5"/>
    <n v="0.40500000000000003"/>
  </r>
  <r>
    <s v="MM002-JBA-08132021"/>
    <s v="Down"/>
    <x v="0"/>
    <s v="Margined Madtom"/>
    <s v="Noturus"/>
    <s v="gibbosus"/>
    <s v="U"/>
    <x v="0"/>
    <n v="8"/>
    <n v="11.81"/>
    <x v="6"/>
    <s v="335-76-2"/>
    <x v="6"/>
    <n v="3.6"/>
  </r>
  <r>
    <s v="MM002-JBA-08132021"/>
    <s v="Down"/>
    <x v="0"/>
    <s v="Margined Madtom"/>
    <s v="Noturus"/>
    <s v="gibbosus"/>
    <s v="U"/>
    <x v="0"/>
    <n v="8"/>
    <n v="11.81"/>
    <x v="7"/>
    <s v="2058-94-8"/>
    <x v="7"/>
    <n v="6.5"/>
  </r>
  <r>
    <s v="MM002-JBA-08132021"/>
    <s v="Down"/>
    <x v="0"/>
    <s v="Margined Madtom"/>
    <s v="Noturus"/>
    <s v="gibbosus"/>
    <s v="U"/>
    <x v="0"/>
    <n v="8"/>
    <n v="11.81"/>
    <x v="8"/>
    <s v="307-55-1"/>
    <x v="8"/>
    <n v="4.7711728242331282E-2"/>
  </r>
  <r>
    <s v="MM002-JBA-08132021"/>
    <s v="Down"/>
    <x v="0"/>
    <s v="Margined Madtom"/>
    <s v="Noturus"/>
    <s v="gibbosus"/>
    <s v="U"/>
    <x v="0"/>
    <n v="8"/>
    <n v="11.81"/>
    <x v="9"/>
    <s v="72629-94-8"/>
    <x v="9"/>
    <n v="3.79"/>
  </r>
  <r>
    <s v="MM002-JBA-08132021"/>
    <s v="Down"/>
    <x v="0"/>
    <s v="Margined Madtom"/>
    <s v="Noturus"/>
    <s v="gibbosus"/>
    <s v="U"/>
    <x v="0"/>
    <n v="8"/>
    <n v="11.81"/>
    <x v="10"/>
    <s v="376-06-7"/>
    <x v="10"/>
    <n v="7.25"/>
  </r>
  <r>
    <s v="MM002-JBA-08132021"/>
    <s v="Down"/>
    <x v="0"/>
    <s v="Margined Madtom"/>
    <s v="Noturus"/>
    <s v="gibbosus"/>
    <s v="U"/>
    <x v="0"/>
    <n v="8"/>
    <n v="11.81"/>
    <x v="11"/>
    <s v="67905-19-5"/>
    <x v="11"/>
    <n v="7.121744133128835E-2"/>
  </r>
  <r>
    <s v="MM002-JBA-08132021"/>
    <s v="Down"/>
    <x v="0"/>
    <s v="Margined Madtom"/>
    <s v="Noturus"/>
    <s v="gibbosus"/>
    <s v="U"/>
    <x v="0"/>
    <n v="8"/>
    <n v="11.81"/>
    <x v="12"/>
    <s v="423-41-6"/>
    <x v="12"/>
    <n v="4.5591182199386501E-2"/>
  </r>
  <r>
    <s v="MM002-JBA-08132021"/>
    <s v="Down"/>
    <x v="0"/>
    <s v="Margined Madtom"/>
    <s v="Noturus"/>
    <s v="gibbosus"/>
    <s v="U"/>
    <x v="0"/>
    <n v="8"/>
    <n v="11.81"/>
    <x v="13"/>
    <s v="375-73-5"/>
    <x v="13"/>
    <n v="1.55"/>
  </r>
  <r>
    <s v="MM002-JBA-08132021"/>
    <s v="Down"/>
    <x v="0"/>
    <s v="Margined Madtom"/>
    <s v="Noturus"/>
    <s v="gibbosus"/>
    <s v="U"/>
    <x v="0"/>
    <n v="8"/>
    <n v="11.81"/>
    <x v="14"/>
    <s v="2706-91-4"/>
    <x v="14"/>
    <n v="0.30199999999999999"/>
  </r>
  <r>
    <s v="MM002-JBA-08132021"/>
    <s v="Down"/>
    <x v="0"/>
    <s v="Margined Madtom"/>
    <s v="Noturus"/>
    <s v="gibbosus"/>
    <s v="U"/>
    <x v="0"/>
    <n v="8"/>
    <n v="11.81"/>
    <x v="15"/>
    <s v="355-46-4"/>
    <x v="15"/>
    <n v="30.3"/>
  </r>
  <r>
    <s v="MM002-JBA-08132021"/>
    <s v="Down"/>
    <x v="0"/>
    <s v="Margined Madtom"/>
    <s v="Noturus"/>
    <s v="gibbosus"/>
    <s v="U"/>
    <x v="0"/>
    <n v="8"/>
    <n v="11.81"/>
    <x v="16"/>
    <s v="375-92-8"/>
    <x v="16"/>
    <n v="0.48"/>
  </r>
  <r>
    <s v="MM002-JBA-08132021"/>
    <s v="Down"/>
    <x v="0"/>
    <s v="Margined Madtom"/>
    <s v="Noturus"/>
    <s v="gibbosus"/>
    <s v="U"/>
    <x v="0"/>
    <n v="8"/>
    <n v="11.81"/>
    <x v="17"/>
    <s v="1763-23-1"/>
    <x v="17"/>
    <n v="391"/>
  </r>
  <r>
    <s v="MM002-JBA-08132021"/>
    <s v="Down"/>
    <x v="0"/>
    <s v="Margined Madtom"/>
    <s v="Noturus"/>
    <s v="gibbosus"/>
    <s v="U"/>
    <x v="0"/>
    <n v="8"/>
    <n v="11.81"/>
    <x v="18"/>
    <s v="68259-12-1"/>
    <x v="18"/>
    <n v="0.64900000000000002"/>
  </r>
  <r>
    <s v="MM002-JBA-08132021"/>
    <s v="Down"/>
    <x v="0"/>
    <s v="Margined Madtom"/>
    <s v="Noturus"/>
    <s v="gibbosus"/>
    <s v="U"/>
    <x v="0"/>
    <n v="8"/>
    <n v="11.81"/>
    <x v="19"/>
    <s v="335-77-3"/>
    <x v="19"/>
    <n v="1.91"/>
  </r>
  <r>
    <s v="MM002-JBA-08132021"/>
    <s v="Down"/>
    <x v="0"/>
    <s v="Margined Madtom"/>
    <s v="Noturus"/>
    <s v="gibbosus"/>
    <s v="U"/>
    <x v="0"/>
    <n v="8"/>
    <n v="11.81"/>
    <x v="20"/>
    <s v="79780-39-5"/>
    <x v="20"/>
    <n v="0.69599999999999995"/>
  </r>
  <r>
    <s v="MM002-JBA-08132021"/>
    <s v="Down"/>
    <x v="0"/>
    <s v="Margined Madtom"/>
    <s v="Noturus"/>
    <s v="gibbosus"/>
    <s v="U"/>
    <x v="0"/>
    <n v="8"/>
    <n v="11.81"/>
    <x v="21"/>
    <s v="777011-38-8"/>
    <x v="21"/>
    <n v="0.13794284026525425"/>
  </r>
  <r>
    <s v="MM002-JBA-08132021"/>
    <s v="Down"/>
    <x v="0"/>
    <s v="Margined Madtom"/>
    <s v="Noturus"/>
    <s v="gibbosus"/>
    <s v="U"/>
    <x v="0"/>
    <n v="8"/>
    <n v="11.81"/>
    <x v="22"/>
    <s v="646-83-3"/>
    <x v="22"/>
    <n v="9.0799031476997583E-2"/>
  </r>
  <r>
    <s v="MM002-JBA-08132021"/>
    <s v="Down"/>
    <x v="0"/>
    <s v="Margined Madtom"/>
    <s v="Noturus"/>
    <s v="gibbosus"/>
    <s v="U"/>
    <x v="0"/>
    <n v="8"/>
    <n v="11.81"/>
    <x v="23"/>
    <s v="30334-69-1"/>
    <x v="23"/>
    <n v="65.400000000000006"/>
  </r>
  <r>
    <s v="MM002-JBA-08132021"/>
    <s v="Down"/>
    <x v="0"/>
    <s v="Margined Madtom"/>
    <s v="Noturus"/>
    <s v="gibbosus"/>
    <s v="U"/>
    <x v="0"/>
    <n v="8"/>
    <n v="11.81"/>
    <x v="24"/>
    <s v="41997-13-1"/>
    <x v="24"/>
    <n v="120"/>
  </r>
  <r>
    <s v="MM002-JBA-08132021"/>
    <s v="Down"/>
    <x v="0"/>
    <s v="Margined Madtom"/>
    <s v="Noturus"/>
    <s v="gibbosus"/>
    <s v="U"/>
    <x v="0"/>
    <n v="8"/>
    <n v="11.81"/>
    <x v="25"/>
    <s v="754-91-6"/>
    <x v="25"/>
    <n v="29.3"/>
  </r>
  <r>
    <s v="MM002-JBA-08132021"/>
    <s v="Down"/>
    <x v="0"/>
    <s v="Margined Madtom"/>
    <s v="Noturus"/>
    <s v="gibbosus"/>
    <s v="U"/>
    <x v="0"/>
    <n v="8"/>
    <n v="11.81"/>
    <x v="26"/>
    <s v="31506-32-8"/>
    <x v="26"/>
    <n v="4.603517028220859E-2"/>
  </r>
  <r>
    <s v="MM002-JBA-08132021"/>
    <s v="Down"/>
    <x v="0"/>
    <s v="Margined Madtom"/>
    <s v="Noturus"/>
    <s v="gibbosus"/>
    <s v="U"/>
    <x v="0"/>
    <n v="8"/>
    <n v="11.81"/>
    <x v="27"/>
    <s v="4151-50-2"/>
    <x v="27"/>
    <n v="6.9732979426380362E-2"/>
  </r>
  <r>
    <s v="MM002-JBA-08132021"/>
    <s v="Down"/>
    <x v="0"/>
    <s v="Margined Madtom"/>
    <s v="Noturus"/>
    <s v="gibbosus"/>
    <s v="U"/>
    <x v="0"/>
    <n v="8"/>
    <n v="11.81"/>
    <x v="28"/>
    <s v="2806-24-8"/>
    <x v="28"/>
    <n v="4.710193680368098E-2"/>
  </r>
  <r>
    <s v="MM002-JBA-08132021"/>
    <s v="Down"/>
    <x v="0"/>
    <s v="Margined Madtom"/>
    <s v="Noturus"/>
    <s v="gibbosus"/>
    <s v="U"/>
    <x v="0"/>
    <n v="8"/>
    <n v="11.81"/>
    <x v="29"/>
    <s v="2355-31-9"/>
    <x v="29"/>
    <n v="6.01177392607362E-2"/>
  </r>
  <r>
    <s v="MM002-JBA-08132021"/>
    <s v="Down"/>
    <x v="0"/>
    <s v="Margined Madtom"/>
    <s v="Noturus"/>
    <s v="gibbosus"/>
    <s v="U"/>
    <x v="0"/>
    <n v="8"/>
    <n v="11.81"/>
    <x v="30"/>
    <s v="2991-50-6"/>
    <x v="30"/>
    <n v="5.1867807266871159E-2"/>
  </r>
  <r>
    <s v="MM002-JBA-08132021"/>
    <s v="Down"/>
    <x v="0"/>
    <s v="Margined Madtom"/>
    <s v="Noturus"/>
    <s v="gibbosus"/>
    <s v="U"/>
    <x v="0"/>
    <n v="8"/>
    <n v="11.81"/>
    <x v="31"/>
    <s v="757124-72-4"/>
    <x v="31"/>
    <n v="4.9083051865030668E-2"/>
  </r>
  <r>
    <s v="MM002-JBA-08132021"/>
    <s v="Down"/>
    <x v="0"/>
    <s v="Margined Madtom"/>
    <s v="Noturus"/>
    <s v="gibbosus"/>
    <s v="U"/>
    <x v="0"/>
    <n v="8"/>
    <n v="11.81"/>
    <x v="32"/>
    <s v="27619-97-2"/>
    <x v="32"/>
    <n v="3.6077005592944786E-2"/>
  </r>
  <r>
    <s v="MM002-JBA-08132021"/>
    <s v="Down"/>
    <x v="0"/>
    <s v="Margined Madtom"/>
    <s v="Noturus"/>
    <s v="gibbosus"/>
    <s v="U"/>
    <x v="0"/>
    <n v="8"/>
    <n v="11.81"/>
    <x v="33"/>
    <s v="39108-34-4"/>
    <x v="33"/>
    <n v="7.04"/>
  </r>
  <r>
    <s v="MM002-JBA-08132021"/>
    <s v="Down"/>
    <x v="0"/>
    <s v="Margined Madtom"/>
    <s v="Noturus"/>
    <s v="gibbosus"/>
    <s v="U"/>
    <x v="0"/>
    <n v="8"/>
    <n v="11.81"/>
    <x v="34"/>
    <s v="120226-60-0"/>
    <x v="34"/>
    <n v="0.25774792627118642"/>
  </r>
  <r>
    <s v="MM002-JBA-08132021"/>
    <s v="Down"/>
    <x v="0"/>
    <s v="Margined Madtom"/>
    <s v="Noturus"/>
    <s v="gibbosus"/>
    <s v="U"/>
    <x v="0"/>
    <n v="8"/>
    <n v="11.81"/>
    <x v="35"/>
    <s v="356-02-5"/>
    <x v="35"/>
    <n v="6.8928104125766873E-2"/>
  </r>
  <r>
    <s v="MM002-JBA-08132021"/>
    <s v="Down"/>
    <x v="0"/>
    <s v="Margined Madtom"/>
    <s v="Noturus"/>
    <s v="gibbosus"/>
    <s v="U"/>
    <x v="0"/>
    <n v="8"/>
    <n v="11.81"/>
    <x v="36"/>
    <s v="914637-49-3"/>
    <x v="36"/>
    <n v="0.73"/>
  </r>
  <r>
    <s v="MM002-JBA-08132021"/>
    <s v="Down"/>
    <x v="0"/>
    <s v="Margined Madtom"/>
    <s v="Noturus"/>
    <s v="gibbosus"/>
    <s v="U"/>
    <x v="0"/>
    <n v="8"/>
    <n v="11.81"/>
    <x v="37"/>
    <s v="812-70-4"/>
    <x v="37"/>
    <n v="133"/>
  </r>
  <r>
    <s v="MM002-JBA-08132021"/>
    <s v="Down"/>
    <x v="0"/>
    <s v="Margined Madtom"/>
    <s v="Noturus"/>
    <s v="gibbosus"/>
    <s v="U"/>
    <x v="0"/>
    <n v="8"/>
    <n v="11.81"/>
    <x v="38"/>
    <s v="53826-12-3"/>
    <x v="38"/>
    <n v="3.43"/>
  </r>
  <r>
    <s v="MM002-JBA-08132021"/>
    <s v="Down"/>
    <x v="0"/>
    <s v="Margined Madtom"/>
    <s v="Noturus"/>
    <s v="gibbosus"/>
    <s v="U"/>
    <x v="0"/>
    <n v="8"/>
    <n v="11.81"/>
    <x v="39"/>
    <s v="27854-31-5"/>
    <x v="39"/>
    <n v="2.3902477890207951E-2"/>
  </r>
  <r>
    <s v="MM002-JBA-08132021"/>
    <s v="Down"/>
    <x v="0"/>
    <s v="Margined Madtom"/>
    <s v="Noturus"/>
    <s v="gibbosus"/>
    <s v="U"/>
    <x v="0"/>
    <n v="8"/>
    <n v="11.81"/>
    <x v="40"/>
    <s v="53826-13-4"/>
    <x v="40"/>
    <n v="8.9167746064417186E-2"/>
  </r>
  <r>
    <s v="MM002-JBA-08132021"/>
    <s v="Down"/>
    <x v="0"/>
    <s v="Margined Madtom"/>
    <s v="Noturus"/>
    <s v="gibbosus"/>
    <s v="U"/>
    <x v="0"/>
    <n v="8"/>
    <n v="11.81"/>
    <x v="41"/>
    <s v="161094-75-3"/>
    <x v="41"/>
    <n v="4.6920357828220863E-2"/>
  </r>
  <r>
    <s v="MM002-JBA-08132021"/>
    <s v="Down"/>
    <x v="0"/>
    <s v="Margined Madtom"/>
    <s v="Noturus"/>
    <s v="gibbosus"/>
    <s v="U"/>
    <x v="0"/>
    <n v="8"/>
    <n v="11.81"/>
    <x v="42"/>
    <s v="70887-84-2"/>
    <x v="42"/>
    <n v="3.6110939110122697E-2"/>
  </r>
  <r>
    <s v="MM002-JBA-08132021"/>
    <s v="Down"/>
    <x v="0"/>
    <s v="Margined Madtom"/>
    <s v="Noturus"/>
    <s v="gibbosus"/>
    <s v="U"/>
    <x v="0"/>
    <n v="8"/>
    <n v="11.81"/>
    <x v="43"/>
    <s v="919005-14-4"/>
    <x v="43"/>
    <n v="5.9756194725519879E-2"/>
  </r>
  <r>
    <s v="MM002-JBA-08132021"/>
    <s v="Down"/>
    <x v="0"/>
    <s v="Margined Madtom"/>
    <s v="Noturus"/>
    <s v="gibbosus"/>
    <s v="U"/>
    <x v="0"/>
    <n v="8"/>
    <n v="11.81"/>
    <x v="44"/>
    <s v="756426-58-1"/>
    <x v="44"/>
    <n v="4.1477171493865025E-2"/>
  </r>
  <r>
    <s v="MM002-JBA-08132021"/>
    <s v="Down"/>
    <x v="0"/>
    <s v="Margined Madtom"/>
    <s v="Noturus"/>
    <s v="gibbosus"/>
    <s v="U"/>
    <x v="0"/>
    <n v="8"/>
    <n v="11.81"/>
    <x v="45"/>
    <s v="763051-92-9"/>
    <x v="45"/>
    <n v="4.7087316469325159E-2"/>
  </r>
  <r>
    <s v="MM002-JBA-08132021"/>
    <s v="Down"/>
    <x v="0"/>
    <s v="Margined Madtom"/>
    <s v="Noturus"/>
    <s v="gibbosus"/>
    <s v="U"/>
    <x v="0"/>
    <n v="8"/>
    <n v="11.81"/>
    <x v="46"/>
    <s v="13252-13-6"/>
    <x v="46"/>
    <n v="8.5751846365030693E-2"/>
  </r>
  <r>
    <s v="MM002-JBA-08132021"/>
    <s v="Down"/>
    <x v="0"/>
    <s v="Margined Madtom"/>
    <s v="Noturus"/>
    <s v="gibbosus"/>
    <s v="U"/>
    <x v="0"/>
    <n v="8"/>
    <n v="11.81"/>
    <x v="47"/>
    <s v="57677-95-9"/>
    <x v="47"/>
    <n v="6.36121983588957E-2"/>
  </r>
  <r>
    <s v="MM002-JBA-08132021"/>
    <s v="Down"/>
    <x v="0"/>
    <s v="Margined Madtom"/>
    <s v="Noturus"/>
    <s v="gibbosus"/>
    <s v="U"/>
    <x v="0"/>
    <n v="8"/>
    <n v="11.81"/>
    <x v="48"/>
    <s v="678-41-1"/>
    <x v="48"/>
    <n v="7.922560000306747E-2"/>
  </r>
  <r>
    <s v="MM002-JBA-08132021"/>
    <s v="Down"/>
    <x v="0"/>
    <s v="Margined Madtom"/>
    <s v="Noturus"/>
    <s v="gibbosus"/>
    <s v="U"/>
    <x v="0"/>
    <n v="8"/>
    <n v="11.81"/>
    <x v="49"/>
    <s v="2965-52-8"/>
    <x v="49"/>
    <n v="0.10517090271691498"/>
  </r>
  <r>
    <s v="PU012-JBA-08132021"/>
    <s v="Spill"/>
    <x v="0"/>
    <s v="Pumpkinseed"/>
    <s v="Lepomis"/>
    <s v="gibbosus"/>
    <s v="U"/>
    <x v="0"/>
    <n v="8"/>
    <n v="11.81"/>
    <x v="0"/>
    <s v="375-22-4"/>
    <x v="0"/>
    <n v="8.9197224975223005E-2"/>
  </r>
  <r>
    <s v="PU012-JBA-08132021"/>
    <s v="Spill"/>
    <x v="0"/>
    <s v="Pumpkinseed"/>
    <s v="Lepomis"/>
    <s v="gibbosus"/>
    <s v="U"/>
    <x v="0"/>
    <n v="8"/>
    <n v="11.81"/>
    <x v="1"/>
    <s v="2706-90-3"/>
    <x v="1"/>
    <n v="4.8600958442796618E-2"/>
  </r>
  <r>
    <s v="PU012-JBA-08132021"/>
    <s v="Spill"/>
    <x v="0"/>
    <s v="Pumpkinseed"/>
    <s v="Lepomis"/>
    <s v="gibbosus"/>
    <s v="U"/>
    <x v="0"/>
    <n v="8"/>
    <n v="11.81"/>
    <x v="2"/>
    <s v="307-24-4"/>
    <x v="2"/>
    <n v="3.7123821009533903E-2"/>
  </r>
  <r>
    <s v="PU012-JBA-08132021"/>
    <s v="Spill"/>
    <x v="0"/>
    <s v="Pumpkinseed"/>
    <s v="Lepomis"/>
    <s v="gibbosus"/>
    <s v="U"/>
    <x v="0"/>
    <n v="8"/>
    <n v="11.81"/>
    <x v="3"/>
    <s v="375-85-9"/>
    <x v="3"/>
    <n v="8.9197224975223005E-2"/>
  </r>
  <r>
    <s v="PU012-JBA-08132021"/>
    <s v="Spill"/>
    <x v="0"/>
    <s v="Pumpkinseed"/>
    <s v="Lepomis"/>
    <s v="gibbosus"/>
    <s v="U"/>
    <x v="0"/>
    <n v="8"/>
    <n v="11.81"/>
    <x v="4"/>
    <s v="335-67-1"/>
    <x v="4"/>
    <n v="0.96099999999999997"/>
  </r>
  <r>
    <s v="PU012-JBA-08132021"/>
    <s v="Spill"/>
    <x v="0"/>
    <s v="Pumpkinseed"/>
    <s v="Lepomis"/>
    <s v="gibbosus"/>
    <s v="U"/>
    <x v="0"/>
    <n v="8"/>
    <n v="11.81"/>
    <x v="5"/>
    <s v="375-95-1"/>
    <x v="5"/>
    <n v="3.56"/>
  </r>
  <r>
    <s v="PU012-JBA-08132021"/>
    <s v="Spill"/>
    <x v="0"/>
    <s v="Pumpkinseed"/>
    <s v="Lepomis"/>
    <s v="gibbosus"/>
    <s v="U"/>
    <x v="0"/>
    <n v="8"/>
    <n v="11.81"/>
    <x v="6"/>
    <s v="335-76-2"/>
    <x v="6"/>
    <n v="8.39"/>
  </r>
  <r>
    <s v="PU012-JBA-08132021"/>
    <s v="Spill"/>
    <x v="0"/>
    <s v="Pumpkinseed"/>
    <s v="Lepomis"/>
    <s v="gibbosus"/>
    <s v="U"/>
    <x v="0"/>
    <n v="8"/>
    <n v="11.81"/>
    <x v="7"/>
    <s v="2058-94-8"/>
    <x v="7"/>
    <n v="12.8"/>
  </r>
  <r>
    <s v="PU012-JBA-08132021"/>
    <s v="Spill"/>
    <x v="0"/>
    <s v="Pumpkinseed"/>
    <s v="Lepomis"/>
    <s v="gibbosus"/>
    <s v="U"/>
    <x v="0"/>
    <n v="8"/>
    <n v="11.81"/>
    <x v="8"/>
    <s v="307-55-1"/>
    <x v="8"/>
    <n v="5.492239903601695E-2"/>
  </r>
  <r>
    <s v="PU012-JBA-08132021"/>
    <s v="Spill"/>
    <x v="0"/>
    <s v="Pumpkinseed"/>
    <s v="Lepomis"/>
    <s v="gibbosus"/>
    <s v="U"/>
    <x v="0"/>
    <n v="8"/>
    <n v="11.81"/>
    <x v="9"/>
    <s v="72629-94-8"/>
    <x v="9"/>
    <n v="5.74"/>
  </r>
  <r>
    <s v="PU012-JBA-08132021"/>
    <s v="Spill"/>
    <x v="0"/>
    <s v="Pumpkinseed"/>
    <s v="Lepomis"/>
    <s v="gibbosus"/>
    <s v="U"/>
    <x v="0"/>
    <n v="8"/>
    <n v="11.81"/>
    <x v="10"/>
    <s v="376-06-7"/>
    <x v="10"/>
    <n v="22.3"/>
  </r>
  <r>
    <s v="PU012-JBA-08132021"/>
    <s v="Spill"/>
    <x v="0"/>
    <s v="Pumpkinseed"/>
    <s v="Lepomis"/>
    <s v="gibbosus"/>
    <s v="U"/>
    <x v="0"/>
    <n v="8"/>
    <n v="11.81"/>
    <x v="11"/>
    <s v="67905-19-5"/>
    <x v="11"/>
    <n v="0.90100000000000002"/>
  </r>
  <r>
    <s v="PU012-JBA-08132021"/>
    <s v="Spill"/>
    <x v="0"/>
    <s v="Pumpkinseed"/>
    <s v="Lepomis"/>
    <s v="gibbosus"/>
    <s v="U"/>
    <x v="0"/>
    <n v="8"/>
    <n v="11.81"/>
    <x v="12"/>
    <s v="423-41-6"/>
    <x v="12"/>
    <n v="5.2481374989406783E-2"/>
  </r>
  <r>
    <s v="PU012-JBA-08132021"/>
    <s v="Spill"/>
    <x v="0"/>
    <s v="Pumpkinseed"/>
    <s v="Lepomis"/>
    <s v="gibbosus"/>
    <s v="U"/>
    <x v="0"/>
    <n v="8"/>
    <n v="11.81"/>
    <x v="13"/>
    <s v="375-73-5"/>
    <x v="13"/>
    <n v="0.15177115645465805"/>
  </r>
  <r>
    <s v="PU012-JBA-08132021"/>
    <s v="Spill"/>
    <x v="0"/>
    <s v="Pumpkinseed"/>
    <s v="Lepomis"/>
    <s v="gibbosus"/>
    <s v="U"/>
    <x v="0"/>
    <n v="8"/>
    <n v="11.81"/>
    <x v="14"/>
    <s v="2706-91-4"/>
    <x v="14"/>
    <n v="0.29699999999999999"/>
  </r>
  <r>
    <s v="PU012-JBA-08132021"/>
    <s v="Spill"/>
    <x v="0"/>
    <s v="Pumpkinseed"/>
    <s v="Lepomis"/>
    <s v="gibbosus"/>
    <s v="U"/>
    <x v="0"/>
    <n v="8"/>
    <n v="11.81"/>
    <x v="15"/>
    <s v="355-46-4"/>
    <x v="15"/>
    <n v="39.200000000000003"/>
  </r>
  <r>
    <s v="PU012-JBA-08132021"/>
    <s v="Spill"/>
    <x v="0"/>
    <s v="Pumpkinseed"/>
    <s v="Lepomis"/>
    <s v="gibbosus"/>
    <s v="U"/>
    <x v="0"/>
    <n v="8"/>
    <n v="11.81"/>
    <x v="16"/>
    <s v="375-92-8"/>
    <x v="16"/>
    <n v="2.59"/>
  </r>
  <r>
    <s v="PU012-JBA-08132021"/>
    <s v="Spill"/>
    <x v="0"/>
    <s v="Pumpkinseed"/>
    <s v="Lepomis"/>
    <s v="gibbosus"/>
    <s v="U"/>
    <x v="0"/>
    <n v="8"/>
    <n v="11.81"/>
    <x v="17"/>
    <s v="1763-23-1"/>
    <x v="17"/>
    <n v="1750"/>
  </r>
  <r>
    <s v="PU012-JBA-08132021"/>
    <s v="Spill"/>
    <x v="0"/>
    <s v="Pumpkinseed"/>
    <s v="Lepomis"/>
    <s v="gibbosus"/>
    <s v="U"/>
    <x v="0"/>
    <n v="8"/>
    <n v="11.81"/>
    <x v="18"/>
    <s v="68259-12-1"/>
    <x v="18"/>
    <n v="5.63"/>
  </r>
  <r>
    <s v="PU012-JBA-08132021"/>
    <s v="Spill"/>
    <x v="0"/>
    <s v="Pumpkinseed"/>
    <s v="Lepomis"/>
    <s v="gibbosus"/>
    <s v="U"/>
    <x v="0"/>
    <n v="8"/>
    <n v="11.81"/>
    <x v="19"/>
    <s v="335-77-3"/>
    <x v="19"/>
    <n v="6.24"/>
  </r>
  <r>
    <s v="PU012-JBA-08132021"/>
    <s v="Spill"/>
    <x v="0"/>
    <s v="Pumpkinseed"/>
    <s v="Lepomis"/>
    <s v="gibbosus"/>
    <s v="U"/>
    <x v="0"/>
    <n v="8"/>
    <n v="11.81"/>
    <x v="20"/>
    <s v="79780-39-5"/>
    <x v="20"/>
    <n v="3.09"/>
  </r>
  <r>
    <s v="PU012-JBA-08132021"/>
    <s v="Spill"/>
    <x v="0"/>
    <s v="Pumpkinseed"/>
    <s v="Lepomis"/>
    <s v="gibbosus"/>
    <s v="U"/>
    <x v="0"/>
    <n v="8"/>
    <n v="11.81"/>
    <x v="21"/>
    <s v="777011-38-8"/>
    <x v="21"/>
    <n v="0.318"/>
  </r>
  <r>
    <s v="PU012-JBA-08132021"/>
    <s v="Spill"/>
    <x v="0"/>
    <s v="Pumpkinseed"/>
    <s v="Lepomis"/>
    <s v="gibbosus"/>
    <s v="U"/>
    <x v="0"/>
    <n v="8"/>
    <n v="11.81"/>
    <x v="22"/>
    <s v="646-83-3"/>
    <x v="22"/>
    <n v="0.39800000000000002"/>
  </r>
  <r>
    <s v="PU012-JBA-08132021"/>
    <s v="Spill"/>
    <x v="0"/>
    <s v="Pumpkinseed"/>
    <s v="Lepomis"/>
    <s v="gibbosus"/>
    <s v="U"/>
    <x v="0"/>
    <n v="8"/>
    <n v="11.81"/>
    <x v="23"/>
    <s v="30334-69-1"/>
    <x v="23"/>
    <n v="24.8"/>
  </r>
  <r>
    <s v="PU012-JBA-08132021"/>
    <s v="Spill"/>
    <x v="0"/>
    <s v="Pumpkinseed"/>
    <s v="Lepomis"/>
    <s v="gibbosus"/>
    <s v="U"/>
    <x v="0"/>
    <n v="8"/>
    <n v="11.81"/>
    <x v="24"/>
    <s v="41997-13-1"/>
    <x v="24"/>
    <n v="39.1"/>
  </r>
  <r>
    <s v="PU012-JBA-08132021"/>
    <s v="Spill"/>
    <x v="0"/>
    <s v="Pumpkinseed"/>
    <s v="Lepomis"/>
    <s v="gibbosus"/>
    <s v="U"/>
    <x v="0"/>
    <n v="8"/>
    <n v="11.81"/>
    <x v="25"/>
    <s v="754-91-6"/>
    <x v="25"/>
    <n v="11.3"/>
  </r>
  <r>
    <s v="PU012-JBA-08132021"/>
    <s v="Spill"/>
    <x v="0"/>
    <s v="Pumpkinseed"/>
    <s v="Lepomis"/>
    <s v="gibbosus"/>
    <s v="U"/>
    <x v="0"/>
    <n v="8"/>
    <n v="11.81"/>
    <x v="26"/>
    <s v="31506-32-8"/>
    <x v="26"/>
    <n v="5.2992462966101696E-2"/>
  </r>
  <r>
    <s v="PU012-JBA-08132021"/>
    <s v="Spill"/>
    <x v="0"/>
    <s v="Pumpkinseed"/>
    <s v="Lepomis"/>
    <s v="gibbosus"/>
    <s v="U"/>
    <x v="0"/>
    <n v="8"/>
    <n v="11.81"/>
    <x v="27"/>
    <s v="4151-50-2"/>
    <x v="27"/>
    <n v="8.0271720667372884E-2"/>
  </r>
  <r>
    <s v="PU012-JBA-08132021"/>
    <s v="Spill"/>
    <x v="0"/>
    <s v="Pumpkinseed"/>
    <s v="Lepomis"/>
    <s v="gibbosus"/>
    <s v="U"/>
    <x v="0"/>
    <n v="8"/>
    <n v="11.81"/>
    <x v="28"/>
    <s v="2806-24-8"/>
    <x v="28"/>
    <n v="5.4220449851694913E-2"/>
  </r>
  <r>
    <s v="PU012-JBA-08132021"/>
    <s v="Spill"/>
    <x v="0"/>
    <s v="Pumpkinseed"/>
    <s v="Lepomis"/>
    <s v="gibbosus"/>
    <s v="U"/>
    <x v="0"/>
    <n v="8"/>
    <n v="11.81"/>
    <x v="29"/>
    <s v="2355-31-9"/>
    <x v="29"/>
    <n v="6.9203329798728827E-2"/>
  </r>
  <r>
    <s v="PU012-JBA-08132021"/>
    <s v="Spill"/>
    <x v="0"/>
    <s v="Pumpkinseed"/>
    <s v="Lepomis"/>
    <s v="gibbosus"/>
    <s v="U"/>
    <x v="0"/>
    <n v="8"/>
    <n v="11.81"/>
    <x v="30"/>
    <s v="2991-50-6"/>
    <x v="30"/>
    <n v="5.9706586048728798E-2"/>
  </r>
  <r>
    <s v="PU012-JBA-08132021"/>
    <s v="Spill"/>
    <x v="0"/>
    <s v="Pumpkinseed"/>
    <s v="Lepomis"/>
    <s v="gibbosus"/>
    <s v="U"/>
    <x v="0"/>
    <n v="8"/>
    <n v="11.81"/>
    <x v="31"/>
    <s v="757124-72-4"/>
    <x v="31"/>
    <n v="5.650097072033898E-2"/>
  </r>
  <r>
    <s v="PU012-JBA-08132021"/>
    <s v="Spill"/>
    <x v="0"/>
    <s v="Pumpkinseed"/>
    <s v="Lepomis"/>
    <s v="gibbosus"/>
    <s v="U"/>
    <x v="0"/>
    <n v="8"/>
    <n v="11.81"/>
    <x v="32"/>
    <s v="27619-97-2"/>
    <x v="32"/>
    <n v="0.27100000000000002"/>
  </r>
  <r>
    <s v="PU012-JBA-08132021"/>
    <s v="Spill"/>
    <x v="0"/>
    <s v="Pumpkinseed"/>
    <s v="Lepomis"/>
    <s v="gibbosus"/>
    <s v="U"/>
    <x v="0"/>
    <n v="8"/>
    <n v="11.81"/>
    <x v="33"/>
    <s v="39108-34-4"/>
    <x v="33"/>
    <n v="3.69"/>
  </r>
  <r>
    <s v="PU012-JBA-08132021"/>
    <s v="Spill"/>
    <x v="0"/>
    <s v="Pumpkinseed"/>
    <s v="Lepomis"/>
    <s v="gibbosus"/>
    <s v="U"/>
    <x v="0"/>
    <n v="8"/>
    <n v="11.81"/>
    <x v="34"/>
    <s v="120226-60-0"/>
    <x v="34"/>
    <n v="0.71399999999999997"/>
  </r>
  <r>
    <s v="PU012-JBA-08132021"/>
    <s v="Spill"/>
    <x v="0"/>
    <s v="Pumpkinseed"/>
    <s v="Lepomis"/>
    <s v="gibbosus"/>
    <s v="U"/>
    <x v="0"/>
    <n v="8"/>
    <n v="11.81"/>
    <x v="35"/>
    <s v="356-02-5"/>
    <x v="35"/>
    <n v="7.9345204608050848E-2"/>
  </r>
  <r>
    <s v="PU012-JBA-08132021"/>
    <s v="Spill"/>
    <x v="0"/>
    <s v="Pumpkinseed"/>
    <s v="Lepomis"/>
    <s v="gibbosus"/>
    <s v="U"/>
    <x v="0"/>
    <n v="8"/>
    <n v="11.81"/>
    <x v="36"/>
    <s v="914637-49-3"/>
    <x v="36"/>
    <n v="1.19"/>
  </r>
  <r>
    <s v="PU012-JBA-08132021"/>
    <s v="Spill"/>
    <x v="0"/>
    <s v="Pumpkinseed"/>
    <s v="Lepomis"/>
    <s v="gibbosus"/>
    <s v="U"/>
    <x v="0"/>
    <n v="8"/>
    <n v="11.81"/>
    <x v="37"/>
    <s v="812-70-4"/>
    <x v="37"/>
    <n v="1.03"/>
  </r>
  <r>
    <s v="PU012-JBA-08132021"/>
    <s v="Spill"/>
    <x v="0"/>
    <s v="Pumpkinseed"/>
    <s v="Lepomis"/>
    <s v="gibbosus"/>
    <s v="U"/>
    <x v="0"/>
    <n v="8"/>
    <n v="11.81"/>
    <x v="38"/>
    <s v="53826-12-3"/>
    <x v="38"/>
    <n v="4.4138424384533893E-2"/>
  </r>
  <r>
    <s v="PU012-JBA-08132021"/>
    <s v="Spill"/>
    <x v="0"/>
    <s v="Pumpkinseed"/>
    <s v="Lepomis"/>
    <s v="gibbosus"/>
    <s v="U"/>
    <x v="0"/>
    <n v="8"/>
    <n v="11.81"/>
    <x v="39"/>
    <s v="27854-31-5"/>
    <x v="39"/>
    <n v="2.7514858023332603E-2"/>
  </r>
  <r>
    <s v="PU012-JBA-08132021"/>
    <s v="Spill"/>
    <x v="0"/>
    <s v="Pumpkinseed"/>
    <s v="Lepomis"/>
    <s v="gibbosus"/>
    <s v="U"/>
    <x v="0"/>
    <n v="8"/>
    <n v="11.81"/>
    <x v="40"/>
    <s v="53826-13-4"/>
    <x v="40"/>
    <n v="0.10264366248940678"/>
  </r>
  <r>
    <s v="PU012-JBA-08132021"/>
    <s v="Spill"/>
    <x v="0"/>
    <s v="Pumpkinseed"/>
    <s v="Lepomis"/>
    <s v="gibbosus"/>
    <s v="U"/>
    <x v="0"/>
    <n v="8"/>
    <n v="11.81"/>
    <x v="41"/>
    <s v="161094-75-3"/>
    <x v="41"/>
    <n v="5.4011428855932207E-2"/>
  </r>
  <r>
    <s v="PU012-JBA-08132021"/>
    <s v="Spill"/>
    <x v="0"/>
    <s v="Pumpkinseed"/>
    <s v="Lepomis"/>
    <s v="gibbosus"/>
    <s v="U"/>
    <x v="0"/>
    <n v="8"/>
    <n v="11.81"/>
    <x v="42"/>
    <s v="70887-84-2"/>
    <x v="42"/>
    <n v="4.1568383297669494E-2"/>
  </r>
  <r>
    <s v="PU012-JBA-08132021"/>
    <s v="Spill"/>
    <x v="0"/>
    <s v="Pumpkinseed"/>
    <s v="Lepomis"/>
    <s v="gibbosus"/>
    <s v="U"/>
    <x v="0"/>
    <n v="8"/>
    <n v="11.81"/>
    <x v="43"/>
    <s v="919005-14-4"/>
    <x v="43"/>
    <n v="6.87871450583315E-2"/>
  </r>
  <r>
    <s v="PU012-JBA-08132021"/>
    <s v="Spill"/>
    <x v="0"/>
    <s v="Pumpkinseed"/>
    <s v="Lepomis"/>
    <s v="gibbosus"/>
    <s v="U"/>
    <x v="0"/>
    <n v="8"/>
    <n v="11.81"/>
    <x v="44"/>
    <s v="756426-58-1"/>
    <x v="44"/>
    <n v="4.7745614078389835E-2"/>
  </r>
  <r>
    <s v="PU012-JBA-08132021"/>
    <s v="Spill"/>
    <x v="0"/>
    <s v="Pumpkinseed"/>
    <s v="Lepomis"/>
    <s v="gibbosus"/>
    <s v="U"/>
    <x v="0"/>
    <n v="8"/>
    <n v="11.81"/>
    <x v="45"/>
    <s v="763051-92-9"/>
    <x v="45"/>
    <n v="5.4203619947033897E-2"/>
  </r>
  <r>
    <s v="PU012-JBA-08132021"/>
    <s v="Spill"/>
    <x v="0"/>
    <s v="Pumpkinseed"/>
    <s v="Lepomis"/>
    <s v="gibbosus"/>
    <s v="U"/>
    <x v="0"/>
    <n v="8"/>
    <n v="11.81"/>
    <x v="46"/>
    <s v="13252-13-6"/>
    <x v="46"/>
    <n v="9.8711518061440698E-2"/>
  </r>
  <r>
    <s v="PU012-JBA-08132021"/>
    <s v="Spill"/>
    <x v="0"/>
    <s v="Pumpkinseed"/>
    <s v="Lepomis"/>
    <s v="gibbosus"/>
    <s v="U"/>
    <x v="0"/>
    <n v="8"/>
    <n v="11.81"/>
    <x v="47"/>
    <s v="57677-95-9"/>
    <x v="47"/>
    <n v="7.3225906302966104E-2"/>
  </r>
  <r>
    <s v="PU012-JBA-08132021"/>
    <s v="Spill"/>
    <x v="0"/>
    <s v="Pumpkinseed"/>
    <s v="Lepomis"/>
    <s v="gibbosus"/>
    <s v="U"/>
    <x v="0"/>
    <n v="8"/>
    <n v="11.81"/>
    <x v="48"/>
    <s v="678-41-1"/>
    <x v="48"/>
    <n v="9.1198960455508474E-2"/>
  </r>
  <r>
    <s v="PU012-JBA-08132021"/>
    <s v="Spill"/>
    <x v="0"/>
    <s v="Pumpkinseed"/>
    <s v="Lepomis"/>
    <s v="gibbosus"/>
    <s v="U"/>
    <x v="0"/>
    <n v="8"/>
    <n v="11.81"/>
    <x v="49"/>
    <s v="2965-52-8"/>
    <x v="49"/>
    <n v="0.12106537530266342"/>
  </r>
  <r>
    <s v="PU013-JBA-08132021"/>
    <s v="Spill"/>
    <x v="0"/>
    <s v="Pumpkinseed"/>
    <s v="Lepomis"/>
    <s v="gibbosus"/>
    <s v="U"/>
    <x v="0"/>
    <n v="8"/>
    <n v="11.81"/>
    <x v="0"/>
    <s v="375-22-4"/>
    <x v="0"/>
    <n v="2.7029462113703943E-2"/>
  </r>
  <r>
    <s v="PU013-JBA-08132021"/>
    <s v="Spill"/>
    <x v="0"/>
    <s v="Pumpkinseed"/>
    <s v="Lepomis"/>
    <s v="gibbosus"/>
    <s v="U"/>
    <x v="0"/>
    <n v="8"/>
    <n v="11.81"/>
    <x v="1"/>
    <s v="2706-90-3"/>
    <x v="1"/>
    <n v="4.7743577808225975E-2"/>
  </r>
  <r>
    <s v="PU013-JBA-08132021"/>
    <s v="Spill"/>
    <x v="0"/>
    <s v="Pumpkinseed"/>
    <s v="Lepomis"/>
    <s v="gibbosus"/>
    <s v="U"/>
    <x v="0"/>
    <n v="8"/>
    <n v="11.81"/>
    <x v="2"/>
    <s v="307-24-4"/>
    <x v="2"/>
    <n v="0.12696626261955773"/>
  </r>
  <r>
    <s v="PU013-JBA-08132021"/>
    <s v="Spill"/>
    <x v="0"/>
    <s v="Pumpkinseed"/>
    <s v="Lepomis"/>
    <s v="gibbosus"/>
    <s v="U"/>
    <x v="0"/>
    <n v="8"/>
    <n v="11.81"/>
    <x v="3"/>
    <s v="375-85-9"/>
    <x v="3"/>
    <n v="9.410288582183185E-2"/>
  </r>
  <r>
    <s v="PU013-JBA-08132021"/>
    <s v="Spill"/>
    <x v="0"/>
    <s v="Pumpkinseed"/>
    <s v="Lepomis"/>
    <s v="gibbosus"/>
    <s v="U"/>
    <x v="0"/>
    <n v="8"/>
    <n v="11.81"/>
    <x v="4"/>
    <s v="335-67-1"/>
    <x v="4"/>
    <n v="0.377"/>
  </r>
  <r>
    <s v="PU013-JBA-08132021"/>
    <s v="Spill"/>
    <x v="0"/>
    <s v="Pumpkinseed"/>
    <s v="Lepomis"/>
    <s v="gibbosus"/>
    <s v="U"/>
    <x v="0"/>
    <n v="8"/>
    <n v="11.81"/>
    <x v="5"/>
    <s v="375-95-1"/>
    <x v="5"/>
    <n v="0.16280865149482432"/>
  </r>
  <r>
    <s v="PU013-JBA-08132021"/>
    <s v="Spill"/>
    <x v="0"/>
    <s v="Pumpkinseed"/>
    <s v="Lepomis"/>
    <s v="gibbosus"/>
    <s v="U"/>
    <x v="0"/>
    <n v="8"/>
    <n v="11.81"/>
    <x v="6"/>
    <s v="335-76-2"/>
    <x v="6"/>
    <n v="1.85"/>
  </r>
  <r>
    <s v="PU013-JBA-08132021"/>
    <s v="Spill"/>
    <x v="0"/>
    <s v="Pumpkinseed"/>
    <s v="Lepomis"/>
    <s v="gibbosus"/>
    <s v="U"/>
    <x v="0"/>
    <n v="8"/>
    <n v="11.81"/>
    <x v="7"/>
    <s v="2058-94-8"/>
    <x v="7"/>
    <n v="2.64"/>
  </r>
  <r>
    <s v="PU013-JBA-08132021"/>
    <s v="Spill"/>
    <x v="0"/>
    <s v="Pumpkinseed"/>
    <s v="Lepomis"/>
    <s v="gibbosus"/>
    <s v="U"/>
    <x v="0"/>
    <n v="8"/>
    <n v="11.81"/>
    <x v="8"/>
    <s v="307-55-1"/>
    <x v="8"/>
    <n v="5.3953500420713583E-2"/>
  </r>
  <r>
    <s v="PU013-JBA-08132021"/>
    <s v="Spill"/>
    <x v="0"/>
    <s v="Pumpkinseed"/>
    <s v="Lepomis"/>
    <s v="gibbosus"/>
    <s v="U"/>
    <x v="0"/>
    <n v="8"/>
    <n v="11.81"/>
    <x v="9"/>
    <s v="72629-94-8"/>
    <x v="9"/>
    <n v="1.97"/>
  </r>
  <r>
    <s v="PU013-JBA-08132021"/>
    <s v="Spill"/>
    <x v="0"/>
    <s v="Pumpkinseed"/>
    <s v="Lepomis"/>
    <s v="gibbosus"/>
    <s v="U"/>
    <x v="0"/>
    <n v="8"/>
    <n v="11.81"/>
    <x v="10"/>
    <s v="376-06-7"/>
    <x v="10"/>
    <n v="5.57"/>
  </r>
  <r>
    <s v="PU013-JBA-08132021"/>
    <s v="Spill"/>
    <x v="0"/>
    <s v="Pumpkinseed"/>
    <s v="Lepomis"/>
    <s v="gibbosus"/>
    <s v="U"/>
    <x v="0"/>
    <n v="8"/>
    <n v="11.81"/>
    <x v="11"/>
    <s v="67905-19-5"/>
    <x v="11"/>
    <n v="8.0534291931615473E-2"/>
  </r>
  <r>
    <s v="PU013-JBA-08132021"/>
    <s v="Spill"/>
    <x v="0"/>
    <s v="Pumpkinseed"/>
    <s v="Lepomis"/>
    <s v="gibbosus"/>
    <s v="U"/>
    <x v="0"/>
    <n v="8"/>
    <n v="11.81"/>
    <x v="12"/>
    <s v="423-41-6"/>
    <x v="12"/>
    <n v="5.15555390381566E-2"/>
  </r>
  <r>
    <s v="PU013-JBA-08132021"/>
    <s v="Spill"/>
    <x v="0"/>
    <s v="Pumpkinseed"/>
    <s v="Lepomis"/>
    <s v="gibbosus"/>
    <s v="U"/>
    <x v="0"/>
    <n v="8"/>
    <n v="11.81"/>
    <x v="13"/>
    <s v="375-73-5"/>
    <x v="13"/>
    <n v="0.34100000000000003"/>
  </r>
  <r>
    <s v="PU013-JBA-08132021"/>
    <s v="Spill"/>
    <x v="0"/>
    <s v="Pumpkinseed"/>
    <s v="Lepomis"/>
    <s v="gibbosus"/>
    <s v="U"/>
    <x v="0"/>
    <n v="8"/>
    <n v="11.81"/>
    <x v="14"/>
    <s v="2706-91-4"/>
    <x v="14"/>
    <n v="0.12457926688861357"/>
  </r>
  <r>
    <s v="PU013-JBA-08132021"/>
    <s v="Spill"/>
    <x v="0"/>
    <s v="Pumpkinseed"/>
    <s v="Lepomis"/>
    <s v="gibbosus"/>
    <s v="U"/>
    <x v="0"/>
    <n v="8"/>
    <n v="11.81"/>
    <x v="15"/>
    <s v="355-46-4"/>
    <x v="15"/>
    <n v="3.9"/>
  </r>
  <r>
    <s v="PU013-JBA-08132021"/>
    <s v="Spill"/>
    <x v="0"/>
    <s v="Pumpkinseed"/>
    <s v="Lepomis"/>
    <s v="gibbosus"/>
    <s v="U"/>
    <x v="0"/>
    <n v="8"/>
    <n v="11.81"/>
    <x v="16"/>
    <s v="375-92-8"/>
    <x v="16"/>
    <n v="0.23525721455457965"/>
  </r>
  <r>
    <s v="PU013-JBA-08132021"/>
    <s v="Spill"/>
    <x v="0"/>
    <s v="Pumpkinseed"/>
    <s v="Lepomis"/>
    <s v="gibbosus"/>
    <s v="U"/>
    <x v="0"/>
    <n v="8"/>
    <n v="11.81"/>
    <x v="17"/>
    <s v="1763-23-1"/>
    <x v="17"/>
    <n v="460"/>
  </r>
  <r>
    <s v="PU013-JBA-08132021"/>
    <s v="Spill"/>
    <x v="0"/>
    <s v="Pumpkinseed"/>
    <s v="Lepomis"/>
    <s v="gibbosus"/>
    <s v="U"/>
    <x v="0"/>
    <n v="8"/>
    <n v="11.81"/>
    <x v="18"/>
    <s v="68259-12-1"/>
    <x v="18"/>
    <n v="0.32400000000000001"/>
  </r>
  <r>
    <s v="PU013-JBA-08132021"/>
    <s v="Spill"/>
    <x v="0"/>
    <s v="Pumpkinseed"/>
    <s v="Lepomis"/>
    <s v="gibbosus"/>
    <s v="U"/>
    <x v="0"/>
    <n v="8"/>
    <n v="11.81"/>
    <x v="19"/>
    <s v="335-77-3"/>
    <x v="19"/>
    <n v="0.434"/>
  </r>
  <r>
    <s v="PU013-JBA-08132021"/>
    <s v="Spill"/>
    <x v="0"/>
    <s v="Pumpkinseed"/>
    <s v="Lepomis"/>
    <s v="gibbosus"/>
    <s v="U"/>
    <x v="0"/>
    <n v="8"/>
    <n v="11.81"/>
    <x v="20"/>
    <s v="79780-39-5"/>
    <x v="20"/>
    <n v="0.25157706962719573"/>
  </r>
  <r>
    <s v="PU013-JBA-08132021"/>
    <s v="Spill"/>
    <x v="0"/>
    <s v="Pumpkinseed"/>
    <s v="Lepomis"/>
    <s v="gibbosus"/>
    <s v="U"/>
    <x v="0"/>
    <n v="8"/>
    <n v="11.81"/>
    <x v="21"/>
    <s v="777011-38-8"/>
    <x v="21"/>
    <n v="0.14296209041292346"/>
  </r>
  <r>
    <s v="PU013-JBA-08132021"/>
    <s v="Spill"/>
    <x v="0"/>
    <s v="Pumpkinseed"/>
    <s v="Lepomis"/>
    <s v="gibbosus"/>
    <s v="U"/>
    <x v="0"/>
    <n v="8"/>
    <n v="11.81"/>
    <x v="22"/>
    <s v="646-83-3"/>
    <x v="22"/>
    <n v="9.410288582183185E-2"/>
  </r>
  <r>
    <s v="PU013-JBA-08132021"/>
    <s v="Spill"/>
    <x v="0"/>
    <s v="Pumpkinseed"/>
    <s v="Lepomis"/>
    <s v="gibbosus"/>
    <s v="U"/>
    <x v="0"/>
    <n v="8"/>
    <n v="11.81"/>
    <x v="23"/>
    <s v="30334-69-1"/>
    <x v="23"/>
    <n v="32.299999999999997"/>
  </r>
  <r>
    <s v="PU013-JBA-08132021"/>
    <s v="Spill"/>
    <x v="0"/>
    <s v="Pumpkinseed"/>
    <s v="Lepomis"/>
    <s v="gibbosus"/>
    <s v="U"/>
    <x v="0"/>
    <n v="8"/>
    <n v="11.81"/>
    <x v="24"/>
    <s v="41997-13-1"/>
    <x v="24"/>
    <n v="27.3"/>
  </r>
  <r>
    <s v="PU013-JBA-08132021"/>
    <s v="Spill"/>
    <x v="0"/>
    <s v="Pumpkinseed"/>
    <s v="Lepomis"/>
    <s v="gibbosus"/>
    <s v="U"/>
    <x v="0"/>
    <n v="8"/>
    <n v="11.81"/>
    <x v="25"/>
    <s v="754-91-6"/>
    <x v="25"/>
    <n v="16.600000000000001"/>
  </r>
  <r>
    <s v="PU013-JBA-08132021"/>
    <s v="Spill"/>
    <x v="0"/>
    <s v="Pumpkinseed"/>
    <s v="Lepomis"/>
    <s v="gibbosus"/>
    <s v="U"/>
    <x v="0"/>
    <n v="8"/>
    <n v="11.81"/>
    <x v="26"/>
    <s v="31506-32-8"/>
    <x v="26"/>
    <n v="5.2057610794846387E-2"/>
  </r>
  <r>
    <s v="PU013-JBA-08132021"/>
    <s v="Spill"/>
    <x v="0"/>
    <s v="Pumpkinseed"/>
    <s v="Lepomis"/>
    <s v="gibbosus"/>
    <s v="U"/>
    <x v="0"/>
    <n v="8"/>
    <n v="11.81"/>
    <x v="27"/>
    <s v="4151-50-2"/>
    <x v="27"/>
    <n v="7.8855628865708641E-2"/>
  </r>
  <r>
    <s v="PU013-JBA-08132021"/>
    <s v="Spill"/>
    <x v="0"/>
    <s v="Pumpkinseed"/>
    <s v="Lepomis"/>
    <s v="gibbosus"/>
    <s v="U"/>
    <x v="0"/>
    <n v="8"/>
    <n v="11.81"/>
    <x v="28"/>
    <s v="2806-24-8"/>
    <x v="28"/>
    <n v="5.3263934482656101E-2"/>
  </r>
  <r>
    <s v="PU013-JBA-08132021"/>
    <s v="Spill"/>
    <x v="0"/>
    <s v="Pumpkinseed"/>
    <s v="Lepomis"/>
    <s v="gibbosus"/>
    <s v="U"/>
    <x v="0"/>
    <n v="8"/>
    <n v="11.81"/>
    <x v="29"/>
    <s v="2355-31-9"/>
    <x v="29"/>
    <n v="6.46"/>
  </r>
  <r>
    <s v="PU013-JBA-08132021"/>
    <s v="Spill"/>
    <x v="0"/>
    <s v="Pumpkinseed"/>
    <s v="Lepomis"/>
    <s v="gibbosus"/>
    <s v="U"/>
    <x v="0"/>
    <n v="8"/>
    <n v="11.81"/>
    <x v="30"/>
    <s v="2991-50-6"/>
    <x v="30"/>
    <n v="5.86532884950446E-2"/>
  </r>
  <r>
    <s v="PU013-JBA-08132021"/>
    <s v="Spill"/>
    <x v="0"/>
    <s v="Pumpkinseed"/>
    <s v="Lepomis"/>
    <s v="gibbosus"/>
    <s v="U"/>
    <x v="0"/>
    <n v="8"/>
    <n v="11.81"/>
    <x v="31"/>
    <s v="757124-72-4"/>
    <x v="31"/>
    <n v="5.5504224160555012E-2"/>
  </r>
  <r>
    <s v="PU013-JBA-08132021"/>
    <s v="Spill"/>
    <x v="0"/>
    <s v="Pumpkinseed"/>
    <s v="Lepomis"/>
    <s v="gibbosus"/>
    <s v="U"/>
    <x v="0"/>
    <n v="8"/>
    <n v="11.81"/>
    <x v="32"/>
    <s v="27619-97-2"/>
    <x v="32"/>
    <n v="0.1420334056452478"/>
  </r>
  <r>
    <s v="PU013-JBA-08132021"/>
    <s v="Spill"/>
    <x v="0"/>
    <s v="Pumpkinseed"/>
    <s v="Lepomis"/>
    <s v="gibbosus"/>
    <s v="U"/>
    <x v="0"/>
    <n v="8"/>
    <n v="11.81"/>
    <x v="33"/>
    <s v="39108-34-4"/>
    <x v="33"/>
    <n v="1.08"/>
  </r>
  <r>
    <s v="PU013-JBA-08132021"/>
    <s v="Spill"/>
    <x v="0"/>
    <s v="Pumpkinseed"/>
    <s v="Lepomis"/>
    <s v="gibbosus"/>
    <s v="U"/>
    <x v="0"/>
    <n v="8"/>
    <n v="11.81"/>
    <x v="34"/>
    <s v="120226-60-0"/>
    <x v="34"/>
    <n v="0.26712645809284813"/>
  </r>
  <r>
    <s v="PU013-JBA-08132021"/>
    <s v="Spill"/>
    <x v="0"/>
    <s v="Pumpkinseed"/>
    <s v="Lepomis"/>
    <s v="gibbosus"/>
    <s v="U"/>
    <x v="0"/>
    <n v="8"/>
    <n v="11.81"/>
    <x v="35"/>
    <s v="356-02-5"/>
    <x v="35"/>
    <n v="7.7945457688305256E-2"/>
  </r>
  <r>
    <s v="PU013-JBA-08132021"/>
    <s v="Spill"/>
    <x v="0"/>
    <s v="Pumpkinseed"/>
    <s v="Lepomis"/>
    <s v="gibbosus"/>
    <s v="U"/>
    <x v="0"/>
    <n v="8"/>
    <n v="11.81"/>
    <x v="36"/>
    <s v="914637-49-3"/>
    <x v="36"/>
    <n v="4.45"/>
  </r>
  <r>
    <s v="PU013-JBA-08132021"/>
    <s v="Spill"/>
    <x v="0"/>
    <s v="Pumpkinseed"/>
    <s v="Lepomis"/>
    <s v="gibbosus"/>
    <s v="U"/>
    <x v="0"/>
    <n v="8"/>
    <n v="11.81"/>
    <x v="37"/>
    <s v="812-70-4"/>
    <x v="37"/>
    <n v="11.3"/>
  </r>
  <r>
    <s v="PU013-JBA-08132021"/>
    <s v="Spill"/>
    <x v="0"/>
    <s v="Pumpkinseed"/>
    <s v="Lepomis"/>
    <s v="gibbosus"/>
    <s v="U"/>
    <x v="0"/>
    <n v="8"/>
    <n v="11.81"/>
    <x v="38"/>
    <s v="53826-12-3"/>
    <x v="38"/>
    <n v="2.61"/>
  </r>
  <r>
    <s v="PU013-JBA-08132021"/>
    <s v="Spill"/>
    <x v="0"/>
    <s v="Pumpkinseed"/>
    <s v="Lepomis"/>
    <s v="gibbosus"/>
    <s v="U"/>
    <x v="0"/>
    <n v="8"/>
    <n v="11.81"/>
    <x v="39"/>
    <s v="27854-31-5"/>
    <x v="39"/>
    <n v="2.7029462113703943E-2"/>
  </r>
  <r>
    <s v="PU013-JBA-08132021"/>
    <s v="Spill"/>
    <x v="0"/>
    <s v="Pumpkinseed"/>
    <s v="Lepomis"/>
    <s v="gibbosus"/>
    <s v="U"/>
    <x v="0"/>
    <n v="8"/>
    <n v="11.81"/>
    <x v="40"/>
    <s v="53826-13-4"/>
    <x v="40"/>
    <n v="0.10083290214023788"/>
  </r>
  <r>
    <s v="PU013-JBA-08132021"/>
    <s v="Spill"/>
    <x v="0"/>
    <s v="Pumpkinseed"/>
    <s v="Lepomis"/>
    <s v="gibbosus"/>
    <s v="U"/>
    <x v="0"/>
    <n v="8"/>
    <n v="11.81"/>
    <x v="41"/>
    <s v="161094-75-3"/>
    <x v="41"/>
    <n v="5.3058600874132812E-2"/>
  </r>
  <r>
    <s v="PU013-JBA-08132021"/>
    <s v="Spill"/>
    <x v="0"/>
    <s v="Pumpkinseed"/>
    <s v="Lepomis"/>
    <s v="gibbosus"/>
    <s v="U"/>
    <x v="0"/>
    <n v="8"/>
    <n v="11.81"/>
    <x v="42"/>
    <s v="70887-84-2"/>
    <x v="42"/>
    <n v="4.0835065931268587E-2"/>
  </r>
  <r>
    <s v="PU013-JBA-08132021"/>
    <s v="Spill"/>
    <x v="0"/>
    <s v="Pumpkinseed"/>
    <s v="Lepomis"/>
    <s v="gibbosus"/>
    <s v="U"/>
    <x v="0"/>
    <n v="8"/>
    <n v="11.81"/>
    <x v="43"/>
    <s v="919005-14-4"/>
    <x v="43"/>
    <n v="6.7573655284259848E-2"/>
  </r>
  <r>
    <s v="PU013-JBA-08132021"/>
    <s v="Spill"/>
    <x v="0"/>
    <s v="Pumpkinseed"/>
    <s v="Lepomis"/>
    <s v="gibbosus"/>
    <s v="U"/>
    <x v="0"/>
    <n v="8"/>
    <n v="11.81"/>
    <x v="44"/>
    <s v="756426-58-1"/>
    <x v="44"/>
    <n v="4.6903322769573839E-2"/>
  </r>
  <r>
    <s v="PU013-JBA-08132021"/>
    <s v="Spill"/>
    <x v="0"/>
    <s v="Pumpkinseed"/>
    <s v="Lepomis"/>
    <s v="gibbosus"/>
    <s v="U"/>
    <x v="0"/>
    <n v="8"/>
    <n v="11.81"/>
    <x v="45"/>
    <s v="763051-92-9"/>
    <x v="45"/>
    <n v="5.3247401478196232E-2"/>
  </r>
  <r>
    <s v="PU013-JBA-08132021"/>
    <s v="Spill"/>
    <x v="0"/>
    <s v="Pumpkinseed"/>
    <s v="Lepomis"/>
    <s v="gibbosus"/>
    <s v="U"/>
    <x v="0"/>
    <n v="8"/>
    <n v="11.81"/>
    <x v="46"/>
    <s v="13252-13-6"/>
    <x v="46"/>
    <n v="9.6970125572348881E-2"/>
  </r>
  <r>
    <s v="PU013-JBA-08132021"/>
    <s v="Spill"/>
    <x v="0"/>
    <s v="Pumpkinseed"/>
    <s v="Lepomis"/>
    <s v="gibbosus"/>
    <s v="U"/>
    <x v="0"/>
    <n v="8"/>
    <n v="11.81"/>
    <x v="47"/>
    <s v="57677-95-9"/>
    <x v="47"/>
    <n v="7.1934111325569872E-2"/>
  </r>
  <r>
    <s v="PU013-JBA-08132021"/>
    <s v="Spill"/>
    <x v="0"/>
    <s v="Pumpkinseed"/>
    <s v="Lepomis"/>
    <s v="gibbosus"/>
    <s v="U"/>
    <x v="0"/>
    <n v="8"/>
    <n v="11.81"/>
    <x v="48"/>
    <s v="678-41-1"/>
    <x v="48"/>
    <n v="8.9590098715064445E-2"/>
  </r>
  <r>
    <s v="PU013-JBA-08132021"/>
    <s v="Spill"/>
    <x v="0"/>
    <s v="Pumpkinseed"/>
    <s v="Lepomis"/>
    <s v="gibbosus"/>
    <s v="U"/>
    <x v="0"/>
    <n v="8"/>
    <n v="11.81"/>
    <x v="49"/>
    <s v="2965-52-8"/>
    <x v="49"/>
    <n v="0.11892963330029734"/>
  </r>
  <r>
    <s v="PU014-JBA-08132021"/>
    <s v="Spill"/>
    <x v="0"/>
    <s v="Pumpkinseed"/>
    <s v="Lepomis"/>
    <s v="gibbosus"/>
    <s v="U"/>
    <x v="0"/>
    <n v="8"/>
    <n v="11.81"/>
    <x v="0"/>
    <s v="375-22-4"/>
    <x v="0"/>
    <n v="9.1575091575091569E-2"/>
  </r>
  <r>
    <s v="PU014-JBA-08132021"/>
    <s v="Spill"/>
    <x v="0"/>
    <s v="Pumpkinseed"/>
    <s v="Lepomis"/>
    <s v="gibbosus"/>
    <s v="U"/>
    <x v="0"/>
    <n v="8"/>
    <n v="11.81"/>
    <x v="1"/>
    <s v="2706-90-3"/>
    <x v="1"/>
    <n v="5.0369374747490592E-2"/>
  </r>
  <r>
    <s v="PU014-JBA-08132021"/>
    <s v="Spill"/>
    <x v="0"/>
    <s v="Pumpkinseed"/>
    <s v="Lepomis"/>
    <s v="gibbosus"/>
    <s v="U"/>
    <x v="0"/>
    <n v="8"/>
    <n v="11.81"/>
    <x v="2"/>
    <s v="307-24-4"/>
    <x v="2"/>
    <n v="0.12355569146250001"/>
  </r>
  <r>
    <s v="PU014-JBA-08132021"/>
    <s v="Spill"/>
    <x v="0"/>
    <s v="Pumpkinseed"/>
    <s v="Lepomis"/>
    <s v="gibbosus"/>
    <s v="U"/>
    <x v="0"/>
    <n v="8"/>
    <n v="11.81"/>
    <x v="3"/>
    <s v="375-85-9"/>
    <x v="3"/>
    <n v="9.1575091575091569E-2"/>
  </r>
  <r>
    <s v="PU014-JBA-08132021"/>
    <s v="Spill"/>
    <x v="0"/>
    <s v="Pumpkinseed"/>
    <s v="Lepomis"/>
    <s v="gibbosus"/>
    <s v="U"/>
    <x v="0"/>
    <n v="8"/>
    <n v="11.81"/>
    <x v="4"/>
    <s v="335-67-1"/>
    <x v="4"/>
    <n v="9.1575091575091569E-2"/>
  </r>
  <r>
    <s v="PU014-JBA-08132021"/>
    <s v="Spill"/>
    <x v="0"/>
    <s v="Pumpkinseed"/>
    <s v="Lepomis"/>
    <s v="gibbosus"/>
    <s v="U"/>
    <x v="0"/>
    <n v="8"/>
    <n v="11.81"/>
    <x v="5"/>
    <s v="375-95-1"/>
    <x v="5"/>
    <n v="0.15843528112499999"/>
  </r>
  <r>
    <s v="PU014-JBA-08132021"/>
    <s v="Spill"/>
    <x v="0"/>
    <s v="Pumpkinseed"/>
    <s v="Lepomis"/>
    <s v="gibbosus"/>
    <s v="U"/>
    <x v="0"/>
    <n v="8"/>
    <n v="11.81"/>
    <x v="6"/>
    <s v="335-76-2"/>
    <x v="6"/>
    <n v="3.92"/>
  </r>
  <r>
    <s v="PU014-JBA-08132021"/>
    <s v="Spill"/>
    <x v="0"/>
    <s v="Pumpkinseed"/>
    <s v="Lepomis"/>
    <s v="gibbosus"/>
    <s v="U"/>
    <x v="0"/>
    <n v="8"/>
    <n v="11.81"/>
    <x v="7"/>
    <s v="2058-94-8"/>
    <x v="7"/>
    <n v="3.45"/>
  </r>
  <r>
    <s v="PU014-JBA-08132021"/>
    <s v="Spill"/>
    <x v="0"/>
    <s v="Pumpkinseed"/>
    <s v="Lepomis"/>
    <s v="gibbosus"/>
    <s v="U"/>
    <x v="0"/>
    <n v="8"/>
    <n v="11.81"/>
    <x v="8"/>
    <s v="307-55-1"/>
    <x v="8"/>
    <n v="5.6920830117628607E-2"/>
  </r>
  <r>
    <s v="PU014-JBA-08132021"/>
    <s v="Spill"/>
    <x v="0"/>
    <s v="Pumpkinseed"/>
    <s v="Lepomis"/>
    <s v="gibbosus"/>
    <s v="U"/>
    <x v="0"/>
    <n v="8"/>
    <n v="11.81"/>
    <x v="9"/>
    <s v="72629-94-8"/>
    <x v="9"/>
    <n v="1.74"/>
  </r>
  <r>
    <s v="PU014-JBA-08132021"/>
    <s v="Spill"/>
    <x v="0"/>
    <s v="Pumpkinseed"/>
    <s v="Lepomis"/>
    <s v="gibbosus"/>
    <s v="U"/>
    <x v="0"/>
    <n v="8"/>
    <n v="11.81"/>
    <x v="10"/>
    <s v="376-06-7"/>
    <x v="10"/>
    <n v="3.74"/>
  </r>
  <r>
    <s v="PU014-JBA-08132021"/>
    <s v="Spill"/>
    <x v="0"/>
    <s v="Pumpkinseed"/>
    <s v="Lepomis"/>
    <s v="gibbosus"/>
    <s v="U"/>
    <x v="0"/>
    <n v="8"/>
    <n v="11.81"/>
    <x v="11"/>
    <s v="67905-19-5"/>
    <x v="11"/>
    <n v="8.4963509576537019E-2"/>
  </r>
  <r>
    <s v="PU014-JBA-08132021"/>
    <s v="Spill"/>
    <x v="0"/>
    <s v="Pumpkinseed"/>
    <s v="Lepomis"/>
    <s v="gibbosus"/>
    <s v="U"/>
    <x v="0"/>
    <n v="8"/>
    <n v="11.81"/>
    <x v="12"/>
    <s v="423-41-6"/>
    <x v="12"/>
    <n v="5.4390985873588461E-2"/>
  </r>
  <r>
    <s v="PU014-JBA-08132021"/>
    <s v="Spill"/>
    <x v="0"/>
    <s v="Pumpkinseed"/>
    <s v="Lepomis"/>
    <s v="gibbosus"/>
    <s v="U"/>
    <x v="0"/>
    <n v="8"/>
    <n v="11.81"/>
    <x v="13"/>
    <s v="375-73-5"/>
    <x v="13"/>
    <n v="0.15581715187499998"/>
  </r>
  <r>
    <s v="PU014-JBA-08132021"/>
    <s v="Spill"/>
    <x v="0"/>
    <s v="Pumpkinseed"/>
    <s v="Lepomis"/>
    <s v="gibbosus"/>
    <s v="U"/>
    <x v="0"/>
    <n v="8"/>
    <n v="11.81"/>
    <x v="14"/>
    <s v="2706-91-4"/>
    <x v="14"/>
    <n v="0.121232815275"/>
  </r>
  <r>
    <s v="PU014-JBA-08132021"/>
    <s v="Spill"/>
    <x v="0"/>
    <s v="Pumpkinseed"/>
    <s v="Lepomis"/>
    <s v="gibbosus"/>
    <s v="U"/>
    <x v="0"/>
    <n v="8"/>
    <n v="11.81"/>
    <x v="15"/>
    <s v="355-46-4"/>
    <x v="15"/>
    <n v="6.3"/>
  </r>
  <r>
    <s v="PU014-JBA-08132021"/>
    <s v="Spill"/>
    <x v="0"/>
    <s v="Pumpkinseed"/>
    <s v="Lepomis"/>
    <s v="gibbosus"/>
    <s v="U"/>
    <x v="0"/>
    <n v="8"/>
    <n v="11.81"/>
    <x v="16"/>
    <s v="375-92-8"/>
    <x v="16"/>
    <n v="0.2289377289377289"/>
  </r>
  <r>
    <s v="PU014-JBA-08132021"/>
    <s v="Spill"/>
    <x v="0"/>
    <s v="Pumpkinseed"/>
    <s v="Lepomis"/>
    <s v="gibbosus"/>
    <s v="U"/>
    <x v="0"/>
    <n v="8"/>
    <n v="11.81"/>
    <x v="17"/>
    <s v="1763-23-1"/>
    <x v="17"/>
    <n v="598"/>
  </r>
  <r>
    <s v="PU014-JBA-08132021"/>
    <s v="Spill"/>
    <x v="0"/>
    <s v="Pumpkinseed"/>
    <s v="Lepomis"/>
    <s v="gibbosus"/>
    <s v="U"/>
    <x v="0"/>
    <n v="8"/>
    <n v="11.81"/>
    <x v="18"/>
    <s v="68259-12-1"/>
    <x v="18"/>
    <n v="0.29699999999999999"/>
  </r>
  <r>
    <s v="PU014-JBA-08132021"/>
    <s v="Spill"/>
    <x v="0"/>
    <s v="Pumpkinseed"/>
    <s v="Lepomis"/>
    <s v="gibbosus"/>
    <s v="U"/>
    <x v="0"/>
    <n v="8"/>
    <n v="11.81"/>
    <x v="19"/>
    <s v="335-77-3"/>
    <x v="19"/>
    <n v="0.18748882349999996"/>
  </r>
  <r>
    <s v="PU014-JBA-08132021"/>
    <s v="Spill"/>
    <x v="0"/>
    <s v="Pumpkinseed"/>
    <s v="Lepomis"/>
    <s v="gibbosus"/>
    <s v="U"/>
    <x v="0"/>
    <n v="8"/>
    <n v="11.81"/>
    <x v="20"/>
    <s v="79780-39-5"/>
    <x v="20"/>
    <n v="0.24481919962499998"/>
  </r>
  <r>
    <s v="PU014-JBA-08132021"/>
    <s v="Spill"/>
    <x v="0"/>
    <s v="Pumpkinseed"/>
    <s v="Lepomis"/>
    <s v="gibbosus"/>
    <s v="U"/>
    <x v="0"/>
    <n v="8"/>
    <n v="11.81"/>
    <x v="21"/>
    <s v="777011-38-8"/>
    <x v="21"/>
    <n v="0.13912183889999999"/>
  </r>
  <r>
    <s v="PU014-JBA-08132021"/>
    <s v="Spill"/>
    <x v="0"/>
    <s v="Pumpkinseed"/>
    <s v="Lepomis"/>
    <s v="gibbosus"/>
    <s v="U"/>
    <x v="0"/>
    <n v="8"/>
    <n v="11.81"/>
    <x v="22"/>
    <s v="646-83-3"/>
    <x v="22"/>
    <n v="9.1575091575091569E-2"/>
  </r>
  <r>
    <s v="PU014-JBA-08132021"/>
    <s v="Spill"/>
    <x v="0"/>
    <s v="Pumpkinseed"/>
    <s v="Lepomis"/>
    <s v="gibbosus"/>
    <s v="U"/>
    <x v="0"/>
    <n v="8"/>
    <n v="11.81"/>
    <x v="23"/>
    <s v="30334-69-1"/>
    <x v="23"/>
    <n v="45.3"/>
  </r>
  <r>
    <s v="PU014-JBA-08132021"/>
    <s v="Spill"/>
    <x v="0"/>
    <s v="Pumpkinseed"/>
    <s v="Lepomis"/>
    <s v="gibbosus"/>
    <s v="U"/>
    <x v="0"/>
    <n v="8"/>
    <n v="11.81"/>
    <x v="24"/>
    <s v="41997-13-1"/>
    <x v="24"/>
    <n v="108"/>
  </r>
  <r>
    <s v="PU014-JBA-08132021"/>
    <s v="Spill"/>
    <x v="0"/>
    <s v="Pumpkinseed"/>
    <s v="Lepomis"/>
    <s v="gibbosus"/>
    <s v="U"/>
    <x v="0"/>
    <n v="8"/>
    <n v="11.81"/>
    <x v="25"/>
    <s v="754-91-6"/>
    <x v="25"/>
    <n v="17.100000000000001"/>
  </r>
  <r>
    <s v="PU014-JBA-08132021"/>
    <s v="Spill"/>
    <x v="0"/>
    <s v="Pumpkinseed"/>
    <s v="Lepomis"/>
    <s v="gibbosus"/>
    <s v="U"/>
    <x v="0"/>
    <n v="8"/>
    <n v="11.81"/>
    <x v="26"/>
    <s v="31506-32-8"/>
    <x v="26"/>
    <n v="5.4920670526976155E-2"/>
  </r>
  <r>
    <s v="PU014-JBA-08132021"/>
    <s v="Spill"/>
    <x v="0"/>
    <s v="Pumpkinseed"/>
    <s v="Lepomis"/>
    <s v="gibbosus"/>
    <s v="U"/>
    <x v="0"/>
    <n v="8"/>
    <n v="11.81"/>
    <x v="27"/>
    <s v="4151-50-2"/>
    <x v="27"/>
    <n v="8.3192523552383935E-2"/>
  </r>
  <r>
    <s v="PU014-JBA-08132021"/>
    <s v="Spill"/>
    <x v="0"/>
    <s v="Pumpkinseed"/>
    <s v="Lepomis"/>
    <s v="gibbosus"/>
    <s v="U"/>
    <x v="0"/>
    <n v="8"/>
    <n v="11.81"/>
    <x v="28"/>
    <s v="2806-24-8"/>
    <x v="28"/>
    <n v="5.6193339494981176E-2"/>
  </r>
  <r>
    <s v="PU014-JBA-08132021"/>
    <s v="Spill"/>
    <x v="0"/>
    <s v="Pumpkinseed"/>
    <s v="Lepomis"/>
    <s v="gibbosus"/>
    <s v="U"/>
    <x v="0"/>
    <n v="8"/>
    <n v="11.81"/>
    <x v="29"/>
    <s v="2355-31-9"/>
    <x v="29"/>
    <n v="7.1721393241844414E-2"/>
  </r>
  <r>
    <s v="PU014-JBA-08132021"/>
    <s v="Spill"/>
    <x v="0"/>
    <s v="Pumpkinseed"/>
    <s v="Lepomis"/>
    <s v="gibbosus"/>
    <s v="U"/>
    <x v="0"/>
    <n v="8"/>
    <n v="11.81"/>
    <x v="30"/>
    <s v="2991-50-6"/>
    <x v="30"/>
    <n v="6.1879096707967367E-2"/>
  </r>
  <r>
    <s v="PU014-JBA-08132021"/>
    <s v="Spill"/>
    <x v="0"/>
    <s v="Pumpkinseed"/>
    <s v="Lepomis"/>
    <s v="gibbosus"/>
    <s v="U"/>
    <x v="0"/>
    <n v="8"/>
    <n v="11.81"/>
    <x v="31"/>
    <s v="757124-72-4"/>
    <x v="31"/>
    <n v="5.855684042032621E-2"/>
  </r>
  <r>
    <s v="PU014-JBA-08132021"/>
    <s v="Spill"/>
    <x v="0"/>
    <s v="Pumpkinseed"/>
    <s v="Lepomis"/>
    <s v="gibbosus"/>
    <s v="U"/>
    <x v="0"/>
    <n v="8"/>
    <n v="11.81"/>
    <x v="32"/>
    <s v="27619-97-2"/>
    <x v="32"/>
    <n v="4.3040425953105393E-2"/>
  </r>
  <r>
    <s v="PU014-JBA-08132021"/>
    <s v="Spill"/>
    <x v="0"/>
    <s v="Pumpkinseed"/>
    <s v="Lepomis"/>
    <s v="gibbosus"/>
    <s v="U"/>
    <x v="0"/>
    <n v="8"/>
    <n v="11.81"/>
    <x v="33"/>
    <s v="39108-34-4"/>
    <x v="33"/>
    <n v="3.02"/>
  </r>
  <r>
    <s v="PU014-JBA-08132021"/>
    <s v="Spill"/>
    <x v="0"/>
    <s v="Pumpkinseed"/>
    <s v="Lepomis"/>
    <s v="gibbosus"/>
    <s v="U"/>
    <x v="0"/>
    <n v="8"/>
    <n v="11.81"/>
    <x v="34"/>
    <s v="120226-60-0"/>
    <x v="34"/>
    <n v="0.25995089999999998"/>
  </r>
  <r>
    <s v="PU014-JBA-08132021"/>
    <s v="Spill"/>
    <x v="0"/>
    <s v="Pumpkinseed"/>
    <s v="Lepomis"/>
    <s v="gibbosus"/>
    <s v="U"/>
    <x v="0"/>
    <n v="8"/>
    <n v="11.81"/>
    <x v="35"/>
    <s v="356-02-5"/>
    <x v="35"/>
    <n v="8.2232294863550812E-2"/>
  </r>
  <r>
    <s v="PU014-JBA-08132021"/>
    <s v="Spill"/>
    <x v="0"/>
    <s v="Pumpkinseed"/>
    <s v="Lepomis"/>
    <s v="gibbosus"/>
    <s v="U"/>
    <x v="0"/>
    <n v="8"/>
    <n v="11.81"/>
    <x v="36"/>
    <s v="914637-49-3"/>
    <x v="36"/>
    <n v="2.82"/>
  </r>
  <r>
    <s v="PU014-JBA-08132021"/>
    <s v="Spill"/>
    <x v="0"/>
    <s v="Pumpkinseed"/>
    <s v="Lepomis"/>
    <s v="gibbosus"/>
    <s v="U"/>
    <x v="0"/>
    <n v="8"/>
    <n v="11.81"/>
    <x v="37"/>
    <s v="812-70-4"/>
    <x v="37"/>
    <n v="111"/>
  </r>
  <r>
    <s v="PU014-JBA-08132021"/>
    <s v="Spill"/>
    <x v="0"/>
    <s v="Pumpkinseed"/>
    <s v="Lepomis"/>
    <s v="gibbosus"/>
    <s v="U"/>
    <x v="0"/>
    <n v="8"/>
    <n v="11.81"/>
    <x v="38"/>
    <s v="53826-12-3"/>
    <x v="38"/>
    <n v="1.78"/>
  </r>
  <r>
    <s v="PU014-JBA-08132021"/>
    <s v="Spill"/>
    <x v="0"/>
    <s v="Pumpkinseed"/>
    <s v="Lepomis"/>
    <s v="gibbosus"/>
    <s v="U"/>
    <x v="0"/>
    <n v="8"/>
    <n v="11.81"/>
    <x v="39"/>
    <s v="27854-31-5"/>
    <x v="39"/>
    <n v="23.2"/>
  </r>
  <r>
    <s v="PU014-JBA-08132021"/>
    <s v="Spill"/>
    <x v="0"/>
    <s v="Pumpkinseed"/>
    <s v="Lepomis"/>
    <s v="gibbosus"/>
    <s v="U"/>
    <x v="0"/>
    <n v="8"/>
    <n v="11.81"/>
    <x v="40"/>
    <s v="53826-13-4"/>
    <x v="40"/>
    <n v="0.10637850089868257"/>
  </r>
  <r>
    <s v="PU014-JBA-08132021"/>
    <s v="Spill"/>
    <x v="0"/>
    <s v="Pumpkinseed"/>
    <s v="Lepomis"/>
    <s v="gibbosus"/>
    <s v="U"/>
    <x v="0"/>
    <n v="8"/>
    <n v="11.81"/>
    <x v="41"/>
    <s v="161094-75-3"/>
    <x v="41"/>
    <n v="5.5976712967377662E-2"/>
  </r>
  <r>
    <s v="PU014-JBA-08132021"/>
    <s v="Spill"/>
    <x v="0"/>
    <s v="Pumpkinseed"/>
    <s v="Lepomis"/>
    <s v="gibbosus"/>
    <s v="U"/>
    <x v="0"/>
    <n v="8"/>
    <n v="11.81"/>
    <x v="42"/>
    <s v="70887-84-2"/>
    <x v="42"/>
    <n v="4.3080909164209535E-2"/>
  </r>
  <r>
    <s v="PU014-JBA-08132021"/>
    <s v="Spill"/>
    <x v="0"/>
    <s v="Pumpkinseed"/>
    <s v="Lepomis"/>
    <s v="gibbosus"/>
    <s v="U"/>
    <x v="0"/>
    <n v="8"/>
    <n v="11.81"/>
    <x v="43"/>
    <s v="919005-14-4"/>
    <x v="43"/>
    <n v="7.1290065016539297E-2"/>
  </r>
  <r>
    <s v="PU014-JBA-08132021"/>
    <s v="Spill"/>
    <x v="0"/>
    <s v="Pumpkinseed"/>
    <s v="Lepomis"/>
    <s v="gibbosus"/>
    <s v="U"/>
    <x v="0"/>
    <n v="8"/>
    <n v="11.81"/>
    <x v="44"/>
    <s v="756426-58-1"/>
    <x v="44"/>
    <n v="4.9482907438833122E-2"/>
  </r>
  <r>
    <s v="PU014-JBA-08132021"/>
    <s v="Spill"/>
    <x v="0"/>
    <s v="Pumpkinseed"/>
    <s v="Lepomis"/>
    <s v="gibbosus"/>
    <s v="U"/>
    <x v="0"/>
    <n v="8"/>
    <n v="11.81"/>
    <x v="45"/>
    <s v="763051-92-9"/>
    <x v="45"/>
    <n v="5.6175897209849439E-2"/>
  </r>
  <r>
    <s v="PU014-JBA-08132021"/>
    <s v="Spill"/>
    <x v="0"/>
    <s v="Pumpkinseed"/>
    <s v="Lepomis"/>
    <s v="gibbosus"/>
    <s v="U"/>
    <x v="0"/>
    <n v="8"/>
    <n v="11.81"/>
    <x v="46"/>
    <s v="13252-13-6"/>
    <x v="46"/>
    <n v="0.10230327969730239"/>
  </r>
  <r>
    <s v="PU014-JBA-08132021"/>
    <s v="Spill"/>
    <x v="0"/>
    <s v="Pumpkinseed"/>
    <s v="Lepomis"/>
    <s v="gibbosus"/>
    <s v="U"/>
    <x v="0"/>
    <n v="8"/>
    <n v="11.81"/>
    <x v="47"/>
    <s v="57677-95-9"/>
    <x v="47"/>
    <n v="7.5890337021643661E-2"/>
  </r>
  <r>
    <s v="PU014-JBA-08132021"/>
    <s v="Spill"/>
    <x v="0"/>
    <s v="Pumpkinseed"/>
    <s v="Lepomis"/>
    <s v="gibbosus"/>
    <s v="U"/>
    <x v="0"/>
    <n v="8"/>
    <n v="11.81"/>
    <x v="48"/>
    <s v="678-41-1"/>
    <x v="48"/>
    <n v="9.4517366795796726E-2"/>
  </r>
  <r>
    <s v="PU014-JBA-08132021"/>
    <s v="Spill"/>
    <x v="0"/>
    <s v="Pumpkinseed"/>
    <s v="Lepomis"/>
    <s v="gibbosus"/>
    <s v="U"/>
    <x v="0"/>
    <n v="8"/>
    <n v="11.81"/>
    <x v="49"/>
    <s v="2965-52-8"/>
    <x v="49"/>
    <n v="0.12547051442910914"/>
  </r>
  <r>
    <s v="PU015-JBA-08132021"/>
    <s v="Spill"/>
    <x v="0"/>
    <s v="Pumpkinseed"/>
    <s v="Lepomis"/>
    <s v="gibbosus"/>
    <s v="U"/>
    <x v="0"/>
    <n v="8"/>
    <n v="11.81"/>
    <x v="0"/>
    <s v="375-22-4"/>
    <x v="0"/>
    <n v="9.9756151629350476E-2"/>
  </r>
  <r>
    <s v="PU015-JBA-08132021"/>
    <s v="Spill"/>
    <x v="0"/>
    <s v="Pumpkinseed"/>
    <s v="Lepomis"/>
    <s v="gibbosus"/>
    <s v="U"/>
    <x v="0"/>
    <n v="8"/>
    <n v="11.81"/>
    <x v="1"/>
    <s v="2706-90-3"/>
    <x v="1"/>
    <n v="4.901635125E-2"/>
  </r>
  <r>
    <s v="PU015-JBA-08132021"/>
    <s v="Spill"/>
    <x v="0"/>
    <s v="Pumpkinseed"/>
    <s v="Lepomis"/>
    <s v="gibbosus"/>
    <s v="U"/>
    <x v="0"/>
    <n v="8"/>
    <n v="11.81"/>
    <x v="2"/>
    <s v="307-24-4"/>
    <x v="2"/>
    <n v="0.13459380799085013"/>
  </r>
  <r>
    <s v="PU015-JBA-08132021"/>
    <s v="Spill"/>
    <x v="0"/>
    <s v="Pumpkinseed"/>
    <s v="Lepomis"/>
    <s v="gibbosus"/>
    <s v="U"/>
    <x v="0"/>
    <n v="8"/>
    <n v="11.81"/>
    <x v="3"/>
    <s v="375-85-9"/>
    <x v="3"/>
    <n v="9.9756151629350476E-2"/>
  </r>
  <r>
    <s v="PU015-JBA-08132021"/>
    <s v="Spill"/>
    <x v="0"/>
    <s v="Pumpkinseed"/>
    <s v="Lepomis"/>
    <s v="gibbosus"/>
    <s v="U"/>
    <x v="0"/>
    <n v="8"/>
    <n v="11.81"/>
    <x v="4"/>
    <s v="335-67-1"/>
    <x v="4"/>
    <n v="9.9756151629350476E-2"/>
  </r>
  <r>
    <s v="PU015-JBA-08132021"/>
    <s v="Spill"/>
    <x v="0"/>
    <s v="Pumpkinseed"/>
    <s v="Lepomis"/>
    <s v="gibbosus"/>
    <s v="U"/>
    <x v="0"/>
    <n v="8"/>
    <n v="11.81"/>
    <x v="5"/>
    <s v="375-95-1"/>
    <x v="5"/>
    <n v="0.1725894416865994"/>
  </r>
  <r>
    <s v="PU015-JBA-08132021"/>
    <s v="Spill"/>
    <x v="0"/>
    <s v="Pumpkinseed"/>
    <s v="Lepomis"/>
    <s v="gibbosus"/>
    <s v="U"/>
    <x v="0"/>
    <n v="8"/>
    <n v="11.81"/>
    <x v="6"/>
    <s v="335-76-2"/>
    <x v="6"/>
    <n v="1.44"/>
  </r>
  <r>
    <s v="PU015-JBA-08132021"/>
    <s v="Spill"/>
    <x v="0"/>
    <s v="Pumpkinseed"/>
    <s v="Lepomis"/>
    <s v="gibbosus"/>
    <s v="U"/>
    <x v="0"/>
    <n v="8"/>
    <n v="11.81"/>
    <x v="7"/>
    <s v="2058-94-8"/>
    <x v="7"/>
    <n v="3.11"/>
  </r>
  <r>
    <s v="PU015-JBA-08132021"/>
    <s v="Spill"/>
    <x v="0"/>
    <s v="Pumpkinseed"/>
    <s v="Lepomis"/>
    <s v="gibbosus"/>
    <s v="U"/>
    <x v="0"/>
    <n v="8"/>
    <n v="11.81"/>
    <x v="8"/>
    <s v="307-55-1"/>
    <x v="8"/>
    <n v="50.9"/>
  </r>
  <r>
    <s v="PU015-JBA-08132021"/>
    <s v="Spill"/>
    <x v="0"/>
    <s v="Pumpkinseed"/>
    <s v="Lepomis"/>
    <s v="gibbosus"/>
    <s v="U"/>
    <x v="0"/>
    <n v="8"/>
    <n v="11.81"/>
    <x v="9"/>
    <s v="72629-94-8"/>
    <x v="9"/>
    <n v="3.17"/>
  </r>
  <r>
    <s v="PU015-JBA-08132021"/>
    <s v="Spill"/>
    <x v="0"/>
    <s v="Pumpkinseed"/>
    <s v="Lepomis"/>
    <s v="gibbosus"/>
    <s v="U"/>
    <x v="0"/>
    <n v="8"/>
    <n v="11.81"/>
    <x v="10"/>
    <s v="376-06-7"/>
    <x v="10"/>
    <n v="8.94"/>
  </r>
  <r>
    <s v="PU015-JBA-08132021"/>
    <s v="Spill"/>
    <x v="0"/>
    <s v="Pumpkinseed"/>
    <s v="Lepomis"/>
    <s v="gibbosus"/>
    <s v="U"/>
    <x v="0"/>
    <n v="8"/>
    <n v="11.81"/>
    <x v="11"/>
    <s v="67905-19-5"/>
    <x v="11"/>
    <n v="8.2681217500000001E-2"/>
  </r>
  <r>
    <s v="PU015-JBA-08132021"/>
    <s v="Spill"/>
    <x v="0"/>
    <s v="Pumpkinseed"/>
    <s v="Lepomis"/>
    <s v="gibbosus"/>
    <s v="U"/>
    <x v="0"/>
    <n v="8"/>
    <n v="11.81"/>
    <x v="12"/>
    <s v="423-41-6"/>
    <x v="12"/>
    <n v="5.2929933750000005E-2"/>
  </r>
  <r>
    <s v="PU015-JBA-08132021"/>
    <s v="Spill"/>
    <x v="0"/>
    <s v="Pumpkinseed"/>
    <s v="Lepomis"/>
    <s v="gibbosus"/>
    <s v="U"/>
    <x v="0"/>
    <n v="8"/>
    <n v="11.81"/>
    <x v="13"/>
    <s v="375-73-5"/>
    <x v="13"/>
    <n v="0.16973741616354465"/>
  </r>
  <r>
    <s v="PU015-JBA-08132021"/>
    <s v="Spill"/>
    <x v="0"/>
    <s v="Pumpkinseed"/>
    <s v="Lepomis"/>
    <s v="gibbosus"/>
    <s v="U"/>
    <x v="0"/>
    <n v="8"/>
    <n v="11.81"/>
    <x v="14"/>
    <s v="2706-91-4"/>
    <x v="14"/>
    <n v="0.13206341260504323"/>
  </r>
  <r>
    <s v="PU015-JBA-08132021"/>
    <s v="Spill"/>
    <x v="0"/>
    <s v="Pumpkinseed"/>
    <s v="Lepomis"/>
    <s v="gibbosus"/>
    <s v="U"/>
    <x v="0"/>
    <n v="8"/>
    <n v="11.81"/>
    <x v="15"/>
    <s v="355-46-4"/>
    <x v="15"/>
    <n v="7.02"/>
  </r>
  <r>
    <s v="PU015-JBA-08132021"/>
    <s v="Spill"/>
    <x v="0"/>
    <s v="Pumpkinseed"/>
    <s v="Lepomis"/>
    <s v="gibbosus"/>
    <s v="U"/>
    <x v="0"/>
    <n v="8"/>
    <n v="11.81"/>
    <x v="16"/>
    <s v="375-92-8"/>
    <x v="16"/>
    <n v="0.24939037907337619"/>
  </r>
  <r>
    <s v="PU015-JBA-08132021"/>
    <s v="Spill"/>
    <x v="0"/>
    <s v="Pumpkinseed"/>
    <s v="Lepomis"/>
    <s v="gibbosus"/>
    <s v="U"/>
    <x v="0"/>
    <n v="8"/>
    <n v="11.81"/>
    <x v="17"/>
    <s v="1763-23-1"/>
    <x v="17"/>
    <n v="334"/>
  </r>
  <r>
    <s v="PU015-JBA-08132021"/>
    <s v="Spill"/>
    <x v="0"/>
    <s v="Pumpkinseed"/>
    <s v="Lepomis"/>
    <s v="gibbosus"/>
    <s v="U"/>
    <x v="0"/>
    <n v="8"/>
    <n v="11.81"/>
    <x v="18"/>
    <s v="68259-12-1"/>
    <x v="18"/>
    <n v="0.14216012163933717"/>
  </r>
  <r>
    <s v="PU015-JBA-08132021"/>
    <s v="Spill"/>
    <x v="0"/>
    <s v="Pumpkinseed"/>
    <s v="Lepomis"/>
    <s v="gibbosus"/>
    <s v="U"/>
    <x v="0"/>
    <n v="8"/>
    <n v="11.81"/>
    <x v="19"/>
    <s v="335-77-3"/>
    <x v="19"/>
    <n v="0.20423854548414982"/>
  </r>
  <r>
    <s v="PU015-JBA-08132021"/>
    <s v="Spill"/>
    <x v="0"/>
    <s v="Pumpkinseed"/>
    <s v="Lepomis"/>
    <s v="gibbosus"/>
    <s v="U"/>
    <x v="0"/>
    <n v="8"/>
    <n v="11.81"/>
    <x v="20"/>
    <s v="79780-39-5"/>
    <x v="20"/>
    <n v="0.26669065549927956"/>
  </r>
  <r>
    <s v="PU015-JBA-08132021"/>
    <s v="Spill"/>
    <x v="0"/>
    <s v="Pumpkinseed"/>
    <s v="Lepomis"/>
    <s v="gibbosus"/>
    <s v="U"/>
    <x v="0"/>
    <n v="8"/>
    <n v="11.81"/>
    <x v="21"/>
    <s v="777011-38-8"/>
    <x v="21"/>
    <n v="4.2158133E-2"/>
  </r>
  <r>
    <s v="PU015-JBA-08132021"/>
    <s v="Spill"/>
    <x v="0"/>
    <s v="Pumpkinseed"/>
    <s v="Lepomis"/>
    <s v="gibbosus"/>
    <s v="U"/>
    <x v="0"/>
    <n v="8"/>
    <n v="11.81"/>
    <x v="22"/>
    <s v="646-83-3"/>
    <x v="22"/>
    <n v="9.9756151629350476E-2"/>
  </r>
  <r>
    <s v="PU015-JBA-08132021"/>
    <s v="Spill"/>
    <x v="0"/>
    <s v="Pumpkinseed"/>
    <s v="Lepomis"/>
    <s v="gibbosus"/>
    <s v="U"/>
    <x v="0"/>
    <n v="8"/>
    <n v="11.81"/>
    <x v="23"/>
    <s v="30334-69-1"/>
    <x v="23"/>
    <n v="22.8"/>
  </r>
  <r>
    <s v="PU015-JBA-08132021"/>
    <s v="Spill"/>
    <x v="0"/>
    <s v="Pumpkinseed"/>
    <s v="Lepomis"/>
    <s v="gibbosus"/>
    <s v="U"/>
    <x v="0"/>
    <n v="8"/>
    <n v="11.81"/>
    <x v="24"/>
    <s v="41997-13-1"/>
    <x v="24"/>
    <n v="69.8"/>
  </r>
  <r>
    <s v="PU015-JBA-08132021"/>
    <s v="Spill"/>
    <x v="0"/>
    <s v="Pumpkinseed"/>
    <s v="Lepomis"/>
    <s v="gibbosus"/>
    <s v="U"/>
    <x v="0"/>
    <n v="8"/>
    <n v="11.81"/>
    <x v="25"/>
    <s v="754-91-6"/>
    <x v="25"/>
    <n v="17"/>
  </r>
  <r>
    <s v="PU015-JBA-08132021"/>
    <s v="Spill"/>
    <x v="0"/>
    <s v="Pumpkinseed"/>
    <s v="Lepomis"/>
    <s v="gibbosus"/>
    <s v="U"/>
    <x v="0"/>
    <n v="8"/>
    <n v="11.81"/>
    <x v="26"/>
    <s v="31506-32-8"/>
    <x v="26"/>
    <n v="5.3445390000000002E-2"/>
  </r>
  <r>
    <s v="PU015-JBA-08132021"/>
    <s v="Spill"/>
    <x v="0"/>
    <s v="Pumpkinseed"/>
    <s v="Lepomis"/>
    <s v="gibbosus"/>
    <s v="U"/>
    <x v="0"/>
    <n v="8"/>
    <n v="11.81"/>
    <x v="27"/>
    <s v="4151-50-2"/>
    <x v="27"/>
    <n v="8.0957803750000001E-2"/>
  </r>
  <r>
    <s v="PU015-JBA-08132021"/>
    <s v="Spill"/>
    <x v="0"/>
    <s v="Pumpkinseed"/>
    <s v="Lepomis"/>
    <s v="gibbosus"/>
    <s v="U"/>
    <x v="0"/>
    <n v="8"/>
    <n v="11.81"/>
    <x v="28"/>
    <s v="2806-24-8"/>
    <x v="28"/>
    <n v="5.4683872499999994E-2"/>
  </r>
  <r>
    <s v="PU015-JBA-08132021"/>
    <s v="Spill"/>
    <x v="0"/>
    <s v="Pumpkinseed"/>
    <s v="Lepomis"/>
    <s v="gibbosus"/>
    <s v="U"/>
    <x v="0"/>
    <n v="8"/>
    <n v="11.81"/>
    <x v="29"/>
    <s v="2355-31-9"/>
    <x v="29"/>
    <n v="6.9794811250000005E-2"/>
  </r>
  <r>
    <s v="PU015-JBA-08132021"/>
    <s v="Spill"/>
    <x v="0"/>
    <s v="Pumpkinseed"/>
    <s v="Lepomis"/>
    <s v="gibbosus"/>
    <s v="U"/>
    <x v="0"/>
    <n v="8"/>
    <n v="11.81"/>
    <x v="30"/>
    <s v="2991-50-6"/>
    <x v="30"/>
    <n v="6.0216898750000004E-2"/>
  </r>
  <r>
    <s v="PU015-JBA-08132021"/>
    <s v="Spill"/>
    <x v="0"/>
    <s v="Pumpkinseed"/>
    <s v="Lepomis"/>
    <s v="gibbosus"/>
    <s v="U"/>
    <x v="0"/>
    <n v="8"/>
    <n v="11.81"/>
    <x v="31"/>
    <s v="757124-72-4"/>
    <x v="31"/>
    <n v="5.6983884999999998E-2"/>
  </r>
  <r>
    <s v="PU015-JBA-08132021"/>
    <s v="Spill"/>
    <x v="0"/>
    <s v="Pumpkinseed"/>
    <s v="Lepomis"/>
    <s v="gibbosus"/>
    <s v="U"/>
    <x v="0"/>
    <n v="8"/>
    <n v="11.81"/>
    <x v="32"/>
    <s v="27619-97-2"/>
    <x v="32"/>
    <n v="4.1884272875000003E-2"/>
  </r>
  <r>
    <s v="PU015-JBA-08132021"/>
    <s v="Spill"/>
    <x v="0"/>
    <s v="Pumpkinseed"/>
    <s v="Lepomis"/>
    <s v="gibbosus"/>
    <s v="U"/>
    <x v="0"/>
    <n v="8"/>
    <n v="11.81"/>
    <x v="33"/>
    <s v="39108-34-4"/>
    <x v="33"/>
    <n v="0.64100000000000001"/>
  </r>
  <r>
    <s v="PU015-JBA-08132021"/>
    <s v="Spill"/>
    <x v="0"/>
    <s v="Pumpkinseed"/>
    <s v="Lepomis"/>
    <s v="gibbosus"/>
    <s v="U"/>
    <x v="0"/>
    <n v="8"/>
    <n v="11.81"/>
    <x v="34"/>
    <s v="120226-60-0"/>
    <x v="34"/>
    <n v="0.28317417925072041"/>
  </r>
  <r>
    <s v="PU015-JBA-08132021"/>
    <s v="Spill"/>
    <x v="0"/>
    <s v="Pumpkinseed"/>
    <s v="Lepomis"/>
    <s v="gibbosus"/>
    <s v="U"/>
    <x v="0"/>
    <n v="8"/>
    <n v="11.81"/>
    <x v="35"/>
    <s v="356-02-5"/>
    <x v="35"/>
    <n v="8.002336874999999E-2"/>
  </r>
  <r>
    <s v="PU015-JBA-08132021"/>
    <s v="Spill"/>
    <x v="0"/>
    <s v="Pumpkinseed"/>
    <s v="Lepomis"/>
    <s v="gibbosus"/>
    <s v="U"/>
    <x v="0"/>
    <n v="8"/>
    <n v="11.81"/>
    <x v="36"/>
    <s v="914637-49-3"/>
    <x v="36"/>
    <n v="0.55700000000000005"/>
  </r>
  <r>
    <s v="PU015-JBA-08132021"/>
    <s v="Spill"/>
    <x v="0"/>
    <s v="Pumpkinseed"/>
    <s v="Lepomis"/>
    <s v="gibbosus"/>
    <s v="U"/>
    <x v="0"/>
    <n v="8"/>
    <n v="11.81"/>
    <x v="37"/>
    <s v="812-70-4"/>
    <x v="37"/>
    <n v="10.9"/>
  </r>
  <r>
    <s v="PU015-JBA-08132021"/>
    <s v="Spill"/>
    <x v="0"/>
    <s v="Pumpkinseed"/>
    <s v="Lepomis"/>
    <s v="gibbosus"/>
    <s v="U"/>
    <x v="0"/>
    <n v="8"/>
    <n v="11.81"/>
    <x v="38"/>
    <s v="53826-12-3"/>
    <x v="38"/>
    <n v="2.75"/>
  </r>
  <r>
    <s v="PU015-JBA-08132021"/>
    <s v="Spill"/>
    <x v="0"/>
    <s v="Pumpkinseed"/>
    <s v="Lepomis"/>
    <s v="gibbosus"/>
    <s v="U"/>
    <x v="0"/>
    <n v="8"/>
    <n v="11.81"/>
    <x v="39"/>
    <s v="27854-31-5"/>
    <x v="39"/>
    <n v="2.7750027750027748E-2"/>
  </r>
  <r>
    <s v="PU015-JBA-08132021"/>
    <s v="Spill"/>
    <x v="0"/>
    <s v="Pumpkinseed"/>
    <s v="Lepomis"/>
    <s v="gibbosus"/>
    <s v="U"/>
    <x v="0"/>
    <n v="8"/>
    <n v="11.81"/>
    <x v="40"/>
    <s v="53826-13-4"/>
    <x v="40"/>
    <n v="0.10352095875000002"/>
  </r>
  <r>
    <s v="PU015-JBA-08132021"/>
    <s v="Spill"/>
    <x v="0"/>
    <s v="Pumpkinseed"/>
    <s v="Lepomis"/>
    <s v="gibbosus"/>
    <s v="U"/>
    <x v="0"/>
    <n v="8"/>
    <n v="11.81"/>
    <x v="41"/>
    <s v="161094-75-3"/>
    <x v="41"/>
    <n v="5.4473065000000001E-2"/>
  </r>
  <r>
    <s v="PU015-JBA-08132021"/>
    <s v="Spill"/>
    <x v="0"/>
    <s v="Pumpkinseed"/>
    <s v="Lepomis"/>
    <s v="gibbosus"/>
    <s v="U"/>
    <x v="0"/>
    <n v="8"/>
    <n v="11.81"/>
    <x v="42"/>
    <s v="70887-84-2"/>
    <x v="42"/>
    <n v="4.1923668625000007E-2"/>
  </r>
  <r>
    <s v="PU015-JBA-08132021"/>
    <s v="Spill"/>
    <x v="0"/>
    <s v="Pumpkinseed"/>
    <s v="Lepomis"/>
    <s v="gibbosus"/>
    <s v="U"/>
    <x v="0"/>
    <n v="8"/>
    <n v="11.81"/>
    <x v="43"/>
    <s v="919005-14-4"/>
    <x v="43"/>
    <n v="6.9375069375069362E-2"/>
  </r>
  <r>
    <s v="PU015-JBA-08132021"/>
    <s v="Spill"/>
    <x v="0"/>
    <s v="Pumpkinseed"/>
    <s v="Lepomis"/>
    <s v="gibbosus"/>
    <s v="U"/>
    <x v="0"/>
    <n v="8"/>
    <n v="11.81"/>
    <x v="44"/>
    <s v="756426-58-1"/>
    <x v="44"/>
    <n v="4.8153696250000003E-2"/>
  </r>
  <r>
    <s v="PU015-JBA-08132021"/>
    <s v="Spill"/>
    <x v="0"/>
    <s v="Pumpkinseed"/>
    <s v="Lepomis"/>
    <s v="gibbosus"/>
    <s v="U"/>
    <x v="0"/>
    <n v="8"/>
    <n v="11.81"/>
    <x v="45"/>
    <s v="763051-92-9"/>
    <x v="45"/>
    <n v="5.4666898749999998E-2"/>
  </r>
  <r>
    <s v="PU015-JBA-08132021"/>
    <s v="Spill"/>
    <x v="0"/>
    <s v="Pumpkinseed"/>
    <s v="Lepomis"/>
    <s v="gibbosus"/>
    <s v="U"/>
    <x v="0"/>
    <n v="8"/>
    <n v="11.81"/>
    <x v="46"/>
    <s v="13252-13-6"/>
    <x v="46"/>
    <n v="9.955520625E-2"/>
  </r>
  <r>
    <s v="PU015-JBA-08132021"/>
    <s v="Spill"/>
    <x v="0"/>
    <s v="Pumpkinseed"/>
    <s v="Lepomis"/>
    <s v="gibbosus"/>
    <s v="U"/>
    <x v="0"/>
    <n v="8"/>
    <n v="11.81"/>
    <x v="47"/>
    <s v="57677-95-9"/>
    <x v="47"/>
    <n v="7.3851768750000005E-2"/>
  </r>
  <r>
    <s v="PU015-JBA-08132021"/>
    <s v="Spill"/>
    <x v="0"/>
    <s v="Pumpkinseed"/>
    <s v="Lepomis"/>
    <s v="gibbosus"/>
    <s v="U"/>
    <x v="0"/>
    <n v="8"/>
    <n v="11.81"/>
    <x v="48"/>
    <s v="678-41-1"/>
    <x v="48"/>
    <n v="9.1978438749999988E-2"/>
  </r>
  <r>
    <s v="PU015-JBA-08132021"/>
    <s v="Spill"/>
    <x v="0"/>
    <s v="Pumpkinseed"/>
    <s v="Lepomis"/>
    <s v="gibbosus"/>
    <s v="U"/>
    <x v="0"/>
    <n v="8"/>
    <n v="11.81"/>
    <x v="49"/>
    <s v="2965-52-8"/>
    <x v="49"/>
    <n v="0.12210012210012208"/>
  </r>
  <r>
    <s v="PU016-MU-08132021"/>
    <s v="Spill"/>
    <x v="0"/>
    <s v="Pumpkinseed"/>
    <s v="Lepomis"/>
    <s v="gibbosus"/>
    <s v="U"/>
    <x v="1"/>
    <n v="8"/>
    <n v="11.81"/>
    <x v="0"/>
    <s v="375-22-4"/>
    <x v="0"/>
    <n v="3.0229136857378932E-2"/>
  </r>
  <r>
    <s v="PU016-MU-08132021"/>
    <s v="Spill"/>
    <x v="0"/>
    <s v="Pumpkinseed"/>
    <s v="Lepomis"/>
    <s v="gibbosus"/>
    <s v="U"/>
    <x v="1"/>
    <n v="8"/>
    <n v="11.81"/>
    <x v="1"/>
    <s v="2706-90-3"/>
    <x v="1"/>
    <n v="5.3395333638328539E-2"/>
  </r>
  <r>
    <s v="PU016-MU-08132021"/>
    <s v="Spill"/>
    <x v="0"/>
    <s v="Pumpkinseed"/>
    <s v="Lepomis"/>
    <s v="gibbosus"/>
    <s v="U"/>
    <x v="1"/>
    <n v="8"/>
    <n v="11.81"/>
    <x v="2"/>
    <s v="307-24-4"/>
    <x v="2"/>
    <n v="4.0786002421469743E-2"/>
  </r>
  <r>
    <s v="PU016-MU-08132021"/>
    <s v="Spill"/>
    <x v="0"/>
    <s v="Pumpkinseed"/>
    <s v="Lepomis"/>
    <s v="gibbosus"/>
    <s v="U"/>
    <x v="1"/>
    <n v="8"/>
    <n v="11.81"/>
    <x v="3"/>
    <s v="375-85-9"/>
    <x v="3"/>
    <n v="9.2459420587630986E-2"/>
  </r>
  <r>
    <s v="PU016-MU-08132021"/>
    <s v="Spill"/>
    <x v="0"/>
    <s v="Pumpkinseed"/>
    <s v="Lepomis"/>
    <s v="gibbosus"/>
    <s v="U"/>
    <x v="1"/>
    <n v="8"/>
    <n v="11.81"/>
    <x v="4"/>
    <s v="335-67-1"/>
    <x v="4"/>
    <n v="9.2459420587630986E-2"/>
  </r>
  <r>
    <s v="PU016-MU-08132021"/>
    <s v="Spill"/>
    <x v="0"/>
    <s v="Pumpkinseed"/>
    <s v="Lepomis"/>
    <s v="gibbosus"/>
    <s v="U"/>
    <x v="1"/>
    <n v="8"/>
    <n v="11.81"/>
    <x v="5"/>
    <s v="375-95-1"/>
    <x v="5"/>
    <n v="0.15996527048453868"/>
  </r>
  <r>
    <s v="PU016-MU-08132021"/>
    <s v="Spill"/>
    <x v="0"/>
    <s v="Pumpkinseed"/>
    <s v="Lepomis"/>
    <s v="gibbosus"/>
    <s v="U"/>
    <x v="1"/>
    <n v="8"/>
    <n v="11.81"/>
    <x v="6"/>
    <s v="335-76-2"/>
    <x v="6"/>
    <n v="1.23"/>
  </r>
  <r>
    <s v="PU016-MU-08132021"/>
    <s v="Spill"/>
    <x v="0"/>
    <s v="Pumpkinseed"/>
    <s v="Lepomis"/>
    <s v="gibbosus"/>
    <s v="U"/>
    <x v="1"/>
    <n v="8"/>
    <n v="11.81"/>
    <x v="7"/>
    <s v="2058-94-8"/>
    <x v="7"/>
    <n v="1.59"/>
  </r>
  <r>
    <s v="PU016-MU-08132021"/>
    <s v="Spill"/>
    <x v="0"/>
    <s v="Pumpkinseed"/>
    <s v="Lepomis"/>
    <s v="gibbosus"/>
    <s v="U"/>
    <x v="1"/>
    <n v="8"/>
    <n v="11.81"/>
    <x v="8"/>
    <s v="307-55-1"/>
    <x v="8"/>
    <n v="12.6"/>
  </r>
  <r>
    <s v="PU016-MU-08132021"/>
    <s v="Spill"/>
    <x v="0"/>
    <s v="Pumpkinseed"/>
    <s v="Lepomis"/>
    <s v="gibbosus"/>
    <s v="U"/>
    <x v="1"/>
    <n v="8"/>
    <n v="11.81"/>
    <x v="9"/>
    <s v="72629-94-8"/>
    <x v="9"/>
    <n v="1.45"/>
  </r>
  <r>
    <s v="PU016-MU-08132021"/>
    <s v="Spill"/>
    <x v="0"/>
    <s v="Pumpkinseed"/>
    <s v="Lepomis"/>
    <s v="gibbosus"/>
    <s v="U"/>
    <x v="1"/>
    <n v="8"/>
    <n v="11.81"/>
    <x v="10"/>
    <s v="376-06-7"/>
    <x v="10"/>
    <n v="4.24"/>
  </r>
  <r>
    <s v="PU016-MU-08132021"/>
    <s v="Spill"/>
    <x v="0"/>
    <s v="Pumpkinseed"/>
    <s v="Lepomis"/>
    <s v="gibbosus"/>
    <s v="U"/>
    <x v="1"/>
    <n v="8"/>
    <n v="11.81"/>
    <x v="11"/>
    <s v="67905-19-5"/>
    <x v="11"/>
    <n v="9.0067723962536025E-2"/>
  </r>
  <r>
    <s v="PU016-MU-08132021"/>
    <s v="Spill"/>
    <x v="0"/>
    <s v="Pumpkinseed"/>
    <s v="Lepomis"/>
    <s v="gibbosus"/>
    <s v="U"/>
    <x v="1"/>
    <n v="8"/>
    <n v="11.81"/>
    <x v="12"/>
    <s v="423-41-6"/>
    <x v="12"/>
    <n v="5.7658544546109518E-2"/>
  </r>
  <r>
    <s v="PU016-MU-08132021"/>
    <s v="Spill"/>
    <x v="0"/>
    <s v="Pumpkinseed"/>
    <s v="Lepomis"/>
    <s v="gibbosus"/>
    <s v="U"/>
    <x v="1"/>
    <n v="8"/>
    <n v="11.81"/>
    <x v="13"/>
    <s v="375-73-5"/>
    <x v="13"/>
    <n v="0.15732185829335316"/>
  </r>
  <r>
    <s v="PU016-MU-08132021"/>
    <s v="Spill"/>
    <x v="0"/>
    <s v="Pumpkinseed"/>
    <s v="Lepomis"/>
    <s v="gibbosus"/>
    <s v="U"/>
    <x v="1"/>
    <n v="8"/>
    <n v="11.81"/>
    <x v="14"/>
    <s v="2706-91-4"/>
    <x v="14"/>
    <n v="0.12240354515334909"/>
  </r>
  <r>
    <s v="PU016-MU-08132021"/>
    <s v="Spill"/>
    <x v="0"/>
    <s v="Pumpkinseed"/>
    <s v="Lepomis"/>
    <s v="gibbosus"/>
    <s v="U"/>
    <x v="1"/>
    <n v="8"/>
    <n v="11.81"/>
    <x v="15"/>
    <s v="355-46-4"/>
    <x v="15"/>
    <n v="2.81"/>
  </r>
  <r>
    <s v="PU016-MU-08132021"/>
    <s v="Spill"/>
    <x v="0"/>
    <s v="Pumpkinseed"/>
    <s v="Lepomis"/>
    <s v="gibbosus"/>
    <s v="U"/>
    <x v="1"/>
    <n v="8"/>
    <n v="11.81"/>
    <x v="16"/>
    <s v="375-92-8"/>
    <x v="16"/>
    <n v="0.46400000000000002"/>
  </r>
  <r>
    <s v="PU016-MU-08132021"/>
    <s v="Spill"/>
    <x v="0"/>
    <s v="Pumpkinseed"/>
    <s v="Lepomis"/>
    <s v="gibbosus"/>
    <s v="U"/>
    <x v="1"/>
    <n v="8"/>
    <n v="11.81"/>
    <x v="17"/>
    <s v="1763-23-1"/>
    <x v="17"/>
    <n v="311"/>
  </r>
  <r>
    <s v="PU016-MU-08132021"/>
    <s v="Spill"/>
    <x v="0"/>
    <s v="Pumpkinseed"/>
    <s v="Lepomis"/>
    <s v="gibbosus"/>
    <s v="U"/>
    <x v="1"/>
    <n v="8"/>
    <n v="11.81"/>
    <x v="18"/>
    <s v="68259-12-1"/>
    <x v="18"/>
    <n v="0.55300000000000005"/>
  </r>
  <r>
    <s v="PU016-MU-08132021"/>
    <s v="Spill"/>
    <x v="0"/>
    <s v="Pumpkinseed"/>
    <s v="Lepomis"/>
    <s v="gibbosus"/>
    <s v="U"/>
    <x v="1"/>
    <n v="8"/>
    <n v="11.81"/>
    <x v="19"/>
    <s v="335-77-3"/>
    <x v="19"/>
    <n v="0.60499999999999998"/>
  </r>
  <r>
    <s v="PU016-MU-08132021"/>
    <s v="Spill"/>
    <x v="0"/>
    <s v="Pumpkinseed"/>
    <s v="Lepomis"/>
    <s v="gibbosus"/>
    <s v="U"/>
    <x v="1"/>
    <n v="8"/>
    <n v="11.81"/>
    <x v="20"/>
    <s v="79780-39-5"/>
    <x v="20"/>
    <n v="0.24718338749892133"/>
  </r>
  <r>
    <s v="PU016-MU-08132021"/>
    <s v="Spill"/>
    <x v="0"/>
    <s v="Pumpkinseed"/>
    <s v="Lepomis"/>
    <s v="gibbosus"/>
    <s v="U"/>
    <x v="1"/>
    <n v="8"/>
    <n v="11.81"/>
    <x v="21"/>
    <s v="777011-38-8"/>
    <x v="21"/>
    <n v="0.14046532080431476"/>
  </r>
  <r>
    <s v="PU016-MU-08132021"/>
    <s v="Spill"/>
    <x v="0"/>
    <s v="Pumpkinseed"/>
    <s v="Lepomis"/>
    <s v="gibbosus"/>
    <s v="U"/>
    <x v="1"/>
    <n v="8"/>
    <n v="11.81"/>
    <x v="22"/>
    <s v="646-83-3"/>
    <x v="22"/>
    <n v="9.2459420587630986E-2"/>
  </r>
  <r>
    <s v="PU016-MU-08132021"/>
    <s v="Spill"/>
    <x v="0"/>
    <s v="Pumpkinseed"/>
    <s v="Lepomis"/>
    <s v="gibbosus"/>
    <s v="U"/>
    <x v="1"/>
    <n v="8"/>
    <n v="11.81"/>
    <x v="23"/>
    <s v="30334-69-1"/>
    <x v="23"/>
    <n v="9.74"/>
  </r>
  <r>
    <s v="PU016-MU-08132021"/>
    <s v="Spill"/>
    <x v="0"/>
    <s v="Pumpkinseed"/>
    <s v="Lepomis"/>
    <s v="gibbosus"/>
    <s v="U"/>
    <x v="1"/>
    <n v="8"/>
    <n v="11.81"/>
    <x v="24"/>
    <s v="41997-13-1"/>
    <x v="24"/>
    <n v="36.6"/>
  </r>
  <r>
    <s v="PU016-MU-08132021"/>
    <s v="Spill"/>
    <x v="0"/>
    <s v="Pumpkinseed"/>
    <s v="Lepomis"/>
    <s v="gibbosus"/>
    <s v="U"/>
    <x v="1"/>
    <n v="8"/>
    <n v="11.81"/>
    <x v="25"/>
    <s v="754-91-6"/>
    <x v="25"/>
    <n v="5.82"/>
  </r>
  <r>
    <s v="PU016-MU-08132021"/>
    <s v="Spill"/>
    <x v="0"/>
    <s v="Pumpkinseed"/>
    <s v="Lepomis"/>
    <s v="gibbosus"/>
    <s v="U"/>
    <x v="1"/>
    <n v="8"/>
    <n v="11.81"/>
    <x v="26"/>
    <s v="31506-32-8"/>
    <x v="26"/>
    <n v="5.8220050201729101E-2"/>
  </r>
  <r>
    <s v="PU016-MU-08132021"/>
    <s v="Spill"/>
    <x v="0"/>
    <s v="Pumpkinseed"/>
    <s v="Lepomis"/>
    <s v="gibbosus"/>
    <s v="U"/>
    <x v="1"/>
    <n v="8"/>
    <n v="11.81"/>
    <x v="27"/>
    <s v="4151-50-2"/>
    <x v="27"/>
    <n v="8.819034529538905E-2"/>
  </r>
  <r>
    <s v="PU016-MU-08132021"/>
    <s v="Spill"/>
    <x v="0"/>
    <s v="Pumpkinseed"/>
    <s v="Lepomis"/>
    <s v="gibbosus"/>
    <s v="U"/>
    <x v="1"/>
    <n v="8"/>
    <n v="11.81"/>
    <x v="28"/>
    <s v="2806-24-8"/>
    <x v="28"/>
    <n v="5.9569175230547548E-2"/>
  </r>
  <r>
    <s v="PU016-MU-08132021"/>
    <s v="Spill"/>
    <x v="0"/>
    <s v="Pumpkinseed"/>
    <s v="Lepomis"/>
    <s v="gibbosus"/>
    <s v="U"/>
    <x v="1"/>
    <n v="8"/>
    <n v="11.81"/>
    <x v="29"/>
    <s v="2355-31-9"/>
    <x v="29"/>
    <n v="11.6"/>
  </r>
  <r>
    <s v="PU016-MU-08132021"/>
    <s v="Spill"/>
    <x v="0"/>
    <s v="Pumpkinseed"/>
    <s v="Lepomis"/>
    <s v="gibbosus"/>
    <s v="U"/>
    <x v="1"/>
    <n v="8"/>
    <n v="11.81"/>
    <x v="30"/>
    <s v="2991-50-6"/>
    <x v="30"/>
    <n v="6.5596506419308351E-2"/>
  </r>
  <r>
    <s v="PU016-MU-08132021"/>
    <s v="Spill"/>
    <x v="0"/>
    <s v="Pumpkinseed"/>
    <s v="Lepomis"/>
    <s v="gibbosus"/>
    <s v="U"/>
    <x v="1"/>
    <n v="8"/>
    <n v="11.81"/>
    <x v="31"/>
    <s v="757124-72-4"/>
    <x v="31"/>
    <n v="6.207466435158502E-2"/>
  </r>
  <r>
    <s v="PU016-MU-08132021"/>
    <s v="Spill"/>
    <x v="0"/>
    <s v="Pumpkinseed"/>
    <s v="Lepomis"/>
    <s v="gibbosus"/>
    <s v="U"/>
    <x v="1"/>
    <n v="8"/>
    <n v="11.81"/>
    <x v="32"/>
    <s v="27619-97-2"/>
    <x v="32"/>
    <n v="4.5626095523775216E-2"/>
  </r>
  <r>
    <s v="PU016-MU-08132021"/>
    <s v="Spill"/>
    <x v="0"/>
    <s v="Pumpkinseed"/>
    <s v="Lepomis"/>
    <s v="gibbosus"/>
    <s v="U"/>
    <x v="1"/>
    <n v="8"/>
    <n v="11.81"/>
    <x v="33"/>
    <s v="39108-34-4"/>
    <x v="33"/>
    <n v="0.1443771208785391"/>
  </r>
  <r>
    <s v="PU016-MU-08132021"/>
    <s v="Spill"/>
    <x v="0"/>
    <s v="Pumpkinseed"/>
    <s v="Lepomis"/>
    <s v="gibbosus"/>
    <s v="U"/>
    <x v="1"/>
    <n v="8"/>
    <n v="11.81"/>
    <x v="34"/>
    <s v="120226-60-0"/>
    <x v="34"/>
    <n v="0.2624612127799465"/>
  </r>
  <r>
    <s v="PU016-MU-08132021"/>
    <s v="Spill"/>
    <x v="0"/>
    <s v="Pumpkinseed"/>
    <s v="Lepomis"/>
    <s v="gibbosus"/>
    <s v="U"/>
    <x v="1"/>
    <n v="8"/>
    <n v="11.81"/>
    <x v="35"/>
    <s v="356-02-5"/>
    <x v="35"/>
    <n v="8.7172430511527385E-2"/>
  </r>
  <r>
    <s v="PU016-MU-08132021"/>
    <s v="Spill"/>
    <x v="0"/>
    <s v="Pumpkinseed"/>
    <s v="Lepomis"/>
    <s v="gibbosus"/>
    <s v="U"/>
    <x v="1"/>
    <n v="8"/>
    <n v="11.81"/>
    <x v="36"/>
    <s v="914637-49-3"/>
    <x v="36"/>
    <n v="0.77400000000000002"/>
  </r>
  <r>
    <s v="PU016-MU-08132021"/>
    <s v="Spill"/>
    <x v="0"/>
    <s v="Pumpkinseed"/>
    <s v="Lepomis"/>
    <s v="gibbosus"/>
    <s v="U"/>
    <x v="1"/>
    <n v="8"/>
    <n v="11.81"/>
    <x v="37"/>
    <s v="812-70-4"/>
    <x v="37"/>
    <n v="4.0199999999999996"/>
  </r>
  <r>
    <s v="PU016-MU-08132021"/>
    <s v="Spill"/>
    <x v="0"/>
    <s v="Pumpkinseed"/>
    <s v="Lepomis"/>
    <s v="gibbosus"/>
    <s v="U"/>
    <x v="1"/>
    <n v="8"/>
    <n v="11.81"/>
    <x v="38"/>
    <s v="53826-12-3"/>
    <x v="38"/>
    <n v="3.89"/>
  </r>
  <r>
    <s v="PU016-MU-08132021"/>
    <s v="Spill"/>
    <x v="0"/>
    <s v="Pumpkinseed"/>
    <s v="Lepomis"/>
    <s v="gibbosus"/>
    <s v="U"/>
    <x v="1"/>
    <n v="8"/>
    <n v="11.81"/>
    <x v="39"/>
    <s v="27854-31-5"/>
    <x v="39"/>
    <n v="3.0229136857378932E-2"/>
  </r>
  <r>
    <s v="PU016-MU-08132021"/>
    <s v="Spill"/>
    <x v="0"/>
    <s v="Pumpkinseed"/>
    <s v="Lepomis"/>
    <s v="gibbosus"/>
    <s v="U"/>
    <x v="1"/>
    <n v="8"/>
    <n v="11.81"/>
    <x v="40"/>
    <s v="53826-13-4"/>
    <x v="40"/>
    <n v="0.11276922884005763"/>
  </r>
  <r>
    <s v="PU016-MU-08132021"/>
    <s v="Spill"/>
    <x v="0"/>
    <s v="Pumpkinseed"/>
    <s v="Lepomis"/>
    <s v="gibbosus"/>
    <s v="U"/>
    <x v="1"/>
    <n v="8"/>
    <n v="11.81"/>
    <x v="41"/>
    <s v="161094-75-3"/>
    <x v="41"/>
    <n v="5.9339534783861676E-2"/>
  </r>
  <r>
    <s v="PU016-MU-08132021"/>
    <s v="Spill"/>
    <x v="0"/>
    <s v="Pumpkinseed"/>
    <s v="Lepomis"/>
    <s v="gibbosus"/>
    <s v="U"/>
    <x v="1"/>
    <n v="8"/>
    <n v="11.81"/>
    <x v="42"/>
    <s v="70887-84-2"/>
    <x v="42"/>
    <n v="4.5669010778818443E-2"/>
  </r>
  <r>
    <s v="PU016-MU-08132021"/>
    <s v="Spill"/>
    <x v="0"/>
    <s v="Pumpkinseed"/>
    <s v="Lepomis"/>
    <s v="gibbosus"/>
    <s v="U"/>
    <x v="1"/>
    <n v="8"/>
    <n v="11.81"/>
    <x v="43"/>
    <s v="919005-14-4"/>
    <x v="43"/>
    <n v="7.5572842143447339E-2"/>
  </r>
  <r>
    <s v="PU016-MU-08132021"/>
    <s v="Spill"/>
    <x v="0"/>
    <s v="Pumpkinseed"/>
    <s v="Lepomis"/>
    <s v="gibbosus"/>
    <s v="U"/>
    <x v="1"/>
    <n v="8"/>
    <n v="11.81"/>
    <x v="44"/>
    <s v="756426-58-1"/>
    <x v="44"/>
    <n v="5.2455611476945246E-2"/>
  </r>
  <r>
    <s v="PU016-MU-08132021"/>
    <s v="Spill"/>
    <x v="0"/>
    <s v="Pumpkinseed"/>
    <s v="Lepomis"/>
    <s v="gibbosus"/>
    <s v="U"/>
    <x v="1"/>
    <n v="8"/>
    <n v="11.81"/>
    <x v="45"/>
    <s v="763051-92-9"/>
    <x v="45"/>
    <n v="5.9550685093659947E-2"/>
  </r>
  <r>
    <s v="PU016-MU-08132021"/>
    <s v="Spill"/>
    <x v="0"/>
    <s v="Pumpkinseed"/>
    <s v="Lepomis"/>
    <s v="gibbosus"/>
    <s v="U"/>
    <x v="1"/>
    <n v="8"/>
    <n v="11.81"/>
    <x v="46"/>
    <s v="13252-13-6"/>
    <x v="46"/>
    <n v="0.10844918721181558"/>
  </r>
  <r>
    <s v="PU016-MU-08132021"/>
    <s v="Spill"/>
    <x v="0"/>
    <s v="Pumpkinseed"/>
    <s v="Lepomis"/>
    <s v="gibbosus"/>
    <s v="U"/>
    <x v="1"/>
    <n v="8"/>
    <n v="11.81"/>
    <x v="47"/>
    <s v="57677-95-9"/>
    <x v="47"/>
    <n v="8.0449477197406333E-2"/>
  </r>
  <r>
    <s v="PU016-MU-08132021"/>
    <s v="Spill"/>
    <x v="0"/>
    <s v="Pumpkinseed"/>
    <s v="Lepomis"/>
    <s v="gibbosus"/>
    <s v="U"/>
    <x v="1"/>
    <n v="8"/>
    <n v="11.81"/>
    <x v="48"/>
    <s v="678-41-1"/>
    <x v="48"/>
    <n v="0.10019553270172911"/>
  </r>
  <r>
    <s v="PU016-MU-08132021"/>
    <s v="Spill"/>
    <x v="0"/>
    <s v="Pumpkinseed"/>
    <s v="Lepomis"/>
    <s v="gibbosus"/>
    <s v="U"/>
    <x v="1"/>
    <n v="8"/>
    <n v="11.81"/>
    <x v="49"/>
    <s v="2965-52-8"/>
    <x v="49"/>
    <n v="0.13300820217246731"/>
  </r>
  <r>
    <s v="PU016-LIV-08132021"/>
    <s v="Spill"/>
    <x v="0"/>
    <s v="Pumpkinseed"/>
    <s v="Lepomis"/>
    <s v="gibbosus"/>
    <s v="U"/>
    <x v="2"/>
    <n v="8"/>
    <n v="11.81"/>
    <x v="0"/>
    <s v="375-22-4"/>
    <x v="0"/>
    <n v="2.8018006238676056E-2"/>
  </r>
  <r>
    <s v="PU016-LIV-08132021"/>
    <s v="Spill"/>
    <x v="0"/>
    <s v="Pumpkinseed"/>
    <s v="Lepomis"/>
    <s v="gibbosus"/>
    <s v="U"/>
    <x v="2"/>
    <n v="8"/>
    <n v="11.81"/>
    <x v="1"/>
    <s v="2706-90-3"/>
    <x v="1"/>
    <n v="4.9489695919971231E-2"/>
  </r>
  <r>
    <s v="PU016-LIV-08132021"/>
    <s v="Spill"/>
    <x v="0"/>
    <s v="Pumpkinseed"/>
    <s v="Lepomis"/>
    <s v="gibbosus"/>
    <s v="U"/>
    <x v="2"/>
    <n v="8"/>
    <n v="11.81"/>
    <x v="2"/>
    <s v="307-24-4"/>
    <x v="2"/>
    <n v="3.7802682745685226E-2"/>
  </r>
  <r>
    <s v="PU016-LIV-08132021"/>
    <s v="Spill"/>
    <x v="0"/>
    <s v="Pumpkinseed"/>
    <s v="Lepomis"/>
    <s v="gibbosus"/>
    <s v="U"/>
    <x v="2"/>
    <n v="8"/>
    <n v="11.81"/>
    <x v="3"/>
    <s v="375-85-9"/>
    <x v="3"/>
    <n v="0.70977917981072558"/>
  </r>
  <r>
    <s v="PU016-LIV-08132021"/>
    <s v="Spill"/>
    <x v="0"/>
    <s v="Pumpkinseed"/>
    <s v="Lepomis"/>
    <s v="gibbosus"/>
    <s v="U"/>
    <x v="2"/>
    <n v="8"/>
    <n v="11.81"/>
    <x v="4"/>
    <s v="335-67-1"/>
    <x v="4"/>
    <n v="0.70977917981072558"/>
  </r>
  <r>
    <s v="PU016-LIV-08132021"/>
    <s v="Spill"/>
    <x v="0"/>
    <s v="Pumpkinseed"/>
    <s v="Lepomis"/>
    <s v="gibbosus"/>
    <s v="U"/>
    <x v="2"/>
    <n v="8"/>
    <n v="11.81"/>
    <x v="5"/>
    <s v="375-95-1"/>
    <x v="5"/>
    <n v="1.2279983776786276"/>
  </r>
  <r>
    <s v="PU016-LIV-08132021"/>
    <s v="Spill"/>
    <x v="0"/>
    <s v="Pumpkinseed"/>
    <s v="Lepomis"/>
    <s v="gibbosus"/>
    <s v="U"/>
    <x v="2"/>
    <n v="8"/>
    <n v="11.81"/>
    <x v="6"/>
    <s v="335-76-2"/>
    <x v="6"/>
    <n v="13.5"/>
  </r>
  <r>
    <s v="PU016-LIV-08132021"/>
    <s v="Spill"/>
    <x v="0"/>
    <s v="Pumpkinseed"/>
    <s v="Lepomis"/>
    <s v="gibbosus"/>
    <s v="U"/>
    <x v="2"/>
    <n v="8"/>
    <n v="11.81"/>
    <x v="7"/>
    <s v="2058-94-8"/>
    <x v="7"/>
    <n v="20"/>
  </r>
  <r>
    <s v="PU016-LIV-08132021"/>
    <s v="Spill"/>
    <x v="0"/>
    <s v="Pumpkinseed"/>
    <s v="Lepomis"/>
    <s v="gibbosus"/>
    <s v="U"/>
    <x v="2"/>
    <n v="8"/>
    <n v="11.81"/>
    <x v="8"/>
    <s v="307-55-1"/>
    <x v="8"/>
    <n v="5.5926733022909389E-2"/>
  </r>
  <r>
    <s v="PU016-LIV-08132021"/>
    <s v="Spill"/>
    <x v="0"/>
    <s v="Pumpkinseed"/>
    <s v="Lepomis"/>
    <s v="gibbosus"/>
    <s v="U"/>
    <x v="2"/>
    <n v="8"/>
    <n v="11.81"/>
    <x v="9"/>
    <s v="72629-94-8"/>
    <x v="9"/>
    <n v="23.1"/>
  </r>
  <r>
    <s v="PU016-LIV-08132021"/>
    <s v="Spill"/>
    <x v="0"/>
    <s v="Pumpkinseed"/>
    <s v="Lepomis"/>
    <s v="gibbosus"/>
    <s v="U"/>
    <x v="2"/>
    <n v="8"/>
    <n v="11.81"/>
    <x v="10"/>
    <s v="376-06-7"/>
    <x v="10"/>
    <n v="33.1"/>
  </r>
  <r>
    <s v="PU016-LIV-08132021"/>
    <s v="Spill"/>
    <x v="0"/>
    <s v="Pumpkinseed"/>
    <s v="Lepomis"/>
    <s v="gibbosus"/>
    <s v="U"/>
    <x v="2"/>
    <n v="8"/>
    <n v="11.81"/>
    <x v="11"/>
    <s v="67905-19-5"/>
    <x v="11"/>
    <n v="8.3479659501746462E-2"/>
  </r>
  <r>
    <s v="PU016-LIV-08132021"/>
    <s v="Spill"/>
    <x v="0"/>
    <s v="Pumpkinseed"/>
    <s v="Lepomis"/>
    <s v="gibbosus"/>
    <s v="U"/>
    <x v="2"/>
    <n v="8"/>
    <n v="11.81"/>
    <x v="12"/>
    <s v="423-41-6"/>
    <x v="12"/>
    <n v="5.3441071388432293E-2"/>
  </r>
  <r>
    <s v="PU016-LIV-08132021"/>
    <s v="Spill"/>
    <x v="0"/>
    <s v="Pumpkinseed"/>
    <s v="Lepomis"/>
    <s v="gibbosus"/>
    <s v="U"/>
    <x v="2"/>
    <n v="8"/>
    <n v="11.81"/>
    <x v="13"/>
    <s v="375-73-5"/>
    <x v="13"/>
    <n v="4.7673290391925201E-2"/>
  </r>
  <r>
    <s v="PU016-LIV-08132021"/>
    <s v="Spill"/>
    <x v="0"/>
    <s v="Pumpkinseed"/>
    <s v="Lepomis"/>
    <s v="gibbosus"/>
    <s v="U"/>
    <x v="2"/>
    <n v="8"/>
    <n v="11.81"/>
    <x v="14"/>
    <s v="2706-91-4"/>
    <x v="14"/>
    <n v="0.93964992785701895"/>
  </r>
  <r>
    <s v="PU016-LIV-08132021"/>
    <s v="Spill"/>
    <x v="0"/>
    <s v="Pumpkinseed"/>
    <s v="Lepomis"/>
    <s v="gibbosus"/>
    <s v="U"/>
    <x v="2"/>
    <n v="8"/>
    <n v="11.81"/>
    <x v="15"/>
    <s v="355-46-4"/>
    <x v="15"/>
    <n v="27.8"/>
  </r>
  <r>
    <s v="PU016-LIV-08132021"/>
    <s v="Spill"/>
    <x v="0"/>
    <s v="Pumpkinseed"/>
    <s v="Lepomis"/>
    <s v="gibbosus"/>
    <s v="U"/>
    <x v="2"/>
    <n v="8"/>
    <n v="11.81"/>
    <x v="16"/>
    <s v="375-92-8"/>
    <x v="16"/>
    <n v="5.04"/>
  </r>
  <r>
    <s v="PU016-LIV-08132021"/>
    <s v="Spill"/>
    <x v="0"/>
    <s v="Pumpkinseed"/>
    <s v="Lepomis"/>
    <s v="gibbosus"/>
    <s v="U"/>
    <x v="2"/>
    <n v="8"/>
    <n v="11.81"/>
    <x v="17"/>
    <s v="1763-23-1"/>
    <x v="17"/>
    <n v="3040"/>
  </r>
  <r>
    <s v="PU016-LIV-08132021"/>
    <s v="Spill"/>
    <x v="0"/>
    <s v="Pumpkinseed"/>
    <s v="Lepomis"/>
    <s v="gibbosus"/>
    <s v="U"/>
    <x v="2"/>
    <n v="8"/>
    <n v="11.81"/>
    <x v="18"/>
    <s v="68259-12-1"/>
    <x v="18"/>
    <n v="6.54"/>
  </r>
  <r>
    <s v="PU016-LIV-08132021"/>
    <s v="Spill"/>
    <x v="0"/>
    <s v="Pumpkinseed"/>
    <s v="Lepomis"/>
    <s v="gibbosus"/>
    <s v="U"/>
    <x v="2"/>
    <n v="8"/>
    <n v="11.81"/>
    <x v="19"/>
    <s v="335-77-3"/>
    <x v="19"/>
    <n v="6.75"/>
  </r>
  <r>
    <s v="PU016-LIV-08132021"/>
    <s v="Spill"/>
    <x v="0"/>
    <s v="Pumpkinseed"/>
    <s v="Lepomis"/>
    <s v="gibbosus"/>
    <s v="U"/>
    <x v="2"/>
    <n v="8"/>
    <n v="11.81"/>
    <x v="20"/>
    <s v="79780-39-5"/>
    <x v="20"/>
    <n v="6.09"/>
  </r>
  <r>
    <s v="PU016-LIV-08132021"/>
    <s v="Spill"/>
    <x v="0"/>
    <s v="Pumpkinseed"/>
    <s v="Lepomis"/>
    <s v="gibbosus"/>
    <s v="U"/>
    <x v="2"/>
    <n v="8"/>
    <n v="11.81"/>
    <x v="21"/>
    <s v="777011-38-8"/>
    <x v="21"/>
    <n v="1.0783039690135645"/>
  </r>
  <r>
    <s v="PU016-LIV-08132021"/>
    <s v="Spill"/>
    <x v="0"/>
    <s v="Pumpkinseed"/>
    <s v="Lepomis"/>
    <s v="gibbosus"/>
    <s v="U"/>
    <x v="2"/>
    <n v="8"/>
    <n v="11.81"/>
    <x v="22"/>
    <s v="646-83-3"/>
    <x v="22"/>
    <n v="0.70977917981072558"/>
  </r>
  <r>
    <s v="PU016-LIV-08132021"/>
    <s v="Spill"/>
    <x v="0"/>
    <s v="Pumpkinseed"/>
    <s v="Lepomis"/>
    <s v="gibbosus"/>
    <s v="U"/>
    <x v="2"/>
    <n v="8"/>
    <n v="11.81"/>
    <x v="23"/>
    <s v="30334-69-1"/>
    <x v="23"/>
    <n v="67"/>
  </r>
  <r>
    <s v="PU016-LIV-08132021"/>
    <s v="Spill"/>
    <x v="0"/>
    <s v="Pumpkinseed"/>
    <s v="Lepomis"/>
    <s v="gibbosus"/>
    <s v="U"/>
    <x v="2"/>
    <n v="8"/>
    <n v="11.81"/>
    <x v="24"/>
    <s v="41997-13-1"/>
    <x v="24"/>
    <n v="201"/>
  </r>
  <r>
    <s v="PU016-LIV-08132021"/>
    <s v="Spill"/>
    <x v="0"/>
    <s v="Pumpkinseed"/>
    <s v="Lepomis"/>
    <s v="gibbosus"/>
    <s v="U"/>
    <x v="2"/>
    <n v="8"/>
    <n v="11.81"/>
    <x v="25"/>
    <s v="754-91-6"/>
    <x v="25"/>
    <n v="50.2"/>
  </r>
  <r>
    <s v="PU016-LIV-08132021"/>
    <s v="Spill"/>
    <x v="0"/>
    <s v="Pumpkinseed"/>
    <s v="Lepomis"/>
    <s v="gibbosus"/>
    <s v="U"/>
    <x v="2"/>
    <n v="8"/>
    <n v="11.81"/>
    <x v="26"/>
    <s v="31506-32-8"/>
    <x v="26"/>
    <n v="5.3961505333881235E-2"/>
  </r>
  <r>
    <s v="PU016-LIV-08132021"/>
    <s v="Spill"/>
    <x v="0"/>
    <s v="Pumpkinseed"/>
    <s v="Lepomis"/>
    <s v="gibbosus"/>
    <s v="U"/>
    <x v="2"/>
    <n v="8"/>
    <n v="11.81"/>
    <x v="27"/>
    <s v="4151-50-2"/>
    <x v="27"/>
    <n v="8.1739602964351746E-2"/>
  </r>
  <r>
    <s v="PU016-LIV-08132021"/>
    <s v="Spill"/>
    <x v="0"/>
    <s v="Pumpkinseed"/>
    <s v="Lepomis"/>
    <s v="gibbosus"/>
    <s v="U"/>
    <x v="2"/>
    <n v="8"/>
    <n v="11.81"/>
    <x v="28"/>
    <s v="2806-24-8"/>
    <x v="28"/>
    <n v="5.521194770186974E-2"/>
  </r>
  <r>
    <s v="PU016-LIV-08132021"/>
    <s v="Spill"/>
    <x v="0"/>
    <s v="Pumpkinseed"/>
    <s v="Lepomis"/>
    <s v="gibbosus"/>
    <s v="U"/>
    <x v="2"/>
    <n v="8"/>
    <n v="11.81"/>
    <x v="29"/>
    <s v="2355-31-9"/>
    <x v="29"/>
    <n v="28.1"/>
  </r>
  <r>
    <s v="PU016-LIV-08132021"/>
    <s v="Spill"/>
    <x v="0"/>
    <s v="Pumpkinseed"/>
    <s v="Lepomis"/>
    <s v="gibbosus"/>
    <s v="U"/>
    <x v="2"/>
    <n v="8"/>
    <n v="11.81"/>
    <x v="30"/>
    <s v="2991-50-6"/>
    <x v="30"/>
    <n v="6.0798405682658721E-2"/>
  </r>
  <r>
    <s v="PU016-LIV-08132021"/>
    <s v="Spill"/>
    <x v="0"/>
    <s v="Pumpkinseed"/>
    <s v="Lepomis"/>
    <s v="gibbosus"/>
    <s v="U"/>
    <x v="2"/>
    <n v="8"/>
    <n v="11.81"/>
    <x v="31"/>
    <s v="757124-72-4"/>
    <x v="31"/>
    <n v="5.7534171130059583E-2"/>
  </r>
  <r>
    <s v="PU016-LIV-08132021"/>
    <s v="Spill"/>
    <x v="0"/>
    <s v="Pumpkinseed"/>
    <s v="Lepomis"/>
    <s v="gibbosus"/>
    <s v="U"/>
    <x v="2"/>
    <n v="8"/>
    <n v="11.81"/>
    <x v="32"/>
    <s v="27619-97-2"/>
    <x v="32"/>
    <n v="1.071299283589235"/>
  </r>
  <r>
    <s v="PU016-LIV-08132021"/>
    <s v="Spill"/>
    <x v="0"/>
    <s v="Pumpkinseed"/>
    <s v="Lepomis"/>
    <s v="gibbosus"/>
    <s v="U"/>
    <x v="2"/>
    <n v="8"/>
    <n v="11.81"/>
    <x v="33"/>
    <s v="39108-34-4"/>
    <x v="33"/>
    <n v="4.2699999999999996"/>
  </r>
  <r>
    <s v="PU016-LIV-08132021"/>
    <s v="Spill"/>
    <x v="0"/>
    <s v="Pumpkinseed"/>
    <s v="Lepomis"/>
    <s v="gibbosus"/>
    <s v="U"/>
    <x v="2"/>
    <n v="8"/>
    <n v="11.81"/>
    <x v="34"/>
    <s v="120226-60-0"/>
    <x v="34"/>
    <n v="2.0148244835962146"/>
  </r>
  <r>
    <s v="PU016-LIV-08132021"/>
    <s v="Spill"/>
    <x v="0"/>
    <s v="Pumpkinseed"/>
    <s v="Lepomis"/>
    <s v="gibbosus"/>
    <s v="U"/>
    <x v="2"/>
    <n v="8"/>
    <n v="11.81"/>
    <x v="35"/>
    <s v="356-02-5"/>
    <x v="35"/>
    <n v="8.0796144244401069E-2"/>
  </r>
  <r>
    <s v="PU016-LIV-08132021"/>
    <s v="Spill"/>
    <x v="0"/>
    <s v="Pumpkinseed"/>
    <s v="Lepomis"/>
    <s v="gibbosus"/>
    <s v="U"/>
    <x v="2"/>
    <n v="8"/>
    <n v="11.81"/>
    <x v="36"/>
    <s v="914637-49-3"/>
    <x v="36"/>
    <n v="5.2859838430244499E-2"/>
  </r>
  <r>
    <s v="PU016-LIV-08132021"/>
    <s v="Spill"/>
    <x v="0"/>
    <s v="Pumpkinseed"/>
    <s v="Lepomis"/>
    <s v="gibbosus"/>
    <s v="U"/>
    <x v="2"/>
    <n v="8"/>
    <n v="11.81"/>
    <x v="37"/>
    <s v="812-70-4"/>
    <x v="37"/>
    <n v="23.7"/>
  </r>
  <r>
    <s v="PU016-LIV-08132021"/>
    <s v="Spill"/>
    <x v="0"/>
    <s v="Pumpkinseed"/>
    <s v="Lepomis"/>
    <s v="gibbosus"/>
    <s v="U"/>
    <x v="2"/>
    <n v="8"/>
    <n v="11.81"/>
    <x v="38"/>
    <s v="53826-12-3"/>
    <x v="38"/>
    <n v="4.4945558095284575E-2"/>
  </r>
  <r>
    <s v="PU016-LIV-08132021"/>
    <s v="Spill"/>
    <x v="0"/>
    <s v="Pumpkinseed"/>
    <s v="Lepomis"/>
    <s v="gibbosus"/>
    <s v="U"/>
    <x v="2"/>
    <n v="8"/>
    <n v="11.81"/>
    <x v="39"/>
    <s v="27854-31-5"/>
    <x v="39"/>
    <n v="45.4"/>
  </r>
  <r>
    <s v="PU016-LIV-08132021"/>
    <s v="Spill"/>
    <x v="0"/>
    <s v="Pumpkinseed"/>
    <s v="Lepomis"/>
    <s v="gibbosus"/>
    <s v="U"/>
    <x v="2"/>
    <n v="8"/>
    <n v="11.81"/>
    <x v="40"/>
    <s v="53826-13-4"/>
    <x v="40"/>
    <n v="0.10452064748253544"/>
  </r>
  <r>
    <s v="PU016-LIV-08132021"/>
    <s v="Spill"/>
    <x v="0"/>
    <s v="Pumpkinseed"/>
    <s v="Lepomis"/>
    <s v="gibbosus"/>
    <s v="U"/>
    <x v="2"/>
    <n v="8"/>
    <n v="11.81"/>
    <x v="41"/>
    <s v="161094-75-3"/>
    <x v="41"/>
    <n v="5.4999104460653377E-2"/>
  </r>
  <r>
    <s v="PU016-LIV-08132021"/>
    <s v="Spill"/>
    <x v="0"/>
    <s v="Pumpkinseed"/>
    <s v="Lepomis"/>
    <s v="gibbosus"/>
    <s v="U"/>
    <x v="2"/>
    <n v="8"/>
    <n v="11.81"/>
    <x v="42"/>
    <s v="70887-84-2"/>
    <x v="42"/>
    <n v="4.2328520160930756E-2"/>
  </r>
  <r>
    <s v="PU016-LIV-08132021"/>
    <s v="Spill"/>
    <x v="0"/>
    <s v="Pumpkinseed"/>
    <s v="Lepomis"/>
    <s v="gibbosus"/>
    <s v="U"/>
    <x v="2"/>
    <n v="8"/>
    <n v="11.81"/>
    <x v="43"/>
    <s v="919005-14-4"/>
    <x v="43"/>
    <n v="7.004501559669013E-2"/>
  </r>
  <r>
    <s v="PU016-LIV-08132021"/>
    <s v="Spill"/>
    <x v="0"/>
    <s v="Pumpkinseed"/>
    <s v="Lepomis"/>
    <s v="gibbosus"/>
    <s v="U"/>
    <x v="2"/>
    <n v="8"/>
    <n v="11.81"/>
    <x v="44"/>
    <s v="756426-58-1"/>
    <x v="44"/>
    <n v="4.8618710370351342E-2"/>
  </r>
  <r>
    <s v="PU016-LIV-08132021"/>
    <s v="Spill"/>
    <x v="0"/>
    <s v="Pumpkinseed"/>
    <s v="Lepomis"/>
    <s v="gibbosus"/>
    <s v="U"/>
    <x v="2"/>
    <n v="8"/>
    <n v="11.81"/>
    <x v="45"/>
    <s v="763051-92-9"/>
    <x v="45"/>
    <n v="5.5194810038524757E-2"/>
  </r>
  <r>
    <s v="PU016-LIV-08132021"/>
    <s v="Spill"/>
    <x v="0"/>
    <s v="Pumpkinseed"/>
    <s v="Lepomis"/>
    <s v="gibbosus"/>
    <s v="U"/>
    <x v="2"/>
    <n v="8"/>
    <n v="11.81"/>
    <x v="46"/>
    <s v="13252-13-6"/>
    <x v="46"/>
    <n v="0.10051659821501951"/>
  </r>
  <r>
    <s v="PU016-LIV-08132021"/>
    <s v="Spill"/>
    <x v="0"/>
    <s v="Pumpkinseed"/>
    <s v="Lepomis"/>
    <s v="gibbosus"/>
    <s v="U"/>
    <x v="2"/>
    <n v="8"/>
    <n v="11.81"/>
    <x v="47"/>
    <s v="57677-95-9"/>
    <x v="47"/>
    <n v="7.456494588812411E-2"/>
  </r>
  <r>
    <s v="PU016-LIV-08132021"/>
    <s v="Spill"/>
    <x v="0"/>
    <s v="Pumpkinseed"/>
    <s v="Lepomis"/>
    <s v="gibbosus"/>
    <s v="U"/>
    <x v="2"/>
    <n v="8"/>
    <n v="11.81"/>
    <x v="48"/>
    <s v="678-41-1"/>
    <x v="48"/>
    <n v="9.2866662834908562E-2"/>
  </r>
  <r>
    <s v="PU016-LIV-08132021"/>
    <s v="Spill"/>
    <x v="0"/>
    <s v="Pumpkinseed"/>
    <s v="Lepomis"/>
    <s v="gibbosus"/>
    <s v="U"/>
    <x v="2"/>
    <n v="8"/>
    <n v="11.81"/>
    <x v="49"/>
    <s v="2965-52-8"/>
    <x v="49"/>
    <n v="0.12327922745017464"/>
  </r>
  <r>
    <s v="PU017-JBA-08132021"/>
    <s v="Spill"/>
    <x v="0"/>
    <s v="Pumpkinseed"/>
    <s v="Lepomis"/>
    <s v="gibbosus"/>
    <s v="U"/>
    <x v="0"/>
    <n v="8"/>
    <n v="11.81"/>
    <x v="0"/>
    <s v="375-22-4"/>
    <x v="0"/>
    <n v="9.4398993077407164E-2"/>
  </r>
  <r>
    <s v="PU017-JBA-08132021"/>
    <s v="Spill"/>
    <x v="0"/>
    <s v="Pumpkinseed"/>
    <s v="Lepomis"/>
    <s v="gibbosus"/>
    <s v="U"/>
    <x v="0"/>
    <n v="8"/>
    <n v="11.81"/>
    <x v="1"/>
    <s v="2706-90-3"/>
    <x v="1"/>
    <n v="0.37991537861593067"/>
  </r>
  <r>
    <s v="PU017-JBA-08132021"/>
    <s v="Spill"/>
    <x v="0"/>
    <s v="Pumpkinseed"/>
    <s v="Lepomis"/>
    <s v="gibbosus"/>
    <s v="U"/>
    <x v="0"/>
    <n v="8"/>
    <n v="11.81"/>
    <x v="2"/>
    <s v="307-24-4"/>
    <x v="2"/>
    <n v="0.12736577886442729"/>
  </r>
  <r>
    <s v="PU017-JBA-08132021"/>
    <s v="Spill"/>
    <x v="0"/>
    <s v="Pumpkinseed"/>
    <s v="Lepomis"/>
    <s v="gibbosus"/>
    <s v="U"/>
    <x v="0"/>
    <n v="8"/>
    <n v="11.81"/>
    <x v="3"/>
    <s v="375-85-9"/>
    <x v="3"/>
    <n v="9.4398993077407164E-2"/>
  </r>
  <r>
    <s v="PU017-JBA-08132021"/>
    <s v="Spill"/>
    <x v="0"/>
    <s v="Pumpkinseed"/>
    <s v="Lepomis"/>
    <s v="gibbosus"/>
    <s v="U"/>
    <x v="0"/>
    <n v="8"/>
    <n v="11.81"/>
    <x v="4"/>
    <s v="335-67-1"/>
    <x v="4"/>
    <n v="0.34300000000000003"/>
  </r>
  <r>
    <s v="PU017-JBA-08132021"/>
    <s v="Spill"/>
    <x v="0"/>
    <s v="Pumpkinseed"/>
    <s v="Lepomis"/>
    <s v="gibbosus"/>
    <s v="U"/>
    <x v="0"/>
    <n v="8"/>
    <n v="11.81"/>
    <x v="5"/>
    <s v="375-95-1"/>
    <x v="5"/>
    <n v="0.16332095058700438"/>
  </r>
  <r>
    <s v="PU017-JBA-08132021"/>
    <s v="Spill"/>
    <x v="0"/>
    <s v="Pumpkinseed"/>
    <s v="Lepomis"/>
    <s v="gibbosus"/>
    <s v="U"/>
    <x v="0"/>
    <n v="8"/>
    <n v="11.81"/>
    <x v="6"/>
    <s v="335-76-2"/>
    <x v="6"/>
    <n v="2.4900000000000002"/>
  </r>
  <r>
    <s v="PU017-JBA-08132021"/>
    <s v="Spill"/>
    <x v="0"/>
    <s v="Pumpkinseed"/>
    <s v="Lepomis"/>
    <s v="gibbosus"/>
    <s v="U"/>
    <x v="0"/>
    <n v="8"/>
    <n v="11.81"/>
    <x v="7"/>
    <s v="2058-94-8"/>
    <x v="7"/>
    <n v="3.87"/>
  </r>
  <r>
    <s v="PU017-JBA-08132021"/>
    <s v="Spill"/>
    <x v="0"/>
    <s v="Pumpkinseed"/>
    <s v="Lepomis"/>
    <s v="gibbosus"/>
    <s v="U"/>
    <x v="0"/>
    <n v="8"/>
    <n v="11.81"/>
    <x v="8"/>
    <s v="307-55-1"/>
    <x v="8"/>
    <n v="0.42933029908911674"/>
  </r>
  <r>
    <s v="PU017-JBA-08132021"/>
    <s v="Spill"/>
    <x v="0"/>
    <s v="Pumpkinseed"/>
    <s v="Lepomis"/>
    <s v="gibbosus"/>
    <s v="U"/>
    <x v="0"/>
    <n v="8"/>
    <n v="11.81"/>
    <x v="9"/>
    <s v="72629-94-8"/>
    <x v="9"/>
    <n v="1.93"/>
  </r>
  <r>
    <s v="PU017-JBA-08132021"/>
    <s v="Spill"/>
    <x v="0"/>
    <s v="Pumpkinseed"/>
    <s v="Lepomis"/>
    <s v="gibbosus"/>
    <s v="U"/>
    <x v="0"/>
    <n v="8"/>
    <n v="11.81"/>
    <x v="10"/>
    <s v="376-06-7"/>
    <x v="10"/>
    <n v="4.2699999999999996"/>
  </r>
  <r>
    <s v="PU017-JBA-08132021"/>
    <s v="Spill"/>
    <x v="0"/>
    <s v="Pumpkinseed"/>
    <s v="Lepomis"/>
    <s v="gibbosus"/>
    <s v="U"/>
    <x v="0"/>
    <n v="8"/>
    <n v="11.81"/>
    <x v="11"/>
    <s v="67905-19-5"/>
    <x v="11"/>
    <n v="0.64084464163249211"/>
  </r>
  <r>
    <s v="PU017-JBA-08132021"/>
    <s v="Spill"/>
    <x v="0"/>
    <s v="Pumpkinseed"/>
    <s v="Lepomis"/>
    <s v="gibbosus"/>
    <s v="U"/>
    <x v="0"/>
    <n v="8"/>
    <n v="11.81"/>
    <x v="12"/>
    <s v="423-41-6"/>
    <x v="12"/>
    <n v="0.4102487294124606"/>
  </r>
  <r>
    <s v="PU017-JBA-08132021"/>
    <s v="Spill"/>
    <x v="0"/>
    <s v="Pumpkinseed"/>
    <s v="Lepomis"/>
    <s v="gibbosus"/>
    <s v="U"/>
    <x v="0"/>
    <n v="8"/>
    <n v="11.81"/>
    <x v="13"/>
    <s v="375-73-5"/>
    <x v="13"/>
    <n v="0.16062208607378853"/>
  </r>
  <r>
    <s v="PU017-JBA-08132021"/>
    <s v="Spill"/>
    <x v="0"/>
    <s v="Pumpkinseed"/>
    <s v="Lepomis"/>
    <s v="gibbosus"/>
    <s v="U"/>
    <x v="0"/>
    <n v="8"/>
    <n v="11.81"/>
    <x v="14"/>
    <s v="2706-91-4"/>
    <x v="14"/>
    <n v="0.12497127213370045"/>
  </r>
  <r>
    <s v="PU017-JBA-08132021"/>
    <s v="Spill"/>
    <x v="0"/>
    <s v="Pumpkinseed"/>
    <s v="Lepomis"/>
    <s v="gibbosus"/>
    <s v="U"/>
    <x v="0"/>
    <n v="8"/>
    <n v="11.81"/>
    <x v="15"/>
    <s v="355-46-4"/>
    <x v="15"/>
    <n v="7.14"/>
  </r>
  <r>
    <s v="PU017-JBA-08132021"/>
    <s v="Spill"/>
    <x v="0"/>
    <s v="Pumpkinseed"/>
    <s v="Lepomis"/>
    <s v="gibbosus"/>
    <s v="U"/>
    <x v="0"/>
    <n v="8"/>
    <n v="11.81"/>
    <x v="16"/>
    <s v="375-92-8"/>
    <x v="16"/>
    <n v="0.23599748269351795"/>
  </r>
  <r>
    <s v="PU017-JBA-08132021"/>
    <s v="Spill"/>
    <x v="0"/>
    <s v="Pumpkinseed"/>
    <s v="Lepomis"/>
    <s v="gibbosus"/>
    <s v="U"/>
    <x v="0"/>
    <n v="8"/>
    <n v="11.81"/>
    <x v="17"/>
    <s v="1763-23-1"/>
    <x v="17"/>
    <n v="595"/>
  </r>
  <r>
    <s v="PU017-JBA-08132021"/>
    <s v="Spill"/>
    <x v="0"/>
    <s v="Pumpkinseed"/>
    <s v="Lepomis"/>
    <s v="gibbosus"/>
    <s v="U"/>
    <x v="0"/>
    <n v="8"/>
    <n v="11.81"/>
    <x v="18"/>
    <s v="68259-12-1"/>
    <x v="18"/>
    <n v="0.29799999999999999"/>
  </r>
  <r>
    <s v="PU017-JBA-08132021"/>
    <s v="Spill"/>
    <x v="0"/>
    <s v="Pumpkinseed"/>
    <s v="Lepomis"/>
    <s v="gibbosus"/>
    <s v="U"/>
    <x v="0"/>
    <n v="8"/>
    <n v="11.81"/>
    <x v="19"/>
    <s v="335-77-3"/>
    <x v="19"/>
    <n v="0.19327041717621146"/>
  </r>
  <r>
    <s v="PU017-JBA-08132021"/>
    <s v="Spill"/>
    <x v="0"/>
    <s v="Pumpkinseed"/>
    <s v="Lepomis"/>
    <s v="gibbosus"/>
    <s v="U"/>
    <x v="0"/>
    <n v="8"/>
    <n v="11.81"/>
    <x v="20"/>
    <s v="79780-39-5"/>
    <x v="20"/>
    <n v="0.25236869036233478"/>
  </r>
  <r>
    <s v="PU017-JBA-08132021"/>
    <s v="Spill"/>
    <x v="0"/>
    <s v="Pumpkinseed"/>
    <s v="Lepomis"/>
    <s v="gibbosus"/>
    <s v="U"/>
    <x v="0"/>
    <n v="8"/>
    <n v="11.81"/>
    <x v="21"/>
    <s v="777011-38-8"/>
    <x v="21"/>
    <n v="0.14341193965903082"/>
  </r>
  <r>
    <s v="PU017-JBA-08132021"/>
    <s v="Spill"/>
    <x v="0"/>
    <s v="Pumpkinseed"/>
    <s v="Lepomis"/>
    <s v="gibbosus"/>
    <s v="U"/>
    <x v="0"/>
    <n v="8"/>
    <n v="11.81"/>
    <x v="22"/>
    <s v="646-83-3"/>
    <x v="22"/>
    <n v="9.4398993077407164E-2"/>
  </r>
  <r>
    <s v="PU017-JBA-08132021"/>
    <s v="Spill"/>
    <x v="0"/>
    <s v="Pumpkinseed"/>
    <s v="Lepomis"/>
    <s v="gibbosus"/>
    <s v="U"/>
    <x v="0"/>
    <n v="8"/>
    <n v="11.81"/>
    <x v="23"/>
    <s v="30334-69-1"/>
    <x v="23"/>
    <n v="40.5"/>
  </r>
  <r>
    <s v="PU017-JBA-08132021"/>
    <s v="Spill"/>
    <x v="0"/>
    <s v="Pumpkinseed"/>
    <s v="Lepomis"/>
    <s v="gibbosus"/>
    <s v="U"/>
    <x v="0"/>
    <n v="8"/>
    <n v="11.81"/>
    <x v="24"/>
    <s v="41997-13-1"/>
    <x v="24"/>
    <n v="55.7"/>
  </r>
  <r>
    <s v="PU017-JBA-08132021"/>
    <s v="Spill"/>
    <x v="0"/>
    <s v="Pumpkinseed"/>
    <s v="Lepomis"/>
    <s v="gibbosus"/>
    <s v="U"/>
    <x v="0"/>
    <n v="8"/>
    <n v="11.81"/>
    <x v="25"/>
    <s v="754-91-6"/>
    <x v="25"/>
    <n v="18"/>
  </r>
  <r>
    <s v="PU017-JBA-08132021"/>
    <s v="Spill"/>
    <x v="0"/>
    <s v="Pumpkinseed"/>
    <s v="Lepomis"/>
    <s v="gibbosus"/>
    <s v="U"/>
    <x v="0"/>
    <n v="8"/>
    <n v="11.81"/>
    <x v="26"/>
    <s v="31506-32-8"/>
    <x v="26"/>
    <n v="0.41424392186119879"/>
  </r>
  <r>
    <s v="PU017-JBA-08132021"/>
    <s v="Spill"/>
    <x v="0"/>
    <s v="Pumpkinseed"/>
    <s v="Lepomis"/>
    <s v="gibbosus"/>
    <s v="U"/>
    <x v="0"/>
    <n v="8"/>
    <n v="11.81"/>
    <x v="27"/>
    <s v="4151-50-2"/>
    <x v="27"/>
    <n v="0.62748682591088323"/>
  </r>
  <r>
    <s v="PU017-JBA-08132021"/>
    <s v="Spill"/>
    <x v="0"/>
    <s v="Pumpkinseed"/>
    <s v="Lepomis"/>
    <s v="gibbosus"/>
    <s v="U"/>
    <x v="0"/>
    <n v="8"/>
    <n v="11.81"/>
    <x v="28"/>
    <s v="2806-24-8"/>
    <x v="28"/>
    <n v="0.42384313795741324"/>
  </r>
  <r>
    <s v="PU017-JBA-08132021"/>
    <s v="Spill"/>
    <x v="0"/>
    <s v="Pumpkinseed"/>
    <s v="Lepomis"/>
    <s v="gibbosus"/>
    <s v="U"/>
    <x v="0"/>
    <n v="8"/>
    <n v="11.81"/>
    <x v="29"/>
    <s v="2355-31-9"/>
    <x v="29"/>
    <n v="2.27"/>
  </r>
  <r>
    <s v="PU017-JBA-08132021"/>
    <s v="Spill"/>
    <x v="0"/>
    <s v="Pumpkinseed"/>
    <s v="Lepomis"/>
    <s v="gibbosus"/>
    <s v="U"/>
    <x v="0"/>
    <n v="8"/>
    <n v="11.81"/>
    <x v="30"/>
    <s v="2991-50-6"/>
    <x v="30"/>
    <n v="0.46672845498028387"/>
  </r>
  <r>
    <s v="PU017-JBA-08132021"/>
    <s v="Spill"/>
    <x v="0"/>
    <s v="Pumpkinseed"/>
    <s v="Lepomis"/>
    <s v="gibbosus"/>
    <s v="U"/>
    <x v="0"/>
    <n v="8"/>
    <n v="11.81"/>
    <x v="31"/>
    <s v="757124-72-4"/>
    <x v="31"/>
    <n v="0.44167004872239746"/>
  </r>
  <r>
    <s v="PU017-JBA-08132021"/>
    <s v="Spill"/>
    <x v="0"/>
    <s v="Pumpkinseed"/>
    <s v="Lepomis"/>
    <s v="gibbosus"/>
    <s v="U"/>
    <x v="0"/>
    <n v="8"/>
    <n v="11.81"/>
    <x v="32"/>
    <s v="27619-97-2"/>
    <x v="32"/>
    <n v="0.28599999999999998"/>
  </r>
  <r>
    <s v="PU017-JBA-08132021"/>
    <s v="Spill"/>
    <x v="0"/>
    <s v="Pumpkinseed"/>
    <s v="Lepomis"/>
    <s v="gibbosus"/>
    <s v="U"/>
    <x v="0"/>
    <n v="8"/>
    <n v="11.81"/>
    <x v="33"/>
    <s v="39108-34-4"/>
    <x v="33"/>
    <n v="1.02"/>
  </r>
  <r>
    <s v="PU017-JBA-08132021"/>
    <s v="Spill"/>
    <x v="0"/>
    <s v="Pumpkinseed"/>
    <s v="Lepomis"/>
    <s v="gibbosus"/>
    <s v="U"/>
    <x v="0"/>
    <n v="8"/>
    <n v="11.81"/>
    <x v="34"/>
    <s v="120226-60-0"/>
    <x v="34"/>
    <n v="0.26796700704845811"/>
  </r>
  <r>
    <s v="PU017-JBA-08132021"/>
    <s v="Spill"/>
    <x v="0"/>
    <s v="Pumpkinseed"/>
    <s v="Lepomis"/>
    <s v="gibbosus"/>
    <s v="U"/>
    <x v="0"/>
    <n v="8"/>
    <n v="11.81"/>
    <x v="35"/>
    <s v="356-02-5"/>
    <x v="35"/>
    <n v="0.27222046409140965"/>
  </r>
  <r>
    <s v="PU017-JBA-08132021"/>
    <s v="Spill"/>
    <x v="0"/>
    <s v="Pumpkinseed"/>
    <s v="Lepomis"/>
    <s v="gibbosus"/>
    <s v="U"/>
    <x v="0"/>
    <n v="8"/>
    <n v="11.81"/>
    <x v="36"/>
    <s v="914637-49-3"/>
    <x v="36"/>
    <n v="3.14"/>
  </r>
  <r>
    <s v="PU017-JBA-08132021"/>
    <s v="Spill"/>
    <x v="0"/>
    <s v="Pumpkinseed"/>
    <s v="Lepomis"/>
    <s v="gibbosus"/>
    <s v="U"/>
    <x v="0"/>
    <n v="8"/>
    <n v="11.81"/>
    <x v="37"/>
    <s v="812-70-4"/>
    <x v="37"/>
    <n v="8.6999999999999993"/>
  </r>
  <r>
    <s v="PU017-JBA-08132021"/>
    <s v="Spill"/>
    <x v="0"/>
    <s v="Pumpkinseed"/>
    <s v="Lepomis"/>
    <s v="gibbosus"/>
    <s v="U"/>
    <x v="0"/>
    <n v="8"/>
    <n v="11.81"/>
    <x v="38"/>
    <s v="53826-12-3"/>
    <x v="38"/>
    <n v="1.17"/>
  </r>
  <r>
    <s v="PU017-JBA-08132021"/>
    <s v="Spill"/>
    <x v="0"/>
    <s v="Pumpkinseed"/>
    <s v="Lepomis"/>
    <s v="gibbosus"/>
    <s v="U"/>
    <x v="0"/>
    <n v="8"/>
    <n v="11.81"/>
    <x v="39"/>
    <s v="27854-31-5"/>
    <x v="39"/>
    <n v="0.21508459994264412"/>
  </r>
  <r>
    <s v="PU017-JBA-08132021"/>
    <s v="Spill"/>
    <x v="0"/>
    <s v="Pumpkinseed"/>
    <s v="Lepomis"/>
    <s v="gibbosus"/>
    <s v="U"/>
    <x v="0"/>
    <n v="8"/>
    <n v="11.81"/>
    <x v="40"/>
    <s v="53826-13-4"/>
    <x v="40"/>
    <n v="0.80236907144716096"/>
  </r>
  <r>
    <s v="PU017-JBA-08132021"/>
    <s v="Spill"/>
    <x v="0"/>
    <s v="Pumpkinseed"/>
    <s v="Lepomis"/>
    <s v="gibbosus"/>
    <s v="U"/>
    <x v="0"/>
    <n v="8"/>
    <n v="11.81"/>
    <x v="41"/>
    <s v="161094-75-3"/>
    <x v="41"/>
    <n v="0.42220921358044161"/>
  </r>
  <r>
    <s v="PU017-JBA-08132021"/>
    <s v="Spill"/>
    <x v="0"/>
    <s v="Pumpkinseed"/>
    <s v="Lepomis"/>
    <s v="gibbosus"/>
    <s v="U"/>
    <x v="0"/>
    <n v="8"/>
    <n v="11.81"/>
    <x v="42"/>
    <s v="70887-84-2"/>
    <x v="42"/>
    <n v="0.32494149467389594"/>
  </r>
  <r>
    <s v="PU017-JBA-08132021"/>
    <s v="Spill"/>
    <x v="0"/>
    <s v="Pumpkinseed"/>
    <s v="Lepomis"/>
    <s v="gibbosus"/>
    <s v="U"/>
    <x v="0"/>
    <n v="8"/>
    <n v="11.81"/>
    <x v="43"/>
    <s v="919005-14-4"/>
    <x v="43"/>
    <n v="0.53771149985661026"/>
  </r>
  <r>
    <s v="PU017-JBA-08132021"/>
    <s v="Spill"/>
    <x v="0"/>
    <s v="Pumpkinseed"/>
    <s v="Lepomis"/>
    <s v="gibbosus"/>
    <s v="U"/>
    <x v="0"/>
    <n v="8"/>
    <n v="11.81"/>
    <x v="44"/>
    <s v="756426-58-1"/>
    <x v="44"/>
    <n v="0.37322912203864356"/>
  </r>
  <r>
    <s v="PU017-JBA-08132021"/>
    <s v="Spill"/>
    <x v="0"/>
    <s v="Pumpkinseed"/>
    <s v="Lepomis"/>
    <s v="gibbosus"/>
    <s v="U"/>
    <x v="0"/>
    <n v="8"/>
    <n v="11.81"/>
    <x v="45"/>
    <s v="763051-92-9"/>
    <x v="45"/>
    <n v="0.42371157800867509"/>
  </r>
  <r>
    <s v="PU017-JBA-08132021"/>
    <s v="Spill"/>
    <x v="0"/>
    <s v="Pumpkinseed"/>
    <s v="Lepomis"/>
    <s v="gibbosus"/>
    <s v="U"/>
    <x v="0"/>
    <n v="8"/>
    <n v="11.81"/>
    <x v="46"/>
    <s v="13252-13-6"/>
    <x v="46"/>
    <n v="0.77163136200709781"/>
  </r>
  <r>
    <s v="PU017-JBA-08132021"/>
    <s v="Spill"/>
    <x v="0"/>
    <s v="Pumpkinseed"/>
    <s v="Lepomis"/>
    <s v="gibbosus"/>
    <s v="U"/>
    <x v="0"/>
    <n v="8"/>
    <n v="11.81"/>
    <x v="47"/>
    <s v="57677-95-9"/>
    <x v="47"/>
    <n v="0.57240945053233439"/>
  </r>
  <r>
    <s v="PU017-JBA-08132021"/>
    <s v="Spill"/>
    <x v="0"/>
    <s v="Pumpkinseed"/>
    <s v="Lepomis"/>
    <s v="gibbosus"/>
    <s v="U"/>
    <x v="0"/>
    <n v="8"/>
    <n v="11.81"/>
    <x v="48"/>
    <s v="678-41-1"/>
    <x v="48"/>
    <n v="0.71290543851340693"/>
  </r>
  <r>
    <s v="PU017-JBA-08132021"/>
    <s v="Spill"/>
    <x v="0"/>
    <s v="Pumpkinseed"/>
    <s v="Lepomis"/>
    <s v="gibbosus"/>
    <s v="U"/>
    <x v="0"/>
    <n v="8"/>
    <n v="11.81"/>
    <x v="49"/>
    <s v="2965-52-8"/>
    <x v="49"/>
    <n v="0.94637223974763418"/>
  </r>
  <r>
    <s v="PU018-JBA-08132021"/>
    <s v="Spill"/>
    <x v="0"/>
    <s v="Pumpkinseed"/>
    <s v="Lepomis"/>
    <s v="gibbosus"/>
    <s v="U"/>
    <x v="0"/>
    <n v="8"/>
    <n v="11.81"/>
    <x v="0"/>
    <s v="375-22-4"/>
    <x v="0"/>
    <n v="2.8605755478002173E-2"/>
  </r>
  <r>
    <s v="PU018-JBA-08132021"/>
    <s v="Spill"/>
    <x v="0"/>
    <s v="Pumpkinseed"/>
    <s v="Lepomis"/>
    <s v="gibbosus"/>
    <s v="U"/>
    <x v="0"/>
    <n v="8"/>
    <n v="11.81"/>
    <x v="1"/>
    <s v="2706-90-3"/>
    <x v="1"/>
    <n v="5.052786868942731E-2"/>
  </r>
  <r>
    <s v="PU018-JBA-08132021"/>
    <s v="Spill"/>
    <x v="0"/>
    <s v="Pumpkinseed"/>
    <s v="Lepomis"/>
    <s v="gibbosus"/>
    <s v="U"/>
    <x v="0"/>
    <n v="8"/>
    <n v="11.81"/>
    <x v="2"/>
    <s v="307-24-4"/>
    <x v="2"/>
    <n v="0.11991954727369643"/>
  </r>
  <r>
    <s v="PU018-JBA-08132021"/>
    <s v="Spill"/>
    <x v="0"/>
    <s v="Pumpkinseed"/>
    <s v="Lepomis"/>
    <s v="gibbosus"/>
    <s v="U"/>
    <x v="0"/>
    <n v="8"/>
    <n v="11.81"/>
    <x v="3"/>
    <s v="375-85-9"/>
    <x v="3"/>
    <n v="2.8605755478002173E-2"/>
  </r>
  <r>
    <s v="PU018-JBA-08132021"/>
    <s v="Spill"/>
    <x v="0"/>
    <s v="Pumpkinseed"/>
    <s v="Lepomis"/>
    <s v="gibbosus"/>
    <s v="U"/>
    <x v="0"/>
    <n v="8"/>
    <n v="11.81"/>
    <x v="4"/>
    <s v="335-67-1"/>
    <x v="4"/>
    <n v="8.8880110606359863E-2"/>
  </r>
  <r>
    <s v="PU018-JBA-08132021"/>
    <s v="Spill"/>
    <x v="0"/>
    <s v="Pumpkinseed"/>
    <s v="Lepomis"/>
    <s v="gibbosus"/>
    <s v="U"/>
    <x v="0"/>
    <n v="8"/>
    <n v="11.81"/>
    <x v="5"/>
    <s v="375-95-1"/>
    <x v="5"/>
    <n v="0.15377265878890972"/>
  </r>
  <r>
    <s v="PU018-JBA-08132021"/>
    <s v="Spill"/>
    <x v="0"/>
    <s v="Pumpkinseed"/>
    <s v="Lepomis"/>
    <s v="gibbosus"/>
    <s v="U"/>
    <x v="0"/>
    <n v="8"/>
    <n v="11.81"/>
    <x v="6"/>
    <s v="335-76-2"/>
    <x v="6"/>
    <n v="2.2599999999999998"/>
  </r>
  <r>
    <s v="PU018-JBA-08132021"/>
    <s v="Spill"/>
    <x v="0"/>
    <s v="Pumpkinseed"/>
    <s v="Lepomis"/>
    <s v="gibbosus"/>
    <s v="U"/>
    <x v="0"/>
    <n v="8"/>
    <n v="11.81"/>
    <x v="7"/>
    <s v="2058-94-8"/>
    <x v="7"/>
    <n v="2.4300000000000002"/>
  </r>
  <r>
    <s v="PU018-JBA-08132021"/>
    <s v="Spill"/>
    <x v="0"/>
    <s v="Pumpkinseed"/>
    <s v="Lepomis"/>
    <s v="gibbosus"/>
    <s v="U"/>
    <x v="0"/>
    <n v="8"/>
    <n v="11.81"/>
    <x v="8"/>
    <s v="307-55-1"/>
    <x v="8"/>
    <n v="22.1"/>
  </r>
  <r>
    <s v="PU018-JBA-08132021"/>
    <s v="Spill"/>
    <x v="0"/>
    <s v="Pumpkinseed"/>
    <s v="Lepomis"/>
    <s v="gibbosus"/>
    <s v="U"/>
    <x v="0"/>
    <n v="8"/>
    <n v="11.81"/>
    <x v="9"/>
    <s v="72629-94-8"/>
    <x v="9"/>
    <n v="2.69"/>
  </r>
  <r>
    <s v="PU018-JBA-08132021"/>
    <s v="Spill"/>
    <x v="0"/>
    <s v="Pumpkinseed"/>
    <s v="Lepomis"/>
    <s v="gibbosus"/>
    <s v="U"/>
    <x v="0"/>
    <n v="8"/>
    <n v="11.81"/>
    <x v="10"/>
    <s v="376-06-7"/>
    <x v="10"/>
    <n v="4.75"/>
  </r>
  <r>
    <s v="PU018-JBA-08132021"/>
    <s v="Spill"/>
    <x v="0"/>
    <s v="Pumpkinseed"/>
    <s v="Lepomis"/>
    <s v="gibbosus"/>
    <s v="U"/>
    <x v="0"/>
    <n v="8"/>
    <n v="11.81"/>
    <x v="11"/>
    <s v="67905-19-5"/>
    <x v="11"/>
    <n v="8.5230858568281942E-2"/>
  </r>
  <r>
    <s v="PU018-JBA-08132021"/>
    <s v="Spill"/>
    <x v="0"/>
    <s v="Pumpkinseed"/>
    <s v="Lepomis"/>
    <s v="gibbosus"/>
    <s v="U"/>
    <x v="0"/>
    <n v="8"/>
    <n v="11.81"/>
    <x v="12"/>
    <s v="423-41-6"/>
    <x v="12"/>
    <n v="5.4562134350220268E-2"/>
  </r>
  <r>
    <s v="PU018-JBA-08132021"/>
    <s v="Spill"/>
    <x v="0"/>
    <s v="Pumpkinseed"/>
    <s v="Lepomis"/>
    <s v="gibbosus"/>
    <s v="U"/>
    <x v="0"/>
    <n v="8"/>
    <n v="11.81"/>
    <x v="13"/>
    <s v="375-73-5"/>
    <x v="13"/>
    <n v="4.8673359416299557E-2"/>
  </r>
  <r>
    <s v="PU018-JBA-08132021"/>
    <s v="Spill"/>
    <x v="0"/>
    <s v="Pumpkinseed"/>
    <s v="Lepomis"/>
    <s v="gibbosus"/>
    <s v="U"/>
    <x v="0"/>
    <n v="8"/>
    <n v="11.81"/>
    <x v="14"/>
    <s v="2706-91-4"/>
    <x v="14"/>
    <n v="0.11766503145592536"/>
  </r>
  <r>
    <s v="PU018-JBA-08132021"/>
    <s v="Spill"/>
    <x v="0"/>
    <s v="Pumpkinseed"/>
    <s v="Lepomis"/>
    <s v="gibbosus"/>
    <s v="U"/>
    <x v="0"/>
    <n v="8"/>
    <n v="11.81"/>
    <x v="15"/>
    <s v="355-46-4"/>
    <x v="15"/>
    <n v="6.16"/>
  </r>
  <r>
    <s v="PU018-JBA-08132021"/>
    <s v="Spill"/>
    <x v="0"/>
    <s v="Pumpkinseed"/>
    <s v="Lepomis"/>
    <s v="gibbosus"/>
    <s v="U"/>
    <x v="0"/>
    <n v="8"/>
    <n v="11.81"/>
    <x v="16"/>
    <s v="375-92-8"/>
    <x v="16"/>
    <n v="0.22220027651589969"/>
  </r>
  <r>
    <s v="PU018-JBA-08132021"/>
    <s v="Spill"/>
    <x v="0"/>
    <s v="Pumpkinseed"/>
    <s v="Lepomis"/>
    <s v="gibbosus"/>
    <s v="U"/>
    <x v="0"/>
    <n v="8"/>
    <n v="11.81"/>
    <x v="17"/>
    <s v="1763-23-1"/>
    <x v="17"/>
    <n v="534"/>
  </r>
  <r>
    <s v="PU018-JBA-08132021"/>
    <s v="Spill"/>
    <x v="0"/>
    <s v="Pumpkinseed"/>
    <s v="Lepomis"/>
    <s v="gibbosus"/>
    <s v="U"/>
    <x v="0"/>
    <n v="8"/>
    <n v="11.81"/>
    <x v="18"/>
    <s v="68259-12-1"/>
    <x v="18"/>
    <n v="0.42399999999999999"/>
  </r>
  <r>
    <s v="PU018-JBA-08132021"/>
    <s v="Spill"/>
    <x v="0"/>
    <s v="Pumpkinseed"/>
    <s v="Lepomis"/>
    <s v="gibbosus"/>
    <s v="U"/>
    <x v="0"/>
    <n v="8"/>
    <n v="11.81"/>
    <x v="19"/>
    <s v="335-77-3"/>
    <x v="19"/>
    <n v="0.58199999999999996"/>
  </r>
  <r>
    <s v="PU018-JBA-08132021"/>
    <s v="Spill"/>
    <x v="0"/>
    <s v="Pumpkinseed"/>
    <s v="Lepomis"/>
    <s v="gibbosus"/>
    <s v="U"/>
    <x v="0"/>
    <n v="8"/>
    <n v="11.81"/>
    <x v="20"/>
    <s v="79780-39-5"/>
    <x v="20"/>
    <n v="0.23761436835023703"/>
  </r>
  <r>
    <s v="PU018-JBA-08132021"/>
    <s v="Spill"/>
    <x v="0"/>
    <s v="Pumpkinseed"/>
    <s v="Lepomis"/>
    <s v="gibbosus"/>
    <s v="U"/>
    <x v="0"/>
    <n v="8"/>
    <n v="11.81"/>
    <x v="21"/>
    <s v="777011-38-8"/>
    <x v="21"/>
    <n v="0.13502759556677857"/>
  </r>
  <r>
    <s v="PU018-JBA-08132021"/>
    <s v="Spill"/>
    <x v="0"/>
    <s v="Pumpkinseed"/>
    <s v="Lepomis"/>
    <s v="gibbosus"/>
    <s v="U"/>
    <x v="0"/>
    <n v="8"/>
    <n v="11.81"/>
    <x v="22"/>
    <s v="646-83-3"/>
    <x v="22"/>
    <n v="8.8880110606359863E-2"/>
  </r>
  <r>
    <s v="PU018-JBA-08132021"/>
    <s v="Spill"/>
    <x v="0"/>
    <s v="Pumpkinseed"/>
    <s v="Lepomis"/>
    <s v="gibbosus"/>
    <s v="U"/>
    <x v="0"/>
    <n v="8"/>
    <n v="11.81"/>
    <x v="23"/>
    <s v="30334-69-1"/>
    <x v="23"/>
    <n v="14.1"/>
  </r>
  <r>
    <s v="PU018-JBA-08132021"/>
    <s v="Spill"/>
    <x v="0"/>
    <s v="Pumpkinseed"/>
    <s v="Lepomis"/>
    <s v="gibbosus"/>
    <s v="U"/>
    <x v="0"/>
    <n v="8"/>
    <n v="11.81"/>
    <x v="24"/>
    <s v="41997-13-1"/>
    <x v="24"/>
    <n v="38.200000000000003"/>
  </r>
  <r>
    <s v="PU018-JBA-08132021"/>
    <s v="Spill"/>
    <x v="0"/>
    <s v="Pumpkinseed"/>
    <s v="Lepomis"/>
    <s v="gibbosus"/>
    <s v="U"/>
    <x v="0"/>
    <n v="8"/>
    <n v="11.81"/>
    <x v="25"/>
    <s v="754-91-6"/>
    <x v="25"/>
    <n v="13"/>
  </r>
  <r>
    <s v="PU018-JBA-08132021"/>
    <s v="Spill"/>
    <x v="0"/>
    <s v="Pumpkinseed"/>
    <s v="Lepomis"/>
    <s v="gibbosus"/>
    <s v="U"/>
    <x v="0"/>
    <n v="8"/>
    <n v="11.81"/>
    <x v="26"/>
    <s v="31506-32-8"/>
    <x v="26"/>
    <n v="5.5093485726872241E-2"/>
  </r>
  <r>
    <s v="PU018-JBA-08132021"/>
    <s v="Spill"/>
    <x v="0"/>
    <s v="Pumpkinseed"/>
    <s v="Lepomis"/>
    <s v="gibbosus"/>
    <s v="U"/>
    <x v="0"/>
    <n v="8"/>
    <n v="11.81"/>
    <x v="27"/>
    <s v="4151-50-2"/>
    <x v="27"/>
    <n v="8.3454299900881046E-2"/>
  </r>
  <r>
    <s v="PU018-JBA-08132021"/>
    <s v="Spill"/>
    <x v="0"/>
    <s v="Pumpkinseed"/>
    <s v="Lepomis"/>
    <s v="gibbosus"/>
    <s v="U"/>
    <x v="0"/>
    <n v="8"/>
    <n v="11.81"/>
    <x v="28"/>
    <s v="2806-24-8"/>
    <x v="28"/>
    <n v="5.6370159317180611E-2"/>
  </r>
  <r>
    <s v="PU018-JBA-08132021"/>
    <s v="Spill"/>
    <x v="0"/>
    <s v="Pumpkinseed"/>
    <s v="Lepomis"/>
    <s v="gibbosus"/>
    <s v="U"/>
    <x v="0"/>
    <n v="8"/>
    <n v="11.81"/>
    <x v="29"/>
    <s v="2355-31-9"/>
    <x v="29"/>
    <n v="7.76"/>
  </r>
  <r>
    <s v="PU018-JBA-08132021"/>
    <s v="Spill"/>
    <x v="0"/>
    <s v="Pumpkinseed"/>
    <s v="Lepomis"/>
    <s v="gibbosus"/>
    <s v="U"/>
    <x v="0"/>
    <n v="8"/>
    <n v="11.81"/>
    <x v="30"/>
    <s v="2991-50-6"/>
    <x v="30"/>
    <n v="6.2073807522026417E-2"/>
  </r>
  <r>
    <s v="PU018-JBA-08132021"/>
    <s v="Spill"/>
    <x v="0"/>
    <s v="Pumpkinseed"/>
    <s v="Lepomis"/>
    <s v="gibbosus"/>
    <s v="U"/>
    <x v="0"/>
    <n v="8"/>
    <n v="11.81"/>
    <x v="31"/>
    <s v="757124-72-4"/>
    <x v="31"/>
    <n v="5.8741097312775326E-2"/>
  </r>
  <r>
    <s v="PU018-JBA-08132021"/>
    <s v="Spill"/>
    <x v="0"/>
    <s v="Pumpkinseed"/>
    <s v="Lepomis"/>
    <s v="gibbosus"/>
    <s v="U"/>
    <x v="0"/>
    <n v="8"/>
    <n v="11.81"/>
    <x v="32"/>
    <s v="27619-97-2"/>
    <x v="32"/>
    <n v="0.1341504534456992"/>
  </r>
  <r>
    <s v="PU018-JBA-08132021"/>
    <s v="Spill"/>
    <x v="0"/>
    <s v="Pumpkinseed"/>
    <s v="Lepomis"/>
    <s v="gibbosus"/>
    <s v="U"/>
    <x v="0"/>
    <n v="8"/>
    <n v="11.81"/>
    <x v="33"/>
    <s v="39108-34-4"/>
    <x v="33"/>
    <n v="1.24"/>
  </r>
  <r>
    <s v="PU018-JBA-08132021"/>
    <s v="Spill"/>
    <x v="0"/>
    <s v="Pumpkinseed"/>
    <s v="Lepomis"/>
    <s v="gibbosus"/>
    <s v="U"/>
    <x v="0"/>
    <n v="8"/>
    <n v="11.81"/>
    <x v="34"/>
    <s v="120226-60-0"/>
    <x v="34"/>
    <n v="8.1202123348017616E-2"/>
  </r>
  <r>
    <s v="PU018-JBA-08132021"/>
    <s v="Spill"/>
    <x v="0"/>
    <s v="Pumpkinseed"/>
    <s v="Lepomis"/>
    <s v="gibbosus"/>
    <s v="U"/>
    <x v="0"/>
    <n v="8"/>
    <n v="11.81"/>
    <x v="35"/>
    <s v="356-02-5"/>
    <x v="35"/>
    <n v="8.2491049724669599E-2"/>
  </r>
  <r>
    <s v="PU018-JBA-08132021"/>
    <s v="Spill"/>
    <x v="0"/>
    <s v="Pumpkinseed"/>
    <s v="Lepomis"/>
    <s v="gibbosus"/>
    <s v="U"/>
    <x v="0"/>
    <n v="8"/>
    <n v="11.81"/>
    <x v="36"/>
    <s v="914637-49-3"/>
    <x v="36"/>
    <n v="2.73"/>
  </r>
  <r>
    <s v="PU018-JBA-08132021"/>
    <s v="Spill"/>
    <x v="0"/>
    <s v="Pumpkinseed"/>
    <s v="Lepomis"/>
    <s v="gibbosus"/>
    <s v="U"/>
    <x v="0"/>
    <n v="8"/>
    <n v="11.81"/>
    <x v="37"/>
    <s v="812-70-4"/>
    <x v="37"/>
    <n v="49.4"/>
  </r>
  <r>
    <s v="PU018-JBA-08132021"/>
    <s v="Spill"/>
    <x v="0"/>
    <s v="Pumpkinseed"/>
    <s v="Lepomis"/>
    <s v="gibbosus"/>
    <s v="U"/>
    <x v="0"/>
    <n v="8"/>
    <n v="11.81"/>
    <x v="38"/>
    <s v="53826-12-3"/>
    <x v="38"/>
    <n v="4.1100000000000003"/>
  </r>
  <r>
    <s v="PU018-JBA-08132021"/>
    <s v="Spill"/>
    <x v="0"/>
    <s v="Pumpkinseed"/>
    <s v="Lepomis"/>
    <s v="gibbosus"/>
    <s v="U"/>
    <x v="0"/>
    <n v="8"/>
    <n v="11.81"/>
    <x v="39"/>
    <s v="27854-31-5"/>
    <x v="39"/>
    <n v="1.02"/>
  </r>
  <r>
    <s v="PU018-JBA-08132021"/>
    <s v="Spill"/>
    <x v="0"/>
    <s v="Pumpkinseed"/>
    <s v="Lepomis"/>
    <s v="gibbosus"/>
    <s v="U"/>
    <x v="0"/>
    <n v="8"/>
    <n v="11.81"/>
    <x v="40"/>
    <s v="53826-13-4"/>
    <x v="40"/>
    <n v="0.10671323501101321"/>
  </r>
  <r>
    <s v="PU018-JBA-08132021"/>
    <s v="Spill"/>
    <x v="0"/>
    <s v="Pumpkinseed"/>
    <s v="Lepomis"/>
    <s v="gibbosus"/>
    <s v="U"/>
    <x v="0"/>
    <n v="8"/>
    <n v="11.81"/>
    <x v="41"/>
    <s v="161094-75-3"/>
    <x v="41"/>
    <n v="5.6152851145374445E-2"/>
  </r>
  <r>
    <s v="PU018-JBA-08132021"/>
    <s v="Spill"/>
    <x v="0"/>
    <s v="Pumpkinseed"/>
    <s v="Lepomis"/>
    <s v="gibbosus"/>
    <s v="U"/>
    <x v="0"/>
    <n v="8"/>
    <n v="11.81"/>
    <x v="42"/>
    <s v="70887-84-2"/>
    <x v="42"/>
    <n v="4.3216468979074892E-2"/>
  </r>
  <r>
    <s v="PU018-JBA-08132021"/>
    <s v="Spill"/>
    <x v="0"/>
    <s v="Pumpkinseed"/>
    <s v="Lepomis"/>
    <s v="gibbosus"/>
    <s v="U"/>
    <x v="0"/>
    <n v="8"/>
    <n v="11.81"/>
    <x v="43"/>
    <s v="919005-14-4"/>
    <x v="43"/>
    <n v="7.151438869500544E-2"/>
  </r>
  <r>
    <s v="PU018-JBA-08132021"/>
    <s v="Spill"/>
    <x v="0"/>
    <s v="Pumpkinseed"/>
    <s v="Lepomis"/>
    <s v="gibbosus"/>
    <s v="U"/>
    <x v="0"/>
    <n v="8"/>
    <n v="11.81"/>
    <x v="44"/>
    <s v="756426-58-1"/>
    <x v="44"/>
    <n v="4.9638611993392076E-2"/>
  </r>
  <r>
    <s v="PU018-JBA-08132021"/>
    <s v="Spill"/>
    <x v="0"/>
    <s v="Pumpkinseed"/>
    <s v="Lepomis"/>
    <s v="gibbosus"/>
    <s v="U"/>
    <x v="0"/>
    <n v="8"/>
    <n v="11.81"/>
    <x v="45"/>
    <s v="763051-92-9"/>
    <x v="45"/>
    <n v="5.6352662147577094E-2"/>
  </r>
  <r>
    <s v="PU018-JBA-08132021"/>
    <s v="Spill"/>
    <x v="0"/>
    <s v="Pumpkinseed"/>
    <s v="Lepomis"/>
    <s v="gibbosus"/>
    <s v="U"/>
    <x v="0"/>
    <n v="8"/>
    <n v="11.81"/>
    <x v="46"/>
    <s v="13252-13-6"/>
    <x v="46"/>
    <n v="0.10262519058370044"/>
  </r>
  <r>
    <s v="PU018-JBA-08132021"/>
    <s v="Spill"/>
    <x v="0"/>
    <s v="Pumpkinseed"/>
    <s v="Lepomis"/>
    <s v="gibbosus"/>
    <s v="U"/>
    <x v="0"/>
    <n v="8"/>
    <n v="11.81"/>
    <x v="47"/>
    <s v="57677-95-9"/>
    <x v="47"/>
    <n v="7.6129136068281936E-2"/>
  </r>
  <r>
    <s v="PU018-JBA-08132021"/>
    <s v="Spill"/>
    <x v="0"/>
    <s v="Pumpkinseed"/>
    <s v="Lepomis"/>
    <s v="gibbosus"/>
    <s v="U"/>
    <x v="0"/>
    <n v="8"/>
    <n v="11.81"/>
    <x v="48"/>
    <s v="678-41-1"/>
    <x v="48"/>
    <n v="9.4814778270925104E-2"/>
  </r>
  <r>
    <s v="PU018-JBA-08132021"/>
    <s v="Spill"/>
    <x v="0"/>
    <s v="Pumpkinseed"/>
    <s v="Lepomis"/>
    <s v="gibbosus"/>
    <s v="U"/>
    <x v="0"/>
    <n v="8"/>
    <n v="11.81"/>
    <x v="49"/>
    <s v="2965-52-8"/>
    <x v="49"/>
    <n v="0.12586532410320955"/>
  </r>
  <r>
    <s v="PU019-JBA-08132021"/>
    <s v="Spill"/>
    <x v="0"/>
    <s v="Pumpkinseed"/>
    <s v="Lepomis"/>
    <s v="gibbosus"/>
    <s v="U"/>
    <x v="0"/>
    <n v="8"/>
    <n v="11.81"/>
    <x v="0"/>
    <s v="375-22-4"/>
    <x v="0"/>
    <n v="9.6774193548387094E-2"/>
  </r>
  <r>
    <s v="PU019-JBA-08132021"/>
    <s v="Spill"/>
    <x v="0"/>
    <s v="Pumpkinseed"/>
    <s v="Lepomis"/>
    <s v="gibbosus"/>
    <s v="U"/>
    <x v="0"/>
    <n v="8"/>
    <n v="11.81"/>
    <x v="1"/>
    <s v="2706-90-3"/>
    <x v="1"/>
    <n v="4.7573839629172436E-2"/>
  </r>
  <r>
    <s v="PU019-JBA-08132021"/>
    <s v="Spill"/>
    <x v="0"/>
    <s v="Pumpkinseed"/>
    <s v="Lepomis"/>
    <s v="gibbosus"/>
    <s v="U"/>
    <x v="0"/>
    <n v="8"/>
    <n v="11.81"/>
    <x v="2"/>
    <s v="307-24-4"/>
    <x v="2"/>
    <n v="0.13057046620359675"/>
  </r>
  <r>
    <s v="PU019-JBA-08132021"/>
    <s v="Spill"/>
    <x v="0"/>
    <s v="Pumpkinseed"/>
    <s v="Lepomis"/>
    <s v="gibbosus"/>
    <s v="U"/>
    <x v="0"/>
    <n v="8"/>
    <n v="11.81"/>
    <x v="3"/>
    <s v="375-85-9"/>
    <x v="3"/>
    <n v="9.6774193548387094E-2"/>
  </r>
  <r>
    <s v="PU019-JBA-08132021"/>
    <s v="Spill"/>
    <x v="0"/>
    <s v="Pumpkinseed"/>
    <s v="Lepomis"/>
    <s v="gibbosus"/>
    <s v="U"/>
    <x v="0"/>
    <n v="8"/>
    <n v="11.81"/>
    <x v="4"/>
    <s v="335-67-1"/>
    <x v="4"/>
    <n v="1.28"/>
  </r>
  <r>
    <s v="PU019-JBA-08132021"/>
    <s v="Spill"/>
    <x v="0"/>
    <s v="Pumpkinseed"/>
    <s v="Lepomis"/>
    <s v="gibbosus"/>
    <s v="U"/>
    <x v="0"/>
    <n v="8"/>
    <n v="11.81"/>
    <x v="5"/>
    <s v="375-95-1"/>
    <x v="5"/>
    <n v="2.2400000000000002"/>
  </r>
  <r>
    <s v="PU019-JBA-08132021"/>
    <s v="Spill"/>
    <x v="0"/>
    <s v="Pumpkinseed"/>
    <s v="Lepomis"/>
    <s v="gibbosus"/>
    <s v="U"/>
    <x v="0"/>
    <n v="8"/>
    <n v="11.81"/>
    <x v="6"/>
    <s v="335-76-2"/>
    <x v="6"/>
    <n v="3.92"/>
  </r>
  <r>
    <s v="PU019-JBA-08132021"/>
    <s v="Spill"/>
    <x v="0"/>
    <s v="Pumpkinseed"/>
    <s v="Lepomis"/>
    <s v="gibbosus"/>
    <s v="U"/>
    <x v="0"/>
    <n v="8"/>
    <n v="11.81"/>
    <x v="7"/>
    <s v="2058-94-8"/>
    <x v="7"/>
    <n v="7.67"/>
  </r>
  <r>
    <s v="PU019-JBA-08132021"/>
    <s v="Spill"/>
    <x v="0"/>
    <s v="Pumpkinseed"/>
    <s v="Lepomis"/>
    <s v="gibbosus"/>
    <s v="U"/>
    <x v="0"/>
    <n v="8"/>
    <n v="11.81"/>
    <x v="8"/>
    <s v="307-55-1"/>
    <x v="8"/>
    <n v="5.376168469731385E-2"/>
  </r>
  <r>
    <s v="PU019-JBA-08132021"/>
    <s v="Spill"/>
    <x v="0"/>
    <s v="Pumpkinseed"/>
    <s v="Lepomis"/>
    <s v="gibbosus"/>
    <s v="U"/>
    <x v="0"/>
    <n v="8"/>
    <n v="11.81"/>
    <x v="9"/>
    <s v="72629-94-8"/>
    <x v="9"/>
    <n v="2.65"/>
  </r>
  <r>
    <s v="PU019-JBA-08132021"/>
    <s v="Spill"/>
    <x v="0"/>
    <s v="Pumpkinseed"/>
    <s v="Lepomis"/>
    <s v="gibbosus"/>
    <s v="U"/>
    <x v="0"/>
    <n v="8"/>
    <n v="11.81"/>
    <x v="10"/>
    <s v="376-06-7"/>
    <x v="10"/>
    <n v="7.67"/>
  </r>
  <r>
    <s v="PU019-JBA-08132021"/>
    <s v="Spill"/>
    <x v="0"/>
    <s v="Pumpkinseed"/>
    <s v="Lepomis"/>
    <s v="gibbosus"/>
    <s v="U"/>
    <x v="0"/>
    <n v="8"/>
    <n v="11.81"/>
    <x v="11"/>
    <s v="67905-19-5"/>
    <x v="11"/>
    <n v="8.0247976060635981E-2"/>
  </r>
  <r>
    <s v="PU019-JBA-08132021"/>
    <s v="Spill"/>
    <x v="0"/>
    <s v="Pumpkinseed"/>
    <s v="Lepomis"/>
    <s v="gibbosus"/>
    <s v="U"/>
    <x v="0"/>
    <n v="8"/>
    <n v="11.81"/>
    <x v="12"/>
    <s v="423-41-6"/>
    <x v="12"/>
    <n v="5.137224855767332E-2"/>
  </r>
  <r>
    <s v="PU019-JBA-08132021"/>
    <s v="Spill"/>
    <x v="0"/>
    <s v="Pumpkinseed"/>
    <s v="Lepomis"/>
    <s v="gibbosus"/>
    <s v="U"/>
    <x v="0"/>
    <n v="8"/>
    <n v="11.81"/>
    <x v="13"/>
    <s v="375-73-5"/>
    <x v="13"/>
    <n v="4.5827751202350386E-2"/>
  </r>
  <r>
    <s v="PU019-JBA-08132021"/>
    <s v="Spill"/>
    <x v="0"/>
    <s v="Pumpkinseed"/>
    <s v="Lepomis"/>
    <s v="gibbosus"/>
    <s v="U"/>
    <x v="0"/>
    <n v="8"/>
    <n v="11.81"/>
    <x v="14"/>
    <s v="2706-91-4"/>
    <x v="14"/>
    <n v="0.12811571059383869"/>
  </r>
  <r>
    <s v="PU019-JBA-08132021"/>
    <s v="Spill"/>
    <x v="0"/>
    <s v="Pumpkinseed"/>
    <s v="Lepomis"/>
    <s v="gibbosus"/>
    <s v="U"/>
    <x v="0"/>
    <n v="8"/>
    <n v="11.81"/>
    <x v="15"/>
    <s v="355-46-4"/>
    <x v="15"/>
    <n v="23.2"/>
  </r>
  <r>
    <s v="PU019-JBA-08132021"/>
    <s v="Spill"/>
    <x v="0"/>
    <s v="Pumpkinseed"/>
    <s v="Lepomis"/>
    <s v="gibbosus"/>
    <s v="U"/>
    <x v="0"/>
    <n v="8"/>
    <n v="11.81"/>
    <x v="16"/>
    <s v="375-92-8"/>
    <x v="16"/>
    <n v="1.18"/>
  </r>
  <r>
    <s v="PU019-JBA-08132021"/>
    <s v="Spill"/>
    <x v="0"/>
    <s v="Pumpkinseed"/>
    <s v="Lepomis"/>
    <s v="gibbosus"/>
    <s v="U"/>
    <x v="0"/>
    <n v="8"/>
    <n v="11.81"/>
    <x v="17"/>
    <s v="1763-23-1"/>
    <x v="17"/>
    <n v="767"/>
  </r>
  <r>
    <s v="PU019-JBA-08132021"/>
    <s v="Spill"/>
    <x v="0"/>
    <s v="Pumpkinseed"/>
    <s v="Lepomis"/>
    <s v="gibbosus"/>
    <s v="U"/>
    <x v="0"/>
    <n v="8"/>
    <n v="11.81"/>
    <x v="18"/>
    <s v="68259-12-1"/>
    <x v="18"/>
    <n v="0.85"/>
  </r>
  <r>
    <s v="PU019-JBA-08132021"/>
    <s v="Spill"/>
    <x v="0"/>
    <s v="Pumpkinseed"/>
    <s v="Lepomis"/>
    <s v="gibbosus"/>
    <s v="U"/>
    <x v="0"/>
    <n v="8"/>
    <n v="11.81"/>
    <x v="19"/>
    <s v="335-77-3"/>
    <x v="19"/>
    <n v="0.998"/>
  </r>
  <r>
    <s v="PU019-JBA-08132021"/>
    <s v="Spill"/>
    <x v="0"/>
    <s v="Pumpkinseed"/>
    <s v="Lepomis"/>
    <s v="gibbosus"/>
    <s v="U"/>
    <x v="0"/>
    <n v="8"/>
    <n v="11.81"/>
    <x v="20"/>
    <s v="79780-39-5"/>
    <x v="20"/>
    <n v="0.25871861224887099"/>
  </r>
  <r>
    <s v="PU019-JBA-08132021"/>
    <s v="Spill"/>
    <x v="0"/>
    <s v="Pumpkinseed"/>
    <s v="Lepomis"/>
    <s v="gibbosus"/>
    <s v="U"/>
    <x v="0"/>
    <n v="8"/>
    <n v="11.81"/>
    <x v="21"/>
    <s v="777011-38-8"/>
    <x v="21"/>
    <n v="0.14702036910851612"/>
  </r>
  <r>
    <s v="PU019-JBA-08132021"/>
    <s v="Spill"/>
    <x v="0"/>
    <s v="Pumpkinseed"/>
    <s v="Lepomis"/>
    <s v="gibbosus"/>
    <s v="U"/>
    <x v="0"/>
    <n v="8"/>
    <n v="11.81"/>
    <x v="22"/>
    <s v="646-83-3"/>
    <x v="22"/>
    <n v="9.6774193548387094E-2"/>
  </r>
  <r>
    <s v="PU019-JBA-08132021"/>
    <s v="Spill"/>
    <x v="0"/>
    <s v="Pumpkinseed"/>
    <s v="Lepomis"/>
    <s v="gibbosus"/>
    <s v="U"/>
    <x v="0"/>
    <n v="8"/>
    <n v="11.81"/>
    <x v="23"/>
    <s v="30334-69-1"/>
    <x v="23"/>
    <n v="36"/>
  </r>
  <r>
    <s v="PU019-JBA-08132021"/>
    <s v="Spill"/>
    <x v="0"/>
    <s v="Pumpkinseed"/>
    <s v="Lepomis"/>
    <s v="gibbosus"/>
    <s v="U"/>
    <x v="0"/>
    <n v="8"/>
    <n v="11.81"/>
    <x v="24"/>
    <s v="41997-13-1"/>
    <x v="24"/>
    <n v="65.599999999999994"/>
  </r>
  <r>
    <s v="PU019-JBA-08132021"/>
    <s v="Spill"/>
    <x v="0"/>
    <s v="Pumpkinseed"/>
    <s v="Lepomis"/>
    <s v="gibbosus"/>
    <s v="U"/>
    <x v="0"/>
    <n v="8"/>
    <n v="11.81"/>
    <x v="25"/>
    <s v="754-91-6"/>
    <x v="25"/>
    <n v="16.100000000000001"/>
  </r>
  <r>
    <s v="PU019-JBA-08132021"/>
    <s v="Spill"/>
    <x v="0"/>
    <s v="Pumpkinseed"/>
    <s v="Lepomis"/>
    <s v="gibbosus"/>
    <s v="U"/>
    <x v="0"/>
    <n v="8"/>
    <n v="11.81"/>
    <x v="26"/>
    <s v="31506-32-8"/>
    <x v="26"/>
    <n v="5.1872535346632435E-2"/>
  </r>
  <r>
    <s v="PU019-JBA-08132021"/>
    <s v="Spill"/>
    <x v="0"/>
    <s v="Pumpkinseed"/>
    <s v="Lepomis"/>
    <s v="gibbosus"/>
    <s v="U"/>
    <x v="0"/>
    <n v="8"/>
    <n v="11.81"/>
    <x v="27"/>
    <s v="4151-50-2"/>
    <x v="27"/>
    <n v="7.8575280985087897E-2"/>
  </r>
  <r>
    <s v="PU019-JBA-08132021"/>
    <s v="Spill"/>
    <x v="0"/>
    <s v="Pumpkinseed"/>
    <s v="Lepomis"/>
    <s v="gibbosus"/>
    <s v="U"/>
    <x v="0"/>
    <n v="8"/>
    <n v="11.81"/>
    <x v="28"/>
    <s v="2806-24-8"/>
    <x v="28"/>
    <n v="5.3074570307130163E-2"/>
  </r>
  <r>
    <s v="PU019-JBA-08132021"/>
    <s v="Spill"/>
    <x v="0"/>
    <s v="Pumpkinseed"/>
    <s v="Lepomis"/>
    <s v="gibbosus"/>
    <s v="U"/>
    <x v="0"/>
    <n v="8"/>
    <n v="11.81"/>
    <x v="29"/>
    <s v="2355-31-9"/>
    <x v="29"/>
    <n v="8.91"/>
  </r>
  <r>
    <s v="PU019-JBA-08132021"/>
    <s v="Spill"/>
    <x v="0"/>
    <s v="Pumpkinseed"/>
    <s v="Lepomis"/>
    <s v="gibbosus"/>
    <s v="U"/>
    <x v="0"/>
    <n v="8"/>
    <n v="11.81"/>
    <x v="30"/>
    <s v="2991-50-6"/>
    <x v="30"/>
    <n v="5.8444764064289945E-2"/>
  </r>
  <r>
    <s v="PU019-JBA-08132021"/>
    <s v="Spill"/>
    <x v="0"/>
    <s v="Pumpkinseed"/>
    <s v="Lepomis"/>
    <s v="gibbosus"/>
    <s v="U"/>
    <x v="0"/>
    <n v="8"/>
    <n v="11.81"/>
    <x v="31"/>
    <s v="757124-72-4"/>
    <x v="31"/>
    <n v="5.5306895297254591E-2"/>
  </r>
  <r>
    <s v="PU019-JBA-08132021"/>
    <s v="Spill"/>
    <x v="0"/>
    <s v="Pumpkinseed"/>
    <s v="Lepomis"/>
    <s v="gibbosus"/>
    <s v="U"/>
    <x v="0"/>
    <n v="8"/>
    <n v="11.81"/>
    <x v="32"/>
    <s v="27619-97-2"/>
    <x v="32"/>
    <n v="0.14606532167646774"/>
  </r>
  <r>
    <s v="PU019-JBA-08132021"/>
    <s v="Spill"/>
    <x v="0"/>
    <s v="Pumpkinseed"/>
    <s v="Lepomis"/>
    <s v="gibbosus"/>
    <s v="U"/>
    <x v="0"/>
    <n v="8"/>
    <n v="11.81"/>
    <x v="33"/>
    <s v="39108-34-4"/>
    <x v="33"/>
    <n v="1.82"/>
  </r>
  <r>
    <s v="PU019-JBA-08132021"/>
    <s v="Spill"/>
    <x v="0"/>
    <s v="Pumpkinseed"/>
    <s v="Lepomis"/>
    <s v="gibbosus"/>
    <s v="U"/>
    <x v="0"/>
    <n v="8"/>
    <n v="11.81"/>
    <x v="34"/>
    <s v="120226-60-0"/>
    <x v="34"/>
    <n v="0.27470940270967736"/>
  </r>
  <r>
    <s v="PU019-JBA-08132021"/>
    <s v="Spill"/>
    <x v="0"/>
    <s v="Pumpkinseed"/>
    <s v="Lepomis"/>
    <s v="gibbosus"/>
    <s v="U"/>
    <x v="0"/>
    <n v="8"/>
    <n v="11.81"/>
    <x v="35"/>
    <s v="356-02-5"/>
    <x v="35"/>
    <n v="7.7668345652281257E-2"/>
  </r>
  <r>
    <s v="PU019-JBA-08132021"/>
    <s v="Spill"/>
    <x v="0"/>
    <s v="Pumpkinseed"/>
    <s v="Lepomis"/>
    <s v="gibbosus"/>
    <s v="U"/>
    <x v="0"/>
    <n v="8"/>
    <n v="11.81"/>
    <x v="36"/>
    <s v="914637-49-3"/>
    <x v="36"/>
    <n v="5.0813516421094211E-2"/>
  </r>
  <r>
    <s v="PU019-JBA-08132021"/>
    <s v="Spill"/>
    <x v="0"/>
    <s v="Pumpkinseed"/>
    <s v="Lepomis"/>
    <s v="gibbosus"/>
    <s v="U"/>
    <x v="0"/>
    <n v="8"/>
    <n v="11.81"/>
    <x v="37"/>
    <s v="812-70-4"/>
    <x v="37"/>
    <n v="0.19483561161580643"/>
  </r>
  <r>
    <s v="PU019-JBA-08132021"/>
    <s v="Spill"/>
    <x v="0"/>
    <s v="Pumpkinseed"/>
    <s v="Lepomis"/>
    <s v="gibbosus"/>
    <s v="U"/>
    <x v="0"/>
    <n v="8"/>
    <n v="11.81"/>
    <x v="38"/>
    <s v="53826-12-3"/>
    <x v="38"/>
    <n v="2.99"/>
  </r>
  <r>
    <s v="PU019-JBA-08132021"/>
    <s v="Spill"/>
    <x v="0"/>
    <s v="Pumpkinseed"/>
    <s v="Lepomis"/>
    <s v="gibbosus"/>
    <s v="U"/>
    <x v="0"/>
    <n v="8"/>
    <n v="11.81"/>
    <x v="39"/>
    <s v="27854-31-5"/>
    <x v="39"/>
    <n v="2.6933366850412081E-2"/>
  </r>
  <r>
    <s v="PU019-JBA-08132021"/>
    <s v="Spill"/>
    <x v="0"/>
    <s v="Pumpkinseed"/>
    <s v="Lepomis"/>
    <s v="gibbosus"/>
    <s v="U"/>
    <x v="0"/>
    <n v="8"/>
    <n v="11.81"/>
    <x v="40"/>
    <s v="53826-13-4"/>
    <x v="40"/>
    <n v="0.10047442056043848"/>
  </r>
  <r>
    <s v="PU019-JBA-08132021"/>
    <s v="Spill"/>
    <x v="0"/>
    <s v="Pumpkinseed"/>
    <s v="Lepomis"/>
    <s v="gibbosus"/>
    <s v="U"/>
    <x v="0"/>
    <n v="8"/>
    <n v="11.81"/>
    <x v="41"/>
    <s v="161094-75-3"/>
    <x v="41"/>
    <n v="5.2869966701560335E-2"/>
  </r>
  <r>
    <s v="PU019-JBA-08132021"/>
    <s v="Spill"/>
    <x v="0"/>
    <s v="Pumpkinseed"/>
    <s v="Lepomis"/>
    <s v="gibbosus"/>
    <s v="U"/>
    <x v="0"/>
    <n v="8"/>
    <n v="11.81"/>
    <x v="42"/>
    <s v="70887-84-2"/>
    <x v="42"/>
    <n v="4.0689888924205019E-2"/>
  </r>
  <r>
    <s v="PU019-JBA-08132021"/>
    <s v="Spill"/>
    <x v="0"/>
    <s v="Pumpkinseed"/>
    <s v="Lepomis"/>
    <s v="gibbosus"/>
    <s v="U"/>
    <x v="0"/>
    <n v="8"/>
    <n v="11.81"/>
    <x v="43"/>
    <s v="919005-14-4"/>
    <x v="43"/>
    <n v="6.7333417126030207E-2"/>
  </r>
  <r>
    <s v="PU019-JBA-08132021"/>
    <s v="Spill"/>
    <x v="0"/>
    <s v="Pumpkinseed"/>
    <s v="Lepomis"/>
    <s v="gibbosus"/>
    <s v="U"/>
    <x v="0"/>
    <n v="8"/>
    <n v="11.81"/>
    <x v="44"/>
    <s v="756426-58-1"/>
    <x v="44"/>
    <n v="4.6736571868951221E-2"/>
  </r>
  <r>
    <s v="PU019-JBA-08132021"/>
    <s v="Spill"/>
    <x v="0"/>
    <s v="Pumpkinseed"/>
    <s v="Lepomis"/>
    <s v="gibbosus"/>
    <s v="U"/>
    <x v="0"/>
    <n v="8"/>
    <n v="11.81"/>
    <x v="45"/>
    <s v="763051-92-9"/>
    <x v="45"/>
    <n v="5.3058096080880905E-2"/>
  </r>
  <r>
    <s v="PU019-JBA-08132021"/>
    <s v="Spill"/>
    <x v="0"/>
    <s v="Pumpkinseed"/>
    <s v="Lepomis"/>
    <s v="gibbosus"/>
    <s v="U"/>
    <x v="0"/>
    <n v="8"/>
    <n v="11.81"/>
    <x v="46"/>
    <s v="13252-13-6"/>
    <x v="46"/>
    <n v="9.6625376952893569E-2"/>
  </r>
  <r>
    <s v="PU019-JBA-08132021"/>
    <s v="Spill"/>
    <x v="0"/>
    <s v="Pumpkinseed"/>
    <s v="Lepomis"/>
    <s v="gibbosus"/>
    <s v="U"/>
    <x v="0"/>
    <n v="8"/>
    <n v="11.81"/>
    <x v="47"/>
    <s v="57677-95-9"/>
    <x v="47"/>
    <n v="7.1678370854730403E-2"/>
  </r>
  <r>
    <s v="PU019-JBA-08132021"/>
    <s v="Spill"/>
    <x v="0"/>
    <s v="Pumpkinseed"/>
    <s v="Lepomis"/>
    <s v="gibbosus"/>
    <s v="U"/>
    <x v="0"/>
    <n v="8"/>
    <n v="11.81"/>
    <x v="48"/>
    <s v="678-41-1"/>
    <x v="48"/>
    <n v="8.9271587599743241E-2"/>
  </r>
  <r>
    <s v="PU019-JBA-08132021"/>
    <s v="Spill"/>
    <x v="0"/>
    <s v="Pumpkinseed"/>
    <s v="Lepomis"/>
    <s v="gibbosus"/>
    <s v="U"/>
    <x v="0"/>
    <n v="8"/>
    <n v="11.81"/>
    <x v="49"/>
    <s v="2965-52-8"/>
    <x v="49"/>
    <n v="0.11850681414181316"/>
  </r>
  <r>
    <s v="PU020-JBA-08132021"/>
    <s v="Spill"/>
    <x v="0"/>
    <s v="Pumpkinseed"/>
    <s v="Lepomis"/>
    <s v="gibbosus"/>
    <s v="U"/>
    <x v="0"/>
    <n v="8"/>
    <n v="11.81"/>
    <x v="0"/>
    <s v="375-22-4"/>
    <x v="0"/>
    <n v="8.9197224975223005E-2"/>
  </r>
  <r>
    <s v="PU020-JBA-08132021"/>
    <s v="Spill"/>
    <x v="0"/>
    <s v="Pumpkinseed"/>
    <s v="Lepomis"/>
    <s v="gibbosus"/>
    <s v="U"/>
    <x v="0"/>
    <n v="8"/>
    <n v="11.81"/>
    <x v="1"/>
    <s v="2706-90-3"/>
    <x v="1"/>
    <n v="5.1799215062903227E-2"/>
  </r>
  <r>
    <s v="PU020-JBA-08132021"/>
    <s v="Spill"/>
    <x v="0"/>
    <s v="Pumpkinseed"/>
    <s v="Lepomis"/>
    <s v="gibbosus"/>
    <s v="U"/>
    <x v="0"/>
    <n v="8"/>
    <n v="11.81"/>
    <x v="2"/>
    <s v="307-24-4"/>
    <x v="2"/>
    <n v="0.12034740690718039"/>
  </r>
  <r>
    <s v="PU020-JBA-08132021"/>
    <s v="Spill"/>
    <x v="0"/>
    <s v="Pumpkinseed"/>
    <s v="Lepomis"/>
    <s v="gibbosus"/>
    <s v="U"/>
    <x v="0"/>
    <n v="8"/>
    <n v="11.81"/>
    <x v="3"/>
    <s v="375-85-9"/>
    <x v="3"/>
    <n v="2.932551319648094E-2"/>
  </r>
  <r>
    <s v="PU020-JBA-08132021"/>
    <s v="Spill"/>
    <x v="0"/>
    <s v="Pumpkinseed"/>
    <s v="Lepomis"/>
    <s v="gibbosus"/>
    <s v="U"/>
    <x v="0"/>
    <n v="8"/>
    <n v="11.81"/>
    <x v="4"/>
    <s v="335-67-1"/>
    <x v="4"/>
    <n v="2.84"/>
  </r>
  <r>
    <s v="PU020-JBA-08132021"/>
    <s v="Spill"/>
    <x v="0"/>
    <s v="Pumpkinseed"/>
    <s v="Lepomis"/>
    <s v="gibbosus"/>
    <s v="U"/>
    <x v="0"/>
    <n v="8"/>
    <n v="11.81"/>
    <x v="5"/>
    <s v="375-95-1"/>
    <x v="5"/>
    <n v="3.67"/>
  </r>
  <r>
    <s v="PU020-JBA-08132021"/>
    <s v="Spill"/>
    <x v="0"/>
    <s v="Pumpkinseed"/>
    <s v="Lepomis"/>
    <s v="gibbosus"/>
    <s v="U"/>
    <x v="0"/>
    <n v="8"/>
    <n v="11.81"/>
    <x v="6"/>
    <s v="335-76-2"/>
    <x v="6"/>
    <n v="6.66"/>
  </r>
  <r>
    <s v="PU020-JBA-08132021"/>
    <s v="Spill"/>
    <x v="0"/>
    <s v="Pumpkinseed"/>
    <s v="Lepomis"/>
    <s v="gibbosus"/>
    <s v="U"/>
    <x v="0"/>
    <n v="8"/>
    <n v="11.81"/>
    <x v="7"/>
    <s v="2058-94-8"/>
    <x v="7"/>
    <n v="10.5"/>
  </r>
  <r>
    <s v="PU020-JBA-08132021"/>
    <s v="Spill"/>
    <x v="0"/>
    <s v="Pumpkinseed"/>
    <s v="Lepomis"/>
    <s v="gibbosus"/>
    <s v="U"/>
    <x v="0"/>
    <n v="8"/>
    <n v="11.81"/>
    <x v="8"/>
    <s v="307-55-1"/>
    <x v="8"/>
    <n v="5.853664723064516E-2"/>
  </r>
  <r>
    <s v="PU020-JBA-08132021"/>
    <s v="Spill"/>
    <x v="0"/>
    <s v="Pumpkinseed"/>
    <s v="Lepomis"/>
    <s v="gibbosus"/>
    <s v="U"/>
    <x v="0"/>
    <n v="8"/>
    <n v="11.81"/>
    <x v="9"/>
    <s v="72629-94-8"/>
    <x v="9"/>
    <n v="1.95"/>
  </r>
  <r>
    <s v="PU020-JBA-08132021"/>
    <s v="Spill"/>
    <x v="0"/>
    <s v="Pumpkinseed"/>
    <s v="Lepomis"/>
    <s v="gibbosus"/>
    <s v="U"/>
    <x v="0"/>
    <n v="8"/>
    <n v="11.81"/>
    <x v="10"/>
    <s v="376-06-7"/>
    <x v="10"/>
    <n v="8.61"/>
  </r>
  <r>
    <s v="PU020-JBA-08132021"/>
    <s v="Spill"/>
    <x v="0"/>
    <s v="Pumpkinseed"/>
    <s v="Lepomis"/>
    <s v="gibbosus"/>
    <s v="U"/>
    <x v="0"/>
    <n v="8"/>
    <n v="11.81"/>
    <x v="11"/>
    <s v="67905-19-5"/>
    <x v="11"/>
    <n v="8.7375376945161273E-2"/>
  </r>
  <r>
    <s v="PU020-JBA-08132021"/>
    <s v="Spill"/>
    <x v="0"/>
    <s v="Pumpkinseed"/>
    <s v="Lepomis"/>
    <s v="gibbosus"/>
    <s v="U"/>
    <x v="0"/>
    <n v="8"/>
    <n v="11.81"/>
    <x v="12"/>
    <s v="423-41-6"/>
    <x v="12"/>
    <n v="5.5934988053225797E-2"/>
  </r>
  <r>
    <s v="PU020-JBA-08132021"/>
    <s v="Spill"/>
    <x v="0"/>
    <s v="Pumpkinseed"/>
    <s v="Lepomis"/>
    <s v="gibbosus"/>
    <s v="U"/>
    <x v="0"/>
    <n v="8"/>
    <n v="11.81"/>
    <x v="13"/>
    <s v="375-73-5"/>
    <x v="13"/>
    <n v="4.9898043943548381E-2"/>
  </r>
  <r>
    <s v="PU020-JBA-08132021"/>
    <s v="Spill"/>
    <x v="0"/>
    <s v="Pumpkinseed"/>
    <s v="Lepomis"/>
    <s v="gibbosus"/>
    <s v="U"/>
    <x v="0"/>
    <n v="8"/>
    <n v="11.81"/>
    <x v="14"/>
    <s v="2706-91-4"/>
    <x v="14"/>
    <n v="0.118084847227225"/>
  </r>
  <r>
    <s v="PU020-JBA-08132021"/>
    <s v="Spill"/>
    <x v="0"/>
    <s v="Pumpkinseed"/>
    <s v="Lepomis"/>
    <s v="gibbosus"/>
    <s v="U"/>
    <x v="0"/>
    <n v="8"/>
    <n v="11.81"/>
    <x v="15"/>
    <s v="355-46-4"/>
    <x v="15"/>
    <n v="38.1"/>
  </r>
  <r>
    <s v="PU020-JBA-08132021"/>
    <s v="Spill"/>
    <x v="0"/>
    <s v="Pumpkinseed"/>
    <s v="Lepomis"/>
    <s v="gibbosus"/>
    <s v="U"/>
    <x v="0"/>
    <n v="8"/>
    <n v="11.81"/>
    <x v="16"/>
    <s v="375-92-8"/>
    <x v="16"/>
    <n v="0.89200000000000002"/>
  </r>
  <r>
    <s v="PU020-JBA-08132021"/>
    <s v="Spill"/>
    <x v="0"/>
    <s v="Pumpkinseed"/>
    <s v="Lepomis"/>
    <s v="gibbosus"/>
    <s v="U"/>
    <x v="0"/>
    <n v="8"/>
    <n v="11.81"/>
    <x v="17"/>
    <s v="1763-23-1"/>
    <x v="17"/>
    <n v="1240"/>
  </r>
  <r>
    <s v="PU020-JBA-08132021"/>
    <s v="Spill"/>
    <x v="0"/>
    <s v="Pumpkinseed"/>
    <s v="Lepomis"/>
    <s v="gibbosus"/>
    <s v="U"/>
    <x v="0"/>
    <n v="8"/>
    <n v="11.81"/>
    <x v="18"/>
    <s v="68259-12-1"/>
    <x v="18"/>
    <n v="0.89500000000000002"/>
  </r>
  <r>
    <s v="PU020-JBA-08132021"/>
    <s v="Spill"/>
    <x v="0"/>
    <s v="Pumpkinseed"/>
    <s v="Lepomis"/>
    <s v="gibbosus"/>
    <s v="U"/>
    <x v="0"/>
    <n v="8"/>
    <n v="11.81"/>
    <x v="19"/>
    <s v="335-77-3"/>
    <x v="19"/>
    <n v="0.85399999999999998"/>
  </r>
  <r>
    <s v="PU020-JBA-08132021"/>
    <s v="Spill"/>
    <x v="0"/>
    <s v="Pumpkinseed"/>
    <s v="Lepomis"/>
    <s v="gibbosus"/>
    <s v="U"/>
    <x v="0"/>
    <n v="8"/>
    <n v="11.81"/>
    <x v="20"/>
    <s v="79780-39-5"/>
    <x v="20"/>
    <n v="0.23846215004108035"/>
  </r>
  <r>
    <s v="PU020-JBA-08132021"/>
    <s v="Spill"/>
    <x v="0"/>
    <s v="Pumpkinseed"/>
    <s v="Lepomis"/>
    <s v="gibbosus"/>
    <s v="U"/>
    <x v="0"/>
    <n v="8"/>
    <n v="11.81"/>
    <x v="21"/>
    <s v="777011-38-8"/>
    <x v="21"/>
    <n v="0.13550935903956393"/>
  </r>
  <r>
    <s v="PU020-JBA-08132021"/>
    <s v="Spill"/>
    <x v="0"/>
    <s v="Pumpkinseed"/>
    <s v="Lepomis"/>
    <s v="gibbosus"/>
    <s v="U"/>
    <x v="0"/>
    <n v="8"/>
    <n v="11.81"/>
    <x v="22"/>
    <s v="646-83-3"/>
    <x v="22"/>
    <n v="8.9197224975223005E-2"/>
  </r>
  <r>
    <s v="PU020-JBA-08132021"/>
    <s v="Spill"/>
    <x v="0"/>
    <s v="Pumpkinseed"/>
    <s v="Lepomis"/>
    <s v="gibbosus"/>
    <s v="U"/>
    <x v="0"/>
    <n v="8"/>
    <n v="11.81"/>
    <x v="23"/>
    <s v="30334-69-1"/>
    <x v="23"/>
    <n v="112"/>
  </r>
  <r>
    <s v="PU020-JBA-08132021"/>
    <s v="Spill"/>
    <x v="0"/>
    <s v="Pumpkinseed"/>
    <s v="Lepomis"/>
    <s v="gibbosus"/>
    <s v="U"/>
    <x v="0"/>
    <n v="8"/>
    <n v="11.81"/>
    <x v="24"/>
    <s v="41997-13-1"/>
    <x v="24"/>
    <n v="141"/>
  </r>
  <r>
    <s v="PU020-JBA-08132021"/>
    <s v="Spill"/>
    <x v="0"/>
    <s v="Pumpkinseed"/>
    <s v="Lepomis"/>
    <s v="gibbosus"/>
    <s v="U"/>
    <x v="0"/>
    <n v="8"/>
    <n v="11.81"/>
    <x v="25"/>
    <s v="754-91-6"/>
    <x v="25"/>
    <n v="23.3"/>
  </r>
  <r>
    <s v="PU020-JBA-08132021"/>
    <s v="Spill"/>
    <x v="0"/>
    <s v="Pumpkinseed"/>
    <s v="Lepomis"/>
    <s v="gibbosus"/>
    <s v="U"/>
    <x v="0"/>
    <n v="8"/>
    <n v="11.81"/>
    <x v="26"/>
    <s v="31506-32-8"/>
    <x v="26"/>
    <n v="5.647970891612903E-2"/>
  </r>
  <r>
    <s v="PU020-JBA-08132021"/>
    <s v="Spill"/>
    <x v="0"/>
    <s v="Pumpkinseed"/>
    <s v="Lepomis"/>
    <s v="gibbosus"/>
    <s v="U"/>
    <x v="0"/>
    <n v="8"/>
    <n v="11.81"/>
    <x v="27"/>
    <s v="4151-50-2"/>
    <x v="27"/>
    <n v="8.5554117769354843E-2"/>
  </r>
  <r>
    <s v="PU020-JBA-08132021"/>
    <s v="Spill"/>
    <x v="0"/>
    <s v="Pumpkinseed"/>
    <s v="Lepomis"/>
    <s v="gibbosus"/>
    <s v="U"/>
    <x v="0"/>
    <n v="8"/>
    <n v="11.81"/>
    <x v="28"/>
    <s v="2806-24-8"/>
    <x v="28"/>
    <n v="5.7788505261290313E-2"/>
  </r>
  <r>
    <s v="PU020-JBA-08132021"/>
    <s v="Spill"/>
    <x v="0"/>
    <s v="Pumpkinseed"/>
    <s v="Lepomis"/>
    <s v="gibbosus"/>
    <s v="U"/>
    <x v="0"/>
    <n v="8"/>
    <n v="11.81"/>
    <x v="29"/>
    <s v="2355-31-9"/>
    <x v="29"/>
    <n v="7.3757355372580644E-2"/>
  </r>
  <r>
    <s v="PU020-JBA-08132021"/>
    <s v="Spill"/>
    <x v="0"/>
    <s v="Pumpkinseed"/>
    <s v="Lepomis"/>
    <s v="gibbosus"/>
    <s v="U"/>
    <x v="0"/>
    <n v="8"/>
    <n v="11.81"/>
    <x v="30"/>
    <s v="2991-50-6"/>
    <x v="30"/>
    <n v="6.3635664614516113E-2"/>
  </r>
  <r>
    <s v="PU020-JBA-08132021"/>
    <s v="Spill"/>
    <x v="0"/>
    <s v="Pumpkinseed"/>
    <s v="Lepomis"/>
    <s v="gibbosus"/>
    <s v="U"/>
    <x v="0"/>
    <n v="8"/>
    <n v="11.81"/>
    <x v="31"/>
    <s v="757124-72-4"/>
    <x v="31"/>
    <n v="6.0219099116129021E-2"/>
  </r>
  <r>
    <s v="PU020-JBA-08132021"/>
    <s v="Spill"/>
    <x v="0"/>
    <s v="Pumpkinseed"/>
    <s v="Lepomis"/>
    <s v="gibbosus"/>
    <s v="U"/>
    <x v="0"/>
    <n v="8"/>
    <n v="11.81"/>
    <x v="32"/>
    <s v="27619-97-2"/>
    <x v="32"/>
    <n v="0.35199999999999998"/>
  </r>
  <r>
    <s v="PU020-JBA-08132021"/>
    <s v="Spill"/>
    <x v="0"/>
    <s v="Pumpkinseed"/>
    <s v="Lepomis"/>
    <s v="gibbosus"/>
    <s v="U"/>
    <x v="0"/>
    <n v="8"/>
    <n v="11.81"/>
    <x v="33"/>
    <s v="39108-34-4"/>
    <x v="33"/>
    <n v="3.93"/>
  </r>
  <r>
    <s v="PU020-JBA-08132021"/>
    <s v="Spill"/>
    <x v="0"/>
    <s v="Pumpkinseed"/>
    <s v="Lepomis"/>
    <s v="gibbosus"/>
    <s v="U"/>
    <x v="0"/>
    <n v="8"/>
    <n v="11.81"/>
    <x v="34"/>
    <s v="120226-60-0"/>
    <x v="34"/>
    <n v="0.25320093609514371"/>
  </r>
  <r>
    <s v="PU020-JBA-08132021"/>
    <s v="Spill"/>
    <x v="0"/>
    <s v="Pumpkinseed"/>
    <s v="Lepomis"/>
    <s v="gibbosus"/>
    <s v="U"/>
    <x v="0"/>
    <n v="8"/>
    <n v="11.81"/>
    <x v="35"/>
    <s v="356-02-5"/>
    <x v="35"/>
    <n v="8.4566630975806453E-2"/>
  </r>
  <r>
    <s v="PU020-JBA-08132021"/>
    <s v="Spill"/>
    <x v="0"/>
    <s v="Pumpkinseed"/>
    <s v="Lepomis"/>
    <s v="gibbosus"/>
    <s v="U"/>
    <x v="0"/>
    <n v="8"/>
    <n v="11.81"/>
    <x v="36"/>
    <s v="914637-49-3"/>
    <x v="36"/>
    <n v="1.37"/>
  </r>
  <r>
    <s v="PU020-JBA-08132021"/>
    <s v="Spill"/>
    <x v="0"/>
    <s v="Pumpkinseed"/>
    <s v="Lepomis"/>
    <s v="gibbosus"/>
    <s v="U"/>
    <x v="0"/>
    <n v="8"/>
    <n v="11.81"/>
    <x v="37"/>
    <s v="812-70-4"/>
    <x v="37"/>
    <n v="5.36"/>
  </r>
  <r>
    <s v="PU020-JBA-08132021"/>
    <s v="Spill"/>
    <x v="0"/>
    <s v="Pumpkinseed"/>
    <s v="Lepomis"/>
    <s v="gibbosus"/>
    <s v="U"/>
    <x v="0"/>
    <n v="8"/>
    <n v="11.81"/>
    <x v="38"/>
    <s v="53826-12-3"/>
    <x v="38"/>
    <n v="2.06"/>
  </r>
  <r>
    <s v="PU020-JBA-08132021"/>
    <s v="Spill"/>
    <x v="0"/>
    <s v="Pumpkinseed"/>
    <s v="Lepomis"/>
    <s v="gibbosus"/>
    <s v="U"/>
    <x v="0"/>
    <n v="8"/>
    <n v="11.81"/>
    <x v="39"/>
    <s v="27854-31-5"/>
    <x v="39"/>
    <n v="2.932551319648094E-2"/>
  </r>
  <r>
    <s v="PU020-JBA-08132021"/>
    <s v="Spill"/>
    <x v="0"/>
    <s v="Pumpkinseed"/>
    <s v="Lepomis"/>
    <s v="gibbosus"/>
    <s v="U"/>
    <x v="0"/>
    <n v="8"/>
    <n v="11.81"/>
    <x v="40"/>
    <s v="53826-13-4"/>
    <x v="40"/>
    <n v="0.1093982776983871"/>
  </r>
  <r>
    <s v="PU020-JBA-08132021"/>
    <s v="Spill"/>
    <x v="0"/>
    <s v="Pumpkinseed"/>
    <s v="Lepomis"/>
    <s v="gibbosus"/>
    <s v="U"/>
    <x v="0"/>
    <n v="8"/>
    <n v="11.81"/>
    <x v="41"/>
    <s v="161094-75-3"/>
    <x v="41"/>
    <n v="5.7565729335483873E-2"/>
  </r>
  <r>
    <s v="PU020-JBA-08132021"/>
    <s v="Spill"/>
    <x v="0"/>
    <s v="Pumpkinseed"/>
    <s v="Lepomis"/>
    <s v="gibbosus"/>
    <s v="U"/>
    <x v="0"/>
    <n v="8"/>
    <n v="11.81"/>
    <x v="42"/>
    <s v="70887-84-2"/>
    <x v="42"/>
    <n v="4.4303851101774192E-2"/>
  </r>
  <r>
    <s v="PU020-JBA-08132021"/>
    <s v="Spill"/>
    <x v="0"/>
    <s v="Pumpkinseed"/>
    <s v="Lepomis"/>
    <s v="gibbosus"/>
    <s v="U"/>
    <x v="0"/>
    <n v="8"/>
    <n v="11.81"/>
    <x v="43"/>
    <s v="919005-14-4"/>
    <x v="43"/>
    <n v="7.331378299120235E-2"/>
  </r>
  <r>
    <s v="PU020-JBA-08132021"/>
    <s v="Spill"/>
    <x v="0"/>
    <s v="Pumpkinseed"/>
    <s v="Lepomis"/>
    <s v="gibbosus"/>
    <s v="U"/>
    <x v="0"/>
    <n v="8"/>
    <n v="11.81"/>
    <x v="44"/>
    <s v="756426-58-1"/>
    <x v="44"/>
    <n v="5.0887583520967741E-2"/>
  </r>
  <r>
    <s v="PU020-JBA-08132021"/>
    <s v="Spill"/>
    <x v="0"/>
    <s v="Pumpkinseed"/>
    <s v="Lepomis"/>
    <s v="gibbosus"/>
    <s v="U"/>
    <x v="0"/>
    <n v="8"/>
    <n v="11.81"/>
    <x v="45"/>
    <s v="763051-92-9"/>
    <x v="45"/>
    <n v="5.7770567840322577E-2"/>
  </r>
  <r>
    <s v="PU020-JBA-08132021"/>
    <s v="Spill"/>
    <x v="0"/>
    <s v="Pumpkinseed"/>
    <s v="Lepomis"/>
    <s v="gibbosus"/>
    <s v="U"/>
    <x v="0"/>
    <n v="8"/>
    <n v="11.81"/>
    <x v="46"/>
    <s v="13252-13-6"/>
    <x v="46"/>
    <n v="0.1052073727983871"/>
  </r>
  <r>
    <s v="PU020-JBA-08132021"/>
    <s v="Spill"/>
    <x v="0"/>
    <s v="Pumpkinseed"/>
    <s v="Lepomis"/>
    <s v="gibbosus"/>
    <s v="U"/>
    <x v="0"/>
    <n v="8"/>
    <n v="11.81"/>
    <x v="47"/>
    <s v="57677-95-9"/>
    <x v="47"/>
    <n v="7.8044643362903232E-2"/>
  </r>
  <r>
    <s v="PU020-JBA-08132021"/>
    <s v="Spill"/>
    <x v="0"/>
    <s v="Pumpkinseed"/>
    <s v="Lepomis"/>
    <s v="gibbosus"/>
    <s v="U"/>
    <x v="0"/>
    <n v="8"/>
    <n v="11.81"/>
    <x v="48"/>
    <s v="678-41-1"/>
    <x v="48"/>
    <n v="9.7200440433870952E-2"/>
  </r>
  <r>
    <s v="PU020-JBA-08132021"/>
    <s v="Spill"/>
    <x v="0"/>
    <s v="Pumpkinseed"/>
    <s v="Lepomis"/>
    <s v="gibbosus"/>
    <s v="U"/>
    <x v="0"/>
    <n v="8"/>
    <n v="11.81"/>
    <x v="49"/>
    <s v="2965-52-8"/>
    <x v="49"/>
    <n v="0.12903225806451613"/>
  </r>
  <r>
    <s v="PU021-JBA-08132021"/>
    <s v="Spill"/>
    <x v="0"/>
    <s v="Pumpkinseed"/>
    <s v="Lepomis"/>
    <s v="gibbosus"/>
    <s v="U"/>
    <x v="0"/>
    <n v="8"/>
    <n v="11.81"/>
    <x v="0"/>
    <s v="375-22-4"/>
    <x v="0"/>
    <n v="8.8950385451670291E-2"/>
  </r>
  <r>
    <s v="PU021-JBA-08132021"/>
    <s v="Spill"/>
    <x v="0"/>
    <s v="Pumpkinseed"/>
    <s v="Lepomis"/>
    <s v="gibbosus"/>
    <s v="U"/>
    <x v="0"/>
    <n v="8"/>
    <n v="11.81"/>
    <x v="1"/>
    <s v="2706-90-3"/>
    <x v="1"/>
    <n v="4.7743577808225975E-2"/>
  </r>
  <r>
    <s v="PU021-JBA-08132021"/>
    <s v="Spill"/>
    <x v="0"/>
    <s v="Pumpkinseed"/>
    <s v="Lepomis"/>
    <s v="gibbosus"/>
    <s v="U"/>
    <x v="0"/>
    <n v="8"/>
    <n v="11.81"/>
    <x v="2"/>
    <s v="307-24-4"/>
    <x v="2"/>
    <n v="0.1200143640732803"/>
  </r>
  <r>
    <s v="PU021-JBA-08132021"/>
    <s v="Spill"/>
    <x v="0"/>
    <s v="Pumpkinseed"/>
    <s v="Lepomis"/>
    <s v="gibbosus"/>
    <s v="U"/>
    <x v="0"/>
    <n v="8"/>
    <n v="11.81"/>
    <x v="3"/>
    <s v="375-85-9"/>
    <x v="3"/>
    <n v="2.7029462113703943E-2"/>
  </r>
  <r>
    <s v="PU021-JBA-08132021"/>
    <s v="Spill"/>
    <x v="0"/>
    <s v="Pumpkinseed"/>
    <s v="Lepomis"/>
    <s v="gibbosus"/>
    <s v="U"/>
    <x v="0"/>
    <n v="8"/>
    <n v="11.81"/>
    <x v="4"/>
    <s v="335-67-1"/>
    <x v="4"/>
    <n v="0.36899999999999999"/>
  </r>
  <r>
    <s v="PU021-JBA-08132021"/>
    <s v="Spill"/>
    <x v="0"/>
    <s v="Pumpkinseed"/>
    <s v="Lepomis"/>
    <s v="gibbosus"/>
    <s v="U"/>
    <x v="0"/>
    <n v="8"/>
    <n v="11.81"/>
    <x v="5"/>
    <s v="375-95-1"/>
    <x v="5"/>
    <n v="0.41899999999999998"/>
  </r>
  <r>
    <s v="PU021-JBA-08132021"/>
    <s v="Spill"/>
    <x v="0"/>
    <s v="Pumpkinseed"/>
    <s v="Lepomis"/>
    <s v="gibbosus"/>
    <s v="U"/>
    <x v="0"/>
    <n v="8"/>
    <n v="11.81"/>
    <x v="6"/>
    <s v="335-76-2"/>
    <x v="6"/>
    <n v="3"/>
  </r>
  <r>
    <s v="PU021-JBA-08132021"/>
    <s v="Spill"/>
    <x v="0"/>
    <s v="Pumpkinseed"/>
    <s v="Lepomis"/>
    <s v="gibbosus"/>
    <s v="U"/>
    <x v="0"/>
    <n v="8"/>
    <n v="11.81"/>
    <x v="7"/>
    <s v="2058-94-8"/>
    <x v="7"/>
    <n v="6.34"/>
  </r>
  <r>
    <s v="PU021-JBA-08132021"/>
    <s v="Spill"/>
    <x v="0"/>
    <s v="Pumpkinseed"/>
    <s v="Lepomis"/>
    <s v="gibbosus"/>
    <s v="U"/>
    <x v="0"/>
    <n v="8"/>
    <n v="11.81"/>
    <x v="8"/>
    <s v="307-55-1"/>
    <x v="8"/>
    <n v="5.3953500420713583E-2"/>
  </r>
  <r>
    <s v="PU021-JBA-08132021"/>
    <s v="Spill"/>
    <x v="0"/>
    <s v="Pumpkinseed"/>
    <s v="Lepomis"/>
    <s v="gibbosus"/>
    <s v="U"/>
    <x v="0"/>
    <n v="8"/>
    <n v="11.81"/>
    <x v="9"/>
    <s v="72629-94-8"/>
    <x v="9"/>
    <n v="4.12"/>
  </r>
  <r>
    <s v="PU021-JBA-08132021"/>
    <s v="Spill"/>
    <x v="0"/>
    <s v="Pumpkinseed"/>
    <s v="Lepomis"/>
    <s v="gibbosus"/>
    <s v="U"/>
    <x v="0"/>
    <n v="8"/>
    <n v="11.81"/>
    <x v="10"/>
    <s v="376-06-7"/>
    <x v="10"/>
    <n v="10.8"/>
  </r>
  <r>
    <s v="PU021-JBA-08132021"/>
    <s v="Spill"/>
    <x v="0"/>
    <s v="Pumpkinseed"/>
    <s v="Lepomis"/>
    <s v="gibbosus"/>
    <s v="U"/>
    <x v="0"/>
    <n v="8"/>
    <n v="11.81"/>
    <x v="11"/>
    <s v="67905-19-5"/>
    <x v="11"/>
    <n v="8.0534291931615473E-2"/>
  </r>
  <r>
    <s v="PU021-JBA-08132021"/>
    <s v="Spill"/>
    <x v="0"/>
    <s v="Pumpkinseed"/>
    <s v="Lepomis"/>
    <s v="gibbosus"/>
    <s v="U"/>
    <x v="0"/>
    <n v="8"/>
    <n v="11.81"/>
    <x v="12"/>
    <s v="423-41-6"/>
    <x v="12"/>
    <n v="5.15555390381566E-2"/>
  </r>
  <r>
    <s v="PU021-JBA-08132021"/>
    <s v="Spill"/>
    <x v="0"/>
    <s v="Pumpkinseed"/>
    <s v="Lepomis"/>
    <s v="gibbosus"/>
    <s v="U"/>
    <x v="0"/>
    <n v="8"/>
    <n v="11.81"/>
    <x v="13"/>
    <s v="375-73-5"/>
    <x v="13"/>
    <n v="0.15135115325434864"/>
  </r>
  <r>
    <s v="PU021-JBA-08132021"/>
    <s v="Spill"/>
    <x v="0"/>
    <s v="Pumpkinseed"/>
    <s v="Lepomis"/>
    <s v="gibbosus"/>
    <s v="U"/>
    <x v="0"/>
    <n v="8"/>
    <n v="11.81"/>
    <x v="14"/>
    <s v="2706-91-4"/>
    <x v="14"/>
    <n v="0.11775806567727812"/>
  </r>
  <r>
    <s v="PU021-JBA-08132021"/>
    <s v="Spill"/>
    <x v="0"/>
    <s v="Pumpkinseed"/>
    <s v="Lepomis"/>
    <s v="gibbosus"/>
    <s v="U"/>
    <x v="0"/>
    <n v="8"/>
    <n v="11.81"/>
    <x v="15"/>
    <s v="355-46-4"/>
    <x v="15"/>
    <n v="11.7"/>
  </r>
  <r>
    <s v="PU021-JBA-08132021"/>
    <s v="Spill"/>
    <x v="0"/>
    <s v="Pumpkinseed"/>
    <s v="Lepomis"/>
    <s v="gibbosus"/>
    <s v="U"/>
    <x v="0"/>
    <n v="8"/>
    <n v="11.81"/>
    <x v="16"/>
    <s v="375-92-8"/>
    <x v="16"/>
    <n v="1.57"/>
  </r>
  <r>
    <s v="PU021-JBA-08132021"/>
    <s v="Spill"/>
    <x v="0"/>
    <s v="Pumpkinseed"/>
    <s v="Lepomis"/>
    <s v="gibbosus"/>
    <s v="U"/>
    <x v="0"/>
    <n v="8"/>
    <n v="11.81"/>
    <x v="17"/>
    <s v="1763-23-1"/>
    <x v="17"/>
    <n v="563"/>
  </r>
  <r>
    <s v="PU021-JBA-08132021"/>
    <s v="Spill"/>
    <x v="0"/>
    <s v="Pumpkinseed"/>
    <s v="Lepomis"/>
    <s v="gibbosus"/>
    <s v="U"/>
    <x v="0"/>
    <n v="8"/>
    <n v="11.81"/>
    <x v="18"/>
    <s v="68259-12-1"/>
    <x v="18"/>
    <n v="0.60799999999999998"/>
  </r>
  <r>
    <s v="PU021-JBA-08132021"/>
    <s v="Spill"/>
    <x v="0"/>
    <s v="Pumpkinseed"/>
    <s v="Lepomis"/>
    <s v="gibbosus"/>
    <s v="U"/>
    <x v="0"/>
    <n v="8"/>
    <n v="11.81"/>
    <x v="19"/>
    <s v="335-77-3"/>
    <x v="19"/>
    <n v="1.01"/>
  </r>
  <r>
    <s v="PU021-JBA-08132021"/>
    <s v="Spill"/>
    <x v="0"/>
    <s v="Pumpkinseed"/>
    <s v="Lepomis"/>
    <s v="gibbosus"/>
    <s v="U"/>
    <x v="0"/>
    <n v="8"/>
    <n v="11.81"/>
    <x v="20"/>
    <s v="79780-39-5"/>
    <x v="20"/>
    <n v="0.23780224292493579"/>
  </r>
  <r>
    <s v="PU021-JBA-08132021"/>
    <s v="Spill"/>
    <x v="0"/>
    <s v="Pumpkinseed"/>
    <s v="Lepomis"/>
    <s v="gibbosus"/>
    <s v="U"/>
    <x v="0"/>
    <n v="8"/>
    <n v="11.81"/>
    <x v="21"/>
    <s v="777011-38-8"/>
    <x v="21"/>
    <n v="0.13513435784830993"/>
  </r>
  <r>
    <s v="PU021-JBA-08132021"/>
    <s v="Spill"/>
    <x v="0"/>
    <s v="Pumpkinseed"/>
    <s v="Lepomis"/>
    <s v="gibbosus"/>
    <s v="U"/>
    <x v="0"/>
    <n v="8"/>
    <n v="11.81"/>
    <x v="22"/>
    <s v="646-83-3"/>
    <x v="22"/>
    <n v="8.8950385451670291E-2"/>
  </r>
  <r>
    <s v="PU021-JBA-08132021"/>
    <s v="Spill"/>
    <x v="0"/>
    <s v="Pumpkinseed"/>
    <s v="Lepomis"/>
    <s v="gibbosus"/>
    <s v="U"/>
    <x v="0"/>
    <n v="8"/>
    <n v="11.81"/>
    <x v="23"/>
    <s v="30334-69-1"/>
    <x v="23"/>
    <n v="73.2"/>
  </r>
  <r>
    <s v="PU021-JBA-08132021"/>
    <s v="Spill"/>
    <x v="0"/>
    <s v="Pumpkinseed"/>
    <s v="Lepomis"/>
    <s v="gibbosus"/>
    <s v="U"/>
    <x v="0"/>
    <n v="8"/>
    <n v="11.81"/>
    <x v="24"/>
    <s v="41997-13-1"/>
    <x v="24"/>
    <n v="64.5"/>
  </r>
  <r>
    <s v="PU021-JBA-08132021"/>
    <s v="Spill"/>
    <x v="0"/>
    <s v="Pumpkinseed"/>
    <s v="Lepomis"/>
    <s v="gibbosus"/>
    <s v="U"/>
    <x v="0"/>
    <n v="8"/>
    <n v="11.81"/>
    <x v="25"/>
    <s v="754-91-6"/>
    <x v="25"/>
    <n v="18.7"/>
  </r>
  <r>
    <s v="PU021-JBA-08132021"/>
    <s v="Spill"/>
    <x v="0"/>
    <s v="Pumpkinseed"/>
    <s v="Lepomis"/>
    <s v="gibbosus"/>
    <s v="U"/>
    <x v="0"/>
    <n v="8"/>
    <n v="11.81"/>
    <x v="26"/>
    <s v="31506-32-8"/>
    <x v="26"/>
    <n v="5.2057610794846387E-2"/>
  </r>
  <r>
    <s v="PU021-JBA-08132021"/>
    <s v="Spill"/>
    <x v="0"/>
    <s v="Pumpkinseed"/>
    <s v="Lepomis"/>
    <s v="gibbosus"/>
    <s v="U"/>
    <x v="0"/>
    <n v="8"/>
    <n v="11.81"/>
    <x v="27"/>
    <s v="4151-50-2"/>
    <x v="27"/>
    <n v="7.8855628865708641E-2"/>
  </r>
  <r>
    <s v="PU021-JBA-08132021"/>
    <s v="Spill"/>
    <x v="0"/>
    <s v="Pumpkinseed"/>
    <s v="Lepomis"/>
    <s v="gibbosus"/>
    <s v="U"/>
    <x v="0"/>
    <n v="8"/>
    <n v="11.81"/>
    <x v="28"/>
    <s v="2806-24-8"/>
    <x v="28"/>
    <n v="5.3263934482656101E-2"/>
  </r>
  <r>
    <s v="PU021-JBA-08132021"/>
    <s v="Spill"/>
    <x v="0"/>
    <s v="Pumpkinseed"/>
    <s v="Lepomis"/>
    <s v="gibbosus"/>
    <s v="U"/>
    <x v="0"/>
    <n v="8"/>
    <n v="11.81"/>
    <x v="29"/>
    <s v="2355-31-9"/>
    <x v="29"/>
    <n v="6.7982498014370674E-2"/>
  </r>
  <r>
    <s v="PU021-JBA-08132021"/>
    <s v="Spill"/>
    <x v="0"/>
    <s v="Pumpkinseed"/>
    <s v="Lepomis"/>
    <s v="gibbosus"/>
    <s v="U"/>
    <x v="0"/>
    <n v="8"/>
    <n v="11.81"/>
    <x v="30"/>
    <s v="2991-50-6"/>
    <x v="30"/>
    <n v="5.86532884950446E-2"/>
  </r>
  <r>
    <s v="PU021-JBA-08132021"/>
    <s v="Spill"/>
    <x v="0"/>
    <s v="Pumpkinseed"/>
    <s v="Lepomis"/>
    <s v="gibbosus"/>
    <s v="U"/>
    <x v="0"/>
    <n v="8"/>
    <n v="11.81"/>
    <x v="31"/>
    <s v="757124-72-4"/>
    <x v="31"/>
    <n v="5.5504224160555012E-2"/>
  </r>
  <r>
    <s v="PU021-JBA-08132021"/>
    <s v="Spill"/>
    <x v="0"/>
    <s v="Pumpkinseed"/>
    <s v="Lepomis"/>
    <s v="gibbosus"/>
    <s v="U"/>
    <x v="0"/>
    <n v="8"/>
    <n v="11.81"/>
    <x v="32"/>
    <s v="27619-97-2"/>
    <x v="32"/>
    <n v="0.13425652219718817"/>
  </r>
  <r>
    <s v="PU021-JBA-08132021"/>
    <s v="Spill"/>
    <x v="0"/>
    <s v="Pumpkinseed"/>
    <s v="Lepomis"/>
    <s v="gibbosus"/>
    <s v="U"/>
    <x v="0"/>
    <n v="8"/>
    <n v="11.81"/>
    <x v="33"/>
    <s v="39108-34-4"/>
    <x v="33"/>
    <n v="0.71"/>
  </r>
  <r>
    <s v="PU021-JBA-08132021"/>
    <s v="Spill"/>
    <x v="0"/>
    <s v="Pumpkinseed"/>
    <s v="Lepomis"/>
    <s v="gibbosus"/>
    <s v="U"/>
    <x v="0"/>
    <n v="8"/>
    <n v="11.81"/>
    <x v="34"/>
    <s v="120226-60-0"/>
    <x v="34"/>
    <n v="0.25250024166831386"/>
  </r>
  <r>
    <s v="PU021-JBA-08132021"/>
    <s v="Spill"/>
    <x v="0"/>
    <s v="Pumpkinseed"/>
    <s v="Lepomis"/>
    <s v="gibbosus"/>
    <s v="U"/>
    <x v="0"/>
    <n v="8"/>
    <n v="11.81"/>
    <x v="35"/>
    <s v="356-02-5"/>
    <x v="35"/>
    <n v="7.7945457688305256E-2"/>
  </r>
  <r>
    <s v="PU021-JBA-08132021"/>
    <s v="Spill"/>
    <x v="0"/>
    <s v="Pumpkinseed"/>
    <s v="Lepomis"/>
    <s v="gibbosus"/>
    <s v="U"/>
    <x v="0"/>
    <n v="8"/>
    <n v="11.81"/>
    <x v="36"/>
    <s v="914637-49-3"/>
    <x v="36"/>
    <n v="0.87"/>
  </r>
  <r>
    <s v="PU021-JBA-08132021"/>
    <s v="Spill"/>
    <x v="0"/>
    <s v="Pumpkinseed"/>
    <s v="Lepomis"/>
    <s v="gibbosus"/>
    <s v="U"/>
    <x v="0"/>
    <n v="8"/>
    <n v="11.81"/>
    <x v="37"/>
    <s v="812-70-4"/>
    <x v="37"/>
    <n v="11.8"/>
  </r>
  <r>
    <s v="PU021-JBA-08132021"/>
    <s v="Spill"/>
    <x v="0"/>
    <s v="Pumpkinseed"/>
    <s v="Lepomis"/>
    <s v="gibbosus"/>
    <s v="U"/>
    <x v="0"/>
    <n v="8"/>
    <n v="11.81"/>
    <x v="38"/>
    <s v="53826-12-3"/>
    <x v="38"/>
    <n v="3.39"/>
  </r>
  <r>
    <s v="PU021-JBA-08132021"/>
    <s v="Spill"/>
    <x v="0"/>
    <s v="Pumpkinseed"/>
    <s v="Lepomis"/>
    <s v="gibbosus"/>
    <s v="U"/>
    <x v="0"/>
    <n v="8"/>
    <n v="11.81"/>
    <x v="39"/>
    <s v="27854-31-5"/>
    <x v="39"/>
    <n v="0.90600000000000003"/>
  </r>
  <r>
    <s v="PU021-JBA-08132021"/>
    <s v="Spill"/>
    <x v="0"/>
    <s v="Pumpkinseed"/>
    <s v="Lepomis"/>
    <s v="gibbosus"/>
    <s v="U"/>
    <x v="0"/>
    <n v="8"/>
    <n v="11.81"/>
    <x v="40"/>
    <s v="53826-13-4"/>
    <x v="40"/>
    <n v="0.10083290214023788"/>
  </r>
  <r>
    <s v="PU021-JBA-08132021"/>
    <s v="Spill"/>
    <x v="0"/>
    <s v="Pumpkinseed"/>
    <s v="Lepomis"/>
    <s v="gibbosus"/>
    <s v="U"/>
    <x v="0"/>
    <n v="8"/>
    <n v="11.81"/>
    <x v="41"/>
    <s v="161094-75-3"/>
    <x v="41"/>
    <n v="5.3058600874132812E-2"/>
  </r>
  <r>
    <s v="PU021-JBA-08132021"/>
    <s v="Spill"/>
    <x v="0"/>
    <s v="Pumpkinseed"/>
    <s v="Lepomis"/>
    <s v="gibbosus"/>
    <s v="U"/>
    <x v="0"/>
    <n v="8"/>
    <n v="11.81"/>
    <x v="42"/>
    <s v="70887-84-2"/>
    <x v="42"/>
    <n v="4.0835065931268587E-2"/>
  </r>
  <r>
    <s v="PU021-JBA-08132021"/>
    <s v="Spill"/>
    <x v="0"/>
    <s v="Pumpkinseed"/>
    <s v="Lepomis"/>
    <s v="gibbosus"/>
    <s v="U"/>
    <x v="0"/>
    <n v="8"/>
    <n v="11.81"/>
    <x v="43"/>
    <s v="919005-14-4"/>
    <x v="43"/>
    <n v="6.7573655284259848E-2"/>
  </r>
  <r>
    <s v="PU021-JBA-08132021"/>
    <s v="Spill"/>
    <x v="0"/>
    <s v="Pumpkinseed"/>
    <s v="Lepomis"/>
    <s v="gibbosus"/>
    <s v="U"/>
    <x v="0"/>
    <n v="8"/>
    <n v="11.81"/>
    <x v="44"/>
    <s v="756426-58-1"/>
    <x v="44"/>
    <n v="4.6903322769573839E-2"/>
  </r>
  <r>
    <s v="PU021-JBA-08132021"/>
    <s v="Spill"/>
    <x v="0"/>
    <s v="Pumpkinseed"/>
    <s v="Lepomis"/>
    <s v="gibbosus"/>
    <s v="U"/>
    <x v="0"/>
    <n v="8"/>
    <n v="11.81"/>
    <x v="45"/>
    <s v="763051-92-9"/>
    <x v="45"/>
    <n v="5.3247401478196232E-2"/>
  </r>
  <r>
    <s v="PU021-JBA-08132021"/>
    <s v="Spill"/>
    <x v="0"/>
    <s v="Pumpkinseed"/>
    <s v="Lepomis"/>
    <s v="gibbosus"/>
    <s v="U"/>
    <x v="0"/>
    <n v="8"/>
    <n v="11.81"/>
    <x v="46"/>
    <s v="13252-13-6"/>
    <x v="46"/>
    <n v="9.6970125572348881E-2"/>
  </r>
  <r>
    <s v="PU021-JBA-08132021"/>
    <s v="Spill"/>
    <x v="0"/>
    <s v="Pumpkinseed"/>
    <s v="Lepomis"/>
    <s v="gibbosus"/>
    <s v="U"/>
    <x v="0"/>
    <n v="8"/>
    <n v="11.81"/>
    <x v="47"/>
    <s v="57677-95-9"/>
    <x v="47"/>
    <n v="7.1934111325569872E-2"/>
  </r>
  <r>
    <s v="PU021-JBA-08132021"/>
    <s v="Spill"/>
    <x v="0"/>
    <s v="Pumpkinseed"/>
    <s v="Lepomis"/>
    <s v="gibbosus"/>
    <s v="U"/>
    <x v="0"/>
    <n v="8"/>
    <n v="11.81"/>
    <x v="48"/>
    <s v="678-41-1"/>
    <x v="48"/>
    <n v="8.9590098715064445E-2"/>
  </r>
  <r>
    <s v="PU021-JBA-08132021"/>
    <s v="Spill"/>
    <x v="0"/>
    <s v="Pumpkinseed"/>
    <s v="Lepomis"/>
    <s v="gibbosus"/>
    <s v="U"/>
    <x v="0"/>
    <n v="8"/>
    <n v="11.81"/>
    <x v="49"/>
    <s v="2965-52-8"/>
    <x v="49"/>
    <n v="0.11892963330029734"/>
  </r>
  <r>
    <s v="PU022-JBA-08132021"/>
    <s v="Spill"/>
    <x v="0"/>
    <s v="Pumpkinseed"/>
    <s v="Lepomis"/>
    <s v="gibbosus"/>
    <s v="U"/>
    <x v="0"/>
    <n v="8"/>
    <n v="11.81"/>
    <x v="0"/>
    <s v="375-22-4"/>
    <x v="0"/>
    <n v="2.6954662258081907E-2"/>
  </r>
  <r>
    <s v="PU022-JBA-08132021"/>
    <s v="Spill"/>
    <x v="0"/>
    <s v="Pumpkinseed"/>
    <s v="Lepomis"/>
    <s v="gibbosus"/>
    <s v="U"/>
    <x v="0"/>
    <n v="8"/>
    <n v="11.81"/>
    <x v="1"/>
    <s v="2706-90-3"/>
    <x v="1"/>
    <n v="4.761145484137181E-2"/>
  </r>
  <r>
    <s v="PU022-JBA-08132021"/>
    <s v="Spill"/>
    <x v="0"/>
    <s v="Pumpkinseed"/>
    <s v="Lepomis"/>
    <s v="gibbosus"/>
    <s v="U"/>
    <x v="0"/>
    <n v="8"/>
    <n v="11.81"/>
    <x v="2"/>
    <s v="307-24-4"/>
    <x v="2"/>
    <n v="0.13079549070373225"/>
  </r>
  <r>
    <s v="PU022-JBA-08132021"/>
    <s v="Spill"/>
    <x v="0"/>
    <s v="Pumpkinseed"/>
    <s v="Lepomis"/>
    <s v="gibbosus"/>
    <s v="U"/>
    <x v="0"/>
    <n v="8"/>
    <n v="11.81"/>
    <x v="3"/>
    <s v="375-85-9"/>
    <x v="3"/>
    <n v="9.694097371822491E-2"/>
  </r>
  <r>
    <s v="PU022-JBA-08132021"/>
    <s v="Spill"/>
    <x v="0"/>
    <s v="Pumpkinseed"/>
    <s v="Lepomis"/>
    <s v="gibbosus"/>
    <s v="U"/>
    <x v="0"/>
    <n v="8"/>
    <n v="11.81"/>
    <x v="4"/>
    <s v="335-67-1"/>
    <x v="4"/>
    <n v="0.46500000000000002"/>
  </r>
  <r>
    <s v="PU022-JBA-08132021"/>
    <s v="Spill"/>
    <x v="0"/>
    <s v="Pumpkinseed"/>
    <s v="Lepomis"/>
    <s v="gibbosus"/>
    <s v="U"/>
    <x v="0"/>
    <n v="8"/>
    <n v="11.81"/>
    <x v="5"/>
    <s v="375-95-1"/>
    <x v="5"/>
    <n v="0.1677188650254739"/>
  </r>
  <r>
    <s v="PU022-JBA-08132021"/>
    <s v="Spill"/>
    <x v="0"/>
    <s v="Pumpkinseed"/>
    <s v="Lepomis"/>
    <s v="gibbosus"/>
    <s v="U"/>
    <x v="0"/>
    <n v="8"/>
    <n v="11.81"/>
    <x v="6"/>
    <s v="335-76-2"/>
    <x v="6"/>
    <n v="1.71"/>
  </r>
  <r>
    <s v="PU022-JBA-08132021"/>
    <s v="Spill"/>
    <x v="0"/>
    <s v="Pumpkinseed"/>
    <s v="Lepomis"/>
    <s v="gibbosus"/>
    <s v="U"/>
    <x v="0"/>
    <n v="8"/>
    <n v="11.81"/>
    <x v="7"/>
    <s v="2058-94-8"/>
    <x v="7"/>
    <n v="2.95"/>
  </r>
  <r>
    <s v="PU022-JBA-08132021"/>
    <s v="Spill"/>
    <x v="0"/>
    <s v="Pumpkinseed"/>
    <s v="Lepomis"/>
    <s v="gibbosus"/>
    <s v="U"/>
    <x v="0"/>
    <n v="8"/>
    <n v="11.81"/>
    <x v="8"/>
    <s v="307-55-1"/>
    <x v="8"/>
    <n v="5.380419245354813E-2"/>
  </r>
  <r>
    <s v="PU022-JBA-08132021"/>
    <s v="Spill"/>
    <x v="0"/>
    <s v="Pumpkinseed"/>
    <s v="Lepomis"/>
    <s v="gibbosus"/>
    <s v="U"/>
    <x v="0"/>
    <n v="8"/>
    <n v="11.81"/>
    <x v="9"/>
    <s v="72629-94-8"/>
    <x v="9"/>
    <n v="0.71799999999999997"/>
  </r>
  <r>
    <s v="PU022-JBA-08132021"/>
    <s v="Spill"/>
    <x v="0"/>
    <s v="Pumpkinseed"/>
    <s v="Lepomis"/>
    <s v="gibbosus"/>
    <s v="U"/>
    <x v="0"/>
    <n v="8"/>
    <n v="11.81"/>
    <x v="10"/>
    <s v="376-06-7"/>
    <x v="10"/>
    <n v="2.59"/>
  </r>
  <r>
    <s v="PU022-JBA-08132021"/>
    <s v="Spill"/>
    <x v="0"/>
    <s v="Pumpkinseed"/>
    <s v="Lepomis"/>
    <s v="gibbosus"/>
    <s v="U"/>
    <x v="0"/>
    <n v="8"/>
    <n v="11.81"/>
    <x v="11"/>
    <s v="67905-19-5"/>
    <x v="11"/>
    <n v="8.0311425735323169E-2"/>
  </r>
  <r>
    <s v="PU022-JBA-08132021"/>
    <s v="Spill"/>
    <x v="0"/>
    <s v="Pumpkinseed"/>
    <s v="Lepomis"/>
    <s v="gibbosus"/>
    <s v="U"/>
    <x v="0"/>
    <n v="8"/>
    <n v="11.81"/>
    <x v="12"/>
    <s v="423-41-6"/>
    <x v="12"/>
    <n v="5.1412867058213081E-2"/>
  </r>
  <r>
    <s v="PU022-JBA-08132021"/>
    <s v="Spill"/>
    <x v="0"/>
    <s v="Pumpkinseed"/>
    <s v="Lepomis"/>
    <s v="gibbosus"/>
    <s v="U"/>
    <x v="0"/>
    <n v="8"/>
    <n v="11.81"/>
    <x v="13"/>
    <s v="375-73-5"/>
    <x v="13"/>
    <n v="4.5863985834651108E-2"/>
  </r>
  <r>
    <s v="PU022-JBA-08132021"/>
    <s v="Spill"/>
    <x v="0"/>
    <s v="Pumpkinseed"/>
    <s v="Lepomis"/>
    <s v="gibbosus"/>
    <s v="U"/>
    <x v="0"/>
    <n v="8"/>
    <n v="11.81"/>
    <x v="14"/>
    <s v="2706-91-4"/>
    <x v="14"/>
    <n v="0.12833650458021328"/>
  </r>
  <r>
    <s v="PU022-JBA-08132021"/>
    <s v="Spill"/>
    <x v="0"/>
    <s v="Pumpkinseed"/>
    <s v="Lepomis"/>
    <s v="gibbosus"/>
    <s v="U"/>
    <x v="0"/>
    <n v="8"/>
    <n v="11.81"/>
    <x v="15"/>
    <s v="355-46-4"/>
    <x v="15"/>
    <n v="9.32"/>
  </r>
  <r>
    <s v="PU022-JBA-08132021"/>
    <s v="Spill"/>
    <x v="0"/>
    <s v="Pumpkinseed"/>
    <s v="Lepomis"/>
    <s v="gibbosus"/>
    <s v="U"/>
    <x v="0"/>
    <n v="8"/>
    <n v="11.81"/>
    <x v="16"/>
    <s v="375-92-8"/>
    <x v="16"/>
    <n v="0.81100000000000005"/>
  </r>
  <r>
    <s v="PU022-JBA-08132021"/>
    <s v="Spill"/>
    <x v="0"/>
    <s v="Pumpkinseed"/>
    <s v="Lepomis"/>
    <s v="gibbosus"/>
    <s v="U"/>
    <x v="0"/>
    <n v="8"/>
    <n v="11.81"/>
    <x v="17"/>
    <s v="1763-23-1"/>
    <x v="17"/>
    <n v="397"/>
  </r>
  <r>
    <s v="PU022-JBA-08132021"/>
    <s v="Spill"/>
    <x v="0"/>
    <s v="Pumpkinseed"/>
    <s v="Lepomis"/>
    <s v="gibbosus"/>
    <s v="U"/>
    <x v="0"/>
    <n v="8"/>
    <n v="11.81"/>
    <x v="18"/>
    <s v="68259-12-1"/>
    <x v="18"/>
    <n v="0.35399999999999998"/>
  </r>
  <r>
    <s v="PU022-JBA-08132021"/>
    <s v="Spill"/>
    <x v="0"/>
    <s v="Pumpkinseed"/>
    <s v="Lepomis"/>
    <s v="gibbosus"/>
    <s v="U"/>
    <x v="0"/>
    <n v="8"/>
    <n v="11.81"/>
    <x v="19"/>
    <s v="335-77-3"/>
    <x v="19"/>
    <n v="0.1984748122962085"/>
  </r>
  <r>
    <s v="PU022-JBA-08132021"/>
    <s v="Spill"/>
    <x v="0"/>
    <s v="Pumpkinseed"/>
    <s v="Lepomis"/>
    <s v="gibbosus"/>
    <s v="U"/>
    <x v="0"/>
    <n v="8"/>
    <n v="11.81"/>
    <x v="20"/>
    <s v="79780-39-5"/>
    <x v="20"/>
    <n v="0.25916448663447866"/>
  </r>
  <r>
    <s v="PU022-JBA-08132021"/>
    <s v="Spill"/>
    <x v="0"/>
    <s v="Pumpkinseed"/>
    <s v="Lepomis"/>
    <s v="gibbosus"/>
    <s v="U"/>
    <x v="0"/>
    <n v="8"/>
    <n v="11.81"/>
    <x v="21"/>
    <s v="777011-38-8"/>
    <x v="21"/>
    <n v="0.14727374329052134"/>
  </r>
  <r>
    <s v="PU022-JBA-08132021"/>
    <s v="Spill"/>
    <x v="0"/>
    <s v="Pumpkinseed"/>
    <s v="Lepomis"/>
    <s v="gibbosus"/>
    <s v="U"/>
    <x v="0"/>
    <n v="8"/>
    <n v="11.81"/>
    <x v="22"/>
    <s v="646-83-3"/>
    <x v="22"/>
    <n v="9.694097371822491E-2"/>
  </r>
  <r>
    <s v="PU022-JBA-08132021"/>
    <s v="Spill"/>
    <x v="0"/>
    <s v="Pumpkinseed"/>
    <s v="Lepomis"/>
    <s v="gibbosus"/>
    <s v="U"/>
    <x v="0"/>
    <n v="8"/>
    <n v="11.81"/>
    <x v="23"/>
    <s v="30334-69-1"/>
    <x v="23"/>
    <n v="82"/>
  </r>
  <r>
    <s v="PU022-JBA-08132021"/>
    <s v="Spill"/>
    <x v="0"/>
    <s v="Pumpkinseed"/>
    <s v="Lepomis"/>
    <s v="gibbosus"/>
    <s v="U"/>
    <x v="0"/>
    <n v="8"/>
    <n v="11.81"/>
    <x v="24"/>
    <s v="41997-13-1"/>
    <x v="24"/>
    <n v="229"/>
  </r>
  <r>
    <s v="PU022-JBA-08132021"/>
    <s v="Spill"/>
    <x v="0"/>
    <s v="Pumpkinseed"/>
    <s v="Lepomis"/>
    <s v="gibbosus"/>
    <s v="U"/>
    <x v="0"/>
    <n v="8"/>
    <n v="11.81"/>
    <x v="25"/>
    <s v="754-91-6"/>
    <x v="25"/>
    <n v="24.7"/>
  </r>
  <r>
    <s v="PU022-JBA-08132021"/>
    <s v="Spill"/>
    <x v="0"/>
    <s v="Pumpkinseed"/>
    <s v="Lepomis"/>
    <s v="gibbosus"/>
    <s v="U"/>
    <x v="0"/>
    <n v="8"/>
    <n v="11.81"/>
    <x v="26"/>
    <s v="31506-32-8"/>
    <x v="26"/>
    <n v="5.1913549408974108E-2"/>
  </r>
  <r>
    <s v="PU022-JBA-08132021"/>
    <s v="Spill"/>
    <x v="0"/>
    <s v="Pumpkinseed"/>
    <s v="Lepomis"/>
    <s v="gibbosus"/>
    <s v="U"/>
    <x v="0"/>
    <n v="8"/>
    <n v="11.81"/>
    <x v="27"/>
    <s v="4151-50-2"/>
    <x v="27"/>
    <n v="7.8637408109804297E-2"/>
  </r>
  <r>
    <s v="PU022-JBA-08132021"/>
    <s v="Spill"/>
    <x v="0"/>
    <s v="Pumpkinseed"/>
    <s v="Lepomis"/>
    <s v="gibbosus"/>
    <s v="U"/>
    <x v="0"/>
    <n v="8"/>
    <n v="11.81"/>
    <x v="28"/>
    <s v="2806-24-8"/>
    <x v="28"/>
    <n v="5.3116534782565721E-2"/>
  </r>
  <r>
    <s v="PU022-JBA-08132021"/>
    <s v="Spill"/>
    <x v="0"/>
    <s v="Pumpkinseed"/>
    <s v="Lepomis"/>
    <s v="gibbosus"/>
    <s v="U"/>
    <x v="0"/>
    <n v="8"/>
    <n v="11.81"/>
    <x v="29"/>
    <s v="2355-31-9"/>
    <x v="29"/>
    <n v="6.7794366966297689E-2"/>
  </r>
  <r>
    <s v="PU022-JBA-08132021"/>
    <s v="Spill"/>
    <x v="0"/>
    <s v="Pumpkinseed"/>
    <s v="Lepomis"/>
    <s v="gibbosus"/>
    <s v="U"/>
    <x v="0"/>
    <n v="8"/>
    <n v="11.81"/>
    <x v="30"/>
    <s v="2991-50-6"/>
    <x v="30"/>
    <n v="5.8490974591322395E-2"/>
  </r>
  <r>
    <s v="PU022-JBA-08132021"/>
    <s v="Spill"/>
    <x v="0"/>
    <s v="Pumpkinseed"/>
    <s v="Lepomis"/>
    <s v="gibbosus"/>
    <s v="U"/>
    <x v="0"/>
    <n v="8"/>
    <n v="11.81"/>
    <x v="31"/>
    <s v="757124-72-4"/>
    <x v="31"/>
    <n v="5.5350624805297489E-2"/>
  </r>
  <r>
    <s v="PU022-JBA-08132021"/>
    <s v="Spill"/>
    <x v="0"/>
    <s v="Pumpkinseed"/>
    <s v="Lepomis"/>
    <s v="gibbosus"/>
    <s v="U"/>
    <x v="0"/>
    <n v="8"/>
    <n v="11.81"/>
    <x v="32"/>
    <s v="27619-97-2"/>
    <x v="32"/>
    <n v="0.36699999999999999"/>
  </r>
  <r>
    <s v="PU022-JBA-08132021"/>
    <s v="Spill"/>
    <x v="0"/>
    <s v="Pumpkinseed"/>
    <s v="Lepomis"/>
    <s v="gibbosus"/>
    <s v="U"/>
    <x v="0"/>
    <n v="8"/>
    <n v="11.81"/>
    <x v="33"/>
    <s v="39108-34-4"/>
    <x v="33"/>
    <n v="0.94099999999999995"/>
  </r>
  <r>
    <s v="PU022-JBA-08132021"/>
    <s v="Spill"/>
    <x v="0"/>
    <s v="Pumpkinseed"/>
    <s v="Lepomis"/>
    <s v="gibbosus"/>
    <s v="U"/>
    <x v="0"/>
    <n v="8"/>
    <n v="11.81"/>
    <x v="34"/>
    <s v="120226-60-0"/>
    <x v="34"/>
    <n v="7.6515224747973898E-2"/>
  </r>
  <r>
    <s v="PU022-JBA-08132021"/>
    <s v="Spill"/>
    <x v="0"/>
    <s v="Pumpkinseed"/>
    <s v="Lepomis"/>
    <s v="gibbosus"/>
    <s v="U"/>
    <x v="0"/>
    <n v="8"/>
    <n v="11.81"/>
    <x v="35"/>
    <s v="356-02-5"/>
    <x v="35"/>
    <n v="7.7729755690353813E-2"/>
  </r>
  <r>
    <s v="PU022-JBA-08132021"/>
    <s v="Spill"/>
    <x v="0"/>
    <s v="Pumpkinseed"/>
    <s v="Lepomis"/>
    <s v="gibbosus"/>
    <s v="U"/>
    <x v="0"/>
    <n v="8"/>
    <n v="11.81"/>
    <x v="36"/>
    <s v="914637-49-3"/>
    <x v="36"/>
    <n v="0.18289253576303316"/>
  </r>
  <r>
    <s v="PU022-JBA-08132021"/>
    <s v="Spill"/>
    <x v="0"/>
    <s v="Pumpkinseed"/>
    <s v="Lepomis"/>
    <s v="gibbosus"/>
    <s v="U"/>
    <x v="0"/>
    <n v="8"/>
    <n v="11.81"/>
    <x v="37"/>
    <s v="812-70-4"/>
    <x v="37"/>
    <n v="1.53"/>
  </r>
  <r>
    <s v="PU022-JBA-08132021"/>
    <s v="Spill"/>
    <x v="0"/>
    <s v="Pumpkinseed"/>
    <s v="Lepomis"/>
    <s v="gibbosus"/>
    <s v="U"/>
    <x v="0"/>
    <n v="8"/>
    <n v="11.81"/>
    <x v="38"/>
    <s v="53826-12-3"/>
    <x v="38"/>
    <n v="2.21"/>
  </r>
  <r>
    <s v="PU022-JBA-08132021"/>
    <s v="Spill"/>
    <x v="0"/>
    <s v="Pumpkinseed"/>
    <s v="Lepomis"/>
    <s v="gibbosus"/>
    <s v="U"/>
    <x v="0"/>
    <n v="8"/>
    <n v="11.81"/>
    <x v="39"/>
    <s v="27854-31-5"/>
    <x v="39"/>
    <n v="2.6954662258081907E-2"/>
  </r>
  <r>
    <s v="PU022-JBA-08132021"/>
    <s v="Spill"/>
    <x v="0"/>
    <s v="Pumpkinseed"/>
    <s v="Lepomis"/>
    <s v="gibbosus"/>
    <s v="U"/>
    <x v="0"/>
    <n v="8"/>
    <n v="11.81"/>
    <x v="40"/>
    <s v="53826-13-4"/>
    <x v="40"/>
    <n v="0.10055386267987745"/>
  </r>
  <r>
    <s v="PU022-JBA-08132021"/>
    <s v="Spill"/>
    <x v="0"/>
    <s v="Pumpkinseed"/>
    <s v="Lepomis"/>
    <s v="gibbosus"/>
    <s v="U"/>
    <x v="0"/>
    <n v="8"/>
    <n v="11.81"/>
    <x v="41"/>
    <s v="161094-75-3"/>
    <x v="41"/>
    <n v="5.2911769403044075E-2"/>
  </r>
  <r>
    <s v="PU022-JBA-08132021"/>
    <s v="Spill"/>
    <x v="0"/>
    <s v="Pumpkinseed"/>
    <s v="Lepomis"/>
    <s v="gibbosus"/>
    <s v="U"/>
    <x v="0"/>
    <n v="8"/>
    <n v="11.81"/>
    <x v="42"/>
    <s v="70887-84-2"/>
    <x v="42"/>
    <n v="4.0722061202460962E-2"/>
  </r>
  <r>
    <s v="PU022-JBA-08132021"/>
    <s v="Spill"/>
    <x v="0"/>
    <s v="Pumpkinseed"/>
    <s v="Lepomis"/>
    <s v="gibbosus"/>
    <s v="U"/>
    <x v="0"/>
    <n v="8"/>
    <n v="11.81"/>
    <x v="43"/>
    <s v="919005-14-4"/>
    <x v="43"/>
    <n v="6.7386655645204754E-2"/>
  </r>
  <r>
    <s v="PU022-JBA-08132021"/>
    <s v="Spill"/>
    <x v="0"/>
    <s v="Pumpkinseed"/>
    <s v="Lepomis"/>
    <s v="gibbosus"/>
    <s v="U"/>
    <x v="0"/>
    <n v="8"/>
    <n v="11.81"/>
    <x v="44"/>
    <s v="756426-58-1"/>
    <x v="44"/>
    <n v="4.6773525078572832E-2"/>
  </r>
  <r>
    <s v="PU022-JBA-08132021"/>
    <s v="Spill"/>
    <x v="0"/>
    <s v="Pumpkinseed"/>
    <s v="Lepomis"/>
    <s v="gibbosus"/>
    <s v="U"/>
    <x v="0"/>
    <n v="8"/>
    <n v="11.81"/>
    <x v="45"/>
    <s v="763051-92-9"/>
    <x v="45"/>
    <n v="5.3100047530638468E-2"/>
  </r>
  <r>
    <s v="PU022-JBA-08132021"/>
    <s v="Spill"/>
    <x v="0"/>
    <s v="Pumpkinseed"/>
    <s v="Lepomis"/>
    <s v="gibbosus"/>
    <s v="U"/>
    <x v="0"/>
    <n v="8"/>
    <n v="11.81"/>
    <x v="46"/>
    <s v="13252-13-6"/>
    <x v="46"/>
    <n v="9.6701775748665744E-2"/>
  </r>
  <r>
    <s v="PU022-JBA-08132021"/>
    <s v="Spill"/>
    <x v="0"/>
    <s v="Pumpkinseed"/>
    <s v="Lepomis"/>
    <s v="gibbosus"/>
    <s v="U"/>
    <x v="0"/>
    <n v="8"/>
    <n v="11.81"/>
    <x v="47"/>
    <s v="57677-95-9"/>
    <x v="47"/>
    <n v="7.1735044798873299E-2"/>
  </r>
  <r>
    <s v="PU022-JBA-08132021"/>
    <s v="Spill"/>
    <x v="0"/>
    <s v="Pumpkinseed"/>
    <s v="Lepomis"/>
    <s v="gibbosus"/>
    <s v="U"/>
    <x v="0"/>
    <n v="8"/>
    <n v="11.81"/>
    <x v="48"/>
    <s v="678-41-1"/>
    <x v="48"/>
    <n v="8.9342171974204382E-2"/>
  </r>
  <r>
    <s v="PU022-JBA-08132021"/>
    <s v="Spill"/>
    <x v="0"/>
    <s v="Pumpkinseed"/>
    <s v="Lepomis"/>
    <s v="gibbosus"/>
    <s v="U"/>
    <x v="0"/>
    <n v="8"/>
    <n v="11.81"/>
    <x v="49"/>
    <s v="2965-52-8"/>
    <x v="49"/>
    <n v="0.11860051393556036"/>
  </r>
  <r>
    <s v="PU022-JBA-08132021"/>
    <s v="Spill"/>
    <x v="0"/>
    <s v="Pumpkinseed"/>
    <s v="Lepomis"/>
    <s v="gibbosus"/>
    <s v="U"/>
    <x v="0"/>
    <n v="8"/>
    <n v="11.81"/>
    <x v="0"/>
    <s v="375-22-4"/>
    <x v="0"/>
    <n v="2.6954662258081907E-2"/>
  </r>
  <r>
    <s v="PU022-JBA-08132021"/>
    <s v="Spill"/>
    <x v="0"/>
    <s v="Pumpkinseed"/>
    <s v="Lepomis"/>
    <s v="gibbosus"/>
    <s v="U"/>
    <x v="0"/>
    <n v="8"/>
    <n v="11.81"/>
    <x v="1"/>
    <s v="2706-90-3"/>
    <x v="1"/>
    <n v="4.761145484137181E-2"/>
  </r>
  <r>
    <s v="PU022-JBA-08132021"/>
    <s v="Spill"/>
    <x v="0"/>
    <s v="Pumpkinseed"/>
    <s v="Lepomis"/>
    <s v="gibbosus"/>
    <s v="U"/>
    <x v="0"/>
    <n v="8"/>
    <n v="11.81"/>
    <x v="2"/>
    <s v="307-24-4"/>
    <x v="2"/>
    <n v="0.13079549070373225"/>
  </r>
  <r>
    <s v="PU022-JBA-08132021"/>
    <s v="Spill"/>
    <x v="0"/>
    <s v="Pumpkinseed"/>
    <s v="Lepomis"/>
    <s v="gibbosus"/>
    <s v="U"/>
    <x v="0"/>
    <n v="8"/>
    <n v="11.81"/>
    <x v="3"/>
    <s v="375-85-9"/>
    <x v="3"/>
    <n v="9.694097371822491E-2"/>
  </r>
  <r>
    <s v="PU022-JBA-08132021"/>
    <s v="Spill"/>
    <x v="0"/>
    <s v="Pumpkinseed"/>
    <s v="Lepomis"/>
    <s v="gibbosus"/>
    <s v="U"/>
    <x v="0"/>
    <n v="8"/>
    <n v="11.81"/>
    <x v="4"/>
    <s v="335-67-1"/>
    <x v="4"/>
    <n v="0.46500000000000002"/>
  </r>
  <r>
    <s v="PU022-JBA-08132021"/>
    <s v="Spill"/>
    <x v="0"/>
    <s v="Pumpkinseed"/>
    <s v="Lepomis"/>
    <s v="gibbosus"/>
    <s v="U"/>
    <x v="0"/>
    <n v="8"/>
    <n v="11.81"/>
    <x v="5"/>
    <s v="375-95-1"/>
    <x v="5"/>
    <n v="0.28399999999999997"/>
  </r>
  <r>
    <s v="PU022-JBA-08132021"/>
    <s v="Spill"/>
    <x v="0"/>
    <s v="Pumpkinseed"/>
    <s v="Lepomis"/>
    <s v="gibbosus"/>
    <s v="U"/>
    <x v="0"/>
    <n v="8"/>
    <n v="11.81"/>
    <x v="6"/>
    <s v="335-76-2"/>
    <x v="6"/>
    <n v="1.71"/>
  </r>
  <r>
    <s v="PU022-JBA-08132021"/>
    <s v="Spill"/>
    <x v="0"/>
    <s v="Pumpkinseed"/>
    <s v="Lepomis"/>
    <s v="gibbosus"/>
    <s v="U"/>
    <x v="0"/>
    <n v="8"/>
    <n v="11.81"/>
    <x v="7"/>
    <s v="2058-94-8"/>
    <x v="7"/>
    <n v="2.95"/>
  </r>
  <r>
    <s v="PU022-JBA-08132021"/>
    <s v="Spill"/>
    <x v="0"/>
    <s v="Pumpkinseed"/>
    <s v="Lepomis"/>
    <s v="gibbosus"/>
    <s v="U"/>
    <x v="0"/>
    <n v="8"/>
    <n v="11.81"/>
    <x v="8"/>
    <s v="307-55-1"/>
    <x v="8"/>
    <n v="5.380419245354813E-2"/>
  </r>
  <r>
    <s v="PU022-JBA-08132021"/>
    <s v="Spill"/>
    <x v="0"/>
    <s v="Pumpkinseed"/>
    <s v="Lepomis"/>
    <s v="gibbosus"/>
    <s v="U"/>
    <x v="0"/>
    <n v="8"/>
    <n v="11.81"/>
    <x v="9"/>
    <s v="72629-94-8"/>
    <x v="9"/>
    <n v="0.71799999999999997"/>
  </r>
  <r>
    <s v="PU022-JBA-08132021"/>
    <s v="Spill"/>
    <x v="0"/>
    <s v="Pumpkinseed"/>
    <s v="Lepomis"/>
    <s v="gibbosus"/>
    <s v="U"/>
    <x v="0"/>
    <n v="8"/>
    <n v="11.81"/>
    <x v="10"/>
    <s v="376-06-7"/>
    <x v="10"/>
    <n v="2.59"/>
  </r>
  <r>
    <s v="PU022-JBA-08132021"/>
    <s v="Spill"/>
    <x v="0"/>
    <s v="Pumpkinseed"/>
    <s v="Lepomis"/>
    <s v="gibbosus"/>
    <s v="U"/>
    <x v="0"/>
    <n v="8"/>
    <n v="11.81"/>
    <x v="11"/>
    <s v="67905-19-5"/>
    <x v="11"/>
    <n v="8.0311425735323169E-2"/>
  </r>
  <r>
    <s v="PU022-JBA-08132021"/>
    <s v="Spill"/>
    <x v="0"/>
    <s v="Pumpkinseed"/>
    <s v="Lepomis"/>
    <s v="gibbosus"/>
    <s v="U"/>
    <x v="0"/>
    <n v="8"/>
    <n v="11.81"/>
    <x v="12"/>
    <s v="423-41-6"/>
    <x v="12"/>
    <n v="5.1412867058213081E-2"/>
  </r>
  <r>
    <s v="PU022-JBA-08132021"/>
    <s v="Spill"/>
    <x v="0"/>
    <s v="Pumpkinseed"/>
    <s v="Lepomis"/>
    <s v="gibbosus"/>
    <s v="U"/>
    <x v="0"/>
    <n v="8"/>
    <n v="11.81"/>
    <x v="13"/>
    <s v="375-73-5"/>
    <x v="13"/>
    <n v="4.5863985834651108E-2"/>
  </r>
  <r>
    <s v="PU022-JBA-08132021"/>
    <s v="Spill"/>
    <x v="0"/>
    <s v="Pumpkinseed"/>
    <s v="Lepomis"/>
    <s v="gibbosus"/>
    <s v="U"/>
    <x v="0"/>
    <n v="8"/>
    <n v="11.81"/>
    <x v="14"/>
    <s v="2706-91-4"/>
    <x v="14"/>
    <n v="0.12833650458021328"/>
  </r>
  <r>
    <s v="PU022-JBA-08132021"/>
    <s v="Spill"/>
    <x v="0"/>
    <s v="Pumpkinseed"/>
    <s v="Lepomis"/>
    <s v="gibbosus"/>
    <s v="U"/>
    <x v="0"/>
    <n v="8"/>
    <n v="11.81"/>
    <x v="15"/>
    <s v="355-46-4"/>
    <x v="15"/>
    <n v="9.32"/>
  </r>
  <r>
    <s v="PU022-JBA-08132021"/>
    <s v="Spill"/>
    <x v="0"/>
    <s v="Pumpkinseed"/>
    <s v="Lepomis"/>
    <s v="gibbosus"/>
    <s v="U"/>
    <x v="0"/>
    <n v="8"/>
    <n v="11.81"/>
    <x v="16"/>
    <s v="375-92-8"/>
    <x v="16"/>
    <n v="0.81100000000000005"/>
  </r>
  <r>
    <s v="PU022-JBA-08132021"/>
    <s v="Spill"/>
    <x v="0"/>
    <s v="Pumpkinseed"/>
    <s v="Lepomis"/>
    <s v="gibbosus"/>
    <s v="U"/>
    <x v="0"/>
    <n v="8"/>
    <n v="11.81"/>
    <x v="17"/>
    <s v="1763-23-1"/>
    <x v="17"/>
    <n v="397"/>
  </r>
  <r>
    <s v="PU022-JBA-08132021"/>
    <s v="Spill"/>
    <x v="0"/>
    <s v="Pumpkinseed"/>
    <s v="Lepomis"/>
    <s v="gibbosus"/>
    <s v="U"/>
    <x v="0"/>
    <n v="8"/>
    <n v="11.81"/>
    <x v="18"/>
    <s v="68259-12-1"/>
    <x v="18"/>
    <n v="0.35399999999999998"/>
  </r>
  <r>
    <s v="PU022-JBA-08132021"/>
    <s v="Spill"/>
    <x v="0"/>
    <s v="Pumpkinseed"/>
    <s v="Lepomis"/>
    <s v="gibbosus"/>
    <s v="U"/>
    <x v="0"/>
    <n v="8"/>
    <n v="11.81"/>
    <x v="19"/>
    <s v="335-77-3"/>
    <x v="19"/>
    <n v="0.1984748122962085"/>
  </r>
  <r>
    <s v="PU022-JBA-08132021"/>
    <s v="Spill"/>
    <x v="0"/>
    <s v="Pumpkinseed"/>
    <s v="Lepomis"/>
    <s v="gibbosus"/>
    <s v="U"/>
    <x v="0"/>
    <n v="8"/>
    <n v="11.81"/>
    <x v="20"/>
    <s v="79780-39-5"/>
    <x v="20"/>
    <n v="0.25916448663447866"/>
  </r>
  <r>
    <s v="PU022-JBA-08132021"/>
    <s v="Spill"/>
    <x v="0"/>
    <s v="Pumpkinseed"/>
    <s v="Lepomis"/>
    <s v="gibbosus"/>
    <s v="U"/>
    <x v="0"/>
    <n v="8"/>
    <n v="11.81"/>
    <x v="21"/>
    <s v="777011-38-8"/>
    <x v="21"/>
    <n v="0.14727374329052134"/>
  </r>
  <r>
    <s v="PU022-JBA-08132021"/>
    <s v="Spill"/>
    <x v="0"/>
    <s v="Pumpkinseed"/>
    <s v="Lepomis"/>
    <s v="gibbosus"/>
    <s v="U"/>
    <x v="0"/>
    <n v="8"/>
    <n v="11.81"/>
    <x v="22"/>
    <s v="646-83-3"/>
    <x v="22"/>
    <n v="9.694097371822491E-2"/>
  </r>
  <r>
    <s v="PU022-JBA-08132021"/>
    <s v="Spill"/>
    <x v="0"/>
    <s v="Pumpkinseed"/>
    <s v="Lepomis"/>
    <s v="gibbosus"/>
    <s v="U"/>
    <x v="0"/>
    <n v="8"/>
    <n v="11.81"/>
    <x v="23"/>
    <s v="30334-69-1"/>
    <x v="23"/>
    <n v="82"/>
  </r>
  <r>
    <s v="PU022-JBA-08132021"/>
    <s v="Spill"/>
    <x v="0"/>
    <s v="Pumpkinseed"/>
    <s v="Lepomis"/>
    <s v="gibbosus"/>
    <s v="U"/>
    <x v="0"/>
    <n v="8"/>
    <n v="11.81"/>
    <x v="24"/>
    <s v="41997-13-1"/>
    <x v="24"/>
    <n v="229"/>
  </r>
  <r>
    <s v="PU022-JBA-08132021"/>
    <s v="Spill"/>
    <x v="0"/>
    <s v="Pumpkinseed"/>
    <s v="Lepomis"/>
    <s v="gibbosus"/>
    <s v="U"/>
    <x v="0"/>
    <n v="8"/>
    <n v="11.81"/>
    <x v="25"/>
    <s v="754-91-6"/>
    <x v="25"/>
    <n v="24.7"/>
  </r>
  <r>
    <s v="PU022-JBA-08132021"/>
    <s v="Spill"/>
    <x v="0"/>
    <s v="Pumpkinseed"/>
    <s v="Lepomis"/>
    <s v="gibbosus"/>
    <s v="U"/>
    <x v="0"/>
    <n v="8"/>
    <n v="11.81"/>
    <x v="26"/>
    <s v="31506-32-8"/>
    <x v="26"/>
    <n v="5.1913549408974108E-2"/>
  </r>
  <r>
    <s v="PU022-JBA-08132021"/>
    <s v="Spill"/>
    <x v="0"/>
    <s v="Pumpkinseed"/>
    <s v="Lepomis"/>
    <s v="gibbosus"/>
    <s v="U"/>
    <x v="0"/>
    <n v="8"/>
    <n v="11.81"/>
    <x v="27"/>
    <s v="4151-50-2"/>
    <x v="27"/>
    <n v="7.8637408109804297E-2"/>
  </r>
  <r>
    <s v="PU022-JBA-08132021"/>
    <s v="Spill"/>
    <x v="0"/>
    <s v="Pumpkinseed"/>
    <s v="Lepomis"/>
    <s v="gibbosus"/>
    <s v="U"/>
    <x v="0"/>
    <n v="8"/>
    <n v="11.81"/>
    <x v="28"/>
    <s v="2806-24-8"/>
    <x v="28"/>
    <n v="5.3116534782565721E-2"/>
  </r>
  <r>
    <s v="PU022-JBA-08132021"/>
    <s v="Spill"/>
    <x v="0"/>
    <s v="Pumpkinseed"/>
    <s v="Lepomis"/>
    <s v="gibbosus"/>
    <s v="U"/>
    <x v="0"/>
    <n v="8"/>
    <n v="11.81"/>
    <x v="29"/>
    <s v="2355-31-9"/>
    <x v="29"/>
    <n v="6.7794366966297689E-2"/>
  </r>
  <r>
    <s v="PU022-JBA-08132021"/>
    <s v="Spill"/>
    <x v="0"/>
    <s v="Pumpkinseed"/>
    <s v="Lepomis"/>
    <s v="gibbosus"/>
    <s v="U"/>
    <x v="0"/>
    <n v="8"/>
    <n v="11.81"/>
    <x v="30"/>
    <s v="2991-50-6"/>
    <x v="30"/>
    <n v="5.8490974591322395E-2"/>
  </r>
  <r>
    <s v="PU022-JBA-08132021"/>
    <s v="Spill"/>
    <x v="0"/>
    <s v="Pumpkinseed"/>
    <s v="Lepomis"/>
    <s v="gibbosus"/>
    <s v="U"/>
    <x v="0"/>
    <n v="8"/>
    <n v="11.81"/>
    <x v="31"/>
    <s v="757124-72-4"/>
    <x v="31"/>
    <n v="5.5350624805297489E-2"/>
  </r>
  <r>
    <s v="PU022-JBA-08132021"/>
    <s v="Spill"/>
    <x v="0"/>
    <s v="Pumpkinseed"/>
    <s v="Lepomis"/>
    <s v="gibbosus"/>
    <s v="U"/>
    <x v="0"/>
    <n v="8"/>
    <n v="11.81"/>
    <x v="32"/>
    <s v="27619-97-2"/>
    <x v="32"/>
    <n v="0.36699999999999999"/>
  </r>
  <r>
    <s v="PU022-JBA-08132021"/>
    <s v="Spill"/>
    <x v="0"/>
    <s v="Pumpkinseed"/>
    <s v="Lepomis"/>
    <s v="gibbosus"/>
    <s v="U"/>
    <x v="0"/>
    <n v="8"/>
    <n v="11.81"/>
    <x v="33"/>
    <s v="39108-34-4"/>
    <x v="33"/>
    <n v="0.94099999999999995"/>
  </r>
  <r>
    <s v="PU022-JBA-08132021"/>
    <s v="Spill"/>
    <x v="0"/>
    <s v="Pumpkinseed"/>
    <s v="Lepomis"/>
    <s v="gibbosus"/>
    <s v="U"/>
    <x v="0"/>
    <n v="8"/>
    <n v="11.81"/>
    <x v="34"/>
    <s v="120226-60-0"/>
    <x v="34"/>
    <n v="7.6515224747973898E-2"/>
  </r>
  <r>
    <s v="PU022-JBA-08132021"/>
    <s v="Spill"/>
    <x v="0"/>
    <s v="Pumpkinseed"/>
    <s v="Lepomis"/>
    <s v="gibbosus"/>
    <s v="U"/>
    <x v="0"/>
    <n v="8"/>
    <n v="11.81"/>
    <x v="35"/>
    <s v="356-02-5"/>
    <x v="35"/>
    <n v="7.7729755690353813E-2"/>
  </r>
  <r>
    <s v="PU022-JBA-08132021"/>
    <s v="Spill"/>
    <x v="0"/>
    <s v="Pumpkinseed"/>
    <s v="Lepomis"/>
    <s v="gibbosus"/>
    <s v="U"/>
    <x v="0"/>
    <n v="8"/>
    <n v="11.81"/>
    <x v="36"/>
    <s v="914637-49-3"/>
    <x v="36"/>
    <n v="0.32700000000000001"/>
  </r>
  <r>
    <s v="PU022-JBA-08132021"/>
    <s v="Spill"/>
    <x v="0"/>
    <s v="Pumpkinseed"/>
    <s v="Lepomis"/>
    <s v="gibbosus"/>
    <s v="U"/>
    <x v="0"/>
    <n v="8"/>
    <n v="11.81"/>
    <x v="37"/>
    <s v="812-70-4"/>
    <x v="37"/>
    <n v="1.53"/>
  </r>
  <r>
    <s v="PU022-JBA-08132021"/>
    <s v="Spill"/>
    <x v="0"/>
    <s v="Pumpkinseed"/>
    <s v="Lepomis"/>
    <s v="gibbosus"/>
    <s v="U"/>
    <x v="0"/>
    <n v="8"/>
    <n v="11.81"/>
    <x v="38"/>
    <s v="53826-12-3"/>
    <x v="38"/>
    <n v="2.21"/>
  </r>
  <r>
    <s v="PU022-JBA-08132021"/>
    <s v="Spill"/>
    <x v="0"/>
    <s v="Pumpkinseed"/>
    <s v="Lepomis"/>
    <s v="gibbosus"/>
    <s v="U"/>
    <x v="0"/>
    <n v="8"/>
    <n v="11.81"/>
    <x v="39"/>
    <s v="27854-31-5"/>
    <x v="39"/>
    <n v="2.6954662258081907E-2"/>
  </r>
  <r>
    <s v="PU022-JBA-08132021"/>
    <s v="Spill"/>
    <x v="0"/>
    <s v="Pumpkinseed"/>
    <s v="Lepomis"/>
    <s v="gibbosus"/>
    <s v="U"/>
    <x v="0"/>
    <n v="8"/>
    <n v="11.81"/>
    <x v="40"/>
    <s v="53826-13-4"/>
    <x v="40"/>
    <n v="0.10055386267987745"/>
  </r>
  <r>
    <s v="PU022-JBA-08132021"/>
    <s v="Spill"/>
    <x v="0"/>
    <s v="Pumpkinseed"/>
    <s v="Lepomis"/>
    <s v="gibbosus"/>
    <s v="U"/>
    <x v="0"/>
    <n v="8"/>
    <n v="11.81"/>
    <x v="41"/>
    <s v="161094-75-3"/>
    <x v="41"/>
    <n v="5.2911769403044075E-2"/>
  </r>
  <r>
    <s v="PU022-JBA-08132021"/>
    <s v="Spill"/>
    <x v="0"/>
    <s v="Pumpkinseed"/>
    <s v="Lepomis"/>
    <s v="gibbosus"/>
    <s v="U"/>
    <x v="0"/>
    <n v="8"/>
    <n v="11.81"/>
    <x v="42"/>
    <s v="70887-84-2"/>
    <x v="42"/>
    <n v="4.0722061202460962E-2"/>
  </r>
  <r>
    <s v="PU022-JBA-08132021"/>
    <s v="Spill"/>
    <x v="0"/>
    <s v="Pumpkinseed"/>
    <s v="Lepomis"/>
    <s v="gibbosus"/>
    <s v="U"/>
    <x v="0"/>
    <n v="8"/>
    <n v="11.81"/>
    <x v="43"/>
    <s v="919005-14-4"/>
    <x v="43"/>
    <n v="6.7386655645204754E-2"/>
  </r>
  <r>
    <s v="PU022-JBA-08132021"/>
    <s v="Spill"/>
    <x v="0"/>
    <s v="Pumpkinseed"/>
    <s v="Lepomis"/>
    <s v="gibbosus"/>
    <s v="U"/>
    <x v="0"/>
    <n v="8"/>
    <n v="11.81"/>
    <x v="44"/>
    <s v="756426-58-1"/>
    <x v="44"/>
    <n v="4.6773525078572832E-2"/>
  </r>
  <r>
    <s v="PU022-JBA-08132021"/>
    <s v="Spill"/>
    <x v="0"/>
    <s v="Pumpkinseed"/>
    <s v="Lepomis"/>
    <s v="gibbosus"/>
    <s v="U"/>
    <x v="0"/>
    <n v="8"/>
    <n v="11.81"/>
    <x v="45"/>
    <s v="763051-92-9"/>
    <x v="45"/>
    <n v="5.3100047530638468E-2"/>
  </r>
  <r>
    <s v="PU022-JBA-08132021"/>
    <s v="Spill"/>
    <x v="0"/>
    <s v="Pumpkinseed"/>
    <s v="Lepomis"/>
    <s v="gibbosus"/>
    <s v="U"/>
    <x v="0"/>
    <n v="8"/>
    <n v="11.81"/>
    <x v="46"/>
    <s v="13252-13-6"/>
    <x v="46"/>
    <n v="9.6701775748665744E-2"/>
  </r>
  <r>
    <s v="PU022-JBA-08132021"/>
    <s v="Spill"/>
    <x v="0"/>
    <s v="Pumpkinseed"/>
    <s v="Lepomis"/>
    <s v="gibbosus"/>
    <s v="U"/>
    <x v="0"/>
    <n v="8"/>
    <n v="11.81"/>
    <x v="47"/>
    <s v="57677-95-9"/>
    <x v="47"/>
    <n v="7.1735044798873299E-2"/>
  </r>
  <r>
    <s v="PU022-JBA-08132021"/>
    <s v="Spill"/>
    <x v="0"/>
    <s v="Pumpkinseed"/>
    <s v="Lepomis"/>
    <s v="gibbosus"/>
    <s v="U"/>
    <x v="0"/>
    <n v="8"/>
    <n v="11.81"/>
    <x v="48"/>
    <s v="678-41-1"/>
    <x v="48"/>
    <n v="8.9342171974204382E-2"/>
  </r>
  <r>
    <s v="PU022-JBA-08132021"/>
    <s v="Spill"/>
    <x v="0"/>
    <s v="Pumpkinseed"/>
    <s v="Lepomis"/>
    <s v="gibbosus"/>
    <s v="U"/>
    <x v="0"/>
    <n v="8"/>
    <n v="11.81"/>
    <x v="49"/>
    <s v="2965-52-8"/>
    <x v="49"/>
    <n v="0.11860051393556036"/>
  </r>
  <r>
    <s v="PU023-JBA-08132021"/>
    <s v="Spill"/>
    <x v="0"/>
    <s v="Pumpkinseed"/>
    <s v="Lepomis"/>
    <s v="gibbosus"/>
    <s v="U"/>
    <x v="0"/>
    <n v="8"/>
    <n v="11.81"/>
    <x v="0"/>
    <s v="375-22-4"/>
    <x v="0"/>
    <n v="8.8999999999999996E-2"/>
  </r>
  <r>
    <s v="PU023-JBA-08132021"/>
    <s v="Spill"/>
    <x v="0"/>
    <s v="Pumpkinseed"/>
    <s v="Lepomis"/>
    <s v="gibbosus"/>
    <s v="U"/>
    <x v="0"/>
    <n v="8"/>
    <n v="11.81"/>
    <x v="1"/>
    <s v="2706-90-3"/>
    <x v="1"/>
    <n v="4.7750000000000001E-2"/>
  </r>
  <r>
    <s v="PU023-JBA-08132021"/>
    <s v="Spill"/>
    <x v="0"/>
    <s v="Pumpkinseed"/>
    <s v="Lepomis"/>
    <s v="gibbosus"/>
    <s v="U"/>
    <x v="0"/>
    <n v="8"/>
    <n v="11.81"/>
    <x v="2"/>
    <s v="307-24-4"/>
    <x v="2"/>
    <n v="3.635E-2"/>
  </r>
  <r>
    <s v="PU023-JBA-08132021"/>
    <s v="Spill"/>
    <x v="0"/>
    <s v="Pumpkinseed"/>
    <s v="Lepomis"/>
    <s v="gibbosus"/>
    <s v="U"/>
    <x v="0"/>
    <n v="8"/>
    <n v="11.81"/>
    <x v="3"/>
    <s v="375-85-9"/>
    <x v="3"/>
    <n v="2.6950000000000002E-2"/>
  </r>
  <r>
    <s v="PU023-JBA-08132021"/>
    <s v="Spill"/>
    <x v="0"/>
    <s v="Pumpkinseed"/>
    <s v="Lepomis"/>
    <s v="gibbosus"/>
    <s v="U"/>
    <x v="0"/>
    <n v="8"/>
    <n v="11.81"/>
    <x v="4"/>
    <s v="335-67-1"/>
    <x v="4"/>
    <n v="0.47199999999999998"/>
  </r>
  <r>
    <s v="PU023-JBA-08132021"/>
    <s v="Spill"/>
    <x v="0"/>
    <s v="Pumpkinseed"/>
    <s v="Lepomis"/>
    <s v="gibbosus"/>
    <s v="U"/>
    <x v="0"/>
    <n v="8"/>
    <n v="11.81"/>
    <x v="5"/>
    <s v="375-95-1"/>
    <x v="5"/>
    <n v="0.154"/>
  </r>
  <r>
    <s v="PU023-JBA-08132021"/>
    <s v="Spill"/>
    <x v="0"/>
    <s v="Pumpkinseed"/>
    <s v="Lepomis"/>
    <s v="gibbosus"/>
    <s v="U"/>
    <x v="0"/>
    <n v="8"/>
    <n v="11.81"/>
    <x v="6"/>
    <s v="335-76-2"/>
    <x v="6"/>
    <n v="3"/>
  </r>
  <r>
    <s v="PU023-JBA-08132021"/>
    <s v="Spill"/>
    <x v="0"/>
    <s v="Pumpkinseed"/>
    <s v="Lepomis"/>
    <s v="gibbosus"/>
    <s v="U"/>
    <x v="0"/>
    <n v="8"/>
    <n v="11.81"/>
    <x v="7"/>
    <s v="2058-94-8"/>
    <x v="7"/>
    <n v="6.01"/>
  </r>
  <r>
    <s v="PU023-JBA-08132021"/>
    <s v="Spill"/>
    <x v="0"/>
    <s v="Pumpkinseed"/>
    <s v="Lepomis"/>
    <s v="gibbosus"/>
    <s v="U"/>
    <x v="0"/>
    <n v="8"/>
    <n v="11.81"/>
    <x v="8"/>
    <s v="307-55-1"/>
    <x v="8"/>
    <n v="8.84"/>
  </r>
  <r>
    <s v="PU023-JBA-08132021"/>
    <s v="Spill"/>
    <x v="0"/>
    <s v="Pumpkinseed"/>
    <s v="Lepomis"/>
    <s v="gibbosus"/>
    <s v="U"/>
    <x v="0"/>
    <n v="8"/>
    <n v="11.81"/>
    <x v="9"/>
    <s v="72629-94-8"/>
    <x v="9"/>
    <n v="3.31"/>
  </r>
  <r>
    <s v="PU023-JBA-08132021"/>
    <s v="Spill"/>
    <x v="0"/>
    <s v="Pumpkinseed"/>
    <s v="Lepomis"/>
    <s v="gibbosus"/>
    <s v="U"/>
    <x v="0"/>
    <n v="8"/>
    <n v="11.81"/>
    <x v="10"/>
    <s v="376-06-7"/>
    <x v="10"/>
    <n v="6.98"/>
  </r>
  <r>
    <s v="PU023-JBA-08132021"/>
    <s v="Spill"/>
    <x v="0"/>
    <s v="Pumpkinseed"/>
    <s v="Lepomis"/>
    <s v="gibbosus"/>
    <s v="U"/>
    <x v="0"/>
    <n v="8"/>
    <n v="11.81"/>
    <x v="11"/>
    <s v="67905-19-5"/>
    <x v="11"/>
    <n v="8.0500000000000002E-2"/>
  </r>
  <r>
    <s v="PU023-JBA-08132021"/>
    <s v="Spill"/>
    <x v="0"/>
    <s v="Pumpkinseed"/>
    <s v="Lepomis"/>
    <s v="gibbosus"/>
    <s v="U"/>
    <x v="0"/>
    <n v="8"/>
    <n v="11.81"/>
    <x v="12"/>
    <s v="423-41-6"/>
    <x v="12"/>
    <n v="5.1499999999999997E-2"/>
  </r>
  <r>
    <s v="PU023-JBA-08132021"/>
    <s v="Spill"/>
    <x v="0"/>
    <s v="Pumpkinseed"/>
    <s v="Lepomis"/>
    <s v="gibbosus"/>
    <s v="U"/>
    <x v="0"/>
    <n v="8"/>
    <n v="11.81"/>
    <x v="13"/>
    <s v="375-73-5"/>
    <x v="13"/>
    <n v="4.5900000000000003E-2"/>
  </r>
  <r>
    <s v="PU023-JBA-08132021"/>
    <s v="Spill"/>
    <x v="0"/>
    <s v="Pumpkinseed"/>
    <s v="Lepomis"/>
    <s v="gibbosus"/>
    <s v="U"/>
    <x v="0"/>
    <n v="8"/>
    <n v="11.81"/>
    <x v="14"/>
    <s v="2706-91-4"/>
    <x v="14"/>
    <n v="0.11799999999999999"/>
  </r>
  <r>
    <s v="PU023-JBA-08132021"/>
    <s v="Spill"/>
    <x v="0"/>
    <s v="Pumpkinseed"/>
    <s v="Lepomis"/>
    <s v="gibbosus"/>
    <s v="U"/>
    <x v="0"/>
    <n v="8"/>
    <n v="11.81"/>
    <x v="15"/>
    <s v="355-46-4"/>
    <x v="15"/>
    <n v="4.82"/>
  </r>
  <r>
    <s v="PU023-JBA-08132021"/>
    <s v="Spill"/>
    <x v="0"/>
    <s v="Pumpkinseed"/>
    <s v="Lepomis"/>
    <s v="gibbosus"/>
    <s v="U"/>
    <x v="0"/>
    <n v="8"/>
    <n v="11.81"/>
    <x v="16"/>
    <s v="375-92-8"/>
    <x v="16"/>
    <n v="0.48199999999999998"/>
  </r>
  <r>
    <s v="PU023-JBA-08132021"/>
    <s v="Spill"/>
    <x v="0"/>
    <s v="Pumpkinseed"/>
    <s v="Lepomis"/>
    <s v="gibbosus"/>
    <s v="U"/>
    <x v="0"/>
    <n v="8"/>
    <n v="11.81"/>
    <x v="17"/>
    <s v="1763-23-1"/>
    <x v="17"/>
    <n v="396"/>
  </r>
  <r>
    <s v="PU023-JBA-08132021"/>
    <s v="Spill"/>
    <x v="0"/>
    <s v="Pumpkinseed"/>
    <s v="Lepomis"/>
    <s v="gibbosus"/>
    <s v="U"/>
    <x v="0"/>
    <n v="8"/>
    <n v="11.81"/>
    <x v="18"/>
    <s v="68259-12-1"/>
    <x v="18"/>
    <n v="0.53100000000000003"/>
  </r>
  <r>
    <s v="PU023-JBA-08132021"/>
    <s v="Spill"/>
    <x v="0"/>
    <s v="Pumpkinseed"/>
    <s v="Lepomis"/>
    <s v="gibbosus"/>
    <s v="U"/>
    <x v="0"/>
    <n v="8"/>
    <n v="11.81"/>
    <x v="19"/>
    <s v="335-77-3"/>
    <x v="19"/>
    <n v="2.62"/>
  </r>
  <r>
    <s v="PU023-JBA-08132021"/>
    <s v="Spill"/>
    <x v="0"/>
    <s v="Pumpkinseed"/>
    <s v="Lepomis"/>
    <s v="gibbosus"/>
    <s v="U"/>
    <x v="0"/>
    <n v="8"/>
    <n v="11.81"/>
    <x v="20"/>
    <s v="79780-39-5"/>
    <x v="20"/>
    <n v="0.23799999999999999"/>
  </r>
  <r>
    <s v="PU023-JBA-08132021"/>
    <s v="Spill"/>
    <x v="0"/>
    <s v="Pumpkinseed"/>
    <s v="Lepomis"/>
    <s v="gibbosus"/>
    <s v="U"/>
    <x v="0"/>
    <n v="8"/>
    <n v="11.81"/>
    <x v="21"/>
    <s v="777011-38-8"/>
    <x v="21"/>
    <n v="0.13550000000000001"/>
  </r>
  <r>
    <s v="PU023-JBA-08132021"/>
    <s v="Spill"/>
    <x v="0"/>
    <s v="Pumpkinseed"/>
    <s v="Lepomis"/>
    <s v="gibbosus"/>
    <s v="U"/>
    <x v="0"/>
    <n v="8"/>
    <n v="11.81"/>
    <x v="22"/>
    <s v="646-83-3"/>
    <x v="22"/>
    <n v="8.8999999999999996E-2"/>
  </r>
  <r>
    <s v="PU023-JBA-08132021"/>
    <s v="Spill"/>
    <x v="0"/>
    <s v="Pumpkinseed"/>
    <s v="Lepomis"/>
    <s v="gibbosus"/>
    <s v="U"/>
    <x v="0"/>
    <n v="8"/>
    <n v="11.81"/>
    <x v="23"/>
    <s v="30334-69-1"/>
    <x v="23"/>
    <n v="63.2"/>
  </r>
  <r>
    <s v="PU023-JBA-08132021"/>
    <s v="Spill"/>
    <x v="0"/>
    <s v="Pumpkinseed"/>
    <s v="Lepomis"/>
    <s v="gibbosus"/>
    <s v="U"/>
    <x v="0"/>
    <n v="8"/>
    <n v="11.81"/>
    <x v="24"/>
    <s v="41997-13-1"/>
    <x v="24"/>
    <n v="89.5"/>
  </r>
  <r>
    <s v="PU023-JBA-08132021"/>
    <s v="Spill"/>
    <x v="0"/>
    <s v="Pumpkinseed"/>
    <s v="Lepomis"/>
    <s v="gibbosus"/>
    <s v="U"/>
    <x v="0"/>
    <n v="8"/>
    <n v="11.81"/>
    <x v="25"/>
    <s v="754-91-6"/>
    <x v="25"/>
    <n v="8.27"/>
  </r>
  <r>
    <s v="PU023-JBA-08132021"/>
    <s v="Spill"/>
    <x v="0"/>
    <s v="Pumpkinseed"/>
    <s v="Lepomis"/>
    <s v="gibbosus"/>
    <s v="U"/>
    <x v="0"/>
    <n v="8"/>
    <n v="11.81"/>
    <x v="26"/>
    <s v="31506-32-8"/>
    <x v="26"/>
    <n v="5.1999999999999998E-2"/>
  </r>
  <r>
    <s v="PU023-JBA-08132021"/>
    <s v="Spill"/>
    <x v="0"/>
    <s v="Pumpkinseed"/>
    <s v="Lepomis"/>
    <s v="gibbosus"/>
    <s v="U"/>
    <x v="0"/>
    <n v="8"/>
    <n v="11.81"/>
    <x v="27"/>
    <s v="4151-50-2"/>
    <x v="27"/>
    <n v="7.9000000000000001E-2"/>
  </r>
  <r>
    <s v="PU023-JBA-08132021"/>
    <s v="Spill"/>
    <x v="0"/>
    <s v="Pumpkinseed"/>
    <s v="Lepomis"/>
    <s v="gibbosus"/>
    <s v="U"/>
    <x v="0"/>
    <n v="8"/>
    <n v="11.81"/>
    <x v="28"/>
    <s v="2806-24-8"/>
    <x v="28"/>
    <n v="5.2999999999999999E-2"/>
  </r>
  <r>
    <s v="PU023-JBA-08132021"/>
    <s v="Spill"/>
    <x v="0"/>
    <s v="Pumpkinseed"/>
    <s v="Lepomis"/>
    <s v="gibbosus"/>
    <s v="U"/>
    <x v="0"/>
    <n v="8"/>
    <n v="11.81"/>
    <x v="29"/>
    <s v="2355-31-9"/>
    <x v="29"/>
    <n v="0.224"/>
  </r>
  <r>
    <s v="PU023-JBA-08132021"/>
    <s v="Spill"/>
    <x v="0"/>
    <s v="Pumpkinseed"/>
    <s v="Lepomis"/>
    <s v="gibbosus"/>
    <s v="U"/>
    <x v="0"/>
    <n v="8"/>
    <n v="11.81"/>
    <x v="30"/>
    <s v="2991-50-6"/>
    <x v="30"/>
    <n v="5.8500000000000003E-2"/>
  </r>
  <r>
    <s v="PU023-JBA-08132021"/>
    <s v="Spill"/>
    <x v="0"/>
    <s v="Pumpkinseed"/>
    <s v="Lepomis"/>
    <s v="gibbosus"/>
    <s v="U"/>
    <x v="0"/>
    <n v="8"/>
    <n v="11.81"/>
    <x v="31"/>
    <s v="757124-72-4"/>
    <x v="31"/>
    <n v="5.5500000000000001E-2"/>
  </r>
  <r>
    <s v="PU023-JBA-08132021"/>
    <s v="Spill"/>
    <x v="0"/>
    <s v="Pumpkinseed"/>
    <s v="Lepomis"/>
    <s v="gibbosus"/>
    <s v="U"/>
    <x v="0"/>
    <n v="8"/>
    <n v="11.81"/>
    <x v="32"/>
    <s v="27619-97-2"/>
    <x v="32"/>
    <n v="0.13450000000000001"/>
  </r>
  <r>
    <s v="PU023-JBA-08132021"/>
    <s v="Spill"/>
    <x v="0"/>
    <s v="Pumpkinseed"/>
    <s v="Lepomis"/>
    <s v="gibbosus"/>
    <s v="U"/>
    <x v="0"/>
    <n v="8"/>
    <n v="11.81"/>
    <x v="33"/>
    <s v="39108-34-4"/>
    <x v="33"/>
    <n v="0.66"/>
  </r>
  <r>
    <s v="PU023-JBA-08132021"/>
    <s v="Spill"/>
    <x v="0"/>
    <s v="Pumpkinseed"/>
    <s v="Lepomis"/>
    <s v="gibbosus"/>
    <s v="U"/>
    <x v="0"/>
    <n v="8"/>
    <n v="11.81"/>
    <x v="34"/>
    <s v="120226-60-0"/>
    <x v="34"/>
    <n v="7.6499999999999999E-2"/>
  </r>
  <r>
    <s v="PU023-JBA-08132021"/>
    <s v="Spill"/>
    <x v="0"/>
    <s v="Pumpkinseed"/>
    <s v="Lepomis"/>
    <s v="gibbosus"/>
    <s v="U"/>
    <x v="0"/>
    <n v="8"/>
    <n v="11.81"/>
    <x v="35"/>
    <s v="356-02-5"/>
    <x v="35"/>
    <n v="7.8E-2"/>
  </r>
  <r>
    <s v="PU023-JBA-08132021"/>
    <s v="Spill"/>
    <x v="0"/>
    <s v="Pumpkinseed"/>
    <s v="Lepomis"/>
    <s v="gibbosus"/>
    <s v="U"/>
    <x v="0"/>
    <n v="8"/>
    <n v="11.81"/>
    <x v="36"/>
    <s v="914637-49-3"/>
    <x v="36"/>
    <n v="6.14"/>
  </r>
  <r>
    <s v="PU023-JBA-08132021"/>
    <s v="Spill"/>
    <x v="0"/>
    <s v="Pumpkinseed"/>
    <s v="Lepomis"/>
    <s v="gibbosus"/>
    <s v="U"/>
    <x v="0"/>
    <n v="8"/>
    <n v="11.81"/>
    <x v="37"/>
    <s v="812-70-4"/>
    <x v="37"/>
    <n v="13.7"/>
  </r>
  <r>
    <s v="PU023-JBA-08132021"/>
    <s v="Spill"/>
    <x v="0"/>
    <s v="Pumpkinseed"/>
    <s v="Lepomis"/>
    <s v="gibbosus"/>
    <s v="U"/>
    <x v="0"/>
    <n v="8"/>
    <n v="11.81"/>
    <x v="38"/>
    <s v="53826-12-3"/>
    <x v="38"/>
    <n v="0.14299999999999999"/>
  </r>
  <r>
    <s v="PU023-JBA-08132021"/>
    <s v="Spill"/>
    <x v="0"/>
    <s v="Pumpkinseed"/>
    <s v="Lepomis"/>
    <s v="gibbosus"/>
    <s v="U"/>
    <x v="0"/>
    <n v="8"/>
    <n v="11.81"/>
    <x v="39"/>
    <s v="27854-31-5"/>
    <x v="39"/>
    <n v="2.6950000000000002E-2"/>
  </r>
  <r>
    <s v="PU023-JBA-08132021"/>
    <s v="Spill"/>
    <x v="0"/>
    <s v="Pumpkinseed"/>
    <s v="Lepomis"/>
    <s v="gibbosus"/>
    <s v="U"/>
    <x v="0"/>
    <n v="8"/>
    <n v="11.81"/>
    <x v="40"/>
    <s v="53826-13-4"/>
    <x v="40"/>
    <n v="0.10100000000000001"/>
  </r>
  <r>
    <s v="PU023-JBA-08132021"/>
    <s v="Spill"/>
    <x v="0"/>
    <s v="Pumpkinseed"/>
    <s v="Lepomis"/>
    <s v="gibbosus"/>
    <s v="U"/>
    <x v="0"/>
    <n v="8"/>
    <n v="11.81"/>
    <x v="41"/>
    <s v="161094-75-3"/>
    <x v="41"/>
    <n v="5.2999999999999999E-2"/>
  </r>
  <r>
    <s v="PU023-JBA-08132021"/>
    <s v="Spill"/>
    <x v="0"/>
    <s v="Pumpkinseed"/>
    <s v="Lepomis"/>
    <s v="gibbosus"/>
    <s v="U"/>
    <x v="0"/>
    <n v="8"/>
    <n v="11.81"/>
    <x v="42"/>
    <s v="70887-84-2"/>
    <x v="42"/>
    <n v="4.0750000000000001E-2"/>
  </r>
  <r>
    <s v="PU023-JBA-08132021"/>
    <s v="Spill"/>
    <x v="0"/>
    <s v="Pumpkinseed"/>
    <s v="Lepomis"/>
    <s v="gibbosus"/>
    <s v="U"/>
    <x v="0"/>
    <n v="8"/>
    <n v="11.81"/>
    <x v="43"/>
    <s v="919005-14-4"/>
    <x v="43"/>
    <n v="6.7500000000000004E-2"/>
  </r>
  <r>
    <s v="PU023-JBA-08132021"/>
    <s v="Spill"/>
    <x v="0"/>
    <s v="Pumpkinseed"/>
    <s v="Lepomis"/>
    <s v="gibbosus"/>
    <s v="U"/>
    <x v="0"/>
    <n v="8"/>
    <n v="11.81"/>
    <x v="44"/>
    <s v="756426-58-1"/>
    <x v="44"/>
    <n v="4.6800000000000001E-2"/>
  </r>
  <r>
    <s v="PU023-JBA-08132021"/>
    <s v="Spill"/>
    <x v="0"/>
    <s v="Pumpkinseed"/>
    <s v="Lepomis"/>
    <s v="gibbosus"/>
    <s v="U"/>
    <x v="0"/>
    <n v="8"/>
    <n v="11.81"/>
    <x v="45"/>
    <s v="763051-92-9"/>
    <x v="45"/>
    <n v="5.2999999999999999E-2"/>
  </r>
  <r>
    <s v="PU023-JBA-08132021"/>
    <s v="Spill"/>
    <x v="0"/>
    <s v="Pumpkinseed"/>
    <s v="Lepomis"/>
    <s v="gibbosus"/>
    <s v="U"/>
    <x v="0"/>
    <n v="8"/>
    <n v="11.81"/>
    <x v="46"/>
    <s v="13252-13-6"/>
    <x v="46"/>
    <n v="9.7000000000000003E-2"/>
  </r>
  <r>
    <s v="PU023-JBA-08132021"/>
    <s v="Spill"/>
    <x v="0"/>
    <s v="Pumpkinseed"/>
    <s v="Lepomis"/>
    <s v="gibbosus"/>
    <s v="U"/>
    <x v="0"/>
    <n v="8"/>
    <n v="11.81"/>
    <x v="47"/>
    <s v="57677-95-9"/>
    <x v="47"/>
    <n v="7.1999999999999995E-2"/>
  </r>
  <r>
    <s v="PU023-JBA-08132021"/>
    <s v="Spill"/>
    <x v="0"/>
    <s v="Pumpkinseed"/>
    <s v="Lepomis"/>
    <s v="gibbosus"/>
    <s v="U"/>
    <x v="0"/>
    <n v="8"/>
    <n v="11.81"/>
    <x v="48"/>
    <s v="678-41-1"/>
    <x v="48"/>
    <n v="8.9499999999999996E-2"/>
  </r>
  <r>
    <s v="PU023-JBA-08132021"/>
    <s v="Spill"/>
    <x v="0"/>
    <s v="Pumpkinseed"/>
    <s v="Lepomis"/>
    <s v="gibbosus"/>
    <s v="U"/>
    <x v="0"/>
    <n v="8"/>
    <n v="11.81"/>
    <x v="49"/>
    <s v="2965-52-8"/>
    <x v="49"/>
    <n v="0.11899999999999999"/>
  </r>
  <r>
    <s v="PU024-JBA-08132021"/>
    <s v="Spill"/>
    <x v="0"/>
    <s v="Pumpkinseed"/>
    <s v="Lepomis"/>
    <s v="gibbosus"/>
    <s v="U"/>
    <x v="0"/>
    <n v="8"/>
    <n v="11.81"/>
    <x v="0"/>
    <s v="375-22-4"/>
    <x v="0"/>
    <n v="2.8799999999999999E-2"/>
  </r>
  <r>
    <s v="PU024-JBA-08132021"/>
    <s v="Spill"/>
    <x v="0"/>
    <s v="Pumpkinseed"/>
    <s v="Lepomis"/>
    <s v="gibbosus"/>
    <s v="U"/>
    <x v="0"/>
    <n v="8"/>
    <n v="11.81"/>
    <x v="1"/>
    <s v="2706-90-3"/>
    <x v="1"/>
    <n v="5.0999999999999997E-2"/>
  </r>
  <r>
    <s v="PU024-JBA-08132021"/>
    <s v="Spill"/>
    <x v="0"/>
    <s v="Pumpkinseed"/>
    <s v="Lepomis"/>
    <s v="gibbosus"/>
    <s v="U"/>
    <x v="0"/>
    <n v="8"/>
    <n v="11.81"/>
    <x v="2"/>
    <s v="307-24-4"/>
    <x v="2"/>
    <n v="3.8949999999999999E-2"/>
  </r>
  <r>
    <s v="PU024-JBA-08132021"/>
    <s v="Spill"/>
    <x v="0"/>
    <s v="Pumpkinseed"/>
    <s v="Lepomis"/>
    <s v="gibbosus"/>
    <s v="U"/>
    <x v="0"/>
    <n v="8"/>
    <n v="11.81"/>
    <x v="3"/>
    <s v="375-85-9"/>
    <x v="3"/>
    <n v="9.5000000000000001E-2"/>
  </r>
  <r>
    <s v="PU024-JBA-08132021"/>
    <s v="Spill"/>
    <x v="0"/>
    <s v="Pumpkinseed"/>
    <s v="Lepomis"/>
    <s v="gibbosus"/>
    <s v="U"/>
    <x v="0"/>
    <n v="8"/>
    <n v="11.81"/>
    <x v="4"/>
    <s v="335-67-1"/>
    <x v="4"/>
    <n v="9.5000000000000001E-2"/>
  </r>
  <r>
    <s v="PU024-JBA-08132021"/>
    <s v="Spill"/>
    <x v="0"/>
    <s v="Pumpkinseed"/>
    <s v="Lepomis"/>
    <s v="gibbosus"/>
    <s v="U"/>
    <x v="0"/>
    <n v="8"/>
    <n v="11.81"/>
    <x v="5"/>
    <s v="375-95-1"/>
    <x v="5"/>
    <n v="0.16450000000000001"/>
  </r>
  <r>
    <s v="PU024-JBA-08132021"/>
    <s v="Spill"/>
    <x v="0"/>
    <s v="Pumpkinseed"/>
    <s v="Lepomis"/>
    <s v="gibbosus"/>
    <s v="U"/>
    <x v="0"/>
    <n v="8"/>
    <n v="11.81"/>
    <x v="6"/>
    <s v="335-76-2"/>
    <x v="6"/>
    <n v="2.2200000000000002"/>
  </r>
  <r>
    <s v="PU024-JBA-08132021"/>
    <s v="Spill"/>
    <x v="0"/>
    <s v="Pumpkinseed"/>
    <s v="Lepomis"/>
    <s v="gibbosus"/>
    <s v="U"/>
    <x v="0"/>
    <n v="8"/>
    <n v="11.81"/>
    <x v="7"/>
    <s v="2058-94-8"/>
    <x v="7"/>
    <n v="4.2"/>
  </r>
  <r>
    <s v="PU024-JBA-08132021"/>
    <s v="Spill"/>
    <x v="0"/>
    <s v="Pumpkinseed"/>
    <s v="Lepomis"/>
    <s v="gibbosus"/>
    <s v="U"/>
    <x v="0"/>
    <n v="8"/>
    <n v="11.81"/>
    <x v="8"/>
    <s v="307-55-1"/>
    <x v="8"/>
    <n v="6.25"/>
  </r>
  <r>
    <s v="PU024-JBA-08132021"/>
    <s v="Spill"/>
    <x v="0"/>
    <s v="Pumpkinseed"/>
    <s v="Lepomis"/>
    <s v="gibbosus"/>
    <s v="U"/>
    <x v="0"/>
    <n v="8"/>
    <n v="11.81"/>
    <x v="9"/>
    <s v="72629-94-8"/>
    <x v="9"/>
    <n v="3.47"/>
  </r>
  <r>
    <s v="PU024-JBA-08132021"/>
    <s v="Spill"/>
    <x v="0"/>
    <s v="Pumpkinseed"/>
    <s v="Lepomis"/>
    <s v="gibbosus"/>
    <s v="U"/>
    <x v="0"/>
    <n v="8"/>
    <n v="11.81"/>
    <x v="10"/>
    <s v="376-06-7"/>
    <x v="10"/>
    <n v="5.33"/>
  </r>
  <r>
    <s v="PU024-JBA-08132021"/>
    <s v="Spill"/>
    <x v="0"/>
    <s v="Pumpkinseed"/>
    <s v="Lepomis"/>
    <s v="gibbosus"/>
    <s v="U"/>
    <x v="0"/>
    <n v="8"/>
    <n v="11.81"/>
    <x v="11"/>
    <s v="67905-19-5"/>
    <x v="11"/>
    <n v="8.5999999999999993E-2"/>
  </r>
  <r>
    <s v="PU024-JBA-08132021"/>
    <s v="Spill"/>
    <x v="0"/>
    <s v="Pumpkinseed"/>
    <s v="Lepomis"/>
    <s v="gibbosus"/>
    <s v="U"/>
    <x v="0"/>
    <n v="8"/>
    <n v="11.81"/>
    <x v="12"/>
    <s v="423-41-6"/>
    <x v="12"/>
    <n v="5.5E-2"/>
  </r>
  <r>
    <s v="PU024-JBA-08132021"/>
    <s v="Spill"/>
    <x v="0"/>
    <s v="Pumpkinseed"/>
    <s v="Lepomis"/>
    <s v="gibbosus"/>
    <s v="U"/>
    <x v="0"/>
    <n v="8"/>
    <n v="11.81"/>
    <x v="13"/>
    <s v="375-73-5"/>
    <x v="13"/>
    <n v="0.16200000000000001"/>
  </r>
  <r>
    <s v="PU024-JBA-08132021"/>
    <s v="Spill"/>
    <x v="0"/>
    <s v="Pumpkinseed"/>
    <s v="Lepomis"/>
    <s v="gibbosus"/>
    <s v="U"/>
    <x v="0"/>
    <n v="8"/>
    <n v="11.81"/>
    <x v="14"/>
    <s v="2706-91-4"/>
    <x v="14"/>
    <n v="0.126"/>
  </r>
  <r>
    <s v="PU024-JBA-08132021"/>
    <s v="Spill"/>
    <x v="0"/>
    <s v="Pumpkinseed"/>
    <s v="Lepomis"/>
    <s v="gibbosus"/>
    <s v="U"/>
    <x v="0"/>
    <n v="8"/>
    <n v="11.81"/>
    <x v="15"/>
    <s v="355-46-4"/>
    <x v="15"/>
    <n v="4.58"/>
  </r>
  <r>
    <s v="PU024-JBA-08132021"/>
    <s v="Spill"/>
    <x v="0"/>
    <s v="Pumpkinseed"/>
    <s v="Lepomis"/>
    <s v="gibbosus"/>
    <s v="U"/>
    <x v="0"/>
    <n v="8"/>
    <n v="11.81"/>
    <x v="16"/>
    <s v="375-92-8"/>
    <x v="16"/>
    <n v="0.58399999999999996"/>
  </r>
  <r>
    <s v="PU024-JBA-08132021"/>
    <s v="Spill"/>
    <x v="0"/>
    <s v="Pumpkinseed"/>
    <s v="Lepomis"/>
    <s v="gibbosus"/>
    <s v="U"/>
    <x v="0"/>
    <n v="8"/>
    <n v="11.81"/>
    <x v="17"/>
    <s v="1763-23-1"/>
    <x v="17"/>
    <n v="484"/>
  </r>
  <r>
    <s v="PU024-JBA-08132021"/>
    <s v="Spill"/>
    <x v="0"/>
    <s v="Pumpkinseed"/>
    <s v="Lepomis"/>
    <s v="gibbosus"/>
    <s v="U"/>
    <x v="0"/>
    <n v="8"/>
    <n v="11.81"/>
    <x v="18"/>
    <s v="68259-12-1"/>
    <x v="18"/>
    <n v="0.39700000000000002"/>
  </r>
  <r>
    <s v="PU024-JBA-08132021"/>
    <s v="Spill"/>
    <x v="0"/>
    <s v="Pumpkinseed"/>
    <s v="Lepomis"/>
    <s v="gibbosus"/>
    <s v="U"/>
    <x v="0"/>
    <n v="8"/>
    <n v="11.81"/>
    <x v="19"/>
    <s v="335-77-3"/>
    <x v="19"/>
    <n v="3.48"/>
  </r>
  <r>
    <s v="PU024-JBA-08132021"/>
    <s v="Spill"/>
    <x v="0"/>
    <s v="Pumpkinseed"/>
    <s v="Lepomis"/>
    <s v="gibbosus"/>
    <s v="U"/>
    <x v="0"/>
    <n v="8"/>
    <n v="11.81"/>
    <x v="20"/>
    <s v="79780-39-5"/>
    <x v="20"/>
    <n v="0.2545"/>
  </r>
  <r>
    <s v="PU024-JBA-08132021"/>
    <s v="Spill"/>
    <x v="0"/>
    <s v="Pumpkinseed"/>
    <s v="Lepomis"/>
    <s v="gibbosus"/>
    <s v="U"/>
    <x v="0"/>
    <n v="8"/>
    <n v="11.81"/>
    <x v="21"/>
    <s v="777011-38-8"/>
    <x v="21"/>
    <n v="0.14449999999999999"/>
  </r>
  <r>
    <s v="PU024-JBA-08132021"/>
    <s v="Spill"/>
    <x v="0"/>
    <s v="Pumpkinseed"/>
    <s v="Lepomis"/>
    <s v="gibbosus"/>
    <s v="U"/>
    <x v="0"/>
    <n v="8"/>
    <n v="11.81"/>
    <x v="22"/>
    <s v="646-83-3"/>
    <x v="22"/>
    <n v="9.5000000000000001E-2"/>
  </r>
  <r>
    <s v="PU024-JBA-08132021"/>
    <s v="Spill"/>
    <x v="0"/>
    <s v="Pumpkinseed"/>
    <s v="Lepomis"/>
    <s v="gibbosus"/>
    <s v="U"/>
    <x v="0"/>
    <n v="8"/>
    <n v="11.81"/>
    <x v="23"/>
    <s v="30334-69-1"/>
    <x v="23"/>
    <n v="37.5"/>
  </r>
  <r>
    <s v="PU024-JBA-08132021"/>
    <s v="Spill"/>
    <x v="0"/>
    <s v="Pumpkinseed"/>
    <s v="Lepomis"/>
    <s v="gibbosus"/>
    <s v="U"/>
    <x v="0"/>
    <n v="8"/>
    <n v="11.81"/>
    <x v="24"/>
    <s v="41997-13-1"/>
    <x v="24"/>
    <n v="30.1"/>
  </r>
  <r>
    <s v="PU024-JBA-08132021"/>
    <s v="Spill"/>
    <x v="0"/>
    <s v="Pumpkinseed"/>
    <s v="Lepomis"/>
    <s v="gibbosus"/>
    <s v="U"/>
    <x v="0"/>
    <n v="8"/>
    <n v="11.81"/>
    <x v="25"/>
    <s v="754-91-6"/>
    <x v="25"/>
    <n v="17.100000000000001"/>
  </r>
  <r>
    <s v="PU024-JBA-08132021"/>
    <s v="Spill"/>
    <x v="0"/>
    <s v="Pumpkinseed"/>
    <s v="Lepomis"/>
    <s v="gibbosus"/>
    <s v="U"/>
    <x v="0"/>
    <n v="8"/>
    <n v="11.81"/>
    <x v="26"/>
    <s v="31506-32-8"/>
    <x v="26"/>
    <n v="5.5500000000000001E-2"/>
  </r>
  <r>
    <s v="PU024-JBA-08132021"/>
    <s v="Spill"/>
    <x v="0"/>
    <s v="Pumpkinseed"/>
    <s v="Lepomis"/>
    <s v="gibbosus"/>
    <s v="U"/>
    <x v="0"/>
    <n v="8"/>
    <n v="11.81"/>
    <x v="27"/>
    <s v="4151-50-2"/>
    <x v="27"/>
    <n v="8.4000000000000005E-2"/>
  </r>
  <r>
    <s v="PU024-JBA-08132021"/>
    <s v="Spill"/>
    <x v="0"/>
    <s v="Pumpkinseed"/>
    <s v="Lepomis"/>
    <s v="gibbosus"/>
    <s v="U"/>
    <x v="0"/>
    <n v="8"/>
    <n v="11.81"/>
    <x v="28"/>
    <s v="2806-24-8"/>
    <x v="28"/>
    <n v="5.7000000000000002E-2"/>
  </r>
  <r>
    <s v="PU024-JBA-08132021"/>
    <s v="Spill"/>
    <x v="0"/>
    <s v="Pumpkinseed"/>
    <s v="Lepomis"/>
    <s v="gibbosus"/>
    <s v="U"/>
    <x v="0"/>
    <n v="8"/>
    <n v="11.81"/>
    <x v="29"/>
    <s v="2355-31-9"/>
    <x v="29"/>
    <n v="0.23949999999999999"/>
  </r>
  <r>
    <s v="PU024-JBA-08132021"/>
    <s v="Spill"/>
    <x v="0"/>
    <s v="Pumpkinseed"/>
    <s v="Lepomis"/>
    <s v="gibbosus"/>
    <s v="U"/>
    <x v="0"/>
    <n v="8"/>
    <n v="11.81"/>
    <x v="30"/>
    <s v="2991-50-6"/>
    <x v="30"/>
    <n v="6.25E-2"/>
  </r>
  <r>
    <s v="PU024-JBA-08132021"/>
    <s v="Spill"/>
    <x v="0"/>
    <s v="Pumpkinseed"/>
    <s v="Lepomis"/>
    <s v="gibbosus"/>
    <s v="U"/>
    <x v="0"/>
    <n v="8"/>
    <n v="11.81"/>
    <x v="31"/>
    <s v="757124-72-4"/>
    <x v="31"/>
    <n v="5.8999999999999997E-2"/>
  </r>
  <r>
    <s v="PU024-JBA-08132021"/>
    <s v="Spill"/>
    <x v="0"/>
    <s v="Pumpkinseed"/>
    <s v="Lepomis"/>
    <s v="gibbosus"/>
    <s v="U"/>
    <x v="0"/>
    <n v="8"/>
    <n v="11.81"/>
    <x v="32"/>
    <s v="27619-97-2"/>
    <x v="32"/>
    <n v="0.14349999999999999"/>
  </r>
  <r>
    <s v="PU024-JBA-08132021"/>
    <s v="Spill"/>
    <x v="0"/>
    <s v="Pumpkinseed"/>
    <s v="Lepomis"/>
    <s v="gibbosus"/>
    <s v="U"/>
    <x v="0"/>
    <n v="8"/>
    <n v="11.81"/>
    <x v="33"/>
    <s v="39108-34-4"/>
    <x v="33"/>
    <n v="1.39"/>
  </r>
  <r>
    <s v="PU024-JBA-08132021"/>
    <s v="Spill"/>
    <x v="0"/>
    <s v="Pumpkinseed"/>
    <s v="Lepomis"/>
    <s v="gibbosus"/>
    <s v="U"/>
    <x v="0"/>
    <n v="8"/>
    <n v="11.81"/>
    <x v="34"/>
    <s v="120226-60-0"/>
    <x v="34"/>
    <n v="8.2000000000000003E-2"/>
  </r>
  <r>
    <s v="PU024-JBA-08132021"/>
    <s v="Spill"/>
    <x v="0"/>
    <s v="Pumpkinseed"/>
    <s v="Lepomis"/>
    <s v="gibbosus"/>
    <s v="U"/>
    <x v="0"/>
    <n v="8"/>
    <n v="11.81"/>
    <x v="35"/>
    <s v="356-02-5"/>
    <x v="35"/>
    <n v="8.3000000000000004E-2"/>
  </r>
  <r>
    <s v="PU024-JBA-08132021"/>
    <s v="Spill"/>
    <x v="0"/>
    <s v="Pumpkinseed"/>
    <s v="Lepomis"/>
    <s v="gibbosus"/>
    <s v="U"/>
    <x v="0"/>
    <n v="8"/>
    <n v="11.81"/>
    <x v="36"/>
    <s v="914637-49-3"/>
    <x v="36"/>
    <n v="0.17949999999999999"/>
  </r>
  <r>
    <s v="PU024-JBA-08132021"/>
    <s v="Spill"/>
    <x v="0"/>
    <s v="Pumpkinseed"/>
    <s v="Lepomis"/>
    <s v="gibbosus"/>
    <s v="U"/>
    <x v="0"/>
    <n v="8"/>
    <n v="11.81"/>
    <x v="37"/>
    <s v="812-70-4"/>
    <x v="37"/>
    <n v="3.67"/>
  </r>
  <r>
    <s v="PU024-JBA-08132021"/>
    <s v="Spill"/>
    <x v="0"/>
    <s v="Pumpkinseed"/>
    <s v="Lepomis"/>
    <s v="gibbosus"/>
    <s v="U"/>
    <x v="0"/>
    <n v="8"/>
    <n v="11.81"/>
    <x v="38"/>
    <s v="53826-12-3"/>
    <x v="38"/>
    <n v="4.6199999999999998E-2"/>
  </r>
  <r>
    <s v="PU024-JBA-08132021"/>
    <s v="Spill"/>
    <x v="0"/>
    <s v="Pumpkinseed"/>
    <s v="Lepomis"/>
    <s v="gibbosus"/>
    <s v="U"/>
    <x v="0"/>
    <n v="8"/>
    <n v="11.81"/>
    <x v="39"/>
    <s v="27854-31-5"/>
    <x v="39"/>
    <n v="2.8799999999999999E-2"/>
  </r>
  <r>
    <s v="PU024-JBA-08132021"/>
    <s v="Spill"/>
    <x v="0"/>
    <s v="Pumpkinseed"/>
    <s v="Lepomis"/>
    <s v="gibbosus"/>
    <s v="U"/>
    <x v="0"/>
    <n v="8"/>
    <n v="11.81"/>
    <x v="40"/>
    <s v="53826-13-4"/>
    <x v="40"/>
    <n v="0.1075"/>
  </r>
  <r>
    <s v="PU024-JBA-08132021"/>
    <s v="Spill"/>
    <x v="0"/>
    <s v="Pumpkinseed"/>
    <s v="Lepomis"/>
    <s v="gibbosus"/>
    <s v="U"/>
    <x v="0"/>
    <n v="8"/>
    <n v="11.81"/>
    <x v="41"/>
    <s v="161094-75-3"/>
    <x v="41"/>
    <n v="5.6500000000000002E-2"/>
  </r>
  <r>
    <s v="PU024-JBA-08132021"/>
    <s v="Spill"/>
    <x v="0"/>
    <s v="Pumpkinseed"/>
    <s v="Lepomis"/>
    <s v="gibbosus"/>
    <s v="U"/>
    <x v="0"/>
    <n v="8"/>
    <n v="11.81"/>
    <x v="42"/>
    <s v="70887-84-2"/>
    <x v="42"/>
    <n v="4.3499999999999997E-2"/>
  </r>
  <r>
    <s v="PU024-JBA-08132021"/>
    <s v="Spill"/>
    <x v="0"/>
    <s v="Pumpkinseed"/>
    <s v="Lepomis"/>
    <s v="gibbosus"/>
    <s v="U"/>
    <x v="0"/>
    <n v="8"/>
    <n v="11.81"/>
    <x v="43"/>
    <s v="919005-14-4"/>
    <x v="43"/>
    <n v="7.1999999999999995E-2"/>
  </r>
  <r>
    <s v="PU024-JBA-08132021"/>
    <s v="Spill"/>
    <x v="0"/>
    <s v="Pumpkinseed"/>
    <s v="Lepomis"/>
    <s v="gibbosus"/>
    <s v="U"/>
    <x v="0"/>
    <n v="8"/>
    <n v="11.81"/>
    <x v="44"/>
    <s v="756426-58-1"/>
    <x v="44"/>
    <n v="0.05"/>
  </r>
  <r>
    <s v="PU024-JBA-08132021"/>
    <s v="Spill"/>
    <x v="0"/>
    <s v="Pumpkinseed"/>
    <s v="Lepomis"/>
    <s v="gibbosus"/>
    <s v="U"/>
    <x v="0"/>
    <n v="8"/>
    <n v="11.81"/>
    <x v="45"/>
    <s v="763051-92-9"/>
    <x v="45"/>
    <n v="5.7000000000000002E-2"/>
  </r>
  <r>
    <s v="PU024-JBA-08132021"/>
    <s v="Spill"/>
    <x v="0"/>
    <s v="Pumpkinseed"/>
    <s v="Lepomis"/>
    <s v="gibbosus"/>
    <s v="U"/>
    <x v="0"/>
    <n v="8"/>
    <n v="11.81"/>
    <x v="46"/>
    <s v="13252-13-6"/>
    <x v="46"/>
    <n v="0.34150000000000003"/>
  </r>
  <r>
    <s v="PU024-JBA-08132021"/>
    <s v="Spill"/>
    <x v="0"/>
    <s v="Pumpkinseed"/>
    <s v="Lepomis"/>
    <s v="gibbosus"/>
    <s v="U"/>
    <x v="0"/>
    <n v="8"/>
    <n v="11.81"/>
    <x v="47"/>
    <s v="57677-95-9"/>
    <x v="47"/>
    <n v="7.6499999999999999E-2"/>
  </r>
  <r>
    <s v="PU024-JBA-08132021"/>
    <s v="Spill"/>
    <x v="0"/>
    <s v="Pumpkinseed"/>
    <s v="Lepomis"/>
    <s v="gibbosus"/>
    <s v="U"/>
    <x v="0"/>
    <n v="8"/>
    <n v="11.81"/>
    <x v="48"/>
    <s v="678-41-1"/>
    <x v="48"/>
    <n v="9.5500000000000002E-2"/>
  </r>
  <r>
    <s v="PU024-JBA-08132021"/>
    <s v="Spill"/>
    <x v="0"/>
    <s v="Pumpkinseed"/>
    <s v="Lepomis"/>
    <s v="gibbosus"/>
    <s v="U"/>
    <x v="0"/>
    <n v="8"/>
    <n v="11.81"/>
    <x v="49"/>
    <s v="2965-52-8"/>
    <x v="49"/>
    <n v="0.127"/>
  </r>
  <r>
    <s v="PU025-JBA-08132021"/>
    <s v="Spill"/>
    <x v="0"/>
    <s v="Pumpkinseed"/>
    <s v="Lepomis"/>
    <s v="gibbosus"/>
    <s v="U"/>
    <x v="0"/>
    <n v="8"/>
    <n v="11.81"/>
    <x v="0"/>
    <s v="375-22-4"/>
    <x v="0"/>
    <n v="9.0499999999999997E-2"/>
  </r>
  <r>
    <s v="PU025-JBA-08132021"/>
    <s v="Spill"/>
    <x v="0"/>
    <s v="Pumpkinseed"/>
    <s v="Lepomis"/>
    <s v="gibbosus"/>
    <s v="U"/>
    <x v="0"/>
    <n v="8"/>
    <n v="11.81"/>
    <x v="1"/>
    <s v="2706-90-3"/>
    <x v="1"/>
    <n v="4.8649999999999999E-2"/>
  </r>
  <r>
    <s v="PU025-JBA-08132021"/>
    <s v="Spill"/>
    <x v="0"/>
    <s v="Pumpkinseed"/>
    <s v="Lepomis"/>
    <s v="gibbosus"/>
    <s v="U"/>
    <x v="0"/>
    <n v="8"/>
    <n v="11.81"/>
    <x v="2"/>
    <s v="307-24-4"/>
    <x v="2"/>
    <n v="3.7100000000000001E-2"/>
  </r>
  <r>
    <s v="PU025-JBA-08132021"/>
    <s v="Spill"/>
    <x v="0"/>
    <s v="Pumpkinseed"/>
    <s v="Lepomis"/>
    <s v="gibbosus"/>
    <s v="U"/>
    <x v="0"/>
    <n v="8"/>
    <n v="11.81"/>
    <x v="3"/>
    <s v="375-85-9"/>
    <x v="3"/>
    <n v="9.0499999999999997E-2"/>
  </r>
  <r>
    <s v="PU025-JBA-08132021"/>
    <s v="Spill"/>
    <x v="0"/>
    <s v="Pumpkinseed"/>
    <s v="Lepomis"/>
    <s v="gibbosus"/>
    <s v="U"/>
    <x v="0"/>
    <n v="8"/>
    <n v="11.81"/>
    <x v="4"/>
    <s v="335-67-1"/>
    <x v="4"/>
    <n v="0.55000000000000004"/>
  </r>
  <r>
    <s v="PU025-JBA-08132021"/>
    <s v="Spill"/>
    <x v="0"/>
    <s v="Pumpkinseed"/>
    <s v="Lepomis"/>
    <s v="gibbosus"/>
    <s v="U"/>
    <x v="0"/>
    <n v="8"/>
    <n v="11.81"/>
    <x v="5"/>
    <s v="375-95-1"/>
    <x v="5"/>
    <n v="0.40100000000000002"/>
  </r>
  <r>
    <s v="PU025-JBA-08132021"/>
    <s v="Spill"/>
    <x v="0"/>
    <s v="Pumpkinseed"/>
    <s v="Lepomis"/>
    <s v="gibbosus"/>
    <s v="U"/>
    <x v="0"/>
    <n v="8"/>
    <n v="11.81"/>
    <x v="6"/>
    <s v="335-76-2"/>
    <x v="6"/>
    <n v="3.98"/>
  </r>
  <r>
    <s v="PU025-JBA-08132021"/>
    <s v="Spill"/>
    <x v="0"/>
    <s v="Pumpkinseed"/>
    <s v="Lepomis"/>
    <s v="gibbosus"/>
    <s v="U"/>
    <x v="0"/>
    <n v="8"/>
    <n v="11.81"/>
    <x v="7"/>
    <s v="2058-94-8"/>
    <x v="7"/>
    <n v="6.92"/>
  </r>
  <r>
    <s v="PU025-JBA-08132021"/>
    <s v="Spill"/>
    <x v="0"/>
    <s v="Pumpkinseed"/>
    <s v="Lepomis"/>
    <s v="gibbosus"/>
    <s v="U"/>
    <x v="0"/>
    <n v="8"/>
    <n v="11.81"/>
    <x v="8"/>
    <s v="307-55-1"/>
    <x v="8"/>
    <n v="11.4"/>
  </r>
  <r>
    <s v="PU025-JBA-08132021"/>
    <s v="Spill"/>
    <x v="0"/>
    <s v="Pumpkinseed"/>
    <s v="Lepomis"/>
    <s v="gibbosus"/>
    <s v="U"/>
    <x v="0"/>
    <n v="8"/>
    <n v="11.81"/>
    <x v="9"/>
    <s v="72629-94-8"/>
    <x v="9"/>
    <n v="1.03"/>
  </r>
  <r>
    <s v="PU025-JBA-08132021"/>
    <s v="Spill"/>
    <x v="0"/>
    <s v="Pumpkinseed"/>
    <s v="Lepomis"/>
    <s v="gibbosus"/>
    <s v="U"/>
    <x v="0"/>
    <n v="8"/>
    <n v="11.81"/>
    <x v="10"/>
    <s v="376-06-7"/>
    <x v="10"/>
    <n v="5.38"/>
  </r>
  <r>
    <s v="PU025-JBA-08132021"/>
    <s v="Spill"/>
    <x v="0"/>
    <s v="Pumpkinseed"/>
    <s v="Lepomis"/>
    <s v="gibbosus"/>
    <s v="U"/>
    <x v="0"/>
    <n v="8"/>
    <n v="11.81"/>
    <x v="11"/>
    <s v="67905-19-5"/>
    <x v="11"/>
    <n v="8.2000000000000003E-2"/>
  </r>
  <r>
    <s v="PU025-JBA-08132021"/>
    <s v="Spill"/>
    <x v="0"/>
    <s v="Pumpkinseed"/>
    <s v="Lepomis"/>
    <s v="gibbosus"/>
    <s v="U"/>
    <x v="0"/>
    <n v="8"/>
    <n v="11.81"/>
    <x v="12"/>
    <s v="423-41-6"/>
    <x v="12"/>
    <n v="5.2499999999999998E-2"/>
  </r>
  <r>
    <s v="PU025-JBA-08132021"/>
    <s v="Spill"/>
    <x v="0"/>
    <s v="Pumpkinseed"/>
    <s v="Lepomis"/>
    <s v="gibbosus"/>
    <s v="U"/>
    <x v="0"/>
    <n v="8"/>
    <n v="11.81"/>
    <x v="13"/>
    <s v="375-73-5"/>
    <x v="13"/>
    <n v="0.1545"/>
  </r>
  <r>
    <s v="PU025-JBA-08132021"/>
    <s v="Spill"/>
    <x v="0"/>
    <s v="Pumpkinseed"/>
    <s v="Lepomis"/>
    <s v="gibbosus"/>
    <s v="U"/>
    <x v="0"/>
    <n v="8"/>
    <n v="11.81"/>
    <x v="14"/>
    <s v="2706-91-4"/>
    <x v="14"/>
    <n v="0.12"/>
  </r>
  <r>
    <s v="PU025-JBA-08132021"/>
    <s v="Spill"/>
    <x v="0"/>
    <s v="Pumpkinseed"/>
    <s v="Lepomis"/>
    <s v="gibbosus"/>
    <s v="U"/>
    <x v="0"/>
    <n v="8"/>
    <n v="11.81"/>
    <x v="15"/>
    <s v="355-46-4"/>
    <x v="15"/>
    <n v="10.7"/>
  </r>
  <r>
    <s v="PU025-JBA-08132021"/>
    <s v="Spill"/>
    <x v="0"/>
    <s v="Pumpkinseed"/>
    <s v="Lepomis"/>
    <s v="gibbosus"/>
    <s v="U"/>
    <x v="0"/>
    <n v="8"/>
    <n v="11.81"/>
    <x v="16"/>
    <s v="375-92-8"/>
    <x v="16"/>
    <n v="1.18"/>
  </r>
  <r>
    <s v="PU025-JBA-08132021"/>
    <s v="Spill"/>
    <x v="0"/>
    <s v="Pumpkinseed"/>
    <s v="Lepomis"/>
    <s v="gibbosus"/>
    <s v="U"/>
    <x v="0"/>
    <n v="8"/>
    <n v="11.81"/>
    <x v="17"/>
    <s v="1763-23-1"/>
    <x v="17"/>
    <n v="658"/>
  </r>
  <r>
    <s v="PU025-JBA-08132021"/>
    <s v="Spill"/>
    <x v="0"/>
    <s v="Pumpkinseed"/>
    <s v="Lepomis"/>
    <s v="gibbosus"/>
    <s v="U"/>
    <x v="0"/>
    <n v="8"/>
    <n v="11.81"/>
    <x v="18"/>
    <s v="68259-12-1"/>
    <x v="18"/>
    <n v="0.29599999999999999"/>
  </r>
  <r>
    <s v="PU025-JBA-08132021"/>
    <s v="Spill"/>
    <x v="0"/>
    <s v="Pumpkinseed"/>
    <s v="Lepomis"/>
    <s v="gibbosus"/>
    <s v="U"/>
    <x v="0"/>
    <n v="8"/>
    <n v="11.81"/>
    <x v="19"/>
    <s v="335-77-3"/>
    <x v="19"/>
    <n v="2.16"/>
  </r>
  <r>
    <s v="PU025-JBA-08132021"/>
    <s v="Spill"/>
    <x v="0"/>
    <s v="Pumpkinseed"/>
    <s v="Lepomis"/>
    <s v="gibbosus"/>
    <s v="U"/>
    <x v="0"/>
    <n v="8"/>
    <n v="11.81"/>
    <x v="20"/>
    <s v="79780-39-5"/>
    <x v="20"/>
    <n v="0.24249999999999999"/>
  </r>
  <r>
    <s v="PU025-JBA-08132021"/>
    <s v="Spill"/>
    <x v="0"/>
    <s v="Pumpkinseed"/>
    <s v="Lepomis"/>
    <s v="gibbosus"/>
    <s v="U"/>
    <x v="0"/>
    <n v="8"/>
    <n v="11.81"/>
    <x v="21"/>
    <s v="777011-38-8"/>
    <x v="21"/>
    <n v="0.13800000000000001"/>
  </r>
  <r>
    <s v="PU025-JBA-08132021"/>
    <s v="Spill"/>
    <x v="0"/>
    <s v="Pumpkinseed"/>
    <s v="Lepomis"/>
    <s v="gibbosus"/>
    <s v="U"/>
    <x v="0"/>
    <n v="8"/>
    <n v="11.81"/>
    <x v="22"/>
    <s v="646-83-3"/>
    <x v="22"/>
    <n v="9.0499999999999997E-2"/>
  </r>
  <r>
    <s v="PU025-JBA-08132021"/>
    <s v="Spill"/>
    <x v="0"/>
    <s v="Pumpkinseed"/>
    <s v="Lepomis"/>
    <s v="gibbosus"/>
    <s v="U"/>
    <x v="0"/>
    <n v="8"/>
    <n v="11.81"/>
    <x v="23"/>
    <s v="30334-69-1"/>
    <x v="23"/>
    <n v="83.1"/>
  </r>
  <r>
    <s v="PU025-JBA-08132021"/>
    <s v="Spill"/>
    <x v="0"/>
    <s v="Pumpkinseed"/>
    <s v="Lepomis"/>
    <s v="gibbosus"/>
    <s v="U"/>
    <x v="0"/>
    <n v="8"/>
    <n v="11.81"/>
    <x v="24"/>
    <s v="41997-13-1"/>
    <x v="24"/>
    <n v="45.8"/>
  </r>
  <r>
    <s v="PU025-JBA-08132021"/>
    <s v="Spill"/>
    <x v="0"/>
    <s v="Pumpkinseed"/>
    <s v="Lepomis"/>
    <s v="gibbosus"/>
    <s v="U"/>
    <x v="0"/>
    <n v="8"/>
    <n v="11.81"/>
    <x v="25"/>
    <s v="754-91-6"/>
    <x v="25"/>
    <n v="20"/>
  </r>
  <r>
    <s v="PU025-JBA-08132021"/>
    <s v="Spill"/>
    <x v="0"/>
    <s v="Pumpkinseed"/>
    <s v="Lepomis"/>
    <s v="gibbosus"/>
    <s v="U"/>
    <x v="0"/>
    <n v="8"/>
    <n v="11.81"/>
    <x v="26"/>
    <s v="31506-32-8"/>
    <x v="26"/>
    <n v="5.2999999999999999E-2"/>
  </r>
  <r>
    <s v="PU025-JBA-08132021"/>
    <s v="Spill"/>
    <x v="0"/>
    <s v="Pumpkinseed"/>
    <s v="Lepomis"/>
    <s v="gibbosus"/>
    <s v="U"/>
    <x v="0"/>
    <n v="8"/>
    <n v="11.81"/>
    <x v="27"/>
    <s v="4151-50-2"/>
    <x v="27"/>
    <n v="0.08"/>
  </r>
  <r>
    <s v="PU025-JBA-08132021"/>
    <s v="Spill"/>
    <x v="0"/>
    <s v="Pumpkinseed"/>
    <s v="Lepomis"/>
    <s v="gibbosus"/>
    <s v="U"/>
    <x v="0"/>
    <n v="8"/>
    <n v="11.81"/>
    <x v="28"/>
    <s v="2806-24-8"/>
    <x v="28"/>
    <n v="5.3999999999999999E-2"/>
  </r>
  <r>
    <s v="PU025-JBA-08132021"/>
    <s v="Spill"/>
    <x v="0"/>
    <s v="Pumpkinseed"/>
    <s v="Lepomis"/>
    <s v="gibbosus"/>
    <s v="U"/>
    <x v="0"/>
    <n v="8"/>
    <n v="11.81"/>
    <x v="29"/>
    <s v="2355-31-9"/>
    <x v="29"/>
    <n v="0.91500000000000004"/>
  </r>
  <r>
    <s v="PU025-JBA-08132021"/>
    <s v="Spill"/>
    <x v="0"/>
    <s v="Pumpkinseed"/>
    <s v="Lepomis"/>
    <s v="gibbosus"/>
    <s v="U"/>
    <x v="0"/>
    <n v="8"/>
    <n v="11.81"/>
    <x v="30"/>
    <s v="2991-50-6"/>
    <x v="30"/>
    <n v="5.9499999999999997E-2"/>
  </r>
  <r>
    <s v="PU025-JBA-08132021"/>
    <s v="Spill"/>
    <x v="0"/>
    <s v="Pumpkinseed"/>
    <s v="Lepomis"/>
    <s v="gibbosus"/>
    <s v="U"/>
    <x v="0"/>
    <n v="8"/>
    <n v="11.81"/>
    <x v="31"/>
    <s v="757124-72-4"/>
    <x v="31"/>
    <n v="5.6500000000000002E-2"/>
  </r>
  <r>
    <s v="PU025-JBA-08132021"/>
    <s v="Spill"/>
    <x v="0"/>
    <s v="Pumpkinseed"/>
    <s v="Lepomis"/>
    <s v="gibbosus"/>
    <s v="U"/>
    <x v="0"/>
    <n v="8"/>
    <n v="11.81"/>
    <x v="32"/>
    <s v="27619-97-2"/>
    <x v="32"/>
    <n v="0.59899999999999998"/>
  </r>
  <r>
    <s v="PU025-JBA-08132021"/>
    <s v="Spill"/>
    <x v="0"/>
    <s v="Pumpkinseed"/>
    <s v="Lepomis"/>
    <s v="gibbosus"/>
    <s v="U"/>
    <x v="0"/>
    <n v="8"/>
    <n v="11.81"/>
    <x v="33"/>
    <s v="39108-34-4"/>
    <x v="33"/>
    <n v="0.95399999999999996"/>
  </r>
  <r>
    <s v="PU025-JBA-08132021"/>
    <s v="Spill"/>
    <x v="0"/>
    <s v="Pumpkinseed"/>
    <s v="Lepomis"/>
    <s v="gibbosus"/>
    <s v="U"/>
    <x v="0"/>
    <n v="8"/>
    <n v="11.81"/>
    <x v="34"/>
    <s v="120226-60-0"/>
    <x v="34"/>
    <n v="7.8E-2"/>
  </r>
  <r>
    <s v="PU025-JBA-08132021"/>
    <s v="Spill"/>
    <x v="0"/>
    <s v="Pumpkinseed"/>
    <s v="Lepomis"/>
    <s v="gibbosus"/>
    <s v="U"/>
    <x v="0"/>
    <n v="8"/>
    <n v="11.81"/>
    <x v="35"/>
    <s v="356-02-5"/>
    <x v="35"/>
    <n v="7.9000000000000001E-2"/>
  </r>
  <r>
    <s v="PU025-JBA-08132021"/>
    <s v="Spill"/>
    <x v="0"/>
    <s v="Pumpkinseed"/>
    <s v="Lepomis"/>
    <s v="gibbosus"/>
    <s v="U"/>
    <x v="0"/>
    <n v="8"/>
    <n v="11.81"/>
    <x v="36"/>
    <s v="914637-49-3"/>
    <x v="36"/>
    <n v="1.82"/>
  </r>
  <r>
    <s v="PU025-JBA-08132021"/>
    <s v="Spill"/>
    <x v="0"/>
    <s v="Pumpkinseed"/>
    <s v="Lepomis"/>
    <s v="gibbosus"/>
    <s v="U"/>
    <x v="0"/>
    <n v="8"/>
    <n v="11.81"/>
    <x v="37"/>
    <s v="812-70-4"/>
    <x v="37"/>
    <n v="15"/>
  </r>
  <r>
    <s v="PU025-JBA-08132021"/>
    <s v="Spill"/>
    <x v="0"/>
    <s v="Pumpkinseed"/>
    <s v="Lepomis"/>
    <s v="gibbosus"/>
    <s v="U"/>
    <x v="0"/>
    <n v="8"/>
    <n v="11.81"/>
    <x v="38"/>
    <s v="53826-12-3"/>
    <x v="38"/>
    <n v="4.41E-2"/>
  </r>
  <r>
    <s v="PU025-JBA-08132021"/>
    <s v="Spill"/>
    <x v="0"/>
    <s v="Pumpkinseed"/>
    <s v="Lepomis"/>
    <s v="gibbosus"/>
    <s v="U"/>
    <x v="0"/>
    <n v="8"/>
    <n v="11.81"/>
    <x v="39"/>
    <s v="27854-31-5"/>
    <x v="39"/>
    <n v="2.7400000000000001E-2"/>
  </r>
  <r>
    <s v="PU025-JBA-08132021"/>
    <s v="Spill"/>
    <x v="0"/>
    <s v="Pumpkinseed"/>
    <s v="Lepomis"/>
    <s v="gibbosus"/>
    <s v="U"/>
    <x v="0"/>
    <n v="8"/>
    <n v="11.81"/>
    <x v="40"/>
    <s v="53826-13-4"/>
    <x v="40"/>
    <n v="0.10249999999999999"/>
  </r>
  <r>
    <s v="PU025-JBA-08132021"/>
    <s v="Spill"/>
    <x v="0"/>
    <s v="Pumpkinseed"/>
    <s v="Lepomis"/>
    <s v="gibbosus"/>
    <s v="U"/>
    <x v="0"/>
    <n v="8"/>
    <n v="11.81"/>
    <x v="41"/>
    <s v="161094-75-3"/>
    <x v="41"/>
    <n v="5.3999999999999999E-2"/>
  </r>
  <r>
    <s v="PU025-JBA-08132021"/>
    <s v="Spill"/>
    <x v="0"/>
    <s v="Pumpkinseed"/>
    <s v="Lepomis"/>
    <s v="gibbosus"/>
    <s v="U"/>
    <x v="0"/>
    <n v="8"/>
    <n v="11.81"/>
    <x v="42"/>
    <s v="70887-84-2"/>
    <x v="42"/>
    <n v="4.1500000000000002E-2"/>
  </r>
  <r>
    <s v="PU025-JBA-08132021"/>
    <s v="Spill"/>
    <x v="0"/>
    <s v="Pumpkinseed"/>
    <s v="Lepomis"/>
    <s v="gibbosus"/>
    <s v="U"/>
    <x v="0"/>
    <n v="8"/>
    <n v="11.81"/>
    <x v="43"/>
    <s v="919005-14-4"/>
    <x v="43"/>
    <n v="6.9000000000000006E-2"/>
  </r>
  <r>
    <s v="PU025-JBA-08132021"/>
    <s v="Spill"/>
    <x v="0"/>
    <s v="Pumpkinseed"/>
    <s v="Lepomis"/>
    <s v="gibbosus"/>
    <s v="U"/>
    <x v="0"/>
    <n v="8"/>
    <n v="11.81"/>
    <x v="44"/>
    <s v="756426-58-1"/>
    <x v="44"/>
    <n v="4.7750000000000001E-2"/>
  </r>
  <r>
    <s v="PU025-JBA-08132021"/>
    <s v="Spill"/>
    <x v="0"/>
    <s v="Pumpkinseed"/>
    <s v="Lepomis"/>
    <s v="gibbosus"/>
    <s v="U"/>
    <x v="0"/>
    <n v="8"/>
    <n v="11.81"/>
    <x v="45"/>
    <s v="763051-92-9"/>
    <x v="45"/>
    <n v="5.3999999999999999E-2"/>
  </r>
  <r>
    <s v="PU025-JBA-08132021"/>
    <s v="Spill"/>
    <x v="0"/>
    <s v="Pumpkinseed"/>
    <s v="Lepomis"/>
    <s v="gibbosus"/>
    <s v="U"/>
    <x v="0"/>
    <n v="8"/>
    <n v="11.81"/>
    <x v="46"/>
    <s v="13252-13-6"/>
    <x v="46"/>
    <n v="9.8500000000000004E-2"/>
  </r>
  <r>
    <s v="PU025-JBA-08132021"/>
    <s v="Spill"/>
    <x v="0"/>
    <s v="Pumpkinseed"/>
    <s v="Lepomis"/>
    <s v="gibbosus"/>
    <s v="U"/>
    <x v="0"/>
    <n v="8"/>
    <n v="11.81"/>
    <x v="47"/>
    <s v="57677-95-9"/>
    <x v="47"/>
    <n v="7.2999999999999995E-2"/>
  </r>
  <r>
    <s v="PU025-JBA-08132021"/>
    <s v="Spill"/>
    <x v="0"/>
    <s v="Pumpkinseed"/>
    <s v="Lepomis"/>
    <s v="gibbosus"/>
    <s v="U"/>
    <x v="0"/>
    <n v="8"/>
    <n v="11.81"/>
    <x v="48"/>
    <s v="678-41-1"/>
    <x v="48"/>
    <n v="9.0999999999999998E-2"/>
  </r>
  <r>
    <s v="PU025-JBA-08132021"/>
    <s v="Spill"/>
    <x v="0"/>
    <s v="Pumpkinseed"/>
    <s v="Lepomis"/>
    <s v="gibbosus"/>
    <s v="U"/>
    <x v="0"/>
    <n v="8"/>
    <n v="11.81"/>
    <x v="49"/>
    <s v="2965-52-8"/>
    <x v="49"/>
    <n v="0.121"/>
  </r>
  <r>
    <s v="PU026-JBA-08132021"/>
    <s v="Spill"/>
    <x v="0"/>
    <s v="Pumpkinseed"/>
    <s v="Lepomis"/>
    <s v="gibbosus"/>
    <s v="U"/>
    <x v="0"/>
    <n v="8"/>
    <n v="11.81"/>
    <x v="0"/>
    <s v="375-22-4"/>
    <x v="0"/>
    <n v="2.8649999999999998E-2"/>
  </r>
  <r>
    <s v="PU026-JBA-08132021"/>
    <s v="Spill"/>
    <x v="0"/>
    <s v="Pumpkinseed"/>
    <s v="Lepomis"/>
    <s v="gibbosus"/>
    <s v="U"/>
    <x v="0"/>
    <n v="8"/>
    <n v="11.81"/>
    <x v="1"/>
    <s v="2706-90-3"/>
    <x v="1"/>
    <n v="5.0999999999999997E-2"/>
  </r>
  <r>
    <s v="PU026-JBA-08132021"/>
    <s v="Spill"/>
    <x v="0"/>
    <s v="Pumpkinseed"/>
    <s v="Lepomis"/>
    <s v="gibbosus"/>
    <s v="U"/>
    <x v="0"/>
    <n v="8"/>
    <n v="11.81"/>
    <x v="2"/>
    <s v="307-24-4"/>
    <x v="2"/>
    <n v="0.128"/>
  </r>
  <r>
    <s v="PU026-JBA-08132021"/>
    <s v="Spill"/>
    <x v="0"/>
    <s v="Pumpkinseed"/>
    <s v="Lepomis"/>
    <s v="gibbosus"/>
    <s v="U"/>
    <x v="0"/>
    <n v="8"/>
    <n v="11.81"/>
    <x v="3"/>
    <s v="375-85-9"/>
    <x v="3"/>
    <n v="9.4500000000000001E-2"/>
  </r>
  <r>
    <s v="PU026-JBA-08132021"/>
    <s v="Spill"/>
    <x v="0"/>
    <s v="Pumpkinseed"/>
    <s v="Lepomis"/>
    <s v="gibbosus"/>
    <s v="U"/>
    <x v="0"/>
    <n v="8"/>
    <n v="11.81"/>
    <x v="4"/>
    <s v="335-67-1"/>
    <x v="4"/>
    <n v="0.315"/>
  </r>
  <r>
    <s v="PU026-JBA-08132021"/>
    <s v="Spill"/>
    <x v="0"/>
    <s v="Pumpkinseed"/>
    <s v="Lepomis"/>
    <s v="gibbosus"/>
    <s v="U"/>
    <x v="0"/>
    <n v="8"/>
    <n v="11.81"/>
    <x v="5"/>
    <s v="375-95-1"/>
    <x v="5"/>
    <n v="0.16400000000000001"/>
  </r>
  <r>
    <s v="PU026-JBA-08132021"/>
    <s v="Spill"/>
    <x v="0"/>
    <s v="Pumpkinseed"/>
    <s v="Lepomis"/>
    <s v="gibbosus"/>
    <s v="U"/>
    <x v="0"/>
    <n v="8"/>
    <n v="11.81"/>
    <x v="6"/>
    <s v="335-76-2"/>
    <x v="6"/>
    <n v="1.74"/>
  </r>
  <r>
    <s v="PU026-JBA-08132021"/>
    <s v="Spill"/>
    <x v="0"/>
    <s v="Pumpkinseed"/>
    <s v="Lepomis"/>
    <s v="gibbosus"/>
    <s v="U"/>
    <x v="0"/>
    <n v="8"/>
    <n v="11.81"/>
    <x v="7"/>
    <s v="2058-94-8"/>
    <x v="7"/>
    <n v="2.06"/>
  </r>
  <r>
    <s v="PU026-JBA-08132021"/>
    <s v="Spill"/>
    <x v="0"/>
    <s v="Pumpkinseed"/>
    <s v="Lepomis"/>
    <s v="gibbosus"/>
    <s v="U"/>
    <x v="0"/>
    <n v="8"/>
    <n v="11.81"/>
    <x v="8"/>
    <s v="307-55-1"/>
    <x v="8"/>
    <n v="2.58"/>
  </r>
  <r>
    <s v="PU026-JBA-08132021"/>
    <s v="Spill"/>
    <x v="0"/>
    <s v="Pumpkinseed"/>
    <s v="Lepomis"/>
    <s v="gibbosus"/>
    <s v="U"/>
    <x v="0"/>
    <n v="8"/>
    <n v="11.81"/>
    <x v="9"/>
    <s v="72629-94-8"/>
    <x v="9"/>
    <n v="0.32600000000000001"/>
  </r>
  <r>
    <s v="PU026-JBA-08132021"/>
    <s v="Spill"/>
    <x v="0"/>
    <s v="Pumpkinseed"/>
    <s v="Lepomis"/>
    <s v="gibbosus"/>
    <s v="U"/>
    <x v="0"/>
    <n v="8"/>
    <n v="11.81"/>
    <x v="10"/>
    <s v="376-06-7"/>
    <x v="10"/>
    <n v="1.26"/>
  </r>
  <r>
    <s v="PU026-JBA-08132021"/>
    <s v="Spill"/>
    <x v="0"/>
    <s v="Pumpkinseed"/>
    <s v="Lepomis"/>
    <s v="gibbosus"/>
    <s v="U"/>
    <x v="0"/>
    <n v="8"/>
    <n v="11.81"/>
    <x v="11"/>
    <s v="67905-19-5"/>
    <x v="11"/>
    <n v="8.5500000000000007E-2"/>
  </r>
  <r>
    <s v="PU026-JBA-08132021"/>
    <s v="Spill"/>
    <x v="0"/>
    <s v="Pumpkinseed"/>
    <s v="Lepomis"/>
    <s v="gibbosus"/>
    <s v="U"/>
    <x v="0"/>
    <n v="8"/>
    <n v="11.81"/>
    <x v="12"/>
    <s v="423-41-6"/>
    <x v="12"/>
    <n v="5.45E-2"/>
  </r>
  <r>
    <s v="PU026-JBA-08132021"/>
    <s v="Spill"/>
    <x v="0"/>
    <s v="Pumpkinseed"/>
    <s v="Lepomis"/>
    <s v="gibbosus"/>
    <s v="U"/>
    <x v="0"/>
    <n v="8"/>
    <n v="11.81"/>
    <x v="13"/>
    <s v="375-73-5"/>
    <x v="13"/>
    <n v="0.161"/>
  </r>
  <r>
    <s v="PU026-JBA-08132021"/>
    <s v="Spill"/>
    <x v="0"/>
    <s v="Pumpkinseed"/>
    <s v="Lepomis"/>
    <s v="gibbosus"/>
    <s v="U"/>
    <x v="0"/>
    <n v="8"/>
    <n v="11.81"/>
    <x v="14"/>
    <s v="2706-91-4"/>
    <x v="14"/>
    <n v="0.1255"/>
  </r>
  <r>
    <s v="PU026-JBA-08132021"/>
    <s v="Spill"/>
    <x v="0"/>
    <s v="Pumpkinseed"/>
    <s v="Lepomis"/>
    <s v="gibbosus"/>
    <s v="U"/>
    <x v="0"/>
    <n v="8"/>
    <n v="11.81"/>
    <x v="15"/>
    <s v="355-46-4"/>
    <x v="15"/>
    <n v="6.56"/>
  </r>
  <r>
    <s v="PU026-JBA-08132021"/>
    <s v="Spill"/>
    <x v="0"/>
    <s v="Pumpkinseed"/>
    <s v="Lepomis"/>
    <s v="gibbosus"/>
    <s v="U"/>
    <x v="0"/>
    <n v="8"/>
    <n v="11.81"/>
    <x v="16"/>
    <s v="375-92-8"/>
    <x v="16"/>
    <n v="0.23699999999999999"/>
  </r>
  <r>
    <s v="PU026-JBA-08132021"/>
    <s v="Spill"/>
    <x v="0"/>
    <s v="Pumpkinseed"/>
    <s v="Lepomis"/>
    <s v="gibbosus"/>
    <s v="U"/>
    <x v="0"/>
    <n v="8"/>
    <n v="11.81"/>
    <x v="17"/>
    <s v="1763-23-1"/>
    <x v="17"/>
    <n v="197"/>
  </r>
  <r>
    <s v="PU026-JBA-08132021"/>
    <s v="Spill"/>
    <x v="0"/>
    <s v="Pumpkinseed"/>
    <s v="Lepomis"/>
    <s v="gibbosus"/>
    <s v="U"/>
    <x v="0"/>
    <n v="8"/>
    <n v="11.81"/>
    <x v="18"/>
    <s v="68259-12-1"/>
    <x v="18"/>
    <n v="0.13500000000000001"/>
  </r>
  <r>
    <s v="PU026-JBA-08132021"/>
    <s v="Spill"/>
    <x v="0"/>
    <s v="Pumpkinseed"/>
    <s v="Lepomis"/>
    <s v="gibbosus"/>
    <s v="U"/>
    <x v="0"/>
    <n v="8"/>
    <n v="11.81"/>
    <x v="19"/>
    <s v="335-77-3"/>
    <x v="19"/>
    <n v="0.503"/>
  </r>
  <r>
    <s v="PU026-JBA-08132021"/>
    <s v="Spill"/>
    <x v="0"/>
    <s v="Pumpkinseed"/>
    <s v="Lepomis"/>
    <s v="gibbosus"/>
    <s v="U"/>
    <x v="0"/>
    <n v="8"/>
    <n v="11.81"/>
    <x v="20"/>
    <s v="79780-39-5"/>
    <x v="20"/>
    <n v="0.2535"/>
  </r>
  <r>
    <s v="PU026-JBA-08132021"/>
    <s v="Spill"/>
    <x v="0"/>
    <s v="Pumpkinseed"/>
    <s v="Lepomis"/>
    <s v="gibbosus"/>
    <s v="U"/>
    <x v="0"/>
    <n v="8"/>
    <n v="11.81"/>
    <x v="21"/>
    <s v="777011-38-8"/>
    <x v="21"/>
    <n v="0.14399999999999999"/>
  </r>
  <r>
    <s v="PU026-JBA-08132021"/>
    <s v="Spill"/>
    <x v="0"/>
    <s v="Pumpkinseed"/>
    <s v="Lepomis"/>
    <s v="gibbosus"/>
    <s v="U"/>
    <x v="0"/>
    <n v="8"/>
    <n v="11.81"/>
    <x v="22"/>
    <s v="646-83-3"/>
    <x v="22"/>
    <n v="9.4500000000000001E-2"/>
  </r>
  <r>
    <s v="PU026-JBA-08132021"/>
    <s v="Spill"/>
    <x v="0"/>
    <s v="Pumpkinseed"/>
    <s v="Lepomis"/>
    <s v="gibbosus"/>
    <s v="U"/>
    <x v="0"/>
    <n v="8"/>
    <n v="11.81"/>
    <x v="23"/>
    <s v="30334-69-1"/>
    <x v="23"/>
    <n v="14.4"/>
  </r>
  <r>
    <s v="PU026-JBA-08132021"/>
    <s v="Spill"/>
    <x v="0"/>
    <s v="Pumpkinseed"/>
    <s v="Lepomis"/>
    <s v="gibbosus"/>
    <s v="U"/>
    <x v="0"/>
    <n v="8"/>
    <n v="11.81"/>
    <x v="24"/>
    <s v="41997-13-1"/>
    <x v="24"/>
    <n v="66.099999999999994"/>
  </r>
  <r>
    <s v="PU026-JBA-08132021"/>
    <s v="Spill"/>
    <x v="0"/>
    <s v="Pumpkinseed"/>
    <s v="Lepomis"/>
    <s v="gibbosus"/>
    <s v="U"/>
    <x v="0"/>
    <n v="8"/>
    <n v="11.81"/>
    <x v="25"/>
    <s v="754-91-6"/>
    <x v="25"/>
    <n v="9.89"/>
  </r>
  <r>
    <s v="PU026-JBA-08132021"/>
    <s v="Spill"/>
    <x v="0"/>
    <s v="Pumpkinseed"/>
    <s v="Lepomis"/>
    <s v="gibbosus"/>
    <s v="U"/>
    <x v="0"/>
    <n v="8"/>
    <n v="11.81"/>
    <x v="26"/>
    <s v="31506-32-8"/>
    <x v="26"/>
    <n v="5.5500000000000001E-2"/>
  </r>
  <r>
    <s v="PU026-JBA-08132021"/>
    <s v="Spill"/>
    <x v="0"/>
    <s v="Pumpkinseed"/>
    <s v="Lepomis"/>
    <s v="gibbosus"/>
    <s v="U"/>
    <x v="0"/>
    <n v="8"/>
    <n v="11.81"/>
    <x v="27"/>
    <s v="4151-50-2"/>
    <x v="27"/>
    <n v="8.4000000000000005E-2"/>
  </r>
  <r>
    <s v="PU026-JBA-08132021"/>
    <s v="Spill"/>
    <x v="0"/>
    <s v="Pumpkinseed"/>
    <s v="Lepomis"/>
    <s v="gibbosus"/>
    <s v="U"/>
    <x v="0"/>
    <n v="8"/>
    <n v="11.81"/>
    <x v="28"/>
    <s v="2806-24-8"/>
    <x v="28"/>
    <n v="5.6500000000000002E-2"/>
  </r>
  <r>
    <s v="PU026-JBA-08132021"/>
    <s v="Spill"/>
    <x v="0"/>
    <s v="Pumpkinseed"/>
    <s v="Lepomis"/>
    <s v="gibbosus"/>
    <s v="U"/>
    <x v="0"/>
    <n v="8"/>
    <n v="11.81"/>
    <x v="29"/>
    <s v="2355-31-9"/>
    <x v="29"/>
    <n v="0.23849999999999999"/>
  </r>
  <r>
    <s v="PU026-JBA-08132021"/>
    <s v="Spill"/>
    <x v="0"/>
    <s v="Pumpkinseed"/>
    <s v="Lepomis"/>
    <s v="gibbosus"/>
    <s v="U"/>
    <x v="0"/>
    <n v="8"/>
    <n v="11.81"/>
    <x v="30"/>
    <s v="2991-50-6"/>
    <x v="30"/>
    <n v="6.25E-2"/>
  </r>
  <r>
    <s v="PU026-JBA-08132021"/>
    <s v="Spill"/>
    <x v="0"/>
    <s v="Pumpkinseed"/>
    <s v="Lepomis"/>
    <s v="gibbosus"/>
    <s v="U"/>
    <x v="0"/>
    <n v="8"/>
    <n v="11.81"/>
    <x v="31"/>
    <s v="757124-72-4"/>
    <x v="31"/>
    <n v="5.8999999999999997E-2"/>
  </r>
  <r>
    <s v="PU026-JBA-08132021"/>
    <s v="Spill"/>
    <x v="0"/>
    <s v="Pumpkinseed"/>
    <s v="Lepomis"/>
    <s v="gibbosus"/>
    <s v="U"/>
    <x v="0"/>
    <n v="8"/>
    <n v="11.81"/>
    <x v="32"/>
    <s v="27619-97-2"/>
    <x v="32"/>
    <n v="0.14299999999999999"/>
  </r>
  <r>
    <s v="PU026-JBA-08132021"/>
    <s v="Spill"/>
    <x v="0"/>
    <s v="Pumpkinseed"/>
    <s v="Lepomis"/>
    <s v="gibbosus"/>
    <s v="U"/>
    <x v="0"/>
    <n v="8"/>
    <n v="11.81"/>
    <x v="33"/>
    <s v="39108-34-4"/>
    <x v="33"/>
    <n v="1.31"/>
  </r>
  <r>
    <s v="PU026-JBA-08132021"/>
    <s v="Spill"/>
    <x v="0"/>
    <s v="Pumpkinseed"/>
    <s v="Lepomis"/>
    <s v="gibbosus"/>
    <s v="U"/>
    <x v="0"/>
    <n v="8"/>
    <n v="11.81"/>
    <x v="34"/>
    <s v="120226-60-0"/>
    <x v="34"/>
    <n v="0.26900000000000002"/>
  </r>
  <r>
    <s v="PU026-JBA-08132021"/>
    <s v="Spill"/>
    <x v="0"/>
    <s v="Pumpkinseed"/>
    <s v="Lepomis"/>
    <s v="gibbosus"/>
    <s v="U"/>
    <x v="0"/>
    <n v="8"/>
    <n v="11.81"/>
    <x v="35"/>
    <s v="356-02-5"/>
    <x v="35"/>
    <n v="8.2500000000000004E-2"/>
  </r>
  <r>
    <s v="PU026-JBA-08132021"/>
    <s v="Spill"/>
    <x v="0"/>
    <s v="Pumpkinseed"/>
    <s v="Lepomis"/>
    <s v="gibbosus"/>
    <s v="U"/>
    <x v="0"/>
    <n v="8"/>
    <n v="11.81"/>
    <x v="36"/>
    <s v="914637-49-3"/>
    <x v="36"/>
    <n v="0.17849999999999999"/>
  </r>
  <r>
    <s v="PU026-JBA-08132021"/>
    <s v="Spill"/>
    <x v="0"/>
    <s v="Pumpkinseed"/>
    <s v="Lepomis"/>
    <s v="gibbosus"/>
    <s v="U"/>
    <x v="0"/>
    <n v="8"/>
    <n v="11.81"/>
    <x v="37"/>
    <s v="812-70-4"/>
    <x v="37"/>
    <n v="0.78800000000000003"/>
  </r>
  <r>
    <s v="PU026-JBA-08132021"/>
    <s v="Spill"/>
    <x v="0"/>
    <s v="Pumpkinseed"/>
    <s v="Lepomis"/>
    <s v="gibbosus"/>
    <s v="U"/>
    <x v="0"/>
    <n v="8"/>
    <n v="11.81"/>
    <x v="38"/>
    <s v="53826-12-3"/>
    <x v="38"/>
    <n v="4.6050000000000001E-2"/>
  </r>
  <r>
    <s v="PU026-JBA-08132021"/>
    <s v="Spill"/>
    <x v="0"/>
    <s v="Pumpkinseed"/>
    <s v="Lepomis"/>
    <s v="gibbosus"/>
    <s v="U"/>
    <x v="0"/>
    <n v="8"/>
    <n v="11.81"/>
    <x v="39"/>
    <s v="27854-31-5"/>
    <x v="39"/>
    <n v="2.8649999999999998E-2"/>
  </r>
  <r>
    <s v="PU026-JBA-08132021"/>
    <s v="Spill"/>
    <x v="0"/>
    <s v="Pumpkinseed"/>
    <s v="Lepomis"/>
    <s v="gibbosus"/>
    <s v="U"/>
    <x v="0"/>
    <n v="8"/>
    <n v="11.81"/>
    <x v="40"/>
    <s v="53826-13-4"/>
    <x v="40"/>
    <n v="0.107"/>
  </r>
  <r>
    <s v="PU026-JBA-08132021"/>
    <s v="Spill"/>
    <x v="0"/>
    <s v="Pumpkinseed"/>
    <s v="Lepomis"/>
    <s v="gibbosus"/>
    <s v="U"/>
    <x v="0"/>
    <n v="8"/>
    <n v="11.81"/>
    <x v="41"/>
    <s v="161094-75-3"/>
    <x v="41"/>
    <n v="5.6500000000000002E-2"/>
  </r>
  <r>
    <s v="PU026-JBA-08132021"/>
    <s v="Spill"/>
    <x v="0"/>
    <s v="Pumpkinseed"/>
    <s v="Lepomis"/>
    <s v="gibbosus"/>
    <s v="U"/>
    <x v="0"/>
    <n v="8"/>
    <n v="11.81"/>
    <x v="42"/>
    <s v="70887-84-2"/>
    <x v="42"/>
    <n v="4.335E-2"/>
  </r>
  <r>
    <s v="PU026-JBA-08132021"/>
    <s v="Spill"/>
    <x v="0"/>
    <s v="Pumpkinseed"/>
    <s v="Lepomis"/>
    <s v="gibbosus"/>
    <s v="U"/>
    <x v="0"/>
    <n v="8"/>
    <n v="11.81"/>
    <x v="43"/>
    <s v="919005-14-4"/>
    <x v="43"/>
    <n v="7.1999999999999995E-2"/>
  </r>
  <r>
    <s v="PU026-JBA-08132021"/>
    <s v="Spill"/>
    <x v="0"/>
    <s v="Pumpkinseed"/>
    <s v="Lepomis"/>
    <s v="gibbosus"/>
    <s v="U"/>
    <x v="0"/>
    <n v="8"/>
    <n v="11.81"/>
    <x v="44"/>
    <s v="756426-58-1"/>
    <x v="44"/>
    <n v="4.9849999999999998E-2"/>
  </r>
  <r>
    <s v="PU026-JBA-08132021"/>
    <s v="Spill"/>
    <x v="0"/>
    <s v="Pumpkinseed"/>
    <s v="Lepomis"/>
    <s v="gibbosus"/>
    <s v="U"/>
    <x v="0"/>
    <n v="8"/>
    <n v="11.81"/>
    <x v="45"/>
    <s v="763051-92-9"/>
    <x v="45"/>
    <n v="5.6500000000000002E-2"/>
  </r>
  <r>
    <s v="PU026-JBA-08132021"/>
    <s v="Spill"/>
    <x v="0"/>
    <s v="Pumpkinseed"/>
    <s v="Lepomis"/>
    <s v="gibbosus"/>
    <s v="U"/>
    <x v="0"/>
    <n v="8"/>
    <n v="11.81"/>
    <x v="46"/>
    <s v="13252-13-6"/>
    <x v="46"/>
    <n v="0.10299999999999999"/>
  </r>
  <r>
    <s v="PU026-JBA-08132021"/>
    <s v="Spill"/>
    <x v="0"/>
    <s v="Pumpkinseed"/>
    <s v="Lepomis"/>
    <s v="gibbosus"/>
    <s v="U"/>
    <x v="0"/>
    <n v="8"/>
    <n v="11.81"/>
    <x v="47"/>
    <s v="57677-95-9"/>
    <x v="47"/>
    <n v="7.6499999999999999E-2"/>
  </r>
  <r>
    <s v="PU026-JBA-08132021"/>
    <s v="Spill"/>
    <x v="0"/>
    <s v="Pumpkinseed"/>
    <s v="Lepomis"/>
    <s v="gibbosus"/>
    <s v="U"/>
    <x v="0"/>
    <n v="8"/>
    <n v="11.81"/>
    <x v="48"/>
    <s v="678-41-1"/>
    <x v="48"/>
    <n v="9.5000000000000001E-2"/>
  </r>
  <r>
    <s v="PU026-JBA-08132021"/>
    <s v="Spill"/>
    <x v="0"/>
    <s v="Pumpkinseed"/>
    <s v="Lepomis"/>
    <s v="gibbosus"/>
    <s v="U"/>
    <x v="0"/>
    <n v="8"/>
    <n v="11.81"/>
    <x v="49"/>
    <s v="2965-52-8"/>
    <x v="49"/>
    <n v="0.1265"/>
  </r>
  <r>
    <s v="PU027-JBA-08132021"/>
    <s v="Spill"/>
    <x v="0"/>
    <s v="Pumpkinseed"/>
    <s v="Lepomis"/>
    <s v="gibbosus"/>
    <s v="U"/>
    <x v="0"/>
    <n v="8"/>
    <n v="11.81"/>
    <x v="0"/>
    <s v="375-22-4"/>
    <x v="0"/>
    <n v="2.8049999999999999E-2"/>
  </r>
  <r>
    <s v="PU027-JBA-08132021"/>
    <s v="Spill"/>
    <x v="0"/>
    <s v="Pumpkinseed"/>
    <s v="Lepomis"/>
    <s v="gibbosus"/>
    <s v="U"/>
    <x v="0"/>
    <n v="8"/>
    <n v="11.81"/>
    <x v="1"/>
    <s v="2706-90-3"/>
    <x v="1"/>
    <n v="4.9549999999999997E-2"/>
  </r>
  <r>
    <s v="PU027-JBA-08132021"/>
    <s v="Spill"/>
    <x v="0"/>
    <s v="Pumpkinseed"/>
    <s v="Lepomis"/>
    <s v="gibbosus"/>
    <s v="U"/>
    <x v="0"/>
    <n v="8"/>
    <n v="11.81"/>
    <x v="2"/>
    <s v="307-24-4"/>
    <x v="2"/>
    <n v="0.125"/>
  </r>
  <r>
    <s v="PU027-JBA-08132021"/>
    <s v="Spill"/>
    <x v="0"/>
    <s v="Pumpkinseed"/>
    <s v="Lepomis"/>
    <s v="gibbosus"/>
    <s v="U"/>
    <x v="0"/>
    <n v="8"/>
    <n v="11.81"/>
    <x v="3"/>
    <s v="375-85-9"/>
    <x v="3"/>
    <n v="9.2499999999999999E-2"/>
  </r>
  <r>
    <s v="PU027-JBA-08132021"/>
    <s v="Spill"/>
    <x v="0"/>
    <s v="Pumpkinseed"/>
    <s v="Lepomis"/>
    <s v="gibbosus"/>
    <s v="U"/>
    <x v="0"/>
    <n v="8"/>
    <n v="11.81"/>
    <x v="4"/>
    <s v="335-67-1"/>
    <x v="4"/>
    <n v="0.35499999999999998"/>
  </r>
  <r>
    <s v="PU027-JBA-08132021"/>
    <s v="Spill"/>
    <x v="0"/>
    <s v="Pumpkinseed"/>
    <s v="Lepomis"/>
    <s v="gibbosus"/>
    <s v="U"/>
    <x v="0"/>
    <n v="8"/>
    <n v="11.81"/>
    <x v="5"/>
    <s v="375-95-1"/>
    <x v="5"/>
    <n v="0.16"/>
  </r>
  <r>
    <s v="PU027-JBA-08132021"/>
    <s v="Spill"/>
    <x v="0"/>
    <s v="Pumpkinseed"/>
    <s v="Lepomis"/>
    <s v="gibbosus"/>
    <s v="U"/>
    <x v="0"/>
    <n v="8"/>
    <n v="11.81"/>
    <x v="6"/>
    <s v="335-76-2"/>
    <x v="6"/>
    <n v="3.87"/>
  </r>
  <r>
    <s v="PU027-JBA-08132021"/>
    <s v="Spill"/>
    <x v="0"/>
    <s v="Pumpkinseed"/>
    <s v="Lepomis"/>
    <s v="gibbosus"/>
    <s v="U"/>
    <x v="0"/>
    <n v="8"/>
    <n v="11.81"/>
    <x v="7"/>
    <s v="2058-94-8"/>
    <x v="7"/>
    <n v="4.5"/>
  </r>
  <r>
    <s v="PU027-JBA-08132021"/>
    <s v="Spill"/>
    <x v="0"/>
    <s v="Pumpkinseed"/>
    <s v="Lepomis"/>
    <s v="gibbosus"/>
    <s v="U"/>
    <x v="0"/>
    <n v="8"/>
    <n v="11.81"/>
    <x v="8"/>
    <s v="307-55-1"/>
    <x v="8"/>
    <n v="4.8899999999999997"/>
  </r>
  <r>
    <s v="PU027-JBA-08132021"/>
    <s v="Spill"/>
    <x v="0"/>
    <s v="Pumpkinseed"/>
    <s v="Lepomis"/>
    <s v="gibbosus"/>
    <s v="U"/>
    <x v="0"/>
    <n v="8"/>
    <n v="11.81"/>
    <x v="9"/>
    <s v="72629-94-8"/>
    <x v="9"/>
    <n v="2.02"/>
  </r>
  <r>
    <s v="PU027-JBA-08132021"/>
    <s v="Spill"/>
    <x v="0"/>
    <s v="Pumpkinseed"/>
    <s v="Lepomis"/>
    <s v="gibbosus"/>
    <s v="U"/>
    <x v="0"/>
    <n v="8"/>
    <n v="11.81"/>
    <x v="10"/>
    <s v="376-06-7"/>
    <x v="10"/>
    <n v="3.99"/>
  </r>
  <r>
    <s v="PU027-JBA-08132021"/>
    <s v="Spill"/>
    <x v="0"/>
    <s v="Pumpkinseed"/>
    <s v="Lepomis"/>
    <s v="gibbosus"/>
    <s v="U"/>
    <x v="0"/>
    <n v="8"/>
    <n v="11.81"/>
    <x v="11"/>
    <s v="67905-19-5"/>
    <x v="11"/>
    <n v="8.3500000000000005E-2"/>
  </r>
  <r>
    <s v="PU027-JBA-08132021"/>
    <s v="Spill"/>
    <x v="0"/>
    <s v="Pumpkinseed"/>
    <s v="Lepomis"/>
    <s v="gibbosus"/>
    <s v="U"/>
    <x v="0"/>
    <n v="8"/>
    <n v="11.81"/>
    <x v="12"/>
    <s v="423-41-6"/>
    <x v="12"/>
    <n v="5.3499999999999999E-2"/>
  </r>
  <r>
    <s v="PU027-JBA-08132021"/>
    <s v="Spill"/>
    <x v="0"/>
    <s v="Pumpkinseed"/>
    <s v="Lepomis"/>
    <s v="gibbosus"/>
    <s v="U"/>
    <x v="0"/>
    <n v="8"/>
    <n v="11.81"/>
    <x v="13"/>
    <s v="375-73-5"/>
    <x v="13"/>
    <n v="4.7750000000000001E-2"/>
  </r>
  <r>
    <s v="PU027-JBA-08132021"/>
    <s v="Spill"/>
    <x v="0"/>
    <s v="Pumpkinseed"/>
    <s v="Lepomis"/>
    <s v="gibbosus"/>
    <s v="U"/>
    <x v="0"/>
    <n v="8"/>
    <n v="11.81"/>
    <x v="14"/>
    <s v="2706-91-4"/>
    <x v="14"/>
    <n v="0.1225"/>
  </r>
  <r>
    <s v="PU027-JBA-08132021"/>
    <s v="Spill"/>
    <x v="0"/>
    <s v="Pumpkinseed"/>
    <s v="Lepomis"/>
    <s v="gibbosus"/>
    <s v="U"/>
    <x v="0"/>
    <n v="8"/>
    <n v="11.81"/>
    <x v="15"/>
    <s v="355-46-4"/>
    <x v="15"/>
    <n v="12.2"/>
  </r>
  <r>
    <s v="PU027-JBA-08132021"/>
    <s v="Spill"/>
    <x v="0"/>
    <s v="Pumpkinseed"/>
    <s v="Lepomis"/>
    <s v="gibbosus"/>
    <s v="U"/>
    <x v="0"/>
    <n v="8"/>
    <n v="11.81"/>
    <x v="16"/>
    <s v="375-92-8"/>
    <x v="16"/>
    <n v="0.73799999999999999"/>
  </r>
  <r>
    <s v="PU027-JBA-08132021"/>
    <s v="Spill"/>
    <x v="0"/>
    <s v="Pumpkinseed"/>
    <s v="Lepomis"/>
    <s v="gibbosus"/>
    <s v="U"/>
    <x v="0"/>
    <n v="8"/>
    <n v="11.81"/>
    <x v="17"/>
    <s v="1763-23-1"/>
    <x v="17"/>
    <n v="481"/>
  </r>
  <r>
    <s v="PU027-JBA-08132021"/>
    <s v="Spill"/>
    <x v="0"/>
    <s v="Pumpkinseed"/>
    <s v="Lepomis"/>
    <s v="gibbosus"/>
    <s v="U"/>
    <x v="0"/>
    <n v="8"/>
    <n v="11.81"/>
    <x v="18"/>
    <s v="68259-12-1"/>
    <x v="18"/>
    <n v="0.29199999999999998"/>
  </r>
  <r>
    <s v="PU027-JBA-08132021"/>
    <s v="Spill"/>
    <x v="0"/>
    <s v="Pumpkinseed"/>
    <s v="Lepomis"/>
    <s v="gibbosus"/>
    <s v="U"/>
    <x v="0"/>
    <n v="8"/>
    <n v="11.81"/>
    <x v="19"/>
    <s v="335-77-3"/>
    <x v="19"/>
    <n v="5.38"/>
  </r>
  <r>
    <s v="PU027-JBA-08132021"/>
    <s v="Spill"/>
    <x v="0"/>
    <s v="Pumpkinseed"/>
    <s v="Lepomis"/>
    <s v="gibbosus"/>
    <s v="U"/>
    <x v="0"/>
    <n v="8"/>
    <n v="11.81"/>
    <x v="20"/>
    <s v="79780-39-5"/>
    <x v="20"/>
    <n v="0.2475"/>
  </r>
  <r>
    <s v="PU027-JBA-08132021"/>
    <s v="Spill"/>
    <x v="0"/>
    <s v="Pumpkinseed"/>
    <s v="Lepomis"/>
    <s v="gibbosus"/>
    <s v="U"/>
    <x v="0"/>
    <n v="8"/>
    <n v="11.81"/>
    <x v="21"/>
    <s v="777011-38-8"/>
    <x v="21"/>
    <n v="0.14050000000000001"/>
  </r>
  <r>
    <s v="PU027-JBA-08132021"/>
    <s v="Spill"/>
    <x v="0"/>
    <s v="Pumpkinseed"/>
    <s v="Lepomis"/>
    <s v="gibbosus"/>
    <s v="U"/>
    <x v="0"/>
    <n v="8"/>
    <n v="11.81"/>
    <x v="22"/>
    <s v="646-83-3"/>
    <x v="22"/>
    <n v="9.2499999999999999E-2"/>
  </r>
  <r>
    <s v="PU027-JBA-08132021"/>
    <s v="Spill"/>
    <x v="0"/>
    <s v="Pumpkinseed"/>
    <s v="Lepomis"/>
    <s v="gibbosus"/>
    <s v="U"/>
    <x v="0"/>
    <n v="8"/>
    <n v="11.81"/>
    <x v="23"/>
    <s v="30334-69-1"/>
    <x v="23"/>
    <n v="34"/>
  </r>
  <r>
    <s v="PU027-JBA-08132021"/>
    <s v="Spill"/>
    <x v="0"/>
    <s v="Pumpkinseed"/>
    <s v="Lepomis"/>
    <s v="gibbosus"/>
    <s v="U"/>
    <x v="0"/>
    <n v="8"/>
    <n v="11.81"/>
    <x v="24"/>
    <s v="41997-13-1"/>
    <x v="24"/>
    <n v="34.700000000000003"/>
  </r>
  <r>
    <s v="PU027-JBA-08132021"/>
    <s v="Spill"/>
    <x v="0"/>
    <s v="Pumpkinseed"/>
    <s v="Lepomis"/>
    <s v="gibbosus"/>
    <s v="U"/>
    <x v="0"/>
    <n v="8"/>
    <n v="11.81"/>
    <x v="25"/>
    <s v="754-91-6"/>
    <x v="25"/>
    <n v="19.600000000000001"/>
  </r>
  <r>
    <s v="PU027-JBA-08132021"/>
    <s v="Spill"/>
    <x v="0"/>
    <s v="Pumpkinseed"/>
    <s v="Lepomis"/>
    <s v="gibbosus"/>
    <s v="U"/>
    <x v="0"/>
    <n v="8"/>
    <n v="11.81"/>
    <x v="26"/>
    <s v="31506-32-8"/>
    <x v="26"/>
    <n v="5.3999999999999999E-2"/>
  </r>
  <r>
    <s v="PU027-JBA-08132021"/>
    <s v="Spill"/>
    <x v="0"/>
    <s v="Pumpkinseed"/>
    <s v="Lepomis"/>
    <s v="gibbosus"/>
    <s v="U"/>
    <x v="0"/>
    <n v="8"/>
    <n v="11.81"/>
    <x v="27"/>
    <s v="4151-50-2"/>
    <x v="27"/>
    <n v="8.2000000000000003E-2"/>
  </r>
  <r>
    <s v="PU027-JBA-08132021"/>
    <s v="Spill"/>
    <x v="0"/>
    <s v="Pumpkinseed"/>
    <s v="Lepomis"/>
    <s v="gibbosus"/>
    <s v="U"/>
    <x v="0"/>
    <n v="8"/>
    <n v="11.81"/>
    <x v="28"/>
    <s v="2806-24-8"/>
    <x v="28"/>
    <n v="5.5500000000000001E-2"/>
  </r>
  <r>
    <s v="PU027-JBA-08132021"/>
    <s v="Spill"/>
    <x v="0"/>
    <s v="Pumpkinseed"/>
    <s v="Lepomis"/>
    <s v="gibbosus"/>
    <s v="U"/>
    <x v="0"/>
    <n v="8"/>
    <n v="11.81"/>
    <x v="29"/>
    <s v="2355-31-9"/>
    <x v="29"/>
    <n v="0.23300000000000001"/>
  </r>
  <r>
    <s v="PU027-JBA-08132021"/>
    <s v="Spill"/>
    <x v="0"/>
    <s v="Pumpkinseed"/>
    <s v="Lepomis"/>
    <s v="gibbosus"/>
    <s v="U"/>
    <x v="0"/>
    <n v="8"/>
    <n v="11.81"/>
    <x v="30"/>
    <s v="2991-50-6"/>
    <x v="30"/>
    <n v="6.0999999999999999E-2"/>
  </r>
  <r>
    <s v="PU027-JBA-08132021"/>
    <s v="Spill"/>
    <x v="0"/>
    <s v="Pumpkinseed"/>
    <s v="Lepomis"/>
    <s v="gibbosus"/>
    <s v="U"/>
    <x v="0"/>
    <n v="8"/>
    <n v="11.81"/>
    <x v="31"/>
    <s v="757124-72-4"/>
    <x v="31"/>
    <n v="5.7500000000000002E-2"/>
  </r>
  <r>
    <s v="PU027-JBA-08132021"/>
    <s v="Spill"/>
    <x v="0"/>
    <s v="Pumpkinseed"/>
    <s v="Lepomis"/>
    <s v="gibbosus"/>
    <s v="U"/>
    <x v="0"/>
    <n v="8"/>
    <n v="11.81"/>
    <x v="32"/>
    <s v="27619-97-2"/>
    <x v="32"/>
    <n v="0.14000000000000001"/>
  </r>
  <r>
    <s v="PU027-JBA-08132021"/>
    <s v="Spill"/>
    <x v="0"/>
    <s v="Pumpkinseed"/>
    <s v="Lepomis"/>
    <s v="gibbosus"/>
    <s v="U"/>
    <x v="0"/>
    <n v="8"/>
    <n v="11.81"/>
    <x v="33"/>
    <s v="39108-34-4"/>
    <x v="33"/>
    <n v="1.5"/>
  </r>
  <r>
    <s v="PU027-JBA-08132021"/>
    <s v="Spill"/>
    <x v="0"/>
    <s v="Pumpkinseed"/>
    <s v="Lepomis"/>
    <s v="gibbosus"/>
    <s v="U"/>
    <x v="0"/>
    <n v="8"/>
    <n v="11.81"/>
    <x v="34"/>
    <s v="120226-60-0"/>
    <x v="34"/>
    <n v="0.26300000000000001"/>
  </r>
  <r>
    <s v="PU027-JBA-08132021"/>
    <s v="Spill"/>
    <x v="0"/>
    <s v="Pumpkinseed"/>
    <s v="Lepomis"/>
    <s v="gibbosus"/>
    <s v="U"/>
    <x v="0"/>
    <n v="8"/>
    <n v="11.81"/>
    <x v="35"/>
    <s v="356-02-5"/>
    <x v="35"/>
    <n v="8.1000000000000003E-2"/>
  </r>
  <r>
    <s v="PU027-JBA-08132021"/>
    <s v="Spill"/>
    <x v="0"/>
    <s v="Pumpkinseed"/>
    <s v="Lepomis"/>
    <s v="gibbosus"/>
    <s v="U"/>
    <x v="0"/>
    <n v="8"/>
    <n v="11.81"/>
    <x v="36"/>
    <s v="914637-49-3"/>
    <x v="36"/>
    <n v="0.43"/>
  </r>
  <r>
    <s v="PU027-JBA-08132021"/>
    <s v="Spill"/>
    <x v="0"/>
    <s v="Pumpkinseed"/>
    <s v="Lepomis"/>
    <s v="gibbosus"/>
    <s v="U"/>
    <x v="0"/>
    <n v="8"/>
    <n v="11.81"/>
    <x v="37"/>
    <s v="812-70-4"/>
    <x v="37"/>
    <n v="1.94"/>
  </r>
  <r>
    <s v="PU027-JBA-08132021"/>
    <s v="Spill"/>
    <x v="0"/>
    <s v="Pumpkinseed"/>
    <s v="Lepomis"/>
    <s v="gibbosus"/>
    <s v="U"/>
    <x v="0"/>
    <n v="8"/>
    <n v="11.81"/>
    <x v="38"/>
    <s v="53826-12-3"/>
    <x v="38"/>
    <n v="4.4999999999999998E-2"/>
  </r>
  <r>
    <s v="PU027-JBA-08132021"/>
    <s v="Spill"/>
    <x v="0"/>
    <s v="Pumpkinseed"/>
    <s v="Lepomis"/>
    <s v="gibbosus"/>
    <s v="U"/>
    <x v="0"/>
    <n v="8"/>
    <n v="11.81"/>
    <x v="39"/>
    <s v="27854-31-5"/>
    <x v="39"/>
    <n v="2.8049999999999999E-2"/>
  </r>
  <r>
    <s v="PU027-JBA-08132021"/>
    <s v="Spill"/>
    <x v="0"/>
    <s v="Pumpkinseed"/>
    <s v="Lepomis"/>
    <s v="gibbosus"/>
    <s v="U"/>
    <x v="0"/>
    <n v="8"/>
    <n v="11.81"/>
    <x v="40"/>
    <s v="53826-13-4"/>
    <x v="40"/>
    <n v="0.1045"/>
  </r>
  <r>
    <s v="PU027-JBA-08132021"/>
    <s v="Spill"/>
    <x v="0"/>
    <s v="Pumpkinseed"/>
    <s v="Lepomis"/>
    <s v="gibbosus"/>
    <s v="U"/>
    <x v="0"/>
    <n v="8"/>
    <n v="11.81"/>
    <x v="41"/>
    <s v="161094-75-3"/>
    <x v="41"/>
    <n v="5.5E-2"/>
  </r>
  <r>
    <s v="PU027-JBA-08132021"/>
    <s v="Spill"/>
    <x v="0"/>
    <s v="Pumpkinseed"/>
    <s v="Lepomis"/>
    <s v="gibbosus"/>
    <s v="U"/>
    <x v="0"/>
    <n v="8"/>
    <n v="11.81"/>
    <x v="42"/>
    <s v="70887-84-2"/>
    <x v="42"/>
    <n v="4.24E-2"/>
  </r>
  <r>
    <s v="PU027-JBA-08132021"/>
    <s v="Spill"/>
    <x v="0"/>
    <s v="Pumpkinseed"/>
    <s v="Lepomis"/>
    <s v="gibbosus"/>
    <s v="U"/>
    <x v="0"/>
    <n v="8"/>
    <n v="11.81"/>
    <x v="43"/>
    <s v="919005-14-4"/>
    <x v="43"/>
    <n v="7.0000000000000007E-2"/>
  </r>
  <r>
    <s v="PU027-JBA-08132021"/>
    <s v="Spill"/>
    <x v="0"/>
    <s v="Pumpkinseed"/>
    <s v="Lepomis"/>
    <s v="gibbosus"/>
    <s v="U"/>
    <x v="0"/>
    <n v="8"/>
    <n v="11.81"/>
    <x v="44"/>
    <s v="756426-58-1"/>
    <x v="44"/>
    <n v="4.8649999999999999E-2"/>
  </r>
  <r>
    <s v="PU027-JBA-08132021"/>
    <s v="Spill"/>
    <x v="0"/>
    <s v="Pumpkinseed"/>
    <s v="Lepomis"/>
    <s v="gibbosus"/>
    <s v="U"/>
    <x v="0"/>
    <n v="8"/>
    <n v="11.81"/>
    <x v="45"/>
    <s v="763051-92-9"/>
    <x v="45"/>
    <n v="5.5500000000000001E-2"/>
  </r>
  <r>
    <s v="PU027-JBA-08132021"/>
    <s v="Spill"/>
    <x v="0"/>
    <s v="Pumpkinseed"/>
    <s v="Lepomis"/>
    <s v="gibbosus"/>
    <s v="U"/>
    <x v="0"/>
    <n v="8"/>
    <n v="11.81"/>
    <x v="46"/>
    <s v="13252-13-6"/>
    <x v="46"/>
    <n v="0.10050000000000001"/>
  </r>
  <r>
    <s v="PU027-JBA-08132021"/>
    <s v="Spill"/>
    <x v="0"/>
    <s v="Pumpkinseed"/>
    <s v="Lepomis"/>
    <s v="gibbosus"/>
    <s v="U"/>
    <x v="0"/>
    <n v="8"/>
    <n v="11.81"/>
    <x v="47"/>
    <s v="57677-95-9"/>
    <x v="47"/>
    <n v="7.4499999999999997E-2"/>
  </r>
  <r>
    <s v="PU027-JBA-08132021"/>
    <s v="Spill"/>
    <x v="0"/>
    <s v="Pumpkinseed"/>
    <s v="Lepomis"/>
    <s v="gibbosus"/>
    <s v="U"/>
    <x v="0"/>
    <n v="8"/>
    <n v="11.81"/>
    <x v="48"/>
    <s v="678-41-1"/>
    <x v="48"/>
    <n v="9.2999999999999999E-2"/>
  </r>
  <r>
    <s v="PU027-JBA-08132021"/>
    <s v="Spill"/>
    <x v="0"/>
    <s v="Pumpkinseed"/>
    <s v="Lepomis"/>
    <s v="gibbosus"/>
    <s v="U"/>
    <x v="0"/>
    <n v="8"/>
    <n v="11.81"/>
    <x v="49"/>
    <s v="2965-52-8"/>
    <x v="49"/>
    <n v="0.1235"/>
  </r>
  <r>
    <s v="PU028-JBA-08132021"/>
    <s v="Spill"/>
    <x v="0"/>
    <s v="Pumpkinseed"/>
    <s v="Lepomis"/>
    <s v="gibbosus"/>
    <s v="U"/>
    <x v="0"/>
    <n v="8"/>
    <n v="11.81"/>
    <x v="0"/>
    <s v="375-22-4"/>
    <x v="0"/>
    <n v="2.6200000000000001E-2"/>
  </r>
  <r>
    <s v="PU028-JBA-08132021"/>
    <s v="Spill"/>
    <x v="0"/>
    <s v="Pumpkinseed"/>
    <s v="Lepomis"/>
    <s v="gibbosus"/>
    <s v="U"/>
    <x v="0"/>
    <n v="8"/>
    <n v="11.81"/>
    <x v="1"/>
    <s v="2706-90-3"/>
    <x v="1"/>
    <n v="4.6199999999999998E-2"/>
  </r>
  <r>
    <s v="PU028-JBA-08132021"/>
    <s v="Spill"/>
    <x v="0"/>
    <s v="Pumpkinseed"/>
    <s v="Lepomis"/>
    <s v="gibbosus"/>
    <s v="U"/>
    <x v="0"/>
    <n v="8"/>
    <n v="11.81"/>
    <x v="2"/>
    <s v="307-24-4"/>
    <x v="2"/>
    <n v="0.11650000000000001"/>
  </r>
  <r>
    <s v="PU028-JBA-08132021"/>
    <s v="Spill"/>
    <x v="0"/>
    <s v="Pumpkinseed"/>
    <s v="Lepomis"/>
    <s v="gibbosus"/>
    <s v="U"/>
    <x v="0"/>
    <n v="8"/>
    <n v="11.81"/>
    <x v="3"/>
    <s v="375-85-9"/>
    <x v="3"/>
    <n v="2.6200000000000001E-2"/>
  </r>
  <r>
    <s v="PU028-JBA-08132021"/>
    <s v="Spill"/>
    <x v="0"/>
    <s v="Pumpkinseed"/>
    <s v="Lepomis"/>
    <s v="gibbosus"/>
    <s v="U"/>
    <x v="0"/>
    <n v="8"/>
    <n v="11.81"/>
    <x v="4"/>
    <s v="335-67-1"/>
    <x v="4"/>
    <n v="0.26400000000000001"/>
  </r>
  <r>
    <s v="PU028-JBA-08132021"/>
    <s v="Spill"/>
    <x v="0"/>
    <s v="Pumpkinseed"/>
    <s v="Lepomis"/>
    <s v="gibbosus"/>
    <s v="U"/>
    <x v="0"/>
    <n v="8"/>
    <n v="11.81"/>
    <x v="5"/>
    <s v="375-95-1"/>
    <x v="5"/>
    <n v="0.14949999999999999"/>
  </r>
  <r>
    <s v="PU028-JBA-08132021"/>
    <s v="Spill"/>
    <x v="0"/>
    <s v="Pumpkinseed"/>
    <s v="Lepomis"/>
    <s v="gibbosus"/>
    <s v="U"/>
    <x v="0"/>
    <n v="8"/>
    <n v="11.81"/>
    <x v="6"/>
    <s v="335-76-2"/>
    <x v="6"/>
    <n v="2.2000000000000002"/>
  </r>
  <r>
    <s v="PU028-JBA-08132021"/>
    <s v="Spill"/>
    <x v="0"/>
    <s v="Pumpkinseed"/>
    <s v="Lepomis"/>
    <s v="gibbosus"/>
    <s v="U"/>
    <x v="0"/>
    <n v="8"/>
    <n v="11.81"/>
    <x v="7"/>
    <s v="2058-94-8"/>
    <x v="7"/>
    <n v="4.0599999999999996"/>
  </r>
  <r>
    <s v="PU028-JBA-08132021"/>
    <s v="Spill"/>
    <x v="0"/>
    <s v="Pumpkinseed"/>
    <s v="Lepomis"/>
    <s v="gibbosus"/>
    <s v="U"/>
    <x v="0"/>
    <n v="8"/>
    <n v="11.81"/>
    <x v="8"/>
    <s v="307-55-1"/>
    <x v="8"/>
    <n v="5.78"/>
  </r>
  <r>
    <s v="PU028-JBA-08132021"/>
    <s v="Spill"/>
    <x v="0"/>
    <s v="Pumpkinseed"/>
    <s v="Lepomis"/>
    <s v="gibbosus"/>
    <s v="U"/>
    <x v="0"/>
    <n v="8"/>
    <n v="11.81"/>
    <x v="9"/>
    <s v="72629-94-8"/>
    <x v="9"/>
    <n v="1.27"/>
  </r>
  <r>
    <s v="PU028-JBA-08132021"/>
    <s v="Spill"/>
    <x v="0"/>
    <s v="Pumpkinseed"/>
    <s v="Lepomis"/>
    <s v="gibbosus"/>
    <s v="U"/>
    <x v="0"/>
    <n v="8"/>
    <n v="11.81"/>
    <x v="10"/>
    <s v="376-06-7"/>
    <x v="10"/>
    <n v="5.94"/>
  </r>
  <r>
    <s v="PU028-JBA-08132021"/>
    <s v="Spill"/>
    <x v="0"/>
    <s v="Pumpkinseed"/>
    <s v="Lepomis"/>
    <s v="gibbosus"/>
    <s v="U"/>
    <x v="0"/>
    <n v="8"/>
    <n v="11.81"/>
    <x v="11"/>
    <s v="67905-19-5"/>
    <x v="11"/>
    <n v="7.8E-2"/>
  </r>
  <r>
    <s v="PU028-JBA-08132021"/>
    <s v="Spill"/>
    <x v="0"/>
    <s v="Pumpkinseed"/>
    <s v="Lepomis"/>
    <s v="gibbosus"/>
    <s v="U"/>
    <x v="0"/>
    <n v="8"/>
    <n v="11.81"/>
    <x v="12"/>
    <s v="423-41-6"/>
    <x v="12"/>
    <n v="0.05"/>
  </r>
  <r>
    <s v="PU028-JBA-08132021"/>
    <s v="Spill"/>
    <x v="0"/>
    <s v="Pumpkinseed"/>
    <s v="Lepomis"/>
    <s v="gibbosus"/>
    <s v="U"/>
    <x v="0"/>
    <n v="8"/>
    <n v="11.81"/>
    <x v="13"/>
    <s v="375-73-5"/>
    <x v="13"/>
    <n v="4.4549999999999999E-2"/>
  </r>
  <r>
    <s v="PU028-JBA-08132021"/>
    <s v="Spill"/>
    <x v="0"/>
    <s v="Pumpkinseed"/>
    <s v="Lepomis"/>
    <s v="gibbosus"/>
    <s v="U"/>
    <x v="0"/>
    <n v="8"/>
    <n v="11.81"/>
    <x v="14"/>
    <s v="2706-91-4"/>
    <x v="14"/>
    <n v="0.1145"/>
  </r>
  <r>
    <s v="PU028-JBA-08132021"/>
    <s v="Spill"/>
    <x v="0"/>
    <s v="Pumpkinseed"/>
    <s v="Lepomis"/>
    <s v="gibbosus"/>
    <s v="U"/>
    <x v="0"/>
    <n v="8"/>
    <n v="11.81"/>
    <x v="15"/>
    <s v="355-46-4"/>
    <x v="15"/>
    <n v="5.05"/>
  </r>
  <r>
    <s v="PU028-JBA-08132021"/>
    <s v="Spill"/>
    <x v="0"/>
    <s v="Pumpkinseed"/>
    <s v="Lepomis"/>
    <s v="gibbosus"/>
    <s v="U"/>
    <x v="0"/>
    <n v="8"/>
    <n v="11.81"/>
    <x v="16"/>
    <s v="375-92-8"/>
    <x v="16"/>
    <n v="0.81"/>
  </r>
  <r>
    <s v="PU028-JBA-08132021"/>
    <s v="Spill"/>
    <x v="0"/>
    <s v="Pumpkinseed"/>
    <s v="Lepomis"/>
    <s v="gibbosus"/>
    <s v="U"/>
    <x v="0"/>
    <n v="8"/>
    <n v="11.81"/>
    <x v="17"/>
    <s v="1763-23-1"/>
    <x v="17"/>
    <n v="332"/>
  </r>
  <r>
    <s v="PU028-JBA-08132021"/>
    <s v="Spill"/>
    <x v="0"/>
    <s v="Pumpkinseed"/>
    <s v="Lepomis"/>
    <s v="gibbosus"/>
    <s v="U"/>
    <x v="0"/>
    <n v="8"/>
    <n v="11.81"/>
    <x v="18"/>
    <s v="68259-12-1"/>
    <x v="18"/>
    <n v="0.95399999999999996"/>
  </r>
  <r>
    <s v="PU028-JBA-08132021"/>
    <s v="Spill"/>
    <x v="0"/>
    <s v="Pumpkinseed"/>
    <s v="Lepomis"/>
    <s v="gibbosus"/>
    <s v="U"/>
    <x v="0"/>
    <n v="8"/>
    <n v="11.81"/>
    <x v="19"/>
    <s v="335-77-3"/>
    <x v="19"/>
    <n v="5.21"/>
  </r>
  <r>
    <s v="PU028-JBA-08132021"/>
    <s v="Spill"/>
    <x v="0"/>
    <s v="Pumpkinseed"/>
    <s v="Lepomis"/>
    <s v="gibbosus"/>
    <s v="U"/>
    <x v="0"/>
    <n v="8"/>
    <n v="11.81"/>
    <x v="20"/>
    <s v="79780-39-5"/>
    <x v="20"/>
    <n v="0.23100000000000001"/>
  </r>
  <r>
    <s v="PU028-JBA-08132021"/>
    <s v="Spill"/>
    <x v="0"/>
    <s v="Pumpkinseed"/>
    <s v="Lepomis"/>
    <s v="gibbosus"/>
    <s v="U"/>
    <x v="0"/>
    <n v="8"/>
    <n v="11.81"/>
    <x v="21"/>
    <s v="777011-38-8"/>
    <x v="21"/>
    <n v="0.13100000000000001"/>
  </r>
  <r>
    <s v="PU028-JBA-08132021"/>
    <s v="Spill"/>
    <x v="0"/>
    <s v="Pumpkinseed"/>
    <s v="Lepomis"/>
    <s v="gibbosus"/>
    <s v="U"/>
    <x v="0"/>
    <n v="8"/>
    <n v="11.81"/>
    <x v="22"/>
    <s v="646-83-3"/>
    <x v="22"/>
    <n v="8.6499999999999994E-2"/>
  </r>
  <r>
    <s v="PU028-JBA-08132021"/>
    <s v="Spill"/>
    <x v="0"/>
    <s v="Pumpkinseed"/>
    <s v="Lepomis"/>
    <s v="gibbosus"/>
    <s v="U"/>
    <x v="0"/>
    <n v="8"/>
    <n v="11.81"/>
    <x v="23"/>
    <s v="30334-69-1"/>
    <x v="23"/>
    <n v="20.6"/>
  </r>
  <r>
    <s v="PU028-JBA-08132021"/>
    <s v="Spill"/>
    <x v="0"/>
    <s v="Pumpkinseed"/>
    <s v="Lepomis"/>
    <s v="gibbosus"/>
    <s v="U"/>
    <x v="0"/>
    <n v="8"/>
    <n v="11.81"/>
    <x v="24"/>
    <s v="41997-13-1"/>
    <x v="24"/>
    <n v="40.799999999999997"/>
  </r>
  <r>
    <s v="PU028-JBA-08132021"/>
    <s v="Spill"/>
    <x v="0"/>
    <s v="Pumpkinseed"/>
    <s v="Lepomis"/>
    <s v="gibbosus"/>
    <s v="U"/>
    <x v="0"/>
    <n v="8"/>
    <n v="11.81"/>
    <x v="25"/>
    <s v="754-91-6"/>
    <x v="25"/>
    <n v="19.100000000000001"/>
  </r>
  <r>
    <s v="PU028-JBA-08132021"/>
    <s v="Spill"/>
    <x v="0"/>
    <s v="Pumpkinseed"/>
    <s v="Lepomis"/>
    <s v="gibbosus"/>
    <s v="U"/>
    <x v="0"/>
    <n v="8"/>
    <n v="11.81"/>
    <x v="26"/>
    <s v="31506-32-8"/>
    <x v="26"/>
    <n v="5.0500000000000003E-2"/>
  </r>
  <r>
    <s v="PU028-JBA-08132021"/>
    <s v="Spill"/>
    <x v="0"/>
    <s v="Pumpkinseed"/>
    <s v="Lepomis"/>
    <s v="gibbosus"/>
    <s v="U"/>
    <x v="0"/>
    <n v="8"/>
    <n v="11.81"/>
    <x v="27"/>
    <s v="4151-50-2"/>
    <x v="27"/>
    <n v="7.6499999999999999E-2"/>
  </r>
  <r>
    <s v="PU028-JBA-08132021"/>
    <s v="Spill"/>
    <x v="0"/>
    <s v="Pumpkinseed"/>
    <s v="Lepomis"/>
    <s v="gibbosus"/>
    <s v="U"/>
    <x v="0"/>
    <n v="8"/>
    <n v="11.81"/>
    <x v="28"/>
    <s v="2806-24-8"/>
    <x v="28"/>
    <n v="5.1499999999999997E-2"/>
  </r>
  <r>
    <s v="PU028-JBA-08132021"/>
    <s v="Spill"/>
    <x v="0"/>
    <s v="Pumpkinseed"/>
    <s v="Lepomis"/>
    <s v="gibbosus"/>
    <s v="U"/>
    <x v="0"/>
    <n v="8"/>
    <n v="11.81"/>
    <x v="29"/>
    <s v="2355-31-9"/>
    <x v="29"/>
    <n v="1.27"/>
  </r>
  <r>
    <s v="PU028-JBA-08132021"/>
    <s v="Spill"/>
    <x v="0"/>
    <s v="Pumpkinseed"/>
    <s v="Lepomis"/>
    <s v="gibbosus"/>
    <s v="U"/>
    <x v="0"/>
    <n v="8"/>
    <n v="11.81"/>
    <x v="30"/>
    <s v="2991-50-6"/>
    <x v="30"/>
    <n v="5.7000000000000002E-2"/>
  </r>
  <r>
    <s v="PU028-JBA-08132021"/>
    <s v="Spill"/>
    <x v="0"/>
    <s v="Pumpkinseed"/>
    <s v="Lepomis"/>
    <s v="gibbosus"/>
    <s v="U"/>
    <x v="0"/>
    <n v="8"/>
    <n v="11.81"/>
    <x v="31"/>
    <s v="757124-72-4"/>
    <x v="31"/>
    <n v="5.3999999999999999E-2"/>
  </r>
  <r>
    <s v="PU028-JBA-08132021"/>
    <s v="Spill"/>
    <x v="0"/>
    <s v="Pumpkinseed"/>
    <s v="Lepomis"/>
    <s v="gibbosus"/>
    <s v="U"/>
    <x v="0"/>
    <n v="8"/>
    <n v="11.81"/>
    <x v="32"/>
    <s v="27619-97-2"/>
    <x v="32"/>
    <n v="0.1305"/>
  </r>
  <r>
    <s v="PU028-JBA-08132021"/>
    <s v="Spill"/>
    <x v="0"/>
    <s v="Pumpkinseed"/>
    <s v="Lepomis"/>
    <s v="gibbosus"/>
    <s v="U"/>
    <x v="0"/>
    <n v="8"/>
    <n v="11.81"/>
    <x v="33"/>
    <s v="39108-34-4"/>
    <x v="33"/>
    <n v="1.1000000000000001"/>
  </r>
  <r>
    <s v="PU028-JBA-08132021"/>
    <s v="Spill"/>
    <x v="0"/>
    <s v="Pumpkinseed"/>
    <s v="Lepomis"/>
    <s v="gibbosus"/>
    <s v="U"/>
    <x v="0"/>
    <n v="8"/>
    <n v="11.81"/>
    <x v="34"/>
    <s v="120226-60-0"/>
    <x v="34"/>
    <n v="0.245"/>
  </r>
  <r>
    <s v="PU028-JBA-08132021"/>
    <s v="Spill"/>
    <x v="0"/>
    <s v="Pumpkinseed"/>
    <s v="Lepomis"/>
    <s v="gibbosus"/>
    <s v="U"/>
    <x v="0"/>
    <n v="8"/>
    <n v="11.81"/>
    <x v="35"/>
    <s v="356-02-5"/>
    <x v="35"/>
    <n v="7.5499999999999998E-2"/>
  </r>
  <r>
    <s v="PU028-JBA-08132021"/>
    <s v="Spill"/>
    <x v="0"/>
    <s v="Pumpkinseed"/>
    <s v="Lepomis"/>
    <s v="gibbosus"/>
    <s v="U"/>
    <x v="0"/>
    <n v="8"/>
    <n v="11.81"/>
    <x v="36"/>
    <s v="914637-49-3"/>
    <x v="36"/>
    <n v="1.1100000000000001"/>
  </r>
  <r>
    <s v="PU028-JBA-08132021"/>
    <s v="Spill"/>
    <x v="0"/>
    <s v="Pumpkinseed"/>
    <s v="Lepomis"/>
    <s v="gibbosus"/>
    <s v="U"/>
    <x v="0"/>
    <n v="8"/>
    <n v="11.81"/>
    <x v="37"/>
    <s v="812-70-4"/>
    <x v="37"/>
    <n v="4.33"/>
  </r>
  <r>
    <s v="PU028-JBA-08132021"/>
    <s v="Spill"/>
    <x v="0"/>
    <s v="Pumpkinseed"/>
    <s v="Lepomis"/>
    <s v="gibbosus"/>
    <s v="U"/>
    <x v="0"/>
    <n v="8"/>
    <n v="11.81"/>
    <x v="38"/>
    <s v="53826-12-3"/>
    <x v="38"/>
    <n v="4.1950000000000001E-2"/>
  </r>
  <r>
    <s v="PU028-JBA-08132021"/>
    <s v="Spill"/>
    <x v="0"/>
    <s v="Pumpkinseed"/>
    <s v="Lepomis"/>
    <s v="gibbosus"/>
    <s v="U"/>
    <x v="0"/>
    <n v="8"/>
    <n v="11.81"/>
    <x v="39"/>
    <s v="27854-31-5"/>
    <x v="39"/>
    <n v="2.6200000000000001E-2"/>
  </r>
  <r>
    <s v="PU028-JBA-08132021"/>
    <s v="Spill"/>
    <x v="0"/>
    <s v="Pumpkinseed"/>
    <s v="Lepomis"/>
    <s v="gibbosus"/>
    <s v="U"/>
    <x v="0"/>
    <n v="8"/>
    <n v="11.81"/>
    <x v="40"/>
    <s v="53826-13-4"/>
    <x v="40"/>
    <n v="1.83"/>
  </r>
  <r>
    <s v="PU028-JBA-08132021"/>
    <s v="Spill"/>
    <x v="0"/>
    <s v="Pumpkinseed"/>
    <s v="Lepomis"/>
    <s v="gibbosus"/>
    <s v="U"/>
    <x v="0"/>
    <n v="8"/>
    <n v="11.81"/>
    <x v="41"/>
    <s v="161094-75-3"/>
    <x v="41"/>
    <n v="5.1499999999999997E-2"/>
  </r>
  <r>
    <s v="PU028-JBA-08132021"/>
    <s v="Spill"/>
    <x v="0"/>
    <s v="Pumpkinseed"/>
    <s v="Lepomis"/>
    <s v="gibbosus"/>
    <s v="U"/>
    <x v="0"/>
    <n v="8"/>
    <n v="11.81"/>
    <x v="42"/>
    <s v="70887-84-2"/>
    <x v="42"/>
    <n v="3.9550000000000002E-2"/>
  </r>
  <r>
    <s v="PU028-JBA-08132021"/>
    <s v="Spill"/>
    <x v="0"/>
    <s v="Pumpkinseed"/>
    <s v="Lepomis"/>
    <s v="gibbosus"/>
    <s v="U"/>
    <x v="0"/>
    <n v="8"/>
    <n v="11.81"/>
    <x v="43"/>
    <s v="919005-14-4"/>
    <x v="43"/>
    <n v="6.5500000000000003E-2"/>
  </r>
  <r>
    <s v="PU028-JBA-08132021"/>
    <s v="Spill"/>
    <x v="0"/>
    <s v="Pumpkinseed"/>
    <s v="Lepomis"/>
    <s v="gibbosus"/>
    <s v="U"/>
    <x v="0"/>
    <n v="8"/>
    <n v="11.81"/>
    <x v="44"/>
    <s v="756426-58-1"/>
    <x v="44"/>
    <n v="4.5449999999999997E-2"/>
  </r>
  <r>
    <s v="PU028-JBA-08132021"/>
    <s v="Spill"/>
    <x v="0"/>
    <s v="Pumpkinseed"/>
    <s v="Lepomis"/>
    <s v="gibbosus"/>
    <s v="U"/>
    <x v="0"/>
    <n v="8"/>
    <n v="11.81"/>
    <x v="45"/>
    <s v="763051-92-9"/>
    <x v="45"/>
    <n v="5.1499999999999997E-2"/>
  </r>
  <r>
    <s v="PU028-JBA-08132021"/>
    <s v="Spill"/>
    <x v="0"/>
    <s v="Pumpkinseed"/>
    <s v="Lepomis"/>
    <s v="gibbosus"/>
    <s v="U"/>
    <x v="0"/>
    <n v="8"/>
    <n v="11.81"/>
    <x v="46"/>
    <s v="13252-13-6"/>
    <x v="46"/>
    <n v="9.4E-2"/>
  </r>
  <r>
    <s v="PU028-JBA-08132021"/>
    <s v="Spill"/>
    <x v="0"/>
    <s v="Pumpkinseed"/>
    <s v="Lepomis"/>
    <s v="gibbosus"/>
    <s v="U"/>
    <x v="0"/>
    <n v="8"/>
    <n v="11.81"/>
    <x v="47"/>
    <s v="57677-95-9"/>
    <x v="47"/>
    <n v="6.9500000000000006E-2"/>
  </r>
  <r>
    <s v="PU028-JBA-08132021"/>
    <s v="Spill"/>
    <x v="0"/>
    <s v="Pumpkinseed"/>
    <s v="Lepomis"/>
    <s v="gibbosus"/>
    <s v="U"/>
    <x v="0"/>
    <n v="8"/>
    <n v="11.81"/>
    <x v="48"/>
    <s v="678-41-1"/>
    <x v="48"/>
    <n v="8.6999999999999994E-2"/>
  </r>
  <r>
    <s v="PU028-JBA-08132021"/>
    <s v="Spill"/>
    <x v="0"/>
    <s v="Pumpkinseed"/>
    <s v="Lepomis"/>
    <s v="gibbosus"/>
    <s v="U"/>
    <x v="0"/>
    <n v="8"/>
    <n v="11.81"/>
    <x v="49"/>
    <s v="2965-52-8"/>
    <x v="49"/>
    <n v="0.115"/>
  </r>
  <r>
    <s v="PU029-JBA-08132021"/>
    <s v="Spill"/>
    <x v="0"/>
    <s v="Pumpkinseed"/>
    <s v="Lepomis"/>
    <s v="gibbosus"/>
    <s v="U"/>
    <x v="0"/>
    <n v="8"/>
    <n v="11.81"/>
    <x v="0"/>
    <s v="375-22-4"/>
    <x v="0"/>
    <n v="2.775E-2"/>
  </r>
  <r>
    <s v="PU029-JBA-08132021"/>
    <s v="Spill"/>
    <x v="0"/>
    <s v="Pumpkinseed"/>
    <s v="Lepomis"/>
    <s v="gibbosus"/>
    <s v="U"/>
    <x v="0"/>
    <n v="8"/>
    <n v="11.81"/>
    <x v="1"/>
    <s v="2706-90-3"/>
    <x v="1"/>
    <n v="4.9099999999999998E-2"/>
  </r>
  <r>
    <s v="PU029-JBA-08132021"/>
    <s v="Spill"/>
    <x v="0"/>
    <s v="Pumpkinseed"/>
    <s v="Lepomis"/>
    <s v="gibbosus"/>
    <s v="U"/>
    <x v="0"/>
    <n v="8"/>
    <n v="11.81"/>
    <x v="2"/>
    <s v="307-24-4"/>
    <x v="2"/>
    <n v="0.1235"/>
  </r>
  <r>
    <s v="PU029-JBA-08132021"/>
    <s v="Spill"/>
    <x v="0"/>
    <s v="Pumpkinseed"/>
    <s v="Lepomis"/>
    <s v="gibbosus"/>
    <s v="U"/>
    <x v="0"/>
    <n v="8"/>
    <n v="11.81"/>
    <x v="3"/>
    <s v="375-85-9"/>
    <x v="3"/>
    <n v="9.1499999999999998E-2"/>
  </r>
  <r>
    <s v="PU029-JBA-08132021"/>
    <s v="Spill"/>
    <x v="0"/>
    <s v="Pumpkinseed"/>
    <s v="Lepomis"/>
    <s v="gibbosus"/>
    <s v="U"/>
    <x v="0"/>
    <n v="8"/>
    <n v="11.81"/>
    <x v="4"/>
    <s v="335-67-1"/>
    <x v="4"/>
    <n v="0.80500000000000005"/>
  </r>
  <r>
    <s v="PU029-JBA-08132021"/>
    <s v="Spill"/>
    <x v="0"/>
    <s v="Pumpkinseed"/>
    <s v="Lepomis"/>
    <s v="gibbosus"/>
    <s v="U"/>
    <x v="0"/>
    <n v="8"/>
    <n v="11.81"/>
    <x v="5"/>
    <s v="375-95-1"/>
    <x v="5"/>
    <n v="0.50700000000000001"/>
  </r>
  <r>
    <s v="PU029-JBA-08132021"/>
    <s v="Spill"/>
    <x v="0"/>
    <s v="Pumpkinseed"/>
    <s v="Lepomis"/>
    <s v="gibbosus"/>
    <s v="U"/>
    <x v="0"/>
    <n v="8"/>
    <n v="11.81"/>
    <x v="6"/>
    <s v="335-76-2"/>
    <x v="6"/>
    <n v="2.48"/>
  </r>
  <r>
    <s v="PU029-JBA-08132021"/>
    <s v="Spill"/>
    <x v="0"/>
    <s v="Pumpkinseed"/>
    <s v="Lepomis"/>
    <s v="gibbosus"/>
    <s v="U"/>
    <x v="0"/>
    <n v="8"/>
    <n v="11.81"/>
    <x v="7"/>
    <s v="2058-94-8"/>
    <x v="7"/>
    <n v="4.75"/>
  </r>
  <r>
    <s v="PU029-JBA-08132021"/>
    <s v="Spill"/>
    <x v="0"/>
    <s v="Pumpkinseed"/>
    <s v="Lepomis"/>
    <s v="gibbosus"/>
    <s v="U"/>
    <x v="0"/>
    <n v="8"/>
    <n v="11.81"/>
    <x v="8"/>
    <s v="307-55-1"/>
    <x v="8"/>
    <n v="8.19"/>
  </r>
  <r>
    <s v="PU029-JBA-08132021"/>
    <s v="Spill"/>
    <x v="0"/>
    <s v="Pumpkinseed"/>
    <s v="Lepomis"/>
    <s v="gibbosus"/>
    <s v="U"/>
    <x v="0"/>
    <n v="8"/>
    <n v="11.81"/>
    <x v="9"/>
    <s v="72629-94-8"/>
    <x v="9"/>
    <n v="0.92100000000000004"/>
  </r>
  <r>
    <s v="PU029-JBA-08132021"/>
    <s v="Spill"/>
    <x v="0"/>
    <s v="Pumpkinseed"/>
    <s v="Lepomis"/>
    <s v="gibbosus"/>
    <s v="U"/>
    <x v="0"/>
    <n v="8"/>
    <n v="11.81"/>
    <x v="10"/>
    <s v="376-06-7"/>
    <x v="10"/>
    <n v="4.96"/>
  </r>
  <r>
    <s v="PU029-JBA-08132021"/>
    <s v="Spill"/>
    <x v="0"/>
    <s v="Pumpkinseed"/>
    <s v="Lepomis"/>
    <s v="gibbosus"/>
    <s v="U"/>
    <x v="0"/>
    <n v="8"/>
    <n v="11.81"/>
    <x v="11"/>
    <s v="67905-19-5"/>
    <x v="11"/>
    <n v="8.2500000000000004E-2"/>
  </r>
  <r>
    <s v="PU029-JBA-08132021"/>
    <s v="Spill"/>
    <x v="0"/>
    <s v="Pumpkinseed"/>
    <s v="Lepomis"/>
    <s v="gibbosus"/>
    <s v="U"/>
    <x v="0"/>
    <n v="8"/>
    <n v="11.81"/>
    <x v="12"/>
    <s v="423-41-6"/>
    <x v="12"/>
    <n v="5.2999999999999999E-2"/>
  </r>
  <r>
    <s v="PU029-JBA-08132021"/>
    <s v="Spill"/>
    <x v="0"/>
    <s v="Pumpkinseed"/>
    <s v="Lepomis"/>
    <s v="gibbosus"/>
    <s v="U"/>
    <x v="0"/>
    <n v="8"/>
    <n v="11.81"/>
    <x v="13"/>
    <s v="375-73-5"/>
    <x v="13"/>
    <n v="0.156"/>
  </r>
  <r>
    <s v="PU029-JBA-08132021"/>
    <s v="Spill"/>
    <x v="0"/>
    <s v="Pumpkinseed"/>
    <s v="Lepomis"/>
    <s v="gibbosus"/>
    <s v="U"/>
    <x v="0"/>
    <n v="8"/>
    <n v="11.81"/>
    <x v="14"/>
    <s v="2706-91-4"/>
    <x v="14"/>
    <n v="0.1215"/>
  </r>
  <r>
    <s v="PU029-JBA-08132021"/>
    <s v="Spill"/>
    <x v="0"/>
    <s v="Pumpkinseed"/>
    <s v="Lepomis"/>
    <s v="gibbosus"/>
    <s v="U"/>
    <x v="0"/>
    <n v="8"/>
    <n v="11.81"/>
    <x v="15"/>
    <s v="355-46-4"/>
    <x v="15"/>
    <n v="10.1"/>
  </r>
  <r>
    <s v="PU029-JBA-08132021"/>
    <s v="Spill"/>
    <x v="0"/>
    <s v="Pumpkinseed"/>
    <s v="Lepomis"/>
    <s v="gibbosus"/>
    <s v="U"/>
    <x v="0"/>
    <n v="8"/>
    <n v="11.81"/>
    <x v="16"/>
    <s v="375-92-8"/>
    <x v="16"/>
    <n v="0.73799999999999999"/>
  </r>
  <r>
    <s v="PU029-JBA-08132021"/>
    <s v="Spill"/>
    <x v="0"/>
    <s v="Pumpkinseed"/>
    <s v="Lepomis"/>
    <s v="gibbosus"/>
    <s v="U"/>
    <x v="0"/>
    <n v="8"/>
    <n v="11.81"/>
    <x v="17"/>
    <s v="1763-23-1"/>
    <x v="17"/>
    <n v="354"/>
  </r>
  <r>
    <s v="PU029-JBA-08132021"/>
    <s v="Spill"/>
    <x v="0"/>
    <s v="Pumpkinseed"/>
    <s v="Lepomis"/>
    <s v="gibbosus"/>
    <s v="U"/>
    <x v="0"/>
    <n v="8"/>
    <n v="11.81"/>
    <x v="18"/>
    <s v="68259-12-1"/>
    <x v="18"/>
    <n v="0.1305"/>
  </r>
  <r>
    <s v="PU029-JBA-08132021"/>
    <s v="Spill"/>
    <x v="0"/>
    <s v="Pumpkinseed"/>
    <s v="Lepomis"/>
    <s v="gibbosus"/>
    <s v="U"/>
    <x v="0"/>
    <n v="8"/>
    <n v="11.81"/>
    <x v="19"/>
    <s v="335-77-3"/>
    <x v="19"/>
    <n v="0.94099999999999995"/>
  </r>
  <r>
    <s v="PU029-JBA-08132021"/>
    <s v="Spill"/>
    <x v="0"/>
    <s v="Pumpkinseed"/>
    <s v="Lepomis"/>
    <s v="gibbosus"/>
    <s v="U"/>
    <x v="0"/>
    <n v="8"/>
    <n v="11.81"/>
    <x v="20"/>
    <s v="79780-39-5"/>
    <x v="20"/>
    <n v="0.245"/>
  </r>
  <r>
    <s v="PU029-JBA-08132021"/>
    <s v="Spill"/>
    <x v="0"/>
    <s v="Pumpkinseed"/>
    <s v="Lepomis"/>
    <s v="gibbosus"/>
    <s v="U"/>
    <x v="0"/>
    <n v="8"/>
    <n v="11.81"/>
    <x v="21"/>
    <s v="777011-38-8"/>
    <x v="21"/>
    <n v="0.13900000000000001"/>
  </r>
  <r>
    <s v="PU029-JBA-08132021"/>
    <s v="Spill"/>
    <x v="0"/>
    <s v="Pumpkinseed"/>
    <s v="Lepomis"/>
    <s v="gibbosus"/>
    <s v="U"/>
    <x v="0"/>
    <n v="8"/>
    <n v="11.81"/>
    <x v="22"/>
    <s v="646-83-3"/>
    <x v="22"/>
    <n v="9.1499999999999998E-2"/>
  </r>
  <r>
    <s v="PU029-JBA-08132021"/>
    <s v="Spill"/>
    <x v="0"/>
    <s v="Pumpkinseed"/>
    <s v="Lepomis"/>
    <s v="gibbosus"/>
    <s v="U"/>
    <x v="0"/>
    <n v="8"/>
    <n v="11.81"/>
    <x v="23"/>
    <s v="30334-69-1"/>
    <x v="23"/>
    <n v="73.3"/>
  </r>
  <r>
    <s v="PU029-JBA-08132021"/>
    <s v="Spill"/>
    <x v="0"/>
    <s v="Pumpkinseed"/>
    <s v="Lepomis"/>
    <s v="gibbosus"/>
    <s v="U"/>
    <x v="0"/>
    <n v="8"/>
    <n v="11.81"/>
    <x v="24"/>
    <s v="41997-13-1"/>
    <x v="24"/>
    <n v="185"/>
  </r>
  <r>
    <s v="PU029-JBA-08132021"/>
    <s v="Spill"/>
    <x v="0"/>
    <s v="Pumpkinseed"/>
    <s v="Lepomis"/>
    <s v="gibbosus"/>
    <s v="U"/>
    <x v="0"/>
    <n v="8"/>
    <n v="11.81"/>
    <x v="25"/>
    <s v="754-91-6"/>
    <x v="25"/>
    <n v="30.2"/>
  </r>
  <r>
    <s v="PU029-JBA-08132021"/>
    <s v="Spill"/>
    <x v="0"/>
    <s v="Pumpkinseed"/>
    <s v="Lepomis"/>
    <s v="gibbosus"/>
    <s v="U"/>
    <x v="0"/>
    <n v="8"/>
    <n v="11.81"/>
    <x v="26"/>
    <s v="31506-32-8"/>
    <x v="26"/>
    <n v="5.3499999999999999E-2"/>
  </r>
  <r>
    <s v="PU029-JBA-08132021"/>
    <s v="Spill"/>
    <x v="0"/>
    <s v="Pumpkinseed"/>
    <s v="Lepomis"/>
    <s v="gibbosus"/>
    <s v="U"/>
    <x v="0"/>
    <n v="8"/>
    <n v="11.81"/>
    <x v="27"/>
    <s v="4151-50-2"/>
    <x v="27"/>
    <n v="8.1000000000000003E-2"/>
  </r>
  <r>
    <s v="PU029-JBA-08132021"/>
    <s v="Spill"/>
    <x v="0"/>
    <s v="Pumpkinseed"/>
    <s v="Lepomis"/>
    <s v="gibbosus"/>
    <s v="U"/>
    <x v="0"/>
    <n v="8"/>
    <n v="11.81"/>
    <x v="28"/>
    <s v="2806-24-8"/>
    <x v="28"/>
    <n v="5.45E-2"/>
  </r>
  <r>
    <s v="PU029-JBA-08132021"/>
    <s v="Spill"/>
    <x v="0"/>
    <s v="Pumpkinseed"/>
    <s v="Lepomis"/>
    <s v="gibbosus"/>
    <s v="U"/>
    <x v="0"/>
    <n v="8"/>
    <n v="11.81"/>
    <x v="29"/>
    <s v="2355-31-9"/>
    <x v="29"/>
    <n v="0.23050000000000001"/>
  </r>
  <r>
    <s v="PU029-JBA-08132021"/>
    <s v="Spill"/>
    <x v="0"/>
    <s v="Pumpkinseed"/>
    <s v="Lepomis"/>
    <s v="gibbosus"/>
    <s v="U"/>
    <x v="0"/>
    <n v="8"/>
    <n v="11.81"/>
    <x v="30"/>
    <s v="2991-50-6"/>
    <x v="30"/>
    <n v="6.0499999999999998E-2"/>
  </r>
  <r>
    <s v="PU029-JBA-08132021"/>
    <s v="Spill"/>
    <x v="0"/>
    <s v="Pumpkinseed"/>
    <s v="Lepomis"/>
    <s v="gibbosus"/>
    <s v="U"/>
    <x v="0"/>
    <n v="8"/>
    <n v="11.81"/>
    <x v="31"/>
    <s v="757124-72-4"/>
    <x v="31"/>
    <n v="5.7000000000000002E-2"/>
  </r>
  <r>
    <s v="PU029-JBA-08132021"/>
    <s v="Spill"/>
    <x v="0"/>
    <s v="Pumpkinseed"/>
    <s v="Lepomis"/>
    <s v="gibbosus"/>
    <s v="U"/>
    <x v="0"/>
    <n v="8"/>
    <n v="11.81"/>
    <x v="32"/>
    <s v="27619-97-2"/>
    <x v="32"/>
    <n v="0.80800000000000005"/>
  </r>
  <r>
    <s v="PU029-JBA-08132021"/>
    <s v="Spill"/>
    <x v="0"/>
    <s v="Pumpkinseed"/>
    <s v="Lepomis"/>
    <s v="gibbosus"/>
    <s v="U"/>
    <x v="0"/>
    <n v="8"/>
    <n v="11.81"/>
    <x v="33"/>
    <s v="39108-34-4"/>
    <x v="33"/>
    <n v="1.7"/>
  </r>
  <r>
    <s v="PU029-JBA-08132021"/>
    <s v="Spill"/>
    <x v="0"/>
    <s v="Pumpkinseed"/>
    <s v="Lepomis"/>
    <s v="gibbosus"/>
    <s v="U"/>
    <x v="0"/>
    <n v="8"/>
    <n v="11.81"/>
    <x v="34"/>
    <s v="120226-60-0"/>
    <x v="34"/>
    <n v="0.26"/>
  </r>
  <r>
    <s v="PU029-JBA-08132021"/>
    <s v="Spill"/>
    <x v="0"/>
    <s v="Pumpkinseed"/>
    <s v="Lepomis"/>
    <s v="gibbosus"/>
    <s v="U"/>
    <x v="0"/>
    <n v="8"/>
    <n v="11.81"/>
    <x v="35"/>
    <s v="356-02-5"/>
    <x v="35"/>
    <n v="0.26400000000000001"/>
  </r>
  <r>
    <s v="PU029-JBA-08132021"/>
    <s v="Spill"/>
    <x v="0"/>
    <s v="Pumpkinseed"/>
    <s v="Lepomis"/>
    <s v="gibbosus"/>
    <s v="U"/>
    <x v="0"/>
    <n v="8"/>
    <n v="11.81"/>
    <x v="36"/>
    <s v="914637-49-3"/>
    <x v="36"/>
    <n v="0.17299999999999999"/>
  </r>
  <r>
    <s v="PU029-JBA-08132021"/>
    <s v="Spill"/>
    <x v="0"/>
    <s v="Pumpkinseed"/>
    <s v="Lepomis"/>
    <s v="gibbosus"/>
    <s v="U"/>
    <x v="0"/>
    <n v="8"/>
    <n v="11.81"/>
    <x v="37"/>
    <s v="812-70-4"/>
    <x v="37"/>
    <n v="5.6000000000000001E-2"/>
  </r>
  <r>
    <s v="PU029-JBA-08132021"/>
    <s v="Spill"/>
    <x v="0"/>
    <s v="Pumpkinseed"/>
    <s v="Lepomis"/>
    <s v="gibbosus"/>
    <s v="U"/>
    <x v="0"/>
    <n v="8"/>
    <n v="11.81"/>
    <x v="38"/>
    <s v="53826-12-3"/>
    <x v="38"/>
    <n v="4.4549999999999999E-2"/>
  </r>
  <r>
    <s v="PU029-JBA-08132021"/>
    <s v="Spill"/>
    <x v="0"/>
    <s v="Pumpkinseed"/>
    <s v="Lepomis"/>
    <s v="gibbosus"/>
    <s v="U"/>
    <x v="0"/>
    <n v="8"/>
    <n v="11.81"/>
    <x v="39"/>
    <s v="27854-31-5"/>
    <x v="39"/>
    <n v="2.775E-2"/>
  </r>
  <r>
    <s v="PU029-JBA-08132021"/>
    <s v="Spill"/>
    <x v="0"/>
    <s v="Pumpkinseed"/>
    <s v="Lepomis"/>
    <s v="gibbosus"/>
    <s v="U"/>
    <x v="0"/>
    <n v="8"/>
    <n v="11.81"/>
    <x v="40"/>
    <s v="53826-13-4"/>
    <x v="40"/>
    <n v="0.10349999999999999"/>
  </r>
  <r>
    <s v="PU029-JBA-08132021"/>
    <s v="Spill"/>
    <x v="0"/>
    <s v="Pumpkinseed"/>
    <s v="Lepomis"/>
    <s v="gibbosus"/>
    <s v="U"/>
    <x v="0"/>
    <n v="8"/>
    <n v="11.81"/>
    <x v="41"/>
    <s v="161094-75-3"/>
    <x v="41"/>
    <n v="5.45E-2"/>
  </r>
  <r>
    <s v="PU029-JBA-08132021"/>
    <s v="Spill"/>
    <x v="0"/>
    <s v="Pumpkinseed"/>
    <s v="Lepomis"/>
    <s v="gibbosus"/>
    <s v="U"/>
    <x v="0"/>
    <n v="8"/>
    <n v="11.81"/>
    <x v="42"/>
    <s v="70887-84-2"/>
    <x v="42"/>
    <n v="4.1950000000000001E-2"/>
  </r>
  <r>
    <s v="PU029-JBA-08132021"/>
    <s v="Spill"/>
    <x v="0"/>
    <s v="Pumpkinseed"/>
    <s v="Lepomis"/>
    <s v="gibbosus"/>
    <s v="U"/>
    <x v="0"/>
    <n v="8"/>
    <n v="11.81"/>
    <x v="43"/>
    <s v="919005-14-4"/>
    <x v="43"/>
    <n v="6.9500000000000006E-2"/>
  </r>
  <r>
    <s v="PU029-JBA-08132021"/>
    <s v="Spill"/>
    <x v="0"/>
    <s v="Pumpkinseed"/>
    <s v="Lepomis"/>
    <s v="gibbosus"/>
    <s v="U"/>
    <x v="0"/>
    <n v="8"/>
    <n v="11.81"/>
    <x v="44"/>
    <s v="756426-58-1"/>
    <x v="44"/>
    <n v="4.82E-2"/>
  </r>
  <r>
    <s v="PU029-JBA-08132021"/>
    <s v="Spill"/>
    <x v="0"/>
    <s v="Pumpkinseed"/>
    <s v="Lepomis"/>
    <s v="gibbosus"/>
    <s v="U"/>
    <x v="0"/>
    <n v="8"/>
    <n v="11.81"/>
    <x v="45"/>
    <s v="763051-92-9"/>
    <x v="45"/>
    <n v="5.45E-2"/>
  </r>
  <r>
    <s v="PU029-JBA-08132021"/>
    <s v="Spill"/>
    <x v="0"/>
    <s v="Pumpkinseed"/>
    <s v="Lepomis"/>
    <s v="gibbosus"/>
    <s v="U"/>
    <x v="0"/>
    <n v="8"/>
    <n v="11.81"/>
    <x v="46"/>
    <s v="13252-13-6"/>
    <x v="46"/>
    <n v="9.9500000000000005E-2"/>
  </r>
  <r>
    <s v="PU029-JBA-08132021"/>
    <s v="Spill"/>
    <x v="0"/>
    <s v="Pumpkinseed"/>
    <s v="Lepomis"/>
    <s v="gibbosus"/>
    <s v="U"/>
    <x v="0"/>
    <n v="8"/>
    <n v="11.81"/>
    <x v="47"/>
    <s v="57677-95-9"/>
    <x v="47"/>
    <n v="7.3999999999999996E-2"/>
  </r>
  <r>
    <s v="PU029-JBA-08132021"/>
    <s v="Spill"/>
    <x v="0"/>
    <s v="Pumpkinseed"/>
    <s v="Lepomis"/>
    <s v="gibbosus"/>
    <s v="U"/>
    <x v="0"/>
    <n v="8"/>
    <n v="11.81"/>
    <x v="48"/>
    <s v="678-41-1"/>
    <x v="48"/>
    <n v="9.1999999999999998E-2"/>
  </r>
  <r>
    <s v="PU029-JBA-08132021"/>
    <s v="Spill"/>
    <x v="0"/>
    <s v="Pumpkinseed"/>
    <s v="Lepomis"/>
    <s v="gibbosus"/>
    <s v="U"/>
    <x v="0"/>
    <n v="8"/>
    <n v="11.81"/>
    <x v="49"/>
    <s v="2965-52-8"/>
    <x v="49"/>
    <n v="0.122"/>
  </r>
  <r>
    <s v="GC002-JBA-08132021"/>
    <s v="Spill"/>
    <x v="0"/>
    <s v="Swallowtail Shiner"/>
    <s v="Notropis"/>
    <s v="gibbosus"/>
    <s v="U"/>
    <x v="0"/>
    <n v="8"/>
    <n v="11.81"/>
    <x v="0"/>
    <s v="375-22-4"/>
    <x v="0"/>
    <n v="2.76E-2"/>
  </r>
  <r>
    <s v="GC002-JBA-08132021"/>
    <s v="Spill"/>
    <x v="0"/>
    <s v="Swallowtail Shiner"/>
    <s v="Notropis"/>
    <s v="gibbosus"/>
    <s v="U"/>
    <x v="0"/>
    <n v="8"/>
    <n v="11.81"/>
    <x v="1"/>
    <s v="2706-90-3"/>
    <x v="1"/>
    <n v="4.8649999999999999E-2"/>
  </r>
  <r>
    <s v="GC002-JBA-08132021"/>
    <s v="Spill"/>
    <x v="0"/>
    <s v="Swallowtail Shiner"/>
    <s v="Notropis"/>
    <s v="gibbosus"/>
    <s v="U"/>
    <x v="0"/>
    <n v="8"/>
    <n v="11.81"/>
    <x v="2"/>
    <s v="307-24-4"/>
    <x v="2"/>
    <n v="3.7100000000000001E-2"/>
  </r>
  <r>
    <s v="GC002-JBA-08132021"/>
    <s v="Spill"/>
    <x v="0"/>
    <s v="Swallowtail Shiner"/>
    <s v="Notropis"/>
    <s v="gibbosus"/>
    <s v="U"/>
    <x v="0"/>
    <n v="8"/>
    <n v="11.81"/>
    <x v="3"/>
    <s v="375-85-9"/>
    <x v="3"/>
    <n v="2.76E-2"/>
  </r>
  <r>
    <s v="GC002-JBA-08132021"/>
    <s v="Spill"/>
    <x v="0"/>
    <s v="Swallowtail Shiner"/>
    <s v="Notropis"/>
    <s v="gibbosus"/>
    <s v="U"/>
    <x v="0"/>
    <n v="8"/>
    <n v="11.81"/>
    <x v="4"/>
    <s v="335-67-1"/>
    <x v="4"/>
    <n v="1.77"/>
  </r>
  <r>
    <s v="GC002-JBA-08132021"/>
    <s v="Spill"/>
    <x v="0"/>
    <s v="Swallowtail Shiner"/>
    <s v="Notropis"/>
    <s v="gibbosus"/>
    <s v="U"/>
    <x v="0"/>
    <n v="8"/>
    <n v="11.81"/>
    <x v="5"/>
    <s v="375-95-1"/>
    <x v="5"/>
    <n v="3.88"/>
  </r>
  <r>
    <s v="GC002-JBA-08132021"/>
    <s v="Spill"/>
    <x v="0"/>
    <s v="Swallowtail Shiner"/>
    <s v="Notropis"/>
    <s v="gibbosus"/>
    <s v="U"/>
    <x v="0"/>
    <n v="8"/>
    <n v="11.81"/>
    <x v="6"/>
    <s v="335-76-2"/>
    <x v="6"/>
    <n v="14.2"/>
  </r>
  <r>
    <s v="GC002-JBA-08132021"/>
    <s v="Spill"/>
    <x v="0"/>
    <s v="Swallowtail Shiner"/>
    <s v="Notropis"/>
    <s v="gibbosus"/>
    <s v="U"/>
    <x v="0"/>
    <n v="8"/>
    <n v="11.81"/>
    <x v="7"/>
    <s v="2058-94-8"/>
    <x v="7"/>
    <n v="15.8"/>
  </r>
  <r>
    <s v="GC002-JBA-08132021"/>
    <s v="Spill"/>
    <x v="0"/>
    <s v="Swallowtail Shiner"/>
    <s v="Notropis"/>
    <s v="gibbosus"/>
    <s v="U"/>
    <x v="0"/>
    <n v="8"/>
    <n v="11.81"/>
    <x v="8"/>
    <s v="307-55-1"/>
    <x v="8"/>
    <n v="16.8"/>
  </r>
  <r>
    <s v="GC002-JBA-08132021"/>
    <s v="Spill"/>
    <x v="0"/>
    <s v="Swallowtail Shiner"/>
    <s v="Notropis"/>
    <s v="gibbosus"/>
    <s v="U"/>
    <x v="0"/>
    <n v="8"/>
    <n v="11.81"/>
    <x v="9"/>
    <s v="72629-94-8"/>
    <x v="9"/>
    <n v="8.85"/>
  </r>
  <r>
    <s v="GC002-JBA-08132021"/>
    <s v="Spill"/>
    <x v="0"/>
    <s v="Swallowtail Shiner"/>
    <s v="Notropis"/>
    <s v="gibbosus"/>
    <s v="U"/>
    <x v="0"/>
    <n v="8"/>
    <n v="11.81"/>
    <x v="10"/>
    <s v="376-06-7"/>
    <x v="10"/>
    <n v="10.3"/>
  </r>
  <r>
    <s v="GC002-JBA-08132021"/>
    <s v="Spill"/>
    <x v="0"/>
    <s v="Swallowtail Shiner"/>
    <s v="Notropis"/>
    <s v="gibbosus"/>
    <s v="U"/>
    <x v="0"/>
    <n v="8"/>
    <n v="11.81"/>
    <x v="11"/>
    <s v="67905-19-5"/>
    <x v="11"/>
    <n v="8.2000000000000003E-2"/>
  </r>
  <r>
    <s v="GC002-JBA-08132021"/>
    <s v="Spill"/>
    <x v="0"/>
    <s v="Swallowtail Shiner"/>
    <s v="Notropis"/>
    <s v="gibbosus"/>
    <s v="U"/>
    <x v="0"/>
    <n v="8"/>
    <n v="11.81"/>
    <x v="12"/>
    <s v="423-41-6"/>
    <x v="12"/>
    <n v="5.2499999999999998E-2"/>
  </r>
  <r>
    <s v="GC002-JBA-08132021"/>
    <s v="Spill"/>
    <x v="0"/>
    <s v="Swallowtail Shiner"/>
    <s v="Notropis"/>
    <s v="gibbosus"/>
    <s v="U"/>
    <x v="0"/>
    <n v="8"/>
    <n v="11.81"/>
    <x v="13"/>
    <s v="375-73-5"/>
    <x v="13"/>
    <n v="0.1545"/>
  </r>
  <r>
    <s v="GC002-JBA-08132021"/>
    <s v="Spill"/>
    <x v="0"/>
    <s v="Swallowtail Shiner"/>
    <s v="Notropis"/>
    <s v="gibbosus"/>
    <s v="U"/>
    <x v="0"/>
    <n v="8"/>
    <n v="11.81"/>
    <x v="14"/>
    <s v="2706-91-4"/>
    <x v="14"/>
    <n v="1.1200000000000001"/>
  </r>
  <r>
    <s v="GC002-JBA-08132021"/>
    <s v="Spill"/>
    <x v="0"/>
    <s v="Swallowtail Shiner"/>
    <s v="Notropis"/>
    <s v="gibbosus"/>
    <s v="U"/>
    <x v="0"/>
    <n v="8"/>
    <n v="11.81"/>
    <x v="15"/>
    <s v="355-46-4"/>
    <x v="15"/>
    <n v="73.2"/>
  </r>
  <r>
    <s v="GC002-JBA-08132021"/>
    <s v="Spill"/>
    <x v="0"/>
    <s v="Swallowtail Shiner"/>
    <s v="Notropis"/>
    <s v="gibbosus"/>
    <s v="U"/>
    <x v="0"/>
    <n v="8"/>
    <n v="11.81"/>
    <x v="16"/>
    <s v="375-92-8"/>
    <x v="16"/>
    <n v="5.0599999999999996"/>
  </r>
  <r>
    <s v="GC002-JBA-08132021"/>
    <s v="Spill"/>
    <x v="0"/>
    <s v="Swallowtail Shiner"/>
    <s v="Notropis"/>
    <s v="gibbosus"/>
    <s v="U"/>
    <x v="0"/>
    <n v="8"/>
    <n v="11.81"/>
    <x v="17"/>
    <s v="1763-23-1"/>
    <x v="17"/>
    <n v="1390"/>
  </r>
  <r>
    <s v="GC002-JBA-08132021"/>
    <s v="Spill"/>
    <x v="0"/>
    <s v="Swallowtail Shiner"/>
    <s v="Notropis"/>
    <s v="gibbosus"/>
    <s v="U"/>
    <x v="0"/>
    <n v="8"/>
    <n v="11.81"/>
    <x v="18"/>
    <s v="68259-12-1"/>
    <x v="18"/>
    <n v="1.85"/>
  </r>
  <r>
    <s v="GC002-JBA-08132021"/>
    <s v="Spill"/>
    <x v="0"/>
    <s v="Swallowtail Shiner"/>
    <s v="Notropis"/>
    <s v="gibbosus"/>
    <s v="U"/>
    <x v="0"/>
    <n v="8"/>
    <n v="11.81"/>
    <x v="19"/>
    <s v="335-77-3"/>
    <x v="19"/>
    <n v="8.3800000000000008"/>
  </r>
  <r>
    <s v="GC002-JBA-08132021"/>
    <s v="Spill"/>
    <x v="0"/>
    <s v="Swallowtail Shiner"/>
    <s v="Notropis"/>
    <s v="gibbosus"/>
    <s v="U"/>
    <x v="0"/>
    <n v="8"/>
    <n v="11.81"/>
    <x v="20"/>
    <s v="79780-39-5"/>
    <x v="20"/>
    <n v="0.79300000000000004"/>
  </r>
  <r>
    <s v="GC002-JBA-08132021"/>
    <s v="Spill"/>
    <x v="0"/>
    <s v="Swallowtail Shiner"/>
    <s v="Notropis"/>
    <s v="gibbosus"/>
    <s v="U"/>
    <x v="0"/>
    <n v="8"/>
    <n v="11.81"/>
    <x v="21"/>
    <s v="777011-38-8"/>
    <x v="21"/>
    <n v="0.34"/>
  </r>
  <r>
    <s v="GC002-JBA-08132021"/>
    <s v="Spill"/>
    <x v="0"/>
    <s v="Swallowtail Shiner"/>
    <s v="Notropis"/>
    <s v="gibbosus"/>
    <s v="U"/>
    <x v="0"/>
    <n v="8"/>
    <n v="11.81"/>
    <x v="22"/>
    <s v="646-83-3"/>
    <x v="22"/>
    <n v="9.0999999999999998E-2"/>
  </r>
  <r>
    <s v="GC002-JBA-08132021"/>
    <s v="Spill"/>
    <x v="0"/>
    <s v="Swallowtail Shiner"/>
    <s v="Notropis"/>
    <s v="gibbosus"/>
    <s v="U"/>
    <x v="0"/>
    <n v="8"/>
    <n v="11.81"/>
    <x v="23"/>
    <s v="30334-69-1"/>
    <x v="23"/>
    <n v="145"/>
  </r>
  <r>
    <s v="GC002-JBA-08132021"/>
    <s v="Spill"/>
    <x v="0"/>
    <s v="Swallowtail Shiner"/>
    <s v="Notropis"/>
    <s v="gibbosus"/>
    <s v="U"/>
    <x v="0"/>
    <n v="8"/>
    <n v="11.81"/>
    <x v="24"/>
    <s v="41997-13-1"/>
    <x v="24"/>
    <n v="470"/>
  </r>
  <r>
    <s v="GC002-JBA-08132021"/>
    <s v="Spill"/>
    <x v="0"/>
    <s v="Swallowtail Shiner"/>
    <s v="Notropis"/>
    <s v="gibbosus"/>
    <s v="U"/>
    <x v="0"/>
    <n v="8"/>
    <n v="11.81"/>
    <x v="25"/>
    <s v="754-91-6"/>
    <x v="25"/>
    <n v="30.3"/>
  </r>
  <r>
    <s v="GC002-JBA-08132021"/>
    <s v="Spill"/>
    <x v="0"/>
    <s v="Swallowtail Shiner"/>
    <s v="Notropis"/>
    <s v="gibbosus"/>
    <s v="U"/>
    <x v="0"/>
    <n v="8"/>
    <n v="11.81"/>
    <x v="26"/>
    <s v="31506-32-8"/>
    <x v="26"/>
    <n v="5.2999999999999999E-2"/>
  </r>
  <r>
    <s v="GC002-JBA-08132021"/>
    <s v="Spill"/>
    <x v="0"/>
    <s v="Swallowtail Shiner"/>
    <s v="Notropis"/>
    <s v="gibbosus"/>
    <s v="U"/>
    <x v="0"/>
    <n v="8"/>
    <n v="11.81"/>
    <x v="27"/>
    <s v="4151-50-2"/>
    <x v="27"/>
    <n v="8.0500000000000002E-2"/>
  </r>
  <r>
    <s v="GC002-JBA-08132021"/>
    <s v="Spill"/>
    <x v="0"/>
    <s v="Swallowtail Shiner"/>
    <s v="Notropis"/>
    <s v="gibbosus"/>
    <s v="U"/>
    <x v="0"/>
    <n v="8"/>
    <n v="11.81"/>
    <x v="28"/>
    <s v="2806-24-8"/>
    <x v="28"/>
    <n v="5.3999999999999999E-2"/>
  </r>
  <r>
    <s v="GC002-JBA-08132021"/>
    <s v="Spill"/>
    <x v="0"/>
    <s v="Swallowtail Shiner"/>
    <s v="Notropis"/>
    <s v="gibbosus"/>
    <s v="U"/>
    <x v="0"/>
    <n v="8"/>
    <n v="11.81"/>
    <x v="29"/>
    <s v="2355-31-9"/>
    <x v="29"/>
    <n v="0.22850000000000001"/>
  </r>
  <r>
    <s v="GC002-JBA-08132021"/>
    <s v="Spill"/>
    <x v="0"/>
    <s v="Swallowtail Shiner"/>
    <s v="Notropis"/>
    <s v="gibbosus"/>
    <s v="U"/>
    <x v="0"/>
    <n v="8"/>
    <n v="11.81"/>
    <x v="30"/>
    <s v="2991-50-6"/>
    <x v="30"/>
    <n v="0.06"/>
  </r>
  <r>
    <s v="GC002-JBA-08132021"/>
    <s v="Spill"/>
    <x v="0"/>
    <s v="Swallowtail Shiner"/>
    <s v="Notropis"/>
    <s v="gibbosus"/>
    <s v="U"/>
    <x v="0"/>
    <n v="8"/>
    <n v="11.81"/>
    <x v="31"/>
    <s v="757124-72-4"/>
    <x v="31"/>
    <n v="5.6500000000000002E-2"/>
  </r>
  <r>
    <s v="GC002-JBA-08132021"/>
    <s v="Spill"/>
    <x v="0"/>
    <s v="Swallowtail Shiner"/>
    <s v="Notropis"/>
    <s v="gibbosus"/>
    <s v="U"/>
    <x v="0"/>
    <n v="8"/>
    <n v="11.81"/>
    <x v="32"/>
    <s v="27619-97-2"/>
    <x v="32"/>
    <n v="0.13700000000000001"/>
  </r>
  <r>
    <s v="GC002-JBA-08132021"/>
    <s v="Spill"/>
    <x v="0"/>
    <s v="Swallowtail Shiner"/>
    <s v="Notropis"/>
    <s v="gibbosus"/>
    <s v="U"/>
    <x v="0"/>
    <n v="8"/>
    <n v="11.81"/>
    <x v="33"/>
    <s v="39108-34-4"/>
    <x v="33"/>
    <n v="21"/>
  </r>
  <r>
    <s v="GC002-JBA-08132021"/>
    <s v="Spill"/>
    <x v="0"/>
    <s v="Swallowtail Shiner"/>
    <s v="Notropis"/>
    <s v="gibbosus"/>
    <s v="U"/>
    <x v="0"/>
    <n v="8"/>
    <n v="11.81"/>
    <x v="34"/>
    <s v="120226-60-0"/>
    <x v="34"/>
    <n v="0.25800000000000001"/>
  </r>
  <r>
    <s v="GC002-JBA-08132021"/>
    <s v="Spill"/>
    <x v="0"/>
    <s v="Swallowtail Shiner"/>
    <s v="Notropis"/>
    <s v="gibbosus"/>
    <s v="U"/>
    <x v="0"/>
    <n v="8"/>
    <n v="11.81"/>
    <x v="35"/>
    <s v="356-02-5"/>
    <x v="35"/>
    <n v="7.9500000000000001E-2"/>
  </r>
  <r>
    <s v="GC002-JBA-08132021"/>
    <s v="Spill"/>
    <x v="0"/>
    <s v="Swallowtail Shiner"/>
    <s v="Notropis"/>
    <s v="gibbosus"/>
    <s v="U"/>
    <x v="0"/>
    <n v="8"/>
    <n v="11.81"/>
    <x v="36"/>
    <s v="914637-49-3"/>
    <x v="36"/>
    <n v="1.99"/>
  </r>
  <r>
    <s v="GC002-JBA-08132021"/>
    <s v="Spill"/>
    <x v="0"/>
    <s v="Swallowtail Shiner"/>
    <s v="Notropis"/>
    <s v="gibbosus"/>
    <s v="U"/>
    <x v="0"/>
    <n v="8"/>
    <n v="11.81"/>
    <x v="37"/>
    <s v="812-70-4"/>
    <x v="37"/>
    <n v="4.43"/>
  </r>
  <r>
    <s v="GC002-JBA-08132021"/>
    <s v="Spill"/>
    <x v="0"/>
    <s v="Swallowtail Shiner"/>
    <s v="Notropis"/>
    <s v="gibbosus"/>
    <s v="U"/>
    <x v="0"/>
    <n v="8"/>
    <n v="11.81"/>
    <x v="38"/>
    <s v="53826-12-3"/>
    <x v="38"/>
    <n v="4.4249999999999998E-2"/>
  </r>
  <r>
    <s v="GC002-JBA-08132021"/>
    <s v="Spill"/>
    <x v="0"/>
    <s v="Swallowtail Shiner"/>
    <s v="Notropis"/>
    <s v="gibbosus"/>
    <s v="U"/>
    <x v="0"/>
    <n v="8"/>
    <n v="11.81"/>
    <x v="39"/>
    <s v="27854-31-5"/>
    <x v="39"/>
    <n v="2.76E-2"/>
  </r>
  <r>
    <s v="GC002-JBA-08132021"/>
    <s v="Spill"/>
    <x v="0"/>
    <s v="Swallowtail Shiner"/>
    <s v="Notropis"/>
    <s v="gibbosus"/>
    <s v="U"/>
    <x v="0"/>
    <n v="8"/>
    <n v="11.81"/>
    <x v="40"/>
    <s v="53826-13-4"/>
    <x v="40"/>
    <n v="0.10249999999999999"/>
  </r>
  <r>
    <s v="GC002-JBA-08132021"/>
    <s v="Spill"/>
    <x v="0"/>
    <s v="Swallowtail Shiner"/>
    <s v="Notropis"/>
    <s v="gibbosus"/>
    <s v="U"/>
    <x v="0"/>
    <n v="8"/>
    <n v="11.81"/>
    <x v="41"/>
    <s v="161094-75-3"/>
    <x v="41"/>
    <n v="5.3999999999999999E-2"/>
  </r>
  <r>
    <s v="GC002-JBA-08132021"/>
    <s v="Spill"/>
    <x v="0"/>
    <s v="Swallowtail Shiner"/>
    <s v="Notropis"/>
    <s v="gibbosus"/>
    <s v="U"/>
    <x v="0"/>
    <n v="8"/>
    <n v="11.81"/>
    <x v="42"/>
    <s v="70887-84-2"/>
    <x v="42"/>
    <n v="4.165E-2"/>
  </r>
  <r>
    <s v="GC002-JBA-08132021"/>
    <s v="Spill"/>
    <x v="0"/>
    <s v="Swallowtail Shiner"/>
    <s v="Notropis"/>
    <s v="gibbosus"/>
    <s v="U"/>
    <x v="0"/>
    <n v="8"/>
    <n v="11.81"/>
    <x v="43"/>
    <s v="919005-14-4"/>
    <x v="43"/>
    <n v="6.9000000000000006E-2"/>
  </r>
  <r>
    <s v="GC002-JBA-08132021"/>
    <s v="Spill"/>
    <x v="0"/>
    <s v="Swallowtail Shiner"/>
    <s v="Notropis"/>
    <s v="gibbosus"/>
    <s v="U"/>
    <x v="0"/>
    <n v="8"/>
    <n v="11.81"/>
    <x v="44"/>
    <s v="756426-58-1"/>
    <x v="44"/>
    <n v="4.7899999999999998E-2"/>
  </r>
  <r>
    <s v="GC002-JBA-08132021"/>
    <s v="Spill"/>
    <x v="0"/>
    <s v="Swallowtail Shiner"/>
    <s v="Notropis"/>
    <s v="gibbosus"/>
    <s v="U"/>
    <x v="0"/>
    <n v="8"/>
    <n v="11.81"/>
    <x v="45"/>
    <s v="763051-92-9"/>
    <x v="45"/>
    <n v="5.3999999999999999E-2"/>
  </r>
  <r>
    <s v="GC002-JBA-08132021"/>
    <s v="Spill"/>
    <x v="0"/>
    <s v="Swallowtail Shiner"/>
    <s v="Notropis"/>
    <s v="gibbosus"/>
    <s v="U"/>
    <x v="0"/>
    <n v="8"/>
    <n v="11.81"/>
    <x v="46"/>
    <s v="13252-13-6"/>
    <x v="46"/>
    <n v="9.9000000000000005E-2"/>
  </r>
  <r>
    <s v="GC002-JBA-08132021"/>
    <s v="Spill"/>
    <x v="0"/>
    <s v="Swallowtail Shiner"/>
    <s v="Notropis"/>
    <s v="gibbosus"/>
    <s v="U"/>
    <x v="0"/>
    <n v="8"/>
    <n v="11.81"/>
    <x v="47"/>
    <s v="57677-95-9"/>
    <x v="47"/>
    <n v="7.3499999999999996E-2"/>
  </r>
  <r>
    <s v="GC002-JBA-08132021"/>
    <s v="Spill"/>
    <x v="0"/>
    <s v="Swallowtail Shiner"/>
    <s v="Notropis"/>
    <s v="gibbosus"/>
    <s v="U"/>
    <x v="0"/>
    <n v="8"/>
    <n v="11.81"/>
    <x v="48"/>
    <s v="678-41-1"/>
    <x v="48"/>
    <n v="9.1499999999999998E-2"/>
  </r>
  <r>
    <s v="GC002-JBA-08132021"/>
    <s v="Spill"/>
    <x v="0"/>
    <s v="Swallowtail Shiner"/>
    <s v="Notropis"/>
    <s v="gibbosus"/>
    <s v="U"/>
    <x v="0"/>
    <n v="8"/>
    <n v="11.81"/>
    <x v="49"/>
    <s v="2965-52-8"/>
    <x v="49"/>
    <n v="0.121"/>
  </r>
  <r>
    <s v="GC003-JBA-08132021"/>
    <s v="Spill"/>
    <x v="0"/>
    <s v="Swallowtail Shiner"/>
    <s v="Notropis"/>
    <s v="gibbosus"/>
    <s v="U"/>
    <x v="0"/>
    <n v="8"/>
    <n v="11.81"/>
    <x v="0"/>
    <s v="375-22-4"/>
    <x v="0"/>
    <n v="9.4E-2"/>
  </r>
  <r>
    <s v="GC003-JBA-08132021"/>
    <s v="Spill"/>
    <x v="0"/>
    <s v="Swallowtail Shiner"/>
    <s v="Notropis"/>
    <s v="gibbosus"/>
    <s v="U"/>
    <x v="0"/>
    <n v="8"/>
    <n v="11.81"/>
    <x v="1"/>
    <s v="2706-90-3"/>
    <x v="1"/>
    <n v="5.0500000000000003E-2"/>
  </r>
  <r>
    <s v="GC003-JBA-08132021"/>
    <s v="Spill"/>
    <x v="0"/>
    <s v="Swallowtail Shiner"/>
    <s v="Notropis"/>
    <s v="gibbosus"/>
    <s v="U"/>
    <x v="0"/>
    <n v="8"/>
    <n v="11.81"/>
    <x v="2"/>
    <s v="307-24-4"/>
    <x v="2"/>
    <n v="0.1265"/>
  </r>
  <r>
    <s v="GC003-JBA-08132021"/>
    <s v="Spill"/>
    <x v="0"/>
    <s v="Swallowtail Shiner"/>
    <s v="Notropis"/>
    <s v="gibbosus"/>
    <s v="U"/>
    <x v="0"/>
    <n v="8"/>
    <n v="11.81"/>
    <x v="3"/>
    <s v="375-85-9"/>
    <x v="3"/>
    <n v="2.8500000000000001E-2"/>
  </r>
  <r>
    <s v="GC003-JBA-08132021"/>
    <s v="Spill"/>
    <x v="0"/>
    <s v="Swallowtail Shiner"/>
    <s v="Notropis"/>
    <s v="gibbosus"/>
    <s v="U"/>
    <x v="0"/>
    <n v="8"/>
    <n v="11.81"/>
    <x v="4"/>
    <s v="335-67-1"/>
    <x v="4"/>
    <n v="1.51"/>
  </r>
  <r>
    <s v="GC003-JBA-08132021"/>
    <s v="Spill"/>
    <x v="0"/>
    <s v="Swallowtail Shiner"/>
    <s v="Notropis"/>
    <s v="gibbosus"/>
    <s v="U"/>
    <x v="0"/>
    <n v="8"/>
    <n v="11.81"/>
    <x v="5"/>
    <s v="375-95-1"/>
    <x v="5"/>
    <n v="4.92"/>
  </r>
  <r>
    <s v="GC003-JBA-08132021"/>
    <s v="Spill"/>
    <x v="0"/>
    <s v="Swallowtail Shiner"/>
    <s v="Notropis"/>
    <s v="gibbosus"/>
    <s v="U"/>
    <x v="0"/>
    <n v="8"/>
    <n v="11.81"/>
    <x v="6"/>
    <s v="335-76-2"/>
    <x v="6"/>
    <n v="10.8"/>
  </r>
  <r>
    <s v="GC003-JBA-08132021"/>
    <s v="Spill"/>
    <x v="0"/>
    <s v="Swallowtail Shiner"/>
    <s v="Notropis"/>
    <s v="gibbosus"/>
    <s v="U"/>
    <x v="0"/>
    <n v="8"/>
    <n v="11.81"/>
    <x v="7"/>
    <s v="2058-94-8"/>
    <x v="7"/>
    <n v="19.5"/>
  </r>
  <r>
    <s v="GC003-JBA-08132021"/>
    <s v="Spill"/>
    <x v="0"/>
    <s v="Swallowtail Shiner"/>
    <s v="Notropis"/>
    <s v="gibbosus"/>
    <s v="U"/>
    <x v="0"/>
    <n v="8"/>
    <n v="11.81"/>
    <x v="8"/>
    <s v="307-55-1"/>
    <x v="8"/>
    <n v="20.3"/>
  </r>
  <r>
    <s v="GC003-JBA-08132021"/>
    <s v="Spill"/>
    <x v="0"/>
    <s v="Swallowtail Shiner"/>
    <s v="Notropis"/>
    <s v="gibbosus"/>
    <s v="U"/>
    <x v="0"/>
    <n v="8"/>
    <n v="11.81"/>
    <x v="9"/>
    <s v="72629-94-8"/>
    <x v="9"/>
    <n v="5.87"/>
  </r>
  <r>
    <s v="GC003-JBA-08132021"/>
    <s v="Spill"/>
    <x v="0"/>
    <s v="Swallowtail Shiner"/>
    <s v="Notropis"/>
    <s v="gibbosus"/>
    <s v="U"/>
    <x v="0"/>
    <n v="8"/>
    <n v="11.81"/>
    <x v="10"/>
    <s v="376-06-7"/>
    <x v="10"/>
    <n v="9.0299999999999994"/>
  </r>
  <r>
    <s v="GC003-JBA-08132021"/>
    <s v="Spill"/>
    <x v="0"/>
    <s v="Swallowtail Shiner"/>
    <s v="Notropis"/>
    <s v="gibbosus"/>
    <s v="U"/>
    <x v="0"/>
    <n v="8"/>
    <n v="11.81"/>
    <x v="11"/>
    <s v="67905-19-5"/>
    <x v="11"/>
    <n v="8.4500000000000006E-2"/>
  </r>
  <r>
    <s v="GC003-JBA-08132021"/>
    <s v="Spill"/>
    <x v="0"/>
    <s v="Swallowtail Shiner"/>
    <s v="Notropis"/>
    <s v="gibbosus"/>
    <s v="U"/>
    <x v="0"/>
    <n v="8"/>
    <n v="11.81"/>
    <x v="12"/>
    <s v="423-41-6"/>
    <x v="12"/>
    <n v="5.3999999999999999E-2"/>
  </r>
  <r>
    <s v="GC003-JBA-08132021"/>
    <s v="Spill"/>
    <x v="0"/>
    <s v="Swallowtail Shiner"/>
    <s v="Notropis"/>
    <s v="gibbosus"/>
    <s v="U"/>
    <x v="0"/>
    <n v="8"/>
    <n v="11.81"/>
    <x v="13"/>
    <s v="375-73-5"/>
    <x v="13"/>
    <n v="0.1595"/>
  </r>
  <r>
    <s v="GC003-JBA-08132021"/>
    <s v="Spill"/>
    <x v="0"/>
    <s v="Swallowtail Shiner"/>
    <s v="Notropis"/>
    <s v="gibbosus"/>
    <s v="U"/>
    <x v="0"/>
    <n v="8"/>
    <n v="11.81"/>
    <x v="14"/>
    <s v="2706-91-4"/>
    <x v="14"/>
    <n v="0.98599999999999999"/>
  </r>
  <r>
    <s v="GC003-JBA-08132021"/>
    <s v="Spill"/>
    <x v="0"/>
    <s v="Swallowtail Shiner"/>
    <s v="Notropis"/>
    <s v="gibbosus"/>
    <s v="U"/>
    <x v="0"/>
    <n v="8"/>
    <n v="11.81"/>
    <x v="15"/>
    <s v="355-46-4"/>
    <x v="15"/>
    <n v="46.5"/>
  </r>
  <r>
    <s v="GC003-JBA-08132021"/>
    <s v="Spill"/>
    <x v="0"/>
    <s v="Swallowtail Shiner"/>
    <s v="Notropis"/>
    <s v="gibbosus"/>
    <s v="U"/>
    <x v="0"/>
    <n v="8"/>
    <n v="11.81"/>
    <x v="16"/>
    <s v="375-92-8"/>
    <x v="16"/>
    <n v="6.04"/>
  </r>
  <r>
    <s v="GC003-JBA-08132021"/>
    <s v="Spill"/>
    <x v="0"/>
    <s v="Swallowtail Shiner"/>
    <s v="Notropis"/>
    <s v="gibbosus"/>
    <s v="U"/>
    <x v="0"/>
    <n v="8"/>
    <n v="11.81"/>
    <x v="17"/>
    <s v="1763-23-1"/>
    <x v="17"/>
    <n v="959"/>
  </r>
  <r>
    <s v="GC003-JBA-08132021"/>
    <s v="Spill"/>
    <x v="0"/>
    <s v="Swallowtail Shiner"/>
    <s v="Notropis"/>
    <s v="gibbosus"/>
    <s v="U"/>
    <x v="0"/>
    <n v="8"/>
    <n v="11.81"/>
    <x v="18"/>
    <s v="68259-12-1"/>
    <x v="18"/>
    <n v="0.73299999999999998"/>
  </r>
  <r>
    <s v="GC003-JBA-08132021"/>
    <s v="Spill"/>
    <x v="0"/>
    <s v="Swallowtail Shiner"/>
    <s v="Notropis"/>
    <s v="gibbosus"/>
    <s v="U"/>
    <x v="0"/>
    <n v="8"/>
    <n v="11.81"/>
    <x v="19"/>
    <s v="335-77-3"/>
    <x v="19"/>
    <n v="3.85"/>
  </r>
  <r>
    <s v="GC003-JBA-08132021"/>
    <s v="Spill"/>
    <x v="0"/>
    <s v="Swallowtail Shiner"/>
    <s v="Notropis"/>
    <s v="gibbosus"/>
    <s v="U"/>
    <x v="0"/>
    <n v="8"/>
    <n v="11.81"/>
    <x v="20"/>
    <s v="79780-39-5"/>
    <x v="20"/>
    <n v="0.55600000000000005"/>
  </r>
  <r>
    <s v="GC003-JBA-08132021"/>
    <s v="Spill"/>
    <x v="0"/>
    <s v="Swallowtail Shiner"/>
    <s v="Notropis"/>
    <s v="gibbosus"/>
    <s v="U"/>
    <x v="0"/>
    <n v="8"/>
    <n v="11.81"/>
    <x v="21"/>
    <s v="777011-38-8"/>
    <x v="21"/>
    <n v="0.374"/>
  </r>
  <r>
    <s v="GC003-JBA-08132021"/>
    <s v="Spill"/>
    <x v="0"/>
    <s v="Swallowtail Shiner"/>
    <s v="Notropis"/>
    <s v="gibbosus"/>
    <s v="U"/>
    <x v="0"/>
    <n v="8"/>
    <n v="11.81"/>
    <x v="22"/>
    <s v="646-83-3"/>
    <x v="22"/>
    <n v="0.23599999999999999"/>
  </r>
  <r>
    <s v="GC003-JBA-08132021"/>
    <s v="Spill"/>
    <x v="0"/>
    <s v="Swallowtail Shiner"/>
    <s v="Notropis"/>
    <s v="gibbosus"/>
    <s v="U"/>
    <x v="0"/>
    <n v="8"/>
    <n v="11.81"/>
    <x v="23"/>
    <s v="30334-69-1"/>
    <x v="23"/>
    <n v="59.1"/>
  </r>
  <r>
    <s v="GC003-JBA-08132021"/>
    <s v="Spill"/>
    <x v="0"/>
    <s v="Swallowtail Shiner"/>
    <s v="Notropis"/>
    <s v="gibbosus"/>
    <s v="U"/>
    <x v="0"/>
    <n v="8"/>
    <n v="11.81"/>
    <x v="24"/>
    <s v="41997-13-1"/>
    <x v="24"/>
    <n v="236"/>
  </r>
  <r>
    <s v="GC003-JBA-08132021"/>
    <s v="Spill"/>
    <x v="0"/>
    <s v="Swallowtail Shiner"/>
    <s v="Notropis"/>
    <s v="gibbosus"/>
    <s v="U"/>
    <x v="0"/>
    <n v="8"/>
    <n v="11.81"/>
    <x v="25"/>
    <s v="754-91-6"/>
    <x v="25"/>
    <n v="17.8"/>
  </r>
  <r>
    <s v="GC003-JBA-08132021"/>
    <s v="Spill"/>
    <x v="0"/>
    <s v="Swallowtail Shiner"/>
    <s v="Notropis"/>
    <s v="gibbosus"/>
    <s v="U"/>
    <x v="0"/>
    <n v="8"/>
    <n v="11.81"/>
    <x v="26"/>
    <s v="31506-32-8"/>
    <x v="26"/>
    <n v="5.5E-2"/>
  </r>
  <r>
    <s v="GC003-JBA-08132021"/>
    <s v="Spill"/>
    <x v="0"/>
    <s v="Swallowtail Shiner"/>
    <s v="Notropis"/>
    <s v="gibbosus"/>
    <s v="U"/>
    <x v="0"/>
    <n v="8"/>
    <n v="11.81"/>
    <x v="27"/>
    <s v="4151-50-2"/>
    <x v="27"/>
    <n v="8.3000000000000004E-2"/>
  </r>
  <r>
    <s v="GC003-JBA-08132021"/>
    <s v="Spill"/>
    <x v="0"/>
    <s v="Swallowtail Shiner"/>
    <s v="Notropis"/>
    <s v="gibbosus"/>
    <s v="U"/>
    <x v="0"/>
    <n v="8"/>
    <n v="11.81"/>
    <x v="28"/>
    <s v="2806-24-8"/>
    <x v="28"/>
    <n v="5.6000000000000001E-2"/>
  </r>
  <r>
    <s v="GC003-JBA-08132021"/>
    <s v="Spill"/>
    <x v="0"/>
    <s v="Swallowtail Shiner"/>
    <s v="Notropis"/>
    <s v="gibbosus"/>
    <s v="U"/>
    <x v="0"/>
    <n v="8"/>
    <n v="11.81"/>
    <x v="29"/>
    <s v="2355-31-9"/>
    <x v="29"/>
    <n v="1.02"/>
  </r>
  <r>
    <s v="GC003-JBA-08132021"/>
    <s v="Spill"/>
    <x v="0"/>
    <s v="Swallowtail Shiner"/>
    <s v="Notropis"/>
    <s v="gibbosus"/>
    <s v="U"/>
    <x v="0"/>
    <n v="8"/>
    <n v="11.81"/>
    <x v="30"/>
    <s v="2991-50-6"/>
    <x v="30"/>
    <n v="6.1499999999999999E-2"/>
  </r>
  <r>
    <s v="GC003-JBA-08132021"/>
    <s v="Spill"/>
    <x v="0"/>
    <s v="Swallowtail Shiner"/>
    <s v="Notropis"/>
    <s v="gibbosus"/>
    <s v="U"/>
    <x v="0"/>
    <n v="8"/>
    <n v="11.81"/>
    <x v="31"/>
    <s v="757124-72-4"/>
    <x v="31"/>
    <n v="5.8500000000000003E-2"/>
  </r>
  <r>
    <s v="GC003-JBA-08132021"/>
    <s v="Spill"/>
    <x v="0"/>
    <s v="Swallowtail Shiner"/>
    <s v="Notropis"/>
    <s v="gibbosus"/>
    <s v="U"/>
    <x v="0"/>
    <n v="8"/>
    <n v="11.81"/>
    <x v="32"/>
    <s v="27619-97-2"/>
    <x v="32"/>
    <n v="0.42099999999999999"/>
  </r>
  <r>
    <s v="GC003-JBA-08132021"/>
    <s v="Spill"/>
    <x v="0"/>
    <s v="Swallowtail Shiner"/>
    <s v="Notropis"/>
    <s v="gibbosus"/>
    <s v="U"/>
    <x v="0"/>
    <n v="8"/>
    <n v="11.81"/>
    <x v="33"/>
    <s v="39108-34-4"/>
    <x v="33"/>
    <n v="19.3"/>
  </r>
  <r>
    <s v="GC003-JBA-08132021"/>
    <s v="Spill"/>
    <x v="0"/>
    <s v="Swallowtail Shiner"/>
    <s v="Notropis"/>
    <s v="gibbosus"/>
    <s v="U"/>
    <x v="0"/>
    <n v="8"/>
    <n v="11.81"/>
    <x v="34"/>
    <s v="120226-60-0"/>
    <x v="34"/>
    <n v="0.26650000000000001"/>
  </r>
  <r>
    <s v="GC003-JBA-08132021"/>
    <s v="Spill"/>
    <x v="0"/>
    <s v="Swallowtail Shiner"/>
    <s v="Notropis"/>
    <s v="gibbosus"/>
    <s v="U"/>
    <x v="0"/>
    <n v="8"/>
    <n v="11.81"/>
    <x v="35"/>
    <s v="356-02-5"/>
    <x v="35"/>
    <n v="8.2000000000000003E-2"/>
  </r>
  <r>
    <s v="GC003-JBA-08132021"/>
    <s v="Spill"/>
    <x v="0"/>
    <s v="Swallowtail Shiner"/>
    <s v="Notropis"/>
    <s v="gibbosus"/>
    <s v="U"/>
    <x v="0"/>
    <n v="8"/>
    <n v="11.81"/>
    <x v="36"/>
    <s v="914637-49-3"/>
    <x v="36"/>
    <n v="4.75"/>
  </r>
  <r>
    <s v="GC003-JBA-08132021"/>
    <s v="Spill"/>
    <x v="0"/>
    <s v="Swallowtail Shiner"/>
    <s v="Notropis"/>
    <s v="gibbosus"/>
    <s v="U"/>
    <x v="0"/>
    <n v="8"/>
    <n v="11.81"/>
    <x v="37"/>
    <s v="812-70-4"/>
    <x v="37"/>
    <n v="8.18"/>
  </r>
  <r>
    <s v="GC003-JBA-08132021"/>
    <s v="Spill"/>
    <x v="0"/>
    <s v="Swallowtail Shiner"/>
    <s v="Notropis"/>
    <s v="gibbosus"/>
    <s v="U"/>
    <x v="0"/>
    <n v="8"/>
    <n v="11.81"/>
    <x v="38"/>
    <s v="53826-12-3"/>
    <x v="38"/>
    <n v="4.5600000000000002E-2"/>
  </r>
  <r>
    <s v="GC003-JBA-08132021"/>
    <s v="Spill"/>
    <x v="0"/>
    <s v="Swallowtail Shiner"/>
    <s v="Notropis"/>
    <s v="gibbosus"/>
    <s v="U"/>
    <x v="0"/>
    <n v="8"/>
    <n v="11.81"/>
    <x v="39"/>
    <s v="27854-31-5"/>
    <x v="39"/>
    <n v="2.8500000000000001E-2"/>
  </r>
  <r>
    <s v="GC003-JBA-08132021"/>
    <s v="Spill"/>
    <x v="0"/>
    <s v="Swallowtail Shiner"/>
    <s v="Notropis"/>
    <s v="gibbosus"/>
    <s v="U"/>
    <x v="0"/>
    <n v="8"/>
    <n v="11.81"/>
    <x v="40"/>
    <s v="53826-13-4"/>
    <x v="40"/>
    <n v="0.106"/>
  </r>
  <r>
    <s v="GC003-JBA-08132021"/>
    <s v="Spill"/>
    <x v="0"/>
    <s v="Swallowtail Shiner"/>
    <s v="Notropis"/>
    <s v="gibbosus"/>
    <s v="U"/>
    <x v="0"/>
    <n v="8"/>
    <n v="11.81"/>
    <x v="41"/>
    <s v="161094-75-3"/>
    <x v="41"/>
    <n v="5.6000000000000001E-2"/>
  </r>
  <r>
    <s v="GC003-JBA-08132021"/>
    <s v="Spill"/>
    <x v="0"/>
    <s v="Swallowtail Shiner"/>
    <s v="Notropis"/>
    <s v="gibbosus"/>
    <s v="U"/>
    <x v="0"/>
    <n v="8"/>
    <n v="11.81"/>
    <x v="42"/>
    <s v="70887-84-2"/>
    <x v="42"/>
    <n v="4.3049999999999998E-2"/>
  </r>
  <r>
    <s v="GC003-JBA-08132021"/>
    <s v="Spill"/>
    <x v="0"/>
    <s v="Swallowtail Shiner"/>
    <s v="Notropis"/>
    <s v="gibbosus"/>
    <s v="U"/>
    <x v="0"/>
    <n v="8"/>
    <n v="11.81"/>
    <x v="43"/>
    <s v="919005-14-4"/>
    <x v="43"/>
    <n v="7.0999999999999994E-2"/>
  </r>
  <r>
    <s v="GC003-JBA-08132021"/>
    <s v="Spill"/>
    <x v="0"/>
    <s v="Swallowtail Shiner"/>
    <s v="Notropis"/>
    <s v="gibbosus"/>
    <s v="U"/>
    <x v="0"/>
    <n v="8"/>
    <n v="11.81"/>
    <x v="44"/>
    <s v="756426-58-1"/>
    <x v="44"/>
    <n v="4.9399999999999999E-2"/>
  </r>
  <r>
    <s v="GC003-JBA-08132021"/>
    <s v="Spill"/>
    <x v="0"/>
    <s v="Swallowtail Shiner"/>
    <s v="Notropis"/>
    <s v="gibbosus"/>
    <s v="U"/>
    <x v="0"/>
    <n v="8"/>
    <n v="11.81"/>
    <x v="45"/>
    <s v="763051-92-9"/>
    <x v="45"/>
    <n v="5.6000000000000001E-2"/>
  </r>
  <r>
    <s v="GC003-JBA-08132021"/>
    <s v="Spill"/>
    <x v="0"/>
    <s v="Swallowtail Shiner"/>
    <s v="Notropis"/>
    <s v="gibbosus"/>
    <s v="U"/>
    <x v="0"/>
    <n v="8"/>
    <n v="11.81"/>
    <x v="46"/>
    <s v="13252-13-6"/>
    <x v="46"/>
    <n v="0.10199999999999999"/>
  </r>
  <r>
    <s v="GC003-JBA-08132021"/>
    <s v="Spill"/>
    <x v="0"/>
    <s v="Swallowtail Shiner"/>
    <s v="Notropis"/>
    <s v="gibbosus"/>
    <s v="U"/>
    <x v="0"/>
    <n v="8"/>
    <n v="11.81"/>
    <x v="47"/>
    <s v="57677-95-9"/>
    <x v="47"/>
    <n v="7.5999999999999998E-2"/>
  </r>
  <r>
    <s v="GC003-JBA-08132021"/>
    <s v="Spill"/>
    <x v="0"/>
    <s v="Swallowtail Shiner"/>
    <s v="Notropis"/>
    <s v="gibbosus"/>
    <s v="U"/>
    <x v="0"/>
    <n v="8"/>
    <n v="11.81"/>
    <x v="48"/>
    <s v="678-41-1"/>
    <x v="48"/>
    <n v="9.4E-2"/>
  </r>
  <r>
    <s v="GC003-JBA-08132021"/>
    <s v="Spill"/>
    <x v="0"/>
    <s v="Swallowtail Shiner"/>
    <s v="Notropis"/>
    <s v="gibbosus"/>
    <s v="U"/>
    <x v="0"/>
    <n v="8"/>
    <n v="11.81"/>
    <x v="49"/>
    <s v="2965-52-8"/>
    <x v="49"/>
    <n v="0.125"/>
  </r>
  <r>
    <s v="GC004-JBA-08132021"/>
    <s v="Spill"/>
    <x v="0"/>
    <s v="Swallowtail Shiner"/>
    <s v="Notropis"/>
    <s v="gibbosus"/>
    <s v="U"/>
    <x v="0"/>
    <n v="8"/>
    <n v="11.81"/>
    <x v="0"/>
    <s v="375-22-4"/>
    <x v="0"/>
    <n v="2.5149999999999999E-2"/>
  </r>
  <r>
    <s v="GC004-JBA-08132021"/>
    <s v="Spill"/>
    <x v="0"/>
    <s v="Swallowtail Shiner"/>
    <s v="Notropis"/>
    <s v="gibbosus"/>
    <s v="U"/>
    <x v="0"/>
    <n v="8"/>
    <n v="11.81"/>
    <x v="1"/>
    <s v="2706-90-3"/>
    <x v="1"/>
    <n v="4.4400000000000002E-2"/>
  </r>
  <r>
    <s v="GC004-JBA-08132021"/>
    <s v="Spill"/>
    <x v="0"/>
    <s v="Swallowtail Shiner"/>
    <s v="Notropis"/>
    <s v="gibbosus"/>
    <s v="U"/>
    <x v="0"/>
    <n v="8"/>
    <n v="11.81"/>
    <x v="2"/>
    <s v="307-24-4"/>
    <x v="2"/>
    <n v="0.38500000000000001"/>
  </r>
  <r>
    <s v="GC004-JBA-08132021"/>
    <s v="Spill"/>
    <x v="0"/>
    <s v="Swallowtail Shiner"/>
    <s v="Notropis"/>
    <s v="gibbosus"/>
    <s v="U"/>
    <x v="0"/>
    <n v="8"/>
    <n v="11.81"/>
    <x v="3"/>
    <s v="375-85-9"/>
    <x v="3"/>
    <n v="8.3000000000000004E-2"/>
  </r>
  <r>
    <s v="GC004-JBA-08132021"/>
    <s v="Spill"/>
    <x v="0"/>
    <s v="Swallowtail Shiner"/>
    <s v="Notropis"/>
    <s v="gibbosus"/>
    <s v="U"/>
    <x v="0"/>
    <n v="8"/>
    <n v="11.81"/>
    <x v="4"/>
    <s v="335-67-1"/>
    <x v="4"/>
    <n v="3.23"/>
  </r>
  <r>
    <s v="GC004-JBA-08132021"/>
    <s v="Spill"/>
    <x v="0"/>
    <s v="Swallowtail Shiner"/>
    <s v="Notropis"/>
    <s v="gibbosus"/>
    <s v="U"/>
    <x v="0"/>
    <n v="8"/>
    <n v="11.81"/>
    <x v="5"/>
    <s v="375-95-1"/>
    <x v="5"/>
    <n v="13.1"/>
  </r>
  <r>
    <s v="GC004-JBA-08132021"/>
    <s v="Spill"/>
    <x v="0"/>
    <s v="Swallowtail Shiner"/>
    <s v="Notropis"/>
    <s v="gibbosus"/>
    <s v="U"/>
    <x v="0"/>
    <n v="8"/>
    <n v="11.81"/>
    <x v="6"/>
    <s v="335-76-2"/>
    <x v="6"/>
    <n v="13.6"/>
  </r>
  <r>
    <s v="GC004-JBA-08132021"/>
    <s v="Spill"/>
    <x v="0"/>
    <s v="Swallowtail Shiner"/>
    <s v="Notropis"/>
    <s v="gibbosus"/>
    <s v="U"/>
    <x v="0"/>
    <n v="8"/>
    <n v="11.81"/>
    <x v="7"/>
    <s v="2058-94-8"/>
    <x v="7"/>
    <n v="24.3"/>
  </r>
  <r>
    <s v="GC004-JBA-08132021"/>
    <s v="Spill"/>
    <x v="0"/>
    <s v="Swallowtail Shiner"/>
    <s v="Notropis"/>
    <s v="gibbosus"/>
    <s v="U"/>
    <x v="0"/>
    <n v="8"/>
    <n v="11.81"/>
    <x v="8"/>
    <s v="307-55-1"/>
    <x v="8"/>
    <n v="17.100000000000001"/>
  </r>
  <r>
    <s v="GC004-JBA-08132021"/>
    <s v="Spill"/>
    <x v="0"/>
    <s v="Swallowtail Shiner"/>
    <s v="Notropis"/>
    <s v="gibbosus"/>
    <s v="U"/>
    <x v="0"/>
    <n v="8"/>
    <n v="11.81"/>
    <x v="9"/>
    <s v="72629-94-8"/>
    <x v="9"/>
    <n v="4.58"/>
  </r>
  <r>
    <s v="GC004-JBA-08132021"/>
    <s v="Spill"/>
    <x v="0"/>
    <s v="Swallowtail Shiner"/>
    <s v="Notropis"/>
    <s v="gibbosus"/>
    <s v="U"/>
    <x v="0"/>
    <n v="8"/>
    <n v="11.81"/>
    <x v="10"/>
    <s v="376-06-7"/>
    <x v="10"/>
    <n v="9.73"/>
  </r>
  <r>
    <s v="GC004-JBA-08132021"/>
    <s v="Spill"/>
    <x v="0"/>
    <s v="Swallowtail Shiner"/>
    <s v="Notropis"/>
    <s v="gibbosus"/>
    <s v="U"/>
    <x v="0"/>
    <n v="8"/>
    <n v="11.81"/>
    <x v="11"/>
    <s v="67905-19-5"/>
    <x v="11"/>
    <n v="7.4999999999999997E-2"/>
  </r>
  <r>
    <s v="GC004-JBA-08132021"/>
    <s v="Spill"/>
    <x v="0"/>
    <s v="Swallowtail Shiner"/>
    <s v="Notropis"/>
    <s v="gibbosus"/>
    <s v="U"/>
    <x v="0"/>
    <n v="8"/>
    <n v="11.81"/>
    <x v="12"/>
    <s v="423-41-6"/>
    <x v="12"/>
    <n v="4.7899999999999998E-2"/>
  </r>
  <r>
    <s v="GC004-JBA-08132021"/>
    <s v="Spill"/>
    <x v="0"/>
    <s v="Swallowtail Shiner"/>
    <s v="Notropis"/>
    <s v="gibbosus"/>
    <s v="U"/>
    <x v="0"/>
    <n v="8"/>
    <n v="11.81"/>
    <x v="13"/>
    <s v="375-73-5"/>
    <x v="13"/>
    <n v="0.14099999999999999"/>
  </r>
  <r>
    <s v="GC004-JBA-08132021"/>
    <s v="Spill"/>
    <x v="0"/>
    <s v="Swallowtail Shiner"/>
    <s v="Notropis"/>
    <s v="gibbosus"/>
    <s v="U"/>
    <x v="0"/>
    <n v="8"/>
    <n v="11.81"/>
    <x v="14"/>
    <s v="2706-91-4"/>
    <x v="14"/>
    <n v="1.71"/>
  </r>
  <r>
    <s v="GC004-JBA-08132021"/>
    <s v="Spill"/>
    <x v="0"/>
    <s v="Swallowtail Shiner"/>
    <s v="Notropis"/>
    <s v="gibbosus"/>
    <s v="U"/>
    <x v="0"/>
    <n v="8"/>
    <n v="11.81"/>
    <x v="15"/>
    <s v="355-46-4"/>
    <x v="15"/>
    <n v="56.3"/>
  </r>
  <r>
    <s v="GC004-JBA-08132021"/>
    <s v="Spill"/>
    <x v="0"/>
    <s v="Swallowtail Shiner"/>
    <s v="Notropis"/>
    <s v="gibbosus"/>
    <s v="U"/>
    <x v="0"/>
    <n v="8"/>
    <n v="11.81"/>
    <x v="16"/>
    <s v="375-92-8"/>
    <x v="16"/>
    <n v="8.73"/>
  </r>
  <r>
    <s v="GC004-JBA-08132021"/>
    <s v="Spill"/>
    <x v="0"/>
    <s v="Swallowtail Shiner"/>
    <s v="Notropis"/>
    <s v="gibbosus"/>
    <s v="U"/>
    <x v="0"/>
    <n v="8"/>
    <n v="11.81"/>
    <x v="17"/>
    <s v="1763-23-1"/>
    <x v="17"/>
    <n v="1640"/>
  </r>
  <r>
    <s v="GC004-JBA-08132021"/>
    <s v="Spill"/>
    <x v="0"/>
    <s v="Swallowtail Shiner"/>
    <s v="Notropis"/>
    <s v="gibbosus"/>
    <s v="U"/>
    <x v="0"/>
    <n v="8"/>
    <n v="11.81"/>
    <x v="18"/>
    <s v="68259-12-1"/>
    <x v="18"/>
    <n v="1.78"/>
  </r>
  <r>
    <s v="GC004-JBA-08132021"/>
    <s v="Spill"/>
    <x v="0"/>
    <s v="Swallowtail Shiner"/>
    <s v="Notropis"/>
    <s v="gibbosus"/>
    <s v="U"/>
    <x v="0"/>
    <n v="8"/>
    <n v="11.81"/>
    <x v="19"/>
    <s v="335-77-3"/>
    <x v="19"/>
    <n v="10.6"/>
  </r>
  <r>
    <s v="GC004-JBA-08132021"/>
    <s v="Spill"/>
    <x v="0"/>
    <s v="Swallowtail Shiner"/>
    <s v="Notropis"/>
    <s v="gibbosus"/>
    <s v="U"/>
    <x v="0"/>
    <n v="8"/>
    <n v="11.81"/>
    <x v="20"/>
    <s v="79780-39-5"/>
    <x v="20"/>
    <n v="1.1599999999999999"/>
  </r>
  <r>
    <s v="GC004-JBA-08132021"/>
    <s v="Spill"/>
    <x v="0"/>
    <s v="Swallowtail Shiner"/>
    <s v="Notropis"/>
    <s v="gibbosus"/>
    <s v="U"/>
    <x v="0"/>
    <n v="8"/>
    <n v="11.81"/>
    <x v="21"/>
    <s v="777011-38-8"/>
    <x v="21"/>
    <n v="0.63200000000000001"/>
  </r>
  <r>
    <s v="GC004-JBA-08132021"/>
    <s v="Spill"/>
    <x v="0"/>
    <s v="Swallowtail Shiner"/>
    <s v="Notropis"/>
    <s v="gibbosus"/>
    <s v="U"/>
    <x v="0"/>
    <n v="8"/>
    <n v="11.81"/>
    <x v="22"/>
    <s v="646-83-3"/>
    <x v="22"/>
    <n v="0.27"/>
  </r>
  <r>
    <s v="GC004-JBA-08132021"/>
    <s v="Spill"/>
    <x v="0"/>
    <s v="Swallowtail Shiner"/>
    <s v="Notropis"/>
    <s v="gibbosus"/>
    <s v="U"/>
    <x v="0"/>
    <n v="8"/>
    <n v="11.81"/>
    <x v="23"/>
    <s v="30334-69-1"/>
    <x v="23"/>
    <n v="97.6"/>
  </r>
  <r>
    <s v="GC004-JBA-08132021"/>
    <s v="Spill"/>
    <x v="0"/>
    <s v="Swallowtail Shiner"/>
    <s v="Notropis"/>
    <s v="gibbosus"/>
    <s v="U"/>
    <x v="0"/>
    <n v="8"/>
    <n v="11.81"/>
    <x v="24"/>
    <s v="41997-13-1"/>
    <x v="24"/>
    <n v="382"/>
  </r>
  <r>
    <s v="GC004-JBA-08132021"/>
    <s v="Spill"/>
    <x v="0"/>
    <s v="Swallowtail Shiner"/>
    <s v="Notropis"/>
    <s v="gibbosus"/>
    <s v="U"/>
    <x v="0"/>
    <n v="8"/>
    <n v="11.81"/>
    <x v="25"/>
    <s v="754-91-6"/>
    <x v="25"/>
    <n v="30.3"/>
  </r>
  <r>
    <s v="GC004-JBA-08132021"/>
    <s v="Spill"/>
    <x v="0"/>
    <s v="Swallowtail Shiner"/>
    <s v="Notropis"/>
    <s v="gibbosus"/>
    <s v="U"/>
    <x v="0"/>
    <n v="8"/>
    <n v="11.81"/>
    <x v="26"/>
    <s v="31506-32-8"/>
    <x v="26"/>
    <n v="4.8349999999999997E-2"/>
  </r>
  <r>
    <s v="GC004-JBA-08132021"/>
    <s v="Spill"/>
    <x v="0"/>
    <s v="Swallowtail Shiner"/>
    <s v="Notropis"/>
    <s v="gibbosus"/>
    <s v="U"/>
    <x v="0"/>
    <n v="8"/>
    <n v="11.81"/>
    <x v="27"/>
    <s v="4151-50-2"/>
    <x v="27"/>
    <n v="7.3499999999999996E-2"/>
  </r>
  <r>
    <s v="GC004-JBA-08132021"/>
    <s v="Spill"/>
    <x v="0"/>
    <s v="Swallowtail Shiner"/>
    <s v="Notropis"/>
    <s v="gibbosus"/>
    <s v="U"/>
    <x v="0"/>
    <n v="8"/>
    <n v="11.81"/>
    <x v="28"/>
    <s v="2806-24-8"/>
    <x v="28"/>
    <n v="4.9549999999999997E-2"/>
  </r>
  <r>
    <s v="GC004-JBA-08132021"/>
    <s v="Spill"/>
    <x v="0"/>
    <s v="Swallowtail Shiner"/>
    <s v="Notropis"/>
    <s v="gibbosus"/>
    <s v="U"/>
    <x v="0"/>
    <n v="8"/>
    <n v="11.81"/>
    <x v="29"/>
    <s v="2355-31-9"/>
    <x v="29"/>
    <n v="1.19"/>
  </r>
  <r>
    <s v="GC004-JBA-08132021"/>
    <s v="Spill"/>
    <x v="0"/>
    <s v="Swallowtail Shiner"/>
    <s v="Notropis"/>
    <s v="gibbosus"/>
    <s v="U"/>
    <x v="0"/>
    <n v="8"/>
    <n v="11.81"/>
    <x v="30"/>
    <s v="2991-50-6"/>
    <x v="30"/>
    <n v="5.45E-2"/>
  </r>
  <r>
    <s v="GC004-JBA-08132021"/>
    <s v="Spill"/>
    <x v="0"/>
    <s v="Swallowtail Shiner"/>
    <s v="Notropis"/>
    <s v="gibbosus"/>
    <s v="U"/>
    <x v="0"/>
    <n v="8"/>
    <n v="11.81"/>
    <x v="31"/>
    <s v="757124-72-4"/>
    <x v="31"/>
    <n v="5.1499999999999997E-2"/>
  </r>
  <r>
    <s v="GC004-JBA-08132021"/>
    <s v="Spill"/>
    <x v="0"/>
    <s v="Swallowtail Shiner"/>
    <s v="Notropis"/>
    <s v="gibbosus"/>
    <s v="U"/>
    <x v="0"/>
    <n v="8"/>
    <n v="11.81"/>
    <x v="32"/>
    <s v="27619-97-2"/>
    <x v="32"/>
    <n v="0.376"/>
  </r>
  <r>
    <s v="GC004-JBA-08132021"/>
    <s v="Spill"/>
    <x v="0"/>
    <s v="Swallowtail Shiner"/>
    <s v="Notropis"/>
    <s v="gibbosus"/>
    <s v="U"/>
    <x v="0"/>
    <n v="8"/>
    <n v="11.81"/>
    <x v="33"/>
    <s v="39108-34-4"/>
    <x v="33"/>
    <n v="30.7"/>
  </r>
  <r>
    <s v="GC004-JBA-08132021"/>
    <s v="Spill"/>
    <x v="0"/>
    <s v="Swallowtail Shiner"/>
    <s v="Notropis"/>
    <s v="gibbosus"/>
    <s v="U"/>
    <x v="0"/>
    <n v="8"/>
    <n v="11.81"/>
    <x v="34"/>
    <s v="120226-60-0"/>
    <x v="34"/>
    <n v="0.86599999999999999"/>
  </r>
  <r>
    <s v="GC004-JBA-08132021"/>
    <s v="Spill"/>
    <x v="0"/>
    <s v="Swallowtail Shiner"/>
    <s v="Notropis"/>
    <s v="gibbosus"/>
    <s v="U"/>
    <x v="0"/>
    <n v="8"/>
    <n v="11.81"/>
    <x v="35"/>
    <s v="356-02-5"/>
    <x v="35"/>
    <n v="7.2499999999999995E-2"/>
  </r>
  <r>
    <s v="GC004-JBA-08132021"/>
    <s v="Spill"/>
    <x v="0"/>
    <s v="Swallowtail Shiner"/>
    <s v="Notropis"/>
    <s v="gibbosus"/>
    <s v="U"/>
    <x v="0"/>
    <n v="8"/>
    <n v="11.81"/>
    <x v="36"/>
    <s v="914637-49-3"/>
    <x v="36"/>
    <n v="2.88"/>
  </r>
  <r>
    <s v="GC004-JBA-08132021"/>
    <s v="Spill"/>
    <x v="0"/>
    <s v="Swallowtail Shiner"/>
    <s v="Notropis"/>
    <s v="gibbosus"/>
    <s v="U"/>
    <x v="0"/>
    <n v="8"/>
    <n v="11.81"/>
    <x v="37"/>
    <s v="812-70-4"/>
    <x v="37"/>
    <n v="22.2"/>
  </r>
  <r>
    <s v="GC004-JBA-08132021"/>
    <s v="Spill"/>
    <x v="0"/>
    <s v="Swallowtail Shiner"/>
    <s v="Notropis"/>
    <s v="gibbosus"/>
    <s v="U"/>
    <x v="0"/>
    <n v="8"/>
    <n v="11.81"/>
    <x v="38"/>
    <s v="53826-12-3"/>
    <x v="38"/>
    <n v="4.0300000000000002E-2"/>
  </r>
  <r>
    <s v="GC004-JBA-08132021"/>
    <s v="Spill"/>
    <x v="0"/>
    <s v="Swallowtail Shiner"/>
    <s v="Notropis"/>
    <s v="gibbosus"/>
    <s v="U"/>
    <x v="0"/>
    <n v="8"/>
    <n v="11.81"/>
    <x v="39"/>
    <s v="27854-31-5"/>
    <x v="39"/>
    <n v="2.5149999999999999E-2"/>
  </r>
  <r>
    <s v="GC004-JBA-08132021"/>
    <s v="Spill"/>
    <x v="0"/>
    <s v="Swallowtail Shiner"/>
    <s v="Notropis"/>
    <s v="gibbosus"/>
    <s v="U"/>
    <x v="0"/>
    <n v="8"/>
    <n v="11.81"/>
    <x v="40"/>
    <s v="53826-13-4"/>
    <x v="40"/>
    <n v="9.4E-2"/>
  </r>
  <r>
    <s v="GC004-JBA-08132021"/>
    <s v="Spill"/>
    <x v="0"/>
    <s v="Swallowtail Shiner"/>
    <s v="Notropis"/>
    <s v="gibbosus"/>
    <s v="U"/>
    <x v="0"/>
    <n v="8"/>
    <n v="11.81"/>
    <x v="41"/>
    <s v="161094-75-3"/>
    <x v="41"/>
    <n v="4.9250000000000002E-2"/>
  </r>
  <r>
    <s v="GC004-JBA-08132021"/>
    <s v="Spill"/>
    <x v="0"/>
    <s v="Swallowtail Shiner"/>
    <s v="Notropis"/>
    <s v="gibbosus"/>
    <s v="U"/>
    <x v="0"/>
    <n v="8"/>
    <n v="11.81"/>
    <x v="42"/>
    <s v="70887-84-2"/>
    <x v="42"/>
    <n v="3.7900000000000003E-2"/>
  </r>
  <r>
    <s v="GC004-JBA-08132021"/>
    <s v="Spill"/>
    <x v="0"/>
    <s v="Swallowtail Shiner"/>
    <s v="Notropis"/>
    <s v="gibbosus"/>
    <s v="U"/>
    <x v="0"/>
    <n v="8"/>
    <n v="11.81"/>
    <x v="43"/>
    <s v="919005-14-4"/>
    <x v="43"/>
    <n v="6.3E-2"/>
  </r>
  <r>
    <s v="GC004-JBA-08132021"/>
    <s v="Spill"/>
    <x v="0"/>
    <s v="Swallowtail Shiner"/>
    <s v="Notropis"/>
    <s v="gibbosus"/>
    <s v="U"/>
    <x v="0"/>
    <n v="8"/>
    <n v="11.81"/>
    <x v="44"/>
    <s v="756426-58-1"/>
    <x v="44"/>
    <n v="4.3650000000000001E-2"/>
  </r>
  <r>
    <s v="GC004-JBA-08132021"/>
    <s v="Spill"/>
    <x v="0"/>
    <s v="Swallowtail Shiner"/>
    <s v="Notropis"/>
    <s v="gibbosus"/>
    <s v="U"/>
    <x v="0"/>
    <n v="8"/>
    <n v="11.81"/>
    <x v="45"/>
    <s v="763051-92-9"/>
    <x v="45"/>
    <n v="4.9549999999999997E-2"/>
  </r>
  <r>
    <s v="GC004-JBA-08132021"/>
    <s v="Spill"/>
    <x v="0"/>
    <s v="Swallowtail Shiner"/>
    <s v="Notropis"/>
    <s v="gibbosus"/>
    <s v="U"/>
    <x v="0"/>
    <n v="8"/>
    <n v="11.81"/>
    <x v="46"/>
    <s v="13252-13-6"/>
    <x v="46"/>
    <n v="0.09"/>
  </r>
  <r>
    <s v="GC004-JBA-08132021"/>
    <s v="Spill"/>
    <x v="0"/>
    <s v="Swallowtail Shiner"/>
    <s v="Notropis"/>
    <s v="gibbosus"/>
    <s v="U"/>
    <x v="0"/>
    <n v="8"/>
    <n v="11.81"/>
    <x v="47"/>
    <s v="57677-95-9"/>
    <x v="47"/>
    <n v="6.7000000000000004E-2"/>
  </r>
  <r>
    <s v="GC004-JBA-08132021"/>
    <s v="Spill"/>
    <x v="0"/>
    <s v="Swallowtail Shiner"/>
    <s v="Notropis"/>
    <s v="gibbosus"/>
    <s v="U"/>
    <x v="0"/>
    <n v="8"/>
    <n v="11.81"/>
    <x v="48"/>
    <s v="678-41-1"/>
    <x v="48"/>
    <n v="8.3500000000000005E-2"/>
  </r>
  <r>
    <s v="GC004-JBA-08132021"/>
    <s v="Spill"/>
    <x v="0"/>
    <s v="Swallowtail Shiner"/>
    <s v="Notropis"/>
    <s v="gibbosus"/>
    <s v="U"/>
    <x v="0"/>
    <n v="8"/>
    <n v="11.81"/>
    <x v="49"/>
    <s v="2965-52-8"/>
    <x v="49"/>
    <n v="0.1105"/>
  </r>
  <r>
    <s v="GC005-JBA-08132021"/>
    <s v="Spill"/>
    <x v="0"/>
    <s v="Swallowtail Shiner"/>
    <s v="Notropis"/>
    <s v="gibbosus"/>
    <s v="U"/>
    <x v="0"/>
    <n v="8"/>
    <n v="11.81"/>
    <x v="0"/>
    <s v="375-22-4"/>
    <x v="0"/>
    <n v="9.1499999999999998E-2"/>
  </r>
  <r>
    <s v="GC005-JBA-08132021"/>
    <s v="Spill"/>
    <x v="0"/>
    <s v="Swallowtail Shiner"/>
    <s v="Notropis"/>
    <s v="gibbosus"/>
    <s v="U"/>
    <x v="0"/>
    <n v="8"/>
    <n v="11.81"/>
    <x v="1"/>
    <s v="2706-90-3"/>
    <x v="1"/>
    <n v="0.16200000000000001"/>
  </r>
  <r>
    <s v="GC005-JBA-08132021"/>
    <s v="Spill"/>
    <x v="0"/>
    <s v="Swallowtail Shiner"/>
    <s v="Notropis"/>
    <s v="gibbosus"/>
    <s v="U"/>
    <x v="0"/>
    <n v="8"/>
    <n v="11.81"/>
    <x v="2"/>
    <s v="307-24-4"/>
    <x v="2"/>
    <n v="0.65800000000000003"/>
  </r>
  <r>
    <s v="GC005-JBA-08132021"/>
    <s v="Spill"/>
    <x v="0"/>
    <s v="Swallowtail Shiner"/>
    <s v="Notropis"/>
    <s v="gibbosus"/>
    <s v="U"/>
    <x v="0"/>
    <n v="8"/>
    <n v="11.81"/>
    <x v="3"/>
    <s v="375-85-9"/>
    <x v="3"/>
    <n v="9.1499999999999998E-2"/>
  </r>
  <r>
    <s v="GC005-JBA-08132021"/>
    <s v="Spill"/>
    <x v="0"/>
    <s v="Swallowtail Shiner"/>
    <s v="Notropis"/>
    <s v="gibbosus"/>
    <s v="U"/>
    <x v="0"/>
    <n v="8"/>
    <n v="11.81"/>
    <x v="4"/>
    <s v="335-67-1"/>
    <x v="4"/>
    <n v="8.3000000000000007"/>
  </r>
  <r>
    <s v="GC005-JBA-08132021"/>
    <s v="Spill"/>
    <x v="0"/>
    <s v="Swallowtail Shiner"/>
    <s v="Notropis"/>
    <s v="gibbosus"/>
    <s v="U"/>
    <x v="0"/>
    <n v="8"/>
    <n v="11.81"/>
    <x v="5"/>
    <s v="375-95-1"/>
    <x v="5"/>
    <n v="11.4"/>
  </r>
  <r>
    <s v="GC005-JBA-08132021"/>
    <s v="Spill"/>
    <x v="0"/>
    <s v="Swallowtail Shiner"/>
    <s v="Notropis"/>
    <s v="gibbosus"/>
    <s v="U"/>
    <x v="0"/>
    <n v="8"/>
    <n v="11.81"/>
    <x v="6"/>
    <s v="335-76-2"/>
    <x v="6"/>
    <n v="15.1"/>
  </r>
  <r>
    <s v="GC005-JBA-08132021"/>
    <s v="Spill"/>
    <x v="0"/>
    <s v="Swallowtail Shiner"/>
    <s v="Notropis"/>
    <s v="gibbosus"/>
    <s v="U"/>
    <x v="0"/>
    <n v="8"/>
    <n v="11.81"/>
    <x v="7"/>
    <s v="2058-94-8"/>
    <x v="7"/>
    <n v="19.899999999999999"/>
  </r>
  <r>
    <s v="GC005-JBA-08132021"/>
    <s v="Spill"/>
    <x v="0"/>
    <s v="Swallowtail Shiner"/>
    <s v="Notropis"/>
    <s v="gibbosus"/>
    <s v="U"/>
    <x v="0"/>
    <n v="8"/>
    <n v="11.81"/>
    <x v="8"/>
    <s v="307-55-1"/>
    <x v="8"/>
    <n v="26.8"/>
  </r>
  <r>
    <s v="GC005-JBA-08132021"/>
    <s v="Spill"/>
    <x v="0"/>
    <s v="Swallowtail Shiner"/>
    <s v="Notropis"/>
    <s v="gibbosus"/>
    <s v="U"/>
    <x v="0"/>
    <n v="8"/>
    <n v="11.81"/>
    <x v="9"/>
    <s v="72629-94-8"/>
    <x v="9"/>
    <n v="13.9"/>
  </r>
  <r>
    <s v="GC005-JBA-08132021"/>
    <s v="Spill"/>
    <x v="0"/>
    <s v="Swallowtail Shiner"/>
    <s v="Notropis"/>
    <s v="gibbosus"/>
    <s v="U"/>
    <x v="0"/>
    <n v="8"/>
    <n v="11.81"/>
    <x v="10"/>
    <s v="376-06-7"/>
    <x v="10"/>
    <n v="12.6"/>
  </r>
  <r>
    <s v="GC005-JBA-08132021"/>
    <s v="Spill"/>
    <x v="0"/>
    <s v="Swallowtail Shiner"/>
    <s v="Notropis"/>
    <s v="gibbosus"/>
    <s v="U"/>
    <x v="0"/>
    <n v="8"/>
    <n v="11.81"/>
    <x v="11"/>
    <s v="67905-19-5"/>
    <x v="11"/>
    <n v="8.2500000000000004E-2"/>
  </r>
  <r>
    <s v="GC005-JBA-08132021"/>
    <s v="Spill"/>
    <x v="0"/>
    <s v="Swallowtail Shiner"/>
    <s v="Notropis"/>
    <s v="gibbosus"/>
    <s v="U"/>
    <x v="0"/>
    <n v="8"/>
    <n v="11.81"/>
    <x v="12"/>
    <s v="423-41-6"/>
    <x v="12"/>
    <n v="5.2999999999999999E-2"/>
  </r>
  <r>
    <s v="GC005-JBA-08132021"/>
    <s v="Spill"/>
    <x v="0"/>
    <s v="Swallowtail Shiner"/>
    <s v="Notropis"/>
    <s v="gibbosus"/>
    <s v="U"/>
    <x v="0"/>
    <n v="8"/>
    <n v="11.81"/>
    <x v="13"/>
    <s v="375-73-5"/>
    <x v="13"/>
    <n v="0.156"/>
  </r>
  <r>
    <s v="GC005-JBA-08132021"/>
    <s v="Spill"/>
    <x v="0"/>
    <s v="Swallowtail Shiner"/>
    <s v="Notropis"/>
    <s v="gibbosus"/>
    <s v="U"/>
    <x v="0"/>
    <n v="8"/>
    <n v="11.81"/>
    <x v="14"/>
    <s v="2706-91-4"/>
    <x v="14"/>
    <n v="1.38"/>
  </r>
  <r>
    <s v="GC005-JBA-08132021"/>
    <s v="Spill"/>
    <x v="0"/>
    <s v="Swallowtail Shiner"/>
    <s v="Notropis"/>
    <s v="gibbosus"/>
    <s v="U"/>
    <x v="0"/>
    <n v="8"/>
    <n v="11.81"/>
    <x v="15"/>
    <s v="355-46-4"/>
    <x v="15"/>
    <n v="106"/>
  </r>
  <r>
    <s v="GC005-JBA-08132021"/>
    <s v="Spill"/>
    <x v="0"/>
    <s v="Swallowtail Shiner"/>
    <s v="Notropis"/>
    <s v="gibbosus"/>
    <s v="U"/>
    <x v="0"/>
    <n v="8"/>
    <n v="11.81"/>
    <x v="16"/>
    <s v="375-92-8"/>
    <x v="16"/>
    <n v="4.47"/>
  </r>
  <r>
    <s v="GC005-JBA-08132021"/>
    <s v="Spill"/>
    <x v="0"/>
    <s v="Swallowtail Shiner"/>
    <s v="Notropis"/>
    <s v="gibbosus"/>
    <s v="U"/>
    <x v="0"/>
    <n v="8"/>
    <n v="11.81"/>
    <x v="17"/>
    <s v="1763-23-1"/>
    <x v="17"/>
    <n v="1360"/>
  </r>
  <r>
    <s v="GC005-JBA-08132021"/>
    <s v="Spill"/>
    <x v="0"/>
    <s v="Swallowtail Shiner"/>
    <s v="Notropis"/>
    <s v="gibbosus"/>
    <s v="U"/>
    <x v="0"/>
    <n v="8"/>
    <n v="11.81"/>
    <x v="18"/>
    <s v="68259-12-1"/>
    <x v="18"/>
    <n v="0.48899999999999999"/>
  </r>
  <r>
    <s v="GC005-JBA-08132021"/>
    <s v="Spill"/>
    <x v="0"/>
    <s v="Swallowtail Shiner"/>
    <s v="Notropis"/>
    <s v="gibbosus"/>
    <s v="U"/>
    <x v="0"/>
    <n v="8"/>
    <n v="11.81"/>
    <x v="19"/>
    <s v="335-77-3"/>
    <x v="19"/>
    <n v="8.85"/>
  </r>
  <r>
    <s v="GC005-JBA-08132021"/>
    <s v="Spill"/>
    <x v="0"/>
    <s v="Swallowtail Shiner"/>
    <s v="Notropis"/>
    <s v="gibbosus"/>
    <s v="U"/>
    <x v="0"/>
    <n v="8"/>
    <n v="11.81"/>
    <x v="20"/>
    <s v="79780-39-5"/>
    <x v="20"/>
    <n v="0.245"/>
  </r>
  <r>
    <s v="GC005-JBA-08132021"/>
    <s v="Spill"/>
    <x v="0"/>
    <s v="Swallowtail Shiner"/>
    <s v="Notropis"/>
    <s v="gibbosus"/>
    <s v="U"/>
    <x v="0"/>
    <n v="8"/>
    <n v="11.81"/>
    <x v="21"/>
    <s v="777011-38-8"/>
    <x v="21"/>
    <n v="0.13900000000000001"/>
  </r>
  <r>
    <s v="GC005-JBA-08132021"/>
    <s v="Spill"/>
    <x v="0"/>
    <s v="Swallowtail Shiner"/>
    <s v="Notropis"/>
    <s v="gibbosus"/>
    <s v="U"/>
    <x v="0"/>
    <n v="8"/>
    <n v="11.81"/>
    <x v="22"/>
    <s v="646-83-3"/>
    <x v="22"/>
    <n v="0.19800000000000001"/>
  </r>
  <r>
    <s v="GC005-JBA-08132021"/>
    <s v="Spill"/>
    <x v="0"/>
    <s v="Swallowtail Shiner"/>
    <s v="Notropis"/>
    <s v="gibbosus"/>
    <s v="U"/>
    <x v="0"/>
    <n v="8"/>
    <n v="11.81"/>
    <x v="23"/>
    <s v="30334-69-1"/>
    <x v="23"/>
    <n v="574"/>
  </r>
  <r>
    <s v="GC005-JBA-08132021"/>
    <s v="Spill"/>
    <x v="0"/>
    <s v="Swallowtail Shiner"/>
    <s v="Notropis"/>
    <s v="gibbosus"/>
    <s v="U"/>
    <x v="0"/>
    <n v="8"/>
    <n v="11.81"/>
    <x v="24"/>
    <s v="41997-13-1"/>
    <x v="24"/>
    <n v="1060"/>
  </r>
  <r>
    <s v="GC005-JBA-08132021"/>
    <s v="Spill"/>
    <x v="0"/>
    <s v="Swallowtail Shiner"/>
    <s v="Notropis"/>
    <s v="gibbosus"/>
    <s v="U"/>
    <x v="0"/>
    <n v="8"/>
    <n v="11.81"/>
    <x v="25"/>
    <s v="754-91-6"/>
    <x v="25"/>
    <n v="45.6"/>
  </r>
  <r>
    <s v="GC005-JBA-08132021"/>
    <s v="Spill"/>
    <x v="0"/>
    <s v="Swallowtail Shiner"/>
    <s v="Notropis"/>
    <s v="gibbosus"/>
    <s v="U"/>
    <x v="0"/>
    <n v="8"/>
    <n v="11.81"/>
    <x v="26"/>
    <s v="31506-32-8"/>
    <x v="26"/>
    <n v="5.3499999999999999E-2"/>
  </r>
  <r>
    <s v="GC005-JBA-08132021"/>
    <s v="Spill"/>
    <x v="0"/>
    <s v="Swallowtail Shiner"/>
    <s v="Notropis"/>
    <s v="gibbosus"/>
    <s v="U"/>
    <x v="0"/>
    <n v="8"/>
    <n v="11.81"/>
    <x v="27"/>
    <s v="4151-50-2"/>
    <x v="27"/>
    <n v="8.1000000000000003E-2"/>
  </r>
  <r>
    <s v="GC005-JBA-08132021"/>
    <s v="Spill"/>
    <x v="0"/>
    <s v="Swallowtail Shiner"/>
    <s v="Notropis"/>
    <s v="gibbosus"/>
    <s v="U"/>
    <x v="0"/>
    <n v="8"/>
    <n v="11.81"/>
    <x v="28"/>
    <s v="2806-24-8"/>
    <x v="28"/>
    <n v="5.45E-2"/>
  </r>
  <r>
    <s v="GC005-JBA-08132021"/>
    <s v="Spill"/>
    <x v="0"/>
    <s v="Swallowtail Shiner"/>
    <s v="Notropis"/>
    <s v="gibbosus"/>
    <s v="U"/>
    <x v="0"/>
    <n v="8"/>
    <n v="11.81"/>
    <x v="29"/>
    <s v="2355-31-9"/>
    <x v="29"/>
    <n v="0.95"/>
  </r>
  <r>
    <s v="GC005-JBA-08132021"/>
    <s v="Spill"/>
    <x v="0"/>
    <s v="Swallowtail Shiner"/>
    <s v="Notropis"/>
    <s v="gibbosus"/>
    <s v="U"/>
    <x v="0"/>
    <n v="8"/>
    <n v="11.81"/>
    <x v="30"/>
    <s v="2991-50-6"/>
    <x v="30"/>
    <n v="6.0499999999999998E-2"/>
  </r>
  <r>
    <s v="GC005-JBA-08132021"/>
    <s v="Spill"/>
    <x v="0"/>
    <s v="Swallowtail Shiner"/>
    <s v="Notropis"/>
    <s v="gibbosus"/>
    <s v="U"/>
    <x v="0"/>
    <n v="8"/>
    <n v="11.81"/>
    <x v="31"/>
    <s v="757124-72-4"/>
    <x v="31"/>
    <n v="5.7000000000000002E-2"/>
  </r>
  <r>
    <s v="GC005-JBA-08132021"/>
    <s v="Spill"/>
    <x v="0"/>
    <s v="Swallowtail Shiner"/>
    <s v="Notropis"/>
    <s v="gibbosus"/>
    <s v="U"/>
    <x v="0"/>
    <n v="8"/>
    <n v="11.81"/>
    <x v="32"/>
    <s v="27619-97-2"/>
    <x v="32"/>
    <n v="1.02"/>
  </r>
  <r>
    <s v="GC005-JBA-08132021"/>
    <s v="Spill"/>
    <x v="0"/>
    <s v="Swallowtail Shiner"/>
    <s v="Notropis"/>
    <s v="gibbosus"/>
    <s v="U"/>
    <x v="0"/>
    <n v="8"/>
    <n v="11.81"/>
    <x v="33"/>
    <s v="39108-34-4"/>
    <x v="33"/>
    <n v="26"/>
  </r>
  <r>
    <s v="GC005-JBA-08132021"/>
    <s v="Spill"/>
    <x v="0"/>
    <s v="Swallowtail Shiner"/>
    <s v="Notropis"/>
    <s v="gibbosus"/>
    <s v="U"/>
    <x v="0"/>
    <n v="8"/>
    <n v="11.81"/>
    <x v="34"/>
    <s v="120226-60-0"/>
    <x v="34"/>
    <n v="0.26"/>
  </r>
  <r>
    <s v="GC005-JBA-08132021"/>
    <s v="Spill"/>
    <x v="0"/>
    <s v="Swallowtail Shiner"/>
    <s v="Notropis"/>
    <s v="gibbosus"/>
    <s v="U"/>
    <x v="0"/>
    <n v="8"/>
    <n v="11.81"/>
    <x v="35"/>
    <s v="356-02-5"/>
    <x v="35"/>
    <n v="0.08"/>
  </r>
  <r>
    <s v="GC005-JBA-08132021"/>
    <s v="Spill"/>
    <x v="0"/>
    <s v="Swallowtail Shiner"/>
    <s v="Notropis"/>
    <s v="gibbosus"/>
    <s v="U"/>
    <x v="0"/>
    <n v="8"/>
    <n v="11.81"/>
    <x v="36"/>
    <s v="914637-49-3"/>
    <x v="36"/>
    <n v="0.54700000000000004"/>
  </r>
  <r>
    <s v="GC005-JBA-08132021"/>
    <s v="Spill"/>
    <x v="0"/>
    <s v="Swallowtail Shiner"/>
    <s v="Notropis"/>
    <s v="gibbosus"/>
    <s v="U"/>
    <x v="0"/>
    <n v="8"/>
    <n v="11.81"/>
    <x v="37"/>
    <s v="812-70-4"/>
    <x v="37"/>
    <n v="8.65"/>
  </r>
  <r>
    <s v="GC005-JBA-08132021"/>
    <s v="Spill"/>
    <x v="0"/>
    <s v="Swallowtail Shiner"/>
    <s v="Notropis"/>
    <s v="gibbosus"/>
    <s v="U"/>
    <x v="0"/>
    <n v="8"/>
    <n v="11.81"/>
    <x v="38"/>
    <s v="53826-12-3"/>
    <x v="38"/>
    <n v="4.4549999999999999E-2"/>
  </r>
  <r>
    <s v="GC005-JBA-08132021"/>
    <s v="Spill"/>
    <x v="0"/>
    <s v="Swallowtail Shiner"/>
    <s v="Notropis"/>
    <s v="gibbosus"/>
    <s v="U"/>
    <x v="0"/>
    <n v="8"/>
    <n v="11.81"/>
    <x v="39"/>
    <s v="27854-31-5"/>
    <x v="39"/>
    <n v="2.775E-2"/>
  </r>
  <r>
    <s v="GC005-JBA-08132021"/>
    <s v="Spill"/>
    <x v="0"/>
    <s v="Swallowtail Shiner"/>
    <s v="Notropis"/>
    <s v="gibbosus"/>
    <s v="U"/>
    <x v="0"/>
    <n v="8"/>
    <n v="11.81"/>
    <x v="40"/>
    <s v="53826-13-4"/>
    <x v="40"/>
    <n v="0.10349999999999999"/>
  </r>
  <r>
    <s v="GC005-JBA-08132021"/>
    <s v="Spill"/>
    <x v="0"/>
    <s v="Swallowtail Shiner"/>
    <s v="Notropis"/>
    <s v="gibbosus"/>
    <s v="U"/>
    <x v="0"/>
    <n v="8"/>
    <n v="11.81"/>
    <x v="41"/>
    <s v="161094-75-3"/>
    <x v="41"/>
    <n v="5.45E-2"/>
  </r>
  <r>
    <s v="GC005-JBA-08132021"/>
    <s v="Spill"/>
    <x v="0"/>
    <s v="Swallowtail Shiner"/>
    <s v="Notropis"/>
    <s v="gibbosus"/>
    <s v="U"/>
    <x v="0"/>
    <n v="8"/>
    <n v="11.81"/>
    <x v="42"/>
    <s v="70887-84-2"/>
    <x v="42"/>
    <n v="4.1950000000000001E-2"/>
  </r>
  <r>
    <s v="GC005-JBA-08132021"/>
    <s v="Spill"/>
    <x v="0"/>
    <s v="Swallowtail Shiner"/>
    <s v="Notropis"/>
    <s v="gibbosus"/>
    <s v="U"/>
    <x v="0"/>
    <n v="8"/>
    <n v="11.81"/>
    <x v="43"/>
    <s v="919005-14-4"/>
    <x v="43"/>
    <n v="6.9500000000000006E-2"/>
  </r>
  <r>
    <s v="GC005-JBA-08132021"/>
    <s v="Spill"/>
    <x v="0"/>
    <s v="Swallowtail Shiner"/>
    <s v="Notropis"/>
    <s v="gibbosus"/>
    <s v="U"/>
    <x v="0"/>
    <n v="8"/>
    <n v="11.81"/>
    <x v="44"/>
    <s v="756426-58-1"/>
    <x v="44"/>
    <n v="4.82E-2"/>
  </r>
  <r>
    <s v="GC005-JBA-08132021"/>
    <s v="Spill"/>
    <x v="0"/>
    <s v="Swallowtail Shiner"/>
    <s v="Notropis"/>
    <s v="gibbosus"/>
    <s v="U"/>
    <x v="0"/>
    <n v="8"/>
    <n v="11.81"/>
    <x v="45"/>
    <s v="763051-92-9"/>
    <x v="45"/>
    <n v="5.45E-2"/>
  </r>
  <r>
    <s v="GC005-JBA-08132021"/>
    <s v="Spill"/>
    <x v="0"/>
    <s v="Swallowtail Shiner"/>
    <s v="Notropis"/>
    <s v="gibbosus"/>
    <s v="U"/>
    <x v="0"/>
    <n v="8"/>
    <n v="11.81"/>
    <x v="46"/>
    <s v="13252-13-6"/>
    <x v="46"/>
    <n v="9.9500000000000005E-2"/>
  </r>
  <r>
    <s v="GC005-JBA-08132021"/>
    <s v="Spill"/>
    <x v="0"/>
    <s v="Swallowtail Shiner"/>
    <s v="Notropis"/>
    <s v="gibbosus"/>
    <s v="U"/>
    <x v="0"/>
    <n v="8"/>
    <n v="11.81"/>
    <x v="47"/>
    <s v="57677-95-9"/>
    <x v="47"/>
    <n v="7.3999999999999996E-2"/>
  </r>
  <r>
    <s v="GC005-JBA-08132021"/>
    <s v="Spill"/>
    <x v="0"/>
    <s v="Swallowtail Shiner"/>
    <s v="Notropis"/>
    <s v="gibbosus"/>
    <s v="U"/>
    <x v="0"/>
    <n v="8"/>
    <n v="11.81"/>
    <x v="48"/>
    <s v="678-41-1"/>
    <x v="48"/>
    <n v="9.1999999999999998E-2"/>
  </r>
  <r>
    <s v="GC005-JBA-08132021"/>
    <s v="Spill"/>
    <x v="0"/>
    <s v="Swallowtail Shiner"/>
    <s v="Notropis"/>
    <s v="gibbosus"/>
    <s v="U"/>
    <x v="0"/>
    <n v="8"/>
    <n v="11.81"/>
    <x v="49"/>
    <s v="2965-52-8"/>
    <x v="49"/>
    <n v="0.122"/>
  </r>
  <r>
    <s v="GC006-JBA-08132021"/>
    <s v="Spill"/>
    <x v="0"/>
    <s v="Swallowtail Shiner"/>
    <s v="Notropis"/>
    <s v="gibbosus"/>
    <s v="U"/>
    <x v="0"/>
    <n v="8"/>
    <n v="11.81"/>
    <x v="0"/>
    <s v="375-22-4"/>
    <x v="0"/>
    <n v="9.6000000000000002E-2"/>
  </r>
  <r>
    <s v="GC006-JBA-08132021"/>
    <s v="Spill"/>
    <x v="0"/>
    <s v="Swallowtail Shiner"/>
    <s v="Notropis"/>
    <s v="gibbosus"/>
    <s v="U"/>
    <x v="0"/>
    <n v="8"/>
    <n v="11.81"/>
    <x v="1"/>
    <s v="2706-90-3"/>
    <x v="1"/>
    <n v="5.1499999999999997E-2"/>
  </r>
  <r>
    <s v="GC006-JBA-08132021"/>
    <s v="Spill"/>
    <x v="0"/>
    <s v="Swallowtail Shiner"/>
    <s v="Notropis"/>
    <s v="gibbosus"/>
    <s v="U"/>
    <x v="0"/>
    <n v="8"/>
    <n v="11.81"/>
    <x v="2"/>
    <s v="307-24-4"/>
    <x v="2"/>
    <n v="0.13"/>
  </r>
  <r>
    <s v="GC006-JBA-08132021"/>
    <s v="Spill"/>
    <x v="0"/>
    <s v="Swallowtail Shiner"/>
    <s v="Notropis"/>
    <s v="gibbosus"/>
    <s v="U"/>
    <x v="0"/>
    <n v="8"/>
    <n v="11.81"/>
    <x v="3"/>
    <s v="375-85-9"/>
    <x v="3"/>
    <n v="9.6000000000000002E-2"/>
  </r>
  <r>
    <s v="GC006-JBA-08132021"/>
    <s v="Spill"/>
    <x v="0"/>
    <s v="Swallowtail Shiner"/>
    <s v="Notropis"/>
    <s v="gibbosus"/>
    <s v="U"/>
    <x v="0"/>
    <n v="8"/>
    <n v="11.81"/>
    <x v="4"/>
    <s v="335-67-1"/>
    <x v="4"/>
    <n v="2.0499999999999998"/>
  </r>
  <r>
    <s v="GC006-JBA-08132021"/>
    <s v="Spill"/>
    <x v="0"/>
    <s v="Swallowtail Shiner"/>
    <s v="Notropis"/>
    <s v="gibbosus"/>
    <s v="U"/>
    <x v="0"/>
    <n v="8"/>
    <n v="11.81"/>
    <x v="5"/>
    <s v="375-95-1"/>
    <x v="5"/>
    <n v="5.24"/>
  </r>
  <r>
    <s v="GC006-JBA-08132021"/>
    <s v="Spill"/>
    <x v="0"/>
    <s v="Swallowtail Shiner"/>
    <s v="Notropis"/>
    <s v="gibbosus"/>
    <s v="U"/>
    <x v="0"/>
    <n v="8"/>
    <n v="11.81"/>
    <x v="6"/>
    <s v="335-76-2"/>
    <x v="6"/>
    <n v="14"/>
  </r>
  <r>
    <s v="GC006-JBA-08132021"/>
    <s v="Spill"/>
    <x v="0"/>
    <s v="Swallowtail Shiner"/>
    <s v="Notropis"/>
    <s v="gibbosus"/>
    <s v="U"/>
    <x v="0"/>
    <n v="8"/>
    <n v="11.81"/>
    <x v="7"/>
    <s v="2058-94-8"/>
    <x v="7"/>
    <n v="9.8800000000000008"/>
  </r>
  <r>
    <s v="GC006-JBA-08132021"/>
    <s v="Spill"/>
    <x v="0"/>
    <s v="Swallowtail Shiner"/>
    <s v="Notropis"/>
    <s v="gibbosus"/>
    <s v="U"/>
    <x v="0"/>
    <n v="8"/>
    <n v="11.81"/>
    <x v="8"/>
    <s v="307-55-1"/>
    <x v="8"/>
    <n v="9.6999999999999993"/>
  </r>
  <r>
    <s v="GC006-JBA-08132021"/>
    <s v="Spill"/>
    <x v="0"/>
    <s v="Swallowtail Shiner"/>
    <s v="Notropis"/>
    <s v="gibbosus"/>
    <s v="U"/>
    <x v="0"/>
    <n v="8"/>
    <n v="11.81"/>
    <x v="9"/>
    <s v="72629-94-8"/>
    <x v="9"/>
    <n v="4.0599999999999996"/>
  </r>
  <r>
    <s v="GC006-JBA-08132021"/>
    <s v="Spill"/>
    <x v="0"/>
    <s v="Swallowtail Shiner"/>
    <s v="Notropis"/>
    <s v="gibbosus"/>
    <s v="U"/>
    <x v="0"/>
    <n v="8"/>
    <n v="11.81"/>
    <x v="10"/>
    <s v="376-06-7"/>
    <x v="10"/>
    <n v="4.1500000000000004"/>
  </r>
  <r>
    <s v="GC006-JBA-08132021"/>
    <s v="Spill"/>
    <x v="0"/>
    <s v="Swallowtail Shiner"/>
    <s v="Notropis"/>
    <s v="gibbosus"/>
    <s v="U"/>
    <x v="0"/>
    <n v="8"/>
    <n v="11.81"/>
    <x v="11"/>
    <s v="67905-19-5"/>
    <x v="11"/>
    <n v="8.6999999999999994E-2"/>
  </r>
  <r>
    <s v="GC006-JBA-08132021"/>
    <s v="Spill"/>
    <x v="0"/>
    <s v="Swallowtail Shiner"/>
    <s v="Notropis"/>
    <s v="gibbosus"/>
    <s v="U"/>
    <x v="0"/>
    <n v="8"/>
    <n v="11.81"/>
    <x v="12"/>
    <s v="423-41-6"/>
    <x v="12"/>
    <n v="5.5500000000000001E-2"/>
  </r>
  <r>
    <s v="GC006-JBA-08132021"/>
    <s v="Spill"/>
    <x v="0"/>
    <s v="Swallowtail Shiner"/>
    <s v="Notropis"/>
    <s v="gibbosus"/>
    <s v="U"/>
    <x v="0"/>
    <n v="8"/>
    <n v="11.81"/>
    <x v="13"/>
    <s v="375-73-5"/>
    <x v="13"/>
    <n v="0.16350000000000001"/>
  </r>
  <r>
    <s v="GC006-JBA-08132021"/>
    <s v="Spill"/>
    <x v="0"/>
    <s v="Swallowtail Shiner"/>
    <s v="Notropis"/>
    <s v="gibbosus"/>
    <s v="U"/>
    <x v="0"/>
    <n v="8"/>
    <n v="11.81"/>
    <x v="14"/>
    <s v="2706-91-4"/>
    <x v="14"/>
    <n v="0.375"/>
  </r>
  <r>
    <s v="GC006-JBA-08132021"/>
    <s v="Spill"/>
    <x v="0"/>
    <s v="Swallowtail Shiner"/>
    <s v="Notropis"/>
    <s v="gibbosus"/>
    <s v="U"/>
    <x v="0"/>
    <n v="8"/>
    <n v="11.81"/>
    <x v="15"/>
    <s v="355-46-4"/>
    <x v="15"/>
    <n v="40.9"/>
  </r>
  <r>
    <s v="GC006-JBA-08132021"/>
    <s v="Spill"/>
    <x v="0"/>
    <s v="Swallowtail Shiner"/>
    <s v="Notropis"/>
    <s v="gibbosus"/>
    <s v="U"/>
    <x v="0"/>
    <n v="8"/>
    <n v="11.81"/>
    <x v="16"/>
    <s v="375-92-8"/>
    <x v="16"/>
    <n v="2.0299999999999998"/>
  </r>
  <r>
    <s v="GC006-JBA-08132021"/>
    <s v="Spill"/>
    <x v="0"/>
    <s v="Swallowtail Shiner"/>
    <s v="Notropis"/>
    <s v="gibbosus"/>
    <s v="U"/>
    <x v="0"/>
    <n v="8"/>
    <n v="11.81"/>
    <x v="17"/>
    <s v="1763-23-1"/>
    <x v="17"/>
    <n v="749"/>
  </r>
  <r>
    <s v="GC006-JBA-08132021"/>
    <s v="Spill"/>
    <x v="0"/>
    <s v="Swallowtail Shiner"/>
    <s v="Notropis"/>
    <s v="gibbosus"/>
    <s v="U"/>
    <x v="0"/>
    <n v="8"/>
    <n v="11.81"/>
    <x v="18"/>
    <s v="68259-12-1"/>
    <x v="18"/>
    <n v="0.13700000000000001"/>
  </r>
  <r>
    <s v="GC006-JBA-08132021"/>
    <s v="Spill"/>
    <x v="0"/>
    <s v="Swallowtail Shiner"/>
    <s v="Notropis"/>
    <s v="gibbosus"/>
    <s v="U"/>
    <x v="0"/>
    <n v="8"/>
    <n v="11.81"/>
    <x v="19"/>
    <s v="335-77-3"/>
    <x v="19"/>
    <n v="3.87"/>
  </r>
  <r>
    <s v="GC006-JBA-08132021"/>
    <s v="Spill"/>
    <x v="0"/>
    <s v="Swallowtail Shiner"/>
    <s v="Notropis"/>
    <s v="gibbosus"/>
    <s v="U"/>
    <x v="0"/>
    <n v="8"/>
    <n v="11.81"/>
    <x v="20"/>
    <s v="79780-39-5"/>
    <x v="20"/>
    <n v="0.25700000000000001"/>
  </r>
  <r>
    <s v="GC006-JBA-08132021"/>
    <s v="Spill"/>
    <x v="0"/>
    <s v="Swallowtail Shiner"/>
    <s v="Notropis"/>
    <s v="gibbosus"/>
    <s v="U"/>
    <x v="0"/>
    <n v="8"/>
    <n v="11.81"/>
    <x v="21"/>
    <s v="777011-38-8"/>
    <x v="21"/>
    <n v="0.14599999999999999"/>
  </r>
  <r>
    <s v="GC006-JBA-08132021"/>
    <s v="Spill"/>
    <x v="0"/>
    <s v="Swallowtail Shiner"/>
    <s v="Notropis"/>
    <s v="gibbosus"/>
    <s v="U"/>
    <x v="0"/>
    <n v="8"/>
    <n v="11.81"/>
    <x v="22"/>
    <s v="646-83-3"/>
    <x v="22"/>
    <n v="9.6000000000000002E-2"/>
  </r>
  <r>
    <s v="GC006-JBA-08132021"/>
    <s v="Spill"/>
    <x v="0"/>
    <s v="Swallowtail Shiner"/>
    <s v="Notropis"/>
    <s v="gibbosus"/>
    <s v="U"/>
    <x v="0"/>
    <n v="8"/>
    <n v="11.81"/>
    <x v="23"/>
    <s v="30334-69-1"/>
    <x v="23"/>
    <n v="244"/>
  </r>
  <r>
    <s v="GC006-JBA-08132021"/>
    <s v="Spill"/>
    <x v="0"/>
    <s v="Swallowtail Shiner"/>
    <s v="Notropis"/>
    <s v="gibbosus"/>
    <s v="U"/>
    <x v="0"/>
    <n v="8"/>
    <n v="11.81"/>
    <x v="24"/>
    <s v="41997-13-1"/>
    <x v="24"/>
    <n v="623"/>
  </r>
  <r>
    <s v="GC006-JBA-08132021"/>
    <s v="Spill"/>
    <x v="0"/>
    <s v="Swallowtail Shiner"/>
    <s v="Notropis"/>
    <s v="gibbosus"/>
    <s v="U"/>
    <x v="0"/>
    <n v="8"/>
    <n v="11.81"/>
    <x v="25"/>
    <s v="754-91-6"/>
    <x v="25"/>
    <n v="21.6"/>
  </r>
  <r>
    <s v="GC006-JBA-08132021"/>
    <s v="Spill"/>
    <x v="0"/>
    <s v="Swallowtail Shiner"/>
    <s v="Notropis"/>
    <s v="gibbosus"/>
    <s v="U"/>
    <x v="0"/>
    <n v="8"/>
    <n v="11.81"/>
    <x v="26"/>
    <s v="31506-32-8"/>
    <x v="26"/>
    <n v="5.6000000000000001E-2"/>
  </r>
  <r>
    <s v="GC006-JBA-08132021"/>
    <s v="Spill"/>
    <x v="0"/>
    <s v="Swallowtail Shiner"/>
    <s v="Notropis"/>
    <s v="gibbosus"/>
    <s v="U"/>
    <x v="0"/>
    <n v="8"/>
    <n v="11.81"/>
    <x v="27"/>
    <s v="4151-50-2"/>
    <x v="27"/>
    <n v="8.5000000000000006E-2"/>
  </r>
  <r>
    <s v="GC006-JBA-08132021"/>
    <s v="Spill"/>
    <x v="0"/>
    <s v="Swallowtail Shiner"/>
    <s v="Notropis"/>
    <s v="gibbosus"/>
    <s v="U"/>
    <x v="0"/>
    <n v="8"/>
    <n v="11.81"/>
    <x v="28"/>
    <s v="2806-24-8"/>
    <x v="28"/>
    <n v="5.7500000000000002E-2"/>
  </r>
  <r>
    <s v="GC006-JBA-08132021"/>
    <s v="Spill"/>
    <x v="0"/>
    <s v="Swallowtail Shiner"/>
    <s v="Notropis"/>
    <s v="gibbosus"/>
    <s v="U"/>
    <x v="0"/>
    <n v="8"/>
    <n v="11.81"/>
    <x v="29"/>
    <s v="2355-31-9"/>
    <x v="29"/>
    <n v="1.2"/>
  </r>
  <r>
    <s v="GC006-JBA-08132021"/>
    <s v="Spill"/>
    <x v="0"/>
    <s v="Swallowtail Shiner"/>
    <s v="Notropis"/>
    <s v="gibbosus"/>
    <s v="U"/>
    <x v="0"/>
    <n v="8"/>
    <n v="11.81"/>
    <x v="30"/>
    <s v="2991-50-6"/>
    <x v="30"/>
    <n v="6.3E-2"/>
  </r>
  <r>
    <s v="GC006-JBA-08132021"/>
    <s v="Spill"/>
    <x v="0"/>
    <s v="Swallowtail Shiner"/>
    <s v="Notropis"/>
    <s v="gibbosus"/>
    <s v="U"/>
    <x v="0"/>
    <n v="8"/>
    <n v="11.81"/>
    <x v="31"/>
    <s v="757124-72-4"/>
    <x v="31"/>
    <n v="0.06"/>
  </r>
  <r>
    <s v="GC006-JBA-08132021"/>
    <s v="Spill"/>
    <x v="0"/>
    <s v="Swallowtail Shiner"/>
    <s v="Notropis"/>
    <s v="gibbosus"/>
    <s v="U"/>
    <x v="0"/>
    <n v="8"/>
    <n v="11.81"/>
    <x v="32"/>
    <s v="27619-97-2"/>
    <x v="32"/>
    <n v="0.46200000000000002"/>
  </r>
  <r>
    <s v="GC006-JBA-08132021"/>
    <s v="Spill"/>
    <x v="0"/>
    <s v="Swallowtail Shiner"/>
    <s v="Notropis"/>
    <s v="gibbosus"/>
    <s v="U"/>
    <x v="0"/>
    <n v="8"/>
    <n v="11.81"/>
    <x v="33"/>
    <s v="39108-34-4"/>
    <x v="33"/>
    <n v="21.7"/>
  </r>
  <r>
    <s v="GC006-JBA-08132021"/>
    <s v="Spill"/>
    <x v="0"/>
    <s v="Swallowtail Shiner"/>
    <s v="Notropis"/>
    <s v="gibbosus"/>
    <s v="U"/>
    <x v="0"/>
    <n v="8"/>
    <n v="11.81"/>
    <x v="34"/>
    <s v="120226-60-0"/>
    <x v="34"/>
    <n v="0.76600000000000001"/>
  </r>
  <r>
    <s v="GC006-JBA-08132021"/>
    <s v="Spill"/>
    <x v="0"/>
    <s v="Swallowtail Shiner"/>
    <s v="Notropis"/>
    <s v="gibbosus"/>
    <s v="U"/>
    <x v="0"/>
    <n v="8"/>
    <n v="11.81"/>
    <x v="35"/>
    <s v="356-02-5"/>
    <x v="35"/>
    <n v="8.4000000000000005E-2"/>
  </r>
  <r>
    <s v="GC006-JBA-08132021"/>
    <s v="Spill"/>
    <x v="0"/>
    <s v="Swallowtail Shiner"/>
    <s v="Notropis"/>
    <s v="gibbosus"/>
    <s v="U"/>
    <x v="0"/>
    <n v="8"/>
    <n v="11.81"/>
    <x v="36"/>
    <s v="914637-49-3"/>
    <x v="36"/>
    <n v="2.1"/>
  </r>
  <r>
    <s v="GC006-JBA-08132021"/>
    <s v="Spill"/>
    <x v="0"/>
    <s v="Swallowtail Shiner"/>
    <s v="Notropis"/>
    <s v="gibbosus"/>
    <s v="U"/>
    <x v="0"/>
    <n v="8"/>
    <n v="11.81"/>
    <x v="37"/>
    <s v="812-70-4"/>
    <x v="37"/>
    <n v="5.99"/>
  </r>
  <r>
    <s v="GC006-JBA-08132021"/>
    <s v="Spill"/>
    <x v="0"/>
    <s v="Swallowtail Shiner"/>
    <s v="Notropis"/>
    <s v="gibbosus"/>
    <s v="U"/>
    <x v="0"/>
    <n v="8"/>
    <n v="11.81"/>
    <x v="38"/>
    <s v="53826-12-3"/>
    <x v="38"/>
    <n v="4.6800000000000001E-2"/>
  </r>
  <r>
    <s v="GC006-JBA-08132021"/>
    <s v="Spill"/>
    <x v="0"/>
    <s v="Swallowtail Shiner"/>
    <s v="Notropis"/>
    <s v="gibbosus"/>
    <s v="U"/>
    <x v="0"/>
    <n v="8"/>
    <n v="11.81"/>
    <x v="39"/>
    <s v="27854-31-5"/>
    <x v="39"/>
    <n v="2.9100000000000001E-2"/>
  </r>
  <r>
    <s v="GC006-JBA-08132021"/>
    <s v="Spill"/>
    <x v="0"/>
    <s v="Swallowtail Shiner"/>
    <s v="Notropis"/>
    <s v="gibbosus"/>
    <s v="U"/>
    <x v="0"/>
    <n v="8"/>
    <n v="11.81"/>
    <x v="40"/>
    <s v="53826-13-4"/>
    <x v="40"/>
    <n v="0.109"/>
  </r>
  <r>
    <s v="GC006-JBA-08132021"/>
    <s v="Spill"/>
    <x v="0"/>
    <s v="Swallowtail Shiner"/>
    <s v="Notropis"/>
    <s v="gibbosus"/>
    <s v="U"/>
    <x v="0"/>
    <n v="8"/>
    <n v="11.81"/>
    <x v="41"/>
    <s v="161094-75-3"/>
    <x v="41"/>
    <n v="5.7500000000000002E-2"/>
  </r>
  <r>
    <s v="GC006-JBA-08132021"/>
    <s v="Spill"/>
    <x v="0"/>
    <s v="Swallowtail Shiner"/>
    <s v="Notropis"/>
    <s v="gibbosus"/>
    <s v="U"/>
    <x v="0"/>
    <n v="8"/>
    <n v="11.81"/>
    <x v="42"/>
    <s v="70887-84-2"/>
    <x v="42"/>
    <n v="4.41E-2"/>
  </r>
  <r>
    <s v="GC006-JBA-08132021"/>
    <s v="Spill"/>
    <x v="0"/>
    <s v="Swallowtail Shiner"/>
    <s v="Notropis"/>
    <s v="gibbosus"/>
    <s v="U"/>
    <x v="0"/>
    <n v="8"/>
    <n v="11.81"/>
    <x v="43"/>
    <s v="919005-14-4"/>
    <x v="43"/>
    <n v="7.2999999999999995E-2"/>
  </r>
  <r>
    <s v="GC006-JBA-08132021"/>
    <s v="Spill"/>
    <x v="0"/>
    <s v="Swallowtail Shiner"/>
    <s v="Notropis"/>
    <s v="gibbosus"/>
    <s v="U"/>
    <x v="0"/>
    <n v="8"/>
    <n v="11.81"/>
    <x v="44"/>
    <s v="756426-58-1"/>
    <x v="44"/>
    <n v="5.0500000000000003E-2"/>
  </r>
  <r>
    <s v="GC006-JBA-08132021"/>
    <s v="Spill"/>
    <x v="0"/>
    <s v="Swallowtail Shiner"/>
    <s v="Notropis"/>
    <s v="gibbosus"/>
    <s v="U"/>
    <x v="0"/>
    <n v="8"/>
    <n v="11.81"/>
    <x v="45"/>
    <s v="763051-92-9"/>
    <x v="45"/>
    <n v="5.7500000000000002E-2"/>
  </r>
  <r>
    <s v="GC006-JBA-08132021"/>
    <s v="Spill"/>
    <x v="0"/>
    <s v="Swallowtail Shiner"/>
    <s v="Notropis"/>
    <s v="gibbosus"/>
    <s v="U"/>
    <x v="0"/>
    <n v="8"/>
    <n v="11.81"/>
    <x v="46"/>
    <s v="13252-13-6"/>
    <x v="46"/>
    <n v="0.1045"/>
  </r>
  <r>
    <s v="GC006-JBA-08132021"/>
    <s v="Spill"/>
    <x v="0"/>
    <s v="Swallowtail Shiner"/>
    <s v="Notropis"/>
    <s v="gibbosus"/>
    <s v="U"/>
    <x v="0"/>
    <n v="8"/>
    <n v="11.81"/>
    <x v="47"/>
    <s v="57677-95-9"/>
    <x v="47"/>
    <n v="7.7499999999999999E-2"/>
  </r>
  <r>
    <s v="GC006-JBA-08132021"/>
    <s v="Spill"/>
    <x v="0"/>
    <s v="Swallowtail Shiner"/>
    <s v="Notropis"/>
    <s v="gibbosus"/>
    <s v="U"/>
    <x v="0"/>
    <n v="8"/>
    <n v="11.81"/>
    <x v="48"/>
    <s v="678-41-1"/>
    <x v="48"/>
    <n v="9.6500000000000002E-2"/>
  </r>
  <r>
    <s v="GC006-JBA-08132021"/>
    <s v="Spill"/>
    <x v="0"/>
    <s v="Swallowtail Shiner"/>
    <s v="Notropis"/>
    <s v="gibbosus"/>
    <s v="U"/>
    <x v="0"/>
    <n v="8"/>
    <n v="11.81"/>
    <x v="49"/>
    <s v="2965-52-8"/>
    <x v="49"/>
    <n v="0.128"/>
  </r>
  <r>
    <s v="GC007-JBA-08132021"/>
    <s v="Spill"/>
    <x v="0"/>
    <s v="Swallowtail Shiner"/>
    <s v="Notropis"/>
    <s v="gibbosus"/>
    <s v="U"/>
    <x v="0"/>
    <n v="8"/>
    <n v="11.81"/>
    <x v="0"/>
    <s v="375-22-4"/>
    <x v="0"/>
    <n v="3.0300000000000001E-2"/>
  </r>
  <r>
    <s v="GC007-JBA-08132021"/>
    <s v="Spill"/>
    <x v="0"/>
    <s v="Swallowtail Shiner"/>
    <s v="Notropis"/>
    <s v="gibbosus"/>
    <s v="U"/>
    <x v="0"/>
    <n v="8"/>
    <n v="11.81"/>
    <x v="1"/>
    <s v="2706-90-3"/>
    <x v="1"/>
    <n v="5.3499999999999999E-2"/>
  </r>
  <r>
    <s v="GC007-JBA-08132021"/>
    <s v="Spill"/>
    <x v="0"/>
    <s v="Swallowtail Shiner"/>
    <s v="Notropis"/>
    <s v="gibbosus"/>
    <s v="U"/>
    <x v="0"/>
    <n v="8"/>
    <n v="11.81"/>
    <x v="2"/>
    <s v="307-24-4"/>
    <x v="2"/>
    <n v="0.13450000000000001"/>
  </r>
  <r>
    <s v="GC007-JBA-08132021"/>
    <s v="Spill"/>
    <x v="0"/>
    <s v="Swallowtail Shiner"/>
    <s v="Notropis"/>
    <s v="gibbosus"/>
    <s v="U"/>
    <x v="0"/>
    <n v="8"/>
    <n v="11.81"/>
    <x v="3"/>
    <s v="375-85-9"/>
    <x v="3"/>
    <n v="0.1"/>
  </r>
  <r>
    <s v="GC007-JBA-08132021"/>
    <s v="Spill"/>
    <x v="0"/>
    <s v="Swallowtail Shiner"/>
    <s v="Notropis"/>
    <s v="gibbosus"/>
    <s v="U"/>
    <x v="0"/>
    <n v="8"/>
    <n v="11.81"/>
    <x v="4"/>
    <s v="335-67-1"/>
    <x v="4"/>
    <n v="1.97"/>
  </r>
  <r>
    <s v="GC007-JBA-08132021"/>
    <s v="Spill"/>
    <x v="0"/>
    <s v="Swallowtail Shiner"/>
    <s v="Notropis"/>
    <s v="gibbosus"/>
    <s v="U"/>
    <x v="0"/>
    <n v="8"/>
    <n v="11.81"/>
    <x v="5"/>
    <s v="375-95-1"/>
    <x v="5"/>
    <n v="3.26"/>
  </r>
  <r>
    <s v="GC007-JBA-08132021"/>
    <s v="Spill"/>
    <x v="0"/>
    <s v="Swallowtail Shiner"/>
    <s v="Notropis"/>
    <s v="gibbosus"/>
    <s v="U"/>
    <x v="0"/>
    <n v="8"/>
    <n v="11.81"/>
    <x v="6"/>
    <s v="335-76-2"/>
    <x v="6"/>
    <n v="12.1"/>
  </r>
  <r>
    <s v="GC007-JBA-08132021"/>
    <s v="Spill"/>
    <x v="0"/>
    <s v="Swallowtail Shiner"/>
    <s v="Notropis"/>
    <s v="gibbosus"/>
    <s v="U"/>
    <x v="0"/>
    <n v="8"/>
    <n v="11.81"/>
    <x v="7"/>
    <s v="2058-94-8"/>
    <x v="7"/>
    <n v="22.3"/>
  </r>
  <r>
    <s v="GC007-JBA-08132021"/>
    <s v="Spill"/>
    <x v="0"/>
    <s v="Swallowtail Shiner"/>
    <s v="Notropis"/>
    <s v="gibbosus"/>
    <s v="U"/>
    <x v="0"/>
    <n v="8"/>
    <n v="11.81"/>
    <x v="8"/>
    <s v="307-55-1"/>
    <x v="8"/>
    <n v="21.6"/>
  </r>
  <r>
    <s v="GC007-JBA-08132021"/>
    <s v="Spill"/>
    <x v="0"/>
    <s v="Swallowtail Shiner"/>
    <s v="Notropis"/>
    <s v="gibbosus"/>
    <s v="U"/>
    <x v="0"/>
    <n v="8"/>
    <n v="11.81"/>
    <x v="9"/>
    <s v="72629-94-8"/>
    <x v="9"/>
    <n v="10.9"/>
  </r>
  <r>
    <s v="GC007-JBA-08132021"/>
    <s v="Spill"/>
    <x v="0"/>
    <s v="Swallowtail Shiner"/>
    <s v="Notropis"/>
    <s v="gibbosus"/>
    <s v="U"/>
    <x v="0"/>
    <n v="8"/>
    <n v="11.81"/>
    <x v="10"/>
    <s v="376-06-7"/>
    <x v="10"/>
    <n v="9.75"/>
  </r>
  <r>
    <s v="GC007-JBA-08132021"/>
    <s v="Spill"/>
    <x v="0"/>
    <s v="Swallowtail Shiner"/>
    <s v="Notropis"/>
    <s v="gibbosus"/>
    <s v="U"/>
    <x v="0"/>
    <n v="8"/>
    <n v="11.81"/>
    <x v="11"/>
    <s v="67905-19-5"/>
    <x v="11"/>
    <n v="0.09"/>
  </r>
  <r>
    <s v="GC007-JBA-08132021"/>
    <s v="Spill"/>
    <x v="0"/>
    <s v="Swallowtail Shiner"/>
    <s v="Notropis"/>
    <s v="gibbosus"/>
    <s v="U"/>
    <x v="0"/>
    <n v="8"/>
    <n v="11.81"/>
    <x v="12"/>
    <s v="423-41-6"/>
    <x v="12"/>
    <n v="5.7500000000000002E-2"/>
  </r>
  <r>
    <s v="GC007-JBA-08132021"/>
    <s v="Spill"/>
    <x v="0"/>
    <s v="Swallowtail Shiner"/>
    <s v="Notropis"/>
    <s v="gibbosus"/>
    <s v="U"/>
    <x v="0"/>
    <n v="8"/>
    <n v="11.81"/>
    <x v="13"/>
    <s v="375-73-5"/>
    <x v="13"/>
    <n v="0.17"/>
  </r>
  <r>
    <s v="GC007-JBA-08132021"/>
    <s v="Spill"/>
    <x v="0"/>
    <s v="Swallowtail Shiner"/>
    <s v="Notropis"/>
    <s v="gibbosus"/>
    <s v="U"/>
    <x v="0"/>
    <n v="8"/>
    <n v="11.81"/>
    <x v="14"/>
    <s v="2706-91-4"/>
    <x v="14"/>
    <n v="0.90700000000000003"/>
  </r>
  <r>
    <s v="GC007-JBA-08132021"/>
    <s v="Spill"/>
    <x v="0"/>
    <s v="Swallowtail Shiner"/>
    <s v="Notropis"/>
    <s v="gibbosus"/>
    <s v="U"/>
    <x v="0"/>
    <n v="8"/>
    <n v="11.81"/>
    <x v="15"/>
    <s v="355-46-4"/>
    <x v="15"/>
    <n v="36.4"/>
  </r>
  <r>
    <s v="GC007-JBA-08132021"/>
    <s v="Spill"/>
    <x v="0"/>
    <s v="Swallowtail Shiner"/>
    <s v="Notropis"/>
    <s v="gibbosus"/>
    <s v="U"/>
    <x v="0"/>
    <n v="8"/>
    <n v="11.81"/>
    <x v="16"/>
    <s v="375-92-8"/>
    <x v="16"/>
    <n v="6.21"/>
  </r>
  <r>
    <s v="GC007-JBA-08132021"/>
    <s v="Spill"/>
    <x v="0"/>
    <s v="Swallowtail Shiner"/>
    <s v="Notropis"/>
    <s v="gibbosus"/>
    <s v="U"/>
    <x v="0"/>
    <n v="8"/>
    <n v="11.81"/>
    <x v="17"/>
    <s v="1763-23-1"/>
    <x v="17"/>
    <n v="1180"/>
  </r>
  <r>
    <s v="GC007-JBA-08132021"/>
    <s v="Spill"/>
    <x v="0"/>
    <s v="Swallowtail Shiner"/>
    <s v="Notropis"/>
    <s v="gibbosus"/>
    <s v="U"/>
    <x v="0"/>
    <n v="8"/>
    <n v="11.81"/>
    <x v="18"/>
    <s v="68259-12-1"/>
    <x v="18"/>
    <n v="0.876"/>
  </r>
  <r>
    <s v="GC007-JBA-08132021"/>
    <s v="Spill"/>
    <x v="0"/>
    <s v="Swallowtail Shiner"/>
    <s v="Notropis"/>
    <s v="gibbosus"/>
    <s v="U"/>
    <x v="0"/>
    <n v="8"/>
    <n v="11.81"/>
    <x v="19"/>
    <s v="335-77-3"/>
    <x v="19"/>
    <n v="8.85"/>
  </r>
  <r>
    <s v="GC007-JBA-08132021"/>
    <s v="Spill"/>
    <x v="0"/>
    <s v="Swallowtail Shiner"/>
    <s v="Notropis"/>
    <s v="gibbosus"/>
    <s v="U"/>
    <x v="0"/>
    <n v="8"/>
    <n v="11.81"/>
    <x v="20"/>
    <s v="79780-39-5"/>
    <x v="20"/>
    <n v="1.3"/>
  </r>
  <r>
    <s v="GC007-JBA-08132021"/>
    <s v="Spill"/>
    <x v="0"/>
    <s v="Swallowtail Shiner"/>
    <s v="Notropis"/>
    <s v="gibbosus"/>
    <s v="U"/>
    <x v="0"/>
    <n v="8"/>
    <n v="11.81"/>
    <x v="21"/>
    <s v="777011-38-8"/>
    <x v="21"/>
    <n v="0.434"/>
  </r>
  <r>
    <s v="GC007-JBA-08132021"/>
    <s v="Spill"/>
    <x v="0"/>
    <s v="Swallowtail Shiner"/>
    <s v="Notropis"/>
    <s v="gibbosus"/>
    <s v="U"/>
    <x v="0"/>
    <n v="8"/>
    <n v="11.81"/>
    <x v="22"/>
    <s v="646-83-3"/>
    <x v="22"/>
    <n v="0.21099999999999999"/>
  </r>
  <r>
    <s v="GC007-JBA-08132021"/>
    <s v="Spill"/>
    <x v="0"/>
    <s v="Swallowtail Shiner"/>
    <s v="Notropis"/>
    <s v="gibbosus"/>
    <s v="U"/>
    <x v="0"/>
    <n v="8"/>
    <n v="11.81"/>
    <x v="23"/>
    <s v="30334-69-1"/>
    <x v="23"/>
    <n v="168"/>
  </r>
  <r>
    <s v="GC007-JBA-08132021"/>
    <s v="Spill"/>
    <x v="0"/>
    <s v="Swallowtail Shiner"/>
    <s v="Notropis"/>
    <s v="gibbosus"/>
    <s v="U"/>
    <x v="0"/>
    <n v="8"/>
    <n v="11.81"/>
    <x v="24"/>
    <s v="41997-13-1"/>
    <x v="24"/>
    <n v="438"/>
  </r>
  <r>
    <s v="GC007-JBA-08132021"/>
    <s v="Spill"/>
    <x v="0"/>
    <s v="Swallowtail Shiner"/>
    <s v="Notropis"/>
    <s v="gibbosus"/>
    <s v="U"/>
    <x v="0"/>
    <n v="8"/>
    <n v="11.81"/>
    <x v="25"/>
    <s v="754-91-6"/>
    <x v="25"/>
    <n v="25.7"/>
  </r>
  <r>
    <s v="GC007-JBA-08132021"/>
    <s v="Spill"/>
    <x v="0"/>
    <s v="Swallowtail Shiner"/>
    <s v="Notropis"/>
    <s v="gibbosus"/>
    <s v="U"/>
    <x v="0"/>
    <n v="8"/>
    <n v="11.81"/>
    <x v="26"/>
    <s v="31506-32-8"/>
    <x v="26"/>
    <n v="5.8000000000000003E-2"/>
  </r>
  <r>
    <s v="GC007-JBA-08132021"/>
    <s v="Spill"/>
    <x v="0"/>
    <s v="Swallowtail Shiner"/>
    <s v="Notropis"/>
    <s v="gibbosus"/>
    <s v="U"/>
    <x v="0"/>
    <n v="8"/>
    <n v="11.81"/>
    <x v="27"/>
    <s v="4151-50-2"/>
    <x v="27"/>
    <n v="8.7999999999999995E-2"/>
  </r>
  <r>
    <s v="GC007-JBA-08132021"/>
    <s v="Spill"/>
    <x v="0"/>
    <s v="Swallowtail Shiner"/>
    <s v="Notropis"/>
    <s v="gibbosus"/>
    <s v="U"/>
    <x v="0"/>
    <n v="8"/>
    <n v="11.81"/>
    <x v="28"/>
    <s v="2806-24-8"/>
    <x v="28"/>
    <n v="5.9499999999999997E-2"/>
  </r>
  <r>
    <s v="GC007-JBA-08132021"/>
    <s v="Spill"/>
    <x v="0"/>
    <s v="Swallowtail Shiner"/>
    <s v="Notropis"/>
    <s v="gibbosus"/>
    <s v="U"/>
    <x v="0"/>
    <n v="8"/>
    <n v="11.81"/>
    <x v="29"/>
    <s v="2355-31-9"/>
    <x v="29"/>
    <n v="1.31"/>
  </r>
  <r>
    <s v="GC007-JBA-08132021"/>
    <s v="Spill"/>
    <x v="0"/>
    <s v="Swallowtail Shiner"/>
    <s v="Notropis"/>
    <s v="gibbosus"/>
    <s v="U"/>
    <x v="0"/>
    <n v="8"/>
    <n v="11.81"/>
    <x v="30"/>
    <s v="2991-50-6"/>
    <x v="30"/>
    <n v="6.5500000000000003E-2"/>
  </r>
  <r>
    <s v="GC007-JBA-08132021"/>
    <s v="Spill"/>
    <x v="0"/>
    <s v="Swallowtail Shiner"/>
    <s v="Notropis"/>
    <s v="gibbosus"/>
    <s v="U"/>
    <x v="0"/>
    <n v="8"/>
    <n v="11.81"/>
    <x v="31"/>
    <s v="757124-72-4"/>
    <x v="31"/>
    <n v="6.2E-2"/>
  </r>
  <r>
    <s v="GC007-JBA-08132021"/>
    <s v="Spill"/>
    <x v="0"/>
    <s v="Swallowtail Shiner"/>
    <s v="Notropis"/>
    <s v="gibbosus"/>
    <s v="U"/>
    <x v="0"/>
    <n v="8"/>
    <n v="11.81"/>
    <x v="32"/>
    <s v="27619-97-2"/>
    <x v="32"/>
    <n v="0.74"/>
  </r>
  <r>
    <s v="GC007-JBA-08132021"/>
    <s v="Spill"/>
    <x v="0"/>
    <s v="Swallowtail Shiner"/>
    <s v="Notropis"/>
    <s v="gibbosus"/>
    <s v="U"/>
    <x v="0"/>
    <n v="8"/>
    <n v="11.81"/>
    <x v="33"/>
    <s v="39108-34-4"/>
    <x v="33"/>
    <n v="21.1"/>
  </r>
  <r>
    <s v="GC007-JBA-08132021"/>
    <s v="Spill"/>
    <x v="0"/>
    <s v="Swallowtail Shiner"/>
    <s v="Notropis"/>
    <s v="gibbosus"/>
    <s v="U"/>
    <x v="0"/>
    <n v="8"/>
    <n v="11.81"/>
    <x v="34"/>
    <s v="120226-60-0"/>
    <x v="34"/>
    <n v="8.5999999999999993E-2"/>
  </r>
  <r>
    <s v="GC007-JBA-08132021"/>
    <s v="Spill"/>
    <x v="0"/>
    <s v="Swallowtail Shiner"/>
    <s v="Notropis"/>
    <s v="gibbosus"/>
    <s v="U"/>
    <x v="0"/>
    <n v="8"/>
    <n v="11.81"/>
    <x v="35"/>
    <s v="356-02-5"/>
    <x v="35"/>
    <n v="8.6999999999999994E-2"/>
  </r>
  <r>
    <s v="GC007-JBA-08132021"/>
    <s v="Spill"/>
    <x v="0"/>
    <s v="Swallowtail Shiner"/>
    <s v="Notropis"/>
    <s v="gibbosus"/>
    <s v="U"/>
    <x v="0"/>
    <n v="8"/>
    <n v="11.81"/>
    <x v="36"/>
    <s v="914637-49-3"/>
    <x v="36"/>
    <n v="1.83"/>
  </r>
  <r>
    <s v="GC007-JBA-08132021"/>
    <s v="Spill"/>
    <x v="0"/>
    <s v="Swallowtail Shiner"/>
    <s v="Notropis"/>
    <s v="gibbosus"/>
    <s v="U"/>
    <x v="0"/>
    <n v="8"/>
    <n v="11.81"/>
    <x v="37"/>
    <s v="812-70-4"/>
    <x v="37"/>
    <n v="2.7"/>
  </r>
  <r>
    <s v="GC007-JBA-08132021"/>
    <s v="Spill"/>
    <x v="0"/>
    <s v="Swallowtail Shiner"/>
    <s v="Notropis"/>
    <s v="gibbosus"/>
    <s v="U"/>
    <x v="0"/>
    <n v="8"/>
    <n v="11.81"/>
    <x v="38"/>
    <s v="53826-12-3"/>
    <x v="38"/>
    <n v="4.8500000000000001E-2"/>
  </r>
  <r>
    <s v="GC007-JBA-08132021"/>
    <s v="Spill"/>
    <x v="0"/>
    <s v="Swallowtail Shiner"/>
    <s v="Notropis"/>
    <s v="gibbosus"/>
    <s v="U"/>
    <x v="0"/>
    <n v="8"/>
    <n v="11.81"/>
    <x v="39"/>
    <s v="27854-31-5"/>
    <x v="39"/>
    <n v="3.0300000000000001E-2"/>
  </r>
  <r>
    <s v="GC007-JBA-08132021"/>
    <s v="Spill"/>
    <x v="0"/>
    <s v="Swallowtail Shiner"/>
    <s v="Notropis"/>
    <s v="gibbosus"/>
    <s v="U"/>
    <x v="0"/>
    <n v="8"/>
    <n v="11.81"/>
    <x v="40"/>
    <s v="53826-13-4"/>
    <x v="40"/>
    <n v="0.1125"/>
  </r>
  <r>
    <s v="GC007-JBA-08132021"/>
    <s v="Spill"/>
    <x v="0"/>
    <s v="Swallowtail Shiner"/>
    <s v="Notropis"/>
    <s v="gibbosus"/>
    <s v="U"/>
    <x v="0"/>
    <n v="8"/>
    <n v="11.81"/>
    <x v="41"/>
    <s v="161094-75-3"/>
    <x v="41"/>
    <n v="5.9499999999999997E-2"/>
  </r>
  <r>
    <s v="GC007-JBA-08132021"/>
    <s v="Spill"/>
    <x v="0"/>
    <s v="Swallowtail Shiner"/>
    <s v="Notropis"/>
    <s v="gibbosus"/>
    <s v="U"/>
    <x v="0"/>
    <n v="8"/>
    <n v="11.81"/>
    <x v="42"/>
    <s v="70887-84-2"/>
    <x v="42"/>
    <n v="4.5600000000000002E-2"/>
  </r>
  <r>
    <s v="GC007-JBA-08132021"/>
    <s v="Spill"/>
    <x v="0"/>
    <s v="Swallowtail Shiner"/>
    <s v="Notropis"/>
    <s v="gibbosus"/>
    <s v="U"/>
    <x v="0"/>
    <n v="8"/>
    <n v="11.81"/>
    <x v="43"/>
    <s v="919005-14-4"/>
    <x v="43"/>
    <n v="7.5499999999999998E-2"/>
  </r>
  <r>
    <s v="GC007-JBA-08132021"/>
    <s v="Spill"/>
    <x v="0"/>
    <s v="Swallowtail Shiner"/>
    <s v="Notropis"/>
    <s v="gibbosus"/>
    <s v="U"/>
    <x v="0"/>
    <n v="8"/>
    <n v="11.81"/>
    <x v="44"/>
    <s v="756426-58-1"/>
    <x v="44"/>
    <n v="5.2499999999999998E-2"/>
  </r>
  <r>
    <s v="GC007-JBA-08132021"/>
    <s v="Spill"/>
    <x v="0"/>
    <s v="Swallowtail Shiner"/>
    <s v="Notropis"/>
    <s v="gibbosus"/>
    <s v="U"/>
    <x v="0"/>
    <n v="8"/>
    <n v="11.81"/>
    <x v="45"/>
    <s v="763051-92-9"/>
    <x v="45"/>
    <n v="5.9499999999999997E-2"/>
  </r>
  <r>
    <s v="GC007-JBA-08132021"/>
    <s v="Spill"/>
    <x v="0"/>
    <s v="Swallowtail Shiner"/>
    <s v="Notropis"/>
    <s v="gibbosus"/>
    <s v="U"/>
    <x v="0"/>
    <n v="8"/>
    <n v="11.81"/>
    <x v="46"/>
    <s v="13252-13-6"/>
    <x v="46"/>
    <n v="0.1085"/>
  </r>
  <r>
    <s v="GC007-JBA-08132021"/>
    <s v="Spill"/>
    <x v="0"/>
    <s v="Swallowtail Shiner"/>
    <s v="Notropis"/>
    <s v="gibbosus"/>
    <s v="U"/>
    <x v="0"/>
    <n v="8"/>
    <n v="11.81"/>
    <x v="47"/>
    <s v="57677-95-9"/>
    <x v="47"/>
    <n v="8.0500000000000002E-2"/>
  </r>
  <r>
    <s v="GC007-JBA-08132021"/>
    <s v="Spill"/>
    <x v="0"/>
    <s v="Swallowtail Shiner"/>
    <s v="Notropis"/>
    <s v="gibbosus"/>
    <s v="U"/>
    <x v="0"/>
    <n v="8"/>
    <n v="11.81"/>
    <x v="48"/>
    <s v="678-41-1"/>
    <x v="48"/>
    <n v="0.1"/>
  </r>
  <r>
    <s v="GC007-JBA-08132021"/>
    <s v="Spill"/>
    <x v="0"/>
    <s v="Swallowtail Shiner"/>
    <s v="Notropis"/>
    <s v="gibbosus"/>
    <s v="U"/>
    <x v="0"/>
    <n v="8"/>
    <n v="11.81"/>
    <x v="49"/>
    <s v="2965-52-8"/>
    <x v="49"/>
    <n v="0.13300000000000001"/>
  </r>
  <r>
    <s v="GC008-JBA-08132021"/>
    <s v="Spill"/>
    <x v="0"/>
    <s v="Swallowtail Shiner"/>
    <s v="Notropis"/>
    <s v="gibbosus"/>
    <s v="U"/>
    <x v="0"/>
    <n v="8"/>
    <n v="11.81"/>
    <x v="0"/>
    <s v="375-22-4"/>
    <x v="0"/>
    <n v="2.76E-2"/>
  </r>
  <r>
    <s v="GC008-JBA-08132021"/>
    <s v="Spill"/>
    <x v="0"/>
    <s v="Swallowtail Shiner"/>
    <s v="Notropis"/>
    <s v="gibbosus"/>
    <s v="U"/>
    <x v="0"/>
    <n v="8"/>
    <n v="11.81"/>
    <x v="1"/>
    <s v="2706-90-3"/>
    <x v="1"/>
    <n v="4.8649999999999999E-2"/>
  </r>
  <r>
    <s v="GC008-JBA-08132021"/>
    <s v="Spill"/>
    <x v="0"/>
    <s v="Swallowtail Shiner"/>
    <s v="Notropis"/>
    <s v="gibbosus"/>
    <s v="U"/>
    <x v="0"/>
    <n v="8"/>
    <n v="11.81"/>
    <x v="2"/>
    <s v="307-24-4"/>
    <x v="2"/>
    <n v="0.1225"/>
  </r>
  <r>
    <s v="GC008-JBA-08132021"/>
    <s v="Spill"/>
    <x v="0"/>
    <s v="Swallowtail Shiner"/>
    <s v="Notropis"/>
    <s v="gibbosus"/>
    <s v="U"/>
    <x v="0"/>
    <n v="8"/>
    <n v="11.81"/>
    <x v="3"/>
    <s v="375-85-9"/>
    <x v="3"/>
    <n v="2.76E-2"/>
  </r>
  <r>
    <s v="GC008-JBA-08132021"/>
    <s v="Spill"/>
    <x v="0"/>
    <s v="Swallowtail Shiner"/>
    <s v="Notropis"/>
    <s v="gibbosus"/>
    <s v="U"/>
    <x v="0"/>
    <n v="8"/>
    <n v="11.81"/>
    <x v="4"/>
    <s v="335-67-1"/>
    <x v="4"/>
    <n v="1.91"/>
  </r>
  <r>
    <s v="GC008-JBA-08132021"/>
    <s v="Spill"/>
    <x v="0"/>
    <s v="Swallowtail Shiner"/>
    <s v="Notropis"/>
    <s v="gibbosus"/>
    <s v="U"/>
    <x v="0"/>
    <n v="8"/>
    <n v="11.81"/>
    <x v="5"/>
    <s v="375-95-1"/>
    <x v="5"/>
    <n v="5.81"/>
  </r>
  <r>
    <s v="GC008-JBA-08132021"/>
    <s v="Spill"/>
    <x v="0"/>
    <s v="Swallowtail Shiner"/>
    <s v="Notropis"/>
    <s v="gibbosus"/>
    <s v="U"/>
    <x v="0"/>
    <n v="8"/>
    <n v="11.81"/>
    <x v="6"/>
    <s v="335-76-2"/>
    <x v="6"/>
    <n v="13.4"/>
  </r>
  <r>
    <s v="GC008-JBA-08132021"/>
    <s v="Spill"/>
    <x v="0"/>
    <s v="Swallowtail Shiner"/>
    <s v="Notropis"/>
    <s v="gibbosus"/>
    <s v="U"/>
    <x v="0"/>
    <n v="8"/>
    <n v="11.81"/>
    <x v="7"/>
    <s v="2058-94-8"/>
    <x v="7"/>
    <n v="30.2"/>
  </r>
  <r>
    <s v="GC008-JBA-08132021"/>
    <s v="Spill"/>
    <x v="0"/>
    <s v="Swallowtail Shiner"/>
    <s v="Notropis"/>
    <s v="gibbosus"/>
    <s v="U"/>
    <x v="0"/>
    <n v="8"/>
    <n v="11.81"/>
    <x v="8"/>
    <s v="307-55-1"/>
    <x v="8"/>
    <n v="27.9"/>
  </r>
  <r>
    <s v="GC008-JBA-08132021"/>
    <s v="Spill"/>
    <x v="0"/>
    <s v="Swallowtail Shiner"/>
    <s v="Notropis"/>
    <s v="gibbosus"/>
    <s v="U"/>
    <x v="0"/>
    <n v="8"/>
    <n v="11.81"/>
    <x v="9"/>
    <s v="72629-94-8"/>
    <x v="9"/>
    <n v="7.43"/>
  </r>
  <r>
    <s v="GC008-JBA-08132021"/>
    <s v="Spill"/>
    <x v="0"/>
    <s v="Swallowtail Shiner"/>
    <s v="Notropis"/>
    <s v="gibbosus"/>
    <s v="U"/>
    <x v="0"/>
    <n v="8"/>
    <n v="11.81"/>
    <x v="10"/>
    <s v="376-06-7"/>
    <x v="10"/>
    <n v="11.4"/>
  </r>
  <r>
    <s v="GC008-JBA-08132021"/>
    <s v="Spill"/>
    <x v="0"/>
    <s v="Swallowtail Shiner"/>
    <s v="Notropis"/>
    <s v="gibbosus"/>
    <s v="U"/>
    <x v="0"/>
    <n v="8"/>
    <n v="11.81"/>
    <x v="11"/>
    <s v="67905-19-5"/>
    <x v="11"/>
    <n v="8.2000000000000003E-2"/>
  </r>
  <r>
    <s v="GC008-JBA-08132021"/>
    <s v="Spill"/>
    <x v="0"/>
    <s v="Swallowtail Shiner"/>
    <s v="Notropis"/>
    <s v="gibbosus"/>
    <s v="U"/>
    <x v="0"/>
    <n v="8"/>
    <n v="11.81"/>
    <x v="12"/>
    <s v="423-41-6"/>
    <x v="12"/>
    <n v="5.2499999999999998E-2"/>
  </r>
  <r>
    <s v="GC008-JBA-08132021"/>
    <s v="Spill"/>
    <x v="0"/>
    <s v="Swallowtail Shiner"/>
    <s v="Notropis"/>
    <s v="gibbosus"/>
    <s v="U"/>
    <x v="0"/>
    <n v="8"/>
    <n v="11.81"/>
    <x v="13"/>
    <s v="375-73-5"/>
    <x v="13"/>
    <n v="0.155"/>
  </r>
  <r>
    <s v="GC008-JBA-08132021"/>
    <s v="Spill"/>
    <x v="0"/>
    <s v="Swallowtail Shiner"/>
    <s v="Notropis"/>
    <s v="gibbosus"/>
    <s v="U"/>
    <x v="0"/>
    <n v="8"/>
    <n v="11.81"/>
    <x v="14"/>
    <s v="2706-91-4"/>
    <x v="14"/>
    <n v="0.36799999999999999"/>
  </r>
  <r>
    <s v="GC008-JBA-08132021"/>
    <s v="Spill"/>
    <x v="0"/>
    <s v="Swallowtail Shiner"/>
    <s v="Notropis"/>
    <s v="gibbosus"/>
    <s v="U"/>
    <x v="0"/>
    <n v="8"/>
    <n v="11.81"/>
    <x v="15"/>
    <s v="355-46-4"/>
    <x v="15"/>
    <n v="50.7"/>
  </r>
  <r>
    <s v="GC008-JBA-08132021"/>
    <s v="Spill"/>
    <x v="0"/>
    <s v="Swallowtail Shiner"/>
    <s v="Notropis"/>
    <s v="gibbosus"/>
    <s v="U"/>
    <x v="0"/>
    <n v="8"/>
    <n v="11.81"/>
    <x v="16"/>
    <s v="375-92-8"/>
    <x v="16"/>
    <n v="5.42"/>
  </r>
  <r>
    <s v="GC008-JBA-08132021"/>
    <s v="Spill"/>
    <x v="0"/>
    <s v="Swallowtail Shiner"/>
    <s v="Notropis"/>
    <s v="gibbosus"/>
    <s v="U"/>
    <x v="0"/>
    <n v="8"/>
    <n v="11.81"/>
    <x v="17"/>
    <s v="1763-23-1"/>
    <x v="17"/>
    <n v="1050"/>
  </r>
  <r>
    <s v="GC008-JBA-08132021"/>
    <s v="Spill"/>
    <x v="0"/>
    <s v="Swallowtail Shiner"/>
    <s v="Notropis"/>
    <s v="gibbosus"/>
    <s v="U"/>
    <x v="0"/>
    <n v="8"/>
    <n v="11.81"/>
    <x v="18"/>
    <s v="68259-12-1"/>
    <x v="18"/>
    <n v="0.47099999999999997"/>
  </r>
  <r>
    <s v="GC008-JBA-08132021"/>
    <s v="Spill"/>
    <x v="0"/>
    <s v="Swallowtail Shiner"/>
    <s v="Notropis"/>
    <s v="gibbosus"/>
    <s v="U"/>
    <x v="0"/>
    <n v="8"/>
    <n v="11.81"/>
    <x v="19"/>
    <s v="335-77-3"/>
    <x v="19"/>
    <n v="3.15"/>
  </r>
  <r>
    <s v="GC008-JBA-08132021"/>
    <s v="Spill"/>
    <x v="0"/>
    <s v="Swallowtail Shiner"/>
    <s v="Notropis"/>
    <s v="gibbosus"/>
    <s v="U"/>
    <x v="0"/>
    <n v="8"/>
    <n v="11.81"/>
    <x v="20"/>
    <s v="79780-39-5"/>
    <x v="20"/>
    <n v="0.24299999999999999"/>
  </r>
  <r>
    <s v="GC008-JBA-08132021"/>
    <s v="Spill"/>
    <x v="0"/>
    <s v="Swallowtail Shiner"/>
    <s v="Notropis"/>
    <s v="gibbosus"/>
    <s v="U"/>
    <x v="0"/>
    <n v="8"/>
    <n v="11.81"/>
    <x v="21"/>
    <s v="777011-38-8"/>
    <x v="21"/>
    <n v="0.13800000000000001"/>
  </r>
  <r>
    <s v="GC008-JBA-08132021"/>
    <s v="Spill"/>
    <x v="0"/>
    <s v="Swallowtail Shiner"/>
    <s v="Notropis"/>
    <s v="gibbosus"/>
    <s v="U"/>
    <x v="0"/>
    <n v="8"/>
    <n v="11.81"/>
    <x v="22"/>
    <s v="646-83-3"/>
    <x v="22"/>
    <n v="0.19700000000000001"/>
  </r>
  <r>
    <s v="GC008-JBA-08132021"/>
    <s v="Spill"/>
    <x v="0"/>
    <s v="Swallowtail Shiner"/>
    <s v="Notropis"/>
    <s v="gibbosus"/>
    <s v="U"/>
    <x v="0"/>
    <n v="8"/>
    <n v="11.81"/>
    <x v="23"/>
    <s v="30334-69-1"/>
    <x v="23"/>
    <n v="39.6"/>
  </r>
  <r>
    <s v="GC008-JBA-08132021"/>
    <s v="Spill"/>
    <x v="0"/>
    <s v="Swallowtail Shiner"/>
    <s v="Notropis"/>
    <s v="gibbosus"/>
    <s v="U"/>
    <x v="0"/>
    <n v="8"/>
    <n v="11.81"/>
    <x v="24"/>
    <s v="41997-13-1"/>
    <x v="24"/>
    <n v="171"/>
  </r>
  <r>
    <s v="GC008-JBA-08132021"/>
    <s v="Spill"/>
    <x v="0"/>
    <s v="Swallowtail Shiner"/>
    <s v="Notropis"/>
    <s v="gibbosus"/>
    <s v="U"/>
    <x v="0"/>
    <n v="8"/>
    <n v="11.81"/>
    <x v="25"/>
    <s v="754-91-6"/>
    <x v="25"/>
    <n v="18.5"/>
  </r>
  <r>
    <s v="GC008-JBA-08132021"/>
    <s v="Spill"/>
    <x v="0"/>
    <s v="Swallowtail Shiner"/>
    <s v="Notropis"/>
    <s v="gibbosus"/>
    <s v="U"/>
    <x v="0"/>
    <n v="8"/>
    <n v="11.81"/>
    <x v="26"/>
    <s v="31506-32-8"/>
    <x v="26"/>
    <n v="5.2999999999999999E-2"/>
  </r>
  <r>
    <s v="GC008-JBA-08132021"/>
    <s v="Spill"/>
    <x v="0"/>
    <s v="Swallowtail Shiner"/>
    <s v="Notropis"/>
    <s v="gibbosus"/>
    <s v="U"/>
    <x v="0"/>
    <n v="8"/>
    <n v="11.81"/>
    <x v="27"/>
    <s v="4151-50-2"/>
    <x v="27"/>
    <n v="8.0500000000000002E-2"/>
  </r>
  <r>
    <s v="GC008-JBA-08132021"/>
    <s v="Spill"/>
    <x v="0"/>
    <s v="Swallowtail Shiner"/>
    <s v="Notropis"/>
    <s v="gibbosus"/>
    <s v="U"/>
    <x v="0"/>
    <n v="8"/>
    <n v="11.81"/>
    <x v="28"/>
    <s v="2806-24-8"/>
    <x v="28"/>
    <n v="5.45E-2"/>
  </r>
  <r>
    <s v="GC008-JBA-08132021"/>
    <s v="Spill"/>
    <x v="0"/>
    <s v="Swallowtail Shiner"/>
    <s v="Notropis"/>
    <s v="gibbosus"/>
    <s v="U"/>
    <x v="0"/>
    <n v="8"/>
    <n v="11.81"/>
    <x v="29"/>
    <s v="2355-31-9"/>
    <x v="29"/>
    <n v="0.22900000000000001"/>
  </r>
  <r>
    <s v="GC008-JBA-08132021"/>
    <s v="Spill"/>
    <x v="0"/>
    <s v="Swallowtail Shiner"/>
    <s v="Notropis"/>
    <s v="gibbosus"/>
    <s v="U"/>
    <x v="0"/>
    <n v="8"/>
    <n v="11.81"/>
    <x v="30"/>
    <s v="2991-50-6"/>
    <x v="30"/>
    <n v="0.06"/>
  </r>
  <r>
    <s v="GC008-JBA-08132021"/>
    <s v="Spill"/>
    <x v="0"/>
    <s v="Swallowtail Shiner"/>
    <s v="Notropis"/>
    <s v="gibbosus"/>
    <s v="U"/>
    <x v="0"/>
    <n v="8"/>
    <n v="11.81"/>
    <x v="31"/>
    <s v="757124-72-4"/>
    <x v="31"/>
    <n v="5.6500000000000002E-2"/>
  </r>
  <r>
    <s v="GC008-JBA-08132021"/>
    <s v="Spill"/>
    <x v="0"/>
    <s v="Swallowtail Shiner"/>
    <s v="Notropis"/>
    <s v="gibbosus"/>
    <s v="U"/>
    <x v="0"/>
    <n v="8"/>
    <n v="11.81"/>
    <x v="32"/>
    <s v="27619-97-2"/>
    <x v="32"/>
    <n v="0.81799999999999995"/>
  </r>
  <r>
    <s v="GC008-JBA-08132021"/>
    <s v="Spill"/>
    <x v="0"/>
    <s v="Swallowtail Shiner"/>
    <s v="Notropis"/>
    <s v="gibbosus"/>
    <s v="U"/>
    <x v="0"/>
    <n v="8"/>
    <n v="11.81"/>
    <x v="33"/>
    <s v="39108-34-4"/>
    <x v="33"/>
    <n v="24.4"/>
  </r>
  <r>
    <s v="GC008-JBA-08132021"/>
    <s v="Spill"/>
    <x v="0"/>
    <s v="Swallowtail Shiner"/>
    <s v="Notropis"/>
    <s v="gibbosus"/>
    <s v="U"/>
    <x v="0"/>
    <n v="8"/>
    <n v="11.81"/>
    <x v="34"/>
    <s v="120226-60-0"/>
    <x v="34"/>
    <n v="7.8E-2"/>
  </r>
  <r>
    <s v="GC008-JBA-08132021"/>
    <s v="Spill"/>
    <x v="0"/>
    <s v="Swallowtail Shiner"/>
    <s v="Notropis"/>
    <s v="gibbosus"/>
    <s v="U"/>
    <x v="0"/>
    <n v="8"/>
    <n v="11.81"/>
    <x v="35"/>
    <s v="356-02-5"/>
    <x v="35"/>
    <n v="7.9500000000000001E-2"/>
  </r>
  <r>
    <s v="GC008-JBA-08132021"/>
    <s v="Spill"/>
    <x v="0"/>
    <s v="Swallowtail Shiner"/>
    <s v="Notropis"/>
    <s v="gibbosus"/>
    <s v="U"/>
    <x v="0"/>
    <n v="8"/>
    <n v="11.81"/>
    <x v="36"/>
    <s v="914637-49-3"/>
    <x v="36"/>
    <n v="5.1999999999999998E-2"/>
  </r>
  <r>
    <s v="GC008-JBA-08132021"/>
    <s v="Spill"/>
    <x v="0"/>
    <s v="Swallowtail Shiner"/>
    <s v="Notropis"/>
    <s v="gibbosus"/>
    <s v="U"/>
    <x v="0"/>
    <n v="8"/>
    <n v="11.81"/>
    <x v="37"/>
    <s v="812-70-4"/>
    <x v="37"/>
    <n v="13.1"/>
  </r>
  <r>
    <s v="GC008-JBA-08132021"/>
    <s v="Spill"/>
    <x v="0"/>
    <s v="Swallowtail Shiner"/>
    <s v="Notropis"/>
    <s v="gibbosus"/>
    <s v="U"/>
    <x v="0"/>
    <n v="8"/>
    <n v="11.81"/>
    <x v="38"/>
    <s v="53826-12-3"/>
    <x v="38"/>
    <n v="4.4249999999999998E-2"/>
  </r>
  <r>
    <s v="GC008-JBA-08132021"/>
    <s v="Spill"/>
    <x v="0"/>
    <s v="Swallowtail Shiner"/>
    <s v="Notropis"/>
    <s v="gibbosus"/>
    <s v="U"/>
    <x v="0"/>
    <n v="8"/>
    <n v="11.81"/>
    <x v="39"/>
    <s v="27854-31-5"/>
    <x v="39"/>
    <n v="2.76E-2"/>
  </r>
  <r>
    <s v="GC008-JBA-08132021"/>
    <s v="Spill"/>
    <x v="0"/>
    <s v="Swallowtail Shiner"/>
    <s v="Notropis"/>
    <s v="gibbosus"/>
    <s v="U"/>
    <x v="0"/>
    <n v="8"/>
    <n v="11.81"/>
    <x v="40"/>
    <s v="53826-13-4"/>
    <x v="40"/>
    <n v="0.10299999999999999"/>
  </r>
  <r>
    <s v="GC008-JBA-08132021"/>
    <s v="Spill"/>
    <x v="0"/>
    <s v="Swallowtail Shiner"/>
    <s v="Notropis"/>
    <s v="gibbosus"/>
    <s v="U"/>
    <x v="0"/>
    <n v="8"/>
    <n v="11.81"/>
    <x v="41"/>
    <s v="161094-75-3"/>
    <x v="41"/>
    <n v="5.3999999999999999E-2"/>
  </r>
  <r>
    <s v="GC008-JBA-08132021"/>
    <s v="Spill"/>
    <x v="0"/>
    <s v="Swallowtail Shiner"/>
    <s v="Notropis"/>
    <s v="gibbosus"/>
    <s v="U"/>
    <x v="0"/>
    <n v="8"/>
    <n v="11.81"/>
    <x v="42"/>
    <s v="70887-84-2"/>
    <x v="42"/>
    <n v="4.165E-2"/>
  </r>
  <r>
    <s v="GC008-JBA-08132021"/>
    <s v="Spill"/>
    <x v="0"/>
    <s v="Swallowtail Shiner"/>
    <s v="Notropis"/>
    <s v="gibbosus"/>
    <s v="U"/>
    <x v="0"/>
    <n v="8"/>
    <n v="11.81"/>
    <x v="43"/>
    <s v="919005-14-4"/>
    <x v="43"/>
    <n v="6.9000000000000006E-2"/>
  </r>
  <r>
    <s v="GC008-JBA-08132021"/>
    <s v="Spill"/>
    <x v="0"/>
    <s v="Swallowtail Shiner"/>
    <s v="Notropis"/>
    <s v="gibbosus"/>
    <s v="U"/>
    <x v="0"/>
    <n v="8"/>
    <n v="11.81"/>
    <x v="44"/>
    <s v="756426-58-1"/>
    <x v="44"/>
    <n v="4.7899999999999998E-2"/>
  </r>
  <r>
    <s v="GC008-JBA-08132021"/>
    <s v="Spill"/>
    <x v="0"/>
    <s v="Swallowtail Shiner"/>
    <s v="Notropis"/>
    <s v="gibbosus"/>
    <s v="U"/>
    <x v="0"/>
    <n v="8"/>
    <n v="11.81"/>
    <x v="45"/>
    <s v="763051-92-9"/>
    <x v="45"/>
    <n v="5.3999999999999999E-2"/>
  </r>
  <r>
    <s v="GC008-JBA-08132021"/>
    <s v="Spill"/>
    <x v="0"/>
    <s v="Swallowtail Shiner"/>
    <s v="Notropis"/>
    <s v="gibbosus"/>
    <s v="U"/>
    <x v="0"/>
    <n v="8"/>
    <n v="11.81"/>
    <x v="46"/>
    <s v="13252-13-6"/>
    <x v="46"/>
    <n v="9.9000000000000005E-2"/>
  </r>
  <r>
    <s v="GC008-JBA-08132021"/>
    <s v="Spill"/>
    <x v="0"/>
    <s v="Swallowtail Shiner"/>
    <s v="Notropis"/>
    <s v="gibbosus"/>
    <s v="U"/>
    <x v="0"/>
    <n v="8"/>
    <n v="11.81"/>
    <x v="47"/>
    <s v="57677-95-9"/>
    <x v="47"/>
    <n v="7.3499999999999996E-2"/>
  </r>
  <r>
    <s v="GC008-JBA-08132021"/>
    <s v="Spill"/>
    <x v="0"/>
    <s v="Swallowtail Shiner"/>
    <s v="Notropis"/>
    <s v="gibbosus"/>
    <s v="U"/>
    <x v="0"/>
    <n v="8"/>
    <n v="11.81"/>
    <x v="48"/>
    <s v="678-41-1"/>
    <x v="48"/>
    <n v="9.1499999999999998E-2"/>
  </r>
  <r>
    <s v="GC008-JBA-08132021"/>
    <s v="Spill"/>
    <x v="0"/>
    <s v="Swallowtail Shiner"/>
    <s v="Notropis"/>
    <s v="gibbosus"/>
    <s v="U"/>
    <x v="0"/>
    <n v="8"/>
    <n v="11.81"/>
    <x v="49"/>
    <s v="2965-52-8"/>
    <x v="49"/>
    <n v="0.121"/>
  </r>
  <r>
    <s v="GC009-JBA-08132021"/>
    <s v="Spill"/>
    <x v="0"/>
    <s v="Swallowtail Shiner"/>
    <s v="Notropis"/>
    <s v="gibbosus"/>
    <s v="U"/>
    <x v="0"/>
    <n v="8"/>
    <n v="11.81"/>
    <x v="0"/>
    <s v="375-22-4"/>
    <x v="0"/>
    <n v="2.7099999999999999E-2"/>
  </r>
  <r>
    <s v="GC009-JBA-08132021"/>
    <s v="Spill"/>
    <x v="0"/>
    <s v="Swallowtail Shiner"/>
    <s v="Notropis"/>
    <s v="gibbosus"/>
    <s v="U"/>
    <x v="0"/>
    <n v="8"/>
    <n v="11.81"/>
    <x v="1"/>
    <s v="2706-90-3"/>
    <x v="1"/>
    <n v="4.8050000000000002E-2"/>
  </r>
  <r>
    <s v="GC009-JBA-08132021"/>
    <s v="Spill"/>
    <x v="0"/>
    <s v="Swallowtail Shiner"/>
    <s v="Notropis"/>
    <s v="gibbosus"/>
    <s v="U"/>
    <x v="0"/>
    <n v="8"/>
    <n v="11.81"/>
    <x v="2"/>
    <s v="307-24-4"/>
    <x v="2"/>
    <n v="0.121"/>
  </r>
  <r>
    <s v="GC009-JBA-08132021"/>
    <s v="Spill"/>
    <x v="0"/>
    <s v="Swallowtail Shiner"/>
    <s v="Notropis"/>
    <s v="gibbosus"/>
    <s v="U"/>
    <x v="0"/>
    <n v="8"/>
    <n v="11.81"/>
    <x v="3"/>
    <s v="375-85-9"/>
    <x v="3"/>
    <n v="8.9499999999999996E-2"/>
  </r>
  <r>
    <s v="GC009-JBA-08132021"/>
    <s v="Spill"/>
    <x v="0"/>
    <s v="Swallowtail Shiner"/>
    <s v="Notropis"/>
    <s v="gibbosus"/>
    <s v="U"/>
    <x v="0"/>
    <n v="8"/>
    <n v="11.81"/>
    <x v="4"/>
    <s v="335-67-1"/>
    <x v="4"/>
    <n v="5.32"/>
  </r>
  <r>
    <s v="GC009-JBA-08132021"/>
    <s v="Spill"/>
    <x v="0"/>
    <s v="Swallowtail Shiner"/>
    <s v="Notropis"/>
    <s v="gibbosus"/>
    <s v="U"/>
    <x v="0"/>
    <n v="8"/>
    <n v="11.81"/>
    <x v="5"/>
    <s v="375-95-1"/>
    <x v="5"/>
    <n v="10"/>
  </r>
  <r>
    <s v="GC009-JBA-08132021"/>
    <s v="Spill"/>
    <x v="0"/>
    <s v="Swallowtail Shiner"/>
    <s v="Notropis"/>
    <s v="gibbosus"/>
    <s v="U"/>
    <x v="0"/>
    <n v="8"/>
    <n v="11.81"/>
    <x v="6"/>
    <s v="335-76-2"/>
    <x v="6"/>
    <n v="12.2"/>
  </r>
  <r>
    <s v="GC009-JBA-08132021"/>
    <s v="Spill"/>
    <x v="0"/>
    <s v="Swallowtail Shiner"/>
    <s v="Notropis"/>
    <s v="gibbosus"/>
    <s v="U"/>
    <x v="0"/>
    <n v="8"/>
    <n v="11.81"/>
    <x v="7"/>
    <s v="2058-94-8"/>
    <x v="7"/>
    <n v="14.4"/>
  </r>
  <r>
    <s v="GC009-JBA-08132021"/>
    <s v="Spill"/>
    <x v="0"/>
    <s v="Swallowtail Shiner"/>
    <s v="Notropis"/>
    <s v="gibbosus"/>
    <s v="U"/>
    <x v="0"/>
    <n v="8"/>
    <n v="11.81"/>
    <x v="8"/>
    <s v="307-55-1"/>
    <x v="8"/>
    <n v="19.7"/>
  </r>
  <r>
    <s v="GC009-JBA-08132021"/>
    <s v="Spill"/>
    <x v="0"/>
    <s v="Swallowtail Shiner"/>
    <s v="Notropis"/>
    <s v="gibbosus"/>
    <s v="U"/>
    <x v="0"/>
    <n v="8"/>
    <n v="11.81"/>
    <x v="9"/>
    <s v="72629-94-8"/>
    <x v="9"/>
    <n v="9.83"/>
  </r>
  <r>
    <s v="GC009-JBA-08132021"/>
    <s v="Spill"/>
    <x v="0"/>
    <s v="Swallowtail Shiner"/>
    <s v="Notropis"/>
    <s v="gibbosus"/>
    <s v="U"/>
    <x v="0"/>
    <n v="8"/>
    <n v="11.81"/>
    <x v="10"/>
    <s v="376-06-7"/>
    <x v="10"/>
    <n v="9.0399999999999991"/>
  </r>
  <r>
    <s v="GC009-JBA-08132021"/>
    <s v="Spill"/>
    <x v="0"/>
    <s v="Swallowtail Shiner"/>
    <s v="Notropis"/>
    <s v="gibbosus"/>
    <s v="U"/>
    <x v="0"/>
    <n v="8"/>
    <n v="11.81"/>
    <x v="11"/>
    <s v="67905-19-5"/>
    <x v="11"/>
    <n v="8.1000000000000003E-2"/>
  </r>
  <r>
    <s v="GC009-JBA-08132021"/>
    <s v="Spill"/>
    <x v="0"/>
    <s v="Swallowtail Shiner"/>
    <s v="Notropis"/>
    <s v="gibbosus"/>
    <s v="U"/>
    <x v="0"/>
    <n v="8"/>
    <n v="11.81"/>
    <x v="12"/>
    <s v="423-41-6"/>
    <x v="12"/>
    <n v="5.1999999999999998E-2"/>
  </r>
  <r>
    <s v="GC009-JBA-08132021"/>
    <s v="Spill"/>
    <x v="0"/>
    <s v="Swallowtail Shiner"/>
    <s v="Notropis"/>
    <s v="gibbosus"/>
    <s v="U"/>
    <x v="0"/>
    <n v="8"/>
    <n v="11.81"/>
    <x v="13"/>
    <s v="375-73-5"/>
    <x v="13"/>
    <n v="0.1525"/>
  </r>
  <r>
    <s v="GC009-JBA-08132021"/>
    <s v="Spill"/>
    <x v="0"/>
    <s v="Swallowtail Shiner"/>
    <s v="Notropis"/>
    <s v="gibbosus"/>
    <s v="U"/>
    <x v="0"/>
    <n v="8"/>
    <n v="11.81"/>
    <x v="14"/>
    <s v="2706-91-4"/>
    <x v="14"/>
    <n v="0.628"/>
  </r>
  <r>
    <s v="GC009-JBA-08132021"/>
    <s v="Spill"/>
    <x v="0"/>
    <s v="Swallowtail Shiner"/>
    <s v="Notropis"/>
    <s v="gibbosus"/>
    <s v="U"/>
    <x v="0"/>
    <n v="8"/>
    <n v="11.81"/>
    <x v="15"/>
    <s v="355-46-4"/>
    <x v="15"/>
    <n v="69.8"/>
  </r>
  <r>
    <s v="GC009-JBA-08132021"/>
    <s v="Spill"/>
    <x v="0"/>
    <s v="Swallowtail Shiner"/>
    <s v="Notropis"/>
    <s v="gibbosus"/>
    <s v="U"/>
    <x v="0"/>
    <n v="8"/>
    <n v="11.81"/>
    <x v="16"/>
    <s v="375-92-8"/>
    <x v="16"/>
    <n v="4.45"/>
  </r>
  <r>
    <s v="GC009-JBA-08132021"/>
    <s v="Spill"/>
    <x v="0"/>
    <s v="Swallowtail Shiner"/>
    <s v="Notropis"/>
    <s v="gibbosus"/>
    <s v="U"/>
    <x v="0"/>
    <n v="8"/>
    <n v="11.81"/>
    <x v="17"/>
    <s v="1763-23-1"/>
    <x v="17"/>
    <n v="1110"/>
  </r>
  <r>
    <s v="GC009-JBA-08132021"/>
    <s v="Spill"/>
    <x v="0"/>
    <s v="Swallowtail Shiner"/>
    <s v="Notropis"/>
    <s v="gibbosus"/>
    <s v="U"/>
    <x v="0"/>
    <n v="8"/>
    <n v="11.81"/>
    <x v="18"/>
    <s v="68259-12-1"/>
    <x v="18"/>
    <n v="1.41"/>
  </r>
  <r>
    <s v="GC009-JBA-08132021"/>
    <s v="Spill"/>
    <x v="0"/>
    <s v="Swallowtail Shiner"/>
    <s v="Notropis"/>
    <s v="gibbosus"/>
    <s v="U"/>
    <x v="0"/>
    <n v="8"/>
    <n v="11.81"/>
    <x v="19"/>
    <s v="335-77-3"/>
    <x v="19"/>
    <n v="11"/>
  </r>
  <r>
    <s v="GC009-JBA-08132021"/>
    <s v="Spill"/>
    <x v="0"/>
    <s v="Swallowtail Shiner"/>
    <s v="Notropis"/>
    <s v="gibbosus"/>
    <s v="U"/>
    <x v="0"/>
    <n v="8"/>
    <n v="11.81"/>
    <x v="20"/>
    <s v="79780-39-5"/>
    <x v="20"/>
    <n v="0.81799999999999995"/>
  </r>
  <r>
    <s v="GC009-JBA-08132021"/>
    <s v="Spill"/>
    <x v="0"/>
    <s v="Swallowtail Shiner"/>
    <s v="Notropis"/>
    <s v="gibbosus"/>
    <s v="U"/>
    <x v="0"/>
    <n v="8"/>
    <n v="11.81"/>
    <x v="21"/>
    <s v="777011-38-8"/>
    <x v="21"/>
    <n v="0.13650000000000001"/>
  </r>
  <r>
    <s v="GC009-JBA-08132021"/>
    <s v="Spill"/>
    <x v="0"/>
    <s v="Swallowtail Shiner"/>
    <s v="Notropis"/>
    <s v="gibbosus"/>
    <s v="U"/>
    <x v="0"/>
    <n v="8"/>
    <n v="11.81"/>
    <x v="22"/>
    <s v="646-83-3"/>
    <x v="22"/>
    <n v="0.21099999999999999"/>
  </r>
  <r>
    <s v="GC009-JBA-08132021"/>
    <s v="Spill"/>
    <x v="0"/>
    <s v="Swallowtail Shiner"/>
    <s v="Notropis"/>
    <s v="gibbosus"/>
    <s v="U"/>
    <x v="0"/>
    <n v="8"/>
    <n v="11.81"/>
    <x v="23"/>
    <s v="30334-69-1"/>
    <x v="23"/>
    <n v="77"/>
  </r>
  <r>
    <s v="GC009-JBA-08132021"/>
    <s v="Spill"/>
    <x v="0"/>
    <s v="Swallowtail Shiner"/>
    <s v="Notropis"/>
    <s v="gibbosus"/>
    <s v="U"/>
    <x v="0"/>
    <n v="8"/>
    <n v="11.81"/>
    <x v="24"/>
    <s v="41997-13-1"/>
    <x v="24"/>
    <n v="206"/>
  </r>
  <r>
    <s v="GC009-JBA-08132021"/>
    <s v="Spill"/>
    <x v="0"/>
    <s v="Swallowtail Shiner"/>
    <s v="Notropis"/>
    <s v="gibbosus"/>
    <s v="U"/>
    <x v="0"/>
    <n v="8"/>
    <n v="11.81"/>
    <x v="25"/>
    <s v="754-91-6"/>
    <x v="25"/>
    <n v="15.5"/>
  </r>
  <r>
    <s v="GC009-JBA-08132021"/>
    <s v="Spill"/>
    <x v="0"/>
    <s v="Swallowtail Shiner"/>
    <s v="Notropis"/>
    <s v="gibbosus"/>
    <s v="U"/>
    <x v="0"/>
    <n v="8"/>
    <n v="11.81"/>
    <x v="26"/>
    <s v="31506-32-8"/>
    <x v="26"/>
    <n v="5.2499999999999998E-2"/>
  </r>
  <r>
    <s v="GC009-JBA-08132021"/>
    <s v="Spill"/>
    <x v="0"/>
    <s v="Swallowtail Shiner"/>
    <s v="Notropis"/>
    <s v="gibbosus"/>
    <s v="U"/>
    <x v="0"/>
    <n v="8"/>
    <n v="11.81"/>
    <x v="27"/>
    <s v="4151-50-2"/>
    <x v="27"/>
    <n v="7.9500000000000001E-2"/>
  </r>
  <r>
    <s v="GC009-JBA-08132021"/>
    <s v="Spill"/>
    <x v="0"/>
    <s v="Swallowtail Shiner"/>
    <s v="Notropis"/>
    <s v="gibbosus"/>
    <s v="U"/>
    <x v="0"/>
    <n v="8"/>
    <n v="11.81"/>
    <x v="28"/>
    <s v="2806-24-8"/>
    <x v="28"/>
    <n v="0.45"/>
  </r>
  <r>
    <s v="GC009-JBA-08132021"/>
    <s v="Spill"/>
    <x v="0"/>
    <s v="Swallowtail Shiner"/>
    <s v="Notropis"/>
    <s v="gibbosus"/>
    <s v="U"/>
    <x v="0"/>
    <n v="8"/>
    <n v="11.81"/>
    <x v="29"/>
    <s v="2355-31-9"/>
    <x v="29"/>
    <n v="1.5"/>
  </r>
  <r>
    <s v="GC009-JBA-08132021"/>
    <s v="Spill"/>
    <x v="0"/>
    <s v="Swallowtail Shiner"/>
    <s v="Notropis"/>
    <s v="gibbosus"/>
    <s v="U"/>
    <x v="0"/>
    <n v="8"/>
    <n v="11.81"/>
    <x v="30"/>
    <s v="2991-50-6"/>
    <x v="30"/>
    <n v="5.8999999999999997E-2"/>
  </r>
  <r>
    <s v="GC009-JBA-08132021"/>
    <s v="Spill"/>
    <x v="0"/>
    <s v="Swallowtail Shiner"/>
    <s v="Notropis"/>
    <s v="gibbosus"/>
    <s v="U"/>
    <x v="0"/>
    <n v="8"/>
    <n v="11.81"/>
    <x v="31"/>
    <s v="757124-72-4"/>
    <x v="31"/>
    <n v="5.6000000000000001E-2"/>
  </r>
  <r>
    <s v="GC009-JBA-08132021"/>
    <s v="Spill"/>
    <x v="0"/>
    <s v="Swallowtail Shiner"/>
    <s v="Notropis"/>
    <s v="gibbosus"/>
    <s v="U"/>
    <x v="0"/>
    <n v="8"/>
    <n v="11.81"/>
    <x v="32"/>
    <s v="27619-97-2"/>
    <x v="32"/>
    <n v="0.44900000000000001"/>
  </r>
  <r>
    <s v="GC009-JBA-08132021"/>
    <s v="Spill"/>
    <x v="0"/>
    <s v="Swallowtail Shiner"/>
    <s v="Notropis"/>
    <s v="gibbosus"/>
    <s v="U"/>
    <x v="0"/>
    <n v="8"/>
    <n v="11.81"/>
    <x v="33"/>
    <s v="39108-34-4"/>
    <x v="33"/>
    <n v="21.3"/>
  </r>
  <r>
    <s v="GC009-JBA-08132021"/>
    <s v="Spill"/>
    <x v="0"/>
    <s v="Swallowtail Shiner"/>
    <s v="Notropis"/>
    <s v="gibbosus"/>
    <s v="U"/>
    <x v="0"/>
    <n v="8"/>
    <n v="11.81"/>
    <x v="34"/>
    <s v="120226-60-0"/>
    <x v="34"/>
    <n v="0.255"/>
  </r>
  <r>
    <s v="GC009-JBA-08132021"/>
    <s v="Spill"/>
    <x v="0"/>
    <s v="Swallowtail Shiner"/>
    <s v="Notropis"/>
    <s v="gibbosus"/>
    <s v="U"/>
    <x v="0"/>
    <n v="8"/>
    <n v="11.81"/>
    <x v="35"/>
    <s v="356-02-5"/>
    <x v="35"/>
    <n v="7.85E-2"/>
  </r>
  <r>
    <s v="GC009-JBA-08132021"/>
    <s v="Spill"/>
    <x v="0"/>
    <s v="Swallowtail Shiner"/>
    <s v="Notropis"/>
    <s v="gibbosus"/>
    <s v="U"/>
    <x v="0"/>
    <n v="8"/>
    <n v="11.81"/>
    <x v="36"/>
    <s v="914637-49-3"/>
    <x v="36"/>
    <n v="1.7"/>
  </r>
  <r>
    <s v="GC009-JBA-08132021"/>
    <s v="Spill"/>
    <x v="0"/>
    <s v="Swallowtail Shiner"/>
    <s v="Notropis"/>
    <s v="gibbosus"/>
    <s v="U"/>
    <x v="0"/>
    <n v="8"/>
    <n v="11.81"/>
    <x v="37"/>
    <s v="812-70-4"/>
    <x v="37"/>
    <n v="11.6"/>
  </r>
  <r>
    <s v="GC009-JBA-08132021"/>
    <s v="Spill"/>
    <x v="0"/>
    <s v="Swallowtail Shiner"/>
    <s v="Notropis"/>
    <s v="gibbosus"/>
    <s v="U"/>
    <x v="0"/>
    <n v="8"/>
    <n v="11.81"/>
    <x v="38"/>
    <s v="53826-12-3"/>
    <x v="38"/>
    <n v="4.3650000000000001E-2"/>
  </r>
  <r>
    <s v="GC009-JBA-08132021"/>
    <s v="Spill"/>
    <x v="0"/>
    <s v="Swallowtail Shiner"/>
    <s v="Notropis"/>
    <s v="gibbosus"/>
    <s v="U"/>
    <x v="0"/>
    <n v="8"/>
    <n v="11.81"/>
    <x v="39"/>
    <s v="27854-31-5"/>
    <x v="39"/>
    <n v="2.7099999999999999E-2"/>
  </r>
  <r>
    <s v="GC009-JBA-08132021"/>
    <s v="Spill"/>
    <x v="0"/>
    <s v="Swallowtail Shiner"/>
    <s v="Notropis"/>
    <s v="gibbosus"/>
    <s v="U"/>
    <x v="0"/>
    <n v="8"/>
    <n v="11.81"/>
    <x v="40"/>
    <s v="53826-13-4"/>
    <x v="40"/>
    <n v="0.10150000000000001"/>
  </r>
  <r>
    <s v="GC009-JBA-08132021"/>
    <s v="Spill"/>
    <x v="0"/>
    <s v="Swallowtail Shiner"/>
    <s v="Notropis"/>
    <s v="gibbosus"/>
    <s v="U"/>
    <x v="0"/>
    <n v="8"/>
    <n v="11.81"/>
    <x v="41"/>
    <s v="161094-75-3"/>
    <x v="41"/>
    <n v="5.3499999999999999E-2"/>
  </r>
  <r>
    <s v="GC009-JBA-08132021"/>
    <s v="Spill"/>
    <x v="0"/>
    <s v="Swallowtail Shiner"/>
    <s v="Notropis"/>
    <s v="gibbosus"/>
    <s v="U"/>
    <x v="0"/>
    <n v="8"/>
    <n v="11.81"/>
    <x v="42"/>
    <s v="70887-84-2"/>
    <x v="42"/>
    <n v="4.1050000000000003E-2"/>
  </r>
  <r>
    <s v="GC009-JBA-08132021"/>
    <s v="Spill"/>
    <x v="0"/>
    <s v="Swallowtail Shiner"/>
    <s v="Notropis"/>
    <s v="gibbosus"/>
    <s v="U"/>
    <x v="0"/>
    <n v="8"/>
    <n v="11.81"/>
    <x v="43"/>
    <s v="919005-14-4"/>
    <x v="43"/>
    <n v="6.8000000000000005E-2"/>
  </r>
  <r>
    <s v="GC009-JBA-08132021"/>
    <s v="Spill"/>
    <x v="0"/>
    <s v="Swallowtail Shiner"/>
    <s v="Notropis"/>
    <s v="gibbosus"/>
    <s v="U"/>
    <x v="0"/>
    <n v="8"/>
    <n v="11.81"/>
    <x v="44"/>
    <s v="756426-58-1"/>
    <x v="44"/>
    <n v="4.7100000000000003E-2"/>
  </r>
  <r>
    <s v="GC009-JBA-08132021"/>
    <s v="Spill"/>
    <x v="0"/>
    <s v="Swallowtail Shiner"/>
    <s v="Notropis"/>
    <s v="gibbosus"/>
    <s v="U"/>
    <x v="0"/>
    <n v="8"/>
    <n v="11.81"/>
    <x v="45"/>
    <s v="763051-92-9"/>
    <x v="45"/>
    <n v="5.3499999999999999E-2"/>
  </r>
  <r>
    <s v="GC009-JBA-08132021"/>
    <s v="Spill"/>
    <x v="0"/>
    <s v="Swallowtail Shiner"/>
    <s v="Notropis"/>
    <s v="gibbosus"/>
    <s v="U"/>
    <x v="0"/>
    <n v="8"/>
    <n v="11.81"/>
    <x v="46"/>
    <s v="13252-13-6"/>
    <x v="46"/>
    <n v="9.7500000000000003E-2"/>
  </r>
  <r>
    <s v="GC009-JBA-08132021"/>
    <s v="Spill"/>
    <x v="0"/>
    <s v="Swallowtail Shiner"/>
    <s v="Notropis"/>
    <s v="gibbosus"/>
    <s v="U"/>
    <x v="0"/>
    <n v="8"/>
    <n v="11.81"/>
    <x v="47"/>
    <s v="57677-95-9"/>
    <x v="47"/>
    <n v="7.2499999999999995E-2"/>
  </r>
  <r>
    <s v="GC009-JBA-08132021"/>
    <s v="Spill"/>
    <x v="0"/>
    <s v="Swallowtail Shiner"/>
    <s v="Notropis"/>
    <s v="gibbosus"/>
    <s v="U"/>
    <x v="0"/>
    <n v="8"/>
    <n v="11.81"/>
    <x v="48"/>
    <s v="678-41-1"/>
    <x v="48"/>
    <n v="0.09"/>
  </r>
  <r>
    <s v="GC009-JBA-08132021"/>
    <s v="Spill"/>
    <x v="0"/>
    <s v="Swallowtail Shiner"/>
    <s v="Notropis"/>
    <s v="gibbosus"/>
    <s v="U"/>
    <x v="0"/>
    <n v="8"/>
    <n v="11.81"/>
    <x v="49"/>
    <s v="2965-52-8"/>
    <x v="49"/>
    <n v="0.1195"/>
  </r>
  <r>
    <s v="GC010-JBA-08132021"/>
    <s v="Spill"/>
    <x v="0"/>
    <s v="Swallowtail Shiner"/>
    <s v="Notropis"/>
    <s v="gibbosus"/>
    <s v="U"/>
    <x v="0"/>
    <n v="8"/>
    <n v="11.81"/>
    <x v="0"/>
    <s v="375-22-4"/>
    <x v="0"/>
    <n v="2.8649999999999998E-2"/>
  </r>
  <r>
    <s v="GC010-JBA-08132021"/>
    <s v="Spill"/>
    <x v="0"/>
    <s v="Swallowtail Shiner"/>
    <s v="Notropis"/>
    <s v="gibbosus"/>
    <s v="U"/>
    <x v="0"/>
    <n v="8"/>
    <n v="11.81"/>
    <x v="1"/>
    <s v="2706-90-3"/>
    <x v="1"/>
    <n v="5.0500000000000003E-2"/>
  </r>
  <r>
    <s v="GC010-JBA-08132021"/>
    <s v="Spill"/>
    <x v="0"/>
    <s v="Swallowtail Shiner"/>
    <s v="Notropis"/>
    <s v="gibbosus"/>
    <s v="U"/>
    <x v="0"/>
    <n v="8"/>
    <n v="11.81"/>
    <x v="2"/>
    <s v="307-24-4"/>
    <x v="2"/>
    <n v="3.8649999999999997E-2"/>
  </r>
  <r>
    <s v="GC010-JBA-08132021"/>
    <s v="Spill"/>
    <x v="0"/>
    <s v="Swallowtail Shiner"/>
    <s v="Notropis"/>
    <s v="gibbosus"/>
    <s v="U"/>
    <x v="0"/>
    <n v="8"/>
    <n v="11.81"/>
    <x v="3"/>
    <s v="375-85-9"/>
    <x v="3"/>
    <n v="2.8649999999999998E-2"/>
  </r>
  <r>
    <s v="GC010-JBA-08132021"/>
    <s v="Spill"/>
    <x v="0"/>
    <s v="Swallowtail Shiner"/>
    <s v="Notropis"/>
    <s v="gibbosus"/>
    <s v="U"/>
    <x v="0"/>
    <n v="8"/>
    <n v="11.81"/>
    <x v="4"/>
    <s v="335-67-1"/>
    <x v="4"/>
    <n v="2.7"/>
  </r>
  <r>
    <s v="GC010-JBA-08132021"/>
    <s v="Spill"/>
    <x v="0"/>
    <s v="Swallowtail Shiner"/>
    <s v="Notropis"/>
    <s v="gibbosus"/>
    <s v="U"/>
    <x v="0"/>
    <n v="8"/>
    <n v="11.81"/>
    <x v="5"/>
    <s v="375-95-1"/>
    <x v="5"/>
    <n v="5.69"/>
  </r>
  <r>
    <s v="GC010-JBA-08132021"/>
    <s v="Spill"/>
    <x v="0"/>
    <s v="Swallowtail Shiner"/>
    <s v="Notropis"/>
    <s v="gibbosus"/>
    <s v="U"/>
    <x v="0"/>
    <n v="8"/>
    <n v="11.81"/>
    <x v="6"/>
    <s v="335-76-2"/>
    <x v="6"/>
    <n v="15.1"/>
  </r>
  <r>
    <s v="GC010-JBA-08132021"/>
    <s v="Spill"/>
    <x v="0"/>
    <s v="Swallowtail Shiner"/>
    <s v="Notropis"/>
    <s v="gibbosus"/>
    <s v="U"/>
    <x v="0"/>
    <n v="8"/>
    <n v="11.81"/>
    <x v="7"/>
    <s v="2058-94-8"/>
    <x v="7"/>
    <n v="24.3"/>
  </r>
  <r>
    <s v="GC010-JBA-08132021"/>
    <s v="Spill"/>
    <x v="0"/>
    <s v="Swallowtail Shiner"/>
    <s v="Notropis"/>
    <s v="gibbosus"/>
    <s v="U"/>
    <x v="0"/>
    <n v="8"/>
    <n v="11.81"/>
    <x v="8"/>
    <s v="307-55-1"/>
    <x v="8"/>
    <n v="24.4"/>
  </r>
  <r>
    <s v="GC010-JBA-08132021"/>
    <s v="Spill"/>
    <x v="0"/>
    <s v="Swallowtail Shiner"/>
    <s v="Notropis"/>
    <s v="gibbosus"/>
    <s v="U"/>
    <x v="0"/>
    <n v="8"/>
    <n v="11.81"/>
    <x v="9"/>
    <s v="72629-94-8"/>
    <x v="9"/>
    <n v="7.91"/>
  </r>
  <r>
    <s v="GC010-JBA-08132021"/>
    <s v="Spill"/>
    <x v="0"/>
    <s v="Swallowtail Shiner"/>
    <s v="Notropis"/>
    <s v="gibbosus"/>
    <s v="U"/>
    <x v="0"/>
    <n v="8"/>
    <n v="11.81"/>
    <x v="10"/>
    <s v="376-06-7"/>
    <x v="10"/>
    <n v="9.73"/>
  </r>
  <r>
    <s v="GC010-JBA-08132021"/>
    <s v="Spill"/>
    <x v="0"/>
    <s v="Swallowtail Shiner"/>
    <s v="Notropis"/>
    <s v="gibbosus"/>
    <s v="U"/>
    <x v="0"/>
    <n v="8"/>
    <n v="11.81"/>
    <x v="11"/>
    <s v="67905-19-5"/>
    <x v="11"/>
    <n v="8.5500000000000007E-2"/>
  </r>
  <r>
    <s v="GC010-JBA-08132021"/>
    <s v="Spill"/>
    <x v="0"/>
    <s v="Swallowtail Shiner"/>
    <s v="Notropis"/>
    <s v="gibbosus"/>
    <s v="U"/>
    <x v="0"/>
    <n v="8"/>
    <n v="11.81"/>
    <x v="12"/>
    <s v="423-41-6"/>
    <x v="12"/>
    <n v="5.45E-2"/>
  </r>
  <r>
    <s v="GC010-JBA-08132021"/>
    <s v="Spill"/>
    <x v="0"/>
    <s v="Swallowtail Shiner"/>
    <s v="Notropis"/>
    <s v="gibbosus"/>
    <s v="U"/>
    <x v="0"/>
    <n v="8"/>
    <n v="11.81"/>
    <x v="13"/>
    <s v="375-73-5"/>
    <x v="13"/>
    <n v="0.73499999999999999"/>
  </r>
  <r>
    <s v="GC010-JBA-08132021"/>
    <s v="Spill"/>
    <x v="0"/>
    <s v="Swallowtail Shiner"/>
    <s v="Notropis"/>
    <s v="gibbosus"/>
    <s v="U"/>
    <x v="0"/>
    <n v="8"/>
    <n v="11.81"/>
    <x v="14"/>
    <s v="2706-91-4"/>
    <x v="14"/>
    <n v="0.46600000000000003"/>
  </r>
  <r>
    <s v="GC010-JBA-08132021"/>
    <s v="Spill"/>
    <x v="0"/>
    <s v="Swallowtail Shiner"/>
    <s v="Notropis"/>
    <s v="gibbosus"/>
    <s v="U"/>
    <x v="0"/>
    <n v="8"/>
    <n v="11.81"/>
    <x v="15"/>
    <s v="355-46-4"/>
    <x v="15"/>
    <n v="62.6"/>
  </r>
  <r>
    <s v="GC010-JBA-08132021"/>
    <s v="Spill"/>
    <x v="0"/>
    <s v="Swallowtail Shiner"/>
    <s v="Notropis"/>
    <s v="gibbosus"/>
    <s v="U"/>
    <x v="0"/>
    <n v="8"/>
    <n v="11.81"/>
    <x v="16"/>
    <s v="375-92-8"/>
    <x v="16"/>
    <n v="4.92"/>
  </r>
  <r>
    <s v="GC010-JBA-08132021"/>
    <s v="Spill"/>
    <x v="0"/>
    <s v="Swallowtail Shiner"/>
    <s v="Notropis"/>
    <s v="gibbosus"/>
    <s v="U"/>
    <x v="0"/>
    <n v="8"/>
    <n v="11.81"/>
    <x v="17"/>
    <s v="1763-23-1"/>
    <x v="17"/>
    <n v="1160"/>
  </r>
  <r>
    <s v="GC010-JBA-08132021"/>
    <s v="Spill"/>
    <x v="0"/>
    <s v="Swallowtail Shiner"/>
    <s v="Notropis"/>
    <s v="gibbosus"/>
    <s v="U"/>
    <x v="0"/>
    <n v="8"/>
    <n v="11.81"/>
    <x v="18"/>
    <s v="68259-12-1"/>
    <x v="18"/>
    <n v="0.70299999999999996"/>
  </r>
  <r>
    <s v="GC010-JBA-08132021"/>
    <s v="Spill"/>
    <x v="0"/>
    <s v="Swallowtail Shiner"/>
    <s v="Notropis"/>
    <s v="gibbosus"/>
    <s v="U"/>
    <x v="0"/>
    <n v="8"/>
    <n v="11.81"/>
    <x v="19"/>
    <s v="335-77-3"/>
    <x v="19"/>
    <n v="12.8"/>
  </r>
  <r>
    <s v="GC010-JBA-08132021"/>
    <s v="Spill"/>
    <x v="0"/>
    <s v="Swallowtail Shiner"/>
    <s v="Notropis"/>
    <s v="gibbosus"/>
    <s v="U"/>
    <x v="0"/>
    <n v="8"/>
    <n v="11.81"/>
    <x v="20"/>
    <s v="79780-39-5"/>
    <x v="20"/>
    <n v="0.73299999999999998"/>
  </r>
  <r>
    <s v="GC010-JBA-08132021"/>
    <s v="Spill"/>
    <x v="0"/>
    <s v="Swallowtail Shiner"/>
    <s v="Notropis"/>
    <s v="gibbosus"/>
    <s v="U"/>
    <x v="0"/>
    <n v="8"/>
    <n v="11.81"/>
    <x v="21"/>
    <s v="777011-38-8"/>
    <x v="21"/>
    <n v="0.33600000000000002"/>
  </r>
  <r>
    <s v="GC010-JBA-08132021"/>
    <s v="Spill"/>
    <x v="0"/>
    <s v="Swallowtail Shiner"/>
    <s v="Notropis"/>
    <s v="gibbosus"/>
    <s v="U"/>
    <x v="0"/>
    <n v="8"/>
    <n v="11.81"/>
    <x v="22"/>
    <s v="646-83-3"/>
    <x v="22"/>
    <n v="0.20200000000000001"/>
  </r>
  <r>
    <s v="GC010-JBA-08132021"/>
    <s v="Spill"/>
    <x v="0"/>
    <s v="Swallowtail Shiner"/>
    <s v="Notropis"/>
    <s v="gibbosus"/>
    <s v="U"/>
    <x v="0"/>
    <n v="8"/>
    <n v="11.81"/>
    <x v="23"/>
    <s v="30334-69-1"/>
    <x v="23"/>
    <n v="45.8"/>
  </r>
  <r>
    <s v="GC010-JBA-08132021"/>
    <s v="Spill"/>
    <x v="0"/>
    <s v="Swallowtail Shiner"/>
    <s v="Notropis"/>
    <s v="gibbosus"/>
    <s v="U"/>
    <x v="0"/>
    <n v="8"/>
    <n v="11.81"/>
    <x v="24"/>
    <s v="41997-13-1"/>
    <x v="24"/>
    <n v="295"/>
  </r>
  <r>
    <s v="GC010-JBA-08132021"/>
    <s v="Spill"/>
    <x v="0"/>
    <s v="Swallowtail Shiner"/>
    <s v="Notropis"/>
    <s v="gibbosus"/>
    <s v="U"/>
    <x v="0"/>
    <n v="8"/>
    <n v="11.81"/>
    <x v="25"/>
    <s v="754-91-6"/>
    <x v="25"/>
    <n v="21.1"/>
  </r>
  <r>
    <s v="GC010-JBA-08132021"/>
    <s v="Spill"/>
    <x v="0"/>
    <s v="Swallowtail Shiner"/>
    <s v="Notropis"/>
    <s v="gibbosus"/>
    <s v="U"/>
    <x v="0"/>
    <n v="8"/>
    <n v="11.81"/>
    <x v="26"/>
    <s v="31506-32-8"/>
    <x v="26"/>
    <n v="5.5E-2"/>
  </r>
  <r>
    <s v="GC010-JBA-08132021"/>
    <s v="Spill"/>
    <x v="0"/>
    <s v="Swallowtail Shiner"/>
    <s v="Notropis"/>
    <s v="gibbosus"/>
    <s v="U"/>
    <x v="0"/>
    <n v="8"/>
    <n v="11.81"/>
    <x v="27"/>
    <s v="4151-50-2"/>
    <x v="27"/>
    <n v="8.3500000000000005E-2"/>
  </r>
  <r>
    <s v="GC010-JBA-08132021"/>
    <s v="Spill"/>
    <x v="0"/>
    <s v="Swallowtail Shiner"/>
    <s v="Notropis"/>
    <s v="gibbosus"/>
    <s v="U"/>
    <x v="0"/>
    <n v="8"/>
    <n v="11.81"/>
    <x v="28"/>
    <s v="2806-24-8"/>
    <x v="28"/>
    <n v="5.6500000000000002E-2"/>
  </r>
  <r>
    <s v="GC010-JBA-08132021"/>
    <s v="Spill"/>
    <x v="0"/>
    <s v="Swallowtail Shiner"/>
    <s v="Notropis"/>
    <s v="gibbosus"/>
    <s v="U"/>
    <x v="0"/>
    <n v="8"/>
    <n v="11.81"/>
    <x v="29"/>
    <s v="2355-31-9"/>
    <x v="29"/>
    <n v="0.63900000000000001"/>
  </r>
  <r>
    <s v="GC010-JBA-08132021"/>
    <s v="Spill"/>
    <x v="0"/>
    <s v="Swallowtail Shiner"/>
    <s v="Notropis"/>
    <s v="gibbosus"/>
    <s v="U"/>
    <x v="0"/>
    <n v="8"/>
    <n v="11.81"/>
    <x v="30"/>
    <s v="2991-50-6"/>
    <x v="30"/>
    <n v="6.2E-2"/>
  </r>
  <r>
    <s v="GC010-JBA-08132021"/>
    <s v="Spill"/>
    <x v="0"/>
    <s v="Swallowtail Shiner"/>
    <s v="Notropis"/>
    <s v="gibbosus"/>
    <s v="U"/>
    <x v="0"/>
    <n v="8"/>
    <n v="11.81"/>
    <x v="31"/>
    <s v="757124-72-4"/>
    <x v="31"/>
    <n v="5.8999999999999997E-2"/>
  </r>
  <r>
    <s v="GC010-JBA-08132021"/>
    <s v="Spill"/>
    <x v="0"/>
    <s v="Swallowtail Shiner"/>
    <s v="Notropis"/>
    <s v="gibbosus"/>
    <s v="U"/>
    <x v="0"/>
    <n v="8"/>
    <n v="11.81"/>
    <x v="32"/>
    <s v="27619-97-2"/>
    <x v="32"/>
    <n v="0.42099999999999999"/>
  </r>
  <r>
    <s v="GC010-JBA-08132021"/>
    <s v="Spill"/>
    <x v="0"/>
    <s v="Swallowtail Shiner"/>
    <s v="Notropis"/>
    <s v="gibbosus"/>
    <s v="U"/>
    <x v="0"/>
    <n v="8"/>
    <n v="11.81"/>
    <x v="33"/>
    <s v="39108-34-4"/>
    <x v="33"/>
    <n v="20.3"/>
  </r>
  <r>
    <s v="GC010-JBA-08132021"/>
    <s v="Spill"/>
    <x v="0"/>
    <s v="Swallowtail Shiner"/>
    <s v="Notropis"/>
    <s v="gibbosus"/>
    <s v="U"/>
    <x v="0"/>
    <n v="8"/>
    <n v="11.81"/>
    <x v="34"/>
    <s v="120226-60-0"/>
    <x v="34"/>
    <n v="8.1500000000000003E-2"/>
  </r>
  <r>
    <s v="GC010-JBA-08132021"/>
    <s v="Spill"/>
    <x v="0"/>
    <s v="Swallowtail Shiner"/>
    <s v="Notropis"/>
    <s v="gibbosus"/>
    <s v="U"/>
    <x v="0"/>
    <n v="8"/>
    <n v="11.81"/>
    <x v="35"/>
    <s v="356-02-5"/>
    <x v="35"/>
    <n v="8.2500000000000004E-2"/>
  </r>
  <r>
    <s v="GC010-JBA-08132021"/>
    <s v="Spill"/>
    <x v="0"/>
    <s v="Swallowtail Shiner"/>
    <s v="Notropis"/>
    <s v="gibbosus"/>
    <s v="U"/>
    <x v="0"/>
    <n v="8"/>
    <n v="11.81"/>
    <x v="36"/>
    <s v="914637-49-3"/>
    <x v="36"/>
    <n v="2.57"/>
  </r>
  <r>
    <s v="GC010-JBA-08132021"/>
    <s v="Spill"/>
    <x v="0"/>
    <s v="Swallowtail Shiner"/>
    <s v="Notropis"/>
    <s v="gibbosus"/>
    <s v="U"/>
    <x v="0"/>
    <n v="8"/>
    <n v="11.81"/>
    <x v="37"/>
    <s v="812-70-4"/>
    <x v="37"/>
    <n v="5.7500000000000002E-2"/>
  </r>
  <r>
    <s v="GC010-JBA-08132021"/>
    <s v="Spill"/>
    <x v="0"/>
    <s v="Swallowtail Shiner"/>
    <s v="Notropis"/>
    <s v="gibbosus"/>
    <s v="U"/>
    <x v="0"/>
    <n v="8"/>
    <n v="11.81"/>
    <x v="38"/>
    <s v="53826-12-3"/>
    <x v="38"/>
    <n v="4.5900000000000003E-2"/>
  </r>
  <r>
    <s v="GC010-JBA-08132021"/>
    <s v="Spill"/>
    <x v="0"/>
    <s v="Swallowtail Shiner"/>
    <s v="Notropis"/>
    <s v="gibbosus"/>
    <s v="U"/>
    <x v="0"/>
    <n v="8"/>
    <n v="11.81"/>
    <x v="39"/>
    <s v="27854-31-5"/>
    <x v="39"/>
    <n v="2.8649999999999998E-2"/>
  </r>
  <r>
    <s v="GC010-JBA-08132021"/>
    <s v="Spill"/>
    <x v="0"/>
    <s v="Swallowtail Shiner"/>
    <s v="Notropis"/>
    <s v="gibbosus"/>
    <s v="U"/>
    <x v="0"/>
    <n v="8"/>
    <n v="11.81"/>
    <x v="40"/>
    <s v="53826-13-4"/>
    <x v="40"/>
    <n v="0.107"/>
  </r>
  <r>
    <s v="GC010-JBA-08132021"/>
    <s v="Spill"/>
    <x v="0"/>
    <s v="Swallowtail Shiner"/>
    <s v="Notropis"/>
    <s v="gibbosus"/>
    <s v="U"/>
    <x v="0"/>
    <n v="8"/>
    <n v="11.81"/>
    <x v="41"/>
    <s v="161094-75-3"/>
    <x v="41"/>
    <n v="5.6000000000000001E-2"/>
  </r>
  <r>
    <s v="GC010-JBA-08132021"/>
    <s v="Spill"/>
    <x v="0"/>
    <s v="Swallowtail Shiner"/>
    <s v="Notropis"/>
    <s v="gibbosus"/>
    <s v="U"/>
    <x v="0"/>
    <n v="8"/>
    <n v="11.81"/>
    <x v="42"/>
    <s v="70887-84-2"/>
    <x v="42"/>
    <n v="4.335E-2"/>
  </r>
  <r>
    <s v="GC010-JBA-08132021"/>
    <s v="Spill"/>
    <x v="0"/>
    <s v="Swallowtail Shiner"/>
    <s v="Notropis"/>
    <s v="gibbosus"/>
    <s v="U"/>
    <x v="0"/>
    <n v="8"/>
    <n v="11.81"/>
    <x v="43"/>
    <s v="919005-14-4"/>
    <x v="43"/>
    <n v="7.1499999999999994E-2"/>
  </r>
  <r>
    <s v="GC010-JBA-08132021"/>
    <s v="Spill"/>
    <x v="0"/>
    <s v="Swallowtail Shiner"/>
    <s v="Notropis"/>
    <s v="gibbosus"/>
    <s v="U"/>
    <x v="0"/>
    <n v="8"/>
    <n v="11.81"/>
    <x v="44"/>
    <s v="756426-58-1"/>
    <x v="44"/>
    <n v="4.9700000000000001E-2"/>
  </r>
  <r>
    <s v="GC010-JBA-08132021"/>
    <s v="Spill"/>
    <x v="0"/>
    <s v="Swallowtail Shiner"/>
    <s v="Notropis"/>
    <s v="gibbosus"/>
    <s v="U"/>
    <x v="0"/>
    <n v="8"/>
    <n v="11.81"/>
    <x v="45"/>
    <s v="763051-92-9"/>
    <x v="45"/>
    <n v="5.6500000000000002E-2"/>
  </r>
  <r>
    <s v="GC010-JBA-08132021"/>
    <s v="Spill"/>
    <x v="0"/>
    <s v="Swallowtail Shiner"/>
    <s v="Notropis"/>
    <s v="gibbosus"/>
    <s v="U"/>
    <x v="0"/>
    <n v="8"/>
    <n v="11.81"/>
    <x v="46"/>
    <s v="13252-13-6"/>
    <x v="46"/>
    <n v="0.10249999999999999"/>
  </r>
  <r>
    <s v="GC010-JBA-08132021"/>
    <s v="Spill"/>
    <x v="0"/>
    <s v="Swallowtail Shiner"/>
    <s v="Notropis"/>
    <s v="gibbosus"/>
    <s v="U"/>
    <x v="0"/>
    <n v="8"/>
    <n v="11.81"/>
    <x v="47"/>
    <s v="57677-95-9"/>
    <x v="47"/>
    <n v="7.5999999999999998E-2"/>
  </r>
  <r>
    <s v="GC010-JBA-08132021"/>
    <s v="Spill"/>
    <x v="0"/>
    <s v="Swallowtail Shiner"/>
    <s v="Notropis"/>
    <s v="gibbosus"/>
    <s v="U"/>
    <x v="0"/>
    <n v="8"/>
    <n v="11.81"/>
    <x v="48"/>
    <s v="678-41-1"/>
    <x v="48"/>
    <n v="9.5000000000000001E-2"/>
  </r>
  <r>
    <s v="GC010-JBA-08132021"/>
    <s v="Spill"/>
    <x v="0"/>
    <s v="Swallowtail Shiner"/>
    <s v="Notropis"/>
    <s v="gibbosus"/>
    <s v="U"/>
    <x v="0"/>
    <n v="8"/>
    <n v="11.81"/>
    <x v="49"/>
    <s v="2965-52-8"/>
    <x v="49"/>
    <n v="0.126"/>
  </r>
  <r>
    <s v="GC012-JBA-08132021"/>
    <s v="Spill"/>
    <x v="0"/>
    <s v="Swallowtail Shiner"/>
    <s v="Notropis"/>
    <s v="gibbosus"/>
    <s v="U"/>
    <x v="0"/>
    <n v="8"/>
    <n v="11.81"/>
    <x v="0"/>
    <s v="375-22-4"/>
    <x v="0"/>
    <n v="2.7900000000000001E-2"/>
  </r>
  <r>
    <s v="GC012-JBA-08132021"/>
    <s v="Spill"/>
    <x v="0"/>
    <s v="Swallowtail Shiner"/>
    <s v="Notropis"/>
    <s v="gibbosus"/>
    <s v="U"/>
    <x v="0"/>
    <n v="8"/>
    <n v="11.81"/>
    <x v="1"/>
    <s v="2706-90-3"/>
    <x v="1"/>
    <n v="4.9399999999999999E-2"/>
  </r>
  <r>
    <s v="GC012-JBA-08132021"/>
    <s v="Spill"/>
    <x v="0"/>
    <s v="Swallowtail Shiner"/>
    <s v="Notropis"/>
    <s v="gibbosus"/>
    <s v="U"/>
    <x v="0"/>
    <n v="8"/>
    <n v="11.81"/>
    <x v="2"/>
    <s v="307-24-4"/>
    <x v="2"/>
    <n v="0.1245"/>
  </r>
  <r>
    <s v="GC012-JBA-08132021"/>
    <s v="Spill"/>
    <x v="0"/>
    <s v="Swallowtail Shiner"/>
    <s v="Notropis"/>
    <s v="gibbosus"/>
    <s v="U"/>
    <x v="0"/>
    <n v="8"/>
    <n v="11.81"/>
    <x v="3"/>
    <s v="375-85-9"/>
    <x v="3"/>
    <n v="2.7900000000000001E-2"/>
  </r>
  <r>
    <s v="GC012-JBA-08132021"/>
    <s v="Spill"/>
    <x v="0"/>
    <s v="Swallowtail Shiner"/>
    <s v="Notropis"/>
    <s v="gibbosus"/>
    <s v="U"/>
    <x v="0"/>
    <n v="8"/>
    <n v="11.81"/>
    <x v="4"/>
    <s v="335-67-1"/>
    <x v="4"/>
    <n v="2.82"/>
  </r>
  <r>
    <s v="GC012-JBA-08132021"/>
    <s v="Spill"/>
    <x v="0"/>
    <s v="Swallowtail Shiner"/>
    <s v="Notropis"/>
    <s v="gibbosus"/>
    <s v="U"/>
    <x v="0"/>
    <n v="8"/>
    <n v="11.81"/>
    <x v="5"/>
    <s v="375-95-1"/>
    <x v="5"/>
    <n v="9.09"/>
  </r>
  <r>
    <s v="GC012-JBA-08132021"/>
    <s v="Spill"/>
    <x v="0"/>
    <s v="Swallowtail Shiner"/>
    <s v="Notropis"/>
    <s v="gibbosus"/>
    <s v="U"/>
    <x v="0"/>
    <n v="8"/>
    <n v="11.81"/>
    <x v="6"/>
    <s v="335-76-2"/>
    <x v="6"/>
    <n v="16.100000000000001"/>
  </r>
  <r>
    <s v="GC012-JBA-08132021"/>
    <s v="Spill"/>
    <x v="0"/>
    <s v="Swallowtail Shiner"/>
    <s v="Notropis"/>
    <s v="gibbosus"/>
    <s v="U"/>
    <x v="0"/>
    <n v="8"/>
    <n v="11.81"/>
    <x v="7"/>
    <s v="2058-94-8"/>
    <x v="7"/>
    <n v="24.7"/>
  </r>
  <r>
    <s v="GC012-JBA-08132021"/>
    <s v="Spill"/>
    <x v="0"/>
    <s v="Swallowtail Shiner"/>
    <s v="Notropis"/>
    <s v="gibbosus"/>
    <s v="U"/>
    <x v="0"/>
    <n v="8"/>
    <n v="11.81"/>
    <x v="8"/>
    <s v="307-55-1"/>
    <x v="8"/>
    <n v="28.5"/>
  </r>
  <r>
    <s v="GC012-JBA-08132021"/>
    <s v="Spill"/>
    <x v="0"/>
    <s v="Swallowtail Shiner"/>
    <s v="Notropis"/>
    <s v="gibbosus"/>
    <s v="U"/>
    <x v="0"/>
    <n v="8"/>
    <n v="11.81"/>
    <x v="9"/>
    <s v="72629-94-8"/>
    <x v="9"/>
    <n v="7.56"/>
  </r>
  <r>
    <s v="GC012-JBA-08132021"/>
    <s v="Spill"/>
    <x v="0"/>
    <s v="Swallowtail Shiner"/>
    <s v="Notropis"/>
    <s v="gibbosus"/>
    <s v="U"/>
    <x v="0"/>
    <n v="8"/>
    <n v="11.81"/>
    <x v="10"/>
    <s v="376-06-7"/>
    <x v="10"/>
    <n v="10.5"/>
  </r>
  <r>
    <s v="GC012-JBA-08132021"/>
    <s v="Spill"/>
    <x v="0"/>
    <s v="Swallowtail Shiner"/>
    <s v="Notropis"/>
    <s v="gibbosus"/>
    <s v="U"/>
    <x v="0"/>
    <n v="8"/>
    <n v="11.81"/>
    <x v="11"/>
    <s v="67905-19-5"/>
    <x v="11"/>
    <n v="8.3000000000000004E-2"/>
  </r>
  <r>
    <s v="GC012-JBA-08132021"/>
    <s v="Spill"/>
    <x v="0"/>
    <s v="Swallowtail Shiner"/>
    <s v="Notropis"/>
    <s v="gibbosus"/>
    <s v="U"/>
    <x v="0"/>
    <n v="8"/>
    <n v="11.81"/>
    <x v="12"/>
    <s v="423-41-6"/>
    <x v="12"/>
    <n v="5.3499999999999999E-2"/>
  </r>
  <r>
    <s v="GC012-JBA-08132021"/>
    <s v="Spill"/>
    <x v="0"/>
    <s v="Swallowtail Shiner"/>
    <s v="Notropis"/>
    <s v="gibbosus"/>
    <s v="U"/>
    <x v="0"/>
    <n v="8"/>
    <n v="11.81"/>
    <x v="13"/>
    <s v="375-73-5"/>
    <x v="13"/>
    <n v="4.7600000000000003E-2"/>
  </r>
  <r>
    <s v="GC012-JBA-08132021"/>
    <s v="Spill"/>
    <x v="0"/>
    <s v="Swallowtail Shiner"/>
    <s v="Notropis"/>
    <s v="gibbosus"/>
    <s v="U"/>
    <x v="0"/>
    <n v="8"/>
    <n v="11.81"/>
    <x v="14"/>
    <s v="2706-91-4"/>
    <x v="14"/>
    <n v="0.76600000000000001"/>
  </r>
  <r>
    <s v="GC012-JBA-08132021"/>
    <s v="Spill"/>
    <x v="0"/>
    <s v="Swallowtail Shiner"/>
    <s v="Notropis"/>
    <s v="gibbosus"/>
    <s v="U"/>
    <x v="0"/>
    <n v="8"/>
    <n v="11.81"/>
    <x v="15"/>
    <s v="355-46-4"/>
    <x v="15"/>
    <n v="53.2"/>
  </r>
  <r>
    <s v="GC012-JBA-08132021"/>
    <s v="Spill"/>
    <x v="0"/>
    <s v="Swallowtail Shiner"/>
    <s v="Notropis"/>
    <s v="gibbosus"/>
    <s v="U"/>
    <x v="0"/>
    <n v="8"/>
    <n v="11.81"/>
    <x v="16"/>
    <s v="375-92-8"/>
    <x v="16"/>
    <n v="9.8000000000000007"/>
  </r>
  <r>
    <s v="GC012-JBA-08132021"/>
    <s v="Spill"/>
    <x v="0"/>
    <s v="Swallowtail Shiner"/>
    <s v="Notropis"/>
    <s v="gibbosus"/>
    <s v="U"/>
    <x v="0"/>
    <n v="8"/>
    <n v="11.81"/>
    <x v="17"/>
    <s v="1763-23-1"/>
    <x v="17"/>
    <n v="1700"/>
  </r>
  <r>
    <s v="GC012-JBA-08132021"/>
    <s v="Spill"/>
    <x v="0"/>
    <s v="Swallowtail Shiner"/>
    <s v="Notropis"/>
    <s v="gibbosus"/>
    <s v="U"/>
    <x v="0"/>
    <n v="8"/>
    <n v="11.81"/>
    <x v="18"/>
    <s v="68259-12-1"/>
    <x v="18"/>
    <n v="1.02"/>
  </r>
  <r>
    <s v="GC012-JBA-08132021"/>
    <s v="Spill"/>
    <x v="0"/>
    <s v="Swallowtail Shiner"/>
    <s v="Notropis"/>
    <s v="gibbosus"/>
    <s v="U"/>
    <x v="0"/>
    <n v="8"/>
    <n v="11.81"/>
    <x v="19"/>
    <s v="335-77-3"/>
    <x v="19"/>
    <n v="10.8"/>
  </r>
  <r>
    <s v="GC012-JBA-08132021"/>
    <s v="Spill"/>
    <x v="0"/>
    <s v="Swallowtail Shiner"/>
    <s v="Notropis"/>
    <s v="gibbosus"/>
    <s v="U"/>
    <x v="0"/>
    <n v="8"/>
    <n v="11.81"/>
    <x v="20"/>
    <s v="79780-39-5"/>
    <x v="20"/>
    <n v="0.98299999999999998"/>
  </r>
  <r>
    <s v="GC012-JBA-08132021"/>
    <s v="Spill"/>
    <x v="0"/>
    <s v="Swallowtail Shiner"/>
    <s v="Notropis"/>
    <s v="gibbosus"/>
    <s v="U"/>
    <x v="0"/>
    <n v="8"/>
    <n v="11.81"/>
    <x v="21"/>
    <s v="777011-38-8"/>
    <x v="21"/>
    <n v="0.45500000000000002"/>
  </r>
  <r>
    <s v="GC012-JBA-08132021"/>
    <s v="Spill"/>
    <x v="0"/>
    <s v="Swallowtail Shiner"/>
    <s v="Notropis"/>
    <s v="gibbosus"/>
    <s v="U"/>
    <x v="0"/>
    <n v="8"/>
    <n v="11.81"/>
    <x v="22"/>
    <s v="646-83-3"/>
    <x v="22"/>
    <n v="0.29799999999999999"/>
  </r>
  <r>
    <s v="GC012-JBA-08132021"/>
    <s v="Spill"/>
    <x v="0"/>
    <s v="Swallowtail Shiner"/>
    <s v="Notropis"/>
    <s v="gibbosus"/>
    <s v="U"/>
    <x v="0"/>
    <n v="8"/>
    <n v="11.81"/>
    <x v="23"/>
    <s v="30334-69-1"/>
    <x v="23"/>
    <n v="214"/>
  </r>
  <r>
    <s v="GC012-JBA-08132021"/>
    <s v="Spill"/>
    <x v="0"/>
    <s v="Swallowtail Shiner"/>
    <s v="Notropis"/>
    <s v="gibbosus"/>
    <s v="U"/>
    <x v="0"/>
    <n v="8"/>
    <n v="11.81"/>
    <x v="24"/>
    <s v="41997-13-1"/>
    <x v="24"/>
    <n v="593"/>
  </r>
  <r>
    <s v="GC012-JBA-08132021"/>
    <s v="Spill"/>
    <x v="0"/>
    <s v="Swallowtail Shiner"/>
    <s v="Notropis"/>
    <s v="gibbosus"/>
    <s v="U"/>
    <x v="0"/>
    <n v="8"/>
    <n v="11.81"/>
    <x v="25"/>
    <s v="754-91-6"/>
    <x v="25"/>
    <n v="24.5"/>
  </r>
  <r>
    <s v="GC012-JBA-08132021"/>
    <s v="Spill"/>
    <x v="0"/>
    <s v="Swallowtail Shiner"/>
    <s v="Notropis"/>
    <s v="gibbosus"/>
    <s v="U"/>
    <x v="0"/>
    <n v="8"/>
    <n v="11.81"/>
    <x v="26"/>
    <s v="31506-32-8"/>
    <x v="26"/>
    <n v="5.3999999999999999E-2"/>
  </r>
  <r>
    <s v="GC012-JBA-08132021"/>
    <s v="Spill"/>
    <x v="0"/>
    <s v="Swallowtail Shiner"/>
    <s v="Notropis"/>
    <s v="gibbosus"/>
    <s v="U"/>
    <x v="0"/>
    <n v="8"/>
    <n v="11.81"/>
    <x v="27"/>
    <s v="4151-50-2"/>
    <x v="27"/>
    <n v="8.1500000000000003E-2"/>
  </r>
  <r>
    <s v="GC012-JBA-08132021"/>
    <s v="Spill"/>
    <x v="0"/>
    <s v="Swallowtail Shiner"/>
    <s v="Notropis"/>
    <s v="gibbosus"/>
    <s v="U"/>
    <x v="0"/>
    <n v="8"/>
    <n v="11.81"/>
    <x v="28"/>
    <s v="2806-24-8"/>
    <x v="28"/>
    <n v="5.5E-2"/>
  </r>
  <r>
    <s v="GC012-JBA-08132021"/>
    <s v="Spill"/>
    <x v="0"/>
    <s v="Swallowtail Shiner"/>
    <s v="Notropis"/>
    <s v="gibbosus"/>
    <s v="U"/>
    <x v="0"/>
    <n v="8"/>
    <n v="11.81"/>
    <x v="29"/>
    <s v="2355-31-9"/>
    <x v="29"/>
    <n v="1.6"/>
  </r>
  <r>
    <s v="GC012-JBA-08132021"/>
    <s v="Spill"/>
    <x v="0"/>
    <s v="Swallowtail Shiner"/>
    <s v="Notropis"/>
    <s v="gibbosus"/>
    <s v="U"/>
    <x v="0"/>
    <n v="8"/>
    <n v="11.81"/>
    <x v="30"/>
    <s v="2991-50-6"/>
    <x v="30"/>
    <n v="6.0499999999999998E-2"/>
  </r>
  <r>
    <s v="GC012-JBA-08132021"/>
    <s v="Spill"/>
    <x v="0"/>
    <s v="Swallowtail Shiner"/>
    <s v="Notropis"/>
    <s v="gibbosus"/>
    <s v="U"/>
    <x v="0"/>
    <n v="8"/>
    <n v="11.81"/>
    <x v="31"/>
    <s v="757124-72-4"/>
    <x v="31"/>
    <n v="5.7500000000000002E-2"/>
  </r>
  <r>
    <s v="GC012-JBA-08132021"/>
    <s v="Spill"/>
    <x v="0"/>
    <s v="Swallowtail Shiner"/>
    <s v="Notropis"/>
    <s v="gibbosus"/>
    <s v="U"/>
    <x v="0"/>
    <n v="8"/>
    <n v="11.81"/>
    <x v="32"/>
    <s v="27619-97-2"/>
    <x v="32"/>
    <n v="0.13900000000000001"/>
  </r>
  <r>
    <s v="GC012-JBA-08132021"/>
    <s v="Spill"/>
    <x v="0"/>
    <s v="Swallowtail Shiner"/>
    <s v="Notropis"/>
    <s v="gibbosus"/>
    <s v="U"/>
    <x v="0"/>
    <n v="8"/>
    <n v="11.81"/>
    <x v="33"/>
    <s v="39108-34-4"/>
    <x v="33"/>
    <n v="23.6"/>
  </r>
  <r>
    <s v="GC012-JBA-08132021"/>
    <s v="Spill"/>
    <x v="0"/>
    <s v="Swallowtail Shiner"/>
    <s v="Notropis"/>
    <s v="gibbosus"/>
    <s v="U"/>
    <x v="0"/>
    <n v="8"/>
    <n v="11.81"/>
    <x v="34"/>
    <s v="120226-60-0"/>
    <x v="34"/>
    <n v="7.9500000000000001E-2"/>
  </r>
  <r>
    <s v="GC012-JBA-08132021"/>
    <s v="Spill"/>
    <x v="0"/>
    <s v="Swallowtail Shiner"/>
    <s v="Notropis"/>
    <s v="gibbosus"/>
    <s v="U"/>
    <x v="0"/>
    <n v="8"/>
    <n v="11.81"/>
    <x v="35"/>
    <s v="356-02-5"/>
    <x v="35"/>
    <n v="8.0500000000000002E-2"/>
  </r>
  <r>
    <s v="GC012-JBA-08132021"/>
    <s v="Spill"/>
    <x v="0"/>
    <s v="Swallowtail Shiner"/>
    <s v="Notropis"/>
    <s v="gibbosus"/>
    <s v="U"/>
    <x v="0"/>
    <n v="8"/>
    <n v="11.81"/>
    <x v="36"/>
    <s v="914637-49-3"/>
    <x v="36"/>
    <n v="0.61399999999999999"/>
  </r>
  <r>
    <s v="GC012-JBA-08132021"/>
    <s v="Spill"/>
    <x v="0"/>
    <s v="Swallowtail Shiner"/>
    <s v="Notropis"/>
    <s v="gibbosus"/>
    <s v="U"/>
    <x v="0"/>
    <n v="8"/>
    <n v="11.81"/>
    <x v="37"/>
    <s v="812-70-4"/>
    <x v="37"/>
    <n v="9.51"/>
  </r>
  <r>
    <s v="GC012-JBA-08132021"/>
    <s v="Spill"/>
    <x v="0"/>
    <s v="Swallowtail Shiner"/>
    <s v="Notropis"/>
    <s v="gibbosus"/>
    <s v="U"/>
    <x v="0"/>
    <n v="8"/>
    <n v="11.81"/>
    <x v="38"/>
    <s v="53826-12-3"/>
    <x v="38"/>
    <n v="4.4850000000000001E-2"/>
  </r>
  <r>
    <s v="GC012-JBA-08132021"/>
    <s v="Spill"/>
    <x v="0"/>
    <s v="Swallowtail Shiner"/>
    <s v="Notropis"/>
    <s v="gibbosus"/>
    <s v="U"/>
    <x v="0"/>
    <n v="8"/>
    <n v="11.81"/>
    <x v="39"/>
    <s v="27854-31-5"/>
    <x v="39"/>
    <n v="2.7900000000000001E-2"/>
  </r>
  <r>
    <s v="GC012-JBA-08132021"/>
    <s v="Spill"/>
    <x v="0"/>
    <s v="Swallowtail Shiner"/>
    <s v="Notropis"/>
    <s v="gibbosus"/>
    <s v="U"/>
    <x v="0"/>
    <n v="8"/>
    <n v="11.81"/>
    <x v="40"/>
    <s v="53826-13-4"/>
    <x v="40"/>
    <n v="0.104"/>
  </r>
  <r>
    <s v="GC012-JBA-08132021"/>
    <s v="Spill"/>
    <x v="0"/>
    <s v="Swallowtail Shiner"/>
    <s v="Notropis"/>
    <s v="gibbosus"/>
    <s v="U"/>
    <x v="0"/>
    <n v="8"/>
    <n v="11.81"/>
    <x v="41"/>
    <s v="161094-75-3"/>
    <x v="41"/>
    <n v="5.5E-2"/>
  </r>
  <r>
    <s v="GC012-JBA-08132021"/>
    <s v="Spill"/>
    <x v="0"/>
    <s v="Swallowtail Shiner"/>
    <s v="Notropis"/>
    <s v="gibbosus"/>
    <s v="U"/>
    <x v="0"/>
    <n v="8"/>
    <n v="11.81"/>
    <x v="42"/>
    <s v="70887-84-2"/>
    <x v="42"/>
    <n v="4.2250000000000003E-2"/>
  </r>
  <r>
    <s v="GC012-JBA-08132021"/>
    <s v="Spill"/>
    <x v="0"/>
    <s v="Swallowtail Shiner"/>
    <s v="Notropis"/>
    <s v="gibbosus"/>
    <s v="U"/>
    <x v="0"/>
    <n v="8"/>
    <n v="11.81"/>
    <x v="43"/>
    <s v="919005-14-4"/>
    <x v="43"/>
    <n v="0.23050000000000001"/>
  </r>
  <r>
    <s v="GC012-JBA-08132021"/>
    <s v="Spill"/>
    <x v="0"/>
    <s v="Swallowtail Shiner"/>
    <s v="Notropis"/>
    <s v="gibbosus"/>
    <s v="U"/>
    <x v="0"/>
    <n v="8"/>
    <n v="11.81"/>
    <x v="44"/>
    <s v="756426-58-1"/>
    <x v="44"/>
    <n v="4.8500000000000001E-2"/>
  </r>
  <r>
    <s v="GC012-JBA-08132021"/>
    <s v="Spill"/>
    <x v="0"/>
    <s v="Swallowtail Shiner"/>
    <s v="Notropis"/>
    <s v="gibbosus"/>
    <s v="U"/>
    <x v="0"/>
    <n v="8"/>
    <n v="11.81"/>
    <x v="45"/>
    <s v="763051-92-9"/>
    <x v="45"/>
    <n v="5.5E-2"/>
  </r>
  <r>
    <s v="GC012-JBA-08132021"/>
    <s v="Spill"/>
    <x v="0"/>
    <s v="Swallowtail Shiner"/>
    <s v="Notropis"/>
    <s v="gibbosus"/>
    <s v="U"/>
    <x v="0"/>
    <n v="8"/>
    <n v="11.81"/>
    <x v="46"/>
    <s v="13252-13-6"/>
    <x v="46"/>
    <n v="0.10050000000000001"/>
  </r>
  <r>
    <s v="GC012-JBA-08132021"/>
    <s v="Spill"/>
    <x v="0"/>
    <s v="Swallowtail Shiner"/>
    <s v="Notropis"/>
    <s v="gibbosus"/>
    <s v="U"/>
    <x v="0"/>
    <n v="8"/>
    <n v="11.81"/>
    <x v="47"/>
    <s v="57677-95-9"/>
    <x v="47"/>
    <n v="7.4499999999999997E-2"/>
  </r>
  <r>
    <s v="GC012-JBA-08132021"/>
    <s v="Spill"/>
    <x v="0"/>
    <s v="Swallowtail Shiner"/>
    <s v="Notropis"/>
    <s v="gibbosus"/>
    <s v="U"/>
    <x v="0"/>
    <n v="8"/>
    <n v="11.81"/>
    <x v="48"/>
    <s v="678-41-1"/>
    <x v="48"/>
    <n v="9.2499999999999999E-2"/>
  </r>
  <r>
    <s v="GC012-JBA-08132021"/>
    <s v="Spill"/>
    <x v="0"/>
    <s v="Swallowtail Shiner"/>
    <s v="Notropis"/>
    <s v="gibbosus"/>
    <s v="U"/>
    <x v="0"/>
    <n v="8"/>
    <n v="11.81"/>
    <x v="49"/>
    <s v="2965-52-8"/>
    <x v="49"/>
    <n v="0.123"/>
  </r>
  <r>
    <s v="GC013-JBA-08132021"/>
    <s v="Spill"/>
    <x v="0"/>
    <s v="Swallowtail Shiner"/>
    <s v="Notropis"/>
    <s v="gibbosus"/>
    <s v="U"/>
    <x v="0"/>
    <n v="8"/>
    <n v="11.81"/>
    <x v="0"/>
    <s v="375-22-4"/>
    <x v="0"/>
    <n v="2.8799999999999999E-2"/>
  </r>
  <r>
    <s v="GC013-JBA-08132021"/>
    <s v="Spill"/>
    <x v="0"/>
    <s v="Swallowtail Shiner"/>
    <s v="Notropis"/>
    <s v="gibbosus"/>
    <s v="U"/>
    <x v="0"/>
    <n v="8"/>
    <n v="11.81"/>
    <x v="1"/>
    <s v="2706-90-3"/>
    <x v="1"/>
    <n v="5.0999999999999997E-2"/>
  </r>
  <r>
    <s v="GC013-JBA-08132021"/>
    <s v="Spill"/>
    <x v="0"/>
    <s v="Swallowtail Shiner"/>
    <s v="Notropis"/>
    <s v="gibbosus"/>
    <s v="U"/>
    <x v="0"/>
    <n v="8"/>
    <n v="11.81"/>
    <x v="2"/>
    <s v="307-24-4"/>
    <x v="2"/>
    <n v="0.128"/>
  </r>
  <r>
    <s v="GC013-JBA-08132021"/>
    <s v="Spill"/>
    <x v="0"/>
    <s v="Swallowtail Shiner"/>
    <s v="Notropis"/>
    <s v="gibbosus"/>
    <s v="U"/>
    <x v="0"/>
    <n v="8"/>
    <n v="11.81"/>
    <x v="3"/>
    <s v="375-85-9"/>
    <x v="3"/>
    <n v="2.8799999999999999E-2"/>
  </r>
  <r>
    <s v="GC013-JBA-08132021"/>
    <s v="Spill"/>
    <x v="0"/>
    <s v="Swallowtail Shiner"/>
    <s v="Notropis"/>
    <s v="gibbosus"/>
    <s v="U"/>
    <x v="0"/>
    <n v="8"/>
    <n v="11.81"/>
    <x v="4"/>
    <s v="335-67-1"/>
    <x v="4"/>
    <n v="3.39"/>
  </r>
  <r>
    <s v="GC013-JBA-08132021"/>
    <s v="Spill"/>
    <x v="0"/>
    <s v="Swallowtail Shiner"/>
    <s v="Notropis"/>
    <s v="gibbosus"/>
    <s v="U"/>
    <x v="0"/>
    <n v="8"/>
    <n v="11.81"/>
    <x v="5"/>
    <s v="375-95-1"/>
    <x v="5"/>
    <n v="5.63"/>
  </r>
  <r>
    <s v="GC013-JBA-08132021"/>
    <s v="Spill"/>
    <x v="0"/>
    <s v="Swallowtail Shiner"/>
    <s v="Notropis"/>
    <s v="gibbosus"/>
    <s v="U"/>
    <x v="0"/>
    <n v="8"/>
    <n v="11.81"/>
    <x v="6"/>
    <s v="335-76-2"/>
    <x v="6"/>
    <n v="12.3"/>
  </r>
  <r>
    <s v="GC013-JBA-08132021"/>
    <s v="Spill"/>
    <x v="0"/>
    <s v="Swallowtail Shiner"/>
    <s v="Notropis"/>
    <s v="gibbosus"/>
    <s v="U"/>
    <x v="0"/>
    <n v="8"/>
    <n v="11.81"/>
    <x v="7"/>
    <s v="2058-94-8"/>
    <x v="7"/>
    <n v="15.3"/>
  </r>
  <r>
    <s v="GC013-JBA-08132021"/>
    <s v="Spill"/>
    <x v="0"/>
    <s v="Swallowtail Shiner"/>
    <s v="Notropis"/>
    <s v="gibbosus"/>
    <s v="U"/>
    <x v="0"/>
    <n v="8"/>
    <n v="11.81"/>
    <x v="8"/>
    <s v="307-55-1"/>
    <x v="8"/>
    <n v="22.7"/>
  </r>
  <r>
    <s v="GC013-JBA-08132021"/>
    <s v="Spill"/>
    <x v="0"/>
    <s v="Swallowtail Shiner"/>
    <s v="Notropis"/>
    <s v="gibbosus"/>
    <s v="U"/>
    <x v="0"/>
    <n v="8"/>
    <n v="11.81"/>
    <x v="9"/>
    <s v="72629-94-8"/>
    <x v="9"/>
    <n v="7.92"/>
  </r>
  <r>
    <s v="GC013-JBA-08132021"/>
    <s v="Spill"/>
    <x v="0"/>
    <s v="Swallowtail Shiner"/>
    <s v="Notropis"/>
    <s v="gibbosus"/>
    <s v="U"/>
    <x v="0"/>
    <n v="8"/>
    <n v="11.81"/>
    <x v="10"/>
    <s v="376-06-7"/>
    <x v="10"/>
    <n v="7.61"/>
  </r>
  <r>
    <s v="GC013-JBA-08132021"/>
    <s v="Spill"/>
    <x v="0"/>
    <s v="Swallowtail Shiner"/>
    <s v="Notropis"/>
    <s v="gibbosus"/>
    <s v="U"/>
    <x v="0"/>
    <n v="8"/>
    <n v="11.81"/>
    <x v="11"/>
    <s v="67905-19-5"/>
    <x v="11"/>
    <n v="8.5999999999999993E-2"/>
  </r>
  <r>
    <s v="GC013-JBA-08132021"/>
    <s v="Spill"/>
    <x v="0"/>
    <s v="Swallowtail Shiner"/>
    <s v="Notropis"/>
    <s v="gibbosus"/>
    <s v="U"/>
    <x v="0"/>
    <n v="8"/>
    <n v="11.81"/>
    <x v="12"/>
    <s v="423-41-6"/>
    <x v="12"/>
    <n v="5.5E-2"/>
  </r>
  <r>
    <s v="GC013-JBA-08132021"/>
    <s v="Spill"/>
    <x v="0"/>
    <s v="Swallowtail Shiner"/>
    <s v="Notropis"/>
    <s v="gibbosus"/>
    <s v="U"/>
    <x v="0"/>
    <n v="8"/>
    <n v="11.81"/>
    <x v="13"/>
    <s v="375-73-5"/>
    <x v="13"/>
    <n v="0.1615"/>
  </r>
  <r>
    <s v="GC013-JBA-08132021"/>
    <s v="Spill"/>
    <x v="0"/>
    <s v="Swallowtail Shiner"/>
    <s v="Notropis"/>
    <s v="gibbosus"/>
    <s v="U"/>
    <x v="0"/>
    <n v="8"/>
    <n v="11.81"/>
    <x v="14"/>
    <s v="2706-91-4"/>
    <x v="14"/>
    <n v="1.56"/>
  </r>
  <r>
    <s v="GC013-JBA-08132021"/>
    <s v="Spill"/>
    <x v="0"/>
    <s v="Swallowtail Shiner"/>
    <s v="Notropis"/>
    <s v="gibbosus"/>
    <s v="U"/>
    <x v="0"/>
    <n v="8"/>
    <n v="11.81"/>
    <x v="15"/>
    <s v="355-46-4"/>
    <x v="15"/>
    <n v="62.6"/>
  </r>
  <r>
    <s v="GC013-JBA-08132021"/>
    <s v="Spill"/>
    <x v="0"/>
    <s v="Swallowtail Shiner"/>
    <s v="Notropis"/>
    <s v="gibbosus"/>
    <s v="U"/>
    <x v="0"/>
    <n v="8"/>
    <n v="11.81"/>
    <x v="16"/>
    <s v="375-92-8"/>
    <x v="16"/>
    <n v="9.42"/>
  </r>
  <r>
    <s v="GC013-JBA-08132021"/>
    <s v="Spill"/>
    <x v="0"/>
    <s v="Swallowtail Shiner"/>
    <s v="Notropis"/>
    <s v="gibbosus"/>
    <s v="U"/>
    <x v="0"/>
    <n v="8"/>
    <n v="11.81"/>
    <x v="17"/>
    <s v="1763-23-1"/>
    <x v="17"/>
    <n v="1100"/>
  </r>
  <r>
    <s v="GC013-JBA-08132021"/>
    <s v="Spill"/>
    <x v="0"/>
    <s v="Swallowtail Shiner"/>
    <s v="Notropis"/>
    <s v="gibbosus"/>
    <s v="U"/>
    <x v="0"/>
    <n v="8"/>
    <n v="11.81"/>
    <x v="18"/>
    <s v="68259-12-1"/>
    <x v="18"/>
    <n v="1.93"/>
  </r>
  <r>
    <s v="GC013-JBA-08132021"/>
    <s v="Spill"/>
    <x v="0"/>
    <s v="Swallowtail Shiner"/>
    <s v="Notropis"/>
    <s v="gibbosus"/>
    <s v="U"/>
    <x v="0"/>
    <n v="8"/>
    <n v="11.81"/>
    <x v="19"/>
    <s v="335-77-3"/>
    <x v="19"/>
    <n v="4.9000000000000004"/>
  </r>
  <r>
    <s v="GC013-JBA-08132021"/>
    <s v="Spill"/>
    <x v="0"/>
    <s v="Swallowtail Shiner"/>
    <s v="Notropis"/>
    <s v="gibbosus"/>
    <s v="U"/>
    <x v="0"/>
    <n v="8"/>
    <n v="11.81"/>
    <x v="20"/>
    <s v="79780-39-5"/>
    <x v="20"/>
    <n v="0.755"/>
  </r>
  <r>
    <s v="GC013-JBA-08132021"/>
    <s v="Spill"/>
    <x v="0"/>
    <s v="Swallowtail Shiner"/>
    <s v="Notropis"/>
    <s v="gibbosus"/>
    <s v="U"/>
    <x v="0"/>
    <n v="8"/>
    <n v="11.81"/>
    <x v="21"/>
    <s v="777011-38-8"/>
    <x v="21"/>
    <n v="0.40500000000000003"/>
  </r>
  <r>
    <s v="GC013-JBA-08132021"/>
    <s v="Spill"/>
    <x v="0"/>
    <s v="Swallowtail Shiner"/>
    <s v="Notropis"/>
    <s v="gibbosus"/>
    <s v="U"/>
    <x v="0"/>
    <n v="8"/>
    <n v="11.81"/>
    <x v="22"/>
    <s v="646-83-3"/>
    <x v="22"/>
    <n v="0.192"/>
  </r>
  <r>
    <s v="GC013-JBA-08132021"/>
    <s v="Spill"/>
    <x v="0"/>
    <s v="Swallowtail Shiner"/>
    <s v="Notropis"/>
    <s v="gibbosus"/>
    <s v="U"/>
    <x v="0"/>
    <n v="8"/>
    <n v="11.81"/>
    <x v="23"/>
    <s v="30334-69-1"/>
    <x v="23"/>
    <n v="101"/>
  </r>
  <r>
    <s v="GC013-JBA-08132021"/>
    <s v="Spill"/>
    <x v="0"/>
    <s v="Swallowtail Shiner"/>
    <s v="Notropis"/>
    <s v="gibbosus"/>
    <s v="U"/>
    <x v="0"/>
    <n v="8"/>
    <n v="11.81"/>
    <x v="24"/>
    <s v="41997-13-1"/>
    <x v="24"/>
    <n v="293"/>
  </r>
  <r>
    <s v="GC013-JBA-08132021"/>
    <s v="Spill"/>
    <x v="0"/>
    <s v="Swallowtail Shiner"/>
    <s v="Notropis"/>
    <s v="gibbosus"/>
    <s v="U"/>
    <x v="0"/>
    <n v="8"/>
    <n v="11.81"/>
    <x v="25"/>
    <s v="754-91-6"/>
    <x v="25"/>
    <n v="15.9"/>
  </r>
  <r>
    <s v="GC013-JBA-08132021"/>
    <s v="Spill"/>
    <x v="0"/>
    <s v="Swallowtail Shiner"/>
    <s v="Notropis"/>
    <s v="gibbosus"/>
    <s v="U"/>
    <x v="0"/>
    <n v="8"/>
    <n v="11.81"/>
    <x v="26"/>
    <s v="31506-32-8"/>
    <x v="26"/>
    <n v="5.5500000000000001E-2"/>
  </r>
  <r>
    <s v="GC013-JBA-08132021"/>
    <s v="Spill"/>
    <x v="0"/>
    <s v="Swallowtail Shiner"/>
    <s v="Notropis"/>
    <s v="gibbosus"/>
    <s v="U"/>
    <x v="0"/>
    <n v="8"/>
    <n v="11.81"/>
    <x v="27"/>
    <s v="4151-50-2"/>
    <x v="27"/>
    <n v="8.4000000000000005E-2"/>
  </r>
  <r>
    <s v="GC013-JBA-08132021"/>
    <s v="Spill"/>
    <x v="0"/>
    <s v="Swallowtail Shiner"/>
    <s v="Notropis"/>
    <s v="gibbosus"/>
    <s v="U"/>
    <x v="0"/>
    <n v="8"/>
    <n v="11.81"/>
    <x v="28"/>
    <s v="2806-24-8"/>
    <x v="28"/>
    <n v="5.6500000000000002E-2"/>
  </r>
  <r>
    <s v="GC013-JBA-08132021"/>
    <s v="Spill"/>
    <x v="0"/>
    <s v="Swallowtail Shiner"/>
    <s v="Notropis"/>
    <s v="gibbosus"/>
    <s v="U"/>
    <x v="0"/>
    <n v="8"/>
    <n v="11.81"/>
    <x v="29"/>
    <s v="2355-31-9"/>
    <x v="29"/>
    <n v="1.67"/>
  </r>
  <r>
    <s v="GC013-JBA-08132021"/>
    <s v="Spill"/>
    <x v="0"/>
    <s v="Swallowtail Shiner"/>
    <s v="Notropis"/>
    <s v="gibbosus"/>
    <s v="U"/>
    <x v="0"/>
    <n v="8"/>
    <n v="11.81"/>
    <x v="30"/>
    <s v="2991-50-6"/>
    <x v="30"/>
    <n v="6.25E-2"/>
  </r>
  <r>
    <s v="GC013-JBA-08132021"/>
    <s v="Spill"/>
    <x v="0"/>
    <s v="Swallowtail Shiner"/>
    <s v="Notropis"/>
    <s v="gibbosus"/>
    <s v="U"/>
    <x v="0"/>
    <n v="8"/>
    <n v="11.81"/>
    <x v="31"/>
    <s v="757124-72-4"/>
    <x v="31"/>
    <n v="5.8999999999999997E-2"/>
  </r>
  <r>
    <s v="GC013-JBA-08132021"/>
    <s v="Spill"/>
    <x v="0"/>
    <s v="Swallowtail Shiner"/>
    <s v="Notropis"/>
    <s v="gibbosus"/>
    <s v="U"/>
    <x v="0"/>
    <n v="8"/>
    <n v="11.81"/>
    <x v="32"/>
    <s v="27619-97-2"/>
    <x v="32"/>
    <n v="4.3499999999999997E-2"/>
  </r>
  <r>
    <s v="GC013-JBA-08132021"/>
    <s v="Spill"/>
    <x v="0"/>
    <s v="Swallowtail Shiner"/>
    <s v="Notropis"/>
    <s v="gibbosus"/>
    <s v="U"/>
    <x v="0"/>
    <n v="8"/>
    <n v="11.81"/>
    <x v="33"/>
    <s v="39108-34-4"/>
    <x v="33"/>
    <n v="23.3"/>
  </r>
  <r>
    <s v="GC013-JBA-08132021"/>
    <s v="Spill"/>
    <x v="0"/>
    <s v="Swallowtail Shiner"/>
    <s v="Notropis"/>
    <s v="gibbosus"/>
    <s v="U"/>
    <x v="0"/>
    <n v="8"/>
    <n v="11.81"/>
    <x v="34"/>
    <s v="120226-60-0"/>
    <x v="34"/>
    <n v="0.56599999999999995"/>
  </r>
  <r>
    <s v="GC013-JBA-08132021"/>
    <s v="Spill"/>
    <x v="0"/>
    <s v="Swallowtail Shiner"/>
    <s v="Notropis"/>
    <s v="gibbosus"/>
    <s v="U"/>
    <x v="0"/>
    <n v="8"/>
    <n v="11.81"/>
    <x v="35"/>
    <s v="356-02-5"/>
    <x v="35"/>
    <n v="8.3000000000000004E-2"/>
  </r>
  <r>
    <s v="GC013-JBA-08132021"/>
    <s v="Spill"/>
    <x v="0"/>
    <s v="Swallowtail Shiner"/>
    <s v="Notropis"/>
    <s v="gibbosus"/>
    <s v="U"/>
    <x v="0"/>
    <n v="8"/>
    <n v="11.81"/>
    <x v="36"/>
    <s v="914637-49-3"/>
    <x v="36"/>
    <n v="5.3999999999999999E-2"/>
  </r>
  <r>
    <s v="GC013-JBA-08132021"/>
    <s v="Spill"/>
    <x v="0"/>
    <s v="Swallowtail Shiner"/>
    <s v="Notropis"/>
    <s v="gibbosus"/>
    <s v="U"/>
    <x v="0"/>
    <n v="8"/>
    <n v="11.81"/>
    <x v="37"/>
    <s v="812-70-4"/>
    <x v="37"/>
    <n v="32.700000000000003"/>
  </r>
  <r>
    <s v="GC013-JBA-08132021"/>
    <s v="Spill"/>
    <x v="0"/>
    <s v="Swallowtail Shiner"/>
    <s v="Notropis"/>
    <s v="gibbosus"/>
    <s v="U"/>
    <x v="0"/>
    <n v="8"/>
    <n v="11.81"/>
    <x v="38"/>
    <s v="53826-12-3"/>
    <x v="38"/>
    <n v="4.6199999999999998E-2"/>
  </r>
  <r>
    <s v="GC013-JBA-08132021"/>
    <s v="Spill"/>
    <x v="0"/>
    <s v="Swallowtail Shiner"/>
    <s v="Notropis"/>
    <s v="gibbosus"/>
    <s v="U"/>
    <x v="0"/>
    <n v="8"/>
    <n v="11.81"/>
    <x v="39"/>
    <s v="27854-31-5"/>
    <x v="39"/>
    <n v="2.8799999999999999E-2"/>
  </r>
  <r>
    <s v="GC013-JBA-08132021"/>
    <s v="Spill"/>
    <x v="0"/>
    <s v="Swallowtail Shiner"/>
    <s v="Notropis"/>
    <s v="gibbosus"/>
    <s v="U"/>
    <x v="0"/>
    <n v="8"/>
    <n v="11.81"/>
    <x v="40"/>
    <s v="53826-13-4"/>
    <x v="40"/>
    <n v="0.1075"/>
  </r>
  <r>
    <s v="GC013-JBA-08132021"/>
    <s v="Spill"/>
    <x v="0"/>
    <s v="Swallowtail Shiner"/>
    <s v="Notropis"/>
    <s v="gibbosus"/>
    <s v="U"/>
    <x v="0"/>
    <n v="8"/>
    <n v="11.81"/>
    <x v="41"/>
    <s v="161094-75-3"/>
    <x v="41"/>
    <n v="5.6500000000000002E-2"/>
  </r>
  <r>
    <s v="GC013-JBA-08132021"/>
    <s v="Spill"/>
    <x v="0"/>
    <s v="Swallowtail Shiner"/>
    <s v="Notropis"/>
    <s v="gibbosus"/>
    <s v="U"/>
    <x v="0"/>
    <n v="8"/>
    <n v="11.81"/>
    <x v="42"/>
    <s v="70887-84-2"/>
    <x v="42"/>
    <n v="4.3499999999999997E-2"/>
  </r>
  <r>
    <s v="GC013-JBA-08132021"/>
    <s v="Spill"/>
    <x v="0"/>
    <s v="Swallowtail Shiner"/>
    <s v="Notropis"/>
    <s v="gibbosus"/>
    <s v="U"/>
    <x v="0"/>
    <n v="8"/>
    <n v="11.81"/>
    <x v="43"/>
    <s v="919005-14-4"/>
    <x v="43"/>
    <n v="7.1999999999999995E-2"/>
  </r>
  <r>
    <s v="GC013-JBA-08132021"/>
    <s v="Spill"/>
    <x v="0"/>
    <s v="Swallowtail Shiner"/>
    <s v="Notropis"/>
    <s v="gibbosus"/>
    <s v="U"/>
    <x v="0"/>
    <n v="8"/>
    <n v="11.81"/>
    <x v="44"/>
    <s v="756426-58-1"/>
    <x v="44"/>
    <n v="4.9849999999999998E-2"/>
  </r>
  <r>
    <s v="GC013-JBA-08132021"/>
    <s v="Spill"/>
    <x v="0"/>
    <s v="Swallowtail Shiner"/>
    <s v="Notropis"/>
    <s v="gibbosus"/>
    <s v="U"/>
    <x v="0"/>
    <n v="8"/>
    <n v="11.81"/>
    <x v="45"/>
    <s v="763051-92-9"/>
    <x v="45"/>
    <n v="5.6500000000000002E-2"/>
  </r>
  <r>
    <s v="GC013-JBA-08132021"/>
    <s v="Spill"/>
    <x v="0"/>
    <s v="Swallowtail Shiner"/>
    <s v="Notropis"/>
    <s v="gibbosus"/>
    <s v="U"/>
    <x v="0"/>
    <n v="8"/>
    <n v="11.81"/>
    <x v="46"/>
    <s v="13252-13-6"/>
    <x v="46"/>
    <n v="0.10299999999999999"/>
  </r>
  <r>
    <s v="GC013-JBA-08132021"/>
    <s v="Spill"/>
    <x v="0"/>
    <s v="Swallowtail Shiner"/>
    <s v="Notropis"/>
    <s v="gibbosus"/>
    <s v="U"/>
    <x v="0"/>
    <n v="8"/>
    <n v="11.81"/>
    <x v="47"/>
    <s v="57677-95-9"/>
    <x v="47"/>
    <n v="7.6499999999999999E-2"/>
  </r>
  <r>
    <s v="GC013-JBA-08132021"/>
    <s v="Spill"/>
    <x v="0"/>
    <s v="Swallowtail Shiner"/>
    <s v="Notropis"/>
    <s v="gibbosus"/>
    <s v="U"/>
    <x v="0"/>
    <n v="8"/>
    <n v="11.81"/>
    <x v="48"/>
    <s v="678-41-1"/>
    <x v="48"/>
    <n v="9.5500000000000002E-2"/>
  </r>
  <r>
    <s v="GC013-JBA-08132021"/>
    <s v="Spill"/>
    <x v="0"/>
    <s v="Swallowtail Shiner"/>
    <s v="Notropis"/>
    <s v="gibbosus"/>
    <s v="U"/>
    <x v="0"/>
    <n v="8"/>
    <n v="11.81"/>
    <x v="49"/>
    <s v="2965-52-8"/>
    <x v="49"/>
    <n v="0.1265"/>
  </r>
  <r>
    <s v="GC014-JBA-08132021"/>
    <s v="Spill"/>
    <x v="0"/>
    <s v="Swallowtail Shiner"/>
    <s v="Notropis"/>
    <s v="gibbosus"/>
    <s v="U"/>
    <x v="0"/>
    <n v="8"/>
    <n v="11.81"/>
    <x v="0"/>
    <s v="375-22-4"/>
    <x v="0"/>
    <n v="2.665E-2"/>
  </r>
  <r>
    <s v="GC014-JBA-08132021"/>
    <s v="Spill"/>
    <x v="0"/>
    <s v="Swallowtail Shiner"/>
    <s v="Notropis"/>
    <s v="gibbosus"/>
    <s v="U"/>
    <x v="0"/>
    <n v="8"/>
    <n v="11.81"/>
    <x v="1"/>
    <s v="2706-90-3"/>
    <x v="1"/>
    <n v="4.7100000000000003E-2"/>
  </r>
  <r>
    <s v="GC014-JBA-08132021"/>
    <s v="Spill"/>
    <x v="0"/>
    <s v="Swallowtail Shiner"/>
    <s v="Notropis"/>
    <s v="gibbosus"/>
    <s v="U"/>
    <x v="0"/>
    <n v="8"/>
    <n v="11.81"/>
    <x v="2"/>
    <s v="307-24-4"/>
    <x v="2"/>
    <n v="3.6049999999999999E-2"/>
  </r>
  <r>
    <s v="GC014-JBA-08132021"/>
    <s v="Spill"/>
    <x v="0"/>
    <s v="Swallowtail Shiner"/>
    <s v="Notropis"/>
    <s v="gibbosus"/>
    <s v="U"/>
    <x v="0"/>
    <n v="8"/>
    <n v="11.81"/>
    <x v="3"/>
    <s v="375-85-9"/>
    <x v="3"/>
    <n v="8.7999999999999995E-2"/>
  </r>
  <r>
    <s v="GC014-JBA-08132021"/>
    <s v="Spill"/>
    <x v="0"/>
    <s v="Swallowtail Shiner"/>
    <s v="Notropis"/>
    <s v="gibbosus"/>
    <s v="U"/>
    <x v="0"/>
    <n v="8"/>
    <n v="11.81"/>
    <x v="4"/>
    <s v="335-67-1"/>
    <x v="4"/>
    <n v="1.95"/>
  </r>
  <r>
    <s v="GC014-JBA-08132021"/>
    <s v="Spill"/>
    <x v="0"/>
    <s v="Swallowtail Shiner"/>
    <s v="Notropis"/>
    <s v="gibbosus"/>
    <s v="U"/>
    <x v="0"/>
    <n v="8"/>
    <n v="11.81"/>
    <x v="5"/>
    <s v="375-95-1"/>
    <x v="5"/>
    <n v="10.7"/>
  </r>
  <r>
    <s v="GC014-JBA-08132021"/>
    <s v="Spill"/>
    <x v="0"/>
    <s v="Swallowtail Shiner"/>
    <s v="Notropis"/>
    <s v="gibbosus"/>
    <s v="U"/>
    <x v="0"/>
    <n v="8"/>
    <n v="11.81"/>
    <x v="6"/>
    <s v="335-76-2"/>
    <x v="6"/>
    <n v="13.9"/>
  </r>
  <r>
    <s v="GC014-JBA-08132021"/>
    <s v="Spill"/>
    <x v="0"/>
    <s v="Swallowtail Shiner"/>
    <s v="Notropis"/>
    <s v="gibbosus"/>
    <s v="U"/>
    <x v="0"/>
    <n v="8"/>
    <n v="11.81"/>
    <x v="7"/>
    <s v="2058-94-8"/>
    <x v="7"/>
    <n v="34.700000000000003"/>
  </r>
  <r>
    <s v="GC014-JBA-08132021"/>
    <s v="Spill"/>
    <x v="0"/>
    <s v="Swallowtail Shiner"/>
    <s v="Notropis"/>
    <s v="gibbosus"/>
    <s v="U"/>
    <x v="0"/>
    <n v="8"/>
    <n v="11.81"/>
    <x v="8"/>
    <s v="307-55-1"/>
    <x v="8"/>
    <n v="22.3"/>
  </r>
  <r>
    <s v="GC014-JBA-08132021"/>
    <s v="Spill"/>
    <x v="0"/>
    <s v="Swallowtail Shiner"/>
    <s v="Notropis"/>
    <s v="gibbosus"/>
    <s v="U"/>
    <x v="0"/>
    <n v="8"/>
    <n v="11.81"/>
    <x v="9"/>
    <s v="72629-94-8"/>
    <x v="9"/>
    <n v="14.8"/>
  </r>
  <r>
    <s v="GC014-JBA-08132021"/>
    <s v="Spill"/>
    <x v="0"/>
    <s v="Swallowtail Shiner"/>
    <s v="Notropis"/>
    <s v="gibbosus"/>
    <s v="U"/>
    <x v="0"/>
    <n v="8"/>
    <n v="11.81"/>
    <x v="10"/>
    <s v="376-06-7"/>
    <x v="10"/>
    <n v="11"/>
  </r>
  <r>
    <s v="GC014-JBA-08132021"/>
    <s v="Spill"/>
    <x v="0"/>
    <s v="Swallowtail Shiner"/>
    <s v="Notropis"/>
    <s v="gibbosus"/>
    <s v="U"/>
    <x v="0"/>
    <n v="8"/>
    <n v="11.81"/>
    <x v="11"/>
    <s v="67905-19-5"/>
    <x v="11"/>
    <n v="7.9500000000000001E-2"/>
  </r>
  <r>
    <s v="GC014-JBA-08132021"/>
    <s v="Spill"/>
    <x v="0"/>
    <s v="Swallowtail Shiner"/>
    <s v="Notropis"/>
    <s v="gibbosus"/>
    <s v="U"/>
    <x v="0"/>
    <n v="8"/>
    <n v="11.81"/>
    <x v="12"/>
    <s v="423-41-6"/>
    <x v="12"/>
    <n v="5.0999999999999997E-2"/>
  </r>
  <r>
    <s v="GC014-JBA-08132021"/>
    <s v="Spill"/>
    <x v="0"/>
    <s v="Swallowtail Shiner"/>
    <s v="Notropis"/>
    <s v="gibbosus"/>
    <s v="U"/>
    <x v="0"/>
    <n v="8"/>
    <n v="11.81"/>
    <x v="13"/>
    <s v="375-73-5"/>
    <x v="13"/>
    <n v="0.15"/>
  </r>
  <r>
    <s v="GC014-JBA-08132021"/>
    <s v="Spill"/>
    <x v="0"/>
    <s v="Swallowtail Shiner"/>
    <s v="Notropis"/>
    <s v="gibbosus"/>
    <s v="U"/>
    <x v="0"/>
    <n v="8"/>
    <n v="11.81"/>
    <x v="14"/>
    <s v="2706-91-4"/>
    <x v="14"/>
    <n v="0.47099999999999997"/>
  </r>
  <r>
    <s v="GC014-JBA-08132021"/>
    <s v="Spill"/>
    <x v="0"/>
    <s v="Swallowtail Shiner"/>
    <s v="Notropis"/>
    <s v="gibbosus"/>
    <s v="U"/>
    <x v="0"/>
    <n v="8"/>
    <n v="11.81"/>
    <x v="15"/>
    <s v="355-46-4"/>
    <x v="15"/>
    <n v="52.1"/>
  </r>
  <r>
    <s v="GC014-JBA-08132021"/>
    <s v="Spill"/>
    <x v="0"/>
    <s v="Swallowtail Shiner"/>
    <s v="Notropis"/>
    <s v="gibbosus"/>
    <s v="U"/>
    <x v="0"/>
    <n v="8"/>
    <n v="11.81"/>
    <x v="16"/>
    <s v="375-92-8"/>
    <x v="16"/>
    <n v="7.79"/>
  </r>
  <r>
    <s v="GC014-JBA-08132021"/>
    <s v="Spill"/>
    <x v="0"/>
    <s v="Swallowtail Shiner"/>
    <s v="Notropis"/>
    <s v="gibbosus"/>
    <s v="U"/>
    <x v="0"/>
    <n v="8"/>
    <n v="11.81"/>
    <x v="17"/>
    <s v="1763-23-1"/>
    <x v="17"/>
    <n v="1380"/>
  </r>
  <r>
    <s v="GC014-JBA-08132021"/>
    <s v="Spill"/>
    <x v="0"/>
    <s v="Swallowtail Shiner"/>
    <s v="Notropis"/>
    <s v="gibbosus"/>
    <s v="U"/>
    <x v="0"/>
    <n v="8"/>
    <n v="11.81"/>
    <x v="18"/>
    <s v="68259-12-1"/>
    <x v="18"/>
    <n v="1.92"/>
  </r>
  <r>
    <s v="GC014-JBA-08132021"/>
    <s v="Spill"/>
    <x v="0"/>
    <s v="Swallowtail Shiner"/>
    <s v="Notropis"/>
    <s v="gibbosus"/>
    <s v="U"/>
    <x v="0"/>
    <n v="8"/>
    <n v="11.81"/>
    <x v="19"/>
    <s v="335-77-3"/>
    <x v="19"/>
    <n v="9.6999999999999993"/>
  </r>
  <r>
    <s v="GC014-JBA-08132021"/>
    <s v="Spill"/>
    <x v="0"/>
    <s v="Swallowtail Shiner"/>
    <s v="Notropis"/>
    <s v="gibbosus"/>
    <s v="U"/>
    <x v="0"/>
    <n v="8"/>
    <n v="11.81"/>
    <x v="20"/>
    <s v="79780-39-5"/>
    <x v="20"/>
    <n v="1.21"/>
  </r>
  <r>
    <s v="GC014-JBA-08132021"/>
    <s v="Spill"/>
    <x v="0"/>
    <s v="Swallowtail Shiner"/>
    <s v="Notropis"/>
    <s v="gibbosus"/>
    <s v="U"/>
    <x v="0"/>
    <n v="8"/>
    <n v="11.81"/>
    <x v="21"/>
    <s v="777011-38-8"/>
    <x v="21"/>
    <n v="0.13400000000000001"/>
  </r>
  <r>
    <s v="GC014-JBA-08132021"/>
    <s v="Spill"/>
    <x v="0"/>
    <s v="Swallowtail Shiner"/>
    <s v="Notropis"/>
    <s v="gibbosus"/>
    <s v="U"/>
    <x v="0"/>
    <n v="8"/>
    <n v="11.81"/>
    <x v="22"/>
    <s v="646-83-3"/>
    <x v="22"/>
    <n v="0.28899999999999998"/>
  </r>
  <r>
    <s v="GC014-JBA-08132021"/>
    <s v="Spill"/>
    <x v="0"/>
    <s v="Swallowtail Shiner"/>
    <s v="Notropis"/>
    <s v="gibbosus"/>
    <s v="U"/>
    <x v="0"/>
    <n v="8"/>
    <n v="11.81"/>
    <x v="23"/>
    <s v="30334-69-1"/>
    <x v="23"/>
    <n v="78.3"/>
  </r>
  <r>
    <s v="GC014-JBA-08132021"/>
    <s v="Spill"/>
    <x v="0"/>
    <s v="Swallowtail Shiner"/>
    <s v="Notropis"/>
    <s v="gibbosus"/>
    <s v="U"/>
    <x v="0"/>
    <n v="8"/>
    <n v="11.81"/>
    <x v="24"/>
    <s v="41997-13-1"/>
    <x v="24"/>
    <n v="442"/>
  </r>
  <r>
    <s v="GC014-JBA-08132021"/>
    <s v="Spill"/>
    <x v="0"/>
    <s v="Swallowtail Shiner"/>
    <s v="Notropis"/>
    <s v="gibbosus"/>
    <s v="U"/>
    <x v="0"/>
    <n v="8"/>
    <n v="11.81"/>
    <x v="25"/>
    <s v="754-91-6"/>
    <x v="25"/>
    <n v="28.2"/>
  </r>
  <r>
    <s v="GC014-JBA-08132021"/>
    <s v="Spill"/>
    <x v="0"/>
    <s v="Swallowtail Shiner"/>
    <s v="Notropis"/>
    <s v="gibbosus"/>
    <s v="U"/>
    <x v="0"/>
    <n v="8"/>
    <n v="11.81"/>
    <x v="26"/>
    <s v="31506-32-8"/>
    <x v="26"/>
    <n v="5.1499999999999997E-2"/>
  </r>
  <r>
    <s v="GC014-JBA-08132021"/>
    <s v="Spill"/>
    <x v="0"/>
    <s v="Swallowtail Shiner"/>
    <s v="Notropis"/>
    <s v="gibbosus"/>
    <s v="U"/>
    <x v="0"/>
    <n v="8"/>
    <n v="11.81"/>
    <x v="27"/>
    <s v="4151-50-2"/>
    <x v="27"/>
    <n v="7.8E-2"/>
  </r>
  <r>
    <s v="GC014-JBA-08132021"/>
    <s v="Spill"/>
    <x v="0"/>
    <s v="Swallowtail Shiner"/>
    <s v="Notropis"/>
    <s v="gibbosus"/>
    <s v="U"/>
    <x v="0"/>
    <n v="8"/>
    <n v="11.81"/>
    <x v="28"/>
    <s v="2806-24-8"/>
    <x v="28"/>
    <n v="5.2499999999999998E-2"/>
  </r>
  <r>
    <s v="GC014-JBA-08132021"/>
    <s v="Spill"/>
    <x v="0"/>
    <s v="Swallowtail Shiner"/>
    <s v="Notropis"/>
    <s v="gibbosus"/>
    <s v="U"/>
    <x v="0"/>
    <n v="8"/>
    <n v="11.81"/>
    <x v="29"/>
    <s v="2355-31-9"/>
    <x v="29"/>
    <n v="0.2215"/>
  </r>
  <r>
    <s v="GC014-JBA-08132021"/>
    <s v="Spill"/>
    <x v="0"/>
    <s v="Swallowtail Shiner"/>
    <s v="Notropis"/>
    <s v="gibbosus"/>
    <s v="U"/>
    <x v="0"/>
    <n v="8"/>
    <n v="11.81"/>
    <x v="30"/>
    <s v="2991-50-6"/>
    <x v="30"/>
    <n v="5.8000000000000003E-2"/>
  </r>
  <r>
    <s v="GC014-JBA-08132021"/>
    <s v="Spill"/>
    <x v="0"/>
    <s v="Swallowtail Shiner"/>
    <s v="Notropis"/>
    <s v="gibbosus"/>
    <s v="U"/>
    <x v="0"/>
    <n v="8"/>
    <n v="11.81"/>
    <x v="31"/>
    <s v="757124-72-4"/>
    <x v="31"/>
    <n v="5.5E-2"/>
  </r>
  <r>
    <s v="GC014-JBA-08132021"/>
    <s v="Spill"/>
    <x v="0"/>
    <s v="Swallowtail Shiner"/>
    <s v="Notropis"/>
    <s v="gibbosus"/>
    <s v="U"/>
    <x v="0"/>
    <n v="8"/>
    <n v="11.81"/>
    <x v="32"/>
    <s v="27619-97-2"/>
    <x v="32"/>
    <n v="0.74"/>
  </r>
  <r>
    <s v="GC014-JBA-08132021"/>
    <s v="Spill"/>
    <x v="0"/>
    <s v="Swallowtail Shiner"/>
    <s v="Notropis"/>
    <s v="gibbosus"/>
    <s v="U"/>
    <x v="0"/>
    <n v="8"/>
    <n v="11.81"/>
    <x v="33"/>
    <s v="39108-34-4"/>
    <x v="33"/>
    <n v="20.7"/>
  </r>
  <r>
    <s v="GC014-JBA-08132021"/>
    <s v="Spill"/>
    <x v="0"/>
    <s v="Swallowtail Shiner"/>
    <s v="Notropis"/>
    <s v="gibbosus"/>
    <s v="U"/>
    <x v="0"/>
    <n v="8"/>
    <n v="11.81"/>
    <x v="34"/>
    <s v="120226-60-0"/>
    <x v="34"/>
    <n v="0.25"/>
  </r>
  <r>
    <s v="GC014-JBA-08132021"/>
    <s v="Spill"/>
    <x v="0"/>
    <s v="Swallowtail Shiner"/>
    <s v="Notropis"/>
    <s v="gibbosus"/>
    <s v="U"/>
    <x v="0"/>
    <n v="8"/>
    <n v="11.81"/>
    <x v="35"/>
    <s v="356-02-5"/>
    <x v="35"/>
    <n v="7.6999999999999999E-2"/>
  </r>
  <r>
    <s v="GC014-JBA-08132021"/>
    <s v="Spill"/>
    <x v="0"/>
    <s v="Swallowtail Shiner"/>
    <s v="Notropis"/>
    <s v="gibbosus"/>
    <s v="U"/>
    <x v="0"/>
    <n v="8"/>
    <n v="11.81"/>
    <x v="36"/>
    <s v="914637-49-3"/>
    <x v="36"/>
    <n v="5.0500000000000003E-2"/>
  </r>
  <r>
    <s v="GC014-JBA-08132021"/>
    <s v="Spill"/>
    <x v="0"/>
    <s v="Swallowtail Shiner"/>
    <s v="Notropis"/>
    <s v="gibbosus"/>
    <s v="U"/>
    <x v="0"/>
    <n v="8"/>
    <n v="11.81"/>
    <x v="37"/>
    <s v="812-70-4"/>
    <x v="37"/>
    <n v="4.93"/>
  </r>
  <r>
    <s v="GC014-JBA-08132021"/>
    <s v="Spill"/>
    <x v="0"/>
    <s v="Swallowtail Shiner"/>
    <s v="Notropis"/>
    <s v="gibbosus"/>
    <s v="U"/>
    <x v="0"/>
    <n v="8"/>
    <n v="11.81"/>
    <x v="38"/>
    <s v="53826-12-3"/>
    <x v="38"/>
    <n v="4.2900000000000001E-2"/>
  </r>
  <r>
    <s v="GC014-JBA-08132021"/>
    <s v="Spill"/>
    <x v="0"/>
    <s v="Swallowtail Shiner"/>
    <s v="Notropis"/>
    <s v="gibbosus"/>
    <s v="U"/>
    <x v="0"/>
    <n v="8"/>
    <n v="11.81"/>
    <x v="39"/>
    <s v="27854-31-5"/>
    <x v="39"/>
    <n v="2.665E-2"/>
  </r>
  <r>
    <s v="GC014-JBA-08132021"/>
    <s v="Spill"/>
    <x v="0"/>
    <s v="Swallowtail Shiner"/>
    <s v="Notropis"/>
    <s v="gibbosus"/>
    <s v="U"/>
    <x v="0"/>
    <n v="8"/>
    <n v="11.81"/>
    <x v="40"/>
    <s v="53826-13-4"/>
    <x v="40"/>
    <n v="9.9500000000000005E-2"/>
  </r>
  <r>
    <s v="GC014-JBA-08132021"/>
    <s v="Spill"/>
    <x v="0"/>
    <s v="Swallowtail Shiner"/>
    <s v="Notropis"/>
    <s v="gibbosus"/>
    <s v="U"/>
    <x v="0"/>
    <n v="8"/>
    <n v="11.81"/>
    <x v="41"/>
    <s v="161094-75-3"/>
    <x v="41"/>
    <n v="5.2499999999999998E-2"/>
  </r>
  <r>
    <s v="GC014-JBA-08132021"/>
    <s v="Spill"/>
    <x v="0"/>
    <s v="Swallowtail Shiner"/>
    <s v="Notropis"/>
    <s v="gibbosus"/>
    <s v="U"/>
    <x v="0"/>
    <n v="8"/>
    <n v="11.81"/>
    <x v="42"/>
    <s v="70887-84-2"/>
    <x v="42"/>
    <n v="4.0300000000000002E-2"/>
  </r>
  <r>
    <s v="GC014-JBA-08132021"/>
    <s v="Spill"/>
    <x v="0"/>
    <s v="Swallowtail Shiner"/>
    <s v="Notropis"/>
    <s v="gibbosus"/>
    <s v="U"/>
    <x v="0"/>
    <n v="8"/>
    <n v="11.81"/>
    <x v="43"/>
    <s v="919005-14-4"/>
    <x v="43"/>
    <n v="6.6500000000000004E-2"/>
  </r>
  <r>
    <s v="GC014-JBA-08132021"/>
    <s v="Spill"/>
    <x v="0"/>
    <s v="Swallowtail Shiner"/>
    <s v="Notropis"/>
    <s v="gibbosus"/>
    <s v="U"/>
    <x v="0"/>
    <n v="8"/>
    <n v="11.81"/>
    <x v="44"/>
    <s v="756426-58-1"/>
    <x v="44"/>
    <n v="4.6350000000000002E-2"/>
  </r>
  <r>
    <s v="GC014-JBA-08132021"/>
    <s v="Spill"/>
    <x v="0"/>
    <s v="Swallowtail Shiner"/>
    <s v="Notropis"/>
    <s v="gibbosus"/>
    <s v="U"/>
    <x v="0"/>
    <n v="8"/>
    <n v="11.81"/>
    <x v="45"/>
    <s v="763051-92-9"/>
    <x v="45"/>
    <n v="5.2499999999999998E-2"/>
  </r>
  <r>
    <s v="GC014-JBA-08132021"/>
    <s v="Spill"/>
    <x v="0"/>
    <s v="Swallowtail Shiner"/>
    <s v="Notropis"/>
    <s v="gibbosus"/>
    <s v="U"/>
    <x v="0"/>
    <n v="8"/>
    <n v="11.81"/>
    <x v="46"/>
    <s v="13252-13-6"/>
    <x v="46"/>
    <n v="9.6000000000000002E-2"/>
  </r>
  <r>
    <s v="GC014-JBA-08132021"/>
    <s v="Spill"/>
    <x v="0"/>
    <s v="Swallowtail Shiner"/>
    <s v="Notropis"/>
    <s v="gibbosus"/>
    <s v="U"/>
    <x v="0"/>
    <n v="8"/>
    <n v="11.81"/>
    <x v="47"/>
    <s v="57677-95-9"/>
    <x v="47"/>
    <n v="7.0999999999999994E-2"/>
  </r>
  <r>
    <s v="GC014-JBA-08132021"/>
    <s v="Spill"/>
    <x v="0"/>
    <s v="Swallowtail Shiner"/>
    <s v="Notropis"/>
    <s v="gibbosus"/>
    <s v="U"/>
    <x v="0"/>
    <n v="8"/>
    <n v="11.81"/>
    <x v="48"/>
    <s v="678-41-1"/>
    <x v="48"/>
    <n v="8.8499999999999995E-2"/>
  </r>
  <r>
    <s v="GC014-JBA-08132021"/>
    <s v="Spill"/>
    <x v="0"/>
    <s v="Swallowtail Shiner"/>
    <s v="Notropis"/>
    <s v="gibbosus"/>
    <s v="U"/>
    <x v="0"/>
    <n v="8"/>
    <n v="11.81"/>
    <x v="49"/>
    <s v="2965-52-8"/>
    <x v="49"/>
    <n v="0.11749999999999999"/>
  </r>
  <r>
    <s v="GC015-JBA-08132021"/>
    <s v="Spill"/>
    <x v="0"/>
    <s v="Swallowtail Shiner"/>
    <s v="Notropis"/>
    <s v="gibbosus"/>
    <s v="U"/>
    <x v="0"/>
    <n v="8"/>
    <n v="11.81"/>
    <x v="0"/>
    <s v="375-22-4"/>
    <x v="0"/>
    <n v="2.7400000000000001E-2"/>
  </r>
  <r>
    <s v="GC015-JBA-08132021"/>
    <s v="Spill"/>
    <x v="0"/>
    <s v="Swallowtail Shiner"/>
    <s v="Notropis"/>
    <s v="gibbosus"/>
    <s v="U"/>
    <x v="0"/>
    <n v="8"/>
    <n v="11.81"/>
    <x v="1"/>
    <s v="2706-90-3"/>
    <x v="1"/>
    <n v="4.8349999999999997E-2"/>
  </r>
  <r>
    <s v="GC015-JBA-08132021"/>
    <s v="Spill"/>
    <x v="0"/>
    <s v="Swallowtail Shiner"/>
    <s v="Notropis"/>
    <s v="gibbosus"/>
    <s v="U"/>
    <x v="0"/>
    <n v="8"/>
    <n v="11.81"/>
    <x v="2"/>
    <s v="307-24-4"/>
    <x v="2"/>
    <n v="3.6949999999999997E-2"/>
  </r>
  <r>
    <s v="GC015-JBA-08132021"/>
    <s v="Spill"/>
    <x v="0"/>
    <s v="Swallowtail Shiner"/>
    <s v="Notropis"/>
    <s v="gibbosus"/>
    <s v="U"/>
    <x v="0"/>
    <n v="8"/>
    <n v="11.81"/>
    <x v="3"/>
    <s v="375-85-9"/>
    <x v="3"/>
    <n v="2.7400000000000001E-2"/>
  </r>
  <r>
    <s v="GC015-JBA-08132021"/>
    <s v="Spill"/>
    <x v="0"/>
    <s v="Swallowtail Shiner"/>
    <s v="Notropis"/>
    <s v="gibbosus"/>
    <s v="U"/>
    <x v="0"/>
    <n v="8"/>
    <n v="11.81"/>
    <x v="4"/>
    <s v="335-67-1"/>
    <x v="4"/>
    <n v="3.28"/>
  </r>
  <r>
    <s v="GC015-JBA-08132021"/>
    <s v="Spill"/>
    <x v="0"/>
    <s v="Swallowtail Shiner"/>
    <s v="Notropis"/>
    <s v="gibbosus"/>
    <s v="U"/>
    <x v="0"/>
    <n v="8"/>
    <n v="11.81"/>
    <x v="5"/>
    <s v="375-95-1"/>
    <x v="5"/>
    <n v="4.6500000000000004"/>
  </r>
  <r>
    <s v="GC015-JBA-08132021"/>
    <s v="Spill"/>
    <x v="0"/>
    <s v="Swallowtail Shiner"/>
    <s v="Notropis"/>
    <s v="gibbosus"/>
    <s v="U"/>
    <x v="0"/>
    <n v="8"/>
    <n v="11.81"/>
    <x v="6"/>
    <s v="335-76-2"/>
    <x v="6"/>
    <n v="12.9"/>
  </r>
  <r>
    <s v="GC015-JBA-08132021"/>
    <s v="Spill"/>
    <x v="0"/>
    <s v="Swallowtail Shiner"/>
    <s v="Notropis"/>
    <s v="gibbosus"/>
    <s v="U"/>
    <x v="0"/>
    <n v="8"/>
    <n v="11.81"/>
    <x v="7"/>
    <s v="2058-94-8"/>
    <x v="7"/>
    <n v="19.5"/>
  </r>
  <r>
    <s v="GC015-JBA-08132021"/>
    <s v="Spill"/>
    <x v="0"/>
    <s v="Swallowtail Shiner"/>
    <s v="Notropis"/>
    <s v="gibbosus"/>
    <s v="U"/>
    <x v="0"/>
    <n v="8"/>
    <n v="11.81"/>
    <x v="8"/>
    <s v="307-55-1"/>
    <x v="8"/>
    <n v="21.2"/>
  </r>
  <r>
    <s v="GC015-JBA-08132021"/>
    <s v="Spill"/>
    <x v="0"/>
    <s v="Swallowtail Shiner"/>
    <s v="Notropis"/>
    <s v="gibbosus"/>
    <s v="U"/>
    <x v="0"/>
    <n v="8"/>
    <n v="11.81"/>
    <x v="9"/>
    <s v="72629-94-8"/>
    <x v="9"/>
    <n v="8.27"/>
  </r>
  <r>
    <s v="GC015-JBA-08132021"/>
    <s v="Spill"/>
    <x v="0"/>
    <s v="Swallowtail Shiner"/>
    <s v="Notropis"/>
    <s v="gibbosus"/>
    <s v="U"/>
    <x v="0"/>
    <n v="8"/>
    <n v="11.81"/>
    <x v="10"/>
    <s v="376-06-7"/>
    <x v="10"/>
    <n v="8.35"/>
  </r>
  <r>
    <s v="GC015-JBA-08132021"/>
    <s v="Spill"/>
    <x v="0"/>
    <s v="Swallowtail Shiner"/>
    <s v="Notropis"/>
    <s v="gibbosus"/>
    <s v="U"/>
    <x v="0"/>
    <n v="8"/>
    <n v="11.81"/>
    <x v="11"/>
    <s v="67905-19-5"/>
    <x v="11"/>
    <n v="8.1500000000000003E-2"/>
  </r>
  <r>
    <s v="GC015-JBA-08132021"/>
    <s v="Spill"/>
    <x v="0"/>
    <s v="Swallowtail Shiner"/>
    <s v="Notropis"/>
    <s v="gibbosus"/>
    <s v="U"/>
    <x v="0"/>
    <n v="8"/>
    <n v="11.81"/>
    <x v="12"/>
    <s v="423-41-6"/>
    <x v="12"/>
    <n v="5.2499999999999998E-2"/>
  </r>
  <r>
    <s v="GC015-JBA-08132021"/>
    <s v="Spill"/>
    <x v="0"/>
    <s v="Swallowtail Shiner"/>
    <s v="Notropis"/>
    <s v="gibbosus"/>
    <s v="U"/>
    <x v="0"/>
    <n v="8"/>
    <n v="11.81"/>
    <x v="13"/>
    <s v="375-73-5"/>
    <x v="13"/>
    <n v="4.6649999999999997E-2"/>
  </r>
  <r>
    <s v="GC015-JBA-08132021"/>
    <s v="Spill"/>
    <x v="0"/>
    <s v="Swallowtail Shiner"/>
    <s v="Notropis"/>
    <s v="gibbosus"/>
    <s v="U"/>
    <x v="0"/>
    <n v="8"/>
    <n v="11.81"/>
    <x v="14"/>
    <s v="2706-91-4"/>
    <x v="14"/>
    <n v="1.45"/>
  </r>
  <r>
    <s v="GC015-JBA-08132021"/>
    <s v="Spill"/>
    <x v="0"/>
    <s v="Swallowtail Shiner"/>
    <s v="Notropis"/>
    <s v="gibbosus"/>
    <s v="U"/>
    <x v="0"/>
    <n v="8"/>
    <n v="11.81"/>
    <x v="15"/>
    <s v="355-46-4"/>
    <x v="15"/>
    <n v="61.2"/>
  </r>
  <r>
    <s v="GC015-JBA-08132021"/>
    <s v="Spill"/>
    <x v="0"/>
    <s v="Swallowtail Shiner"/>
    <s v="Notropis"/>
    <s v="gibbosus"/>
    <s v="U"/>
    <x v="0"/>
    <n v="8"/>
    <n v="11.81"/>
    <x v="16"/>
    <s v="375-92-8"/>
    <x v="16"/>
    <n v="14.4"/>
  </r>
  <r>
    <s v="GC015-JBA-08132021"/>
    <s v="Spill"/>
    <x v="0"/>
    <s v="Swallowtail Shiner"/>
    <s v="Notropis"/>
    <s v="gibbosus"/>
    <s v="U"/>
    <x v="0"/>
    <n v="8"/>
    <n v="11.81"/>
    <x v="17"/>
    <s v="1763-23-1"/>
    <x v="17"/>
    <n v="1070"/>
  </r>
  <r>
    <s v="GC015-JBA-08132021"/>
    <s v="Spill"/>
    <x v="0"/>
    <s v="Swallowtail Shiner"/>
    <s v="Notropis"/>
    <s v="gibbosus"/>
    <s v="U"/>
    <x v="0"/>
    <n v="8"/>
    <n v="11.81"/>
    <x v="18"/>
    <s v="68259-12-1"/>
    <x v="18"/>
    <n v="2.4"/>
  </r>
  <r>
    <s v="GC015-JBA-08132021"/>
    <s v="Spill"/>
    <x v="0"/>
    <s v="Swallowtail Shiner"/>
    <s v="Notropis"/>
    <s v="gibbosus"/>
    <s v="U"/>
    <x v="0"/>
    <n v="8"/>
    <n v="11.81"/>
    <x v="19"/>
    <s v="335-77-3"/>
    <x v="19"/>
    <n v="5.49"/>
  </r>
  <r>
    <s v="GC015-JBA-08132021"/>
    <s v="Spill"/>
    <x v="0"/>
    <s v="Swallowtail Shiner"/>
    <s v="Notropis"/>
    <s v="gibbosus"/>
    <s v="U"/>
    <x v="0"/>
    <n v="8"/>
    <n v="11.81"/>
    <x v="20"/>
    <s v="79780-39-5"/>
    <x v="20"/>
    <n v="1.9"/>
  </r>
  <r>
    <s v="GC015-JBA-08132021"/>
    <s v="Spill"/>
    <x v="0"/>
    <s v="Swallowtail Shiner"/>
    <s v="Notropis"/>
    <s v="gibbosus"/>
    <s v="U"/>
    <x v="0"/>
    <n v="8"/>
    <n v="11.81"/>
    <x v="21"/>
    <s v="777011-38-8"/>
    <x v="21"/>
    <n v="0.68500000000000005"/>
  </r>
  <r>
    <s v="GC015-JBA-08132021"/>
    <s v="Spill"/>
    <x v="0"/>
    <s v="Swallowtail Shiner"/>
    <s v="Notropis"/>
    <s v="gibbosus"/>
    <s v="U"/>
    <x v="0"/>
    <n v="8"/>
    <n v="11.81"/>
    <x v="22"/>
    <s v="646-83-3"/>
    <x v="22"/>
    <n v="0.38600000000000001"/>
  </r>
  <r>
    <s v="GC015-JBA-08132021"/>
    <s v="Spill"/>
    <x v="0"/>
    <s v="Swallowtail Shiner"/>
    <s v="Notropis"/>
    <s v="gibbosus"/>
    <s v="U"/>
    <x v="0"/>
    <n v="8"/>
    <n v="11.81"/>
    <x v="23"/>
    <s v="30334-69-1"/>
    <x v="23"/>
    <n v="32.5"/>
  </r>
  <r>
    <s v="GC015-JBA-08132021"/>
    <s v="Spill"/>
    <x v="0"/>
    <s v="Swallowtail Shiner"/>
    <s v="Notropis"/>
    <s v="gibbosus"/>
    <s v="U"/>
    <x v="0"/>
    <n v="8"/>
    <n v="11.81"/>
    <x v="24"/>
    <s v="41997-13-1"/>
    <x v="24"/>
    <n v="175"/>
  </r>
  <r>
    <s v="GC015-JBA-08132021"/>
    <s v="Spill"/>
    <x v="0"/>
    <s v="Swallowtail Shiner"/>
    <s v="Notropis"/>
    <s v="gibbosus"/>
    <s v="U"/>
    <x v="0"/>
    <n v="8"/>
    <n v="11.81"/>
    <x v="25"/>
    <s v="754-91-6"/>
    <x v="25"/>
    <n v="12.8"/>
  </r>
  <r>
    <s v="GC015-JBA-08132021"/>
    <s v="Spill"/>
    <x v="0"/>
    <s v="Swallowtail Shiner"/>
    <s v="Notropis"/>
    <s v="gibbosus"/>
    <s v="U"/>
    <x v="0"/>
    <n v="8"/>
    <n v="11.81"/>
    <x v="26"/>
    <s v="31506-32-8"/>
    <x v="26"/>
    <n v="5.2499999999999998E-2"/>
  </r>
  <r>
    <s v="GC015-JBA-08132021"/>
    <s v="Spill"/>
    <x v="0"/>
    <s v="Swallowtail Shiner"/>
    <s v="Notropis"/>
    <s v="gibbosus"/>
    <s v="U"/>
    <x v="0"/>
    <n v="8"/>
    <n v="11.81"/>
    <x v="27"/>
    <s v="4151-50-2"/>
    <x v="27"/>
    <n v="0.08"/>
  </r>
  <r>
    <s v="GC015-JBA-08132021"/>
    <s v="Spill"/>
    <x v="0"/>
    <s v="Swallowtail Shiner"/>
    <s v="Notropis"/>
    <s v="gibbosus"/>
    <s v="U"/>
    <x v="0"/>
    <n v="8"/>
    <n v="11.81"/>
    <x v="28"/>
    <s v="2806-24-8"/>
    <x v="28"/>
    <n v="5.3999999999999999E-2"/>
  </r>
  <r>
    <s v="GC015-JBA-08132021"/>
    <s v="Spill"/>
    <x v="0"/>
    <s v="Swallowtail Shiner"/>
    <s v="Notropis"/>
    <s v="gibbosus"/>
    <s v="U"/>
    <x v="0"/>
    <n v="8"/>
    <n v="11.81"/>
    <x v="29"/>
    <s v="2355-31-9"/>
    <x v="29"/>
    <n v="0.73599999999999999"/>
  </r>
  <r>
    <s v="GC015-JBA-08132021"/>
    <s v="Spill"/>
    <x v="0"/>
    <s v="Swallowtail Shiner"/>
    <s v="Notropis"/>
    <s v="gibbosus"/>
    <s v="U"/>
    <x v="0"/>
    <n v="8"/>
    <n v="11.81"/>
    <x v="30"/>
    <s v="2991-50-6"/>
    <x v="30"/>
    <n v="5.9499999999999997E-2"/>
  </r>
  <r>
    <s v="GC015-JBA-08132021"/>
    <s v="Spill"/>
    <x v="0"/>
    <s v="Swallowtail Shiner"/>
    <s v="Notropis"/>
    <s v="gibbosus"/>
    <s v="U"/>
    <x v="0"/>
    <n v="8"/>
    <n v="11.81"/>
    <x v="31"/>
    <s v="757124-72-4"/>
    <x v="31"/>
    <n v="5.6000000000000001E-2"/>
  </r>
  <r>
    <s v="GC015-JBA-08132021"/>
    <s v="Spill"/>
    <x v="0"/>
    <s v="Swallowtail Shiner"/>
    <s v="Notropis"/>
    <s v="gibbosus"/>
    <s v="U"/>
    <x v="0"/>
    <n v="8"/>
    <n v="11.81"/>
    <x v="32"/>
    <s v="27619-97-2"/>
    <x v="32"/>
    <n v="0.61499999999999999"/>
  </r>
  <r>
    <s v="GC015-JBA-08132021"/>
    <s v="Spill"/>
    <x v="0"/>
    <s v="Swallowtail Shiner"/>
    <s v="Notropis"/>
    <s v="gibbosus"/>
    <s v="U"/>
    <x v="0"/>
    <n v="8"/>
    <n v="11.81"/>
    <x v="33"/>
    <s v="39108-34-4"/>
    <x v="33"/>
    <n v="26.6"/>
  </r>
  <r>
    <s v="GC015-JBA-08132021"/>
    <s v="Spill"/>
    <x v="0"/>
    <s v="Swallowtail Shiner"/>
    <s v="Notropis"/>
    <s v="gibbosus"/>
    <s v="U"/>
    <x v="0"/>
    <n v="8"/>
    <n v="11.81"/>
    <x v="34"/>
    <s v="120226-60-0"/>
    <x v="34"/>
    <n v="0.64"/>
  </r>
  <r>
    <s v="GC015-JBA-08132021"/>
    <s v="Spill"/>
    <x v="0"/>
    <s v="Swallowtail Shiner"/>
    <s v="Notropis"/>
    <s v="gibbosus"/>
    <s v="U"/>
    <x v="0"/>
    <n v="8"/>
    <n v="11.81"/>
    <x v="35"/>
    <s v="356-02-5"/>
    <x v="35"/>
    <n v="7.9000000000000001E-2"/>
  </r>
  <r>
    <s v="GC015-JBA-08132021"/>
    <s v="Spill"/>
    <x v="0"/>
    <s v="Swallowtail Shiner"/>
    <s v="Notropis"/>
    <s v="gibbosus"/>
    <s v="U"/>
    <x v="0"/>
    <n v="8"/>
    <n v="11.81"/>
    <x v="36"/>
    <s v="914637-49-3"/>
    <x v="36"/>
    <n v="5.1499999999999997E-2"/>
  </r>
  <r>
    <s v="GC015-JBA-08132021"/>
    <s v="Spill"/>
    <x v="0"/>
    <s v="Swallowtail Shiner"/>
    <s v="Notropis"/>
    <s v="gibbosus"/>
    <s v="U"/>
    <x v="0"/>
    <n v="8"/>
    <n v="11.81"/>
    <x v="37"/>
    <s v="812-70-4"/>
    <x v="37"/>
    <n v="6.61"/>
  </r>
  <r>
    <s v="GC015-JBA-08132021"/>
    <s v="Spill"/>
    <x v="0"/>
    <s v="Swallowtail Shiner"/>
    <s v="Notropis"/>
    <s v="gibbosus"/>
    <s v="U"/>
    <x v="0"/>
    <n v="8"/>
    <n v="11.81"/>
    <x v="38"/>
    <s v="53826-12-3"/>
    <x v="38"/>
    <n v="4.3950000000000003E-2"/>
  </r>
  <r>
    <s v="GC015-JBA-08132021"/>
    <s v="Spill"/>
    <x v="0"/>
    <s v="Swallowtail Shiner"/>
    <s v="Notropis"/>
    <s v="gibbosus"/>
    <s v="U"/>
    <x v="0"/>
    <n v="8"/>
    <n v="11.81"/>
    <x v="39"/>
    <s v="27854-31-5"/>
    <x v="39"/>
    <n v="2.7400000000000001E-2"/>
  </r>
  <r>
    <s v="GC015-JBA-08132021"/>
    <s v="Spill"/>
    <x v="0"/>
    <s v="Swallowtail Shiner"/>
    <s v="Notropis"/>
    <s v="gibbosus"/>
    <s v="U"/>
    <x v="0"/>
    <n v="8"/>
    <n v="11.81"/>
    <x v="40"/>
    <s v="53826-13-4"/>
    <x v="40"/>
    <n v="0.10249999999999999"/>
  </r>
  <r>
    <s v="GC015-JBA-08132021"/>
    <s v="Spill"/>
    <x v="0"/>
    <s v="Swallowtail Shiner"/>
    <s v="Notropis"/>
    <s v="gibbosus"/>
    <s v="U"/>
    <x v="0"/>
    <n v="8"/>
    <n v="11.81"/>
    <x v="41"/>
    <s v="161094-75-3"/>
    <x v="41"/>
    <n v="5.3999999999999999E-2"/>
  </r>
  <r>
    <s v="GC015-JBA-08132021"/>
    <s v="Spill"/>
    <x v="0"/>
    <s v="Swallowtail Shiner"/>
    <s v="Notropis"/>
    <s v="gibbosus"/>
    <s v="U"/>
    <x v="0"/>
    <n v="8"/>
    <n v="11.81"/>
    <x v="42"/>
    <s v="70887-84-2"/>
    <x v="42"/>
    <n v="4.1349999999999998E-2"/>
  </r>
  <r>
    <s v="GC015-JBA-08132021"/>
    <s v="Spill"/>
    <x v="0"/>
    <s v="Swallowtail Shiner"/>
    <s v="Notropis"/>
    <s v="gibbosus"/>
    <s v="U"/>
    <x v="0"/>
    <n v="8"/>
    <n v="11.81"/>
    <x v="43"/>
    <s v="919005-14-4"/>
    <x v="43"/>
    <n v="6.8500000000000005E-2"/>
  </r>
  <r>
    <s v="GC015-JBA-08132021"/>
    <s v="Spill"/>
    <x v="0"/>
    <s v="Swallowtail Shiner"/>
    <s v="Notropis"/>
    <s v="gibbosus"/>
    <s v="U"/>
    <x v="0"/>
    <n v="8"/>
    <n v="11.81"/>
    <x v="44"/>
    <s v="756426-58-1"/>
    <x v="44"/>
    <n v="4.7600000000000003E-2"/>
  </r>
  <r>
    <s v="GC015-JBA-08132021"/>
    <s v="Spill"/>
    <x v="0"/>
    <s v="Swallowtail Shiner"/>
    <s v="Notropis"/>
    <s v="gibbosus"/>
    <s v="U"/>
    <x v="0"/>
    <n v="8"/>
    <n v="11.81"/>
    <x v="45"/>
    <s v="763051-92-9"/>
    <x v="45"/>
    <n v="5.3999999999999999E-2"/>
  </r>
  <r>
    <s v="GC015-JBA-08132021"/>
    <s v="Spill"/>
    <x v="0"/>
    <s v="Swallowtail Shiner"/>
    <s v="Notropis"/>
    <s v="gibbosus"/>
    <s v="U"/>
    <x v="0"/>
    <n v="8"/>
    <n v="11.81"/>
    <x v="46"/>
    <s v="13252-13-6"/>
    <x v="46"/>
    <n v="9.8500000000000004E-2"/>
  </r>
  <r>
    <s v="GC015-JBA-08132021"/>
    <s v="Spill"/>
    <x v="0"/>
    <s v="Swallowtail Shiner"/>
    <s v="Notropis"/>
    <s v="gibbosus"/>
    <s v="U"/>
    <x v="0"/>
    <n v="8"/>
    <n v="11.81"/>
    <x v="47"/>
    <s v="57677-95-9"/>
    <x v="47"/>
    <n v="7.2999999999999995E-2"/>
  </r>
  <r>
    <s v="GC015-JBA-08132021"/>
    <s v="Spill"/>
    <x v="0"/>
    <s v="Swallowtail Shiner"/>
    <s v="Notropis"/>
    <s v="gibbosus"/>
    <s v="U"/>
    <x v="0"/>
    <n v="8"/>
    <n v="11.81"/>
    <x v="48"/>
    <s v="678-41-1"/>
    <x v="48"/>
    <n v="9.0999999999999998E-2"/>
  </r>
  <r>
    <s v="GC015-JBA-08132021"/>
    <s v="Spill"/>
    <x v="0"/>
    <s v="Swallowtail Shiner"/>
    <s v="Notropis"/>
    <s v="gibbosus"/>
    <s v="U"/>
    <x v="0"/>
    <n v="8"/>
    <n v="11.81"/>
    <x v="49"/>
    <s v="2965-52-8"/>
    <x v="49"/>
    <n v="0.1205"/>
  </r>
  <r>
    <s v="GC016-JBA-08132021"/>
    <s v="Spill"/>
    <x v="0"/>
    <s v="Swallowtail Shiner"/>
    <s v="Notropis"/>
    <s v="gibbosus"/>
    <s v="U"/>
    <x v="0"/>
    <n v="8"/>
    <n v="11.81"/>
    <x v="0"/>
    <s v="375-22-4"/>
    <x v="0"/>
    <n v="2.9100000000000001E-2"/>
  </r>
  <r>
    <s v="GC016-JBA-08132021"/>
    <s v="Spill"/>
    <x v="0"/>
    <s v="Swallowtail Shiner"/>
    <s v="Notropis"/>
    <s v="gibbosus"/>
    <s v="U"/>
    <x v="0"/>
    <n v="8"/>
    <n v="11.81"/>
    <x v="1"/>
    <s v="2706-90-3"/>
    <x v="1"/>
    <n v="5.1499999999999997E-2"/>
  </r>
  <r>
    <s v="GC016-JBA-08132021"/>
    <s v="Spill"/>
    <x v="0"/>
    <s v="Swallowtail Shiner"/>
    <s v="Notropis"/>
    <s v="gibbosus"/>
    <s v="U"/>
    <x v="0"/>
    <n v="8"/>
    <n v="11.81"/>
    <x v="2"/>
    <s v="307-24-4"/>
    <x v="2"/>
    <n v="0.1295"/>
  </r>
  <r>
    <s v="GC016-JBA-08132021"/>
    <s v="Spill"/>
    <x v="0"/>
    <s v="Swallowtail Shiner"/>
    <s v="Notropis"/>
    <s v="gibbosus"/>
    <s v="U"/>
    <x v="0"/>
    <n v="8"/>
    <n v="11.81"/>
    <x v="3"/>
    <s v="375-85-9"/>
    <x v="3"/>
    <n v="2.9100000000000001E-2"/>
  </r>
  <r>
    <s v="GC016-JBA-08132021"/>
    <s v="Spill"/>
    <x v="0"/>
    <s v="Swallowtail Shiner"/>
    <s v="Notropis"/>
    <s v="gibbosus"/>
    <s v="U"/>
    <x v="0"/>
    <n v="8"/>
    <n v="11.81"/>
    <x v="4"/>
    <s v="335-67-1"/>
    <x v="4"/>
    <n v="4.43"/>
  </r>
  <r>
    <s v="GC016-JBA-08132021"/>
    <s v="Spill"/>
    <x v="0"/>
    <s v="Swallowtail Shiner"/>
    <s v="Notropis"/>
    <s v="gibbosus"/>
    <s v="U"/>
    <x v="0"/>
    <n v="8"/>
    <n v="11.81"/>
    <x v="5"/>
    <s v="375-95-1"/>
    <x v="5"/>
    <n v="11.4"/>
  </r>
  <r>
    <s v="GC016-JBA-08132021"/>
    <s v="Spill"/>
    <x v="0"/>
    <s v="Swallowtail Shiner"/>
    <s v="Notropis"/>
    <s v="gibbosus"/>
    <s v="U"/>
    <x v="0"/>
    <n v="8"/>
    <n v="11.81"/>
    <x v="6"/>
    <s v="335-76-2"/>
    <x v="6"/>
    <n v="10.5"/>
  </r>
  <r>
    <s v="GC016-JBA-08132021"/>
    <s v="Spill"/>
    <x v="0"/>
    <s v="Swallowtail Shiner"/>
    <s v="Notropis"/>
    <s v="gibbosus"/>
    <s v="U"/>
    <x v="0"/>
    <n v="8"/>
    <n v="11.81"/>
    <x v="7"/>
    <s v="2058-94-8"/>
    <x v="7"/>
    <n v="22.4"/>
  </r>
  <r>
    <s v="GC016-JBA-08132021"/>
    <s v="Spill"/>
    <x v="0"/>
    <s v="Swallowtail Shiner"/>
    <s v="Notropis"/>
    <s v="gibbosus"/>
    <s v="U"/>
    <x v="0"/>
    <n v="8"/>
    <n v="11.81"/>
    <x v="8"/>
    <s v="307-55-1"/>
    <x v="8"/>
    <n v="21.6"/>
  </r>
  <r>
    <s v="GC016-JBA-08132021"/>
    <s v="Spill"/>
    <x v="0"/>
    <s v="Swallowtail Shiner"/>
    <s v="Notropis"/>
    <s v="gibbosus"/>
    <s v="U"/>
    <x v="0"/>
    <n v="8"/>
    <n v="11.81"/>
    <x v="9"/>
    <s v="72629-94-8"/>
    <x v="9"/>
    <n v="10"/>
  </r>
  <r>
    <s v="GC016-JBA-08132021"/>
    <s v="Spill"/>
    <x v="0"/>
    <s v="Swallowtail Shiner"/>
    <s v="Notropis"/>
    <s v="gibbosus"/>
    <s v="U"/>
    <x v="0"/>
    <n v="8"/>
    <n v="11.81"/>
    <x v="10"/>
    <s v="376-06-7"/>
    <x v="10"/>
    <n v="8.08"/>
  </r>
  <r>
    <s v="GC016-JBA-08132021"/>
    <s v="Spill"/>
    <x v="0"/>
    <s v="Swallowtail Shiner"/>
    <s v="Notropis"/>
    <s v="gibbosus"/>
    <s v="U"/>
    <x v="0"/>
    <n v="8"/>
    <n v="11.81"/>
    <x v="11"/>
    <s v="67905-19-5"/>
    <x v="11"/>
    <n v="8.6499999999999994E-2"/>
  </r>
  <r>
    <s v="GC016-JBA-08132021"/>
    <s v="Spill"/>
    <x v="0"/>
    <s v="Swallowtail Shiner"/>
    <s v="Notropis"/>
    <s v="gibbosus"/>
    <s v="U"/>
    <x v="0"/>
    <n v="8"/>
    <n v="11.81"/>
    <x v="12"/>
    <s v="423-41-6"/>
    <x v="12"/>
    <n v="5.5500000000000001E-2"/>
  </r>
  <r>
    <s v="GC016-JBA-08132021"/>
    <s v="Spill"/>
    <x v="0"/>
    <s v="Swallowtail Shiner"/>
    <s v="Notropis"/>
    <s v="gibbosus"/>
    <s v="U"/>
    <x v="0"/>
    <n v="8"/>
    <n v="11.81"/>
    <x v="13"/>
    <s v="375-73-5"/>
    <x v="13"/>
    <n v="0.16350000000000001"/>
  </r>
  <r>
    <s v="GC016-JBA-08132021"/>
    <s v="Spill"/>
    <x v="0"/>
    <s v="Swallowtail Shiner"/>
    <s v="Notropis"/>
    <s v="gibbosus"/>
    <s v="U"/>
    <x v="0"/>
    <n v="8"/>
    <n v="11.81"/>
    <x v="14"/>
    <s v="2706-91-4"/>
    <x v="14"/>
    <n v="1.51"/>
  </r>
  <r>
    <s v="GC016-JBA-08132021"/>
    <s v="Spill"/>
    <x v="0"/>
    <s v="Swallowtail Shiner"/>
    <s v="Notropis"/>
    <s v="gibbosus"/>
    <s v="U"/>
    <x v="0"/>
    <n v="8"/>
    <n v="11.81"/>
    <x v="15"/>
    <s v="355-46-4"/>
    <x v="15"/>
    <n v="77.900000000000006"/>
  </r>
  <r>
    <s v="GC016-JBA-08132021"/>
    <s v="Spill"/>
    <x v="0"/>
    <s v="Swallowtail Shiner"/>
    <s v="Notropis"/>
    <s v="gibbosus"/>
    <s v="U"/>
    <x v="0"/>
    <n v="8"/>
    <n v="11.81"/>
    <x v="16"/>
    <s v="375-92-8"/>
    <x v="16"/>
    <n v="9.41"/>
  </r>
  <r>
    <s v="GC016-JBA-08132021"/>
    <s v="Spill"/>
    <x v="0"/>
    <s v="Swallowtail Shiner"/>
    <s v="Notropis"/>
    <s v="gibbosus"/>
    <s v="U"/>
    <x v="0"/>
    <n v="8"/>
    <n v="11.81"/>
    <x v="17"/>
    <s v="1763-23-1"/>
    <x v="17"/>
    <n v="1570"/>
  </r>
  <r>
    <s v="GC016-JBA-08132021"/>
    <s v="Spill"/>
    <x v="0"/>
    <s v="Swallowtail Shiner"/>
    <s v="Notropis"/>
    <s v="gibbosus"/>
    <s v="U"/>
    <x v="0"/>
    <n v="8"/>
    <n v="11.81"/>
    <x v="18"/>
    <s v="68259-12-1"/>
    <x v="18"/>
    <n v="1.19"/>
  </r>
  <r>
    <s v="GC016-JBA-08132021"/>
    <s v="Spill"/>
    <x v="0"/>
    <s v="Swallowtail Shiner"/>
    <s v="Notropis"/>
    <s v="gibbosus"/>
    <s v="U"/>
    <x v="0"/>
    <n v="8"/>
    <n v="11.81"/>
    <x v="19"/>
    <s v="335-77-3"/>
    <x v="19"/>
    <n v="8.0500000000000007"/>
  </r>
  <r>
    <s v="GC016-JBA-08132021"/>
    <s v="Spill"/>
    <x v="0"/>
    <s v="Swallowtail Shiner"/>
    <s v="Notropis"/>
    <s v="gibbosus"/>
    <s v="U"/>
    <x v="0"/>
    <n v="8"/>
    <n v="11.81"/>
    <x v="20"/>
    <s v="79780-39-5"/>
    <x v="20"/>
    <n v="0.69799999999999995"/>
  </r>
  <r>
    <s v="GC016-JBA-08132021"/>
    <s v="Spill"/>
    <x v="0"/>
    <s v="Swallowtail Shiner"/>
    <s v="Notropis"/>
    <s v="gibbosus"/>
    <s v="U"/>
    <x v="0"/>
    <n v="8"/>
    <n v="11.81"/>
    <x v="21"/>
    <s v="777011-38-8"/>
    <x v="21"/>
    <n v="0.48199999999999998"/>
  </r>
  <r>
    <s v="GC016-JBA-08132021"/>
    <s v="Spill"/>
    <x v="0"/>
    <s v="Swallowtail Shiner"/>
    <s v="Notropis"/>
    <s v="gibbosus"/>
    <s v="U"/>
    <x v="0"/>
    <n v="8"/>
    <n v="11.81"/>
    <x v="22"/>
    <s v="646-83-3"/>
    <x v="22"/>
    <n v="0.33300000000000002"/>
  </r>
  <r>
    <s v="GC016-JBA-08132021"/>
    <s v="Spill"/>
    <x v="0"/>
    <s v="Swallowtail Shiner"/>
    <s v="Notropis"/>
    <s v="gibbosus"/>
    <s v="U"/>
    <x v="0"/>
    <n v="8"/>
    <n v="11.81"/>
    <x v="23"/>
    <s v="30334-69-1"/>
    <x v="23"/>
    <n v="56.5"/>
  </r>
  <r>
    <s v="GC016-JBA-08132021"/>
    <s v="Spill"/>
    <x v="0"/>
    <s v="Swallowtail Shiner"/>
    <s v="Notropis"/>
    <s v="gibbosus"/>
    <s v="U"/>
    <x v="0"/>
    <n v="8"/>
    <n v="11.81"/>
    <x v="24"/>
    <s v="41997-13-1"/>
    <x v="24"/>
    <n v="229"/>
  </r>
  <r>
    <s v="GC016-JBA-08132021"/>
    <s v="Spill"/>
    <x v="0"/>
    <s v="Swallowtail Shiner"/>
    <s v="Notropis"/>
    <s v="gibbosus"/>
    <s v="U"/>
    <x v="0"/>
    <n v="8"/>
    <n v="11.81"/>
    <x v="25"/>
    <s v="754-91-6"/>
    <x v="25"/>
    <n v="14.2"/>
  </r>
  <r>
    <s v="GC016-JBA-08132021"/>
    <s v="Spill"/>
    <x v="0"/>
    <s v="Swallowtail Shiner"/>
    <s v="Notropis"/>
    <s v="gibbosus"/>
    <s v="U"/>
    <x v="0"/>
    <n v="8"/>
    <n v="11.81"/>
    <x v="26"/>
    <s v="31506-32-8"/>
    <x v="26"/>
    <n v="5.6000000000000001E-2"/>
  </r>
  <r>
    <s v="GC016-JBA-08132021"/>
    <s v="Spill"/>
    <x v="0"/>
    <s v="Swallowtail Shiner"/>
    <s v="Notropis"/>
    <s v="gibbosus"/>
    <s v="U"/>
    <x v="0"/>
    <n v="8"/>
    <n v="11.81"/>
    <x v="27"/>
    <s v="4151-50-2"/>
    <x v="27"/>
    <n v="8.5000000000000006E-2"/>
  </r>
  <r>
    <s v="GC016-JBA-08132021"/>
    <s v="Spill"/>
    <x v="0"/>
    <s v="Swallowtail Shiner"/>
    <s v="Notropis"/>
    <s v="gibbosus"/>
    <s v="U"/>
    <x v="0"/>
    <n v="8"/>
    <n v="11.81"/>
    <x v="28"/>
    <s v="2806-24-8"/>
    <x v="28"/>
    <n v="5.7500000000000002E-2"/>
  </r>
  <r>
    <s v="GC016-JBA-08132021"/>
    <s v="Spill"/>
    <x v="0"/>
    <s v="Swallowtail Shiner"/>
    <s v="Notropis"/>
    <s v="gibbosus"/>
    <s v="U"/>
    <x v="0"/>
    <n v="8"/>
    <n v="11.81"/>
    <x v="29"/>
    <s v="2355-31-9"/>
    <x v="29"/>
    <n v="0.24149999999999999"/>
  </r>
  <r>
    <s v="GC016-JBA-08132021"/>
    <s v="Spill"/>
    <x v="0"/>
    <s v="Swallowtail Shiner"/>
    <s v="Notropis"/>
    <s v="gibbosus"/>
    <s v="U"/>
    <x v="0"/>
    <n v="8"/>
    <n v="11.81"/>
    <x v="30"/>
    <s v="2991-50-6"/>
    <x v="30"/>
    <n v="6.3E-2"/>
  </r>
  <r>
    <s v="GC016-JBA-08132021"/>
    <s v="Spill"/>
    <x v="0"/>
    <s v="Swallowtail Shiner"/>
    <s v="Notropis"/>
    <s v="gibbosus"/>
    <s v="U"/>
    <x v="0"/>
    <n v="8"/>
    <n v="11.81"/>
    <x v="31"/>
    <s v="757124-72-4"/>
    <x v="31"/>
    <n v="5.9499999999999997E-2"/>
  </r>
  <r>
    <s v="GC016-JBA-08132021"/>
    <s v="Spill"/>
    <x v="0"/>
    <s v="Swallowtail Shiner"/>
    <s v="Notropis"/>
    <s v="gibbosus"/>
    <s v="U"/>
    <x v="0"/>
    <n v="8"/>
    <n v="11.81"/>
    <x v="32"/>
    <s v="27619-97-2"/>
    <x v="32"/>
    <n v="0.64300000000000002"/>
  </r>
  <r>
    <s v="GC016-JBA-08132021"/>
    <s v="Spill"/>
    <x v="0"/>
    <s v="Swallowtail Shiner"/>
    <s v="Notropis"/>
    <s v="gibbosus"/>
    <s v="U"/>
    <x v="0"/>
    <n v="8"/>
    <n v="11.81"/>
    <x v="33"/>
    <s v="39108-34-4"/>
    <x v="33"/>
    <n v="19.600000000000001"/>
  </r>
  <r>
    <s v="GC016-JBA-08132021"/>
    <s v="Spill"/>
    <x v="0"/>
    <s v="Swallowtail Shiner"/>
    <s v="Notropis"/>
    <s v="gibbosus"/>
    <s v="U"/>
    <x v="0"/>
    <n v="8"/>
    <n v="11.81"/>
    <x v="34"/>
    <s v="120226-60-0"/>
    <x v="34"/>
    <n v="8.2500000000000004E-2"/>
  </r>
  <r>
    <s v="GC016-JBA-08132021"/>
    <s v="Spill"/>
    <x v="0"/>
    <s v="Swallowtail Shiner"/>
    <s v="Notropis"/>
    <s v="gibbosus"/>
    <s v="U"/>
    <x v="0"/>
    <n v="8"/>
    <n v="11.81"/>
    <x v="35"/>
    <s v="356-02-5"/>
    <x v="35"/>
    <n v="8.4000000000000005E-2"/>
  </r>
  <r>
    <s v="GC016-JBA-08132021"/>
    <s v="Spill"/>
    <x v="0"/>
    <s v="Swallowtail Shiner"/>
    <s v="Notropis"/>
    <s v="gibbosus"/>
    <s v="U"/>
    <x v="0"/>
    <n v="8"/>
    <n v="11.81"/>
    <x v="36"/>
    <s v="914637-49-3"/>
    <x v="36"/>
    <n v="1.98"/>
  </r>
  <r>
    <s v="GC016-JBA-08132021"/>
    <s v="Spill"/>
    <x v="0"/>
    <s v="Swallowtail Shiner"/>
    <s v="Notropis"/>
    <s v="gibbosus"/>
    <s v="U"/>
    <x v="0"/>
    <n v="8"/>
    <n v="11.81"/>
    <x v="37"/>
    <s v="812-70-4"/>
    <x v="37"/>
    <n v="7.85"/>
  </r>
  <r>
    <s v="GC016-JBA-08132021"/>
    <s v="Spill"/>
    <x v="0"/>
    <s v="Swallowtail Shiner"/>
    <s v="Notropis"/>
    <s v="gibbosus"/>
    <s v="U"/>
    <x v="0"/>
    <n v="8"/>
    <n v="11.81"/>
    <x v="38"/>
    <s v="53826-12-3"/>
    <x v="38"/>
    <n v="4.6649999999999997E-2"/>
  </r>
  <r>
    <s v="GC016-JBA-08132021"/>
    <s v="Spill"/>
    <x v="0"/>
    <s v="Swallowtail Shiner"/>
    <s v="Notropis"/>
    <s v="gibbosus"/>
    <s v="U"/>
    <x v="0"/>
    <n v="8"/>
    <n v="11.81"/>
    <x v="39"/>
    <s v="27854-31-5"/>
    <x v="39"/>
    <n v="2.9100000000000001E-2"/>
  </r>
  <r>
    <s v="GC016-JBA-08132021"/>
    <s v="Spill"/>
    <x v="0"/>
    <s v="Swallowtail Shiner"/>
    <s v="Notropis"/>
    <s v="gibbosus"/>
    <s v="U"/>
    <x v="0"/>
    <n v="8"/>
    <n v="11.81"/>
    <x v="40"/>
    <s v="53826-13-4"/>
    <x v="40"/>
    <n v="0.1085"/>
  </r>
  <r>
    <s v="GC016-JBA-08132021"/>
    <s v="Spill"/>
    <x v="0"/>
    <s v="Swallowtail Shiner"/>
    <s v="Notropis"/>
    <s v="gibbosus"/>
    <s v="U"/>
    <x v="0"/>
    <n v="8"/>
    <n v="11.81"/>
    <x v="41"/>
    <s v="161094-75-3"/>
    <x v="41"/>
    <n v="5.7000000000000002E-2"/>
  </r>
  <r>
    <s v="GC016-JBA-08132021"/>
    <s v="Spill"/>
    <x v="0"/>
    <s v="Swallowtail Shiner"/>
    <s v="Notropis"/>
    <s v="gibbosus"/>
    <s v="U"/>
    <x v="0"/>
    <n v="8"/>
    <n v="11.81"/>
    <x v="42"/>
    <s v="70887-84-2"/>
    <x v="42"/>
    <n v="4.3950000000000003E-2"/>
  </r>
  <r>
    <s v="GC016-JBA-08132021"/>
    <s v="Spill"/>
    <x v="0"/>
    <s v="Swallowtail Shiner"/>
    <s v="Notropis"/>
    <s v="gibbosus"/>
    <s v="U"/>
    <x v="0"/>
    <n v="8"/>
    <n v="11.81"/>
    <x v="43"/>
    <s v="919005-14-4"/>
    <x v="43"/>
    <n v="7.2499999999999995E-2"/>
  </r>
  <r>
    <s v="GC016-JBA-08132021"/>
    <s v="Spill"/>
    <x v="0"/>
    <s v="Swallowtail Shiner"/>
    <s v="Notropis"/>
    <s v="gibbosus"/>
    <s v="U"/>
    <x v="0"/>
    <n v="8"/>
    <n v="11.81"/>
    <x v="44"/>
    <s v="756426-58-1"/>
    <x v="44"/>
    <n v="5.0500000000000003E-2"/>
  </r>
  <r>
    <s v="GC016-JBA-08132021"/>
    <s v="Spill"/>
    <x v="0"/>
    <s v="Swallowtail Shiner"/>
    <s v="Notropis"/>
    <s v="gibbosus"/>
    <s v="U"/>
    <x v="0"/>
    <n v="8"/>
    <n v="11.81"/>
    <x v="45"/>
    <s v="763051-92-9"/>
    <x v="45"/>
    <n v="5.7500000000000002E-2"/>
  </r>
  <r>
    <s v="GC016-JBA-08132021"/>
    <s v="Spill"/>
    <x v="0"/>
    <s v="Swallowtail Shiner"/>
    <s v="Notropis"/>
    <s v="gibbosus"/>
    <s v="U"/>
    <x v="0"/>
    <n v="8"/>
    <n v="11.81"/>
    <x v="46"/>
    <s v="13252-13-6"/>
    <x v="46"/>
    <n v="0.1045"/>
  </r>
  <r>
    <s v="GC016-JBA-08132021"/>
    <s v="Spill"/>
    <x v="0"/>
    <s v="Swallowtail Shiner"/>
    <s v="Notropis"/>
    <s v="gibbosus"/>
    <s v="U"/>
    <x v="0"/>
    <n v="8"/>
    <n v="11.81"/>
    <x v="47"/>
    <s v="57677-95-9"/>
    <x v="47"/>
    <n v="7.7499999999999999E-2"/>
  </r>
  <r>
    <s v="GC016-JBA-08132021"/>
    <s v="Spill"/>
    <x v="0"/>
    <s v="Swallowtail Shiner"/>
    <s v="Notropis"/>
    <s v="gibbosus"/>
    <s v="U"/>
    <x v="0"/>
    <n v="8"/>
    <n v="11.81"/>
    <x v="48"/>
    <s v="678-41-1"/>
    <x v="48"/>
    <n v="9.6500000000000002E-2"/>
  </r>
  <r>
    <s v="GC016-JBA-08132021"/>
    <s v="Spill"/>
    <x v="0"/>
    <s v="Swallowtail Shiner"/>
    <s v="Notropis"/>
    <s v="gibbosus"/>
    <s v="U"/>
    <x v="0"/>
    <n v="8"/>
    <n v="11.81"/>
    <x v="49"/>
    <s v="2965-52-8"/>
    <x v="49"/>
    <n v="0.128"/>
  </r>
  <r>
    <s v="GC017-JBA-08132021"/>
    <s v="Spill"/>
    <x v="0"/>
    <s v="Swallowtail Shiner"/>
    <s v="Notropis"/>
    <s v="gibbosus"/>
    <s v="U"/>
    <x v="0"/>
    <n v="8"/>
    <n v="11.81"/>
    <x v="0"/>
    <s v="375-22-4"/>
    <x v="0"/>
    <n v="2.7900000000000001E-2"/>
  </r>
  <r>
    <s v="GC017-JBA-08132021"/>
    <s v="Spill"/>
    <x v="0"/>
    <s v="Swallowtail Shiner"/>
    <s v="Notropis"/>
    <s v="gibbosus"/>
    <s v="U"/>
    <x v="0"/>
    <n v="8"/>
    <n v="11.81"/>
    <x v="1"/>
    <s v="2706-90-3"/>
    <x v="1"/>
    <n v="4.9099999999999998E-2"/>
  </r>
  <r>
    <s v="GC017-JBA-08132021"/>
    <s v="Spill"/>
    <x v="0"/>
    <s v="Swallowtail Shiner"/>
    <s v="Notropis"/>
    <s v="gibbosus"/>
    <s v="U"/>
    <x v="0"/>
    <n v="8"/>
    <n v="11.81"/>
    <x v="2"/>
    <s v="307-24-4"/>
    <x v="2"/>
    <n v="3.7600000000000001E-2"/>
  </r>
  <r>
    <s v="GC017-JBA-08132021"/>
    <s v="Spill"/>
    <x v="0"/>
    <s v="Swallowtail Shiner"/>
    <s v="Notropis"/>
    <s v="gibbosus"/>
    <s v="U"/>
    <x v="0"/>
    <n v="8"/>
    <n v="11.81"/>
    <x v="3"/>
    <s v="375-85-9"/>
    <x v="3"/>
    <n v="2.7900000000000001E-2"/>
  </r>
  <r>
    <s v="GC017-JBA-08132021"/>
    <s v="Spill"/>
    <x v="0"/>
    <s v="Swallowtail Shiner"/>
    <s v="Notropis"/>
    <s v="gibbosus"/>
    <s v="U"/>
    <x v="0"/>
    <n v="8"/>
    <n v="11.81"/>
    <x v="4"/>
    <s v="335-67-1"/>
    <x v="4"/>
    <n v="0.89800000000000002"/>
  </r>
  <r>
    <s v="GC017-JBA-08132021"/>
    <s v="Spill"/>
    <x v="0"/>
    <s v="Swallowtail Shiner"/>
    <s v="Notropis"/>
    <s v="gibbosus"/>
    <s v="U"/>
    <x v="0"/>
    <n v="8"/>
    <n v="11.81"/>
    <x v="5"/>
    <s v="375-95-1"/>
    <x v="5"/>
    <n v="1.04"/>
  </r>
  <r>
    <s v="GC017-JBA-08132021"/>
    <s v="Spill"/>
    <x v="0"/>
    <s v="Swallowtail Shiner"/>
    <s v="Notropis"/>
    <s v="gibbosus"/>
    <s v="U"/>
    <x v="0"/>
    <n v="8"/>
    <n v="11.81"/>
    <x v="6"/>
    <s v="335-76-2"/>
    <x v="6"/>
    <n v="7.9"/>
  </r>
  <r>
    <s v="GC017-JBA-08132021"/>
    <s v="Spill"/>
    <x v="0"/>
    <s v="Swallowtail Shiner"/>
    <s v="Notropis"/>
    <s v="gibbosus"/>
    <s v="U"/>
    <x v="0"/>
    <n v="8"/>
    <n v="11.81"/>
    <x v="7"/>
    <s v="2058-94-8"/>
    <x v="7"/>
    <n v="11.3"/>
  </r>
  <r>
    <s v="GC017-JBA-08132021"/>
    <s v="Spill"/>
    <x v="0"/>
    <s v="Swallowtail Shiner"/>
    <s v="Notropis"/>
    <s v="gibbosus"/>
    <s v="U"/>
    <x v="0"/>
    <n v="8"/>
    <n v="11.81"/>
    <x v="8"/>
    <s v="307-55-1"/>
    <x v="8"/>
    <n v="14"/>
  </r>
  <r>
    <s v="GC017-JBA-08132021"/>
    <s v="Spill"/>
    <x v="0"/>
    <s v="Swallowtail Shiner"/>
    <s v="Notropis"/>
    <s v="gibbosus"/>
    <s v="U"/>
    <x v="0"/>
    <n v="8"/>
    <n v="11.81"/>
    <x v="9"/>
    <s v="72629-94-8"/>
    <x v="9"/>
    <n v="7.19"/>
  </r>
  <r>
    <s v="GC017-JBA-08132021"/>
    <s v="Spill"/>
    <x v="0"/>
    <s v="Swallowtail Shiner"/>
    <s v="Notropis"/>
    <s v="gibbosus"/>
    <s v="U"/>
    <x v="0"/>
    <n v="8"/>
    <n v="11.81"/>
    <x v="10"/>
    <s v="376-06-7"/>
    <x v="10"/>
    <n v="6.03"/>
  </r>
  <r>
    <s v="GC017-JBA-08132021"/>
    <s v="Spill"/>
    <x v="0"/>
    <s v="Swallowtail Shiner"/>
    <s v="Notropis"/>
    <s v="gibbosus"/>
    <s v="U"/>
    <x v="0"/>
    <n v="8"/>
    <n v="11.81"/>
    <x v="11"/>
    <s v="67905-19-5"/>
    <x v="11"/>
    <n v="8.3000000000000004E-2"/>
  </r>
  <r>
    <s v="GC017-JBA-08132021"/>
    <s v="Spill"/>
    <x v="0"/>
    <s v="Swallowtail Shiner"/>
    <s v="Notropis"/>
    <s v="gibbosus"/>
    <s v="U"/>
    <x v="0"/>
    <n v="8"/>
    <n v="11.81"/>
    <x v="12"/>
    <s v="423-41-6"/>
    <x v="12"/>
    <n v="5.2999999999999999E-2"/>
  </r>
  <r>
    <s v="GC017-JBA-08132021"/>
    <s v="Spill"/>
    <x v="0"/>
    <s v="Swallowtail Shiner"/>
    <s v="Notropis"/>
    <s v="gibbosus"/>
    <s v="U"/>
    <x v="0"/>
    <n v="8"/>
    <n v="11.81"/>
    <x v="13"/>
    <s v="375-73-5"/>
    <x v="13"/>
    <n v="0.156"/>
  </r>
  <r>
    <s v="GC017-JBA-08132021"/>
    <s v="Spill"/>
    <x v="0"/>
    <s v="Swallowtail Shiner"/>
    <s v="Notropis"/>
    <s v="gibbosus"/>
    <s v="U"/>
    <x v="0"/>
    <n v="8"/>
    <n v="11.81"/>
    <x v="14"/>
    <s v="2706-91-4"/>
    <x v="14"/>
    <n v="0.61499999999999999"/>
  </r>
  <r>
    <s v="GC017-JBA-08132021"/>
    <s v="Spill"/>
    <x v="0"/>
    <s v="Swallowtail Shiner"/>
    <s v="Notropis"/>
    <s v="gibbosus"/>
    <s v="U"/>
    <x v="0"/>
    <n v="8"/>
    <n v="11.81"/>
    <x v="15"/>
    <s v="355-46-4"/>
    <x v="15"/>
    <n v="30.7"/>
  </r>
  <r>
    <s v="GC017-JBA-08132021"/>
    <s v="Spill"/>
    <x v="0"/>
    <s v="Swallowtail Shiner"/>
    <s v="Notropis"/>
    <s v="gibbosus"/>
    <s v="U"/>
    <x v="0"/>
    <n v="8"/>
    <n v="11.81"/>
    <x v="16"/>
    <s v="375-92-8"/>
    <x v="16"/>
    <n v="3.43"/>
  </r>
  <r>
    <s v="GC017-JBA-08132021"/>
    <s v="Spill"/>
    <x v="0"/>
    <s v="Swallowtail Shiner"/>
    <s v="Notropis"/>
    <s v="gibbosus"/>
    <s v="U"/>
    <x v="0"/>
    <n v="8"/>
    <n v="11.81"/>
    <x v="17"/>
    <s v="1763-23-1"/>
    <x v="17"/>
    <n v="680"/>
  </r>
  <r>
    <s v="GC017-JBA-08132021"/>
    <s v="Spill"/>
    <x v="0"/>
    <s v="Swallowtail Shiner"/>
    <s v="Notropis"/>
    <s v="gibbosus"/>
    <s v="U"/>
    <x v="0"/>
    <n v="8"/>
    <n v="11.81"/>
    <x v="18"/>
    <s v="68259-12-1"/>
    <x v="18"/>
    <n v="0.73599999999999999"/>
  </r>
  <r>
    <s v="GC017-JBA-08132021"/>
    <s v="Spill"/>
    <x v="0"/>
    <s v="Swallowtail Shiner"/>
    <s v="Notropis"/>
    <s v="gibbosus"/>
    <s v="U"/>
    <x v="0"/>
    <n v="8"/>
    <n v="11.81"/>
    <x v="19"/>
    <s v="335-77-3"/>
    <x v="19"/>
    <n v="1.89"/>
  </r>
  <r>
    <s v="GC017-JBA-08132021"/>
    <s v="Spill"/>
    <x v="0"/>
    <s v="Swallowtail Shiner"/>
    <s v="Notropis"/>
    <s v="gibbosus"/>
    <s v="U"/>
    <x v="0"/>
    <n v="8"/>
    <n v="11.81"/>
    <x v="20"/>
    <s v="79780-39-5"/>
    <x v="20"/>
    <n v="0.69499999999999995"/>
  </r>
  <r>
    <s v="GC017-JBA-08132021"/>
    <s v="Spill"/>
    <x v="0"/>
    <s v="Swallowtail Shiner"/>
    <s v="Notropis"/>
    <s v="gibbosus"/>
    <s v="U"/>
    <x v="0"/>
    <n v="8"/>
    <n v="11.81"/>
    <x v="21"/>
    <s v="777011-38-8"/>
    <x v="21"/>
    <n v="0.13950000000000001"/>
  </r>
  <r>
    <s v="GC017-JBA-08132021"/>
    <s v="Spill"/>
    <x v="0"/>
    <s v="Swallowtail Shiner"/>
    <s v="Notropis"/>
    <s v="gibbosus"/>
    <s v="U"/>
    <x v="0"/>
    <n v="8"/>
    <n v="11.81"/>
    <x v="22"/>
    <s v="646-83-3"/>
    <x v="22"/>
    <n v="9.1999999999999998E-2"/>
  </r>
  <r>
    <s v="GC017-JBA-08132021"/>
    <s v="Spill"/>
    <x v="0"/>
    <s v="Swallowtail Shiner"/>
    <s v="Notropis"/>
    <s v="gibbosus"/>
    <s v="U"/>
    <x v="0"/>
    <n v="8"/>
    <n v="11.81"/>
    <x v="23"/>
    <s v="30334-69-1"/>
    <x v="23"/>
    <n v="183"/>
  </r>
  <r>
    <s v="GC017-JBA-08132021"/>
    <s v="Spill"/>
    <x v="0"/>
    <s v="Swallowtail Shiner"/>
    <s v="Notropis"/>
    <s v="gibbosus"/>
    <s v="U"/>
    <x v="0"/>
    <n v="8"/>
    <n v="11.81"/>
    <x v="24"/>
    <s v="41997-13-1"/>
    <x v="24"/>
    <n v="718"/>
  </r>
  <r>
    <s v="GC017-JBA-08132021"/>
    <s v="Spill"/>
    <x v="0"/>
    <s v="Swallowtail Shiner"/>
    <s v="Notropis"/>
    <s v="gibbosus"/>
    <s v="U"/>
    <x v="0"/>
    <n v="8"/>
    <n v="11.81"/>
    <x v="25"/>
    <s v="754-91-6"/>
    <x v="25"/>
    <n v="20.100000000000001"/>
  </r>
  <r>
    <s v="GC017-JBA-08132021"/>
    <s v="Spill"/>
    <x v="0"/>
    <s v="Swallowtail Shiner"/>
    <s v="Notropis"/>
    <s v="gibbosus"/>
    <s v="U"/>
    <x v="0"/>
    <n v="8"/>
    <n v="11.81"/>
    <x v="26"/>
    <s v="31506-32-8"/>
    <x v="26"/>
    <n v="5.3499999999999999E-2"/>
  </r>
  <r>
    <s v="GC017-JBA-08132021"/>
    <s v="Spill"/>
    <x v="0"/>
    <s v="Swallowtail Shiner"/>
    <s v="Notropis"/>
    <s v="gibbosus"/>
    <s v="U"/>
    <x v="0"/>
    <n v="8"/>
    <n v="11.81"/>
    <x v="27"/>
    <s v="4151-50-2"/>
    <x v="27"/>
    <n v="8.1000000000000003E-2"/>
  </r>
  <r>
    <s v="GC017-JBA-08132021"/>
    <s v="Spill"/>
    <x v="0"/>
    <s v="Swallowtail Shiner"/>
    <s v="Notropis"/>
    <s v="gibbosus"/>
    <s v="U"/>
    <x v="0"/>
    <n v="8"/>
    <n v="11.81"/>
    <x v="28"/>
    <s v="2806-24-8"/>
    <x v="28"/>
    <n v="5.5E-2"/>
  </r>
  <r>
    <s v="GC017-JBA-08132021"/>
    <s v="Spill"/>
    <x v="0"/>
    <s v="Swallowtail Shiner"/>
    <s v="Notropis"/>
    <s v="gibbosus"/>
    <s v="U"/>
    <x v="0"/>
    <n v="8"/>
    <n v="11.81"/>
    <x v="29"/>
    <s v="2355-31-9"/>
    <x v="29"/>
    <n v="0.68400000000000005"/>
  </r>
  <r>
    <s v="GC017-JBA-08132021"/>
    <s v="Spill"/>
    <x v="0"/>
    <s v="Swallowtail Shiner"/>
    <s v="Notropis"/>
    <s v="gibbosus"/>
    <s v="U"/>
    <x v="0"/>
    <n v="8"/>
    <n v="11.81"/>
    <x v="30"/>
    <s v="2991-50-6"/>
    <x v="30"/>
    <n v="6.0499999999999998E-2"/>
  </r>
  <r>
    <s v="GC017-JBA-08132021"/>
    <s v="Spill"/>
    <x v="0"/>
    <s v="Swallowtail Shiner"/>
    <s v="Notropis"/>
    <s v="gibbosus"/>
    <s v="U"/>
    <x v="0"/>
    <n v="8"/>
    <n v="11.81"/>
    <x v="31"/>
    <s v="757124-72-4"/>
    <x v="31"/>
    <n v="5.7000000000000002E-2"/>
  </r>
  <r>
    <s v="GC017-JBA-08132021"/>
    <s v="Spill"/>
    <x v="0"/>
    <s v="Swallowtail Shiner"/>
    <s v="Notropis"/>
    <s v="gibbosus"/>
    <s v="U"/>
    <x v="0"/>
    <n v="8"/>
    <n v="11.81"/>
    <x v="32"/>
    <s v="27619-97-2"/>
    <x v="32"/>
    <n v="4.1950000000000001E-2"/>
  </r>
  <r>
    <s v="GC017-JBA-08132021"/>
    <s v="Spill"/>
    <x v="0"/>
    <s v="Swallowtail Shiner"/>
    <s v="Notropis"/>
    <s v="gibbosus"/>
    <s v="U"/>
    <x v="0"/>
    <n v="8"/>
    <n v="11.81"/>
    <x v="33"/>
    <s v="39108-34-4"/>
    <x v="33"/>
    <n v="9.6999999999999993"/>
  </r>
  <r>
    <s v="GC017-JBA-08132021"/>
    <s v="Spill"/>
    <x v="0"/>
    <s v="Swallowtail Shiner"/>
    <s v="Notropis"/>
    <s v="gibbosus"/>
    <s v="U"/>
    <x v="0"/>
    <n v="8"/>
    <n v="11.81"/>
    <x v="34"/>
    <s v="120226-60-0"/>
    <x v="34"/>
    <n v="0.26050000000000001"/>
  </r>
  <r>
    <s v="GC017-JBA-08132021"/>
    <s v="Spill"/>
    <x v="0"/>
    <s v="Swallowtail Shiner"/>
    <s v="Notropis"/>
    <s v="gibbosus"/>
    <s v="U"/>
    <x v="0"/>
    <n v="8"/>
    <n v="11.81"/>
    <x v="35"/>
    <s v="356-02-5"/>
    <x v="35"/>
    <n v="0.08"/>
  </r>
  <r>
    <s v="GC017-JBA-08132021"/>
    <s v="Spill"/>
    <x v="0"/>
    <s v="Swallowtail Shiner"/>
    <s v="Notropis"/>
    <s v="gibbosus"/>
    <s v="U"/>
    <x v="0"/>
    <n v="8"/>
    <n v="11.81"/>
    <x v="36"/>
    <s v="914637-49-3"/>
    <x v="36"/>
    <n v="1.95"/>
  </r>
  <r>
    <s v="GC017-JBA-08132021"/>
    <s v="Spill"/>
    <x v="0"/>
    <s v="Swallowtail Shiner"/>
    <s v="Notropis"/>
    <s v="gibbosus"/>
    <s v="U"/>
    <x v="0"/>
    <n v="8"/>
    <n v="11.81"/>
    <x v="37"/>
    <s v="812-70-4"/>
    <x v="37"/>
    <n v="3.91"/>
  </r>
  <r>
    <s v="GC017-JBA-08132021"/>
    <s v="Spill"/>
    <x v="0"/>
    <s v="Swallowtail Shiner"/>
    <s v="Notropis"/>
    <s v="gibbosus"/>
    <s v="U"/>
    <x v="0"/>
    <n v="8"/>
    <n v="11.81"/>
    <x v="38"/>
    <s v="53826-12-3"/>
    <x v="38"/>
    <n v="4.4549999999999999E-2"/>
  </r>
  <r>
    <s v="GC017-JBA-08132021"/>
    <s v="Spill"/>
    <x v="0"/>
    <s v="Swallowtail Shiner"/>
    <s v="Notropis"/>
    <s v="gibbosus"/>
    <s v="U"/>
    <x v="0"/>
    <n v="8"/>
    <n v="11.81"/>
    <x v="39"/>
    <s v="27854-31-5"/>
    <x v="39"/>
    <n v="2.7900000000000001E-2"/>
  </r>
  <r>
    <s v="GC017-JBA-08132021"/>
    <s v="Spill"/>
    <x v="0"/>
    <s v="Swallowtail Shiner"/>
    <s v="Notropis"/>
    <s v="gibbosus"/>
    <s v="U"/>
    <x v="0"/>
    <n v="8"/>
    <n v="11.81"/>
    <x v="40"/>
    <s v="53826-13-4"/>
    <x v="40"/>
    <n v="0.104"/>
  </r>
  <r>
    <s v="GC017-JBA-08132021"/>
    <s v="Spill"/>
    <x v="0"/>
    <s v="Swallowtail Shiner"/>
    <s v="Notropis"/>
    <s v="gibbosus"/>
    <s v="U"/>
    <x v="0"/>
    <n v="8"/>
    <n v="11.81"/>
    <x v="41"/>
    <s v="161094-75-3"/>
    <x v="41"/>
    <n v="5.45E-2"/>
  </r>
  <r>
    <s v="GC017-JBA-08132021"/>
    <s v="Spill"/>
    <x v="0"/>
    <s v="Swallowtail Shiner"/>
    <s v="Notropis"/>
    <s v="gibbosus"/>
    <s v="U"/>
    <x v="0"/>
    <n v="8"/>
    <n v="11.81"/>
    <x v="42"/>
    <s v="70887-84-2"/>
    <x v="42"/>
    <n v="4.1950000000000001E-2"/>
  </r>
  <r>
    <s v="GC017-JBA-08132021"/>
    <s v="Spill"/>
    <x v="0"/>
    <s v="Swallowtail Shiner"/>
    <s v="Notropis"/>
    <s v="gibbosus"/>
    <s v="U"/>
    <x v="0"/>
    <n v="8"/>
    <n v="11.81"/>
    <x v="43"/>
    <s v="919005-14-4"/>
    <x v="43"/>
    <n v="6.9500000000000006E-2"/>
  </r>
  <r>
    <s v="GC017-JBA-08132021"/>
    <s v="Spill"/>
    <x v="0"/>
    <s v="Swallowtail Shiner"/>
    <s v="Notropis"/>
    <s v="gibbosus"/>
    <s v="U"/>
    <x v="0"/>
    <n v="8"/>
    <n v="11.81"/>
    <x v="44"/>
    <s v="756426-58-1"/>
    <x v="44"/>
    <n v="4.8349999999999997E-2"/>
  </r>
  <r>
    <s v="GC017-JBA-08132021"/>
    <s v="Spill"/>
    <x v="0"/>
    <s v="Swallowtail Shiner"/>
    <s v="Notropis"/>
    <s v="gibbosus"/>
    <s v="U"/>
    <x v="0"/>
    <n v="8"/>
    <n v="11.81"/>
    <x v="45"/>
    <s v="763051-92-9"/>
    <x v="45"/>
    <n v="5.5E-2"/>
  </r>
  <r>
    <s v="GC017-JBA-08132021"/>
    <s v="Spill"/>
    <x v="0"/>
    <s v="Swallowtail Shiner"/>
    <s v="Notropis"/>
    <s v="gibbosus"/>
    <s v="U"/>
    <x v="0"/>
    <n v="8"/>
    <n v="11.81"/>
    <x v="46"/>
    <s v="13252-13-6"/>
    <x v="46"/>
    <n v="0.1"/>
  </r>
  <r>
    <s v="GC017-JBA-08132021"/>
    <s v="Spill"/>
    <x v="0"/>
    <s v="Swallowtail Shiner"/>
    <s v="Notropis"/>
    <s v="gibbosus"/>
    <s v="U"/>
    <x v="0"/>
    <n v="8"/>
    <n v="11.81"/>
    <x v="47"/>
    <s v="57677-95-9"/>
    <x v="47"/>
    <n v="7.3999999999999996E-2"/>
  </r>
  <r>
    <s v="GC017-JBA-08132021"/>
    <s v="Spill"/>
    <x v="0"/>
    <s v="Swallowtail Shiner"/>
    <s v="Notropis"/>
    <s v="gibbosus"/>
    <s v="U"/>
    <x v="0"/>
    <n v="8"/>
    <n v="11.81"/>
    <x v="48"/>
    <s v="678-41-1"/>
    <x v="48"/>
    <n v="9.1999999999999998E-2"/>
  </r>
  <r>
    <s v="GC017-JBA-08132021"/>
    <s v="Spill"/>
    <x v="0"/>
    <s v="Swallowtail Shiner"/>
    <s v="Notropis"/>
    <s v="gibbosus"/>
    <s v="U"/>
    <x v="0"/>
    <n v="8"/>
    <n v="11.81"/>
    <x v="49"/>
    <s v="2965-52-8"/>
    <x v="49"/>
    <n v="0.1225"/>
  </r>
  <r>
    <s v="BRS002-JBA-08132021"/>
    <s v="Spill"/>
    <x v="0"/>
    <s v="Darter sp."/>
    <s v="Etheostoma"/>
    <s v="gibbosus"/>
    <s v="U"/>
    <x v="0"/>
    <n v="8"/>
    <n v="11.81"/>
    <x v="0"/>
    <s v="375-22-4"/>
    <x v="0"/>
    <n v="2.8199999999999999E-2"/>
  </r>
  <r>
    <s v="BRS002-JBA-08132021"/>
    <s v="Spill"/>
    <x v="0"/>
    <s v="Darter sp."/>
    <s v="Etheostoma"/>
    <s v="gibbosus"/>
    <s v="U"/>
    <x v="0"/>
    <n v="8"/>
    <n v="11.81"/>
    <x v="1"/>
    <s v="2706-90-3"/>
    <x v="1"/>
    <n v="4.9700000000000001E-2"/>
  </r>
  <r>
    <s v="BRS002-JBA-08132021"/>
    <s v="Spill"/>
    <x v="0"/>
    <s v="Darter sp."/>
    <s v="Etheostoma"/>
    <s v="gibbosus"/>
    <s v="U"/>
    <x v="0"/>
    <n v="8"/>
    <n v="11.81"/>
    <x v="2"/>
    <s v="307-24-4"/>
    <x v="2"/>
    <n v="0.1255"/>
  </r>
  <r>
    <s v="BRS002-JBA-08132021"/>
    <s v="Spill"/>
    <x v="0"/>
    <s v="Darter sp."/>
    <s v="Etheostoma"/>
    <s v="gibbosus"/>
    <s v="U"/>
    <x v="0"/>
    <n v="8"/>
    <n v="11.81"/>
    <x v="3"/>
    <s v="375-85-9"/>
    <x v="3"/>
    <n v="2.8199999999999999E-2"/>
  </r>
  <r>
    <s v="BRS002-JBA-08132021"/>
    <s v="Spill"/>
    <x v="0"/>
    <s v="Darter sp."/>
    <s v="Etheostoma"/>
    <s v="gibbosus"/>
    <s v="U"/>
    <x v="0"/>
    <n v="8"/>
    <n v="11.81"/>
    <x v="4"/>
    <s v="335-67-1"/>
    <x v="4"/>
    <n v="0.65"/>
  </r>
  <r>
    <s v="BRS002-JBA-08132021"/>
    <s v="Spill"/>
    <x v="0"/>
    <s v="Darter sp."/>
    <s v="Etheostoma"/>
    <s v="gibbosus"/>
    <s v="U"/>
    <x v="0"/>
    <n v="8"/>
    <n v="11.81"/>
    <x v="5"/>
    <s v="375-95-1"/>
    <x v="5"/>
    <n v="0.67200000000000004"/>
  </r>
  <r>
    <s v="BRS002-JBA-08132021"/>
    <s v="Spill"/>
    <x v="0"/>
    <s v="Darter sp."/>
    <s v="Etheostoma"/>
    <s v="gibbosus"/>
    <s v="U"/>
    <x v="0"/>
    <n v="8"/>
    <n v="11.81"/>
    <x v="6"/>
    <s v="335-76-2"/>
    <x v="6"/>
    <n v="6.92"/>
  </r>
  <r>
    <s v="BRS002-JBA-08132021"/>
    <s v="Spill"/>
    <x v="0"/>
    <s v="Darter sp."/>
    <s v="Etheostoma"/>
    <s v="gibbosus"/>
    <s v="U"/>
    <x v="0"/>
    <n v="8"/>
    <n v="11.81"/>
    <x v="7"/>
    <s v="2058-94-8"/>
    <x v="7"/>
    <n v="7.31"/>
  </r>
  <r>
    <s v="BRS002-JBA-08132021"/>
    <s v="Spill"/>
    <x v="0"/>
    <s v="Darter sp."/>
    <s v="Etheostoma"/>
    <s v="gibbosus"/>
    <s v="U"/>
    <x v="0"/>
    <n v="8"/>
    <n v="11.81"/>
    <x v="8"/>
    <s v="307-55-1"/>
    <x v="8"/>
    <n v="10.7"/>
  </r>
  <r>
    <s v="BRS002-JBA-08132021"/>
    <s v="Spill"/>
    <x v="0"/>
    <s v="Darter sp."/>
    <s v="Etheostoma"/>
    <s v="gibbosus"/>
    <s v="U"/>
    <x v="0"/>
    <n v="8"/>
    <n v="11.81"/>
    <x v="9"/>
    <s v="72629-94-8"/>
    <x v="9"/>
    <n v="4.09"/>
  </r>
  <r>
    <s v="BRS002-JBA-08132021"/>
    <s v="Spill"/>
    <x v="0"/>
    <s v="Darter sp."/>
    <s v="Etheostoma"/>
    <s v="gibbosus"/>
    <s v="U"/>
    <x v="0"/>
    <n v="8"/>
    <n v="11.81"/>
    <x v="10"/>
    <s v="376-06-7"/>
    <x v="10"/>
    <n v="4.2300000000000004"/>
  </r>
  <r>
    <s v="BRS002-JBA-08132021"/>
    <s v="Spill"/>
    <x v="0"/>
    <s v="Darter sp."/>
    <s v="Etheostoma"/>
    <s v="gibbosus"/>
    <s v="U"/>
    <x v="0"/>
    <n v="8"/>
    <n v="11.81"/>
    <x v="11"/>
    <s v="67905-19-5"/>
    <x v="11"/>
    <n v="8.4000000000000005E-2"/>
  </r>
  <r>
    <s v="BRS002-JBA-08132021"/>
    <s v="Spill"/>
    <x v="0"/>
    <s v="Darter sp."/>
    <s v="Etheostoma"/>
    <s v="gibbosus"/>
    <s v="U"/>
    <x v="0"/>
    <n v="8"/>
    <n v="11.81"/>
    <x v="12"/>
    <s v="423-41-6"/>
    <x v="12"/>
    <n v="5.3499999999999999E-2"/>
  </r>
  <r>
    <s v="BRS002-JBA-08132021"/>
    <s v="Spill"/>
    <x v="0"/>
    <s v="Darter sp."/>
    <s v="Etheostoma"/>
    <s v="gibbosus"/>
    <s v="U"/>
    <x v="0"/>
    <n v="8"/>
    <n v="11.81"/>
    <x v="13"/>
    <s v="375-73-5"/>
    <x v="13"/>
    <n v="0.158"/>
  </r>
  <r>
    <s v="BRS002-JBA-08132021"/>
    <s v="Spill"/>
    <x v="0"/>
    <s v="Darter sp."/>
    <s v="Etheostoma"/>
    <s v="gibbosus"/>
    <s v="U"/>
    <x v="0"/>
    <n v="8"/>
    <n v="11.81"/>
    <x v="14"/>
    <s v="2706-91-4"/>
    <x v="14"/>
    <n v="0.123"/>
  </r>
  <r>
    <s v="BRS002-JBA-08132021"/>
    <s v="Spill"/>
    <x v="0"/>
    <s v="Darter sp."/>
    <s v="Etheostoma"/>
    <s v="gibbosus"/>
    <s v="U"/>
    <x v="0"/>
    <n v="8"/>
    <n v="11.81"/>
    <x v="15"/>
    <s v="355-46-4"/>
    <x v="15"/>
    <n v="17.600000000000001"/>
  </r>
  <r>
    <s v="BRS002-JBA-08132021"/>
    <s v="Spill"/>
    <x v="0"/>
    <s v="Darter sp."/>
    <s v="Etheostoma"/>
    <s v="gibbosus"/>
    <s v="U"/>
    <x v="0"/>
    <n v="8"/>
    <n v="11.81"/>
    <x v="16"/>
    <s v="375-92-8"/>
    <x v="16"/>
    <n v="4.1900000000000004"/>
  </r>
  <r>
    <s v="BRS002-JBA-08132021"/>
    <s v="Spill"/>
    <x v="0"/>
    <s v="Darter sp."/>
    <s v="Etheostoma"/>
    <s v="gibbosus"/>
    <s v="U"/>
    <x v="0"/>
    <n v="8"/>
    <n v="11.81"/>
    <x v="17"/>
    <s v="1763-23-1"/>
    <x v="17"/>
    <n v="1050"/>
  </r>
  <r>
    <s v="BRS002-JBA-08132021"/>
    <s v="Spill"/>
    <x v="0"/>
    <s v="Darter sp."/>
    <s v="Etheostoma"/>
    <s v="gibbosus"/>
    <s v="U"/>
    <x v="0"/>
    <n v="8"/>
    <n v="11.81"/>
    <x v="18"/>
    <s v="68259-12-1"/>
    <x v="18"/>
    <n v="1.25"/>
  </r>
  <r>
    <s v="BRS002-JBA-08132021"/>
    <s v="Spill"/>
    <x v="0"/>
    <s v="Darter sp."/>
    <s v="Etheostoma"/>
    <s v="gibbosus"/>
    <s v="U"/>
    <x v="0"/>
    <n v="8"/>
    <n v="11.81"/>
    <x v="19"/>
    <s v="335-77-3"/>
    <x v="19"/>
    <n v="7.88"/>
  </r>
  <r>
    <s v="BRS002-JBA-08132021"/>
    <s v="Spill"/>
    <x v="0"/>
    <s v="Darter sp."/>
    <s v="Etheostoma"/>
    <s v="gibbosus"/>
    <s v="U"/>
    <x v="0"/>
    <n v="8"/>
    <n v="11.81"/>
    <x v="20"/>
    <s v="79780-39-5"/>
    <x v="20"/>
    <n v="0.2485"/>
  </r>
  <r>
    <s v="BRS002-JBA-08132021"/>
    <s v="Spill"/>
    <x v="0"/>
    <s v="Darter sp."/>
    <s v="Etheostoma"/>
    <s v="gibbosus"/>
    <s v="U"/>
    <x v="0"/>
    <n v="8"/>
    <n v="11.81"/>
    <x v="21"/>
    <s v="777011-38-8"/>
    <x v="21"/>
    <n v="0.14099999999999999"/>
  </r>
  <r>
    <s v="BRS002-JBA-08132021"/>
    <s v="Spill"/>
    <x v="0"/>
    <s v="Darter sp."/>
    <s v="Etheostoma"/>
    <s v="gibbosus"/>
    <s v="U"/>
    <x v="0"/>
    <n v="8"/>
    <n v="11.81"/>
    <x v="22"/>
    <s v="646-83-3"/>
    <x v="22"/>
    <n v="0.373"/>
  </r>
  <r>
    <s v="BRS002-JBA-08132021"/>
    <s v="Spill"/>
    <x v="0"/>
    <s v="Darter sp."/>
    <s v="Etheostoma"/>
    <s v="gibbosus"/>
    <s v="U"/>
    <x v="0"/>
    <n v="8"/>
    <n v="11.81"/>
    <x v="23"/>
    <s v="30334-69-1"/>
    <x v="23"/>
    <n v="24.1"/>
  </r>
  <r>
    <s v="BRS002-JBA-08132021"/>
    <s v="Spill"/>
    <x v="0"/>
    <s v="Darter sp."/>
    <s v="Etheostoma"/>
    <s v="gibbosus"/>
    <s v="U"/>
    <x v="0"/>
    <n v="8"/>
    <n v="11.81"/>
    <x v="24"/>
    <s v="41997-13-1"/>
    <x v="24"/>
    <n v="91"/>
  </r>
  <r>
    <s v="BRS002-JBA-08132021"/>
    <s v="Spill"/>
    <x v="0"/>
    <s v="Darter sp."/>
    <s v="Etheostoma"/>
    <s v="gibbosus"/>
    <s v="U"/>
    <x v="0"/>
    <n v="8"/>
    <n v="11.81"/>
    <x v="25"/>
    <s v="754-91-6"/>
    <x v="25"/>
    <n v="38.299999999999997"/>
  </r>
  <r>
    <s v="BRS002-JBA-08132021"/>
    <s v="Spill"/>
    <x v="0"/>
    <s v="Darter sp."/>
    <s v="Etheostoma"/>
    <s v="gibbosus"/>
    <s v="U"/>
    <x v="0"/>
    <n v="8"/>
    <n v="11.81"/>
    <x v="26"/>
    <s v="31506-32-8"/>
    <x v="26"/>
    <n v="5.3999999999999999E-2"/>
  </r>
  <r>
    <s v="BRS002-JBA-08132021"/>
    <s v="Spill"/>
    <x v="0"/>
    <s v="Darter sp."/>
    <s v="Etheostoma"/>
    <s v="gibbosus"/>
    <s v="U"/>
    <x v="0"/>
    <n v="8"/>
    <n v="11.81"/>
    <x v="27"/>
    <s v="4151-50-2"/>
    <x v="27"/>
    <n v="8.2000000000000003E-2"/>
  </r>
  <r>
    <s v="BRS002-JBA-08132021"/>
    <s v="Spill"/>
    <x v="0"/>
    <s v="Darter sp."/>
    <s v="Etheostoma"/>
    <s v="gibbosus"/>
    <s v="U"/>
    <x v="0"/>
    <n v="8"/>
    <n v="11.81"/>
    <x v="28"/>
    <s v="2806-24-8"/>
    <x v="28"/>
    <n v="5.5500000000000001E-2"/>
  </r>
  <r>
    <s v="BRS002-JBA-08132021"/>
    <s v="Spill"/>
    <x v="0"/>
    <s v="Darter sp."/>
    <s v="Etheostoma"/>
    <s v="gibbosus"/>
    <s v="U"/>
    <x v="0"/>
    <n v="8"/>
    <n v="11.81"/>
    <x v="29"/>
    <s v="2355-31-9"/>
    <x v="29"/>
    <n v="0.23350000000000001"/>
  </r>
  <r>
    <s v="BRS002-JBA-08132021"/>
    <s v="Spill"/>
    <x v="0"/>
    <s v="Darter sp."/>
    <s v="Etheostoma"/>
    <s v="gibbosus"/>
    <s v="U"/>
    <x v="0"/>
    <n v="8"/>
    <n v="11.81"/>
    <x v="30"/>
    <s v="2991-50-6"/>
    <x v="30"/>
    <n v="6.0999999999999999E-2"/>
  </r>
  <r>
    <s v="BRS002-JBA-08132021"/>
    <s v="Spill"/>
    <x v="0"/>
    <s v="Darter sp."/>
    <s v="Etheostoma"/>
    <s v="gibbosus"/>
    <s v="U"/>
    <x v="0"/>
    <n v="8"/>
    <n v="11.81"/>
    <x v="31"/>
    <s v="757124-72-4"/>
    <x v="31"/>
    <n v="5.7500000000000002E-2"/>
  </r>
  <r>
    <s v="BRS002-JBA-08132021"/>
    <s v="Spill"/>
    <x v="0"/>
    <s v="Darter sp."/>
    <s v="Etheostoma"/>
    <s v="gibbosus"/>
    <s v="U"/>
    <x v="0"/>
    <n v="8"/>
    <n v="11.81"/>
    <x v="32"/>
    <s v="27619-97-2"/>
    <x v="32"/>
    <n v="0.41"/>
  </r>
  <r>
    <s v="BRS002-JBA-08132021"/>
    <s v="Spill"/>
    <x v="0"/>
    <s v="Darter sp."/>
    <s v="Etheostoma"/>
    <s v="gibbosus"/>
    <s v="U"/>
    <x v="0"/>
    <n v="8"/>
    <n v="11.81"/>
    <x v="33"/>
    <s v="39108-34-4"/>
    <x v="33"/>
    <n v="3.64"/>
  </r>
  <r>
    <s v="BRS002-JBA-08132021"/>
    <s v="Spill"/>
    <x v="0"/>
    <s v="Darter sp."/>
    <s v="Etheostoma"/>
    <s v="gibbosus"/>
    <s v="U"/>
    <x v="0"/>
    <n v="8"/>
    <n v="11.81"/>
    <x v="34"/>
    <s v="120226-60-0"/>
    <x v="34"/>
    <n v="0.08"/>
  </r>
  <r>
    <s v="BRS002-JBA-08132021"/>
    <s v="Spill"/>
    <x v="0"/>
    <s v="Darter sp."/>
    <s v="Etheostoma"/>
    <s v="gibbosus"/>
    <s v="U"/>
    <x v="0"/>
    <n v="8"/>
    <n v="11.81"/>
    <x v="35"/>
    <s v="356-02-5"/>
    <x v="35"/>
    <n v="8.1000000000000003E-2"/>
  </r>
  <r>
    <s v="BRS002-JBA-08132021"/>
    <s v="Spill"/>
    <x v="0"/>
    <s v="Darter sp."/>
    <s v="Etheostoma"/>
    <s v="gibbosus"/>
    <s v="U"/>
    <x v="0"/>
    <n v="8"/>
    <n v="11.81"/>
    <x v="36"/>
    <s v="914637-49-3"/>
    <x v="36"/>
    <n v="1.44"/>
  </r>
  <r>
    <s v="BRS002-JBA-08132021"/>
    <s v="Spill"/>
    <x v="0"/>
    <s v="Darter sp."/>
    <s v="Etheostoma"/>
    <s v="gibbosus"/>
    <s v="U"/>
    <x v="0"/>
    <n v="8"/>
    <n v="11.81"/>
    <x v="37"/>
    <s v="812-70-4"/>
    <x v="37"/>
    <n v="18"/>
  </r>
  <r>
    <s v="BRS002-JBA-08132021"/>
    <s v="Spill"/>
    <x v="0"/>
    <s v="Darter sp."/>
    <s v="Etheostoma"/>
    <s v="gibbosus"/>
    <s v="U"/>
    <x v="0"/>
    <n v="8"/>
    <n v="11.81"/>
    <x v="38"/>
    <s v="53826-12-3"/>
    <x v="38"/>
    <n v="4.5150000000000003E-2"/>
  </r>
  <r>
    <s v="BRS002-JBA-08132021"/>
    <s v="Spill"/>
    <x v="0"/>
    <s v="Darter sp."/>
    <s v="Etheostoma"/>
    <s v="gibbosus"/>
    <s v="U"/>
    <x v="0"/>
    <n v="8"/>
    <n v="11.81"/>
    <x v="39"/>
    <s v="27854-31-5"/>
    <x v="39"/>
    <n v="2.8199999999999999E-2"/>
  </r>
  <r>
    <s v="BRS002-JBA-08132021"/>
    <s v="Spill"/>
    <x v="0"/>
    <s v="Darter sp."/>
    <s v="Etheostoma"/>
    <s v="gibbosus"/>
    <s v="U"/>
    <x v="0"/>
    <n v="8"/>
    <n v="11.81"/>
    <x v="40"/>
    <s v="53826-13-4"/>
    <x v="40"/>
    <n v="0.105"/>
  </r>
  <r>
    <s v="BRS002-JBA-08132021"/>
    <s v="Spill"/>
    <x v="0"/>
    <s v="Darter sp."/>
    <s v="Etheostoma"/>
    <s v="gibbosus"/>
    <s v="U"/>
    <x v="0"/>
    <n v="8"/>
    <n v="11.81"/>
    <x v="41"/>
    <s v="161094-75-3"/>
    <x v="41"/>
    <n v="5.5500000000000001E-2"/>
  </r>
  <r>
    <s v="BRS002-JBA-08132021"/>
    <s v="Spill"/>
    <x v="0"/>
    <s v="Darter sp."/>
    <s v="Etheostoma"/>
    <s v="gibbosus"/>
    <s v="U"/>
    <x v="0"/>
    <n v="8"/>
    <n v="11.81"/>
    <x v="42"/>
    <s v="70887-84-2"/>
    <x v="42"/>
    <n v="4.2599999999999999E-2"/>
  </r>
  <r>
    <s v="BRS002-JBA-08132021"/>
    <s v="Spill"/>
    <x v="0"/>
    <s v="Darter sp."/>
    <s v="Etheostoma"/>
    <s v="gibbosus"/>
    <s v="U"/>
    <x v="0"/>
    <n v="8"/>
    <n v="11.81"/>
    <x v="43"/>
    <s v="919005-14-4"/>
    <x v="43"/>
    <n v="7.0499999999999993E-2"/>
  </r>
  <r>
    <s v="BRS002-JBA-08132021"/>
    <s v="Spill"/>
    <x v="0"/>
    <s v="Darter sp."/>
    <s v="Etheostoma"/>
    <s v="gibbosus"/>
    <s v="U"/>
    <x v="0"/>
    <n v="8"/>
    <n v="11.81"/>
    <x v="44"/>
    <s v="756426-58-1"/>
    <x v="44"/>
    <n v="4.8800000000000003E-2"/>
  </r>
  <r>
    <s v="BRS002-JBA-08132021"/>
    <s v="Spill"/>
    <x v="0"/>
    <s v="Darter sp."/>
    <s v="Etheostoma"/>
    <s v="gibbosus"/>
    <s v="U"/>
    <x v="0"/>
    <n v="8"/>
    <n v="11.81"/>
    <x v="45"/>
    <s v="763051-92-9"/>
    <x v="45"/>
    <n v="5.5500000000000001E-2"/>
  </r>
  <r>
    <s v="BRS002-JBA-08132021"/>
    <s v="Spill"/>
    <x v="0"/>
    <s v="Darter sp."/>
    <s v="Etheostoma"/>
    <s v="gibbosus"/>
    <s v="U"/>
    <x v="0"/>
    <n v="8"/>
    <n v="11.81"/>
    <x v="46"/>
    <s v="13252-13-6"/>
    <x v="46"/>
    <n v="0.10100000000000001"/>
  </r>
  <r>
    <s v="BRS002-JBA-08132021"/>
    <s v="Spill"/>
    <x v="0"/>
    <s v="Darter sp."/>
    <s v="Etheostoma"/>
    <s v="gibbosus"/>
    <s v="U"/>
    <x v="0"/>
    <n v="8"/>
    <n v="11.81"/>
    <x v="47"/>
    <s v="57677-95-9"/>
    <x v="47"/>
    <n v="7.4999999999999997E-2"/>
  </r>
  <r>
    <s v="BRS002-JBA-08132021"/>
    <s v="Spill"/>
    <x v="0"/>
    <s v="Darter sp."/>
    <s v="Etheostoma"/>
    <s v="gibbosus"/>
    <s v="U"/>
    <x v="0"/>
    <n v="8"/>
    <n v="11.81"/>
    <x v="48"/>
    <s v="678-41-1"/>
    <x v="48"/>
    <n v="9.35E-2"/>
  </r>
  <r>
    <s v="BRS002-JBA-08132021"/>
    <s v="Spill"/>
    <x v="0"/>
    <s v="Darter sp."/>
    <s v="Etheostoma"/>
    <s v="gibbosus"/>
    <s v="U"/>
    <x v="0"/>
    <n v="8"/>
    <n v="11.81"/>
    <x v="49"/>
    <s v="2965-52-8"/>
    <x v="49"/>
    <n v="0.124"/>
  </r>
  <r>
    <s v="BRS003-JBA-08132021"/>
    <s v="Spill"/>
    <x v="0"/>
    <s v="Darter sp."/>
    <s v="Etheostoma"/>
    <s v="gibbosus"/>
    <s v="U"/>
    <x v="0"/>
    <n v="8"/>
    <n v="11.81"/>
    <x v="0"/>
    <s v="375-22-4"/>
    <x v="0"/>
    <n v="2.6800000000000001E-2"/>
  </r>
  <r>
    <s v="BRS003-JBA-08132021"/>
    <s v="Spill"/>
    <x v="0"/>
    <s v="Darter sp."/>
    <s v="Etheostoma"/>
    <s v="gibbosus"/>
    <s v="U"/>
    <x v="0"/>
    <n v="8"/>
    <n v="11.81"/>
    <x v="1"/>
    <s v="2706-90-3"/>
    <x v="1"/>
    <n v="4.7399999999999998E-2"/>
  </r>
  <r>
    <s v="BRS003-JBA-08132021"/>
    <s v="Spill"/>
    <x v="0"/>
    <s v="Darter sp."/>
    <s v="Etheostoma"/>
    <s v="gibbosus"/>
    <s v="U"/>
    <x v="0"/>
    <n v="8"/>
    <n v="11.81"/>
    <x v="2"/>
    <s v="307-24-4"/>
    <x v="2"/>
    <n v="0.1195"/>
  </r>
  <r>
    <s v="BRS003-JBA-08132021"/>
    <s v="Spill"/>
    <x v="0"/>
    <s v="Darter sp."/>
    <s v="Etheostoma"/>
    <s v="gibbosus"/>
    <s v="U"/>
    <x v="0"/>
    <n v="8"/>
    <n v="11.81"/>
    <x v="3"/>
    <s v="375-85-9"/>
    <x v="3"/>
    <n v="2.6800000000000001E-2"/>
  </r>
  <r>
    <s v="BRS003-JBA-08132021"/>
    <s v="Spill"/>
    <x v="0"/>
    <s v="Darter sp."/>
    <s v="Etheostoma"/>
    <s v="gibbosus"/>
    <s v="U"/>
    <x v="0"/>
    <n v="8"/>
    <n v="11.81"/>
    <x v="4"/>
    <s v="335-67-1"/>
    <x v="4"/>
    <n v="0.65400000000000003"/>
  </r>
  <r>
    <s v="BRS003-JBA-08132021"/>
    <s v="Spill"/>
    <x v="0"/>
    <s v="Darter sp."/>
    <s v="Etheostoma"/>
    <s v="gibbosus"/>
    <s v="U"/>
    <x v="0"/>
    <n v="8"/>
    <n v="11.81"/>
    <x v="5"/>
    <s v="375-95-1"/>
    <x v="5"/>
    <n v="0.72699999999999998"/>
  </r>
  <r>
    <s v="BRS003-JBA-08132021"/>
    <s v="Spill"/>
    <x v="0"/>
    <s v="Darter sp."/>
    <s v="Etheostoma"/>
    <s v="gibbosus"/>
    <s v="U"/>
    <x v="0"/>
    <n v="8"/>
    <n v="11.81"/>
    <x v="6"/>
    <s v="335-76-2"/>
    <x v="6"/>
    <n v="4.91"/>
  </r>
  <r>
    <s v="BRS003-JBA-08132021"/>
    <s v="Spill"/>
    <x v="0"/>
    <s v="Darter sp."/>
    <s v="Etheostoma"/>
    <s v="gibbosus"/>
    <s v="U"/>
    <x v="0"/>
    <n v="8"/>
    <n v="11.81"/>
    <x v="7"/>
    <s v="2058-94-8"/>
    <x v="7"/>
    <n v="7.36"/>
  </r>
  <r>
    <s v="BRS003-JBA-08132021"/>
    <s v="Spill"/>
    <x v="0"/>
    <s v="Darter sp."/>
    <s v="Etheostoma"/>
    <s v="gibbosus"/>
    <s v="U"/>
    <x v="0"/>
    <n v="8"/>
    <n v="11.81"/>
    <x v="8"/>
    <s v="307-55-1"/>
    <x v="8"/>
    <n v="6.69"/>
  </r>
  <r>
    <s v="BRS003-JBA-08132021"/>
    <s v="Spill"/>
    <x v="0"/>
    <s v="Darter sp."/>
    <s v="Etheostoma"/>
    <s v="gibbosus"/>
    <s v="U"/>
    <x v="0"/>
    <n v="8"/>
    <n v="11.81"/>
    <x v="9"/>
    <s v="72629-94-8"/>
    <x v="9"/>
    <n v="3.11"/>
  </r>
  <r>
    <s v="BRS003-JBA-08132021"/>
    <s v="Spill"/>
    <x v="0"/>
    <s v="Darter sp."/>
    <s v="Etheostoma"/>
    <s v="gibbosus"/>
    <s v="U"/>
    <x v="0"/>
    <n v="8"/>
    <n v="11.81"/>
    <x v="10"/>
    <s v="376-06-7"/>
    <x v="10"/>
    <n v="2.7"/>
  </r>
  <r>
    <s v="BRS003-JBA-08132021"/>
    <s v="Spill"/>
    <x v="0"/>
    <s v="Darter sp."/>
    <s v="Etheostoma"/>
    <s v="gibbosus"/>
    <s v="U"/>
    <x v="0"/>
    <n v="8"/>
    <n v="11.81"/>
    <x v="11"/>
    <s v="67905-19-5"/>
    <x v="11"/>
    <n v="0.08"/>
  </r>
  <r>
    <s v="BRS003-JBA-08132021"/>
    <s v="Spill"/>
    <x v="0"/>
    <s v="Darter sp."/>
    <s v="Etheostoma"/>
    <s v="gibbosus"/>
    <s v="U"/>
    <x v="0"/>
    <n v="8"/>
    <n v="11.81"/>
    <x v="12"/>
    <s v="423-41-6"/>
    <x v="12"/>
    <n v="5.0999999999999997E-2"/>
  </r>
  <r>
    <s v="BRS003-JBA-08132021"/>
    <s v="Spill"/>
    <x v="0"/>
    <s v="Darter sp."/>
    <s v="Etheostoma"/>
    <s v="gibbosus"/>
    <s v="U"/>
    <x v="0"/>
    <n v="8"/>
    <n v="11.81"/>
    <x v="13"/>
    <s v="375-73-5"/>
    <x v="13"/>
    <n v="0.15049999999999999"/>
  </r>
  <r>
    <s v="BRS003-JBA-08132021"/>
    <s v="Spill"/>
    <x v="0"/>
    <s v="Darter sp."/>
    <s v="Etheostoma"/>
    <s v="gibbosus"/>
    <s v="U"/>
    <x v="0"/>
    <n v="8"/>
    <n v="11.81"/>
    <x v="14"/>
    <s v="2706-91-4"/>
    <x v="14"/>
    <n v="0.11700000000000001"/>
  </r>
  <r>
    <s v="BRS003-JBA-08132021"/>
    <s v="Spill"/>
    <x v="0"/>
    <s v="Darter sp."/>
    <s v="Etheostoma"/>
    <s v="gibbosus"/>
    <s v="U"/>
    <x v="0"/>
    <n v="8"/>
    <n v="11.81"/>
    <x v="15"/>
    <s v="355-46-4"/>
    <x v="15"/>
    <n v="15"/>
  </r>
  <r>
    <s v="BRS003-JBA-08132021"/>
    <s v="Spill"/>
    <x v="0"/>
    <s v="Darter sp."/>
    <s v="Etheostoma"/>
    <s v="gibbosus"/>
    <s v="U"/>
    <x v="0"/>
    <n v="8"/>
    <n v="11.81"/>
    <x v="16"/>
    <s v="375-92-8"/>
    <x v="16"/>
    <n v="4.28"/>
  </r>
  <r>
    <s v="BRS003-JBA-08132021"/>
    <s v="Spill"/>
    <x v="0"/>
    <s v="Darter sp."/>
    <s v="Etheostoma"/>
    <s v="gibbosus"/>
    <s v="U"/>
    <x v="0"/>
    <n v="8"/>
    <n v="11.81"/>
    <x v="17"/>
    <s v="1763-23-1"/>
    <x v="17"/>
    <n v="700"/>
  </r>
  <r>
    <s v="BRS003-JBA-08132021"/>
    <s v="Spill"/>
    <x v="0"/>
    <s v="Darter sp."/>
    <s v="Etheostoma"/>
    <s v="gibbosus"/>
    <s v="U"/>
    <x v="0"/>
    <n v="8"/>
    <n v="11.81"/>
    <x v="18"/>
    <s v="68259-12-1"/>
    <x v="18"/>
    <n v="0.74199999999999999"/>
  </r>
  <r>
    <s v="BRS003-JBA-08132021"/>
    <s v="Spill"/>
    <x v="0"/>
    <s v="Darter sp."/>
    <s v="Etheostoma"/>
    <s v="gibbosus"/>
    <s v="U"/>
    <x v="0"/>
    <n v="8"/>
    <n v="11.81"/>
    <x v="19"/>
    <s v="335-77-3"/>
    <x v="19"/>
    <n v="3.59"/>
  </r>
  <r>
    <s v="BRS003-JBA-08132021"/>
    <s v="Spill"/>
    <x v="0"/>
    <s v="Darter sp."/>
    <s v="Etheostoma"/>
    <s v="gibbosus"/>
    <s v="U"/>
    <x v="0"/>
    <n v="8"/>
    <n v="11.81"/>
    <x v="20"/>
    <s v="79780-39-5"/>
    <x v="20"/>
    <n v="0.23649999999999999"/>
  </r>
  <r>
    <s v="BRS003-JBA-08132021"/>
    <s v="Spill"/>
    <x v="0"/>
    <s v="Darter sp."/>
    <s v="Etheostoma"/>
    <s v="gibbosus"/>
    <s v="U"/>
    <x v="0"/>
    <n v="8"/>
    <n v="11.81"/>
    <x v="21"/>
    <s v="777011-38-8"/>
    <x v="21"/>
    <n v="0.13450000000000001"/>
  </r>
  <r>
    <s v="BRS003-JBA-08132021"/>
    <s v="Spill"/>
    <x v="0"/>
    <s v="Darter sp."/>
    <s v="Etheostoma"/>
    <s v="gibbosus"/>
    <s v="U"/>
    <x v="0"/>
    <n v="8"/>
    <n v="11.81"/>
    <x v="22"/>
    <s v="646-83-3"/>
    <x v="22"/>
    <n v="0.441"/>
  </r>
  <r>
    <s v="BRS003-JBA-08132021"/>
    <s v="Spill"/>
    <x v="0"/>
    <s v="Darter sp."/>
    <s v="Etheostoma"/>
    <s v="gibbosus"/>
    <s v="U"/>
    <x v="0"/>
    <n v="8"/>
    <n v="11.81"/>
    <x v="23"/>
    <s v="30334-69-1"/>
    <x v="23"/>
    <n v="22.7"/>
  </r>
  <r>
    <s v="BRS003-JBA-08132021"/>
    <s v="Spill"/>
    <x v="0"/>
    <s v="Darter sp."/>
    <s v="Etheostoma"/>
    <s v="gibbosus"/>
    <s v="U"/>
    <x v="0"/>
    <n v="8"/>
    <n v="11.81"/>
    <x v="24"/>
    <s v="41997-13-1"/>
    <x v="24"/>
    <n v="68.7"/>
  </r>
  <r>
    <s v="BRS003-JBA-08132021"/>
    <s v="Spill"/>
    <x v="0"/>
    <s v="Darter sp."/>
    <s v="Etheostoma"/>
    <s v="gibbosus"/>
    <s v="U"/>
    <x v="0"/>
    <n v="8"/>
    <n v="11.81"/>
    <x v="25"/>
    <s v="754-91-6"/>
    <x v="25"/>
    <n v="34.4"/>
  </r>
  <r>
    <s v="BRS003-JBA-08132021"/>
    <s v="Spill"/>
    <x v="0"/>
    <s v="Darter sp."/>
    <s v="Etheostoma"/>
    <s v="gibbosus"/>
    <s v="U"/>
    <x v="0"/>
    <n v="8"/>
    <n v="11.81"/>
    <x v="26"/>
    <s v="31506-32-8"/>
    <x v="26"/>
    <n v="5.1499999999999997E-2"/>
  </r>
  <r>
    <s v="BRS003-JBA-08132021"/>
    <s v="Spill"/>
    <x v="0"/>
    <s v="Darter sp."/>
    <s v="Etheostoma"/>
    <s v="gibbosus"/>
    <s v="U"/>
    <x v="0"/>
    <n v="8"/>
    <n v="11.81"/>
    <x v="27"/>
    <s v="4151-50-2"/>
    <x v="27"/>
    <n v="7.85E-2"/>
  </r>
  <r>
    <s v="BRS003-JBA-08132021"/>
    <s v="Spill"/>
    <x v="0"/>
    <s v="Darter sp."/>
    <s v="Etheostoma"/>
    <s v="gibbosus"/>
    <s v="U"/>
    <x v="0"/>
    <n v="8"/>
    <n v="11.81"/>
    <x v="28"/>
    <s v="2806-24-8"/>
    <x v="28"/>
    <n v="5.2999999999999999E-2"/>
  </r>
  <r>
    <s v="BRS003-JBA-08132021"/>
    <s v="Spill"/>
    <x v="0"/>
    <s v="Darter sp."/>
    <s v="Etheostoma"/>
    <s v="gibbosus"/>
    <s v="U"/>
    <x v="0"/>
    <n v="8"/>
    <n v="11.81"/>
    <x v="29"/>
    <s v="2355-31-9"/>
    <x v="29"/>
    <n v="0.2225"/>
  </r>
  <r>
    <s v="BRS003-JBA-08132021"/>
    <s v="Spill"/>
    <x v="0"/>
    <s v="Darter sp."/>
    <s v="Etheostoma"/>
    <s v="gibbosus"/>
    <s v="U"/>
    <x v="0"/>
    <n v="8"/>
    <n v="11.81"/>
    <x v="30"/>
    <s v="2991-50-6"/>
    <x v="30"/>
    <n v="5.8000000000000003E-2"/>
  </r>
  <r>
    <s v="BRS003-JBA-08132021"/>
    <s v="Spill"/>
    <x v="0"/>
    <s v="Darter sp."/>
    <s v="Etheostoma"/>
    <s v="gibbosus"/>
    <s v="U"/>
    <x v="0"/>
    <n v="8"/>
    <n v="11.81"/>
    <x v="31"/>
    <s v="757124-72-4"/>
    <x v="31"/>
    <n v="5.5E-2"/>
  </r>
  <r>
    <s v="BRS003-JBA-08132021"/>
    <s v="Spill"/>
    <x v="0"/>
    <s v="Darter sp."/>
    <s v="Etheostoma"/>
    <s v="gibbosus"/>
    <s v="U"/>
    <x v="0"/>
    <n v="8"/>
    <n v="11.81"/>
    <x v="32"/>
    <s v="27619-97-2"/>
    <x v="32"/>
    <n v="0.46100000000000002"/>
  </r>
  <r>
    <s v="BRS003-JBA-08132021"/>
    <s v="Spill"/>
    <x v="0"/>
    <s v="Darter sp."/>
    <s v="Etheostoma"/>
    <s v="gibbosus"/>
    <s v="U"/>
    <x v="0"/>
    <n v="8"/>
    <n v="11.81"/>
    <x v="33"/>
    <s v="39108-34-4"/>
    <x v="33"/>
    <n v="4.5199999999999996"/>
  </r>
  <r>
    <s v="BRS003-JBA-08132021"/>
    <s v="Spill"/>
    <x v="0"/>
    <s v="Darter sp."/>
    <s v="Etheostoma"/>
    <s v="gibbosus"/>
    <s v="U"/>
    <x v="0"/>
    <n v="8"/>
    <n v="11.81"/>
    <x v="34"/>
    <s v="120226-60-0"/>
    <x v="34"/>
    <n v="0.2515"/>
  </r>
  <r>
    <s v="BRS003-JBA-08132021"/>
    <s v="Spill"/>
    <x v="0"/>
    <s v="Darter sp."/>
    <s v="Etheostoma"/>
    <s v="gibbosus"/>
    <s v="U"/>
    <x v="0"/>
    <n v="8"/>
    <n v="11.81"/>
    <x v="35"/>
    <s v="356-02-5"/>
    <x v="35"/>
    <n v="7.7499999999999999E-2"/>
  </r>
  <r>
    <s v="BRS003-JBA-08132021"/>
    <s v="Spill"/>
    <x v="0"/>
    <s v="Darter sp."/>
    <s v="Etheostoma"/>
    <s v="gibbosus"/>
    <s v="U"/>
    <x v="0"/>
    <n v="8"/>
    <n v="11.81"/>
    <x v="36"/>
    <s v="914637-49-3"/>
    <x v="36"/>
    <n v="5.0500000000000003E-2"/>
  </r>
  <r>
    <s v="BRS003-JBA-08132021"/>
    <s v="Spill"/>
    <x v="0"/>
    <s v="Darter sp."/>
    <s v="Etheostoma"/>
    <s v="gibbosus"/>
    <s v="U"/>
    <x v="0"/>
    <n v="8"/>
    <n v="11.81"/>
    <x v="37"/>
    <s v="812-70-4"/>
    <x v="37"/>
    <n v="0.99299999999999999"/>
  </r>
  <r>
    <s v="BRS003-JBA-08132021"/>
    <s v="Spill"/>
    <x v="0"/>
    <s v="Darter sp."/>
    <s v="Etheostoma"/>
    <s v="gibbosus"/>
    <s v="U"/>
    <x v="0"/>
    <n v="8"/>
    <n v="11.81"/>
    <x v="38"/>
    <s v="53826-12-3"/>
    <x v="38"/>
    <n v="4.3049999999999998E-2"/>
  </r>
  <r>
    <s v="BRS003-JBA-08132021"/>
    <s v="Spill"/>
    <x v="0"/>
    <s v="Darter sp."/>
    <s v="Etheostoma"/>
    <s v="gibbosus"/>
    <s v="U"/>
    <x v="0"/>
    <n v="8"/>
    <n v="11.81"/>
    <x v="39"/>
    <s v="27854-31-5"/>
    <x v="39"/>
    <n v="2.6800000000000001E-2"/>
  </r>
  <r>
    <s v="BRS003-JBA-08132021"/>
    <s v="Spill"/>
    <x v="0"/>
    <s v="Darter sp."/>
    <s v="Etheostoma"/>
    <s v="gibbosus"/>
    <s v="U"/>
    <x v="0"/>
    <n v="8"/>
    <n v="11.81"/>
    <x v="40"/>
    <s v="53826-13-4"/>
    <x v="40"/>
    <n v="0.1"/>
  </r>
  <r>
    <s v="BRS003-JBA-08132021"/>
    <s v="Spill"/>
    <x v="0"/>
    <s v="Darter sp."/>
    <s v="Etheostoma"/>
    <s v="gibbosus"/>
    <s v="U"/>
    <x v="0"/>
    <n v="8"/>
    <n v="11.81"/>
    <x v="41"/>
    <s v="161094-75-3"/>
    <x v="41"/>
    <n v="5.2499999999999998E-2"/>
  </r>
  <r>
    <s v="BRS003-JBA-08132021"/>
    <s v="Spill"/>
    <x v="0"/>
    <s v="Darter sp."/>
    <s v="Etheostoma"/>
    <s v="gibbosus"/>
    <s v="U"/>
    <x v="0"/>
    <n v="8"/>
    <n v="11.81"/>
    <x v="42"/>
    <s v="70887-84-2"/>
    <x v="42"/>
    <n v="4.0599999999999997E-2"/>
  </r>
  <r>
    <s v="BRS003-JBA-08132021"/>
    <s v="Spill"/>
    <x v="0"/>
    <s v="Darter sp."/>
    <s v="Etheostoma"/>
    <s v="gibbosus"/>
    <s v="U"/>
    <x v="0"/>
    <n v="8"/>
    <n v="11.81"/>
    <x v="43"/>
    <s v="919005-14-4"/>
    <x v="43"/>
    <n v="6.7000000000000004E-2"/>
  </r>
  <r>
    <s v="BRS003-JBA-08132021"/>
    <s v="Spill"/>
    <x v="0"/>
    <s v="Darter sp."/>
    <s v="Etheostoma"/>
    <s v="gibbosus"/>
    <s v="U"/>
    <x v="0"/>
    <n v="8"/>
    <n v="11.81"/>
    <x v="44"/>
    <s v="756426-58-1"/>
    <x v="44"/>
    <n v="4.65E-2"/>
  </r>
  <r>
    <s v="BRS003-JBA-08132021"/>
    <s v="Spill"/>
    <x v="0"/>
    <s v="Darter sp."/>
    <s v="Etheostoma"/>
    <s v="gibbosus"/>
    <s v="U"/>
    <x v="0"/>
    <n v="8"/>
    <n v="11.81"/>
    <x v="45"/>
    <s v="763051-92-9"/>
    <x v="45"/>
    <n v="5.2999999999999999E-2"/>
  </r>
  <r>
    <s v="BRS003-JBA-08132021"/>
    <s v="Spill"/>
    <x v="0"/>
    <s v="Darter sp."/>
    <s v="Etheostoma"/>
    <s v="gibbosus"/>
    <s v="U"/>
    <x v="0"/>
    <n v="8"/>
    <n v="11.81"/>
    <x v="46"/>
    <s v="13252-13-6"/>
    <x v="46"/>
    <n v="9.6000000000000002E-2"/>
  </r>
  <r>
    <s v="BRS003-JBA-08132021"/>
    <s v="Spill"/>
    <x v="0"/>
    <s v="Darter sp."/>
    <s v="Etheostoma"/>
    <s v="gibbosus"/>
    <s v="U"/>
    <x v="0"/>
    <n v="8"/>
    <n v="11.81"/>
    <x v="47"/>
    <s v="57677-95-9"/>
    <x v="47"/>
    <n v="7.1499999999999994E-2"/>
  </r>
  <r>
    <s v="BRS003-JBA-08132021"/>
    <s v="Spill"/>
    <x v="0"/>
    <s v="Darter sp."/>
    <s v="Etheostoma"/>
    <s v="gibbosus"/>
    <s v="U"/>
    <x v="0"/>
    <n v="8"/>
    <n v="11.81"/>
    <x v="48"/>
    <s v="678-41-1"/>
    <x v="48"/>
    <n v="8.8999999999999996E-2"/>
  </r>
  <r>
    <s v="BRS003-JBA-08132021"/>
    <s v="Spill"/>
    <x v="0"/>
    <s v="Darter sp."/>
    <s v="Etheostoma"/>
    <s v="gibbosus"/>
    <s v="U"/>
    <x v="0"/>
    <n v="8"/>
    <n v="11.81"/>
    <x v="49"/>
    <s v="2965-52-8"/>
    <x v="49"/>
    <n v="0.11799999999999999"/>
  </r>
  <r>
    <s v="BRS004-JBA-08132021"/>
    <s v="Spill"/>
    <x v="0"/>
    <s v="Darter sp."/>
    <s v="Etheostoma"/>
    <s v="gibbosus"/>
    <s v="U"/>
    <x v="0"/>
    <n v="8"/>
    <n v="11.81"/>
    <x v="0"/>
    <s v="375-22-4"/>
    <x v="0"/>
    <n v="2.9100000000000001E-2"/>
  </r>
  <r>
    <s v="BRS004-JBA-08132021"/>
    <s v="Spill"/>
    <x v="0"/>
    <s v="Darter sp."/>
    <s v="Etheostoma"/>
    <s v="gibbosus"/>
    <s v="U"/>
    <x v="0"/>
    <n v="8"/>
    <n v="11.81"/>
    <x v="1"/>
    <s v="2706-90-3"/>
    <x v="1"/>
    <n v="5.1499999999999997E-2"/>
  </r>
  <r>
    <s v="BRS004-JBA-08132021"/>
    <s v="Spill"/>
    <x v="0"/>
    <s v="Darter sp."/>
    <s v="Etheostoma"/>
    <s v="gibbosus"/>
    <s v="U"/>
    <x v="0"/>
    <n v="8"/>
    <n v="11.81"/>
    <x v="2"/>
    <s v="307-24-4"/>
    <x v="2"/>
    <n v="3.925E-2"/>
  </r>
  <r>
    <s v="BRS004-JBA-08132021"/>
    <s v="Spill"/>
    <x v="0"/>
    <s v="Darter sp."/>
    <s v="Etheostoma"/>
    <s v="gibbosus"/>
    <s v="U"/>
    <x v="0"/>
    <n v="8"/>
    <n v="11.81"/>
    <x v="3"/>
    <s v="375-85-9"/>
    <x v="3"/>
    <n v="9.6000000000000002E-2"/>
  </r>
  <r>
    <s v="BRS004-JBA-08132021"/>
    <s v="Spill"/>
    <x v="0"/>
    <s v="Darter sp."/>
    <s v="Etheostoma"/>
    <s v="gibbosus"/>
    <s v="U"/>
    <x v="0"/>
    <n v="8"/>
    <n v="11.81"/>
    <x v="4"/>
    <s v="335-67-1"/>
    <x v="4"/>
    <n v="0.48299999999999998"/>
  </r>
  <r>
    <s v="BRS004-JBA-08132021"/>
    <s v="Spill"/>
    <x v="0"/>
    <s v="Darter sp."/>
    <s v="Etheostoma"/>
    <s v="gibbosus"/>
    <s v="U"/>
    <x v="0"/>
    <n v="8"/>
    <n v="11.81"/>
    <x v="5"/>
    <s v="375-95-1"/>
    <x v="5"/>
    <n v="0.73599999999999999"/>
  </r>
  <r>
    <s v="BRS004-JBA-08132021"/>
    <s v="Spill"/>
    <x v="0"/>
    <s v="Darter sp."/>
    <s v="Etheostoma"/>
    <s v="gibbosus"/>
    <s v="U"/>
    <x v="0"/>
    <n v="8"/>
    <n v="11.81"/>
    <x v="6"/>
    <s v="335-76-2"/>
    <x v="6"/>
    <n v="4.12"/>
  </r>
  <r>
    <s v="BRS004-JBA-08132021"/>
    <s v="Spill"/>
    <x v="0"/>
    <s v="Darter sp."/>
    <s v="Etheostoma"/>
    <s v="gibbosus"/>
    <s v="U"/>
    <x v="0"/>
    <n v="8"/>
    <n v="11.81"/>
    <x v="7"/>
    <s v="2058-94-8"/>
    <x v="7"/>
    <n v="8.18"/>
  </r>
  <r>
    <s v="BRS004-JBA-08132021"/>
    <s v="Spill"/>
    <x v="0"/>
    <s v="Darter sp."/>
    <s v="Etheostoma"/>
    <s v="gibbosus"/>
    <s v="U"/>
    <x v="0"/>
    <n v="8"/>
    <n v="11.81"/>
    <x v="8"/>
    <s v="307-55-1"/>
    <x v="8"/>
    <n v="5.33"/>
  </r>
  <r>
    <s v="BRS004-JBA-08132021"/>
    <s v="Spill"/>
    <x v="0"/>
    <s v="Darter sp."/>
    <s v="Etheostoma"/>
    <s v="gibbosus"/>
    <s v="U"/>
    <x v="0"/>
    <n v="8"/>
    <n v="11.81"/>
    <x v="9"/>
    <s v="72629-94-8"/>
    <x v="9"/>
    <n v="1.64"/>
  </r>
  <r>
    <s v="BRS004-JBA-08132021"/>
    <s v="Spill"/>
    <x v="0"/>
    <s v="Darter sp."/>
    <s v="Etheostoma"/>
    <s v="gibbosus"/>
    <s v="U"/>
    <x v="0"/>
    <n v="8"/>
    <n v="11.81"/>
    <x v="10"/>
    <s v="376-06-7"/>
    <x v="10"/>
    <n v="2.8"/>
  </r>
  <r>
    <s v="BRS004-JBA-08132021"/>
    <s v="Spill"/>
    <x v="0"/>
    <s v="Darter sp."/>
    <s v="Etheostoma"/>
    <s v="gibbosus"/>
    <s v="U"/>
    <x v="0"/>
    <n v="8"/>
    <n v="11.81"/>
    <x v="11"/>
    <s v="67905-19-5"/>
    <x v="11"/>
    <n v="8.6499999999999994E-2"/>
  </r>
  <r>
    <s v="BRS004-JBA-08132021"/>
    <s v="Spill"/>
    <x v="0"/>
    <s v="Darter sp."/>
    <s v="Etheostoma"/>
    <s v="gibbosus"/>
    <s v="U"/>
    <x v="0"/>
    <n v="8"/>
    <n v="11.81"/>
    <x v="12"/>
    <s v="423-41-6"/>
    <x v="12"/>
    <n v="5.5500000000000001E-2"/>
  </r>
  <r>
    <s v="BRS004-JBA-08132021"/>
    <s v="Spill"/>
    <x v="0"/>
    <s v="Darter sp."/>
    <s v="Etheostoma"/>
    <s v="gibbosus"/>
    <s v="U"/>
    <x v="0"/>
    <n v="8"/>
    <n v="11.81"/>
    <x v="13"/>
    <s v="375-73-5"/>
    <x v="13"/>
    <n v="0.16300000000000001"/>
  </r>
  <r>
    <s v="BRS004-JBA-08132021"/>
    <s v="Spill"/>
    <x v="0"/>
    <s v="Darter sp."/>
    <s v="Etheostoma"/>
    <s v="gibbosus"/>
    <s v="U"/>
    <x v="0"/>
    <n v="8"/>
    <n v="11.81"/>
    <x v="14"/>
    <s v="2706-91-4"/>
    <x v="14"/>
    <n v="0.127"/>
  </r>
  <r>
    <s v="BRS004-JBA-08132021"/>
    <s v="Spill"/>
    <x v="0"/>
    <s v="Darter sp."/>
    <s v="Etheostoma"/>
    <s v="gibbosus"/>
    <s v="U"/>
    <x v="0"/>
    <n v="8"/>
    <n v="11.81"/>
    <x v="15"/>
    <s v="355-46-4"/>
    <x v="15"/>
    <n v="15.6"/>
  </r>
  <r>
    <s v="BRS004-JBA-08132021"/>
    <s v="Spill"/>
    <x v="0"/>
    <s v="Darter sp."/>
    <s v="Etheostoma"/>
    <s v="gibbosus"/>
    <s v="U"/>
    <x v="0"/>
    <n v="8"/>
    <n v="11.81"/>
    <x v="16"/>
    <s v="375-92-8"/>
    <x v="16"/>
    <n v="2.31"/>
  </r>
  <r>
    <s v="BRS004-JBA-08132021"/>
    <s v="Spill"/>
    <x v="0"/>
    <s v="Darter sp."/>
    <s v="Etheostoma"/>
    <s v="gibbosus"/>
    <s v="U"/>
    <x v="0"/>
    <n v="8"/>
    <n v="11.81"/>
    <x v="17"/>
    <s v="1763-23-1"/>
    <x v="17"/>
    <n v="618"/>
  </r>
  <r>
    <s v="BRS004-JBA-08132021"/>
    <s v="Spill"/>
    <x v="0"/>
    <s v="Darter sp."/>
    <s v="Etheostoma"/>
    <s v="gibbosus"/>
    <s v="U"/>
    <x v="0"/>
    <n v="8"/>
    <n v="11.81"/>
    <x v="18"/>
    <s v="68259-12-1"/>
    <x v="18"/>
    <n v="0.55200000000000005"/>
  </r>
  <r>
    <s v="BRS004-JBA-08132021"/>
    <s v="Spill"/>
    <x v="0"/>
    <s v="Darter sp."/>
    <s v="Etheostoma"/>
    <s v="gibbosus"/>
    <s v="U"/>
    <x v="0"/>
    <n v="8"/>
    <n v="11.81"/>
    <x v="19"/>
    <s v="335-77-3"/>
    <x v="19"/>
    <n v="2.02"/>
  </r>
  <r>
    <s v="BRS004-JBA-08132021"/>
    <s v="Spill"/>
    <x v="0"/>
    <s v="Darter sp."/>
    <s v="Etheostoma"/>
    <s v="gibbosus"/>
    <s v="U"/>
    <x v="0"/>
    <n v="8"/>
    <n v="11.81"/>
    <x v="20"/>
    <s v="79780-39-5"/>
    <x v="20"/>
    <n v="0.25650000000000001"/>
  </r>
  <r>
    <s v="BRS004-JBA-08132021"/>
    <s v="Spill"/>
    <x v="0"/>
    <s v="Darter sp."/>
    <s v="Etheostoma"/>
    <s v="gibbosus"/>
    <s v="U"/>
    <x v="0"/>
    <n v="8"/>
    <n v="11.81"/>
    <x v="21"/>
    <s v="777011-38-8"/>
    <x v="21"/>
    <n v="0.14549999999999999"/>
  </r>
  <r>
    <s v="BRS004-JBA-08132021"/>
    <s v="Spill"/>
    <x v="0"/>
    <s v="Darter sp."/>
    <s v="Etheostoma"/>
    <s v="gibbosus"/>
    <s v="U"/>
    <x v="0"/>
    <n v="8"/>
    <n v="11.81"/>
    <x v="22"/>
    <s v="646-83-3"/>
    <x v="22"/>
    <n v="0.29299999999999998"/>
  </r>
  <r>
    <s v="BRS004-JBA-08132021"/>
    <s v="Spill"/>
    <x v="0"/>
    <s v="Darter sp."/>
    <s v="Etheostoma"/>
    <s v="gibbosus"/>
    <s v="U"/>
    <x v="0"/>
    <n v="8"/>
    <n v="11.81"/>
    <x v="23"/>
    <s v="30334-69-1"/>
    <x v="23"/>
    <n v="38.4"/>
  </r>
  <r>
    <s v="BRS004-JBA-08132021"/>
    <s v="Spill"/>
    <x v="0"/>
    <s v="Darter sp."/>
    <s v="Etheostoma"/>
    <s v="gibbosus"/>
    <s v="U"/>
    <x v="0"/>
    <n v="8"/>
    <n v="11.81"/>
    <x v="24"/>
    <s v="41997-13-1"/>
    <x v="24"/>
    <n v="117"/>
  </r>
  <r>
    <s v="BRS004-JBA-08132021"/>
    <s v="Spill"/>
    <x v="0"/>
    <s v="Darter sp."/>
    <s v="Etheostoma"/>
    <s v="gibbosus"/>
    <s v="U"/>
    <x v="0"/>
    <n v="8"/>
    <n v="11.81"/>
    <x v="25"/>
    <s v="754-91-6"/>
    <x v="25"/>
    <n v="28.2"/>
  </r>
  <r>
    <s v="BRS004-JBA-08132021"/>
    <s v="Spill"/>
    <x v="0"/>
    <s v="Darter sp."/>
    <s v="Etheostoma"/>
    <s v="gibbosus"/>
    <s v="U"/>
    <x v="0"/>
    <n v="8"/>
    <n v="11.81"/>
    <x v="26"/>
    <s v="31506-32-8"/>
    <x v="26"/>
    <n v="5.6000000000000001E-2"/>
  </r>
  <r>
    <s v="BRS004-JBA-08132021"/>
    <s v="Spill"/>
    <x v="0"/>
    <s v="Darter sp."/>
    <s v="Etheostoma"/>
    <s v="gibbosus"/>
    <s v="U"/>
    <x v="0"/>
    <n v="8"/>
    <n v="11.81"/>
    <x v="27"/>
    <s v="4151-50-2"/>
    <x v="27"/>
    <n v="8.5000000000000006E-2"/>
  </r>
  <r>
    <s v="BRS004-JBA-08132021"/>
    <s v="Spill"/>
    <x v="0"/>
    <s v="Darter sp."/>
    <s v="Etheostoma"/>
    <s v="gibbosus"/>
    <s v="U"/>
    <x v="0"/>
    <n v="8"/>
    <n v="11.81"/>
    <x v="28"/>
    <s v="2806-24-8"/>
    <x v="28"/>
    <n v="5.7500000000000002E-2"/>
  </r>
  <r>
    <s v="BRS004-JBA-08132021"/>
    <s v="Spill"/>
    <x v="0"/>
    <s v="Darter sp."/>
    <s v="Etheostoma"/>
    <s v="gibbosus"/>
    <s v="U"/>
    <x v="0"/>
    <n v="8"/>
    <n v="11.81"/>
    <x v="29"/>
    <s v="2355-31-9"/>
    <x v="29"/>
    <n v="7.2999999999999995E-2"/>
  </r>
  <r>
    <s v="BRS004-JBA-08132021"/>
    <s v="Spill"/>
    <x v="0"/>
    <s v="Darter sp."/>
    <s v="Etheostoma"/>
    <s v="gibbosus"/>
    <s v="U"/>
    <x v="0"/>
    <n v="8"/>
    <n v="11.81"/>
    <x v="30"/>
    <s v="2991-50-6"/>
    <x v="30"/>
    <n v="6.3E-2"/>
  </r>
  <r>
    <s v="BRS004-JBA-08132021"/>
    <s v="Spill"/>
    <x v="0"/>
    <s v="Darter sp."/>
    <s v="Etheostoma"/>
    <s v="gibbosus"/>
    <s v="U"/>
    <x v="0"/>
    <n v="8"/>
    <n v="11.81"/>
    <x v="31"/>
    <s v="757124-72-4"/>
    <x v="31"/>
    <n v="5.9499999999999997E-2"/>
  </r>
  <r>
    <s v="BRS004-JBA-08132021"/>
    <s v="Spill"/>
    <x v="0"/>
    <s v="Darter sp."/>
    <s v="Etheostoma"/>
    <s v="gibbosus"/>
    <s v="U"/>
    <x v="0"/>
    <n v="8"/>
    <n v="11.81"/>
    <x v="32"/>
    <s v="27619-97-2"/>
    <x v="32"/>
    <n v="0.14499999999999999"/>
  </r>
  <r>
    <s v="BRS004-JBA-08132021"/>
    <s v="Spill"/>
    <x v="0"/>
    <s v="Darter sp."/>
    <s v="Etheostoma"/>
    <s v="gibbosus"/>
    <s v="U"/>
    <x v="0"/>
    <n v="8"/>
    <n v="11.81"/>
    <x v="33"/>
    <s v="39108-34-4"/>
    <x v="33"/>
    <n v="3.14"/>
  </r>
  <r>
    <s v="BRS004-JBA-08132021"/>
    <s v="Spill"/>
    <x v="0"/>
    <s v="Darter sp."/>
    <s v="Etheostoma"/>
    <s v="gibbosus"/>
    <s v="U"/>
    <x v="0"/>
    <n v="8"/>
    <n v="11.81"/>
    <x v="34"/>
    <s v="120226-60-0"/>
    <x v="34"/>
    <n v="8.2500000000000004E-2"/>
  </r>
  <r>
    <s v="BRS004-JBA-08132021"/>
    <s v="Spill"/>
    <x v="0"/>
    <s v="Darter sp."/>
    <s v="Etheostoma"/>
    <s v="gibbosus"/>
    <s v="U"/>
    <x v="0"/>
    <n v="8"/>
    <n v="11.81"/>
    <x v="35"/>
    <s v="356-02-5"/>
    <x v="35"/>
    <n v="8.4000000000000005E-2"/>
  </r>
  <r>
    <s v="BRS004-JBA-08132021"/>
    <s v="Spill"/>
    <x v="0"/>
    <s v="Darter sp."/>
    <s v="Etheostoma"/>
    <s v="gibbosus"/>
    <s v="U"/>
    <x v="0"/>
    <n v="8"/>
    <n v="11.81"/>
    <x v="36"/>
    <s v="914637-49-3"/>
    <x v="36"/>
    <n v="0.18099999999999999"/>
  </r>
  <r>
    <s v="BRS004-JBA-08132021"/>
    <s v="Spill"/>
    <x v="0"/>
    <s v="Darter sp."/>
    <s v="Etheostoma"/>
    <s v="gibbosus"/>
    <s v="U"/>
    <x v="0"/>
    <n v="8"/>
    <n v="11.81"/>
    <x v="37"/>
    <s v="812-70-4"/>
    <x v="37"/>
    <n v="5.33"/>
  </r>
  <r>
    <s v="BRS004-JBA-08132021"/>
    <s v="Spill"/>
    <x v="0"/>
    <s v="Darter sp."/>
    <s v="Etheostoma"/>
    <s v="gibbosus"/>
    <s v="U"/>
    <x v="0"/>
    <n v="8"/>
    <n v="11.81"/>
    <x v="38"/>
    <s v="53826-12-3"/>
    <x v="38"/>
    <n v="4.6649999999999997E-2"/>
  </r>
  <r>
    <s v="BRS004-JBA-08132021"/>
    <s v="Spill"/>
    <x v="0"/>
    <s v="Darter sp."/>
    <s v="Etheostoma"/>
    <s v="gibbosus"/>
    <s v="U"/>
    <x v="0"/>
    <n v="8"/>
    <n v="11.81"/>
    <x v="39"/>
    <s v="27854-31-5"/>
    <x v="39"/>
    <n v="2.9100000000000001E-2"/>
  </r>
  <r>
    <s v="BRS004-JBA-08132021"/>
    <s v="Spill"/>
    <x v="0"/>
    <s v="Darter sp."/>
    <s v="Etheostoma"/>
    <s v="gibbosus"/>
    <s v="U"/>
    <x v="0"/>
    <n v="8"/>
    <n v="11.81"/>
    <x v="40"/>
    <s v="53826-13-4"/>
    <x v="40"/>
    <n v="0.1085"/>
  </r>
  <r>
    <s v="BRS004-JBA-08132021"/>
    <s v="Spill"/>
    <x v="0"/>
    <s v="Darter sp."/>
    <s v="Etheostoma"/>
    <s v="gibbosus"/>
    <s v="U"/>
    <x v="0"/>
    <n v="8"/>
    <n v="11.81"/>
    <x v="41"/>
    <s v="161094-75-3"/>
    <x v="41"/>
    <n v="5.7000000000000002E-2"/>
  </r>
  <r>
    <s v="BRS004-JBA-08132021"/>
    <s v="Spill"/>
    <x v="0"/>
    <s v="Darter sp."/>
    <s v="Etheostoma"/>
    <s v="gibbosus"/>
    <s v="U"/>
    <x v="0"/>
    <n v="8"/>
    <n v="11.81"/>
    <x v="42"/>
    <s v="70887-84-2"/>
    <x v="42"/>
    <n v="4.3950000000000003E-2"/>
  </r>
  <r>
    <s v="BRS004-JBA-08132021"/>
    <s v="Spill"/>
    <x v="0"/>
    <s v="Darter sp."/>
    <s v="Etheostoma"/>
    <s v="gibbosus"/>
    <s v="U"/>
    <x v="0"/>
    <n v="8"/>
    <n v="11.81"/>
    <x v="43"/>
    <s v="919005-14-4"/>
    <x v="43"/>
    <n v="7.2499999999999995E-2"/>
  </r>
  <r>
    <s v="BRS004-JBA-08132021"/>
    <s v="Spill"/>
    <x v="0"/>
    <s v="Darter sp."/>
    <s v="Etheostoma"/>
    <s v="gibbosus"/>
    <s v="U"/>
    <x v="0"/>
    <n v="8"/>
    <n v="11.81"/>
    <x v="44"/>
    <s v="756426-58-1"/>
    <x v="44"/>
    <n v="5.0500000000000003E-2"/>
  </r>
  <r>
    <s v="BRS004-JBA-08132021"/>
    <s v="Spill"/>
    <x v="0"/>
    <s v="Darter sp."/>
    <s v="Etheostoma"/>
    <s v="gibbosus"/>
    <s v="U"/>
    <x v="0"/>
    <n v="8"/>
    <n v="11.81"/>
    <x v="45"/>
    <s v="763051-92-9"/>
    <x v="45"/>
    <n v="5.7500000000000002E-2"/>
  </r>
  <r>
    <s v="BRS004-JBA-08132021"/>
    <s v="Spill"/>
    <x v="0"/>
    <s v="Darter sp."/>
    <s v="Etheostoma"/>
    <s v="gibbosus"/>
    <s v="U"/>
    <x v="0"/>
    <n v="8"/>
    <n v="11.81"/>
    <x v="46"/>
    <s v="13252-13-6"/>
    <x v="46"/>
    <n v="0.104"/>
  </r>
  <r>
    <s v="BRS004-JBA-08132021"/>
    <s v="Spill"/>
    <x v="0"/>
    <s v="Darter sp."/>
    <s v="Etheostoma"/>
    <s v="gibbosus"/>
    <s v="U"/>
    <x v="0"/>
    <n v="8"/>
    <n v="11.81"/>
    <x v="47"/>
    <s v="57677-95-9"/>
    <x v="47"/>
    <n v="7.7499999999999999E-2"/>
  </r>
  <r>
    <s v="BRS004-JBA-08132021"/>
    <s v="Spill"/>
    <x v="0"/>
    <s v="Darter sp."/>
    <s v="Etheostoma"/>
    <s v="gibbosus"/>
    <s v="U"/>
    <x v="0"/>
    <n v="8"/>
    <n v="11.81"/>
    <x v="48"/>
    <s v="678-41-1"/>
    <x v="48"/>
    <n v="9.6500000000000002E-2"/>
  </r>
  <r>
    <s v="BRS004-JBA-08132021"/>
    <s v="Spill"/>
    <x v="0"/>
    <s v="Darter sp."/>
    <s v="Etheostoma"/>
    <s v="gibbosus"/>
    <s v="U"/>
    <x v="0"/>
    <n v="8"/>
    <n v="11.81"/>
    <x v="49"/>
    <s v="2965-52-8"/>
    <x v="49"/>
    <n v="0.128"/>
  </r>
  <r>
    <s v="PU010-JBA-08132021"/>
    <s v="Down"/>
    <x v="0"/>
    <s v="Pumpkinseed"/>
    <s v="Lepomis"/>
    <s v="gibbosus"/>
    <s v="U"/>
    <x v="0"/>
    <n v="8"/>
    <n v="11.81"/>
    <x v="0"/>
    <s v="375-22-4"/>
    <x v="0"/>
    <n v="2.6950000000000002E-2"/>
  </r>
  <r>
    <s v="PU010-JBA-08132021"/>
    <s v="Down"/>
    <x v="0"/>
    <s v="Pumpkinseed"/>
    <s v="Lepomis"/>
    <s v="gibbosus"/>
    <s v="U"/>
    <x v="0"/>
    <n v="8"/>
    <n v="11.81"/>
    <x v="1"/>
    <s v="2706-90-3"/>
    <x v="1"/>
    <n v="4.7750000000000001E-2"/>
  </r>
  <r>
    <s v="PU010-JBA-08132021"/>
    <s v="Down"/>
    <x v="0"/>
    <s v="Pumpkinseed"/>
    <s v="Lepomis"/>
    <s v="gibbosus"/>
    <s v="U"/>
    <x v="0"/>
    <n v="8"/>
    <n v="11.81"/>
    <x v="2"/>
    <s v="307-24-4"/>
    <x v="2"/>
    <n v="3.6499999999999998E-2"/>
  </r>
  <r>
    <s v="PU010-JBA-08132021"/>
    <s v="Down"/>
    <x v="0"/>
    <s v="Pumpkinseed"/>
    <s v="Lepomis"/>
    <s v="gibbosus"/>
    <s v="U"/>
    <x v="0"/>
    <n v="8"/>
    <n v="11.81"/>
    <x v="3"/>
    <s v="375-85-9"/>
    <x v="3"/>
    <n v="2.6950000000000002E-2"/>
  </r>
  <r>
    <s v="PU010-JBA-08132021"/>
    <s v="Down"/>
    <x v="0"/>
    <s v="Pumpkinseed"/>
    <s v="Lepomis"/>
    <s v="gibbosus"/>
    <s v="U"/>
    <x v="0"/>
    <n v="8"/>
    <n v="11.81"/>
    <x v="4"/>
    <s v="335-67-1"/>
    <x v="4"/>
    <n v="0.20699999999999999"/>
  </r>
  <r>
    <s v="PU010-JBA-08132021"/>
    <s v="Down"/>
    <x v="0"/>
    <s v="Pumpkinseed"/>
    <s v="Lepomis"/>
    <s v="gibbosus"/>
    <s v="U"/>
    <x v="0"/>
    <n v="8"/>
    <n v="11.81"/>
    <x v="5"/>
    <s v="375-95-1"/>
    <x v="5"/>
    <n v="0.154"/>
  </r>
  <r>
    <s v="PU010-JBA-08132021"/>
    <s v="Down"/>
    <x v="0"/>
    <s v="Pumpkinseed"/>
    <s v="Lepomis"/>
    <s v="gibbosus"/>
    <s v="U"/>
    <x v="0"/>
    <n v="8"/>
    <n v="11.81"/>
    <x v="6"/>
    <s v="335-76-2"/>
    <x v="6"/>
    <n v="2.33"/>
  </r>
  <r>
    <s v="PU010-JBA-08132021"/>
    <s v="Down"/>
    <x v="0"/>
    <s v="Pumpkinseed"/>
    <s v="Lepomis"/>
    <s v="gibbosus"/>
    <s v="U"/>
    <x v="0"/>
    <n v="8"/>
    <n v="11.81"/>
    <x v="7"/>
    <s v="2058-94-8"/>
    <x v="7"/>
    <n v="4.59"/>
  </r>
  <r>
    <s v="PU010-JBA-08132021"/>
    <s v="Down"/>
    <x v="0"/>
    <s v="Pumpkinseed"/>
    <s v="Lepomis"/>
    <s v="gibbosus"/>
    <s v="U"/>
    <x v="0"/>
    <n v="8"/>
    <n v="11.81"/>
    <x v="8"/>
    <s v="307-55-1"/>
    <x v="8"/>
    <n v="10.4"/>
  </r>
  <r>
    <s v="PU010-JBA-08132021"/>
    <s v="Down"/>
    <x v="0"/>
    <s v="Pumpkinseed"/>
    <s v="Lepomis"/>
    <s v="gibbosus"/>
    <s v="U"/>
    <x v="0"/>
    <n v="8"/>
    <n v="11.81"/>
    <x v="9"/>
    <s v="72629-94-8"/>
    <x v="9"/>
    <n v="6.52"/>
  </r>
  <r>
    <s v="PU010-JBA-08132021"/>
    <s v="Down"/>
    <x v="0"/>
    <s v="Pumpkinseed"/>
    <s v="Lepomis"/>
    <s v="gibbosus"/>
    <s v="U"/>
    <x v="0"/>
    <n v="8"/>
    <n v="11.81"/>
    <x v="10"/>
    <s v="376-06-7"/>
    <x v="10"/>
    <n v="5.82"/>
  </r>
  <r>
    <s v="PU010-JBA-08132021"/>
    <s v="Down"/>
    <x v="0"/>
    <s v="Pumpkinseed"/>
    <s v="Lepomis"/>
    <s v="gibbosus"/>
    <s v="U"/>
    <x v="0"/>
    <n v="8"/>
    <n v="11.81"/>
    <x v="11"/>
    <s v="67905-19-5"/>
    <x v="11"/>
    <n v="8.0500000000000002E-2"/>
  </r>
  <r>
    <s v="PU010-JBA-08132021"/>
    <s v="Down"/>
    <x v="0"/>
    <s v="Pumpkinseed"/>
    <s v="Lepomis"/>
    <s v="gibbosus"/>
    <s v="U"/>
    <x v="0"/>
    <n v="8"/>
    <n v="11.81"/>
    <x v="12"/>
    <s v="423-41-6"/>
    <x v="12"/>
    <n v="5.1499999999999997E-2"/>
  </r>
  <r>
    <s v="PU010-JBA-08132021"/>
    <s v="Down"/>
    <x v="0"/>
    <s v="Pumpkinseed"/>
    <s v="Lepomis"/>
    <s v="gibbosus"/>
    <s v="U"/>
    <x v="0"/>
    <n v="8"/>
    <n v="11.81"/>
    <x v="13"/>
    <s v="375-73-5"/>
    <x v="13"/>
    <n v="2.0299999999999998"/>
  </r>
  <r>
    <s v="PU010-JBA-08132021"/>
    <s v="Down"/>
    <x v="0"/>
    <s v="Pumpkinseed"/>
    <s v="Lepomis"/>
    <s v="gibbosus"/>
    <s v="U"/>
    <x v="0"/>
    <n v="8"/>
    <n v="11.81"/>
    <x v="14"/>
    <s v="2706-91-4"/>
    <x v="14"/>
    <n v="0.11799999999999999"/>
  </r>
  <r>
    <s v="PU010-JBA-08132021"/>
    <s v="Down"/>
    <x v="0"/>
    <s v="Pumpkinseed"/>
    <s v="Lepomis"/>
    <s v="gibbosus"/>
    <s v="U"/>
    <x v="0"/>
    <n v="8"/>
    <n v="11.81"/>
    <x v="15"/>
    <s v="355-46-4"/>
    <x v="15"/>
    <n v="4.42"/>
  </r>
  <r>
    <s v="PU010-JBA-08132021"/>
    <s v="Down"/>
    <x v="0"/>
    <s v="Pumpkinseed"/>
    <s v="Lepomis"/>
    <s v="gibbosus"/>
    <s v="U"/>
    <x v="0"/>
    <n v="8"/>
    <n v="11.81"/>
    <x v="16"/>
    <s v="375-92-8"/>
    <x v="16"/>
    <n v="0.64500000000000002"/>
  </r>
  <r>
    <s v="PU010-JBA-08132021"/>
    <s v="Down"/>
    <x v="0"/>
    <s v="Pumpkinseed"/>
    <s v="Lepomis"/>
    <s v="gibbosus"/>
    <s v="U"/>
    <x v="0"/>
    <n v="8"/>
    <n v="11.81"/>
    <x v="17"/>
    <s v="1763-23-1"/>
    <x v="17"/>
    <n v="479"/>
  </r>
  <r>
    <s v="PU010-JBA-08132021"/>
    <s v="Down"/>
    <x v="0"/>
    <s v="Pumpkinseed"/>
    <s v="Lepomis"/>
    <s v="gibbosus"/>
    <s v="U"/>
    <x v="0"/>
    <n v="8"/>
    <n v="11.81"/>
    <x v="18"/>
    <s v="68259-12-1"/>
    <x v="18"/>
    <n v="0.49"/>
  </r>
  <r>
    <s v="PU010-JBA-08132021"/>
    <s v="Down"/>
    <x v="0"/>
    <s v="Pumpkinseed"/>
    <s v="Lepomis"/>
    <s v="gibbosus"/>
    <s v="U"/>
    <x v="0"/>
    <n v="8"/>
    <n v="11.81"/>
    <x v="19"/>
    <s v="335-77-3"/>
    <x v="19"/>
    <n v="2.06"/>
  </r>
  <r>
    <s v="PU010-JBA-08132021"/>
    <s v="Down"/>
    <x v="0"/>
    <s v="Pumpkinseed"/>
    <s v="Lepomis"/>
    <s v="gibbosus"/>
    <s v="U"/>
    <x v="0"/>
    <n v="8"/>
    <n v="11.81"/>
    <x v="20"/>
    <s v="79780-39-5"/>
    <x v="20"/>
    <n v="0.23849999999999999"/>
  </r>
  <r>
    <s v="PU010-JBA-08132021"/>
    <s v="Down"/>
    <x v="0"/>
    <s v="Pumpkinseed"/>
    <s v="Lepomis"/>
    <s v="gibbosus"/>
    <s v="U"/>
    <x v="0"/>
    <n v="8"/>
    <n v="11.81"/>
    <x v="21"/>
    <s v="777011-38-8"/>
    <x v="21"/>
    <n v="0.13550000000000001"/>
  </r>
  <r>
    <s v="PU010-JBA-08132021"/>
    <s v="Down"/>
    <x v="0"/>
    <s v="Pumpkinseed"/>
    <s v="Lepomis"/>
    <s v="gibbosus"/>
    <s v="U"/>
    <x v="0"/>
    <n v="8"/>
    <n v="11.81"/>
    <x v="22"/>
    <s v="646-83-3"/>
    <x v="22"/>
    <n v="8.8999999999999996E-2"/>
  </r>
  <r>
    <s v="PU010-JBA-08132021"/>
    <s v="Down"/>
    <x v="0"/>
    <s v="Pumpkinseed"/>
    <s v="Lepomis"/>
    <s v="gibbosus"/>
    <s v="U"/>
    <x v="0"/>
    <n v="8"/>
    <n v="11.81"/>
    <x v="23"/>
    <s v="30334-69-1"/>
    <x v="23"/>
    <n v="37.6"/>
  </r>
  <r>
    <s v="PU010-JBA-08132021"/>
    <s v="Down"/>
    <x v="0"/>
    <s v="Pumpkinseed"/>
    <s v="Lepomis"/>
    <s v="gibbosus"/>
    <s v="U"/>
    <x v="0"/>
    <n v="8"/>
    <n v="11.81"/>
    <x v="24"/>
    <s v="41997-13-1"/>
    <x v="24"/>
    <n v="61.3"/>
  </r>
  <r>
    <s v="PU010-JBA-08132021"/>
    <s v="Down"/>
    <x v="0"/>
    <s v="Pumpkinseed"/>
    <s v="Lepomis"/>
    <s v="gibbosus"/>
    <s v="U"/>
    <x v="0"/>
    <n v="8"/>
    <n v="11.81"/>
    <x v="25"/>
    <s v="754-91-6"/>
    <x v="25"/>
    <n v="21.6"/>
  </r>
  <r>
    <s v="PU010-JBA-08132021"/>
    <s v="Down"/>
    <x v="0"/>
    <s v="Pumpkinseed"/>
    <s v="Lepomis"/>
    <s v="gibbosus"/>
    <s v="U"/>
    <x v="0"/>
    <n v="8"/>
    <n v="11.81"/>
    <x v="26"/>
    <s v="31506-32-8"/>
    <x v="26"/>
    <n v="5.1999999999999998E-2"/>
  </r>
  <r>
    <s v="PU010-JBA-08132021"/>
    <s v="Down"/>
    <x v="0"/>
    <s v="Pumpkinseed"/>
    <s v="Lepomis"/>
    <s v="gibbosus"/>
    <s v="U"/>
    <x v="0"/>
    <n v="8"/>
    <n v="11.81"/>
    <x v="27"/>
    <s v="4151-50-2"/>
    <x v="27"/>
    <n v="7.9000000000000001E-2"/>
  </r>
  <r>
    <s v="PU010-JBA-08132021"/>
    <s v="Down"/>
    <x v="0"/>
    <s v="Pumpkinseed"/>
    <s v="Lepomis"/>
    <s v="gibbosus"/>
    <s v="U"/>
    <x v="0"/>
    <n v="8"/>
    <n v="11.81"/>
    <x v="28"/>
    <s v="2806-24-8"/>
    <x v="28"/>
    <n v="5.2999999999999999E-2"/>
  </r>
  <r>
    <s v="PU010-JBA-08132021"/>
    <s v="Down"/>
    <x v="0"/>
    <s v="Pumpkinseed"/>
    <s v="Lepomis"/>
    <s v="gibbosus"/>
    <s v="U"/>
    <x v="0"/>
    <n v="8"/>
    <n v="11.81"/>
    <x v="29"/>
    <s v="2355-31-9"/>
    <x v="29"/>
    <n v="0.224"/>
  </r>
  <r>
    <s v="PU010-JBA-08132021"/>
    <s v="Down"/>
    <x v="0"/>
    <s v="Pumpkinseed"/>
    <s v="Lepomis"/>
    <s v="gibbosus"/>
    <s v="U"/>
    <x v="0"/>
    <n v="8"/>
    <n v="11.81"/>
    <x v="30"/>
    <s v="2991-50-6"/>
    <x v="30"/>
    <n v="5.8500000000000003E-2"/>
  </r>
  <r>
    <s v="PU010-JBA-08132021"/>
    <s v="Down"/>
    <x v="0"/>
    <s v="Pumpkinseed"/>
    <s v="Lepomis"/>
    <s v="gibbosus"/>
    <s v="U"/>
    <x v="0"/>
    <n v="8"/>
    <n v="11.81"/>
    <x v="31"/>
    <s v="757124-72-4"/>
    <x v="31"/>
    <n v="5.5500000000000001E-2"/>
  </r>
  <r>
    <s v="PU010-JBA-08132021"/>
    <s v="Down"/>
    <x v="0"/>
    <s v="Pumpkinseed"/>
    <s v="Lepomis"/>
    <s v="gibbosus"/>
    <s v="U"/>
    <x v="0"/>
    <n v="8"/>
    <n v="11.81"/>
    <x v="32"/>
    <s v="27619-97-2"/>
    <x v="32"/>
    <n v="0.13450000000000001"/>
  </r>
  <r>
    <s v="PU010-JBA-08132021"/>
    <s v="Down"/>
    <x v="0"/>
    <s v="Pumpkinseed"/>
    <s v="Lepomis"/>
    <s v="gibbosus"/>
    <s v="U"/>
    <x v="0"/>
    <n v="8"/>
    <n v="11.81"/>
    <x v="33"/>
    <s v="39108-34-4"/>
    <x v="33"/>
    <n v="0.94099999999999995"/>
  </r>
  <r>
    <s v="PU010-JBA-08132021"/>
    <s v="Down"/>
    <x v="0"/>
    <s v="Pumpkinseed"/>
    <s v="Lepomis"/>
    <s v="gibbosus"/>
    <s v="U"/>
    <x v="0"/>
    <n v="8"/>
    <n v="11.81"/>
    <x v="34"/>
    <s v="120226-60-0"/>
    <x v="34"/>
    <n v="7.6499999999999999E-2"/>
  </r>
  <r>
    <s v="PU010-JBA-08132021"/>
    <s v="Down"/>
    <x v="0"/>
    <s v="Pumpkinseed"/>
    <s v="Lepomis"/>
    <s v="gibbosus"/>
    <s v="U"/>
    <x v="0"/>
    <n v="8"/>
    <n v="11.81"/>
    <x v="35"/>
    <s v="356-02-5"/>
    <x v="35"/>
    <n v="7.8E-2"/>
  </r>
  <r>
    <s v="PU010-JBA-08132021"/>
    <s v="Down"/>
    <x v="0"/>
    <s v="Pumpkinseed"/>
    <s v="Lepomis"/>
    <s v="gibbosus"/>
    <s v="U"/>
    <x v="0"/>
    <n v="8"/>
    <n v="11.81"/>
    <x v="36"/>
    <s v="914637-49-3"/>
    <x v="36"/>
    <n v="0.879"/>
  </r>
  <r>
    <s v="PU010-JBA-08132021"/>
    <s v="Down"/>
    <x v="0"/>
    <s v="Pumpkinseed"/>
    <s v="Lepomis"/>
    <s v="gibbosus"/>
    <s v="U"/>
    <x v="0"/>
    <n v="8"/>
    <n v="11.81"/>
    <x v="37"/>
    <s v="812-70-4"/>
    <x v="37"/>
    <n v="1.98"/>
  </r>
  <r>
    <s v="PU010-JBA-08132021"/>
    <s v="Down"/>
    <x v="0"/>
    <s v="Pumpkinseed"/>
    <s v="Lepomis"/>
    <s v="gibbosus"/>
    <s v="U"/>
    <x v="0"/>
    <n v="8"/>
    <n v="11.81"/>
    <x v="38"/>
    <s v="53826-12-3"/>
    <x v="38"/>
    <n v="4.335E-2"/>
  </r>
  <r>
    <s v="PU010-JBA-08132021"/>
    <s v="Down"/>
    <x v="0"/>
    <s v="Pumpkinseed"/>
    <s v="Lepomis"/>
    <s v="gibbosus"/>
    <s v="U"/>
    <x v="0"/>
    <n v="8"/>
    <n v="11.81"/>
    <x v="39"/>
    <s v="27854-31-5"/>
    <x v="39"/>
    <n v="2.6950000000000002E-2"/>
  </r>
  <r>
    <s v="PU010-JBA-08132021"/>
    <s v="Down"/>
    <x v="0"/>
    <s v="Pumpkinseed"/>
    <s v="Lepomis"/>
    <s v="gibbosus"/>
    <s v="U"/>
    <x v="0"/>
    <n v="8"/>
    <n v="11.81"/>
    <x v="40"/>
    <s v="53826-13-4"/>
    <x v="40"/>
    <n v="0.10100000000000001"/>
  </r>
  <r>
    <s v="PU010-JBA-08132021"/>
    <s v="Down"/>
    <x v="0"/>
    <s v="Pumpkinseed"/>
    <s v="Lepomis"/>
    <s v="gibbosus"/>
    <s v="U"/>
    <x v="0"/>
    <n v="8"/>
    <n v="11.81"/>
    <x v="41"/>
    <s v="161094-75-3"/>
    <x v="41"/>
    <n v="5.2999999999999999E-2"/>
  </r>
  <r>
    <s v="PU010-JBA-08132021"/>
    <s v="Down"/>
    <x v="0"/>
    <s v="Pumpkinseed"/>
    <s v="Lepomis"/>
    <s v="gibbosus"/>
    <s v="U"/>
    <x v="0"/>
    <n v="8"/>
    <n v="11.81"/>
    <x v="42"/>
    <s v="70887-84-2"/>
    <x v="42"/>
    <n v="4.0750000000000001E-2"/>
  </r>
  <r>
    <s v="PU010-JBA-08132021"/>
    <s v="Down"/>
    <x v="0"/>
    <s v="Pumpkinseed"/>
    <s v="Lepomis"/>
    <s v="gibbosus"/>
    <s v="U"/>
    <x v="0"/>
    <n v="8"/>
    <n v="11.81"/>
    <x v="43"/>
    <s v="919005-14-4"/>
    <x v="43"/>
    <n v="0.223"/>
  </r>
  <r>
    <s v="PU010-JBA-08132021"/>
    <s v="Down"/>
    <x v="0"/>
    <s v="Pumpkinseed"/>
    <s v="Lepomis"/>
    <s v="gibbosus"/>
    <s v="U"/>
    <x v="0"/>
    <n v="8"/>
    <n v="11.81"/>
    <x v="44"/>
    <s v="756426-58-1"/>
    <x v="44"/>
    <n v="4.6800000000000001E-2"/>
  </r>
  <r>
    <s v="PU010-JBA-08132021"/>
    <s v="Down"/>
    <x v="0"/>
    <s v="Pumpkinseed"/>
    <s v="Lepomis"/>
    <s v="gibbosus"/>
    <s v="U"/>
    <x v="0"/>
    <n v="8"/>
    <n v="11.81"/>
    <x v="45"/>
    <s v="763051-92-9"/>
    <x v="45"/>
    <n v="5.2999999999999999E-2"/>
  </r>
  <r>
    <s v="PU010-JBA-08132021"/>
    <s v="Down"/>
    <x v="0"/>
    <s v="Pumpkinseed"/>
    <s v="Lepomis"/>
    <s v="gibbosus"/>
    <s v="U"/>
    <x v="0"/>
    <n v="8"/>
    <n v="11.81"/>
    <x v="46"/>
    <s v="13252-13-6"/>
    <x v="46"/>
    <n v="9.7000000000000003E-2"/>
  </r>
  <r>
    <s v="PU010-JBA-08132021"/>
    <s v="Down"/>
    <x v="0"/>
    <s v="Pumpkinseed"/>
    <s v="Lepomis"/>
    <s v="gibbosus"/>
    <s v="U"/>
    <x v="0"/>
    <n v="8"/>
    <n v="11.81"/>
    <x v="47"/>
    <s v="57677-95-9"/>
    <x v="47"/>
    <n v="7.1999999999999995E-2"/>
  </r>
  <r>
    <s v="PU010-JBA-08132021"/>
    <s v="Down"/>
    <x v="0"/>
    <s v="Pumpkinseed"/>
    <s v="Lepomis"/>
    <s v="gibbosus"/>
    <s v="U"/>
    <x v="0"/>
    <n v="8"/>
    <n v="11.81"/>
    <x v="48"/>
    <s v="678-41-1"/>
    <x v="48"/>
    <n v="8.9499999999999996E-2"/>
  </r>
  <r>
    <s v="PU010-JBA-08132021"/>
    <s v="Down"/>
    <x v="0"/>
    <s v="Pumpkinseed"/>
    <s v="Lepomis"/>
    <s v="gibbosus"/>
    <s v="U"/>
    <x v="0"/>
    <n v="8"/>
    <n v="11.81"/>
    <x v="49"/>
    <s v="2965-52-8"/>
    <x v="49"/>
    <n v="0.11899999999999999"/>
  </r>
  <r>
    <s v="BRS005-JBA-08132021"/>
    <s v="Spill"/>
    <x v="0"/>
    <s v="Darter sp."/>
    <s v="Etheostoma"/>
    <s v="gibbosus"/>
    <s v="U"/>
    <x v="0"/>
    <n v="8"/>
    <n v="11.81"/>
    <x v="0"/>
    <s v="375-22-4"/>
    <x v="0"/>
    <n v="0.22"/>
  </r>
  <r>
    <s v="BRS005-JBA-08132021"/>
    <s v="Spill"/>
    <x v="0"/>
    <s v="Darter sp."/>
    <s v="Etheostoma"/>
    <s v="gibbosus"/>
    <s v="U"/>
    <x v="0"/>
    <n v="8"/>
    <n v="11.81"/>
    <x v="1"/>
    <s v="2706-90-3"/>
    <x v="1"/>
    <n v="4.7100000000000003E-2"/>
  </r>
  <r>
    <s v="BRS005-JBA-08132021"/>
    <s v="Spill"/>
    <x v="0"/>
    <s v="Darter sp."/>
    <s v="Etheostoma"/>
    <s v="gibbosus"/>
    <s v="U"/>
    <x v="0"/>
    <n v="8"/>
    <n v="11.81"/>
    <x v="2"/>
    <s v="307-24-4"/>
    <x v="2"/>
    <n v="0.11849999999999999"/>
  </r>
  <r>
    <s v="BRS005-JBA-08132021"/>
    <s v="Spill"/>
    <x v="0"/>
    <s v="Darter sp."/>
    <s v="Etheostoma"/>
    <s v="gibbosus"/>
    <s v="U"/>
    <x v="0"/>
    <n v="8"/>
    <n v="11.81"/>
    <x v="3"/>
    <s v="375-85-9"/>
    <x v="3"/>
    <n v="8.7999999999999995E-2"/>
  </r>
  <r>
    <s v="BRS005-JBA-08132021"/>
    <s v="Spill"/>
    <x v="0"/>
    <s v="Darter sp."/>
    <s v="Etheostoma"/>
    <s v="gibbosus"/>
    <s v="U"/>
    <x v="0"/>
    <n v="8"/>
    <n v="11.81"/>
    <x v="4"/>
    <s v="335-67-1"/>
    <x v="4"/>
    <n v="0.64600000000000002"/>
  </r>
  <r>
    <s v="BRS005-JBA-08132021"/>
    <s v="Spill"/>
    <x v="0"/>
    <s v="Darter sp."/>
    <s v="Etheostoma"/>
    <s v="gibbosus"/>
    <s v="U"/>
    <x v="0"/>
    <n v="8"/>
    <n v="11.81"/>
    <x v="5"/>
    <s v="375-95-1"/>
    <x v="5"/>
    <n v="0.64400000000000002"/>
  </r>
  <r>
    <s v="BRS005-JBA-08132021"/>
    <s v="Spill"/>
    <x v="0"/>
    <s v="Darter sp."/>
    <s v="Etheostoma"/>
    <s v="gibbosus"/>
    <s v="U"/>
    <x v="0"/>
    <n v="8"/>
    <n v="11.81"/>
    <x v="6"/>
    <s v="335-76-2"/>
    <x v="6"/>
    <n v="2.15"/>
  </r>
  <r>
    <s v="BRS005-JBA-08132021"/>
    <s v="Spill"/>
    <x v="0"/>
    <s v="Darter sp."/>
    <s v="Etheostoma"/>
    <s v="gibbosus"/>
    <s v="U"/>
    <x v="0"/>
    <n v="8"/>
    <n v="11.81"/>
    <x v="7"/>
    <s v="2058-94-8"/>
    <x v="7"/>
    <n v="2.11"/>
  </r>
  <r>
    <s v="BRS005-JBA-08132021"/>
    <s v="Spill"/>
    <x v="0"/>
    <s v="Darter sp."/>
    <s v="Etheostoma"/>
    <s v="gibbosus"/>
    <s v="U"/>
    <x v="0"/>
    <n v="8"/>
    <n v="11.81"/>
    <x v="8"/>
    <s v="307-55-1"/>
    <x v="8"/>
    <n v="3.05"/>
  </r>
  <r>
    <s v="BRS005-JBA-08132021"/>
    <s v="Spill"/>
    <x v="0"/>
    <s v="Darter sp."/>
    <s v="Etheostoma"/>
    <s v="gibbosus"/>
    <s v="U"/>
    <x v="0"/>
    <n v="8"/>
    <n v="11.81"/>
    <x v="9"/>
    <s v="72629-94-8"/>
    <x v="9"/>
    <n v="1.1200000000000001"/>
  </r>
  <r>
    <s v="BRS005-JBA-08132021"/>
    <s v="Spill"/>
    <x v="0"/>
    <s v="Darter sp."/>
    <s v="Etheostoma"/>
    <s v="gibbosus"/>
    <s v="U"/>
    <x v="0"/>
    <n v="8"/>
    <n v="11.81"/>
    <x v="10"/>
    <s v="376-06-7"/>
    <x v="10"/>
    <n v="1.75"/>
  </r>
  <r>
    <s v="BRS005-JBA-08132021"/>
    <s v="Spill"/>
    <x v="0"/>
    <s v="Darter sp."/>
    <s v="Etheostoma"/>
    <s v="gibbosus"/>
    <s v="U"/>
    <x v="0"/>
    <n v="8"/>
    <n v="11.81"/>
    <x v="11"/>
    <s v="67905-19-5"/>
    <x v="11"/>
    <n v="7.9500000000000001E-2"/>
  </r>
  <r>
    <s v="BRS005-JBA-08132021"/>
    <s v="Spill"/>
    <x v="0"/>
    <s v="Darter sp."/>
    <s v="Etheostoma"/>
    <s v="gibbosus"/>
    <s v="U"/>
    <x v="0"/>
    <n v="8"/>
    <n v="11.81"/>
    <x v="12"/>
    <s v="423-41-6"/>
    <x v="12"/>
    <n v="5.0999999999999997E-2"/>
  </r>
  <r>
    <s v="BRS005-JBA-08132021"/>
    <s v="Spill"/>
    <x v="0"/>
    <s v="Darter sp."/>
    <s v="Etheostoma"/>
    <s v="gibbosus"/>
    <s v="U"/>
    <x v="0"/>
    <n v="8"/>
    <n v="11.81"/>
    <x v="13"/>
    <s v="375-73-5"/>
    <x v="13"/>
    <n v="0.15"/>
  </r>
  <r>
    <s v="BRS005-JBA-08132021"/>
    <s v="Spill"/>
    <x v="0"/>
    <s v="Darter sp."/>
    <s v="Etheostoma"/>
    <s v="gibbosus"/>
    <s v="U"/>
    <x v="0"/>
    <n v="8"/>
    <n v="11.81"/>
    <x v="14"/>
    <s v="2706-91-4"/>
    <x v="14"/>
    <n v="0.11650000000000001"/>
  </r>
  <r>
    <s v="BRS005-JBA-08132021"/>
    <s v="Spill"/>
    <x v="0"/>
    <s v="Darter sp."/>
    <s v="Etheostoma"/>
    <s v="gibbosus"/>
    <s v="U"/>
    <x v="0"/>
    <n v="8"/>
    <n v="11.81"/>
    <x v="15"/>
    <s v="355-46-4"/>
    <x v="15"/>
    <n v="11.5"/>
  </r>
  <r>
    <s v="BRS005-JBA-08132021"/>
    <s v="Spill"/>
    <x v="0"/>
    <s v="Darter sp."/>
    <s v="Etheostoma"/>
    <s v="gibbosus"/>
    <s v="U"/>
    <x v="0"/>
    <n v="8"/>
    <n v="11.81"/>
    <x v="16"/>
    <s v="375-92-8"/>
    <x v="16"/>
    <n v="2.86"/>
  </r>
  <r>
    <s v="BRS005-JBA-08132021"/>
    <s v="Spill"/>
    <x v="0"/>
    <s v="Darter sp."/>
    <s v="Etheostoma"/>
    <s v="gibbosus"/>
    <s v="U"/>
    <x v="0"/>
    <n v="8"/>
    <n v="11.81"/>
    <x v="17"/>
    <s v="1763-23-1"/>
    <x v="17"/>
    <n v="513"/>
  </r>
  <r>
    <s v="BRS005-JBA-08132021"/>
    <s v="Spill"/>
    <x v="0"/>
    <s v="Darter sp."/>
    <s v="Etheostoma"/>
    <s v="gibbosus"/>
    <s v="U"/>
    <x v="0"/>
    <n v="8"/>
    <n v="11.81"/>
    <x v="18"/>
    <s v="68259-12-1"/>
    <x v="18"/>
    <n v="0.96899999999999997"/>
  </r>
  <r>
    <s v="BRS005-JBA-08132021"/>
    <s v="Spill"/>
    <x v="0"/>
    <s v="Darter sp."/>
    <s v="Etheostoma"/>
    <s v="gibbosus"/>
    <s v="U"/>
    <x v="0"/>
    <n v="8"/>
    <n v="11.81"/>
    <x v="19"/>
    <s v="335-77-3"/>
    <x v="19"/>
    <n v="0.65100000000000002"/>
  </r>
  <r>
    <s v="BRS005-JBA-08132021"/>
    <s v="Spill"/>
    <x v="0"/>
    <s v="Darter sp."/>
    <s v="Etheostoma"/>
    <s v="gibbosus"/>
    <s v="U"/>
    <x v="0"/>
    <n v="8"/>
    <n v="11.81"/>
    <x v="20"/>
    <s v="79780-39-5"/>
    <x v="20"/>
    <n v="0.23549999999999999"/>
  </r>
  <r>
    <s v="BRS005-JBA-08132021"/>
    <s v="Spill"/>
    <x v="0"/>
    <s v="Darter sp."/>
    <s v="Etheostoma"/>
    <s v="gibbosus"/>
    <s v="U"/>
    <x v="0"/>
    <n v="8"/>
    <n v="11.81"/>
    <x v="21"/>
    <s v="777011-38-8"/>
    <x v="21"/>
    <n v="0.13350000000000001"/>
  </r>
  <r>
    <s v="BRS005-JBA-08132021"/>
    <s v="Spill"/>
    <x v="0"/>
    <s v="Darter sp."/>
    <s v="Etheostoma"/>
    <s v="gibbosus"/>
    <s v="U"/>
    <x v="0"/>
    <n v="8"/>
    <n v="11.81"/>
    <x v="22"/>
    <s v="646-83-3"/>
    <x v="22"/>
    <n v="0.26700000000000002"/>
  </r>
  <r>
    <s v="BRS005-JBA-08132021"/>
    <s v="Spill"/>
    <x v="0"/>
    <s v="Darter sp."/>
    <s v="Etheostoma"/>
    <s v="gibbosus"/>
    <s v="U"/>
    <x v="0"/>
    <n v="8"/>
    <n v="11.81"/>
    <x v="23"/>
    <s v="30334-69-1"/>
    <x v="23"/>
    <n v="10.3"/>
  </r>
  <r>
    <s v="BRS005-JBA-08132021"/>
    <s v="Spill"/>
    <x v="0"/>
    <s v="Darter sp."/>
    <s v="Etheostoma"/>
    <s v="gibbosus"/>
    <s v="U"/>
    <x v="0"/>
    <n v="8"/>
    <n v="11.81"/>
    <x v="24"/>
    <s v="41997-13-1"/>
    <x v="24"/>
    <n v="113"/>
  </r>
  <r>
    <s v="BRS005-JBA-08132021"/>
    <s v="Spill"/>
    <x v="0"/>
    <s v="Darter sp."/>
    <s v="Etheostoma"/>
    <s v="gibbosus"/>
    <s v="U"/>
    <x v="0"/>
    <n v="8"/>
    <n v="11.81"/>
    <x v="25"/>
    <s v="754-91-6"/>
    <x v="25"/>
    <n v="32.4"/>
  </r>
  <r>
    <s v="BRS005-JBA-08132021"/>
    <s v="Spill"/>
    <x v="0"/>
    <s v="Darter sp."/>
    <s v="Etheostoma"/>
    <s v="gibbosus"/>
    <s v="U"/>
    <x v="0"/>
    <n v="8"/>
    <n v="11.81"/>
    <x v="26"/>
    <s v="31506-32-8"/>
    <x v="26"/>
    <n v="5.1499999999999997E-2"/>
  </r>
  <r>
    <s v="BRS005-JBA-08132021"/>
    <s v="Spill"/>
    <x v="0"/>
    <s v="Darter sp."/>
    <s v="Etheostoma"/>
    <s v="gibbosus"/>
    <s v="U"/>
    <x v="0"/>
    <n v="8"/>
    <n v="11.81"/>
    <x v="27"/>
    <s v="4151-50-2"/>
    <x v="27"/>
    <n v="7.8E-2"/>
  </r>
  <r>
    <s v="BRS005-JBA-08132021"/>
    <s v="Spill"/>
    <x v="0"/>
    <s v="Darter sp."/>
    <s v="Etheostoma"/>
    <s v="gibbosus"/>
    <s v="U"/>
    <x v="0"/>
    <n v="8"/>
    <n v="11.81"/>
    <x v="28"/>
    <s v="2806-24-8"/>
    <x v="28"/>
    <n v="5.2499999999999998E-2"/>
  </r>
  <r>
    <s v="BRS005-JBA-08132021"/>
    <s v="Spill"/>
    <x v="0"/>
    <s v="Darter sp."/>
    <s v="Etheostoma"/>
    <s v="gibbosus"/>
    <s v="U"/>
    <x v="0"/>
    <n v="8"/>
    <n v="11.81"/>
    <x v="29"/>
    <s v="2355-31-9"/>
    <x v="29"/>
    <n v="0.2215"/>
  </r>
  <r>
    <s v="BRS005-JBA-08132021"/>
    <s v="Spill"/>
    <x v="0"/>
    <s v="Darter sp."/>
    <s v="Etheostoma"/>
    <s v="gibbosus"/>
    <s v="U"/>
    <x v="0"/>
    <n v="8"/>
    <n v="11.81"/>
    <x v="30"/>
    <s v="2991-50-6"/>
    <x v="30"/>
    <n v="0.191"/>
  </r>
  <r>
    <s v="BRS005-JBA-08132021"/>
    <s v="Spill"/>
    <x v="0"/>
    <s v="Darter sp."/>
    <s v="Etheostoma"/>
    <s v="gibbosus"/>
    <s v="U"/>
    <x v="0"/>
    <n v="8"/>
    <n v="11.81"/>
    <x v="31"/>
    <s v="757124-72-4"/>
    <x v="31"/>
    <n v="5.45E-2"/>
  </r>
  <r>
    <s v="BRS005-JBA-08132021"/>
    <s v="Spill"/>
    <x v="0"/>
    <s v="Darter sp."/>
    <s v="Etheostoma"/>
    <s v="gibbosus"/>
    <s v="U"/>
    <x v="0"/>
    <n v="8"/>
    <n v="11.81"/>
    <x v="32"/>
    <s v="27619-97-2"/>
    <x v="32"/>
    <n v="1.48"/>
  </r>
  <r>
    <s v="BRS005-JBA-08132021"/>
    <s v="Spill"/>
    <x v="0"/>
    <s v="Darter sp."/>
    <s v="Etheostoma"/>
    <s v="gibbosus"/>
    <s v="U"/>
    <x v="0"/>
    <n v="8"/>
    <n v="11.81"/>
    <x v="33"/>
    <s v="39108-34-4"/>
    <x v="33"/>
    <n v="2.19"/>
  </r>
  <r>
    <s v="BRS005-JBA-08132021"/>
    <s v="Spill"/>
    <x v="0"/>
    <s v="Darter sp."/>
    <s v="Etheostoma"/>
    <s v="gibbosus"/>
    <s v="U"/>
    <x v="0"/>
    <n v="8"/>
    <n v="11.81"/>
    <x v="34"/>
    <s v="120226-60-0"/>
    <x v="34"/>
    <n v="0.25"/>
  </r>
  <r>
    <s v="BRS005-JBA-08132021"/>
    <s v="Spill"/>
    <x v="0"/>
    <s v="Darter sp."/>
    <s v="Etheostoma"/>
    <s v="gibbosus"/>
    <s v="U"/>
    <x v="0"/>
    <n v="8"/>
    <n v="11.81"/>
    <x v="35"/>
    <s v="356-02-5"/>
    <x v="35"/>
    <n v="7.6999999999999999E-2"/>
  </r>
  <r>
    <s v="BRS005-JBA-08132021"/>
    <s v="Spill"/>
    <x v="0"/>
    <s v="Darter sp."/>
    <s v="Etheostoma"/>
    <s v="gibbosus"/>
    <s v="U"/>
    <x v="0"/>
    <n v="8"/>
    <n v="11.81"/>
    <x v="36"/>
    <s v="914637-49-3"/>
    <x v="36"/>
    <n v="0.76700000000000002"/>
  </r>
  <r>
    <s v="BRS005-JBA-08132021"/>
    <s v="Spill"/>
    <x v="0"/>
    <s v="Darter sp."/>
    <s v="Etheostoma"/>
    <s v="gibbosus"/>
    <s v="U"/>
    <x v="0"/>
    <n v="8"/>
    <n v="11.81"/>
    <x v="37"/>
    <s v="812-70-4"/>
    <x v="37"/>
    <n v="2.5499999999999998"/>
  </r>
  <r>
    <s v="BRS005-JBA-08132021"/>
    <s v="Spill"/>
    <x v="0"/>
    <s v="Darter sp."/>
    <s v="Etheostoma"/>
    <s v="gibbosus"/>
    <s v="U"/>
    <x v="0"/>
    <n v="8"/>
    <n v="11.81"/>
    <x v="38"/>
    <s v="53826-12-3"/>
    <x v="38"/>
    <n v="0.22"/>
  </r>
  <r>
    <s v="BRS005-JBA-08132021"/>
    <s v="Spill"/>
    <x v="0"/>
    <s v="Darter sp."/>
    <s v="Etheostoma"/>
    <s v="gibbosus"/>
    <s v="U"/>
    <x v="0"/>
    <n v="8"/>
    <n v="11.81"/>
    <x v="39"/>
    <s v="27854-31-5"/>
    <x v="39"/>
    <n v="1.34"/>
  </r>
  <r>
    <s v="BRS005-JBA-08132021"/>
    <s v="Spill"/>
    <x v="0"/>
    <s v="Darter sp."/>
    <s v="Etheostoma"/>
    <s v="gibbosus"/>
    <s v="U"/>
    <x v="0"/>
    <n v="8"/>
    <n v="11.81"/>
    <x v="40"/>
    <s v="53826-13-4"/>
    <x v="40"/>
    <n v="0.32850000000000001"/>
  </r>
  <r>
    <s v="BRS005-JBA-08132021"/>
    <s v="Spill"/>
    <x v="0"/>
    <s v="Darter sp."/>
    <s v="Etheostoma"/>
    <s v="gibbosus"/>
    <s v="U"/>
    <x v="0"/>
    <n v="8"/>
    <n v="11.81"/>
    <x v="41"/>
    <s v="161094-75-3"/>
    <x v="41"/>
    <n v="5.2499999999999998E-2"/>
  </r>
  <r>
    <s v="BRS005-JBA-08132021"/>
    <s v="Spill"/>
    <x v="0"/>
    <s v="Darter sp."/>
    <s v="Etheostoma"/>
    <s v="gibbosus"/>
    <s v="U"/>
    <x v="0"/>
    <n v="8"/>
    <n v="11.81"/>
    <x v="42"/>
    <s v="70887-84-2"/>
    <x v="42"/>
    <n v="4.0300000000000002E-2"/>
  </r>
  <r>
    <s v="BRS005-JBA-08132021"/>
    <s v="Spill"/>
    <x v="0"/>
    <s v="Darter sp."/>
    <s v="Etheostoma"/>
    <s v="gibbosus"/>
    <s v="U"/>
    <x v="0"/>
    <n v="8"/>
    <n v="11.81"/>
    <x v="43"/>
    <s v="919005-14-4"/>
    <x v="43"/>
    <n v="6.6500000000000004E-2"/>
  </r>
  <r>
    <s v="BRS005-JBA-08132021"/>
    <s v="Spill"/>
    <x v="0"/>
    <s v="Darter sp."/>
    <s v="Etheostoma"/>
    <s v="gibbosus"/>
    <s v="U"/>
    <x v="0"/>
    <n v="8"/>
    <n v="11.81"/>
    <x v="44"/>
    <s v="756426-58-1"/>
    <x v="44"/>
    <n v="6.6500000000000004E-2"/>
  </r>
  <r>
    <s v="BRS005-JBA-08132021"/>
    <s v="Spill"/>
    <x v="0"/>
    <s v="Darter sp."/>
    <s v="Etheostoma"/>
    <s v="gibbosus"/>
    <s v="U"/>
    <x v="0"/>
    <n v="8"/>
    <n v="11.81"/>
    <x v="45"/>
    <s v="763051-92-9"/>
    <x v="45"/>
    <n v="6.6500000000000004E-2"/>
  </r>
  <r>
    <s v="BRS005-JBA-08132021"/>
    <s v="Spill"/>
    <x v="0"/>
    <s v="Darter sp."/>
    <s v="Etheostoma"/>
    <s v="gibbosus"/>
    <s v="U"/>
    <x v="0"/>
    <n v="8"/>
    <n v="11.81"/>
    <x v="46"/>
    <s v="13252-13-6"/>
    <x v="46"/>
    <n v="9.5500000000000002E-2"/>
  </r>
  <r>
    <s v="BRS005-JBA-08132021"/>
    <s v="Spill"/>
    <x v="0"/>
    <s v="Darter sp."/>
    <s v="Etheostoma"/>
    <s v="gibbosus"/>
    <s v="U"/>
    <x v="0"/>
    <n v="8"/>
    <n v="11.81"/>
    <x v="47"/>
    <s v="57677-95-9"/>
    <x v="47"/>
    <n v="7.0999999999999994E-2"/>
  </r>
  <r>
    <s v="BRS005-JBA-08132021"/>
    <s v="Spill"/>
    <x v="0"/>
    <s v="Darter sp."/>
    <s v="Etheostoma"/>
    <s v="gibbosus"/>
    <s v="U"/>
    <x v="0"/>
    <n v="8"/>
    <n v="11.81"/>
    <x v="48"/>
    <s v="678-41-1"/>
    <x v="48"/>
    <n v="8.8499999999999995E-2"/>
  </r>
  <r>
    <s v="BRS005-JBA-08132021"/>
    <s v="Spill"/>
    <x v="0"/>
    <s v="Darter sp."/>
    <s v="Etheostoma"/>
    <s v="gibbosus"/>
    <s v="U"/>
    <x v="0"/>
    <n v="8"/>
    <n v="11.81"/>
    <x v="49"/>
    <s v="2965-52-8"/>
    <x v="49"/>
    <n v="0.11749999999999999"/>
  </r>
  <r>
    <s v="BRS006-JBA-08132021"/>
    <s v="Spill"/>
    <x v="0"/>
    <s v="Darter sp."/>
    <s v="Etheostoma"/>
    <s v="gibbosus"/>
    <s v="U"/>
    <x v="0"/>
    <n v="8"/>
    <n v="11.81"/>
    <x v="0"/>
    <s v="375-22-4"/>
    <x v="0"/>
    <n v="6.9500000000000006E-2"/>
  </r>
  <r>
    <s v="BRS006-JBA-08132021"/>
    <s v="Spill"/>
    <x v="0"/>
    <s v="Darter sp."/>
    <s v="Etheostoma"/>
    <s v="gibbosus"/>
    <s v="U"/>
    <x v="0"/>
    <n v="8"/>
    <n v="11.81"/>
    <x v="1"/>
    <s v="2706-90-3"/>
    <x v="1"/>
    <n v="0.16250000000000001"/>
  </r>
  <r>
    <s v="BRS006-JBA-08132021"/>
    <s v="Spill"/>
    <x v="0"/>
    <s v="Darter sp."/>
    <s v="Etheostoma"/>
    <s v="gibbosus"/>
    <s v="U"/>
    <x v="0"/>
    <n v="8"/>
    <n v="11.81"/>
    <x v="2"/>
    <s v="307-24-4"/>
    <x v="2"/>
    <n v="3.7749999999999999E-2"/>
  </r>
  <r>
    <s v="BRS006-JBA-08132021"/>
    <s v="Spill"/>
    <x v="0"/>
    <s v="Darter sp."/>
    <s v="Etheostoma"/>
    <s v="gibbosus"/>
    <s v="U"/>
    <x v="0"/>
    <n v="8"/>
    <n v="11.81"/>
    <x v="3"/>
    <s v="375-85-9"/>
    <x v="3"/>
    <n v="9.1999999999999998E-2"/>
  </r>
  <r>
    <s v="BRS006-JBA-08132021"/>
    <s v="Spill"/>
    <x v="0"/>
    <s v="Darter sp."/>
    <s v="Etheostoma"/>
    <s v="gibbosus"/>
    <s v="U"/>
    <x v="0"/>
    <n v="8"/>
    <n v="11.81"/>
    <x v="4"/>
    <s v="335-67-1"/>
    <x v="4"/>
    <n v="0.60299999999999998"/>
  </r>
  <r>
    <s v="BRS006-JBA-08132021"/>
    <s v="Spill"/>
    <x v="0"/>
    <s v="Darter sp."/>
    <s v="Etheostoma"/>
    <s v="gibbosus"/>
    <s v="U"/>
    <x v="0"/>
    <n v="8"/>
    <n v="11.81"/>
    <x v="5"/>
    <s v="375-95-1"/>
    <x v="5"/>
    <n v="1.1200000000000001"/>
  </r>
  <r>
    <s v="BRS006-JBA-08132021"/>
    <s v="Spill"/>
    <x v="0"/>
    <s v="Darter sp."/>
    <s v="Etheostoma"/>
    <s v="gibbosus"/>
    <s v="U"/>
    <x v="0"/>
    <n v="8"/>
    <n v="11.81"/>
    <x v="6"/>
    <s v="335-76-2"/>
    <x v="6"/>
    <n v="3.86"/>
  </r>
  <r>
    <s v="BRS006-JBA-08132021"/>
    <s v="Spill"/>
    <x v="0"/>
    <s v="Darter sp."/>
    <s v="Etheostoma"/>
    <s v="gibbosus"/>
    <s v="U"/>
    <x v="0"/>
    <n v="8"/>
    <n v="11.81"/>
    <x v="7"/>
    <s v="2058-94-8"/>
    <x v="7"/>
    <n v="4.93"/>
  </r>
  <r>
    <s v="BRS006-JBA-08132021"/>
    <s v="Spill"/>
    <x v="0"/>
    <s v="Darter sp."/>
    <s v="Etheostoma"/>
    <s v="gibbosus"/>
    <s v="U"/>
    <x v="0"/>
    <n v="8"/>
    <n v="11.81"/>
    <x v="8"/>
    <s v="307-55-1"/>
    <x v="8"/>
    <n v="9.4700000000000006"/>
  </r>
  <r>
    <s v="BRS006-JBA-08132021"/>
    <s v="Spill"/>
    <x v="0"/>
    <s v="Darter sp."/>
    <s v="Etheostoma"/>
    <s v="gibbosus"/>
    <s v="U"/>
    <x v="0"/>
    <n v="8"/>
    <n v="11.81"/>
    <x v="9"/>
    <s v="72629-94-8"/>
    <x v="9"/>
    <n v="3.72"/>
  </r>
  <r>
    <s v="BRS006-JBA-08132021"/>
    <s v="Spill"/>
    <x v="0"/>
    <s v="Darter sp."/>
    <s v="Etheostoma"/>
    <s v="gibbosus"/>
    <s v="U"/>
    <x v="0"/>
    <n v="8"/>
    <n v="11.81"/>
    <x v="10"/>
    <s v="376-06-7"/>
    <x v="10"/>
    <n v="4.1500000000000004"/>
  </r>
  <r>
    <s v="BRS006-JBA-08132021"/>
    <s v="Spill"/>
    <x v="0"/>
    <s v="Darter sp."/>
    <s v="Etheostoma"/>
    <s v="gibbosus"/>
    <s v="U"/>
    <x v="0"/>
    <n v="8"/>
    <n v="11.81"/>
    <x v="11"/>
    <s v="67905-19-5"/>
    <x v="11"/>
    <n v="8.3000000000000004E-2"/>
  </r>
  <r>
    <s v="BRS006-JBA-08132021"/>
    <s v="Spill"/>
    <x v="0"/>
    <s v="Darter sp."/>
    <s v="Etheostoma"/>
    <s v="gibbosus"/>
    <s v="U"/>
    <x v="0"/>
    <n v="8"/>
    <n v="11.81"/>
    <x v="12"/>
    <s v="423-41-6"/>
    <x v="12"/>
    <n v="5.2999999999999999E-2"/>
  </r>
  <r>
    <s v="BRS006-JBA-08132021"/>
    <s v="Spill"/>
    <x v="0"/>
    <s v="Darter sp."/>
    <s v="Etheostoma"/>
    <s v="gibbosus"/>
    <s v="U"/>
    <x v="0"/>
    <n v="8"/>
    <n v="11.81"/>
    <x v="13"/>
    <s v="375-73-5"/>
    <x v="13"/>
    <n v="0.1565"/>
  </r>
  <r>
    <s v="BRS006-JBA-08132021"/>
    <s v="Spill"/>
    <x v="0"/>
    <s v="Darter sp."/>
    <s v="Etheostoma"/>
    <s v="gibbosus"/>
    <s v="U"/>
    <x v="0"/>
    <n v="8"/>
    <n v="11.81"/>
    <x v="14"/>
    <s v="2706-91-4"/>
    <x v="14"/>
    <n v="0.122"/>
  </r>
  <r>
    <s v="BRS006-JBA-08132021"/>
    <s v="Spill"/>
    <x v="0"/>
    <s v="Darter sp."/>
    <s v="Etheostoma"/>
    <s v="gibbosus"/>
    <s v="U"/>
    <x v="0"/>
    <n v="8"/>
    <n v="11.81"/>
    <x v="15"/>
    <s v="355-46-4"/>
    <x v="15"/>
    <n v="14.8"/>
  </r>
  <r>
    <s v="BRS006-JBA-08132021"/>
    <s v="Spill"/>
    <x v="0"/>
    <s v="Darter sp."/>
    <s v="Etheostoma"/>
    <s v="gibbosus"/>
    <s v="U"/>
    <x v="0"/>
    <n v="8"/>
    <n v="11.81"/>
    <x v="16"/>
    <s v="375-92-8"/>
    <x v="16"/>
    <n v="4.5999999999999996"/>
  </r>
  <r>
    <s v="BRS006-JBA-08132021"/>
    <s v="Spill"/>
    <x v="0"/>
    <s v="Darter sp."/>
    <s v="Etheostoma"/>
    <s v="gibbosus"/>
    <s v="U"/>
    <x v="0"/>
    <n v="8"/>
    <n v="11.81"/>
    <x v="17"/>
    <s v="1763-23-1"/>
    <x v="17"/>
    <n v="1070"/>
  </r>
  <r>
    <s v="BRS006-JBA-08132021"/>
    <s v="Spill"/>
    <x v="0"/>
    <s v="Darter sp."/>
    <s v="Etheostoma"/>
    <s v="gibbosus"/>
    <s v="U"/>
    <x v="0"/>
    <n v="8"/>
    <n v="11.81"/>
    <x v="18"/>
    <s v="68259-12-1"/>
    <x v="18"/>
    <n v="1.22"/>
  </r>
  <r>
    <s v="BRS006-JBA-08132021"/>
    <s v="Spill"/>
    <x v="0"/>
    <s v="Darter sp."/>
    <s v="Etheostoma"/>
    <s v="gibbosus"/>
    <s v="U"/>
    <x v="0"/>
    <n v="8"/>
    <n v="11.81"/>
    <x v="19"/>
    <s v="335-77-3"/>
    <x v="19"/>
    <n v="0.84299999999999997"/>
  </r>
  <r>
    <s v="BRS006-JBA-08132021"/>
    <s v="Spill"/>
    <x v="0"/>
    <s v="Darter sp."/>
    <s v="Etheostoma"/>
    <s v="gibbosus"/>
    <s v="U"/>
    <x v="0"/>
    <n v="8"/>
    <n v="11.81"/>
    <x v="20"/>
    <s v="79780-39-5"/>
    <x v="20"/>
    <n v="0.246"/>
  </r>
  <r>
    <s v="BRS006-JBA-08132021"/>
    <s v="Spill"/>
    <x v="0"/>
    <s v="Darter sp."/>
    <s v="Etheostoma"/>
    <s v="gibbosus"/>
    <s v="U"/>
    <x v="0"/>
    <n v="8"/>
    <n v="11.81"/>
    <x v="21"/>
    <s v="777011-38-8"/>
    <x v="21"/>
    <n v="0.14000000000000001"/>
  </r>
  <r>
    <s v="BRS006-JBA-08132021"/>
    <s v="Spill"/>
    <x v="0"/>
    <s v="Darter sp."/>
    <s v="Etheostoma"/>
    <s v="gibbosus"/>
    <s v="U"/>
    <x v="0"/>
    <n v="8"/>
    <n v="11.81"/>
    <x v="22"/>
    <s v="646-83-3"/>
    <x v="22"/>
    <n v="0.47699999999999998"/>
  </r>
  <r>
    <s v="BRS006-JBA-08132021"/>
    <s v="Spill"/>
    <x v="0"/>
    <s v="Darter sp."/>
    <s v="Etheostoma"/>
    <s v="gibbosus"/>
    <s v="U"/>
    <x v="0"/>
    <n v="8"/>
    <n v="11.81"/>
    <x v="23"/>
    <s v="30334-69-1"/>
    <x v="23"/>
    <n v="22"/>
  </r>
  <r>
    <s v="BRS006-JBA-08132021"/>
    <s v="Spill"/>
    <x v="0"/>
    <s v="Darter sp."/>
    <s v="Etheostoma"/>
    <s v="gibbosus"/>
    <s v="U"/>
    <x v="0"/>
    <n v="8"/>
    <n v="11.81"/>
    <x v="24"/>
    <s v="41997-13-1"/>
    <x v="24"/>
    <n v="150"/>
  </r>
  <r>
    <s v="BRS006-JBA-08132021"/>
    <s v="Spill"/>
    <x v="0"/>
    <s v="Darter sp."/>
    <s v="Etheostoma"/>
    <s v="gibbosus"/>
    <s v="U"/>
    <x v="0"/>
    <n v="8"/>
    <n v="11.81"/>
    <x v="25"/>
    <s v="754-91-6"/>
    <x v="25"/>
    <n v="48.4"/>
  </r>
  <r>
    <s v="BRS006-JBA-08132021"/>
    <s v="Spill"/>
    <x v="0"/>
    <s v="Darter sp."/>
    <s v="Etheostoma"/>
    <s v="gibbosus"/>
    <s v="U"/>
    <x v="0"/>
    <n v="8"/>
    <n v="11.81"/>
    <x v="26"/>
    <s v="31506-32-8"/>
    <x v="26"/>
    <n v="5.3999999999999999E-2"/>
  </r>
  <r>
    <s v="BRS006-JBA-08132021"/>
    <s v="Spill"/>
    <x v="0"/>
    <s v="Darter sp."/>
    <s v="Etheostoma"/>
    <s v="gibbosus"/>
    <s v="U"/>
    <x v="0"/>
    <n v="8"/>
    <n v="11.81"/>
    <x v="27"/>
    <s v="4151-50-2"/>
    <x v="27"/>
    <n v="8.1500000000000003E-2"/>
  </r>
  <r>
    <s v="BRS006-JBA-08132021"/>
    <s v="Spill"/>
    <x v="0"/>
    <s v="Darter sp."/>
    <s v="Etheostoma"/>
    <s v="gibbosus"/>
    <s v="U"/>
    <x v="0"/>
    <n v="8"/>
    <n v="11.81"/>
    <x v="28"/>
    <s v="2806-24-8"/>
    <x v="28"/>
    <n v="5.5E-2"/>
  </r>
  <r>
    <s v="BRS006-JBA-08132021"/>
    <s v="Spill"/>
    <x v="0"/>
    <s v="Darter sp."/>
    <s v="Etheostoma"/>
    <s v="gibbosus"/>
    <s v="U"/>
    <x v="0"/>
    <n v="8"/>
    <n v="11.81"/>
    <x v="29"/>
    <s v="2355-31-9"/>
    <x v="29"/>
    <n v="0.23150000000000001"/>
  </r>
  <r>
    <s v="BRS006-JBA-08132021"/>
    <s v="Spill"/>
    <x v="0"/>
    <s v="Darter sp."/>
    <s v="Etheostoma"/>
    <s v="gibbosus"/>
    <s v="U"/>
    <x v="0"/>
    <n v="8"/>
    <n v="11.81"/>
    <x v="30"/>
    <s v="2991-50-6"/>
    <x v="30"/>
    <n v="0.2"/>
  </r>
  <r>
    <s v="BRS006-JBA-08132021"/>
    <s v="Spill"/>
    <x v="0"/>
    <s v="Darter sp."/>
    <s v="Etheostoma"/>
    <s v="gibbosus"/>
    <s v="U"/>
    <x v="0"/>
    <n v="8"/>
    <n v="11.81"/>
    <x v="31"/>
    <s v="757124-72-4"/>
    <x v="31"/>
    <n v="5.7500000000000002E-2"/>
  </r>
  <r>
    <s v="BRS006-JBA-08132021"/>
    <s v="Spill"/>
    <x v="0"/>
    <s v="Darter sp."/>
    <s v="Etheostoma"/>
    <s v="gibbosus"/>
    <s v="U"/>
    <x v="0"/>
    <n v="8"/>
    <n v="11.81"/>
    <x v="32"/>
    <s v="27619-97-2"/>
    <x v="32"/>
    <n v="0.371"/>
  </r>
  <r>
    <s v="BRS006-JBA-08132021"/>
    <s v="Spill"/>
    <x v="0"/>
    <s v="Darter sp."/>
    <s v="Etheostoma"/>
    <s v="gibbosus"/>
    <s v="U"/>
    <x v="0"/>
    <n v="8"/>
    <n v="11.81"/>
    <x v="33"/>
    <s v="39108-34-4"/>
    <x v="33"/>
    <n v="4.1399999999999997"/>
  </r>
  <r>
    <s v="BRS006-JBA-08132021"/>
    <s v="Spill"/>
    <x v="0"/>
    <s v="Darter sp."/>
    <s v="Etheostoma"/>
    <s v="gibbosus"/>
    <s v="U"/>
    <x v="0"/>
    <n v="8"/>
    <n v="11.81"/>
    <x v="34"/>
    <s v="120226-60-0"/>
    <x v="34"/>
    <n v="0.26150000000000001"/>
  </r>
  <r>
    <s v="BRS006-JBA-08132021"/>
    <s v="Spill"/>
    <x v="0"/>
    <s v="Darter sp."/>
    <s v="Etheostoma"/>
    <s v="gibbosus"/>
    <s v="U"/>
    <x v="0"/>
    <n v="8"/>
    <n v="11.81"/>
    <x v="35"/>
    <s v="356-02-5"/>
    <x v="35"/>
    <n v="8.0500000000000002E-2"/>
  </r>
  <r>
    <s v="BRS006-JBA-08132021"/>
    <s v="Spill"/>
    <x v="0"/>
    <s v="Darter sp."/>
    <s v="Etheostoma"/>
    <s v="gibbosus"/>
    <s v="U"/>
    <x v="0"/>
    <n v="8"/>
    <n v="11.81"/>
    <x v="36"/>
    <s v="914637-49-3"/>
    <x v="36"/>
    <n v="0.23"/>
  </r>
  <r>
    <s v="BRS006-JBA-08132021"/>
    <s v="Spill"/>
    <x v="0"/>
    <s v="Darter sp."/>
    <s v="Etheostoma"/>
    <s v="gibbosus"/>
    <s v="U"/>
    <x v="0"/>
    <n v="8"/>
    <n v="11.81"/>
    <x v="37"/>
    <s v="812-70-4"/>
    <x v="37"/>
    <n v="1.81"/>
  </r>
  <r>
    <s v="BRS006-JBA-08132021"/>
    <s v="Spill"/>
    <x v="0"/>
    <s v="Darter sp."/>
    <s v="Etheostoma"/>
    <s v="gibbosus"/>
    <s v="U"/>
    <x v="0"/>
    <n v="8"/>
    <n v="11.81"/>
    <x v="38"/>
    <s v="53826-12-3"/>
    <x v="38"/>
    <n v="0.23"/>
  </r>
  <r>
    <s v="BRS006-JBA-08132021"/>
    <s v="Spill"/>
    <x v="0"/>
    <s v="Darter sp."/>
    <s v="Etheostoma"/>
    <s v="gibbosus"/>
    <s v="U"/>
    <x v="0"/>
    <n v="8"/>
    <n v="11.81"/>
    <x v="39"/>
    <s v="27854-31-5"/>
    <x v="39"/>
    <n v="1.1299999999999999"/>
  </r>
  <r>
    <s v="BRS006-JBA-08132021"/>
    <s v="Spill"/>
    <x v="0"/>
    <s v="Darter sp."/>
    <s v="Etheostoma"/>
    <s v="gibbosus"/>
    <s v="U"/>
    <x v="0"/>
    <n v="8"/>
    <n v="11.81"/>
    <x v="40"/>
    <s v="53826-13-4"/>
    <x v="40"/>
    <n v="0.34350000000000003"/>
  </r>
  <r>
    <s v="BRS006-JBA-08132021"/>
    <s v="Spill"/>
    <x v="0"/>
    <s v="Darter sp."/>
    <s v="Etheostoma"/>
    <s v="gibbosus"/>
    <s v="U"/>
    <x v="0"/>
    <n v="8"/>
    <n v="11.81"/>
    <x v="41"/>
    <s v="161094-75-3"/>
    <x v="41"/>
    <n v="5.5E-2"/>
  </r>
  <r>
    <s v="BRS006-JBA-08132021"/>
    <s v="Spill"/>
    <x v="0"/>
    <s v="Darter sp."/>
    <s v="Etheostoma"/>
    <s v="gibbosus"/>
    <s v="U"/>
    <x v="0"/>
    <n v="8"/>
    <n v="11.81"/>
    <x v="42"/>
    <s v="70887-84-2"/>
    <x v="42"/>
    <n v="4.2099999999999999E-2"/>
  </r>
  <r>
    <s v="BRS006-JBA-08132021"/>
    <s v="Spill"/>
    <x v="0"/>
    <s v="Darter sp."/>
    <s v="Etheostoma"/>
    <s v="gibbosus"/>
    <s v="U"/>
    <x v="0"/>
    <n v="8"/>
    <n v="11.81"/>
    <x v="43"/>
    <s v="919005-14-4"/>
    <x v="43"/>
    <n v="6.9500000000000006E-2"/>
  </r>
  <r>
    <s v="BRS006-JBA-08132021"/>
    <s v="Spill"/>
    <x v="0"/>
    <s v="Darter sp."/>
    <s v="Etheostoma"/>
    <s v="gibbosus"/>
    <s v="U"/>
    <x v="0"/>
    <n v="8"/>
    <n v="11.81"/>
    <x v="44"/>
    <s v="756426-58-1"/>
    <x v="44"/>
    <n v="6.9500000000000006E-2"/>
  </r>
  <r>
    <s v="BRS006-JBA-08132021"/>
    <s v="Spill"/>
    <x v="0"/>
    <s v="Darter sp."/>
    <s v="Etheostoma"/>
    <s v="gibbosus"/>
    <s v="U"/>
    <x v="0"/>
    <n v="8"/>
    <n v="11.81"/>
    <x v="45"/>
    <s v="763051-92-9"/>
    <x v="45"/>
    <n v="6.9500000000000006E-2"/>
  </r>
  <r>
    <s v="BRS006-JBA-08132021"/>
    <s v="Spill"/>
    <x v="0"/>
    <s v="Darter sp."/>
    <s v="Etheostoma"/>
    <s v="gibbosus"/>
    <s v="U"/>
    <x v="0"/>
    <n v="8"/>
    <n v="11.81"/>
    <x v="46"/>
    <s v="13252-13-6"/>
    <x v="46"/>
    <n v="0.1"/>
  </r>
  <r>
    <s v="BRS006-JBA-08132021"/>
    <s v="Spill"/>
    <x v="0"/>
    <s v="Darter sp."/>
    <s v="Etheostoma"/>
    <s v="gibbosus"/>
    <s v="U"/>
    <x v="0"/>
    <n v="8"/>
    <n v="11.81"/>
    <x v="47"/>
    <s v="57677-95-9"/>
    <x v="47"/>
    <n v="7.3999999999999996E-2"/>
  </r>
  <r>
    <s v="BRS006-JBA-08132021"/>
    <s v="Spill"/>
    <x v="0"/>
    <s v="Darter sp."/>
    <s v="Etheostoma"/>
    <s v="gibbosus"/>
    <s v="U"/>
    <x v="0"/>
    <n v="8"/>
    <n v="11.81"/>
    <x v="48"/>
    <s v="678-41-1"/>
    <x v="48"/>
    <n v="9.2499999999999999E-2"/>
  </r>
  <r>
    <s v="BRS006-JBA-08132021"/>
    <s v="Spill"/>
    <x v="0"/>
    <s v="Darter sp."/>
    <s v="Etheostoma"/>
    <s v="gibbosus"/>
    <s v="U"/>
    <x v="0"/>
    <n v="8"/>
    <n v="11.81"/>
    <x v="49"/>
    <s v="2965-52-8"/>
    <x v="49"/>
    <n v="0.1225"/>
  </r>
  <r>
    <s v="EMM002-JBA-08132021"/>
    <s v="Spill"/>
    <x v="0"/>
    <s v="Eastern Mudminnow"/>
    <s v="Umbra"/>
    <s v="gibbosus"/>
    <s v="U"/>
    <x v="0"/>
    <n v="8"/>
    <n v="11.81"/>
    <x v="0"/>
    <s v="375-22-4"/>
    <x v="0"/>
    <n v="0.222"/>
  </r>
  <r>
    <s v="EMM002-JBA-08132021"/>
    <s v="Spill"/>
    <x v="0"/>
    <s v="Eastern Mudminnow"/>
    <s v="Umbra"/>
    <s v="gibbosus"/>
    <s v="U"/>
    <x v="0"/>
    <n v="8"/>
    <n v="11.81"/>
    <x v="1"/>
    <s v="2706-90-3"/>
    <x v="1"/>
    <n v="4.7600000000000003E-2"/>
  </r>
  <r>
    <s v="EMM002-JBA-08132021"/>
    <s v="Spill"/>
    <x v="0"/>
    <s v="Eastern Mudminnow"/>
    <s v="Umbra"/>
    <s v="gibbosus"/>
    <s v="U"/>
    <x v="0"/>
    <n v="8"/>
    <n v="11.81"/>
    <x v="2"/>
    <s v="307-24-4"/>
    <x v="2"/>
    <n v="3.635E-2"/>
  </r>
  <r>
    <s v="EMM002-JBA-08132021"/>
    <s v="Spill"/>
    <x v="0"/>
    <s v="Eastern Mudminnow"/>
    <s v="Umbra"/>
    <s v="gibbosus"/>
    <s v="U"/>
    <x v="0"/>
    <n v="8"/>
    <n v="11.81"/>
    <x v="3"/>
    <s v="375-85-9"/>
    <x v="3"/>
    <n v="2.6950000000000002E-2"/>
  </r>
  <r>
    <s v="EMM002-JBA-08132021"/>
    <s v="Spill"/>
    <x v="0"/>
    <s v="Eastern Mudminnow"/>
    <s v="Umbra"/>
    <s v="gibbosus"/>
    <s v="U"/>
    <x v="0"/>
    <n v="8"/>
    <n v="11.81"/>
    <x v="4"/>
    <s v="335-67-1"/>
    <x v="4"/>
    <n v="4.42"/>
  </r>
  <r>
    <s v="EMM002-JBA-08132021"/>
    <s v="Spill"/>
    <x v="0"/>
    <s v="Eastern Mudminnow"/>
    <s v="Umbra"/>
    <s v="gibbosus"/>
    <s v="U"/>
    <x v="0"/>
    <n v="8"/>
    <n v="11.81"/>
    <x v="5"/>
    <s v="375-95-1"/>
    <x v="5"/>
    <n v="3.55"/>
  </r>
  <r>
    <s v="EMM002-JBA-08132021"/>
    <s v="Spill"/>
    <x v="0"/>
    <s v="Eastern Mudminnow"/>
    <s v="Umbra"/>
    <s v="gibbosus"/>
    <s v="U"/>
    <x v="0"/>
    <n v="8"/>
    <n v="11.81"/>
    <x v="6"/>
    <s v="335-76-2"/>
    <x v="6"/>
    <n v="3.9"/>
  </r>
  <r>
    <s v="EMM002-JBA-08132021"/>
    <s v="Spill"/>
    <x v="0"/>
    <s v="Eastern Mudminnow"/>
    <s v="Umbra"/>
    <s v="gibbosus"/>
    <s v="U"/>
    <x v="0"/>
    <n v="8"/>
    <n v="11.81"/>
    <x v="7"/>
    <s v="2058-94-8"/>
    <x v="7"/>
    <n v="5.13"/>
  </r>
  <r>
    <s v="EMM002-JBA-08132021"/>
    <s v="Spill"/>
    <x v="0"/>
    <s v="Eastern Mudminnow"/>
    <s v="Umbra"/>
    <s v="gibbosus"/>
    <s v="U"/>
    <x v="0"/>
    <n v="8"/>
    <n v="11.81"/>
    <x v="8"/>
    <s v="307-55-1"/>
    <x v="8"/>
    <n v="8.14"/>
  </r>
  <r>
    <s v="EMM002-JBA-08132021"/>
    <s v="Spill"/>
    <x v="0"/>
    <s v="Eastern Mudminnow"/>
    <s v="Umbra"/>
    <s v="gibbosus"/>
    <s v="U"/>
    <x v="0"/>
    <n v="8"/>
    <n v="11.81"/>
    <x v="9"/>
    <s v="72629-94-8"/>
    <x v="9"/>
    <n v="2.17"/>
  </r>
  <r>
    <s v="EMM002-JBA-08132021"/>
    <s v="Spill"/>
    <x v="0"/>
    <s v="Eastern Mudminnow"/>
    <s v="Umbra"/>
    <s v="gibbosus"/>
    <s v="U"/>
    <x v="0"/>
    <n v="8"/>
    <n v="11.81"/>
    <x v="10"/>
    <s v="376-06-7"/>
    <x v="10"/>
    <n v="7.17"/>
  </r>
  <r>
    <s v="EMM002-JBA-08132021"/>
    <s v="Spill"/>
    <x v="0"/>
    <s v="Eastern Mudminnow"/>
    <s v="Umbra"/>
    <s v="gibbosus"/>
    <s v="U"/>
    <x v="0"/>
    <n v="8"/>
    <n v="11.81"/>
    <x v="11"/>
    <s v="67905-19-5"/>
    <x v="11"/>
    <n v="0.08"/>
  </r>
  <r>
    <s v="EMM002-JBA-08132021"/>
    <s v="Spill"/>
    <x v="0"/>
    <s v="Eastern Mudminnow"/>
    <s v="Umbra"/>
    <s v="gibbosus"/>
    <s v="U"/>
    <x v="0"/>
    <n v="8"/>
    <n v="11.81"/>
    <x v="12"/>
    <s v="423-41-6"/>
    <x v="12"/>
    <n v="5.1499999999999997E-2"/>
  </r>
  <r>
    <s v="EMM002-JBA-08132021"/>
    <s v="Spill"/>
    <x v="0"/>
    <s v="Eastern Mudminnow"/>
    <s v="Umbra"/>
    <s v="gibbosus"/>
    <s v="U"/>
    <x v="0"/>
    <n v="8"/>
    <n v="11.81"/>
    <x v="13"/>
    <s v="375-73-5"/>
    <x v="13"/>
    <n v="0.151"/>
  </r>
  <r>
    <s v="EMM002-JBA-08132021"/>
    <s v="Spill"/>
    <x v="0"/>
    <s v="Eastern Mudminnow"/>
    <s v="Umbra"/>
    <s v="gibbosus"/>
    <s v="U"/>
    <x v="0"/>
    <n v="8"/>
    <n v="11.81"/>
    <x v="14"/>
    <s v="2706-91-4"/>
    <x v="14"/>
    <n v="0.11749999999999999"/>
  </r>
  <r>
    <s v="EMM002-JBA-08132021"/>
    <s v="Spill"/>
    <x v="0"/>
    <s v="Eastern Mudminnow"/>
    <s v="Umbra"/>
    <s v="gibbosus"/>
    <s v="U"/>
    <x v="0"/>
    <n v="8"/>
    <n v="11.81"/>
    <x v="15"/>
    <s v="355-46-4"/>
    <x v="15"/>
    <n v="21.3"/>
  </r>
  <r>
    <s v="EMM002-JBA-08132021"/>
    <s v="Spill"/>
    <x v="0"/>
    <s v="Eastern Mudminnow"/>
    <s v="Umbra"/>
    <s v="gibbosus"/>
    <s v="U"/>
    <x v="0"/>
    <n v="8"/>
    <n v="11.81"/>
    <x v="16"/>
    <s v="375-92-8"/>
    <x v="16"/>
    <n v="2.67"/>
  </r>
  <r>
    <s v="EMM002-JBA-08132021"/>
    <s v="Spill"/>
    <x v="0"/>
    <s v="Eastern Mudminnow"/>
    <s v="Umbra"/>
    <s v="gibbosus"/>
    <s v="U"/>
    <x v="0"/>
    <n v="8"/>
    <n v="11.81"/>
    <x v="17"/>
    <s v="1763-23-1"/>
    <x v="17"/>
    <n v="922"/>
  </r>
  <r>
    <s v="EMM002-JBA-08132021"/>
    <s v="Spill"/>
    <x v="0"/>
    <s v="Eastern Mudminnow"/>
    <s v="Umbra"/>
    <s v="gibbosus"/>
    <s v="U"/>
    <x v="0"/>
    <n v="8"/>
    <n v="11.81"/>
    <x v="18"/>
    <s v="68259-12-1"/>
    <x v="18"/>
    <n v="1.56"/>
  </r>
  <r>
    <s v="EMM002-JBA-08132021"/>
    <s v="Spill"/>
    <x v="0"/>
    <s v="Eastern Mudminnow"/>
    <s v="Umbra"/>
    <s v="gibbosus"/>
    <s v="U"/>
    <x v="0"/>
    <n v="8"/>
    <n v="11.81"/>
    <x v="19"/>
    <s v="335-77-3"/>
    <x v="19"/>
    <n v="2.4700000000000002"/>
  </r>
  <r>
    <s v="EMM002-JBA-08132021"/>
    <s v="Spill"/>
    <x v="0"/>
    <s v="Eastern Mudminnow"/>
    <s v="Umbra"/>
    <s v="gibbosus"/>
    <s v="U"/>
    <x v="0"/>
    <n v="8"/>
    <n v="11.81"/>
    <x v="20"/>
    <s v="79780-39-5"/>
    <x v="20"/>
    <n v="1.1200000000000001"/>
  </r>
  <r>
    <s v="EMM002-JBA-08132021"/>
    <s v="Spill"/>
    <x v="0"/>
    <s v="Eastern Mudminnow"/>
    <s v="Umbra"/>
    <s v="gibbosus"/>
    <s v="U"/>
    <x v="0"/>
    <n v="8"/>
    <n v="11.81"/>
    <x v="21"/>
    <s v="777011-38-8"/>
    <x v="21"/>
    <n v="0.13500000000000001"/>
  </r>
  <r>
    <s v="EMM002-JBA-08132021"/>
    <s v="Spill"/>
    <x v="0"/>
    <s v="Eastern Mudminnow"/>
    <s v="Umbra"/>
    <s v="gibbosus"/>
    <s v="U"/>
    <x v="0"/>
    <n v="8"/>
    <n v="11.81"/>
    <x v="22"/>
    <s v="646-83-3"/>
    <x v="22"/>
    <n v="0.29699999999999999"/>
  </r>
  <r>
    <s v="EMM002-JBA-08132021"/>
    <s v="Spill"/>
    <x v="0"/>
    <s v="Eastern Mudminnow"/>
    <s v="Umbra"/>
    <s v="gibbosus"/>
    <s v="U"/>
    <x v="0"/>
    <n v="8"/>
    <n v="11.81"/>
    <x v="23"/>
    <s v="30334-69-1"/>
    <x v="23"/>
    <n v="21.5"/>
  </r>
  <r>
    <s v="EMM002-JBA-08132021"/>
    <s v="Spill"/>
    <x v="0"/>
    <s v="Eastern Mudminnow"/>
    <s v="Umbra"/>
    <s v="gibbosus"/>
    <s v="U"/>
    <x v="0"/>
    <n v="8"/>
    <n v="11.81"/>
    <x v="24"/>
    <s v="41997-13-1"/>
    <x v="24"/>
    <n v="145"/>
  </r>
  <r>
    <s v="EMM002-JBA-08132021"/>
    <s v="Spill"/>
    <x v="0"/>
    <s v="Eastern Mudminnow"/>
    <s v="Umbra"/>
    <s v="gibbosus"/>
    <s v="U"/>
    <x v="0"/>
    <n v="8"/>
    <n v="11.81"/>
    <x v="25"/>
    <s v="754-91-6"/>
    <x v="25"/>
    <n v="18.399999999999999"/>
  </r>
  <r>
    <s v="EMM002-JBA-08132021"/>
    <s v="Spill"/>
    <x v="0"/>
    <s v="Eastern Mudminnow"/>
    <s v="Umbra"/>
    <s v="gibbosus"/>
    <s v="U"/>
    <x v="0"/>
    <n v="8"/>
    <n v="11.81"/>
    <x v="26"/>
    <s v="31506-32-8"/>
    <x v="26"/>
    <n v="5.1999999999999998E-2"/>
  </r>
  <r>
    <s v="EMM002-JBA-08132021"/>
    <s v="Spill"/>
    <x v="0"/>
    <s v="Eastern Mudminnow"/>
    <s v="Umbra"/>
    <s v="gibbosus"/>
    <s v="U"/>
    <x v="0"/>
    <n v="8"/>
    <n v="11.81"/>
    <x v="27"/>
    <s v="4151-50-2"/>
    <x v="27"/>
    <n v="7.85E-2"/>
  </r>
  <r>
    <s v="EMM002-JBA-08132021"/>
    <s v="Spill"/>
    <x v="0"/>
    <s v="Eastern Mudminnow"/>
    <s v="Umbra"/>
    <s v="gibbosus"/>
    <s v="U"/>
    <x v="0"/>
    <n v="8"/>
    <n v="11.81"/>
    <x v="28"/>
    <s v="2806-24-8"/>
    <x v="28"/>
    <n v="5.2999999999999999E-2"/>
  </r>
  <r>
    <s v="EMM002-JBA-08132021"/>
    <s v="Spill"/>
    <x v="0"/>
    <s v="Eastern Mudminnow"/>
    <s v="Umbra"/>
    <s v="gibbosus"/>
    <s v="U"/>
    <x v="0"/>
    <n v="8"/>
    <n v="11.81"/>
    <x v="29"/>
    <s v="2355-31-9"/>
    <x v="29"/>
    <n v="0.70099999999999996"/>
  </r>
  <r>
    <s v="EMM002-JBA-08132021"/>
    <s v="Spill"/>
    <x v="0"/>
    <s v="Eastern Mudminnow"/>
    <s v="Umbra"/>
    <s v="gibbosus"/>
    <s v="U"/>
    <x v="0"/>
    <n v="8"/>
    <n v="11.81"/>
    <x v="30"/>
    <s v="2991-50-6"/>
    <x v="30"/>
    <n v="5.8500000000000003E-2"/>
  </r>
  <r>
    <s v="EMM002-JBA-08132021"/>
    <s v="Spill"/>
    <x v="0"/>
    <s v="Eastern Mudminnow"/>
    <s v="Umbra"/>
    <s v="gibbosus"/>
    <s v="U"/>
    <x v="0"/>
    <n v="8"/>
    <n v="11.81"/>
    <x v="31"/>
    <s v="757124-72-4"/>
    <x v="31"/>
    <n v="5.5500000000000001E-2"/>
  </r>
  <r>
    <s v="EMM002-JBA-08132021"/>
    <s v="Spill"/>
    <x v="0"/>
    <s v="Eastern Mudminnow"/>
    <s v="Umbra"/>
    <s v="gibbosus"/>
    <s v="U"/>
    <x v="0"/>
    <n v="8"/>
    <n v="11.81"/>
    <x v="32"/>
    <s v="27619-97-2"/>
    <x v="32"/>
    <n v="0.69399999999999995"/>
  </r>
  <r>
    <s v="EMM002-JBA-08132021"/>
    <s v="Spill"/>
    <x v="0"/>
    <s v="Eastern Mudminnow"/>
    <s v="Umbra"/>
    <s v="gibbosus"/>
    <s v="U"/>
    <x v="0"/>
    <n v="8"/>
    <n v="11.81"/>
    <x v="33"/>
    <s v="39108-34-4"/>
    <x v="33"/>
    <n v="1.26"/>
  </r>
  <r>
    <s v="EMM002-JBA-08132021"/>
    <s v="Spill"/>
    <x v="0"/>
    <s v="Eastern Mudminnow"/>
    <s v="Umbra"/>
    <s v="gibbosus"/>
    <s v="U"/>
    <x v="0"/>
    <n v="8"/>
    <n v="11.81"/>
    <x v="34"/>
    <s v="120226-60-0"/>
    <x v="34"/>
    <n v="0.252"/>
  </r>
  <r>
    <s v="EMM002-JBA-08132021"/>
    <s v="Spill"/>
    <x v="0"/>
    <s v="Eastern Mudminnow"/>
    <s v="Umbra"/>
    <s v="gibbosus"/>
    <s v="U"/>
    <x v="0"/>
    <n v="8"/>
    <n v="11.81"/>
    <x v="35"/>
    <s v="356-02-5"/>
    <x v="35"/>
    <n v="7.7499999999999999E-2"/>
  </r>
  <r>
    <s v="EMM002-JBA-08132021"/>
    <s v="Spill"/>
    <x v="0"/>
    <s v="Eastern Mudminnow"/>
    <s v="Umbra"/>
    <s v="gibbosus"/>
    <s v="U"/>
    <x v="0"/>
    <n v="8"/>
    <n v="11.81"/>
    <x v="36"/>
    <s v="914637-49-3"/>
    <x v="36"/>
    <n v="11.5"/>
  </r>
  <r>
    <s v="EMM002-JBA-08132021"/>
    <s v="Spill"/>
    <x v="0"/>
    <s v="Eastern Mudminnow"/>
    <s v="Umbra"/>
    <s v="gibbosus"/>
    <s v="U"/>
    <x v="0"/>
    <n v="8"/>
    <n v="11.81"/>
    <x v="37"/>
    <s v="812-70-4"/>
    <x v="37"/>
    <n v="28.6"/>
  </r>
  <r>
    <s v="EMM002-JBA-08132021"/>
    <s v="Spill"/>
    <x v="0"/>
    <s v="Eastern Mudminnow"/>
    <s v="Umbra"/>
    <s v="gibbosus"/>
    <s v="U"/>
    <x v="0"/>
    <n v="8"/>
    <n v="11.81"/>
    <x v="38"/>
    <s v="53826-12-3"/>
    <x v="38"/>
    <n v="1.92"/>
  </r>
  <r>
    <s v="EMM002-JBA-08132021"/>
    <s v="Spill"/>
    <x v="0"/>
    <s v="Eastern Mudminnow"/>
    <s v="Umbra"/>
    <s v="gibbosus"/>
    <s v="U"/>
    <x v="0"/>
    <n v="8"/>
    <n v="11.81"/>
    <x v="39"/>
    <s v="27854-31-5"/>
    <x v="39"/>
    <n v="3.61"/>
  </r>
  <r>
    <s v="EMM002-JBA-08132021"/>
    <s v="Spill"/>
    <x v="0"/>
    <s v="Eastern Mudminnow"/>
    <s v="Umbra"/>
    <s v="gibbosus"/>
    <s v="U"/>
    <x v="0"/>
    <n v="8"/>
    <n v="11.81"/>
    <x v="40"/>
    <s v="53826-13-4"/>
    <x v="40"/>
    <n v="0.72699999999999998"/>
  </r>
  <r>
    <s v="EMM002-JBA-08132021"/>
    <s v="Spill"/>
    <x v="0"/>
    <s v="Eastern Mudminnow"/>
    <s v="Umbra"/>
    <s v="gibbosus"/>
    <s v="U"/>
    <x v="0"/>
    <n v="8"/>
    <n v="11.81"/>
    <x v="41"/>
    <s v="161094-75-3"/>
    <x v="41"/>
    <n v="5.2999999999999999E-2"/>
  </r>
  <r>
    <s v="EMM002-JBA-08132021"/>
    <s v="Spill"/>
    <x v="0"/>
    <s v="Eastern Mudminnow"/>
    <s v="Umbra"/>
    <s v="gibbosus"/>
    <s v="U"/>
    <x v="0"/>
    <n v="8"/>
    <n v="11.81"/>
    <x v="42"/>
    <s v="70887-84-2"/>
    <x v="42"/>
    <n v="4.0599999999999997E-2"/>
  </r>
  <r>
    <s v="EMM002-JBA-08132021"/>
    <s v="Spill"/>
    <x v="0"/>
    <s v="Eastern Mudminnow"/>
    <s v="Umbra"/>
    <s v="gibbosus"/>
    <s v="U"/>
    <x v="0"/>
    <n v="8"/>
    <n v="11.81"/>
    <x v="43"/>
    <s v="919005-14-4"/>
    <x v="43"/>
    <n v="0.222"/>
  </r>
  <r>
    <s v="EMM002-JBA-08132021"/>
    <s v="Spill"/>
    <x v="0"/>
    <s v="Eastern Mudminnow"/>
    <s v="Umbra"/>
    <s v="gibbosus"/>
    <s v="U"/>
    <x v="0"/>
    <n v="8"/>
    <n v="11.81"/>
    <x v="44"/>
    <s v="756426-58-1"/>
    <x v="44"/>
    <n v="6.7500000000000004E-2"/>
  </r>
  <r>
    <s v="EMM002-JBA-08132021"/>
    <s v="Spill"/>
    <x v="0"/>
    <s v="Eastern Mudminnow"/>
    <s v="Umbra"/>
    <s v="gibbosus"/>
    <s v="U"/>
    <x v="0"/>
    <n v="8"/>
    <n v="11.81"/>
    <x v="45"/>
    <s v="763051-92-9"/>
    <x v="45"/>
    <n v="6.7500000000000004E-2"/>
  </r>
  <r>
    <s v="EMM002-JBA-08132021"/>
    <s v="Spill"/>
    <x v="0"/>
    <s v="Eastern Mudminnow"/>
    <s v="Umbra"/>
    <s v="gibbosus"/>
    <s v="U"/>
    <x v="0"/>
    <n v="8"/>
    <n v="11.81"/>
    <x v="46"/>
    <s v="13252-13-6"/>
    <x v="46"/>
    <n v="9.6500000000000002E-2"/>
  </r>
  <r>
    <s v="EMM002-JBA-08132021"/>
    <s v="Spill"/>
    <x v="0"/>
    <s v="Eastern Mudminnow"/>
    <s v="Umbra"/>
    <s v="gibbosus"/>
    <s v="U"/>
    <x v="0"/>
    <n v="8"/>
    <n v="11.81"/>
    <x v="47"/>
    <s v="57677-95-9"/>
    <x v="47"/>
    <n v="7.1499999999999994E-2"/>
  </r>
  <r>
    <s v="EMM002-JBA-08132021"/>
    <s v="Spill"/>
    <x v="0"/>
    <s v="Eastern Mudminnow"/>
    <s v="Umbra"/>
    <s v="gibbosus"/>
    <s v="U"/>
    <x v="0"/>
    <n v="8"/>
    <n v="11.81"/>
    <x v="48"/>
    <s v="678-41-1"/>
    <x v="48"/>
    <n v="8.8999999999999996E-2"/>
  </r>
  <r>
    <s v="EMM002-JBA-08132021"/>
    <s v="Spill"/>
    <x v="0"/>
    <s v="Eastern Mudminnow"/>
    <s v="Umbra"/>
    <s v="gibbosus"/>
    <s v="U"/>
    <x v="0"/>
    <n v="8"/>
    <n v="11.81"/>
    <x v="49"/>
    <s v="2965-52-8"/>
    <x v="49"/>
    <n v="0.11849999999999999"/>
  </r>
  <r>
    <s v="EMM003-JBA-08132021"/>
    <s v="Spill"/>
    <x v="0"/>
    <s v="Eastern Mudminnow"/>
    <s v="Umbra"/>
    <s v="gibbosus"/>
    <s v="U"/>
    <x v="0"/>
    <n v="8"/>
    <n v="11.81"/>
    <x v="0"/>
    <s v="375-22-4"/>
    <x v="0"/>
    <n v="6.9000000000000006E-2"/>
  </r>
  <r>
    <s v="EMM003-JBA-08132021"/>
    <s v="Spill"/>
    <x v="0"/>
    <s v="Eastern Mudminnow"/>
    <s v="Umbra"/>
    <s v="gibbosus"/>
    <s v="U"/>
    <x v="0"/>
    <n v="8"/>
    <n v="11.81"/>
    <x v="1"/>
    <s v="2706-90-3"/>
    <x v="1"/>
    <n v="4.8649999999999999E-2"/>
  </r>
  <r>
    <s v="EMM003-JBA-08132021"/>
    <s v="Spill"/>
    <x v="0"/>
    <s v="Eastern Mudminnow"/>
    <s v="Umbra"/>
    <s v="gibbosus"/>
    <s v="U"/>
    <x v="0"/>
    <n v="8"/>
    <n v="11.81"/>
    <x v="2"/>
    <s v="307-24-4"/>
    <x v="2"/>
    <n v="3.7249999999999998E-2"/>
  </r>
  <r>
    <s v="EMM003-JBA-08132021"/>
    <s v="Spill"/>
    <x v="0"/>
    <s v="Eastern Mudminnow"/>
    <s v="Umbra"/>
    <s v="gibbosus"/>
    <s v="U"/>
    <x v="0"/>
    <n v="8"/>
    <n v="11.81"/>
    <x v="3"/>
    <s v="375-85-9"/>
    <x v="3"/>
    <n v="2.76E-2"/>
  </r>
  <r>
    <s v="EMM003-JBA-08132021"/>
    <s v="Spill"/>
    <x v="0"/>
    <s v="Eastern Mudminnow"/>
    <s v="Umbra"/>
    <s v="gibbosus"/>
    <s v="U"/>
    <x v="0"/>
    <n v="8"/>
    <n v="11.81"/>
    <x v="4"/>
    <s v="335-67-1"/>
    <x v="4"/>
    <n v="2.85"/>
  </r>
  <r>
    <s v="EMM003-JBA-08132021"/>
    <s v="Spill"/>
    <x v="0"/>
    <s v="Eastern Mudminnow"/>
    <s v="Umbra"/>
    <s v="gibbosus"/>
    <s v="U"/>
    <x v="0"/>
    <n v="8"/>
    <n v="11.81"/>
    <x v="5"/>
    <s v="375-95-1"/>
    <x v="5"/>
    <n v="3.93"/>
  </r>
  <r>
    <s v="EMM003-JBA-08132021"/>
    <s v="Spill"/>
    <x v="0"/>
    <s v="Eastern Mudminnow"/>
    <s v="Umbra"/>
    <s v="gibbosus"/>
    <s v="U"/>
    <x v="0"/>
    <n v="8"/>
    <n v="11.81"/>
    <x v="6"/>
    <s v="335-76-2"/>
    <x v="6"/>
    <n v="7.19"/>
  </r>
  <r>
    <s v="EMM003-JBA-08132021"/>
    <s v="Spill"/>
    <x v="0"/>
    <s v="Eastern Mudminnow"/>
    <s v="Umbra"/>
    <s v="gibbosus"/>
    <s v="U"/>
    <x v="0"/>
    <n v="8"/>
    <n v="11.81"/>
    <x v="7"/>
    <s v="2058-94-8"/>
    <x v="7"/>
    <n v="7.17"/>
  </r>
  <r>
    <s v="EMM003-JBA-08132021"/>
    <s v="Spill"/>
    <x v="0"/>
    <s v="Eastern Mudminnow"/>
    <s v="Umbra"/>
    <s v="gibbosus"/>
    <s v="U"/>
    <x v="0"/>
    <n v="8"/>
    <n v="11.81"/>
    <x v="8"/>
    <s v="307-55-1"/>
    <x v="8"/>
    <n v="9.75"/>
  </r>
  <r>
    <s v="EMM003-JBA-08132021"/>
    <s v="Spill"/>
    <x v="0"/>
    <s v="Eastern Mudminnow"/>
    <s v="Umbra"/>
    <s v="gibbosus"/>
    <s v="U"/>
    <x v="0"/>
    <n v="8"/>
    <n v="11.81"/>
    <x v="9"/>
    <s v="72629-94-8"/>
    <x v="9"/>
    <n v="2.48"/>
  </r>
  <r>
    <s v="EMM003-JBA-08132021"/>
    <s v="Spill"/>
    <x v="0"/>
    <s v="Eastern Mudminnow"/>
    <s v="Umbra"/>
    <s v="gibbosus"/>
    <s v="U"/>
    <x v="0"/>
    <n v="8"/>
    <n v="11.81"/>
    <x v="10"/>
    <s v="376-06-7"/>
    <x v="10"/>
    <n v="4.34"/>
  </r>
  <r>
    <s v="EMM003-JBA-08132021"/>
    <s v="Spill"/>
    <x v="0"/>
    <s v="Eastern Mudminnow"/>
    <s v="Umbra"/>
    <s v="gibbosus"/>
    <s v="U"/>
    <x v="0"/>
    <n v="8"/>
    <n v="11.81"/>
    <x v="11"/>
    <s v="67905-19-5"/>
    <x v="11"/>
    <n v="8.2000000000000003E-2"/>
  </r>
  <r>
    <s v="EMM003-JBA-08132021"/>
    <s v="Spill"/>
    <x v="0"/>
    <s v="Eastern Mudminnow"/>
    <s v="Umbra"/>
    <s v="gibbosus"/>
    <s v="U"/>
    <x v="0"/>
    <n v="8"/>
    <n v="11.81"/>
    <x v="12"/>
    <s v="423-41-6"/>
    <x v="12"/>
    <n v="5.2499999999999998E-2"/>
  </r>
  <r>
    <s v="EMM003-JBA-08132021"/>
    <s v="Spill"/>
    <x v="0"/>
    <s v="Eastern Mudminnow"/>
    <s v="Umbra"/>
    <s v="gibbosus"/>
    <s v="U"/>
    <x v="0"/>
    <n v="8"/>
    <n v="11.81"/>
    <x v="13"/>
    <s v="375-73-5"/>
    <x v="13"/>
    <n v="4.6949999999999999E-2"/>
  </r>
  <r>
    <s v="EMM003-JBA-08132021"/>
    <s v="Spill"/>
    <x v="0"/>
    <s v="Eastern Mudminnow"/>
    <s v="Umbra"/>
    <s v="gibbosus"/>
    <s v="U"/>
    <x v="0"/>
    <n v="8"/>
    <n v="11.81"/>
    <x v="14"/>
    <s v="2706-91-4"/>
    <x v="14"/>
    <n v="0.35899999999999999"/>
  </r>
  <r>
    <s v="EMM003-JBA-08132021"/>
    <s v="Spill"/>
    <x v="0"/>
    <s v="Eastern Mudminnow"/>
    <s v="Umbra"/>
    <s v="gibbosus"/>
    <s v="U"/>
    <x v="0"/>
    <n v="8"/>
    <n v="11.81"/>
    <x v="15"/>
    <s v="355-46-4"/>
    <x v="15"/>
    <n v="23.4"/>
  </r>
  <r>
    <s v="EMM003-JBA-08132021"/>
    <s v="Spill"/>
    <x v="0"/>
    <s v="Eastern Mudminnow"/>
    <s v="Umbra"/>
    <s v="gibbosus"/>
    <s v="U"/>
    <x v="0"/>
    <n v="8"/>
    <n v="11.81"/>
    <x v="16"/>
    <s v="375-92-8"/>
    <x v="16"/>
    <n v="13.8"/>
  </r>
  <r>
    <s v="EMM003-JBA-08132021"/>
    <s v="Spill"/>
    <x v="0"/>
    <s v="Eastern Mudminnow"/>
    <s v="Umbra"/>
    <s v="gibbosus"/>
    <s v="U"/>
    <x v="0"/>
    <n v="8"/>
    <n v="11.81"/>
    <x v="17"/>
    <s v="1763-23-1"/>
    <x v="17"/>
    <n v="2790"/>
  </r>
  <r>
    <s v="EMM003-JBA-08132021"/>
    <s v="Spill"/>
    <x v="0"/>
    <s v="Eastern Mudminnow"/>
    <s v="Umbra"/>
    <s v="gibbosus"/>
    <s v="U"/>
    <x v="0"/>
    <n v="8"/>
    <n v="11.81"/>
    <x v="18"/>
    <s v="68259-12-1"/>
    <x v="18"/>
    <n v="5.57"/>
  </r>
  <r>
    <s v="EMM003-JBA-08132021"/>
    <s v="Spill"/>
    <x v="0"/>
    <s v="Eastern Mudminnow"/>
    <s v="Umbra"/>
    <s v="gibbosus"/>
    <s v="U"/>
    <x v="0"/>
    <n v="8"/>
    <n v="11.81"/>
    <x v="19"/>
    <s v="335-77-3"/>
    <x v="19"/>
    <n v="4.0999999999999996"/>
  </r>
  <r>
    <s v="EMM003-JBA-08132021"/>
    <s v="Spill"/>
    <x v="0"/>
    <s v="Eastern Mudminnow"/>
    <s v="Umbra"/>
    <s v="gibbosus"/>
    <s v="U"/>
    <x v="0"/>
    <n v="8"/>
    <n v="11.81"/>
    <x v="20"/>
    <s v="79780-39-5"/>
    <x v="20"/>
    <n v="1.1599999999999999"/>
  </r>
  <r>
    <s v="EMM003-JBA-08132021"/>
    <s v="Spill"/>
    <x v="0"/>
    <s v="Eastern Mudminnow"/>
    <s v="Umbra"/>
    <s v="gibbosus"/>
    <s v="U"/>
    <x v="0"/>
    <n v="8"/>
    <n v="11.81"/>
    <x v="21"/>
    <s v="777011-38-8"/>
    <x v="21"/>
    <n v="1.02"/>
  </r>
  <r>
    <s v="EMM003-JBA-08132021"/>
    <s v="Spill"/>
    <x v="0"/>
    <s v="Eastern Mudminnow"/>
    <s v="Umbra"/>
    <s v="gibbosus"/>
    <s v="U"/>
    <x v="0"/>
    <n v="8"/>
    <n v="11.81"/>
    <x v="22"/>
    <s v="646-83-3"/>
    <x v="22"/>
    <n v="0.63900000000000001"/>
  </r>
  <r>
    <s v="EMM003-JBA-08132021"/>
    <s v="Spill"/>
    <x v="0"/>
    <s v="Eastern Mudminnow"/>
    <s v="Umbra"/>
    <s v="gibbosus"/>
    <s v="U"/>
    <x v="0"/>
    <n v="8"/>
    <n v="11.81"/>
    <x v="23"/>
    <s v="30334-69-1"/>
    <x v="23"/>
    <n v="12.8"/>
  </r>
  <r>
    <s v="EMM003-JBA-08132021"/>
    <s v="Spill"/>
    <x v="0"/>
    <s v="Eastern Mudminnow"/>
    <s v="Umbra"/>
    <s v="gibbosus"/>
    <s v="U"/>
    <x v="0"/>
    <n v="8"/>
    <n v="11.81"/>
    <x v="24"/>
    <s v="41997-13-1"/>
    <x v="24"/>
    <n v="177"/>
  </r>
  <r>
    <s v="EMM003-JBA-08132021"/>
    <s v="Spill"/>
    <x v="0"/>
    <s v="Eastern Mudminnow"/>
    <s v="Umbra"/>
    <s v="gibbosus"/>
    <s v="U"/>
    <x v="0"/>
    <n v="8"/>
    <n v="11.81"/>
    <x v="25"/>
    <s v="754-91-6"/>
    <x v="25"/>
    <n v="10.199999999999999"/>
  </r>
  <r>
    <s v="EMM003-JBA-08132021"/>
    <s v="Spill"/>
    <x v="0"/>
    <s v="Eastern Mudminnow"/>
    <s v="Umbra"/>
    <s v="gibbosus"/>
    <s v="U"/>
    <x v="0"/>
    <n v="8"/>
    <n v="11.81"/>
    <x v="26"/>
    <s v="31506-32-8"/>
    <x v="26"/>
    <n v="5.2999999999999999E-2"/>
  </r>
  <r>
    <s v="EMM003-JBA-08132021"/>
    <s v="Spill"/>
    <x v="0"/>
    <s v="Eastern Mudminnow"/>
    <s v="Umbra"/>
    <s v="gibbosus"/>
    <s v="U"/>
    <x v="0"/>
    <n v="8"/>
    <n v="11.81"/>
    <x v="27"/>
    <s v="4151-50-2"/>
    <x v="27"/>
    <n v="8.0500000000000002E-2"/>
  </r>
  <r>
    <s v="EMM003-JBA-08132021"/>
    <s v="Spill"/>
    <x v="0"/>
    <s v="Eastern Mudminnow"/>
    <s v="Umbra"/>
    <s v="gibbosus"/>
    <s v="U"/>
    <x v="0"/>
    <n v="8"/>
    <n v="11.81"/>
    <x v="28"/>
    <s v="2806-24-8"/>
    <x v="28"/>
    <n v="5.45E-2"/>
  </r>
  <r>
    <s v="EMM003-JBA-08132021"/>
    <s v="Spill"/>
    <x v="0"/>
    <s v="Eastern Mudminnow"/>
    <s v="Umbra"/>
    <s v="gibbosus"/>
    <s v="U"/>
    <x v="0"/>
    <n v="8"/>
    <n v="11.81"/>
    <x v="29"/>
    <s v="2355-31-9"/>
    <x v="29"/>
    <n v="0.49199999999999999"/>
  </r>
  <r>
    <s v="EMM003-JBA-08132021"/>
    <s v="Spill"/>
    <x v="0"/>
    <s v="Eastern Mudminnow"/>
    <s v="Umbra"/>
    <s v="gibbosus"/>
    <s v="U"/>
    <x v="0"/>
    <n v="8"/>
    <n v="11.81"/>
    <x v="30"/>
    <s v="2991-50-6"/>
    <x v="30"/>
    <n v="0.06"/>
  </r>
  <r>
    <s v="EMM003-JBA-08132021"/>
    <s v="Spill"/>
    <x v="0"/>
    <s v="Eastern Mudminnow"/>
    <s v="Umbra"/>
    <s v="gibbosus"/>
    <s v="U"/>
    <x v="0"/>
    <n v="8"/>
    <n v="11.81"/>
    <x v="31"/>
    <s v="757124-72-4"/>
    <x v="31"/>
    <n v="5.6500000000000002E-2"/>
  </r>
  <r>
    <s v="EMM003-JBA-08132021"/>
    <s v="Spill"/>
    <x v="0"/>
    <s v="Eastern Mudminnow"/>
    <s v="Umbra"/>
    <s v="gibbosus"/>
    <s v="U"/>
    <x v="0"/>
    <n v="8"/>
    <n v="11.81"/>
    <x v="32"/>
    <s v="27619-97-2"/>
    <x v="32"/>
    <n v="1.04"/>
  </r>
  <r>
    <s v="EMM003-JBA-08132021"/>
    <s v="Spill"/>
    <x v="0"/>
    <s v="Eastern Mudminnow"/>
    <s v="Umbra"/>
    <s v="gibbosus"/>
    <s v="U"/>
    <x v="0"/>
    <n v="8"/>
    <n v="11.81"/>
    <x v="33"/>
    <s v="39108-34-4"/>
    <x v="33"/>
    <n v="1.06"/>
  </r>
  <r>
    <s v="EMM003-JBA-08132021"/>
    <s v="Spill"/>
    <x v="0"/>
    <s v="Eastern Mudminnow"/>
    <s v="Umbra"/>
    <s v="gibbosus"/>
    <s v="U"/>
    <x v="0"/>
    <n v="8"/>
    <n v="11.81"/>
    <x v="34"/>
    <s v="120226-60-0"/>
    <x v="34"/>
    <n v="0.25850000000000001"/>
  </r>
  <r>
    <s v="EMM003-JBA-08132021"/>
    <s v="Spill"/>
    <x v="0"/>
    <s v="Eastern Mudminnow"/>
    <s v="Umbra"/>
    <s v="gibbosus"/>
    <s v="U"/>
    <x v="0"/>
    <n v="8"/>
    <n v="11.81"/>
    <x v="35"/>
    <s v="356-02-5"/>
    <x v="35"/>
    <n v="7.9500000000000001E-2"/>
  </r>
  <r>
    <s v="EMM003-JBA-08132021"/>
    <s v="Spill"/>
    <x v="0"/>
    <s v="Eastern Mudminnow"/>
    <s v="Umbra"/>
    <s v="gibbosus"/>
    <s v="U"/>
    <x v="0"/>
    <n v="8"/>
    <n v="11.81"/>
    <x v="36"/>
    <s v="914637-49-3"/>
    <x v="36"/>
    <n v="2.89"/>
  </r>
  <r>
    <s v="EMM003-JBA-08132021"/>
    <s v="Spill"/>
    <x v="0"/>
    <s v="Eastern Mudminnow"/>
    <s v="Umbra"/>
    <s v="gibbosus"/>
    <s v="U"/>
    <x v="0"/>
    <n v="8"/>
    <n v="11.81"/>
    <x v="37"/>
    <s v="812-70-4"/>
    <x v="37"/>
    <n v="47.3"/>
  </r>
  <r>
    <s v="EMM003-JBA-08132021"/>
    <s v="Spill"/>
    <x v="0"/>
    <s v="Eastern Mudminnow"/>
    <s v="Umbra"/>
    <s v="gibbosus"/>
    <s v="U"/>
    <x v="0"/>
    <n v="8"/>
    <n v="11.81"/>
    <x v="38"/>
    <s v="53826-12-3"/>
    <x v="38"/>
    <n v="0.92200000000000004"/>
  </r>
  <r>
    <s v="EMM003-JBA-08132021"/>
    <s v="Spill"/>
    <x v="0"/>
    <s v="Eastern Mudminnow"/>
    <s v="Umbra"/>
    <s v="gibbosus"/>
    <s v="U"/>
    <x v="0"/>
    <n v="8"/>
    <n v="11.81"/>
    <x v="39"/>
    <s v="27854-31-5"/>
    <x v="39"/>
    <n v="7.26"/>
  </r>
  <r>
    <s v="EMM003-JBA-08132021"/>
    <s v="Spill"/>
    <x v="0"/>
    <s v="Eastern Mudminnow"/>
    <s v="Umbra"/>
    <s v="gibbosus"/>
    <s v="U"/>
    <x v="0"/>
    <n v="8"/>
    <n v="11.81"/>
    <x v="40"/>
    <s v="53826-13-4"/>
    <x v="40"/>
    <n v="0.10299999999999999"/>
  </r>
  <r>
    <s v="EMM003-JBA-08132021"/>
    <s v="Spill"/>
    <x v="0"/>
    <s v="Eastern Mudminnow"/>
    <s v="Umbra"/>
    <s v="gibbosus"/>
    <s v="U"/>
    <x v="0"/>
    <n v="8"/>
    <n v="11.81"/>
    <x v="41"/>
    <s v="161094-75-3"/>
    <x v="41"/>
    <n v="5.3999999999999999E-2"/>
  </r>
  <r>
    <s v="EMM003-JBA-08132021"/>
    <s v="Spill"/>
    <x v="0"/>
    <s v="Eastern Mudminnow"/>
    <s v="Umbra"/>
    <s v="gibbosus"/>
    <s v="U"/>
    <x v="0"/>
    <n v="8"/>
    <n v="11.81"/>
    <x v="42"/>
    <s v="70887-84-2"/>
    <x v="42"/>
    <n v="4.165E-2"/>
  </r>
  <r>
    <s v="EMM003-JBA-08132021"/>
    <s v="Spill"/>
    <x v="0"/>
    <s v="Eastern Mudminnow"/>
    <s v="Umbra"/>
    <s v="gibbosus"/>
    <s v="U"/>
    <x v="0"/>
    <n v="8"/>
    <n v="11.81"/>
    <x v="43"/>
    <s v="919005-14-4"/>
    <x v="43"/>
    <n v="6.9000000000000006E-2"/>
  </r>
  <r>
    <s v="EMM003-JBA-08132021"/>
    <s v="Spill"/>
    <x v="0"/>
    <s v="Eastern Mudminnow"/>
    <s v="Umbra"/>
    <s v="gibbosus"/>
    <s v="U"/>
    <x v="0"/>
    <n v="8"/>
    <n v="11.81"/>
    <x v="44"/>
    <s v="756426-58-1"/>
    <x v="44"/>
    <n v="6.9000000000000006E-2"/>
  </r>
  <r>
    <s v="EMM003-JBA-08132021"/>
    <s v="Spill"/>
    <x v="0"/>
    <s v="Eastern Mudminnow"/>
    <s v="Umbra"/>
    <s v="gibbosus"/>
    <s v="U"/>
    <x v="0"/>
    <n v="8"/>
    <n v="11.81"/>
    <x v="45"/>
    <s v="763051-92-9"/>
    <x v="45"/>
    <n v="6.9000000000000006E-2"/>
  </r>
  <r>
    <s v="EMM003-JBA-08132021"/>
    <s v="Spill"/>
    <x v="0"/>
    <s v="Eastern Mudminnow"/>
    <s v="Umbra"/>
    <s v="gibbosus"/>
    <s v="U"/>
    <x v="0"/>
    <n v="8"/>
    <n v="11.81"/>
    <x v="46"/>
    <s v="13252-13-6"/>
    <x v="46"/>
    <n v="9.9000000000000005E-2"/>
  </r>
  <r>
    <s v="EMM003-JBA-08132021"/>
    <s v="Spill"/>
    <x v="0"/>
    <s v="Eastern Mudminnow"/>
    <s v="Umbra"/>
    <s v="gibbosus"/>
    <s v="U"/>
    <x v="0"/>
    <n v="8"/>
    <n v="11.81"/>
    <x v="47"/>
    <s v="57677-95-9"/>
    <x v="47"/>
    <n v="7.3499999999999996E-2"/>
  </r>
  <r>
    <s v="EMM003-JBA-08132021"/>
    <s v="Spill"/>
    <x v="0"/>
    <s v="Eastern Mudminnow"/>
    <s v="Umbra"/>
    <s v="gibbosus"/>
    <s v="U"/>
    <x v="0"/>
    <n v="8"/>
    <n v="11.81"/>
    <x v="48"/>
    <s v="678-41-1"/>
    <x v="48"/>
    <n v="9.1499999999999998E-2"/>
  </r>
  <r>
    <s v="EMM003-JBA-08132021"/>
    <s v="Spill"/>
    <x v="0"/>
    <s v="Eastern Mudminnow"/>
    <s v="Umbra"/>
    <s v="gibbosus"/>
    <s v="U"/>
    <x v="0"/>
    <n v="8"/>
    <n v="11.81"/>
    <x v="49"/>
    <s v="2965-52-8"/>
    <x v="49"/>
    <n v="0.1215"/>
  </r>
  <r>
    <s v="EMM004-JBA-08132021"/>
    <s v="Spill"/>
    <x v="0"/>
    <s v="Eastern Mudminnow"/>
    <s v="Umbra"/>
    <s v="gibbosus"/>
    <s v="U"/>
    <x v="0"/>
    <n v="8"/>
    <n v="11.81"/>
    <x v="0"/>
    <s v="375-22-4"/>
    <x v="0"/>
    <n v="6.9000000000000006E-2"/>
  </r>
  <r>
    <s v="EMM004-JBA-08132021"/>
    <s v="Spill"/>
    <x v="0"/>
    <s v="Eastern Mudminnow"/>
    <s v="Umbra"/>
    <s v="gibbosus"/>
    <s v="U"/>
    <x v="0"/>
    <n v="8"/>
    <n v="11.81"/>
    <x v="1"/>
    <s v="2706-90-3"/>
    <x v="1"/>
    <n v="4.8800000000000003E-2"/>
  </r>
  <r>
    <s v="EMM004-JBA-08132021"/>
    <s v="Spill"/>
    <x v="0"/>
    <s v="Eastern Mudminnow"/>
    <s v="Umbra"/>
    <s v="gibbosus"/>
    <s v="U"/>
    <x v="0"/>
    <n v="8"/>
    <n v="11.81"/>
    <x v="2"/>
    <s v="307-24-4"/>
    <x v="2"/>
    <n v="3.7249999999999998E-2"/>
  </r>
  <r>
    <s v="EMM004-JBA-08132021"/>
    <s v="Spill"/>
    <x v="0"/>
    <s v="Eastern Mudminnow"/>
    <s v="Umbra"/>
    <s v="gibbosus"/>
    <s v="U"/>
    <x v="0"/>
    <n v="8"/>
    <n v="11.81"/>
    <x v="3"/>
    <s v="375-85-9"/>
    <x v="3"/>
    <n v="2.76E-2"/>
  </r>
  <r>
    <s v="EMM004-JBA-08132021"/>
    <s v="Spill"/>
    <x v="0"/>
    <s v="Eastern Mudminnow"/>
    <s v="Umbra"/>
    <s v="gibbosus"/>
    <s v="U"/>
    <x v="0"/>
    <n v="8"/>
    <n v="11.81"/>
    <x v="4"/>
    <s v="335-67-1"/>
    <x v="4"/>
    <n v="5.32"/>
  </r>
  <r>
    <s v="EMM004-JBA-08132021"/>
    <s v="Spill"/>
    <x v="0"/>
    <s v="Eastern Mudminnow"/>
    <s v="Umbra"/>
    <s v="gibbosus"/>
    <s v="U"/>
    <x v="0"/>
    <n v="8"/>
    <n v="11.81"/>
    <x v="5"/>
    <s v="375-95-1"/>
    <x v="5"/>
    <n v="2.2000000000000002"/>
  </r>
  <r>
    <s v="EMM004-JBA-08132021"/>
    <s v="Spill"/>
    <x v="0"/>
    <s v="Eastern Mudminnow"/>
    <s v="Umbra"/>
    <s v="gibbosus"/>
    <s v="U"/>
    <x v="0"/>
    <n v="8"/>
    <n v="11.81"/>
    <x v="6"/>
    <s v="335-76-2"/>
    <x v="6"/>
    <n v="3.4"/>
  </r>
  <r>
    <s v="EMM004-JBA-08132021"/>
    <s v="Spill"/>
    <x v="0"/>
    <s v="Eastern Mudminnow"/>
    <s v="Umbra"/>
    <s v="gibbosus"/>
    <s v="U"/>
    <x v="0"/>
    <n v="8"/>
    <n v="11.81"/>
    <x v="7"/>
    <s v="2058-94-8"/>
    <x v="7"/>
    <n v="5.74"/>
  </r>
  <r>
    <s v="EMM004-JBA-08132021"/>
    <s v="Spill"/>
    <x v="0"/>
    <s v="Eastern Mudminnow"/>
    <s v="Umbra"/>
    <s v="gibbosus"/>
    <s v="U"/>
    <x v="0"/>
    <n v="8"/>
    <n v="11.81"/>
    <x v="8"/>
    <s v="307-55-1"/>
    <x v="8"/>
    <n v="9.51"/>
  </r>
  <r>
    <s v="EMM004-JBA-08132021"/>
    <s v="Spill"/>
    <x v="0"/>
    <s v="Eastern Mudminnow"/>
    <s v="Umbra"/>
    <s v="gibbosus"/>
    <s v="U"/>
    <x v="0"/>
    <n v="8"/>
    <n v="11.81"/>
    <x v="9"/>
    <s v="72629-94-8"/>
    <x v="9"/>
    <n v="10.199999999999999"/>
  </r>
  <r>
    <s v="EMM004-JBA-08132021"/>
    <s v="Spill"/>
    <x v="0"/>
    <s v="Eastern Mudminnow"/>
    <s v="Umbra"/>
    <s v="gibbosus"/>
    <s v="U"/>
    <x v="0"/>
    <n v="8"/>
    <n v="11.81"/>
    <x v="10"/>
    <s v="376-06-7"/>
    <x v="10"/>
    <n v="7.78"/>
  </r>
  <r>
    <s v="EMM004-JBA-08132021"/>
    <s v="Spill"/>
    <x v="0"/>
    <s v="Eastern Mudminnow"/>
    <s v="Umbra"/>
    <s v="gibbosus"/>
    <s v="U"/>
    <x v="0"/>
    <n v="8"/>
    <n v="11.81"/>
    <x v="11"/>
    <s v="67905-19-5"/>
    <x v="11"/>
    <n v="8.2500000000000004E-2"/>
  </r>
  <r>
    <s v="EMM004-JBA-08132021"/>
    <s v="Spill"/>
    <x v="0"/>
    <s v="Eastern Mudminnow"/>
    <s v="Umbra"/>
    <s v="gibbosus"/>
    <s v="U"/>
    <x v="0"/>
    <n v="8"/>
    <n v="11.81"/>
    <x v="12"/>
    <s v="423-41-6"/>
    <x v="12"/>
    <n v="5.2499999999999998E-2"/>
  </r>
  <r>
    <s v="EMM004-JBA-08132021"/>
    <s v="Spill"/>
    <x v="0"/>
    <s v="Eastern Mudminnow"/>
    <s v="Umbra"/>
    <s v="gibbosus"/>
    <s v="U"/>
    <x v="0"/>
    <n v="8"/>
    <n v="11.81"/>
    <x v="13"/>
    <s v="375-73-5"/>
    <x v="13"/>
    <n v="0.155"/>
  </r>
  <r>
    <s v="EMM004-JBA-08132021"/>
    <s v="Spill"/>
    <x v="0"/>
    <s v="Eastern Mudminnow"/>
    <s v="Umbra"/>
    <s v="gibbosus"/>
    <s v="U"/>
    <x v="0"/>
    <n v="8"/>
    <n v="11.81"/>
    <x v="14"/>
    <s v="2706-91-4"/>
    <x v="14"/>
    <n v="0.53300000000000003"/>
  </r>
  <r>
    <s v="EMM004-JBA-08132021"/>
    <s v="Spill"/>
    <x v="0"/>
    <s v="Eastern Mudminnow"/>
    <s v="Umbra"/>
    <s v="gibbosus"/>
    <s v="U"/>
    <x v="0"/>
    <n v="8"/>
    <n v="11.81"/>
    <x v="15"/>
    <s v="355-46-4"/>
    <x v="15"/>
    <n v="45.3"/>
  </r>
  <r>
    <s v="EMM004-JBA-08132021"/>
    <s v="Spill"/>
    <x v="0"/>
    <s v="Eastern Mudminnow"/>
    <s v="Umbra"/>
    <s v="gibbosus"/>
    <s v="U"/>
    <x v="0"/>
    <n v="8"/>
    <n v="11.81"/>
    <x v="16"/>
    <s v="375-92-8"/>
    <x v="16"/>
    <n v="3.29"/>
  </r>
  <r>
    <s v="EMM004-JBA-08132021"/>
    <s v="Spill"/>
    <x v="0"/>
    <s v="Eastern Mudminnow"/>
    <s v="Umbra"/>
    <s v="gibbosus"/>
    <s v="U"/>
    <x v="0"/>
    <n v="8"/>
    <n v="11.81"/>
    <x v="17"/>
    <s v="1763-23-1"/>
    <x v="17"/>
    <n v="1200"/>
  </r>
  <r>
    <s v="EMM004-JBA-08132021"/>
    <s v="Spill"/>
    <x v="0"/>
    <s v="Eastern Mudminnow"/>
    <s v="Umbra"/>
    <s v="gibbosus"/>
    <s v="U"/>
    <x v="0"/>
    <n v="8"/>
    <n v="11.81"/>
    <x v="18"/>
    <s v="68259-12-1"/>
    <x v="18"/>
    <n v="1.49"/>
  </r>
  <r>
    <s v="EMM004-JBA-08132021"/>
    <s v="Spill"/>
    <x v="0"/>
    <s v="Eastern Mudminnow"/>
    <s v="Umbra"/>
    <s v="gibbosus"/>
    <s v="U"/>
    <x v="0"/>
    <n v="8"/>
    <n v="11.81"/>
    <x v="19"/>
    <s v="335-77-3"/>
    <x v="19"/>
    <n v="3.14"/>
  </r>
  <r>
    <s v="EMM004-JBA-08132021"/>
    <s v="Spill"/>
    <x v="0"/>
    <s v="Eastern Mudminnow"/>
    <s v="Umbra"/>
    <s v="gibbosus"/>
    <s v="U"/>
    <x v="0"/>
    <n v="8"/>
    <n v="11.81"/>
    <x v="20"/>
    <s v="79780-39-5"/>
    <x v="20"/>
    <n v="1.3"/>
  </r>
  <r>
    <s v="EMM004-JBA-08132021"/>
    <s v="Spill"/>
    <x v="0"/>
    <s v="Eastern Mudminnow"/>
    <s v="Umbra"/>
    <s v="gibbosus"/>
    <s v="U"/>
    <x v="0"/>
    <n v="8"/>
    <n v="11.81"/>
    <x v="21"/>
    <s v="777011-38-8"/>
    <x v="21"/>
    <n v="0.13850000000000001"/>
  </r>
  <r>
    <s v="EMM004-JBA-08132021"/>
    <s v="Spill"/>
    <x v="0"/>
    <s v="Eastern Mudminnow"/>
    <s v="Umbra"/>
    <s v="gibbosus"/>
    <s v="U"/>
    <x v="0"/>
    <n v="8"/>
    <n v="11.81"/>
    <x v="22"/>
    <s v="646-83-3"/>
    <x v="22"/>
    <n v="0.27100000000000002"/>
  </r>
  <r>
    <s v="EMM004-JBA-08132021"/>
    <s v="Spill"/>
    <x v="0"/>
    <s v="Eastern Mudminnow"/>
    <s v="Umbra"/>
    <s v="gibbosus"/>
    <s v="U"/>
    <x v="0"/>
    <n v="8"/>
    <n v="11.81"/>
    <x v="23"/>
    <s v="30334-69-1"/>
    <x v="23"/>
    <n v="18"/>
  </r>
  <r>
    <s v="EMM004-JBA-08132021"/>
    <s v="Spill"/>
    <x v="0"/>
    <s v="Eastern Mudminnow"/>
    <s v="Umbra"/>
    <s v="gibbosus"/>
    <s v="U"/>
    <x v="0"/>
    <n v="8"/>
    <n v="11.81"/>
    <x v="24"/>
    <s v="41997-13-1"/>
    <x v="24"/>
    <n v="69.8"/>
  </r>
  <r>
    <s v="EMM004-JBA-08132021"/>
    <s v="Spill"/>
    <x v="0"/>
    <s v="Eastern Mudminnow"/>
    <s v="Umbra"/>
    <s v="gibbosus"/>
    <s v="U"/>
    <x v="0"/>
    <n v="8"/>
    <n v="11.81"/>
    <x v="25"/>
    <s v="754-91-6"/>
    <x v="25"/>
    <n v="15.3"/>
  </r>
  <r>
    <s v="EMM004-JBA-08132021"/>
    <s v="Spill"/>
    <x v="0"/>
    <s v="Eastern Mudminnow"/>
    <s v="Umbra"/>
    <s v="gibbosus"/>
    <s v="U"/>
    <x v="0"/>
    <n v="8"/>
    <n v="11.81"/>
    <x v="26"/>
    <s v="31506-32-8"/>
    <x v="26"/>
    <n v="5.2999999999999999E-2"/>
  </r>
  <r>
    <s v="EMM004-JBA-08132021"/>
    <s v="Spill"/>
    <x v="0"/>
    <s v="Eastern Mudminnow"/>
    <s v="Umbra"/>
    <s v="gibbosus"/>
    <s v="U"/>
    <x v="0"/>
    <n v="8"/>
    <n v="11.81"/>
    <x v="27"/>
    <s v="4151-50-2"/>
    <x v="27"/>
    <n v="8.0500000000000002E-2"/>
  </r>
  <r>
    <s v="EMM004-JBA-08132021"/>
    <s v="Spill"/>
    <x v="0"/>
    <s v="Eastern Mudminnow"/>
    <s v="Umbra"/>
    <s v="gibbosus"/>
    <s v="U"/>
    <x v="0"/>
    <n v="8"/>
    <n v="11.81"/>
    <x v="28"/>
    <s v="2806-24-8"/>
    <x v="28"/>
    <n v="5.45E-2"/>
  </r>
  <r>
    <s v="EMM004-JBA-08132021"/>
    <s v="Spill"/>
    <x v="0"/>
    <s v="Eastern Mudminnow"/>
    <s v="Umbra"/>
    <s v="gibbosus"/>
    <s v="U"/>
    <x v="0"/>
    <n v="8"/>
    <n v="11.81"/>
    <x v="29"/>
    <s v="2355-31-9"/>
    <x v="29"/>
    <n v="0.54500000000000004"/>
  </r>
  <r>
    <s v="EMM004-JBA-08132021"/>
    <s v="Spill"/>
    <x v="0"/>
    <s v="Eastern Mudminnow"/>
    <s v="Umbra"/>
    <s v="gibbosus"/>
    <s v="U"/>
    <x v="0"/>
    <n v="8"/>
    <n v="11.81"/>
    <x v="30"/>
    <s v="2991-50-6"/>
    <x v="30"/>
    <n v="0.06"/>
  </r>
  <r>
    <s v="EMM004-JBA-08132021"/>
    <s v="Spill"/>
    <x v="0"/>
    <s v="Eastern Mudminnow"/>
    <s v="Umbra"/>
    <s v="gibbosus"/>
    <s v="U"/>
    <x v="0"/>
    <n v="8"/>
    <n v="11.81"/>
    <x v="31"/>
    <s v="757124-72-4"/>
    <x v="31"/>
    <n v="5.6500000000000002E-2"/>
  </r>
  <r>
    <s v="EMM004-JBA-08132021"/>
    <s v="Spill"/>
    <x v="0"/>
    <s v="Eastern Mudminnow"/>
    <s v="Umbra"/>
    <s v="gibbosus"/>
    <s v="U"/>
    <x v="0"/>
    <n v="8"/>
    <n v="11.81"/>
    <x v="32"/>
    <s v="27619-97-2"/>
    <x v="32"/>
    <n v="1.1200000000000001"/>
  </r>
  <r>
    <s v="EMM004-JBA-08132021"/>
    <s v="Spill"/>
    <x v="0"/>
    <s v="Eastern Mudminnow"/>
    <s v="Umbra"/>
    <s v="gibbosus"/>
    <s v="U"/>
    <x v="0"/>
    <n v="8"/>
    <n v="11.81"/>
    <x v="33"/>
    <s v="39108-34-4"/>
    <x v="33"/>
    <n v="1.3"/>
  </r>
  <r>
    <s v="EMM004-JBA-08132021"/>
    <s v="Spill"/>
    <x v="0"/>
    <s v="Eastern Mudminnow"/>
    <s v="Umbra"/>
    <s v="gibbosus"/>
    <s v="U"/>
    <x v="0"/>
    <n v="8"/>
    <n v="11.81"/>
    <x v="34"/>
    <s v="120226-60-0"/>
    <x v="34"/>
    <n v="0.25900000000000001"/>
  </r>
  <r>
    <s v="EMM004-JBA-08132021"/>
    <s v="Spill"/>
    <x v="0"/>
    <s v="Eastern Mudminnow"/>
    <s v="Umbra"/>
    <s v="gibbosus"/>
    <s v="U"/>
    <x v="0"/>
    <n v="8"/>
    <n v="11.81"/>
    <x v="35"/>
    <s v="356-02-5"/>
    <x v="35"/>
    <n v="7.9500000000000001E-2"/>
  </r>
  <r>
    <s v="EMM004-JBA-08132021"/>
    <s v="Spill"/>
    <x v="0"/>
    <s v="Eastern Mudminnow"/>
    <s v="Umbra"/>
    <s v="gibbosus"/>
    <s v="U"/>
    <x v="0"/>
    <n v="8"/>
    <n v="11.81"/>
    <x v="36"/>
    <s v="914637-49-3"/>
    <x v="36"/>
    <n v="3.07"/>
  </r>
  <r>
    <s v="EMM004-JBA-08132021"/>
    <s v="Spill"/>
    <x v="0"/>
    <s v="Eastern Mudminnow"/>
    <s v="Umbra"/>
    <s v="gibbosus"/>
    <s v="U"/>
    <x v="0"/>
    <n v="8"/>
    <n v="11.81"/>
    <x v="37"/>
    <s v="812-70-4"/>
    <x v="37"/>
    <n v="5.5500000000000001E-2"/>
  </r>
  <r>
    <s v="EMM004-JBA-08132021"/>
    <s v="Spill"/>
    <x v="0"/>
    <s v="Eastern Mudminnow"/>
    <s v="Umbra"/>
    <s v="gibbosus"/>
    <s v="U"/>
    <x v="0"/>
    <n v="8"/>
    <n v="11.81"/>
    <x v="38"/>
    <s v="53826-12-3"/>
    <x v="38"/>
    <n v="0.747"/>
  </r>
  <r>
    <s v="EMM004-JBA-08132021"/>
    <s v="Spill"/>
    <x v="0"/>
    <s v="Eastern Mudminnow"/>
    <s v="Umbra"/>
    <s v="gibbosus"/>
    <s v="U"/>
    <x v="0"/>
    <n v="8"/>
    <n v="11.81"/>
    <x v="39"/>
    <s v="27854-31-5"/>
    <x v="39"/>
    <n v="6.9000000000000006E-2"/>
  </r>
  <r>
    <s v="EMM004-JBA-08132021"/>
    <s v="Spill"/>
    <x v="0"/>
    <s v="Eastern Mudminnow"/>
    <s v="Umbra"/>
    <s v="gibbosus"/>
    <s v="U"/>
    <x v="0"/>
    <n v="8"/>
    <n v="11.81"/>
    <x v="40"/>
    <s v="53826-13-4"/>
    <x v="40"/>
    <n v="0.10299999999999999"/>
  </r>
  <r>
    <s v="EMM004-JBA-08132021"/>
    <s v="Spill"/>
    <x v="0"/>
    <s v="Eastern Mudminnow"/>
    <s v="Umbra"/>
    <s v="gibbosus"/>
    <s v="U"/>
    <x v="0"/>
    <n v="8"/>
    <n v="11.81"/>
    <x v="41"/>
    <s v="161094-75-3"/>
    <x v="41"/>
    <n v="5.3999999999999999E-2"/>
  </r>
  <r>
    <s v="EMM004-JBA-08132021"/>
    <s v="Spill"/>
    <x v="0"/>
    <s v="Eastern Mudminnow"/>
    <s v="Umbra"/>
    <s v="gibbosus"/>
    <s v="U"/>
    <x v="0"/>
    <n v="8"/>
    <n v="11.81"/>
    <x v="42"/>
    <s v="70887-84-2"/>
    <x v="42"/>
    <n v="4.165E-2"/>
  </r>
  <r>
    <s v="EMM004-JBA-08132021"/>
    <s v="Spill"/>
    <x v="0"/>
    <s v="Eastern Mudminnow"/>
    <s v="Umbra"/>
    <s v="gibbosus"/>
    <s v="U"/>
    <x v="0"/>
    <n v="8"/>
    <n v="11.81"/>
    <x v="43"/>
    <s v="919005-14-4"/>
    <x v="43"/>
    <n v="6.9000000000000006E-2"/>
  </r>
  <r>
    <s v="EMM004-JBA-08132021"/>
    <s v="Spill"/>
    <x v="0"/>
    <s v="Eastern Mudminnow"/>
    <s v="Umbra"/>
    <s v="gibbosus"/>
    <s v="U"/>
    <x v="0"/>
    <n v="8"/>
    <n v="11.81"/>
    <x v="44"/>
    <s v="756426-58-1"/>
    <x v="44"/>
    <n v="6.9000000000000006E-2"/>
  </r>
  <r>
    <s v="EMM004-JBA-08132021"/>
    <s v="Spill"/>
    <x v="0"/>
    <s v="Eastern Mudminnow"/>
    <s v="Umbra"/>
    <s v="gibbosus"/>
    <s v="U"/>
    <x v="0"/>
    <n v="8"/>
    <n v="11.81"/>
    <x v="45"/>
    <s v="763051-92-9"/>
    <x v="45"/>
    <n v="6.9000000000000006E-2"/>
  </r>
  <r>
    <s v="EMM004-JBA-08132021"/>
    <s v="Spill"/>
    <x v="0"/>
    <s v="Eastern Mudminnow"/>
    <s v="Umbra"/>
    <s v="gibbosus"/>
    <s v="U"/>
    <x v="0"/>
    <n v="8"/>
    <n v="11.81"/>
    <x v="46"/>
    <s v="13252-13-6"/>
    <x v="46"/>
    <n v="9.9000000000000005E-2"/>
  </r>
  <r>
    <s v="EMM004-JBA-08132021"/>
    <s v="Spill"/>
    <x v="0"/>
    <s v="Eastern Mudminnow"/>
    <s v="Umbra"/>
    <s v="gibbosus"/>
    <s v="U"/>
    <x v="0"/>
    <n v="8"/>
    <n v="11.81"/>
    <x v="47"/>
    <s v="57677-95-9"/>
    <x v="47"/>
    <n v="7.3499999999999996E-2"/>
  </r>
  <r>
    <s v="EMM004-JBA-08132021"/>
    <s v="Spill"/>
    <x v="0"/>
    <s v="Eastern Mudminnow"/>
    <s v="Umbra"/>
    <s v="gibbosus"/>
    <s v="U"/>
    <x v="0"/>
    <n v="8"/>
    <n v="11.81"/>
    <x v="48"/>
    <s v="678-41-1"/>
    <x v="48"/>
    <n v="9.1499999999999998E-2"/>
  </r>
  <r>
    <s v="EMM004-JBA-08132021"/>
    <s v="Spill"/>
    <x v="0"/>
    <s v="Eastern Mudminnow"/>
    <s v="Umbra"/>
    <s v="gibbosus"/>
    <s v="U"/>
    <x v="0"/>
    <n v="8"/>
    <n v="11.81"/>
    <x v="49"/>
    <s v="2965-52-8"/>
    <x v="49"/>
    <n v="0.1215"/>
  </r>
  <r>
    <s v="EMM005-JBA-08132021"/>
    <s v="Spill"/>
    <x v="0"/>
    <s v="Eastern Mudminnow"/>
    <s v="Umbra"/>
    <s v="gibbosus"/>
    <s v="U"/>
    <x v="0"/>
    <n v="8"/>
    <n v="11.81"/>
    <x v="0"/>
    <s v="375-22-4"/>
    <x v="0"/>
    <n v="6.3500000000000001E-2"/>
  </r>
  <r>
    <s v="EMM005-JBA-08132021"/>
    <s v="Spill"/>
    <x v="0"/>
    <s v="Eastern Mudminnow"/>
    <s v="Umbra"/>
    <s v="gibbosus"/>
    <s v="U"/>
    <x v="0"/>
    <n v="8"/>
    <n v="11.81"/>
    <x v="1"/>
    <s v="2706-90-3"/>
    <x v="1"/>
    <n v="4.4999999999999998E-2"/>
  </r>
  <r>
    <s v="EMM005-JBA-08132021"/>
    <s v="Spill"/>
    <x v="0"/>
    <s v="Eastern Mudminnow"/>
    <s v="Umbra"/>
    <s v="gibbosus"/>
    <s v="U"/>
    <x v="0"/>
    <n v="8"/>
    <n v="11.81"/>
    <x v="2"/>
    <s v="307-24-4"/>
    <x v="2"/>
    <n v="0.1135"/>
  </r>
  <r>
    <s v="EMM005-JBA-08132021"/>
    <s v="Spill"/>
    <x v="0"/>
    <s v="Eastern Mudminnow"/>
    <s v="Umbra"/>
    <s v="gibbosus"/>
    <s v="U"/>
    <x v="0"/>
    <n v="8"/>
    <n v="11.81"/>
    <x v="3"/>
    <s v="375-85-9"/>
    <x v="3"/>
    <n v="0.191"/>
  </r>
  <r>
    <s v="EMM005-JBA-08132021"/>
    <s v="Spill"/>
    <x v="0"/>
    <s v="Eastern Mudminnow"/>
    <s v="Umbra"/>
    <s v="gibbosus"/>
    <s v="U"/>
    <x v="0"/>
    <n v="8"/>
    <n v="11.81"/>
    <x v="4"/>
    <s v="335-67-1"/>
    <x v="4"/>
    <n v="3.36"/>
  </r>
  <r>
    <s v="EMM005-JBA-08132021"/>
    <s v="Spill"/>
    <x v="0"/>
    <s v="Eastern Mudminnow"/>
    <s v="Umbra"/>
    <s v="gibbosus"/>
    <s v="U"/>
    <x v="0"/>
    <n v="8"/>
    <n v="11.81"/>
    <x v="5"/>
    <s v="375-95-1"/>
    <x v="5"/>
    <n v="1.7"/>
  </r>
  <r>
    <s v="EMM005-JBA-08132021"/>
    <s v="Spill"/>
    <x v="0"/>
    <s v="Eastern Mudminnow"/>
    <s v="Umbra"/>
    <s v="gibbosus"/>
    <s v="U"/>
    <x v="0"/>
    <n v="8"/>
    <n v="11.81"/>
    <x v="6"/>
    <s v="335-76-2"/>
    <x v="6"/>
    <n v="3.26"/>
  </r>
  <r>
    <s v="EMM005-JBA-08132021"/>
    <s v="Spill"/>
    <x v="0"/>
    <s v="Eastern Mudminnow"/>
    <s v="Umbra"/>
    <s v="gibbosus"/>
    <s v="U"/>
    <x v="0"/>
    <n v="8"/>
    <n v="11.81"/>
    <x v="7"/>
    <s v="2058-94-8"/>
    <x v="7"/>
    <n v="4.62"/>
  </r>
  <r>
    <s v="EMM005-JBA-08132021"/>
    <s v="Spill"/>
    <x v="0"/>
    <s v="Eastern Mudminnow"/>
    <s v="Umbra"/>
    <s v="gibbosus"/>
    <s v="U"/>
    <x v="0"/>
    <n v="8"/>
    <n v="11.81"/>
    <x v="8"/>
    <s v="307-55-1"/>
    <x v="8"/>
    <n v="8.18"/>
  </r>
  <r>
    <s v="EMM005-JBA-08132021"/>
    <s v="Spill"/>
    <x v="0"/>
    <s v="Eastern Mudminnow"/>
    <s v="Umbra"/>
    <s v="gibbosus"/>
    <s v="U"/>
    <x v="0"/>
    <n v="8"/>
    <n v="11.81"/>
    <x v="9"/>
    <s v="72629-94-8"/>
    <x v="9"/>
    <n v="3.78"/>
  </r>
  <r>
    <s v="EMM005-JBA-08132021"/>
    <s v="Spill"/>
    <x v="0"/>
    <s v="Eastern Mudminnow"/>
    <s v="Umbra"/>
    <s v="gibbosus"/>
    <s v="U"/>
    <x v="0"/>
    <n v="8"/>
    <n v="11.81"/>
    <x v="10"/>
    <s v="376-06-7"/>
    <x v="10"/>
    <n v="6.75"/>
  </r>
  <r>
    <s v="EMM005-JBA-08132021"/>
    <s v="Spill"/>
    <x v="0"/>
    <s v="Eastern Mudminnow"/>
    <s v="Umbra"/>
    <s v="gibbosus"/>
    <s v="U"/>
    <x v="0"/>
    <n v="8"/>
    <n v="11.81"/>
    <x v="11"/>
    <s v="67905-19-5"/>
    <x v="11"/>
    <n v="7.5999999999999998E-2"/>
  </r>
  <r>
    <s v="EMM005-JBA-08132021"/>
    <s v="Spill"/>
    <x v="0"/>
    <s v="Eastern Mudminnow"/>
    <s v="Umbra"/>
    <s v="gibbosus"/>
    <s v="U"/>
    <x v="0"/>
    <n v="8"/>
    <n v="11.81"/>
    <x v="12"/>
    <s v="423-41-6"/>
    <x v="12"/>
    <n v="4.8649999999999999E-2"/>
  </r>
  <r>
    <s v="EMM005-JBA-08132021"/>
    <s v="Spill"/>
    <x v="0"/>
    <s v="Eastern Mudminnow"/>
    <s v="Umbra"/>
    <s v="gibbosus"/>
    <s v="U"/>
    <x v="0"/>
    <n v="8"/>
    <n v="11.81"/>
    <x v="13"/>
    <s v="375-73-5"/>
    <x v="13"/>
    <n v="0.14299999999999999"/>
  </r>
  <r>
    <s v="EMM005-JBA-08132021"/>
    <s v="Spill"/>
    <x v="0"/>
    <s v="Eastern Mudminnow"/>
    <s v="Umbra"/>
    <s v="gibbosus"/>
    <s v="U"/>
    <x v="0"/>
    <n v="8"/>
    <n v="11.81"/>
    <x v="14"/>
    <s v="2706-91-4"/>
    <x v="14"/>
    <n v="0.80800000000000005"/>
  </r>
  <r>
    <s v="EMM005-JBA-08132021"/>
    <s v="Spill"/>
    <x v="0"/>
    <s v="Eastern Mudminnow"/>
    <s v="Umbra"/>
    <s v="gibbosus"/>
    <s v="U"/>
    <x v="0"/>
    <n v="8"/>
    <n v="11.81"/>
    <x v="15"/>
    <s v="355-46-4"/>
    <x v="15"/>
    <n v="35.5"/>
  </r>
  <r>
    <s v="EMM005-JBA-08132021"/>
    <s v="Spill"/>
    <x v="0"/>
    <s v="Eastern Mudminnow"/>
    <s v="Umbra"/>
    <s v="gibbosus"/>
    <s v="U"/>
    <x v="0"/>
    <n v="8"/>
    <n v="11.81"/>
    <x v="16"/>
    <s v="375-92-8"/>
    <x v="16"/>
    <n v="2.91"/>
  </r>
  <r>
    <s v="EMM005-JBA-08132021"/>
    <s v="Spill"/>
    <x v="0"/>
    <s v="Eastern Mudminnow"/>
    <s v="Umbra"/>
    <s v="gibbosus"/>
    <s v="U"/>
    <x v="0"/>
    <n v="8"/>
    <n v="11.81"/>
    <x v="17"/>
    <s v="1763-23-1"/>
    <x v="17"/>
    <n v="960"/>
  </r>
  <r>
    <s v="EMM005-JBA-08132021"/>
    <s v="Spill"/>
    <x v="0"/>
    <s v="Eastern Mudminnow"/>
    <s v="Umbra"/>
    <s v="gibbosus"/>
    <s v="U"/>
    <x v="0"/>
    <n v="8"/>
    <n v="11.81"/>
    <x v="18"/>
    <s v="68259-12-1"/>
    <x v="18"/>
    <n v="1.99"/>
  </r>
  <r>
    <s v="EMM005-JBA-08132021"/>
    <s v="Spill"/>
    <x v="0"/>
    <s v="Eastern Mudminnow"/>
    <s v="Umbra"/>
    <s v="gibbosus"/>
    <s v="U"/>
    <x v="0"/>
    <n v="8"/>
    <n v="11.81"/>
    <x v="19"/>
    <s v="335-77-3"/>
    <x v="19"/>
    <n v="3.21"/>
  </r>
  <r>
    <s v="EMM005-JBA-08132021"/>
    <s v="Spill"/>
    <x v="0"/>
    <s v="Eastern Mudminnow"/>
    <s v="Umbra"/>
    <s v="gibbosus"/>
    <s v="U"/>
    <x v="0"/>
    <n v="8"/>
    <n v="11.81"/>
    <x v="20"/>
    <s v="79780-39-5"/>
    <x v="20"/>
    <n v="2.0299999999999998"/>
  </r>
  <r>
    <s v="EMM005-JBA-08132021"/>
    <s v="Spill"/>
    <x v="0"/>
    <s v="Eastern Mudminnow"/>
    <s v="Umbra"/>
    <s v="gibbosus"/>
    <s v="U"/>
    <x v="0"/>
    <n v="8"/>
    <n v="11.81"/>
    <x v="21"/>
    <s v="777011-38-8"/>
    <x v="21"/>
    <n v="0.1275"/>
  </r>
  <r>
    <s v="EMM005-JBA-08132021"/>
    <s v="Spill"/>
    <x v="0"/>
    <s v="Eastern Mudminnow"/>
    <s v="Umbra"/>
    <s v="gibbosus"/>
    <s v="U"/>
    <x v="0"/>
    <n v="8"/>
    <n v="11.81"/>
    <x v="22"/>
    <s v="646-83-3"/>
    <x v="22"/>
    <n v="0.23200000000000001"/>
  </r>
  <r>
    <s v="EMM005-JBA-08132021"/>
    <s v="Spill"/>
    <x v="0"/>
    <s v="Eastern Mudminnow"/>
    <s v="Umbra"/>
    <s v="gibbosus"/>
    <s v="U"/>
    <x v="0"/>
    <n v="8"/>
    <n v="11.81"/>
    <x v="23"/>
    <s v="30334-69-1"/>
    <x v="23"/>
    <n v="17.3"/>
  </r>
  <r>
    <s v="EMM005-JBA-08132021"/>
    <s v="Spill"/>
    <x v="0"/>
    <s v="Eastern Mudminnow"/>
    <s v="Umbra"/>
    <s v="gibbosus"/>
    <s v="U"/>
    <x v="0"/>
    <n v="8"/>
    <n v="11.81"/>
    <x v="24"/>
    <s v="41997-13-1"/>
    <x v="24"/>
    <n v="102"/>
  </r>
  <r>
    <s v="EMM005-JBA-08132021"/>
    <s v="Spill"/>
    <x v="0"/>
    <s v="Eastern Mudminnow"/>
    <s v="Umbra"/>
    <s v="gibbosus"/>
    <s v="U"/>
    <x v="0"/>
    <n v="8"/>
    <n v="11.81"/>
    <x v="25"/>
    <s v="754-91-6"/>
    <x v="25"/>
    <n v="24"/>
  </r>
  <r>
    <s v="EMM005-JBA-08132021"/>
    <s v="Spill"/>
    <x v="0"/>
    <s v="Eastern Mudminnow"/>
    <s v="Umbra"/>
    <s v="gibbosus"/>
    <s v="U"/>
    <x v="0"/>
    <n v="8"/>
    <n v="11.81"/>
    <x v="26"/>
    <s v="31506-32-8"/>
    <x v="26"/>
    <n v="4.9099999999999998E-2"/>
  </r>
  <r>
    <s v="EMM005-JBA-08132021"/>
    <s v="Spill"/>
    <x v="0"/>
    <s v="Eastern Mudminnow"/>
    <s v="Umbra"/>
    <s v="gibbosus"/>
    <s v="U"/>
    <x v="0"/>
    <n v="8"/>
    <n v="11.81"/>
    <x v="27"/>
    <s v="4151-50-2"/>
    <x v="27"/>
    <n v="7.3999999999999996E-2"/>
  </r>
  <r>
    <s v="EMM005-JBA-08132021"/>
    <s v="Spill"/>
    <x v="0"/>
    <s v="Eastern Mudminnow"/>
    <s v="Umbra"/>
    <s v="gibbosus"/>
    <s v="U"/>
    <x v="0"/>
    <n v="8"/>
    <n v="11.81"/>
    <x v="28"/>
    <s v="2806-24-8"/>
    <x v="28"/>
    <n v="0.05"/>
  </r>
  <r>
    <s v="EMM005-JBA-08132021"/>
    <s v="Spill"/>
    <x v="0"/>
    <s v="Eastern Mudminnow"/>
    <s v="Umbra"/>
    <s v="gibbosus"/>
    <s v="U"/>
    <x v="0"/>
    <n v="8"/>
    <n v="11.81"/>
    <x v="29"/>
    <s v="2355-31-9"/>
    <x v="29"/>
    <n v="0.51500000000000001"/>
  </r>
  <r>
    <s v="EMM005-JBA-08132021"/>
    <s v="Spill"/>
    <x v="0"/>
    <s v="Eastern Mudminnow"/>
    <s v="Umbra"/>
    <s v="gibbosus"/>
    <s v="U"/>
    <x v="0"/>
    <n v="8"/>
    <n v="11.81"/>
    <x v="30"/>
    <s v="2991-50-6"/>
    <x v="30"/>
    <n v="5.5500000000000001E-2"/>
  </r>
  <r>
    <s v="EMM005-JBA-08132021"/>
    <s v="Spill"/>
    <x v="0"/>
    <s v="Eastern Mudminnow"/>
    <s v="Umbra"/>
    <s v="gibbosus"/>
    <s v="U"/>
    <x v="0"/>
    <n v="8"/>
    <n v="11.81"/>
    <x v="31"/>
    <s v="757124-72-4"/>
    <x v="31"/>
    <n v="5.2499999999999998E-2"/>
  </r>
  <r>
    <s v="EMM005-JBA-08132021"/>
    <s v="Spill"/>
    <x v="0"/>
    <s v="Eastern Mudminnow"/>
    <s v="Umbra"/>
    <s v="gibbosus"/>
    <s v="U"/>
    <x v="0"/>
    <n v="8"/>
    <n v="11.81"/>
    <x v="32"/>
    <s v="27619-97-2"/>
    <x v="32"/>
    <n v="0.74199999999999999"/>
  </r>
  <r>
    <s v="EMM005-JBA-08132021"/>
    <s v="Spill"/>
    <x v="0"/>
    <s v="Eastern Mudminnow"/>
    <s v="Umbra"/>
    <s v="gibbosus"/>
    <s v="U"/>
    <x v="0"/>
    <n v="8"/>
    <n v="11.81"/>
    <x v="33"/>
    <s v="39108-34-4"/>
    <x v="33"/>
    <n v="1.58"/>
  </r>
  <r>
    <s v="EMM005-JBA-08132021"/>
    <s v="Spill"/>
    <x v="0"/>
    <s v="Eastern Mudminnow"/>
    <s v="Umbra"/>
    <s v="gibbosus"/>
    <s v="U"/>
    <x v="0"/>
    <n v="8"/>
    <n v="11.81"/>
    <x v="34"/>
    <s v="120226-60-0"/>
    <x v="34"/>
    <n v="0.23849999999999999"/>
  </r>
  <r>
    <s v="EMM005-JBA-08132021"/>
    <s v="Spill"/>
    <x v="0"/>
    <s v="Eastern Mudminnow"/>
    <s v="Umbra"/>
    <s v="gibbosus"/>
    <s v="U"/>
    <x v="0"/>
    <n v="8"/>
    <n v="11.81"/>
    <x v="35"/>
    <s v="356-02-5"/>
    <x v="35"/>
    <n v="7.3499999999999996E-2"/>
  </r>
  <r>
    <s v="EMM005-JBA-08132021"/>
    <s v="Spill"/>
    <x v="0"/>
    <s v="Eastern Mudminnow"/>
    <s v="Umbra"/>
    <s v="gibbosus"/>
    <s v="U"/>
    <x v="0"/>
    <n v="8"/>
    <n v="11.81"/>
    <x v="36"/>
    <s v="914637-49-3"/>
    <x v="36"/>
    <n v="8.7200000000000006"/>
  </r>
  <r>
    <s v="EMM005-JBA-08132021"/>
    <s v="Spill"/>
    <x v="0"/>
    <s v="Eastern Mudminnow"/>
    <s v="Umbra"/>
    <s v="gibbosus"/>
    <s v="U"/>
    <x v="0"/>
    <n v="8"/>
    <n v="11.81"/>
    <x v="37"/>
    <s v="812-70-4"/>
    <x v="37"/>
    <n v="49"/>
  </r>
  <r>
    <s v="EMM005-JBA-08132021"/>
    <s v="Spill"/>
    <x v="0"/>
    <s v="Eastern Mudminnow"/>
    <s v="Umbra"/>
    <s v="gibbosus"/>
    <s v="U"/>
    <x v="0"/>
    <n v="8"/>
    <n v="11.81"/>
    <x v="38"/>
    <s v="53826-12-3"/>
    <x v="38"/>
    <n v="6.3500000000000001E-2"/>
  </r>
  <r>
    <s v="EMM005-JBA-08132021"/>
    <s v="Spill"/>
    <x v="0"/>
    <s v="Eastern Mudminnow"/>
    <s v="Umbra"/>
    <s v="gibbosus"/>
    <s v="U"/>
    <x v="0"/>
    <n v="8"/>
    <n v="11.81"/>
    <x v="39"/>
    <s v="27854-31-5"/>
    <x v="39"/>
    <n v="6.3500000000000001E-2"/>
  </r>
  <r>
    <s v="EMM005-JBA-08132021"/>
    <s v="Spill"/>
    <x v="0"/>
    <s v="Eastern Mudminnow"/>
    <s v="Umbra"/>
    <s v="gibbosus"/>
    <s v="U"/>
    <x v="0"/>
    <n v="8"/>
    <n v="11.81"/>
    <x v="40"/>
    <s v="53826-13-4"/>
    <x v="40"/>
    <n v="0.3135"/>
  </r>
  <r>
    <s v="EMM005-JBA-08132021"/>
    <s v="Spill"/>
    <x v="0"/>
    <s v="Eastern Mudminnow"/>
    <s v="Umbra"/>
    <s v="gibbosus"/>
    <s v="U"/>
    <x v="0"/>
    <n v="8"/>
    <n v="11.81"/>
    <x v="41"/>
    <s v="161094-75-3"/>
    <x v="41"/>
    <n v="0.05"/>
  </r>
  <r>
    <s v="EMM005-JBA-08132021"/>
    <s v="Spill"/>
    <x v="0"/>
    <s v="Eastern Mudminnow"/>
    <s v="Umbra"/>
    <s v="gibbosus"/>
    <s v="U"/>
    <x v="0"/>
    <n v="8"/>
    <n v="11.81"/>
    <x v="42"/>
    <s v="70887-84-2"/>
    <x v="42"/>
    <n v="3.85E-2"/>
  </r>
  <r>
    <s v="EMM005-JBA-08132021"/>
    <s v="Spill"/>
    <x v="0"/>
    <s v="Eastern Mudminnow"/>
    <s v="Umbra"/>
    <s v="gibbosus"/>
    <s v="U"/>
    <x v="0"/>
    <n v="8"/>
    <n v="11.81"/>
    <x v="43"/>
    <s v="919005-14-4"/>
    <x v="43"/>
    <n v="6.3500000000000001E-2"/>
  </r>
  <r>
    <s v="EMM005-JBA-08132021"/>
    <s v="Spill"/>
    <x v="0"/>
    <s v="Eastern Mudminnow"/>
    <s v="Umbra"/>
    <s v="gibbosus"/>
    <s v="U"/>
    <x v="0"/>
    <n v="8"/>
    <n v="11.81"/>
    <x v="44"/>
    <s v="756426-58-1"/>
    <x v="44"/>
    <n v="6.3500000000000001E-2"/>
  </r>
  <r>
    <s v="EMM005-JBA-08132021"/>
    <s v="Spill"/>
    <x v="0"/>
    <s v="Eastern Mudminnow"/>
    <s v="Umbra"/>
    <s v="gibbosus"/>
    <s v="U"/>
    <x v="0"/>
    <n v="8"/>
    <n v="11.81"/>
    <x v="45"/>
    <s v="763051-92-9"/>
    <x v="45"/>
    <n v="6.3500000000000001E-2"/>
  </r>
  <r>
    <s v="EMM005-JBA-08132021"/>
    <s v="Spill"/>
    <x v="0"/>
    <s v="Eastern Mudminnow"/>
    <s v="Umbra"/>
    <s v="gibbosus"/>
    <s v="U"/>
    <x v="0"/>
    <n v="8"/>
    <n v="11.81"/>
    <x v="46"/>
    <s v="13252-13-6"/>
    <x v="46"/>
    <n v="9.1499999999999998E-2"/>
  </r>
  <r>
    <s v="EMM005-JBA-08132021"/>
    <s v="Spill"/>
    <x v="0"/>
    <s v="Eastern Mudminnow"/>
    <s v="Umbra"/>
    <s v="gibbosus"/>
    <s v="U"/>
    <x v="0"/>
    <n v="8"/>
    <n v="11.81"/>
    <x v="47"/>
    <s v="57677-95-9"/>
    <x v="47"/>
    <n v="6.7500000000000004E-2"/>
  </r>
  <r>
    <s v="EMM005-JBA-08132021"/>
    <s v="Spill"/>
    <x v="0"/>
    <s v="Eastern Mudminnow"/>
    <s v="Umbra"/>
    <s v="gibbosus"/>
    <s v="U"/>
    <x v="0"/>
    <n v="8"/>
    <n v="11.81"/>
    <x v="48"/>
    <s v="678-41-1"/>
    <x v="48"/>
    <n v="8.4500000000000006E-2"/>
  </r>
  <r>
    <s v="EMM005-JBA-08132021"/>
    <s v="Spill"/>
    <x v="0"/>
    <s v="Eastern Mudminnow"/>
    <s v="Umbra"/>
    <s v="gibbosus"/>
    <s v="U"/>
    <x v="0"/>
    <n v="8"/>
    <n v="11.81"/>
    <x v="49"/>
    <s v="2965-52-8"/>
    <x v="49"/>
    <n v="0.112"/>
  </r>
  <r>
    <s v="SS002-JBA-08132021"/>
    <s v="Spill"/>
    <x v="0"/>
    <s v="Dace. Sp"/>
    <s v="Rhinichthys"/>
    <s v="gibbosus"/>
    <s v="U"/>
    <x v="0"/>
    <n v="8"/>
    <n v="11.81"/>
    <x v="0"/>
    <s v="375-22-4"/>
    <x v="0"/>
    <n v="0.2"/>
  </r>
  <r>
    <s v="SS002-JBA-08132021"/>
    <s v="Spill"/>
    <x v="0"/>
    <s v="Dace. Sp"/>
    <s v="Rhinichthys"/>
    <s v="gibbosus"/>
    <s v="U"/>
    <x v="0"/>
    <n v="8"/>
    <n v="11.81"/>
    <x v="1"/>
    <s v="2706-90-3"/>
    <x v="1"/>
    <n v="4.2750000000000003E-2"/>
  </r>
  <r>
    <s v="SS002-JBA-08132021"/>
    <s v="Spill"/>
    <x v="0"/>
    <s v="Dace. Sp"/>
    <s v="Rhinichthys"/>
    <s v="gibbosus"/>
    <s v="U"/>
    <x v="0"/>
    <n v="8"/>
    <n v="11.81"/>
    <x v="2"/>
    <s v="307-24-4"/>
    <x v="2"/>
    <n v="0.108"/>
  </r>
  <r>
    <s v="SS002-JBA-08132021"/>
    <s v="Spill"/>
    <x v="0"/>
    <s v="Dace. Sp"/>
    <s v="Rhinichthys"/>
    <s v="gibbosus"/>
    <s v="U"/>
    <x v="0"/>
    <n v="8"/>
    <n v="11.81"/>
    <x v="3"/>
    <s v="375-85-9"/>
    <x v="3"/>
    <n v="0.08"/>
  </r>
  <r>
    <s v="SS002-JBA-08132021"/>
    <s v="Spill"/>
    <x v="0"/>
    <s v="Dace. Sp"/>
    <s v="Rhinichthys"/>
    <s v="gibbosus"/>
    <s v="U"/>
    <x v="0"/>
    <n v="8"/>
    <n v="11.81"/>
    <x v="4"/>
    <s v="335-67-1"/>
    <x v="4"/>
    <n v="2.14"/>
  </r>
  <r>
    <s v="SS002-JBA-08132021"/>
    <s v="Spill"/>
    <x v="0"/>
    <s v="Dace. Sp"/>
    <s v="Rhinichthys"/>
    <s v="gibbosus"/>
    <s v="U"/>
    <x v="0"/>
    <n v="8"/>
    <n v="11.81"/>
    <x v="5"/>
    <s v="375-95-1"/>
    <x v="5"/>
    <n v="5.1100000000000003"/>
  </r>
  <r>
    <s v="SS002-JBA-08132021"/>
    <s v="Spill"/>
    <x v="0"/>
    <s v="Dace. Sp"/>
    <s v="Rhinichthys"/>
    <s v="gibbosus"/>
    <s v="U"/>
    <x v="0"/>
    <n v="8"/>
    <n v="11.81"/>
    <x v="6"/>
    <s v="335-76-2"/>
    <x v="6"/>
    <n v="10"/>
  </r>
  <r>
    <s v="SS002-JBA-08132021"/>
    <s v="Spill"/>
    <x v="0"/>
    <s v="Dace. Sp"/>
    <s v="Rhinichthys"/>
    <s v="gibbosus"/>
    <s v="U"/>
    <x v="0"/>
    <n v="8"/>
    <n v="11.81"/>
    <x v="7"/>
    <s v="2058-94-8"/>
    <x v="7"/>
    <n v="7.44"/>
  </r>
  <r>
    <s v="SS002-JBA-08132021"/>
    <s v="Spill"/>
    <x v="0"/>
    <s v="Dace. Sp"/>
    <s v="Rhinichthys"/>
    <s v="gibbosus"/>
    <s v="U"/>
    <x v="0"/>
    <n v="8"/>
    <n v="11.81"/>
    <x v="8"/>
    <s v="307-55-1"/>
    <x v="8"/>
    <n v="6.15"/>
  </r>
  <r>
    <s v="SS002-JBA-08132021"/>
    <s v="Spill"/>
    <x v="0"/>
    <s v="Dace. Sp"/>
    <s v="Rhinichthys"/>
    <s v="gibbosus"/>
    <s v="U"/>
    <x v="0"/>
    <n v="8"/>
    <n v="11.81"/>
    <x v="9"/>
    <s v="72629-94-8"/>
    <x v="9"/>
    <n v="1.39"/>
  </r>
  <r>
    <s v="SS002-JBA-08132021"/>
    <s v="Spill"/>
    <x v="0"/>
    <s v="Dace. Sp"/>
    <s v="Rhinichthys"/>
    <s v="gibbosus"/>
    <s v="U"/>
    <x v="0"/>
    <n v="8"/>
    <n v="11.81"/>
    <x v="10"/>
    <s v="376-06-7"/>
    <x v="10"/>
    <n v="1.69"/>
  </r>
  <r>
    <s v="SS002-JBA-08132021"/>
    <s v="Spill"/>
    <x v="0"/>
    <s v="Dace. Sp"/>
    <s v="Rhinichthys"/>
    <s v="gibbosus"/>
    <s v="U"/>
    <x v="0"/>
    <n v="8"/>
    <n v="11.81"/>
    <x v="11"/>
    <s v="67905-19-5"/>
    <x v="11"/>
    <n v="7.1999999999999995E-2"/>
  </r>
  <r>
    <s v="SS002-JBA-08132021"/>
    <s v="Spill"/>
    <x v="0"/>
    <s v="Dace. Sp"/>
    <s v="Rhinichthys"/>
    <s v="gibbosus"/>
    <s v="U"/>
    <x v="0"/>
    <n v="8"/>
    <n v="11.81"/>
    <x v="12"/>
    <s v="423-41-6"/>
    <x v="12"/>
    <n v="4.6199999999999998E-2"/>
  </r>
  <r>
    <s v="SS002-JBA-08132021"/>
    <s v="Spill"/>
    <x v="0"/>
    <s v="Dace. Sp"/>
    <s v="Rhinichthys"/>
    <s v="gibbosus"/>
    <s v="U"/>
    <x v="0"/>
    <n v="8"/>
    <n v="11.81"/>
    <x v="13"/>
    <s v="375-73-5"/>
    <x v="13"/>
    <n v="0.13600000000000001"/>
  </r>
  <r>
    <s v="SS002-JBA-08132021"/>
    <s v="Spill"/>
    <x v="0"/>
    <s v="Dace. Sp"/>
    <s v="Rhinichthys"/>
    <s v="gibbosus"/>
    <s v="U"/>
    <x v="0"/>
    <n v="8"/>
    <n v="11.81"/>
    <x v="14"/>
    <s v="2706-91-4"/>
    <x v="14"/>
    <n v="0.33200000000000002"/>
  </r>
  <r>
    <s v="SS002-JBA-08132021"/>
    <s v="Spill"/>
    <x v="0"/>
    <s v="Dace. Sp"/>
    <s v="Rhinichthys"/>
    <s v="gibbosus"/>
    <s v="U"/>
    <x v="0"/>
    <n v="8"/>
    <n v="11.81"/>
    <x v="15"/>
    <s v="355-46-4"/>
    <x v="15"/>
    <n v="32.5"/>
  </r>
  <r>
    <s v="SS002-JBA-08132021"/>
    <s v="Spill"/>
    <x v="0"/>
    <s v="Dace. Sp"/>
    <s v="Rhinichthys"/>
    <s v="gibbosus"/>
    <s v="U"/>
    <x v="0"/>
    <n v="8"/>
    <n v="11.81"/>
    <x v="16"/>
    <s v="375-92-8"/>
    <x v="16"/>
    <n v="6.49"/>
  </r>
  <r>
    <s v="SS002-JBA-08132021"/>
    <s v="Spill"/>
    <x v="0"/>
    <s v="Dace. Sp"/>
    <s v="Rhinichthys"/>
    <s v="gibbosus"/>
    <s v="U"/>
    <x v="0"/>
    <n v="8"/>
    <n v="11.81"/>
    <x v="17"/>
    <s v="1763-23-1"/>
    <x v="17"/>
    <n v="899"/>
  </r>
  <r>
    <s v="SS002-JBA-08132021"/>
    <s v="Spill"/>
    <x v="0"/>
    <s v="Dace. Sp"/>
    <s v="Rhinichthys"/>
    <s v="gibbosus"/>
    <s v="U"/>
    <x v="0"/>
    <n v="8"/>
    <n v="11.81"/>
    <x v="18"/>
    <s v="68259-12-1"/>
    <x v="18"/>
    <n v="0.75700000000000001"/>
  </r>
  <r>
    <s v="SS002-JBA-08132021"/>
    <s v="Spill"/>
    <x v="0"/>
    <s v="Dace. Sp"/>
    <s v="Rhinichthys"/>
    <s v="gibbosus"/>
    <s v="U"/>
    <x v="0"/>
    <n v="8"/>
    <n v="11.81"/>
    <x v="19"/>
    <s v="335-77-3"/>
    <x v="19"/>
    <n v="0.98199999999999998"/>
  </r>
  <r>
    <s v="SS002-JBA-08132021"/>
    <s v="Spill"/>
    <x v="0"/>
    <s v="Dace. Sp"/>
    <s v="Rhinichthys"/>
    <s v="gibbosus"/>
    <s v="U"/>
    <x v="0"/>
    <n v="8"/>
    <n v="11.81"/>
    <x v="20"/>
    <s v="79780-39-5"/>
    <x v="20"/>
    <n v="0.2135"/>
  </r>
  <r>
    <s v="SS002-JBA-08132021"/>
    <s v="Spill"/>
    <x v="0"/>
    <s v="Dace. Sp"/>
    <s v="Rhinichthys"/>
    <s v="gibbosus"/>
    <s v="U"/>
    <x v="0"/>
    <n v="8"/>
    <n v="11.81"/>
    <x v="21"/>
    <s v="777011-38-8"/>
    <x v="21"/>
    <n v="0.39600000000000002"/>
  </r>
  <r>
    <s v="SS002-JBA-08132021"/>
    <s v="Spill"/>
    <x v="0"/>
    <s v="Dace. Sp"/>
    <s v="Rhinichthys"/>
    <s v="gibbosus"/>
    <s v="U"/>
    <x v="0"/>
    <n v="8"/>
    <n v="11.81"/>
    <x v="22"/>
    <s v="646-83-3"/>
    <x v="22"/>
    <n v="0.33400000000000002"/>
  </r>
  <r>
    <s v="SS002-JBA-08132021"/>
    <s v="Spill"/>
    <x v="0"/>
    <s v="Dace. Sp"/>
    <s v="Rhinichthys"/>
    <s v="gibbosus"/>
    <s v="U"/>
    <x v="0"/>
    <n v="8"/>
    <n v="11.81"/>
    <x v="23"/>
    <s v="30334-69-1"/>
    <x v="23"/>
    <n v="49.2"/>
  </r>
  <r>
    <s v="SS002-JBA-08132021"/>
    <s v="Spill"/>
    <x v="0"/>
    <s v="Dace. Sp"/>
    <s v="Rhinichthys"/>
    <s v="gibbosus"/>
    <s v="U"/>
    <x v="0"/>
    <n v="8"/>
    <n v="11.81"/>
    <x v="24"/>
    <s v="41997-13-1"/>
    <x v="24"/>
    <n v="361"/>
  </r>
  <r>
    <s v="SS002-JBA-08132021"/>
    <s v="Spill"/>
    <x v="0"/>
    <s v="Dace. Sp"/>
    <s v="Rhinichthys"/>
    <s v="gibbosus"/>
    <s v="U"/>
    <x v="0"/>
    <n v="8"/>
    <n v="11.81"/>
    <x v="25"/>
    <s v="754-91-6"/>
    <x v="25"/>
    <n v="28.3"/>
  </r>
  <r>
    <s v="SS002-JBA-08132021"/>
    <s v="Spill"/>
    <x v="0"/>
    <s v="Dace. Sp"/>
    <s v="Rhinichthys"/>
    <s v="gibbosus"/>
    <s v="U"/>
    <x v="0"/>
    <n v="8"/>
    <n v="11.81"/>
    <x v="26"/>
    <s v="31506-32-8"/>
    <x v="26"/>
    <n v="4.6649999999999997E-2"/>
  </r>
  <r>
    <s v="SS002-JBA-08132021"/>
    <s v="Spill"/>
    <x v="0"/>
    <s v="Dace. Sp"/>
    <s v="Rhinichthys"/>
    <s v="gibbosus"/>
    <s v="U"/>
    <x v="0"/>
    <n v="8"/>
    <n v="11.81"/>
    <x v="27"/>
    <s v="4151-50-2"/>
    <x v="27"/>
    <n v="7.0499999999999993E-2"/>
  </r>
  <r>
    <s v="SS002-JBA-08132021"/>
    <s v="Spill"/>
    <x v="0"/>
    <s v="Dace. Sp"/>
    <s v="Rhinichthys"/>
    <s v="gibbosus"/>
    <s v="U"/>
    <x v="0"/>
    <n v="8"/>
    <n v="11.81"/>
    <x v="28"/>
    <s v="2806-24-8"/>
    <x v="28"/>
    <n v="0.1575"/>
  </r>
  <r>
    <s v="SS002-JBA-08132021"/>
    <s v="Spill"/>
    <x v="0"/>
    <s v="Dace. Sp"/>
    <s v="Rhinichthys"/>
    <s v="gibbosus"/>
    <s v="U"/>
    <x v="0"/>
    <n v="8"/>
    <n v="11.81"/>
    <x v="29"/>
    <s v="2355-31-9"/>
    <x v="29"/>
    <n v="0.20100000000000001"/>
  </r>
  <r>
    <s v="SS002-JBA-08132021"/>
    <s v="Spill"/>
    <x v="0"/>
    <s v="Dace. Sp"/>
    <s v="Rhinichthys"/>
    <s v="gibbosus"/>
    <s v="U"/>
    <x v="0"/>
    <n v="8"/>
    <n v="11.81"/>
    <x v="30"/>
    <s v="2991-50-6"/>
    <x v="30"/>
    <n v="5.2499999999999998E-2"/>
  </r>
  <r>
    <s v="SS002-JBA-08132021"/>
    <s v="Spill"/>
    <x v="0"/>
    <s v="Dace. Sp"/>
    <s v="Rhinichthys"/>
    <s v="gibbosus"/>
    <s v="U"/>
    <x v="0"/>
    <n v="8"/>
    <n v="11.81"/>
    <x v="31"/>
    <s v="757124-72-4"/>
    <x v="31"/>
    <n v="4.9700000000000001E-2"/>
  </r>
  <r>
    <s v="SS002-JBA-08132021"/>
    <s v="Spill"/>
    <x v="0"/>
    <s v="Dace. Sp"/>
    <s v="Rhinichthys"/>
    <s v="gibbosus"/>
    <s v="U"/>
    <x v="0"/>
    <n v="8"/>
    <n v="11.81"/>
    <x v="32"/>
    <s v="27619-97-2"/>
    <x v="32"/>
    <n v="0.38"/>
  </r>
  <r>
    <s v="SS002-JBA-08132021"/>
    <s v="Spill"/>
    <x v="0"/>
    <s v="Dace. Sp"/>
    <s v="Rhinichthys"/>
    <s v="gibbosus"/>
    <s v="U"/>
    <x v="0"/>
    <n v="8"/>
    <n v="11.81"/>
    <x v="33"/>
    <s v="39108-34-4"/>
    <x v="33"/>
    <n v="8.82"/>
  </r>
  <r>
    <s v="SS002-JBA-08132021"/>
    <s v="Spill"/>
    <x v="0"/>
    <s v="Dace. Sp"/>
    <s v="Rhinichthys"/>
    <s v="gibbosus"/>
    <s v="U"/>
    <x v="0"/>
    <n v="8"/>
    <n v="11.81"/>
    <x v="34"/>
    <s v="120226-60-0"/>
    <x v="34"/>
    <n v="0.22700000000000001"/>
  </r>
  <r>
    <s v="SS002-JBA-08132021"/>
    <s v="Spill"/>
    <x v="0"/>
    <s v="Dace. Sp"/>
    <s v="Rhinichthys"/>
    <s v="gibbosus"/>
    <s v="U"/>
    <x v="0"/>
    <n v="8"/>
    <n v="11.81"/>
    <x v="35"/>
    <s v="356-02-5"/>
    <x v="35"/>
    <n v="7.0000000000000007E-2"/>
  </r>
  <r>
    <s v="SS002-JBA-08132021"/>
    <s v="Spill"/>
    <x v="0"/>
    <s v="Dace. Sp"/>
    <s v="Rhinichthys"/>
    <s v="gibbosus"/>
    <s v="U"/>
    <x v="0"/>
    <n v="8"/>
    <n v="11.81"/>
    <x v="36"/>
    <s v="914637-49-3"/>
    <x v="36"/>
    <n v="1.1100000000000001"/>
  </r>
  <r>
    <s v="SS002-JBA-08132021"/>
    <s v="Spill"/>
    <x v="0"/>
    <s v="Dace. Sp"/>
    <s v="Rhinichthys"/>
    <s v="gibbosus"/>
    <s v="U"/>
    <x v="0"/>
    <n v="8"/>
    <n v="11.81"/>
    <x v="37"/>
    <s v="812-70-4"/>
    <x v="37"/>
    <n v="17.899999999999999"/>
  </r>
  <r>
    <s v="SS002-JBA-08132021"/>
    <s v="Spill"/>
    <x v="0"/>
    <s v="Dace. Sp"/>
    <s v="Rhinichthys"/>
    <s v="gibbosus"/>
    <s v="U"/>
    <x v="0"/>
    <n v="8"/>
    <n v="11.81"/>
    <x v="38"/>
    <s v="53826-12-3"/>
    <x v="38"/>
    <n v="0.47699999999999998"/>
  </r>
  <r>
    <s v="SS002-JBA-08132021"/>
    <s v="Spill"/>
    <x v="0"/>
    <s v="Dace. Sp"/>
    <s v="Rhinichthys"/>
    <s v="gibbosus"/>
    <s v="U"/>
    <x v="0"/>
    <n v="8"/>
    <n v="11.81"/>
    <x v="39"/>
    <s v="27854-31-5"/>
    <x v="39"/>
    <n v="2.5099999999999998"/>
  </r>
  <r>
    <s v="SS002-JBA-08132021"/>
    <s v="Spill"/>
    <x v="0"/>
    <s v="Dace. Sp"/>
    <s v="Rhinichthys"/>
    <s v="gibbosus"/>
    <s v="U"/>
    <x v="0"/>
    <n v="8"/>
    <n v="11.81"/>
    <x v="40"/>
    <s v="53826-13-4"/>
    <x v="40"/>
    <n v="9.0499999999999997E-2"/>
  </r>
  <r>
    <s v="SS002-JBA-08132021"/>
    <s v="Spill"/>
    <x v="0"/>
    <s v="Dace. Sp"/>
    <s v="Rhinichthys"/>
    <s v="gibbosus"/>
    <s v="U"/>
    <x v="0"/>
    <n v="8"/>
    <n v="11.81"/>
    <x v="41"/>
    <s v="161094-75-3"/>
    <x v="41"/>
    <n v="4.7600000000000003E-2"/>
  </r>
  <r>
    <s v="SS002-JBA-08132021"/>
    <s v="Spill"/>
    <x v="0"/>
    <s v="Dace. Sp"/>
    <s v="Rhinichthys"/>
    <s v="gibbosus"/>
    <s v="U"/>
    <x v="0"/>
    <n v="8"/>
    <n v="11.81"/>
    <x v="42"/>
    <s v="70887-84-2"/>
    <x v="42"/>
    <n v="3.6499999999999998E-2"/>
  </r>
  <r>
    <s v="SS002-JBA-08132021"/>
    <s v="Spill"/>
    <x v="0"/>
    <s v="Dace. Sp"/>
    <s v="Rhinichthys"/>
    <s v="gibbosus"/>
    <s v="U"/>
    <x v="0"/>
    <n v="8"/>
    <n v="11.81"/>
    <x v="43"/>
    <s v="919005-14-4"/>
    <x v="43"/>
    <n v="6.0499999999999998E-2"/>
  </r>
  <r>
    <s v="SS002-JBA-08132021"/>
    <s v="Spill"/>
    <x v="0"/>
    <s v="Dace. Sp"/>
    <s v="Rhinichthys"/>
    <s v="gibbosus"/>
    <s v="U"/>
    <x v="0"/>
    <n v="8"/>
    <n v="11.81"/>
    <x v="44"/>
    <s v="756426-58-1"/>
    <x v="44"/>
    <n v="6.0499999999999998E-2"/>
  </r>
  <r>
    <s v="SS002-JBA-08132021"/>
    <s v="Spill"/>
    <x v="0"/>
    <s v="Dace. Sp"/>
    <s v="Rhinichthys"/>
    <s v="gibbosus"/>
    <s v="U"/>
    <x v="0"/>
    <n v="8"/>
    <n v="11.81"/>
    <x v="45"/>
    <s v="763051-92-9"/>
    <x v="45"/>
    <n v="6.0499999999999998E-2"/>
  </r>
  <r>
    <s v="SS002-JBA-08132021"/>
    <s v="Spill"/>
    <x v="0"/>
    <s v="Dace. Sp"/>
    <s v="Rhinichthys"/>
    <s v="gibbosus"/>
    <s v="U"/>
    <x v="0"/>
    <n v="8"/>
    <n v="11.81"/>
    <x v="46"/>
    <s v="13252-13-6"/>
    <x v="46"/>
    <n v="8.6999999999999994E-2"/>
  </r>
  <r>
    <s v="SS002-JBA-08132021"/>
    <s v="Spill"/>
    <x v="0"/>
    <s v="Dace. Sp"/>
    <s v="Rhinichthys"/>
    <s v="gibbosus"/>
    <s v="U"/>
    <x v="0"/>
    <n v="8"/>
    <n v="11.81"/>
    <x v="47"/>
    <s v="57677-95-9"/>
    <x v="47"/>
    <n v="6.4500000000000002E-2"/>
  </r>
  <r>
    <s v="SS002-JBA-08132021"/>
    <s v="Spill"/>
    <x v="0"/>
    <s v="Dace. Sp"/>
    <s v="Rhinichthys"/>
    <s v="gibbosus"/>
    <s v="U"/>
    <x v="0"/>
    <n v="8"/>
    <n v="11.81"/>
    <x v="48"/>
    <s v="678-41-1"/>
    <x v="48"/>
    <n v="8.0500000000000002E-2"/>
  </r>
  <r>
    <s v="SS002-JBA-08132021"/>
    <s v="Spill"/>
    <x v="0"/>
    <s v="Dace. Sp"/>
    <s v="Rhinichthys"/>
    <s v="gibbosus"/>
    <s v="U"/>
    <x v="0"/>
    <n v="8"/>
    <n v="11.81"/>
    <x v="49"/>
    <s v="2965-52-8"/>
    <x v="49"/>
    <n v="0.1065"/>
  </r>
  <r>
    <s v="CCS001-JBA-08162021"/>
    <s v="Spill"/>
    <x v="0"/>
    <s v="Creek Chubsucker"/>
    <s v="Erimyzon"/>
    <s v="gibbosus"/>
    <s v="U"/>
    <x v="0"/>
    <n v="8"/>
    <n v="11.81"/>
    <x v="0"/>
    <s v="375-22-4"/>
    <x v="0"/>
    <n v="0.23699999999999999"/>
  </r>
  <r>
    <s v="CCS001-JBA-08162021"/>
    <s v="Spill"/>
    <x v="0"/>
    <s v="Creek Chubsucker"/>
    <s v="Erimyzon"/>
    <s v="gibbosus"/>
    <s v="U"/>
    <x v="0"/>
    <n v="8"/>
    <n v="11.81"/>
    <x v="1"/>
    <s v="2706-90-3"/>
    <x v="1"/>
    <n v="5.0999999999999997E-2"/>
  </r>
  <r>
    <s v="CCS001-JBA-08162021"/>
    <s v="Spill"/>
    <x v="0"/>
    <s v="Creek Chubsucker"/>
    <s v="Erimyzon"/>
    <s v="gibbosus"/>
    <s v="U"/>
    <x v="0"/>
    <n v="8"/>
    <n v="11.81"/>
    <x v="2"/>
    <s v="307-24-4"/>
    <x v="2"/>
    <n v="0.58199999999999996"/>
  </r>
  <r>
    <s v="CCS001-JBA-08162021"/>
    <s v="Spill"/>
    <x v="0"/>
    <s v="Creek Chubsucker"/>
    <s v="Erimyzon"/>
    <s v="gibbosus"/>
    <s v="U"/>
    <x v="0"/>
    <n v="8"/>
    <n v="11.81"/>
    <x v="3"/>
    <s v="375-85-9"/>
    <x v="3"/>
    <n v="9.5000000000000001E-2"/>
  </r>
  <r>
    <s v="CCS001-JBA-08162021"/>
    <s v="Spill"/>
    <x v="0"/>
    <s v="Creek Chubsucker"/>
    <s v="Erimyzon"/>
    <s v="gibbosus"/>
    <s v="U"/>
    <x v="0"/>
    <n v="8"/>
    <n v="11.81"/>
    <x v="4"/>
    <s v="335-67-1"/>
    <x v="4"/>
    <n v="8.6199999999999992"/>
  </r>
  <r>
    <s v="CCS001-JBA-08162021"/>
    <s v="Spill"/>
    <x v="0"/>
    <s v="Creek Chubsucker"/>
    <s v="Erimyzon"/>
    <s v="gibbosus"/>
    <s v="U"/>
    <x v="0"/>
    <n v="8"/>
    <n v="11.81"/>
    <x v="5"/>
    <s v="375-95-1"/>
    <x v="5"/>
    <n v="4.4000000000000004"/>
  </r>
  <r>
    <s v="CCS001-JBA-08162021"/>
    <s v="Spill"/>
    <x v="0"/>
    <s v="Creek Chubsucker"/>
    <s v="Erimyzon"/>
    <s v="gibbosus"/>
    <s v="U"/>
    <x v="0"/>
    <n v="8"/>
    <n v="11.81"/>
    <x v="6"/>
    <s v="335-76-2"/>
    <x v="6"/>
    <n v="8.83"/>
  </r>
  <r>
    <s v="CCS001-JBA-08162021"/>
    <s v="Spill"/>
    <x v="0"/>
    <s v="Creek Chubsucker"/>
    <s v="Erimyzon"/>
    <s v="gibbosus"/>
    <s v="U"/>
    <x v="0"/>
    <n v="8"/>
    <n v="11.81"/>
    <x v="7"/>
    <s v="2058-94-8"/>
    <x v="7"/>
    <n v="8.81"/>
  </r>
  <r>
    <s v="CCS001-JBA-08162021"/>
    <s v="Spill"/>
    <x v="0"/>
    <s v="Creek Chubsucker"/>
    <s v="Erimyzon"/>
    <s v="gibbosus"/>
    <s v="U"/>
    <x v="0"/>
    <n v="8"/>
    <n v="11.81"/>
    <x v="8"/>
    <s v="307-55-1"/>
    <x v="8"/>
    <n v="11.6"/>
  </r>
  <r>
    <s v="CCS001-JBA-08162021"/>
    <s v="Spill"/>
    <x v="0"/>
    <s v="Creek Chubsucker"/>
    <s v="Erimyzon"/>
    <s v="gibbosus"/>
    <s v="U"/>
    <x v="0"/>
    <n v="8"/>
    <n v="11.81"/>
    <x v="9"/>
    <s v="72629-94-8"/>
    <x v="9"/>
    <n v="5.54"/>
  </r>
  <r>
    <s v="CCS001-JBA-08162021"/>
    <s v="Spill"/>
    <x v="0"/>
    <s v="Creek Chubsucker"/>
    <s v="Erimyzon"/>
    <s v="gibbosus"/>
    <s v="U"/>
    <x v="0"/>
    <n v="8"/>
    <n v="11.81"/>
    <x v="10"/>
    <s v="376-06-7"/>
    <x v="10"/>
    <n v="4.3099999999999996"/>
  </r>
  <r>
    <s v="CCS001-JBA-08162021"/>
    <s v="Spill"/>
    <x v="0"/>
    <s v="Creek Chubsucker"/>
    <s v="Erimyzon"/>
    <s v="gibbosus"/>
    <s v="U"/>
    <x v="0"/>
    <n v="8"/>
    <n v="11.81"/>
    <x v="11"/>
    <s v="67905-19-5"/>
    <x v="11"/>
    <n v="8.5500000000000007E-2"/>
  </r>
  <r>
    <s v="CCS001-JBA-08162021"/>
    <s v="Spill"/>
    <x v="0"/>
    <s v="Creek Chubsucker"/>
    <s v="Erimyzon"/>
    <s v="gibbosus"/>
    <s v="U"/>
    <x v="0"/>
    <n v="8"/>
    <n v="11.81"/>
    <x v="12"/>
    <s v="423-41-6"/>
    <x v="12"/>
    <n v="5.5E-2"/>
  </r>
  <r>
    <s v="CCS001-JBA-08162021"/>
    <s v="Spill"/>
    <x v="0"/>
    <s v="Creek Chubsucker"/>
    <s v="Erimyzon"/>
    <s v="gibbosus"/>
    <s v="U"/>
    <x v="0"/>
    <n v="8"/>
    <n v="11.81"/>
    <x v="13"/>
    <s v="375-73-5"/>
    <x v="13"/>
    <n v="3.48"/>
  </r>
  <r>
    <s v="CCS001-JBA-08162021"/>
    <s v="Spill"/>
    <x v="0"/>
    <s v="Creek Chubsucker"/>
    <s v="Erimyzon"/>
    <s v="gibbosus"/>
    <s v="U"/>
    <x v="0"/>
    <n v="8"/>
    <n v="11.81"/>
    <x v="14"/>
    <s v="2706-91-4"/>
    <x v="14"/>
    <n v="4.72"/>
  </r>
  <r>
    <s v="CCS001-JBA-08162021"/>
    <s v="Spill"/>
    <x v="0"/>
    <s v="Creek Chubsucker"/>
    <s v="Erimyzon"/>
    <s v="gibbosus"/>
    <s v="U"/>
    <x v="0"/>
    <n v="8"/>
    <n v="11.81"/>
    <x v="15"/>
    <s v="355-46-4"/>
    <x v="15"/>
    <n v="66.599999999999994"/>
  </r>
  <r>
    <s v="CCS001-JBA-08162021"/>
    <s v="Spill"/>
    <x v="0"/>
    <s v="Creek Chubsucker"/>
    <s v="Erimyzon"/>
    <s v="gibbosus"/>
    <s v="U"/>
    <x v="0"/>
    <n v="8"/>
    <n v="11.81"/>
    <x v="16"/>
    <s v="375-92-8"/>
    <x v="16"/>
    <n v="19.399999999999999"/>
  </r>
  <r>
    <s v="CCS001-JBA-08162021"/>
    <s v="Spill"/>
    <x v="0"/>
    <s v="Creek Chubsucker"/>
    <s v="Erimyzon"/>
    <s v="gibbosus"/>
    <s v="U"/>
    <x v="0"/>
    <n v="8"/>
    <n v="11.81"/>
    <x v="17"/>
    <s v="1763-23-1"/>
    <x v="17"/>
    <n v="1050"/>
  </r>
  <r>
    <s v="CCS001-JBA-08162021"/>
    <s v="Spill"/>
    <x v="0"/>
    <s v="Creek Chubsucker"/>
    <s v="Erimyzon"/>
    <s v="gibbosus"/>
    <s v="U"/>
    <x v="0"/>
    <n v="8"/>
    <n v="11.81"/>
    <x v="18"/>
    <s v="68259-12-1"/>
    <x v="18"/>
    <n v="1.92"/>
  </r>
  <r>
    <s v="CCS001-JBA-08162021"/>
    <s v="Spill"/>
    <x v="0"/>
    <s v="Creek Chubsucker"/>
    <s v="Erimyzon"/>
    <s v="gibbosus"/>
    <s v="U"/>
    <x v="0"/>
    <n v="8"/>
    <n v="11.81"/>
    <x v="19"/>
    <s v="335-77-3"/>
    <x v="19"/>
    <n v="3.03"/>
  </r>
  <r>
    <s v="CCS001-JBA-08162021"/>
    <s v="Spill"/>
    <x v="0"/>
    <s v="Creek Chubsucker"/>
    <s v="Erimyzon"/>
    <s v="gibbosus"/>
    <s v="U"/>
    <x v="0"/>
    <n v="8"/>
    <n v="11.81"/>
    <x v="20"/>
    <s v="79780-39-5"/>
    <x v="20"/>
    <n v="0.79700000000000004"/>
  </r>
  <r>
    <s v="CCS001-JBA-08162021"/>
    <s v="Spill"/>
    <x v="0"/>
    <s v="Creek Chubsucker"/>
    <s v="Erimyzon"/>
    <s v="gibbosus"/>
    <s v="U"/>
    <x v="0"/>
    <n v="8"/>
    <n v="11.81"/>
    <x v="21"/>
    <s v="777011-38-8"/>
    <x v="21"/>
    <n v="0.72099999999999997"/>
  </r>
  <r>
    <s v="CCS001-JBA-08162021"/>
    <s v="Spill"/>
    <x v="0"/>
    <s v="Creek Chubsucker"/>
    <s v="Erimyzon"/>
    <s v="gibbosus"/>
    <s v="U"/>
    <x v="0"/>
    <n v="8"/>
    <n v="11.81"/>
    <x v="22"/>
    <s v="646-83-3"/>
    <x v="22"/>
    <n v="0.59099999999999997"/>
  </r>
  <r>
    <s v="CCS001-JBA-08162021"/>
    <s v="Spill"/>
    <x v="0"/>
    <s v="Creek Chubsucker"/>
    <s v="Erimyzon"/>
    <s v="gibbosus"/>
    <s v="U"/>
    <x v="0"/>
    <n v="8"/>
    <n v="11.81"/>
    <x v="23"/>
    <s v="30334-69-1"/>
    <x v="23"/>
    <n v="37.299999999999997"/>
  </r>
  <r>
    <s v="CCS001-JBA-08162021"/>
    <s v="Spill"/>
    <x v="0"/>
    <s v="Creek Chubsucker"/>
    <s v="Erimyzon"/>
    <s v="gibbosus"/>
    <s v="U"/>
    <x v="0"/>
    <n v="8"/>
    <n v="11.81"/>
    <x v="24"/>
    <s v="41997-13-1"/>
    <x v="24"/>
    <n v="241"/>
  </r>
  <r>
    <s v="CCS001-JBA-08162021"/>
    <s v="Spill"/>
    <x v="0"/>
    <s v="Creek Chubsucker"/>
    <s v="Erimyzon"/>
    <s v="gibbosus"/>
    <s v="U"/>
    <x v="0"/>
    <n v="8"/>
    <n v="11.81"/>
    <x v="25"/>
    <s v="754-91-6"/>
    <x v="25"/>
    <n v="30.4"/>
  </r>
  <r>
    <s v="CCS001-JBA-08162021"/>
    <s v="Spill"/>
    <x v="0"/>
    <s v="Creek Chubsucker"/>
    <s v="Erimyzon"/>
    <s v="gibbosus"/>
    <s v="U"/>
    <x v="0"/>
    <n v="8"/>
    <n v="11.81"/>
    <x v="26"/>
    <s v="31506-32-8"/>
    <x v="26"/>
    <n v="5.5500000000000001E-2"/>
  </r>
  <r>
    <s v="CCS001-JBA-08162021"/>
    <s v="Spill"/>
    <x v="0"/>
    <s v="Creek Chubsucker"/>
    <s v="Erimyzon"/>
    <s v="gibbosus"/>
    <s v="U"/>
    <x v="0"/>
    <n v="8"/>
    <n v="11.81"/>
    <x v="27"/>
    <s v="4151-50-2"/>
    <x v="27"/>
    <n v="8.4000000000000005E-2"/>
  </r>
  <r>
    <s v="CCS001-JBA-08162021"/>
    <s v="Spill"/>
    <x v="0"/>
    <s v="Creek Chubsucker"/>
    <s v="Erimyzon"/>
    <s v="gibbosus"/>
    <s v="U"/>
    <x v="0"/>
    <n v="8"/>
    <n v="11.81"/>
    <x v="28"/>
    <s v="2806-24-8"/>
    <x v="28"/>
    <n v="0.187"/>
  </r>
  <r>
    <s v="CCS001-JBA-08162021"/>
    <s v="Spill"/>
    <x v="0"/>
    <s v="Creek Chubsucker"/>
    <s v="Erimyzon"/>
    <s v="gibbosus"/>
    <s v="U"/>
    <x v="0"/>
    <n v="8"/>
    <n v="11.81"/>
    <x v="29"/>
    <s v="2355-31-9"/>
    <x v="29"/>
    <n v="0.23849999999999999"/>
  </r>
  <r>
    <s v="CCS001-JBA-08162021"/>
    <s v="Spill"/>
    <x v="0"/>
    <s v="Creek Chubsucker"/>
    <s v="Erimyzon"/>
    <s v="gibbosus"/>
    <s v="U"/>
    <x v="0"/>
    <n v="8"/>
    <n v="11.81"/>
    <x v="30"/>
    <s v="2991-50-6"/>
    <x v="30"/>
    <n v="6.25E-2"/>
  </r>
  <r>
    <s v="CCS001-JBA-08162021"/>
    <s v="Spill"/>
    <x v="0"/>
    <s v="Creek Chubsucker"/>
    <s v="Erimyzon"/>
    <s v="gibbosus"/>
    <s v="U"/>
    <x v="0"/>
    <n v="8"/>
    <n v="11.81"/>
    <x v="31"/>
    <s v="757124-72-4"/>
    <x v="31"/>
    <n v="5.8999999999999997E-2"/>
  </r>
  <r>
    <s v="CCS001-JBA-08162021"/>
    <s v="Spill"/>
    <x v="0"/>
    <s v="Creek Chubsucker"/>
    <s v="Erimyzon"/>
    <s v="gibbosus"/>
    <s v="U"/>
    <x v="0"/>
    <n v="8"/>
    <n v="11.81"/>
    <x v="32"/>
    <s v="27619-97-2"/>
    <x v="32"/>
    <n v="7.98"/>
  </r>
  <r>
    <s v="CCS001-JBA-08162021"/>
    <s v="Spill"/>
    <x v="0"/>
    <s v="Creek Chubsucker"/>
    <s v="Erimyzon"/>
    <s v="gibbosus"/>
    <s v="U"/>
    <x v="0"/>
    <n v="8"/>
    <n v="11.81"/>
    <x v="33"/>
    <s v="39108-34-4"/>
    <x v="33"/>
    <n v="12.4"/>
  </r>
  <r>
    <s v="CCS001-JBA-08162021"/>
    <s v="Spill"/>
    <x v="0"/>
    <s v="Creek Chubsucker"/>
    <s v="Erimyzon"/>
    <s v="gibbosus"/>
    <s v="U"/>
    <x v="0"/>
    <n v="8"/>
    <n v="11.81"/>
    <x v="34"/>
    <s v="120226-60-0"/>
    <x v="34"/>
    <n v="0.26950000000000002"/>
  </r>
  <r>
    <s v="CCS001-JBA-08162021"/>
    <s v="Spill"/>
    <x v="0"/>
    <s v="Creek Chubsucker"/>
    <s v="Erimyzon"/>
    <s v="gibbosus"/>
    <s v="U"/>
    <x v="0"/>
    <n v="8"/>
    <n v="11.81"/>
    <x v="35"/>
    <s v="356-02-5"/>
    <x v="35"/>
    <n v="8.3000000000000004E-2"/>
  </r>
  <r>
    <s v="CCS001-JBA-08162021"/>
    <s v="Spill"/>
    <x v="0"/>
    <s v="Creek Chubsucker"/>
    <s v="Erimyzon"/>
    <s v="gibbosus"/>
    <s v="U"/>
    <x v="0"/>
    <n v="8"/>
    <n v="11.81"/>
    <x v="36"/>
    <s v="914637-49-3"/>
    <x v="36"/>
    <n v="7.1999999999999995E-2"/>
  </r>
  <r>
    <s v="CCS001-JBA-08162021"/>
    <s v="Spill"/>
    <x v="0"/>
    <s v="Creek Chubsucker"/>
    <s v="Erimyzon"/>
    <s v="gibbosus"/>
    <s v="U"/>
    <x v="0"/>
    <n v="8"/>
    <n v="11.81"/>
    <x v="37"/>
    <s v="812-70-4"/>
    <x v="37"/>
    <n v="9"/>
  </r>
  <r>
    <s v="CCS001-JBA-08162021"/>
    <s v="Spill"/>
    <x v="0"/>
    <s v="Creek Chubsucker"/>
    <s v="Erimyzon"/>
    <s v="gibbosus"/>
    <s v="U"/>
    <x v="0"/>
    <n v="8"/>
    <n v="11.81"/>
    <x v="38"/>
    <s v="53826-12-3"/>
    <x v="38"/>
    <n v="7.1999999999999995E-2"/>
  </r>
  <r>
    <s v="CCS001-JBA-08162021"/>
    <s v="Spill"/>
    <x v="0"/>
    <s v="Creek Chubsucker"/>
    <s v="Erimyzon"/>
    <s v="gibbosus"/>
    <s v="U"/>
    <x v="0"/>
    <n v="8"/>
    <n v="11.81"/>
    <x v="39"/>
    <s v="27854-31-5"/>
    <x v="39"/>
    <n v="6.6"/>
  </r>
  <r>
    <s v="CCS001-JBA-08162021"/>
    <s v="Spill"/>
    <x v="0"/>
    <s v="Creek Chubsucker"/>
    <s v="Erimyzon"/>
    <s v="gibbosus"/>
    <s v="U"/>
    <x v="0"/>
    <n v="8"/>
    <n v="11.81"/>
    <x v="40"/>
    <s v="53826-13-4"/>
    <x v="40"/>
    <n v="0.93700000000000006"/>
  </r>
  <r>
    <s v="CCS001-JBA-08162021"/>
    <s v="Spill"/>
    <x v="0"/>
    <s v="Creek Chubsucker"/>
    <s v="Erimyzon"/>
    <s v="gibbosus"/>
    <s v="U"/>
    <x v="0"/>
    <n v="8"/>
    <n v="11.81"/>
    <x v="41"/>
    <s v="161094-75-3"/>
    <x v="41"/>
    <n v="5.6500000000000002E-2"/>
  </r>
  <r>
    <s v="CCS001-JBA-08162021"/>
    <s v="Spill"/>
    <x v="0"/>
    <s v="Creek Chubsucker"/>
    <s v="Erimyzon"/>
    <s v="gibbosus"/>
    <s v="U"/>
    <x v="0"/>
    <n v="8"/>
    <n v="11.81"/>
    <x v="42"/>
    <s v="70887-84-2"/>
    <x v="42"/>
    <n v="4.3499999999999997E-2"/>
  </r>
  <r>
    <s v="CCS001-JBA-08162021"/>
    <s v="Spill"/>
    <x v="0"/>
    <s v="Creek Chubsucker"/>
    <s v="Erimyzon"/>
    <s v="gibbosus"/>
    <s v="U"/>
    <x v="0"/>
    <n v="8"/>
    <n v="11.81"/>
    <x v="43"/>
    <s v="919005-14-4"/>
    <x v="43"/>
    <n v="7.1999999999999995E-2"/>
  </r>
  <r>
    <s v="CCS001-JBA-08162021"/>
    <s v="Spill"/>
    <x v="0"/>
    <s v="Creek Chubsucker"/>
    <s v="Erimyzon"/>
    <s v="gibbosus"/>
    <s v="U"/>
    <x v="0"/>
    <n v="8"/>
    <n v="11.81"/>
    <x v="44"/>
    <s v="756426-58-1"/>
    <x v="44"/>
    <n v="7.1999999999999995E-2"/>
  </r>
  <r>
    <s v="CCS001-JBA-08162021"/>
    <s v="Spill"/>
    <x v="0"/>
    <s v="Creek Chubsucker"/>
    <s v="Erimyzon"/>
    <s v="gibbosus"/>
    <s v="U"/>
    <x v="0"/>
    <n v="8"/>
    <n v="11.81"/>
    <x v="45"/>
    <s v="763051-92-9"/>
    <x v="45"/>
    <n v="7.1999999999999995E-2"/>
  </r>
  <r>
    <s v="CCS001-JBA-08162021"/>
    <s v="Spill"/>
    <x v="0"/>
    <s v="Creek Chubsucker"/>
    <s v="Erimyzon"/>
    <s v="gibbosus"/>
    <s v="U"/>
    <x v="0"/>
    <n v="8"/>
    <n v="11.81"/>
    <x v="46"/>
    <s v="13252-13-6"/>
    <x v="46"/>
    <n v="0.10299999999999999"/>
  </r>
  <r>
    <s v="CCS001-JBA-08162021"/>
    <s v="Spill"/>
    <x v="0"/>
    <s v="Creek Chubsucker"/>
    <s v="Erimyzon"/>
    <s v="gibbosus"/>
    <s v="U"/>
    <x v="0"/>
    <n v="8"/>
    <n v="11.81"/>
    <x v="47"/>
    <s v="57677-95-9"/>
    <x v="47"/>
    <n v="7.6499999999999999E-2"/>
  </r>
  <r>
    <s v="CCS001-JBA-08162021"/>
    <s v="Spill"/>
    <x v="0"/>
    <s v="Creek Chubsucker"/>
    <s v="Erimyzon"/>
    <s v="gibbosus"/>
    <s v="U"/>
    <x v="0"/>
    <n v="8"/>
    <n v="11.81"/>
    <x v="48"/>
    <s v="678-41-1"/>
    <x v="48"/>
    <n v="9.5500000000000002E-2"/>
  </r>
  <r>
    <s v="CCS001-JBA-08162021"/>
    <s v="Spill"/>
    <x v="0"/>
    <s v="Creek Chubsucker"/>
    <s v="Erimyzon"/>
    <s v="gibbosus"/>
    <s v="U"/>
    <x v="0"/>
    <n v="8"/>
    <n v="11.81"/>
    <x v="49"/>
    <s v="2965-52-8"/>
    <x v="49"/>
    <n v="0.1265"/>
  </r>
  <r>
    <s v="CCS002-JBA-08162021"/>
    <s v="Spill"/>
    <x v="0"/>
    <s v="Dace. Sp"/>
    <s v="Clinostomus"/>
    <s v="gibbosus"/>
    <s v="U"/>
    <x v="0"/>
    <n v="8"/>
    <n v="11.81"/>
    <x v="0"/>
    <s v="375-22-4"/>
    <x v="0"/>
    <n v="0.2455"/>
  </r>
  <r>
    <s v="CCS002-JBA-08162021"/>
    <s v="Spill"/>
    <x v="0"/>
    <s v="Dace. Sp"/>
    <s v="Clinostomus"/>
    <s v="gibbosus"/>
    <s v="U"/>
    <x v="0"/>
    <n v="8"/>
    <n v="11.81"/>
    <x v="1"/>
    <s v="2706-90-3"/>
    <x v="1"/>
    <n v="5.2499999999999998E-2"/>
  </r>
  <r>
    <s v="CCS002-JBA-08162021"/>
    <s v="Spill"/>
    <x v="0"/>
    <s v="Dace. Sp"/>
    <s v="Clinostomus"/>
    <s v="gibbosus"/>
    <s v="U"/>
    <x v="0"/>
    <n v="8"/>
    <n v="11.81"/>
    <x v="2"/>
    <s v="307-24-4"/>
    <x v="2"/>
    <n v="4.0149999999999998E-2"/>
  </r>
  <r>
    <s v="CCS002-JBA-08162021"/>
    <s v="Spill"/>
    <x v="0"/>
    <s v="Dace. Sp"/>
    <s v="Clinostomus"/>
    <s v="gibbosus"/>
    <s v="U"/>
    <x v="0"/>
    <n v="8"/>
    <n v="11.81"/>
    <x v="3"/>
    <s v="375-85-9"/>
    <x v="3"/>
    <n v="2.9850000000000002E-2"/>
  </r>
  <r>
    <s v="CCS002-JBA-08162021"/>
    <s v="Spill"/>
    <x v="0"/>
    <s v="Dace. Sp"/>
    <s v="Clinostomus"/>
    <s v="gibbosus"/>
    <s v="U"/>
    <x v="0"/>
    <n v="8"/>
    <n v="11.81"/>
    <x v="4"/>
    <s v="335-67-1"/>
    <x v="4"/>
    <n v="6.35"/>
  </r>
  <r>
    <s v="CCS002-JBA-08162021"/>
    <s v="Spill"/>
    <x v="0"/>
    <s v="Dace. Sp"/>
    <s v="Clinostomus"/>
    <s v="gibbosus"/>
    <s v="U"/>
    <x v="0"/>
    <n v="8"/>
    <n v="11.81"/>
    <x v="5"/>
    <s v="375-95-1"/>
    <x v="5"/>
    <n v="4.1500000000000004"/>
  </r>
  <r>
    <s v="CCS002-JBA-08162021"/>
    <s v="Spill"/>
    <x v="0"/>
    <s v="Dace. Sp"/>
    <s v="Clinostomus"/>
    <s v="gibbosus"/>
    <s v="U"/>
    <x v="0"/>
    <n v="8"/>
    <n v="11.81"/>
    <x v="6"/>
    <s v="335-76-2"/>
    <x v="6"/>
    <n v="10.4"/>
  </r>
  <r>
    <s v="CCS002-JBA-08162021"/>
    <s v="Spill"/>
    <x v="0"/>
    <s v="Dace. Sp"/>
    <s v="Clinostomus"/>
    <s v="gibbosus"/>
    <s v="U"/>
    <x v="0"/>
    <n v="8"/>
    <n v="11.81"/>
    <x v="7"/>
    <s v="2058-94-8"/>
    <x v="7"/>
    <n v="12.1"/>
  </r>
  <r>
    <s v="CCS002-JBA-08162021"/>
    <s v="Spill"/>
    <x v="0"/>
    <s v="Dace. Sp"/>
    <s v="Clinostomus"/>
    <s v="gibbosus"/>
    <s v="U"/>
    <x v="0"/>
    <n v="8"/>
    <n v="11.81"/>
    <x v="8"/>
    <s v="307-55-1"/>
    <x v="8"/>
    <n v="16.7"/>
  </r>
  <r>
    <s v="CCS002-JBA-08162021"/>
    <s v="Spill"/>
    <x v="0"/>
    <s v="Dace. Sp"/>
    <s v="Clinostomus"/>
    <s v="gibbosus"/>
    <s v="U"/>
    <x v="0"/>
    <n v="8"/>
    <n v="11.81"/>
    <x v="9"/>
    <s v="72629-94-8"/>
    <x v="9"/>
    <n v="3.67"/>
  </r>
  <r>
    <s v="CCS002-JBA-08162021"/>
    <s v="Spill"/>
    <x v="0"/>
    <s v="Dace. Sp"/>
    <s v="Clinostomus"/>
    <s v="gibbosus"/>
    <s v="U"/>
    <x v="0"/>
    <n v="8"/>
    <n v="11.81"/>
    <x v="10"/>
    <s v="376-06-7"/>
    <x v="10"/>
    <n v="6.35"/>
  </r>
  <r>
    <s v="CCS002-JBA-08162021"/>
    <s v="Spill"/>
    <x v="0"/>
    <s v="Dace. Sp"/>
    <s v="Clinostomus"/>
    <s v="gibbosus"/>
    <s v="U"/>
    <x v="0"/>
    <n v="8"/>
    <n v="11.81"/>
    <x v="11"/>
    <s v="67905-19-5"/>
    <x v="11"/>
    <n v="8.8999999999999996E-2"/>
  </r>
  <r>
    <s v="CCS002-JBA-08162021"/>
    <s v="Spill"/>
    <x v="0"/>
    <s v="Dace. Sp"/>
    <s v="Clinostomus"/>
    <s v="gibbosus"/>
    <s v="U"/>
    <x v="0"/>
    <n v="8"/>
    <n v="11.81"/>
    <x v="12"/>
    <s v="423-41-6"/>
    <x v="12"/>
    <n v="5.7000000000000002E-2"/>
  </r>
  <r>
    <s v="CCS002-JBA-08162021"/>
    <s v="Spill"/>
    <x v="0"/>
    <s v="Dace. Sp"/>
    <s v="Clinostomus"/>
    <s v="gibbosus"/>
    <s v="U"/>
    <x v="0"/>
    <n v="8"/>
    <n v="11.81"/>
    <x v="13"/>
    <s v="375-73-5"/>
    <x v="13"/>
    <n v="0.41099999999999998"/>
  </r>
  <r>
    <s v="CCS002-JBA-08162021"/>
    <s v="Spill"/>
    <x v="0"/>
    <s v="Dace. Sp"/>
    <s v="Clinostomus"/>
    <s v="gibbosus"/>
    <s v="U"/>
    <x v="0"/>
    <n v="8"/>
    <n v="11.81"/>
    <x v="14"/>
    <s v="2706-91-4"/>
    <x v="14"/>
    <n v="2.34"/>
  </r>
  <r>
    <s v="CCS002-JBA-08162021"/>
    <s v="Spill"/>
    <x v="0"/>
    <s v="Dace. Sp"/>
    <s v="Clinostomus"/>
    <s v="gibbosus"/>
    <s v="U"/>
    <x v="0"/>
    <n v="8"/>
    <n v="11.81"/>
    <x v="15"/>
    <s v="355-46-4"/>
    <x v="15"/>
    <n v="91.5"/>
  </r>
  <r>
    <s v="CCS002-JBA-08162021"/>
    <s v="Spill"/>
    <x v="0"/>
    <s v="Dace. Sp"/>
    <s v="Clinostomus"/>
    <s v="gibbosus"/>
    <s v="U"/>
    <x v="0"/>
    <n v="8"/>
    <n v="11.81"/>
    <x v="16"/>
    <s v="375-92-8"/>
    <x v="16"/>
    <n v="15.6"/>
  </r>
  <r>
    <s v="CCS002-JBA-08162021"/>
    <s v="Spill"/>
    <x v="0"/>
    <s v="Dace. Sp"/>
    <s v="Clinostomus"/>
    <s v="gibbosus"/>
    <s v="U"/>
    <x v="0"/>
    <n v="8"/>
    <n v="11.81"/>
    <x v="17"/>
    <s v="1763-23-1"/>
    <x v="17"/>
    <n v="1950"/>
  </r>
  <r>
    <s v="CCS002-JBA-08162021"/>
    <s v="Spill"/>
    <x v="0"/>
    <s v="Dace. Sp"/>
    <s v="Clinostomus"/>
    <s v="gibbosus"/>
    <s v="U"/>
    <x v="0"/>
    <n v="8"/>
    <n v="11.81"/>
    <x v="18"/>
    <s v="68259-12-1"/>
    <x v="18"/>
    <n v="0.874"/>
  </r>
  <r>
    <s v="CCS002-JBA-08162021"/>
    <s v="Spill"/>
    <x v="0"/>
    <s v="Dace. Sp"/>
    <s v="Clinostomus"/>
    <s v="gibbosus"/>
    <s v="U"/>
    <x v="0"/>
    <n v="8"/>
    <n v="11.81"/>
    <x v="19"/>
    <s v="335-77-3"/>
    <x v="19"/>
    <n v="3.38"/>
  </r>
  <r>
    <s v="CCS002-JBA-08162021"/>
    <s v="Spill"/>
    <x v="0"/>
    <s v="Dace. Sp"/>
    <s v="Clinostomus"/>
    <s v="gibbosus"/>
    <s v="U"/>
    <x v="0"/>
    <n v="8"/>
    <n v="11.81"/>
    <x v="20"/>
    <s v="79780-39-5"/>
    <x v="20"/>
    <n v="1.04"/>
  </r>
  <r>
    <s v="CCS002-JBA-08162021"/>
    <s v="Spill"/>
    <x v="0"/>
    <s v="Dace. Sp"/>
    <s v="Clinostomus"/>
    <s v="gibbosus"/>
    <s v="U"/>
    <x v="0"/>
    <n v="8"/>
    <n v="11.81"/>
    <x v="21"/>
    <s v="777011-38-8"/>
    <x v="21"/>
    <n v="0.57299999999999995"/>
  </r>
  <r>
    <s v="CCS002-JBA-08162021"/>
    <s v="Spill"/>
    <x v="0"/>
    <s v="Dace. Sp"/>
    <s v="Clinostomus"/>
    <s v="gibbosus"/>
    <s v="U"/>
    <x v="0"/>
    <n v="8"/>
    <n v="11.81"/>
    <x v="22"/>
    <s v="646-83-3"/>
    <x v="22"/>
    <n v="0.58799999999999997"/>
  </r>
  <r>
    <s v="CCS002-JBA-08162021"/>
    <s v="Spill"/>
    <x v="0"/>
    <s v="Dace. Sp"/>
    <s v="Clinostomus"/>
    <s v="gibbosus"/>
    <s v="U"/>
    <x v="0"/>
    <n v="8"/>
    <n v="11.81"/>
    <x v="23"/>
    <s v="30334-69-1"/>
    <x v="23"/>
    <n v="36.700000000000003"/>
  </r>
  <r>
    <s v="CCS002-JBA-08162021"/>
    <s v="Spill"/>
    <x v="0"/>
    <s v="Dace. Sp"/>
    <s v="Clinostomus"/>
    <s v="gibbosus"/>
    <s v="U"/>
    <x v="0"/>
    <n v="8"/>
    <n v="11.81"/>
    <x v="24"/>
    <s v="41997-13-1"/>
    <x v="24"/>
    <n v="225"/>
  </r>
  <r>
    <s v="CCS002-JBA-08162021"/>
    <s v="Spill"/>
    <x v="0"/>
    <s v="Dace. Sp"/>
    <s v="Clinostomus"/>
    <s v="gibbosus"/>
    <s v="U"/>
    <x v="0"/>
    <n v="8"/>
    <n v="11.81"/>
    <x v="25"/>
    <s v="754-91-6"/>
    <x v="25"/>
    <n v="50.5"/>
  </r>
  <r>
    <s v="CCS002-JBA-08162021"/>
    <s v="Spill"/>
    <x v="0"/>
    <s v="Dace. Sp"/>
    <s v="Clinostomus"/>
    <s v="gibbosus"/>
    <s v="U"/>
    <x v="0"/>
    <n v="8"/>
    <n v="11.81"/>
    <x v="26"/>
    <s v="31506-32-8"/>
    <x v="26"/>
    <n v="5.7500000000000002E-2"/>
  </r>
  <r>
    <s v="CCS002-JBA-08162021"/>
    <s v="Spill"/>
    <x v="0"/>
    <s v="Dace. Sp"/>
    <s v="Clinostomus"/>
    <s v="gibbosus"/>
    <s v="U"/>
    <x v="0"/>
    <n v="8"/>
    <n v="11.81"/>
    <x v="27"/>
    <s v="4151-50-2"/>
    <x v="27"/>
    <n v="8.6999999999999994E-2"/>
  </r>
  <r>
    <s v="CCS002-JBA-08162021"/>
    <s v="Spill"/>
    <x v="0"/>
    <s v="Dace. Sp"/>
    <s v="Clinostomus"/>
    <s v="gibbosus"/>
    <s v="U"/>
    <x v="0"/>
    <n v="8"/>
    <n v="11.81"/>
    <x v="28"/>
    <s v="2806-24-8"/>
    <x v="28"/>
    <n v="5.8500000000000003E-2"/>
  </r>
  <r>
    <s v="CCS002-JBA-08162021"/>
    <s v="Spill"/>
    <x v="0"/>
    <s v="Dace. Sp"/>
    <s v="Clinostomus"/>
    <s v="gibbosus"/>
    <s v="U"/>
    <x v="0"/>
    <n v="8"/>
    <n v="11.81"/>
    <x v="29"/>
    <s v="2355-31-9"/>
    <x v="29"/>
    <n v="1.1100000000000001"/>
  </r>
  <r>
    <s v="CCS002-JBA-08162021"/>
    <s v="Spill"/>
    <x v="0"/>
    <s v="Dace. Sp"/>
    <s v="Clinostomus"/>
    <s v="gibbosus"/>
    <s v="U"/>
    <x v="0"/>
    <n v="8"/>
    <n v="11.81"/>
    <x v="30"/>
    <s v="2991-50-6"/>
    <x v="30"/>
    <n v="6.4500000000000002E-2"/>
  </r>
  <r>
    <s v="CCS002-JBA-08162021"/>
    <s v="Spill"/>
    <x v="0"/>
    <s v="Dace. Sp"/>
    <s v="Clinostomus"/>
    <s v="gibbosus"/>
    <s v="U"/>
    <x v="0"/>
    <n v="8"/>
    <n v="11.81"/>
    <x v="31"/>
    <s v="757124-72-4"/>
    <x v="31"/>
    <n v="6.0999999999999999E-2"/>
  </r>
  <r>
    <s v="CCS002-JBA-08162021"/>
    <s v="Spill"/>
    <x v="0"/>
    <s v="Dace. Sp"/>
    <s v="Clinostomus"/>
    <s v="gibbosus"/>
    <s v="U"/>
    <x v="0"/>
    <n v="8"/>
    <n v="11.81"/>
    <x v="32"/>
    <s v="27619-97-2"/>
    <x v="32"/>
    <n v="3.18"/>
  </r>
  <r>
    <s v="CCS002-JBA-08162021"/>
    <s v="Spill"/>
    <x v="0"/>
    <s v="Dace. Sp"/>
    <s v="Clinostomus"/>
    <s v="gibbosus"/>
    <s v="U"/>
    <x v="0"/>
    <n v="8"/>
    <n v="11.81"/>
    <x v="33"/>
    <s v="39108-34-4"/>
    <x v="33"/>
    <n v="16.3"/>
  </r>
  <r>
    <s v="CCS002-JBA-08162021"/>
    <s v="Spill"/>
    <x v="0"/>
    <s v="Dace. Sp"/>
    <s v="Clinostomus"/>
    <s v="gibbosus"/>
    <s v="U"/>
    <x v="0"/>
    <n v="8"/>
    <n v="11.81"/>
    <x v="34"/>
    <s v="120226-60-0"/>
    <x v="34"/>
    <n v="1.1499999999999999"/>
  </r>
  <r>
    <s v="CCS002-JBA-08162021"/>
    <s v="Spill"/>
    <x v="0"/>
    <s v="Dace. Sp"/>
    <s v="Clinostomus"/>
    <s v="gibbosus"/>
    <s v="U"/>
    <x v="0"/>
    <n v="8"/>
    <n v="11.81"/>
    <x v="35"/>
    <s v="356-02-5"/>
    <x v="35"/>
    <n v="8.5999999999999993E-2"/>
  </r>
  <r>
    <s v="CCS002-JBA-08162021"/>
    <s v="Spill"/>
    <x v="0"/>
    <s v="Dace. Sp"/>
    <s v="Clinostomus"/>
    <s v="gibbosus"/>
    <s v="U"/>
    <x v="0"/>
    <n v="8"/>
    <n v="11.81"/>
    <x v="36"/>
    <s v="914637-49-3"/>
    <x v="36"/>
    <n v="7.4499999999999997E-2"/>
  </r>
  <r>
    <s v="CCS002-JBA-08162021"/>
    <s v="Spill"/>
    <x v="0"/>
    <s v="Dace. Sp"/>
    <s v="Clinostomus"/>
    <s v="gibbosus"/>
    <s v="U"/>
    <x v="0"/>
    <n v="8"/>
    <n v="11.81"/>
    <x v="37"/>
    <s v="812-70-4"/>
    <x v="37"/>
    <n v="9.5399999999999991"/>
  </r>
  <r>
    <s v="CCS002-JBA-08162021"/>
    <s v="Spill"/>
    <x v="0"/>
    <s v="Dace. Sp"/>
    <s v="Clinostomus"/>
    <s v="gibbosus"/>
    <s v="U"/>
    <x v="0"/>
    <n v="8"/>
    <n v="11.81"/>
    <x v="38"/>
    <s v="53826-12-3"/>
    <x v="38"/>
    <n v="7.4499999999999997E-2"/>
  </r>
  <r>
    <s v="CCS002-JBA-08162021"/>
    <s v="Spill"/>
    <x v="0"/>
    <s v="Dace. Sp"/>
    <s v="Clinostomus"/>
    <s v="gibbosus"/>
    <s v="U"/>
    <x v="0"/>
    <n v="8"/>
    <n v="11.81"/>
    <x v="39"/>
    <s v="27854-31-5"/>
    <x v="39"/>
    <n v="5.66"/>
  </r>
  <r>
    <s v="CCS002-JBA-08162021"/>
    <s v="Spill"/>
    <x v="0"/>
    <s v="Dace. Sp"/>
    <s v="Clinostomus"/>
    <s v="gibbosus"/>
    <s v="U"/>
    <x v="0"/>
    <n v="8"/>
    <n v="11.81"/>
    <x v="40"/>
    <s v="53826-13-4"/>
    <x v="40"/>
    <n v="0.111"/>
  </r>
  <r>
    <s v="CCS002-JBA-08162021"/>
    <s v="Spill"/>
    <x v="0"/>
    <s v="Dace. Sp"/>
    <s v="Clinostomus"/>
    <s v="gibbosus"/>
    <s v="U"/>
    <x v="0"/>
    <n v="8"/>
    <n v="11.81"/>
    <x v="41"/>
    <s v="161094-75-3"/>
    <x v="41"/>
    <n v="5.8500000000000003E-2"/>
  </r>
  <r>
    <s v="CCS002-JBA-08162021"/>
    <s v="Spill"/>
    <x v="0"/>
    <s v="Dace. Sp"/>
    <s v="Clinostomus"/>
    <s v="gibbosus"/>
    <s v="U"/>
    <x v="0"/>
    <n v="8"/>
    <n v="11.81"/>
    <x v="42"/>
    <s v="70887-84-2"/>
    <x v="42"/>
    <n v="4.4999999999999998E-2"/>
  </r>
  <r>
    <s v="CCS002-JBA-08162021"/>
    <s v="Spill"/>
    <x v="0"/>
    <s v="Dace. Sp"/>
    <s v="Clinostomus"/>
    <s v="gibbosus"/>
    <s v="U"/>
    <x v="0"/>
    <n v="8"/>
    <n v="11.81"/>
    <x v="43"/>
    <s v="919005-14-4"/>
    <x v="43"/>
    <n v="7.4499999999999997E-2"/>
  </r>
  <r>
    <s v="CCS002-JBA-08162021"/>
    <s v="Spill"/>
    <x v="0"/>
    <s v="Dace. Sp"/>
    <s v="Clinostomus"/>
    <s v="gibbosus"/>
    <s v="U"/>
    <x v="0"/>
    <n v="8"/>
    <n v="11.81"/>
    <x v="44"/>
    <s v="756426-58-1"/>
    <x v="44"/>
    <n v="7.4499999999999997E-2"/>
  </r>
  <r>
    <s v="CCS002-JBA-08162021"/>
    <s v="Spill"/>
    <x v="0"/>
    <s v="Dace. Sp"/>
    <s v="Clinostomus"/>
    <s v="gibbosus"/>
    <s v="U"/>
    <x v="0"/>
    <n v="8"/>
    <n v="11.81"/>
    <x v="45"/>
    <s v="763051-92-9"/>
    <x v="45"/>
    <n v="7.4499999999999997E-2"/>
  </r>
  <r>
    <s v="CCS002-JBA-08162021"/>
    <s v="Spill"/>
    <x v="0"/>
    <s v="Dace. Sp"/>
    <s v="Clinostomus"/>
    <s v="gibbosus"/>
    <s v="U"/>
    <x v="0"/>
    <n v="8"/>
    <n v="11.81"/>
    <x v="46"/>
    <s v="13252-13-6"/>
    <x v="46"/>
    <n v="0.107"/>
  </r>
  <r>
    <s v="CCS002-JBA-08162021"/>
    <s v="Spill"/>
    <x v="0"/>
    <s v="Dace. Sp"/>
    <s v="Clinostomus"/>
    <s v="gibbosus"/>
    <s v="U"/>
    <x v="0"/>
    <n v="8"/>
    <n v="11.81"/>
    <x v="47"/>
    <s v="57677-95-9"/>
    <x v="47"/>
    <n v="7.9000000000000001E-2"/>
  </r>
  <r>
    <s v="CCS002-JBA-08162021"/>
    <s v="Spill"/>
    <x v="0"/>
    <s v="Dace. Sp"/>
    <s v="Clinostomus"/>
    <s v="gibbosus"/>
    <s v="U"/>
    <x v="0"/>
    <n v="8"/>
    <n v="11.81"/>
    <x v="48"/>
    <s v="678-41-1"/>
    <x v="48"/>
    <n v="9.9000000000000005E-2"/>
  </r>
  <r>
    <s v="CCS002-JBA-08162021"/>
    <s v="Spill"/>
    <x v="0"/>
    <s v="Dace. Sp"/>
    <s v="Clinostomus"/>
    <s v="gibbosus"/>
    <s v="U"/>
    <x v="0"/>
    <n v="8"/>
    <n v="11.81"/>
    <x v="49"/>
    <s v="2965-52-8"/>
    <x v="49"/>
    <n v="0.13100000000000001"/>
  </r>
  <r>
    <s v="CC007-JBA-08132021"/>
    <s v="Spill"/>
    <x v="0"/>
    <s v="Creek Chubsucker"/>
    <s v="Erimyzon"/>
    <s v="gibbosus"/>
    <s v="U"/>
    <x v="0"/>
    <n v="8"/>
    <n v="11.81"/>
    <x v="0"/>
    <s v="375-22-4"/>
    <x v="0"/>
    <n v="6.1499999999999999E-2"/>
  </r>
  <r>
    <s v="CC007-JBA-08132021"/>
    <s v="Spill"/>
    <x v="0"/>
    <s v="Creek Chubsucker"/>
    <s v="Erimyzon"/>
    <s v="gibbosus"/>
    <s v="U"/>
    <x v="0"/>
    <n v="8"/>
    <n v="11.81"/>
    <x v="1"/>
    <s v="2706-90-3"/>
    <x v="1"/>
    <n v="4.335E-2"/>
  </r>
  <r>
    <s v="CC007-JBA-08132021"/>
    <s v="Spill"/>
    <x v="0"/>
    <s v="Creek Chubsucker"/>
    <s v="Erimyzon"/>
    <s v="gibbosus"/>
    <s v="U"/>
    <x v="0"/>
    <n v="8"/>
    <n v="11.81"/>
    <x v="2"/>
    <s v="307-24-4"/>
    <x v="2"/>
    <n v="3.3050000000000003E-2"/>
  </r>
  <r>
    <s v="CC007-JBA-08132021"/>
    <s v="Spill"/>
    <x v="0"/>
    <s v="Creek Chubsucker"/>
    <s v="Erimyzon"/>
    <s v="gibbosus"/>
    <s v="U"/>
    <x v="0"/>
    <n v="8"/>
    <n v="11.81"/>
    <x v="3"/>
    <s v="375-85-9"/>
    <x v="3"/>
    <n v="2.4549999999999999E-2"/>
  </r>
  <r>
    <s v="CC007-JBA-08132021"/>
    <s v="Spill"/>
    <x v="0"/>
    <s v="Creek Chubsucker"/>
    <s v="Erimyzon"/>
    <s v="gibbosus"/>
    <s v="U"/>
    <x v="0"/>
    <n v="8"/>
    <n v="11.81"/>
    <x v="4"/>
    <s v="335-67-1"/>
    <x v="4"/>
    <n v="1.0900000000000001"/>
  </r>
  <r>
    <s v="CC007-JBA-08132021"/>
    <s v="Spill"/>
    <x v="0"/>
    <s v="Creek Chubsucker"/>
    <s v="Erimyzon"/>
    <s v="gibbosus"/>
    <s v="U"/>
    <x v="0"/>
    <n v="8"/>
    <n v="11.81"/>
    <x v="5"/>
    <s v="375-95-1"/>
    <x v="5"/>
    <n v="0.93700000000000006"/>
  </r>
  <r>
    <s v="CC007-JBA-08132021"/>
    <s v="Spill"/>
    <x v="0"/>
    <s v="Creek Chubsucker"/>
    <s v="Erimyzon"/>
    <s v="gibbosus"/>
    <s v="U"/>
    <x v="0"/>
    <n v="8"/>
    <n v="11.81"/>
    <x v="6"/>
    <s v="335-76-2"/>
    <x v="6"/>
    <n v="7.54"/>
  </r>
  <r>
    <s v="CC007-JBA-08132021"/>
    <s v="Spill"/>
    <x v="0"/>
    <s v="Creek Chubsucker"/>
    <s v="Erimyzon"/>
    <s v="gibbosus"/>
    <s v="U"/>
    <x v="0"/>
    <n v="8"/>
    <n v="11.81"/>
    <x v="7"/>
    <s v="2058-94-8"/>
    <x v="7"/>
    <n v="9.56"/>
  </r>
  <r>
    <s v="CC007-JBA-08132021"/>
    <s v="Spill"/>
    <x v="0"/>
    <s v="Creek Chubsucker"/>
    <s v="Erimyzon"/>
    <s v="gibbosus"/>
    <s v="U"/>
    <x v="0"/>
    <n v="8"/>
    <n v="11.81"/>
    <x v="8"/>
    <s v="307-55-1"/>
    <x v="8"/>
    <n v="13.5"/>
  </r>
  <r>
    <s v="CC007-JBA-08132021"/>
    <s v="Spill"/>
    <x v="0"/>
    <s v="Creek Chubsucker"/>
    <s v="Erimyzon"/>
    <s v="gibbosus"/>
    <s v="U"/>
    <x v="0"/>
    <n v="8"/>
    <n v="11.81"/>
    <x v="9"/>
    <s v="72629-94-8"/>
    <x v="9"/>
    <n v="4.3099999999999996"/>
  </r>
  <r>
    <s v="CC007-JBA-08132021"/>
    <s v="Spill"/>
    <x v="0"/>
    <s v="Creek Chubsucker"/>
    <s v="Erimyzon"/>
    <s v="gibbosus"/>
    <s v="U"/>
    <x v="0"/>
    <n v="8"/>
    <n v="11.81"/>
    <x v="10"/>
    <s v="376-06-7"/>
    <x v="10"/>
    <n v="6.1"/>
  </r>
  <r>
    <s v="CC007-JBA-08132021"/>
    <s v="Spill"/>
    <x v="0"/>
    <s v="Creek Chubsucker"/>
    <s v="Erimyzon"/>
    <s v="gibbosus"/>
    <s v="U"/>
    <x v="0"/>
    <n v="8"/>
    <n v="11.81"/>
    <x v="11"/>
    <s v="67905-19-5"/>
    <x v="11"/>
    <n v="7.2999999999999995E-2"/>
  </r>
  <r>
    <s v="CC007-JBA-08132021"/>
    <s v="Spill"/>
    <x v="0"/>
    <s v="Creek Chubsucker"/>
    <s v="Erimyzon"/>
    <s v="gibbosus"/>
    <s v="U"/>
    <x v="0"/>
    <n v="8"/>
    <n v="11.81"/>
    <x v="12"/>
    <s v="423-41-6"/>
    <x v="12"/>
    <n v="4.6800000000000001E-2"/>
  </r>
  <r>
    <s v="CC007-JBA-08132021"/>
    <s v="Spill"/>
    <x v="0"/>
    <s v="Creek Chubsucker"/>
    <s v="Erimyzon"/>
    <s v="gibbosus"/>
    <s v="U"/>
    <x v="0"/>
    <n v="8"/>
    <n v="11.81"/>
    <x v="13"/>
    <s v="375-73-5"/>
    <x v="13"/>
    <n v="4.165E-2"/>
  </r>
  <r>
    <s v="CC007-JBA-08132021"/>
    <s v="Spill"/>
    <x v="0"/>
    <s v="Creek Chubsucker"/>
    <s v="Erimyzon"/>
    <s v="gibbosus"/>
    <s v="U"/>
    <x v="0"/>
    <n v="8"/>
    <n v="11.81"/>
    <x v="14"/>
    <s v="2706-91-4"/>
    <x v="14"/>
    <n v="0.53400000000000003"/>
  </r>
  <r>
    <s v="CC007-JBA-08132021"/>
    <s v="Spill"/>
    <x v="0"/>
    <s v="Creek Chubsucker"/>
    <s v="Erimyzon"/>
    <s v="gibbosus"/>
    <s v="U"/>
    <x v="0"/>
    <n v="8"/>
    <n v="11.81"/>
    <x v="15"/>
    <s v="355-46-4"/>
    <x v="15"/>
    <n v="29.4"/>
  </r>
  <r>
    <s v="CC007-JBA-08132021"/>
    <s v="Spill"/>
    <x v="0"/>
    <s v="Creek Chubsucker"/>
    <s v="Erimyzon"/>
    <s v="gibbosus"/>
    <s v="U"/>
    <x v="0"/>
    <n v="8"/>
    <n v="11.81"/>
    <x v="16"/>
    <s v="375-92-8"/>
    <x v="16"/>
    <n v="9.36"/>
  </r>
  <r>
    <s v="CC007-JBA-08132021"/>
    <s v="Spill"/>
    <x v="0"/>
    <s v="Creek Chubsucker"/>
    <s v="Erimyzon"/>
    <s v="gibbosus"/>
    <s v="U"/>
    <x v="0"/>
    <n v="8"/>
    <n v="11.81"/>
    <x v="17"/>
    <s v="1763-23-1"/>
    <x v="17"/>
    <n v="2820"/>
  </r>
  <r>
    <s v="CC007-JBA-08132021"/>
    <s v="Spill"/>
    <x v="0"/>
    <s v="Creek Chubsucker"/>
    <s v="Erimyzon"/>
    <s v="gibbosus"/>
    <s v="U"/>
    <x v="0"/>
    <n v="8"/>
    <n v="11.81"/>
    <x v="18"/>
    <s v="68259-12-1"/>
    <x v="18"/>
    <n v="2.96"/>
  </r>
  <r>
    <s v="CC007-JBA-08132021"/>
    <s v="Spill"/>
    <x v="0"/>
    <s v="Creek Chubsucker"/>
    <s v="Erimyzon"/>
    <s v="gibbosus"/>
    <s v="U"/>
    <x v="0"/>
    <n v="8"/>
    <n v="11.81"/>
    <x v="19"/>
    <s v="335-77-3"/>
    <x v="19"/>
    <n v="5.99"/>
  </r>
  <r>
    <s v="CC007-JBA-08132021"/>
    <s v="Spill"/>
    <x v="0"/>
    <s v="Creek Chubsucker"/>
    <s v="Erimyzon"/>
    <s v="gibbosus"/>
    <s v="U"/>
    <x v="0"/>
    <n v="8"/>
    <n v="11.81"/>
    <x v="20"/>
    <s v="79780-39-5"/>
    <x v="20"/>
    <n v="2.6"/>
  </r>
  <r>
    <s v="CC007-JBA-08132021"/>
    <s v="Spill"/>
    <x v="0"/>
    <s v="Creek Chubsucker"/>
    <s v="Erimyzon"/>
    <s v="gibbosus"/>
    <s v="U"/>
    <x v="0"/>
    <n v="8"/>
    <n v="11.81"/>
    <x v="21"/>
    <s v="777011-38-8"/>
    <x v="21"/>
    <n v="1.28"/>
  </r>
  <r>
    <s v="CC007-JBA-08132021"/>
    <s v="Spill"/>
    <x v="0"/>
    <s v="Creek Chubsucker"/>
    <s v="Erimyzon"/>
    <s v="gibbosus"/>
    <s v="U"/>
    <x v="0"/>
    <n v="8"/>
    <n v="11.81"/>
    <x v="22"/>
    <s v="646-83-3"/>
    <x v="22"/>
    <n v="0.64900000000000002"/>
  </r>
  <r>
    <s v="CC007-JBA-08132021"/>
    <s v="Spill"/>
    <x v="0"/>
    <s v="Creek Chubsucker"/>
    <s v="Erimyzon"/>
    <s v="gibbosus"/>
    <s v="U"/>
    <x v="0"/>
    <n v="8"/>
    <n v="11.81"/>
    <x v="23"/>
    <s v="30334-69-1"/>
    <x v="23"/>
    <n v="49"/>
  </r>
  <r>
    <s v="CC007-JBA-08132021"/>
    <s v="Spill"/>
    <x v="0"/>
    <s v="Creek Chubsucker"/>
    <s v="Erimyzon"/>
    <s v="gibbosus"/>
    <s v="U"/>
    <x v="0"/>
    <n v="8"/>
    <n v="11.81"/>
    <x v="24"/>
    <s v="41997-13-1"/>
    <x v="24"/>
    <n v="278"/>
  </r>
  <r>
    <s v="CC007-JBA-08132021"/>
    <s v="Spill"/>
    <x v="0"/>
    <s v="Creek Chubsucker"/>
    <s v="Erimyzon"/>
    <s v="gibbosus"/>
    <s v="U"/>
    <x v="0"/>
    <n v="8"/>
    <n v="11.81"/>
    <x v="25"/>
    <s v="754-91-6"/>
    <x v="25"/>
    <n v="30.3"/>
  </r>
  <r>
    <s v="CC007-JBA-08132021"/>
    <s v="Spill"/>
    <x v="0"/>
    <s v="Creek Chubsucker"/>
    <s v="Erimyzon"/>
    <s v="gibbosus"/>
    <s v="U"/>
    <x v="0"/>
    <n v="8"/>
    <n v="11.81"/>
    <x v="26"/>
    <s v="31506-32-8"/>
    <x v="26"/>
    <n v="4.725E-2"/>
  </r>
  <r>
    <s v="CC007-JBA-08132021"/>
    <s v="Spill"/>
    <x v="0"/>
    <s v="Creek Chubsucker"/>
    <s v="Erimyzon"/>
    <s v="gibbosus"/>
    <s v="U"/>
    <x v="0"/>
    <n v="8"/>
    <n v="11.81"/>
    <x v="27"/>
    <s v="4151-50-2"/>
    <x v="27"/>
    <n v="7.1499999999999994E-2"/>
  </r>
  <r>
    <s v="CC007-JBA-08132021"/>
    <s v="Spill"/>
    <x v="0"/>
    <s v="Creek Chubsucker"/>
    <s v="Erimyzon"/>
    <s v="gibbosus"/>
    <s v="U"/>
    <x v="0"/>
    <n v="8"/>
    <n v="11.81"/>
    <x v="28"/>
    <s v="2806-24-8"/>
    <x v="28"/>
    <n v="4.8349999999999997E-2"/>
  </r>
  <r>
    <s v="CC007-JBA-08132021"/>
    <s v="Spill"/>
    <x v="0"/>
    <s v="Creek Chubsucker"/>
    <s v="Erimyzon"/>
    <s v="gibbosus"/>
    <s v="U"/>
    <x v="0"/>
    <n v="8"/>
    <n v="11.81"/>
    <x v="29"/>
    <s v="2355-31-9"/>
    <x v="29"/>
    <n v="2.14"/>
  </r>
  <r>
    <s v="CC007-JBA-08132021"/>
    <s v="Spill"/>
    <x v="0"/>
    <s v="Creek Chubsucker"/>
    <s v="Erimyzon"/>
    <s v="gibbosus"/>
    <s v="U"/>
    <x v="0"/>
    <n v="8"/>
    <n v="11.81"/>
    <x v="30"/>
    <s v="2991-50-6"/>
    <x v="30"/>
    <n v="5.2999999999999999E-2"/>
  </r>
  <r>
    <s v="CC007-JBA-08132021"/>
    <s v="Spill"/>
    <x v="0"/>
    <s v="Creek Chubsucker"/>
    <s v="Erimyzon"/>
    <s v="gibbosus"/>
    <s v="U"/>
    <x v="0"/>
    <n v="8"/>
    <n v="11.81"/>
    <x v="31"/>
    <s v="757124-72-4"/>
    <x v="31"/>
    <n v="5.0500000000000003E-2"/>
  </r>
  <r>
    <s v="CC007-JBA-08132021"/>
    <s v="Spill"/>
    <x v="0"/>
    <s v="Creek Chubsucker"/>
    <s v="Erimyzon"/>
    <s v="gibbosus"/>
    <s v="U"/>
    <x v="0"/>
    <n v="8"/>
    <n v="11.81"/>
    <x v="32"/>
    <s v="27619-97-2"/>
    <x v="32"/>
    <n v="0.122"/>
  </r>
  <r>
    <s v="CC007-JBA-08132021"/>
    <s v="Spill"/>
    <x v="0"/>
    <s v="Creek Chubsucker"/>
    <s v="Erimyzon"/>
    <s v="gibbosus"/>
    <s v="U"/>
    <x v="0"/>
    <n v="8"/>
    <n v="11.81"/>
    <x v="33"/>
    <s v="39108-34-4"/>
    <x v="33"/>
    <n v="5.42"/>
  </r>
  <r>
    <s v="CC007-JBA-08132021"/>
    <s v="Spill"/>
    <x v="0"/>
    <s v="Creek Chubsucker"/>
    <s v="Erimyzon"/>
    <s v="gibbosus"/>
    <s v="U"/>
    <x v="0"/>
    <n v="8"/>
    <n v="11.81"/>
    <x v="34"/>
    <s v="120226-60-0"/>
    <x v="34"/>
    <n v="0.95699999999999996"/>
  </r>
  <r>
    <s v="CC007-JBA-08132021"/>
    <s v="Spill"/>
    <x v="0"/>
    <s v="Creek Chubsucker"/>
    <s v="Erimyzon"/>
    <s v="gibbosus"/>
    <s v="U"/>
    <x v="0"/>
    <n v="8"/>
    <n v="11.81"/>
    <x v="35"/>
    <s v="356-02-5"/>
    <x v="35"/>
    <n v="7.0999999999999994E-2"/>
  </r>
  <r>
    <s v="CC007-JBA-08132021"/>
    <s v="Spill"/>
    <x v="0"/>
    <s v="Creek Chubsucker"/>
    <s v="Erimyzon"/>
    <s v="gibbosus"/>
    <s v="U"/>
    <x v="0"/>
    <n v="8"/>
    <n v="11.81"/>
    <x v="36"/>
    <s v="914637-49-3"/>
    <x v="36"/>
    <n v="6.1499999999999999E-2"/>
  </r>
  <r>
    <s v="CC007-JBA-08132021"/>
    <s v="Spill"/>
    <x v="0"/>
    <s v="Creek Chubsucker"/>
    <s v="Erimyzon"/>
    <s v="gibbosus"/>
    <s v="U"/>
    <x v="0"/>
    <n v="8"/>
    <n v="11.81"/>
    <x v="37"/>
    <s v="812-70-4"/>
    <x v="37"/>
    <n v="5.0199999999999996"/>
  </r>
  <r>
    <s v="CC007-JBA-08132021"/>
    <s v="Spill"/>
    <x v="0"/>
    <s v="Creek Chubsucker"/>
    <s v="Erimyzon"/>
    <s v="gibbosus"/>
    <s v="U"/>
    <x v="0"/>
    <n v="8"/>
    <n v="11.81"/>
    <x v="38"/>
    <s v="53826-12-3"/>
    <x v="38"/>
    <n v="6.1499999999999999E-2"/>
  </r>
  <r>
    <s v="CC007-JBA-08132021"/>
    <s v="Spill"/>
    <x v="0"/>
    <s v="Creek Chubsucker"/>
    <s v="Erimyzon"/>
    <s v="gibbosus"/>
    <s v="U"/>
    <x v="0"/>
    <n v="8"/>
    <n v="11.81"/>
    <x v="39"/>
    <s v="27854-31-5"/>
    <x v="39"/>
    <n v="1.38"/>
  </r>
  <r>
    <s v="CC007-JBA-08132021"/>
    <s v="Spill"/>
    <x v="0"/>
    <s v="Creek Chubsucker"/>
    <s v="Erimyzon"/>
    <s v="gibbosus"/>
    <s v="U"/>
    <x v="0"/>
    <n v="8"/>
    <n v="11.81"/>
    <x v="40"/>
    <s v="53826-13-4"/>
    <x v="40"/>
    <n v="9.1499999999999998E-2"/>
  </r>
  <r>
    <s v="CC007-JBA-08132021"/>
    <s v="Spill"/>
    <x v="0"/>
    <s v="Creek Chubsucker"/>
    <s v="Erimyzon"/>
    <s v="gibbosus"/>
    <s v="U"/>
    <x v="0"/>
    <n v="8"/>
    <n v="11.81"/>
    <x v="41"/>
    <s v="161094-75-3"/>
    <x v="41"/>
    <n v="4.82E-2"/>
  </r>
  <r>
    <s v="CC007-JBA-08132021"/>
    <s v="Spill"/>
    <x v="0"/>
    <s v="Creek Chubsucker"/>
    <s v="Erimyzon"/>
    <s v="gibbosus"/>
    <s v="U"/>
    <x v="0"/>
    <n v="8"/>
    <n v="11.81"/>
    <x v="42"/>
    <s v="70887-84-2"/>
    <x v="42"/>
    <n v="3.7100000000000001E-2"/>
  </r>
  <r>
    <s v="CC007-JBA-08132021"/>
    <s v="Spill"/>
    <x v="0"/>
    <s v="Creek Chubsucker"/>
    <s v="Erimyzon"/>
    <s v="gibbosus"/>
    <s v="U"/>
    <x v="0"/>
    <n v="8"/>
    <n v="11.81"/>
    <x v="43"/>
    <s v="919005-14-4"/>
    <x v="43"/>
    <n v="6.1499999999999999E-2"/>
  </r>
  <r>
    <s v="CC007-JBA-08132021"/>
    <s v="Spill"/>
    <x v="0"/>
    <s v="Creek Chubsucker"/>
    <s v="Erimyzon"/>
    <s v="gibbosus"/>
    <s v="U"/>
    <x v="0"/>
    <n v="8"/>
    <n v="11.81"/>
    <x v="44"/>
    <s v="756426-58-1"/>
    <x v="44"/>
    <n v="6.1499999999999999E-2"/>
  </r>
  <r>
    <s v="CC007-JBA-08132021"/>
    <s v="Spill"/>
    <x v="0"/>
    <s v="Creek Chubsucker"/>
    <s v="Erimyzon"/>
    <s v="gibbosus"/>
    <s v="U"/>
    <x v="0"/>
    <n v="8"/>
    <n v="11.81"/>
    <x v="45"/>
    <s v="763051-92-9"/>
    <x v="45"/>
    <n v="6.1499999999999999E-2"/>
  </r>
  <r>
    <s v="CC007-JBA-08132021"/>
    <s v="Spill"/>
    <x v="0"/>
    <s v="Creek Chubsucker"/>
    <s v="Erimyzon"/>
    <s v="gibbosus"/>
    <s v="U"/>
    <x v="0"/>
    <n v="8"/>
    <n v="11.81"/>
    <x v="46"/>
    <s v="13252-13-6"/>
    <x v="46"/>
    <n v="8.7999999999999995E-2"/>
  </r>
  <r>
    <s v="CC007-JBA-08132021"/>
    <s v="Spill"/>
    <x v="0"/>
    <s v="Creek Chubsucker"/>
    <s v="Erimyzon"/>
    <s v="gibbosus"/>
    <s v="U"/>
    <x v="0"/>
    <n v="8"/>
    <n v="11.81"/>
    <x v="47"/>
    <s v="57677-95-9"/>
    <x v="47"/>
    <n v="6.5500000000000003E-2"/>
  </r>
  <r>
    <s v="CC007-JBA-08132021"/>
    <s v="Spill"/>
    <x v="0"/>
    <s v="Creek Chubsucker"/>
    <s v="Erimyzon"/>
    <s v="gibbosus"/>
    <s v="U"/>
    <x v="0"/>
    <n v="8"/>
    <n v="11.81"/>
    <x v="48"/>
    <s v="678-41-1"/>
    <x v="48"/>
    <n v="8.1500000000000003E-2"/>
  </r>
  <r>
    <s v="CC007-JBA-08132021"/>
    <s v="Spill"/>
    <x v="0"/>
    <s v="Creek Chubsucker"/>
    <s v="Erimyzon"/>
    <s v="gibbosus"/>
    <s v="U"/>
    <x v="0"/>
    <n v="8"/>
    <n v="11.81"/>
    <x v="49"/>
    <s v="2965-52-8"/>
    <x v="49"/>
    <n v="0.108"/>
  </r>
  <r>
    <s v="CS005-JBA-08132021"/>
    <s v="Spill"/>
    <x v="0"/>
    <s v="Darter sp."/>
    <s v="Etheostoma"/>
    <s v="gibbosus"/>
    <s v="U"/>
    <x v="0"/>
    <n v="8"/>
    <n v="11.81"/>
    <x v="0"/>
    <s v="375-22-4"/>
    <x v="0"/>
    <n v="0.23949999999999999"/>
  </r>
  <r>
    <s v="CS005-JBA-08132021"/>
    <s v="Spill"/>
    <x v="0"/>
    <s v="Darter sp."/>
    <s v="Etheostoma"/>
    <s v="gibbosus"/>
    <s v="U"/>
    <x v="0"/>
    <n v="8"/>
    <n v="11.81"/>
    <x v="1"/>
    <s v="2706-90-3"/>
    <x v="1"/>
    <n v="0.16900000000000001"/>
  </r>
  <r>
    <s v="CS005-JBA-08132021"/>
    <s v="Spill"/>
    <x v="0"/>
    <s v="Darter sp."/>
    <s v="Etheostoma"/>
    <s v="gibbosus"/>
    <s v="U"/>
    <x v="0"/>
    <n v="8"/>
    <n v="11.81"/>
    <x v="2"/>
    <s v="307-24-4"/>
    <x v="2"/>
    <n v="0.97499999999999998"/>
  </r>
  <r>
    <s v="CS005-JBA-08132021"/>
    <s v="Spill"/>
    <x v="0"/>
    <s v="Darter sp."/>
    <s v="Etheostoma"/>
    <s v="gibbosus"/>
    <s v="U"/>
    <x v="0"/>
    <n v="8"/>
    <n v="11.81"/>
    <x v="3"/>
    <s v="375-85-9"/>
    <x v="3"/>
    <n v="0.217"/>
  </r>
  <r>
    <s v="CS005-JBA-08132021"/>
    <s v="Spill"/>
    <x v="0"/>
    <s v="Darter sp."/>
    <s v="Etheostoma"/>
    <s v="gibbosus"/>
    <s v="U"/>
    <x v="0"/>
    <n v="8"/>
    <n v="11.81"/>
    <x v="4"/>
    <s v="335-67-1"/>
    <x v="4"/>
    <n v="3.89"/>
  </r>
  <r>
    <s v="CS005-JBA-08132021"/>
    <s v="Spill"/>
    <x v="0"/>
    <s v="Darter sp."/>
    <s v="Etheostoma"/>
    <s v="gibbosus"/>
    <s v="U"/>
    <x v="0"/>
    <n v="8"/>
    <n v="11.81"/>
    <x v="5"/>
    <s v="375-95-1"/>
    <x v="5"/>
    <n v="2.61"/>
  </r>
  <r>
    <s v="CS005-JBA-08132021"/>
    <s v="Spill"/>
    <x v="0"/>
    <s v="Darter sp."/>
    <s v="Etheostoma"/>
    <s v="gibbosus"/>
    <s v="U"/>
    <x v="0"/>
    <n v="8"/>
    <n v="11.81"/>
    <x v="6"/>
    <s v="335-76-2"/>
    <x v="6"/>
    <n v="3.33"/>
  </r>
  <r>
    <s v="CS005-JBA-08132021"/>
    <s v="Spill"/>
    <x v="0"/>
    <s v="Darter sp."/>
    <s v="Etheostoma"/>
    <s v="gibbosus"/>
    <s v="U"/>
    <x v="0"/>
    <n v="8"/>
    <n v="11.81"/>
    <x v="7"/>
    <s v="2058-94-8"/>
    <x v="7"/>
    <n v="2.99"/>
  </r>
  <r>
    <s v="CS005-JBA-08132021"/>
    <s v="Spill"/>
    <x v="0"/>
    <s v="Darter sp."/>
    <s v="Etheostoma"/>
    <s v="gibbosus"/>
    <s v="U"/>
    <x v="0"/>
    <n v="8"/>
    <n v="11.81"/>
    <x v="8"/>
    <s v="307-55-1"/>
    <x v="8"/>
    <n v="4.0599999999999996"/>
  </r>
  <r>
    <s v="CS005-JBA-08132021"/>
    <s v="Spill"/>
    <x v="0"/>
    <s v="Darter sp."/>
    <s v="Etheostoma"/>
    <s v="gibbosus"/>
    <s v="U"/>
    <x v="0"/>
    <n v="8"/>
    <n v="11.81"/>
    <x v="9"/>
    <s v="72629-94-8"/>
    <x v="9"/>
    <n v="0.98"/>
  </r>
  <r>
    <s v="CS005-JBA-08132021"/>
    <s v="Spill"/>
    <x v="0"/>
    <s v="Darter sp."/>
    <s v="Etheostoma"/>
    <s v="gibbosus"/>
    <s v="U"/>
    <x v="0"/>
    <n v="8"/>
    <n v="11.81"/>
    <x v="10"/>
    <s v="376-06-7"/>
    <x v="10"/>
    <n v="2.09"/>
  </r>
  <r>
    <s v="CS005-JBA-08132021"/>
    <s v="Spill"/>
    <x v="0"/>
    <s v="Darter sp."/>
    <s v="Etheostoma"/>
    <s v="gibbosus"/>
    <s v="U"/>
    <x v="0"/>
    <n v="8"/>
    <n v="11.81"/>
    <x v="11"/>
    <s v="67905-19-5"/>
    <x v="11"/>
    <n v="8.6499999999999994E-2"/>
  </r>
  <r>
    <s v="CS005-JBA-08132021"/>
    <s v="Spill"/>
    <x v="0"/>
    <s v="Darter sp."/>
    <s v="Etheostoma"/>
    <s v="gibbosus"/>
    <s v="U"/>
    <x v="0"/>
    <n v="8"/>
    <n v="11.81"/>
    <x v="12"/>
    <s v="423-41-6"/>
    <x v="12"/>
    <n v="5.5500000000000001E-2"/>
  </r>
  <r>
    <s v="CS005-JBA-08132021"/>
    <s v="Spill"/>
    <x v="0"/>
    <s v="Darter sp."/>
    <s v="Etheostoma"/>
    <s v="gibbosus"/>
    <s v="U"/>
    <x v="0"/>
    <n v="8"/>
    <n v="11.81"/>
    <x v="13"/>
    <s v="375-73-5"/>
    <x v="13"/>
    <n v="0.16300000000000001"/>
  </r>
  <r>
    <s v="CS005-JBA-08132021"/>
    <s v="Spill"/>
    <x v="0"/>
    <s v="Darter sp."/>
    <s v="Etheostoma"/>
    <s v="gibbosus"/>
    <s v="U"/>
    <x v="0"/>
    <n v="8"/>
    <n v="11.81"/>
    <x v="14"/>
    <s v="2706-91-4"/>
    <x v="14"/>
    <n v="0.90800000000000003"/>
  </r>
  <r>
    <s v="CS005-JBA-08132021"/>
    <s v="Spill"/>
    <x v="0"/>
    <s v="Darter sp."/>
    <s v="Etheostoma"/>
    <s v="gibbosus"/>
    <s v="U"/>
    <x v="0"/>
    <n v="8"/>
    <n v="11.81"/>
    <x v="15"/>
    <s v="355-46-4"/>
    <x v="15"/>
    <n v="49.7"/>
  </r>
  <r>
    <s v="CS005-JBA-08132021"/>
    <s v="Spill"/>
    <x v="0"/>
    <s v="Darter sp."/>
    <s v="Etheostoma"/>
    <s v="gibbosus"/>
    <s v="U"/>
    <x v="0"/>
    <n v="8"/>
    <n v="11.81"/>
    <x v="16"/>
    <s v="375-92-8"/>
    <x v="16"/>
    <n v="3.73"/>
  </r>
  <r>
    <s v="CS005-JBA-08132021"/>
    <s v="Spill"/>
    <x v="0"/>
    <s v="Darter sp."/>
    <s v="Etheostoma"/>
    <s v="gibbosus"/>
    <s v="U"/>
    <x v="0"/>
    <n v="8"/>
    <n v="11.81"/>
    <x v="17"/>
    <s v="1763-23-1"/>
    <x v="17"/>
    <n v="653"/>
  </r>
  <r>
    <s v="CS005-JBA-08132021"/>
    <s v="Spill"/>
    <x v="0"/>
    <s v="Darter sp."/>
    <s v="Etheostoma"/>
    <s v="gibbosus"/>
    <s v="U"/>
    <x v="0"/>
    <n v="8"/>
    <n v="11.81"/>
    <x v="18"/>
    <s v="68259-12-1"/>
    <x v="18"/>
    <n v="0.81200000000000006"/>
  </r>
  <r>
    <s v="CS005-JBA-08132021"/>
    <s v="Spill"/>
    <x v="0"/>
    <s v="Darter sp."/>
    <s v="Etheostoma"/>
    <s v="gibbosus"/>
    <s v="U"/>
    <x v="0"/>
    <n v="8"/>
    <n v="11.81"/>
    <x v="19"/>
    <s v="335-77-3"/>
    <x v="19"/>
    <n v="0.56999999999999995"/>
  </r>
  <r>
    <s v="CS005-JBA-08132021"/>
    <s v="Spill"/>
    <x v="0"/>
    <s v="Darter sp."/>
    <s v="Etheostoma"/>
    <s v="gibbosus"/>
    <s v="U"/>
    <x v="0"/>
    <n v="8"/>
    <n v="11.81"/>
    <x v="20"/>
    <s v="79780-39-5"/>
    <x v="20"/>
    <n v="0.25600000000000001"/>
  </r>
  <r>
    <s v="CS005-JBA-08132021"/>
    <s v="Spill"/>
    <x v="0"/>
    <s v="Darter sp."/>
    <s v="Etheostoma"/>
    <s v="gibbosus"/>
    <s v="U"/>
    <x v="0"/>
    <n v="8"/>
    <n v="11.81"/>
    <x v="21"/>
    <s v="777011-38-8"/>
    <x v="21"/>
    <n v="0.14549999999999999"/>
  </r>
  <r>
    <s v="CS005-JBA-08132021"/>
    <s v="Spill"/>
    <x v="0"/>
    <s v="Darter sp."/>
    <s v="Etheostoma"/>
    <s v="gibbosus"/>
    <s v="U"/>
    <x v="0"/>
    <n v="8"/>
    <n v="11.81"/>
    <x v="22"/>
    <s v="646-83-3"/>
    <x v="22"/>
    <n v="0.35199999999999998"/>
  </r>
  <r>
    <s v="CS005-JBA-08132021"/>
    <s v="Spill"/>
    <x v="0"/>
    <s v="Darter sp."/>
    <s v="Etheostoma"/>
    <s v="gibbosus"/>
    <s v="U"/>
    <x v="0"/>
    <n v="8"/>
    <n v="11.81"/>
    <x v="23"/>
    <s v="30334-69-1"/>
    <x v="23"/>
    <n v="17.2"/>
  </r>
  <r>
    <s v="CS005-JBA-08132021"/>
    <s v="Spill"/>
    <x v="0"/>
    <s v="Darter sp."/>
    <s v="Etheostoma"/>
    <s v="gibbosus"/>
    <s v="U"/>
    <x v="0"/>
    <n v="8"/>
    <n v="11.81"/>
    <x v="24"/>
    <s v="41997-13-1"/>
    <x v="24"/>
    <n v="118"/>
  </r>
  <r>
    <s v="CS005-JBA-08132021"/>
    <s v="Spill"/>
    <x v="0"/>
    <s v="Darter sp."/>
    <s v="Etheostoma"/>
    <s v="gibbosus"/>
    <s v="U"/>
    <x v="0"/>
    <n v="8"/>
    <n v="11.81"/>
    <x v="25"/>
    <s v="754-91-6"/>
    <x v="25"/>
    <n v="32"/>
  </r>
  <r>
    <s v="CS005-JBA-08132021"/>
    <s v="Spill"/>
    <x v="0"/>
    <s v="Darter sp."/>
    <s v="Etheostoma"/>
    <s v="gibbosus"/>
    <s v="U"/>
    <x v="0"/>
    <n v="8"/>
    <n v="11.81"/>
    <x v="26"/>
    <s v="31506-32-8"/>
    <x v="26"/>
    <n v="5.6000000000000001E-2"/>
  </r>
  <r>
    <s v="CS005-JBA-08132021"/>
    <s v="Spill"/>
    <x v="0"/>
    <s v="Darter sp."/>
    <s v="Etheostoma"/>
    <s v="gibbosus"/>
    <s v="U"/>
    <x v="0"/>
    <n v="8"/>
    <n v="11.81"/>
    <x v="27"/>
    <s v="4151-50-2"/>
    <x v="27"/>
    <n v="8.4500000000000006E-2"/>
  </r>
  <r>
    <s v="CS005-JBA-08132021"/>
    <s v="Spill"/>
    <x v="0"/>
    <s v="Darter sp."/>
    <s v="Etheostoma"/>
    <s v="gibbosus"/>
    <s v="U"/>
    <x v="0"/>
    <n v="8"/>
    <n v="11.81"/>
    <x v="28"/>
    <s v="2806-24-8"/>
    <x v="28"/>
    <n v="5.7000000000000002E-2"/>
  </r>
  <r>
    <s v="CS005-JBA-08132021"/>
    <s v="Spill"/>
    <x v="0"/>
    <s v="Darter sp."/>
    <s v="Etheostoma"/>
    <s v="gibbosus"/>
    <s v="U"/>
    <x v="0"/>
    <n v="8"/>
    <n v="11.81"/>
    <x v="29"/>
    <s v="2355-31-9"/>
    <x v="29"/>
    <n v="0.24099999999999999"/>
  </r>
  <r>
    <s v="CS005-JBA-08132021"/>
    <s v="Spill"/>
    <x v="0"/>
    <s v="Darter sp."/>
    <s v="Etheostoma"/>
    <s v="gibbosus"/>
    <s v="U"/>
    <x v="0"/>
    <n v="8"/>
    <n v="11.81"/>
    <x v="30"/>
    <s v="2991-50-6"/>
    <x v="30"/>
    <n v="6.3E-2"/>
  </r>
  <r>
    <s v="CS005-JBA-08132021"/>
    <s v="Spill"/>
    <x v="0"/>
    <s v="Darter sp."/>
    <s v="Etheostoma"/>
    <s v="gibbosus"/>
    <s v="U"/>
    <x v="0"/>
    <n v="8"/>
    <n v="11.81"/>
    <x v="31"/>
    <s v="757124-72-4"/>
    <x v="31"/>
    <n v="5.9499999999999997E-2"/>
  </r>
  <r>
    <s v="CS005-JBA-08132021"/>
    <s v="Spill"/>
    <x v="0"/>
    <s v="Darter sp."/>
    <s v="Etheostoma"/>
    <s v="gibbosus"/>
    <s v="U"/>
    <x v="0"/>
    <n v="8"/>
    <n v="11.81"/>
    <x v="32"/>
    <s v="27619-97-2"/>
    <x v="32"/>
    <n v="1.99"/>
  </r>
  <r>
    <s v="CS005-JBA-08132021"/>
    <s v="Spill"/>
    <x v="0"/>
    <s v="Darter sp."/>
    <s v="Etheostoma"/>
    <s v="gibbosus"/>
    <s v="U"/>
    <x v="0"/>
    <n v="8"/>
    <n v="11.81"/>
    <x v="33"/>
    <s v="39108-34-4"/>
    <x v="33"/>
    <n v="3.99"/>
  </r>
  <r>
    <s v="CS005-JBA-08132021"/>
    <s v="Spill"/>
    <x v="0"/>
    <s v="Darter sp."/>
    <s v="Etheostoma"/>
    <s v="gibbosus"/>
    <s v="U"/>
    <x v="0"/>
    <n v="8"/>
    <n v="11.81"/>
    <x v="34"/>
    <s v="120226-60-0"/>
    <x v="34"/>
    <n v="8.2500000000000004E-2"/>
  </r>
  <r>
    <s v="CS005-JBA-08132021"/>
    <s v="Spill"/>
    <x v="0"/>
    <s v="Darter sp."/>
    <s v="Etheostoma"/>
    <s v="gibbosus"/>
    <s v="U"/>
    <x v="0"/>
    <n v="8"/>
    <n v="11.81"/>
    <x v="35"/>
    <s v="356-02-5"/>
    <x v="35"/>
    <n v="8.3500000000000005E-2"/>
  </r>
  <r>
    <s v="CS005-JBA-08132021"/>
    <s v="Spill"/>
    <x v="0"/>
    <s v="Darter sp."/>
    <s v="Etheostoma"/>
    <s v="gibbosus"/>
    <s v="U"/>
    <x v="0"/>
    <n v="8"/>
    <n v="11.81"/>
    <x v="36"/>
    <s v="914637-49-3"/>
    <x v="36"/>
    <n v="0.56899999999999995"/>
  </r>
  <r>
    <s v="CS005-JBA-08132021"/>
    <s v="Spill"/>
    <x v="0"/>
    <s v="Darter sp."/>
    <s v="Etheostoma"/>
    <s v="gibbosus"/>
    <s v="U"/>
    <x v="0"/>
    <n v="8"/>
    <n v="11.81"/>
    <x v="37"/>
    <s v="812-70-4"/>
    <x v="37"/>
    <n v="4.46"/>
  </r>
  <r>
    <s v="CS005-JBA-08132021"/>
    <s v="Spill"/>
    <x v="0"/>
    <s v="Darter sp."/>
    <s v="Etheostoma"/>
    <s v="gibbosus"/>
    <s v="U"/>
    <x v="0"/>
    <n v="8"/>
    <n v="11.81"/>
    <x v="38"/>
    <s v="53826-12-3"/>
    <x v="38"/>
    <n v="0.23949999999999999"/>
  </r>
  <r>
    <s v="CS005-JBA-08132021"/>
    <s v="Spill"/>
    <x v="0"/>
    <s v="Darter sp."/>
    <s v="Etheostoma"/>
    <s v="gibbosus"/>
    <s v="U"/>
    <x v="0"/>
    <n v="8"/>
    <n v="11.81"/>
    <x v="39"/>
    <s v="27854-31-5"/>
    <x v="39"/>
    <n v="0.73499999999999999"/>
  </r>
  <r>
    <s v="CS005-JBA-08132021"/>
    <s v="Spill"/>
    <x v="0"/>
    <s v="Darter sp."/>
    <s v="Etheostoma"/>
    <s v="gibbosus"/>
    <s v="U"/>
    <x v="0"/>
    <n v="8"/>
    <n v="11.81"/>
    <x v="40"/>
    <s v="53826-13-4"/>
    <x v="40"/>
    <n v="0.35699999999999998"/>
  </r>
  <r>
    <s v="CS005-JBA-08132021"/>
    <s v="Spill"/>
    <x v="0"/>
    <s v="Darter sp."/>
    <s v="Etheostoma"/>
    <s v="gibbosus"/>
    <s v="U"/>
    <x v="0"/>
    <n v="8"/>
    <n v="11.81"/>
    <x v="41"/>
    <s v="161094-75-3"/>
    <x v="41"/>
    <n v="5.7000000000000002E-2"/>
  </r>
  <r>
    <s v="CS005-JBA-08132021"/>
    <s v="Spill"/>
    <x v="0"/>
    <s v="Darter sp."/>
    <s v="Etheostoma"/>
    <s v="gibbosus"/>
    <s v="U"/>
    <x v="0"/>
    <n v="8"/>
    <n v="11.81"/>
    <x v="42"/>
    <s v="70887-84-2"/>
    <x v="42"/>
    <n v="4.3799999999999999E-2"/>
  </r>
  <r>
    <s v="CS005-JBA-08132021"/>
    <s v="Spill"/>
    <x v="0"/>
    <s v="Darter sp."/>
    <s v="Etheostoma"/>
    <s v="gibbosus"/>
    <s v="U"/>
    <x v="0"/>
    <n v="8"/>
    <n v="11.81"/>
    <x v="43"/>
    <s v="919005-14-4"/>
    <x v="43"/>
    <n v="7.2499999999999995E-2"/>
  </r>
  <r>
    <s v="CS005-JBA-08132021"/>
    <s v="Spill"/>
    <x v="0"/>
    <s v="Darter sp."/>
    <s v="Etheostoma"/>
    <s v="gibbosus"/>
    <s v="U"/>
    <x v="0"/>
    <n v="8"/>
    <n v="11.81"/>
    <x v="44"/>
    <s v="756426-58-1"/>
    <x v="44"/>
    <n v="7.2499999999999995E-2"/>
  </r>
  <r>
    <s v="CS005-JBA-08132021"/>
    <s v="Spill"/>
    <x v="0"/>
    <s v="Darter sp."/>
    <s v="Etheostoma"/>
    <s v="gibbosus"/>
    <s v="U"/>
    <x v="0"/>
    <n v="8"/>
    <n v="11.81"/>
    <x v="45"/>
    <s v="763051-92-9"/>
    <x v="45"/>
    <n v="7.2499999999999995E-2"/>
  </r>
  <r>
    <s v="CS005-JBA-08132021"/>
    <s v="Spill"/>
    <x v="0"/>
    <s v="Darter sp."/>
    <s v="Etheostoma"/>
    <s v="gibbosus"/>
    <s v="U"/>
    <x v="0"/>
    <n v="8"/>
    <n v="11.81"/>
    <x v="46"/>
    <s v="13252-13-6"/>
    <x v="46"/>
    <n v="0.104"/>
  </r>
  <r>
    <s v="CS005-JBA-08132021"/>
    <s v="Spill"/>
    <x v="0"/>
    <s v="Darter sp."/>
    <s v="Etheostoma"/>
    <s v="gibbosus"/>
    <s v="U"/>
    <x v="0"/>
    <n v="8"/>
    <n v="11.81"/>
    <x v="47"/>
    <s v="57677-95-9"/>
    <x v="47"/>
    <n v="7.7499999999999999E-2"/>
  </r>
  <r>
    <s v="CS005-JBA-08132021"/>
    <s v="Spill"/>
    <x v="0"/>
    <s v="Darter sp."/>
    <s v="Etheostoma"/>
    <s v="gibbosus"/>
    <s v="U"/>
    <x v="0"/>
    <n v="8"/>
    <n v="11.81"/>
    <x v="48"/>
    <s v="678-41-1"/>
    <x v="48"/>
    <n v="9.6000000000000002E-2"/>
  </r>
  <r>
    <s v="CS005-JBA-08132021"/>
    <s v="Spill"/>
    <x v="0"/>
    <s v="Darter sp."/>
    <s v="Etheostoma"/>
    <s v="gibbosus"/>
    <s v="U"/>
    <x v="0"/>
    <n v="8"/>
    <n v="11.81"/>
    <x v="49"/>
    <s v="2965-52-8"/>
    <x v="49"/>
    <n v="0.1275"/>
  </r>
  <r>
    <s v="CS006-JBA-08132021"/>
    <s v="Spill"/>
    <x v="0"/>
    <s v="Darter sp."/>
    <s v="Etheostoma"/>
    <s v="gibbosus"/>
    <s v="U"/>
    <x v="0"/>
    <n v="8"/>
    <n v="11.81"/>
    <x v="0"/>
    <s v="375-22-4"/>
    <x v="0"/>
    <n v="0.2215"/>
  </r>
  <r>
    <s v="CS006-JBA-08132021"/>
    <s v="Spill"/>
    <x v="0"/>
    <s v="Darter sp."/>
    <s v="Etheostoma"/>
    <s v="gibbosus"/>
    <s v="U"/>
    <x v="0"/>
    <n v="8"/>
    <n v="11.81"/>
    <x v="1"/>
    <s v="2706-90-3"/>
    <x v="1"/>
    <n v="0.1565"/>
  </r>
  <r>
    <s v="CS006-JBA-08132021"/>
    <s v="Spill"/>
    <x v="0"/>
    <s v="Darter sp."/>
    <s v="Etheostoma"/>
    <s v="gibbosus"/>
    <s v="U"/>
    <x v="0"/>
    <n v="8"/>
    <n v="11.81"/>
    <x v="2"/>
    <s v="307-24-4"/>
    <x v="2"/>
    <n v="0.751"/>
  </r>
  <r>
    <s v="CS006-JBA-08132021"/>
    <s v="Spill"/>
    <x v="0"/>
    <s v="Darter sp."/>
    <s v="Etheostoma"/>
    <s v="gibbosus"/>
    <s v="U"/>
    <x v="0"/>
    <n v="8"/>
    <n v="11.81"/>
    <x v="3"/>
    <s v="375-85-9"/>
    <x v="3"/>
    <n v="0.30199999999999999"/>
  </r>
  <r>
    <s v="CS006-JBA-08132021"/>
    <s v="Spill"/>
    <x v="0"/>
    <s v="Darter sp."/>
    <s v="Etheostoma"/>
    <s v="gibbosus"/>
    <s v="U"/>
    <x v="0"/>
    <n v="8"/>
    <n v="11.81"/>
    <x v="4"/>
    <s v="335-67-1"/>
    <x v="4"/>
    <n v="4.8499999999999996"/>
  </r>
  <r>
    <s v="CS006-JBA-08132021"/>
    <s v="Spill"/>
    <x v="0"/>
    <s v="Darter sp."/>
    <s v="Etheostoma"/>
    <s v="gibbosus"/>
    <s v="U"/>
    <x v="0"/>
    <n v="8"/>
    <n v="11.81"/>
    <x v="5"/>
    <s v="375-95-1"/>
    <x v="5"/>
    <n v="2.86"/>
  </r>
  <r>
    <s v="CS006-JBA-08132021"/>
    <s v="Spill"/>
    <x v="0"/>
    <s v="Darter sp."/>
    <s v="Etheostoma"/>
    <s v="gibbosus"/>
    <s v="U"/>
    <x v="0"/>
    <n v="8"/>
    <n v="11.81"/>
    <x v="6"/>
    <s v="335-76-2"/>
    <x v="6"/>
    <n v="3.13"/>
  </r>
  <r>
    <s v="CS006-JBA-08132021"/>
    <s v="Spill"/>
    <x v="0"/>
    <s v="Darter sp."/>
    <s v="Etheostoma"/>
    <s v="gibbosus"/>
    <s v="U"/>
    <x v="0"/>
    <n v="8"/>
    <n v="11.81"/>
    <x v="7"/>
    <s v="2058-94-8"/>
    <x v="7"/>
    <n v="3.22"/>
  </r>
  <r>
    <s v="CS006-JBA-08132021"/>
    <s v="Spill"/>
    <x v="0"/>
    <s v="Darter sp."/>
    <s v="Etheostoma"/>
    <s v="gibbosus"/>
    <s v="U"/>
    <x v="0"/>
    <n v="8"/>
    <n v="11.81"/>
    <x v="8"/>
    <s v="307-55-1"/>
    <x v="8"/>
    <n v="6.8"/>
  </r>
  <r>
    <s v="CS006-JBA-08132021"/>
    <s v="Spill"/>
    <x v="0"/>
    <s v="Darter sp."/>
    <s v="Etheostoma"/>
    <s v="gibbosus"/>
    <s v="U"/>
    <x v="0"/>
    <n v="8"/>
    <n v="11.81"/>
    <x v="9"/>
    <s v="72629-94-8"/>
    <x v="9"/>
    <n v="2.48"/>
  </r>
  <r>
    <s v="CS006-JBA-08132021"/>
    <s v="Spill"/>
    <x v="0"/>
    <s v="Darter sp."/>
    <s v="Etheostoma"/>
    <s v="gibbosus"/>
    <s v="U"/>
    <x v="0"/>
    <n v="8"/>
    <n v="11.81"/>
    <x v="10"/>
    <s v="376-06-7"/>
    <x v="10"/>
    <n v="1.39"/>
  </r>
  <r>
    <s v="CS006-JBA-08132021"/>
    <s v="Spill"/>
    <x v="0"/>
    <s v="Darter sp."/>
    <s v="Etheostoma"/>
    <s v="gibbosus"/>
    <s v="U"/>
    <x v="0"/>
    <n v="8"/>
    <n v="11.81"/>
    <x v="11"/>
    <s v="67905-19-5"/>
    <x v="11"/>
    <n v="0.08"/>
  </r>
  <r>
    <s v="CS006-JBA-08132021"/>
    <s v="Spill"/>
    <x v="0"/>
    <s v="Darter sp."/>
    <s v="Etheostoma"/>
    <s v="gibbosus"/>
    <s v="U"/>
    <x v="0"/>
    <n v="8"/>
    <n v="11.81"/>
    <x v="12"/>
    <s v="423-41-6"/>
    <x v="12"/>
    <n v="5.0999999999999997E-2"/>
  </r>
  <r>
    <s v="CS006-JBA-08132021"/>
    <s v="Spill"/>
    <x v="0"/>
    <s v="Darter sp."/>
    <s v="Etheostoma"/>
    <s v="gibbosus"/>
    <s v="U"/>
    <x v="0"/>
    <n v="8"/>
    <n v="11.81"/>
    <x v="13"/>
    <s v="375-73-5"/>
    <x v="13"/>
    <n v="0.151"/>
  </r>
  <r>
    <s v="CS006-JBA-08132021"/>
    <s v="Spill"/>
    <x v="0"/>
    <s v="Darter sp."/>
    <s v="Etheostoma"/>
    <s v="gibbosus"/>
    <s v="U"/>
    <x v="0"/>
    <n v="8"/>
    <n v="11.81"/>
    <x v="14"/>
    <s v="2706-91-4"/>
    <x v="14"/>
    <n v="0.58699999999999997"/>
  </r>
  <r>
    <s v="CS006-JBA-08132021"/>
    <s v="Spill"/>
    <x v="0"/>
    <s v="Darter sp."/>
    <s v="Etheostoma"/>
    <s v="gibbosus"/>
    <s v="U"/>
    <x v="0"/>
    <n v="8"/>
    <n v="11.81"/>
    <x v="15"/>
    <s v="355-46-4"/>
    <x v="15"/>
    <n v="45.1"/>
  </r>
  <r>
    <s v="CS006-JBA-08132021"/>
    <s v="Spill"/>
    <x v="0"/>
    <s v="Darter sp."/>
    <s v="Etheostoma"/>
    <s v="gibbosus"/>
    <s v="U"/>
    <x v="0"/>
    <n v="8"/>
    <n v="11.81"/>
    <x v="16"/>
    <s v="375-92-8"/>
    <x v="16"/>
    <n v="3.21"/>
  </r>
  <r>
    <s v="CS006-JBA-08132021"/>
    <s v="Spill"/>
    <x v="0"/>
    <s v="Darter sp."/>
    <s v="Etheostoma"/>
    <s v="gibbosus"/>
    <s v="U"/>
    <x v="0"/>
    <n v="8"/>
    <n v="11.81"/>
    <x v="17"/>
    <s v="1763-23-1"/>
    <x v="17"/>
    <n v="710"/>
  </r>
  <r>
    <s v="CS006-JBA-08132021"/>
    <s v="Spill"/>
    <x v="0"/>
    <s v="Darter sp."/>
    <s v="Etheostoma"/>
    <s v="gibbosus"/>
    <s v="U"/>
    <x v="0"/>
    <n v="8"/>
    <n v="11.81"/>
    <x v="18"/>
    <s v="68259-12-1"/>
    <x v="18"/>
    <n v="0.64300000000000002"/>
  </r>
  <r>
    <s v="CS006-JBA-08132021"/>
    <s v="Spill"/>
    <x v="0"/>
    <s v="Darter sp."/>
    <s v="Etheostoma"/>
    <s v="gibbosus"/>
    <s v="U"/>
    <x v="0"/>
    <n v="8"/>
    <n v="11.81"/>
    <x v="19"/>
    <s v="335-77-3"/>
    <x v="19"/>
    <n v="0.67200000000000004"/>
  </r>
  <r>
    <s v="CS006-JBA-08132021"/>
    <s v="Spill"/>
    <x v="0"/>
    <s v="Darter sp."/>
    <s v="Etheostoma"/>
    <s v="gibbosus"/>
    <s v="U"/>
    <x v="0"/>
    <n v="8"/>
    <n v="11.81"/>
    <x v="20"/>
    <s v="79780-39-5"/>
    <x v="20"/>
    <n v="0.23699999999999999"/>
  </r>
  <r>
    <s v="CS006-JBA-08132021"/>
    <s v="Spill"/>
    <x v="0"/>
    <s v="Darter sp."/>
    <s v="Etheostoma"/>
    <s v="gibbosus"/>
    <s v="U"/>
    <x v="0"/>
    <n v="8"/>
    <n v="11.81"/>
    <x v="21"/>
    <s v="777011-38-8"/>
    <x v="21"/>
    <n v="0.13450000000000001"/>
  </r>
  <r>
    <s v="CS006-JBA-08132021"/>
    <s v="Spill"/>
    <x v="0"/>
    <s v="Darter sp."/>
    <s v="Etheostoma"/>
    <s v="gibbosus"/>
    <s v="U"/>
    <x v="0"/>
    <n v="8"/>
    <n v="11.81"/>
    <x v="22"/>
    <s v="646-83-3"/>
    <x v="22"/>
    <n v="0.3"/>
  </r>
  <r>
    <s v="CS006-JBA-08132021"/>
    <s v="Spill"/>
    <x v="0"/>
    <s v="Darter sp."/>
    <s v="Etheostoma"/>
    <s v="gibbosus"/>
    <s v="U"/>
    <x v="0"/>
    <n v="8"/>
    <n v="11.81"/>
    <x v="23"/>
    <s v="30334-69-1"/>
    <x v="23"/>
    <n v="24.7"/>
  </r>
  <r>
    <s v="CS006-JBA-08132021"/>
    <s v="Spill"/>
    <x v="0"/>
    <s v="Darter sp."/>
    <s v="Etheostoma"/>
    <s v="gibbosus"/>
    <s v="U"/>
    <x v="0"/>
    <n v="8"/>
    <n v="11.81"/>
    <x v="24"/>
    <s v="41997-13-1"/>
    <x v="24"/>
    <n v="127"/>
  </r>
  <r>
    <s v="CS006-JBA-08132021"/>
    <s v="Spill"/>
    <x v="0"/>
    <s v="Darter sp."/>
    <s v="Etheostoma"/>
    <s v="gibbosus"/>
    <s v="U"/>
    <x v="0"/>
    <n v="8"/>
    <n v="11.81"/>
    <x v="25"/>
    <s v="754-91-6"/>
    <x v="25"/>
    <n v="25.8"/>
  </r>
  <r>
    <s v="CS006-JBA-08132021"/>
    <s v="Spill"/>
    <x v="0"/>
    <s v="Darter sp."/>
    <s v="Etheostoma"/>
    <s v="gibbosus"/>
    <s v="U"/>
    <x v="0"/>
    <n v="8"/>
    <n v="11.81"/>
    <x v="26"/>
    <s v="31506-32-8"/>
    <x v="26"/>
    <n v="5.1499999999999997E-2"/>
  </r>
  <r>
    <s v="CS006-JBA-08132021"/>
    <s v="Spill"/>
    <x v="0"/>
    <s v="Darter sp."/>
    <s v="Etheostoma"/>
    <s v="gibbosus"/>
    <s v="U"/>
    <x v="0"/>
    <n v="8"/>
    <n v="11.81"/>
    <x v="27"/>
    <s v="4151-50-2"/>
    <x v="27"/>
    <n v="7.85E-2"/>
  </r>
  <r>
    <s v="CS006-JBA-08132021"/>
    <s v="Spill"/>
    <x v="0"/>
    <s v="Darter sp."/>
    <s v="Etheostoma"/>
    <s v="gibbosus"/>
    <s v="U"/>
    <x v="0"/>
    <n v="8"/>
    <n v="11.81"/>
    <x v="28"/>
    <s v="2806-24-8"/>
    <x v="28"/>
    <n v="5.2999999999999999E-2"/>
  </r>
  <r>
    <s v="CS006-JBA-08132021"/>
    <s v="Spill"/>
    <x v="0"/>
    <s v="Darter sp."/>
    <s v="Etheostoma"/>
    <s v="gibbosus"/>
    <s v="U"/>
    <x v="0"/>
    <n v="8"/>
    <n v="11.81"/>
    <x v="29"/>
    <s v="2355-31-9"/>
    <x v="29"/>
    <n v="0.223"/>
  </r>
  <r>
    <s v="CS006-JBA-08132021"/>
    <s v="Spill"/>
    <x v="0"/>
    <s v="Darter sp."/>
    <s v="Etheostoma"/>
    <s v="gibbosus"/>
    <s v="U"/>
    <x v="0"/>
    <n v="8"/>
    <n v="11.81"/>
    <x v="30"/>
    <s v="2991-50-6"/>
    <x v="30"/>
    <n v="5.8500000000000003E-2"/>
  </r>
  <r>
    <s v="CS006-JBA-08132021"/>
    <s v="Spill"/>
    <x v="0"/>
    <s v="Darter sp."/>
    <s v="Etheostoma"/>
    <s v="gibbosus"/>
    <s v="U"/>
    <x v="0"/>
    <n v="8"/>
    <n v="11.81"/>
    <x v="31"/>
    <s v="757124-72-4"/>
    <x v="31"/>
    <n v="5.5E-2"/>
  </r>
  <r>
    <s v="CS006-JBA-08132021"/>
    <s v="Spill"/>
    <x v="0"/>
    <s v="Darter sp."/>
    <s v="Etheostoma"/>
    <s v="gibbosus"/>
    <s v="U"/>
    <x v="0"/>
    <n v="8"/>
    <n v="11.81"/>
    <x v="32"/>
    <s v="27619-97-2"/>
    <x v="32"/>
    <n v="2.2599999999999998"/>
  </r>
  <r>
    <s v="CS006-JBA-08132021"/>
    <s v="Spill"/>
    <x v="0"/>
    <s v="Darter sp."/>
    <s v="Etheostoma"/>
    <s v="gibbosus"/>
    <s v="U"/>
    <x v="0"/>
    <n v="8"/>
    <n v="11.81"/>
    <x v="33"/>
    <s v="39108-34-4"/>
    <x v="33"/>
    <n v="3.42"/>
  </r>
  <r>
    <s v="CS006-JBA-08132021"/>
    <s v="Spill"/>
    <x v="0"/>
    <s v="Darter sp."/>
    <s v="Etheostoma"/>
    <s v="gibbosus"/>
    <s v="U"/>
    <x v="0"/>
    <n v="8"/>
    <n v="11.81"/>
    <x v="34"/>
    <s v="120226-60-0"/>
    <x v="34"/>
    <n v="0.2515"/>
  </r>
  <r>
    <s v="CS006-JBA-08132021"/>
    <s v="Spill"/>
    <x v="0"/>
    <s v="Darter sp."/>
    <s v="Etheostoma"/>
    <s v="gibbosus"/>
    <s v="U"/>
    <x v="0"/>
    <n v="8"/>
    <n v="11.81"/>
    <x v="35"/>
    <s v="356-02-5"/>
    <x v="35"/>
    <n v="0.2555"/>
  </r>
  <r>
    <s v="CS006-JBA-08132021"/>
    <s v="Spill"/>
    <x v="0"/>
    <s v="Darter sp."/>
    <s v="Etheostoma"/>
    <s v="gibbosus"/>
    <s v="U"/>
    <x v="0"/>
    <n v="8"/>
    <n v="11.81"/>
    <x v="36"/>
    <s v="914637-49-3"/>
    <x v="36"/>
    <n v="0.2215"/>
  </r>
  <r>
    <s v="CS006-JBA-08132021"/>
    <s v="Spill"/>
    <x v="0"/>
    <s v="Darter sp."/>
    <s v="Etheostoma"/>
    <s v="gibbosus"/>
    <s v="U"/>
    <x v="0"/>
    <n v="8"/>
    <n v="11.81"/>
    <x v="37"/>
    <s v="812-70-4"/>
    <x v="37"/>
    <n v="5.18"/>
  </r>
  <r>
    <s v="CS006-JBA-08132021"/>
    <s v="Spill"/>
    <x v="0"/>
    <s v="Darter sp."/>
    <s v="Etheostoma"/>
    <s v="gibbosus"/>
    <s v="U"/>
    <x v="0"/>
    <n v="8"/>
    <n v="11.81"/>
    <x v="38"/>
    <s v="53826-12-3"/>
    <x v="38"/>
    <n v="6.7000000000000004E-2"/>
  </r>
  <r>
    <s v="CS006-JBA-08132021"/>
    <s v="Spill"/>
    <x v="0"/>
    <s v="Darter sp."/>
    <s v="Etheostoma"/>
    <s v="gibbosus"/>
    <s v="U"/>
    <x v="0"/>
    <n v="8"/>
    <n v="11.81"/>
    <x v="39"/>
    <s v="27854-31-5"/>
    <x v="39"/>
    <n v="0.61799999999999999"/>
  </r>
  <r>
    <s v="CS006-JBA-08132021"/>
    <s v="Spill"/>
    <x v="0"/>
    <s v="Darter sp."/>
    <s v="Etheostoma"/>
    <s v="gibbosus"/>
    <s v="U"/>
    <x v="0"/>
    <n v="8"/>
    <n v="11.81"/>
    <x v="40"/>
    <s v="53826-13-4"/>
    <x v="40"/>
    <n v="0.33050000000000002"/>
  </r>
  <r>
    <s v="CS006-JBA-08132021"/>
    <s v="Spill"/>
    <x v="0"/>
    <s v="Darter sp."/>
    <s v="Etheostoma"/>
    <s v="gibbosus"/>
    <s v="U"/>
    <x v="0"/>
    <n v="8"/>
    <n v="11.81"/>
    <x v="41"/>
    <s v="161094-75-3"/>
    <x v="41"/>
    <n v="5.2499999999999998E-2"/>
  </r>
  <r>
    <s v="CS006-JBA-08132021"/>
    <s v="Spill"/>
    <x v="0"/>
    <s v="Darter sp."/>
    <s v="Etheostoma"/>
    <s v="gibbosus"/>
    <s v="U"/>
    <x v="0"/>
    <n v="8"/>
    <n v="11.81"/>
    <x v="42"/>
    <s v="70887-84-2"/>
    <x v="42"/>
    <n v="4.0599999999999997E-2"/>
  </r>
  <r>
    <s v="CS006-JBA-08132021"/>
    <s v="Spill"/>
    <x v="0"/>
    <s v="Darter sp."/>
    <s v="Etheostoma"/>
    <s v="gibbosus"/>
    <s v="U"/>
    <x v="0"/>
    <n v="8"/>
    <n v="11.81"/>
    <x v="43"/>
    <s v="919005-14-4"/>
    <x v="43"/>
    <n v="6.7000000000000004E-2"/>
  </r>
  <r>
    <s v="CS006-JBA-08132021"/>
    <s v="Spill"/>
    <x v="0"/>
    <s v="Darter sp."/>
    <s v="Etheostoma"/>
    <s v="gibbosus"/>
    <s v="U"/>
    <x v="0"/>
    <n v="8"/>
    <n v="11.81"/>
    <x v="44"/>
    <s v="756426-58-1"/>
    <x v="44"/>
    <n v="6.7000000000000004E-2"/>
  </r>
  <r>
    <s v="CS006-JBA-08132021"/>
    <s v="Spill"/>
    <x v="0"/>
    <s v="Darter sp."/>
    <s v="Etheostoma"/>
    <s v="gibbosus"/>
    <s v="U"/>
    <x v="0"/>
    <n v="8"/>
    <n v="11.81"/>
    <x v="45"/>
    <s v="763051-92-9"/>
    <x v="45"/>
    <n v="6.7000000000000004E-2"/>
  </r>
  <r>
    <s v="CS006-JBA-08132021"/>
    <s v="Spill"/>
    <x v="0"/>
    <s v="Darter sp."/>
    <s v="Etheostoma"/>
    <s v="gibbosus"/>
    <s v="U"/>
    <x v="0"/>
    <n v="8"/>
    <n v="11.81"/>
    <x v="46"/>
    <s v="13252-13-6"/>
    <x v="46"/>
    <n v="9.6500000000000002E-2"/>
  </r>
  <r>
    <s v="CS006-JBA-08132021"/>
    <s v="Spill"/>
    <x v="0"/>
    <s v="Darter sp."/>
    <s v="Etheostoma"/>
    <s v="gibbosus"/>
    <s v="U"/>
    <x v="0"/>
    <n v="8"/>
    <n v="11.81"/>
    <x v="47"/>
    <s v="57677-95-9"/>
    <x v="47"/>
    <n v="7.1499999999999994E-2"/>
  </r>
  <r>
    <s v="CS006-JBA-08132021"/>
    <s v="Spill"/>
    <x v="0"/>
    <s v="Darter sp."/>
    <s v="Etheostoma"/>
    <s v="gibbosus"/>
    <s v="U"/>
    <x v="0"/>
    <n v="8"/>
    <n v="11.81"/>
    <x v="48"/>
    <s v="678-41-1"/>
    <x v="48"/>
    <n v="8.8999999999999996E-2"/>
  </r>
  <r>
    <s v="CS006-JBA-08132021"/>
    <s v="Spill"/>
    <x v="0"/>
    <s v="Darter sp."/>
    <s v="Etheostoma"/>
    <s v="gibbosus"/>
    <s v="U"/>
    <x v="0"/>
    <n v="8"/>
    <n v="11.81"/>
    <x v="49"/>
    <s v="2965-52-8"/>
    <x v="49"/>
    <n v="0.11799999999999999"/>
  </r>
  <r>
    <s v="MM003-JBA-08132021"/>
    <s v="Spill"/>
    <x v="0"/>
    <s v="Margined Madtom"/>
    <s v="Noturus"/>
    <s v="gibbosus"/>
    <s v="U"/>
    <x v="0"/>
    <n v="8"/>
    <n v="11.81"/>
    <x v="0"/>
    <s v="375-22-4"/>
    <x v="0"/>
    <n v="0.222"/>
  </r>
  <r>
    <s v="MM003-JBA-08132021"/>
    <s v="Spill"/>
    <x v="0"/>
    <s v="Margined Madtom"/>
    <s v="Noturus"/>
    <s v="gibbosus"/>
    <s v="U"/>
    <x v="0"/>
    <n v="8"/>
    <n v="11.81"/>
    <x v="1"/>
    <s v="2706-90-3"/>
    <x v="1"/>
    <n v="4.7600000000000003E-2"/>
  </r>
  <r>
    <s v="MM003-JBA-08132021"/>
    <s v="Spill"/>
    <x v="0"/>
    <s v="Margined Madtom"/>
    <s v="Noturus"/>
    <s v="gibbosus"/>
    <s v="U"/>
    <x v="0"/>
    <n v="8"/>
    <n v="11.81"/>
    <x v="2"/>
    <s v="307-24-4"/>
    <x v="2"/>
    <n v="0.12"/>
  </r>
  <r>
    <s v="MM003-JBA-08132021"/>
    <s v="Spill"/>
    <x v="0"/>
    <s v="Margined Madtom"/>
    <s v="Noturus"/>
    <s v="gibbosus"/>
    <s v="U"/>
    <x v="0"/>
    <n v="8"/>
    <n v="11.81"/>
    <x v="3"/>
    <s v="375-85-9"/>
    <x v="3"/>
    <n v="8.8999999999999996E-2"/>
  </r>
  <r>
    <s v="MM003-JBA-08132021"/>
    <s v="Spill"/>
    <x v="0"/>
    <s v="Margined Madtom"/>
    <s v="Noturus"/>
    <s v="gibbosus"/>
    <s v="U"/>
    <x v="0"/>
    <n v="8"/>
    <n v="11.81"/>
    <x v="4"/>
    <s v="335-67-1"/>
    <x v="4"/>
    <n v="0.746"/>
  </r>
  <r>
    <s v="MM003-JBA-08132021"/>
    <s v="Spill"/>
    <x v="0"/>
    <s v="Margined Madtom"/>
    <s v="Noturus"/>
    <s v="gibbosus"/>
    <s v="U"/>
    <x v="0"/>
    <n v="8"/>
    <n v="11.81"/>
    <x v="5"/>
    <s v="375-95-1"/>
    <x v="5"/>
    <n v="0.53300000000000003"/>
  </r>
  <r>
    <s v="MM003-JBA-08132021"/>
    <s v="Spill"/>
    <x v="0"/>
    <s v="Margined Madtom"/>
    <s v="Noturus"/>
    <s v="gibbosus"/>
    <s v="U"/>
    <x v="0"/>
    <n v="8"/>
    <n v="11.81"/>
    <x v="6"/>
    <s v="335-76-2"/>
    <x v="6"/>
    <n v="3.81"/>
  </r>
  <r>
    <s v="MM003-JBA-08132021"/>
    <s v="Spill"/>
    <x v="0"/>
    <s v="Margined Madtom"/>
    <s v="Noturus"/>
    <s v="gibbosus"/>
    <s v="U"/>
    <x v="0"/>
    <n v="8"/>
    <n v="11.81"/>
    <x v="7"/>
    <s v="2058-94-8"/>
    <x v="7"/>
    <n v="7.6"/>
  </r>
  <r>
    <s v="MM003-JBA-08132021"/>
    <s v="Spill"/>
    <x v="0"/>
    <s v="Margined Madtom"/>
    <s v="Noturus"/>
    <s v="gibbosus"/>
    <s v="U"/>
    <x v="0"/>
    <n v="8"/>
    <n v="11.81"/>
    <x v="8"/>
    <s v="307-55-1"/>
    <x v="8"/>
    <n v="12.1"/>
  </r>
  <r>
    <s v="MM003-JBA-08132021"/>
    <s v="Spill"/>
    <x v="0"/>
    <s v="Margined Madtom"/>
    <s v="Noturus"/>
    <s v="gibbosus"/>
    <s v="U"/>
    <x v="0"/>
    <n v="8"/>
    <n v="11.81"/>
    <x v="9"/>
    <s v="72629-94-8"/>
    <x v="9"/>
    <n v="3"/>
  </r>
  <r>
    <s v="MM003-JBA-08132021"/>
    <s v="Spill"/>
    <x v="0"/>
    <s v="Margined Madtom"/>
    <s v="Noturus"/>
    <s v="gibbosus"/>
    <s v="U"/>
    <x v="0"/>
    <n v="8"/>
    <n v="11.81"/>
    <x v="10"/>
    <s v="376-06-7"/>
    <x v="10"/>
    <n v="4.25"/>
  </r>
  <r>
    <s v="MM003-JBA-08132021"/>
    <s v="Spill"/>
    <x v="0"/>
    <s v="Margined Madtom"/>
    <s v="Noturus"/>
    <s v="gibbosus"/>
    <s v="U"/>
    <x v="0"/>
    <n v="8"/>
    <n v="11.81"/>
    <x v="11"/>
    <s v="67905-19-5"/>
    <x v="11"/>
    <n v="0.08"/>
  </r>
  <r>
    <s v="MM003-JBA-08132021"/>
    <s v="Spill"/>
    <x v="0"/>
    <s v="Margined Madtom"/>
    <s v="Noturus"/>
    <s v="gibbosus"/>
    <s v="U"/>
    <x v="0"/>
    <n v="8"/>
    <n v="11.81"/>
    <x v="12"/>
    <s v="423-41-6"/>
    <x v="12"/>
    <n v="5.1499999999999997E-2"/>
  </r>
  <r>
    <s v="MM003-JBA-08132021"/>
    <s v="Spill"/>
    <x v="0"/>
    <s v="Margined Madtom"/>
    <s v="Noturus"/>
    <s v="gibbosus"/>
    <s v="U"/>
    <x v="0"/>
    <n v="8"/>
    <n v="11.81"/>
    <x v="13"/>
    <s v="375-73-5"/>
    <x v="13"/>
    <n v="0.151"/>
  </r>
  <r>
    <s v="MM003-JBA-08132021"/>
    <s v="Spill"/>
    <x v="0"/>
    <s v="Margined Madtom"/>
    <s v="Noturus"/>
    <s v="gibbosus"/>
    <s v="U"/>
    <x v="0"/>
    <n v="8"/>
    <n v="11.81"/>
    <x v="14"/>
    <s v="2706-91-4"/>
    <x v="14"/>
    <n v="0.11749999999999999"/>
  </r>
  <r>
    <s v="MM003-JBA-08132021"/>
    <s v="Spill"/>
    <x v="0"/>
    <s v="Margined Madtom"/>
    <s v="Noturus"/>
    <s v="gibbosus"/>
    <s v="U"/>
    <x v="0"/>
    <n v="8"/>
    <n v="11.81"/>
    <x v="15"/>
    <s v="355-46-4"/>
    <x v="15"/>
    <n v="19.8"/>
  </r>
  <r>
    <s v="MM003-JBA-08132021"/>
    <s v="Spill"/>
    <x v="0"/>
    <s v="Margined Madtom"/>
    <s v="Noturus"/>
    <s v="gibbosus"/>
    <s v="U"/>
    <x v="0"/>
    <n v="8"/>
    <n v="11.81"/>
    <x v="16"/>
    <s v="375-92-8"/>
    <x v="16"/>
    <n v="1.01"/>
  </r>
  <r>
    <s v="MM003-JBA-08132021"/>
    <s v="Spill"/>
    <x v="0"/>
    <s v="Margined Madtom"/>
    <s v="Noturus"/>
    <s v="gibbosus"/>
    <s v="U"/>
    <x v="0"/>
    <n v="8"/>
    <n v="11.81"/>
    <x v="17"/>
    <s v="1763-23-1"/>
    <x v="17"/>
    <n v="730"/>
  </r>
  <r>
    <s v="MM003-JBA-08132021"/>
    <s v="Spill"/>
    <x v="0"/>
    <s v="Margined Madtom"/>
    <s v="Noturus"/>
    <s v="gibbosus"/>
    <s v="U"/>
    <x v="0"/>
    <n v="8"/>
    <n v="11.81"/>
    <x v="18"/>
    <s v="68259-12-1"/>
    <x v="18"/>
    <n v="0.57799999999999996"/>
  </r>
  <r>
    <s v="MM003-JBA-08132021"/>
    <s v="Spill"/>
    <x v="0"/>
    <s v="Margined Madtom"/>
    <s v="Noturus"/>
    <s v="gibbosus"/>
    <s v="U"/>
    <x v="0"/>
    <n v="8"/>
    <n v="11.81"/>
    <x v="19"/>
    <s v="335-77-3"/>
    <x v="19"/>
    <n v="0.83699999999999997"/>
  </r>
  <r>
    <s v="MM003-JBA-08132021"/>
    <s v="Spill"/>
    <x v="0"/>
    <s v="Margined Madtom"/>
    <s v="Noturus"/>
    <s v="gibbosus"/>
    <s v="U"/>
    <x v="0"/>
    <n v="8"/>
    <n v="11.81"/>
    <x v="20"/>
    <s v="79780-39-5"/>
    <x v="20"/>
    <n v="0.23749999999999999"/>
  </r>
  <r>
    <s v="MM003-JBA-08132021"/>
    <s v="Spill"/>
    <x v="0"/>
    <s v="Margined Madtom"/>
    <s v="Noturus"/>
    <s v="gibbosus"/>
    <s v="U"/>
    <x v="0"/>
    <n v="8"/>
    <n v="11.81"/>
    <x v="21"/>
    <s v="777011-38-8"/>
    <x v="21"/>
    <n v="0.13500000000000001"/>
  </r>
  <r>
    <s v="MM003-JBA-08132021"/>
    <s v="Spill"/>
    <x v="0"/>
    <s v="Margined Madtom"/>
    <s v="Noturus"/>
    <s v="gibbosus"/>
    <s v="U"/>
    <x v="0"/>
    <n v="8"/>
    <n v="11.81"/>
    <x v="22"/>
    <s v="646-83-3"/>
    <x v="22"/>
    <n v="8.8999999999999996E-2"/>
  </r>
  <r>
    <s v="MM003-JBA-08132021"/>
    <s v="Spill"/>
    <x v="0"/>
    <s v="Margined Madtom"/>
    <s v="Noturus"/>
    <s v="gibbosus"/>
    <s v="U"/>
    <x v="0"/>
    <n v="8"/>
    <n v="11.81"/>
    <x v="23"/>
    <s v="30334-69-1"/>
    <x v="23"/>
    <n v="52.8"/>
  </r>
  <r>
    <s v="MM003-JBA-08132021"/>
    <s v="Spill"/>
    <x v="0"/>
    <s v="Margined Madtom"/>
    <s v="Noturus"/>
    <s v="gibbosus"/>
    <s v="U"/>
    <x v="0"/>
    <n v="8"/>
    <n v="11.81"/>
    <x v="24"/>
    <s v="41997-13-1"/>
    <x v="24"/>
    <n v="189"/>
  </r>
  <r>
    <s v="MM003-JBA-08132021"/>
    <s v="Spill"/>
    <x v="0"/>
    <s v="Margined Madtom"/>
    <s v="Noturus"/>
    <s v="gibbosus"/>
    <s v="U"/>
    <x v="0"/>
    <n v="8"/>
    <n v="11.81"/>
    <x v="25"/>
    <s v="754-91-6"/>
    <x v="25"/>
    <n v="26.9"/>
  </r>
  <r>
    <s v="MM003-JBA-08132021"/>
    <s v="Spill"/>
    <x v="0"/>
    <s v="Margined Madtom"/>
    <s v="Noturus"/>
    <s v="gibbosus"/>
    <s v="U"/>
    <x v="0"/>
    <n v="8"/>
    <n v="11.81"/>
    <x v="26"/>
    <s v="31506-32-8"/>
    <x v="26"/>
    <n v="5.1999999999999998E-2"/>
  </r>
  <r>
    <s v="MM003-JBA-08132021"/>
    <s v="Spill"/>
    <x v="0"/>
    <s v="Margined Madtom"/>
    <s v="Noturus"/>
    <s v="gibbosus"/>
    <s v="U"/>
    <x v="0"/>
    <n v="8"/>
    <n v="11.81"/>
    <x v="27"/>
    <s v="4151-50-2"/>
    <x v="27"/>
    <n v="7.85E-2"/>
  </r>
  <r>
    <s v="MM003-JBA-08132021"/>
    <s v="Spill"/>
    <x v="0"/>
    <s v="Margined Madtom"/>
    <s v="Noturus"/>
    <s v="gibbosus"/>
    <s v="U"/>
    <x v="0"/>
    <n v="8"/>
    <n v="11.81"/>
    <x v="28"/>
    <s v="2806-24-8"/>
    <x v="28"/>
    <n v="5.2999999999999999E-2"/>
  </r>
  <r>
    <s v="MM003-JBA-08132021"/>
    <s v="Spill"/>
    <x v="0"/>
    <s v="Margined Madtom"/>
    <s v="Noturus"/>
    <s v="gibbosus"/>
    <s v="U"/>
    <x v="0"/>
    <n v="8"/>
    <n v="11.81"/>
    <x v="29"/>
    <s v="2355-31-9"/>
    <x v="29"/>
    <n v="0.2235"/>
  </r>
  <r>
    <s v="MM003-JBA-08132021"/>
    <s v="Spill"/>
    <x v="0"/>
    <s v="Margined Madtom"/>
    <s v="Noturus"/>
    <s v="gibbosus"/>
    <s v="U"/>
    <x v="0"/>
    <n v="8"/>
    <n v="11.81"/>
    <x v="30"/>
    <s v="2991-50-6"/>
    <x v="30"/>
    <n v="5.8500000000000003E-2"/>
  </r>
  <r>
    <s v="MM003-JBA-08132021"/>
    <s v="Spill"/>
    <x v="0"/>
    <s v="Margined Madtom"/>
    <s v="Noturus"/>
    <s v="gibbosus"/>
    <s v="U"/>
    <x v="0"/>
    <n v="8"/>
    <n v="11.81"/>
    <x v="31"/>
    <s v="757124-72-4"/>
    <x v="31"/>
    <n v="5.5500000000000001E-2"/>
  </r>
  <r>
    <s v="MM003-JBA-08132021"/>
    <s v="Spill"/>
    <x v="0"/>
    <s v="Margined Madtom"/>
    <s v="Noturus"/>
    <s v="gibbosus"/>
    <s v="U"/>
    <x v="0"/>
    <n v="8"/>
    <n v="11.81"/>
    <x v="32"/>
    <s v="27619-97-2"/>
    <x v="32"/>
    <n v="0.13400000000000001"/>
  </r>
  <r>
    <s v="MM003-JBA-08132021"/>
    <s v="Spill"/>
    <x v="0"/>
    <s v="Margined Madtom"/>
    <s v="Noturus"/>
    <s v="gibbosus"/>
    <s v="U"/>
    <x v="0"/>
    <n v="8"/>
    <n v="11.81"/>
    <x v="33"/>
    <s v="39108-34-4"/>
    <x v="33"/>
    <n v="8.09"/>
  </r>
  <r>
    <s v="MM003-JBA-08132021"/>
    <s v="Spill"/>
    <x v="0"/>
    <s v="Margined Madtom"/>
    <s v="Noturus"/>
    <s v="gibbosus"/>
    <s v="U"/>
    <x v="0"/>
    <n v="8"/>
    <n v="11.81"/>
    <x v="34"/>
    <s v="120226-60-0"/>
    <x v="34"/>
    <n v="0.252"/>
  </r>
  <r>
    <s v="MM003-JBA-08132021"/>
    <s v="Spill"/>
    <x v="0"/>
    <s v="Margined Madtom"/>
    <s v="Noturus"/>
    <s v="gibbosus"/>
    <s v="U"/>
    <x v="0"/>
    <n v="8"/>
    <n v="11.81"/>
    <x v="35"/>
    <s v="356-02-5"/>
    <x v="35"/>
    <n v="0.71799999999999997"/>
  </r>
  <r>
    <s v="MM003-JBA-08132021"/>
    <s v="Spill"/>
    <x v="0"/>
    <s v="Margined Madtom"/>
    <s v="Noturus"/>
    <s v="gibbosus"/>
    <s v="U"/>
    <x v="0"/>
    <n v="8"/>
    <n v="11.81"/>
    <x v="36"/>
    <s v="914637-49-3"/>
    <x v="36"/>
    <n v="0.222"/>
  </r>
  <r>
    <s v="MM003-JBA-08132021"/>
    <s v="Spill"/>
    <x v="0"/>
    <s v="Margined Madtom"/>
    <s v="Noturus"/>
    <s v="gibbosus"/>
    <s v="U"/>
    <x v="0"/>
    <n v="8"/>
    <n v="11.81"/>
    <x v="37"/>
    <s v="812-70-4"/>
    <x v="37"/>
    <n v="4.1900000000000004"/>
  </r>
  <r>
    <s v="MM003-JBA-08132021"/>
    <s v="Spill"/>
    <x v="0"/>
    <s v="Margined Madtom"/>
    <s v="Noturus"/>
    <s v="gibbosus"/>
    <s v="U"/>
    <x v="0"/>
    <n v="8"/>
    <n v="11.81"/>
    <x v="38"/>
    <s v="53826-12-3"/>
    <x v="38"/>
    <n v="0.65800000000000003"/>
  </r>
  <r>
    <s v="MM003-JBA-08132021"/>
    <s v="Spill"/>
    <x v="0"/>
    <s v="Margined Madtom"/>
    <s v="Noturus"/>
    <s v="gibbosus"/>
    <s v="U"/>
    <x v="0"/>
    <n v="8"/>
    <n v="11.81"/>
    <x v="39"/>
    <s v="27854-31-5"/>
    <x v="39"/>
    <n v="6.7500000000000004E-2"/>
  </r>
  <r>
    <s v="MM003-JBA-08132021"/>
    <s v="Spill"/>
    <x v="0"/>
    <s v="Margined Madtom"/>
    <s v="Noturus"/>
    <s v="gibbosus"/>
    <s v="U"/>
    <x v="0"/>
    <n v="8"/>
    <n v="11.81"/>
    <x v="40"/>
    <s v="53826-13-4"/>
    <x v="40"/>
    <n v="0.90400000000000003"/>
  </r>
  <r>
    <s v="MM003-JBA-08132021"/>
    <s v="Spill"/>
    <x v="0"/>
    <s v="Margined Madtom"/>
    <s v="Noturus"/>
    <s v="gibbosus"/>
    <s v="U"/>
    <x v="0"/>
    <n v="8"/>
    <n v="11.81"/>
    <x v="41"/>
    <s v="161094-75-3"/>
    <x v="41"/>
    <n v="5.2999999999999999E-2"/>
  </r>
  <r>
    <s v="MM003-JBA-08132021"/>
    <s v="Spill"/>
    <x v="0"/>
    <s v="Margined Madtom"/>
    <s v="Noturus"/>
    <s v="gibbosus"/>
    <s v="U"/>
    <x v="0"/>
    <n v="8"/>
    <n v="11.81"/>
    <x v="42"/>
    <s v="70887-84-2"/>
    <x v="42"/>
    <n v="4.0599999999999997E-2"/>
  </r>
  <r>
    <s v="MM003-JBA-08132021"/>
    <s v="Spill"/>
    <x v="0"/>
    <s v="Margined Madtom"/>
    <s v="Noturus"/>
    <s v="gibbosus"/>
    <s v="U"/>
    <x v="0"/>
    <n v="8"/>
    <n v="11.81"/>
    <x v="43"/>
    <s v="919005-14-4"/>
    <x v="43"/>
    <n v="6.7500000000000004E-2"/>
  </r>
  <r>
    <s v="MM003-JBA-08132021"/>
    <s v="Spill"/>
    <x v="0"/>
    <s v="Margined Madtom"/>
    <s v="Noturus"/>
    <s v="gibbosus"/>
    <s v="U"/>
    <x v="0"/>
    <n v="8"/>
    <n v="11.81"/>
    <x v="44"/>
    <s v="756426-58-1"/>
    <x v="44"/>
    <n v="6.7500000000000004E-2"/>
  </r>
  <r>
    <s v="MM003-JBA-08132021"/>
    <s v="Spill"/>
    <x v="0"/>
    <s v="Margined Madtom"/>
    <s v="Noturus"/>
    <s v="gibbosus"/>
    <s v="U"/>
    <x v="0"/>
    <n v="8"/>
    <n v="11.81"/>
    <x v="45"/>
    <s v="763051-92-9"/>
    <x v="45"/>
    <n v="6.7500000000000004E-2"/>
  </r>
  <r>
    <s v="MM003-JBA-08132021"/>
    <s v="Spill"/>
    <x v="0"/>
    <s v="Margined Madtom"/>
    <s v="Noturus"/>
    <s v="gibbosus"/>
    <s v="U"/>
    <x v="0"/>
    <n v="8"/>
    <n v="11.81"/>
    <x v="46"/>
    <s v="13252-13-6"/>
    <x v="46"/>
    <n v="9.6500000000000002E-2"/>
  </r>
  <r>
    <s v="MM003-JBA-08132021"/>
    <s v="Spill"/>
    <x v="0"/>
    <s v="Margined Madtom"/>
    <s v="Noturus"/>
    <s v="gibbosus"/>
    <s v="U"/>
    <x v="0"/>
    <n v="8"/>
    <n v="11.81"/>
    <x v="47"/>
    <s v="57677-95-9"/>
    <x v="47"/>
    <n v="7.1499999999999994E-2"/>
  </r>
  <r>
    <s v="MM003-JBA-08132021"/>
    <s v="Spill"/>
    <x v="0"/>
    <s v="Margined Madtom"/>
    <s v="Noturus"/>
    <s v="gibbosus"/>
    <s v="U"/>
    <x v="0"/>
    <n v="8"/>
    <n v="11.81"/>
    <x v="48"/>
    <s v="678-41-1"/>
    <x v="48"/>
    <n v="8.8999999999999996E-2"/>
  </r>
  <r>
    <s v="MM003-JBA-08132021"/>
    <s v="Spill"/>
    <x v="0"/>
    <s v="Margined Madtom"/>
    <s v="Noturus"/>
    <s v="gibbosus"/>
    <s v="U"/>
    <x v="0"/>
    <n v="8"/>
    <n v="11.81"/>
    <x v="49"/>
    <s v="2965-52-8"/>
    <x v="49"/>
    <n v="0.11849999999999999"/>
  </r>
  <r>
    <s v="MM004-JBA-08132021"/>
    <s v="Spill"/>
    <x v="0"/>
    <s v="Margined Madtom"/>
    <s v="Noturus"/>
    <s v="gibbosus"/>
    <s v="U"/>
    <x v="0"/>
    <n v="8"/>
    <n v="11.81"/>
    <x v="0"/>
    <s v="375-22-4"/>
    <x v="0"/>
    <n v="0.22800000000000001"/>
  </r>
  <r>
    <s v="MM004-JBA-08132021"/>
    <s v="Spill"/>
    <x v="0"/>
    <s v="Margined Madtom"/>
    <s v="Noturus"/>
    <s v="gibbosus"/>
    <s v="U"/>
    <x v="0"/>
    <n v="8"/>
    <n v="11.81"/>
    <x v="1"/>
    <s v="2706-90-3"/>
    <x v="1"/>
    <n v="4.8800000000000003E-2"/>
  </r>
  <r>
    <s v="MM004-JBA-08132021"/>
    <s v="Spill"/>
    <x v="0"/>
    <s v="Margined Madtom"/>
    <s v="Noturus"/>
    <s v="gibbosus"/>
    <s v="U"/>
    <x v="0"/>
    <n v="8"/>
    <n v="11.81"/>
    <x v="2"/>
    <s v="307-24-4"/>
    <x v="2"/>
    <n v="3.7249999999999998E-2"/>
  </r>
  <r>
    <s v="MM004-JBA-08132021"/>
    <s v="Spill"/>
    <x v="0"/>
    <s v="Margined Madtom"/>
    <s v="Noturus"/>
    <s v="gibbosus"/>
    <s v="U"/>
    <x v="0"/>
    <n v="8"/>
    <n v="11.81"/>
    <x v="3"/>
    <s v="375-85-9"/>
    <x v="3"/>
    <n v="9.0999999999999998E-2"/>
  </r>
  <r>
    <s v="MM004-JBA-08132021"/>
    <s v="Spill"/>
    <x v="0"/>
    <s v="Margined Madtom"/>
    <s v="Noturus"/>
    <s v="gibbosus"/>
    <s v="U"/>
    <x v="0"/>
    <n v="8"/>
    <n v="11.81"/>
    <x v="4"/>
    <s v="335-67-1"/>
    <x v="4"/>
    <n v="0.75900000000000001"/>
  </r>
  <r>
    <s v="MM004-JBA-08132021"/>
    <s v="Spill"/>
    <x v="0"/>
    <s v="Margined Madtom"/>
    <s v="Noturus"/>
    <s v="gibbosus"/>
    <s v="U"/>
    <x v="0"/>
    <n v="8"/>
    <n v="11.81"/>
    <x v="5"/>
    <s v="375-95-1"/>
    <x v="5"/>
    <n v="0.47299999999999998"/>
  </r>
  <r>
    <s v="MM004-JBA-08132021"/>
    <s v="Spill"/>
    <x v="0"/>
    <s v="Margined Madtom"/>
    <s v="Noturus"/>
    <s v="gibbosus"/>
    <s v="U"/>
    <x v="0"/>
    <n v="8"/>
    <n v="11.81"/>
    <x v="6"/>
    <s v="335-76-2"/>
    <x v="6"/>
    <n v="5.47"/>
  </r>
  <r>
    <s v="MM004-JBA-08132021"/>
    <s v="Spill"/>
    <x v="0"/>
    <s v="Margined Madtom"/>
    <s v="Noturus"/>
    <s v="gibbosus"/>
    <s v="U"/>
    <x v="0"/>
    <n v="8"/>
    <n v="11.81"/>
    <x v="7"/>
    <s v="2058-94-8"/>
    <x v="7"/>
    <n v="9.26"/>
  </r>
  <r>
    <s v="MM004-JBA-08132021"/>
    <s v="Spill"/>
    <x v="0"/>
    <s v="Margined Madtom"/>
    <s v="Noturus"/>
    <s v="gibbosus"/>
    <s v="U"/>
    <x v="0"/>
    <n v="8"/>
    <n v="11.81"/>
    <x v="8"/>
    <s v="307-55-1"/>
    <x v="8"/>
    <n v="14.8"/>
  </r>
  <r>
    <s v="MM004-JBA-08132021"/>
    <s v="Spill"/>
    <x v="0"/>
    <s v="Margined Madtom"/>
    <s v="Noturus"/>
    <s v="gibbosus"/>
    <s v="U"/>
    <x v="0"/>
    <n v="8"/>
    <n v="11.81"/>
    <x v="9"/>
    <s v="72629-94-8"/>
    <x v="9"/>
    <n v="6.05"/>
  </r>
  <r>
    <s v="MM004-JBA-08132021"/>
    <s v="Spill"/>
    <x v="0"/>
    <s v="Margined Madtom"/>
    <s v="Noturus"/>
    <s v="gibbosus"/>
    <s v="U"/>
    <x v="0"/>
    <n v="8"/>
    <n v="11.81"/>
    <x v="10"/>
    <s v="376-06-7"/>
    <x v="10"/>
    <n v="12.2"/>
  </r>
  <r>
    <s v="MM004-JBA-08132021"/>
    <s v="Spill"/>
    <x v="0"/>
    <s v="Margined Madtom"/>
    <s v="Noturus"/>
    <s v="gibbosus"/>
    <s v="U"/>
    <x v="0"/>
    <n v="8"/>
    <n v="11.81"/>
    <x v="11"/>
    <s v="67905-19-5"/>
    <x v="11"/>
    <n v="8.2500000000000004E-2"/>
  </r>
  <r>
    <s v="MM004-JBA-08132021"/>
    <s v="Spill"/>
    <x v="0"/>
    <s v="Margined Madtom"/>
    <s v="Noturus"/>
    <s v="gibbosus"/>
    <s v="U"/>
    <x v="0"/>
    <n v="8"/>
    <n v="11.81"/>
    <x v="12"/>
    <s v="423-41-6"/>
    <x v="12"/>
    <n v="5.2499999999999998E-2"/>
  </r>
  <r>
    <s v="MM004-JBA-08132021"/>
    <s v="Spill"/>
    <x v="0"/>
    <s v="Margined Madtom"/>
    <s v="Noturus"/>
    <s v="gibbosus"/>
    <s v="U"/>
    <x v="0"/>
    <n v="8"/>
    <n v="11.81"/>
    <x v="13"/>
    <s v="375-73-5"/>
    <x v="13"/>
    <n v="0.155"/>
  </r>
  <r>
    <s v="MM004-JBA-08132021"/>
    <s v="Spill"/>
    <x v="0"/>
    <s v="Margined Madtom"/>
    <s v="Noturus"/>
    <s v="gibbosus"/>
    <s v="U"/>
    <x v="0"/>
    <n v="8"/>
    <n v="11.81"/>
    <x v="14"/>
    <s v="2706-91-4"/>
    <x v="14"/>
    <n v="0.1205"/>
  </r>
  <r>
    <s v="MM004-JBA-08132021"/>
    <s v="Spill"/>
    <x v="0"/>
    <s v="Margined Madtom"/>
    <s v="Noturus"/>
    <s v="gibbosus"/>
    <s v="U"/>
    <x v="0"/>
    <n v="8"/>
    <n v="11.81"/>
    <x v="15"/>
    <s v="355-46-4"/>
    <x v="15"/>
    <n v="19.7"/>
  </r>
  <r>
    <s v="MM004-JBA-08132021"/>
    <s v="Spill"/>
    <x v="0"/>
    <s v="Margined Madtom"/>
    <s v="Noturus"/>
    <s v="gibbosus"/>
    <s v="U"/>
    <x v="0"/>
    <n v="8"/>
    <n v="11.81"/>
    <x v="16"/>
    <s v="375-92-8"/>
    <x v="16"/>
    <n v="1.03"/>
  </r>
  <r>
    <s v="MM004-JBA-08132021"/>
    <s v="Spill"/>
    <x v="0"/>
    <s v="Margined Madtom"/>
    <s v="Noturus"/>
    <s v="gibbosus"/>
    <s v="U"/>
    <x v="0"/>
    <n v="8"/>
    <n v="11.81"/>
    <x v="17"/>
    <s v="1763-23-1"/>
    <x v="17"/>
    <n v="822"/>
  </r>
  <r>
    <s v="MM004-JBA-08132021"/>
    <s v="Spill"/>
    <x v="0"/>
    <s v="Margined Madtom"/>
    <s v="Noturus"/>
    <s v="gibbosus"/>
    <s v="U"/>
    <x v="0"/>
    <n v="8"/>
    <n v="11.81"/>
    <x v="18"/>
    <s v="68259-12-1"/>
    <x v="18"/>
    <n v="0.70399999999999996"/>
  </r>
  <r>
    <s v="MM004-JBA-08132021"/>
    <s v="Spill"/>
    <x v="0"/>
    <s v="Margined Madtom"/>
    <s v="Noturus"/>
    <s v="gibbosus"/>
    <s v="U"/>
    <x v="0"/>
    <n v="8"/>
    <n v="11.81"/>
    <x v="19"/>
    <s v="335-77-3"/>
    <x v="19"/>
    <n v="1.43"/>
  </r>
  <r>
    <s v="MM004-JBA-08132021"/>
    <s v="Spill"/>
    <x v="0"/>
    <s v="Margined Madtom"/>
    <s v="Noturus"/>
    <s v="gibbosus"/>
    <s v="U"/>
    <x v="0"/>
    <n v="8"/>
    <n v="11.81"/>
    <x v="20"/>
    <s v="79780-39-5"/>
    <x v="20"/>
    <n v="0.76300000000000001"/>
  </r>
  <r>
    <s v="MM004-JBA-08132021"/>
    <s v="Spill"/>
    <x v="0"/>
    <s v="Margined Madtom"/>
    <s v="Noturus"/>
    <s v="gibbosus"/>
    <s v="U"/>
    <x v="0"/>
    <n v="8"/>
    <n v="11.81"/>
    <x v="21"/>
    <s v="777011-38-8"/>
    <x v="21"/>
    <n v="0.13850000000000001"/>
  </r>
  <r>
    <s v="MM004-JBA-08132021"/>
    <s v="Spill"/>
    <x v="0"/>
    <s v="Margined Madtom"/>
    <s v="Noturus"/>
    <s v="gibbosus"/>
    <s v="U"/>
    <x v="0"/>
    <n v="8"/>
    <n v="11.81"/>
    <x v="22"/>
    <s v="646-83-3"/>
    <x v="22"/>
    <n v="9.0999999999999998E-2"/>
  </r>
  <r>
    <s v="MM004-JBA-08132021"/>
    <s v="Spill"/>
    <x v="0"/>
    <s v="Margined Madtom"/>
    <s v="Noturus"/>
    <s v="gibbosus"/>
    <s v="U"/>
    <x v="0"/>
    <n v="8"/>
    <n v="11.81"/>
    <x v="23"/>
    <s v="30334-69-1"/>
    <x v="23"/>
    <n v="52.9"/>
  </r>
  <r>
    <s v="MM004-JBA-08132021"/>
    <s v="Spill"/>
    <x v="0"/>
    <s v="Margined Madtom"/>
    <s v="Noturus"/>
    <s v="gibbosus"/>
    <s v="U"/>
    <x v="0"/>
    <n v="8"/>
    <n v="11.81"/>
    <x v="24"/>
    <s v="41997-13-1"/>
    <x v="24"/>
    <n v="188"/>
  </r>
  <r>
    <s v="MM004-JBA-08132021"/>
    <s v="Spill"/>
    <x v="0"/>
    <s v="Margined Madtom"/>
    <s v="Noturus"/>
    <s v="gibbosus"/>
    <s v="U"/>
    <x v="0"/>
    <n v="8"/>
    <n v="11.81"/>
    <x v="25"/>
    <s v="754-91-6"/>
    <x v="25"/>
    <n v="31.7"/>
  </r>
  <r>
    <s v="MM004-JBA-08132021"/>
    <s v="Spill"/>
    <x v="0"/>
    <s v="Margined Madtom"/>
    <s v="Noturus"/>
    <s v="gibbosus"/>
    <s v="U"/>
    <x v="0"/>
    <n v="8"/>
    <n v="11.81"/>
    <x v="26"/>
    <s v="31506-32-8"/>
    <x v="26"/>
    <n v="5.2999999999999999E-2"/>
  </r>
  <r>
    <s v="MM004-JBA-08132021"/>
    <s v="Spill"/>
    <x v="0"/>
    <s v="Margined Madtom"/>
    <s v="Noturus"/>
    <s v="gibbosus"/>
    <s v="U"/>
    <x v="0"/>
    <n v="8"/>
    <n v="11.81"/>
    <x v="27"/>
    <s v="4151-50-2"/>
    <x v="27"/>
    <n v="8.0500000000000002E-2"/>
  </r>
  <r>
    <s v="MM004-JBA-08132021"/>
    <s v="Spill"/>
    <x v="0"/>
    <s v="Margined Madtom"/>
    <s v="Noturus"/>
    <s v="gibbosus"/>
    <s v="U"/>
    <x v="0"/>
    <n v="8"/>
    <n v="11.81"/>
    <x v="28"/>
    <s v="2806-24-8"/>
    <x v="28"/>
    <n v="5.45E-2"/>
  </r>
  <r>
    <s v="MM004-JBA-08132021"/>
    <s v="Spill"/>
    <x v="0"/>
    <s v="Margined Madtom"/>
    <s v="Noturus"/>
    <s v="gibbosus"/>
    <s v="U"/>
    <x v="0"/>
    <n v="8"/>
    <n v="11.81"/>
    <x v="29"/>
    <s v="2355-31-9"/>
    <x v="29"/>
    <n v="0.69899999999999995"/>
  </r>
  <r>
    <s v="MM004-JBA-08132021"/>
    <s v="Spill"/>
    <x v="0"/>
    <s v="Margined Madtom"/>
    <s v="Noturus"/>
    <s v="gibbosus"/>
    <s v="U"/>
    <x v="0"/>
    <n v="8"/>
    <n v="11.81"/>
    <x v="30"/>
    <s v="2991-50-6"/>
    <x v="30"/>
    <n v="0.06"/>
  </r>
  <r>
    <s v="MM004-JBA-08132021"/>
    <s v="Spill"/>
    <x v="0"/>
    <s v="Margined Madtom"/>
    <s v="Noturus"/>
    <s v="gibbosus"/>
    <s v="U"/>
    <x v="0"/>
    <n v="8"/>
    <n v="11.81"/>
    <x v="31"/>
    <s v="757124-72-4"/>
    <x v="31"/>
    <n v="5.7000000000000002E-2"/>
  </r>
  <r>
    <s v="MM004-JBA-08132021"/>
    <s v="Spill"/>
    <x v="0"/>
    <s v="Margined Madtom"/>
    <s v="Noturus"/>
    <s v="gibbosus"/>
    <s v="U"/>
    <x v="0"/>
    <n v="8"/>
    <n v="11.81"/>
    <x v="32"/>
    <s v="27619-97-2"/>
    <x v="32"/>
    <n v="0.13750000000000001"/>
  </r>
  <r>
    <s v="MM004-JBA-08132021"/>
    <s v="Spill"/>
    <x v="0"/>
    <s v="Margined Madtom"/>
    <s v="Noturus"/>
    <s v="gibbosus"/>
    <s v="U"/>
    <x v="0"/>
    <n v="8"/>
    <n v="11.81"/>
    <x v="33"/>
    <s v="39108-34-4"/>
    <x v="33"/>
    <n v="8.25"/>
  </r>
  <r>
    <s v="MM004-JBA-08132021"/>
    <s v="Spill"/>
    <x v="0"/>
    <s v="Margined Madtom"/>
    <s v="Noturus"/>
    <s v="gibbosus"/>
    <s v="U"/>
    <x v="0"/>
    <n v="8"/>
    <n v="11.81"/>
    <x v="34"/>
    <s v="120226-60-0"/>
    <x v="34"/>
    <n v="0.25900000000000001"/>
  </r>
  <r>
    <s v="MM004-JBA-08132021"/>
    <s v="Spill"/>
    <x v="0"/>
    <s v="Margined Madtom"/>
    <s v="Noturus"/>
    <s v="gibbosus"/>
    <s v="U"/>
    <x v="0"/>
    <n v="8"/>
    <n v="11.81"/>
    <x v="35"/>
    <s v="356-02-5"/>
    <x v="35"/>
    <n v="7.9500000000000001E-2"/>
  </r>
  <r>
    <s v="MM004-JBA-08132021"/>
    <s v="Spill"/>
    <x v="0"/>
    <s v="Margined Madtom"/>
    <s v="Noturus"/>
    <s v="gibbosus"/>
    <s v="U"/>
    <x v="0"/>
    <n v="8"/>
    <n v="11.81"/>
    <x v="36"/>
    <s v="914637-49-3"/>
    <x v="36"/>
    <n v="2.96"/>
  </r>
  <r>
    <s v="MM004-JBA-08132021"/>
    <s v="Spill"/>
    <x v="0"/>
    <s v="Margined Madtom"/>
    <s v="Noturus"/>
    <s v="gibbosus"/>
    <s v="U"/>
    <x v="0"/>
    <n v="8"/>
    <n v="11.81"/>
    <x v="37"/>
    <s v="812-70-4"/>
    <x v="37"/>
    <n v="8.51"/>
  </r>
  <r>
    <s v="MM004-JBA-08132021"/>
    <s v="Spill"/>
    <x v="0"/>
    <s v="Margined Madtom"/>
    <s v="Noturus"/>
    <s v="gibbosus"/>
    <s v="U"/>
    <x v="0"/>
    <n v="8"/>
    <n v="11.81"/>
    <x v="38"/>
    <s v="53826-12-3"/>
    <x v="38"/>
    <n v="6.9000000000000006E-2"/>
  </r>
  <r>
    <s v="MM004-JBA-08132021"/>
    <s v="Spill"/>
    <x v="0"/>
    <s v="Margined Madtom"/>
    <s v="Noturus"/>
    <s v="gibbosus"/>
    <s v="U"/>
    <x v="0"/>
    <n v="8"/>
    <n v="11.81"/>
    <x v="39"/>
    <s v="27854-31-5"/>
    <x v="39"/>
    <n v="6.9000000000000006E-2"/>
  </r>
  <r>
    <s v="MM004-JBA-08132021"/>
    <s v="Spill"/>
    <x v="0"/>
    <s v="Margined Madtom"/>
    <s v="Noturus"/>
    <s v="gibbosus"/>
    <s v="U"/>
    <x v="0"/>
    <n v="8"/>
    <n v="11.81"/>
    <x v="40"/>
    <s v="53826-13-4"/>
    <x v="40"/>
    <n v="0.77500000000000002"/>
  </r>
  <r>
    <s v="MM004-JBA-08132021"/>
    <s v="Spill"/>
    <x v="0"/>
    <s v="Margined Madtom"/>
    <s v="Noturus"/>
    <s v="gibbosus"/>
    <s v="U"/>
    <x v="0"/>
    <n v="8"/>
    <n v="11.81"/>
    <x v="41"/>
    <s v="161094-75-3"/>
    <x v="41"/>
    <n v="5.3999999999999999E-2"/>
  </r>
  <r>
    <s v="MM004-JBA-08132021"/>
    <s v="Spill"/>
    <x v="0"/>
    <s v="Margined Madtom"/>
    <s v="Noturus"/>
    <s v="gibbosus"/>
    <s v="U"/>
    <x v="0"/>
    <n v="8"/>
    <n v="11.81"/>
    <x v="42"/>
    <s v="70887-84-2"/>
    <x v="42"/>
    <n v="4.1799999999999997E-2"/>
  </r>
  <r>
    <s v="MM004-JBA-08132021"/>
    <s v="Spill"/>
    <x v="0"/>
    <s v="Margined Madtom"/>
    <s v="Noturus"/>
    <s v="gibbosus"/>
    <s v="U"/>
    <x v="0"/>
    <n v="8"/>
    <n v="11.81"/>
    <x v="43"/>
    <s v="919005-14-4"/>
    <x v="43"/>
    <n v="6.9000000000000006E-2"/>
  </r>
  <r>
    <s v="MM004-JBA-08132021"/>
    <s v="Spill"/>
    <x v="0"/>
    <s v="Margined Madtom"/>
    <s v="Noturus"/>
    <s v="gibbosus"/>
    <s v="U"/>
    <x v="0"/>
    <n v="8"/>
    <n v="11.81"/>
    <x v="44"/>
    <s v="756426-58-1"/>
    <x v="44"/>
    <n v="6.9000000000000006E-2"/>
  </r>
  <r>
    <s v="MM004-JBA-08132021"/>
    <s v="Spill"/>
    <x v="0"/>
    <s v="Margined Madtom"/>
    <s v="Noturus"/>
    <s v="gibbosus"/>
    <s v="U"/>
    <x v="0"/>
    <n v="8"/>
    <n v="11.81"/>
    <x v="45"/>
    <s v="763051-92-9"/>
    <x v="45"/>
    <n v="6.9000000000000006E-2"/>
  </r>
  <r>
    <s v="MM004-JBA-08132021"/>
    <s v="Spill"/>
    <x v="0"/>
    <s v="Margined Madtom"/>
    <s v="Noturus"/>
    <s v="gibbosus"/>
    <s v="U"/>
    <x v="0"/>
    <n v="8"/>
    <n v="11.81"/>
    <x v="46"/>
    <s v="13252-13-6"/>
    <x v="46"/>
    <n v="9.9000000000000005E-2"/>
  </r>
  <r>
    <s v="MM004-JBA-08132021"/>
    <s v="Spill"/>
    <x v="0"/>
    <s v="Margined Madtom"/>
    <s v="Noturus"/>
    <s v="gibbosus"/>
    <s v="U"/>
    <x v="0"/>
    <n v="8"/>
    <n v="11.81"/>
    <x v="47"/>
    <s v="57677-95-9"/>
    <x v="47"/>
    <n v="7.3499999999999996E-2"/>
  </r>
  <r>
    <s v="MM004-JBA-08132021"/>
    <s v="Spill"/>
    <x v="0"/>
    <s v="Margined Madtom"/>
    <s v="Noturus"/>
    <s v="gibbosus"/>
    <s v="U"/>
    <x v="0"/>
    <n v="8"/>
    <n v="11.81"/>
    <x v="48"/>
    <s v="678-41-1"/>
    <x v="48"/>
    <n v="9.1499999999999998E-2"/>
  </r>
  <r>
    <s v="MM004-JBA-08132021"/>
    <s v="Spill"/>
    <x v="0"/>
    <s v="Margined Madtom"/>
    <s v="Noturus"/>
    <s v="gibbosus"/>
    <s v="U"/>
    <x v="0"/>
    <n v="8"/>
    <n v="11.81"/>
    <x v="49"/>
    <s v="2965-52-8"/>
    <x v="49"/>
    <n v="0.1215"/>
  </r>
  <r>
    <s v="BK001-JBA-08132021"/>
    <s v="Spill"/>
    <x v="0"/>
    <s v="Banded Killifish"/>
    <s v="Fundulus"/>
    <s v="gibbosus"/>
    <s v="U"/>
    <x v="0"/>
    <n v="8"/>
    <n v="11.81"/>
    <x v="0"/>
    <s v="375-22-4"/>
    <x v="0"/>
    <n v="0.217"/>
  </r>
  <r>
    <s v="BK001-JBA-08132021"/>
    <s v="Spill"/>
    <x v="0"/>
    <s v="Banded Killifish"/>
    <s v="Fundulus"/>
    <s v="gibbosus"/>
    <s v="U"/>
    <x v="0"/>
    <n v="8"/>
    <n v="11.81"/>
    <x v="1"/>
    <s v="2706-90-3"/>
    <x v="1"/>
    <n v="4.6350000000000002E-2"/>
  </r>
  <r>
    <s v="BK001-JBA-08132021"/>
    <s v="Spill"/>
    <x v="0"/>
    <s v="Banded Killifish"/>
    <s v="Fundulus"/>
    <s v="gibbosus"/>
    <s v="U"/>
    <x v="0"/>
    <n v="8"/>
    <n v="11.81"/>
    <x v="2"/>
    <s v="307-24-4"/>
    <x v="2"/>
    <n v="0.11700000000000001"/>
  </r>
  <r>
    <s v="BK001-JBA-08132021"/>
    <s v="Spill"/>
    <x v="0"/>
    <s v="Banded Killifish"/>
    <s v="Fundulus"/>
    <s v="gibbosus"/>
    <s v="U"/>
    <x v="0"/>
    <n v="8"/>
    <n v="11.81"/>
    <x v="3"/>
    <s v="375-85-9"/>
    <x v="3"/>
    <n v="8.6999999999999994E-2"/>
  </r>
  <r>
    <s v="BK001-JBA-08132021"/>
    <s v="Spill"/>
    <x v="0"/>
    <s v="Banded Killifish"/>
    <s v="Fundulus"/>
    <s v="gibbosus"/>
    <s v="U"/>
    <x v="0"/>
    <n v="8"/>
    <n v="11.81"/>
    <x v="4"/>
    <s v="335-67-1"/>
    <x v="4"/>
    <n v="1.83"/>
  </r>
  <r>
    <s v="BK001-JBA-08132021"/>
    <s v="Spill"/>
    <x v="0"/>
    <s v="Banded Killifish"/>
    <s v="Fundulus"/>
    <s v="gibbosus"/>
    <s v="U"/>
    <x v="0"/>
    <n v="8"/>
    <n v="11.81"/>
    <x v="5"/>
    <s v="375-95-1"/>
    <x v="5"/>
    <n v="4.3899999999999997"/>
  </r>
  <r>
    <s v="BK001-JBA-08132021"/>
    <s v="Spill"/>
    <x v="0"/>
    <s v="Banded Killifish"/>
    <s v="Fundulus"/>
    <s v="gibbosus"/>
    <s v="U"/>
    <x v="0"/>
    <n v="8"/>
    <n v="11.81"/>
    <x v="6"/>
    <s v="335-76-2"/>
    <x v="6"/>
    <n v="6.11"/>
  </r>
  <r>
    <s v="BK001-JBA-08132021"/>
    <s v="Spill"/>
    <x v="0"/>
    <s v="Banded Killifish"/>
    <s v="Fundulus"/>
    <s v="gibbosus"/>
    <s v="U"/>
    <x v="0"/>
    <n v="8"/>
    <n v="11.81"/>
    <x v="7"/>
    <s v="2058-94-8"/>
    <x v="7"/>
    <n v="7.39"/>
  </r>
  <r>
    <s v="BK001-JBA-08132021"/>
    <s v="Spill"/>
    <x v="0"/>
    <s v="Banded Killifish"/>
    <s v="Fundulus"/>
    <s v="gibbosus"/>
    <s v="U"/>
    <x v="0"/>
    <n v="8"/>
    <n v="11.81"/>
    <x v="8"/>
    <s v="307-55-1"/>
    <x v="8"/>
    <n v="7.73"/>
  </r>
  <r>
    <s v="BK001-JBA-08132021"/>
    <s v="Spill"/>
    <x v="0"/>
    <s v="Banded Killifish"/>
    <s v="Fundulus"/>
    <s v="gibbosus"/>
    <s v="U"/>
    <x v="0"/>
    <n v="8"/>
    <n v="11.81"/>
    <x v="9"/>
    <s v="72629-94-8"/>
    <x v="9"/>
    <n v="2.4900000000000002"/>
  </r>
  <r>
    <s v="BK001-JBA-08132021"/>
    <s v="Spill"/>
    <x v="0"/>
    <s v="Banded Killifish"/>
    <s v="Fundulus"/>
    <s v="gibbosus"/>
    <s v="U"/>
    <x v="0"/>
    <n v="8"/>
    <n v="11.81"/>
    <x v="10"/>
    <s v="376-06-7"/>
    <x v="10"/>
    <n v="5.78"/>
  </r>
  <r>
    <s v="BK001-JBA-08132021"/>
    <s v="Spill"/>
    <x v="0"/>
    <s v="Banded Killifish"/>
    <s v="Fundulus"/>
    <s v="gibbosus"/>
    <s v="U"/>
    <x v="0"/>
    <n v="8"/>
    <n v="11.81"/>
    <x v="11"/>
    <s v="67905-19-5"/>
    <x v="11"/>
    <n v="7.85E-2"/>
  </r>
  <r>
    <s v="BK001-JBA-08132021"/>
    <s v="Spill"/>
    <x v="0"/>
    <s v="Banded Killifish"/>
    <s v="Fundulus"/>
    <s v="gibbosus"/>
    <s v="U"/>
    <x v="0"/>
    <n v="8"/>
    <n v="11.81"/>
    <x v="12"/>
    <s v="423-41-6"/>
    <x v="12"/>
    <n v="0.05"/>
  </r>
  <r>
    <s v="BK001-JBA-08132021"/>
    <s v="Spill"/>
    <x v="0"/>
    <s v="Banded Killifish"/>
    <s v="Fundulus"/>
    <s v="gibbosus"/>
    <s v="U"/>
    <x v="0"/>
    <n v="8"/>
    <n v="11.81"/>
    <x v="13"/>
    <s v="375-73-5"/>
    <x v="13"/>
    <n v="0.14749999999999999"/>
  </r>
  <r>
    <s v="BK001-JBA-08132021"/>
    <s v="Spill"/>
    <x v="0"/>
    <s v="Banded Killifish"/>
    <s v="Fundulus"/>
    <s v="gibbosus"/>
    <s v="U"/>
    <x v="0"/>
    <n v="8"/>
    <n v="11.81"/>
    <x v="14"/>
    <s v="2706-91-4"/>
    <x v="14"/>
    <n v="0.77900000000000003"/>
  </r>
  <r>
    <s v="BK001-JBA-08132021"/>
    <s v="Spill"/>
    <x v="0"/>
    <s v="Banded Killifish"/>
    <s v="Fundulus"/>
    <s v="gibbosus"/>
    <s v="U"/>
    <x v="0"/>
    <n v="8"/>
    <n v="11.81"/>
    <x v="15"/>
    <s v="355-46-4"/>
    <x v="15"/>
    <n v="35.1"/>
  </r>
  <r>
    <s v="BK001-JBA-08132021"/>
    <s v="Spill"/>
    <x v="0"/>
    <s v="Banded Killifish"/>
    <s v="Fundulus"/>
    <s v="gibbosus"/>
    <s v="U"/>
    <x v="0"/>
    <n v="8"/>
    <n v="11.81"/>
    <x v="16"/>
    <s v="375-92-8"/>
    <x v="16"/>
    <n v="5.23"/>
  </r>
  <r>
    <s v="BK001-JBA-08132021"/>
    <s v="Spill"/>
    <x v="0"/>
    <s v="Banded Killifish"/>
    <s v="Fundulus"/>
    <s v="gibbosus"/>
    <s v="U"/>
    <x v="0"/>
    <n v="8"/>
    <n v="11.81"/>
    <x v="17"/>
    <s v="1763-23-1"/>
    <x v="17"/>
    <n v="1670"/>
  </r>
  <r>
    <s v="BK001-JBA-08132021"/>
    <s v="Spill"/>
    <x v="0"/>
    <s v="Banded Killifish"/>
    <s v="Fundulus"/>
    <s v="gibbosus"/>
    <s v="U"/>
    <x v="0"/>
    <n v="8"/>
    <n v="11.81"/>
    <x v="18"/>
    <s v="68259-12-1"/>
    <x v="18"/>
    <n v="3.25"/>
  </r>
  <r>
    <s v="BK001-JBA-08132021"/>
    <s v="Spill"/>
    <x v="0"/>
    <s v="Banded Killifish"/>
    <s v="Fundulus"/>
    <s v="gibbosus"/>
    <s v="U"/>
    <x v="0"/>
    <n v="8"/>
    <n v="11.81"/>
    <x v="19"/>
    <s v="335-77-3"/>
    <x v="19"/>
    <n v="4.49"/>
  </r>
  <r>
    <s v="BK001-JBA-08132021"/>
    <s v="Spill"/>
    <x v="0"/>
    <s v="Banded Killifish"/>
    <s v="Fundulus"/>
    <s v="gibbosus"/>
    <s v="U"/>
    <x v="0"/>
    <n v="8"/>
    <n v="11.81"/>
    <x v="20"/>
    <s v="79780-39-5"/>
    <x v="20"/>
    <n v="2.91"/>
  </r>
  <r>
    <s v="BK001-JBA-08132021"/>
    <s v="Spill"/>
    <x v="0"/>
    <s v="Banded Killifish"/>
    <s v="Fundulus"/>
    <s v="gibbosus"/>
    <s v="U"/>
    <x v="0"/>
    <n v="8"/>
    <n v="11.81"/>
    <x v="21"/>
    <s v="777011-38-8"/>
    <x v="21"/>
    <n v="0.48199999999999998"/>
  </r>
  <r>
    <s v="BK001-JBA-08132021"/>
    <s v="Spill"/>
    <x v="0"/>
    <s v="Banded Killifish"/>
    <s v="Fundulus"/>
    <s v="gibbosus"/>
    <s v="U"/>
    <x v="0"/>
    <n v="8"/>
    <n v="11.81"/>
    <x v="22"/>
    <s v="646-83-3"/>
    <x v="22"/>
    <n v="0.48699999999999999"/>
  </r>
  <r>
    <s v="BK001-JBA-08132021"/>
    <s v="Spill"/>
    <x v="0"/>
    <s v="Banded Killifish"/>
    <s v="Fundulus"/>
    <s v="gibbosus"/>
    <s v="U"/>
    <x v="0"/>
    <n v="8"/>
    <n v="11.81"/>
    <x v="23"/>
    <s v="30334-69-1"/>
    <x v="23"/>
    <n v="25.3"/>
  </r>
  <r>
    <s v="BK001-JBA-08132021"/>
    <s v="Spill"/>
    <x v="0"/>
    <s v="Banded Killifish"/>
    <s v="Fundulus"/>
    <s v="gibbosus"/>
    <s v="U"/>
    <x v="0"/>
    <n v="8"/>
    <n v="11.81"/>
    <x v="24"/>
    <s v="41997-13-1"/>
    <x v="24"/>
    <n v="105"/>
  </r>
  <r>
    <s v="BK001-JBA-08132021"/>
    <s v="Spill"/>
    <x v="0"/>
    <s v="Banded Killifish"/>
    <s v="Fundulus"/>
    <s v="gibbosus"/>
    <s v="U"/>
    <x v="0"/>
    <n v="8"/>
    <n v="11.81"/>
    <x v="25"/>
    <s v="754-91-6"/>
    <x v="25"/>
    <n v="48"/>
  </r>
  <r>
    <s v="BK001-JBA-08132021"/>
    <s v="Spill"/>
    <x v="0"/>
    <s v="Banded Killifish"/>
    <s v="Fundulus"/>
    <s v="gibbosus"/>
    <s v="U"/>
    <x v="0"/>
    <n v="8"/>
    <n v="11.81"/>
    <x v="26"/>
    <s v="31506-32-8"/>
    <x v="26"/>
    <n v="5.0500000000000003E-2"/>
  </r>
  <r>
    <s v="BK001-JBA-08132021"/>
    <s v="Spill"/>
    <x v="0"/>
    <s v="Banded Killifish"/>
    <s v="Fundulus"/>
    <s v="gibbosus"/>
    <s v="U"/>
    <x v="0"/>
    <n v="8"/>
    <n v="11.81"/>
    <x v="27"/>
    <s v="4151-50-2"/>
    <x v="27"/>
    <n v="7.6499999999999999E-2"/>
  </r>
  <r>
    <s v="BK001-JBA-08132021"/>
    <s v="Spill"/>
    <x v="0"/>
    <s v="Banded Killifish"/>
    <s v="Fundulus"/>
    <s v="gibbosus"/>
    <s v="U"/>
    <x v="0"/>
    <n v="8"/>
    <n v="11.81"/>
    <x v="28"/>
    <s v="2806-24-8"/>
    <x v="28"/>
    <n v="5.1999999999999998E-2"/>
  </r>
  <r>
    <s v="BK001-JBA-08132021"/>
    <s v="Spill"/>
    <x v="0"/>
    <s v="Banded Killifish"/>
    <s v="Fundulus"/>
    <s v="gibbosus"/>
    <s v="U"/>
    <x v="0"/>
    <n v="8"/>
    <n v="11.81"/>
    <x v="29"/>
    <s v="2355-31-9"/>
    <x v="29"/>
    <n v="0.82"/>
  </r>
  <r>
    <s v="BK001-JBA-08132021"/>
    <s v="Spill"/>
    <x v="0"/>
    <s v="Banded Killifish"/>
    <s v="Fundulus"/>
    <s v="gibbosus"/>
    <s v="U"/>
    <x v="0"/>
    <n v="8"/>
    <n v="11.81"/>
    <x v="30"/>
    <s v="2991-50-6"/>
    <x v="30"/>
    <n v="5.7000000000000002E-2"/>
  </r>
  <r>
    <s v="BK001-JBA-08132021"/>
    <s v="Spill"/>
    <x v="0"/>
    <s v="Banded Killifish"/>
    <s v="Fundulus"/>
    <s v="gibbosus"/>
    <s v="U"/>
    <x v="0"/>
    <n v="8"/>
    <n v="11.81"/>
    <x v="31"/>
    <s v="757124-72-4"/>
    <x v="31"/>
    <n v="5.3999999999999999E-2"/>
  </r>
  <r>
    <s v="BK001-JBA-08132021"/>
    <s v="Spill"/>
    <x v="0"/>
    <s v="Banded Killifish"/>
    <s v="Fundulus"/>
    <s v="gibbosus"/>
    <s v="U"/>
    <x v="0"/>
    <n v="8"/>
    <n v="11.81"/>
    <x v="32"/>
    <s v="27619-97-2"/>
    <x v="32"/>
    <n v="0.82199999999999995"/>
  </r>
  <r>
    <s v="BK001-JBA-08132021"/>
    <s v="Spill"/>
    <x v="0"/>
    <s v="Banded Killifish"/>
    <s v="Fundulus"/>
    <s v="gibbosus"/>
    <s v="U"/>
    <x v="0"/>
    <n v="8"/>
    <n v="11.81"/>
    <x v="33"/>
    <s v="39108-34-4"/>
    <x v="33"/>
    <n v="6.73"/>
  </r>
  <r>
    <s v="BK001-JBA-08132021"/>
    <s v="Spill"/>
    <x v="0"/>
    <s v="Banded Killifish"/>
    <s v="Fundulus"/>
    <s v="gibbosus"/>
    <s v="U"/>
    <x v="0"/>
    <n v="8"/>
    <n v="11.81"/>
    <x v="34"/>
    <s v="120226-60-0"/>
    <x v="34"/>
    <n v="0.59099999999999997"/>
  </r>
  <r>
    <s v="BK001-JBA-08132021"/>
    <s v="Spill"/>
    <x v="0"/>
    <s v="Banded Killifish"/>
    <s v="Fundulus"/>
    <s v="gibbosus"/>
    <s v="U"/>
    <x v="0"/>
    <n v="8"/>
    <n v="11.81"/>
    <x v="35"/>
    <s v="356-02-5"/>
    <x v="35"/>
    <n v="7.5999999999999998E-2"/>
  </r>
  <r>
    <s v="BK001-JBA-08132021"/>
    <s v="Spill"/>
    <x v="0"/>
    <s v="Banded Killifish"/>
    <s v="Fundulus"/>
    <s v="gibbosus"/>
    <s v="U"/>
    <x v="0"/>
    <n v="8"/>
    <n v="11.81"/>
    <x v="36"/>
    <s v="914637-49-3"/>
    <x v="36"/>
    <n v="12.4"/>
  </r>
  <r>
    <s v="BK001-JBA-08132021"/>
    <s v="Spill"/>
    <x v="0"/>
    <s v="Banded Killifish"/>
    <s v="Fundulus"/>
    <s v="gibbosus"/>
    <s v="U"/>
    <x v="0"/>
    <n v="8"/>
    <n v="11.81"/>
    <x v="37"/>
    <s v="812-70-4"/>
    <x v="37"/>
    <n v="9.48"/>
  </r>
  <r>
    <s v="BK001-JBA-08132021"/>
    <s v="Spill"/>
    <x v="0"/>
    <s v="Banded Killifish"/>
    <s v="Fundulus"/>
    <s v="gibbosus"/>
    <s v="U"/>
    <x v="0"/>
    <n v="8"/>
    <n v="11.81"/>
    <x v="38"/>
    <s v="53826-12-3"/>
    <x v="38"/>
    <n v="6.6000000000000003E-2"/>
  </r>
  <r>
    <s v="BK001-JBA-08132021"/>
    <s v="Spill"/>
    <x v="0"/>
    <s v="Banded Killifish"/>
    <s v="Fundulus"/>
    <s v="gibbosus"/>
    <s v="U"/>
    <x v="0"/>
    <n v="8"/>
    <n v="11.81"/>
    <x v="39"/>
    <s v="27854-31-5"/>
    <x v="39"/>
    <n v="6.6000000000000003E-2"/>
  </r>
  <r>
    <s v="BK001-JBA-08132021"/>
    <s v="Spill"/>
    <x v="0"/>
    <s v="Banded Killifish"/>
    <s v="Fundulus"/>
    <s v="gibbosus"/>
    <s v="U"/>
    <x v="0"/>
    <n v="8"/>
    <n v="11.81"/>
    <x v="40"/>
    <s v="53826-13-4"/>
    <x v="40"/>
    <n v="1.82"/>
  </r>
  <r>
    <s v="BK001-JBA-08132021"/>
    <s v="Spill"/>
    <x v="0"/>
    <s v="Banded Killifish"/>
    <s v="Fundulus"/>
    <s v="gibbosus"/>
    <s v="U"/>
    <x v="0"/>
    <n v="8"/>
    <n v="11.81"/>
    <x v="41"/>
    <s v="161094-75-3"/>
    <x v="41"/>
    <n v="5.1499999999999997E-2"/>
  </r>
  <r>
    <s v="BK001-JBA-08132021"/>
    <s v="Spill"/>
    <x v="0"/>
    <s v="Banded Killifish"/>
    <s v="Fundulus"/>
    <s v="gibbosus"/>
    <s v="U"/>
    <x v="0"/>
    <n v="8"/>
    <n v="11.81"/>
    <x v="42"/>
    <s v="70887-84-2"/>
    <x v="42"/>
    <n v="3.9699999999999999E-2"/>
  </r>
  <r>
    <s v="BK001-JBA-08132021"/>
    <s v="Spill"/>
    <x v="0"/>
    <s v="Banded Killifish"/>
    <s v="Fundulus"/>
    <s v="gibbosus"/>
    <s v="U"/>
    <x v="0"/>
    <n v="8"/>
    <n v="11.81"/>
    <x v="43"/>
    <s v="919005-14-4"/>
    <x v="43"/>
    <n v="6.6000000000000003E-2"/>
  </r>
  <r>
    <s v="BK001-JBA-08132021"/>
    <s v="Spill"/>
    <x v="0"/>
    <s v="Banded Killifish"/>
    <s v="Fundulus"/>
    <s v="gibbosus"/>
    <s v="U"/>
    <x v="0"/>
    <n v="8"/>
    <n v="11.81"/>
    <x v="44"/>
    <s v="756426-58-1"/>
    <x v="44"/>
    <n v="6.6000000000000003E-2"/>
  </r>
  <r>
    <s v="BK001-JBA-08132021"/>
    <s v="Spill"/>
    <x v="0"/>
    <s v="Banded Killifish"/>
    <s v="Fundulus"/>
    <s v="gibbosus"/>
    <s v="U"/>
    <x v="0"/>
    <n v="8"/>
    <n v="11.81"/>
    <x v="45"/>
    <s v="763051-92-9"/>
    <x v="45"/>
    <n v="6.6000000000000003E-2"/>
  </r>
  <r>
    <s v="BK001-JBA-08132021"/>
    <s v="Spill"/>
    <x v="0"/>
    <s v="Banded Killifish"/>
    <s v="Fundulus"/>
    <s v="gibbosus"/>
    <s v="U"/>
    <x v="0"/>
    <n v="8"/>
    <n v="11.81"/>
    <x v="46"/>
    <s v="13252-13-6"/>
    <x v="46"/>
    <n v="9.4E-2"/>
  </r>
  <r>
    <s v="BK001-JBA-08132021"/>
    <s v="Spill"/>
    <x v="0"/>
    <s v="Banded Killifish"/>
    <s v="Fundulus"/>
    <s v="gibbosus"/>
    <s v="U"/>
    <x v="0"/>
    <n v="8"/>
    <n v="11.81"/>
    <x v="47"/>
    <s v="57677-95-9"/>
    <x v="47"/>
    <n v="7.0000000000000007E-2"/>
  </r>
  <r>
    <s v="BK001-JBA-08132021"/>
    <s v="Spill"/>
    <x v="0"/>
    <s v="Banded Killifish"/>
    <s v="Fundulus"/>
    <s v="gibbosus"/>
    <s v="U"/>
    <x v="0"/>
    <n v="8"/>
    <n v="11.81"/>
    <x v="48"/>
    <s v="678-41-1"/>
    <x v="48"/>
    <n v="8.6999999999999994E-2"/>
  </r>
  <r>
    <s v="BK001-JBA-08132021"/>
    <s v="Spill"/>
    <x v="0"/>
    <s v="Banded Killifish"/>
    <s v="Fundulus"/>
    <s v="gibbosus"/>
    <s v="U"/>
    <x v="0"/>
    <n v="8"/>
    <n v="11.81"/>
    <x v="49"/>
    <s v="2965-52-8"/>
    <x v="49"/>
    <n v="0.11550000000000001"/>
  </r>
  <r>
    <s v="PU030-JBA-08162021"/>
    <s v="Spill"/>
    <x v="1"/>
    <s v="Pumpkinseed"/>
    <s v="Lepomis"/>
    <s v="gibbosus"/>
    <s v="U"/>
    <x v="0"/>
    <n v="8"/>
    <n v="11.81"/>
    <x v="0"/>
    <s v="375-22-4"/>
    <x v="0"/>
    <n v="0.23150000000000001"/>
  </r>
  <r>
    <s v="PU030-JBA-08162021"/>
    <s v="Spill"/>
    <x v="1"/>
    <s v="Pumpkinseed"/>
    <s v="Lepomis"/>
    <s v="gibbosus"/>
    <s v="U"/>
    <x v="0"/>
    <n v="8"/>
    <n v="11.81"/>
    <x v="1"/>
    <s v="2706-90-3"/>
    <x v="1"/>
    <n v="4.9549999999999997E-2"/>
  </r>
  <r>
    <s v="PU030-JBA-08162021"/>
    <s v="Spill"/>
    <x v="1"/>
    <s v="Pumpkinseed"/>
    <s v="Lepomis"/>
    <s v="gibbosus"/>
    <s v="U"/>
    <x v="0"/>
    <n v="8"/>
    <n v="11.81"/>
    <x v="2"/>
    <s v="307-24-4"/>
    <x v="2"/>
    <n v="3.7900000000000003E-2"/>
  </r>
  <r>
    <s v="PU030-JBA-08162021"/>
    <s v="Spill"/>
    <x v="1"/>
    <s v="Pumpkinseed"/>
    <s v="Lepomis"/>
    <s v="gibbosus"/>
    <s v="U"/>
    <x v="0"/>
    <n v="8"/>
    <n v="11.81"/>
    <x v="3"/>
    <s v="375-85-9"/>
    <x v="3"/>
    <n v="9.2499999999999999E-2"/>
  </r>
  <r>
    <s v="PU030-JBA-08162021"/>
    <s v="Spill"/>
    <x v="1"/>
    <s v="Pumpkinseed"/>
    <s v="Lepomis"/>
    <s v="gibbosus"/>
    <s v="U"/>
    <x v="0"/>
    <n v="8"/>
    <n v="11.81"/>
    <x v="4"/>
    <s v="335-67-1"/>
    <x v="4"/>
    <n v="0.60799999999999998"/>
  </r>
  <r>
    <s v="PU030-JBA-08162021"/>
    <s v="Spill"/>
    <x v="1"/>
    <s v="Pumpkinseed"/>
    <s v="Lepomis"/>
    <s v="gibbosus"/>
    <s v="U"/>
    <x v="0"/>
    <n v="8"/>
    <n v="11.81"/>
    <x v="5"/>
    <s v="375-95-1"/>
    <x v="5"/>
    <n v="0.53700000000000003"/>
  </r>
  <r>
    <s v="PU030-JBA-08162021"/>
    <s v="Spill"/>
    <x v="1"/>
    <s v="Pumpkinseed"/>
    <s v="Lepomis"/>
    <s v="gibbosus"/>
    <s v="U"/>
    <x v="0"/>
    <n v="8"/>
    <n v="11.81"/>
    <x v="6"/>
    <s v="335-76-2"/>
    <x v="6"/>
    <n v="5.0199999999999996"/>
  </r>
  <r>
    <s v="PU030-JBA-08162021"/>
    <s v="Spill"/>
    <x v="1"/>
    <s v="Pumpkinseed"/>
    <s v="Lepomis"/>
    <s v="gibbosus"/>
    <s v="U"/>
    <x v="0"/>
    <n v="8"/>
    <n v="11.81"/>
    <x v="7"/>
    <s v="2058-94-8"/>
    <x v="7"/>
    <n v="9.6300000000000008"/>
  </r>
  <r>
    <s v="PU030-JBA-08162021"/>
    <s v="Spill"/>
    <x v="1"/>
    <s v="Pumpkinseed"/>
    <s v="Lepomis"/>
    <s v="gibbosus"/>
    <s v="U"/>
    <x v="0"/>
    <n v="8"/>
    <n v="11.81"/>
    <x v="8"/>
    <s v="307-55-1"/>
    <x v="8"/>
    <n v="20.100000000000001"/>
  </r>
  <r>
    <s v="PU030-JBA-08162021"/>
    <s v="Spill"/>
    <x v="1"/>
    <s v="Pumpkinseed"/>
    <s v="Lepomis"/>
    <s v="gibbosus"/>
    <s v="U"/>
    <x v="0"/>
    <n v="8"/>
    <n v="11.81"/>
    <x v="9"/>
    <s v="72629-94-8"/>
    <x v="9"/>
    <n v="5.7"/>
  </r>
  <r>
    <s v="PU030-JBA-08162021"/>
    <s v="Spill"/>
    <x v="1"/>
    <s v="Pumpkinseed"/>
    <s v="Lepomis"/>
    <s v="gibbosus"/>
    <s v="U"/>
    <x v="0"/>
    <n v="8"/>
    <n v="11.81"/>
    <x v="10"/>
    <s v="376-06-7"/>
    <x v="10"/>
    <n v="11.7"/>
  </r>
  <r>
    <s v="PU030-JBA-08162021"/>
    <s v="Spill"/>
    <x v="1"/>
    <s v="Pumpkinseed"/>
    <s v="Lepomis"/>
    <s v="gibbosus"/>
    <s v="U"/>
    <x v="0"/>
    <n v="8"/>
    <n v="11.81"/>
    <x v="11"/>
    <s v="67905-19-5"/>
    <x v="11"/>
    <n v="8.3500000000000005E-2"/>
  </r>
  <r>
    <s v="PU030-JBA-08162021"/>
    <s v="Spill"/>
    <x v="1"/>
    <s v="Pumpkinseed"/>
    <s v="Lepomis"/>
    <s v="gibbosus"/>
    <s v="U"/>
    <x v="0"/>
    <n v="8"/>
    <n v="11.81"/>
    <x v="12"/>
    <s v="423-41-6"/>
    <x v="12"/>
    <n v="5.3499999999999999E-2"/>
  </r>
  <r>
    <s v="PU030-JBA-08162021"/>
    <s v="Spill"/>
    <x v="1"/>
    <s v="Pumpkinseed"/>
    <s v="Lepomis"/>
    <s v="gibbosus"/>
    <s v="U"/>
    <x v="0"/>
    <n v="8"/>
    <n v="11.81"/>
    <x v="13"/>
    <s v="375-73-5"/>
    <x v="13"/>
    <n v="0.1575"/>
  </r>
  <r>
    <s v="PU030-JBA-08162021"/>
    <s v="Spill"/>
    <x v="1"/>
    <s v="Pumpkinseed"/>
    <s v="Lepomis"/>
    <s v="gibbosus"/>
    <s v="U"/>
    <x v="0"/>
    <n v="8"/>
    <n v="11.81"/>
    <x v="14"/>
    <s v="2706-91-4"/>
    <x v="14"/>
    <n v="0.1225"/>
  </r>
  <r>
    <s v="PU030-JBA-08162021"/>
    <s v="Spill"/>
    <x v="1"/>
    <s v="Pumpkinseed"/>
    <s v="Lepomis"/>
    <s v="gibbosus"/>
    <s v="U"/>
    <x v="0"/>
    <n v="8"/>
    <n v="11.81"/>
    <x v="15"/>
    <s v="355-46-4"/>
    <x v="15"/>
    <n v="8.17"/>
  </r>
  <r>
    <s v="PU030-JBA-08162021"/>
    <s v="Spill"/>
    <x v="1"/>
    <s v="Pumpkinseed"/>
    <s v="Lepomis"/>
    <s v="gibbosus"/>
    <s v="U"/>
    <x v="0"/>
    <n v="8"/>
    <n v="11.81"/>
    <x v="16"/>
    <s v="375-92-8"/>
    <x v="16"/>
    <n v="1.18"/>
  </r>
  <r>
    <s v="PU030-JBA-08162021"/>
    <s v="Spill"/>
    <x v="1"/>
    <s v="Pumpkinseed"/>
    <s v="Lepomis"/>
    <s v="gibbosus"/>
    <s v="U"/>
    <x v="0"/>
    <n v="8"/>
    <n v="11.81"/>
    <x v="17"/>
    <s v="1763-23-1"/>
    <x v="17"/>
    <n v="1250"/>
  </r>
  <r>
    <s v="PU030-JBA-08162021"/>
    <s v="Spill"/>
    <x v="1"/>
    <s v="Pumpkinseed"/>
    <s v="Lepomis"/>
    <s v="gibbosus"/>
    <s v="U"/>
    <x v="0"/>
    <n v="8"/>
    <n v="11.81"/>
    <x v="18"/>
    <s v="68259-12-1"/>
    <x v="18"/>
    <n v="1.32"/>
  </r>
  <r>
    <s v="PU030-JBA-08162021"/>
    <s v="Spill"/>
    <x v="1"/>
    <s v="Pumpkinseed"/>
    <s v="Lepomis"/>
    <s v="gibbosus"/>
    <s v="U"/>
    <x v="0"/>
    <n v="8"/>
    <n v="11.81"/>
    <x v="19"/>
    <s v="335-77-3"/>
    <x v="19"/>
    <n v="1.62"/>
  </r>
  <r>
    <s v="PU030-JBA-08162021"/>
    <s v="Spill"/>
    <x v="1"/>
    <s v="Pumpkinseed"/>
    <s v="Lepomis"/>
    <s v="gibbosus"/>
    <s v="U"/>
    <x v="0"/>
    <n v="8"/>
    <n v="11.81"/>
    <x v="20"/>
    <s v="79780-39-5"/>
    <x v="20"/>
    <n v="1.1100000000000001"/>
  </r>
  <r>
    <s v="PU030-JBA-08162021"/>
    <s v="Spill"/>
    <x v="1"/>
    <s v="Pumpkinseed"/>
    <s v="Lepomis"/>
    <s v="gibbosus"/>
    <s v="U"/>
    <x v="0"/>
    <n v="8"/>
    <n v="11.81"/>
    <x v="21"/>
    <s v="777011-38-8"/>
    <x v="21"/>
    <n v="0.14099999999999999"/>
  </r>
  <r>
    <s v="PU030-JBA-08162021"/>
    <s v="Spill"/>
    <x v="1"/>
    <s v="Pumpkinseed"/>
    <s v="Lepomis"/>
    <s v="gibbosus"/>
    <s v="U"/>
    <x v="0"/>
    <n v="8"/>
    <n v="11.81"/>
    <x v="22"/>
    <s v="646-83-3"/>
    <x v="22"/>
    <n v="9.2499999999999999E-2"/>
  </r>
  <r>
    <s v="PU030-JBA-08162021"/>
    <s v="Spill"/>
    <x v="1"/>
    <s v="Pumpkinseed"/>
    <s v="Lepomis"/>
    <s v="gibbosus"/>
    <s v="U"/>
    <x v="0"/>
    <n v="8"/>
    <n v="11.81"/>
    <x v="23"/>
    <s v="30334-69-1"/>
    <x v="23"/>
    <n v="30.4"/>
  </r>
  <r>
    <s v="PU030-JBA-08162021"/>
    <s v="Spill"/>
    <x v="1"/>
    <s v="Pumpkinseed"/>
    <s v="Lepomis"/>
    <s v="gibbosus"/>
    <s v="U"/>
    <x v="0"/>
    <n v="8"/>
    <n v="11.81"/>
    <x v="24"/>
    <s v="41997-13-1"/>
    <x v="24"/>
    <n v="65.8"/>
  </r>
  <r>
    <s v="PU030-JBA-08162021"/>
    <s v="Spill"/>
    <x v="1"/>
    <s v="Pumpkinseed"/>
    <s v="Lepomis"/>
    <s v="gibbosus"/>
    <s v="U"/>
    <x v="0"/>
    <n v="8"/>
    <n v="11.81"/>
    <x v="25"/>
    <s v="754-91-6"/>
    <x v="25"/>
    <n v="11.2"/>
  </r>
  <r>
    <s v="PU030-JBA-08162021"/>
    <s v="Spill"/>
    <x v="1"/>
    <s v="Pumpkinseed"/>
    <s v="Lepomis"/>
    <s v="gibbosus"/>
    <s v="U"/>
    <x v="0"/>
    <n v="8"/>
    <n v="11.81"/>
    <x v="26"/>
    <s v="31506-32-8"/>
    <x v="26"/>
    <n v="5.3999999999999999E-2"/>
  </r>
  <r>
    <s v="PU030-JBA-08162021"/>
    <s v="Spill"/>
    <x v="1"/>
    <s v="Pumpkinseed"/>
    <s v="Lepomis"/>
    <s v="gibbosus"/>
    <s v="U"/>
    <x v="0"/>
    <n v="8"/>
    <n v="11.81"/>
    <x v="27"/>
    <s v="4151-50-2"/>
    <x v="27"/>
    <n v="8.2000000000000003E-2"/>
  </r>
  <r>
    <s v="PU030-JBA-08162021"/>
    <s v="Spill"/>
    <x v="1"/>
    <s v="Pumpkinseed"/>
    <s v="Lepomis"/>
    <s v="gibbosus"/>
    <s v="U"/>
    <x v="0"/>
    <n v="8"/>
    <n v="11.81"/>
    <x v="28"/>
    <s v="2806-24-8"/>
    <x v="28"/>
    <n v="5.5500000000000001E-2"/>
  </r>
  <r>
    <s v="PU030-JBA-08162021"/>
    <s v="Spill"/>
    <x v="1"/>
    <s v="Pumpkinseed"/>
    <s v="Lepomis"/>
    <s v="gibbosus"/>
    <s v="U"/>
    <x v="0"/>
    <n v="8"/>
    <n v="11.81"/>
    <x v="29"/>
    <s v="2355-31-9"/>
    <x v="29"/>
    <n v="1.43"/>
  </r>
  <r>
    <s v="PU030-JBA-08162021"/>
    <s v="Spill"/>
    <x v="1"/>
    <s v="Pumpkinseed"/>
    <s v="Lepomis"/>
    <s v="gibbosus"/>
    <s v="U"/>
    <x v="0"/>
    <n v="8"/>
    <n v="11.81"/>
    <x v="30"/>
    <s v="2991-50-6"/>
    <x v="30"/>
    <n v="6.0999999999999999E-2"/>
  </r>
  <r>
    <s v="PU030-JBA-08162021"/>
    <s v="Spill"/>
    <x v="1"/>
    <s v="Pumpkinseed"/>
    <s v="Lepomis"/>
    <s v="gibbosus"/>
    <s v="U"/>
    <x v="0"/>
    <n v="8"/>
    <n v="11.81"/>
    <x v="31"/>
    <s v="757124-72-4"/>
    <x v="31"/>
    <n v="5.7500000000000002E-2"/>
  </r>
  <r>
    <s v="PU030-JBA-08162021"/>
    <s v="Spill"/>
    <x v="1"/>
    <s v="Pumpkinseed"/>
    <s v="Lepomis"/>
    <s v="gibbosus"/>
    <s v="U"/>
    <x v="0"/>
    <n v="8"/>
    <n v="11.81"/>
    <x v="32"/>
    <s v="27619-97-2"/>
    <x v="32"/>
    <n v="0.14000000000000001"/>
  </r>
  <r>
    <s v="PU030-JBA-08162021"/>
    <s v="Spill"/>
    <x v="1"/>
    <s v="Pumpkinseed"/>
    <s v="Lepomis"/>
    <s v="gibbosus"/>
    <s v="U"/>
    <x v="0"/>
    <n v="8"/>
    <n v="11.81"/>
    <x v="33"/>
    <s v="39108-34-4"/>
    <x v="33"/>
    <n v="3.85"/>
  </r>
  <r>
    <s v="PU030-JBA-08162021"/>
    <s v="Spill"/>
    <x v="1"/>
    <s v="Pumpkinseed"/>
    <s v="Lepomis"/>
    <s v="gibbosus"/>
    <s v="U"/>
    <x v="0"/>
    <n v="8"/>
    <n v="11.81"/>
    <x v="34"/>
    <s v="120226-60-0"/>
    <x v="34"/>
    <n v="0.26300000000000001"/>
  </r>
  <r>
    <s v="PU030-JBA-08162021"/>
    <s v="Spill"/>
    <x v="1"/>
    <s v="Pumpkinseed"/>
    <s v="Lepomis"/>
    <s v="gibbosus"/>
    <s v="U"/>
    <x v="0"/>
    <n v="8"/>
    <n v="11.81"/>
    <x v="35"/>
    <s v="356-02-5"/>
    <x v="35"/>
    <n v="8.1000000000000003E-2"/>
  </r>
  <r>
    <s v="PU030-JBA-08162021"/>
    <s v="Spill"/>
    <x v="1"/>
    <s v="Pumpkinseed"/>
    <s v="Lepomis"/>
    <s v="gibbosus"/>
    <s v="U"/>
    <x v="0"/>
    <n v="8"/>
    <n v="11.81"/>
    <x v="36"/>
    <s v="914637-49-3"/>
    <x v="36"/>
    <n v="2.15"/>
  </r>
  <r>
    <s v="PU030-JBA-08162021"/>
    <s v="Spill"/>
    <x v="1"/>
    <s v="Pumpkinseed"/>
    <s v="Lepomis"/>
    <s v="gibbosus"/>
    <s v="U"/>
    <x v="0"/>
    <n v="8"/>
    <n v="11.81"/>
    <x v="37"/>
    <s v="812-70-4"/>
    <x v="37"/>
    <n v="1.44"/>
  </r>
  <r>
    <s v="PU030-JBA-08162021"/>
    <s v="Spill"/>
    <x v="1"/>
    <s v="Pumpkinseed"/>
    <s v="Lepomis"/>
    <s v="gibbosus"/>
    <s v="U"/>
    <x v="0"/>
    <n v="8"/>
    <n v="11.81"/>
    <x v="38"/>
    <s v="53826-12-3"/>
    <x v="38"/>
    <n v="0.66900000000000004"/>
  </r>
  <r>
    <s v="PU030-JBA-08162021"/>
    <s v="Spill"/>
    <x v="1"/>
    <s v="Pumpkinseed"/>
    <s v="Lepomis"/>
    <s v="gibbosus"/>
    <s v="U"/>
    <x v="0"/>
    <n v="8"/>
    <n v="11.81"/>
    <x v="39"/>
    <s v="27854-31-5"/>
    <x v="39"/>
    <n v="7.0000000000000007E-2"/>
  </r>
  <r>
    <s v="PU030-JBA-08162021"/>
    <s v="Spill"/>
    <x v="1"/>
    <s v="Pumpkinseed"/>
    <s v="Lepomis"/>
    <s v="gibbosus"/>
    <s v="U"/>
    <x v="0"/>
    <n v="8"/>
    <n v="11.81"/>
    <x v="40"/>
    <s v="53826-13-4"/>
    <x v="40"/>
    <n v="1.38"/>
  </r>
  <r>
    <s v="PU030-JBA-08162021"/>
    <s v="Spill"/>
    <x v="1"/>
    <s v="Pumpkinseed"/>
    <s v="Lepomis"/>
    <s v="gibbosus"/>
    <s v="U"/>
    <x v="0"/>
    <n v="8"/>
    <n v="11.81"/>
    <x v="41"/>
    <s v="161094-75-3"/>
    <x v="41"/>
    <n v="5.5E-2"/>
  </r>
  <r>
    <s v="PU030-JBA-08162021"/>
    <s v="Spill"/>
    <x v="1"/>
    <s v="Pumpkinseed"/>
    <s v="Lepomis"/>
    <s v="gibbosus"/>
    <s v="U"/>
    <x v="0"/>
    <n v="8"/>
    <n v="11.81"/>
    <x v="42"/>
    <s v="70887-84-2"/>
    <x v="42"/>
    <n v="4.24E-2"/>
  </r>
  <r>
    <s v="PU030-JBA-08162021"/>
    <s v="Spill"/>
    <x v="1"/>
    <s v="Pumpkinseed"/>
    <s v="Lepomis"/>
    <s v="gibbosus"/>
    <s v="U"/>
    <x v="0"/>
    <n v="8"/>
    <n v="11.81"/>
    <x v="43"/>
    <s v="919005-14-4"/>
    <x v="43"/>
    <n v="7.0000000000000007E-2"/>
  </r>
  <r>
    <s v="PU030-JBA-08162021"/>
    <s v="Spill"/>
    <x v="1"/>
    <s v="Pumpkinseed"/>
    <s v="Lepomis"/>
    <s v="gibbosus"/>
    <s v="U"/>
    <x v="0"/>
    <n v="8"/>
    <n v="11.81"/>
    <x v="44"/>
    <s v="756426-58-1"/>
    <x v="44"/>
    <n v="7.0000000000000007E-2"/>
  </r>
  <r>
    <s v="PU030-JBA-08162021"/>
    <s v="Spill"/>
    <x v="1"/>
    <s v="Pumpkinseed"/>
    <s v="Lepomis"/>
    <s v="gibbosus"/>
    <s v="U"/>
    <x v="0"/>
    <n v="8"/>
    <n v="11.81"/>
    <x v="45"/>
    <s v="763051-92-9"/>
    <x v="45"/>
    <n v="7.0000000000000007E-2"/>
  </r>
  <r>
    <s v="PU030-JBA-08162021"/>
    <s v="Spill"/>
    <x v="1"/>
    <s v="Pumpkinseed"/>
    <s v="Lepomis"/>
    <s v="gibbosus"/>
    <s v="U"/>
    <x v="0"/>
    <n v="8"/>
    <n v="11.81"/>
    <x v="46"/>
    <s v="13252-13-6"/>
    <x v="46"/>
    <n v="0.10100000000000001"/>
  </r>
  <r>
    <s v="PU030-JBA-08162021"/>
    <s v="Spill"/>
    <x v="1"/>
    <s v="Pumpkinseed"/>
    <s v="Lepomis"/>
    <s v="gibbosus"/>
    <s v="U"/>
    <x v="0"/>
    <n v="8"/>
    <n v="11.81"/>
    <x v="47"/>
    <s v="57677-95-9"/>
    <x v="47"/>
    <n v="7.4499999999999997E-2"/>
  </r>
  <r>
    <s v="PU030-JBA-08162021"/>
    <s v="Spill"/>
    <x v="1"/>
    <s v="Pumpkinseed"/>
    <s v="Lepomis"/>
    <s v="gibbosus"/>
    <s v="U"/>
    <x v="0"/>
    <n v="8"/>
    <n v="11.81"/>
    <x v="48"/>
    <s v="678-41-1"/>
    <x v="48"/>
    <n v="9.2999999999999999E-2"/>
  </r>
  <r>
    <s v="PU030-JBA-08162021"/>
    <s v="Spill"/>
    <x v="1"/>
    <s v="Pumpkinseed"/>
    <s v="Lepomis"/>
    <s v="gibbosus"/>
    <s v="U"/>
    <x v="0"/>
    <n v="8"/>
    <n v="11.81"/>
    <x v="49"/>
    <s v="2965-52-8"/>
    <x v="49"/>
    <n v="0.1235"/>
  </r>
  <r>
    <s v="PU031-JBA-08162021"/>
    <s v="Spill"/>
    <x v="1"/>
    <s v="Pumpkinseed"/>
    <s v="Lepomis"/>
    <s v="gibbosus"/>
    <s v="U"/>
    <x v="0"/>
    <n v="8"/>
    <n v="11.81"/>
    <x v="0"/>
    <s v="375-22-4"/>
    <x v="0"/>
    <n v="6.8500000000000005E-2"/>
  </r>
  <r>
    <s v="PU031-JBA-08162021"/>
    <s v="Spill"/>
    <x v="1"/>
    <s v="Pumpkinseed"/>
    <s v="Lepomis"/>
    <s v="gibbosus"/>
    <s v="U"/>
    <x v="0"/>
    <n v="8"/>
    <n v="11.81"/>
    <x v="1"/>
    <s v="2706-90-3"/>
    <x v="1"/>
    <n v="4.8500000000000001E-2"/>
  </r>
  <r>
    <s v="PU031-JBA-08162021"/>
    <s v="Spill"/>
    <x v="1"/>
    <s v="Pumpkinseed"/>
    <s v="Lepomis"/>
    <s v="gibbosus"/>
    <s v="U"/>
    <x v="0"/>
    <n v="8"/>
    <n v="11.81"/>
    <x v="2"/>
    <s v="307-24-4"/>
    <x v="2"/>
    <n v="0.1225"/>
  </r>
  <r>
    <s v="PU031-JBA-08162021"/>
    <s v="Spill"/>
    <x v="1"/>
    <s v="Pumpkinseed"/>
    <s v="Lepomis"/>
    <s v="gibbosus"/>
    <s v="U"/>
    <x v="0"/>
    <n v="8"/>
    <n v="11.81"/>
    <x v="3"/>
    <s v="375-85-9"/>
    <x v="3"/>
    <n v="9.0499999999999997E-2"/>
  </r>
  <r>
    <s v="PU031-JBA-08162021"/>
    <s v="Spill"/>
    <x v="1"/>
    <s v="Pumpkinseed"/>
    <s v="Lepomis"/>
    <s v="gibbosus"/>
    <s v="U"/>
    <x v="0"/>
    <n v="8"/>
    <n v="11.81"/>
    <x v="4"/>
    <s v="335-67-1"/>
    <x v="4"/>
    <n v="0.33500000000000002"/>
  </r>
  <r>
    <s v="PU031-JBA-08162021"/>
    <s v="Spill"/>
    <x v="1"/>
    <s v="Pumpkinseed"/>
    <s v="Lepomis"/>
    <s v="gibbosus"/>
    <s v="U"/>
    <x v="0"/>
    <n v="8"/>
    <n v="11.81"/>
    <x v="5"/>
    <s v="375-95-1"/>
    <x v="5"/>
    <n v="0.157"/>
  </r>
  <r>
    <s v="PU031-JBA-08162021"/>
    <s v="Spill"/>
    <x v="1"/>
    <s v="Pumpkinseed"/>
    <s v="Lepomis"/>
    <s v="gibbosus"/>
    <s v="U"/>
    <x v="0"/>
    <n v="8"/>
    <n v="11.81"/>
    <x v="6"/>
    <s v="335-76-2"/>
    <x v="6"/>
    <n v="4.37"/>
  </r>
  <r>
    <s v="PU031-JBA-08162021"/>
    <s v="Spill"/>
    <x v="1"/>
    <s v="Pumpkinseed"/>
    <s v="Lepomis"/>
    <s v="gibbosus"/>
    <s v="U"/>
    <x v="0"/>
    <n v="8"/>
    <n v="11.81"/>
    <x v="7"/>
    <s v="2058-94-8"/>
    <x v="7"/>
    <n v="8.2799999999999994"/>
  </r>
  <r>
    <s v="PU031-JBA-08162021"/>
    <s v="Spill"/>
    <x v="1"/>
    <s v="Pumpkinseed"/>
    <s v="Lepomis"/>
    <s v="gibbosus"/>
    <s v="U"/>
    <x v="0"/>
    <n v="8"/>
    <n v="11.81"/>
    <x v="8"/>
    <s v="307-55-1"/>
    <x v="8"/>
    <n v="21.9"/>
  </r>
  <r>
    <s v="PU031-JBA-08162021"/>
    <s v="Spill"/>
    <x v="1"/>
    <s v="Pumpkinseed"/>
    <s v="Lepomis"/>
    <s v="gibbosus"/>
    <s v="U"/>
    <x v="0"/>
    <n v="8"/>
    <n v="11.81"/>
    <x v="9"/>
    <s v="72629-94-8"/>
    <x v="9"/>
    <n v="3.55"/>
  </r>
  <r>
    <s v="PU031-JBA-08162021"/>
    <s v="Spill"/>
    <x v="1"/>
    <s v="Pumpkinseed"/>
    <s v="Lepomis"/>
    <s v="gibbosus"/>
    <s v="U"/>
    <x v="0"/>
    <n v="8"/>
    <n v="11.81"/>
    <x v="10"/>
    <s v="376-06-7"/>
    <x v="10"/>
    <n v="16.8"/>
  </r>
  <r>
    <s v="PU031-JBA-08162021"/>
    <s v="Spill"/>
    <x v="1"/>
    <s v="Pumpkinseed"/>
    <s v="Lepomis"/>
    <s v="gibbosus"/>
    <s v="U"/>
    <x v="0"/>
    <n v="8"/>
    <n v="11.81"/>
    <x v="11"/>
    <s v="67905-19-5"/>
    <x v="11"/>
    <n v="8.2000000000000003E-2"/>
  </r>
  <r>
    <s v="PU031-JBA-08162021"/>
    <s v="Spill"/>
    <x v="1"/>
    <s v="Pumpkinseed"/>
    <s v="Lepomis"/>
    <s v="gibbosus"/>
    <s v="U"/>
    <x v="0"/>
    <n v="8"/>
    <n v="11.81"/>
    <x v="12"/>
    <s v="423-41-6"/>
    <x v="12"/>
    <n v="5.2499999999999998E-2"/>
  </r>
  <r>
    <s v="PU031-JBA-08162021"/>
    <s v="Spill"/>
    <x v="1"/>
    <s v="Pumpkinseed"/>
    <s v="Lepomis"/>
    <s v="gibbosus"/>
    <s v="U"/>
    <x v="0"/>
    <n v="8"/>
    <n v="11.81"/>
    <x v="13"/>
    <s v="375-73-5"/>
    <x v="13"/>
    <n v="0.154"/>
  </r>
  <r>
    <s v="PU031-JBA-08162021"/>
    <s v="Spill"/>
    <x v="1"/>
    <s v="Pumpkinseed"/>
    <s v="Lepomis"/>
    <s v="gibbosus"/>
    <s v="U"/>
    <x v="0"/>
    <n v="8"/>
    <n v="11.81"/>
    <x v="14"/>
    <s v="2706-91-4"/>
    <x v="14"/>
    <n v="0.12"/>
  </r>
  <r>
    <s v="PU031-JBA-08162021"/>
    <s v="Spill"/>
    <x v="1"/>
    <s v="Pumpkinseed"/>
    <s v="Lepomis"/>
    <s v="gibbosus"/>
    <s v="U"/>
    <x v="0"/>
    <n v="8"/>
    <n v="11.81"/>
    <x v="15"/>
    <s v="355-46-4"/>
    <x v="15"/>
    <n v="12.1"/>
  </r>
  <r>
    <s v="PU031-JBA-08162021"/>
    <s v="Spill"/>
    <x v="1"/>
    <s v="Pumpkinseed"/>
    <s v="Lepomis"/>
    <s v="gibbosus"/>
    <s v="U"/>
    <x v="0"/>
    <n v="8"/>
    <n v="11.81"/>
    <x v="16"/>
    <s v="375-92-8"/>
    <x v="16"/>
    <n v="1.21"/>
  </r>
  <r>
    <s v="PU031-JBA-08162021"/>
    <s v="Spill"/>
    <x v="1"/>
    <s v="Pumpkinseed"/>
    <s v="Lepomis"/>
    <s v="gibbosus"/>
    <s v="U"/>
    <x v="0"/>
    <n v="8"/>
    <n v="11.81"/>
    <x v="17"/>
    <s v="1763-23-1"/>
    <x v="17"/>
    <n v="1150"/>
  </r>
  <r>
    <s v="PU031-JBA-08162021"/>
    <s v="Spill"/>
    <x v="1"/>
    <s v="Pumpkinseed"/>
    <s v="Lepomis"/>
    <s v="gibbosus"/>
    <s v="U"/>
    <x v="0"/>
    <n v="8"/>
    <n v="11.81"/>
    <x v="18"/>
    <s v="68259-12-1"/>
    <x v="18"/>
    <n v="1.6"/>
  </r>
  <r>
    <s v="PU031-JBA-08162021"/>
    <s v="Spill"/>
    <x v="1"/>
    <s v="Pumpkinseed"/>
    <s v="Lepomis"/>
    <s v="gibbosus"/>
    <s v="U"/>
    <x v="0"/>
    <n v="8"/>
    <n v="11.81"/>
    <x v="19"/>
    <s v="335-77-3"/>
    <x v="19"/>
    <n v="1.79"/>
  </r>
  <r>
    <s v="PU031-JBA-08162021"/>
    <s v="Spill"/>
    <x v="1"/>
    <s v="Pumpkinseed"/>
    <s v="Lepomis"/>
    <s v="gibbosus"/>
    <s v="U"/>
    <x v="0"/>
    <n v="8"/>
    <n v="11.81"/>
    <x v="20"/>
    <s v="79780-39-5"/>
    <x v="20"/>
    <n v="0.24249999999999999"/>
  </r>
  <r>
    <s v="PU031-JBA-08162021"/>
    <s v="Spill"/>
    <x v="1"/>
    <s v="Pumpkinseed"/>
    <s v="Lepomis"/>
    <s v="gibbosus"/>
    <s v="U"/>
    <x v="0"/>
    <n v="8"/>
    <n v="11.81"/>
    <x v="21"/>
    <s v="777011-38-8"/>
    <x v="21"/>
    <n v="0.13750000000000001"/>
  </r>
  <r>
    <s v="PU031-JBA-08162021"/>
    <s v="Spill"/>
    <x v="1"/>
    <s v="Pumpkinseed"/>
    <s v="Lepomis"/>
    <s v="gibbosus"/>
    <s v="U"/>
    <x v="0"/>
    <n v="8"/>
    <n v="11.81"/>
    <x v="22"/>
    <s v="646-83-3"/>
    <x v="22"/>
    <n v="0.22500000000000001"/>
  </r>
  <r>
    <s v="PU031-JBA-08162021"/>
    <s v="Spill"/>
    <x v="1"/>
    <s v="Pumpkinseed"/>
    <s v="Lepomis"/>
    <s v="gibbosus"/>
    <s v="U"/>
    <x v="0"/>
    <n v="8"/>
    <n v="11.81"/>
    <x v="23"/>
    <s v="30334-69-1"/>
    <x v="23"/>
    <n v="25"/>
  </r>
  <r>
    <s v="PU031-JBA-08162021"/>
    <s v="Spill"/>
    <x v="1"/>
    <s v="Pumpkinseed"/>
    <s v="Lepomis"/>
    <s v="gibbosus"/>
    <s v="U"/>
    <x v="0"/>
    <n v="8"/>
    <n v="11.81"/>
    <x v="24"/>
    <s v="41997-13-1"/>
    <x v="24"/>
    <n v="31.2"/>
  </r>
  <r>
    <s v="PU031-JBA-08162021"/>
    <s v="Spill"/>
    <x v="1"/>
    <s v="Pumpkinseed"/>
    <s v="Lepomis"/>
    <s v="gibbosus"/>
    <s v="U"/>
    <x v="0"/>
    <n v="8"/>
    <n v="11.81"/>
    <x v="25"/>
    <s v="754-91-6"/>
    <x v="25"/>
    <n v="8.6"/>
  </r>
  <r>
    <s v="PU031-JBA-08162021"/>
    <s v="Spill"/>
    <x v="1"/>
    <s v="Pumpkinseed"/>
    <s v="Lepomis"/>
    <s v="gibbosus"/>
    <s v="U"/>
    <x v="0"/>
    <n v="8"/>
    <n v="11.81"/>
    <x v="26"/>
    <s v="31506-32-8"/>
    <x v="26"/>
    <n v="5.2999999999999999E-2"/>
  </r>
  <r>
    <s v="PU031-JBA-08162021"/>
    <s v="Spill"/>
    <x v="1"/>
    <s v="Pumpkinseed"/>
    <s v="Lepomis"/>
    <s v="gibbosus"/>
    <s v="U"/>
    <x v="0"/>
    <n v="8"/>
    <n v="11.81"/>
    <x v="27"/>
    <s v="4151-50-2"/>
    <x v="27"/>
    <n v="0.08"/>
  </r>
  <r>
    <s v="PU031-JBA-08162021"/>
    <s v="Spill"/>
    <x v="1"/>
    <s v="Pumpkinseed"/>
    <s v="Lepomis"/>
    <s v="gibbosus"/>
    <s v="U"/>
    <x v="0"/>
    <n v="8"/>
    <n v="11.81"/>
    <x v="28"/>
    <s v="2806-24-8"/>
    <x v="28"/>
    <n v="5.3999999999999999E-2"/>
  </r>
  <r>
    <s v="PU031-JBA-08162021"/>
    <s v="Spill"/>
    <x v="1"/>
    <s v="Pumpkinseed"/>
    <s v="Lepomis"/>
    <s v="gibbosus"/>
    <s v="U"/>
    <x v="0"/>
    <n v="8"/>
    <n v="11.81"/>
    <x v="29"/>
    <s v="2355-31-9"/>
    <x v="29"/>
    <n v="0.72099999999999997"/>
  </r>
  <r>
    <s v="PU031-JBA-08162021"/>
    <s v="Spill"/>
    <x v="1"/>
    <s v="Pumpkinseed"/>
    <s v="Lepomis"/>
    <s v="gibbosus"/>
    <s v="U"/>
    <x v="0"/>
    <n v="8"/>
    <n v="11.81"/>
    <x v="30"/>
    <s v="2991-50-6"/>
    <x v="30"/>
    <n v="5.9499999999999997E-2"/>
  </r>
  <r>
    <s v="PU031-JBA-08162021"/>
    <s v="Spill"/>
    <x v="1"/>
    <s v="Pumpkinseed"/>
    <s v="Lepomis"/>
    <s v="gibbosus"/>
    <s v="U"/>
    <x v="0"/>
    <n v="8"/>
    <n v="11.81"/>
    <x v="31"/>
    <s v="757124-72-4"/>
    <x v="31"/>
    <n v="5.6500000000000002E-2"/>
  </r>
  <r>
    <s v="PU031-JBA-08162021"/>
    <s v="Spill"/>
    <x v="1"/>
    <s v="Pumpkinseed"/>
    <s v="Lepomis"/>
    <s v="gibbosus"/>
    <s v="U"/>
    <x v="0"/>
    <n v="8"/>
    <n v="11.81"/>
    <x v="32"/>
    <s v="27619-97-2"/>
    <x v="32"/>
    <n v="0.13700000000000001"/>
  </r>
  <r>
    <s v="PU031-JBA-08162021"/>
    <s v="Spill"/>
    <x v="1"/>
    <s v="Pumpkinseed"/>
    <s v="Lepomis"/>
    <s v="gibbosus"/>
    <s v="U"/>
    <x v="0"/>
    <n v="8"/>
    <n v="11.81"/>
    <x v="33"/>
    <s v="39108-34-4"/>
    <x v="33"/>
    <n v="4.8600000000000003"/>
  </r>
  <r>
    <s v="PU031-JBA-08162021"/>
    <s v="Spill"/>
    <x v="1"/>
    <s v="Pumpkinseed"/>
    <s v="Lepomis"/>
    <s v="gibbosus"/>
    <s v="U"/>
    <x v="0"/>
    <n v="8"/>
    <n v="11.81"/>
    <x v="34"/>
    <s v="120226-60-0"/>
    <x v="34"/>
    <n v="0.25750000000000001"/>
  </r>
  <r>
    <s v="PU031-JBA-08162021"/>
    <s v="Spill"/>
    <x v="1"/>
    <s v="Pumpkinseed"/>
    <s v="Lepomis"/>
    <s v="gibbosus"/>
    <s v="U"/>
    <x v="0"/>
    <n v="8"/>
    <n v="11.81"/>
    <x v="35"/>
    <s v="356-02-5"/>
    <x v="35"/>
    <n v="7.9000000000000001E-2"/>
  </r>
  <r>
    <s v="PU031-JBA-08162021"/>
    <s v="Spill"/>
    <x v="1"/>
    <s v="Pumpkinseed"/>
    <s v="Lepomis"/>
    <s v="gibbosus"/>
    <s v="U"/>
    <x v="0"/>
    <n v="8"/>
    <n v="11.81"/>
    <x v="36"/>
    <s v="914637-49-3"/>
    <x v="36"/>
    <n v="0.22650000000000001"/>
  </r>
  <r>
    <s v="PU031-JBA-08162021"/>
    <s v="Spill"/>
    <x v="1"/>
    <s v="Pumpkinseed"/>
    <s v="Lepomis"/>
    <s v="gibbosus"/>
    <s v="U"/>
    <x v="0"/>
    <n v="8"/>
    <n v="11.81"/>
    <x v="37"/>
    <s v="812-70-4"/>
    <x v="37"/>
    <n v="0.96199999999999997"/>
  </r>
  <r>
    <s v="PU031-JBA-08162021"/>
    <s v="Spill"/>
    <x v="1"/>
    <s v="Pumpkinseed"/>
    <s v="Lepomis"/>
    <s v="gibbosus"/>
    <s v="U"/>
    <x v="0"/>
    <n v="8"/>
    <n v="11.81"/>
    <x v="38"/>
    <s v="53826-12-3"/>
    <x v="38"/>
    <n v="6.8500000000000005E-2"/>
  </r>
  <r>
    <s v="PU031-JBA-08162021"/>
    <s v="Spill"/>
    <x v="1"/>
    <s v="Pumpkinseed"/>
    <s v="Lepomis"/>
    <s v="gibbosus"/>
    <s v="U"/>
    <x v="0"/>
    <n v="8"/>
    <n v="11.81"/>
    <x v="39"/>
    <s v="27854-31-5"/>
    <x v="39"/>
    <n v="0.22650000000000001"/>
  </r>
  <r>
    <s v="PU031-JBA-08162021"/>
    <s v="Spill"/>
    <x v="1"/>
    <s v="Pumpkinseed"/>
    <s v="Lepomis"/>
    <s v="gibbosus"/>
    <s v="U"/>
    <x v="0"/>
    <n v="8"/>
    <n v="11.81"/>
    <x v="40"/>
    <s v="53826-13-4"/>
    <x v="40"/>
    <n v="0.33800000000000002"/>
  </r>
  <r>
    <s v="PU031-JBA-08162021"/>
    <s v="Spill"/>
    <x v="1"/>
    <s v="Pumpkinseed"/>
    <s v="Lepomis"/>
    <s v="gibbosus"/>
    <s v="U"/>
    <x v="0"/>
    <n v="8"/>
    <n v="11.81"/>
    <x v="41"/>
    <s v="161094-75-3"/>
    <x v="41"/>
    <n v="5.3999999999999999E-2"/>
  </r>
  <r>
    <s v="PU031-JBA-08162021"/>
    <s v="Spill"/>
    <x v="1"/>
    <s v="Pumpkinseed"/>
    <s v="Lepomis"/>
    <s v="gibbosus"/>
    <s v="U"/>
    <x v="0"/>
    <n v="8"/>
    <n v="11.81"/>
    <x v="42"/>
    <s v="70887-84-2"/>
    <x v="42"/>
    <n v="4.1500000000000002E-2"/>
  </r>
  <r>
    <s v="PU031-JBA-08162021"/>
    <s v="Spill"/>
    <x v="1"/>
    <s v="Pumpkinseed"/>
    <s v="Lepomis"/>
    <s v="gibbosus"/>
    <s v="U"/>
    <x v="0"/>
    <n v="8"/>
    <n v="11.81"/>
    <x v="43"/>
    <s v="919005-14-4"/>
    <x v="43"/>
    <n v="6.8500000000000005E-2"/>
  </r>
  <r>
    <s v="PU031-JBA-08162021"/>
    <s v="Spill"/>
    <x v="1"/>
    <s v="Pumpkinseed"/>
    <s v="Lepomis"/>
    <s v="gibbosus"/>
    <s v="U"/>
    <x v="0"/>
    <n v="8"/>
    <n v="11.81"/>
    <x v="44"/>
    <s v="756426-58-1"/>
    <x v="44"/>
    <n v="6.8500000000000005E-2"/>
  </r>
  <r>
    <s v="PU031-JBA-08162021"/>
    <s v="Spill"/>
    <x v="1"/>
    <s v="Pumpkinseed"/>
    <s v="Lepomis"/>
    <s v="gibbosus"/>
    <s v="U"/>
    <x v="0"/>
    <n v="8"/>
    <n v="11.81"/>
    <x v="45"/>
    <s v="763051-92-9"/>
    <x v="45"/>
    <n v="6.8500000000000005E-2"/>
  </r>
  <r>
    <s v="PU031-JBA-08162021"/>
    <s v="Spill"/>
    <x v="1"/>
    <s v="Pumpkinseed"/>
    <s v="Lepomis"/>
    <s v="gibbosus"/>
    <s v="U"/>
    <x v="0"/>
    <n v="8"/>
    <n v="11.81"/>
    <x v="46"/>
    <s v="13252-13-6"/>
    <x v="46"/>
    <n v="9.8500000000000004E-2"/>
  </r>
  <r>
    <s v="PU031-JBA-08162021"/>
    <s v="Spill"/>
    <x v="1"/>
    <s v="Pumpkinseed"/>
    <s v="Lepomis"/>
    <s v="gibbosus"/>
    <s v="U"/>
    <x v="0"/>
    <n v="8"/>
    <n v="11.81"/>
    <x v="47"/>
    <s v="57677-95-9"/>
    <x v="47"/>
    <n v="1.35"/>
  </r>
  <r>
    <s v="PU031-JBA-08162021"/>
    <s v="Spill"/>
    <x v="1"/>
    <s v="Pumpkinseed"/>
    <s v="Lepomis"/>
    <s v="gibbosus"/>
    <s v="U"/>
    <x v="0"/>
    <n v="8"/>
    <n v="11.81"/>
    <x v="48"/>
    <s v="678-41-1"/>
    <x v="48"/>
    <n v="9.0999999999999998E-2"/>
  </r>
  <r>
    <s v="PU031-JBA-08162021"/>
    <s v="Spill"/>
    <x v="1"/>
    <s v="Pumpkinseed"/>
    <s v="Lepomis"/>
    <s v="gibbosus"/>
    <s v="U"/>
    <x v="0"/>
    <n v="8"/>
    <n v="11.81"/>
    <x v="49"/>
    <s v="2965-52-8"/>
    <x v="49"/>
    <n v="0.121"/>
  </r>
  <r>
    <s v="PU032-JBA-08162021"/>
    <s v="Spill"/>
    <x v="1"/>
    <s v="Pumpkinseed"/>
    <s v="Lepomis"/>
    <s v="gibbosus"/>
    <s v="U"/>
    <x v="0"/>
    <n v="8"/>
    <n v="11.81"/>
    <x v="0"/>
    <s v="375-22-4"/>
    <x v="0"/>
    <n v="0.216"/>
  </r>
  <r>
    <s v="PU032-JBA-08162021"/>
    <s v="Spill"/>
    <x v="1"/>
    <s v="Pumpkinseed"/>
    <s v="Lepomis"/>
    <s v="gibbosus"/>
    <s v="U"/>
    <x v="0"/>
    <n v="8"/>
    <n v="11.81"/>
    <x v="1"/>
    <s v="2706-90-3"/>
    <x v="1"/>
    <n v="4.6199999999999998E-2"/>
  </r>
  <r>
    <s v="PU032-JBA-08162021"/>
    <s v="Spill"/>
    <x v="1"/>
    <s v="Pumpkinseed"/>
    <s v="Lepomis"/>
    <s v="gibbosus"/>
    <s v="U"/>
    <x v="0"/>
    <n v="8"/>
    <n v="11.81"/>
    <x v="2"/>
    <s v="307-24-4"/>
    <x v="2"/>
    <n v="0.11650000000000001"/>
  </r>
  <r>
    <s v="PU032-JBA-08162021"/>
    <s v="Spill"/>
    <x v="1"/>
    <s v="Pumpkinseed"/>
    <s v="Lepomis"/>
    <s v="gibbosus"/>
    <s v="U"/>
    <x v="0"/>
    <n v="8"/>
    <n v="11.81"/>
    <x v="3"/>
    <s v="375-85-9"/>
    <x v="3"/>
    <n v="8.6499999999999994E-2"/>
  </r>
  <r>
    <s v="PU032-JBA-08162021"/>
    <s v="Spill"/>
    <x v="1"/>
    <s v="Pumpkinseed"/>
    <s v="Lepomis"/>
    <s v="gibbosus"/>
    <s v="U"/>
    <x v="0"/>
    <n v="8"/>
    <n v="11.81"/>
    <x v="4"/>
    <s v="335-67-1"/>
    <x v="4"/>
    <n v="0.49"/>
  </r>
  <r>
    <s v="PU032-JBA-08162021"/>
    <s v="Spill"/>
    <x v="1"/>
    <s v="Pumpkinseed"/>
    <s v="Lepomis"/>
    <s v="gibbosus"/>
    <s v="U"/>
    <x v="0"/>
    <n v="8"/>
    <n v="11.81"/>
    <x v="5"/>
    <s v="375-95-1"/>
    <x v="5"/>
    <n v="0.14949999999999999"/>
  </r>
  <r>
    <s v="PU032-JBA-08162021"/>
    <s v="Spill"/>
    <x v="1"/>
    <s v="Pumpkinseed"/>
    <s v="Lepomis"/>
    <s v="gibbosus"/>
    <s v="U"/>
    <x v="0"/>
    <n v="8"/>
    <n v="11.81"/>
    <x v="6"/>
    <s v="335-76-2"/>
    <x v="6"/>
    <n v="1.24"/>
  </r>
  <r>
    <s v="PU032-JBA-08162021"/>
    <s v="Spill"/>
    <x v="1"/>
    <s v="Pumpkinseed"/>
    <s v="Lepomis"/>
    <s v="gibbosus"/>
    <s v="U"/>
    <x v="0"/>
    <n v="8"/>
    <n v="11.81"/>
    <x v="7"/>
    <s v="2058-94-8"/>
    <x v="7"/>
    <n v="2.57"/>
  </r>
  <r>
    <s v="PU032-JBA-08162021"/>
    <s v="Spill"/>
    <x v="1"/>
    <s v="Pumpkinseed"/>
    <s v="Lepomis"/>
    <s v="gibbosus"/>
    <s v="U"/>
    <x v="0"/>
    <n v="8"/>
    <n v="11.81"/>
    <x v="8"/>
    <s v="307-55-1"/>
    <x v="8"/>
    <n v="5.21"/>
  </r>
  <r>
    <s v="PU032-JBA-08162021"/>
    <s v="Spill"/>
    <x v="1"/>
    <s v="Pumpkinseed"/>
    <s v="Lepomis"/>
    <s v="gibbosus"/>
    <s v="U"/>
    <x v="0"/>
    <n v="8"/>
    <n v="11.81"/>
    <x v="9"/>
    <s v="72629-94-8"/>
    <x v="9"/>
    <n v="2.5099999999999998"/>
  </r>
  <r>
    <s v="PU032-JBA-08162021"/>
    <s v="Spill"/>
    <x v="1"/>
    <s v="Pumpkinseed"/>
    <s v="Lepomis"/>
    <s v="gibbosus"/>
    <s v="U"/>
    <x v="0"/>
    <n v="8"/>
    <n v="11.81"/>
    <x v="10"/>
    <s v="376-06-7"/>
    <x v="10"/>
    <n v="6.78"/>
  </r>
  <r>
    <s v="PU032-JBA-08162021"/>
    <s v="Spill"/>
    <x v="1"/>
    <s v="Pumpkinseed"/>
    <s v="Lepomis"/>
    <s v="gibbosus"/>
    <s v="U"/>
    <x v="0"/>
    <n v="8"/>
    <n v="11.81"/>
    <x v="11"/>
    <s v="67905-19-5"/>
    <x v="11"/>
    <n v="7.8E-2"/>
  </r>
  <r>
    <s v="PU032-JBA-08162021"/>
    <s v="Spill"/>
    <x v="1"/>
    <s v="Pumpkinseed"/>
    <s v="Lepomis"/>
    <s v="gibbosus"/>
    <s v="U"/>
    <x v="0"/>
    <n v="8"/>
    <n v="11.81"/>
    <x v="12"/>
    <s v="423-41-6"/>
    <x v="12"/>
    <n v="0.16500000000000001"/>
  </r>
  <r>
    <s v="PU032-JBA-08162021"/>
    <s v="Spill"/>
    <x v="1"/>
    <s v="Pumpkinseed"/>
    <s v="Lepomis"/>
    <s v="gibbosus"/>
    <s v="U"/>
    <x v="0"/>
    <n v="8"/>
    <n v="11.81"/>
    <x v="13"/>
    <s v="375-73-5"/>
    <x v="13"/>
    <n v="0.14699999999999999"/>
  </r>
  <r>
    <s v="PU032-JBA-08162021"/>
    <s v="Spill"/>
    <x v="1"/>
    <s v="Pumpkinseed"/>
    <s v="Lepomis"/>
    <s v="gibbosus"/>
    <s v="U"/>
    <x v="0"/>
    <n v="8"/>
    <n v="11.81"/>
    <x v="14"/>
    <s v="2706-91-4"/>
    <x v="14"/>
    <n v="0.1145"/>
  </r>
  <r>
    <s v="PU032-JBA-08162021"/>
    <s v="Spill"/>
    <x v="1"/>
    <s v="Pumpkinseed"/>
    <s v="Lepomis"/>
    <s v="gibbosus"/>
    <s v="U"/>
    <x v="0"/>
    <n v="8"/>
    <n v="11.81"/>
    <x v="15"/>
    <s v="355-46-4"/>
    <x v="15"/>
    <n v="6.76"/>
  </r>
  <r>
    <s v="PU032-JBA-08162021"/>
    <s v="Spill"/>
    <x v="1"/>
    <s v="Pumpkinseed"/>
    <s v="Lepomis"/>
    <s v="gibbosus"/>
    <s v="U"/>
    <x v="0"/>
    <n v="8"/>
    <n v="11.81"/>
    <x v="16"/>
    <s v="375-92-8"/>
    <x v="16"/>
    <n v="1.22"/>
  </r>
  <r>
    <s v="PU032-JBA-08162021"/>
    <s v="Spill"/>
    <x v="1"/>
    <s v="Pumpkinseed"/>
    <s v="Lepomis"/>
    <s v="gibbosus"/>
    <s v="U"/>
    <x v="0"/>
    <n v="8"/>
    <n v="11.81"/>
    <x v="17"/>
    <s v="1763-23-1"/>
    <x v="17"/>
    <n v="493"/>
  </r>
  <r>
    <s v="PU032-JBA-08162021"/>
    <s v="Spill"/>
    <x v="1"/>
    <s v="Pumpkinseed"/>
    <s v="Lepomis"/>
    <s v="gibbosus"/>
    <s v="U"/>
    <x v="0"/>
    <n v="8"/>
    <n v="11.81"/>
    <x v="18"/>
    <s v="68259-12-1"/>
    <x v="18"/>
    <n v="0.93500000000000005"/>
  </r>
  <r>
    <s v="PU032-JBA-08162021"/>
    <s v="Spill"/>
    <x v="1"/>
    <s v="Pumpkinseed"/>
    <s v="Lepomis"/>
    <s v="gibbosus"/>
    <s v="U"/>
    <x v="0"/>
    <n v="8"/>
    <n v="11.81"/>
    <x v="19"/>
    <s v="335-77-3"/>
    <x v="19"/>
    <n v="1.28"/>
  </r>
  <r>
    <s v="PU032-JBA-08162021"/>
    <s v="Spill"/>
    <x v="1"/>
    <s v="Pumpkinseed"/>
    <s v="Lepomis"/>
    <s v="gibbosus"/>
    <s v="U"/>
    <x v="0"/>
    <n v="8"/>
    <n v="11.81"/>
    <x v="20"/>
    <s v="79780-39-5"/>
    <x v="20"/>
    <n v="0.23100000000000001"/>
  </r>
  <r>
    <s v="PU032-JBA-08162021"/>
    <s v="Spill"/>
    <x v="1"/>
    <s v="Pumpkinseed"/>
    <s v="Lepomis"/>
    <s v="gibbosus"/>
    <s v="U"/>
    <x v="0"/>
    <n v="8"/>
    <n v="11.81"/>
    <x v="21"/>
    <s v="777011-38-8"/>
    <x v="21"/>
    <n v="0.13150000000000001"/>
  </r>
  <r>
    <s v="PU032-JBA-08162021"/>
    <s v="Spill"/>
    <x v="1"/>
    <s v="Pumpkinseed"/>
    <s v="Lepomis"/>
    <s v="gibbosus"/>
    <s v="U"/>
    <x v="0"/>
    <n v="8"/>
    <n v="11.81"/>
    <x v="22"/>
    <s v="646-83-3"/>
    <x v="22"/>
    <n v="8.6499999999999994E-2"/>
  </r>
  <r>
    <s v="PU032-JBA-08162021"/>
    <s v="Spill"/>
    <x v="1"/>
    <s v="Pumpkinseed"/>
    <s v="Lepomis"/>
    <s v="gibbosus"/>
    <s v="U"/>
    <x v="0"/>
    <n v="8"/>
    <n v="11.81"/>
    <x v="23"/>
    <s v="30334-69-1"/>
    <x v="23"/>
    <n v="4.42"/>
  </r>
  <r>
    <s v="PU032-JBA-08162021"/>
    <s v="Spill"/>
    <x v="1"/>
    <s v="Pumpkinseed"/>
    <s v="Lepomis"/>
    <s v="gibbosus"/>
    <s v="U"/>
    <x v="0"/>
    <n v="8"/>
    <n v="11.81"/>
    <x v="24"/>
    <s v="41997-13-1"/>
    <x v="24"/>
    <n v="25.5"/>
  </r>
  <r>
    <s v="PU032-JBA-08162021"/>
    <s v="Spill"/>
    <x v="1"/>
    <s v="Pumpkinseed"/>
    <s v="Lepomis"/>
    <s v="gibbosus"/>
    <s v="U"/>
    <x v="0"/>
    <n v="8"/>
    <n v="11.81"/>
    <x v="25"/>
    <s v="754-91-6"/>
    <x v="25"/>
    <n v="5.94"/>
  </r>
  <r>
    <s v="PU032-JBA-08162021"/>
    <s v="Spill"/>
    <x v="1"/>
    <s v="Pumpkinseed"/>
    <s v="Lepomis"/>
    <s v="gibbosus"/>
    <s v="U"/>
    <x v="0"/>
    <n v="8"/>
    <n v="11.81"/>
    <x v="26"/>
    <s v="31506-32-8"/>
    <x v="26"/>
    <n v="5.0500000000000003E-2"/>
  </r>
  <r>
    <s v="PU032-JBA-08162021"/>
    <s v="Spill"/>
    <x v="1"/>
    <s v="Pumpkinseed"/>
    <s v="Lepomis"/>
    <s v="gibbosus"/>
    <s v="U"/>
    <x v="0"/>
    <n v="8"/>
    <n v="11.81"/>
    <x v="27"/>
    <s v="4151-50-2"/>
    <x v="27"/>
    <n v="7.6499999999999999E-2"/>
  </r>
  <r>
    <s v="PU032-JBA-08162021"/>
    <s v="Spill"/>
    <x v="1"/>
    <s v="Pumpkinseed"/>
    <s v="Lepomis"/>
    <s v="gibbosus"/>
    <s v="U"/>
    <x v="0"/>
    <n v="8"/>
    <n v="11.81"/>
    <x v="28"/>
    <s v="2806-24-8"/>
    <x v="28"/>
    <n v="5.1499999999999997E-2"/>
  </r>
  <r>
    <s v="PU032-JBA-08162021"/>
    <s v="Spill"/>
    <x v="1"/>
    <s v="Pumpkinseed"/>
    <s v="Lepomis"/>
    <s v="gibbosus"/>
    <s v="U"/>
    <x v="0"/>
    <n v="8"/>
    <n v="11.81"/>
    <x v="29"/>
    <s v="2355-31-9"/>
    <x v="29"/>
    <n v="0.2175"/>
  </r>
  <r>
    <s v="PU032-JBA-08162021"/>
    <s v="Spill"/>
    <x v="1"/>
    <s v="Pumpkinseed"/>
    <s v="Lepomis"/>
    <s v="gibbosus"/>
    <s v="U"/>
    <x v="0"/>
    <n v="8"/>
    <n v="11.81"/>
    <x v="30"/>
    <s v="2991-50-6"/>
    <x v="30"/>
    <n v="5.7000000000000002E-2"/>
  </r>
  <r>
    <s v="PU032-JBA-08162021"/>
    <s v="Spill"/>
    <x v="1"/>
    <s v="Pumpkinseed"/>
    <s v="Lepomis"/>
    <s v="gibbosus"/>
    <s v="U"/>
    <x v="0"/>
    <n v="8"/>
    <n v="11.81"/>
    <x v="31"/>
    <s v="757124-72-4"/>
    <x v="31"/>
    <n v="5.3999999999999999E-2"/>
  </r>
  <r>
    <s v="PU032-JBA-08162021"/>
    <s v="Spill"/>
    <x v="1"/>
    <s v="Pumpkinseed"/>
    <s v="Lepomis"/>
    <s v="gibbosus"/>
    <s v="U"/>
    <x v="0"/>
    <n v="8"/>
    <n v="11.81"/>
    <x v="32"/>
    <s v="27619-97-2"/>
    <x v="32"/>
    <n v="0.27800000000000002"/>
  </r>
  <r>
    <s v="PU032-JBA-08162021"/>
    <s v="Spill"/>
    <x v="1"/>
    <s v="Pumpkinseed"/>
    <s v="Lepomis"/>
    <s v="gibbosus"/>
    <s v="U"/>
    <x v="0"/>
    <n v="8"/>
    <n v="11.81"/>
    <x v="33"/>
    <s v="39108-34-4"/>
    <x v="33"/>
    <n v="1.58"/>
  </r>
  <r>
    <s v="PU032-JBA-08162021"/>
    <s v="Spill"/>
    <x v="1"/>
    <s v="Pumpkinseed"/>
    <s v="Lepomis"/>
    <s v="gibbosus"/>
    <s v="U"/>
    <x v="0"/>
    <n v="8"/>
    <n v="11.81"/>
    <x v="34"/>
    <s v="120226-60-0"/>
    <x v="34"/>
    <n v="7.4499999999999997E-2"/>
  </r>
  <r>
    <s v="PU032-JBA-08162021"/>
    <s v="Spill"/>
    <x v="1"/>
    <s v="Pumpkinseed"/>
    <s v="Lepomis"/>
    <s v="gibbosus"/>
    <s v="U"/>
    <x v="0"/>
    <n v="8"/>
    <n v="11.81"/>
    <x v="35"/>
    <s v="356-02-5"/>
    <x v="35"/>
    <n v="7.5499999999999998E-2"/>
  </r>
  <r>
    <s v="PU032-JBA-08162021"/>
    <s v="Spill"/>
    <x v="1"/>
    <s v="Pumpkinseed"/>
    <s v="Lepomis"/>
    <s v="gibbosus"/>
    <s v="U"/>
    <x v="0"/>
    <n v="8"/>
    <n v="11.81"/>
    <x v="36"/>
    <s v="914637-49-3"/>
    <x v="36"/>
    <n v="0.57999999999999996"/>
  </r>
  <r>
    <s v="PU032-JBA-08162021"/>
    <s v="Spill"/>
    <x v="1"/>
    <s v="Pumpkinseed"/>
    <s v="Lepomis"/>
    <s v="gibbosus"/>
    <s v="U"/>
    <x v="0"/>
    <n v="8"/>
    <n v="11.81"/>
    <x v="37"/>
    <s v="812-70-4"/>
    <x v="37"/>
    <n v="1.29"/>
  </r>
  <r>
    <s v="PU032-JBA-08162021"/>
    <s v="Spill"/>
    <x v="1"/>
    <s v="Pumpkinseed"/>
    <s v="Lepomis"/>
    <s v="gibbosus"/>
    <s v="U"/>
    <x v="0"/>
    <n v="8"/>
    <n v="11.81"/>
    <x v="38"/>
    <s v="53826-12-3"/>
    <x v="38"/>
    <n v="6.5500000000000003E-2"/>
  </r>
  <r>
    <s v="PU032-JBA-08162021"/>
    <s v="Spill"/>
    <x v="1"/>
    <s v="Pumpkinseed"/>
    <s v="Lepomis"/>
    <s v="gibbosus"/>
    <s v="U"/>
    <x v="0"/>
    <n v="8"/>
    <n v="11.81"/>
    <x v="39"/>
    <s v="27854-31-5"/>
    <x v="39"/>
    <n v="1.53"/>
  </r>
  <r>
    <s v="PU032-JBA-08162021"/>
    <s v="Spill"/>
    <x v="1"/>
    <s v="Pumpkinseed"/>
    <s v="Lepomis"/>
    <s v="gibbosus"/>
    <s v="U"/>
    <x v="0"/>
    <n v="8"/>
    <n v="11.81"/>
    <x v="40"/>
    <s v="53826-13-4"/>
    <x v="40"/>
    <n v="9.7500000000000003E-2"/>
  </r>
  <r>
    <s v="PU032-JBA-08162021"/>
    <s v="Spill"/>
    <x v="1"/>
    <s v="Pumpkinseed"/>
    <s v="Lepomis"/>
    <s v="gibbosus"/>
    <s v="U"/>
    <x v="0"/>
    <n v="8"/>
    <n v="11.81"/>
    <x v="41"/>
    <s v="161094-75-3"/>
    <x v="41"/>
    <n v="5.1499999999999997E-2"/>
  </r>
  <r>
    <s v="PU032-JBA-08162021"/>
    <s v="Spill"/>
    <x v="1"/>
    <s v="Pumpkinseed"/>
    <s v="Lepomis"/>
    <s v="gibbosus"/>
    <s v="U"/>
    <x v="0"/>
    <n v="8"/>
    <n v="11.81"/>
    <x v="42"/>
    <s v="70887-84-2"/>
    <x v="42"/>
    <n v="3.9550000000000002E-2"/>
  </r>
  <r>
    <s v="PU032-JBA-08162021"/>
    <s v="Spill"/>
    <x v="1"/>
    <s v="Pumpkinseed"/>
    <s v="Lepomis"/>
    <s v="gibbosus"/>
    <s v="U"/>
    <x v="0"/>
    <n v="8"/>
    <n v="11.81"/>
    <x v="43"/>
    <s v="919005-14-4"/>
    <x v="43"/>
    <n v="6.5500000000000003E-2"/>
  </r>
  <r>
    <s v="PU032-JBA-08162021"/>
    <s v="Spill"/>
    <x v="1"/>
    <s v="Pumpkinseed"/>
    <s v="Lepomis"/>
    <s v="gibbosus"/>
    <s v="U"/>
    <x v="0"/>
    <n v="8"/>
    <n v="11.81"/>
    <x v="44"/>
    <s v="756426-58-1"/>
    <x v="44"/>
    <n v="6.5500000000000003E-2"/>
  </r>
  <r>
    <s v="PU032-JBA-08162021"/>
    <s v="Spill"/>
    <x v="1"/>
    <s v="Pumpkinseed"/>
    <s v="Lepomis"/>
    <s v="gibbosus"/>
    <s v="U"/>
    <x v="0"/>
    <n v="8"/>
    <n v="11.81"/>
    <x v="45"/>
    <s v="763051-92-9"/>
    <x v="45"/>
    <n v="6.5500000000000003E-2"/>
  </r>
  <r>
    <s v="PU032-JBA-08162021"/>
    <s v="Spill"/>
    <x v="1"/>
    <s v="Pumpkinseed"/>
    <s v="Lepomis"/>
    <s v="gibbosus"/>
    <s v="U"/>
    <x v="0"/>
    <n v="8"/>
    <n v="11.81"/>
    <x v="46"/>
    <s v="13252-13-6"/>
    <x v="46"/>
    <n v="9.4E-2"/>
  </r>
  <r>
    <s v="PU032-JBA-08162021"/>
    <s v="Spill"/>
    <x v="1"/>
    <s v="Pumpkinseed"/>
    <s v="Lepomis"/>
    <s v="gibbosus"/>
    <s v="U"/>
    <x v="0"/>
    <n v="8"/>
    <n v="11.81"/>
    <x v="47"/>
    <s v="57677-95-9"/>
    <x v="47"/>
    <n v="6.9500000000000006E-2"/>
  </r>
  <r>
    <s v="PU032-JBA-08162021"/>
    <s v="Spill"/>
    <x v="1"/>
    <s v="Pumpkinseed"/>
    <s v="Lepomis"/>
    <s v="gibbosus"/>
    <s v="U"/>
    <x v="0"/>
    <n v="8"/>
    <n v="11.81"/>
    <x v="48"/>
    <s v="678-41-1"/>
    <x v="48"/>
    <n v="8.6999999999999994E-2"/>
  </r>
  <r>
    <s v="PU032-JBA-08162021"/>
    <s v="Spill"/>
    <x v="1"/>
    <s v="Pumpkinseed"/>
    <s v="Lepomis"/>
    <s v="gibbosus"/>
    <s v="U"/>
    <x v="0"/>
    <n v="8"/>
    <n v="11.81"/>
    <x v="49"/>
    <s v="2965-52-8"/>
    <x v="49"/>
    <n v="0.115"/>
  </r>
  <r>
    <s v="PU033-JBA-08162021"/>
    <s v="Spill"/>
    <x v="1"/>
    <s v="Pumpkinseed"/>
    <s v="Lepomis"/>
    <s v="gibbosus"/>
    <s v="U"/>
    <x v="0"/>
    <n v="8"/>
    <n v="11.81"/>
    <x v="0"/>
    <s v="375-22-4"/>
    <x v="0"/>
    <n v="6.7500000000000004E-2"/>
  </r>
  <r>
    <s v="PU033-JBA-08162021"/>
    <s v="Spill"/>
    <x v="1"/>
    <s v="Pumpkinseed"/>
    <s v="Lepomis"/>
    <s v="gibbosus"/>
    <s v="U"/>
    <x v="0"/>
    <n v="8"/>
    <n v="11.81"/>
    <x v="1"/>
    <s v="2706-90-3"/>
    <x v="1"/>
    <n v="4.7600000000000003E-2"/>
  </r>
  <r>
    <s v="PU033-JBA-08162021"/>
    <s v="Spill"/>
    <x v="1"/>
    <s v="Pumpkinseed"/>
    <s v="Lepomis"/>
    <s v="gibbosus"/>
    <s v="U"/>
    <x v="0"/>
    <n v="8"/>
    <n v="11.81"/>
    <x v="2"/>
    <s v="307-24-4"/>
    <x v="2"/>
    <n v="0.12"/>
  </r>
  <r>
    <s v="PU033-JBA-08162021"/>
    <s v="Spill"/>
    <x v="1"/>
    <s v="Pumpkinseed"/>
    <s v="Lepomis"/>
    <s v="gibbosus"/>
    <s v="U"/>
    <x v="0"/>
    <n v="8"/>
    <n v="11.81"/>
    <x v="3"/>
    <s v="375-85-9"/>
    <x v="3"/>
    <n v="8.8999999999999996E-2"/>
  </r>
  <r>
    <s v="PU033-JBA-08162021"/>
    <s v="Spill"/>
    <x v="1"/>
    <s v="Pumpkinseed"/>
    <s v="Lepomis"/>
    <s v="gibbosus"/>
    <s v="U"/>
    <x v="0"/>
    <n v="8"/>
    <n v="11.81"/>
    <x v="4"/>
    <s v="335-67-1"/>
    <x v="4"/>
    <n v="0.63800000000000001"/>
  </r>
  <r>
    <s v="PU033-JBA-08162021"/>
    <s v="Spill"/>
    <x v="1"/>
    <s v="Pumpkinseed"/>
    <s v="Lepomis"/>
    <s v="gibbosus"/>
    <s v="U"/>
    <x v="0"/>
    <n v="8"/>
    <n v="11.81"/>
    <x v="5"/>
    <s v="375-95-1"/>
    <x v="5"/>
    <n v="0.309"/>
  </r>
  <r>
    <s v="PU033-JBA-08162021"/>
    <s v="Spill"/>
    <x v="1"/>
    <s v="Pumpkinseed"/>
    <s v="Lepomis"/>
    <s v="gibbosus"/>
    <s v="U"/>
    <x v="0"/>
    <n v="8"/>
    <n v="11.81"/>
    <x v="6"/>
    <s v="335-76-2"/>
    <x v="6"/>
    <n v="3.66"/>
  </r>
  <r>
    <s v="PU033-JBA-08162021"/>
    <s v="Spill"/>
    <x v="1"/>
    <s v="Pumpkinseed"/>
    <s v="Lepomis"/>
    <s v="gibbosus"/>
    <s v="U"/>
    <x v="0"/>
    <n v="8"/>
    <n v="11.81"/>
    <x v="7"/>
    <s v="2058-94-8"/>
    <x v="7"/>
    <n v="4.08"/>
  </r>
  <r>
    <s v="PU033-JBA-08162021"/>
    <s v="Spill"/>
    <x v="1"/>
    <s v="Pumpkinseed"/>
    <s v="Lepomis"/>
    <s v="gibbosus"/>
    <s v="U"/>
    <x v="0"/>
    <n v="8"/>
    <n v="11.81"/>
    <x v="8"/>
    <s v="307-55-1"/>
    <x v="8"/>
    <n v="7.58"/>
  </r>
  <r>
    <s v="PU033-JBA-08162021"/>
    <s v="Spill"/>
    <x v="1"/>
    <s v="Pumpkinseed"/>
    <s v="Lepomis"/>
    <s v="gibbosus"/>
    <s v="U"/>
    <x v="0"/>
    <n v="8"/>
    <n v="11.81"/>
    <x v="9"/>
    <s v="72629-94-8"/>
    <x v="9"/>
    <n v="1.97"/>
  </r>
  <r>
    <s v="PU033-JBA-08162021"/>
    <s v="Spill"/>
    <x v="1"/>
    <s v="Pumpkinseed"/>
    <s v="Lepomis"/>
    <s v="gibbosus"/>
    <s v="U"/>
    <x v="0"/>
    <n v="8"/>
    <n v="11.81"/>
    <x v="10"/>
    <s v="376-06-7"/>
    <x v="10"/>
    <n v="6.91"/>
  </r>
  <r>
    <s v="PU033-JBA-08162021"/>
    <s v="Spill"/>
    <x v="1"/>
    <s v="Pumpkinseed"/>
    <s v="Lepomis"/>
    <s v="gibbosus"/>
    <s v="U"/>
    <x v="0"/>
    <n v="8"/>
    <n v="11.81"/>
    <x v="11"/>
    <s v="67905-19-5"/>
    <x v="11"/>
    <n v="8.0500000000000002E-2"/>
  </r>
  <r>
    <s v="PU033-JBA-08162021"/>
    <s v="Spill"/>
    <x v="1"/>
    <s v="Pumpkinseed"/>
    <s v="Lepomis"/>
    <s v="gibbosus"/>
    <s v="U"/>
    <x v="0"/>
    <n v="8"/>
    <n v="11.81"/>
    <x v="12"/>
    <s v="423-41-6"/>
    <x v="12"/>
    <n v="5.1499999999999997E-2"/>
  </r>
  <r>
    <s v="PU033-JBA-08162021"/>
    <s v="Spill"/>
    <x v="1"/>
    <s v="Pumpkinseed"/>
    <s v="Lepomis"/>
    <s v="gibbosus"/>
    <s v="U"/>
    <x v="0"/>
    <n v="8"/>
    <n v="11.81"/>
    <x v="13"/>
    <s v="375-73-5"/>
    <x v="13"/>
    <n v="0.1515"/>
  </r>
  <r>
    <s v="PU033-JBA-08162021"/>
    <s v="Spill"/>
    <x v="1"/>
    <s v="Pumpkinseed"/>
    <s v="Lepomis"/>
    <s v="gibbosus"/>
    <s v="U"/>
    <x v="0"/>
    <n v="8"/>
    <n v="11.81"/>
    <x v="14"/>
    <s v="2706-91-4"/>
    <x v="14"/>
    <n v="0.11799999999999999"/>
  </r>
  <r>
    <s v="PU033-JBA-08162021"/>
    <s v="Spill"/>
    <x v="1"/>
    <s v="Pumpkinseed"/>
    <s v="Lepomis"/>
    <s v="gibbosus"/>
    <s v="U"/>
    <x v="0"/>
    <n v="8"/>
    <n v="11.81"/>
    <x v="15"/>
    <s v="355-46-4"/>
    <x v="15"/>
    <n v="9.4600000000000009"/>
  </r>
  <r>
    <s v="PU033-JBA-08162021"/>
    <s v="Spill"/>
    <x v="1"/>
    <s v="Pumpkinseed"/>
    <s v="Lepomis"/>
    <s v="gibbosus"/>
    <s v="U"/>
    <x v="0"/>
    <n v="8"/>
    <n v="11.81"/>
    <x v="16"/>
    <s v="375-92-8"/>
    <x v="16"/>
    <n v="2"/>
  </r>
  <r>
    <s v="PU033-JBA-08162021"/>
    <s v="Spill"/>
    <x v="1"/>
    <s v="Pumpkinseed"/>
    <s v="Lepomis"/>
    <s v="gibbosus"/>
    <s v="U"/>
    <x v="0"/>
    <n v="8"/>
    <n v="11.81"/>
    <x v="17"/>
    <s v="1763-23-1"/>
    <x v="17"/>
    <n v="825"/>
  </r>
  <r>
    <s v="PU033-JBA-08162021"/>
    <s v="Spill"/>
    <x v="1"/>
    <s v="Pumpkinseed"/>
    <s v="Lepomis"/>
    <s v="gibbosus"/>
    <s v="U"/>
    <x v="0"/>
    <n v="8"/>
    <n v="11.81"/>
    <x v="18"/>
    <s v="68259-12-1"/>
    <x v="18"/>
    <n v="1.1499999999999999"/>
  </r>
  <r>
    <s v="PU033-JBA-08162021"/>
    <s v="Spill"/>
    <x v="1"/>
    <s v="Pumpkinseed"/>
    <s v="Lepomis"/>
    <s v="gibbosus"/>
    <s v="U"/>
    <x v="0"/>
    <n v="8"/>
    <n v="11.81"/>
    <x v="19"/>
    <s v="335-77-3"/>
    <x v="19"/>
    <n v="0.92"/>
  </r>
  <r>
    <s v="PU033-JBA-08162021"/>
    <s v="Spill"/>
    <x v="1"/>
    <s v="Pumpkinseed"/>
    <s v="Lepomis"/>
    <s v="gibbosus"/>
    <s v="U"/>
    <x v="0"/>
    <n v="8"/>
    <n v="11.81"/>
    <x v="20"/>
    <s v="79780-39-5"/>
    <x v="20"/>
    <n v="0.23799999999999999"/>
  </r>
  <r>
    <s v="PU033-JBA-08162021"/>
    <s v="Spill"/>
    <x v="1"/>
    <s v="Pumpkinseed"/>
    <s v="Lepomis"/>
    <s v="gibbosus"/>
    <s v="U"/>
    <x v="0"/>
    <n v="8"/>
    <n v="11.81"/>
    <x v="21"/>
    <s v="777011-38-8"/>
    <x v="21"/>
    <n v="0.13500000000000001"/>
  </r>
  <r>
    <s v="PU033-JBA-08162021"/>
    <s v="Spill"/>
    <x v="1"/>
    <s v="Pumpkinseed"/>
    <s v="Lepomis"/>
    <s v="gibbosus"/>
    <s v="U"/>
    <x v="0"/>
    <n v="8"/>
    <n v="11.81"/>
    <x v="22"/>
    <s v="646-83-3"/>
    <x v="22"/>
    <n v="8.8999999999999996E-2"/>
  </r>
  <r>
    <s v="PU033-JBA-08162021"/>
    <s v="Spill"/>
    <x v="1"/>
    <s v="Pumpkinseed"/>
    <s v="Lepomis"/>
    <s v="gibbosus"/>
    <s v="U"/>
    <x v="0"/>
    <n v="8"/>
    <n v="11.81"/>
    <x v="23"/>
    <s v="30334-69-1"/>
    <x v="23"/>
    <n v="19.100000000000001"/>
  </r>
  <r>
    <s v="PU033-JBA-08162021"/>
    <s v="Spill"/>
    <x v="1"/>
    <s v="Pumpkinseed"/>
    <s v="Lepomis"/>
    <s v="gibbosus"/>
    <s v="U"/>
    <x v="0"/>
    <n v="8"/>
    <n v="11.81"/>
    <x v="24"/>
    <s v="41997-13-1"/>
    <x v="24"/>
    <n v="84.3"/>
  </r>
  <r>
    <s v="PU033-JBA-08162021"/>
    <s v="Spill"/>
    <x v="1"/>
    <s v="Pumpkinseed"/>
    <s v="Lepomis"/>
    <s v="gibbosus"/>
    <s v="U"/>
    <x v="0"/>
    <n v="8"/>
    <n v="11.81"/>
    <x v="25"/>
    <s v="754-91-6"/>
    <x v="25"/>
    <n v="6.93"/>
  </r>
  <r>
    <s v="PU033-JBA-08162021"/>
    <s v="Spill"/>
    <x v="1"/>
    <s v="Pumpkinseed"/>
    <s v="Lepomis"/>
    <s v="gibbosus"/>
    <s v="U"/>
    <x v="0"/>
    <n v="8"/>
    <n v="11.81"/>
    <x v="26"/>
    <s v="31506-32-8"/>
    <x v="26"/>
    <n v="5.1999999999999998E-2"/>
  </r>
  <r>
    <s v="PU033-JBA-08162021"/>
    <s v="Spill"/>
    <x v="1"/>
    <s v="Pumpkinseed"/>
    <s v="Lepomis"/>
    <s v="gibbosus"/>
    <s v="U"/>
    <x v="0"/>
    <n v="8"/>
    <n v="11.81"/>
    <x v="27"/>
    <s v="4151-50-2"/>
    <x v="27"/>
    <n v="7.85E-2"/>
  </r>
  <r>
    <s v="PU033-JBA-08162021"/>
    <s v="Spill"/>
    <x v="1"/>
    <s v="Pumpkinseed"/>
    <s v="Lepomis"/>
    <s v="gibbosus"/>
    <s v="U"/>
    <x v="0"/>
    <n v="8"/>
    <n v="11.81"/>
    <x v="28"/>
    <s v="2806-24-8"/>
    <x v="28"/>
    <n v="5.2999999999999999E-2"/>
  </r>
  <r>
    <s v="PU033-JBA-08162021"/>
    <s v="Spill"/>
    <x v="1"/>
    <s v="Pumpkinseed"/>
    <s v="Lepomis"/>
    <s v="gibbosus"/>
    <s v="U"/>
    <x v="0"/>
    <n v="8"/>
    <n v="11.81"/>
    <x v="29"/>
    <s v="2355-31-9"/>
    <x v="29"/>
    <n v="0.224"/>
  </r>
  <r>
    <s v="PU033-JBA-08162021"/>
    <s v="Spill"/>
    <x v="1"/>
    <s v="Pumpkinseed"/>
    <s v="Lepomis"/>
    <s v="gibbosus"/>
    <s v="U"/>
    <x v="0"/>
    <n v="8"/>
    <n v="11.81"/>
    <x v="30"/>
    <s v="2991-50-6"/>
    <x v="30"/>
    <n v="5.8500000000000003E-2"/>
  </r>
  <r>
    <s v="PU033-JBA-08162021"/>
    <s v="Spill"/>
    <x v="1"/>
    <s v="Pumpkinseed"/>
    <s v="Lepomis"/>
    <s v="gibbosus"/>
    <s v="U"/>
    <x v="0"/>
    <n v="8"/>
    <n v="11.81"/>
    <x v="31"/>
    <s v="757124-72-4"/>
    <x v="31"/>
    <n v="5.5500000000000001E-2"/>
  </r>
  <r>
    <s v="PU033-JBA-08162021"/>
    <s v="Spill"/>
    <x v="1"/>
    <s v="Pumpkinseed"/>
    <s v="Lepomis"/>
    <s v="gibbosus"/>
    <s v="U"/>
    <x v="0"/>
    <n v="8"/>
    <n v="11.81"/>
    <x v="32"/>
    <s v="27619-97-2"/>
    <x v="32"/>
    <n v="0.13450000000000001"/>
  </r>
  <r>
    <s v="PU033-JBA-08162021"/>
    <s v="Spill"/>
    <x v="1"/>
    <s v="Pumpkinseed"/>
    <s v="Lepomis"/>
    <s v="gibbosus"/>
    <s v="U"/>
    <x v="0"/>
    <n v="8"/>
    <n v="11.81"/>
    <x v="33"/>
    <s v="39108-34-4"/>
    <x v="33"/>
    <n v="3.03"/>
  </r>
  <r>
    <s v="PU033-JBA-08162021"/>
    <s v="Spill"/>
    <x v="1"/>
    <s v="Pumpkinseed"/>
    <s v="Lepomis"/>
    <s v="gibbosus"/>
    <s v="U"/>
    <x v="0"/>
    <n v="8"/>
    <n v="11.81"/>
    <x v="34"/>
    <s v="120226-60-0"/>
    <x v="34"/>
    <n v="0.2525"/>
  </r>
  <r>
    <s v="PU033-JBA-08162021"/>
    <s v="Spill"/>
    <x v="1"/>
    <s v="Pumpkinseed"/>
    <s v="Lepomis"/>
    <s v="gibbosus"/>
    <s v="U"/>
    <x v="0"/>
    <n v="8"/>
    <n v="11.81"/>
    <x v="35"/>
    <s v="356-02-5"/>
    <x v="35"/>
    <n v="7.7499999999999999E-2"/>
  </r>
  <r>
    <s v="PU033-JBA-08162021"/>
    <s v="Spill"/>
    <x v="1"/>
    <s v="Pumpkinseed"/>
    <s v="Lepomis"/>
    <s v="gibbosus"/>
    <s v="U"/>
    <x v="0"/>
    <n v="8"/>
    <n v="11.81"/>
    <x v="36"/>
    <s v="914637-49-3"/>
    <x v="36"/>
    <n v="0.2225"/>
  </r>
  <r>
    <s v="PU033-JBA-08162021"/>
    <s v="Spill"/>
    <x v="1"/>
    <s v="Pumpkinseed"/>
    <s v="Lepomis"/>
    <s v="gibbosus"/>
    <s v="U"/>
    <x v="0"/>
    <n v="8"/>
    <n v="11.81"/>
    <x v="37"/>
    <s v="812-70-4"/>
    <x v="37"/>
    <n v="1.35"/>
  </r>
  <r>
    <s v="PU033-JBA-08162021"/>
    <s v="Spill"/>
    <x v="1"/>
    <s v="Pumpkinseed"/>
    <s v="Lepomis"/>
    <s v="gibbosus"/>
    <s v="U"/>
    <x v="0"/>
    <n v="8"/>
    <n v="11.81"/>
    <x v="38"/>
    <s v="53826-12-3"/>
    <x v="38"/>
    <n v="6.7500000000000004E-2"/>
  </r>
  <r>
    <s v="PU033-JBA-08162021"/>
    <s v="Spill"/>
    <x v="1"/>
    <s v="Pumpkinseed"/>
    <s v="Lepomis"/>
    <s v="gibbosus"/>
    <s v="U"/>
    <x v="0"/>
    <n v="8"/>
    <n v="11.81"/>
    <x v="39"/>
    <s v="27854-31-5"/>
    <x v="39"/>
    <n v="2.02"/>
  </r>
  <r>
    <s v="PU033-JBA-08162021"/>
    <s v="Spill"/>
    <x v="1"/>
    <s v="Pumpkinseed"/>
    <s v="Lepomis"/>
    <s v="gibbosus"/>
    <s v="U"/>
    <x v="0"/>
    <n v="8"/>
    <n v="11.81"/>
    <x v="40"/>
    <s v="53826-13-4"/>
    <x v="40"/>
    <n v="0.33200000000000002"/>
  </r>
  <r>
    <s v="PU033-JBA-08162021"/>
    <s v="Spill"/>
    <x v="1"/>
    <s v="Pumpkinseed"/>
    <s v="Lepomis"/>
    <s v="gibbosus"/>
    <s v="U"/>
    <x v="0"/>
    <n v="8"/>
    <n v="11.81"/>
    <x v="41"/>
    <s v="161094-75-3"/>
    <x v="41"/>
    <n v="5.2999999999999999E-2"/>
  </r>
  <r>
    <s v="PU033-JBA-08162021"/>
    <s v="Spill"/>
    <x v="1"/>
    <s v="Pumpkinseed"/>
    <s v="Lepomis"/>
    <s v="gibbosus"/>
    <s v="U"/>
    <x v="0"/>
    <n v="8"/>
    <n v="11.81"/>
    <x v="42"/>
    <s v="70887-84-2"/>
    <x v="42"/>
    <n v="4.0750000000000001E-2"/>
  </r>
  <r>
    <s v="PU033-JBA-08162021"/>
    <s v="Spill"/>
    <x v="1"/>
    <s v="Pumpkinseed"/>
    <s v="Lepomis"/>
    <s v="gibbosus"/>
    <s v="U"/>
    <x v="0"/>
    <n v="8"/>
    <n v="11.81"/>
    <x v="43"/>
    <s v="919005-14-4"/>
    <x v="43"/>
    <n v="6.7500000000000004E-2"/>
  </r>
  <r>
    <s v="PU033-JBA-08162021"/>
    <s v="Spill"/>
    <x v="1"/>
    <s v="Pumpkinseed"/>
    <s v="Lepomis"/>
    <s v="gibbosus"/>
    <s v="U"/>
    <x v="0"/>
    <n v="8"/>
    <n v="11.81"/>
    <x v="44"/>
    <s v="756426-58-1"/>
    <x v="44"/>
    <n v="6.7500000000000004E-2"/>
  </r>
  <r>
    <s v="PU033-JBA-08162021"/>
    <s v="Spill"/>
    <x v="1"/>
    <s v="Pumpkinseed"/>
    <s v="Lepomis"/>
    <s v="gibbosus"/>
    <s v="U"/>
    <x v="0"/>
    <n v="8"/>
    <n v="11.81"/>
    <x v="45"/>
    <s v="763051-92-9"/>
    <x v="45"/>
    <n v="6.7500000000000004E-2"/>
  </r>
  <r>
    <s v="PU033-JBA-08162021"/>
    <s v="Spill"/>
    <x v="1"/>
    <s v="Pumpkinseed"/>
    <s v="Lepomis"/>
    <s v="gibbosus"/>
    <s v="U"/>
    <x v="0"/>
    <n v="8"/>
    <n v="11.81"/>
    <x v="46"/>
    <s v="13252-13-6"/>
    <x v="46"/>
    <n v="9.7000000000000003E-2"/>
  </r>
  <r>
    <s v="PU033-JBA-08162021"/>
    <s v="Spill"/>
    <x v="1"/>
    <s v="Pumpkinseed"/>
    <s v="Lepomis"/>
    <s v="gibbosus"/>
    <s v="U"/>
    <x v="0"/>
    <n v="8"/>
    <n v="11.81"/>
    <x v="47"/>
    <s v="57677-95-9"/>
    <x v="47"/>
    <n v="7.1999999999999995E-2"/>
  </r>
  <r>
    <s v="PU033-JBA-08162021"/>
    <s v="Spill"/>
    <x v="1"/>
    <s v="Pumpkinseed"/>
    <s v="Lepomis"/>
    <s v="gibbosus"/>
    <s v="U"/>
    <x v="0"/>
    <n v="8"/>
    <n v="11.81"/>
    <x v="48"/>
    <s v="678-41-1"/>
    <x v="48"/>
    <n v="8.9499999999999996E-2"/>
  </r>
  <r>
    <s v="PU033-JBA-08162021"/>
    <s v="Spill"/>
    <x v="1"/>
    <s v="Pumpkinseed"/>
    <s v="Lepomis"/>
    <s v="gibbosus"/>
    <s v="U"/>
    <x v="0"/>
    <n v="8"/>
    <n v="11.81"/>
    <x v="49"/>
    <s v="2965-52-8"/>
    <x v="49"/>
    <n v="0.11849999999999999"/>
  </r>
  <r>
    <s v="PU034-JBA-08162021"/>
    <s v="Spill"/>
    <x v="1"/>
    <s v="Pumpkinseed"/>
    <s v="Lepomis"/>
    <s v="gibbosus"/>
    <s v="U"/>
    <x v="0"/>
    <n v="8"/>
    <n v="11.81"/>
    <x v="0"/>
    <s v="375-22-4"/>
    <x v="0"/>
    <n v="0.219"/>
  </r>
  <r>
    <s v="PU034-JBA-08162021"/>
    <s v="Spill"/>
    <x v="1"/>
    <s v="Pumpkinseed"/>
    <s v="Lepomis"/>
    <s v="gibbosus"/>
    <s v="U"/>
    <x v="0"/>
    <n v="8"/>
    <n v="11.81"/>
    <x v="1"/>
    <s v="2706-90-3"/>
    <x v="1"/>
    <n v="4.6800000000000001E-2"/>
  </r>
  <r>
    <s v="PU034-JBA-08162021"/>
    <s v="Spill"/>
    <x v="1"/>
    <s v="Pumpkinseed"/>
    <s v="Lepomis"/>
    <s v="gibbosus"/>
    <s v="U"/>
    <x v="0"/>
    <n v="8"/>
    <n v="11.81"/>
    <x v="2"/>
    <s v="307-24-4"/>
    <x v="2"/>
    <n v="3.5749999999999997E-2"/>
  </r>
  <r>
    <s v="PU034-JBA-08162021"/>
    <s v="Spill"/>
    <x v="1"/>
    <s v="Pumpkinseed"/>
    <s v="Lepomis"/>
    <s v="gibbosus"/>
    <s v="U"/>
    <x v="0"/>
    <n v="8"/>
    <n v="11.81"/>
    <x v="3"/>
    <s v="375-85-9"/>
    <x v="3"/>
    <n v="2.6499999999999999E-2"/>
  </r>
  <r>
    <s v="PU034-JBA-08162021"/>
    <s v="Spill"/>
    <x v="1"/>
    <s v="Pumpkinseed"/>
    <s v="Lepomis"/>
    <s v="gibbosus"/>
    <s v="U"/>
    <x v="0"/>
    <n v="8"/>
    <n v="11.81"/>
    <x v="4"/>
    <s v="335-67-1"/>
    <x v="4"/>
    <n v="1.1599999999999999"/>
  </r>
  <r>
    <s v="PU034-JBA-08162021"/>
    <s v="Spill"/>
    <x v="1"/>
    <s v="Pumpkinseed"/>
    <s v="Lepomis"/>
    <s v="gibbosus"/>
    <s v="U"/>
    <x v="0"/>
    <n v="8"/>
    <n v="11.81"/>
    <x v="5"/>
    <s v="375-95-1"/>
    <x v="5"/>
    <n v="0.47699999999999998"/>
  </r>
  <r>
    <s v="PU034-JBA-08162021"/>
    <s v="Spill"/>
    <x v="1"/>
    <s v="Pumpkinseed"/>
    <s v="Lepomis"/>
    <s v="gibbosus"/>
    <s v="U"/>
    <x v="0"/>
    <n v="8"/>
    <n v="11.81"/>
    <x v="6"/>
    <s v="335-76-2"/>
    <x v="6"/>
    <n v="1.46"/>
  </r>
  <r>
    <s v="PU034-JBA-08162021"/>
    <s v="Spill"/>
    <x v="1"/>
    <s v="Pumpkinseed"/>
    <s v="Lepomis"/>
    <s v="gibbosus"/>
    <s v="U"/>
    <x v="0"/>
    <n v="8"/>
    <n v="11.81"/>
    <x v="7"/>
    <s v="2058-94-8"/>
    <x v="7"/>
    <n v="2.16"/>
  </r>
  <r>
    <s v="PU034-JBA-08162021"/>
    <s v="Spill"/>
    <x v="1"/>
    <s v="Pumpkinseed"/>
    <s v="Lepomis"/>
    <s v="gibbosus"/>
    <s v="U"/>
    <x v="0"/>
    <n v="8"/>
    <n v="11.81"/>
    <x v="8"/>
    <s v="307-55-1"/>
    <x v="8"/>
    <n v="9.58"/>
  </r>
  <r>
    <s v="PU034-JBA-08162021"/>
    <s v="Spill"/>
    <x v="1"/>
    <s v="Pumpkinseed"/>
    <s v="Lepomis"/>
    <s v="gibbosus"/>
    <s v="U"/>
    <x v="0"/>
    <n v="8"/>
    <n v="11.81"/>
    <x v="9"/>
    <s v="72629-94-8"/>
    <x v="9"/>
    <n v="2.81"/>
  </r>
  <r>
    <s v="PU034-JBA-08162021"/>
    <s v="Spill"/>
    <x v="1"/>
    <s v="Pumpkinseed"/>
    <s v="Lepomis"/>
    <s v="gibbosus"/>
    <s v="U"/>
    <x v="0"/>
    <n v="8"/>
    <n v="11.81"/>
    <x v="10"/>
    <s v="376-06-7"/>
    <x v="10"/>
    <n v="7.96"/>
  </r>
  <r>
    <s v="PU034-JBA-08162021"/>
    <s v="Spill"/>
    <x v="1"/>
    <s v="Pumpkinseed"/>
    <s v="Lepomis"/>
    <s v="gibbosus"/>
    <s v="U"/>
    <x v="0"/>
    <n v="8"/>
    <n v="11.81"/>
    <x v="11"/>
    <s v="67905-19-5"/>
    <x v="11"/>
    <n v="7.9000000000000001E-2"/>
  </r>
  <r>
    <s v="PU034-JBA-08162021"/>
    <s v="Spill"/>
    <x v="1"/>
    <s v="Pumpkinseed"/>
    <s v="Lepomis"/>
    <s v="gibbosus"/>
    <s v="U"/>
    <x v="0"/>
    <n v="8"/>
    <n v="11.81"/>
    <x v="12"/>
    <s v="423-41-6"/>
    <x v="12"/>
    <n v="5.0500000000000003E-2"/>
  </r>
  <r>
    <s v="PU034-JBA-08162021"/>
    <s v="Spill"/>
    <x v="1"/>
    <s v="Pumpkinseed"/>
    <s v="Lepomis"/>
    <s v="gibbosus"/>
    <s v="U"/>
    <x v="0"/>
    <n v="8"/>
    <n v="11.81"/>
    <x v="13"/>
    <s v="375-73-5"/>
    <x v="13"/>
    <n v="0.14899999999999999"/>
  </r>
  <r>
    <s v="PU034-JBA-08162021"/>
    <s v="Spill"/>
    <x v="1"/>
    <s v="Pumpkinseed"/>
    <s v="Lepomis"/>
    <s v="gibbosus"/>
    <s v="U"/>
    <x v="0"/>
    <n v="8"/>
    <n v="11.81"/>
    <x v="14"/>
    <s v="2706-91-4"/>
    <x v="14"/>
    <n v="0.48199999999999998"/>
  </r>
  <r>
    <s v="PU034-JBA-08162021"/>
    <s v="Spill"/>
    <x v="1"/>
    <s v="Pumpkinseed"/>
    <s v="Lepomis"/>
    <s v="gibbosus"/>
    <s v="U"/>
    <x v="0"/>
    <n v="8"/>
    <n v="11.81"/>
    <x v="15"/>
    <s v="355-46-4"/>
    <x v="15"/>
    <n v="52.7"/>
  </r>
  <r>
    <s v="PU034-JBA-08162021"/>
    <s v="Spill"/>
    <x v="1"/>
    <s v="Pumpkinseed"/>
    <s v="Lepomis"/>
    <s v="gibbosus"/>
    <s v="U"/>
    <x v="0"/>
    <n v="8"/>
    <n v="11.81"/>
    <x v="16"/>
    <s v="375-92-8"/>
    <x v="16"/>
    <n v="3.41"/>
  </r>
  <r>
    <s v="PU034-JBA-08162021"/>
    <s v="Spill"/>
    <x v="1"/>
    <s v="Pumpkinseed"/>
    <s v="Lepomis"/>
    <s v="gibbosus"/>
    <s v="U"/>
    <x v="0"/>
    <n v="8"/>
    <n v="11.81"/>
    <x v="17"/>
    <s v="1763-23-1"/>
    <x v="17"/>
    <n v="614"/>
  </r>
  <r>
    <s v="PU034-JBA-08162021"/>
    <s v="Spill"/>
    <x v="1"/>
    <s v="Pumpkinseed"/>
    <s v="Lepomis"/>
    <s v="gibbosus"/>
    <s v="U"/>
    <x v="0"/>
    <n v="8"/>
    <n v="11.81"/>
    <x v="18"/>
    <s v="68259-12-1"/>
    <x v="18"/>
    <n v="0.79900000000000004"/>
  </r>
  <r>
    <s v="PU034-JBA-08162021"/>
    <s v="Spill"/>
    <x v="1"/>
    <s v="Pumpkinseed"/>
    <s v="Lepomis"/>
    <s v="gibbosus"/>
    <s v="U"/>
    <x v="0"/>
    <n v="8"/>
    <n v="11.81"/>
    <x v="19"/>
    <s v="335-77-3"/>
    <x v="19"/>
    <n v="0.70699999999999996"/>
  </r>
  <r>
    <s v="PU034-JBA-08162021"/>
    <s v="Spill"/>
    <x v="1"/>
    <s v="Pumpkinseed"/>
    <s v="Lepomis"/>
    <s v="gibbosus"/>
    <s v="U"/>
    <x v="0"/>
    <n v="8"/>
    <n v="11.81"/>
    <x v="20"/>
    <s v="79780-39-5"/>
    <x v="20"/>
    <n v="0.23400000000000001"/>
  </r>
  <r>
    <s v="PU034-JBA-08162021"/>
    <s v="Spill"/>
    <x v="1"/>
    <s v="Pumpkinseed"/>
    <s v="Lepomis"/>
    <s v="gibbosus"/>
    <s v="U"/>
    <x v="0"/>
    <n v="8"/>
    <n v="11.81"/>
    <x v="21"/>
    <s v="777011-38-8"/>
    <x v="21"/>
    <n v="0.13300000000000001"/>
  </r>
  <r>
    <s v="PU034-JBA-08162021"/>
    <s v="Spill"/>
    <x v="1"/>
    <s v="Pumpkinseed"/>
    <s v="Lepomis"/>
    <s v="gibbosus"/>
    <s v="U"/>
    <x v="0"/>
    <n v="8"/>
    <n v="11.81"/>
    <x v="22"/>
    <s v="646-83-3"/>
    <x v="22"/>
    <n v="8.7499999999999994E-2"/>
  </r>
  <r>
    <s v="PU034-JBA-08162021"/>
    <s v="Spill"/>
    <x v="1"/>
    <s v="Pumpkinseed"/>
    <s v="Lepomis"/>
    <s v="gibbosus"/>
    <s v="U"/>
    <x v="0"/>
    <n v="8"/>
    <n v="11.81"/>
    <x v="23"/>
    <s v="30334-69-1"/>
    <x v="23"/>
    <n v="15.9"/>
  </r>
  <r>
    <s v="PU034-JBA-08162021"/>
    <s v="Spill"/>
    <x v="1"/>
    <s v="Pumpkinseed"/>
    <s v="Lepomis"/>
    <s v="gibbosus"/>
    <s v="U"/>
    <x v="0"/>
    <n v="8"/>
    <n v="11.81"/>
    <x v="24"/>
    <s v="41997-13-1"/>
    <x v="24"/>
    <n v="68.5"/>
  </r>
  <r>
    <s v="PU034-JBA-08162021"/>
    <s v="Spill"/>
    <x v="1"/>
    <s v="Pumpkinseed"/>
    <s v="Lepomis"/>
    <s v="gibbosus"/>
    <s v="U"/>
    <x v="0"/>
    <n v="8"/>
    <n v="11.81"/>
    <x v="25"/>
    <s v="754-91-6"/>
    <x v="25"/>
    <n v="5.7"/>
  </r>
  <r>
    <s v="PU034-JBA-08162021"/>
    <s v="Spill"/>
    <x v="1"/>
    <s v="Pumpkinseed"/>
    <s v="Lepomis"/>
    <s v="gibbosus"/>
    <s v="U"/>
    <x v="0"/>
    <n v="8"/>
    <n v="11.81"/>
    <x v="26"/>
    <s v="31506-32-8"/>
    <x v="26"/>
    <n v="5.0999999999999997E-2"/>
  </r>
  <r>
    <s v="PU034-JBA-08162021"/>
    <s v="Spill"/>
    <x v="1"/>
    <s v="Pumpkinseed"/>
    <s v="Lepomis"/>
    <s v="gibbosus"/>
    <s v="U"/>
    <x v="0"/>
    <n v="8"/>
    <n v="11.81"/>
    <x v="27"/>
    <s v="4151-50-2"/>
    <x v="27"/>
    <n v="7.7499999999999999E-2"/>
  </r>
  <r>
    <s v="PU034-JBA-08162021"/>
    <s v="Spill"/>
    <x v="1"/>
    <s v="Pumpkinseed"/>
    <s v="Lepomis"/>
    <s v="gibbosus"/>
    <s v="U"/>
    <x v="0"/>
    <n v="8"/>
    <n v="11.81"/>
    <x v="28"/>
    <s v="2806-24-8"/>
    <x v="28"/>
    <n v="5.2499999999999998E-2"/>
  </r>
  <r>
    <s v="PU034-JBA-08162021"/>
    <s v="Spill"/>
    <x v="1"/>
    <s v="Pumpkinseed"/>
    <s v="Lepomis"/>
    <s v="gibbosus"/>
    <s v="U"/>
    <x v="0"/>
    <n v="8"/>
    <n v="11.81"/>
    <x v="29"/>
    <s v="2355-31-9"/>
    <x v="29"/>
    <n v="0.22"/>
  </r>
  <r>
    <s v="PU034-JBA-08162021"/>
    <s v="Spill"/>
    <x v="1"/>
    <s v="Pumpkinseed"/>
    <s v="Lepomis"/>
    <s v="gibbosus"/>
    <s v="U"/>
    <x v="0"/>
    <n v="8"/>
    <n v="11.81"/>
    <x v="30"/>
    <s v="2991-50-6"/>
    <x v="30"/>
    <n v="5.7500000000000002E-2"/>
  </r>
  <r>
    <s v="PU034-JBA-08162021"/>
    <s v="Spill"/>
    <x v="1"/>
    <s v="Pumpkinseed"/>
    <s v="Lepomis"/>
    <s v="gibbosus"/>
    <s v="U"/>
    <x v="0"/>
    <n v="8"/>
    <n v="11.81"/>
    <x v="31"/>
    <s v="757124-72-4"/>
    <x v="31"/>
    <n v="5.45E-2"/>
  </r>
  <r>
    <s v="PU034-JBA-08162021"/>
    <s v="Spill"/>
    <x v="1"/>
    <s v="Pumpkinseed"/>
    <s v="Lepomis"/>
    <s v="gibbosus"/>
    <s v="U"/>
    <x v="0"/>
    <n v="8"/>
    <n v="11.81"/>
    <x v="32"/>
    <s v="27619-97-2"/>
    <x v="32"/>
    <n v="0.627"/>
  </r>
  <r>
    <s v="PU034-JBA-08162021"/>
    <s v="Spill"/>
    <x v="1"/>
    <s v="Pumpkinseed"/>
    <s v="Lepomis"/>
    <s v="gibbosus"/>
    <s v="U"/>
    <x v="0"/>
    <n v="8"/>
    <n v="11.81"/>
    <x v="33"/>
    <s v="39108-34-4"/>
    <x v="33"/>
    <n v="1.1499999999999999"/>
  </r>
  <r>
    <s v="PU034-JBA-08162021"/>
    <s v="Spill"/>
    <x v="1"/>
    <s v="Pumpkinseed"/>
    <s v="Lepomis"/>
    <s v="gibbosus"/>
    <s v="U"/>
    <x v="0"/>
    <n v="8"/>
    <n v="11.81"/>
    <x v="34"/>
    <s v="120226-60-0"/>
    <x v="34"/>
    <n v="0.2485"/>
  </r>
  <r>
    <s v="PU034-JBA-08162021"/>
    <s v="Spill"/>
    <x v="1"/>
    <s v="Pumpkinseed"/>
    <s v="Lepomis"/>
    <s v="gibbosus"/>
    <s v="U"/>
    <x v="0"/>
    <n v="8"/>
    <n v="11.81"/>
    <x v="35"/>
    <s v="356-02-5"/>
    <x v="35"/>
    <n v="7.6499999999999999E-2"/>
  </r>
  <r>
    <s v="PU034-JBA-08162021"/>
    <s v="Spill"/>
    <x v="1"/>
    <s v="Pumpkinseed"/>
    <s v="Lepomis"/>
    <s v="gibbosus"/>
    <s v="U"/>
    <x v="0"/>
    <n v="8"/>
    <n v="11.81"/>
    <x v="36"/>
    <s v="914637-49-3"/>
    <x v="36"/>
    <n v="0.219"/>
  </r>
  <r>
    <s v="PU034-JBA-08162021"/>
    <s v="Spill"/>
    <x v="1"/>
    <s v="Pumpkinseed"/>
    <s v="Lepomis"/>
    <s v="gibbosus"/>
    <s v="U"/>
    <x v="0"/>
    <n v="8"/>
    <n v="11.81"/>
    <x v="37"/>
    <s v="812-70-4"/>
    <x v="37"/>
    <n v="1.53"/>
  </r>
  <r>
    <s v="PU034-JBA-08162021"/>
    <s v="Spill"/>
    <x v="1"/>
    <s v="Pumpkinseed"/>
    <s v="Lepomis"/>
    <s v="gibbosus"/>
    <s v="U"/>
    <x v="0"/>
    <n v="8"/>
    <n v="11.81"/>
    <x v="38"/>
    <s v="53826-12-3"/>
    <x v="38"/>
    <n v="6.6500000000000004E-2"/>
  </r>
  <r>
    <s v="PU034-JBA-08162021"/>
    <s v="Spill"/>
    <x v="1"/>
    <s v="Pumpkinseed"/>
    <s v="Lepomis"/>
    <s v="gibbosus"/>
    <s v="U"/>
    <x v="0"/>
    <n v="8"/>
    <n v="11.81"/>
    <x v="39"/>
    <s v="27854-31-5"/>
    <x v="39"/>
    <n v="1.18"/>
  </r>
  <r>
    <s v="PU034-JBA-08162021"/>
    <s v="Spill"/>
    <x v="1"/>
    <s v="Pumpkinseed"/>
    <s v="Lepomis"/>
    <s v="gibbosus"/>
    <s v="U"/>
    <x v="0"/>
    <n v="8"/>
    <n v="11.81"/>
    <x v="40"/>
    <s v="53826-13-4"/>
    <x v="40"/>
    <n v="9.9000000000000005E-2"/>
  </r>
  <r>
    <s v="PU034-JBA-08162021"/>
    <s v="Spill"/>
    <x v="1"/>
    <s v="Pumpkinseed"/>
    <s v="Lepomis"/>
    <s v="gibbosus"/>
    <s v="U"/>
    <x v="0"/>
    <n v="8"/>
    <n v="11.81"/>
    <x v="41"/>
    <s v="161094-75-3"/>
    <x v="41"/>
    <n v="5.1999999999999998E-2"/>
  </r>
  <r>
    <s v="PU034-JBA-08162021"/>
    <s v="Spill"/>
    <x v="1"/>
    <s v="Pumpkinseed"/>
    <s v="Lepomis"/>
    <s v="gibbosus"/>
    <s v="U"/>
    <x v="0"/>
    <n v="8"/>
    <n v="11.81"/>
    <x v="42"/>
    <s v="70887-84-2"/>
    <x v="42"/>
    <n v="4.0149999999999998E-2"/>
  </r>
  <r>
    <s v="PU034-JBA-08162021"/>
    <s v="Spill"/>
    <x v="1"/>
    <s v="Pumpkinseed"/>
    <s v="Lepomis"/>
    <s v="gibbosus"/>
    <s v="U"/>
    <x v="0"/>
    <n v="8"/>
    <n v="11.81"/>
    <x v="43"/>
    <s v="919005-14-4"/>
    <x v="43"/>
    <n v="6.6500000000000004E-2"/>
  </r>
  <r>
    <s v="PU034-JBA-08162021"/>
    <s v="Spill"/>
    <x v="1"/>
    <s v="Pumpkinseed"/>
    <s v="Lepomis"/>
    <s v="gibbosus"/>
    <s v="U"/>
    <x v="0"/>
    <n v="8"/>
    <n v="11.81"/>
    <x v="44"/>
    <s v="756426-58-1"/>
    <x v="44"/>
    <n v="6.6500000000000004E-2"/>
  </r>
  <r>
    <s v="PU034-JBA-08162021"/>
    <s v="Spill"/>
    <x v="1"/>
    <s v="Pumpkinseed"/>
    <s v="Lepomis"/>
    <s v="gibbosus"/>
    <s v="U"/>
    <x v="0"/>
    <n v="8"/>
    <n v="11.81"/>
    <x v="45"/>
    <s v="763051-92-9"/>
    <x v="45"/>
    <n v="6.6500000000000004E-2"/>
  </r>
  <r>
    <s v="PU034-JBA-08162021"/>
    <s v="Spill"/>
    <x v="1"/>
    <s v="Pumpkinseed"/>
    <s v="Lepomis"/>
    <s v="gibbosus"/>
    <s v="U"/>
    <x v="0"/>
    <n v="8"/>
    <n v="11.81"/>
    <x v="46"/>
    <s v="13252-13-6"/>
    <x v="46"/>
    <n v="9.5000000000000001E-2"/>
  </r>
  <r>
    <s v="PU034-JBA-08162021"/>
    <s v="Spill"/>
    <x v="1"/>
    <s v="Pumpkinseed"/>
    <s v="Lepomis"/>
    <s v="gibbosus"/>
    <s v="U"/>
    <x v="0"/>
    <n v="8"/>
    <n v="11.81"/>
    <x v="47"/>
    <s v="57677-95-9"/>
    <x v="47"/>
    <n v="7.0499999999999993E-2"/>
  </r>
  <r>
    <s v="PU034-JBA-08162021"/>
    <s v="Spill"/>
    <x v="1"/>
    <s v="Pumpkinseed"/>
    <s v="Lepomis"/>
    <s v="gibbosus"/>
    <s v="U"/>
    <x v="0"/>
    <n v="8"/>
    <n v="11.81"/>
    <x v="48"/>
    <s v="678-41-1"/>
    <x v="48"/>
    <n v="8.7999999999999995E-2"/>
  </r>
  <r>
    <s v="PU034-JBA-08162021"/>
    <s v="Spill"/>
    <x v="1"/>
    <s v="Pumpkinseed"/>
    <s v="Lepomis"/>
    <s v="gibbosus"/>
    <s v="U"/>
    <x v="0"/>
    <n v="8"/>
    <n v="11.81"/>
    <x v="49"/>
    <s v="2965-52-8"/>
    <x v="49"/>
    <n v="0.11700000000000001"/>
  </r>
  <r>
    <s v="PU035-JBA-08162021"/>
    <s v="Spill"/>
    <x v="1"/>
    <s v="Pumpkinseed"/>
    <s v="Lepomis"/>
    <s v="gibbosus"/>
    <s v="U"/>
    <x v="0"/>
    <n v="8"/>
    <n v="11.81"/>
    <x v="0"/>
    <s v="375-22-4"/>
    <x v="0"/>
    <n v="0.22700000000000001"/>
  </r>
  <r>
    <s v="PU035-JBA-08162021"/>
    <s v="Spill"/>
    <x v="1"/>
    <s v="Pumpkinseed"/>
    <s v="Lepomis"/>
    <s v="gibbosus"/>
    <s v="U"/>
    <x v="0"/>
    <n v="8"/>
    <n v="11.81"/>
    <x v="1"/>
    <s v="2706-90-3"/>
    <x v="1"/>
    <n v="4.8649999999999999E-2"/>
  </r>
  <r>
    <s v="PU035-JBA-08162021"/>
    <s v="Spill"/>
    <x v="1"/>
    <s v="Pumpkinseed"/>
    <s v="Lepomis"/>
    <s v="gibbosus"/>
    <s v="U"/>
    <x v="0"/>
    <n v="8"/>
    <n v="11.81"/>
    <x v="2"/>
    <s v="307-24-4"/>
    <x v="2"/>
    <n v="0.1225"/>
  </r>
  <r>
    <s v="PU035-JBA-08162021"/>
    <s v="Spill"/>
    <x v="1"/>
    <s v="Pumpkinseed"/>
    <s v="Lepomis"/>
    <s v="gibbosus"/>
    <s v="U"/>
    <x v="0"/>
    <n v="8"/>
    <n v="11.81"/>
    <x v="3"/>
    <s v="375-85-9"/>
    <x v="3"/>
    <n v="9.0999999999999998E-2"/>
  </r>
  <r>
    <s v="PU035-JBA-08162021"/>
    <s v="Spill"/>
    <x v="1"/>
    <s v="Pumpkinseed"/>
    <s v="Lepomis"/>
    <s v="gibbosus"/>
    <s v="U"/>
    <x v="0"/>
    <n v="8"/>
    <n v="11.81"/>
    <x v="4"/>
    <s v="335-67-1"/>
    <x v="4"/>
    <n v="0.32500000000000001"/>
  </r>
  <r>
    <s v="PU035-JBA-08162021"/>
    <s v="Spill"/>
    <x v="1"/>
    <s v="Pumpkinseed"/>
    <s v="Lepomis"/>
    <s v="gibbosus"/>
    <s v="U"/>
    <x v="0"/>
    <n v="8"/>
    <n v="11.81"/>
    <x v="5"/>
    <s v="375-95-1"/>
    <x v="5"/>
    <n v="0.157"/>
  </r>
  <r>
    <s v="PU035-JBA-08162021"/>
    <s v="Spill"/>
    <x v="1"/>
    <s v="Pumpkinseed"/>
    <s v="Lepomis"/>
    <s v="gibbosus"/>
    <s v="U"/>
    <x v="0"/>
    <n v="8"/>
    <n v="11.81"/>
    <x v="6"/>
    <s v="335-76-2"/>
    <x v="6"/>
    <n v="3.74"/>
  </r>
  <r>
    <s v="PU035-JBA-08162021"/>
    <s v="Spill"/>
    <x v="1"/>
    <s v="Pumpkinseed"/>
    <s v="Lepomis"/>
    <s v="gibbosus"/>
    <s v="U"/>
    <x v="0"/>
    <n v="8"/>
    <n v="11.81"/>
    <x v="7"/>
    <s v="2058-94-8"/>
    <x v="7"/>
    <n v="7.06"/>
  </r>
  <r>
    <s v="PU035-JBA-08162021"/>
    <s v="Spill"/>
    <x v="1"/>
    <s v="Pumpkinseed"/>
    <s v="Lepomis"/>
    <s v="gibbosus"/>
    <s v="U"/>
    <x v="0"/>
    <n v="8"/>
    <n v="11.81"/>
    <x v="8"/>
    <s v="307-55-1"/>
    <x v="8"/>
    <n v="19.600000000000001"/>
  </r>
  <r>
    <s v="PU035-JBA-08162021"/>
    <s v="Spill"/>
    <x v="1"/>
    <s v="Pumpkinseed"/>
    <s v="Lepomis"/>
    <s v="gibbosus"/>
    <s v="U"/>
    <x v="0"/>
    <n v="8"/>
    <n v="11.81"/>
    <x v="9"/>
    <s v="72629-94-8"/>
    <x v="9"/>
    <n v="3.57"/>
  </r>
  <r>
    <s v="PU035-JBA-08162021"/>
    <s v="Spill"/>
    <x v="1"/>
    <s v="Pumpkinseed"/>
    <s v="Lepomis"/>
    <s v="gibbosus"/>
    <s v="U"/>
    <x v="0"/>
    <n v="8"/>
    <n v="11.81"/>
    <x v="10"/>
    <s v="376-06-7"/>
    <x v="10"/>
    <n v="21.4"/>
  </r>
  <r>
    <s v="PU035-JBA-08162021"/>
    <s v="Spill"/>
    <x v="1"/>
    <s v="Pumpkinseed"/>
    <s v="Lepomis"/>
    <s v="gibbosus"/>
    <s v="U"/>
    <x v="0"/>
    <n v="8"/>
    <n v="11.81"/>
    <x v="11"/>
    <s v="67905-19-5"/>
    <x v="11"/>
    <n v="8.2000000000000003E-2"/>
  </r>
  <r>
    <s v="PU035-JBA-08162021"/>
    <s v="Spill"/>
    <x v="1"/>
    <s v="Pumpkinseed"/>
    <s v="Lepomis"/>
    <s v="gibbosus"/>
    <s v="U"/>
    <x v="0"/>
    <n v="8"/>
    <n v="11.81"/>
    <x v="12"/>
    <s v="423-41-6"/>
    <x v="12"/>
    <n v="5.2499999999999998E-2"/>
  </r>
  <r>
    <s v="PU035-JBA-08162021"/>
    <s v="Spill"/>
    <x v="1"/>
    <s v="Pumpkinseed"/>
    <s v="Lepomis"/>
    <s v="gibbosus"/>
    <s v="U"/>
    <x v="0"/>
    <n v="8"/>
    <n v="11.81"/>
    <x v="13"/>
    <s v="375-73-5"/>
    <x v="13"/>
    <n v="0.1545"/>
  </r>
  <r>
    <s v="PU035-JBA-08162021"/>
    <s v="Spill"/>
    <x v="1"/>
    <s v="Pumpkinseed"/>
    <s v="Lepomis"/>
    <s v="gibbosus"/>
    <s v="U"/>
    <x v="0"/>
    <n v="8"/>
    <n v="11.81"/>
    <x v="14"/>
    <s v="2706-91-4"/>
    <x v="14"/>
    <n v="0.12"/>
  </r>
  <r>
    <s v="PU035-JBA-08162021"/>
    <s v="Spill"/>
    <x v="1"/>
    <s v="Pumpkinseed"/>
    <s v="Lepomis"/>
    <s v="gibbosus"/>
    <s v="U"/>
    <x v="0"/>
    <n v="8"/>
    <n v="11.81"/>
    <x v="15"/>
    <s v="355-46-4"/>
    <x v="15"/>
    <n v="6.74"/>
  </r>
  <r>
    <s v="PU035-JBA-08162021"/>
    <s v="Spill"/>
    <x v="1"/>
    <s v="Pumpkinseed"/>
    <s v="Lepomis"/>
    <s v="gibbosus"/>
    <s v="U"/>
    <x v="0"/>
    <n v="8"/>
    <n v="11.81"/>
    <x v="16"/>
    <s v="375-92-8"/>
    <x v="16"/>
    <n v="1.08"/>
  </r>
  <r>
    <s v="PU035-JBA-08162021"/>
    <s v="Spill"/>
    <x v="1"/>
    <s v="Pumpkinseed"/>
    <s v="Lepomis"/>
    <s v="gibbosus"/>
    <s v="U"/>
    <x v="0"/>
    <n v="8"/>
    <n v="11.81"/>
    <x v="17"/>
    <s v="1763-23-1"/>
    <x v="17"/>
    <n v="920"/>
  </r>
  <r>
    <s v="PU035-JBA-08162021"/>
    <s v="Spill"/>
    <x v="1"/>
    <s v="Pumpkinseed"/>
    <s v="Lepomis"/>
    <s v="gibbosus"/>
    <s v="U"/>
    <x v="0"/>
    <n v="8"/>
    <n v="11.81"/>
    <x v="18"/>
    <s v="68259-12-1"/>
    <x v="18"/>
    <n v="0.747"/>
  </r>
  <r>
    <s v="PU035-JBA-08162021"/>
    <s v="Spill"/>
    <x v="1"/>
    <s v="Pumpkinseed"/>
    <s v="Lepomis"/>
    <s v="gibbosus"/>
    <s v="U"/>
    <x v="0"/>
    <n v="8"/>
    <n v="11.81"/>
    <x v="19"/>
    <s v="335-77-3"/>
    <x v="19"/>
    <n v="0.67400000000000004"/>
  </r>
  <r>
    <s v="PU035-JBA-08162021"/>
    <s v="Spill"/>
    <x v="1"/>
    <s v="Pumpkinseed"/>
    <s v="Lepomis"/>
    <s v="gibbosus"/>
    <s v="U"/>
    <x v="0"/>
    <n v="8"/>
    <n v="11.81"/>
    <x v="20"/>
    <s v="79780-39-5"/>
    <x v="20"/>
    <n v="0.24249999999999999"/>
  </r>
  <r>
    <s v="PU035-JBA-08162021"/>
    <s v="Spill"/>
    <x v="1"/>
    <s v="Pumpkinseed"/>
    <s v="Lepomis"/>
    <s v="gibbosus"/>
    <s v="U"/>
    <x v="0"/>
    <n v="8"/>
    <n v="11.81"/>
    <x v="21"/>
    <s v="777011-38-8"/>
    <x v="21"/>
    <n v="0.13800000000000001"/>
  </r>
  <r>
    <s v="PU035-JBA-08162021"/>
    <s v="Spill"/>
    <x v="1"/>
    <s v="Pumpkinseed"/>
    <s v="Lepomis"/>
    <s v="gibbosus"/>
    <s v="U"/>
    <x v="0"/>
    <n v="8"/>
    <n v="11.81"/>
    <x v="22"/>
    <s v="646-83-3"/>
    <x v="22"/>
    <n v="9.0999999999999998E-2"/>
  </r>
  <r>
    <s v="PU035-JBA-08162021"/>
    <s v="Spill"/>
    <x v="1"/>
    <s v="Pumpkinseed"/>
    <s v="Lepomis"/>
    <s v="gibbosus"/>
    <s v="U"/>
    <x v="0"/>
    <n v="8"/>
    <n v="11.81"/>
    <x v="23"/>
    <s v="30334-69-1"/>
    <x v="23"/>
    <n v="41.4"/>
  </r>
  <r>
    <s v="PU035-JBA-08162021"/>
    <s v="Spill"/>
    <x v="1"/>
    <s v="Pumpkinseed"/>
    <s v="Lepomis"/>
    <s v="gibbosus"/>
    <s v="U"/>
    <x v="0"/>
    <n v="8"/>
    <n v="11.81"/>
    <x v="24"/>
    <s v="41997-13-1"/>
    <x v="24"/>
    <n v="96.3"/>
  </r>
  <r>
    <s v="PU035-JBA-08162021"/>
    <s v="Spill"/>
    <x v="1"/>
    <s v="Pumpkinseed"/>
    <s v="Lepomis"/>
    <s v="gibbosus"/>
    <s v="U"/>
    <x v="0"/>
    <n v="8"/>
    <n v="11.81"/>
    <x v="25"/>
    <s v="754-91-6"/>
    <x v="25"/>
    <n v="16.399999999999999"/>
  </r>
  <r>
    <s v="PU035-JBA-08162021"/>
    <s v="Spill"/>
    <x v="1"/>
    <s v="Pumpkinseed"/>
    <s v="Lepomis"/>
    <s v="gibbosus"/>
    <s v="U"/>
    <x v="0"/>
    <n v="8"/>
    <n v="11.81"/>
    <x v="26"/>
    <s v="31506-32-8"/>
    <x v="26"/>
    <n v="5.2999999999999999E-2"/>
  </r>
  <r>
    <s v="PU035-JBA-08162021"/>
    <s v="Spill"/>
    <x v="1"/>
    <s v="Pumpkinseed"/>
    <s v="Lepomis"/>
    <s v="gibbosus"/>
    <s v="U"/>
    <x v="0"/>
    <n v="8"/>
    <n v="11.81"/>
    <x v="27"/>
    <s v="4151-50-2"/>
    <x v="27"/>
    <n v="8.0500000000000002E-2"/>
  </r>
  <r>
    <s v="PU035-JBA-08162021"/>
    <s v="Spill"/>
    <x v="1"/>
    <s v="Pumpkinseed"/>
    <s v="Lepomis"/>
    <s v="gibbosus"/>
    <s v="U"/>
    <x v="0"/>
    <n v="8"/>
    <n v="11.81"/>
    <x v="28"/>
    <s v="2806-24-8"/>
    <x v="28"/>
    <n v="5.3999999999999999E-2"/>
  </r>
  <r>
    <s v="PU035-JBA-08162021"/>
    <s v="Spill"/>
    <x v="1"/>
    <s v="Pumpkinseed"/>
    <s v="Lepomis"/>
    <s v="gibbosus"/>
    <s v="U"/>
    <x v="0"/>
    <n v="8"/>
    <n v="11.81"/>
    <x v="29"/>
    <s v="2355-31-9"/>
    <x v="29"/>
    <n v="0.81"/>
  </r>
  <r>
    <s v="PU035-JBA-08162021"/>
    <s v="Spill"/>
    <x v="1"/>
    <s v="Pumpkinseed"/>
    <s v="Lepomis"/>
    <s v="gibbosus"/>
    <s v="U"/>
    <x v="0"/>
    <n v="8"/>
    <n v="11.81"/>
    <x v="30"/>
    <s v="2991-50-6"/>
    <x v="30"/>
    <n v="5.9499999999999997E-2"/>
  </r>
  <r>
    <s v="PU035-JBA-08162021"/>
    <s v="Spill"/>
    <x v="1"/>
    <s v="Pumpkinseed"/>
    <s v="Lepomis"/>
    <s v="gibbosus"/>
    <s v="U"/>
    <x v="0"/>
    <n v="8"/>
    <n v="11.81"/>
    <x v="31"/>
    <s v="757124-72-4"/>
    <x v="31"/>
    <n v="5.6500000000000002E-2"/>
  </r>
  <r>
    <s v="PU035-JBA-08162021"/>
    <s v="Spill"/>
    <x v="1"/>
    <s v="Pumpkinseed"/>
    <s v="Lepomis"/>
    <s v="gibbosus"/>
    <s v="U"/>
    <x v="0"/>
    <n v="8"/>
    <n v="11.81"/>
    <x v="32"/>
    <s v="27619-97-2"/>
    <x v="32"/>
    <n v="0.13700000000000001"/>
  </r>
  <r>
    <s v="PU035-JBA-08162021"/>
    <s v="Spill"/>
    <x v="1"/>
    <s v="Pumpkinseed"/>
    <s v="Lepomis"/>
    <s v="gibbosus"/>
    <s v="U"/>
    <x v="0"/>
    <n v="8"/>
    <n v="11.81"/>
    <x v="33"/>
    <s v="39108-34-4"/>
    <x v="33"/>
    <n v="0.59199999999999997"/>
  </r>
  <r>
    <s v="PU035-JBA-08162021"/>
    <s v="Spill"/>
    <x v="1"/>
    <s v="Pumpkinseed"/>
    <s v="Lepomis"/>
    <s v="gibbosus"/>
    <s v="U"/>
    <x v="0"/>
    <n v="8"/>
    <n v="11.81"/>
    <x v="34"/>
    <s v="120226-60-0"/>
    <x v="34"/>
    <n v="0.25750000000000001"/>
  </r>
  <r>
    <s v="PU035-JBA-08162021"/>
    <s v="Spill"/>
    <x v="1"/>
    <s v="Pumpkinseed"/>
    <s v="Lepomis"/>
    <s v="gibbosus"/>
    <s v="U"/>
    <x v="0"/>
    <n v="8"/>
    <n v="11.81"/>
    <x v="35"/>
    <s v="356-02-5"/>
    <x v="35"/>
    <n v="7.9500000000000001E-2"/>
  </r>
  <r>
    <s v="PU035-JBA-08162021"/>
    <s v="Spill"/>
    <x v="1"/>
    <s v="Pumpkinseed"/>
    <s v="Lepomis"/>
    <s v="gibbosus"/>
    <s v="U"/>
    <x v="0"/>
    <n v="8"/>
    <n v="11.81"/>
    <x v="36"/>
    <s v="914637-49-3"/>
    <x v="36"/>
    <n v="0.85699999999999998"/>
  </r>
  <r>
    <s v="PU035-JBA-08162021"/>
    <s v="Spill"/>
    <x v="1"/>
    <s v="Pumpkinseed"/>
    <s v="Lepomis"/>
    <s v="gibbosus"/>
    <s v="U"/>
    <x v="0"/>
    <n v="8"/>
    <n v="11.81"/>
    <x v="37"/>
    <s v="812-70-4"/>
    <x v="37"/>
    <n v="18.399999999999999"/>
  </r>
  <r>
    <s v="PU035-JBA-08162021"/>
    <s v="Spill"/>
    <x v="1"/>
    <s v="Pumpkinseed"/>
    <s v="Lepomis"/>
    <s v="gibbosus"/>
    <s v="U"/>
    <x v="0"/>
    <n v="8"/>
    <n v="11.81"/>
    <x v="38"/>
    <s v="53826-12-3"/>
    <x v="38"/>
    <n v="6.9000000000000006E-2"/>
  </r>
  <r>
    <s v="PU035-JBA-08162021"/>
    <s v="Spill"/>
    <x v="1"/>
    <s v="Pumpkinseed"/>
    <s v="Lepomis"/>
    <s v="gibbosus"/>
    <s v="U"/>
    <x v="0"/>
    <n v="8"/>
    <n v="11.81"/>
    <x v="39"/>
    <s v="27854-31-5"/>
    <x v="39"/>
    <n v="6.9000000000000006E-2"/>
  </r>
  <r>
    <s v="PU035-JBA-08162021"/>
    <s v="Spill"/>
    <x v="1"/>
    <s v="Pumpkinseed"/>
    <s v="Lepomis"/>
    <s v="gibbosus"/>
    <s v="U"/>
    <x v="0"/>
    <n v="8"/>
    <n v="11.81"/>
    <x v="40"/>
    <s v="53826-13-4"/>
    <x v="40"/>
    <n v="0.81799999999999995"/>
  </r>
  <r>
    <s v="PU035-JBA-08162021"/>
    <s v="Spill"/>
    <x v="1"/>
    <s v="Pumpkinseed"/>
    <s v="Lepomis"/>
    <s v="gibbosus"/>
    <s v="U"/>
    <x v="0"/>
    <n v="8"/>
    <n v="11.81"/>
    <x v="41"/>
    <s v="161094-75-3"/>
    <x v="41"/>
    <n v="5.3999999999999999E-2"/>
  </r>
  <r>
    <s v="PU035-JBA-08162021"/>
    <s v="Spill"/>
    <x v="1"/>
    <s v="Pumpkinseed"/>
    <s v="Lepomis"/>
    <s v="gibbosus"/>
    <s v="U"/>
    <x v="0"/>
    <n v="8"/>
    <n v="11.81"/>
    <x v="42"/>
    <s v="70887-84-2"/>
    <x v="42"/>
    <n v="4.1500000000000002E-2"/>
  </r>
  <r>
    <s v="PU035-JBA-08162021"/>
    <s v="Spill"/>
    <x v="1"/>
    <s v="Pumpkinseed"/>
    <s v="Lepomis"/>
    <s v="gibbosus"/>
    <s v="U"/>
    <x v="0"/>
    <n v="8"/>
    <n v="11.81"/>
    <x v="43"/>
    <s v="919005-14-4"/>
    <x v="43"/>
    <n v="6.9000000000000006E-2"/>
  </r>
  <r>
    <s v="PU035-JBA-08162021"/>
    <s v="Spill"/>
    <x v="1"/>
    <s v="Pumpkinseed"/>
    <s v="Lepomis"/>
    <s v="gibbosus"/>
    <s v="U"/>
    <x v="0"/>
    <n v="8"/>
    <n v="11.81"/>
    <x v="44"/>
    <s v="756426-58-1"/>
    <x v="44"/>
    <n v="6.9000000000000006E-2"/>
  </r>
  <r>
    <s v="PU035-JBA-08162021"/>
    <s v="Spill"/>
    <x v="1"/>
    <s v="Pumpkinseed"/>
    <s v="Lepomis"/>
    <s v="gibbosus"/>
    <s v="U"/>
    <x v="0"/>
    <n v="8"/>
    <n v="11.81"/>
    <x v="45"/>
    <s v="763051-92-9"/>
    <x v="45"/>
    <n v="6.9000000000000006E-2"/>
  </r>
  <r>
    <s v="PU035-JBA-08162021"/>
    <s v="Spill"/>
    <x v="1"/>
    <s v="Pumpkinseed"/>
    <s v="Lepomis"/>
    <s v="gibbosus"/>
    <s v="U"/>
    <x v="0"/>
    <n v="8"/>
    <n v="11.81"/>
    <x v="46"/>
    <s v="13252-13-6"/>
    <x v="46"/>
    <n v="9.8500000000000004E-2"/>
  </r>
  <r>
    <s v="PU035-JBA-08162021"/>
    <s v="Spill"/>
    <x v="1"/>
    <s v="Pumpkinseed"/>
    <s v="Lepomis"/>
    <s v="gibbosus"/>
    <s v="U"/>
    <x v="0"/>
    <n v="8"/>
    <n v="11.81"/>
    <x v="47"/>
    <s v="57677-95-9"/>
    <x v="47"/>
    <n v="7.2999999999999995E-2"/>
  </r>
  <r>
    <s v="PU035-JBA-08162021"/>
    <s v="Spill"/>
    <x v="1"/>
    <s v="Pumpkinseed"/>
    <s v="Lepomis"/>
    <s v="gibbosus"/>
    <s v="U"/>
    <x v="0"/>
    <n v="8"/>
    <n v="11.81"/>
    <x v="48"/>
    <s v="678-41-1"/>
    <x v="48"/>
    <n v="9.0999999999999998E-2"/>
  </r>
  <r>
    <s v="PU035-JBA-08162021"/>
    <s v="Spill"/>
    <x v="1"/>
    <s v="Pumpkinseed"/>
    <s v="Lepomis"/>
    <s v="gibbosus"/>
    <s v="U"/>
    <x v="0"/>
    <n v="8"/>
    <n v="11.81"/>
    <x v="49"/>
    <s v="2965-52-8"/>
    <x v="49"/>
    <n v="0.121"/>
  </r>
  <r>
    <s v="PU036-JBA-08162021"/>
    <s v="Spill"/>
    <x v="1"/>
    <s v="Pumpkinseed"/>
    <s v="Lepomis"/>
    <s v="gibbosus"/>
    <s v="U"/>
    <x v="0"/>
    <n v="8"/>
    <n v="11.81"/>
    <x v="0"/>
    <s v="375-22-4"/>
    <x v="0"/>
    <n v="0.223"/>
  </r>
  <r>
    <s v="PU036-JBA-08162021"/>
    <s v="Spill"/>
    <x v="1"/>
    <s v="Pumpkinseed"/>
    <s v="Lepomis"/>
    <s v="gibbosus"/>
    <s v="U"/>
    <x v="0"/>
    <n v="8"/>
    <n v="11.81"/>
    <x v="1"/>
    <s v="2706-90-3"/>
    <x v="1"/>
    <n v="4.7750000000000001E-2"/>
  </r>
  <r>
    <s v="PU036-JBA-08162021"/>
    <s v="Spill"/>
    <x v="1"/>
    <s v="Pumpkinseed"/>
    <s v="Lepomis"/>
    <s v="gibbosus"/>
    <s v="U"/>
    <x v="0"/>
    <n v="8"/>
    <n v="11.81"/>
    <x v="2"/>
    <s v="307-24-4"/>
    <x v="2"/>
    <n v="3.6499999999999998E-2"/>
  </r>
  <r>
    <s v="PU036-JBA-08162021"/>
    <s v="Spill"/>
    <x v="1"/>
    <s v="Pumpkinseed"/>
    <s v="Lepomis"/>
    <s v="gibbosus"/>
    <s v="U"/>
    <x v="0"/>
    <n v="8"/>
    <n v="11.81"/>
    <x v="3"/>
    <s v="375-85-9"/>
    <x v="3"/>
    <n v="8.8999999999999996E-2"/>
  </r>
  <r>
    <s v="PU036-JBA-08162021"/>
    <s v="Spill"/>
    <x v="1"/>
    <s v="Pumpkinseed"/>
    <s v="Lepomis"/>
    <s v="gibbosus"/>
    <s v="U"/>
    <x v="0"/>
    <n v="8"/>
    <n v="11.81"/>
    <x v="4"/>
    <s v="335-67-1"/>
    <x v="4"/>
    <n v="1.24"/>
  </r>
  <r>
    <s v="PU036-JBA-08162021"/>
    <s v="Spill"/>
    <x v="1"/>
    <s v="Pumpkinseed"/>
    <s v="Lepomis"/>
    <s v="gibbosus"/>
    <s v="U"/>
    <x v="0"/>
    <n v="8"/>
    <n v="11.81"/>
    <x v="5"/>
    <s v="375-95-1"/>
    <x v="5"/>
    <n v="0.66400000000000003"/>
  </r>
  <r>
    <s v="PU036-JBA-08162021"/>
    <s v="Spill"/>
    <x v="1"/>
    <s v="Pumpkinseed"/>
    <s v="Lepomis"/>
    <s v="gibbosus"/>
    <s v="U"/>
    <x v="0"/>
    <n v="8"/>
    <n v="11.81"/>
    <x v="6"/>
    <s v="335-76-2"/>
    <x v="6"/>
    <n v="5"/>
  </r>
  <r>
    <s v="PU036-JBA-08162021"/>
    <s v="Spill"/>
    <x v="1"/>
    <s v="Pumpkinseed"/>
    <s v="Lepomis"/>
    <s v="gibbosus"/>
    <s v="U"/>
    <x v="0"/>
    <n v="8"/>
    <n v="11.81"/>
    <x v="7"/>
    <s v="2058-94-8"/>
    <x v="7"/>
    <n v="5.09"/>
  </r>
  <r>
    <s v="PU036-JBA-08162021"/>
    <s v="Spill"/>
    <x v="1"/>
    <s v="Pumpkinseed"/>
    <s v="Lepomis"/>
    <s v="gibbosus"/>
    <s v="U"/>
    <x v="0"/>
    <n v="8"/>
    <n v="11.81"/>
    <x v="8"/>
    <s v="307-55-1"/>
    <x v="8"/>
    <n v="7.32"/>
  </r>
  <r>
    <s v="PU036-JBA-08162021"/>
    <s v="Spill"/>
    <x v="1"/>
    <s v="Pumpkinseed"/>
    <s v="Lepomis"/>
    <s v="gibbosus"/>
    <s v="U"/>
    <x v="0"/>
    <n v="8"/>
    <n v="11.81"/>
    <x v="9"/>
    <s v="72629-94-8"/>
    <x v="9"/>
    <n v="1.72"/>
  </r>
  <r>
    <s v="PU036-JBA-08162021"/>
    <s v="Spill"/>
    <x v="1"/>
    <s v="Pumpkinseed"/>
    <s v="Lepomis"/>
    <s v="gibbosus"/>
    <s v="U"/>
    <x v="0"/>
    <n v="8"/>
    <n v="11.81"/>
    <x v="10"/>
    <s v="376-06-7"/>
    <x v="10"/>
    <n v="5.7"/>
  </r>
  <r>
    <s v="PU036-JBA-08162021"/>
    <s v="Spill"/>
    <x v="1"/>
    <s v="Pumpkinseed"/>
    <s v="Lepomis"/>
    <s v="gibbosus"/>
    <s v="U"/>
    <x v="0"/>
    <n v="8"/>
    <n v="11.81"/>
    <x v="11"/>
    <s v="67905-19-5"/>
    <x v="11"/>
    <n v="8.0500000000000002E-2"/>
  </r>
  <r>
    <s v="PU036-JBA-08162021"/>
    <s v="Spill"/>
    <x v="1"/>
    <s v="Pumpkinseed"/>
    <s v="Lepomis"/>
    <s v="gibbosus"/>
    <s v="U"/>
    <x v="0"/>
    <n v="8"/>
    <n v="11.81"/>
    <x v="12"/>
    <s v="423-41-6"/>
    <x v="12"/>
    <n v="5.1499999999999997E-2"/>
  </r>
  <r>
    <s v="PU036-JBA-08162021"/>
    <s v="Spill"/>
    <x v="1"/>
    <s v="Pumpkinseed"/>
    <s v="Lepomis"/>
    <s v="gibbosus"/>
    <s v="U"/>
    <x v="0"/>
    <n v="8"/>
    <n v="11.81"/>
    <x v="13"/>
    <s v="375-73-5"/>
    <x v="13"/>
    <n v="0.1515"/>
  </r>
  <r>
    <s v="PU036-JBA-08162021"/>
    <s v="Spill"/>
    <x v="1"/>
    <s v="Pumpkinseed"/>
    <s v="Lepomis"/>
    <s v="gibbosus"/>
    <s v="U"/>
    <x v="0"/>
    <n v="8"/>
    <n v="11.81"/>
    <x v="14"/>
    <s v="2706-91-4"/>
    <x v="14"/>
    <n v="0.11799999999999999"/>
  </r>
  <r>
    <s v="PU036-JBA-08162021"/>
    <s v="Spill"/>
    <x v="1"/>
    <s v="Pumpkinseed"/>
    <s v="Lepomis"/>
    <s v="gibbosus"/>
    <s v="U"/>
    <x v="0"/>
    <n v="8"/>
    <n v="11.81"/>
    <x v="15"/>
    <s v="355-46-4"/>
    <x v="15"/>
    <n v="12.5"/>
  </r>
  <r>
    <s v="PU036-JBA-08162021"/>
    <s v="Spill"/>
    <x v="1"/>
    <s v="Pumpkinseed"/>
    <s v="Lepomis"/>
    <s v="gibbosus"/>
    <s v="U"/>
    <x v="0"/>
    <n v="8"/>
    <n v="11.81"/>
    <x v="16"/>
    <s v="375-92-8"/>
    <x v="16"/>
    <n v="1.67"/>
  </r>
  <r>
    <s v="PU036-JBA-08162021"/>
    <s v="Spill"/>
    <x v="1"/>
    <s v="Pumpkinseed"/>
    <s v="Lepomis"/>
    <s v="gibbosus"/>
    <s v="U"/>
    <x v="0"/>
    <n v="8"/>
    <n v="11.81"/>
    <x v="17"/>
    <s v="1763-23-1"/>
    <x v="17"/>
    <n v="1290"/>
  </r>
  <r>
    <s v="PU036-JBA-08162021"/>
    <s v="Spill"/>
    <x v="1"/>
    <s v="Pumpkinseed"/>
    <s v="Lepomis"/>
    <s v="gibbosus"/>
    <s v="U"/>
    <x v="0"/>
    <n v="8"/>
    <n v="11.81"/>
    <x v="18"/>
    <s v="68259-12-1"/>
    <x v="18"/>
    <n v="1.58"/>
  </r>
  <r>
    <s v="PU036-JBA-08162021"/>
    <s v="Spill"/>
    <x v="1"/>
    <s v="Pumpkinseed"/>
    <s v="Lepomis"/>
    <s v="gibbosus"/>
    <s v="U"/>
    <x v="0"/>
    <n v="8"/>
    <n v="11.81"/>
    <x v="19"/>
    <s v="335-77-3"/>
    <x v="19"/>
    <n v="1.1000000000000001"/>
  </r>
  <r>
    <s v="PU036-JBA-08162021"/>
    <s v="Spill"/>
    <x v="1"/>
    <s v="Pumpkinseed"/>
    <s v="Lepomis"/>
    <s v="gibbosus"/>
    <s v="U"/>
    <x v="0"/>
    <n v="8"/>
    <n v="11.81"/>
    <x v="20"/>
    <s v="79780-39-5"/>
    <x v="20"/>
    <n v="0.23849999999999999"/>
  </r>
  <r>
    <s v="PU036-JBA-08162021"/>
    <s v="Spill"/>
    <x v="1"/>
    <s v="Pumpkinseed"/>
    <s v="Lepomis"/>
    <s v="gibbosus"/>
    <s v="U"/>
    <x v="0"/>
    <n v="8"/>
    <n v="11.81"/>
    <x v="21"/>
    <s v="777011-38-8"/>
    <x v="21"/>
    <n v="0.13550000000000001"/>
  </r>
  <r>
    <s v="PU036-JBA-08162021"/>
    <s v="Spill"/>
    <x v="1"/>
    <s v="Pumpkinseed"/>
    <s v="Lepomis"/>
    <s v="gibbosus"/>
    <s v="U"/>
    <x v="0"/>
    <n v="8"/>
    <n v="11.81"/>
    <x v="22"/>
    <s v="646-83-3"/>
    <x v="22"/>
    <n v="0.183"/>
  </r>
  <r>
    <s v="PU036-JBA-08162021"/>
    <s v="Spill"/>
    <x v="1"/>
    <s v="Pumpkinseed"/>
    <s v="Lepomis"/>
    <s v="gibbosus"/>
    <s v="U"/>
    <x v="0"/>
    <n v="8"/>
    <n v="11.81"/>
    <x v="23"/>
    <s v="30334-69-1"/>
    <x v="23"/>
    <n v="25.8"/>
  </r>
  <r>
    <s v="PU036-JBA-08162021"/>
    <s v="Spill"/>
    <x v="1"/>
    <s v="Pumpkinseed"/>
    <s v="Lepomis"/>
    <s v="gibbosus"/>
    <s v="U"/>
    <x v="0"/>
    <n v="8"/>
    <n v="11.81"/>
    <x v="24"/>
    <s v="41997-13-1"/>
    <x v="24"/>
    <n v="82.7"/>
  </r>
  <r>
    <s v="PU036-JBA-08162021"/>
    <s v="Spill"/>
    <x v="1"/>
    <s v="Pumpkinseed"/>
    <s v="Lepomis"/>
    <s v="gibbosus"/>
    <s v="U"/>
    <x v="0"/>
    <n v="8"/>
    <n v="11.81"/>
    <x v="25"/>
    <s v="754-91-6"/>
    <x v="25"/>
    <n v="12.2"/>
  </r>
  <r>
    <s v="PU036-JBA-08162021"/>
    <s v="Spill"/>
    <x v="1"/>
    <s v="Pumpkinseed"/>
    <s v="Lepomis"/>
    <s v="gibbosus"/>
    <s v="U"/>
    <x v="0"/>
    <n v="8"/>
    <n v="11.81"/>
    <x v="26"/>
    <s v="31506-32-8"/>
    <x v="26"/>
    <n v="5.1999999999999998E-2"/>
  </r>
  <r>
    <s v="PU036-JBA-08162021"/>
    <s v="Spill"/>
    <x v="1"/>
    <s v="Pumpkinseed"/>
    <s v="Lepomis"/>
    <s v="gibbosus"/>
    <s v="U"/>
    <x v="0"/>
    <n v="8"/>
    <n v="11.81"/>
    <x v="27"/>
    <s v="4151-50-2"/>
    <x v="27"/>
    <n v="7.9000000000000001E-2"/>
  </r>
  <r>
    <s v="PU036-JBA-08162021"/>
    <s v="Spill"/>
    <x v="1"/>
    <s v="Pumpkinseed"/>
    <s v="Lepomis"/>
    <s v="gibbosus"/>
    <s v="U"/>
    <x v="0"/>
    <n v="8"/>
    <n v="11.81"/>
    <x v="28"/>
    <s v="2806-24-8"/>
    <x v="28"/>
    <n v="5.2999999999999999E-2"/>
  </r>
  <r>
    <s v="PU036-JBA-08162021"/>
    <s v="Spill"/>
    <x v="1"/>
    <s v="Pumpkinseed"/>
    <s v="Lepomis"/>
    <s v="gibbosus"/>
    <s v="U"/>
    <x v="0"/>
    <n v="8"/>
    <n v="11.81"/>
    <x v="29"/>
    <s v="2355-31-9"/>
    <x v="29"/>
    <n v="0.47199999999999998"/>
  </r>
  <r>
    <s v="PU036-JBA-08162021"/>
    <s v="Spill"/>
    <x v="1"/>
    <s v="Pumpkinseed"/>
    <s v="Lepomis"/>
    <s v="gibbosus"/>
    <s v="U"/>
    <x v="0"/>
    <n v="8"/>
    <n v="11.81"/>
    <x v="30"/>
    <s v="2991-50-6"/>
    <x v="30"/>
    <n v="5.8500000000000003E-2"/>
  </r>
  <r>
    <s v="PU036-JBA-08162021"/>
    <s v="Spill"/>
    <x v="1"/>
    <s v="Pumpkinseed"/>
    <s v="Lepomis"/>
    <s v="gibbosus"/>
    <s v="U"/>
    <x v="0"/>
    <n v="8"/>
    <n v="11.81"/>
    <x v="31"/>
    <s v="757124-72-4"/>
    <x v="31"/>
    <n v="5.5500000000000001E-2"/>
  </r>
  <r>
    <s v="PU036-JBA-08162021"/>
    <s v="Spill"/>
    <x v="1"/>
    <s v="Pumpkinseed"/>
    <s v="Lepomis"/>
    <s v="gibbosus"/>
    <s v="U"/>
    <x v="0"/>
    <n v="8"/>
    <n v="11.81"/>
    <x v="32"/>
    <s v="27619-97-2"/>
    <x v="32"/>
    <n v="0.13450000000000001"/>
  </r>
  <r>
    <s v="PU036-JBA-08162021"/>
    <s v="Spill"/>
    <x v="1"/>
    <s v="Pumpkinseed"/>
    <s v="Lepomis"/>
    <s v="gibbosus"/>
    <s v="U"/>
    <x v="0"/>
    <n v="8"/>
    <n v="11.81"/>
    <x v="33"/>
    <s v="39108-34-4"/>
    <x v="33"/>
    <n v="3.9"/>
  </r>
  <r>
    <s v="PU036-JBA-08162021"/>
    <s v="Spill"/>
    <x v="1"/>
    <s v="Pumpkinseed"/>
    <s v="Lepomis"/>
    <s v="gibbosus"/>
    <s v="U"/>
    <x v="0"/>
    <n v="8"/>
    <n v="11.81"/>
    <x v="34"/>
    <s v="120226-60-0"/>
    <x v="34"/>
    <n v="0.253"/>
  </r>
  <r>
    <s v="PU036-JBA-08162021"/>
    <s v="Spill"/>
    <x v="1"/>
    <s v="Pumpkinseed"/>
    <s v="Lepomis"/>
    <s v="gibbosus"/>
    <s v="U"/>
    <x v="0"/>
    <n v="8"/>
    <n v="11.81"/>
    <x v="35"/>
    <s v="356-02-5"/>
    <x v="35"/>
    <n v="7.8E-2"/>
  </r>
  <r>
    <s v="PU036-JBA-08162021"/>
    <s v="Spill"/>
    <x v="1"/>
    <s v="Pumpkinseed"/>
    <s v="Lepomis"/>
    <s v="gibbosus"/>
    <s v="U"/>
    <x v="0"/>
    <n v="8"/>
    <n v="11.81"/>
    <x v="36"/>
    <s v="914637-49-3"/>
    <x v="36"/>
    <n v="0.223"/>
  </r>
  <r>
    <s v="PU036-JBA-08162021"/>
    <s v="Spill"/>
    <x v="1"/>
    <s v="Pumpkinseed"/>
    <s v="Lepomis"/>
    <s v="gibbosus"/>
    <s v="U"/>
    <x v="0"/>
    <n v="8"/>
    <n v="11.81"/>
    <x v="37"/>
    <s v="812-70-4"/>
    <x v="37"/>
    <n v="1.5"/>
  </r>
  <r>
    <s v="PU036-JBA-08162021"/>
    <s v="Spill"/>
    <x v="1"/>
    <s v="Pumpkinseed"/>
    <s v="Lepomis"/>
    <s v="gibbosus"/>
    <s v="U"/>
    <x v="0"/>
    <n v="8"/>
    <n v="11.81"/>
    <x v="38"/>
    <s v="53826-12-3"/>
    <x v="38"/>
    <n v="6.7500000000000004E-2"/>
  </r>
  <r>
    <s v="PU036-JBA-08162021"/>
    <s v="Spill"/>
    <x v="1"/>
    <s v="Pumpkinseed"/>
    <s v="Lepomis"/>
    <s v="gibbosus"/>
    <s v="U"/>
    <x v="0"/>
    <n v="8"/>
    <n v="11.81"/>
    <x v="39"/>
    <s v="27854-31-5"/>
    <x v="39"/>
    <n v="0.223"/>
  </r>
  <r>
    <s v="PU036-JBA-08162021"/>
    <s v="Spill"/>
    <x v="1"/>
    <s v="Pumpkinseed"/>
    <s v="Lepomis"/>
    <s v="gibbosus"/>
    <s v="U"/>
    <x v="0"/>
    <n v="8"/>
    <n v="11.81"/>
    <x v="40"/>
    <s v="53826-13-4"/>
    <x v="40"/>
    <n v="0.33250000000000002"/>
  </r>
  <r>
    <s v="PU036-JBA-08162021"/>
    <s v="Spill"/>
    <x v="1"/>
    <s v="Pumpkinseed"/>
    <s v="Lepomis"/>
    <s v="gibbosus"/>
    <s v="U"/>
    <x v="0"/>
    <n v="8"/>
    <n v="11.81"/>
    <x v="41"/>
    <s v="161094-75-3"/>
    <x v="41"/>
    <n v="5.2999999999999999E-2"/>
  </r>
  <r>
    <s v="PU036-JBA-08162021"/>
    <s v="Spill"/>
    <x v="1"/>
    <s v="Pumpkinseed"/>
    <s v="Lepomis"/>
    <s v="gibbosus"/>
    <s v="U"/>
    <x v="0"/>
    <n v="8"/>
    <n v="11.81"/>
    <x v="42"/>
    <s v="70887-84-2"/>
    <x v="42"/>
    <n v="4.0750000000000001E-2"/>
  </r>
  <r>
    <s v="PU036-JBA-08162021"/>
    <s v="Spill"/>
    <x v="1"/>
    <s v="Pumpkinseed"/>
    <s v="Lepomis"/>
    <s v="gibbosus"/>
    <s v="U"/>
    <x v="0"/>
    <n v="8"/>
    <n v="11.81"/>
    <x v="43"/>
    <s v="919005-14-4"/>
    <x v="43"/>
    <n v="6.7500000000000004E-2"/>
  </r>
  <r>
    <s v="PU036-JBA-08162021"/>
    <s v="Spill"/>
    <x v="1"/>
    <s v="Pumpkinseed"/>
    <s v="Lepomis"/>
    <s v="gibbosus"/>
    <s v="U"/>
    <x v="0"/>
    <n v="8"/>
    <n v="11.81"/>
    <x v="44"/>
    <s v="756426-58-1"/>
    <x v="44"/>
    <n v="6.7500000000000004E-2"/>
  </r>
  <r>
    <s v="PU036-JBA-08162021"/>
    <s v="Spill"/>
    <x v="1"/>
    <s v="Pumpkinseed"/>
    <s v="Lepomis"/>
    <s v="gibbosus"/>
    <s v="U"/>
    <x v="0"/>
    <n v="8"/>
    <n v="11.81"/>
    <x v="45"/>
    <s v="763051-92-9"/>
    <x v="45"/>
    <n v="6.7500000000000004E-2"/>
  </r>
  <r>
    <s v="PU036-JBA-08162021"/>
    <s v="Spill"/>
    <x v="1"/>
    <s v="Pumpkinseed"/>
    <s v="Lepomis"/>
    <s v="gibbosus"/>
    <s v="U"/>
    <x v="0"/>
    <n v="8"/>
    <n v="11.81"/>
    <x v="46"/>
    <s v="13252-13-6"/>
    <x v="46"/>
    <n v="9.7000000000000003E-2"/>
  </r>
  <r>
    <s v="PU036-JBA-08162021"/>
    <s v="Spill"/>
    <x v="1"/>
    <s v="Pumpkinseed"/>
    <s v="Lepomis"/>
    <s v="gibbosus"/>
    <s v="U"/>
    <x v="0"/>
    <n v="8"/>
    <n v="11.81"/>
    <x v="47"/>
    <s v="57677-95-9"/>
    <x v="47"/>
    <n v="7.1999999999999995E-2"/>
  </r>
  <r>
    <s v="PU036-JBA-08162021"/>
    <s v="Spill"/>
    <x v="1"/>
    <s v="Pumpkinseed"/>
    <s v="Lepomis"/>
    <s v="gibbosus"/>
    <s v="U"/>
    <x v="0"/>
    <n v="8"/>
    <n v="11.81"/>
    <x v="48"/>
    <s v="678-41-1"/>
    <x v="48"/>
    <n v="8.9499999999999996E-2"/>
  </r>
  <r>
    <s v="PU036-JBA-08162021"/>
    <s v="Spill"/>
    <x v="1"/>
    <s v="Pumpkinseed"/>
    <s v="Lepomis"/>
    <s v="gibbosus"/>
    <s v="U"/>
    <x v="0"/>
    <n v="8"/>
    <n v="11.81"/>
    <x v="49"/>
    <s v="2965-52-8"/>
    <x v="49"/>
    <n v="0.11899999999999999"/>
  </r>
  <r>
    <s v="PU037-JBA-08162021"/>
    <s v="Spill"/>
    <x v="1"/>
    <s v="Pumpkinseed"/>
    <s v="Lepomis"/>
    <s v="gibbosus"/>
    <s v="U"/>
    <x v="0"/>
    <n v="8"/>
    <n v="11.81"/>
    <x v="0"/>
    <s v="375-22-4"/>
    <x v="0"/>
    <n v="0.22550000000000001"/>
  </r>
  <r>
    <s v="PU037-JBA-08162021"/>
    <s v="Spill"/>
    <x v="1"/>
    <s v="Pumpkinseed"/>
    <s v="Lepomis"/>
    <s v="gibbosus"/>
    <s v="U"/>
    <x v="0"/>
    <n v="8"/>
    <n v="11.81"/>
    <x v="1"/>
    <s v="2706-90-3"/>
    <x v="1"/>
    <n v="4.8349999999999997E-2"/>
  </r>
  <r>
    <s v="PU037-JBA-08162021"/>
    <s v="Spill"/>
    <x v="1"/>
    <s v="Pumpkinseed"/>
    <s v="Lepomis"/>
    <s v="gibbosus"/>
    <s v="U"/>
    <x v="0"/>
    <n v="8"/>
    <n v="11.81"/>
    <x v="2"/>
    <s v="307-24-4"/>
    <x v="2"/>
    <n v="3.6799999999999999E-2"/>
  </r>
  <r>
    <s v="PU037-JBA-08162021"/>
    <s v="Spill"/>
    <x v="1"/>
    <s v="Pumpkinseed"/>
    <s v="Lepomis"/>
    <s v="gibbosus"/>
    <s v="U"/>
    <x v="0"/>
    <n v="8"/>
    <n v="11.81"/>
    <x v="3"/>
    <s v="375-85-9"/>
    <x v="3"/>
    <n v="2.725E-2"/>
  </r>
  <r>
    <s v="PU037-JBA-08162021"/>
    <s v="Spill"/>
    <x v="1"/>
    <s v="Pumpkinseed"/>
    <s v="Lepomis"/>
    <s v="gibbosus"/>
    <s v="U"/>
    <x v="0"/>
    <n v="8"/>
    <n v="11.81"/>
    <x v="4"/>
    <s v="335-67-1"/>
    <x v="4"/>
    <n v="0.33200000000000002"/>
  </r>
  <r>
    <s v="PU037-JBA-08162021"/>
    <s v="Spill"/>
    <x v="1"/>
    <s v="Pumpkinseed"/>
    <s v="Lepomis"/>
    <s v="gibbosus"/>
    <s v="U"/>
    <x v="0"/>
    <n v="8"/>
    <n v="11.81"/>
    <x v="5"/>
    <s v="375-95-1"/>
    <x v="5"/>
    <n v="4.725E-2"/>
  </r>
  <r>
    <s v="PU037-JBA-08162021"/>
    <s v="Spill"/>
    <x v="1"/>
    <s v="Pumpkinseed"/>
    <s v="Lepomis"/>
    <s v="gibbosus"/>
    <s v="U"/>
    <x v="0"/>
    <n v="8"/>
    <n v="11.81"/>
    <x v="6"/>
    <s v="335-76-2"/>
    <x v="6"/>
    <n v="5.25"/>
  </r>
  <r>
    <s v="PU037-JBA-08162021"/>
    <s v="Spill"/>
    <x v="1"/>
    <s v="Pumpkinseed"/>
    <s v="Lepomis"/>
    <s v="gibbosus"/>
    <s v="U"/>
    <x v="0"/>
    <n v="8"/>
    <n v="11.81"/>
    <x v="7"/>
    <s v="2058-94-8"/>
    <x v="7"/>
    <n v="7.82"/>
  </r>
  <r>
    <s v="PU037-JBA-08162021"/>
    <s v="Spill"/>
    <x v="1"/>
    <s v="Pumpkinseed"/>
    <s v="Lepomis"/>
    <s v="gibbosus"/>
    <s v="U"/>
    <x v="0"/>
    <n v="8"/>
    <n v="11.81"/>
    <x v="8"/>
    <s v="307-55-1"/>
    <x v="8"/>
    <n v="23"/>
  </r>
  <r>
    <s v="PU037-JBA-08162021"/>
    <s v="Spill"/>
    <x v="1"/>
    <s v="Pumpkinseed"/>
    <s v="Lepomis"/>
    <s v="gibbosus"/>
    <s v="U"/>
    <x v="0"/>
    <n v="8"/>
    <n v="11.81"/>
    <x v="9"/>
    <s v="72629-94-8"/>
    <x v="9"/>
    <n v="5.32"/>
  </r>
  <r>
    <s v="PU037-JBA-08162021"/>
    <s v="Spill"/>
    <x v="1"/>
    <s v="Pumpkinseed"/>
    <s v="Lepomis"/>
    <s v="gibbosus"/>
    <s v="U"/>
    <x v="0"/>
    <n v="8"/>
    <n v="11.81"/>
    <x v="10"/>
    <s v="376-06-7"/>
    <x v="10"/>
    <n v="19.100000000000001"/>
  </r>
  <r>
    <s v="PU037-JBA-08162021"/>
    <s v="Spill"/>
    <x v="1"/>
    <s v="Pumpkinseed"/>
    <s v="Lepomis"/>
    <s v="gibbosus"/>
    <s v="U"/>
    <x v="0"/>
    <n v="8"/>
    <n v="11.81"/>
    <x v="11"/>
    <s v="67905-19-5"/>
    <x v="11"/>
    <n v="8.1500000000000003E-2"/>
  </r>
  <r>
    <s v="PU037-JBA-08162021"/>
    <s v="Spill"/>
    <x v="1"/>
    <s v="Pumpkinseed"/>
    <s v="Lepomis"/>
    <s v="gibbosus"/>
    <s v="U"/>
    <x v="0"/>
    <n v="8"/>
    <n v="11.81"/>
    <x v="12"/>
    <s v="423-41-6"/>
    <x v="12"/>
    <n v="5.1999999999999998E-2"/>
  </r>
  <r>
    <s v="PU037-JBA-08162021"/>
    <s v="Spill"/>
    <x v="1"/>
    <s v="Pumpkinseed"/>
    <s v="Lepomis"/>
    <s v="gibbosus"/>
    <s v="U"/>
    <x v="0"/>
    <n v="8"/>
    <n v="11.81"/>
    <x v="13"/>
    <s v="375-73-5"/>
    <x v="13"/>
    <n v="0.1535"/>
  </r>
  <r>
    <s v="PU037-JBA-08162021"/>
    <s v="Spill"/>
    <x v="1"/>
    <s v="Pumpkinseed"/>
    <s v="Lepomis"/>
    <s v="gibbosus"/>
    <s v="U"/>
    <x v="0"/>
    <n v="8"/>
    <n v="11.81"/>
    <x v="14"/>
    <s v="2706-91-4"/>
    <x v="14"/>
    <n v="0.1195"/>
  </r>
  <r>
    <s v="PU037-JBA-08162021"/>
    <s v="Spill"/>
    <x v="1"/>
    <s v="Pumpkinseed"/>
    <s v="Lepomis"/>
    <s v="gibbosus"/>
    <s v="U"/>
    <x v="0"/>
    <n v="8"/>
    <n v="11.81"/>
    <x v="15"/>
    <s v="355-46-4"/>
    <x v="15"/>
    <n v="8.32"/>
  </r>
  <r>
    <s v="PU037-JBA-08162021"/>
    <s v="Spill"/>
    <x v="1"/>
    <s v="Pumpkinseed"/>
    <s v="Lepomis"/>
    <s v="gibbosus"/>
    <s v="U"/>
    <x v="0"/>
    <n v="8"/>
    <n v="11.81"/>
    <x v="16"/>
    <s v="375-92-8"/>
    <x v="16"/>
    <n v="0.71"/>
  </r>
  <r>
    <s v="PU037-JBA-08162021"/>
    <s v="Spill"/>
    <x v="1"/>
    <s v="Pumpkinseed"/>
    <s v="Lepomis"/>
    <s v="gibbosus"/>
    <s v="U"/>
    <x v="0"/>
    <n v="8"/>
    <n v="11.81"/>
    <x v="17"/>
    <s v="1763-23-1"/>
    <x v="17"/>
    <n v="1530"/>
  </r>
  <r>
    <s v="PU037-JBA-08162021"/>
    <s v="Spill"/>
    <x v="1"/>
    <s v="Pumpkinseed"/>
    <s v="Lepomis"/>
    <s v="gibbosus"/>
    <s v="U"/>
    <x v="0"/>
    <n v="8"/>
    <n v="11.81"/>
    <x v="18"/>
    <s v="68259-12-1"/>
    <x v="18"/>
    <n v="1.58"/>
  </r>
  <r>
    <s v="PU037-JBA-08162021"/>
    <s v="Spill"/>
    <x v="1"/>
    <s v="Pumpkinseed"/>
    <s v="Lepomis"/>
    <s v="gibbosus"/>
    <s v="U"/>
    <x v="0"/>
    <n v="8"/>
    <n v="11.81"/>
    <x v="19"/>
    <s v="335-77-3"/>
    <x v="19"/>
    <n v="1.71"/>
  </r>
  <r>
    <s v="PU037-JBA-08162021"/>
    <s v="Spill"/>
    <x v="1"/>
    <s v="Pumpkinseed"/>
    <s v="Lepomis"/>
    <s v="gibbosus"/>
    <s v="U"/>
    <x v="0"/>
    <n v="8"/>
    <n v="11.81"/>
    <x v="20"/>
    <s v="79780-39-5"/>
    <x v="20"/>
    <n v="0.99399999999999999"/>
  </r>
  <r>
    <s v="PU037-JBA-08162021"/>
    <s v="Spill"/>
    <x v="1"/>
    <s v="Pumpkinseed"/>
    <s v="Lepomis"/>
    <s v="gibbosus"/>
    <s v="U"/>
    <x v="0"/>
    <n v="8"/>
    <n v="11.81"/>
    <x v="21"/>
    <s v="777011-38-8"/>
    <x v="21"/>
    <n v="0.13700000000000001"/>
  </r>
  <r>
    <s v="PU037-JBA-08162021"/>
    <s v="Spill"/>
    <x v="1"/>
    <s v="Pumpkinseed"/>
    <s v="Lepomis"/>
    <s v="gibbosus"/>
    <s v="U"/>
    <x v="0"/>
    <n v="8"/>
    <n v="11.81"/>
    <x v="22"/>
    <s v="646-83-3"/>
    <x v="22"/>
    <n v="0.09"/>
  </r>
  <r>
    <s v="PU037-JBA-08162021"/>
    <s v="Spill"/>
    <x v="1"/>
    <s v="Pumpkinseed"/>
    <s v="Lepomis"/>
    <s v="gibbosus"/>
    <s v="U"/>
    <x v="0"/>
    <n v="8"/>
    <n v="11.81"/>
    <x v="23"/>
    <s v="30334-69-1"/>
    <x v="23"/>
    <n v="33.4"/>
  </r>
  <r>
    <s v="PU037-JBA-08162021"/>
    <s v="Spill"/>
    <x v="1"/>
    <s v="Pumpkinseed"/>
    <s v="Lepomis"/>
    <s v="gibbosus"/>
    <s v="U"/>
    <x v="0"/>
    <n v="8"/>
    <n v="11.81"/>
    <x v="24"/>
    <s v="41997-13-1"/>
    <x v="24"/>
    <n v="35.200000000000003"/>
  </r>
  <r>
    <s v="PU037-JBA-08162021"/>
    <s v="Spill"/>
    <x v="1"/>
    <s v="Pumpkinseed"/>
    <s v="Lepomis"/>
    <s v="gibbosus"/>
    <s v="U"/>
    <x v="0"/>
    <n v="8"/>
    <n v="11.81"/>
    <x v="25"/>
    <s v="754-91-6"/>
    <x v="25"/>
    <n v="10"/>
  </r>
  <r>
    <s v="PU037-JBA-08162021"/>
    <s v="Spill"/>
    <x v="1"/>
    <s v="Pumpkinseed"/>
    <s v="Lepomis"/>
    <s v="gibbosus"/>
    <s v="U"/>
    <x v="0"/>
    <n v="8"/>
    <n v="11.81"/>
    <x v="26"/>
    <s v="31506-32-8"/>
    <x v="26"/>
    <n v="5.2499999999999998E-2"/>
  </r>
  <r>
    <s v="PU037-JBA-08162021"/>
    <s v="Spill"/>
    <x v="1"/>
    <s v="Pumpkinseed"/>
    <s v="Lepomis"/>
    <s v="gibbosus"/>
    <s v="U"/>
    <x v="0"/>
    <n v="8"/>
    <n v="11.81"/>
    <x v="27"/>
    <s v="4151-50-2"/>
    <x v="27"/>
    <n v="7.9500000000000001E-2"/>
  </r>
  <r>
    <s v="PU037-JBA-08162021"/>
    <s v="Spill"/>
    <x v="1"/>
    <s v="Pumpkinseed"/>
    <s v="Lepomis"/>
    <s v="gibbosus"/>
    <s v="U"/>
    <x v="0"/>
    <n v="8"/>
    <n v="11.81"/>
    <x v="28"/>
    <s v="2806-24-8"/>
    <x v="28"/>
    <n v="5.3999999999999999E-2"/>
  </r>
  <r>
    <s v="PU037-JBA-08162021"/>
    <s v="Spill"/>
    <x v="1"/>
    <s v="Pumpkinseed"/>
    <s v="Lepomis"/>
    <s v="gibbosus"/>
    <s v="U"/>
    <x v="0"/>
    <n v="8"/>
    <n v="11.81"/>
    <x v="29"/>
    <s v="2355-31-9"/>
    <x v="29"/>
    <n v="0.90200000000000002"/>
  </r>
  <r>
    <s v="PU037-JBA-08162021"/>
    <s v="Spill"/>
    <x v="1"/>
    <s v="Pumpkinseed"/>
    <s v="Lepomis"/>
    <s v="gibbosus"/>
    <s v="U"/>
    <x v="0"/>
    <n v="8"/>
    <n v="11.81"/>
    <x v="30"/>
    <s v="2991-50-6"/>
    <x v="30"/>
    <n v="5.8999999999999997E-2"/>
  </r>
  <r>
    <s v="PU037-JBA-08162021"/>
    <s v="Spill"/>
    <x v="1"/>
    <s v="Pumpkinseed"/>
    <s v="Lepomis"/>
    <s v="gibbosus"/>
    <s v="U"/>
    <x v="0"/>
    <n v="8"/>
    <n v="11.81"/>
    <x v="31"/>
    <s v="757124-72-4"/>
    <x v="31"/>
    <n v="5.6000000000000001E-2"/>
  </r>
  <r>
    <s v="PU037-JBA-08162021"/>
    <s v="Spill"/>
    <x v="1"/>
    <s v="Pumpkinseed"/>
    <s v="Lepomis"/>
    <s v="gibbosus"/>
    <s v="U"/>
    <x v="0"/>
    <n v="8"/>
    <n v="11.81"/>
    <x v="32"/>
    <s v="27619-97-2"/>
    <x v="32"/>
    <n v="4.1200000000000001E-2"/>
  </r>
  <r>
    <s v="PU037-JBA-08162021"/>
    <s v="Spill"/>
    <x v="1"/>
    <s v="Pumpkinseed"/>
    <s v="Lepomis"/>
    <s v="gibbosus"/>
    <s v="U"/>
    <x v="0"/>
    <n v="8"/>
    <n v="11.81"/>
    <x v="33"/>
    <s v="39108-34-4"/>
    <x v="33"/>
    <n v="2.5"/>
  </r>
  <r>
    <s v="PU037-JBA-08162021"/>
    <s v="Spill"/>
    <x v="1"/>
    <s v="Pumpkinseed"/>
    <s v="Lepomis"/>
    <s v="gibbosus"/>
    <s v="U"/>
    <x v="0"/>
    <n v="8"/>
    <n v="11.81"/>
    <x v="34"/>
    <s v="120226-60-0"/>
    <x v="34"/>
    <n v="0.25600000000000001"/>
  </r>
  <r>
    <s v="PU037-JBA-08162021"/>
    <s v="Spill"/>
    <x v="1"/>
    <s v="Pumpkinseed"/>
    <s v="Lepomis"/>
    <s v="gibbosus"/>
    <s v="U"/>
    <x v="0"/>
    <n v="8"/>
    <n v="11.81"/>
    <x v="35"/>
    <s v="356-02-5"/>
    <x v="35"/>
    <n v="7.9000000000000001E-2"/>
  </r>
  <r>
    <s v="PU037-JBA-08162021"/>
    <s v="Spill"/>
    <x v="1"/>
    <s v="Pumpkinseed"/>
    <s v="Lepomis"/>
    <s v="gibbosus"/>
    <s v="U"/>
    <x v="0"/>
    <n v="8"/>
    <n v="11.81"/>
    <x v="36"/>
    <s v="914637-49-3"/>
    <x v="36"/>
    <n v="10.5"/>
  </r>
  <r>
    <s v="PU037-JBA-08162021"/>
    <s v="Spill"/>
    <x v="1"/>
    <s v="Pumpkinseed"/>
    <s v="Lepomis"/>
    <s v="gibbosus"/>
    <s v="U"/>
    <x v="0"/>
    <n v="8"/>
    <n v="11.81"/>
    <x v="37"/>
    <s v="812-70-4"/>
    <x v="37"/>
    <n v="52.1"/>
  </r>
  <r>
    <s v="PU037-JBA-08162021"/>
    <s v="Spill"/>
    <x v="1"/>
    <s v="Pumpkinseed"/>
    <s v="Lepomis"/>
    <s v="gibbosus"/>
    <s v="U"/>
    <x v="0"/>
    <n v="8"/>
    <n v="11.81"/>
    <x v="38"/>
    <s v="53826-12-3"/>
    <x v="38"/>
    <n v="6.8500000000000005E-2"/>
  </r>
  <r>
    <s v="PU037-JBA-08162021"/>
    <s v="Spill"/>
    <x v="1"/>
    <s v="Pumpkinseed"/>
    <s v="Lepomis"/>
    <s v="gibbosus"/>
    <s v="U"/>
    <x v="0"/>
    <n v="8"/>
    <n v="11.81"/>
    <x v="39"/>
    <s v="27854-31-5"/>
    <x v="39"/>
    <n v="2.09"/>
  </r>
  <r>
    <s v="PU037-JBA-08162021"/>
    <s v="Spill"/>
    <x v="1"/>
    <s v="Pumpkinseed"/>
    <s v="Lepomis"/>
    <s v="gibbosus"/>
    <s v="U"/>
    <x v="0"/>
    <n v="8"/>
    <n v="11.81"/>
    <x v="40"/>
    <s v="53826-13-4"/>
    <x v="40"/>
    <n v="0.10199999999999999"/>
  </r>
  <r>
    <s v="PU037-JBA-08162021"/>
    <s v="Spill"/>
    <x v="1"/>
    <s v="Pumpkinseed"/>
    <s v="Lepomis"/>
    <s v="gibbosus"/>
    <s v="U"/>
    <x v="0"/>
    <n v="8"/>
    <n v="11.81"/>
    <x v="41"/>
    <s v="161094-75-3"/>
    <x v="41"/>
    <n v="5.3499999999999999E-2"/>
  </r>
  <r>
    <s v="PU037-JBA-08162021"/>
    <s v="Spill"/>
    <x v="1"/>
    <s v="Pumpkinseed"/>
    <s v="Lepomis"/>
    <s v="gibbosus"/>
    <s v="U"/>
    <x v="0"/>
    <n v="8"/>
    <n v="11.81"/>
    <x v="42"/>
    <s v="70887-84-2"/>
    <x v="42"/>
    <n v="4.1200000000000001E-2"/>
  </r>
  <r>
    <s v="PU037-JBA-08162021"/>
    <s v="Spill"/>
    <x v="1"/>
    <s v="Pumpkinseed"/>
    <s v="Lepomis"/>
    <s v="gibbosus"/>
    <s v="U"/>
    <x v="0"/>
    <n v="8"/>
    <n v="11.81"/>
    <x v="43"/>
    <s v="919005-14-4"/>
    <x v="43"/>
    <n v="6.8500000000000005E-2"/>
  </r>
  <r>
    <s v="PU037-JBA-08162021"/>
    <s v="Spill"/>
    <x v="1"/>
    <s v="Pumpkinseed"/>
    <s v="Lepomis"/>
    <s v="gibbosus"/>
    <s v="U"/>
    <x v="0"/>
    <n v="8"/>
    <n v="11.81"/>
    <x v="44"/>
    <s v="756426-58-1"/>
    <x v="44"/>
    <n v="6.8500000000000005E-2"/>
  </r>
  <r>
    <s v="PU037-JBA-08162021"/>
    <s v="Spill"/>
    <x v="1"/>
    <s v="Pumpkinseed"/>
    <s v="Lepomis"/>
    <s v="gibbosus"/>
    <s v="U"/>
    <x v="0"/>
    <n v="8"/>
    <n v="11.81"/>
    <x v="45"/>
    <s v="763051-92-9"/>
    <x v="45"/>
    <n v="6.8500000000000005E-2"/>
  </r>
  <r>
    <s v="PU037-JBA-08162021"/>
    <s v="Spill"/>
    <x v="1"/>
    <s v="Pumpkinseed"/>
    <s v="Lepomis"/>
    <s v="gibbosus"/>
    <s v="U"/>
    <x v="0"/>
    <n v="8"/>
    <n v="11.81"/>
    <x v="46"/>
    <s v="13252-13-6"/>
    <x v="46"/>
    <n v="9.8000000000000004E-2"/>
  </r>
  <r>
    <s v="PU037-JBA-08162021"/>
    <s v="Spill"/>
    <x v="1"/>
    <s v="Pumpkinseed"/>
    <s v="Lepomis"/>
    <s v="gibbosus"/>
    <s v="U"/>
    <x v="0"/>
    <n v="8"/>
    <n v="11.81"/>
    <x v="47"/>
    <s v="57677-95-9"/>
    <x v="47"/>
    <n v="7.2499999999999995E-2"/>
  </r>
  <r>
    <s v="PU037-JBA-08162021"/>
    <s v="Spill"/>
    <x v="1"/>
    <s v="Pumpkinseed"/>
    <s v="Lepomis"/>
    <s v="gibbosus"/>
    <s v="U"/>
    <x v="0"/>
    <n v="8"/>
    <n v="11.81"/>
    <x v="48"/>
    <s v="678-41-1"/>
    <x v="48"/>
    <n v="9.0499999999999997E-2"/>
  </r>
  <r>
    <s v="PU037-JBA-08162021"/>
    <s v="Spill"/>
    <x v="1"/>
    <s v="Pumpkinseed"/>
    <s v="Lepomis"/>
    <s v="gibbosus"/>
    <s v="U"/>
    <x v="0"/>
    <n v="8"/>
    <n v="11.81"/>
    <x v="49"/>
    <s v="2965-52-8"/>
    <x v="49"/>
    <n v="0.12"/>
  </r>
  <r>
    <s v="PU038-JBA-08162021"/>
    <s v="Spill"/>
    <x v="1"/>
    <s v="Pumpkinseed"/>
    <s v="Lepomis"/>
    <s v="gibbosus"/>
    <s v="U"/>
    <x v="0"/>
    <n v="8"/>
    <n v="11.81"/>
    <x v="0"/>
    <s v="375-22-4"/>
    <x v="0"/>
    <n v="0.219"/>
  </r>
  <r>
    <s v="PU038-JBA-08162021"/>
    <s v="Spill"/>
    <x v="1"/>
    <s v="Pumpkinseed"/>
    <s v="Lepomis"/>
    <s v="gibbosus"/>
    <s v="U"/>
    <x v="0"/>
    <n v="8"/>
    <n v="11.81"/>
    <x v="1"/>
    <s v="2706-90-3"/>
    <x v="1"/>
    <n v="4.6949999999999999E-2"/>
  </r>
  <r>
    <s v="PU038-JBA-08162021"/>
    <s v="Spill"/>
    <x v="1"/>
    <s v="Pumpkinseed"/>
    <s v="Lepomis"/>
    <s v="gibbosus"/>
    <s v="U"/>
    <x v="0"/>
    <n v="8"/>
    <n v="11.81"/>
    <x v="2"/>
    <s v="307-24-4"/>
    <x v="2"/>
    <n v="3.5749999999999997E-2"/>
  </r>
  <r>
    <s v="PU038-JBA-08162021"/>
    <s v="Spill"/>
    <x v="1"/>
    <s v="Pumpkinseed"/>
    <s v="Lepomis"/>
    <s v="gibbosus"/>
    <s v="U"/>
    <x v="0"/>
    <n v="8"/>
    <n v="11.81"/>
    <x v="3"/>
    <s v="375-85-9"/>
    <x v="3"/>
    <n v="8.7499999999999994E-2"/>
  </r>
  <r>
    <s v="PU038-JBA-08162021"/>
    <s v="Spill"/>
    <x v="1"/>
    <s v="Pumpkinseed"/>
    <s v="Lepomis"/>
    <s v="gibbosus"/>
    <s v="U"/>
    <x v="0"/>
    <n v="8"/>
    <n v="11.81"/>
    <x v="4"/>
    <s v="335-67-1"/>
    <x v="4"/>
    <n v="2.36"/>
  </r>
  <r>
    <s v="PU038-JBA-08162021"/>
    <s v="Spill"/>
    <x v="1"/>
    <s v="Pumpkinseed"/>
    <s v="Lepomis"/>
    <s v="gibbosus"/>
    <s v="U"/>
    <x v="0"/>
    <n v="8"/>
    <n v="11.81"/>
    <x v="5"/>
    <s v="375-95-1"/>
    <x v="5"/>
    <n v="0.61799999999999999"/>
  </r>
  <r>
    <s v="PU038-JBA-08162021"/>
    <s v="Spill"/>
    <x v="1"/>
    <s v="Pumpkinseed"/>
    <s v="Lepomis"/>
    <s v="gibbosus"/>
    <s v="U"/>
    <x v="0"/>
    <n v="8"/>
    <n v="11.81"/>
    <x v="6"/>
    <s v="335-76-2"/>
    <x v="6"/>
    <n v="3.33"/>
  </r>
  <r>
    <s v="PU038-JBA-08162021"/>
    <s v="Spill"/>
    <x v="1"/>
    <s v="Pumpkinseed"/>
    <s v="Lepomis"/>
    <s v="gibbosus"/>
    <s v="U"/>
    <x v="0"/>
    <n v="8"/>
    <n v="11.81"/>
    <x v="7"/>
    <s v="2058-94-8"/>
    <x v="7"/>
    <n v="3.79"/>
  </r>
  <r>
    <s v="PU038-JBA-08162021"/>
    <s v="Spill"/>
    <x v="1"/>
    <s v="Pumpkinseed"/>
    <s v="Lepomis"/>
    <s v="gibbosus"/>
    <s v="U"/>
    <x v="0"/>
    <n v="8"/>
    <n v="11.81"/>
    <x v="8"/>
    <s v="307-55-1"/>
    <x v="8"/>
    <n v="9.08"/>
  </r>
  <r>
    <s v="PU038-JBA-08162021"/>
    <s v="Spill"/>
    <x v="1"/>
    <s v="Pumpkinseed"/>
    <s v="Lepomis"/>
    <s v="gibbosus"/>
    <s v="U"/>
    <x v="0"/>
    <n v="8"/>
    <n v="11.81"/>
    <x v="9"/>
    <s v="72629-94-8"/>
    <x v="9"/>
    <n v="3.1"/>
  </r>
  <r>
    <s v="PU038-JBA-08162021"/>
    <s v="Spill"/>
    <x v="1"/>
    <s v="Pumpkinseed"/>
    <s v="Lepomis"/>
    <s v="gibbosus"/>
    <s v="U"/>
    <x v="0"/>
    <n v="8"/>
    <n v="11.81"/>
    <x v="10"/>
    <s v="376-06-7"/>
    <x v="10"/>
    <n v="10.5"/>
  </r>
  <r>
    <s v="PU038-JBA-08162021"/>
    <s v="Spill"/>
    <x v="1"/>
    <s v="Pumpkinseed"/>
    <s v="Lepomis"/>
    <s v="gibbosus"/>
    <s v="U"/>
    <x v="0"/>
    <n v="8"/>
    <n v="11.81"/>
    <x v="11"/>
    <s v="67905-19-5"/>
    <x v="11"/>
    <n v="7.9000000000000001E-2"/>
  </r>
  <r>
    <s v="PU038-JBA-08162021"/>
    <s v="Spill"/>
    <x v="1"/>
    <s v="Pumpkinseed"/>
    <s v="Lepomis"/>
    <s v="gibbosus"/>
    <s v="U"/>
    <x v="0"/>
    <n v="8"/>
    <n v="11.81"/>
    <x v="12"/>
    <s v="423-41-6"/>
    <x v="12"/>
    <n v="5.0500000000000003E-2"/>
  </r>
  <r>
    <s v="PU038-JBA-08162021"/>
    <s v="Spill"/>
    <x v="1"/>
    <s v="Pumpkinseed"/>
    <s v="Lepomis"/>
    <s v="gibbosus"/>
    <s v="U"/>
    <x v="0"/>
    <n v="8"/>
    <n v="11.81"/>
    <x v="13"/>
    <s v="375-73-5"/>
    <x v="13"/>
    <n v="0.14899999999999999"/>
  </r>
  <r>
    <s v="PU038-JBA-08162021"/>
    <s v="Spill"/>
    <x v="1"/>
    <s v="Pumpkinseed"/>
    <s v="Lepomis"/>
    <s v="gibbosus"/>
    <s v="U"/>
    <x v="0"/>
    <n v="8"/>
    <n v="11.81"/>
    <x v="14"/>
    <s v="2706-91-4"/>
    <x v="14"/>
    <n v="0.11600000000000001"/>
  </r>
  <r>
    <s v="PU038-JBA-08162021"/>
    <s v="Spill"/>
    <x v="1"/>
    <s v="Pumpkinseed"/>
    <s v="Lepomis"/>
    <s v="gibbosus"/>
    <s v="U"/>
    <x v="0"/>
    <n v="8"/>
    <n v="11.81"/>
    <x v="15"/>
    <s v="355-46-4"/>
    <x v="15"/>
    <n v="19.3"/>
  </r>
  <r>
    <s v="PU038-JBA-08162021"/>
    <s v="Spill"/>
    <x v="1"/>
    <s v="Pumpkinseed"/>
    <s v="Lepomis"/>
    <s v="gibbosus"/>
    <s v="U"/>
    <x v="0"/>
    <n v="8"/>
    <n v="11.81"/>
    <x v="16"/>
    <s v="375-92-8"/>
    <x v="16"/>
    <n v="1.1100000000000001"/>
  </r>
  <r>
    <s v="PU038-JBA-08162021"/>
    <s v="Spill"/>
    <x v="1"/>
    <s v="Pumpkinseed"/>
    <s v="Lepomis"/>
    <s v="gibbosus"/>
    <s v="U"/>
    <x v="0"/>
    <n v="8"/>
    <n v="11.81"/>
    <x v="17"/>
    <s v="1763-23-1"/>
    <x v="17"/>
    <n v="1150"/>
  </r>
  <r>
    <s v="PU038-JBA-08162021"/>
    <s v="Spill"/>
    <x v="1"/>
    <s v="Pumpkinseed"/>
    <s v="Lepomis"/>
    <s v="gibbosus"/>
    <s v="U"/>
    <x v="0"/>
    <n v="8"/>
    <n v="11.81"/>
    <x v="18"/>
    <s v="68259-12-1"/>
    <x v="18"/>
    <n v="0.64600000000000002"/>
  </r>
  <r>
    <s v="PU038-JBA-08162021"/>
    <s v="Spill"/>
    <x v="1"/>
    <s v="Pumpkinseed"/>
    <s v="Lepomis"/>
    <s v="gibbosus"/>
    <s v="U"/>
    <x v="0"/>
    <n v="8"/>
    <n v="11.81"/>
    <x v="19"/>
    <s v="335-77-3"/>
    <x v="19"/>
    <n v="0.75800000000000001"/>
  </r>
  <r>
    <s v="PU038-JBA-08162021"/>
    <s v="Spill"/>
    <x v="1"/>
    <s v="Pumpkinseed"/>
    <s v="Lepomis"/>
    <s v="gibbosus"/>
    <s v="U"/>
    <x v="0"/>
    <n v="8"/>
    <n v="11.81"/>
    <x v="20"/>
    <s v="79780-39-5"/>
    <x v="20"/>
    <n v="0.23449999999999999"/>
  </r>
  <r>
    <s v="PU038-JBA-08162021"/>
    <s v="Spill"/>
    <x v="1"/>
    <s v="Pumpkinseed"/>
    <s v="Lepomis"/>
    <s v="gibbosus"/>
    <s v="U"/>
    <x v="0"/>
    <n v="8"/>
    <n v="11.81"/>
    <x v="21"/>
    <s v="777011-38-8"/>
    <x v="21"/>
    <n v="0.13300000000000001"/>
  </r>
  <r>
    <s v="PU038-JBA-08162021"/>
    <s v="Spill"/>
    <x v="1"/>
    <s v="Pumpkinseed"/>
    <s v="Lepomis"/>
    <s v="gibbosus"/>
    <s v="U"/>
    <x v="0"/>
    <n v="8"/>
    <n v="11.81"/>
    <x v="22"/>
    <s v="646-83-3"/>
    <x v="22"/>
    <n v="8.7499999999999994E-2"/>
  </r>
  <r>
    <s v="PU038-JBA-08162021"/>
    <s v="Spill"/>
    <x v="1"/>
    <s v="Pumpkinseed"/>
    <s v="Lepomis"/>
    <s v="gibbosus"/>
    <s v="U"/>
    <x v="0"/>
    <n v="8"/>
    <n v="11.81"/>
    <x v="23"/>
    <s v="30334-69-1"/>
    <x v="23"/>
    <n v="28.5"/>
  </r>
  <r>
    <s v="PU038-JBA-08162021"/>
    <s v="Spill"/>
    <x v="1"/>
    <s v="Pumpkinseed"/>
    <s v="Lepomis"/>
    <s v="gibbosus"/>
    <s v="U"/>
    <x v="0"/>
    <n v="8"/>
    <n v="11.81"/>
    <x v="24"/>
    <s v="41997-13-1"/>
    <x v="24"/>
    <n v="78.900000000000006"/>
  </r>
  <r>
    <s v="PU038-JBA-08162021"/>
    <s v="Spill"/>
    <x v="1"/>
    <s v="Pumpkinseed"/>
    <s v="Lepomis"/>
    <s v="gibbosus"/>
    <s v="U"/>
    <x v="0"/>
    <n v="8"/>
    <n v="11.81"/>
    <x v="25"/>
    <s v="754-91-6"/>
    <x v="25"/>
    <n v="18.5"/>
  </r>
  <r>
    <s v="PU038-JBA-08162021"/>
    <s v="Spill"/>
    <x v="1"/>
    <s v="Pumpkinseed"/>
    <s v="Lepomis"/>
    <s v="gibbosus"/>
    <s v="U"/>
    <x v="0"/>
    <n v="8"/>
    <n v="11.81"/>
    <x v="26"/>
    <s v="31506-32-8"/>
    <x v="26"/>
    <n v="5.0999999999999997E-2"/>
  </r>
  <r>
    <s v="PU038-JBA-08162021"/>
    <s v="Spill"/>
    <x v="1"/>
    <s v="Pumpkinseed"/>
    <s v="Lepomis"/>
    <s v="gibbosus"/>
    <s v="U"/>
    <x v="0"/>
    <n v="8"/>
    <n v="11.81"/>
    <x v="27"/>
    <s v="4151-50-2"/>
    <x v="27"/>
    <n v="7.7499999999999999E-2"/>
  </r>
  <r>
    <s v="PU038-JBA-08162021"/>
    <s v="Spill"/>
    <x v="1"/>
    <s v="Pumpkinseed"/>
    <s v="Lepomis"/>
    <s v="gibbosus"/>
    <s v="U"/>
    <x v="0"/>
    <n v="8"/>
    <n v="11.81"/>
    <x v="28"/>
    <s v="2806-24-8"/>
    <x v="28"/>
    <n v="5.2499999999999998E-2"/>
  </r>
  <r>
    <s v="PU038-JBA-08162021"/>
    <s v="Spill"/>
    <x v="1"/>
    <s v="Pumpkinseed"/>
    <s v="Lepomis"/>
    <s v="gibbosus"/>
    <s v="U"/>
    <x v="0"/>
    <n v="8"/>
    <n v="11.81"/>
    <x v="29"/>
    <s v="2355-31-9"/>
    <x v="29"/>
    <n v="0.46"/>
  </r>
  <r>
    <s v="PU038-JBA-08162021"/>
    <s v="Spill"/>
    <x v="1"/>
    <s v="Pumpkinseed"/>
    <s v="Lepomis"/>
    <s v="gibbosus"/>
    <s v="U"/>
    <x v="0"/>
    <n v="8"/>
    <n v="11.81"/>
    <x v="30"/>
    <s v="2991-50-6"/>
    <x v="30"/>
    <n v="5.7500000000000002E-2"/>
  </r>
  <r>
    <s v="PU038-JBA-08162021"/>
    <s v="Spill"/>
    <x v="1"/>
    <s v="Pumpkinseed"/>
    <s v="Lepomis"/>
    <s v="gibbosus"/>
    <s v="U"/>
    <x v="0"/>
    <n v="8"/>
    <n v="11.81"/>
    <x v="31"/>
    <s v="757124-72-4"/>
    <x v="31"/>
    <n v="5.45E-2"/>
  </r>
  <r>
    <s v="PU038-JBA-08162021"/>
    <s v="Spill"/>
    <x v="1"/>
    <s v="Pumpkinseed"/>
    <s v="Lepomis"/>
    <s v="gibbosus"/>
    <s v="U"/>
    <x v="0"/>
    <n v="8"/>
    <n v="11.81"/>
    <x v="32"/>
    <s v="27619-97-2"/>
    <x v="32"/>
    <n v="0.68500000000000005"/>
  </r>
  <r>
    <s v="PU038-JBA-08162021"/>
    <s v="Spill"/>
    <x v="1"/>
    <s v="Pumpkinseed"/>
    <s v="Lepomis"/>
    <s v="gibbosus"/>
    <s v="U"/>
    <x v="0"/>
    <n v="8"/>
    <n v="11.81"/>
    <x v="33"/>
    <s v="39108-34-4"/>
    <x v="33"/>
    <n v="5.15"/>
  </r>
  <r>
    <s v="PU038-JBA-08162021"/>
    <s v="Spill"/>
    <x v="1"/>
    <s v="Pumpkinseed"/>
    <s v="Lepomis"/>
    <s v="gibbosus"/>
    <s v="U"/>
    <x v="0"/>
    <n v="8"/>
    <n v="11.81"/>
    <x v="34"/>
    <s v="120226-60-0"/>
    <x v="34"/>
    <n v="0.249"/>
  </r>
  <r>
    <s v="PU038-JBA-08162021"/>
    <s v="Spill"/>
    <x v="1"/>
    <s v="Pumpkinseed"/>
    <s v="Lepomis"/>
    <s v="gibbosus"/>
    <s v="U"/>
    <x v="0"/>
    <n v="8"/>
    <n v="11.81"/>
    <x v="35"/>
    <s v="356-02-5"/>
    <x v="35"/>
    <n v="7.6499999999999999E-2"/>
  </r>
  <r>
    <s v="PU038-JBA-08162021"/>
    <s v="Spill"/>
    <x v="1"/>
    <s v="Pumpkinseed"/>
    <s v="Lepomis"/>
    <s v="gibbosus"/>
    <s v="U"/>
    <x v="0"/>
    <n v="8"/>
    <n v="11.81"/>
    <x v="36"/>
    <s v="914637-49-3"/>
    <x v="36"/>
    <n v="0.219"/>
  </r>
  <r>
    <s v="PU038-JBA-08162021"/>
    <s v="Spill"/>
    <x v="1"/>
    <s v="Pumpkinseed"/>
    <s v="Lepomis"/>
    <s v="gibbosus"/>
    <s v="U"/>
    <x v="0"/>
    <n v="8"/>
    <n v="11.81"/>
    <x v="37"/>
    <s v="812-70-4"/>
    <x v="37"/>
    <n v="4.1900000000000004"/>
  </r>
  <r>
    <s v="PU038-JBA-08162021"/>
    <s v="Spill"/>
    <x v="1"/>
    <s v="Pumpkinseed"/>
    <s v="Lepomis"/>
    <s v="gibbosus"/>
    <s v="U"/>
    <x v="0"/>
    <n v="8"/>
    <n v="11.81"/>
    <x v="38"/>
    <s v="53826-12-3"/>
    <x v="38"/>
    <n v="0.219"/>
  </r>
  <r>
    <s v="PU038-JBA-08162021"/>
    <s v="Spill"/>
    <x v="1"/>
    <s v="Pumpkinseed"/>
    <s v="Lepomis"/>
    <s v="gibbosus"/>
    <s v="U"/>
    <x v="0"/>
    <n v="8"/>
    <n v="11.81"/>
    <x v="39"/>
    <s v="27854-31-5"/>
    <x v="39"/>
    <n v="6.6500000000000004E-2"/>
  </r>
  <r>
    <s v="PU038-JBA-08162021"/>
    <s v="Spill"/>
    <x v="1"/>
    <s v="Pumpkinseed"/>
    <s v="Lepomis"/>
    <s v="gibbosus"/>
    <s v="U"/>
    <x v="0"/>
    <n v="8"/>
    <n v="11.81"/>
    <x v="40"/>
    <s v="53826-13-4"/>
    <x v="40"/>
    <n v="9.9000000000000005E-2"/>
  </r>
  <r>
    <s v="PU038-JBA-08162021"/>
    <s v="Spill"/>
    <x v="1"/>
    <s v="Pumpkinseed"/>
    <s v="Lepomis"/>
    <s v="gibbosus"/>
    <s v="U"/>
    <x v="0"/>
    <n v="8"/>
    <n v="11.81"/>
    <x v="41"/>
    <s v="161094-75-3"/>
    <x v="41"/>
    <n v="5.1999999999999998E-2"/>
  </r>
  <r>
    <s v="PU038-JBA-08162021"/>
    <s v="Spill"/>
    <x v="1"/>
    <s v="Pumpkinseed"/>
    <s v="Lepomis"/>
    <s v="gibbosus"/>
    <s v="U"/>
    <x v="0"/>
    <n v="8"/>
    <n v="11.81"/>
    <x v="42"/>
    <s v="70887-84-2"/>
    <x v="42"/>
    <n v="4.0149999999999998E-2"/>
  </r>
  <r>
    <s v="PU038-JBA-08162021"/>
    <s v="Spill"/>
    <x v="1"/>
    <s v="Pumpkinseed"/>
    <s v="Lepomis"/>
    <s v="gibbosus"/>
    <s v="U"/>
    <x v="0"/>
    <n v="8"/>
    <n v="11.81"/>
    <x v="43"/>
    <s v="919005-14-4"/>
    <x v="43"/>
    <n v="6.6500000000000004E-2"/>
  </r>
  <r>
    <s v="PU038-JBA-08162021"/>
    <s v="Spill"/>
    <x v="1"/>
    <s v="Pumpkinseed"/>
    <s v="Lepomis"/>
    <s v="gibbosus"/>
    <s v="U"/>
    <x v="0"/>
    <n v="8"/>
    <n v="11.81"/>
    <x v="44"/>
    <s v="756426-58-1"/>
    <x v="44"/>
    <n v="6.6500000000000004E-2"/>
  </r>
  <r>
    <s v="PU038-JBA-08162021"/>
    <s v="Spill"/>
    <x v="1"/>
    <s v="Pumpkinseed"/>
    <s v="Lepomis"/>
    <s v="gibbosus"/>
    <s v="U"/>
    <x v="0"/>
    <n v="8"/>
    <n v="11.81"/>
    <x v="45"/>
    <s v="763051-92-9"/>
    <x v="45"/>
    <n v="6.6500000000000004E-2"/>
  </r>
  <r>
    <s v="PU038-JBA-08162021"/>
    <s v="Spill"/>
    <x v="1"/>
    <s v="Pumpkinseed"/>
    <s v="Lepomis"/>
    <s v="gibbosus"/>
    <s v="U"/>
    <x v="0"/>
    <n v="8"/>
    <n v="11.81"/>
    <x v="46"/>
    <s v="13252-13-6"/>
    <x v="46"/>
    <n v="9.5500000000000002E-2"/>
  </r>
  <r>
    <s v="PU038-JBA-08162021"/>
    <s v="Spill"/>
    <x v="1"/>
    <s v="Pumpkinseed"/>
    <s v="Lepomis"/>
    <s v="gibbosus"/>
    <s v="U"/>
    <x v="0"/>
    <n v="8"/>
    <n v="11.81"/>
    <x v="47"/>
    <s v="57677-95-9"/>
    <x v="47"/>
    <n v="7.0499999999999993E-2"/>
  </r>
  <r>
    <s v="PU038-JBA-08162021"/>
    <s v="Spill"/>
    <x v="1"/>
    <s v="Pumpkinseed"/>
    <s v="Lepomis"/>
    <s v="gibbosus"/>
    <s v="U"/>
    <x v="0"/>
    <n v="8"/>
    <n v="11.81"/>
    <x v="48"/>
    <s v="678-41-1"/>
    <x v="48"/>
    <n v="8.7999999999999995E-2"/>
  </r>
  <r>
    <s v="PU038-JBA-08162021"/>
    <s v="Spill"/>
    <x v="1"/>
    <s v="Pumpkinseed"/>
    <s v="Lepomis"/>
    <s v="gibbosus"/>
    <s v="U"/>
    <x v="0"/>
    <n v="8"/>
    <n v="11.81"/>
    <x v="49"/>
    <s v="2965-52-8"/>
    <x v="49"/>
    <n v="0.11700000000000001"/>
  </r>
  <r>
    <s v="PU039-JBA-08162021"/>
    <s v="Spill"/>
    <x v="1"/>
    <s v="Pumpkinseed"/>
    <s v="Lepomis"/>
    <s v="gibbosus"/>
    <s v="U"/>
    <x v="0"/>
    <n v="8"/>
    <n v="11.81"/>
    <x v="0"/>
    <s v="375-22-4"/>
    <x v="0"/>
    <n v="6.6000000000000003E-2"/>
  </r>
  <r>
    <s v="PU039-JBA-08162021"/>
    <s v="Spill"/>
    <x v="1"/>
    <s v="Pumpkinseed"/>
    <s v="Lepomis"/>
    <s v="gibbosus"/>
    <s v="U"/>
    <x v="0"/>
    <n v="8"/>
    <n v="11.81"/>
    <x v="1"/>
    <s v="2706-90-3"/>
    <x v="1"/>
    <n v="4.6800000000000001E-2"/>
  </r>
  <r>
    <s v="PU039-JBA-08162021"/>
    <s v="Spill"/>
    <x v="1"/>
    <s v="Pumpkinseed"/>
    <s v="Lepomis"/>
    <s v="gibbosus"/>
    <s v="U"/>
    <x v="0"/>
    <n v="8"/>
    <n v="11.81"/>
    <x v="2"/>
    <s v="307-24-4"/>
    <x v="2"/>
    <n v="3.5749999999999997E-2"/>
  </r>
  <r>
    <s v="PU039-JBA-08162021"/>
    <s v="Spill"/>
    <x v="1"/>
    <s v="Pumpkinseed"/>
    <s v="Lepomis"/>
    <s v="gibbosus"/>
    <s v="U"/>
    <x v="0"/>
    <n v="8"/>
    <n v="11.81"/>
    <x v="3"/>
    <s v="375-85-9"/>
    <x v="3"/>
    <n v="2.6499999999999999E-2"/>
  </r>
  <r>
    <s v="PU039-JBA-08162021"/>
    <s v="Spill"/>
    <x v="1"/>
    <s v="Pumpkinseed"/>
    <s v="Lepomis"/>
    <s v="gibbosus"/>
    <s v="U"/>
    <x v="0"/>
    <n v="8"/>
    <n v="11.81"/>
    <x v="4"/>
    <s v="335-67-1"/>
    <x v="4"/>
    <n v="0.33"/>
  </r>
  <r>
    <s v="PU039-JBA-08162021"/>
    <s v="Spill"/>
    <x v="1"/>
    <s v="Pumpkinseed"/>
    <s v="Lepomis"/>
    <s v="gibbosus"/>
    <s v="U"/>
    <x v="0"/>
    <n v="8"/>
    <n v="11.81"/>
    <x v="5"/>
    <s v="375-95-1"/>
    <x v="5"/>
    <n v="4.5900000000000003E-2"/>
  </r>
  <r>
    <s v="PU039-JBA-08162021"/>
    <s v="Spill"/>
    <x v="1"/>
    <s v="Pumpkinseed"/>
    <s v="Lepomis"/>
    <s v="gibbosus"/>
    <s v="U"/>
    <x v="0"/>
    <n v="8"/>
    <n v="11.81"/>
    <x v="6"/>
    <s v="335-76-2"/>
    <x v="6"/>
    <n v="3.36"/>
  </r>
  <r>
    <s v="PU039-JBA-08162021"/>
    <s v="Spill"/>
    <x v="1"/>
    <s v="Pumpkinseed"/>
    <s v="Lepomis"/>
    <s v="gibbosus"/>
    <s v="U"/>
    <x v="0"/>
    <n v="8"/>
    <n v="11.81"/>
    <x v="7"/>
    <s v="2058-94-8"/>
    <x v="7"/>
    <n v="4.3099999999999996"/>
  </r>
  <r>
    <s v="PU039-JBA-08162021"/>
    <s v="Spill"/>
    <x v="1"/>
    <s v="Pumpkinseed"/>
    <s v="Lepomis"/>
    <s v="gibbosus"/>
    <s v="U"/>
    <x v="0"/>
    <n v="8"/>
    <n v="11.81"/>
    <x v="8"/>
    <s v="307-55-1"/>
    <x v="8"/>
    <n v="8.77"/>
  </r>
  <r>
    <s v="PU039-JBA-08162021"/>
    <s v="Spill"/>
    <x v="1"/>
    <s v="Pumpkinseed"/>
    <s v="Lepomis"/>
    <s v="gibbosus"/>
    <s v="U"/>
    <x v="0"/>
    <n v="8"/>
    <n v="11.81"/>
    <x v="9"/>
    <s v="72629-94-8"/>
    <x v="9"/>
    <n v="3.3"/>
  </r>
  <r>
    <s v="PU039-JBA-08162021"/>
    <s v="Spill"/>
    <x v="1"/>
    <s v="Pumpkinseed"/>
    <s v="Lepomis"/>
    <s v="gibbosus"/>
    <s v="U"/>
    <x v="0"/>
    <n v="8"/>
    <n v="11.81"/>
    <x v="10"/>
    <s v="376-06-7"/>
    <x v="10"/>
    <n v="9.77"/>
  </r>
  <r>
    <s v="PU039-JBA-08162021"/>
    <s v="Spill"/>
    <x v="1"/>
    <s v="Pumpkinseed"/>
    <s v="Lepomis"/>
    <s v="gibbosus"/>
    <s v="U"/>
    <x v="0"/>
    <n v="8"/>
    <n v="11.81"/>
    <x v="11"/>
    <s v="67905-19-5"/>
    <x v="11"/>
    <n v="7.9000000000000001E-2"/>
  </r>
  <r>
    <s v="PU039-JBA-08162021"/>
    <s v="Spill"/>
    <x v="1"/>
    <s v="Pumpkinseed"/>
    <s v="Lepomis"/>
    <s v="gibbosus"/>
    <s v="U"/>
    <x v="0"/>
    <n v="8"/>
    <n v="11.81"/>
    <x v="12"/>
    <s v="423-41-6"/>
    <x v="12"/>
    <n v="5.0500000000000003E-2"/>
  </r>
  <r>
    <s v="PU039-JBA-08162021"/>
    <s v="Spill"/>
    <x v="1"/>
    <s v="Pumpkinseed"/>
    <s v="Lepomis"/>
    <s v="gibbosus"/>
    <s v="U"/>
    <x v="0"/>
    <n v="8"/>
    <n v="11.81"/>
    <x v="13"/>
    <s v="375-73-5"/>
    <x v="13"/>
    <n v="0.14899999999999999"/>
  </r>
  <r>
    <s v="PU039-JBA-08162021"/>
    <s v="Spill"/>
    <x v="1"/>
    <s v="Pumpkinseed"/>
    <s v="Lepomis"/>
    <s v="gibbosus"/>
    <s v="U"/>
    <x v="0"/>
    <n v="8"/>
    <n v="11.81"/>
    <x v="14"/>
    <s v="2706-91-4"/>
    <x v="14"/>
    <n v="0.11600000000000001"/>
  </r>
  <r>
    <s v="PU039-JBA-08162021"/>
    <s v="Spill"/>
    <x v="1"/>
    <s v="Pumpkinseed"/>
    <s v="Lepomis"/>
    <s v="gibbosus"/>
    <s v="U"/>
    <x v="0"/>
    <n v="8"/>
    <n v="11.81"/>
    <x v="15"/>
    <s v="355-46-4"/>
    <x v="15"/>
    <n v="6.13"/>
  </r>
  <r>
    <s v="PU039-JBA-08162021"/>
    <s v="Spill"/>
    <x v="1"/>
    <s v="Pumpkinseed"/>
    <s v="Lepomis"/>
    <s v="gibbosus"/>
    <s v="U"/>
    <x v="0"/>
    <n v="8"/>
    <n v="11.81"/>
    <x v="16"/>
    <s v="375-92-8"/>
    <x v="16"/>
    <n v="1.36"/>
  </r>
  <r>
    <s v="PU039-JBA-08162021"/>
    <s v="Spill"/>
    <x v="1"/>
    <s v="Pumpkinseed"/>
    <s v="Lepomis"/>
    <s v="gibbosus"/>
    <s v="U"/>
    <x v="0"/>
    <n v="8"/>
    <n v="11.81"/>
    <x v="17"/>
    <s v="1763-23-1"/>
    <x v="17"/>
    <n v="1050"/>
  </r>
  <r>
    <s v="PU039-JBA-08162021"/>
    <s v="Spill"/>
    <x v="1"/>
    <s v="Pumpkinseed"/>
    <s v="Lepomis"/>
    <s v="gibbosus"/>
    <s v="U"/>
    <x v="0"/>
    <n v="8"/>
    <n v="11.81"/>
    <x v="18"/>
    <s v="68259-12-1"/>
    <x v="18"/>
    <n v="2.29"/>
  </r>
  <r>
    <s v="PU039-JBA-08162021"/>
    <s v="Spill"/>
    <x v="1"/>
    <s v="Pumpkinseed"/>
    <s v="Lepomis"/>
    <s v="gibbosus"/>
    <s v="U"/>
    <x v="0"/>
    <n v="8"/>
    <n v="11.81"/>
    <x v="19"/>
    <s v="335-77-3"/>
    <x v="19"/>
    <n v="2.1800000000000002"/>
  </r>
  <r>
    <s v="PU039-JBA-08162021"/>
    <s v="Spill"/>
    <x v="1"/>
    <s v="Pumpkinseed"/>
    <s v="Lepomis"/>
    <s v="gibbosus"/>
    <s v="U"/>
    <x v="0"/>
    <n v="8"/>
    <n v="11.81"/>
    <x v="20"/>
    <s v="79780-39-5"/>
    <x v="20"/>
    <n v="1.2"/>
  </r>
  <r>
    <s v="PU039-JBA-08162021"/>
    <s v="Spill"/>
    <x v="1"/>
    <s v="Pumpkinseed"/>
    <s v="Lepomis"/>
    <s v="gibbosus"/>
    <s v="U"/>
    <x v="0"/>
    <n v="8"/>
    <n v="11.81"/>
    <x v="21"/>
    <s v="777011-38-8"/>
    <x v="21"/>
    <n v="0.13300000000000001"/>
  </r>
  <r>
    <s v="PU039-JBA-08162021"/>
    <s v="Spill"/>
    <x v="1"/>
    <s v="Pumpkinseed"/>
    <s v="Lepomis"/>
    <s v="gibbosus"/>
    <s v="U"/>
    <x v="0"/>
    <n v="8"/>
    <n v="11.81"/>
    <x v="22"/>
    <s v="646-83-3"/>
    <x v="22"/>
    <n v="8.7499999999999994E-2"/>
  </r>
  <r>
    <s v="PU039-JBA-08162021"/>
    <s v="Spill"/>
    <x v="1"/>
    <s v="Pumpkinseed"/>
    <s v="Lepomis"/>
    <s v="gibbosus"/>
    <s v="U"/>
    <x v="0"/>
    <n v="8"/>
    <n v="11.81"/>
    <x v="23"/>
    <s v="30334-69-1"/>
    <x v="23"/>
    <n v="21.7"/>
  </r>
  <r>
    <s v="PU039-JBA-08162021"/>
    <s v="Spill"/>
    <x v="1"/>
    <s v="Pumpkinseed"/>
    <s v="Lepomis"/>
    <s v="gibbosus"/>
    <s v="U"/>
    <x v="0"/>
    <n v="8"/>
    <n v="11.81"/>
    <x v="24"/>
    <s v="41997-13-1"/>
    <x v="24"/>
    <n v="72"/>
  </r>
  <r>
    <s v="PU039-JBA-08162021"/>
    <s v="Spill"/>
    <x v="1"/>
    <s v="Pumpkinseed"/>
    <s v="Lepomis"/>
    <s v="gibbosus"/>
    <s v="U"/>
    <x v="0"/>
    <n v="8"/>
    <n v="11.81"/>
    <x v="25"/>
    <s v="754-91-6"/>
    <x v="25"/>
    <n v="9.41"/>
  </r>
  <r>
    <s v="PU039-JBA-08162021"/>
    <s v="Spill"/>
    <x v="1"/>
    <s v="Pumpkinseed"/>
    <s v="Lepomis"/>
    <s v="gibbosus"/>
    <s v="U"/>
    <x v="0"/>
    <n v="8"/>
    <n v="11.81"/>
    <x v="26"/>
    <s v="31506-32-8"/>
    <x v="26"/>
    <n v="5.0999999999999997E-2"/>
  </r>
  <r>
    <s v="PU039-JBA-08162021"/>
    <s v="Spill"/>
    <x v="1"/>
    <s v="Pumpkinseed"/>
    <s v="Lepomis"/>
    <s v="gibbosus"/>
    <s v="U"/>
    <x v="0"/>
    <n v="8"/>
    <n v="11.81"/>
    <x v="27"/>
    <s v="4151-50-2"/>
    <x v="27"/>
    <n v="7.7499999999999999E-2"/>
  </r>
  <r>
    <s v="PU039-JBA-08162021"/>
    <s v="Spill"/>
    <x v="1"/>
    <s v="Pumpkinseed"/>
    <s v="Lepomis"/>
    <s v="gibbosus"/>
    <s v="U"/>
    <x v="0"/>
    <n v="8"/>
    <n v="11.81"/>
    <x v="28"/>
    <s v="2806-24-8"/>
    <x v="28"/>
    <n v="5.2499999999999998E-2"/>
  </r>
  <r>
    <s v="PU039-JBA-08162021"/>
    <s v="Spill"/>
    <x v="1"/>
    <s v="Pumpkinseed"/>
    <s v="Lepomis"/>
    <s v="gibbosus"/>
    <s v="U"/>
    <x v="0"/>
    <n v="8"/>
    <n v="11.81"/>
    <x v="29"/>
    <s v="2355-31-9"/>
    <x v="29"/>
    <n v="0.66500000000000004"/>
  </r>
  <r>
    <s v="PU039-JBA-08162021"/>
    <s v="Spill"/>
    <x v="1"/>
    <s v="Pumpkinseed"/>
    <s v="Lepomis"/>
    <s v="gibbosus"/>
    <s v="U"/>
    <x v="0"/>
    <n v="8"/>
    <n v="11.81"/>
    <x v="30"/>
    <s v="2991-50-6"/>
    <x v="30"/>
    <n v="5.7500000000000002E-2"/>
  </r>
  <r>
    <s v="PU039-JBA-08162021"/>
    <s v="Spill"/>
    <x v="1"/>
    <s v="Pumpkinseed"/>
    <s v="Lepomis"/>
    <s v="gibbosus"/>
    <s v="U"/>
    <x v="0"/>
    <n v="8"/>
    <n v="11.81"/>
    <x v="31"/>
    <s v="757124-72-4"/>
    <x v="31"/>
    <n v="5.45E-2"/>
  </r>
  <r>
    <s v="PU039-JBA-08162021"/>
    <s v="Spill"/>
    <x v="1"/>
    <s v="Pumpkinseed"/>
    <s v="Lepomis"/>
    <s v="gibbosus"/>
    <s v="U"/>
    <x v="0"/>
    <n v="8"/>
    <n v="11.81"/>
    <x v="32"/>
    <s v="27619-97-2"/>
    <x v="32"/>
    <n v="1.29"/>
  </r>
  <r>
    <s v="PU039-JBA-08162021"/>
    <s v="Spill"/>
    <x v="1"/>
    <s v="Pumpkinseed"/>
    <s v="Lepomis"/>
    <s v="gibbosus"/>
    <s v="U"/>
    <x v="0"/>
    <n v="8"/>
    <n v="11.81"/>
    <x v="33"/>
    <s v="39108-34-4"/>
    <x v="33"/>
    <n v="1.41"/>
  </r>
  <r>
    <s v="PU039-JBA-08162021"/>
    <s v="Spill"/>
    <x v="1"/>
    <s v="Pumpkinseed"/>
    <s v="Lepomis"/>
    <s v="gibbosus"/>
    <s v="U"/>
    <x v="0"/>
    <n v="8"/>
    <n v="11.81"/>
    <x v="34"/>
    <s v="120226-60-0"/>
    <x v="34"/>
    <n v="0.248"/>
  </r>
  <r>
    <s v="PU039-JBA-08162021"/>
    <s v="Spill"/>
    <x v="1"/>
    <s v="Pumpkinseed"/>
    <s v="Lepomis"/>
    <s v="gibbosus"/>
    <s v="U"/>
    <x v="0"/>
    <n v="8"/>
    <n v="11.81"/>
    <x v="35"/>
    <s v="356-02-5"/>
    <x v="35"/>
    <n v="7.6499999999999999E-2"/>
  </r>
  <r>
    <s v="PU039-JBA-08162021"/>
    <s v="Spill"/>
    <x v="1"/>
    <s v="Pumpkinseed"/>
    <s v="Lepomis"/>
    <s v="gibbosus"/>
    <s v="U"/>
    <x v="0"/>
    <n v="8"/>
    <n v="11.81"/>
    <x v="36"/>
    <s v="914637-49-3"/>
    <x v="36"/>
    <n v="0.83499999999999996"/>
  </r>
  <r>
    <s v="PU039-JBA-08162021"/>
    <s v="Spill"/>
    <x v="1"/>
    <s v="Pumpkinseed"/>
    <s v="Lepomis"/>
    <s v="gibbosus"/>
    <s v="U"/>
    <x v="0"/>
    <n v="8"/>
    <n v="11.81"/>
    <x v="37"/>
    <s v="812-70-4"/>
    <x v="37"/>
    <n v="10.6"/>
  </r>
  <r>
    <s v="PU039-JBA-08162021"/>
    <s v="Spill"/>
    <x v="1"/>
    <s v="Pumpkinseed"/>
    <s v="Lepomis"/>
    <s v="gibbosus"/>
    <s v="U"/>
    <x v="0"/>
    <n v="8"/>
    <n v="11.81"/>
    <x v="38"/>
    <s v="53826-12-3"/>
    <x v="38"/>
    <n v="6.6000000000000003E-2"/>
  </r>
  <r>
    <s v="PU039-JBA-08162021"/>
    <s v="Spill"/>
    <x v="1"/>
    <s v="Pumpkinseed"/>
    <s v="Lepomis"/>
    <s v="gibbosus"/>
    <s v="U"/>
    <x v="0"/>
    <n v="8"/>
    <n v="11.81"/>
    <x v="39"/>
    <s v="27854-31-5"/>
    <x v="39"/>
    <n v="7.15"/>
  </r>
  <r>
    <s v="PU039-JBA-08162021"/>
    <s v="Spill"/>
    <x v="1"/>
    <s v="Pumpkinseed"/>
    <s v="Lepomis"/>
    <s v="gibbosus"/>
    <s v="U"/>
    <x v="0"/>
    <n v="8"/>
    <n v="11.81"/>
    <x v="40"/>
    <s v="53826-13-4"/>
    <x v="40"/>
    <n v="9.9000000000000005E-2"/>
  </r>
  <r>
    <s v="PU039-JBA-08162021"/>
    <s v="Spill"/>
    <x v="1"/>
    <s v="Pumpkinseed"/>
    <s v="Lepomis"/>
    <s v="gibbosus"/>
    <s v="U"/>
    <x v="0"/>
    <n v="8"/>
    <n v="11.81"/>
    <x v="41"/>
    <s v="161094-75-3"/>
    <x v="41"/>
    <n v="5.1999999999999998E-2"/>
  </r>
  <r>
    <s v="PU039-JBA-08162021"/>
    <s v="Spill"/>
    <x v="1"/>
    <s v="Pumpkinseed"/>
    <s v="Lepomis"/>
    <s v="gibbosus"/>
    <s v="U"/>
    <x v="0"/>
    <n v="8"/>
    <n v="11.81"/>
    <x v="42"/>
    <s v="70887-84-2"/>
    <x v="42"/>
    <n v="0.04"/>
  </r>
  <r>
    <s v="PU039-JBA-08162021"/>
    <s v="Spill"/>
    <x v="1"/>
    <s v="Pumpkinseed"/>
    <s v="Lepomis"/>
    <s v="gibbosus"/>
    <s v="U"/>
    <x v="0"/>
    <n v="8"/>
    <n v="11.81"/>
    <x v="43"/>
    <s v="919005-14-4"/>
    <x v="43"/>
    <n v="6.6000000000000003E-2"/>
  </r>
  <r>
    <s v="PU039-JBA-08162021"/>
    <s v="Spill"/>
    <x v="1"/>
    <s v="Pumpkinseed"/>
    <s v="Lepomis"/>
    <s v="gibbosus"/>
    <s v="U"/>
    <x v="0"/>
    <n v="8"/>
    <n v="11.81"/>
    <x v="44"/>
    <s v="756426-58-1"/>
    <x v="44"/>
    <n v="6.6000000000000003E-2"/>
  </r>
  <r>
    <s v="PU039-JBA-08162021"/>
    <s v="Spill"/>
    <x v="1"/>
    <s v="Pumpkinseed"/>
    <s v="Lepomis"/>
    <s v="gibbosus"/>
    <s v="U"/>
    <x v="0"/>
    <n v="8"/>
    <n v="11.81"/>
    <x v="45"/>
    <s v="763051-92-9"/>
    <x v="45"/>
    <n v="6.6000000000000003E-2"/>
  </r>
  <r>
    <s v="PU039-JBA-08162021"/>
    <s v="Spill"/>
    <x v="1"/>
    <s v="Pumpkinseed"/>
    <s v="Lepomis"/>
    <s v="gibbosus"/>
    <s v="U"/>
    <x v="0"/>
    <n v="8"/>
    <n v="11.81"/>
    <x v="46"/>
    <s v="13252-13-6"/>
    <x v="46"/>
    <n v="9.5000000000000001E-2"/>
  </r>
  <r>
    <s v="PU039-JBA-08162021"/>
    <s v="Spill"/>
    <x v="1"/>
    <s v="Pumpkinseed"/>
    <s v="Lepomis"/>
    <s v="gibbosus"/>
    <s v="U"/>
    <x v="0"/>
    <n v="8"/>
    <n v="11.81"/>
    <x v="47"/>
    <s v="57677-95-9"/>
    <x v="47"/>
    <n v="7.0499999999999993E-2"/>
  </r>
  <r>
    <s v="PU039-JBA-08162021"/>
    <s v="Spill"/>
    <x v="1"/>
    <s v="Pumpkinseed"/>
    <s v="Lepomis"/>
    <s v="gibbosus"/>
    <s v="U"/>
    <x v="0"/>
    <n v="8"/>
    <n v="11.81"/>
    <x v="48"/>
    <s v="678-41-1"/>
    <x v="48"/>
    <n v="8.7999999999999995E-2"/>
  </r>
  <r>
    <s v="PU039-JBA-08162021"/>
    <s v="Spill"/>
    <x v="1"/>
    <s v="Pumpkinseed"/>
    <s v="Lepomis"/>
    <s v="gibbosus"/>
    <s v="U"/>
    <x v="0"/>
    <n v="8"/>
    <n v="11.81"/>
    <x v="49"/>
    <s v="2965-52-8"/>
    <x v="49"/>
    <n v="0.11650000000000001"/>
  </r>
  <r>
    <s v="PU040-LIV-08162021"/>
    <s v="Spill"/>
    <x v="1"/>
    <s v="Pumpkinseed"/>
    <s v="Lepomis"/>
    <s v="gibbosus"/>
    <s v="U"/>
    <x v="2"/>
    <n v="8"/>
    <n v="11.81"/>
    <x v="0"/>
    <s v="375-22-4"/>
    <x v="0"/>
    <n v="0.54500000000000004"/>
  </r>
  <r>
    <s v="PU040-LIV-08162021"/>
    <s v="Spill"/>
    <x v="1"/>
    <s v="Pumpkinseed"/>
    <s v="Lepomis"/>
    <s v="gibbosus"/>
    <s v="U"/>
    <x v="2"/>
    <n v="8"/>
    <n v="11.81"/>
    <x v="1"/>
    <s v="2706-90-3"/>
    <x v="1"/>
    <n v="0.11700000000000001"/>
  </r>
  <r>
    <s v="PU040-LIV-08162021"/>
    <s v="Spill"/>
    <x v="1"/>
    <s v="Pumpkinseed"/>
    <s v="Lepomis"/>
    <s v="gibbosus"/>
    <s v="U"/>
    <x v="2"/>
    <n v="8"/>
    <n v="11.81"/>
    <x v="2"/>
    <s v="307-24-4"/>
    <x v="2"/>
    <n v="0.29499999999999998"/>
  </r>
  <r>
    <s v="PU040-LIV-08162021"/>
    <s v="Spill"/>
    <x v="1"/>
    <s v="Pumpkinseed"/>
    <s v="Lepomis"/>
    <s v="gibbosus"/>
    <s v="U"/>
    <x v="2"/>
    <n v="8"/>
    <n v="11.81"/>
    <x v="3"/>
    <s v="375-85-9"/>
    <x v="3"/>
    <n v="6.6500000000000004E-2"/>
  </r>
  <r>
    <s v="PU040-LIV-08162021"/>
    <s v="Spill"/>
    <x v="1"/>
    <s v="Pumpkinseed"/>
    <s v="Lepomis"/>
    <s v="gibbosus"/>
    <s v="U"/>
    <x v="2"/>
    <n v="8"/>
    <n v="11.81"/>
    <x v="4"/>
    <s v="335-67-1"/>
    <x v="4"/>
    <n v="0.2185"/>
  </r>
  <r>
    <s v="PU040-LIV-08162021"/>
    <s v="Spill"/>
    <x v="1"/>
    <s v="Pumpkinseed"/>
    <s v="Lepomis"/>
    <s v="gibbosus"/>
    <s v="U"/>
    <x v="2"/>
    <n v="8"/>
    <n v="11.81"/>
    <x v="5"/>
    <s v="375-95-1"/>
    <x v="5"/>
    <n v="0.1145"/>
  </r>
  <r>
    <s v="PU040-LIV-08162021"/>
    <s v="Spill"/>
    <x v="1"/>
    <s v="Pumpkinseed"/>
    <s v="Lepomis"/>
    <s v="gibbosus"/>
    <s v="U"/>
    <x v="2"/>
    <n v="8"/>
    <n v="11.81"/>
    <x v="6"/>
    <s v="335-76-2"/>
    <x v="6"/>
    <n v="24"/>
  </r>
  <r>
    <s v="PU040-LIV-08162021"/>
    <s v="Spill"/>
    <x v="1"/>
    <s v="Pumpkinseed"/>
    <s v="Lepomis"/>
    <s v="gibbosus"/>
    <s v="U"/>
    <x v="2"/>
    <n v="8"/>
    <n v="11.81"/>
    <x v="7"/>
    <s v="2058-94-8"/>
    <x v="7"/>
    <n v="31.3"/>
  </r>
  <r>
    <s v="PU040-LIV-08162021"/>
    <s v="Spill"/>
    <x v="1"/>
    <s v="Pumpkinseed"/>
    <s v="Lepomis"/>
    <s v="gibbosus"/>
    <s v="U"/>
    <x v="2"/>
    <n v="8"/>
    <n v="11.81"/>
    <x v="8"/>
    <s v="307-55-1"/>
    <x v="8"/>
    <n v="28.8"/>
  </r>
  <r>
    <s v="PU040-LIV-08162021"/>
    <s v="Spill"/>
    <x v="1"/>
    <s v="Pumpkinseed"/>
    <s v="Lepomis"/>
    <s v="gibbosus"/>
    <s v="U"/>
    <x v="2"/>
    <n v="8"/>
    <n v="11.81"/>
    <x v="9"/>
    <s v="72629-94-8"/>
    <x v="9"/>
    <n v="12.7"/>
  </r>
  <r>
    <s v="PU040-LIV-08162021"/>
    <s v="Spill"/>
    <x v="1"/>
    <s v="Pumpkinseed"/>
    <s v="Lepomis"/>
    <s v="gibbosus"/>
    <s v="U"/>
    <x v="2"/>
    <n v="8"/>
    <n v="11.81"/>
    <x v="10"/>
    <s v="376-06-7"/>
    <x v="10"/>
    <n v="15.2"/>
  </r>
  <r>
    <s v="PU040-LIV-08162021"/>
    <s v="Spill"/>
    <x v="1"/>
    <s v="Pumpkinseed"/>
    <s v="Lepomis"/>
    <s v="gibbosus"/>
    <s v="U"/>
    <x v="2"/>
    <n v="8"/>
    <n v="11.81"/>
    <x v="11"/>
    <s v="67905-19-5"/>
    <x v="11"/>
    <n v="0.19750000000000001"/>
  </r>
  <r>
    <s v="PU040-LIV-08162021"/>
    <s v="Spill"/>
    <x v="1"/>
    <s v="Pumpkinseed"/>
    <s v="Lepomis"/>
    <s v="gibbosus"/>
    <s v="U"/>
    <x v="2"/>
    <n v="8"/>
    <n v="11.81"/>
    <x v="12"/>
    <s v="423-41-6"/>
    <x v="12"/>
    <n v="0.16550000000000001"/>
  </r>
  <r>
    <s v="PU040-LIV-08162021"/>
    <s v="Spill"/>
    <x v="1"/>
    <s v="Pumpkinseed"/>
    <s v="Lepomis"/>
    <s v="gibbosus"/>
    <s v="U"/>
    <x v="2"/>
    <n v="8"/>
    <n v="11.81"/>
    <x v="13"/>
    <s v="375-73-5"/>
    <x v="13"/>
    <n v="0.372"/>
  </r>
  <r>
    <s v="PU040-LIV-08162021"/>
    <s v="Spill"/>
    <x v="1"/>
    <s v="Pumpkinseed"/>
    <s v="Lepomis"/>
    <s v="gibbosus"/>
    <s v="U"/>
    <x v="2"/>
    <n v="8"/>
    <n v="11.81"/>
    <x v="14"/>
    <s v="2706-91-4"/>
    <x v="14"/>
    <n v="0.16550000000000001"/>
  </r>
  <r>
    <s v="PU040-LIV-08162021"/>
    <s v="Spill"/>
    <x v="1"/>
    <s v="Pumpkinseed"/>
    <s v="Lepomis"/>
    <s v="gibbosus"/>
    <s v="U"/>
    <x v="2"/>
    <n v="8"/>
    <n v="11.81"/>
    <x v="15"/>
    <s v="355-46-4"/>
    <x v="15"/>
    <n v="11.9"/>
  </r>
  <r>
    <s v="PU040-LIV-08162021"/>
    <s v="Spill"/>
    <x v="1"/>
    <s v="Pumpkinseed"/>
    <s v="Lepomis"/>
    <s v="gibbosus"/>
    <s v="U"/>
    <x v="2"/>
    <n v="8"/>
    <n v="11.81"/>
    <x v="16"/>
    <s v="375-92-8"/>
    <x v="16"/>
    <n v="2.81"/>
  </r>
  <r>
    <s v="PU040-LIV-08162021"/>
    <s v="Spill"/>
    <x v="1"/>
    <s v="Pumpkinseed"/>
    <s v="Lepomis"/>
    <s v="gibbosus"/>
    <s v="U"/>
    <x v="2"/>
    <n v="8"/>
    <n v="11.81"/>
    <x v="17"/>
    <s v="1763-23-1"/>
    <x v="17"/>
    <n v="2150"/>
  </r>
  <r>
    <s v="PU040-LIV-08162021"/>
    <s v="Spill"/>
    <x v="1"/>
    <s v="Pumpkinseed"/>
    <s v="Lepomis"/>
    <s v="gibbosus"/>
    <s v="U"/>
    <x v="2"/>
    <n v="8"/>
    <n v="11.81"/>
    <x v="18"/>
    <s v="68259-12-1"/>
    <x v="18"/>
    <n v="8.01"/>
  </r>
  <r>
    <s v="PU040-LIV-08162021"/>
    <s v="Spill"/>
    <x v="1"/>
    <s v="Pumpkinseed"/>
    <s v="Lepomis"/>
    <s v="gibbosus"/>
    <s v="U"/>
    <x v="2"/>
    <n v="8"/>
    <n v="11.81"/>
    <x v="19"/>
    <s v="335-77-3"/>
    <x v="19"/>
    <n v="6.76"/>
  </r>
  <r>
    <s v="PU040-LIV-08162021"/>
    <s v="Spill"/>
    <x v="1"/>
    <s v="Pumpkinseed"/>
    <s v="Lepomis"/>
    <s v="gibbosus"/>
    <s v="U"/>
    <x v="2"/>
    <n v="8"/>
    <n v="11.81"/>
    <x v="20"/>
    <s v="79780-39-5"/>
    <x v="20"/>
    <n v="1.38"/>
  </r>
  <r>
    <s v="PU040-LIV-08162021"/>
    <s v="Spill"/>
    <x v="1"/>
    <s v="Pumpkinseed"/>
    <s v="Lepomis"/>
    <s v="gibbosus"/>
    <s v="U"/>
    <x v="2"/>
    <n v="8"/>
    <n v="11.81"/>
    <x v="21"/>
    <s v="777011-38-8"/>
    <x v="21"/>
    <n v="0.33200000000000002"/>
  </r>
  <r>
    <s v="PU040-LIV-08162021"/>
    <s v="Spill"/>
    <x v="1"/>
    <s v="Pumpkinseed"/>
    <s v="Lepomis"/>
    <s v="gibbosus"/>
    <s v="U"/>
    <x v="2"/>
    <n v="8"/>
    <n v="11.81"/>
    <x v="22"/>
    <s v="646-83-3"/>
    <x v="22"/>
    <n v="0.54500000000000004"/>
  </r>
  <r>
    <s v="PU040-LIV-08162021"/>
    <s v="Spill"/>
    <x v="1"/>
    <s v="Pumpkinseed"/>
    <s v="Lepomis"/>
    <s v="gibbosus"/>
    <s v="U"/>
    <x v="2"/>
    <n v="8"/>
    <n v="11.81"/>
    <x v="23"/>
    <s v="30334-69-1"/>
    <x v="23"/>
    <n v="156"/>
  </r>
  <r>
    <s v="PU040-LIV-08162021"/>
    <s v="Spill"/>
    <x v="1"/>
    <s v="Pumpkinseed"/>
    <s v="Lepomis"/>
    <s v="gibbosus"/>
    <s v="U"/>
    <x v="2"/>
    <n v="8"/>
    <n v="11.81"/>
    <x v="24"/>
    <s v="41997-13-1"/>
    <x v="24"/>
    <n v="133"/>
  </r>
  <r>
    <s v="PU040-LIV-08162021"/>
    <s v="Spill"/>
    <x v="1"/>
    <s v="Pumpkinseed"/>
    <s v="Lepomis"/>
    <s v="gibbosus"/>
    <s v="U"/>
    <x v="2"/>
    <n v="8"/>
    <n v="11.81"/>
    <x v="25"/>
    <s v="754-91-6"/>
    <x v="25"/>
    <n v="78.5"/>
  </r>
  <r>
    <s v="PU040-LIV-08162021"/>
    <s v="Spill"/>
    <x v="1"/>
    <s v="Pumpkinseed"/>
    <s v="Lepomis"/>
    <s v="gibbosus"/>
    <s v="U"/>
    <x v="2"/>
    <n v="8"/>
    <n v="11.81"/>
    <x v="26"/>
    <s v="31506-32-8"/>
    <x v="26"/>
    <n v="0.16550000000000001"/>
  </r>
  <r>
    <s v="PU040-LIV-08162021"/>
    <s v="Spill"/>
    <x v="1"/>
    <s v="Pumpkinseed"/>
    <s v="Lepomis"/>
    <s v="gibbosus"/>
    <s v="U"/>
    <x v="2"/>
    <n v="8"/>
    <n v="11.81"/>
    <x v="27"/>
    <s v="4151-50-2"/>
    <x v="27"/>
    <n v="0.19350000000000001"/>
  </r>
  <r>
    <s v="PU040-LIV-08162021"/>
    <s v="Spill"/>
    <x v="1"/>
    <s v="Pumpkinseed"/>
    <s v="Lepomis"/>
    <s v="gibbosus"/>
    <s v="U"/>
    <x v="2"/>
    <n v="8"/>
    <n v="11.81"/>
    <x v="28"/>
    <s v="2806-24-8"/>
    <x v="28"/>
    <n v="0.1305"/>
  </r>
  <r>
    <s v="PU040-LIV-08162021"/>
    <s v="Spill"/>
    <x v="1"/>
    <s v="Pumpkinseed"/>
    <s v="Lepomis"/>
    <s v="gibbosus"/>
    <s v="U"/>
    <x v="2"/>
    <n v="8"/>
    <n v="11.81"/>
    <x v="29"/>
    <s v="2355-31-9"/>
    <x v="29"/>
    <n v="0.16650000000000001"/>
  </r>
  <r>
    <s v="PU040-LIV-08162021"/>
    <s v="Spill"/>
    <x v="1"/>
    <s v="Pumpkinseed"/>
    <s v="Lepomis"/>
    <s v="gibbosus"/>
    <s v="U"/>
    <x v="2"/>
    <n v="8"/>
    <n v="11.81"/>
    <x v="30"/>
    <s v="2991-50-6"/>
    <x v="30"/>
    <n v="0.14399999999999999"/>
  </r>
  <r>
    <s v="PU040-LIV-08162021"/>
    <s v="Spill"/>
    <x v="1"/>
    <s v="Pumpkinseed"/>
    <s v="Lepomis"/>
    <s v="gibbosus"/>
    <s v="U"/>
    <x v="2"/>
    <n v="8"/>
    <n v="11.81"/>
    <x v="31"/>
    <s v="757124-72-4"/>
    <x v="31"/>
    <n v="0.16550000000000001"/>
  </r>
  <r>
    <s v="PU040-LIV-08162021"/>
    <s v="Spill"/>
    <x v="1"/>
    <s v="Pumpkinseed"/>
    <s v="Lepomis"/>
    <s v="gibbosus"/>
    <s v="U"/>
    <x v="2"/>
    <n v="8"/>
    <n v="11.81"/>
    <x v="32"/>
    <s v="27619-97-2"/>
    <x v="32"/>
    <n v="0.1"/>
  </r>
  <r>
    <s v="PU040-LIV-08162021"/>
    <s v="Spill"/>
    <x v="1"/>
    <s v="Pumpkinseed"/>
    <s v="Lepomis"/>
    <s v="gibbosus"/>
    <s v="U"/>
    <x v="2"/>
    <n v="8"/>
    <n v="11.81"/>
    <x v="33"/>
    <s v="39108-34-4"/>
    <x v="33"/>
    <n v="7.24"/>
  </r>
  <r>
    <s v="PU040-LIV-08162021"/>
    <s v="Spill"/>
    <x v="1"/>
    <s v="Pumpkinseed"/>
    <s v="Lepomis"/>
    <s v="gibbosus"/>
    <s v="U"/>
    <x v="2"/>
    <n v="8"/>
    <n v="11.81"/>
    <x v="34"/>
    <s v="120226-60-0"/>
    <x v="34"/>
    <n v="1.57"/>
  </r>
  <r>
    <s v="PU040-LIV-08162021"/>
    <s v="Spill"/>
    <x v="1"/>
    <s v="Pumpkinseed"/>
    <s v="Lepomis"/>
    <s v="gibbosus"/>
    <s v="U"/>
    <x v="2"/>
    <n v="8"/>
    <n v="11.81"/>
    <x v="35"/>
    <s v="356-02-5"/>
    <x v="35"/>
    <n v="0.191"/>
  </r>
  <r>
    <s v="PU040-LIV-08162021"/>
    <s v="Spill"/>
    <x v="1"/>
    <s v="Pumpkinseed"/>
    <s v="Lepomis"/>
    <s v="gibbosus"/>
    <s v="U"/>
    <x v="2"/>
    <n v="8"/>
    <n v="11.81"/>
    <x v="36"/>
    <s v="914637-49-3"/>
    <x v="36"/>
    <n v="0.41249999999999998"/>
  </r>
  <r>
    <s v="PU040-LIV-08162021"/>
    <s v="Spill"/>
    <x v="1"/>
    <s v="Pumpkinseed"/>
    <s v="Lepomis"/>
    <s v="gibbosus"/>
    <s v="U"/>
    <x v="2"/>
    <n v="8"/>
    <n v="11.81"/>
    <x v="37"/>
    <s v="812-70-4"/>
    <x v="37"/>
    <n v="0.16550000000000001"/>
  </r>
  <r>
    <s v="PU040-LIV-08162021"/>
    <s v="Spill"/>
    <x v="1"/>
    <s v="Pumpkinseed"/>
    <s v="Lepomis"/>
    <s v="gibbosus"/>
    <s v="U"/>
    <x v="2"/>
    <n v="8"/>
    <n v="11.81"/>
    <x v="38"/>
    <s v="53826-12-3"/>
    <x v="38"/>
    <n v="0.16550000000000001"/>
  </r>
  <r>
    <s v="PU040-LIV-08162021"/>
    <s v="Spill"/>
    <x v="1"/>
    <s v="Pumpkinseed"/>
    <s v="Lepomis"/>
    <s v="gibbosus"/>
    <s v="U"/>
    <x v="2"/>
    <n v="8"/>
    <n v="11.81"/>
    <x v="39"/>
    <s v="27854-31-5"/>
    <x v="39"/>
    <n v="0.16550000000000001"/>
  </r>
  <r>
    <s v="PU040-LIV-08162021"/>
    <s v="Spill"/>
    <x v="1"/>
    <s v="Pumpkinseed"/>
    <s v="Lepomis"/>
    <s v="gibbosus"/>
    <s v="U"/>
    <x v="2"/>
    <n v="8"/>
    <n v="11.81"/>
    <x v="40"/>
    <s v="53826-13-4"/>
    <x v="40"/>
    <n v="0.247"/>
  </r>
  <r>
    <s v="PU040-LIV-08162021"/>
    <s v="Spill"/>
    <x v="1"/>
    <s v="Pumpkinseed"/>
    <s v="Lepomis"/>
    <s v="gibbosus"/>
    <s v="U"/>
    <x v="2"/>
    <n v="8"/>
    <n v="11.81"/>
    <x v="41"/>
    <s v="161094-75-3"/>
    <x v="41"/>
    <n v="0.13"/>
  </r>
  <r>
    <s v="PU040-LIV-08162021"/>
    <s v="Spill"/>
    <x v="1"/>
    <s v="Pumpkinseed"/>
    <s v="Lepomis"/>
    <s v="gibbosus"/>
    <s v="U"/>
    <x v="2"/>
    <n v="8"/>
    <n v="11.81"/>
    <x v="42"/>
    <s v="70887-84-2"/>
    <x v="42"/>
    <n v="0.1"/>
  </r>
  <r>
    <s v="PU040-LIV-08162021"/>
    <s v="Spill"/>
    <x v="1"/>
    <s v="Pumpkinseed"/>
    <s v="Lepomis"/>
    <s v="gibbosus"/>
    <s v="U"/>
    <x v="2"/>
    <n v="8"/>
    <n v="11.81"/>
    <x v="43"/>
    <s v="919005-14-4"/>
    <x v="43"/>
    <n v="0.14599999999999999"/>
  </r>
  <r>
    <s v="PU040-LIV-08162021"/>
    <s v="Spill"/>
    <x v="1"/>
    <s v="Pumpkinseed"/>
    <s v="Lepomis"/>
    <s v="gibbosus"/>
    <s v="U"/>
    <x v="2"/>
    <n v="8"/>
    <n v="11.81"/>
    <x v="44"/>
    <s v="756426-58-1"/>
    <x v="44"/>
    <n v="0.16550000000000001"/>
  </r>
  <r>
    <s v="PU040-LIV-08162021"/>
    <s v="Spill"/>
    <x v="1"/>
    <s v="Pumpkinseed"/>
    <s v="Lepomis"/>
    <s v="gibbosus"/>
    <s v="U"/>
    <x v="2"/>
    <n v="8"/>
    <n v="11.81"/>
    <x v="45"/>
    <s v="763051-92-9"/>
    <x v="45"/>
    <n v="0.16550000000000001"/>
  </r>
  <r>
    <s v="PU040-LIV-08162021"/>
    <s v="Spill"/>
    <x v="1"/>
    <s v="Pumpkinseed"/>
    <s v="Lepomis"/>
    <s v="gibbosus"/>
    <s v="U"/>
    <x v="2"/>
    <n v="8"/>
    <n v="11.81"/>
    <x v="46"/>
    <s v="13252-13-6"/>
    <x v="46"/>
    <n v="0.23749999999999999"/>
  </r>
  <r>
    <s v="PU040-LIV-08162021"/>
    <s v="Spill"/>
    <x v="1"/>
    <s v="Pumpkinseed"/>
    <s v="Lepomis"/>
    <s v="gibbosus"/>
    <s v="U"/>
    <x v="2"/>
    <n v="8"/>
    <n v="11.81"/>
    <x v="47"/>
    <s v="57677-95-9"/>
    <x v="47"/>
    <n v="0.17649999999999999"/>
  </r>
  <r>
    <s v="PU040-LIV-08162021"/>
    <s v="Spill"/>
    <x v="1"/>
    <s v="Pumpkinseed"/>
    <s v="Lepomis"/>
    <s v="gibbosus"/>
    <s v="U"/>
    <x v="2"/>
    <n v="8"/>
    <n v="11.81"/>
    <x v="48"/>
    <s v="678-41-1"/>
    <x v="48"/>
    <n v="0.2195"/>
  </r>
  <r>
    <s v="PU040-LIV-08162021"/>
    <s v="Spill"/>
    <x v="1"/>
    <s v="Pumpkinseed"/>
    <s v="Lepomis"/>
    <s v="gibbosus"/>
    <s v="U"/>
    <x v="2"/>
    <n v="8"/>
    <n v="11.81"/>
    <x v="49"/>
    <s v="2965-52-8"/>
    <x v="49"/>
    <n v="0.29149999999999998"/>
  </r>
  <r>
    <s v="PU040-MU-08162021"/>
    <s v="Spill"/>
    <x v="1"/>
    <s v="Pumpkinseed"/>
    <s v="Lepomis"/>
    <s v="gibbosus"/>
    <s v="U"/>
    <x v="1"/>
    <n v="8"/>
    <n v="11.81"/>
    <x v="0"/>
    <s v="375-22-4"/>
    <x v="0"/>
    <n v="0.23"/>
  </r>
  <r>
    <s v="PU040-MU-08162021"/>
    <s v="Spill"/>
    <x v="1"/>
    <s v="Pumpkinseed"/>
    <s v="Lepomis"/>
    <s v="gibbosus"/>
    <s v="U"/>
    <x v="1"/>
    <n v="8"/>
    <n v="11.81"/>
    <x v="1"/>
    <s v="2706-90-3"/>
    <x v="1"/>
    <n v="4.9299999999999997E-2"/>
  </r>
  <r>
    <s v="PU040-MU-08162021"/>
    <s v="Spill"/>
    <x v="1"/>
    <s v="Pumpkinseed"/>
    <s v="Lepomis"/>
    <s v="gibbosus"/>
    <s v="U"/>
    <x v="1"/>
    <n v="8"/>
    <n v="11.81"/>
    <x v="2"/>
    <s v="307-24-4"/>
    <x v="2"/>
    <n v="3.7650000000000003E-2"/>
  </r>
  <r>
    <s v="PU040-MU-08162021"/>
    <s v="Spill"/>
    <x v="1"/>
    <s v="Pumpkinseed"/>
    <s v="Lepomis"/>
    <s v="gibbosus"/>
    <s v="U"/>
    <x v="1"/>
    <n v="8"/>
    <n v="11.81"/>
    <x v="3"/>
    <s v="375-85-9"/>
    <x v="3"/>
    <n v="9.1999999999999998E-2"/>
  </r>
  <r>
    <s v="PU040-MU-08162021"/>
    <s v="Spill"/>
    <x v="1"/>
    <s v="Pumpkinseed"/>
    <s v="Lepomis"/>
    <s v="gibbosus"/>
    <s v="U"/>
    <x v="1"/>
    <n v="8"/>
    <n v="11.81"/>
    <x v="4"/>
    <s v="335-67-1"/>
    <x v="4"/>
    <n v="9.1999999999999998E-2"/>
  </r>
  <r>
    <s v="PU040-MU-08162021"/>
    <s v="Spill"/>
    <x v="1"/>
    <s v="Pumpkinseed"/>
    <s v="Lepomis"/>
    <s v="gibbosus"/>
    <s v="U"/>
    <x v="1"/>
    <n v="8"/>
    <n v="11.81"/>
    <x v="5"/>
    <s v="375-95-1"/>
    <x v="5"/>
    <n v="0.1595"/>
  </r>
  <r>
    <s v="PU040-MU-08162021"/>
    <s v="Spill"/>
    <x v="1"/>
    <s v="Pumpkinseed"/>
    <s v="Lepomis"/>
    <s v="gibbosus"/>
    <s v="U"/>
    <x v="1"/>
    <n v="8"/>
    <n v="11.81"/>
    <x v="6"/>
    <s v="335-76-2"/>
    <x v="6"/>
    <n v="2.96"/>
  </r>
  <r>
    <s v="PU040-MU-08162021"/>
    <s v="Spill"/>
    <x v="1"/>
    <s v="Pumpkinseed"/>
    <s v="Lepomis"/>
    <s v="gibbosus"/>
    <s v="U"/>
    <x v="1"/>
    <n v="8"/>
    <n v="11.81"/>
    <x v="7"/>
    <s v="2058-94-8"/>
    <x v="7"/>
    <n v="4.6100000000000003"/>
  </r>
  <r>
    <s v="PU040-MU-08162021"/>
    <s v="Spill"/>
    <x v="1"/>
    <s v="Pumpkinseed"/>
    <s v="Lepomis"/>
    <s v="gibbosus"/>
    <s v="U"/>
    <x v="1"/>
    <n v="8"/>
    <n v="11.81"/>
    <x v="8"/>
    <s v="307-55-1"/>
    <x v="8"/>
    <n v="4.47"/>
  </r>
  <r>
    <s v="PU040-MU-08162021"/>
    <s v="Spill"/>
    <x v="1"/>
    <s v="Pumpkinseed"/>
    <s v="Lepomis"/>
    <s v="gibbosus"/>
    <s v="U"/>
    <x v="1"/>
    <n v="8"/>
    <n v="11.81"/>
    <x v="9"/>
    <s v="72629-94-8"/>
    <x v="9"/>
    <n v="2.5099999999999998"/>
  </r>
  <r>
    <s v="PU040-MU-08162021"/>
    <s v="Spill"/>
    <x v="1"/>
    <s v="Pumpkinseed"/>
    <s v="Lepomis"/>
    <s v="gibbosus"/>
    <s v="U"/>
    <x v="1"/>
    <n v="8"/>
    <n v="11.81"/>
    <x v="10"/>
    <s v="376-06-7"/>
    <x v="10"/>
    <n v="2.96"/>
  </r>
  <r>
    <s v="PU040-MU-08162021"/>
    <s v="Spill"/>
    <x v="1"/>
    <s v="Pumpkinseed"/>
    <s v="Lepomis"/>
    <s v="gibbosus"/>
    <s v="U"/>
    <x v="1"/>
    <n v="8"/>
    <n v="11.81"/>
    <x v="11"/>
    <s v="67905-19-5"/>
    <x v="11"/>
    <n v="8.3000000000000004E-2"/>
  </r>
  <r>
    <s v="PU040-MU-08162021"/>
    <s v="Spill"/>
    <x v="1"/>
    <s v="Pumpkinseed"/>
    <s v="Lepomis"/>
    <s v="gibbosus"/>
    <s v="U"/>
    <x v="1"/>
    <n v="8"/>
    <n v="11.81"/>
    <x v="12"/>
    <s v="423-41-6"/>
    <x v="12"/>
    <n v="6.9500000000000006E-2"/>
  </r>
  <r>
    <s v="PU040-MU-08162021"/>
    <s v="Spill"/>
    <x v="1"/>
    <s v="Pumpkinseed"/>
    <s v="Lepomis"/>
    <s v="gibbosus"/>
    <s v="U"/>
    <x v="1"/>
    <n v="8"/>
    <n v="11.81"/>
    <x v="13"/>
    <s v="375-73-5"/>
    <x v="13"/>
    <n v="0.1565"/>
  </r>
  <r>
    <s v="PU040-MU-08162021"/>
    <s v="Spill"/>
    <x v="1"/>
    <s v="Pumpkinseed"/>
    <s v="Lepomis"/>
    <s v="gibbosus"/>
    <s v="U"/>
    <x v="1"/>
    <n v="8"/>
    <n v="11.81"/>
    <x v="14"/>
    <s v="2706-91-4"/>
    <x v="14"/>
    <n v="6.9500000000000006E-2"/>
  </r>
  <r>
    <s v="PU040-MU-08162021"/>
    <s v="Spill"/>
    <x v="1"/>
    <s v="Pumpkinseed"/>
    <s v="Lepomis"/>
    <s v="gibbosus"/>
    <s v="U"/>
    <x v="1"/>
    <n v="8"/>
    <n v="11.81"/>
    <x v="15"/>
    <s v="355-46-4"/>
    <x v="15"/>
    <n v="2.06"/>
  </r>
  <r>
    <s v="PU040-MU-08162021"/>
    <s v="Spill"/>
    <x v="1"/>
    <s v="Pumpkinseed"/>
    <s v="Lepomis"/>
    <s v="gibbosus"/>
    <s v="U"/>
    <x v="1"/>
    <n v="8"/>
    <n v="11.81"/>
    <x v="16"/>
    <s v="375-92-8"/>
    <x v="16"/>
    <n v="1.19"/>
  </r>
  <r>
    <s v="PU040-MU-08162021"/>
    <s v="Spill"/>
    <x v="1"/>
    <s v="Pumpkinseed"/>
    <s v="Lepomis"/>
    <s v="gibbosus"/>
    <s v="U"/>
    <x v="1"/>
    <n v="8"/>
    <n v="11.81"/>
    <x v="17"/>
    <s v="1763-23-1"/>
    <x v="17"/>
    <n v="345"/>
  </r>
  <r>
    <s v="PU040-MU-08162021"/>
    <s v="Spill"/>
    <x v="1"/>
    <s v="Pumpkinseed"/>
    <s v="Lepomis"/>
    <s v="gibbosus"/>
    <s v="U"/>
    <x v="1"/>
    <n v="8"/>
    <n v="11.81"/>
    <x v="18"/>
    <s v="68259-12-1"/>
    <x v="18"/>
    <n v="4.47"/>
  </r>
  <r>
    <s v="PU040-MU-08162021"/>
    <s v="Spill"/>
    <x v="1"/>
    <s v="Pumpkinseed"/>
    <s v="Lepomis"/>
    <s v="gibbosus"/>
    <s v="U"/>
    <x v="1"/>
    <n v="8"/>
    <n v="11.81"/>
    <x v="19"/>
    <s v="335-77-3"/>
    <x v="19"/>
    <n v="2.95"/>
  </r>
  <r>
    <s v="PU040-MU-08162021"/>
    <s v="Spill"/>
    <x v="1"/>
    <s v="Pumpkinseed"/>
    <s v="Lepomis"/>
    <s v="gibbosus"/>
    <s v="U"/>
    <x v="1"/>
    <n v="8"/>
    <n v="11.81"/>
    <x v="20"/>
    <s v="79780-39-5"/>
    <x v="20"/>
    <n v="0.51"/>
  </r>
  <r>
    <s v="PU040-MU-08162021"/>
    <s v="Spill"/>
    <x v="1"/>
    <s v="Pumpkinseed"/>
    <s v="Lepomis"/>
    <s v="gibbosus"/>
    <s v="U"/>
    <x v="1"/>
    <n v="8"/>
    <n v="11.81"/>
    <x v="21"/>
    <s v="777011-38-8"/>
    <x v="21"/>
    <n v="0.14000000000000001"/>
  </r>
  <r>
    <s v="PU040-MU-08162021"/>
    <s v="Spill"/>
    <x v="1"/>
    <s v="Pumpkinseed"/>
    <s v="Lepomis"/>
    <s v="gibbosus"/>
    <s v="U"/>
    <x v="1"/>
    <n v="8"/>
    <n v="11.81"/>
    <x v="22"/>
    <s v="646-83-3"/>
    <x v="22"/>
    <n v="6.9500000000000006E-2"/>
  </r>
  <r>
    <s v="PU040-MU-08162021"/>
    <s v="Spill"/>
    <x v="1"/>
    <s v="Pumpkinseed"/>
    <s v="Lepomis"/>
    <s v="gibbosus"/>
    <s v="U"/>
    <x v="1"/>
    <n v="8"/>
    <n v="11.81"/>
    <x v="23"/>
    <s v="30334-69-1"/>
    <x v="23"/>
    <n v="10.199999999999999"/>
  </r>
  <r>
    <s v="PU040-MU-08162021"/>
    <s v="Spill"/>
    <x v="1"/>
    <s v="Pumpkinseed"/>
    <s v="Lepomis"/>
    <s v="gibbosus"/>
    <s v="U"/>
    <x v="1"/>
    <n v="8"/>
    <n v="11.81"/>
    <x v="24"/>
    <s v="41997-13-1"/>
    <x v="24"/>
    <n v="36.700000000000003"/>
  </r>
  <r>
    <s v="PU040-MU-08162021"/>
    <s v="Spill"/>
    <x v="1"/>
    <s v="Pumpkinseed"/>
    <s v="Lepomis"/>
    <s v="gibbosus"/>
    <s v="U"/>
    <x v="1"/>
    <n v="8"/>
    <n v="11.81"/>
    <x v="25"/>
    <s v="754-91-6"/>
    <x v="25"/>
    <n v="12.2"/>
  </r>
  <r>
    <s v="PU040-MU-08162021"/>
    <s v="Spill"/>
    <x v="1"/>
    <s v="Pumpkinseed"/>
    <s v="Lepomis"/>
    <s v="gibbosus"/>
    <s v="U"/>
    <x v="1"/>
    <n v="8"/>
    <n v="11.81"/>
    <x v="26"/>
    <s v="31506-32-8"/>
    <x v="26"/>
    <n v="6.9500000000000006E-2"/>
  </r>
  <r>
    <s v="PU040-MU-08162021"/>
    <s v="Spill"/>
    <x v="1"/>
    <s v="Pumpkinseed"/>
    <s v="Lepomis"/>
    <s v="gibbosus"/>
    <s v="U"/>
    <x v="1"/>
    <n v="8"/>
    <n v="11.81"/>
    <x v="27"/>
    <s v="4151-50-2"/>
    <x v="27"/>
    <n v="8.1500000000000003E-2"/>
  </r>
  <r>
    <s v="PU040-MU-08162021"/>
    <s v="Spill"/>
    <x v="1"/>
    <s v="Pumpkinseed"/>
    <s v="Lepomis"/>
    <s v="gibbosus"/>
    <s v="U"/>
    <x v="1"/>
    <n v="8"/>
    <n v="11.81"/>
    <x v="28"/>
    <s v="2806-24-8"/>
    <x v="28"/>
    <n v="5.5E-2"/>
  </r>
  <r>
    <s v="PU040-MU-08162021"/>
    <s v="Spill"/>
    <x v="1"/>
    <s v="Pumpkinseed"/>
    <s v="Lepomis"/>
    <s v="gibbosus"/>
    <s v="U"/>
    <x v="1"/>
    <n v="8"/>
    <n v="11.81"/>
    <x v="29"/>
    <s v="2355-31-9"/>
    <x v="29"/>
    <n v="7.0000000000000007E-2"/>
  </r>
  <r>
    <s v="PU040-MU-08162021"/>
    <s v="Spill"/>
    <x v="1"/>
    <s v="Pumpkinseed"/>
    <s v="Lepomis"/>
    <s v="gibbosus"/>
    <s v="U"/>
    <x v="1"/>
    <n v="8"/>
    <n v="11.81"/>
    <x v="30"/>
    <s v="2991-50-6"/>
    <x v="30"/>
    <n v="6.0499999999999998E-2"/>
  </r>
  <r>
    <s v="PU040-MU-08162021"/>
    <s v="Spill"/>
    <x v="1"/>
    <s v="Pumpkinseed"/>
    <s v="Lepomis"/>
    <s v="gibbosus"/>
    <s v="U"/>
    <x v="1"/>
    <n v="8"/>
    <n v="11.81"/>
    <x v="31"/>
    <s v="757124-72-4"/>
    <x v="31"/>
    <n v="6.9500000000000006E-2"/>
  </r>
  <r>
    <s v="PU040-MU-08162021"/>
    <s v="Spill"/>
    <x v="1"/>
    <s v="Pumpkinseed"/>
    <s v="Lepomis"/>
    <s v="gibbosus"/>
    <s v="U"/>
    <x v="1"/>
    <n v="8"/>
    <n v="11.81"/>
    <x v="32"/>
    <s v="27619-97-2"/>
    <x v="32"/>
    <n v="0.13900000000000001"/>
  </r>
  <r>
    <s v="PU040-MU-08162021"/>
    <s v="Spill"/>
    <x v="1"/>
    <s v="Pumpkinseed"/>
    <s v="Lepomis"/>
    <s v="gibbosus"/>
    <s v="U"/>
    <x v="1"/>
    <n v="8"/>
    <n v="11.81"/>
    <x v="33"/>
    <s v="39108-34-4"/>
    <x v="33"/>
    <n v="0.745"/>
  </r>
  <r>
    <s v="PU040-MU-08162021"/>
    <s v="Spill"/>
    <x v="1"/>
    <s v="Pumpkinseed"/>
    <s v="Lepomis"/>
    <s v="gibbosus"/>
    <s v="U"/>
    <x v="1"/>
    <n v="8"/>
    <n v="11.81"/>
    <x v="34"/>
    <s v="120226-60-0"/>
    <x v="34"/>
    <n v="0.26150000000000001"/>
  </r>
  <r>
    <s v="PU040-MU-08162021"/>
    <s v="Spill"/>
    <x v="1"/>
    <s v="Pumpkinseed"/>
    <s v="Lepomis"/>
    <s v="gibbosus"/>
    <s v="U"/>
    <x v="1"/>
    <n v="8"/>
    <n v="11.81"/>
    <x v="35"/>
    <s v="356-02-5"/>
    <x v="35"/>
    <n v="8.0500000000000002E-2"/>
  </r>
  <r>
    <s v="PU040-MU-08162021"/>
    <s v="Spill"/>
    <x v="1"/>
    <s v="Pumpkinseed"/>
    <s v="Lepomis"/>
    <s v="gibbosus"/>
    <s v="U"/>
    <x v="1"/>
    <n v="8"/>
    <n v="11.81"/>
    <x v="36"/>
    <s v="914637-49-3"/>
    <x v="36"/>
    <n v="0.17349999999999999"/>
  </r>
  <r>
    <s v="PU040-MU-08162021"/>
    <s v="Spill"/>
    <x v="1"/>
    <s v="Pumpkinseed"/>
    <s v="Lepomis"/>
    <s v="gibbosus"/>
    <s v="U"/>
    <x v="1"/>
    <n v="8"/>
    <n v="11.81"/>
    <x v="37"/>
    <s v="812-70-4"/>
    <x v="37"/>
    <n v="3.87"/>
  </r>
  <r>
    <s v="PU040-MU-08162021"/>
    <s v="Spill"/>
    <x v="1"/>
    <s v="Pumpkinseed"/>
    <s v="Lepomis"/>
    <s v="gibbosus"/>
    <s v="U"/>
    <x v="1"/>
    <n v="8"/>
    <n v="11.81"/>
    <x v="38"/>
    <s v="53826-12-3"/>
    <x v="38"/>
    <n v="0.23"/>
  </r>
  <r>
    <s v="PU040-MU-08162021"/>
    <s v="Spill"/>
    <x v="1"/>
    <s v="Pumpkinseed"/>
    <s v="Lepomis"/>
    <s v="gibbosus"/>
    <s v="U"/>
    <x v="1"/>
    <n v="8"/>
    <n v="11.81"/>
    <x v="39"/>
    <s v="27854-31-5"/>
    <x v="39"/>
    <n v="6.9500000000000006E-2"/>
  </r>
  <r>
    <s v="PU040-MU-08162021"/>
    <s v="Spill"/>
    <x v="1"/>
    <s v="Pumpkinseed"/>
    <s v="Lepomis"/>
    <s v="gibbosus"/>
    <s v="U"/>
    <x v="1"/>
    <n v="8"/>
    <n v="11.81"/>
    <x v="40"/>
    <s v="53826-13-4"/>
    <x v="40"/>
    <n v="0.104"/>
  </r>
  <r>
    <s v="PU040-MU-08162021"/>
    <s v="Spill"/>
    <x v="1"/>
    <s v="Pumpkinseed"/>
    <s v="Lepomis"/>
    <s v="gibbosus"/>
    <s v="U"/>
    <x v="1"/>
    <n v="8"/>
    <n v="11.81"/>
    <x v="41"/>
    <s v="161094-75-3"/>
    <x v="41"/>
    <n v="5.5E-2"/>
  </r>
  <r>
    <s v="PU040-MU-08162021"/>
    <s v="Spill"/>
    <x v="1"/>
    <s v="Pumpkinseed"/>
    <s v="Lepomis"/>
    <s v="gibbosus"/>
    <s v="U"/>
    <x v="1"/>
    <n v="8"/>
    <n v="11.81"/>
    <x v="42"/>
    <s v="70887-84-2"/>
    <x v="42"/>
    <n v="4.215E-2"/>
  </r>
  <r>
    <s v="PU040-MU-08162021"/>
    <s v="Spill"/>
    <x v="1"/>
    <s v="Pumpkinseed"/>
    <s v="Lepomis"/>
    <s v="gibbosus"/>
    <s v="U"/>
    <x v="1"/>
    <n v="8"/>
    <n v="11.81"/>
    <x v="43"/>
    <s v="919005-14-4"/>
    <x v="43"/>
    <n v="6.1499999999999999E-2"/>
  </r>
  <r>
    <s v="PU040-MU-08162021"/>
    <s v="Spill"/>
    <x v="1"/>
    <s v="Pumpkinseed"/>
    <s v="Lepomis"/>
    <s v="gibbosus"/>
    <s v="U"/>
    <x v="1"/>
    <n v="8"/>
    <n v="11.81"/>
    <x v="44"/>
    <s v="756426-58-1"/>
    <x v="44"/>
    <n v="6.9500000000000006E-2"/>
  </r>
  <r>
    <s v="PU040-MU-08162021"/>
    <s v="Spill"/>
    <x v="1"/>
    <s v="Pumpkinseed"/>
    <s v="Lepomis"/>
    <s v="gibbosus"/>
    <s v="U"/>
    <x v="1"/>
    <n v="8"/>
    <n v="11.81"/>
    <x v="45"/>
    <s v="763051-92-9"/>
    <x v="45"/>
    <n v="6.9500000000000006E-2"/>
  </r>
  <r>
    <s v="PU040-MU-08162021"/>
    <s v="Spill"/>
    <x v="1"/>
    <s v="Pumpkinseed"/>
    <s v="Lepomis"/>
    <s v="gibbosus"/>
    <s v="U"/>
    <x v="1"/>
    <n v="8"/>
    <n v="11.81"/>
    <x v="46"/>
    <s v="13252-13-6"/>
    <x v="46"/>
    <n v="0.1"/>
  </r>
  <r>
    <s v="PU040-MU-08162021"/>
    <s v="Spill"/>
    <x v="1"/>
    <s v="Pumpkinseed"/>
    <s v="Lepomis"/>
    <s v="gibbosus"/>
    <s v="U"/>
    <x v="1"/>
    <n v="8"/>
    <n v="11.81"/>
    <x v="47"/>
    <s v="57677-95-9"/>
    <x v="47"/>
    <n v="7.3999999999999996E-2"/>
  </r>
  <r>
    <s v="PU040-MU-08162021"/>
    <s v="Spill"/>
    <x v="1"/>
    <s v="Pumpkinseed"/>
    <s v="Lepomis"/>
    <s v="gibbosus"/>
    <s v="U"/>
    <x v="1"/>
    <n v="8"/>
    <n v="11.81"/>
    <x v="48"/>
    <s v="678-41-1"/>
    <x v="48"/>
    <n v="9.2499999999999999E-2"/>
  </r>
  <r>
    <s v="PU040-MU-08162021"/>
    <s v="Spill"/>
    <x v="1"/>
    <s v="Pumpkinseed"/>
    <s v="Lepomis"/>
    <s v="gibbosus"/>
    <s v="U"/>
    <x v="1"/>
    <n v="8"/>
    <n v="11.81"/>
    <x v="49"/>
    <s v="2965-52-8"/>
    <x v="49"/>
    <n v="0.1225"/>
  </r>
  <r>
    <s v="PU041-LIV-08162021"/>
    <s v="Spill"/>
    <x v="1"/>
    <s v="Pumpkinseed"/>
    <s v="Lepomis"/>
    <s v="gibbosus"/>
    <s v="U"/>
    <x v="2"/>
    <n v="8"/>
    <n v="11.81"/>
    <x v="0"/>
    <s v="375-22-4"/>
    <x v="0"/>
    <n v="0.83499999999999996"/>
  </r>
  <r>
    <s v="PU041-LIV-08162021"/>
    <s v="Spill"/>
    <x v="1"/>
    <s v="Pumpkinseed"/>
    <s v="Lepomis"/>
    <s v="gibbosus"/>
    <s v="U"/>
    <x v="2"/>
    <n v="8"/>
    <n v="11.81"/>
    <x v="1"/>
    <s v="2706-90-3"/>
    <x v="1"/>
    <n v="0.17849999999999999"/>
  </r>
  <r>
    <s v="PU041-LIV-08162021"/>
    <s v="Spill"/>
    <x v="1"/>
    <s v="Pumpkinseed"/>
    <s v="Lepomis"/>
    <s v="gibbosus"/>
    <s v="U"/>
    <x v="2"/>
    <n v="8"/>
    <n v="11.81"/>
    <x v="2"/>
    <s v="307-24-4"/>
    <x v="2"/>
    <n v="0.13650000000000001"/>
  </r>
  <r>
    <s v="PU041-LIV-08162021"/>
    <s v="Spill"/>
    <x v="1"/>
    <s v="Pumpkinseed"/>
    <s v="Lepomis"/>
    <s v="gibbosus"/>
    <s v="U"/>
    <x v="2"/>
    <n v="8"/>
    <n v="11.81"/>
    <x v="3"/>
    <s v="375-85-9"/>
    <x v="3"/>
    <n v="0.33350000000000002"/>
  </r>
  <r>
    <s v="PU041-LIV-08162021"/>
    <s v="Spill"/>
    <x v="1"/>
    <s v="Pumpkinseed"/>
    <s v="Lepomis"/>
    <s v="gibbosus"/>
    <s v="U"/>
    <x v="2"/>
    <n v="8"/>
    <n v="11.81"/>
    <x v="4"/>
    <s v="335-67-1"/>
    <x v="4"/>
    <n v="0.76"/>
  </r>
  <r>
    <s v="PU041-LIV-08162021"/>
    <s v="Spill"/>
    <x v="1"/>
    <s v="Pumpkinseed"/>
    <s v="Lepomis"/>
    <s v="gibbosus"/>
    <s v="U"/>
    <x v="2"/>
    <n v="8"/>
    <n v="11.81"/>
    <x v="5"/>
    <s v="375-95-1"/>
    <x v="5"/>
    <n v="0.57499999999999996"/>
  </r>
  <r>
    <s v="PU041-LIV-08162021"/>
    <s v="Spill"/>
    <x v="1"/>
    <s v="Pumpkinseed"/>
    <s v="Lepomis"/>
    <s v="gibbosus"/>
    <s v="U"/>
    <x v="2"/>
    <n v="8"/>
    <n v="11.81"/>
    <x v="6"/>
    <s v="335-76-2"/>
    <x v="6"/>
    <n v="1.4"/>
  </r>
  <r>
    <s v="PU041-LIV-08162021"/>
    <s v="Spill"/>
    <x v="1"/>
    <s v="Pumpkinseed"/>
    <s v="Lepomis"/>
    <s v="gibbosus"/>
    <s v="U"/>
    <x v="2"/>
    <n v="8"/>
    <n v="11.81"/>
    <x v="7"/>
    <s v="2058-94-8"/>
    <x v="7"/>
    <n v="3.35"/>
  </r>
  <r>
    <s v="PU041-LIV-08162021"/>
    <s v="Spill"/>
    <x v="1"/>
    <s v="Pumpkinseed"/>
    <s v="Lepomis"/>
    <s v="gibbosus"/>
    <s v="U"/>
    <x v="2"/>
    <n v="8"/>
    <n v="11.81"/>
    <x v="8"/>
    <s v="307-55-1"/>
    <x v="8"/>
    <n v="6.04"/>
  </r>
  <r>
    <s v="PU041-LIV-08162021"/>
    <s v="Spill"/>
    <x v="1"/>
    <s v="Pumpkinseed"/>
    <s v="Lepomis"/>
    <s v="gibbosus"/>
    <s v="U"/>
    <x v="2"/>
    <n v="8"/>
    <n v="11.81"/>
    <x v="9"/>
    <s v="72629-94-8"/>
    <x v="9"/>
    <n v="1.1399999999999999"/>
  </r>
  <r>
    <s v="PU041-LIV-08162021"/>
    <s v="Spill"/>
    <x v="1"/>
    <s v="Pumpkinseed"/>
    <s v="Lepomis"/>
    <s v="gibbosus"/>
    <s v="U"/>
    <x v="2"/>
    <n v="8"/>
    <n v="11.81"/>
    <x v="10"/>
    <s v="376-06-7"/>
    <x v="10"/>
    <n v="2.74"/>
  </r>
  <r>
    <s v="PU041-LIV-08162021"/>
    <s v="Spill"/>
    <x v="1"/>
    <s v="Pumpkinseed"/>
    <s v="Lepomis"/>
    <s v="gibbosus"/>
    <s v="U"/>
    <x v="2"/>
    <n v="8"/>
    <n v="11.81"/>
    <x v="11"/>
    <s v="67905-19-5"/>
    <x v="11"/>
    <n v="0.30099999999999999"/>
  </r>
  <r>
    <s v="PU041-LIV-08162021"/>
    <s v="Spill"/>
    <x v="1"/>
    <s v="Pumpkinseed"/>
    <s v="Lepomis"/>
    <s v="gibbosus"/>
    <s v="U"/>
    <x v="2"/>
    <n v="8"/>
    <n v="11.81"/>
    <x v="12"/>
    <s v="423-41-6"/>
    <x v="12"/>
    <n v="0.2525"/>
  </r>
  <r>
    <s v="PU041-LIV-08162021"/>
    <s v="Spill"/>
    <x v="1"/>
    <s v="Pumpkinseed"/>
    <s v="Lepomis"/>
    <s v="gibbosus"/>
    <s v="U"/>
    <x v="2"/>
    <n v="8"/>
    <n v="11.81"/>
    <x v="13"/>
    <s v="375-73-5"/>
    <x v="13"/>
    <n v="0.17199999999999999"/>
  </r>
  <r>
    <s v="PU041-LIV-08162021"/>
    <s v="Spill"/>
    <x v="1"/>
    <s v="Pumpkinseed"/>
    <s v="Lepomis"/>
    <s v="gibbosus"/>
    <s v="U"/>
    <x v="2"/>
    <n v="8"/>
    <n v="11.81"/>
    <x v="14"/>
    <s v="2706-91-4"/>
    <x v="14"/>
    <n v="0.2525"/>
  </r>
  <r>
    <s v="PU041-LIV-08162021"/>
    <s v="Spill"/>
    <x v="1"/>
    <s v="Pumpkinseed"/>
    <s v="Lepomis"/>
    <s v="gibbosus"/>
    <s v="U"/>
    <x v="2"/>
    <n v="8"/>
    <n v="11.81"/>
    <x v="15"/>
    <s v="355-46-4"/>
    <x v="15"/>
    <n v="7.54"/>
  </r>
  <r>
    <s v="PU041-LIV-08162021"/>
    <s v="Spill"/>
    <x v="1"/>
    <s v="Pumpkinseed"/>
    <s v="Lepomis"/>
    <s v="gibbosus"/>
    <s v="U"/>
    <x v="2"/>
    <n v="8"/>
    <n v="11.81"/>
    <x v="16"/>
    <s v="375-92-8"/>
    <x v="16"/>
    <n v="1.66"/>
  </r>
  <r>
    <s v="PU041-LIV-08162021"/>
    <s v="Spill"/>
    <x v="1"/>
    <s v="Pumpkinseed"/>
    <s v="Lepomis"/>
    <s v="gibbosus"/>
    <s v="U"/>
    <x v="2"/>
    <n v="8"/>
    <n v="11.81"/>
    <x v="17"/>
    <s v="1763-23-1"/>
    <x v="17"/>
    <n v="423"/>
  </r>
  <r>
    <s v="PU041-LIV-08162021"/>
    <s v="Spill"/>
    <x v="1"/>
    <s v="Pumpkinseed"/>
    <s v="Lepomis"/>
    <s v="gibbosus"/>
    <s v="U"/>
    <x v="2"/>
    <n v="8"/>
    <n v="11.81"/>
    <x v="18"/>
    <s v="68259-12-1"/>
    <x v="18"/>
    <n v="0.47499999999999998"/>
  </r>
  <r>
    <s v="PU041-LIV-08162021"/>
    <s v="Spill"/>
    <x v="1"/>
    <s v="Pumpkinseed"/>
    <s v="Lepomis"/>
    <s v="gibbosus"/>
    <s v="U"/>
    <x v="2"/>
    <n v="8"/>
    <n v="11.81"/>
    <x v="19"/>
    <s v="335-77-3"/>
    <x v="19"/>
    <n v="0.68"/>
  </r>
  <r>
    <s v="PU041-LIV-08162021"/>
    <s v="Spill"/>
    <x v="1"/>
    <s v="Pumpkinseed"/>
    <s v="Lepomis"/>
    <s v="gibbosus"/>
    <s v="U"/>
    <x v="2"/>
    <n v="8"/>
    <n v="11.81"/>
    <x v="20"/>
    <s v="79780-39-5"/>
    <x v="20"/>
    <n v="0.27"/>
  </r>
  <r>
    <s v="PU041-LIV-08162021"/>
    <s v="Spill"/>
    <x v="1"/>
    <s v="Pumpkinseed"/>
    <s v="Lepomis"/>
    <s v="gibbosus"/>
    <s v="U"/>
    <x v="2"/>
    <n v="8"/>
    <n v="11.81"/>
    <x v="21"/>
    <s v="777011-38-8"/>
    <x v="21"/>
    <n v="0.1535"/>
  </r>
  <r>
    <s v="PU041-LIV-08162021"/>
    <s v="Spill"/>
    <x v="1"/>
    <s v="Pumpkinseed"/>
    <s v="Lepomis"/>
    <s v="gibbosus"/>
    <s v="U"/>
    <x v="2"/>
    <n v="8"/>
    <n v="11.81"/>
    <x v="22"/>
    <s v="646-83-3"/>
    <x v="22"/>
    <n v="0.2525"/>
  </r>
  <r>
    <s v="PU041-LIV-08162021"/>
    <s v="Spill"/>
    <x v="1"/>
    <s v="Pumpkinseed"/>
    <s v="Lepomis"/>
    <s v="gibbosus"/>
    <s v="U"/>
    <x v="2"/>
    <n v="8"/>
    <n v="11.81"/>
    <x v="23"/>
    <s v="30334-69-1"/>
    <x v="23"/>
    <n v="6.33"/>
  </r>
  <r>
    <s v="PU041-LIV-08162021"/>
    <s v="Spill"/>
    <x v="1"/>
    <s v="Pumpkinseed"/>
    <s v="Lepomis"/>
    <s v="gibbosus"/>
    <s v="U"/>
    <x v="2"/>
    <n v="8"/>
    <n v="11.81"/>
    <x v="24"/>
    <s v="41997-13-1"/>
    <x v="24"/>
    <n v="65.8"/>
  </r>
  <r>
    <s v="PU041-LIV-08162021"/>
    <s v="Spill"/>
    <x v="1"/>
    <s v="Pumpkinseed"/>
    <s v="Lepomis"/>
    <s v="gibbosus"/>
    <s v="U"/>
    <x v="2"/>
    <n v="8"/>
    <n v="11.81"/>
    <x v="25"/>
    <s v="754-91-6"/>
    <x v="25"/>
    <n v="7.65"/>
  </r>
  <r>
    <s v="PU041-LIV-08162021"/>
    <s v="Spill"/>
    <x v="1"/>
    <s v="Pumpkinseed"/>
    <s v="Lepomis"/>
    <s v="gibbosus"/>
    <s v="U"/>
    <x v="2"/>
    <n v="8"/>
    <n v="11.81"/>
    <x v="26"/>
    <s v="31506-32-8"/>
    <x v="26"/>
    <n v="0.2525"/>
  </r>
  <r>
    <s v="PU041-LIV-08162021"/>
    <s v="Spill"/>
    <x v="1"/>
    <s v="Pumpkinseed"/>
    <s v="Lepomis"/>
    <s v="gibbosus"/>
    <s v="U"/>
    <x v="2"/>
    <n v="8"/>
    <n v="11.81"/>
    <x v="27"/>
    <s v="4151-50-2"/>
    <x v="27"/>
    <n v="0.29449999999999998"/>
  </r>
  <r>
    <s v="PU041-LIV-08162021"/>
    <s v="Spill"/>
    <x v="1"/>
    <s v="Pumpkinseed"/>
    <s v="Lepomis"/>
    <s v="gibbosus"/>
    <s v="U"/>
    <x v="2"/>
    <n v="8"/>
    <n v="11.81"/>
    <x v="28"/>
    <s v="2806-24-8"/>
    <x v="28"/>
    <n v="0.19900000000000001"/>
  </r>
  <r>
    <s v="PU041-LIV-08162021"/>
    <s v="Spill"/>
    <x v="1"/>
    <s v="Pumpkinseed"/>
    <s v="Lepomis"/>
    <s v="gibbosus"/>
    <s v="U"/>
    <x v="2"/>
    <n v="8"/>
    <n v="11.81"/>
    <x v="29"/>
    <s v="2355-31-9"/>
    <x v="29"/>
    <n v="0.254"/>
  </r>
  <r>
    <s v="PU041-LIV-08162021"/>
    <s v="Spill"/>
    <x v="1"/>
    <s v="Pumpkinseed"/>
    <s v="Lepomis"/>
    <s v="gibbosus"/>
    <s v="U"/>
    <x v="2"/>
    <n v="8"/>
    <n v="11.81"/>
    <x v="30"/>
    <s v="2991-50-6"/>
    <x v="30"/>
    <n v="0.219"/>
  </r>
  <r>
    <s v="PU041-LIV-08162021"/>
    <s v="Spill"/>
    <x v="1"/>
    <s v="Pumpkinseed"/>
    <s v="Lepomis"/>
    <s v="gibbosus"/>
    <s v="U"/>
    <x v="2"/>
    <n v="8"/>
    <n v="11.81"/>
    <x v="31"/>
    <s v="757124-72-4"/>
    <x v="31"/>
    <n v="0.2525"/>
  </r>
  <r>
    <s v="PU041-LIV-08162021"/>
    <s v="Spill"/>
    <x v="1"/>
    <s v="Pumpkinseed"/>
    <s v="Lepomis"/>
    <s v="gibbosus"/>
    <s v="U"/>
    <x v="2"/>
    <n v="8"/>
    <n v="11.81"/>
    <x v="32"/>
    <s v="27619-97-2"/>
    <x v="32"/>
    <n v="0.505"/>
  </r>
  <r>
    <s v="PU041-LIV-08162021"/>
    <s v="Spill"/>
    <x v="1"/>
    <s v="Pumpkinseed"/>
    <s v="Lepomis"/>
    <s v="gibbosus"/>
    <s v="U"/>
    <x v="2"/>
    <n v="8"/>
    <n v="11.81"/>
    <x v="33"/>
    <s v="39108-34-4"/>
    <x v="33"/>
    <n v="8.3699999999999992"/>
  </r>
  <r>
    <s v="PU041-LIV-08162021"/>
    <s v="Spill"/>
    <x v="1"/>
    <s v="Pumpkinseed"/>
    <s v="Lepomis"/>
    <s v="gibbosus"/>
    <s v="U"/>
    <x v="2"/>
    <n v="8"/>
    <n v="11.81"/>
    <x v="34"/>
    <s v="120226-60-0"/>
    <x v="34"/>
    <n v="0.28649999999999998"/>
  </r>
  <r>
    <s v="PU041-LIV-08162021"/>
    <s v="Spill"/>
    <x v="1"/>
    <s v="Pumpkinseed"/>
    <s v="Lepomis"/>
    <s v="gibbosus"/>
    <s v="U"/>
    <x v="2"/>
    <n v="8"/>
    <n v="11.81"/>
    <x v="35"/>
    <s v="356-02-5"/>
    <x v="35"/>
    <n v="0.29149999999999998"/>
  </r>
  <r>
    <s v="PU041-LIV-08162021"/>
    <s v="Spill"/>
    <x v="1"/>
    <s v="Pumpkinseed"/>
    <s v="Lepomis"/>
    <s v="gibbosus"/>
    <s v="U"/>
    <x v="2"/>
    <n v="8"/>
    <n v="11.81"/>
    <x v="36"/>
    <s v="914637-49-3"/>
    <x v="36"/>
    <n v="0.1905"/>
  </r>
  <r>
    <s v="PU041-LIV-08162021"/>
    <s v="Spill"/>
    <x v="1"/>
    <s v="Pumpkinseed"/>
    <s v="Lepomis"/>
    <s v="gibbosus"/>
    <s v="U"/>
    <x v="2"/>
    <n v="8"/>
    <n v="11.81"/>
    <x v="37"/>
    <s v="812-70-4"/>
    <x v="37"/>
    <n v="0.2525"/>
  </r>
  <r>
    <s v="PU041-LIV-08162021"/>
    <s v="Spill"/>
    <x v="1"/>
    <s v="Pumpkinseed"/>
    <s v="Lepomis"/>
    <s v="gibbosus"/>
    <s v="U"/>
    <x v="2"/>
    <n v="8"/>
    <n v="11.81"/>
    <x v="38"/>
    <s v="53826-12-3"/>
    <x v="38"/>
    <n v="0.2525"/>
  </r>
  <r>
    <s v="PU041-LIV-08162021"/>
    <s v="Spill"/>
    <x v="1"/>
    <s v="Pumpkinseed"/>
    <s v="Lepomis"/>
    <s v="gibbosus"/>
    <s v="U"/>
    <x v="2"/>
    <n v="8"/>
    <n v="11.81"/>
    <x v="39"/>
    <s v="27854-31-5"/>
    <x v="39"/>
    <n v="0.2525"/>
  </r>
  <r>
    <s v="PU041-LIV-08162021"/>
    <s v="Spill"/>
    <x v="1"/>
    <s v="Pumpkinseed"/>
    <s v="Lepomis"/>
    <s v="gibbosus"/>
    <s v="U"/>
    <x v="2"/>
    <n v="8"/>
    <n v="11.81"/>
    <x v="40"/>
    <s v="53826-13-4"/>
    <x v="40"/>
    <n v="0.377"/>
  </r>
  <r>
    <s v="PU041-LIV-08162021"/>
    <s v="Spill"/>
    <x v="1"/>
    <s v="Pumpkinseed"/>
    <s v="Lepomis"/>
    <s v="gibbosus"/>
    <s v="U"/>
    <x v="2"/>
    <n v="8"/>
    <n v="11.81"/>
    <x v="41"/>
    <s v="161094-75-3"/>
    <x v="41"/>
    <n v="0.19850000000000001"/>
  </r>
  <r>
    <s v="PU041-LIV-08162021"/>
    <s v="Spill"/>
    <x v="1"/>
    <s v="Pumpkinseed"/>
    <s v="Lepomis"/>
    <s v="gibbosus"/>
    <s v="U"/>
    <x v="2"/>
    <n v="8"/>
    <n v="11.81"/>
    <x v="42"/>
    <s v="70887-84-2"/>
    <x v="42"/>
    <n v="0.1525"/>
  </r>
  <r>
    <s v="PU041-LIV-08162021"/>
    <s v="Spill"/>
    <x v="1"/>
    <s v="Pumpkinseed"/>
    <s v="Lepomis"/>
    <s v="gibbosus"/>
    <s v="U"/>
    <x v="2"/>
    <n v="8"/>
    <n v="11.81"/>
    <x v="43"/>
    <s v="919005-14-4"/>
    <x v="43"/>
    <n v="0.223"/>
  </r>
  <r>
    <s v="PU041-LIV-08162021"/>
    <s v="Spill"/>
    <x v="1"/>
    <s v="Pumpkinseed"/>
    <s v="Lepomis"/>
    <s v="gibbosus"/>
    <s v="U"/>
    <x v="2"/>
    <n v="8"/>
    <n v="11.81"/>
    <x v="44"/>
    <s v="756426-58-1"/>
    <x v="44"/>
    <n v="0.2525"/>
  </r>
  <r>
    <s v="PU041-LIV-08162021"/>
    <s v="Spill"/>
    <x v="1"/>
    <s v="Pumpkinseed"/>
    <s v="Lepomis"/>
    <s v="gibbosus"/>
    <s v="U"/>
    <x v="2"/>
    <n v="8"/>
    <n v="11.81"/>
    <x v="45"/>
    <s v="763051-92-9"/>
    <x v="45"/>
    <n v="0.2525"/>
  </r>
  <r>
    <s v="PU041-LIV-08162021"/>
    <s v="Spill"/>
    <x v="1"/>
    <s v="Pumpkinseed"/>
    <s v="Lepomis"/>
    <s v="gibbosus"/>
    <s v="U"/>
    <x v="2"/>
    <n v="8"/>
    <n v="11.81"/>
    <x v="46"/>
    <s v="13252-13-6"/>
    <x v="46"/>
    <n v="0.36249999999999999"/>
  </r>
  <r>
    <s v="PU041-LIV-08162021"/>
    <s v="Spill"/>
    <x v="1"/>
    <s v="Pumpkinseed"/>
    <s v="Lepomis"/>
    <s v="gibbosus"/>
    <s v="U"/>
    <x v="2"/>
    <n v="8"/>
    <n v="11.81"/>
    <x v="47"/>
    <s v="57677-95-9"/>
    <x v="47"/>
    <n v="0.26900000000000002"/>
  </r>
  <r>
    <s v="PU041-LIV-08162021"/>
    <s v="Spill"/>
    <x v="1"/>
    <s v="Pumpkinseed"/>
    <s v="Lepomis"/>
    <s v="gibbosus"/>
    <s v="U"/>
    <x v="2"/>
    <n v="8"/>
    <n v="11.81"/>
    <x v="48"/>
    <s v="678-41-1"/>
    <x v="48"/>
    <n v="0.33500000000000002"/>
  </r>
  <r>
    <s v="PU041-LIV-08162021"/>
    <s v="Spill"/>
    <x v="1"/>
    <s v="Pumpkinseed"/>
    <s v="Lepomis"/>
    <s v="gibbosus"/>
    <s v="U"/>
    <x v="2"/>
    <n v="8"/>
    <n v="11.81"/>
    <x v="49"/>
    <s v="2965-52-8"/>
    <x v="49"/>
    <n v="0.44450000000000001"/>
  </r>
  <r>
    <s v="PU041-MU-08162021"/>
    <s v="Spill"/>
    <x v="1"/>
    <s v="Pumpkinseed"/>
    <s v="Lepomis"/>
    <s v="gibbosus"/>
    <s v="U"/>
    <x v="1"/>
    <n v="8"/>
    <n v="11.81"/>
    <x v="0"/>
    <s v="375-22-4"/>
    <x v="0"/>
    <n v="0.22800000000000001"/>
  </r>
  <r>
    <s v="PU041-MU-08162021"/>
    <s v="Spill"/>
    <x v="1"/>
    <s v="Pumpkinseed"/>
    <s v="Lepomis"/>
    <s v="gibbosus"/>
    <s v="U"/>
    <x v="1"/>
    <n v="8"/>
    <n v="11.81"/>
    <x v="1"/>
    <s v="2706-90-3"/>
    <x v="1"/>
    <n v="4.8849999999999998E-2"/>
  </r>
  <r>
    <s v="PU041-MU-08162021"/>
    <s v="Spill"/>
    <x v="1"/>
    <s v="Pumpkinseed"/>
    <s v="Lepomis"/>
    <s v="gibbosus"/>
    <s v="U"/>
    <x v="1"/>
    <n v="8"/>
    <n v="11.81"/>
    <x v="2"/>
    <s v="307-24-4"/>
    <x v="2"/>
    <n v="0.123"/>
  </r>
  <r>
    <s v="PU041-MU-08162021"/>
    <s v="Spill"/>
    <x v="1"/>
    <s v="Pumpkinseed"/>
    <s v="Lepomis"/>
    <s v="gibbosus"/>
    <s v="U"/>
    <x v="1"/>
    <n v="8"/>
    <n v="11.81"/>
    <x v="3"/>
    <s v="375-85-9"/>
    <x v="3"/>
    <n v="9.1499999999999998E-2"/>
  </r>
  <r>
    <s v="PU041-MU-08162021"/>
    <s v="Spill"/>
    <x v="1"/>
    <s v="Pumpkinseed"/>
    <s v="Lepomis"/>
    <s v="gibbosus"/>
    <s v="U"/>
    <x v="1"/>
    <n v="8"/>
    <n v="11.81"/>
    <x v="4"/>
    <s v="335-67-1"/>
    <x v="4"/>
    <n v="9.1499999999999998E-2"/>
  </r>
  <r>
    <s v="PU041-MU-08162021"/>
    <s v="Spill"/>
    <x v="1"/>
    <s v="Pumpkinseed"/>
    <s v="Lepomis"/>
    <s v="gibbosus"/>
    <s v="U"/>
    <x v="1"/>
    <n v="8"/>
    <n v="11.81"/>
    <x v="5"/>
    <s v="375-95-1"/>
    <x v="5"/>
    <n v="0.158"/>
  </r>
  <r>
    <s v="PU041-MU-08162021"/>
    <s v="Spill"/>
    <x v="1"/>
    <s v="Pumpkinseed"/>
    <s v="Lepomis"/>
    <s v="gibbosus"/>
    <s v="U"/>
    <x v="1"/>
    <n v="8"/>
    <n v="11.81"/>
    <x v="6"/>
    <s v="335-76-2"/>
    <x v="6"/>
    <n v="0.35199999999999998"/>
  </r>
  <r>
    <s v="PU041-MU-08162021"/>
    <s v="Spill"/>
    <x v="1"/>
    <s v="Pumpkinseed"/>
    <s v="Lepomis"/>
    <s v="gibbosus"/>
    <s v="U"/>
    <x v="1"/>
    <n v="8"/>
    <n v="11.81"/>
    <x v="7"/>
    <s v="2058-94-8"/>
    <x v="7"/>
    <n v="0.51800000000000002"/>
  </r>
  <r>
    <s v="PU041-MU-08162021"/>
    <s v="Spill"/>
    <x v="1"/>
    <s v="Pumpkinseed"/>
    <s v="Lepomis"/>
    <s v="gibbosus"/>
    <s v="U"/>
    <x v="1"/>
    <n v="8"/>
    <n v="11.81"/>
    <x v="8"/>
    <s v="307-55-1"/>
    <x v="8"/>
    <n v="1.05"/>
  </r>
  <r>
    <s v="PU041-MU-08162021"/>
    <s v="Spill"/>
    <x v="1"/>
    <s v="Pumpkinseed"/>
    <s v="Lepomis"/>
    <s v="gibbosus"/>
    <s v="U"/>
    <x v="1"/>
    <n v="8"/>
    <n v="11.81"/>
    <x v="9"/>
    <s v="72629-94-8"/>
    <x v="9"/>
    <n v="0.14599999999999999"/>
  </r>
  <r>
    <s v="PU041-MU-08162021"/>
    <s v="Spill"/>
    <x v="1"/>
    <s v="Pumpkinseed"/>
    <s v="Lepomis"/>
    <s v="gibbosus"/>
    <s v="U"/>
    <x v="1"/>
    <n v="8"/>
    <n v="11.81"/>
    <x v="10"/>
    <s v="376-06-7"/>
    <x v="10"/>
    <n v="0.41"/>
  </r>
  <r>
    <s v="PU041-MU-08162021"/>
    <s v="Spill"/>
    <x v="1"/>
    <s v="Pumpkinseed"/>
    <s v="Lepomis"/>
    <s v="gibbosus"/>
    <s v="U"/>
    <x v="1"/>
    <n v="8"/>
    <n v="11.81"/>
    <x v="11"/>
    <s v="67905-19-5"/>
    <x v="11"/>
    <n v="8.2500000000000004E-2"/>
  </r>
  <r>
    <s v="PU041-MU-08162021"/>
    <s v="Spill"/>
    <x v="1"/>
    <s v="Pumpkinseed"/>
    <s v="Lepomis"/>
    <s v="gibbosus"/>
    <s v="U"/>
    <x v="1"/>
    <n v="8"/>
    <n v="11.81"/>
    <x v="12"/>
    <s v="423-41-6"/>
    <x v="12"/>
    <n v="6.9000000000000006E-2"/>
  </r>
  <r>
    <s v="PU041-MU-08162021"/>
    <s v="Spill"/>
    <x v="1"/>
    <s v="Pumpkinseed"/>
    <s v="Lepomis"/>
    <s v="gibbosus"/>
    <s v="U"/>
    <x v="1"/>
    <n v="8"/>
    <n v="11.81"/>
    <x v="13"/>
    <s v="375-73-5"/>
    <x v="13"/>
    <n v="0.54700000000000004"/>
  </r>
  <r>
    <s v="PU041-MU-08162021"/>
    <s v="Spill"/>
    <x v="1"/>
    <s v="Pumpkinseed"/>
    <s v="Lepomis"/>
    <s v="gibbosus"/>
    <s v="U"/>
    <x v="1"/>
    <n v="8"/>
    <n v="11.81"/>
    <x v="14"/>
    <s v="2706-91-4"/>
    <x v="14"/>
    <n v="6.9000000000000006E-2"/>
  </r>
  <r>
    <s v="PU041-MU-08162021"/>
    <s v="Spill"/>
    <x v="1"/>
    <s v="Pumpkinseed"/>
    <s v="Lepomis"/>
    <s v="gibbosus"/>
    <s v="U"/>
    <x v="1"/>
    <n v="8"/>
    <n v="11.81"/>
    <x v="15"/>
    <s v="355-46-4"/>
    <x v="15"/>
    <n v="2.08"/>
  </r>
  <r>
    <s v="PU041-MU-08162021"/>
    <s v="Spill"/>
    <x v="1"/>
    <s v="Pumpkinseed"/>
    <s v="Lepomis"/>
    <s v="gibbosus"/>
    <s v="U"/>
    <x v="1"/>
    <n v="8"/>
    <n v="11.81"/>
    <x v="16"/>
    <s v="375-92-8"/>
    <x v="16"/>
    <n v="0.59699999999999998"/>
  </r>
  <r>
    <s v="PU041-MU-08162021"/>
    <s v="Spill"/>
    <x v="1"/>
    <s v="Pumpkinseed"/>
    <s v="Lepomis"/>
    <s v="gibbosus"/>
    <s v="U"/>
    <x v="1"/>
    <n v="8"/>
    <n v="11.81"/>
    <x v="17"/>
    <s v="1763-23-1"/>
    <x v="17"/>
    <n v="93.7"/>
  </r>
  <r>
    <s v="PU041-MU-08162021"/>
    <s v="Spill"/>
    <x v="1"/>
    <s v="Pumpkinseed"/>
    <s v="Lepomis"/>
    <s v="gibbosus"/>
    <s v="U"/>
    <x v="1"/>
    <n v="8"/>
    <n v="11.81"/>
    <x v="18"/>
    <s v="68259-12-1"/>
    <x v="18"/>
    <n v="0.13"/>
  </r>
  <r>
    <s v="PU041-MU-08162021"/>
    <s v="Spill"/>
    <x v="1"/>
    <s v="Pumpkinseed"/>
    <s v="Lepomis"/>
    <s v="gibbosus"/>
    <s v="U"/>
    <x v="1"/>
    <n v="8"/>
    <n v="11.81"/>
    <x v="19"/>
    <s v="335-77-3"/>
    <x v="19"/>
    <n v="0.187"/>
  </r>
  <r>
    <s v="PU041-MU-08162021"/>
    <s v="Spill"/>
    <x v="1"/>
    <s v="Pumpkinseed"/>
    <s v="Lepomis"/>
    <s v="gibbosus"/>
    <s v="U"/>
    <x v="1"/>
    <n v="8"/>
    <n v="11.81"/>
    <x v="20"/>
    <s v="79780-39-5"/>
    <x v="20"/>
    <n v="7.3999999999999996E-2"/>
  </r>
  <r>
    <s v="PU041-MU-08162021"/>
    <s v="Spill"/>
    <x v="1"/>
    <s v="Pumpkinseed"/>
    <s v="Lepomis"/>
    <s v="gibbosus"/>
    <s v="U"/>
    <x v="1"/>
    <n v="8"/>
    <n v="11.81"/>
    <x v="21"/>
    <s v="777011-38-8"/>
    <x v="21"/>
    <n v="4.2049999999999997E-2"/>
  </r>
  <r>
    <s v="PU041-MU-08162021"/>
    <s v="Spill"/>
    <x v="1"/>
    <s v="Pumpkinseed"/>
    <s v="Lepomis"/>
    <s v="gibbosus"/>
    <s v="U"/>
    <x v="1"/>
    <n v="8"/>
    <n v="11.81"/>
    <x v="22"/>
    <s v="646-83-3"/>
    <x v="22"/>
    <n v="6.9000000000000006E-2"/>
  </r>
  <r>
    <s v="PU041-MU-08162021"/>
    <s v="Spill"/>
    <x v="1"/>
    <s v="Pumpkinseed"/>
    <s v="Lepomis"/>
    <s v="gibbosus"/>
    <s v="U"/>
    <x v="1"/>
    <n v="8"/>
    <n v="11.81"/>
    <x v="23"/>
    <s v="30334-69-1"/>
    <x v="23"/>
    <n v="1.32"/>
  </r>
  <r>
    <s v="PU041-MU-08162021"/>
    <s v="Spill"/>
    <x v="1"/>
    <s v="Pumpkinseed"/>
    <s v="Lepomis"/>
    <s v="gibbosus"/>
    <s v="U"/>
    <x v="1"/>
    <n v="8"/>
    <n v="11.81"/>
    <x v="24"/>
    <s v="41997-13-1"/>
    <x v="24"/>
    <n v="21"/>
  </r>
  <r>
    <s v="PU041-MU-08162021"/>
    <s v="Spill"/>
    <x v="1"/>
    <s v="Pumpkinseed"/>
    <s v="Lepomis"/>
    <s v="gibbosus"/>
    <s v="U"/>
    <x v="1"/>
    <n v="8"/>
    <n v="11.81"/>
    <x v="25"/>
    <s v="754-91-6"/>
    <x v="25"/>
    <n v="2.86"/>
  </r>
  <r>
    <s v="PU041-MU-08162021"/>
    <s v="Spill"/>
    <x v="1"/>
    <s v="Pumpkinseed"/>
    <s v="Lepomis"/>
    <s v="gibbosus"/>
    <s v="U"/>
    <x v="1"/>
    <n v="8"/>
    <n v="11.81"/>
    <x v="26"/>
    <s v="31506-32-8"/>
    <x v="26"/>
    <n v="6.9000000000000006E-2"/>
  </r>
  <r>
    <s v="PU041-MU-08162021"/>
    <s v="Spill"/>
    <x v="1"/>
    <s v="Pumpkinseed"/>
    <s v="Lepomis"/>
    <s v="gibbosus"/>
    <s v="U"/>
    <x v="1"/>
    <n v="8"/>
    <n v="11.81"/>
    <x v="27"/>
    <s v="4151-50-2"/>
    <x v="27"/>
    <n v="8.0500000000000002E-2"/>
  </r>
  <r>
    <s v="PU041-MU-08162021"/>
    <s v="Spill"/>
    <x v="1"/>
    <s v="Pumpkinseed"/>
    <s v="Lepomis"/>
    <s v="gibbosus"/>
    <s v="U"/>
    <x v="1"/>
    <n v="8"/>
    <n v="11.81"/>
    <x v="28"/>
    <s v="2806-24-8"/>
    <x v="28"/>
    <n v="5.45E-2"/>
  </r>
  <r>
    <s v="PU041-MU-08162021"/>
    <s v="Spill"/>
    <x v="1"/>
    <s v="Pumpkinseed"/>
    <s v="Lepomis"/>
    <s v="gibbosus"/>
    <s v="U"/>
    <x v="1"/>
    <n v="8"/>
    <n v="11.81"/>
    <x v="29"/>
    <s v="2355-31-9"/>
    <x v="29"/>
    <n v="6.9500000000000006E-2"/>
  </r>
  <r>
    <s v="PU041-MU-08162021"/>
    <s v="Spill"/>
    <x v="1"/>
    <s v="Pumpkinseed"/>
    <s v="Lepomis"/>
    <s v="gibbosus"/>
    <s v="U"/>
    <x v="1"/>
    <n v="8"/>
    <n v="11.81"/>
    <x v="30"/>
    <s v="2991-50-6"/>
    <x v="30"/>
    <n v="0.06"/>
  </r>
  <r>
    <s v="PU041-MU-08162021"/>
    <s v="Spill"/>
    <x v="1"/>
    <s v="Pumpkinseed"/>
    <s v="Lepomis"/>
    <s v="gibbosus"/>
    <s v="U"/>
    <x v="1"/>
    <n v="8"/>
    <n v="11.81"/>
    <x v="31"/>
    <s v="757124-72-4"/>
    <x v="31"/>
    <n v="6.9000000000000006E-2"/>
  </r>
  <r>
    <s v="PU041-MU-08162021"/>
    <s v="Spill"/>
    <x v="1"/>
    <s v="Pumpkinseed"/>
    <s v="Lepomis"/>
    <s v="gibbosus"/>
    <s v="U"/>
    <x v="1"/>
    <n v="8"/>
    <n v="11.81"/>
    <x v="32"/>
    <s v="27619-97-2"/>
    <x v="32"/>
    <n v="0.13800000000000001"/>
  </r>
  <r>
    <s v="PU041-MU-08162021"/>
    <s v="Spill"/>
    <x v="1"/>
    <s v="Pumpkinseed"/>
    <s v="Lepomis"/>
    <s v="gibbosus"/>
    <s v="U"/>
    <x v="1"/>
    <n v="8"/>
    <n v="11.81"/>
    <x v="33"/>
    <s v="39108-34-4"/>
    <x v="33"/>
    <n v="0.57299999999999995"/>
  </r>
  <r>
    <s v="PU041-MU-08162021"/>
    <s v="Spill"/>
    <x v="1"/>
    <s v="Pumpkinseed"/>
    <s v="Lepomis"/>
    <s v="gibbosus"/>
    <s v="U"/>
    <x v="1"/>
    <n v="8"/>
    <n v="11.81"/>
    <x v="34"/>
    <s v="120226-60-0"/>
    <x v="34"/>
    <n v="0.25900000000000001"/>
  </r>
  <r>
    <s v="PU041-MU-08162021"/>
    <s v="Spill"/>
    <x v="1"/>
    <s v="Pumpkinseed"/>
    <s v="Lepomis"/>
    <s v="gibbosus"/>
    <s v="U"/>
    <x v="1"/>
    <n v="8"/>
    <n v="11.81"/>
    <x v="35"/>
    <s v="356-02-5"/>
    <x v="35"/>
    <n v="0.08"/>
  </r>
  <r>
    <s v="PU041-MU-08162021"/>
    <s v="Spill"/>
    <x v="1"/>
    <s v="Pumpkinseed"/>
    <s v="Lepomis"/>
    <s v="gibbosus"/>
    <s v="U"/>
    <x v="1"/>
    <n v="8"/>
    <n v="11.81"/>
    <x v="36"/>
    <s v="914637-49-3"/>
    <x v="36"/>
    <n v="5.1999999999999998E-2"/>
  </r>
  <r>
    <s v="PU041-MU-08162021"/>
    <s v="Spill"/>
    <x v="1"/>
    <s v="Pumpkinseed"/>
    <s v="Lepomis"/>
    <s v="gibbosus"/>
    <s v="U"/>
    <x v="1"/>
    <n v="8"/>
    <n v="11.81"/>
    <x v="37"/>
    <s v="812-70-4"/>
    <x v="37"/>
    <n v="0.22800000000000001"/>
  </r>
  <r>
    <s v="PU041-MU-08162021"/>
    <s v="Spill"/>
    <x v="1"/>
    <s v="Pumpkinseed"/>
    <s v="Lepomis"/>
    <s v="gibbosus"/>
    <s v="U"/>
    <x v="1"/>
    <n v="8"/>
    <n v="11.81"/>
    <x v="38"/>
    <s v="53826-12-3"/>
    <x v="38"/>
    <n v="6.9000000000000006E-2"/>
  </r>
  <r>
    <s v="PU041-MU-08162021"/>
    <s v="Spill"/>
    <x v="1"/>
    <s v="Pumpkinseed"/>
    <s v="Lepomis"/>
    <s v="gibbosus"/>
    <s v="U"/>
    <x v="1"/>
    <n v="8"/>
    <n v="11.81"/>
    <x v="39"/>
    <s v="27854-31-5"/>
    <x v="39"/>
    <n v="6.9000000000000006E-2"/>
  </r>
  <r>
    <s v="PU041-MU-08162021"/>
    <s v="Spill"/>
    <x v="1"/>
    <s v="Pumpkinseed"/>
    <s v="Lepomis"/>
    <s v="gibbosus"/>
    <s v="U"/>
    <x v="1"/>
    <n v="8"/>
    <n v="11.81"/>
    <x v="40"/>
    <s v="53826-13-4"/>
    <x v="40"/>
    <n v="0.10299999999999999"/>
  </r>
  <r>
    <s v="PU041-MU-08162021"/>
    <s v="Spill"/>
    <x v="1"/>
    <s v="Pumpkinseed"/>
    <s v="Lepomis"/>
    <s v="gibbosus"/>
    <s v="U"/>
    <x v="1"/>
    <n v="8"/>
    <n v="11.81"/>
    <x v="41"/>
    <s v="161094-75-3"/>
    <x v="41"/>
    <n v="5.45E-2"/>
  </r>
  <r>
    <s v="PU041-MU-08162021"/>
    <s v="Spill"/>
    <x v="1"/>
    <s v="Pumpkinseed"/>
    <s v="Lepomis"/>
    <s v="gibbosus"/>
    <s v="U"/>
    <x v="1"/>
    <n v="8"/>
    <n v="11.81"/>
    <x v="42"/>
    <s v="70887-84-2"/>
    <x v="42"/>
    <n v="4.1799999999999997E-2"/>
  </r>
  <r>
    <s v="PU041-MU-08162021"/>
    <s v="Spill"/>
    <x v="1"/>
    <s v="Pumpkinseed"/>
    <s v="Lepomis"/>
    <s v="gibbosus"/>
    <s v="U"/>
    <x v="1"/>
    <n v="8"/>
    <n v="11.81"/>
    <x v="43"/>
    <s v="919005-14-4"/>
    <x v="43"/>
    <n v="6.0999999999999999E-2"/>
  </r>
  <r>
    <s v="PU041-MU-08162021"/>
    <s v="Spill"/>
    <x v="1"/>
    <s v="Pumpkinseed"/>
    <s v="Lepomis"/>
    <s v="gibbosus"/>
    <s v="U"/>
    <x v="1"/>
    <n v="8"/>
    <n v="11.81"/>
    <x v="44"/>
    <s v="756426-58-1"/>
    <x v="44"/>
    <n v="6.9000000000000006E-2"/>
  </r>
  <r>
    <s v="PU041-MU-08162021"/>
    <s v="Spill"/>
    <x v="1"/>
    <s v="Pumpkinseed"/>
    <s v="Lepomis"/>
    <s v="gibbosus"/>
    <s v="U"/>
    <x v="1"/>
    <n v="8"/>
    <n v="11.81"/>
    <x v="45"/>
    <s v="763051-92-9"/>
    <x v="45"/>
    <n v="6.9000000000000006E-2"/>
  </r>
  <r>
    <s v="PU041-MU-08162021"/>
    <s v="Spill"/>
    <x v="1"/>
    <s v="Pumpkinseed"/>
    <s v="Lepomis"/>
    <s v="gibbosus"/>
    <s v="U"/>
    <x v="1"/>
    <n v="8"/>
    <n v="11.81"/>
    <x v="46"/>
    <s v="13252-13-6"/>
    <x v="46"/>
    <n v="9.9500000000000005E-2"/>
  </r>
  <r>
    <s v="PU041-MU-08162021"/>
    <s v="Spill"/>
    <x v="1"/>
    <s v="Pumpkinseed"/>
    <s v="Lepomis"/>
    <s v="gibbosus"/>
    <s v="U"/>
    <x v="1"/>
    <n v="8"/>
    <n v="11.81"/>
    <x v="47"/>
    <s v="57677-95-9"/>
    <x v="47"/>
    <n v="7.3499999999999996E-2"/>
  </r>
  <r>
    <s v="PU041-MU-08162021"/>
    <s v="Spill"/>
    <x v="1"/>
    <s v="Pumpkinseed"/>
    <s v="Lepomis"/>
    <s v="gibbosus"/>
    <s v="U"/>
    <x v="1"/>
    <n v="8"/>
    <n v="11.81"/>
    <x v="48"/>
    <s v="678-41-1"/>
    <x v="48"/>
    <n v="9.1499999999999998E-2"/>
  </r>
  <r>
    <s v="PU041-MU-08162021"/>
    <s v="Spill"/>
    <x v="1"/>
    <s v="Pumpkinseed"/>
    <s v="Lepomis"/>
    <s v="gibbosus"/>
    <s v="U"/>
    <x v="1"/>
    <n v="8"/>
    <n v="11.81"/>
    <x v="49"/>
    <s v="2965-52-8"/>
    <x v="49"/>
    <n v="0.1215"/>
  </r>
  <r>
    <s v="PU042-JBA-08162021"/>
    <s v="Spill"/>
    <x v="1"/>
    <s v="Pumpkinseed"/>
    <s v="Lepomis"/>
    <s v="gibbosus"/>
    <s v="U"/>
    <x v="0"/>
    <n v="8"/>
    <n v="11.81"/>
    <x v="0"/>
    <s v="375-22-4"/>
    <x v="0"/>
    <n v="8.1500000000000003E-2"/>
  </r>
  <r>
    <s v="PU042-JBA-08162021"/>
    <s v="Spill"/>
    <x v="1"/>
    <s v="Pumpkinseed"/>
    <s v="Lepomis"/>
    <s v="gibbosus"/>
    <s v="U"/>
    <x v="0"/>
    <n v="8"/>
    <n v="11.81"/>
    <x v="1"/>
    <s v="2706-90-3"/>
    <x v="1"/>
    <n v="0.19"/>
  </r>
  <r>
    <s v="PU042-JBA-08162021"/>
    <s v="Spill"/>
    <x v="1"/>
    <s v="Pumpkinseed"/>
    <s v="Lepomis"/>
    <s v="gibbosus"/>
    <s v="U"/>
    <x v="0"/>
    <n v="8"/>
    <n v="11.81"/>
    <x v="2"/>
    <s v="307-24-4"/>
    <x v="2"/>
    <n v="0.14499999999999999"/>
  </r>
  <r>
    <s v="PU042-JBA-08162021"/>
    <s v="Spill"/>
    <x v="1"/>
    <s v="Pumpkinseed"/>
    <s v="Lepomis"/>
    <s v="gibbosus"/>
    <s v="U"/>
    <x v="0"/>
    <n v="8"/>
    <n v="11.81"/>
    <x v="3"/>
    <s v="375-85-9"/>
    <x v="3"/>
    <n v="0.1075"/>
  </r>
  <r>
    <s v="PU042-JBA-08162021"/>
    <s v="Spill"/>
    <x v="1"/>
    <s v="Pumpkinseed"/>
    <s v="Lepomis"/>
    <s v="gibbosus"/>
    <s v="U"/>
    <x v="0"/>
    <n v="8"/>
    <n v="11.81"/>
    <x v="4"/>
    <s v="335-67-1"/>
    <x v="4"/>
    <n v="0.38500000000000001"/>
  </r>
  <r>
    <s v="PU042-JBA-08162021"/>
    <s v="Spill"/>
    <x v="1"/>
    <s v="Pumpkinseed"/>
    <s v="Lepomis"/>
    <s v="gibbosus"/>
    <s v="U"/>
    <x v="0"/>
    <n v="8"/>
    <n v="11.81"/>
    <x v="5"/>
    <s v="375-95-1"/>
    <x v="5"/>
    <n v="0.186"/>
  </r>
  <r>
    <s v="PU042-JBA-08162021"/>
    <s v="Spill"/>
    <x v="1"/>
    <s v="Pumpkinseed"/>
    <s v="Lepomis"/>
    <s v="gibbosus"/>
    <s v="U"/>
    <x v="0"/>
    <n v="8"/>
    <n v="11.81"/>
    <x v="6"/>
    <s v="335-76-2"/>
    <x v="6"/>
    <n v="4.9800000000000004"/>
  </r>
  <r>
    <s v="PU042-JBA-08162021"/>
    <s v="Spill"/>
    <x v="1"/>
    <s v="Pumpkinseed"/>
    <s v="Lepomis"/>
    <s v="gibbosus"/>
    <s v="U"/>
    <x v="0"/>
    <n v="8"/>
    <n v="11.81"/>
    <x v="7"/>
    <s v="2058-94-8"/>
    <x v="7"/>
    <n v="8.3000000000000007"/>
  </r>
  <r>
    <s v="PU042-JBA-08162021"/>
    <s v="Spill"/>
    <x v="1"/>
    <s v="Pumpkinseed"/>
    <s v="Lepomis"/>
    <s v="gibbosus"/>
    <s v="U"/>
    <x v="0"/>
    <n v="8"/>
    <n v="11.81"/>
    <x v="8"/>
    <s v="307-55-1"/>
    <x v="8"/>
    <n v="9.82"/>
  </r>
  <r>
    <s v="PU042-JBA-08162021"/>
    <s v="Spill"/>
    <x v="1"/>
    <s v="Pumpkinseed"/>
    <s v="Lepomis"/>
    <s v="gibbosus"/>
    <s v="U"/>
    <x v="0"/>
    <n v="8"/>
    <n v="11.81"/>
    <x v="9"/>
    <s v="72629-94-8"/>
    <x v="9"/>
    <n v="3.44"/>
  </r>
  <r>
    <s v="PU042-JBA-08162021"/>
    <s v="Spill"/>
    <x v="1"/>
    <s v="Pumpkinseed"/>
    <s v="Lepomis"/>
    <s v="gibbosus"/>
    <s v="U"/>
    <x v="0"/>
    <n v="8"/>
    <n v="11.81"/>
    <x v="10"/>
    <s v="376-06-7"/>
    <x v="10"/>
    <n v="7.88"/>
  </r>
  <r>
    <s v="PU042-JBA-08162021"/>
    <s v="Spill"/>
    <x v="1"/>
    <s v="Pumpkinseed"/>
    <s v="Lepomis"/>
    <s v="gibbosus"/>
    <s v="U"/>
    <x v="0"/>
    <n v="8"/>
    <n v="11.81"/>
    <x v="11"/>
    <s v="67905-19-5"/>
    <x v="11"/>
    <n v="9.7000000000000003E-2"/>
  </r>
  <r>
    <s v="PU042-JBA-08162021"/>
    <s v="Spill"/>
    <x v="1"/>
    <s v="Pumpkinseed"/>
    <s v="Lepomis"/>
    <s v="gibbosus"/>
    <s v="U"/>
    <x v="0"/>
    <n v="8"/>
    <n v="11.81"/>
    <x v="12"/>
    <s v="423-41-6"/>
    <x v="12"/>
    <n v="8.1500000000000003E-2"/>
  </r>
  <r>
    <s v="PU042-JBA-08162021"/>
    <s v="Spill"/>
    <x v="1"/>
    <s v="Pumpkinseed"/>
    <s v="Lepomis"/>
    <s v="gibbosus"/>
    <s v="U"/>
    <x v="0"/>
    <n v="8"/>
    <n v="11.81"/>
    <x v="13"/>
    <s v="375-73-5"/>
    <x v="13"/>
    <n v="0.183"/>
  </r>
  <r>
    <s v="PU042-JBA-08162021"/>
    <s v="Spill"/>
    <x v="1"/>
    <s v="Pumpkinseed"/>
    <s v="Lepomis"/>
    <s v="gibbosus"/>
    <s v="U"/>
    <x v="0"/>
    <n v="8"/>
    <n v="11.81"/>
    <x v="14"/>
    <s v="2706-91-4"/>
    <x v="14"/>
    <n v="8.1500000000000003E-2"/>
  </r>
  <r>
    <s v="PU042-JBA-08162021"/>
    <s v="Spill"/>
    <x v="1"/>
    <s v="Pumpkinseed"/>
    <s v="Lepomis"/>
    <s v="gibbosus"/>
    <s v="U"/>
    <x v="0"/>
    <n v="8"/>
    <n v="11.81"/>
    <x v="15"/>
    <s v="355-46-4"/>
    <x v="15"/>
    <n v="7.38"/>
  </r>
  <r>
    <s v="PU042-JBA-08162021"/>
    <s v="Spill"/>
    <x v="1"/>
    <s v="Pumpkinseed"/>
    <s v="Lepomis"/>
    <s v="gibbosus"/>
    <s v="U"/>
    <x v="0"/>
    <n v="8"/>
    <n v="11.81"/>
    <x v="16"/>
    <s v="375-92-8"/>
    <x v="16"/>
    <n v="1.27"/>
  </r>
  <r>
    <s v="PU042-JBA-08162021"/>
    <s v="Spill"/>
    <x v="1"/>
    <s v="Pumpkinseed"/>
    <s v="Lepomis"/>
    <s v="gibbosus"/>
    <s v="U"/>
    <x v="0"/>
    <n v="8"/>
    <n v="11.81"/>
    <x v="17"/>
    <s v="1763-23-1"/>
    <x v="17"/>
    <n v="830"/>
  </r>
  <r>
    <s v="PU042-JBA-08162021"/>
    <s v="Spill"/>
    <x v="1"/>
    <s v="Pumpkinseed"/>
    <s v="Lepomis"/>
    <s v="gibbosus"/>
    <s v="U"/>
    <x v="0"/>
    <n v="8"/>
    <n v="11.81"/>
    <x v="18"/>
    <s v="68259-12-1"/>
    <x v="18"/>
    <n v="3.23"/>
  </r>
  <r>
    <s v="PU042-JBA-08162021"/>
    <s v="Spill"/>
    <x v="1"/>
    <s v="Pumpkinseed"/>
    <s v="Lepomis"/>
    <s v="gibbosus"/>
    <s v="U"/>
    <x v="0"/>
    <n v="8"/>
    <n v="11.81"/>
    <x v="19"/>
    <s v="335-77-3"/>
    <x v="19"/>
    <n v="2.83"/>
  </r>
  <r>
    <s v="PU042-JBA-08162021"/>
    <s v="Spill"/>
    <x v="1"/>
    <s v="Pumpkinseed"/>
    <s v="Lepomis"/>
    <s v="gibbosus"/>
    <s v="U"/>
    <x v="0"/>
    <n v="8"/>
    <n v="11.81"/>
    <x v="20"/>
    <s v="79780-39-5"/>
    <x v="20"/>
    <n v="0.94499999999999995"/>
  </r>
  <r>
    <s v="PU042-JBA-08162021"/>
    <s v="Spill"/>
    <x v="1"/>
    <s v="Pumpkinseed"/>
    <s v="Lepomis"/>
    <s v="gibbosus"/>
    <s v="U"/>
    <x v="0"/>
    <n v="8"/>
    <n v="11.81"/>
    <x v="21"/>
    <s v="777011-38-8"/>
    <x v="21"/>
    <n v="0.16300000000000001"/>
  </r>
  <r>
    <s v="PU042-JBA-08162021"/>
    <s v="Spill"/>
    <x v="1"/>
    <s v="Pumpkinseed"/>
    <s v="Lepomis"/>
    <s v="gibbosus"/>
    <s v="U"/>
    <x v="0"/>
    <n v="8"/>
    <n v="11.81"/>
    <x v="22"/>
    <s v="646-83-3"/>
    <x v="22"/>
    <n v="0.26850000000000002"/>
  </r>
  <r>
    <s v="PU042-JBA-08162021"/>
    <s v="Spill"/>
    <x v="1"/>
    <s v="Pumpkinseed"/>
    <s v="Lepomis"/>
    <s v="gibbosus"/>
    <s v="U"/>
    <x v="0"/>
    <n v="8"/>
    <n v="11.81"/>
    <x v="23"/>
    <s v="30334-69-1"/>
    <x v="23"/>
    <n v="48.4"/>
  </r>
  <r>
    <s v="PU042-JBA-08162021"/>
    <s v="Spill"/>
    <x v="1"/>
    <s v="Pumpkinseed"/>
    <s v="Lepomis"/>
    <s v="gibbosus"/>
    <s v="U"/>
    <x v="0"/>
    <n v="8"/>
    <n v="11.81"/>
    <x v="24"/>
    <s v="41997-13-1"/>
    <x v="24"/>
    <n v="58.6"/>
  </r>
  <r>
    <s v="PU042-JBA-08162021"/>
    <s v="Spill"/>
    <x v="1"/>
    <s v="Pumpkinseed"/>
    <s v="Lepomis"/>
    <s v="gibbosus"/>
    <s v="U"/>
    <x v="0"/>
    <n v="8"/>
    <n v="11.81"/>
    <x v="25"/>
    <s v="754-91-6"/>
    <x v="25"/>
    <n v="10.199999999999999"/>
  </r>
  <r>
    <s v="PU042-JBA-08162021"/>
    <s v="Spill"/>
    <x v="1"/>
    <s v="Pumpkinseed"/>
    <s v="Lepomis"/>
    <s v="gibbosus"/>
    <s v="U"/>
    <x v="0"/>
    <n v="8"/>
    <n v="11.81"/>
    <x v="26"/>
    <s v="31506-32-8"/>
    <x v="26"/>
    <n v="8.1500000000000003E-2"/>
  </r>
  <r>
    <s v="PU042-JBA-08162021"/>
    <s v="Spill"/>
    <x v="1"/>
    <s v="Pumpkinseed"/>
    <s v="Lepomis"/>
    <s v="gibbosus"/>
    <s v="U"/>
    <x v="0"/>
    <n v="8"/>
    <n v="11.81"/>
    <x v="27"/>
    <s v="4151-50-2"/>
    <x v="27"/>
    <n v="9.5000000000000001E-2"/>
  </r>
  <r>
    <s v="PU042-JBA-08162021"/>
    <s v="Spill"/>
    <x v="1"/>
    <s v="Pumpkinseed"/>
    <s v="Lepomis"/>
    <s v="gibbosus"/>
    <s v="U"/>
    <x v="0"/>
    <n v="8"/>
    <n v="11.81"/>
    <x v="28"/>
    <s v="2806-24-8"/>
    <x v="28"/>
    <n v="6.4000000000000001E-2"/>
  </r>
  <r>
    <s v="PU042-JBA-08162021"/>
    <s v="Spill"/>
    <x v="1"/>
    <s v="Pumpkinseed"/>
    <s v="Lepomis"/>
    <s v="gibbosus"/>
    <s v="U"/>
    <x v="0"/>
    <n v="8"/>
    <n v="11.81"/>
    <x v="29"/>
    <s v="2355-31-9"/>
    <x v="29"/>
    <n v="8.2000000000000003E-2"/>
  </r>
  <r>
    <s v="PU042-JBA-08162021"/>
    <s v="Spill"/>
    <x v="1"/>
    <s v="Pumpkinseed"/>
    <s v="Lepomis"/>
    <s v="gibbosus"/>
    <s v="U"/>
    <x v="0"/>
    <n v="8"/>
    <n v="11.81"/>
    <x v="30"/>
    <s v="2991-50-6"/>
    <x v="30"/>
    <n v="7.0499999999999993E-2"/>
  </r>
  <r>
    <s v="PU042-JBA-08162021"/>
    <s v="Spill"/>
    <x v="1"/>
    <s v="Pumpkinseed"/>
    <s v="Lepomis"/>
    <s v="gibbosus"/>
    <s v="U"/>
    <x v="0"/>
    <n v="8"/>
    <n v="11.81"/>
    <x v="31"/>
    <s v="757124-72-4"/>
    <x v="31"/>
    <n v="8.1500000000000003E-2"/>
  </r>
  <r>
    <s v="PU042-JBA-08162021"/>
    <s v="Spill"/>
    <x v="1"/>
    <s v="Pumpkinseed"/>
    <s v="Lepomis"/>
    <s v="gibbosus"/>
    <s v="U"/>
    <x v="0"/>
    <n v="8"/>
    <n v="11.81"/>
    <x v="32"/>
    <s v="27619-97-2"/>
    <x v="32"/>
    <n v="0.16200000000000001"/>
  </r>
  <r>
    <s v="PU042-JBA-08162021"/>
    <s v="Spill"/>
    <x v="1"/>
    <s v="Pumpkinseed"/>
    <s v="Lepomis"/>
    <s v="gibbosus"/>
    <s v="U"/>
    <x v="0"/>
    <n v="8"/>
    <n v="11.81"/>
    <x v="33"/>
    <s v="39108-34-4"/>
    <x v="33"/>
    <n v="4.74"/>
  </r>
  <r>
    <s v="PU042-JBA-08162021"/>
    <s v="Spill"/>
    <x v="1"/>
    <s v="Pumpkinseed"/>
    <s v="Lepomis"/>
    <s v="gibbosus"/>
    <s v="U"/>
    <x v="0"/>
    <n v="8"/>
    <n v="11.81"/>
    <x v="34"/>
    <s v="120226-60-0"/>
    <x v="34"/>
    <n v="0.30499999999999999"/>
  </r>
  <r>
    <s v="PU042-JBA-08162021"/>
    <s v="Spill"/>
    <x v="1"/>
    <s v="Pumpkinseed"/>
    <s v="Lepomis"/>
    <s v="gibbosus"/>
    <s v="U"/>
    <x v="0"/>
    <n v="8"/>
    <n v="11.81"/>
    <x v="35"/>
    <s v="356-02-5"/>
    <x v="35"/>
    <n v="9.4E-2"/>
  </r>
  <r>
    <s v="PU042-JBA-08162021"/>
    <s v="Spill"/>
    <x v="1"/>
    <s v="Pumpkinseed"/>
    <s v="Lepomis"/>
    <s v="gibbosus"/>
    <s v="U"/>
    <x v="0"/>
    <n v="8"/>
    <n v="11.81"/>
    <x v="36"/>
    <s v="914637-49-3"/>
    <x v="36"/>
    <n v="4.04"/>
  </r>
  <r>
    <s v="PU042-JBA-08162021"/>
    <s v="Spill"/>
    <x v="1"/>
    <s v="Pumpkinseed"/>
    <s v="Lepomis"/>
    <s v="gibbosus"/>
    <s v="U"/>
    <x v="0"/>
    <n v="8"/>
    <n v="11.81"/>
    <x v="37"/>
    <s v="812-70-4"/>
    <x v="37"/>
    <n v="7.9"/>
  </r>
  <r>
    <s v="PU042-JBA-08162021"/>
    <s v="Spill"/>
    <x v="1"/>
    <s v="Pumpkinseed"/>
    <s v="Lepomis"/>
    <s v="gibbosus"/>
    <s v="U"/>
    <x v="0"/>
    <n v="8"/>
    <n v="11.81"/>
    <x v="38"/>
    <s v="53826-12-3"/>
    <x v="38"/>
    <n v="8.1500000000000003E-2"/>
  </r>
  <r>
    <s v="PU042-JBA-08162021"/>
    <s v="Spill"/>
    <x v="1"/>
    <s v="Pumpkinseed"/>
    <s v="Lepomis"/>
    <s v="gibbosus"/>
    <s v="U"/>
    <x v="0"/>
    <n v="8"/>
    <n v="11.81"/>
    <x v="39"/>
    <s v="27854-31-5"/>
    <x v="39"/>
    <n v="8.1500000000000003E-2"/>
  </r>
  <r>
    <s v="PU042-JBA-08162021"/>
    <s v="Spill"/>
    <x v="1"/>
    <s v="Pumpkinseed"/>
    <s v="Lepomis"/>
    <s v="gibbosus"/>
    <s v="U"/>
    <x v="0"/>
    <n v="8"/>
    <n v="11.81"/>
    <x v="40"/>
    <s v="53826-13-4"/>
    <x v="40"/>
    <n v="0.1215"/>
  </r>
  <r>
    <s v="PU042-JBA-08162021"/>
    <s v="Spill"/>
    <x v="1"/>
    <s v="Pumpkinseed"/>
    <s v="Lepomis"/>
    <s v="gibbosus"/>
    <s v="U"/>
    <x v="0"/>
    <n v="8"/>
    <n v="11.81"/>
    <x v="41"/>
    <s v="161094-75-3"/>
    <x v="41"/>
    <n v="6.4000000000000001E-2"/>
  </r>
  <r>
    <s v="PU042-JBA-08162021"/>
    <s v="Spill"/>
    <x v="1"/>
    <s v="Pumpkinseed"/>
    <s v="Lepomis"/>
    <s v="gibbosus"/>
    <s v="U"/>
    <x v="0"/>
    <n v="8"/>
    <n v="11.81"/>
    <x v="42"/>
    <s v="70887-84-2"/>
    <x v="42"/>
    <n v="4.9200000000000001E-2"/>
  </r>
  <r>
    <s v="PU042-JBA-08162021"/>
    <s v="Spill"/>
    <x v="1"/>
    <s v="Pumpkinseed"/>
    <s v="Lepomis"/>
    <s v="gibbosus"/>
    <s v="U"/>
    <x v="0"/>
    <n v="8"/>
    <n v="11.81"/>
    <x v="43"/>
    <s v="919005-14-4"/>
    <x v="43"/>
    <n v="7.1999999999999995E-2"/>
  </r>
  <r>
    <s v="PU042-JBA-08162021"/>
    <s v="Spill"/>
    <x v="1"/>
    <s v="Pumpkinseed"/>
    <s v="Lepomis"/>
    <s v="gibbosus"/>
    <s v="U"/>
    <x v="0"/>
    <n v="8"/>
    <n v="11.81"/>
    <x v="44"/>
    <s v="756426-58-1"/>
    <x v="44"/>
    <n v="8.1500000000000003E-2"/>
  </r>
  <r>
    <s v="PU042-JBA-08162021"/>
    <s v="Spill"/>
    <x v="1"/>
    <s v="Pumpkinseed"/>
    <s v="Lepomis"/>
    <s v="gibbosus"/>
    <s v="U"/>
    <x v="0"/>
    <n v="8"/>
    <n v="11.81"/>
    <x v="45"/>
    <s v="763051-92-9"/>
    <x v="45"/>
    <n v="8.1500000000000003E-2"/>
  </r>
  <r>
    <s v="PU042-JBA-08162021"/>
    <s v="Spill"/>
    <x v="1"/>
    <s v="Pumpkinseed"/>
    <s v="Lepomis"/>
    <s v="gibbosus"/>
    <s v="U"/>
    <x v="0"/>
    <n v="8"/>
    <n v="11.81"/>
    <x v="46"/>
    <s v="13252-13-6"/>
    <x v="46"/>
    <n v="0.11700000000000001"/>
  </r>
  <r>
    <s v="PU042-JBA-08162021"/>
    <s v="Spill"/>
    <x v="1"/>
    <s v="Pumpkinseed"/>
    <s v="Lepomis"/>
    <s v="gibbosus"/>
    <s v="U"/>
    <x v="0"/>
    <n v="8"/>
    <n v="11.81"/>
    <x v="47"/>
    <s v="57677-95-9"/>
    <x v="47"/>
    <n v="8.6499999999999994E-2"/>
  </r>
  <r>
    <s v="PU042-JBA-08162021"/>
    <s v="Spill"/>
    <x v="1"/>
    <s v="Pumpkinseed"/>
    <s v="Lepomis"/>
    <s v="gibbosus"/>
    <s v="U"/>
    <x v="0"/>
    <n v="8"/>
    <n v="11.81"/>
    <x v="48"/>
    <s v="678-41-1"/>
    <x v="48"/>
    <n v="0.108"/>
  </r>
  <r>
    <s v="PU042-JBA-08162021"/>
    <s v="Spill"/>
    <x v="1"/>
    <s v="Pumpkinseed"/>
    <s v="Lepomis"/>
    <s v="gibbosus"/>
    <s v="U"/>
    <x v="0"/>
    <n v="8"/>
    <n v="11.81"/>
    <x v="49"/>
    <s v="2965-52-8"/>
    <x v="49"/>
    <n v="0.14349999999999999"/>
  </r>
  <r>
    <s v="PU043-JBA-08162021"/>
    <s v="Spill"/>
    <x v="1"/>
    <s v="Pumpkinseed"/>
    <s v="Lepomis"/>
    <s v="gibbosus"/>
    <s v="U"/>
    <x v="0"/>
    <n v="8"/>
    <n v="11.81"/>
    <x v="0"/>
    <s v="375-22-4"/>
    <x v="0"/>
    <n v="0.24249999999999999"/>
  </r>
  <r>
    <s v="PU043-JBA-08162021"/>
    <s v="Spill"/>
    <x v="1"/>
    <s v="Pumpkinseed"/>
    <s v="Lepomis"/>
    <s v="gibbosus"/>
    <s v="U"/>
    <x v="0"/>
    <n v="8"/>
    <n v="11.81"/>
    <x v="1"/>
    <s v="2706-90-3"/>
    <x v="1"/>
    <n v="5.1999999999999998E-2"/>
  </r>
  <r>
    <s v="PU043-JBA-08162021"/>
    <s v="Spill"/>
    <x v="1"/>
    <s v="Pumpkinseed"/>
    <s v="Lepomis"/>
    <s v="gibbosus"/>
    <s v="U"/>
    <x v="0"/>
    <n v="8"/>
    <n v="11.81"/>
    <x v="2"/>
    <s v="307-24-4"/>
    <x v="2"/>
    <n v="0.13100000000000001"/>
  </r>
  <r>
    <s v="PU043-JBA-08162021"/>
    <s v="Spill"/>
    <x v="1"/>
    <s v="Pumpkinseed"/>
    <s v="Lepomis"/>
    <s v="gibbosus"/>
    <s v="U"/>
    <x v="0"/>
    <n v="8"/>
    <n v="11.81"/>
    <x v="3"/>
    <s v="375-85-9"/>
    <x v="3"/>
    <n v="9.7000000000000003E-2"/>
  </r>
  <r>
    <s v="PU043-JBA-08162021"/>
    <s v="Spill"/>
    <x v="1"/>
    <s v="Pumpkinseed"/>
    <s v="Lepomis"/>
    <s v="gibbosus"/>
    <s v="U"/>
    <x v="0"/>
    <n v="8"/>
    <n v="11.81"/>
    <x v="4"/>
    <s v="335-67-1"/>
    <x v="4"/>
    <n v="0.88400000000000001"/>
  </r>
  <r>
    <s v="PU043-JBA-08162021"/>
    <s v="Spill"/>
    <x v="1"/>
    <s v="Pumpkinseed"/>
    <s v="Lepomis"/>
    <s v="gibbosus"/>
    <s v="U"/>
    <x v="0"/>
    <n v="8"/>
    <n v="11.81"/>
    <x v="5"/>
    <s v="375-95-1"/>
    <x v="5"/>
    <n v="0.16800000000000001"/>
  </r>
  <r>
    <s v="PU043-JBA-08162021"/>
    <s v="Spill"/>
    <x v="1"/>
    <s v="Pumpkinseed"/>
    <s v="Lepomis"/>
    <s v="gibbosus"/>
    <s v="U"/>
    <x v="0"/>
    <n v="8"/>
    <n v="11.81"/>
    <x v="6"/>
    <s v="335-76-2"/>
    <x v="6"/>
    <n v="3.73"/>
  </r>
  <r>
    <s v="PU043-JBA-08162021"/>
    <s v="Spill"/>
    <x v="1"/>
    <s v="Pumpkinseed"/>
    <s v="Lepomis"/>
    <s v="gibbosus"/>
    <s v="U"/>
    <x v="0"/>
    <n v="8"/>
    <n v="11.81"/>
    <x v="7"/>
    <s v="2058-94-8"/>
    <x v="7"/>
    <n v="8.86"/>
  </r>
  <r>
    <s v="PU043-JBA-08162021"/>
    <s v="Spill"/>
    <x v="1"/>
    <s v="Pumpkinseed"/>
    <s v="Lepomis"/>
    <s v="gibbosus"/>
    <s v="U"/>
    <x v="0"/>
    <n v="8"/>
    <n v="11.81"/>
    <x v="8"/>
    <s v="307-55-1"/>
    <x v="8"/>
    <n v="16.5"/>
  </r>
  <r>
    <s v="PU043-JBA-08162021"/>
    <s v="Spill"/>
    <x v="1"/>
    <s v="Pumpkinseed"/>
    <s v="Lepomis"/>
    <s v="gibbosus"/>
    <s v="U"/>
    <x v="0"/>
    <n v="8"/>
    <n v="11.81"/>
    <x v="9"/>
    <s v="72629-94-8"/>
    <x v="9"/>
    <n v="5.28"/>
  </r>
  <r>
    <s v="PU043-JBA-08162021"/>
    <s v="Spill"/>
    <x v="1"/>
    <s v="Pumpkinseed"/>
    <s v="Lepomis"/>
    <s v="gibbosus"/>
    <s v="U"/>
    <x v="0"/>
    <n v="8"/>
    <n v="11.81"/>
    <x v="10"/>
    <s v="376-06-7"/>
    <x v="10"/>
    <n v="10.4"/>
  </r>
  <r>
    <s v="PU043-JBA-08162021"/>
    <s v="Spill"/>
    <x v="1"/>
    <s v="Pumpkinseed"/>
    <s v="Lepomis"/>
    <s v="gibbosus"/>
    <s v="U"/>
    <x v="0"/>
    <n v="8"/>
    <n v="11.81"/>
    <x v="11"/>
    <s v="67905-19-5"/>
    <x v="11"/>
    <n v="0.28899999999999998"/>
  </r>
  <r>
    <s v="PU043-JBA-08162021"/>
    <s v="Spill"/>
    <x v="1"/>
    <s v="Pumpkinseed"/>
    <s v="Lepomis"/>
    <s v="gibbosus"/>
    <s v="U"/>
    <x v="0"/>
    <n v="8"/>
    <n v="11.81"/>
    <x v="12"/>
    <s v="423-41-6"/>
    <x v="12"/>
    <n v="7.3499999999999996E-2"/>
  </r>
  <r>
    <s v="PU043-JBA-08162021"/>
    <s v="Spill"/>
    <x v="1"/>
    <s v="Pumpkinseed"/>
    <s v="Lepomis"/>
    <s v="gibbosus"/>
    <s v="U"/>
    <x v="0"/>
    <n v="8"/>
    <n v="11.81"/>
    <x v="13"/>
    <s v="375-73-5"/>
    <x v="13"/>
    <n v="0.16500000000000001"/>
  </r>
  <r>
    <s v="PU043-JBA-08162021"/>
    <s v="Spill"/>
    <x v="1"/>
    <s v="Pumpkinseed"/>
    <s v="Lepomis"/>
    <s v="gibbosus"/>
    <s v="U"/>
    <x v="0"/>
    <n v="8"/>
    <n v="11.81"/>
    <x v="14"/>
    <s v="2706-91-4"/>
    <x v="14"/>
    <n v="0.24249999999999999"/>
  </r>
  <r>
    <s v="PU043-JBA-08162021"/>
    <s v="Spill"/>
    <x v="1"/>
    <s v="Pumpkinseed"/>
    <s v="Lepomis"/>
    <s v="gibbosus"/>
    <s v="U"/>
    <x v="0"/>
    <n v="8"/>
    <n v="11.81"/>
    <x v="15"/>
    <s v="355-46-4"/>
    <x v="15"/>
    <n v="15.7"/>
  </r>
  <r>
    <s v="PU043-JBA-08162021"/>
    <s v="Spill"/>
    <x v="1"/>
    <s v="Pumpkinseed"/>
    <s v="Lepomis"/>
    <s v="gibbosus"/>
    <s v="U"/>
    <x v="0"/>
    <n v="8"/>
    <n v="11.81"/>
    <x v="16"/>
    <s v="375-92-8"/>
    <x v="16"/>
    <n v="2.1800000000000002"/>
  </r>
  <r>
    <s v="PU043-JBA-08162021"/>
    <s v="Spill"/>
    <x v="1"/>
    <s v="Pumpkinseed"/>
    <s v="Lepomis"/>
    <s v="gibbosus"/>
    <s v="U"/>
    <x v="0"/>
    <n v="8"/>
    <n v="11.81"/>
    <x v="17"/>
    <s v="1763-23-1"/>
    <x v="17"/>
    <n v="769"/>
  </r>
  <r>
    <s v="PU043-JBA-08162021"/>
    <s v="Spill"/>
    <x v="1"/>
    <s v="Pumpkinseed"/>
    <s v="Lepomis"/>
    <s v="gibbosus"/>
    <s v="U"/>
    <x v="0"/>
    <n v="8"/>
    <n v="11.81"/>
    <x v="18"/>
    <s v="68259-12-1"/>
    <x v="18"/>
    <n v="4.04"/>
  </r>
  <r>
    <s v="PU043-JBA-08162021"/>
    <s v="Spill"/>
    <x v="1"/>
    <s v="Pumpkinseed"/>
    <s v="Lepomis"/>
    <s v="gibbosus"/>
    <s v="U"/>
    <x v="0"/>
    <n v="8"/>
    <n v="11.81"/>
    <x v="19"/>
    <s v="335-77-3"/>
    <x v="19"/>
    <n v="3.81"/>
  </r>
  <r>
    <s v="PU043-JBA-08162021"/>
    <s v="Spill"/>
    <x v="1"/>
    <s v="Pumpkinseed"/>
    <s v="Lepomis"/>
    <s v="gibbosus"/>
    <s v="U"/>
    <x v="0"/>
    <n v="8"/>
    <n v="11.81"/>
    <x v="20"/>
    <s v="79780-39-5"/>
    <x v="20"/>
    <n v="0.80300000000000005"/>
  </r>
  <r>
    <s v="PU043-JBA-08162021"/>
    <s v="Spill"/>
    <x v="1"/>
    <s v="Pumpkinseed"/>
    <s v="Lepomis"/>
    <s v="gibbosus"/>
    <s v="U"/>
    <x v="0"/>
    <n v="8"/>
    <n v="11.81"/>
    <x v="21"/>
    <s v="777011-38-8"/>
    <x v="21"/>
    <n v="0.14749999999999999"/>
  </r>
  <r>
    <s v="PU043-JBA-08162021"/>
    <s v="Spill"/>
    <x v="1"/>
    <s v="Pumpkinseed"/>
    <s v="Lepomis"/>
    <s v="gibbosus"/>
    <s v="U"/>
    <x v="0"/>
    <n v="8"/>
    <n v="11.81"/>
    <x v="22"/>
    <s v="646-83-3"/>
    <x v="22"/>
    <n v="0.24249999999999999"/>
  </r>
  <r>
    <s v="PU043-JBA-08162021"/>
    <s v="Spill"/>
    <x v="1"/>
    <s v="Pumpkinseed"/>
    <s v="Lepomis"/>
    <s v="gibbosus"/>
    <s v="U"/>
    <x v="0"/>
    <n v="8"/>
    <n v="11.81"/>
    <x v="23"/>
    <s v="30334-69-1"/>
    <x v="23"/>
    <n v="16.899999999999999"/>
  </r>
  <r>
    <s v="PU043-JBA-08162021"/>
    <s v="Spill"/>
    <x v="1"/>
    <s v="Pumpkinseed"/>
    <s v="Lepomis"/>
    <s v="gibbosus"/>
    <s v="U"/>
    <x v="0"/>
    <n v="8"/>
    <n v="11.81"/>
    <x v="24"/>
    <s v="41997-13-1"/>
    <x v="24"/>
    <n v="54.7"/>
  </r>
  <r>
    <s v="PU043-JBA-08162021"/>
    <s v="Spill"/>
    <x v="1"/>
    <s v="Pumpkinseed"/>
    <s v="Lepomis"/>
    <s v="gibbosus"/>
    <s v="U"/>
    <x v="0"/>
    <n v="8"/>
    <n v="11.81"/>
    <x v="25"/>
    <s v="754-91-6"/>
    <x v="25"/>
    <n v="11.5"/>
  </r>
  <r>
    <s v="PU043-JBA-08162021"/>
    <s v="Spill"/>
    <x v="1"/>
    <s v="Pumpkinseed"/>
    <s v="Lepomis"/>
    <s v="gibbosus"/>
    <s v="U"/>
    <x v="0"/>
    <n v="8"/>
    <n v="11.81"/>
    <x v="26"/>
    <s v="31506-32-8"/>
    <x v="26"/>
    <n v="7.3499999999999996E-2"/>
  </r>
  <r>
    <s v="PU043-JBA-08162021"/>
    <s v="Spill"/>
    <x v="1"/>
    <s v="Pumpkinseed"/>
    <s v="Lepomis"/>
    <s v="gibbosus"/>
    <s v="U"/>
    <x v="0"/>
    <n v="8"/>
    <n v="11.81"/>
    <x v="27"/>
    <s v="4151-50-2"/>
    <x v="27"/>
    <n v="8.5999999999999993E-2"/>
  </r>
  <r>
    <s v="PU043-JBA-08162021"/>
    <s v="Spill"/>
    <x v="1"/>
    <s v="Pumpkinseed"/>
    <s v="Lepomis"/>
    <s v="gibbosus"/>
    <s v="U"/>
    <x v="0"/>
    <n v="8"/>
    <n v="11.81"/>
    <x v="28"/>
    <s v="2806-24-8"/>
    <x v="28"/>
    <n v="5.8000000000000003E-2"/>
  </r>
  <r>
    <s v="PU043-JBA-08162021"/>
    <s v="Spill"/>
    <x v="1"/>
    <s v="Pumpkinseed"/>
    <s v="Lepomis"/>
    <s v="gibbosus"/>
    <s v="U"/>
    <x v="0"/>
    <n v="8"/>
    <n v="11.81"/>
    <x v="29"/>
    <s v="2355-31-9"/>
    <x v="29"/>
    <n v="7.3999999999999996E-2"/>
  </r>
  <r>
    <s v="PU043-JBA-08162021"/>
    <s v="Spill"/>
    <x v="1"/>
    <s v="Pumpkinseed"/>
    <s v="Lepomis"/>
    <s v="gibbosus"/>
    <s v="U"/>
    <x v="0"/>
    <n v="8"/>
    <n v="11.81"/>
    <x v="30"/>
    <s v="2991-50-6"/>
    <x v="30"/>
    <n v="6.4000000000000001E-2"/>
  </r>
  <r>
    <s v="PU043-JBA-08162021"/>
    <s v="Spill"/>
    <x v="1"/>
    <s v="Pumpkinseed"/>
    <s v="Lepomis"/>
    <s v="gibbosus"/>
    <s v="U"/>
    <x v="0"/>
    <n v="8"/>
    <n v="11.81"/>
    <x v="31"/>
    <s v="757124-72-4"/>
    <x v="31"/>
    <n v="7.3499999999999996E-2"/>
  </r>
  <r>
    <s v="PU043-JBA-08162021"/>
    <s v="Spill"/>
    <x v="1"/>
    <s v="Pumpkinseed"/>
    <s v="Lepomis"/>
    <s v="gibbosus"/>
    <s v="U"/>
    <x v="0"/>
    <n v="8"/>
    <n v="11.81"/>
    <x v="32"/>
    <s v="27619-97-2"/>
    <x v="32"/>
    <n v="0.311"/>
  </r>
  <r>
    <s v="PU043-JBA-08162021"/>
    <s v="Spill"/>
    <x v="1"/>
    <s v="Pumpkinseed"/>
    <s v="Lepomis"/>
    <s v="gibbosus"/>
    <s v="U"/>
    <x v="0"/>
    <n v="8"/>
    <n v="11.81"/>
    <x v="33"/>
    <s v="39108-34-4"/>
    <x v="33"/>
    <n v="2.15"/>
  </r>
  <r>
    <s v="PU043-JBA-08162021"/>
    <s v="Spill"/>
    <x v="1"/>
    <s v="Pumpkinseed"/>
    <s v="Lepomis"/>
    <s v="gibbosus"/>
    <s v="U"/>
    <x v="0"/>
    <n v="8"/>
    <n v="11.81"/>
    <x v="34"/>
    <s v="120226-60-0"/>
    <x v="34"/>
    <n v="0.27550000000000002"/>
  </r>
  <r>
    <s v="PU043-JBA-08162021"/>
    <s v="Spill"/>
    <x v="1"/>
    <s v="Pumpkinseed"/>
    <s v="Lepomis"/>
    <s v="gibbosus"/>
    <s v="U"/>
    <x v="0"/>
    <n v="8"/>
    <n v="11.81"/>
    <x v="35"/>
    <s v="356-02-5"/>
    <x v="35"/>
    <n v="8.5000000000000006E-2"/>
  </r>
  <r>
    <s v="PU043-JBA-08162021"/>
    <s v="Spill"/>
    <x v="1"/>
    <s v="Pumpkinseed"/>
    <s v="Lepomis"/>
    <s v="gibbosus"/>
    <s v="U"/>
    <x v="0"/>
    <n v="8"/>
    <n v="11.81"/>
    <x v="36"/>
    <s v="914637-49-3"/>
    <x v="36"/>
    <n v="0.183"/>
  </r>
  <r>
    <s v="PU043-JBA-08162021"/>
    <s v="Spill"/>
    <x v="1"/>
    <s v="Pumpkinseed"/>
    <s v="Lepomis"/>
    <s v="gibbosus"/>
    <s v="U"/>
    <x v="0"/>
    <n v="8"/>
    <n v="11.81"/>
    <x v="37"/>
    <s v="812-70-4"/>
    <x v="37"/>
    <n v="1.79"/>
  </r>
  <r>
    <s v="PU043-JBA-08162021"/>
    <s v="Spill"/>
    <x v="1"/>
    <s v="Pumpkinseed"/>
    <s v="Lepomis"/>
    <s v="gibbosus"/>
    <s v="U"/>
    <x v="0"/>
    <n v="8"/>
    <n v="11.81"/>
    <x v="38"/>
    <s v="53826-12-3"/>
    <x v="38"/>
    <n v="0.24249999999999999"/>
  </r>
  <r>
    <s v="PU043-JBA-08162021"/>
    <s v="Spill"/>
    <x v="1"/>
    <s v="Pumpkinseed"/>
    <s v="Lepomis"/>
    <s v="gibbosus"/>
    <s v="U"/>
    <x v="0"/>
    <n v="8"/>
    <n v="11.81"/>
    <x v="39"/>
    <s v="27854-31-5"/>
    <x v="39"/>
    <n v="7.3499999999999996E-2"/>
  </r>
  <r>
    <s v="PU043-JBA-08162021"/>
    <s v="Spill"/>
    <x v="1"/>
    <s v="Pumpkinseed"/>
    <s v="Lepomis"/>
    <s v="gibbosus"/>
    <s v="U"/>
    <x v="0"/>
    <n v="8"/>
    <n v="11.81"/>
    <x v="40"/>
    <s v="53826-13-4"/>
    <x v="40"/>
    <n v="0.1095"/>
  </r>
  <r>
    <s v="PU043-JBA-08162021"/>
    <s v="Spill"/>
    <x v="1"/>
    <s v="Pumpkinseed"/>
    <s v="Lepomis"/>
    <s v="gibbosus"/>
    <s v="U"/>
    <x v="0"/>
    <n v="8"/>
    <n v="11.81"/>
    <x v="41"/>
    <s v="161094-75-3"/>
    <x v="41"/>
    <n v="5.7500000000000002E-2"/>
  </r>
  <r>
    <s v="PU043-JBA-08162021"/>
    <s v="Spill"/>
    <x v="1"/>
    <s v="Pumpkinseed"/>
    <s v="Lepomis"/>
    <s v="gibbosus"/>
    <s v="U"/>
    <x v="0"/>
    <n v="8"/>
    <n v="11.81"/>
    <x v="42"/>
    <s v="70887-84-2"/>
    <x v="42"/>
    <n v="4.4450000000000003E-2"/>
  </r>
  <r>
    <s v="PU043-JBA-08162021"/>
    <s v="Spill"/>
    <x v="1"/>
    <s v="Pumpkinseed"/>
    <s v="Lepomis"/>
    <s v="gibbosus"/>
    <s v="U"/>
    <x v="0"/>
    <n v="8"/>
    <n v="11.81"/>
    <x v="43"/>
    <s v="919005-14-4"/>
    <x v="43"/>
    <n v="6.5000000000000002E-2"/>
  </r>
  <r>
    <s v="PU043-JBA-08162021"/>
    <s v="Spill"/>
    <x v="1"/>
    <s v="Pumpkinseed"/>
    <s v="Lepomis"/>
    <s v="gibbosus"/>
    <s v="U"/>
    <x v="0"/>
    <n v="8"/>
    <n v="11.81"/>
    <x v="44"/>
    <s v="756426-58-1"/>
    <x v="44"/>
    <n v="7.3499999999999996E-2"/>
  </r>
  <r>
    <s v="PU043-JBA-08162021"/>
    <s v="Spill"/>
    <x v="1"/>
    <s v="Pumpkinseed"/>
    <s v="Lepomis"/>
    <s v="gibbosus"/>
    <s v="U"/>
    <x v="0"/>
    <n v="8"/>
    <n v="11.81"/>
    <x v="45"/>
    <s v="763051-92-9"/>
    <x v="45"/>
    <n v="7.3499999999999996E-2"/>
  </r>
  <r>
    <s v="PU043-JBA-08162021"/>
    <s v="Spill"/>
    <x v="1"/>
    <s v="Pumpkinseed"/>
    <s v="Lepomis"/>
    <s v="gibbosus"/>
    <s v="U"/>
    <x v="0"/>
    <n v="8"/>
    <n v="11.81"/>
    <x v="46"/>
    <s v="13252-13-6"/>
    <x v="46"/>
    <n v="0.1055"/>
  </r>
  <r>
    <s v="PU043-JBA-08162021"/>
    <s v="Spill"/>
    <x v="1"/>
    <s v="Pumpkinseed"/>
    <s v="Lepomis"/>
    <s v="gibbosus"/>
    <s v="U"/>
    <x v="0"/>
    <n v="8"/>
    <n v="11.81"/>
    <x v="47"/>
    <s v="57677-95-9"/>
    <x v="47"/>
    <n v="7.85E-2"/>
  </r>
  <r>
    <s v="PU043-JBA-08162021"/>
    <s v="Spill"/>
    <x v="1"/>
    <s v="Pumpkinseed"/>
    <s v="Lepomis"/>
    <s v="gibbosus"/>
    <s v="U"/>
    <x v="0"/>
    <n v="8"/>
    <n v="11.81"/>
    <x v="48"/>
    <s v="678-41-1"/>
    <x v="48"/>
    <n v="9.7500000000000003E-2"/>
  </r>
  <r>
    <s v="PU043-JBA-08162021"/>
    <s v="Spill"/>
    <x v="1"/>
    <s v="Pumpkinseed"/>
    <s v="Lepomis"/>
    <s v="gibbosus"/>
    <s v="U"/>
    <x v="0"/>
    <n v="8"/>
    <n v="11.81"/>
    <x v="49"/>
    <s v="2965-52-8"/>
    <x v="49"/>
    <n v="0.1295"/>
  </r>
  <r>
    <s v="PU044-JBA-08162021"/>
    <s v="Spill"/>
    <x v="1"/>
    <s v="Pumpkinseed"/>
    <s v="Lepomis"/>
    <s v="gibbosus"/>
    <s v="U"/>
    <x v="0"/>
    <n v="8"/>
    <n v="11.81"/>
    <x v="0"/>
    <s v="375-22-4"/>
    <x v="0"/>
    <n v="0.222"/>
  </r>
  <r>
    <s v="PU044-JBA-08162021"/>
    <s v="Spill"/>
    <x v="1"/>
    <s v="Pumpkinseed"/>
    <s v="Lepomis"/>
    <s v="gibbosus"/>
    <s v="U"/>
    <x v="0"/>
    <n v="8"/>
    <n v="11.81"/>
    <x v="1"/>
    <s v="2706-90-3"/>
    <x v="1"/>
    <n v="0.157"/>
  </r>
  <r>
    <s v="PU044-JBA-08162021"/>
    <s v="Spill"/>
    <x v="1"/>
    <s v="Pumpkinseed"/>
    <s v="Lepomis"/>
    <s v="gibbosus"/>
    <s v="U"/>
    <x v="0"/>
    <n v="8"/>
    <n v="11.81"/>
    <x v="2"/>
    <s v="307-24-4"/>
    <x v="2"/>
    <n v="0.12"/>
  </r>
  <r>
    <s v="PU044-JBA-08162021"/>
    <s v="Spill"/>
    <x v="1"/>
    <s v="Pumpkinseed"/>
    <s v="Lepomis"/>
    <s v="gibbosus"/>
    <s v="U"/>
    <x v="0"/>
    <n v="8"/>
    <n v="11.81"/>
    <x v="3"/>
    <s v="375-85-9"/>
    <x v="3"/>
    <n v="0.26200000000000001"/>
  </r>
  <r>
    <s v="PU044-JBA-08162021"/>
    <s v="Spill"/>
    <x v="1"/>
    <s v="Pumpkinseed"/>
    <s v="Lepomis"/>
    <s v="gibbosus"/>
    <s v="U"/>
    <x v="0"/>
    <n v="8"/>
    <n v="11.81"/>
    <x v="4"/>
    <s v="335-67-1"/>
    <x v="4"/>
    <n v="3.58"/>
  </r>
  <r>
    <s v="PU044-JBA-08162021"/>
    <s v="Spill"/>
    <x v="1"/>
    <s v="Pumpkinseed"/>
    <s v="Lepomis"/>
    <s v="gibbosus"/>
    <s v="U"/>
    <x v="0"/>
    <n v="8"/>
    <n v="11.81"/>
    <x v="5"/>
    <s v="375-95-1"/>
    <x v="5"/>
    <n v="3.99"/>
  </r>
  <r>
    <s v="PU044-JBA-08162021"/>
    <s v="Spill"/>
    <x v="1"/>
    <s v="Pumpkinseed"/>
    <s v="Lepomis"/>
    <s v="gibbosus"/>
    <s v="U"/>
    <x v="0"/>
    <n v="8"/>
    <n v="11.81"/>
    <x v="6"/>
    <s v="335-76-2"/>
    <x v="6"/>
    <n v="7.7"/>
  </r>
  <r>
    <s v="PU044-JBA-08162021"/>
    <s v="Spill"/>
    <x v="1"/>
    <s v="Pumpkinseed"/>
    <s v="Lepomis"/>
    <s v="gibbosus"/>
    <s v="U"/>
    <x v="0"/>
    <n v="8"/>
    <n v="11.81"/>
    <x v="7"/>
    <s v="2058-94-8"/>
    <x v="7"/>
    <n v="9.17"/>
  </r>
  <r>
    <s v="PU044-JBA-08162021"/>
    <s v="Spill"/>
    <x v="1"/>
    <s v="Pumpkinseed"/>
    <s v="Lepomis"/>
    <s v="gibbosus"/>
    <s v="U"/>
    <x v="0"/>
    <n v="8"/>
    <n v="11.81"/>
    <x v="8"/>
    <s v="307-55-1"/>
    <x v="8"/>
    <n v="8.06"/>
  </r>
  <r>
    <s v="PU044-JBA-08162021"/>
    <s v="Spill"/>
    <x v="1"/>
    <s v="Pumpkinseed"/>
    <s v="Lepomis"/>
    <s v="gibbosus"/>
    <s v="U"/>
    <x v="0"/>
    <n v="8"/>
    <n v="11.81"/>
    <x v="9"/>
    <s v="72629-94-8"/>
    <x v="9"/>
    <n v="2.38"/>
  </r>
  <r>
    <s v="PU044-JBA-08162021"/>
    <s v="Spill"/>
    <x v="1"/>
    <s v="Pumpkinseed"/>
    <s v="Lepomis"/>
    <s v="gibbosus"/>
    <s v="U"/>
    <x v="0"/>
    <n v="8"/>
    <n v="11.81"/>
    <x v="10"/>
    <s v="376-06-7"/>
    <x v="10"/>
    <n v="7.61"/>
  </r>
  <r>
    <s v="PU044-JBA-08162021"/>
    <s v="Spill"/>
    <x v="1"/>
    <s v="Pumpkinseed"/>
    <s v="Lepomis"/>
    <s v="gibbosus"/>
    <s v="U"/>
    <x v="0"/>
    <n v="8"/>
    <n v="11.81"/>
    <x v="11"/>
    <s v="67905-19-5"/>
    <x v="11"/>
    <n v="0.08"/>
  </r>
  <r>
    <s v="PU044-JBA-08162021"/>
    <s v="Spill"/>
    <x v="1"/>
    <s v="Pumpkinseed"/>
    <s v="Lepomis"/>
    <s v="gibbosus"/>
    <s v="U"/>
    <x v="0"/>
    <n v="8"/>
    <n v="11.81"/>
    <x v="12"/>
    <s v="423-41-6"/>
    <x v="12"/>
    <n v="6.7500000000000004E-2"/>
  </r>
  <r>
    <s v="PU044-JBA-08162021"/>
    <s v="Spill"/>
    <x v="1"/>
    <s v="Pumpkinseed"/>
    <s v="Lepomis"/>
    <s v="gibbosus"/>
    <s v="U"/>
    <x v="0"/>
    <n v="8"/>
    <n v="11.81"/>
    <x v="13"/>
    <s v="375-73-5"/>
    <x v="13"/>
    <n v="0.151"/>
  </r>
  <r>
    <s v="PU044-JBA-08162021"/>
    <s v="Spill"/>
    <x v="1"/>
    <s v="Pumpkinseed"/>
    <s v="Lepomis"/>
    <s v="gibbosus"/>
    <s v="U"/>
    <x v="0"/>
    <n v="8"/>
    <n v="11.81"/>
    <x v="14"/>
    <s v="2706-91-4"/>
    <x v="14"/>
    <n v="0.222"/>
  </r>
  <r>
    <s v="PU044-JBA-08162021"/>
    <s v="Spill"/>
    <x v="1"/>
    <s v="Pumpkinseed"/>
    <s v="Lepomis"/>
    <s v="gibbosus"/>
    <s v="U"/>
    <x v="0"/>
    <n v="8"/>
    <n v="11.81"/>
    <x v="15"/>
    <s v="355-46-4"/>
    <x v="15"/>
    <n v="30.4"/>
  </r>
  <r>
    <s v="PU044-JBA-08162021"/>
    <s v="Spill"/>
    <x v="1"/>
    <s v="Pumpkinseed"/>
    <s v="Lepomis"/>
    <s v="gibbosus"/>
    <s v="U"/>
    <x v="0"/>
    <n v="8"/>
    <n v="11.81"/>
    <x v="16"/>
    <s v="375-92-8"/>
    <x v="16"/>
    <n v="3.4"/>
  </r>
  <r>
    <s v="PU044-JBA-08162021"/>
    <s v="Spill"/>
    <x v="1"/>
    <s v="Pumpkinseed"/>
    <s v="Lepomis"/>
    <s v="gibbosus"/>
    <s v="U"/>
    <x v="0"/>
    <n v="8"/>
    <n v="11.81"/>
    <x v="17"/>
    <s v="1763-23-1"/>
    <x v="17"/>
    <n v="688"/>
  </r>
  <r>
    <s v="PU044-JBA-08162021"/>
    <s v="Spill"/>
    <x v="1"/>
    <s v="Pumpkinseed"/>
    <s v="Lepomis"/>
    <s v="gibbosus"/>
    <s v="U"/>
    <x v="0"/>
    <n v="8"/>
    <n v="11.81"/>
    <x v="18"/>
    <s v="68259-12-1"/>
    <x v="18"/>
    <n v="2.12"/>
  </r>
  <r>
    <s v="PU044-JBA-08162021"/>
    <s v="Spill"/>
    <x v="1"/>
    <s v="Pumpkinseed"/>
    <s v="Lepomis"/>
    <s v="gibbosus"/>
    <s v="U"/>
    <x v="0"/>
    <n v="8"/>
    <n v="11.81"/>
    <x v="19"/>
    <s v="335-77-3"/>
    <x v="19"/>
    <n v="1.63"/>
  </r>
  <r>
    <s v="PU044-JBA-08162021"/>
    <s v="Spill"/>
    <x v="1"/>
    <s v="Pumpkinseed"/>
    <s v="Lepomis"/>
    <s v="gibbosus"/>
    <s v="U"/>
    <x v="0"/>
    <n v="8"/>
    <n v="11.81"/>
    <x v="20"/>
    <s v="79780-39-5"/>
    <x v="20"/>
    <n v="0.23749999999999999"/>
  </r>
  <r>
    <s v="PU044-JBA-08162021"/>
    <s v="Spill"/>
    <x v="1"/>
    <s v="Pumpkinseed"/>
    <s v="Lepomis"/>
    <s v="gibbosus"/>
    <s v="U"/>
    <x v="0"/>
    <n v="8"/>
    <n v="11.81"/>
    <x v="21"/>
    <s v="777011-38-8"/>
    <x v="21"/>
    <n v="0.13500000000000001"/>
  </r>
  <r>
    <s v="PU044-JBA-08162021"/>
    <s v="Spill"/>
    <x v="1"/>
    <s v="Pumpkinseed"/>
    <s v="Lepomis"/>
    <s v="gibbosus"/>
    <s v="U"/>
    <x v="0"/>
    <n v="8"/>
    <n v="11.81"/>
    <x v="22"/>
    <s v="646-83-3"/>
    <x v="22"/>
    <n v="0.222"/>
  </r>
  <r>
    <s v="PU044-JBA-08162021"/>
    <s v="Spill"/>
    <x v="1"/>
    <s v="Pumpkinseed"/>
    <s v="Lepomis"/>
    <s v="gibbosus"/>
    <s v="U"/>
    <x v="0"/>
    <n v="8"/>
    <n v="11.81"/>
    <x v="23"/>
    <s v="30334-69-1"/>
    <x v="23"/>
    <n v="35.799999999999997"/>
  </r>
  <r>
    <s v="PU044-JBA-08162021"/>
    <s v="Spill"/>
    <x v="1"/>
    <s v="Pumpkinseed"/>
    <s v="Lepomis"/>
    <s v="gibbosus"/>
    <s v="U"/>
    <x v="0"/>
    <n v="8"/>
    <n v="11.81"/>
    <x v="24"/>
    <s v="41997-13-1"/>
    <x v="24"/>
    <n v="114"/>
  </r>
  <r>
    <s v="PU044-JBA-08162021"/>
    <s v="Spill"/>
    <x v="1"/>
    <s v="Pumpkinseed"/>
    <s v="Lepomis"/>
    <s v="gibbosus"/>
    <s v="U"/>
    <x v="0"/>
    <n v="8"/>
    <n v="11.81"/>
    <x v="25"/>
    <s v="754-91-6"/>
    <x v="25"/>
    <n v="16.3"/>
  </r>
  <r>
    <s v="PU044-JBA-08162021"/>
    <s v="Spill"/>
    <x v="1"/>
    <s v="Pumpkinseed"/>
    <s v="Lepomis"/>
    <s v="gibbosus"/>
    <s v="U"/>
    <x v="0"/>
    <n v="8"/>
    <n v="11.81"/>
    <x v="26"/>
    <s v="31506-32-8"/>
    <x v="26"/>
    <n v="6.7500000000000004E-2"/>
  </r>
  <r>
    <s v="PU044-JBA-08162021"/>
    <s v="Spill"/>
    <x v="1"/>
    <s v="Pumpkinseed"/>
    <s v="Lepomis"/>
    <s v="gibbosus"/>
    <s v="U"/>
    <x v="0"/>
    <n v="8"/>
    <n v="11.81"/>
    <x v="27"/>
    <s v="4151-50-2"/>
    <x v="27"/>
    <n v="7.85E-2"/>
  </r>
  <r>
    <s v="PU044-JBA-08162021"/>
    <s v="Spill"/>
    <x v="1"/>
    <s v="Pumpkinseed"/>
    <s v="Lepomis"/>
    <s v="gibbosus"/>
    <s v="U"/>
    <x v="0"/>
    <n v="8"/>
    <n v="11.81"/>
    <x v="28"/>
    <s v="2806-24-8"/>
    <x v="28"/>
    <n v="5.2999999999999999E-2"/>
  </r>
  <r>
    <s v="PU044-JBA-08162021"/>
    <s v="Spill"/>
    <x v="1"/>
    <s v="Pumpkinseed"/>
    <s v="Lepomis"/>
    <s v="gibbosus"/>
    <s v="U"/>
    <x v="0"/>
    <n v="8"/>
    <n v="11.81"/>
    <x v="29"/>
    <s v="2355-31-9"/>
    <x v="29"/>
    <n v="6.7500000000000004E-2"/>
  </r>
  <r>
    <s v="PU044-JBA-08162021"/>
    <s v="Spill"/>
    <x v="1"/>
    <s v="Pumpkinseed"/>
    <s v="Lepomis"/>
    <s v="gibbosus"/>
    <s v="U"/>
    <x v="0"/>
    <n v="8"/>
    <n v="11.81"/>
    <x v="30"/>
    <s v="2991-50-6"/>
    <x v="30"/>
    <n v="5.8500000000000003E-2"/>
  </r>
  <r>
    <s v="PU044-JBA-08162021"/>
    <s v="Spill"/>
    <x v="1"/>
    <s v="Pumpkinseed"/>
    <s v="Lepomis"/>
    <s v="gibbosus"/>
    <s v="U"/>
    <x v="0"/>
    <n v="8"/>
    <n v="11.81"/>
    <x v="31"/>
    <s v="757124-72-4"/>
    <x v="31"/>
    <n v="6.7500000000000004E-2"/>
  </r>
  <r>
    <s v="PU044-JBA-08162021"/>
    <s v="Spill"/>
    <x v="1"/>
    <s v="Pumpkinseed"/>
    <s v="Lepomis"/>
    <s v="gibbosus"/>
    <s v="U"/>
    <x v="0"/>
    <n v="8"/>
    <n v="11.81"/>
    <x v="32"/>
    <s v="27619-97-2"/>
    <x v="32"/>
    <n v="0.46300000000000002"/>
  </r>
  <r>
    <s v="PU044-JBA-08162021"/>
    <s v="Spill"/>
    <x v="1"/>
    <s v="Pumpkinseed"/>
    <s v="Lepomis"/>
    <s v="gibbosus"/>
    <s v="U"/>
    <x v="0"/>
    <n v="8"/>
    <n v="11.81"/>
    <x v="33"/>
    <s v="39108-34-4"/>
    <x v="33"/>
    <n v="10.5"/>
  </r>
  <r>
    <s v="PU044-JBA-08162021"/>
    <s v="Spill"/>
    <x v="1"/>
    <s v="Pumpkinseed"/>
    <s v="Lepomis"/>
    <s v="gibbosus"/>
    <s v="U"/>
    <x v="0"/>
    <n v="8"/>
    <n v="11.81"/>
    <x v="34"/>
    <s v="120226-60-0"/>
    <x v="34"/>
    <n v="0.252"/>
  </r>
  <r>
    <s v="PU044-JBA-08162021"/>
    <s v="Spill"/>
    <x v="1"/>
    <s v="Pumpkinseed"/>
    <s v="Lepomis"/>
    <s v="gibbosus"/>
    <s v="U"/>
    <x v="0"/>
    <n v="8"/>
    <n v="11.81"/>
    <x v="35"/>
    <s v="356-02-5"/>
    <x v="35"/>
    <n v="7.7499999999999999E-2"/>
  </r>
  <r>
    <s v="PU044-JBA-08162021"/>
    <s v="Spill"/>
    <x v="1"/>
    <s v="Pumpkinseed"/>
    <s v="Lepomis"/>
    <s v="gibbosus"/>
    <s v="U"/>
    <x v="0"/>
    <n v="8"/>
    <n v="11.81"/>
    <x v="36"/>
    <s v="914637-49-3"/>
    <x v="36"/>
    <n v="0.74199999999999999"/>
  </r>
  <r>
    <s v="PU044-JBA-08162021"/>
    <s v="Spill"/>
    <x v="1"/>
    <s v="Pumpkinseed"/>
    <s v="Lepomis"/>
    <s v="gibbosus"/>
    <s v="U"/>
    <x v="0"/>
    <n v="8"/>
    <n v="11.81"/>
    <x v="37"/>
    <s v="812-70-4"/>
    <x v="37"/>
    <n v="3.15"/>
  </r>
  <r>
    <s v="PU044-JBA-08162021"/>
    <s v="Spill"/>
    <x v="1"/>
    <s v="Pumpkinseed"/>
    <s v="Lepomis"/>
    <s v="gibbosus"/>
    <s v="U"/>
    <x v="0"/>
    <n v="8"/>
    <n v="11.81"/>
    <x v="38"/>
    <s v="53826-12-3"/>
    <x v="38"/>
    <n v="6.7500000000000004E-2"/>
  </r>
  <r>
    <s v="PU044-JBA-08162021"/>
    <s v="Spill"/>
    <x v="1"/>
    <s v="Pumpkinseed"/>
    <s v="Lepomis"/>
    <s v="gibbosus"/>
    <s v="U"/>
    <x v="0"/>
    <n v="8"/>
    <n v="11.81"/>
    <x v="39"/>
    <s v="27854-31-5"/>
    <x v="39"/>
    <n v="6.7500000000000004E-2"/>
  </r>
  <r>
    <s v="PU044-JBA-08162021"/>
    <s v="Spill"/>
    <x v="1"/>
    <s v="Pumpkinseed"/>
    <s v="Lepomis"/>
    <s v="gibbosus"/>
    <s v="U"/>
    <x v="0"/>
    <n v="8"/>
    <n v="11.81"/>
    <x v="40"/>
    <s v="53826-13-4"/>
    <x v="40"/>
    <n v="0.10050000000000001"/>
  </r>
  <r>
    <s v="PU044-JBA-08162021"/>
    <s v="Spill"/>
    <x v="1"/>
    <s v="Pumpkinseed"/>
    <s v="Lepomis"/>
    <s v="gibbosus"/>
    <s v="U"/>
    <x v="0"/>
    <n v="8"/>
    <n v="11.81"/>
    <x v="41"/>
    <s v="161094-75-3"/>
    <x v="41"/>
    <n v="5.2999999999999999E-2"/>
  </r>
  <r>
    <s v="PU044-JBA-08162021"/>
    <s v="Spill"/>
    <x v="1"/>
    <s v="Pumpkinseed"/>
    <s v="Lepomis"/>
    <s v="gibbosus"/>
    <s v="U"/>
    <x v="0"/>
    <n v="8"/>
    <n v="11.81"/>
    <x v="42"/>
    <s v="70887-84-2"/>
    <x v="42"/>
    <n v="4.0649999999999999E-2"/>
  </r>
  <r>
    <s v="PU044-JBA-08162021"/>
    <s v="Spill"/>
    <x v="1"/>
    <s v="Pumpkinseed"/>
    <s v="Lepomis"/>
    <s v="gibbosus"/>
    <s v="U"/>
    <x v="0"/>
    <n v="8"/>
    <n v="11.81"/>
    <x v="43"/>
    <s v="919005-14-4"/>
    <x v="43"/>
    <n v="0.19600000000000001"/>
  </r>
  <r>
    <s v="PU044-JBA-08162021"/>
    <s v="Spill"/>
    <x v="1"/>
    <s v="Pumpkinseed"/>
    <s v="Lepomis"/>
    <s v="gibbosus"/>
    <s v="U"/>
    <x v="0"/>
    <n v="8"/>
    <n v="11.81"/>
    <x v="44"/>
    <s v="756426-58-1"/>
    <x v="44"/>
    <n v="6.7500000000000004E-2"/>
  </r>
  <r>
    <s v="PU044-JBA-08162021"/>
    <s v="Spill"/>
    <x v="1"/>
    <s v="Pumpkinseed"/>
    <s v="Lepomis"/>
    <s v="gibbosus"/>
    <s v="U"/>
    <x v="0"/>
    <n v="8"/>
    <n v="11.81"/>
    <x v="45"/>
    <s v="763051-92-9"/>
    <x v="45"/>
    <n v="6.7500000000000004E-2"/>
  </r>
  <r>
    <s v="PU044-JBA-08162021"/>
    <s v="Spill"/>
    <x v="1"/>
    <s v="Pumpkinseed"/>
    <s v="Lepomis"/>
    <s v="gibbosus"/>
    <s v="U"/>
    <x v="0"/>
    <n v="8"/>
    <n v="11.81"/>
    <x v="46"/>
    <s v="13252-13-6"/>
    <x v="46"/>
    <n v="9.6500000000000002E-2"/>
  </r>
  <r>
    <s v="PU044-JBA-08162021"/>
    <s v="Spill"/>
    <x v="1"/>
    <s v="Pumpkinseed"/>
    <s v="Lepomis"/>
    <s v="gibbosus"/>
    <s v="U"/>
    <x v="0"/>
    <n v="8"/>
    <n v="11.81"/>
    <x v="47"/>
    <s v="57677-95-9"/>
    <x v="47"/>
    <n v="7.1499999999999994E-2"/>
  </r>
  <r>
    <s v="PU044-JBA-08162021"/>
    <s v="Spill"/>
    <x v="1"/>
    <s v="Pumpkinseed"/>
    <s v="Lepomis"/>
    <s v="gibbosus"/>
    <s v="U"/>
    <x v="0"/>
    <n v="8"/>
    <n v="11.81"/>
    <x v="48"/>
    <s v="678-41-1"/>
    <x v="48"/>
    <n v="8.8999999999999996E-2"/>
  </r>
  <r>
    <s v="PU044-JBA-08162021"/>
    <s v="Spill"/>
    <x v="1"/>
    <s v="Pumpkinseed"/>
    <s v="Lepomis"/>
    <s v="gibbosus"/>
    <s v="U"/>
    <x v="0"/>
    <n v="8"/>
    <n v="11.81"/>
    <x v="49"/>
    <s v="2965-52-8"/>
    <x v="49"/>
    <n v="0.11849999999999999"/>
  </r>
  <r>
    <s v="PU045-JBA-08162021"/>
    <s v="Spill"/>
    <x v="1"/>
    <s v="Pumpkinseed"/>
    <s v="Lepomis"/>
    <s v="gibbosus"/>
    <s v="U"/>
    <x v="0"/>
    <n v="8"/>
    <n v="11.81"/>
    <x v="0"/>
    <s v="375-22-4"/>
    <x v="0"/>
    <n v="0.23499999999999999"/>
  </r>
  <r>
    <s v="PU045-JBA-08162021"/>
    <s v="Spill"/>
    <x v="1"/>
    <s v="Pumpkinseed"/>
    <s v="Lepomis"/>
    <s v="gibbosus"/>
    <s v="U"/>
    <x v="0"/>
    <n v="8"/>
    <n v="11.81"/>
    <x v="1"/>
    <s v="2706-90-3"/>
    <x v="1"/>
    <n v="0.16600000000000001"/>
  </r>
  <r>
    <s v="PU045-JBA-08162021"/>
    <s v="Spill"/>
    <x v="1"/>
    <s v="Pumpkinseed"/>
    <s v="Lepomis"/>
    <s v="gibbosus"/>
    <s v="U"/>
    <x v="0"/>
    <n v="8"/>
    <n v="11.81"/>
    <x v="2"/>
    <s v="307-24-4"/>
    <x v="2"/>
    <n v="0.127"/>
  </r>
  <r>
    <s v="PU045-JBA-08162021"/>
    <s v="Spill"/>
    <x v="1"/>
    <s v="Pumpkinseed"/>
    <s v="Lepomis"/>
    <s v="gibbosus"/>
    <s v="U"/>
    <x v="0"/>
    <n v="8"/>
    <n v="11.81"/>
    <x v="3"/>
    <s v="375-85-9"/>
    <x v="3"/>
    <n v="2.34"/>
  </r>
  <r>
    <s v="PU045-JBA-08162021"/>
    <s v="Spill"/>
    <x v="1"/>
    <s v="Pumpkinseed"/>
    <s v="Lepomis"/>
    <s v="gibbosus"/>
    <s v="U"/>
    <x v="0"/>
    <n v="8"/>
    <n v="11.81"/>
    <x v="4"/>
    <s v="335-67-1"/>
    <x v="4"/>
    <n v="2.31"/>
  </r>
  <r>
    <s v="PU045-JBA-08162021"/>
    <s v="Spill"/>
    <x v="1"/>
    <s v="Pumpkinseed"/>
    <s v="Lepomis"/>
    <s v="gibbosus"/>
    <s v="U"/>
    <x v="0"/>
    <n v="8"/>
    <n v="11.81"/>
    <x v="5"/>
    <s v="375-95-1"/>
    <x v="5"/>
    <n v="1.55"/>
  </r>
  <r>
    <s v="PU045-JBA-08162021"/>
    <s v="Spill"/>
    <x v="1"/>
    <s v="Pumpkinseed"/>
    <s v="Lepomis"/>
    <s v="gibbosus"/>
    <s v="U"/>
    <x v="0"/>
    <n v="8"/>
    <n v="11.81"/>
    <x v="6"/>
    <s v="335-76-2"/>
    <x v="6"/>
    <n v="6.33"/>
  </r>
  <r>
    <s v="PU045-JBA-08162021"/>
    <s v="Spill"/>
    <x v="1"/>
    <s v="Pumpkinseed"/>
    <s v="Lepomis"/>
    <s v="gibbosus"/>
    <s v="U"/>
    <x v="0"/>
    <n v="8"/>
    <n v="11.81"/>
    <x v="7"/>
    <s v="2058-94-8"/>
    <x v="7"/>
    <n v="8.5399999999999991"/>
  </r>
  <r>
    <s v="PU045-JBA-08162021"/>
    <s v="Spill"/>
    <x v="1"/>
    <s v="Pumpkinseed"/>
    <s v="Lepomis"/>
    <s v="gibbosus"/>
    <s v="U"/>
    <x v="0"/>
    <n v="8"/>
    <n v="11.81"/>
    <x v="8"/>
    <s v="307-55-1"/>
    <x v="8"/>
    <n v="15.7"/>
  </r>
  <r>
    <s v="PU045-JBA-08162021"/>
    <s v="Spill"/>
    <x v="1"/>
    <s v="Pumpkinseed"/>
    <s v="Lepomis"/>
    <s v="gibbosus"/>
    <s v="U"/>
    <x v="0"/>
    <n v="8"/>
    <n v="11.81"/>
    <x v="9"/>
    <s v="72629-94-8"/>
    <x v="9"/>
    <n v="4.1399999999999997"/>
  </r>
  <r>
    <s v="PU045-JBA-08162021"/>
    <s v="Spill"/>
    <x v="1"/>
    <s v="Pumpkinseed"/>
    <s v="Lepomis"/>
    <s v="gibbosus"/>
    <s v="U"/>
    <x v="0"/>
    <n v="8"/>
    <n v="11.81"/>
    <x v="10"/>
    <s v="376-06-7"/>
    <x v="10"/>
    <n v="17.600000000000001"/>
  </r>
  <r>
    <s v="PU045-JBA-08162021"/>
    <s v="Spill"/>
    <x v="1"/>
    <s v="Pumpkinseed"/>
    <s v="Lepomis"/>
    <s v="gibbosus"/>
    <s v="U"/>
    <x v="0"/>
    <n v="8"/>
    <n v="11.81"/>
    <x v="11"/>
    <s v="67905-19-5"/>
    <x v="11"/>
    <n v="0.28000000000000003"/>
  </r>
  <r>
    <s v="PU045-JBA-08162021"/>
    <s v="Spill"/>
    <x v="1"/>
    <s v="Pumpkinseed"/>
    <s v="Lepomis"/>
    <s v="gibbosus"/>
    <s v="U"/>
    <x v="0"/>
    <n v="8"/>
    <n v="11.81"/>
    <x v="12"/>
    <s v="423-41-6"/>
    <x v="12"/>
    <n v="7.0999999999999994E-2"/>
  </r>
  <r>
    <s v="PU045-JBA-08162021"/>
    <s v="Spill"/>
    <x v="1"/>
    <s v="Pumpkinseed"/>
    <s v="Lepomis"/>
    <s v="gibbosus"/>
    <s v="U"/>
    <x v="0"/>
    <n v="8"/>
    <n v="11.81"/>
    <x v="13"/>
    <s v="375-73-5"/>
    <x v="13"/>
    <n v="0.16"/>
  </r>
  <r>
    <s v="PU045-JBA-08162021"/>
    <s v="Spill"/>
    <x v="1"/>
    <s v="Pumpkinseed"/>
    <s v="Lepomis"/>
    <s v="gibbosus"/>
    <s v="U"/>
    <x v="0"/>
    <n v="8"/>
    <n v="11.81"/>
    <x v="14"/>
    <s v="2706-91-4"/>
    <x v="14"/>
    <n v="0.23499999999999999"/>
  </r>
  <r>
    <s v="PU045-JBA-08162021"/>
    <s v="Spill"/>
    <x v="1"/>
    <s v="Pumpkinseed"/>
    <s v="Lepomis"/>
    <s v="gibbosus"/>
    <s v="U"/>
    <x v="0"/>
    <n v="8"/>
    <n v="11.81"/>
    <x v="15"/>
    <s v="355-46-4"/>
    <x v="15"/>
    <n v="23.2"/>
  </r>
  <r>
    <s v="PU045-JBA-08162021"/>
    <s v="Spill"/>
    <x v="1"/>
    <s v="Pumpkinseed"/>
    <s v="Lepomis"/>
    <s v="gibbosus"/>
    <s v="U"/>
    <x v="0"/>
    <n v="8"/>
    <n v="11.81"/>
    <x v="16"/>
    <s v="375-92-8"/>
    <x v="16"/>
    <n v="4.03"/>
  </r>
  <r>
    <s v="PU045-JBA-08162021"/>
    <s v="Spill"/>
    <x v="1"/>
    <s v="Pumpkinseed"/>
    <s v="Lepomis"/>
    <s v="gibbosus"/>
    <s v="U"/>
    <x v="0"/>
    <n v="8"/>
    <n v="11.81"/>
    <x v="17"/>
    <s v="1763-23-1"/>
    <x v="17"/>
    <n v="853"/>
  </r>
  <r>
    <s v="PU045-JBA-08162021"/>
    <s v="Spill"/>
    <x v="1"/>
    <s v="Pumpkinseed"/>
    <s v="Lepomis"/>
    <s v="gibbosus"/>
    <s v="U"/>
    <x v="0"/>
    <n v="8"/>
    <n v="11.81"/>
    <x v="18"/>
    <s v="68259-12-1"/>
    <x v="18"/>
    <n v="2.83"/>
  </r>
  <r>
    <s v="PU045-JBA-08162021"/>
    <s v="Spill"/>
    <x v="1"/>
    <s v="Pumpkinseed"/>
    <s v="Lepomis"/>
    <s v="gibbosus"/>
    <s v="U"/>
    <x v="0"/>
    <n v="8"/>
    <n v="11.81"/>
    <x v="19"/>
    <s v="335-77-3"/>
    <x v="19"/>
    <n v="2.83"/>
  </r>
  <r>
    <s v="PU045-JBA-08162021"/>
    <s v="Spill"/>
    <x v="1"/>
    <s v="Pumpkinseed"/>
    <s v="Lepomis"/>
    <s v="gibbosus"/>
    <s v="U"/>
    <x v="0"/>
    <n v="8"/>
    <n v="11.81"/>
    <x v="20"/>
    <s v="79780-39-5"/>
    <x v="20"/>
    <n v="0.57999999999999996"/>
  </r>
  <r>
    <s v="PU045-JBA-08162021"/>
    <s v="Spill"/>
    <x v="1"/>
    <s v="Pumpkinseed"/>
    <s v="Lepomis"/>
    <s v="gibbosus"/>
    <s v="U"/>
    <x v="0"/>
    <n v="8"/>
    <n v="11.81"/>
    <x v="21"/>
    <s v="777011-38-8"/>
    <x v="21"/>
    <n v="0.14299999999999999"/>
  </r>
  <r>
    <s v="PU045-JBA-08162021"/>
    <s v="Spill"/>
    <x v="1"/>
    <s v="Pumpkinseed"/>
    <s v="Lepomis"/>
    <s v="gibbosus"/>
    <s v="U"/>
    <x v="0"/>
    <n v="8"/>
    <n v="11.81"/>
    <x v="22"/>
    <s v="646-83-3"/>
    <x v="22"/>
    <n v="0.23499999999999999"/>
  </r>
  <r>
    <s v="PU045-JBA-08162021"/>
    <s v="Spill"/>
    <x v="1"/>
    <s v="Pumpkinseed"/>
    <s v="Lepomis"/>
    <s v="gibbosus"/>
    <s v="U"/>
    <x v="0"/>
    <n v="8"/>
    <n v="11.81"/>
    <x v="23"/>
    <s v="30334-69-1"/>
    <x v="23"/>
    <n v="27.4"/>
  </r>
  <r>
    <s v="PU045-JBA-08162021"/>
    <s v="Spill"/>
    <x v="1"/>
    <s v="Pumpkinseed"/>
    <s v="Lepomis"/>
    <s v="gibbosus"/>
    <s v="U"/>
    <x v="0"/>
    <n v="8"/>
    <n v="11.81"/>
    <x v="24"/>
    <s v="41997-13-1"/>
    <x v="24"/>
    <n v="124"/>
  </r>
  <r>
    <s v="PU045-JBA-08162021"/>
    <s v="Spill"/>
    <x v="1"/>
    <s v="Pumpkinseed"/>
    <s v="Lepomis"/>
    <s v="gibbosus"/>
    <s v="U"/>
    <x v="0"/>
    <n v="8"/>
    <n v="11.81"/>
    <x v="25"/>
    <s v="754-91-6"/>
    <x v="25"/>
    <n v="20.5"/>
  </r>
  <r>
    <s v="PU045-JBA-08162021"/>
    <s v="Spill"/>
    <x v="1"/>
    <s v="Pumpkinseed"/>
    <s v="Lepomis"/>
    <s v="gibbosus"/>
    <s v="U"/>
    <x v="0"/>
    <n v="8"/>
    <n v="11.81"/>
    <x v="26"/>
    <s v="31506-32-8"/>
    <x v="26"/>
    <n v="7.0999999999999994E-2"/>
  </r>
  <r>
    <s v="PU045-JBA-08162021"/>
    <s v="Spill"/>
    <x v="1"/>
    <s v="Pumpkinseed"/>
    <s v="Lepomis"/>
    <s v="gibbosus"/>
    <s v="U"/>
    <x v="0"/>
    <n v="8"/>
    <n v="11.81"/>
    <x v="27"/>
    <s v="4151-50-2"/>
    <x v="27"/>
    <n v="8.3000000000000004E-2"/>
  </r>
  <r>
    <s v="PU045-JBA-08162021"/>
    <s v="Spill"/>
    <x v="1"/>
    <s v="Pumpkinseed"/>
    <s v="Lepomis"/>
    <s v="gibbosus"/>
    <s v="U"/>
    <x v="0"/>
    <n v="8"/>
    <n v="11.81"/>
    <x v="28"/>
    <s v="2806-24-8"/>
    <x v="28"/>
    <n v="5.6000000000000001E-2"/>
  </r>
  <r>
    <s v="PU045-JBA-08162021"/>
    <s v="Spill"/>
    <x v="1"/>
    <s v="Pumpkinseed"/>
    <s v="Lepomis"/>
    <s v="gibbosus"/>
    <s v="U"/>
    <x v="0"/>
    <n v="8"/>
    <n v="11.81"/>
    <x v="29"/>
    <s v="2355-31-9"/>
    <x v="29"/>
    <n v="7.1499999999999994E-2"/>
  </r>
  <r>
    <s v="PU045-JBA-08162021"/>
    <s v="Spill"/>
    <x v="1"/>
    <s v="Pumpkinseed"/>
    <s v="Lepomis"/>
    <s v="gibbosus"/>
    <s v="U"/>
    <x v="0"/>
    <n v="8"/>
    <n v="11.81"/>
    <x v="30"/>
    <s v="2991-50-6"/>
    <x v="30"/>
    <n v="6.2E-2"/>
  </r>
  <r>
    <s v="PU045-JBA-08162021"/>
    <s v="Spill"/>
    <x v="1"/>
    <s v="Pumpkinseed"/>
    <s v="Lepomis"/>
    <s v="gibbosus"/>
    <s v="U"/>
    <x v="0"/>
    <n v="8"/>
    <n v="11.81"/>
    <x v="31"/>
    <s v="757124-72-4"/>
    <x v="31"/>
    <n v="7.0999999999999994E-2"/>
  </r>
  <r>
    <s v="PU045-JBA-08162021"/>
    <s v="Spill"/>
    <x v="1"/>
    <s v="Pumpkinseed"/>
    <s v="Lepomis"/>
    <s v="gibbosus"/>
    <s v="U"/>
    <x v="0"/>
    <n v="8"/>
    <n v="11.81"/>
    <x v="32"/>
    <s v="27619-97-2"/>
    <x v="32"/>
    <n v="0.71799999999999997"/>
  </r>
  <r>
    <s v="PU045-JBA-08162021"/>
    <s v="Spill"/>
    <x v="1"/>
    <s v="Pumpkinseed"/>
    <s v="Lepomis"/>
    <s v="gibbosus"/>
    <s v="U"/>
    <x v="0"/>
    <n v="8"/>
    <n v="11.81"/>
    <x v="33"/>
    <s v="39108-34-4"/>
    <x v="33"/>
    <n v="7.54"/>
  </r>
  <r>
    <s v="PU045-JBA-08162021"/>
    <s v="Spill"/>
    <x v="1"/>
    <s v="Pumpkinseed"/>
    <s v="Lepomis"/>
    <s v="gibbosus"/>
    <s v="U"/>
    <x v="0"/>
    <n v="8"/>
    <n v="11.81"/>
    <x v="34"/>
    <s v="120226-60-0"/>
    <x v="34"/>
    <n v="0.26700000000000002"/>
  </r>
  <r>
    <s v="PU045-JBA-08162021"/>
    <s v="Spill"/>
    <x v="1"/>
    <s v="Pumpkinseed"/>
    <s v="Lepomis"/>
    <s v="gibbosus"/>
    <s v="U"/>
    <x v="0"/>
    <n v="8"/>
    <n v="11.81"/>
    <x v="35"/>
    <s v="356-02-5"/>
    <x v="35"/>
    <n v="8.2000000000000003E-2"/>
  </r>
  <r>
    <s v="PU045-JBA-08162021"/>
    <s v="Spill"/>
    <x v="1"/>
    <s v="Pumpkinseed"/>
    <s v="Lepomis"/>
    <s v="gibbosus"/>
    <s v="U"/>
    <x v="0"/>
    <n v="8"/>
    <n v="11.81"/>
    <x v="36"/>
    <s v="914637-49-3"/>
    <x v="36"/>
    <n v="0.17749999999999999"/>
  </r>
  <r>
    <s v="PU045-JBA-08162021"/>
    <s v="Spill"/>
    <x v="1"/>
    <s v="Pumpkinseed"/>
    <s v="Lepomis"/>
    <s v="gibbosus"/>
    <s v="U"/>
    <x v="0"/>
    <n v="8"/>
    <n v="11.81"/>
    <x v="37"/>
    <s v="812-70-4"/>
    <x v="37"/>
    <n v="1.55"/>
  </r>
  <r>
    <s v="PU045-JBA-08162021"/>
    <s v="Spill"/>
    <x v="1"/>
    <s v="Pumpkinseed"/>
    <s v="Lepomis"/>
    <s v="gibbosus"/>
    <s v="U"/>
    <x v="0"/>
    <n v="8"/>
    <n v="11.81"/>
    <x v="38"/>
    <s v="53826-12-3"/>
    <x v="38"/>
    <n v="7.0999999999999994E-2"/>
  </r>
  <r>
    <s v="PU045-JBA-08162021"/>
    <s v="Spill"/>
    <x v="1"/>
    <s v="Pumpkinseed"/>
    <s v="Lepomis"/>
    <s v="gibbosus"/>
    <s v="U"/>
    <x v="0"/>
    <n v="8"/>
    <n v="11.81"/>
    <x v="39"/>
    <s v="27854-31-5"/>
    <x v="39"/>
    <n v="7.0999999999999994E-2"/>
  </r>
  <r>
    <s v="PU045-JBA-08162021"/>
    <s v="Spill"/>
    <x v="1"/>
    <s v="Pumpkinseed"/>
    <s v="Lepomis"/>
    <s v="gibbosus"/>
    <s v="U"/>
    <x v="0"/>
    <n v="8"/>
    <n v="11.81"/>
    <x v="40"/>
    <s v="53826-13-4"/>
    <x v="40"/>
    <n v="0.1065"/>
  </r>
  <r>
    <s v="PU045-JBA-08162021"/>
    <s v="Spill"/>
    <x v="1"/>
    <s v="Pumpkinseed"/>
    <s v="Lepomis"/>
    <s v="gibbosus"/>
    <s v="U"/>
    <x v="0"/>
    <n v="8"/>
    <n v="11.81"/>
    <x v="41"/>
    <s v="161094-75-3"/>
    <x v="41"/>
    <n v="5.6000000000000001E-2"/>
  </r>
  <r>
    <s v="PU045-JBA-08162021"/>
    <s v="Spill"/>
    <x v="1"/>
    <s v="Pumpkinseed"/>
    <s v="Lepomis"/>
    <s v="gibbosus"/>
    <s v="U"/>
    <x v="0"/>
    <n v="8"/>
    <n v="11.81"/>
    <x v="42"/>
    <s v="70887-84-2"/>
    <x v="42"/>
    <n v="4.3049999999999998E-2"/>
  </r>
  <r>
    <s v="PU045-JBA-08162021"/>
    <s v="Spill"/>
    <x v="1"/>
    <s v="Pumpkinseed"/>
    <s v="Lepomis"/>
    <s v="gibbosus"/>
    <s v="U"/>
    <x v="0"/>
    <n v="8"/>
    <n v="11.81"/>
    <x v="43"/>
    <s v="919005-14-4"/>
    <x v="43"/>
    <n v="6.3E-2"/>
  </r>
  <r>
    <s v="PU045-JBA-08162021"/>
    <s v="Spill"/>
    <x v="1"/>
    <s v="Pumpkinseed"/>
    <s v="Lepomis"/>
    <s v="gibbosus"/>
    <s v="U"/>
    <x v="0"/>
    <n v="8"/>
    <n v="11.81"/>
    <x v="44"/>
    <s v="756426-58-1"/>
    <x v="44"/>
    <n v="7.0999999999999994E-2"/>
  </r>
  <r>
    <s v="PU045-JBA-08162021"/>
    <s v="Spill"/>
    <x v="1"/>
    <s v="Pumpkinseed"/>
    <s v="Lepomis"/>
    <s v="gibbosus"/>
    <s v="U"/>
    <x v="0"/>
    <n v="8"/>
    <n v="11.81"/>
    <x v="45"/>
    <s v="763051-92-9"/>
    <x v="45"/>
    <n v="7.0999999999999994E-2"/>
  </r>
  <r>
    <s v="PU045-JBA-08162021"/>
    <s v="Spill"/>
    <x v="1"/>
    <s v="Pumpkinseed"/>
    <s v="Lepomis"/>
    <s v="gibbosus"/>
    <s v="U"/>
    <x v="0"/>
    <n v="8"/>
    <n v="11.81"/>
    <x v="46"/>
    <s v="13252-13-6"/>
    <x v="46"/>
    <n v="0.10199999999999999"/>
  </r>
  <r>
    <s v="PU045-JBA-08162021"/>
    <s v="Spill"/>
    <x v="1"/>
    <s v="Pumpkinseed"/>
    <s v="Lepomis"/>
    <s v="gibbosus"/>
    <s v="U"/>
    <x v="0"/>
    <n v="8"/>
    <n v="11.81"/>
    <x v="47"/>
    <s v="57677-95-9"/>
    <x v="47"/>
    <n v="7.5999999999999998E-2"/>
  </r>
  <r>
    <s v="PU045-JBA-08162021"/>
    <s v="Spill"/>
    <x v="1"/>
    <s v="Pumpkinseed"/>
    <s v="Lepomis"/>
    <s v="gibbosus"/>
    <s v="U"/>
    <x v="0"/>
    <n v="8"/>
    <n v="11.81"/>
    <x v="48"/>
    <s v="678-41-1"/>
    <x v="48"/>
    <n v="9.4500000000000001E-2"/>
  </r>
  <r>
    <s v="PU045-JBA-08162021"/>
    <s v="Spill"/>
    <x v="1"/>
    <s v="Pumpkinseed"/>
    <s v="Lepomis"/>
    <s v="gibbosus"/>
    <s v="U"/>
    <x v="0"/>
    <n v="8"/>
    <n v="11.81"/>
    <x v="49"/>
    <s v="2965-52-8"/>
    <x v="49"/>
    <n v="0.1255"/>
  </r>
  <r>
    <s v="PU046-JBA-08162021"/>
    <s v="Spill"/>
    <x v="1"/>
    <s v="Pumpkinseed"/>
    <s v="Lepomis"/>
    <s v="gibbosus"/>
    <s v="U"/>
    <x v="0"/>
    <n v="8"/>
    <n v="11.81"/>
    <x v="0"/>
    <s v="375-22-4"/>
    <x v="0"/>
    <n v="0.22750000000000001"/>
  </r>
  <r>
    <s v="PU046-JBA-08162021"/>
    <s v="Spill"/>
    <x v="1"/>
    <s v="Pumpkinseed"/>
    <s v="Lepomis"/>
    <s v="gibbosus"/>
    <s v="U"/>
    <x v="0"/>
    <n v="8"/>
    <n v="11.81"/>
    <x v="1"/>
    <s v="2706-90-3"/>
    <x v="1"/>
    <n v="4.8750000000000002E-2"/>
  </r>
  <r>
    <s v="PU046-JBA-08162021"/>
    <s v="Spill"/>
    <x v="1"/>
    <s v="Pumpkinseed"/>
    <s v="Lepomis"/>
    <s v="gibbosus"/>
    <s v="U"/>
    <x v="0"/>
    <n v="8"/>
    <n v="11.81"/>
    <x v="2"/>
    <s v="307-24-4"/>
    <x v="2"/>
    <n v="3.7249999999999998E-2"/>
  </r>
  <r>
    <s v="PU046-JBA-08162021"/>
    <s v="Spill"/>
    <x v="1"/>
    <s v="Pumpkinseed"/>
    <s v="Lepomis"/>
    <s v="gibbosus"/>
    <s v="U"/>
    <x v="0"/>
    <n v="8"/>
    <n v="11.81"/>
    <x v="3"/>
    <s v="375-85-9"/>
    <x v="3"/>
    <n v="2.76E-2"/>
  </r>
  <r>
    <s v="PU046-JBA-08162021"/>
    <s v="Spill"/>
    <x v="1"/>
    <s v="Pumpkinseed"/>
    <s v="Lepomis"/>
    <s v="gibbosus"/>
    <s v="U"/>
    <x v="0"/>
    <n v="8"/>
    <n v="11.81"/>
    <x v="4"/>
    <s v="335-67-1"/>
    <x v="4"/>
    <n v="1.42"/>
  </r>
  <r>
    <s v="PU046-JBA-08162021"/>
    <s v="Spill"/>
    <x v="1"/>
    <s v="Pumpkinseed"/>
    <s v="Lepomis"/>
    <s v="gibbosus"/>
    <s v="U"/>
    <x v="0"/>
    <n v="8"/>
    <n v="11.81"/>
    <x v="5"/>
    <s v="375-95-1"/>
    <x v="5"/>
    <n v="0.1575"/>
  </r>
  <r>
    <s v="PU046-JBA-08162021"/>
    <s v="Spill"/>
    <x v="1"/>
    <s v="Pumpkinseed"/>
    <s v="Lepomis"/>
    <s v="gibbosus"/>
    <s v="U"/>
    <x v="0"/>
    <n v="8"/>
    <n v="11.81"/>
    <x v="6"/>
    <s v="335-76-2"/>
    <x v="6"/>
    <n v="4.0199999999999996"/>
  </r>
  <r>
    <s v="PU046-JBA-08162021"/>
    <s v="Spill"/>
    <x v="1"/>
    <s v="Pumpkinseed"/>
    <s v="Lepomis"/>
    <s v="gibbosus"/>
    <s v="U"/>
    <x v="0"/>
    <n v="8"/>
    <n v="11.81"/>
    <x v="7"/>
    <s v="2058-94-8"/>
    <x v="7"/>
    <n v="7.24"/>
  </r>
  <r>
    <s v="PU046-JBA-08162021"/>
    <s v="Spill"/>
    <x v="1"/>
    <s v="Pumpkinseed"/>
    <s v="Lepomis"/>
    <s v="gibbosus"/>
    <s v="U"/>
    <x v="0"/>
    <n v="8"/>
    <n v="11.81"/>
    <x v="8"/>
    <s v="307-55-1"/>
    <x v="8"/>
    <n v="26.3"/>
  </r>
  <r>
    <s v="PU046-JBA-08162021"/>
    <s v="Spill"/>
    <x v="1"/>
    <s v="Pumpkinseed"/>
    <s v="Lepomis"/>
    <s v="gibbosus"/>
    <s v="U"/>
    <x v="0"/>
    <n v="8"/>
    <n v="11.81"/>
    <x v="9"/>
    <s v="72629-94-8"/>
    <x v="9"/>
    <n v="7.25"/>
  </r>
  <r>
    <s v="PU046-JBA-08162021"/>
    <s v="Spill"/>
    <x v="1"/>
    <s v="Pumpkinseed"/>
    <s v="Lepomis"/>
    <s v="gibbosus"/>
    <s v="U"/>
    <x v="0"/>
    <n v="8"/>
    <n v="11.81"/>
    <x v="10"/>
    <s v="376-06-7"/>
    <x v="10"/>
    <n v="35.6"/>
  </r>
  <r>
    <s v="PU046-JBA-08162021"/>
    <s v="Spill"/>
    <x v="1"/>
    <s v="Pumpkinseed"/>
    <s v="Lepomis"/>
    <s v="gibbosus"/>
    <s v="U"/>
    <x v="0"/>
    <n v="8"/>
    <n v="11.81"/>
    <x v="11"/>
    <s v="67905-19-5"/>
    <x v="11"/>
    <n v="0.96299999999999997"/>
  </r>
  <r>
    <s v="PU046-JBA-08162021"/>
    <s v="Spill"/>
    <x v="1"/>
    <s v="Pumpkinseed"/>
    <s v="Lepomis"/>
    <s v="gibbosus"/>
    <s v="U"/>
    <x v="0"/>
    <n v="8"/>
    <n v="11.81"/>
    <x v="12"/>
    <s v="423-41-6"/>
    <x v="12"/>
    <n v="6.9000000000000006E-2"/>
  </r>
  <r>
    <s v="PU046-JBA-08162021"/>
    <s v="Spill"/>
    <x v="1"/>
    <s v="Pumpkinseed"/>
    <s v="Lepomis"/>
    <s v="gibbosus"/>
    <s v="U"/>
    <x v="0"/>
    <n v="8"/>
    <n v="11.81"/>
    <x v="13"/>
    <s v="375-73-5"/>
    <x v="13"/>
    <n v="0.155"/>
  </r>
  <r>
    <s v="PU046-JBA-08162021"/>
    <s v="Spill"/>
    <x v="1"/>
    <s v="Pumpkinseed"/>
    <s v="Lepomis"/>
    <s v="gibbosus"/>
    <s v="U"/>
    <x v="0"/>
    <n v="8"/>
    <n v="11.81"/>
    <x v="14"/>
    <s v="2706-91-4"/>
    <x v="14"/>
    <n v="0.22750000000000001"/>
  </r>
  <r>
    <s v="PU046-JBA-08162021"/>
    <s v="Spill"/>
    <x v="1"/>
    <s v="Pumpkinseed"/>
    <s v="Lepomis"/>
    <s v="gibbosus"/>
    <s v="U"/>
    <x v="0"/>
    <n v="8"/>
    <n v="11.81"/>
    <x v="15"/>
    <s v="355-46-4"/>
    <x v="15"/>
    <n v="29"/>
  </r>
  <r>
    <s v="PU046-JBA-08162021"/>
    <s v="Spill"/>
    <x v="1"/>
    <s v="Pumpkinseed"/>
    <s v="Lepomis"/>
    <s v="gibbosus"/>
    <s v="U"/>
    <x v="0"/>
    <n v="8"/>
    <n v="11.81"/>
    <x v="16"/>
    <s v="375-92-8"/>
    <x v="16"/>
    <n v="4.97"/>
  </r>
  <r>
    <s v="PU046-JBA-08162021"/>
    <s v="Spill"/>
    <x v="1"/>
    <s v="Pumpkinseed"/>
    <s v="Lepomis"/>
    <s v="gibbosus"/>
    <s v="U"/>
    <x v="0"/>
    <n v="8"/>
    <n v="11.81"/>
    <x v="17"/>
    <s v="1763-23-1"/>
    <x v="17"/>
    <n v="913"/>
  </r>
  <r>
    <s v="PU046-JBA-08162021"/>
    <s v="Spill"/>
    <x v="1"/>
    <s v="Pumpkinseed"/>
    <s v="Lepomis"/>
    <s v="gibbosus"/>
    <s v="U"/>
    <x v="0"/>
    <n v="8"/>
    <n v="11.81"/>
    <x v="18"/>
    <s v="68259-12-1"/>
    <x v="18"/>
    <n v="2.08"/>
  </r>
  <r>
    <s v="PU046-JBA-08162021"/>
    <s v="Spill"/>
    <x v="1"/>
    <s v="Pumpkinseed"/>
    <s v="Lepomis"/>
    <s v="gibbosus"/>
    <s v="U"/>
    <x v="0"/>
    <n v="8"/>
    <n v="11.81"/>
    <x v="19"/>
    <s v="335-77-3"/>
    <x v="19"/>
    <n v="2.5"/>
  </r>
  <r>
    <s v="PU046-JBA-08162021"/>
    <s v="Spill"/>
    <x v="1"/>
    <s v="Pumpkinseed"/>
    <s v="Lepomis"/>
    <s v="gibbosus"/>
    <s v="U"/>
    <x v="0"/>
    <n v="8"/>
    <n v="11.81"/>
    <x v="20"/>
    <s v="79780-39-5"/>
    <x v="20"/>
    <n v="1.1499999999999999"/>
  </r>
  <r>
    <s v="PU046-JBA-08162021"/>
    <s v="Spill"/>
    <x v="1"/>
    <s v="Pumpkinseed"/>
    <s v="Lepomis"/>
    <s v="gibbosus"/>
    <s v="U"/>
    <x v="0"/>
    <n v="8"/>
    <n v="11.81"/>
    <x v="21"/>
    <s v="777011-38-8"/>
    <x v="21"/>
    <n v="0.13850000000000001"/>
  </r>
  <r>
    <s v="PU046-JBA-08162021"/>
    <s v="Spill"/>
    <x v="1"/>
    <s v="Pumpkinseed"/>
    <s v="Lepomis"/>
    <s v="gibbosus"/>
    <s v="U"/>
    <x v="0"/>
    <n v="8"/>
    <n v="11.81"/>
    <x v="22"/>
    <s v="646-83-3"/>
    <x v="22"/>
    <n v="0.22750000000000001"/>
  </r>
  <r>
    <s v="PU046-JBA-08162021"/>
    <s v="Spill"/>
    <x v="1"/>
    <s v="Pumpkinseed"/>
    <s v="Lepomis"/>
    <s v="gibbosus"/>
    <s v="U"/>
    <x v="0"/>
    <n v="8"/>
    <n v="11.81"/>
    <x v="23"/>
    <s v="30334-69-1"/>
    <x v="23"/>
    <n v="25.9"/>
  </r>
  <r>
    <s v="PU046-JBA-08162021"/>
    <s v="Spill"/>
    <x v="1"/>
    <s v="Pumpkinseed"/>
    <s v="Lepomis"/>
    <s v="gibbosus"/>
    <s v="U"/>
    <x v="0"/>
    <n v="8"/>
    <n v="11.81"/>
    <x v="24"/>
    <s v="41997-13-1"/>
    <x v="24"/>
    <n v="82.2"/>
  </r>
  <r>
    <s v="PU046-JBA-08162021"/>
    <s v="Spill"/>
    <x v="1"/>
    <s v="Pumpkinseed"/>
    <s v="Lepomis"/>
    <s v="gibbosus"/>
    <s v="U"/>
    <x v="0"/>
    <n v="8"/>
    <n v="11.81"/>
    <x v="25"/>
    <s v="754-91-6"/>
    <x v="25"/>
    <n v="12.9"/>
  </r>
  <r>
    <s v="PU046-JBA-08162021"/>
    <s v="Spill"/>
    <x v="1"/>
    <s v="Pumpkinseed"/>
    <s v="Lepomis"/>
    <s v="gibbosus"/>
    <s v="U"/>
    <x v="0"/>
    <n v="8"/>
    <n v="11.81"/>
    <x v="26"/>
    <s v="31506-32-8"/>
    <x v="26"/>
    <n v="6.9000000000000006E-2"/>
  </r>
  <r>
    <s v="PU046-JBA-08162021"/>
    <s v="Spill"/>
    <x v="1"/>
    <s v="Pumpkinseed"/>
    <s v="Lepomis"/>
    <s v="gibbosus"/>
    <s v="U"/>
    <x v="0"/>
    <n v="8"/>
    <n v="11.81"/>
    <x v="27"/>
    <s v="4151-50-2"/>
    <x v="27"/>
    <n v="8.0500000000000002E-2"/>
  </r>
  <r>
    <s v="PU046-JBA-08162021"/>
    <s v="Spill"/>
    <x v="1"/>
    <s v="Pumpkinseed"/>
    <s v="Lepomis"/>
    <s v="gibbosus"/>
    <s v="U"/>
    <x v="0"/>
    <n v="8"/>
    <n v="11.81"/>
    <x v="28"/>
    <s v="2806-24-8"/>
    <x v="28"/>
    <n v="5.45E-2"/>
  </r>
  <r>
    <s v="PU046-JBA-08162021"/>
    <s v="Spill"/>
    <x v="1"/>
    <s v="Pumpkinseed"/>
    <s v="Lepomis"/>
    <s v="gibbosus"/>
    <s v="U"/>
    <x v="0"/>
    <n v="8"/>
    <n v="11.81"/>
    <x v="29"/>
    <s v="2355-31-9"/>
    <x v="29"/>
    <n v="6.9500000000000006E-2"/>
  </r>
  <r>
    <s v="PU046-JBA-08162021"/>
    <s v="Spill"/>
    <x v="1"/>
    <s v="Pumpkinseed"/>
    <s v="Lepomis"/>
    <s v="gibbosus"/>
    <s v="U"/>
    <x v="0"/>
    <n v="8"/>
    <n v="11.81"/>
    <x v="30"/>
    <s v="2991-50-6"/>
    <x v="30"/>
    <n v="0.06"/>
  </r>
  <r>
    <s v="PU046-JBA-08162021"/>
    <s v="Spill"/>
    <x v="1"/>
    <s v="Pumpkinseed"/>
    <s v="Lepomis"/>
    <s v="gibbosus"/>
    <s v="U"/>
    <x v="0"/>
    <n v="8"/>
    <n v="11.81"/>
    <x v="31"/>
    <s v="757124-72-4"/>
    <x v="31"/>
    <n v="6.9000000000000006E-2"/>
  </r>
  <r>
    <s v="PU046-JBA-08162021"/>
    <s v="Spill"/>
    <x v="1"/>
    <s v="Pumpkinseed"/>
    <s v="Lepomis"/>
    <s v="gibbosus"/>
    <s v="U"/>
    <x v="0"/>
    <n v="8"/>
    <n v="11.81"/>
    <x v="32"/>
    <s v="27619-97-2"/>
    <x v="32"/>
    <n v="0.78400000000000003"/>
  </r>
  <r>
    <s v="PU046-JBA-08162021"/>
    <s v="Spill"/>
    <x v="1"/>
    <s v="Pumpkinseed"/>
    <s v="Lepomis"/>
    <s v="gibbosus"/>
    <s v="U"/>
    <x v="0"/>
    <n v="8"/>
    <n v="11.81"/>
    <x v="33"/>
    <s v="39108-34-4"/>
    <x v="33"/>
    <n v="3.69"/>
  </r>
  <r>
    <s v="PU046-JBA-08162021"/>
    <s v="Spill"/>
    <x v="1"/>
    <s v="Pumpkinseed"/>
    <s v="Lepomis"/>
    <s v="gibbosus"/>
    <s v="U"/>
    <x v="0"/>
    <n v="8"/>
    <n v="11.81"/>
    <x v="34"/>
    <s v="120226-60-0"/>
    <x v="34"/>
    <n v="0.25850000000000001"/>
  </r>
  <r>
    <s v="PU046-JBA-08162021"/>
    <s v="Spill"/>
    <x v="1"/>
    <s v="Pumpkinseed"/>
    <s v="Lepomis"/>
    <s v="gibbosus"/>
    <s v="U"/>
    <x v="0"/>
    <n v="8"/>
    <n v="11.81"/>
    <x v="35"/>
    <s v="356-02-5"/>
    <x v="35"/>
    <n v="7.9500000000000001E-2"/>
  </r>
  <r>
    <s v="PU046-JBA-08162021"/>
    <s v="Spill"/>
    <x v="1"/>
    <s v="Pumpkinseed"/>
    <s v="Lepomis"/>
    <s v="gibbosus"/>
    <s v="U"/>
    <x v="0"/>
    <n v="8"/>
    <n v="11.81"/>
    <x v="36"/>
    <s v="914637-49-3"/>
    <x v="36"/>
    <n v="3.27"/>
  </r>
  <r>
    <s v="PU046-JBA-08162021"/>
    <s v="Spill"/>
    <x v="1"/>
    <s v="Pumpkinseed"/>
    <s v="Lepomis"/>
    <s v="gibbosus"/>
    <s v="U"/>
    <x v="0"/>
    <n v="8"/>
    <n v="11.81"/>
    <x v="37"/>
    <s v="812-70-4"/>
    <x v="37"/>
    <n v="14.1"/>
  </r>
  <r>
    <s v="PU046-JBA-08162021"/>
    <s v="Spill"/>
    <x v="1"/>
    <s v="Pumpkinseed"/>
    <s v="Lepomis"/>
    <s v="gibbosus"/>
    <s v="U"/>
    <x v="0"/>
    <n v="8"/>
    <n v="11.81"/>
    <x v="38"/>
    <s v="53826-12-3"/>
    <x v="38"/>
    <n v="6.9000000000000006E-2"/>
  </r>
  <r>
    <s v="PU046-JBA-08162021"/>
    <s v="Spill"/>
    <x v="1"/>
    <s v="Pumpkinseed"/>
    <s v="Lepomis"/>
    <s v="gibbosus"/>
    <s v="U"/>
    <x v="0"/>
    <n v="8"/>
    <n v="11.81"/>
    <x v="39"/>
    <s v="27854-31-5"/>
    <x v="39"/>
    <n v="6.9000000000000006E-2"/>
  </r>
  <r>
    <s v="PU046-JBA-08162021"/>
    <s v="Spill"/>
    <x v="1"/>
    <s v="Pumpkinseed"/>
    <s v="Lepomis"/>
    <s v="gibbosus"/>
    <s v="U"/>
    <x v="0"/>
    <n v="8"/>
    <n v="11.81"/>
    <x v="40"/>
    <s v="53826-13-4"/>
    <x v="40"/>
    <n v="0.10299999999999999"/>
  </r>
  <r>
    <s v="PU046-JBA-08162021"/>
    <s v="Spill"/>
    <x v="1"/>
    <s v="Pumpkinseed"/>
    <s v="Lepomis"/>
    <s v="gibbosus"/>
    <s v="U"/>
    <x v="0"/>
    <n v="8"/>
    <n v="11.81"/>
    <x v="41"/>
    <s v="161094-75-3"/>
    <x v="41"/>
    <n v="5.3999999999999999E-2"/>
  </r>
  <r>
    <s v="PU046-JBA-08162021"/>
    <s v="Spill"/>
    <x v="1"/>
    <s v="Pumpkinseed"/>
    <s v="Lepomis"/>
    <s v="gibbosus"/>
    <s v="U"/>
    <x v="0"/>
    <n v="8"/>
    <n v="11.81"/>
    <x v="42"/>
    <s v="70887-84-2"/>
    <x v="42"/>
    <n v="4.1700000000000001E-2"/>
  </r>
  <r>
    <s v="PU046-JBA-08162021"/>
    <s v="Spill"/>
    <x v="1"/>
    <s v="Pumpkinseed"/>
    <s v="Lepomis"/>
    <s v="gibbosus"/>
    <s v="U"/>
    <x v="0"/>
    <n v="8"/>
    <n v="11.81"/>
    <x v="43"/>
    <s v="919005-14-4"/>
    <x v="43"/>
    <n v="6.0999999999999999E-2"/>
  </r>
  <r>
    <s v="PU046-JBA-08162021"/>
    <s v="Spill"/>
    <x v="1"/>
    <s v="Pumpkinseed"/>
    <s v="Lepomis"/>
    <s v="gibbosus"/>
    <s v="U"/>
    <x v="0"/>
    <n v="8"/>
    <n v="11.81"/>
    <x v="44"/>
    <s v="756426-58-1"/>
    <x v="44"/>
    <n v="6.9000000000000006E-2"/>
  </r>
  <r>
    <s v="PU046-JBA-08162021"/>
    <s v="Spill"/>
    <x v="1"/>
    <s v="Pumpkinseed"/>
    <s v="Lepomis"/>
    <s v="gibbosus"/>
    <s v="U"/>
    <x v="0"/>
    <n v="8"/>
    <n v="11.81"/>
    <x v="45"/>
    <s v="763051-92-9"/>
    <x v="45"/>
    <n v="6.9000000000000006E-2"/>
  </r>
  <r>
    <s v="PU046-JBA-08162021"/>
    <s v="Spill"/>
    <x v="1"/>
    <s v="Pumpkinseed"/>
    <s v="Lepomis"/>
    <s v="gibbosus"/>
    <s v="U"/>
    <x v="0"/>
    <n v="8"/>
    <n v="11.81"/>
    <x v="46"/>
    <s v="13252-13-6"/>
    <x v="46"/>
    <n v="9.9000000000000005E-2"/>
  </r>
  <r>
    <s v="PU046-JBA-08162021"/>
    <s v="Spill"/>
    <x v="1"/>
    <s v="Pumpkinseed"/>
    <s v="Lepomis"/>
    <s v="gibbosus"/>
    <s v="U"/>
    <x v="0"/>
    <n v="8"/>
    <n v="11.81"/>
    <x v="47"/>
    <s v="57677-95-9"/>
    <x v="47"/>
    <n v="7.3499999999999996E-2"/>
  </r>
  <r>
    <s v="PU046-JBA-08162021"/>
    <s v="Spill"/>
    <x v="1"/>
    <s v="Pumpkinseed"/>
    <s v="Lepomis"/>
    <s v="gibbosus"/>
    <s v="U"/>
    <x v="0"/>
    <n v="8"/>
    <n v="11.81"/>
    <x v="48"/>
    <s v="678-41-1"/>
    <x v="48"/>
    <n v="9.1499999999999998E-2"/>
  </r>
  <r>
    <s v="PU046-JBA-08162021"/>
    <s v="Spill"/>
    <x v="1"/>
    <s v="Pumpkinseed"/>
    <s v="Lepomis"/>
    <s v="gibbosus"/>
    <s v="U"/>
    <x v="0"/>
    <n v="8"/>
    <n v="11.81"/>
    <x v="49"/>
    <s v="2965-52-8"/>
    <x v="49"/>
    <n v="0.1215"/>
  </r>
  <r>
    <s v="PU047-JBA-08162021"/>
    <s v="Spill"/>
    <x v="1"/>
    <s v="Pumpkinseed"/>
    <s v="Lepomis"/>
    <s v="gibbosus"/>
    <s v="U"/>
    <x v="0"/>
    <n v="8"/>
    <n v="11.81"/>
    <x v="0"/>
    <s v="375-22-4"/>
    <x v="0"/>
    <n v="0.24149999999999999"/>
  </r>
  <r>
    <s v="PU047-JBA-08162021"/>
    <s v="Spill"/>
    <x v="1"/>
    <s v="Pumpkinseed"/>
    <s v="Lepomis"/>
    <s v="gibbosus"/>
    <s v="U"/>
    <x v="0"/>
    <n v="8"/>
    <n v="11.81"/>
    <x v="1"/>
    <s v="2706-90-3"/>
    <x v="1"/>
    <n v="5.1499999999999997E-2"/>
  </r>
  <r>
    <s v="PU047-JBA-08162021"/>
    <s v="Spill"/>
    <x v="1"/>
    <s v="Pumpkinseed"/>
    <s v="Lepomis"/>
    <s v="gibbosus"/>
    <s v="U"/>
    <x v="0"/>
    <n v="8"/>
    <n v="11.81"/>
    <x v="2"/>
    <s v="307-24-4"/>
    <x v="2"/>
    <n v="0.1305"/>
  </r>
  <r>
    <s v="PU047-JBA-08162021"/>
    <s v="Spill"/>
    <x v="1"/>
    <s v="Pumpkinseed"/>
    <s v="Lepomis"/>
    <s v="gibbosus"/>
    <s v="U"/>
    <x v="0"/>
    <n v="8"/>
    <n v="11.81"/>
    <x v="3"/>
    <s v="375-85-9"/>
    <x v="3"/>
    <n v="9.6500000000000002E-2"/>
  </r>
  <r>
    <s v="PU047-JBA-08162021"/>
    <s v="Spill"/>
    <x v="1"/>
    <s v="Pumpkinseed"/>
    <s v="Lepomis"/>
    <s v="gibbosus"/>
    <s v="U"/>
    <x v="0"/>
    <n v="8"/>
    <n v="11.81"/>
    <x v="4"/>
    <s v="335-67-1"/>
    <x v="4"/>
    <n v="0.71499999999999997"/>
  </r>
  <r>
    <s v="PU047-JBA-08162021"/>
    <s v="Spill"/>
    <x v="1"/>
    <s v="Pumpkinseed"/>
    <s v="Lepomis"/>
    <s v="gibbosus"/>
    <s v="U"/>
    <x v="0"/>
    <n v="8"/>
    <n v="11.81"/>
    <x v="5"/>
    <s v="375-95-1"/>
    <x v="5"/>
    <n v="0.37"/>
  </r>
  <r>
    <s v="PU047-JBA-08162021"/>
    <s v="Spill"/>
    <x v="1"/>
    <s v="Pumpkinseed"/>
    <s v="Lepomis"/>
    <s v="gibbosus"/>
    <s v="U"/>
    <x v="0"/>
    <n v="8"/>
    <n v="11.81"/>
    <x v="6"/>
    <s v="335-76-2"/>
    <x v="6"/>
    <n v="3.85"/>
  </r>
  <r>
    <s v="PU047-JBA-08162021"/>
    <s v="Spill"/>
    <x v="1"/>
    <s v="Pumpkinseed"/>
    <s v="Lepomis"/>
    <s v="gibbosus"/>
    <s v="U"/>
    <x v="0"/>
    <n v="8"/>
    <n v="11.81"/>
    <x v="7"/>
    <s v="2058-94-8"/>
    <x v="7"/>
    <n v="6.8"/>
  </r>
  <r>
    <s v="PU047-JBA-08162021"/>
    <s v="Spill"/>
    <x v="1"/>
    <s v="Pumpkinseed"/>
    <s v="Lepomis"/>
    <s v="gibbosus"/>
    <s v="U"/>
    <x v="0"/>
    <n v="8"/>
    <n v="11.81"/>
    <x v="8"/>
    <s v="307-55-1"/>
    <x v="8"/>
    <n v="21"/>
  </r>
  <r>
    <s v="PU047-JBA-08162021"/>
    <s v="Spill"/>
    <x v="1"/>
    <s v="Pumpkinseed"/>
    <s v="Lepomis"/>
    <s v="gibbosus"/>
    <s v="U"/>
    <x v="0"/>
    <n v="8"/>
    <n v="11.81"/>
    <x v="9"/>
    <s v="72629-94-8"/>
    <x v="9"/>
    <n v="8.42"/>
  </r>
  <r>
    <s v="PU047-JBA-08162021"/>
    <s v="Spill"/>
    <x v="1"/>
    <s v="Pumpkinseed"/>
    <s v="Lepomis"/>
    <s v="gibbosus"/>
    <s v="U"/>
    <x v="0"/>
    <n v="8"/>
    <n v="11.81"/>
    <x v="10"/>
    <s v="376-06-7"/>
    <x v="10"/>
    <n v="19"/>
  </r>
  <r>
    <s v="PU047-JBA-08162021"/>
    <s v="Spill"/>
    <x v="1"/>
    <s v="Pumpkinseed"/>
    <s v="Lepomis"/>
    <s v="gibbosus"/>
    <s v="U"/>
    <x v="0"/>
    <n v="8"/>
    <n v="11.81"/>
    <x v="11"/>
    <s v="67905-19-5"/>
    <x v="11"/>
    <n v="8.6999999999999994E-2"/>
  </r>
  <r>
    <s v="PU047-JBA-08162021"/>
    <s v="Spill"/>
    <x v="1"/>
    <s v="Pumpkinseed"/>
    <s v="Lepomis"/>
    <s v="gibbosus"/>
    <s v="U"/>
    <x v="0"/>
    <n v="8"/>
    <n v="11.81"/>
    <x v="12"/>
    <s v="423-41-6"/>
    <x v="12"/>
    <n v="7.2999999999999995E-2"/>
  </r>
  <r>
    <s v="PU047-JBA-08162021"/>
    <s v="Spill"/>
    <x v="1"/>
    <s v="Pumpkinseed"/>
    <s v="Lepomis"/>
    <s v="gibbosus"/>
    <s v="U"/>
    <x v="0"/>
    <n v="8"/>
    <n v="11.81"/>
    <x v="13"/>
    <s v="375-73-5"/>
    <x v="13"/>
    <n v="0.16450000000000001"/>
  </r>
  <r>
    <s v="PU047-JBA-08162021"/>
    <s v="Spill"/>
    <x v="1"/>
    <s v="Pumpkinseed"/>
    <s v="Lepomis"/>
    <s v="gibbosus"/>
    <s v="U"/>
    <x v="0"/>
    <n v="8"/>
    <n v="11.81"/>
    <x v="14"/>
    <s v="2706-91-4"/>
    <x v="14"/>
    <n v="7.2999999999999995E-2"/>
  </r>
  <r>
    <s v="PU047-JBA-08162021"/>
    <s v="Spill"/>
    <x v="1"/>
    <s v="Pumpkinseed"/>
    <s v="Lepomis"/>
    <s v="gibbosus"/>
    <s v="U"/>
    <x v="0"/>
    <n v="8"/>
    <n v="11.81"/>
    <x v="15"/>
    <s v="355-46-4"/>
    <x v="15"/>
    <n v="8.49"/>
  </r>
  <r>
    <s v="PU047-JBA-08162021"/>
    <s v="Spill"/>
    <x v="1"/>
    <s v="Pumpkinseed"/>
    <s v="Lepomis"/>
    <s v="gibbosus"/>
    <s v="U"/>
    <x v="0"/>
    <n v="8"/>
    <n v="11.81"/>
    <x v="16"/>
    <s v="375-92-8"/>
    <x v="16"/>
    <n v="0.83399999999999996"/>
  </r>
  <r>
    <s v="PU047-JBA-08162021"/>
    <s v="Spill"/>
    <x v="1"/>
    <s v="Pumpkinseed"/>
    <s v="Lepomis"/>
    <s v="gibbosus"/>
    <s v="U"/>
    <x v="0"/>
    <n v="8"/>
    <n v="11.81"/>
    <x v="17"/>
    <s v="1763-23-1"/>
    <x v="17"/>
    <n v="1010"/>
  </r>
  <r>
    <s v="PU047-JBA-08162021"/>
    <s v="Spill"/>
    <x v="1"/>
    <s v="Pumpkinseed"/>
    <s v="Lepomis"/>
    <s v="gibbosus"/>
    <s v="U"/>
    <x v="0"/>
    <n v="8"/>
    <n v="11.81"/>
    <x v="18"/>
    <s v="68259-12-1"/>
    <x v="18"/>
    <n v="1.1399999999999999"/>
  </r>
  <r>
    <s v="PU047-JBA-08162021"/>
    <s v="Spill"/>
    <x v="1"/>
    <s v="Pumpkinseed"/>
    <s v="Lepomis"/>
    <s v="gibbosus"/>
    <s v="U"/>
    <x v="0"/>
    <n v="8"/>
    <n v="11.81"/>
    <x v="19"/>
    <s v="335-77-3"/>
    <x v="19"/>
    <n v="1.69"/>
  </r>
  <r>
    <s v="PU047-JBA-08162021"/>
    <s v="Spill"/>
    <x v="1"/>
    <s v="Pumpkinseed"/>
    <s v="Lepomis"/>
    <s v="gibbosus"/>
    <s v="U"/>
    <x v="0"/>
    <n v="8"/>
    <n v="11.81"/>
    <x v="20"/>
    <s v="79780-39-5"/>
    <x v="20"/>
    <n v="0.56000000000000005"/>
  </r>
  <r>
    <s v="PU047-JBA-08162021"/>
    <s v="Spill"/>
    <x v="1"/>
    <s v="Pumpkinseed"/>
    <s v="Lepomis"/>
    <s v="gibbosus"/>
    <s v="U"/>
    <x v="0"/>
    <n v="8"/>
    <n v="11.81"/>
    <x v="21"/>
    <s v="777011-38-8"/>
    <x v="21"/>
    <n v="0.14649999999999999"/>
  </r>
  <r>
    <s v="PU047-JBA-08162021"/>
    <s v="Spill"/>
    <x v="1"/>
    <s v="Pumpkinseed"/>
    <s v="Lepomis"/>
    <s v="gibbosus"/>
    <s v="U"/>
    <x v="0"/>
    <n v="8"/>
    <n v="11.81"/>
    <x v="22"/>
    <s v="646-83-3"/>
    <x v="22"/>
    <n v="0.24149999999999999"/>
  </r>
  <r>
    <s v="PU047-JBA-08162021"/>
    <s v="Spill"/>
    <x v="1"/>
    <s v="Pumpkinseed"/>
    <s v="Lepomis"/>
    <s v="gibbosus"/>
    <s v="U"/>
    <x v="0"/>
    <n v="8"/>
    <n v="11.81"/>
    <x v="23"/>
    <s v="30334-69-1"/>
    <x v="23"/>
    <n v="72.2"/>
  </r>
  <r>
    <s v="PU047-JBA-08162021"/>
    <s v="Spill"/>
    <x v="1"/>
    <s v="Pumpkinseed"/>
    <s v="Lepomis"/>
    <s v="gibbosus"/>
    <s v="U"/>
    <x v="0"/>
    <n v="8"/>
    <n v="11.81"/>
    <x v="24"/>
    <s v="41997-13-1"/>
    <x v="24"/>
    <n v="116"/>
  </r>
  <r>
    <s v="PU047-JBA-08162021"/>
    <s v="Spill"/>
    <x v="1"/>
    <s v="Pumpkinseed"/>
    <s v="Lepomis"/>
    <s v="gibbosus"/>
    <s v="U"/>
    <x v="0"/>
    <n v="8"/>
    <n v="11.81"/>
    <x v="25"/>
    <s v="754-91-6"/>
    <x v="25"/>
    <n v="16.600000000000001"/>
  </r>
  <r>
    <s v="PU047-JBA-08162021"/>
    <s v="Spill"/>
    <x v="1"/>
    <s v="Pumpkinseed"/>
    <s v="Lepomis"/>
    <s v="gibbosus"/>
    <s v="U"/>
    <x v="0"/>
    <n v="8"/>
    <n v="11.81"/>
    <x v="26"/>
    <s v="31506-32-8"/>
    <x v="26"/>
    <n v="7.2999999999999995E-2"/>
  </r>
  <r>
    <s v="PU047-JBA-08162021"/>
    <s v="Spill"/>
    <x v="1"/>
    <s v="Pumpkinseed"/>
    <s v="Lepomis"/>
    <s v="gibbosus"/>
    <s v="U"/>
    <x v="0"/>
    <n v="8"/>
    <n v="11.81"/>
    <x v="27"/>
    <s v="4151-50-2"/>
    <x v="27"/>
    <n v="8.5500000000000007E-2"/>
  </r>
  <r>
    <s v="PU047-JBA-08162021"/>
    <s v="Spill"/>
    <x v="1"/>
    <s v="Pumpkinseed"/>
    <s v="Lepomis"/>
    <s v="gibbosus"/>
    <s v="U"/>
    <x v="0"/>
    <n v="8"/>
    <n v="11.81"/>
    <x v="28"/>
    <s v="2806-24-8"/>
    <x v="28"/>
    <n v="5.7500000000000002E-2"/>
  </r>
  <r>
    <s v="PU047-JBA-08162021"/>
    <s v="Spill"/>
    <x v="1"/>
    <s v="Pumpkinseed"/>
    <s v="Lepomis"/>
    <s v="gibbosus"/>
    <s v="U"/>
    <x v="0"/>
    <n v="8"/>
    <n v="11.81"/>
    <x v="29"/>
    <s v="2355-31-9"/>
    <x v="29"/>
    <n v="7.3499999999999996E-2"/>
  </r>
  <r>
    <s v="PU047-JBA-08162021"/>
    <s v="Spill"/>
    <x v="1"/>
    <s v="Pumpkinseed"/>
    <s v="Lepomis"/>
    <s v="gibbosus"/>
    <s v="U"/>
    <x v="0"/>
    <n v="8"/>
    <n v="11.81"/>
    <x v="30"/>
    <s v="2991-50-6"/>
    <x v="30"/>
    <n v="6.3500000000000001E-2"/>
  </r>
  <r>
    <s v="PU047-JBA-08162021"/>
    <s v="Spill"/>
    <x v="1"/>
    <s v="Pumpkinseed"/>
    <s v="Lepomis"/>
    <s v="gibbosus"/>
    <s v="U"/>
    <x v="0"/>
    <n v="8"/>
    <n v="11.81"/>
    <x v="31"/>
    <s v="757124-72-4"/>
    <x v="31"/>
    <n v="7.2999999999999995E-2"/>
  </r>
  <r>
    <s v="PU047-JBA-08162021"/>
    <s v="Spill"/>
    <x v="1"/>
    <s v="Pumpkinseed"/>
    <s v="Lepomis"/>
    <s v="gibbosus"/>
    <s v="U"/>
    <x v="0"/>
    <n v="8"/>
    <n v="11.81"/>
    <x v="32"/>
    <s v="27619-97-2"/>
    <x v="32"/>
    <n v="0.38300000000000001"/>
  </r>
  <r>
    <s v="PU047-JBA-08162021"/>
    <s v="Spill"/>
    <x v="1"/>
    <s v="Pumpkinseed"/>
    <s v="Lepomis"/>
    <s v="gibbosus"/>
    <s v="U"/>
    <x v="0"/>
    <n v="8"/>
    <n v="11.81"/>
    <x v="33"/>
    <s v="39108-34-4"/>
    <x v="33"/>
    <n v="2.96"/>
  </r>
  <r>
    <s v="PU047-JBA-08162021"/>
    <s v="Spill"/>
    <x v="1"/>
    <s v="Pumpkinseed"/>
    <s v="Lepomis"/>
    <s v="gibbosus"/>
    <s v="U"/>
    <x v="0"/>
    <n v="8"/>
    <n v="11.81"/>
    <x v="34"/>
    <s v="120226-60-0"/>
    <x v="34"/>
    <n v="0.27400000000000002"/>
  </r>
  <r>
    <s v="PU047-JBA-08162021"/>
    <s v="Spill"/>
    <x v="1"/>
    <s v="Pumpkinseed"/>
    <s v="Lepomis"/>
    <s v="gibbosus"/>
    <s v="U"/>
    <x v="0"/>
    <n v="8"/>
    <n v="11.81"/>
    <x v="35"/>
    <s v="356-02-5"/>
    <x v="35"/>
    <n v="8.4500000000000006E-2"/>
  </r>
  <r>
    <s v="PU047-JBA-08162021"/>
    <s v="Spill"/>
    <x v="1"/>
    <s v="Pumpkinseed"/>
    <s v="Lepomis"/>
    <s v="gibbosus"/>
    <s v="U"/>
    <x v="0"/>
    <n v="8"/>
    <n v="11.81"/>
    <x v="36"/>
    <s v="914637-49-3"/>
    <x v="36"/>
    <n v="2.82"/>
  </r>
  <r>
    <s v="PU047-JBA-08162021"/>
    <s v="Spill"/>
    <x v="1"/>
    <s v="Pumpkinseed"/>
    <s v="Lepomis"/>
    <s v="gibbosus"/>
    <s v="U"/>
    <x v="0"/>
    <n v="8"/>
    <n v="11.81"/>
    <x v="37"/>
    <s v="812-70-4"/>
    <x v="37"/>
    <n v="43.6"/>
  </r>
  <r>
    <s v="PU047-JBA-08162021"/>
    <s v="Spill"/>
    <x v="1"/>
    <s v="Pumpkinseed"/>
    <s v="Lepomis"/>
    <s v="gibbosus"/>
    <s v="U"/>
    <x v="0"/>
    <n v="8"/>
    <n v="11.81"/>
    <x v="38"/>
    <s v="53826-12-3"/>
    <x v="38"/>
    <n v="7.2999999999999995E-2"/>
  </r>
  <r>
    <s v="PU047-JBA-08162021"/>
    <s v="Spill"/>
    <x v="1"/>
    <s v="Pumpkinseed"/>
    <s v="Lepomis"/>
    <s v="gibbosus"/>
    <s v="U"/>
    <x v="0"/>
    <n v="8"/>
    <n v="11.81"/>
    <x v="39"/>
    <s v="27854-31-5"/>
    <x v="39"/>
    <n v="7.2999999999999995E-2"/>
  </r>
  <r>
    <s v="PU047-JBA-08162021"/>
    <s v="Spill"/>
    <x v="1"/>
    <s v="Pumpkinseed"/>
    <s v="Lepomis"/>
    <s v="gibbosus"/>
    <s v="U"/>
    <x v="0"/>
    <n v="8"/>
    <n v="11.81"/>
    <x v="40"/>
    <s v="53826-13-4"/>
    <x v="40"/>
    <n v="0.109"/>
  </r>
  <r>
    <s v="PU047-JBA-08162021"/>
    <s v="Spill"/>
    <x v="1"/>
    <s v="Pumpkinseed"/>
    <s v="Lepomis"/>
    <s v="gibbosus"/>
    <s v="U"/>
    <x v="0"/>
    <n v="8"/>
    <n v="11.81"/>
    <x v="41"/>
    <s v="161094-75-3"/>
    <x v="41"/>
    <n v="5.7500000000000002E-2"/>
  </r>
  <r>
    <s v="PU047-JBA-08162021"/>
    <s v="Spill"/>
    <x v="1"/>
    <s v="Pumpkinseed"/>
    <s v="Lepomis"/>
    <s v="gibbosus"/>
    <s v="U"/>
    <x v="0"/>
    <n v="8"/>
    <n v="11.81"/>
    <x v="42"/>
    <s v="70887-84-2"/>
    <x v="42"/>
    <n v="4.4200000000000003E-2"/>
  </r>
  <r>
    <s v="PU047-JBA-08162021"/>
    <s v="Spill"/>
    <x v="1"/>
    <s v="Pumpkinseed"/>
    <s v="Lepomis"/>
    <s v="gibbosus"/>
    <s v="U"/>
    <x v="0"/>
    <n v="8"/>
    <n v="11.81"/>
    <x v="43"/>
    <s v="919005-14-4"/>
    <x v="43"/>
    <n v="6.4500000000000002E-2"/>
  </r>
  <r>
    <s v="PU047-JBA-08162021"/>
    <s v="Spill"/>
    <x v="1"/>
    <s v="Pumpkinseed"/>
    <s v="Lepomis"/>
    <s v="gibbosus"/>
    <s v="U"/>
    <x v="0"/>
    <n v="8"/>
    <n v="11.81"/>
    <x v="44"/>
    <s v="756426-58-1"/>
    <x v="44"/>
    <n v="7.2999999999999995E-2"/>
  </r>
  <r>
    <s v="PU047-JBA-08162021"/>
    <s v="Spill"/>
    <x v="1"/>
    <s v="Pumpkinseed"/>
    <s v="Lepomis"/>
    <s v="gibbosus"/>
    <s v="U"/>
    <x v="0"/>
    <n v="8"/>
    <n v="11.81"/>
    <x v="45"/>
    <s v="763051-92-9"/>
    <x v="45"/>
    <n v="7.2999999999999995E-2"/>
  </r>
  <r>
    <s v="PU047-JBA-08162021"/>
    <s v="Spill"/>
    <x v="1"/>
    <s v="Pumpkinseed"/>
    <s v="Lepomis"/>
    <s v="gibbosus"/>
    <s v="U"/>
    <x v="0"/>
    <n v="8"/>
    <n v="11.81"/>
    <x v="46"/>
    <s v="13252-13-6"/>
    <x v="46"/>
    <n v="0.105"/>
  </r>
  <r>
    <s v="PU047-JBA-08162021"/>
    <s v="Spill"/>
    <x v="1"/>
    <s v="Pumpkinseed"/>
    <s v="Lepomis"/>
    <s v="gibbosus"/>
    <s v="U"/>
    <x v="0"/>
    <n v="8"/>
    <n v="11.81"/>
    <x v="47"/>
    <s v="57677-95-9"/>
    <x v="47"/>
    <n v="7.8E-2"/>
  </r>
  <r>
    <s v="PU047-JBA-08162021"/>
    <s v="Spill"/>
    <x v="1"/>
    <s v="Pumpkinseed"/>
    <s v="Lepomis"/>
    <s v="gibbosus"/>
    <s v="U"/>
    <x v="0"/>
    <n v="8"/>
    <n v="11.81"/>
    <x v="48"/>
    <s v="678-41-1"/>
    <x v="48"/>
    <n v="9.7000000000000003E-2"/>
  </r>
  <r>
    <s v="PU047-JBA-08162021"/>
    <s v="Spill"/>
    <x v="1"/>
    <s v="Pumpkinseed"/>
    <s v="Lepomis"/>
    <s v="gibbosus"/>
    <s v="U"/>
    <x v="0"/>
    <n v="8"/>
    <n v="11.81"/>
    <x v="49"/>
    <s v="2965-52-8"/>
    <x v="49"/>
    <n v="0.1285"/>
  </r>
  <r>
    <s v="PU048-JBA-08162021"/>
    <s v="Spill"/>
    <x v="1"/>
    <s v="Pumpkinseed"/>
    <s v="Lepomis"/>
    <s v="gibbosus"/>
    <s v="U"/>
    <x v="0"/>
    <n v="8"/>
    <n v="11.81"/>
    <x v="0"/>
    <s v="375-22-4"/>
    <x v="0"/>
    <n v="6.6500000000000004E-2"/>
  </r>
  <r>
    <s v="PU048-JBA-08162021"/>
    <s v="Spill"/>
    <x v="1"/>
    <s v="Pumpkinseed"/>
    <s v="Lepomis"/>
    <s v="gibbosus"/>
    <s v="U"/>
    <x v="0"/>
    <n v="8"/>
    <n v="11.81"/>
    <x v="1"/>
    <s v="2706-90-3"/>
    <x v="1"/>
    <n v="4.6949999999999999E-2"/>
  </r>
  <r>
    <s v="PU048-JBA-08162021"/>
    <s v="Spill"/>
    <x v="1"/>
    <s v="Pumpkinseed"/>
    <s v="Lepomis"/>
    <s v="gibbosus"/>
    <s v="U"/>
    <x v="0"/>
    <n v="8"/>
    <n v="11.81"/>
    <x v="2"/>
    <s v="307-24-4"/>
    <x v="2"/>
    <n v="0.11849999999999999"/>
  </r>
  <r>
    <s v="PU048-JBA-08162021"/>
    <s v="Spill"/>
    <x v="1"/>
    <s v="Pumpkinseed"/>
    <s v="Lepomis"/>
    <s v="gibbosus"/>
    <s v="U"/>
    <x v="0"/>
    <n v="8"/>
    <n v="11.81"/>
    <x v="3"/>
    <s v="375-85-9"/>
    <x v="3"/>
    <n v="2.6599999999999999E-2"/>
  </r>
  <r>
    <s v="PU048-JBA-08162021"/>
    <s v="Spill"/>
    <x v="1"/>
    <s v="Pumpkinseed"/>
    <s v="Lepomis"/>
    <s v="gibbosus"/>
    <s v="U"/>
    <x v="0"/>
    <n v="8"/>
    <n v="11.81"/>
    <x v="4"/>
    <s v="335-67-1"/>
    <x v="4"/>
    <n v="0.78"/>
  </r>
  <r>
    <s v="PU048-JBA-08162021"/>
    <s v="Spill"/>
    <x v="1"/>
    <s v="Pumpkinseed"/>
    <s v="Lepomis"/>
    <s v="gibbosus"/>
    <s v="U"/>
    <x v="0"/>
    <n v="8"/>
    <n v="11.81"/>
    <x v="5"/>
    <s v="375-95-1"/>
    <x v="5"/>
    <n v="0.38900000000000001"/>
  </r>
  <r>
    <s v="PU048-JBA-08162021"/>
    <s v="Spill"/>
    <x v="1"/>
    <s v="Pumpkinseed"/>
    <s v="Lepomis"/>
    <s v="gibbosus"/>
    <s v="U"/>
    <x v="0"/>
    <n v="8"/>
    <n v="11.81"/>
    <x v="6"/>
    <s v="335-76-2"/>
    <x v="6"/>
    <n v="3.82"/>
  </r>
  <r>
    <s v="PU048-JBA-08162021"/>
    <s v="Spill"/>
    <x v="1"/>
    <s v="Pumpkinseed"/>
    <s v="Lepomis"/>
    <s v="gibbosus"/>
    <s v="U"/>
    <x v="0"/>
    <n v="8"/>
    <n v="11.81"/>
    <x v="7"/>
    <s v="2058-94-8"/>
    <x v="7"/>
    <n v="6.82"/>
  </r>
  <r>
    <s v="PU048-JBA-08162021"/>
    <s v="Spill"/>
    <x v="1"/>
    <s v="Pumpkinseed"/>
    <s v="Lepomis"/>
    <s v="gibbosus"/>
    <s v="U"/>
    <x v="0"/>
    <n v="8"/>
    <n v="11.81"/>
    <x v="8"/>
    <s v="307-55-1"/>
    <x v="8"/>
    <n v="12.3"/>
  </r>
  <r>
    <s v="PU048-JBA-08162021"/>
    <s v="Spill"/>
    <x v="1"/>
    <s v="Pumpkinseed"/>
    <s v="Lepomis"/>
    <s v="gibbosus"/>
    <s v="U"/>
    <x v="0"/>
    <n v="8"/>
    <n v="11.81"/>
    <x v="9"/>
    <s v="72629-94-8"/>
    <x v="9"/>
    <n v="4.03"/>
  </r>
  <r>
    <s v="PU048-JBA-08162021"/>
    <s v="Spill"/>
    <x v="1"/>
    <s v="Pumpkinseed"/>
    <s v="Lepomis"/>
    <s v="gibbosus"/>
    <s v="U"/>
    <x v="0"/>
    <n v="8"/>
    <n v="11.81"/>
    <x v="10"/>
    <s v="376-06-7"/>
    <x v="10"/>
    <n v="13.3"/>
  </r>
  <r>
    <s v="PU048-JBA-08162021"/>
    <s v="Spill"/>
    <x v="1"/>
    <s v="Pumpkinseed"/>
    <s v="Lepomis"/>
    <s v="gibbosus"/>
    <s v="U"/>
    <x v="0"/>
    <n v="8"/>
    <n v="11.81"/>
    <x v="11"/>
    <s v="67905-19-5"/>
    <x v="11"/>
    <n v="7.9000000000000001E-2"/>
  </r>
  <r>
    <s v="PU048-JBA-08162021"/>
    <s v="Spill"/>
    <x v="1"/>
    <s v="Pumpkinseed"/>
    <s v="Lepomis"/>
    <s v="gibbosus"/>
    <s v="U"/>
    <x v="0"/>
    <n v="8"/>
    <n v="11.81"/>
    <x v="12"/>
    <s v="423-41-6"/>
    <x v="12"/>
    <n v="6.6500000000000004E-2"/>
  </r>
  <r>
    <s v="PU048-JBA-08162021"/>
    <s v="Spill"/>
    <x v="1"/>
    <s v="Pumpkinseed"/>
    <s v="Lepomis"/>
    <s v="gibbosus"/>
    <s v="U"/>
    <x v="0"/>
    <n v="8"/>
    <n v="11.81"/>
    <x v="13"/>
    <s v="375-73-5"/>
    <x v="13"/>
    <n v="4.5249999999999999E-2"/>
  </r>
  <r>
    <s v="PU048-JBA-08162021"/>
    <s v="Spill"/>
    <x v="1"/>
    <s v="Pumpkinseed"/>
    <s v="Lepomis"/>
    <s v="gibbosus"/>
    <s v="U"/>
    <x v="0"/>
    <n v="8"/>
    <n v="11.81"/>
    <x v="14"/>
    <s v="2706-91-4"/>
    <x v="14"/>
    <n v="0.2195"/>
  </r>
  <r>
    <s v="PU048-JBA-08162021"/>
    <s v="Spill"/>
    <x v="1"/>
    <s v="Pumpkinseed"/>
    <s v="Lepomis"/>
    <s v="gibbosus"/>
    <s v="U"/>
    <x v="0"/>
    <n v="8"/>
    <n v="11.81"/>
    <x v="15"/>
    <s v="355-46-4"/>
    <x v="15"/>
    <n v="11"/>
  </r>
  <r>
    <s v="PU048-JBA-08162021"/>
    <s v="Spill"/>
    <x v="1"/>
    <s v="Pumpkinseed"/>
    <s v="Lepomis"/>
    <s v="gibbosus"/>
    <s v="U"/>
    <x v="0"/>
    <n v="8"/>
    <n v="11.81"/>
    <x v="16"/>
    <s v="375-92-8"/>
    <x v="16"/>
    <n v="3.45"/>
  </r>
  <r>
    <s v="PU048-JBA-08162021"/>
    <s v="Spill"/>
    <x v="1"/>
    <s v="Pumpkinseed"/>
    <s v="Lepomis"/>
    <s v="gibbosus"/>
    <s v="U"/>
    <x v="0"/>
    <n v="8"/>
    <n v="11.81"/>
    <x v="17"/>
    <s v="1763-23-1"/>
    <x v="17"/>
    <n v="776"/>
  </r>
  <r>
    <s v="PU048-JBA-08162021"/>
    <s v="Spill"/>
    <x v="1"/>
    <s v="Pumpkinseed"/>
    <s v="Lepomis"/>
    <s v="gibbosus"/>
    <s v="U"/>
    <x v="0"/>
    <n v="8"/>
    <n v="11.81"/>
    <x v="18"/>
    <s v="68259-12-1"/>
    <x v="18"/>
    <n v="5.43"/>
  </r>
  <r>
    <s v="PU048-JBA-08162021"/>
    <s v="Spill"/>
    <x v="1"/>
    <s v="Pumpkinseed"/>
    <s v="Lepomis"/>
    <s v="gibbosus"/>
    <s v="U"/>
    <x v="0"/>
    <n v="8"/>
    <n v="11.81"/>
    <x v="19"/>
    <s v="335-77-3"/>
    <x v="19"/>
    <n v="6.07"/>
  </r>
  <r>
    <s v="PU048-JBA-08162021"/>
    <s v="Spill"/>
    <x v="1"/>
    <s v="Pumpkinseed"/>
    <s v="Lepomis"/>
    <s v="gibbosus"/>
    <s v="U"/>
    <x v="0"/>
    <n v="8"/>
    <n v="11.81"/>
    <x v="20"/>
    <s v="79780-39-5"/>
    <x v="20"/>
    <n v="1.81"/>
  </r>
  <r>
    <s v="PU048-JBA-08162021"/>
    <s v="Spill"/>
    <x v="1"/>
    <s v="Pumpkinseed"/>
    <s v="Lepomis"/>
    <s v="gibbosus"/>
    <s v="U"/>
    <x v="0"/>
    <n v="8"/>
    <n v="11.81"/>
    <x v="21"/>
    <s v="777011-38-8"/>
    <x v="21"/>
    <n v="0.13350000000000001"/>
  </r>
  <r>
    <s v="PU048-JBA-08162021"/>
    <s v="Spill"/>
    <x v="1"/>
    <s v="Pumpkinseed"/>
    <s v="Lepomis"/>
    <s v="gibbosus"/>
    <s v="U"/>
    <x v="0"/>
    <n v="8"/>
    <n v="11.81"/>
    <x v="22"/>
    <s v="646-83-3"/>
    <x v="22"/>
    <n v="0.2195"/>
  </r>
  <r>
    <s v="PU048-JBA-08162021"/>
    <s v="Spill"/>
    <x v="1"/>
    <s v="Pumpkinseed"/>
    <s v="Lepomis"/>
    <s v="gibbosus"/>
    <s v="U"/>
    <x v="0"/>
    <n v="8"/>
    <n v="11.81"/>
    <x v="23"/>
    <s v="30334-69-1"/>
    <x v="23"/>
    <n v="16.2"/>
  </r>
  <r>
    <s v="PU048-JBA-08162021"/>
    <s v="Spill"/>
    <x v="1"/>
    <s v="Pumpkinseed"/>
    <s v="Lepomis"/>
    <s v="gibbosus"/>
    <s v="U"/>
    <x v="0"/>
    <n v="8"/>
    <n v="11.81"/>
    <x v="24"/>
    <s v="41997-13-1"/>
    <x v="24"/>
    <n v="27.2"/>
  </r>
  <r>
    <s v="PU048-JBA-08162021"/>
    <s v="Spill"/>
    <x v="1"/>
    <s v="Pumpkinseed"/>
    <s v="Lepomis"/>
    <s v="gibbosus"/>
    <s v="U"/>
    <x v="0"/>
    <n v="8"/>
    <n v="11.81"/>
    <x v="25"/>
    <s v="754-91-6"/>
    <x v="25"/>
    <n v="8.9"/>
  </r>
  <r>
    <s v="PU048-JBA-08162021"/>
    <s v="Spill"/>
    <x v="1"/>
    <s v="Pumpkinseed"/>
    <s v="Lepomis"/>
    <s v="gibbosus"/>
    <s v="U"/>
    <x v="0"/>
    <n v="8"/>
    <n v="11.81"/>
    <x v="26"/>
    <s v="31506-32-8"/>
    <x v="26"/>
    <n v="6.6500000000000004E-2"/>
  </r>
  <r>
    <s v="PU048-JBA-08162021"/>
    <s v="Spill"/>
    <x v="1"/>
    <s v="Pumpkinseed"/>
    <s v="Lepomis"/>
    <s v="gibbosus"/>
    <s v="U"/>
    <x v="0"/>
    <n v="8"/>
    <n v="11.81"/>
    <x v="27"/>
    <s v="4151-50-2"/>
    <x v="27"/>
    <n v="7.7499999999999999E-2"/>
  </r>
  <r>
    <s v="PU048-JBA-08162021"/>
    <s v="Spill"/>
    <x v="1"/>
    <s v="Pumpkinseed"/>
    <s v="Lepomis"/>
    <s v="gibbosus"/>
    <s v="U"/>
    <x v="0"/>
    <n v="8"/>
    <n v="11.81"/>
    <x v="28"/>
    <s v="2806-24-8"/>
    <x v="28"/>
    <n v="5.2499999999999998E-2"/>
  </r>
  <r>
    <s v="PU048-JBA-08162021"/>
    <s v="Spill"/>
    <x v="1"/>
    <s v="Pumpkinseed"/>
    <s v="Lepomis"/>
    <s v="gibbosus"/>
    <s v="U"/>
    <x v="0"/>
    <n v="8"/>
    <n v="11.81"/>
    <x v="29"/>
    <s v="2355-31-9"/>
    <x v="29"/>
    <n v="6.7000000000000004E-2"/>
  </r>
  <r>
    <s v="PU048-JBA-08162021"/>
    <s v="Spill"/>
    <x v="1"/>
    <s v="Pumpkinseed"/>
    <s v="Lepomis"/>
    <s v="gibbosus"/>
    <s v="U"/>
    <x v="0"/>
    <n v="8"/>
    <n v="11.81"/>
    <x v="30"/>
    <s v="2991-50-6"/>
    <x v="30"/>
    <n v="5.7500000000000002E-2"/>
  </r>
  <r>
    <s v="PU048-JBA-08162021"/>
    <s v="Spill"/>
    <x v="1"/>
    <s v="Pumpkinseed"/>
    <s v="Lepomis"/>
    <s v="gibbosus"/>
    <s v="U"/>
    <x v="0"/>
    <n v="8"/>
    <n v="11.81"/>
    <x v="31"/>
    <s v="757124-72-4"/>
    <x v="31"/>
    <n v="6.6500000000000004E-2"/>
  </r>
  <r>
    <s v="PU048-JBA-08162021"/>
    <s v="Spill"/>
    <x v="1"/>
    <s v="Pumpkinseed"/>
    <s v="Lepomis"/>
    <s v="gibbosus"/>
    <s v="U"/>
    <x v="0"/>
    <n v="8"/>
    <n v="11.81"/>
    <x v="32"/>
    <s v="27619-97-2"/>
    <x v="32"/>
    <n v="0.77600000000000002"/>
  </r>
  <r>
    <s v="PU048-JBA-08162021"/>
    <s v="Spill"/>
    <x v="1"/>
    <s v="Pumpkinseed"/>
    <s v="Lepomis"/>
    <s v="gibbosus"/>
    <s v="U"/>
    <x v="0"/>
    <n v="8"/>
    <n v="11.81"/>
    <x v="33"/>
    <s v="39108-34-4"/>
    <x v="33"/>
    <n v="3.76"/>
  </r>
  <r>
    <s v="PU048-JBA-08162021"/>
    <s v="Spill"/>
    <x v="1"/>
    <s v="Pumpkinseed"/>
    <s v="Lepomis"/>
    <s v="gibbosus"/>
    <s v="U"/>
    <x v="0"/>
    <n v="8"/>
    <n v="11.81"/>
    <x v="34"/>
    <s v="120226-60-0"/>
    <x v="34"/>
    <n v="0.249"/>
  </r>
  <r>
    <s v="PU048-JBA-08162021"/>
    <s v="Spill"/>
    <x v="1"/>
    <s v="Pumpkinseed"/>
    <s v="Lepomis"/>
    <s v="gibbosus"/>
    <s v="U"/>
    <x v="0"/>
    <n v="8"/>
    <n v="11.81"/>
    <x v="35"/>
    <s v="356-02-5"/>
    <x v="35"/>
    <n v="7.6499999999999999E-2"/>
  </r>
  <r>
    <s v="PU048-JBA-08162021"/>
    <s v="Spill"/>
    <x v="1"/>
    <s v="Pumpkinseed"/>
    <s v="Lepomis"/>
    <s v="gibbosus"/>
    <s v="U"/>
    <x v="0"/>
    <n v="8"/>
    <n v="11.81"/>
    <x v="36"/>
    <s v="914637-49-3"/>
    <x v="36"/>
    <n v="0.52600000000000002"/>
  </r>
  <r>
    <s v="PU048-JBA-08162021"/>
    <s v="Spill"/>
    <x v="1"/>
    <s v="Pumpkinseed"/>
    <s v="Lepomis"/>
    <s v="gibbosus"/>
    <s v="U"/>
    <x v="0"/>
    <n v="8"/>
    <n v="11.81"/>
    <x v="37"/>
    <s v="812-70-4"/>
    <x v="37"/>
    <n v="74.599999999999994"/>
  </r>
  <r>
    <s v="PU048-JBA-08162021"/>
    <s v="Spill"/>
    <x v="1"/>
    <s v="Pumpkinseed"/>
    <s v="Lepomis"/>
    <s v="gibbosus"/>
    <s v="U"/>
    <x v="0"/>
    <n v="8"/>
    <n v="11.81"/>
    <x v="38"/>
    <s v="53826-12-3"/>
    <x v="38"/>
    <n v="6.6500000000000004E-2"/>
  </r>
  <r>
    <s v="PU048-JBA-08162021"/>
    <s v="Spill"/>
    <x v="1"/>
    <s v="Pumpkinseed"/>
    <s v="Lepomis"/>
    <s v="gibbosus"/>
    <s v="U"/>
    <x v="0"/>
    <n v="8"/>
    <n v="11.81"/>
    <x v="39"/>
    <s v="27854-31-5"/>
    <x v="39"/>
    <n v="6.6500000000000004E-2"/>
  </r>
  <r>
    <s v="PU048-JBA-08162021"/>
    <s v="Spill"/>
    <x v="1"/>
    <s v="Pumpkinseed"/>
    <s v="Lepomis"/>
    <s v="gibbosus"/>
    <s v="U"/>
    <x v="0"/>
    <n v="8"/>
    <n v="11.81"/>
    <x v="40"/>
    <s v="53826-13-4"/>
    <x v="40"/>
    <n v="9.9000000000000005E-2"/>
  </r>
  <r>
    <s v="PU048-JBA-08162021"/>
    <s v="Spill"/>
    <x v="1"/>
    <s v="Pumpkinseed"/>
    <s v="Lepomis"/>
    <s v="gibbosus"/>
    <s v="U"/>
    <x v="0"/>
    <n v="8"/>
    <n v="11.81"/>
    <x v="41"/>
    <s v="161094-75-3"/>
    <x v="41"/>
    <n v="5.1999999999999998E-2"/>
  </r>
  <r>
    <s v="PU048-JBA-08162021"/>
    <s v="Spill"/>
    <x v="1"/>
    <s v="Pumpkinseed"/>
    <s v="Lepomis"/>
    <s v="gibbosus"/>
    <s v="U"/>
    <x v="0"/>
    <n v="8"/>
    <n v="11.81"/>
    <x v="42"/>
    <s v="70887-84-2"/>
    <x v="42"/>
    <n v="4.0149999999999998E-2"/>
  </r>
  <r>
    <s v="PU048-JBA-08162021"/>
    <s v="Spill"/>
    <x v="1"/>
    <s v="Pumpkinseed"/>
    <s v="Lepomis"/>
    <s v="gibbosus"/>
    <s v="U"/>
    <x v="0"/>
    <n v="8"/>
    <n v="11.81"/>
    <x v="43"/>
    <s v="919005-14-4"/>
    <x v="43"/>
    <n v="0.19350000000000001"/>
  </r>
  <r>
    <s v="PU048-JBA-08162021"/>
    <s v="Spill"/>
    <x v="1"/>
    <s v="Pumpkinseed"/>
    <s v="Lepomis"/>
    <s v="gibbosus"/>
    <s v="U"/>
    <x v="0"/>
    <n v="8"/>
    <n v="11.81"/>
    <x v="44"/>
    <s v="756426-58-1"/>
    <x v="44"/>
    <n v="6.6500000000000004E-2"/>
  </r>
  <r>
    <s v="PU048-JBA-08162021"/>
    <s v="Spill"/>
    <x v="1"/>
    <s v="Pumpkinseed"/>
    <s v="Lepomis"/>
    <s v="gibbosus"/>
    <s v="U"/>
    <x v="0"/>
    <n v="8"/>
    <n v="11.81"/>
    <x v="45"/>
    <s v="763051-92-9"/>
    <x v="45"/>
    <n v="6.6500000000000004E-2"/>
  </r>
  <r>
    <s v="PU048-JBA-08162021"/>
    <s v="Spill"/>
    <x v="1"/>
    <s v="Pumpkinseed"/>
    <s v="Lepomis"/>
    <s v="gibbosus"/>
    <s v="U"/>
    <x v="0"/>
    <n v="8"/>
    <n v="11.81"/>
    <x v="46"/>
    <s v="13252-13-6"/>
    <x v="46"/>
    <n v="9.5500000000000002E-2"/>
  </r>
  <r>
    <s v="PU048-JBA-08162021"/>
    <s v="Spill"/>
    <x v="1"/>
    <s v="Pumpkinseed"/>
    <s v="Lepomis"/>
    <s v="gibbosus"/>
    <s v="U"/>
    <x v="0"/>
    <n v="8"/>
    <n v="11.81"/>
    <x v="47"/>
    <s v="57677-95-9"/>
    <x v="47"/>
    <n v="7.0499999999999993E-2"/>
  </r>
  <r>
    <s v="PU048-JBA-08162021"/>
    <s v="Spill"/>
    <x v="1"/>
    <s v="Pumpkinseed"/>
    <s v="Lepomis"/>
    <s v="gibbosus"/>
    <s v="U"/>
    <x v="0"/>
    <n v="8"/>
    <n v="11.81"/>
    <x v="48"/>
    <s v="678-41-1"/>
    <x v="48"/>
    <n v="8.7999999999999995E-2"/>
  </r>
  <r>
    <s v="PU048-JBA-08162021"/>
    <s v="Spill"/>
    <x v="1"/>
    <s v="Pumpkinseed"/>
    <s v="Lepomis"/>
    <s v="gibbosus"/>
    <s v="U"/>
    <x v="0"/>
    <n v="8"/>
    <n v="11.81"/>
    <x v="49"/>
    <s v="2965-52-8"/>
    <x v="49"/>
    <n v="0.11700000000000001"/>
  </r>
  <r>
    <s v="PU049-JBA-08162021"/>
    <s v="Spill"/>
    <x v="1"/>
    <s v="Pumpkinseed"/>
    <s v="Lepomis"/>
    <s v="gibbosus"/>
    <s v="U"/>
    <x v="0"/>
    <n v="8"/>
    <n v="11.81"/>
    <x v="0"/>
    <s v="375-22-4"/>
    <x v="0"/>
    <n v="0.23949999999999999"/>
  </r>
  <r>
    <s v="PU049-JBA-08162021"/>
    <s v="Spill"/>
    <x v="1"/>
    <s v="Pumpkinseed"/>
    <s v="Lepomis"/>
    <s v="gibbosus"/>
    <s v="U"/>
    <x v="0"/>
    <n v="8"/>
    <n v="11.81"/>
    <x v="1"/>
    <s v="2706-90-3"/>
    <x v="1"/>
    <n v="5.1499999999999997E-2"/>
  </r>
  <r>
    <s v="PU049-JBA-08162021"/>
    <s v="Spill"/>
    <x v="1"/>
    <s v="Pumpkinseed"/>
    <s v="Lepomis"/>
    <s v="gibbosus"/>
    <s v="U"/>
    <x v="0"/>
    <n v="8"/>
    <n v="11.81"/>
    <x v="2"/>
    <s v="307-24-4"/>
    <x v="2"/>
    <n v="3.9149999999999997E-2"/>
  </r>
  <r>
    <s v="PU049-JBA-08162021"/>
    <s v="Spill"/>
    <x v="1"/>
    <s v="Pumpkinseed"/>
    <s v="Lepomis"/>
    <s v="gibbosus"/>
    <s v="U"/>
    <x v="0"/>
    <n v="8"/>
    <n v="11.81"/>
    <x v="3"/>
    <s v="375-85-9"/>
    <x v="3"/>
    <n v="9.6000000000000002E-2"/>
  </r>
  <r>
    <s v="PU049-JBA-08162021"/>
    <s v="Spill"/>
    <x v="1"/>
    <s v="Pumpkinseed"/>
    <s v="Lepomis"/>
    <s v="gibbosus"/>
    <s v="U"/>
    <x v="0"/>
    <n v="8"/>
    <n v="11.81"/>
    <x v="4"/>
    <s v="335-67-1"/>
    <x v="4"/>
    <n v="0.623"/>
  </r>
  <r>
    <s v="PU049-JBA-08162021"/>
    <s v="Spill"/>
    <x v="1"/>
    <s v="Pumpkinseed"/>
    <s v="Lepomis"/>
    <s v="gibbosus"/>
    <s v="U"/>
    <x v="0"/>
    <n v="8"/>
    <n v="11.81"/>
    <x v="5"/>
    <s v="375-95-1"/>
    <x v="5"/>
    <n v="0.05"/>
  </r>
  <r>
    <s v="PU049-JBA-08162021"/>
    <s v="Spill"/>
    <x v="1"/>
    <s v="Pumpkinseed"/>
    <s v="Lepomis"/>
    <s v="gibbosus"/>
    <s v="U"/>
    <x v="0"/>
    <n v="8"/>
    <n v="11.81"/>
    <x v="6"/>
    <s v="335-76-2"/>
    <x v="6"/>
    <n v="3.43"/>
  </r>
  <r>
    <s v="PU049-JBA-08162021"/>
    <s v="Spill"/>
    <x v="1"/>
    <s v="Pumpkinseed"/>
    <s v="Lepomis"/>
    <s v="gibbosus"/>
    <s v="U"/>
    <x v="0"/>
    <n v="8"/>
    <n v="11.81"/>
    <x v="7"/>
    <s v="2058-94-8"/>
    <x v="7"/>
    <n v="6.85"/>
  </r>
  <r>
    <s v="PU049-JBA-08162021"/>
    <s v="Spill"/>
    <x v="1"/>
    <s v="Pumpkinseed"/>
    <s v="Lepomis"/>
    <s v="gibbosus"/>
    <s v="U"/>
    <x v="0"/>
    <n v="8"/>
    <n v="11.81"/>
    <x v="8"/>
    <s v="307-55-1"/>
    <x v="8"/>
    <n v="13.3"/>
  </r>
  <r>
    <s v="PU049-JBA-08162021"/>
    <s v="Spill"/>
    <x v="1"/>
    <s v="Pumpkinseed"/>
    <s v="Lepomis"/>
    <s v="gibbosus"/>
    <s v="U"/>
    <x v="0"/>
    <n v="8"/>
    <n v="11.81"/>
    <x v="9"/>
    <s v="72629-94-8"/>
    <x v="9"/>
    <n v="3.53"/>
  </r>
  <r>
    <s v="PU049-JBA-08162021"/>
    <s v="Spill"/>
    <x v="1"/>
    <s v="Pumpkinseed"/>
    <s v="Lepomis"/>
    <s v="gibbosus"/>
    <s v="U"/>
    <x v="0"/>
    <n v="8"/>
    <n v="11.81"/>
    <x v="10"/>
    <s v="376-06-7"/>
    <x v="10"/>
    <n v="12"/>
  </r>
  <r>
    <s v="PU049-JBA-08162021"/>
    <s v="Spill"/>
    <x v="1"/>
    <s v="Pumpkinseed"/>
    <s v="Lepomis"/>
    <s v="gibbosus"/>
    <s v="U"/>
    <x v="0"/>
    <n v="8"/>
    <n v="11.81"/>
    <x v="11"/>
    <s v="67905-19-5"/>
    <x v="11"/>
    <n v="8.6499999999999994E-2"/>
  </r>
  <r>
    <s v="PU049-JBA-08162021"/>
    <s v="Spill"/>
    <x v="1"/>
    <s v="Pumpkinseed"/>
    <s v="Lepomis"/>
    <s v="gibbosus"/>
    <s v="U"/>
    <x v="0"/>
    <n v="8"/>
    <n v="11.81"/>
    <x v="12"/>
    <s v="423-41-6"/>
    <x v="12"/>
    <n v="7.2499999999999995E-2"/>
  </r>
  <r>
    <s v="PU049-JBA-08162021"/>
    <s v="Spill"/>
    <x v="1"/>
    <s v="Pumpkinseed"/>
    <s v="Lepomis"/>
    <s v="gibbosus"/>
    <s v="U"/>
    <x v="0"/>
    <n v="8"/>
    <n v="11.81"/>
    <x v="13"/>
    <s v="375-73-5"/>
    <x v="13"/>
    <n v="4.9399999999999999E-2"/>
  </r>
  <r>
    <s v="PU049-JBA-08162021"/>
    <s v="Spill"/>
    <x v="1"/>
    <s v="Pumpkinseed"/>
    <s v="Lepomis"/>
    <s v="gibbosus"/>
    <s v="U"/>
    <x v="0"/>
    <n v="8"/>
    <n v="11.81"/>
    <x v="14"/>
    <s v="2706-91-4"/>
    <x v="14"/>
    <n v="7.2499999999999995E-2"/>
  </r>
  <r>
    <s v="PU049-JBA-08162021"/>
    <s v="Spill"/>
    <x v="1"/>
    <s v="Pumpkinseed"/>
    <s v="Lepomis"/>
    <s v="gibbosus"/>
    <s v="U"/>
    <x v="0"/>
    <n v="8"/>
    <n v="11.81"/>
    <x v="15"/>
    <s v="355-46-4"/>
    <x v="15"/>
    <n v="10.8"/>
  </r>
  <r>
    <s v="PU049-JBA-08162021"/>
    <s v="Spill"/>
    <x v="1"/>
    <s v="Pumpkinseed"/>
    <s v="Lepomis"/>
    <s v="gibbosus"/>
    <s v="U"/>
    <x v="0"/>
    <n v="8"/>
    <n v="11.81"/>
    <x v="16"/>
    <s v="375-92-8"/>
    <x v="16"/>
    <n v="1.61"/>
  </r>
  <r>
    <s v="PU049-JBA-08162021"/>
    <s v="Spill"/>
    <x v="1"/>
    <s v="Pumpkinseed"/>
    <s v="Lepomis"/>
    <s v="gibbosus"/>
    <s v="U"/>
    <x v="0"/>
    <n v="8"/>
    <n v="11.81"/>
    <x v="17"/>
    <s v="1763-23-1"/>
    <x v="17"/>
    <n v="992"/>
  </r>
  <r>
    <s v="PU049-JBA-08162021"/>
    <s v="Spill"/>
    <x v="1"/>
    <s v="Pumpkinseed"/>
    <s v="Lepomis"/>
    <s v="gibbosus"/>
    <s v="U"/>
    <x v="0"/>
    <n v="8"/>
    <n v="11.81"/>
    <x v="18"/>
    <s v="68259-12-1"/>
    <x v="18"/>
    <n v="2.52"/>
  </r>
  <r>
    <s v="PU049-JBA-08162021"/>
    <s v="Spill"/>
    <x v="1"/>
    <s v="Pumpkinseed"/>
    <s v="Lepomis"/>
    <s v="gibbosus"/>
    <s v="U"/>
    <x v="0"/>
    <n v="8"/>
    <n v="11.81"/>
    <x v="19"/>
    <s v="335-77-3"/>
    <x v="19"/>
    <n v="2.15"/>
  </r>
  <r>
    <s v="PU049-JBA-08162021"/>
    <s v="Spill"/>
    <x v="1"/>
    <s v="Pumpkinseed"/>
    <s v="Lepomis"/>
    <s v="gibbosus"/>
    <s v="U"/>
    <x v="0"/>
    <n v="8"/>
    <n v="11.81"/>
    <x v="20"/>
    <s v="79780-39-5"/>
    <x v="20"/>
    <n v="0.623"/>
  </r>
  <r>
    <s v="PU049-JBA-08162021"/>
    <s v="Spill"/>
    <x v="1"/>
    <s v="Pumpkinseed"/>
    <s v="Lepomis"/>
    <s v="gibbosus"/>
    <s v="U"/>
    <x v="0"/>
    <n v="8"/>
    <n v="11.81"/>
    <x v="21"/>
    <s v="777011-38-8"/>
    <x v="21"/>
    <n v="0.14549999999999999"/>
  </r>
  <r>
    <s v="PU049-JBA-08162021"/>
    <s v="Spill"/>
    <x v="1"/>
    <s v="Pumpkinseed"/>
    <s v="Lepomis"/>
    <s v="gibbosus"/>
    <s v="U"/>
    <x v="0"/>
    <n v="8"/>
    <n v="11.81"/>
    <x v="22"/>
    <s v="646-83-3"/>
    <x v="22"/>
    <n v="0.23949999999999999"/>
  </r>
  <r>
    <s v="PU049-JBA-08162021"/>
    <s v="Spill"/>
    <x v="1"/>
    <s v="Pumpkinseed"/>
    <s v="Lepomis"/>
    <s v="gibbosus"/>
    <s v="U"/>
    <x v="0"/>
    <n v="8"/>
    <n v="11.81"/>
    <x v="23"/>
    <s v="30334-69-1"/>
    <x v="23"/>
    <n v="28.2"/>
  </r>
  <r>
    <s v="PU049-JBA-08162021"/>
    <s v="Spill"/>
    <x v="1"/>
    <s v="Pumpkinseed"/>
    <s v="Lepomis"/>
    <s v="gibbosus"/>
    <s v="U"/>
    <x v="0"/>
    <n v="8"/>
    <n v="11.81"/>
    <x v="24"/>
    <s v="41997-13-1"/>
    <x v="24"/>
    <n v="54.6"/>
  </r>
  <r>
    <s v="PU049-JBA-08162021"/>
    <s v="Spill"/>
    <x v="1"/>
    <s v="Pumpkinseed"/>
    <s v="Lepomis"/>
    <s v="gibbosus"/>
    <s v="U"/>
    <x v="0"/>
    <n v="8"/>
    <n v="11.81"/>
    <x v="25"/>
    <s v="754-91-6"/>
    <x v="25"/>
    <n v="9.0500000000000007"/>
  </r>
  <r>
    <s v="PU049-JBA-08162021"/>
    <s v="Spill"/>
    <x v="1"/>
    <s v="Pumpkinseed"/>
    <s v="Lepomis"/>
    <s v="gibbosus"/>
    <s v="U"/>
    <x v="0"/>
    <n v="8"/>
    <n v="11.81"/>
    <x v="26"/>
    <s v="31506-32-8"/>
    <x v="26"/>
    <n v="7.2499999999999995E-2"/>
  </r>
  <r>
    <s v="PU049-JBA-08162021"/>
    <s v="Spill"/>
    <x v="1"/>
    <s v="Pumpkinseed"/>
    <s v="Lepomis"/>
    <s v="gibbosus"/>
    <s v="U"/>
    <x v="0"/>
    <n v="8"/>
    <n v="11.81"/>
    <x v="27"/>
    <s v="4151-50-2"/>
    <x v="27"/>
    <n v="8.4500000000000006E-2"/>
  </r>
  <r>
    <s v="PU049-JBA-08162021"/>
    <s v="Spill"/>
    <x v="1"/>
    <s v="Pumpkinseed"/>
    <s v="Lepomis"/>
    <s v="gibbosus"/>
    <s v="U"/>
    <x v="0"/>
    <n v="8"/>
    <n v="11.81"/>
    <x v="28"/>
    <s v="2806-24-8"/>
    <x v="28"/>
    <n v="5.7000000000000002E-2"/>
  </r>
  <r>
    <s v="PU049-JBA-08162021"/>
    <s v="Spill"/>
    <x v="1"/>
    <s v="Pumpkinseed"/>
    <s v="Lepomis"/>
    <s v="gibbosus"/>
    <s v="U"/>
    <x v="0"/>
    <n v="8"/>
    <n v="11.81"/>
    <x v="29"/>
    <s v="2355-31-9"/>
    <x v="29"/>
    <n v="7.2999999999999995E-2"/>
  </r>
  <r>
    <s v="PU049-JBA-08162021"/>
    <s v="Spill"/>
    <x v="1"/>
    <s v="Pumpkinseed"/>
    <s v="Lepomis"/>
    <s v="gibbosus"/>
    <s v="U"/>
    <x v="0"/>
    <n v="8"/>
    <n v="11.81"/>
    <x v="30"/>
    <s v="2991-50-6"/>
    <x v="30"/>
    <n v="6.3E-2"/>
  </r>
  <r>
    <s v="PU049-JBA-08162021"/>
    <s v="Spill"/>
    <x v="1"/>
    <s v="Pumpkinseed"/>
    <s v="Lepomis"/>
    <s v="gibbosus"/>
    <s v="U"/>
    <x v="0"/>
    <n v="8"/>
    <n v="11.81"/>
    <x v="31"/>
    <s v="757124-72-4"/>
    <x v="31"/>
    <n v="7.2499999999999995E-2"/>
  </r>
  <r>
    <s v="PU049-JBA-08162021"/>
    <s v="Spill"/>
    <x v="1"/>
    <s v="Pumpkinseed"/>
    <s v="Lepomis"/>
    <s v="gibbosus"/>
    <s v="U"/>
    <x v="0"/>
    <n v="8"/>
    <n v="11.81"/>
    <x v="32"/>
    <s v="27619-97-2"/>
    <x v="32"/>
    <n v="0.70899999999999996"/>
  </r>
  <r>
    <s v="PU049-JBA-08162021"/>
    <s v="Spill"/>
    <x v="1"/>
    <s v="Pumpkinseed"/>
    <s v="Lepomis"/>
    <s v="gibbosus"/>
    <s v="U"/>
    <x v="0"/>
    <n v="8"/>
    <n v="11.81"/>
    <x v="33"/>
    <s v="39108-34-4"/>
    <x v="33"/>
    <n v="4.3499999999999996"/>
  </r>
  <r>
    <s v="PU049-JBA-08162021"/>
    <s v="Spill"/>
    <x v="1"/>
    <s v="Pumpkinseed"/>
    <s v="Lepomis"/>
    <s v="gibbosus"/>
    <s v="U"/>
    <x v="0"/>
    <n v="8"/>
    <n v="11.81"/>
    <x v="34"/>
    <s v="120226-60-0"/>
    <x v="34"/>
    <n v="0.27200000000000002"/>
  </r>
  <r>
    <s v="PU049-JBA-08162021"/>
    <s v="Spill"/>
    <x v="1"/>
    <s v="Pumpkinseed"/>
    <s v="Lepomis"/>
    <s v="gibbosus"/>
    <s v="U"/>
    <x v="0"/>
    <n v="8"/>
    <n v="11.81"/>
    <x v="35"/>
    <s v="356-02-5"/>
    <x v="35"/>
    <n v="8.3500000000000005E-2"/>
  </r>
  <r>
    <s v="PU049-JBA-08162021"/>
    <s v="Spill"/>
    <x v="1"/>
    <s v="Pumpkinseed"/>
    <s v="Lepomis"/>
    <s v="gibbosus"/>
    <s v="U"/>
    <x v="0"/>
    <n v="8"/>
    <n v="11.81"/>
    <x v="36"/>
    <s v="914637-49-3"/>
    <x v="36"/>
    <n v="11"/>
  </r>
  <r>
    <s v="PU049-JBA-08162021"/>
    <s v="Spill"/>
    <x v="1"/>
    <s v="Pumpkinseed"/>
    <s v="Lepomis"/>
    <s v="gibbosus"/>
    <s v="U"/>
    <x v="0"/>
    <n v="8"/>
    <n v="11.81"/>
    <x v="37"/>
    <s v="812-70-4"/>
    <x v="37"/>
    <n v="6.75"/>
  </r>
  <r>
    <s v="PU049-JBA-08162021"/>
    <s v="Spill"/>
    <x v="1"/>
    <s v="Pumpkinseed"/>
    <s v="Lepomis"/>
    <s v="gibbosus"/>
    <s v="U"/>
    <x v="0"/>
    <n v="8"/>
    <n v="11.81"/>
    <x v="38"/>
    <s v="53826-12-3"/>
    <x v="38"/>
    <n v="7.2499999999999995E-2"/>
  </r>
  <r>
    <s v="PU049-JBA-08162021"/>
    <s v="Spill"/>
    <x v="1"/>
    <s v="Pumpkinseed"/>
    <s v="Lepomis"/>
    <s v="gibbosus"/>
    <s v="U"/>
    <x v="0"/>
    <n v="8"/>
    <n v="11.81"/>
    <x v="39"/>
    <s v="27854-31-5"/>
    <x v="39"/>
    <n v="7.2499999999999995E-2"/>
  </r>
  <r>
    <s v="PU049-JBA-08162021"/>
    <s v="Spill"/>
    <x v="1"/>
    <s v="Pumpkinseed"/>
    <s v="Lepomis"/>
    <s v="gibbosus"/>
    <s v="U"/>
    <x v="0"/>
    <n v="8"/>
    <n v="11.81"/>
    <x v="40"/>
    <s v="53826-13-4"/>
    <x v="40"/>
    <n v="0.1085"/>
  </r>
  <r>
    <s v="PU049-JBA-08162021"/>
    <s v="Spill"/>
    <x v="1"/>
    <s v="Pumpkinseed"/>
    <s v="Lepomis"/>
    <s v="gibbosus"/>
    <s v="U"/>
    <x v="0"/>
    <n v="8"/>
    <n v="11.81"/>
    <x v="41"/>
    <s v="161094-75-3"/>
    <x v="41"/>
    <n v="5.7000000000000002E-2"/>
  </r>
  <r>
    <s v="PU049-JBA-08162021"/>
    <s v="Spill"/>
    <x v="1"/>
    <s v="Pumpkinseed"/>
    <s v="Lepomis"/>
    <s v="gibbosus"/>
    <s v="U"/>
    <x v="0"/>
    <n v="8"/>
    <n v="11.81"/>
    <x v="42"/>
    <s v="70887-84-2"/>
    <x v="42"/>
    <n v="4.385E-2"/>
  </r>
  <r>
    <s v="PU049-JBA-08162021"/>
    <s v="Spill"/>
    <x v="1"/>
    <s v="Pumpkinseed"/>
    <s v="Lepomis"/>
    <s v="gibbosus"/>
    <s v="U"/>
    <x v="0"/>
    <n v="8"/>
    <n v="11.81"/>
    <x v="43"/>
    <s v="919005-14-4"/>
    <x v="43"/>
    <n v="0.21149999999999999"/>
  </r>
  <r>
    <s v="PU049-JBA-08162021"/>
    <s v="Spill"/>
    <x v="1"/>
    <s v="Pumpkinseed"/>
    <s v="Lepomis"/>
    <s v="gibbosus"/>
    <s v="U"/>
    <x v="0"/>
    <n v="8"/>
    <n v="11.81"/>
    <x v="44"/>
    <s v="756426-58-1"/>
    <x v="44"/>
    <n v="7.2499999999999995E-2"/>
  </r>
  <r>
    <s v="PU049-JBA-08162021"/>
    <s v="Spill"/>
    <x v="1"/>
    <s v="Pumpkinseed"/>
    <s v="Lepomis"/>
    <s v="gibbosus"/>
    <s v="U"/>
    <x v="0"/>
    <n v="8"/>
    <n v="11.81"/>
    <x v="45"/>
    <s v="763051-92-9"/>
    <x v="45"/>
    <n v="7.2499999999999995E-2"/>
  </r>
  <r>
    <s v="PU049-JBA-08162021"/>
    <s v="Spill"/>
    <x v="1"/>
    <s v="Pumpkinseed"/>
    <s v="Lepomis"/>
    <s v="gibbosus"/>
    <s v="U"/>
    <x v="0"/>
    <n v="8"/>
    <n v="11.81"/>
    <x v="46"/>
    <s v="13252-13-6"/>
    <x v="46"/>
    <n v="0.104"/>
  </r>
  <r>
    <s v="PU049-JBA-08162021"/>
    <s v="Spill"/>
    <x v="1"/>
    <s v="Pumpkinseed"/>
    <s v="Lepomis"/>
    <s v="gibbosus"/>
    <s v="U"/>
    <x v="0"/>
    <n v="8"/>
    <n v="11.81"/>
    <x v="47"/>
    <s v="57677-95-9"/>
    <x v="47"/>
    <n v="7.7499999999999999E-2"/>
  </r>
  <r>
    <s v="PU049-JBA-08162021"/>
    <s v="Spill"/>
    <x v="1"/>
    <s v="Pumpkinseed"/>
    <s v="Lepomis"/>
    <s v="gibbosus"/>
    <s v="U"/>
    <x v="0"/>
    <n v="8"/>
    <n v="11.81"/>
    <x v="48"/>
    <s v="678-41-1"/>
    <x v="48"/>
    <n v="9.6000000000000002E-2"/>
  </r>
  <r>
    <s v="PU049-JBA-08162021"/>
    <s v="Spill"/>
    <x v="1"/>
    <s v="Pumpkinseed"/>
    <s v="Lepomis"/>
    <s v="gibbosus"/>
    <s v="U"/>
    <x v="0"/>
    <n v="8"/>
    <n v="11.81"/>
    <x v="49"/>
    <s v="2965-52-8"/>
    <x v="49"/>
    <n v="0.1275"/>
  </r>
  <r>
    <s v="PU050-JBA-08162021"/>
    <s v="Spill"/>
    <x v="1"/>
    <s v="Pumpkinseed"/>
    <s v="Lepomis"/>
    <s v="gibbosus"/>
    <s v="U"/>
    <x v="0"/>
    <n v="8"/>
    <n v="11.81"/>
    <x v="0"/>
    <s v="375-22-4"/>
    <x v="0"/>
    <n v="0.23150000000000001"/>
  </r>
  <r>
    <s v="PU050-JBA-08162021"/>
    <s v="Spill"/>
    <x v="1"/>
    <s v="Pumpkinseed"/>
    <s v="Lepomis"/>
    <s v="gibbosus"/>
    <s v="U"/>
    <x v="0"/>
    <n v="8"/>
    <n v="11.81"/>
    <x v="1"/>
    <s v="2706-90-3"/>
    <x v="1"/>
    <n v="4.9500000000000002E-2"/>
  </r>
  <r>
    <s v="PU050-JBA-08162021"/>
    <s v="Spill"/>
    <x v="1"/>
    <s v="Pumpkinseed"/>
    <s v="Lepomis"/>
    <s v="gibbosus"/>
    <s v="U"/>
    <x v="0"/>
    <n v="8"/>
    <n v="11.81"/>
    <x v="2"/>
    <s v="307-24-4"/>
    <x v="2"/>
    <n v="3.7850000000000002E-2"/>
  </r>
  <r>
    <s v="PU050-JBA-08162021"/>
    <s v="Spill"/>
    <x v="1"/>
    <s v="Pumpkinseed"/>
    <s v="Lepomis"/>
    <s v="gibbosus"/>
    <s v="U"/>
    <x v="0"/>
    <n v="8"/>
    <n v="11.81"/>
    <x v="3"/>
    <s v="375-85-9"/>
    <x v="3"/>
    <n v="2.8049999999999999E-2"/>
  </r>
  <r>
    <s v="PU050-JBA-08162021"/>
    <s v="Spill"/>
    <x v="1"/>
    <s v="Pumpkinseed"/>
    <s v="Lepomis"/>
    <s v="gibbosus"/>
    <s v="U"/>
    <x v="0"/>
    <n v="8"/>
    <n v="11.81"/>
    <x v="4"/>
    <s v="335-67-1"/>
    <x v="4"/>
    <n v="0.59299999999999997"/>
  </r>
  <r>
    <s v="PU050-JBA-08162021"/>
    <s v="Spill"/>
    <x v="1"/>
    <s v="Pumpkinseed"/>
    <s v="Lepomis"/>
    <s v="gibbosus"/>
    <s v="U"/>
    <x v="0"/>
    <n v="8"/>
    <n v="11.81"/>
    <x v="5"/>
    <s v="375-95-1"/>
    <x v="5"/>
    <n v="4.8500000000000001E-2"/>
  </r>
  <r>
    <s v="PU050-JBA-08162021"/>
    <s v="Spill"/>
    <x v="1"/>
    <s v="Pumpkinseed"/>
    <s v="Lepomis"/>
    <s v="gibbosus"/>
    <s v="U"/>
    <x v="0"/>
    <n v="8"/>
    <n v="11.81"/>
    <x v="6"/>
    <s v="335-76-2"/>
    <x v="6"/>
    <n v="3.36"/>
  </r>
  <r>
    <s v="PU050-JBA-08162021"/>
    <s v="Spill"/>
    <x v="1"/>
    <s v="Pumpkinseed"/>
    <s v="Lepomis"/>
    <s v="gibbosus"/>
    <s v="U"/>
    <x v="0"/>
    <n v="8"/>
    <n v="11.81"/>
    <x v="7"/>
    <s v="2058-94-8"/>
    <x v="7"/>
    <n v="12.6"/>
  </r>
  <r>
    <s v="PU050-JBA-08162021"/>
    <s v="Spill"/>
    <x v="1"/>
    <s v="Pumpkinseed"/>
    <s v="Lepomis"/>
    <s v="gibbosus"/>
    <s v="U"/>
    <x v="0"/>
    <n v="8"/>
    <n v="11.81"/>
    <x v="8"/>
    <s v="307-55-1"/>
    <x v="8"/>
    <n v="18.399999999999999"/>
  </r>
  <r>
    <s v="PU050-JBA-08162021"/>
    <s v="Spill"/>
    <x v="1"/>
    <s v="Pumpkinseed"/>
    <s v="Lepomis"/>
    <s v="gibbosus"/>
    <s v="U"/>
    <x v="0"/>
    <n v="8"/>
    <n v="11.81"/>
    <x v="9"/>
    <s v="72629-94-8"/>
    <x v="9"/>
    <n v="3.84"/>
  </r>
  <r>
    <s v="PU050-JBA-08162021"/>
    <s v="Spill"/>
    <x v="1"/>
    <s v="Pumpkinseed"/>
    <s v="Lepomis"/>
    <s v="gibbosus"/>
    <s v="U"/>
    <x v="0"/>
    <n v="8"/>
    <n v="11.81"/>
    <x v="10"/>
    <s v="376-06-7"/>
    <x v="10"/>
    <n v="9.34"/>
  </r>
  <r>
    <s v="PU050-JBA-08162021"/>
    <s v="Spill"/>
    <x v="1"/>
    <s v="Pumpkinseed"/>
    <s v="Lepomis"/>
    <s v="gibbosus"/>
    <s v="U"/>
    <x v="0"/>
    <n v="8"/>
    <n v="11.81"/>
    <x v="11"/>
    <s v="67905-19-5"/>
    <x v="11"/>
    <n v="8.3500000000000005E-2"/>
  </r>
  <r>
    <s v="PU050-JBA-08162021"/>
    <s v="Spill"/>
    <x v="1"/>
    <s v="Pumpkinseed"/>
    <s v="Lepomis"/>
    <s v="gibbosus"/>
    <s v="U"/>
    <x v="0"/>
    <n v="8"/>
    <n v="11.81"/>
    <x v="12"/>
    <s v="423-41-6"/>
    <x v="12"/>
    <n v="7.0000000000000007E-2"/>
  </r>
  <r>
    <s v="PU050-JBA-08162021"/>
    <s v="Spill"/>
    <x v="1"/>
    <s v="Pumpkinseed"/>
    <s v="Lepomis"/>
    <s v="gibbosus"/>
    <s v="U"/>
    <x v="0"/>
    <n v="8"/>
    <n v="11.81"/>
    <x v="13"/>
    <s v="375-73-5"/>
    <x v="13"/>
    <n v="0.1575"/>
  </r>
  <r>
    <s v="PU050-JBA-08162021"/>
    <s v="Spill"/>
    <x v="1"/>
    <s v="Pumpkinseed"/>
    <s v="Lepomis"/>
    <s v="gibbosus"/>
    <s v="U"/>
    <x v="0"/>
    <n v="8"/>
    <n v="11.81"/>
    <x v="14"/>
    <s v="2706-91-4"/>
    <x v="14"/>
    <n v="0.23150000000000001"/>
  </r>
  <r>
    <s v="PU050-JBA-08162021"/>
    <s v="Spill"/>
    <x v="1"/>
    <s v="Pumpkinseed"/>
    <s v="Lepomis"/>
    <s v="gibbosus"/>
    <s v="U"/>
    <x v="0"/>
    <n v="8"/>
    <n v="11.81"/>
    <x v="15"/>
    <s v="355-46-4"/>
    <x v="15"/>
    <n v="12.9"/>
  </r>
  <r>
    <s v="PU050-JBA-08162021"/>
    <s v="Spill"/>
    <x v="1"/>
    <s v="Pumpkinseed"/>
    <s v="Lepomis"/>
    <s v="gibbosus"/>
    <s v="U"/>
    <x v="0"/>
    <n v="8"/>
    <n v="11.81"/>
    <x v="16"/>
    <s v="375-92-8"/>
    <x v="16"/>
    <n v="3.86"/>
  </r>
  <r>
    <s v="PU050-JBA-08162021"/>
    <s v="Spill"/>
    <x v="1"/>
    <s v="Pumpkinseed"/>
    <s v="Lepomis"/>
    <s v="gibbosus"/>
    <s v="U"/>
    <x v="0"/>
    <n v="8"/>
    <n v="11.81"/>
    <x v="17"/>
    <s v="1763-23-1"/>
    <x v="17"/>
    <n v="573"/>
  </r>
  <r>
    <s v="PU050-JBA-08162021"/>
    <s v="Spill"/>
    <x v="1"/>
    <s v="Pumpkinseed"/>
    <s v="Lepomis"/>
    <s v="gibbosus"/>
    <s v="U"/>
    <x v="0"/>
    <n v="8"/>
    <n v="11.81"/>
    <x v="18"/>
    <s v="68259-12-1"/>
    <x v="18"/>
    <n v="1.3"/>
  </r>
  <r>
    <s v="PU050-JBA-08162021"/>
    <s v="Spill"/>
    <x v="1"/>
    <s v="Pumpkinseed"/>
    <s v="Lepomis"/>
    <s v="gibbosus"/>
    <s v="U"/>
    <x v="0"/>
    <n v="8"/>
    <n v="11.81"/>
    <x v="19"/>
    <s v="335-77-3"/>
    <x v="19"/>
    <n v="1.57"/>
  </r>
  <r>
    <s v="PU050-JBA-08162021"/>
    <s v="Spill"/>
    <x v="1"/>
    <s v="Pumpkinseed"/>
    <s v="Lepomis"/>
    <s v="gibbosus"/>
    <s v="U"/>
    <x v="0"/>
    <n v="8"/>
    <n v="11.81"/>
    <x v="20"/>
    <s v="79780-39-5"/>
    <x v="20"/>
    <n v="0.2475"/>
  </r>
  <r>
    <s v="PU050-JBA-08162021"/>
    <s v="Spill"/>
    <x v="1"/>
    <s v="Pumpkinseed"/>
    <s v="Lepomis"/>
    <s v="gibbosus"/>
    <s v="U"/>
    <x v="0"/>
    <n v="8"/>
    <n v="11.81"/>
    <x v="21"/>
    <s v="777011-38-8"/>
    <x v="21"/>
    <n v="0.14050000000000001"/>
  </r>
  <r>
    <s v="PU050-JBA-08162021"/>
    <s v="Spill"/>
    <x v="1"/>
    <s v="Pumpkinseed"/>
    <s v="Lepomis"/>
    <s v="gibbosus"/>
    <s v="U"/>
    <x v="0"/>
    <n v="8"/>
    <n v="11.81"/>
    <x v="22"/>
    <s v="646-83-3"/>
    <x v="22"/>
    <n v="0.23150000000000001"/>
  </r>
  <r>
    <s v="PU050-JBA-08162021"/>
    <s v="Spill"/>
    <x v="1"/>
    <s v="Pumpkinseed"/>
    <s v="Lepomis"/>
    <s v="gibbosus"/>
    <s v="U"/>
    <x v="0"/>
    <n v="8"/>
    <n v="11.81"/>
    <x v="23"/>
    <s v="30334-69-1"/>
    <x v="23"/>
    <n v="30.9"/>
  </r>
  <r>
    <s v="PU050-JBA-08162021"/>
    <s v="Spill"/>
    <x v="1"/>
    <s v="Pumpkinseed"/>
    <s v="Lepomis"/>
    <s v="gibbosus"/>
    <s v="U"/>
    <x v="0"/>
    <n v="8"/>
    <n v="11.81"/>
    <x v="24"/>
    <s v="41997-13-1"/>
    <x v="24"/>
    <n v="135"/>
  </r>
  <r>
    <s v="PU050-JBA-08162021"/>
    <s v="Spill"/>
    <x v="1"/>
    <s v="Pumpkinseed"/>
    <s v="Lepomis"/>
    <s v="gibbosus"/>
    <s v="U"/>
    <x v="0"/>
    <n v="8"/>
    <n v="11.81"/>
    <x v="25"/>
    <s v="754-91-6"/>
    <x v="25"/>
    <n v="11.4"/>
  </r>
  <r>
    <s v="PU050-JBA-08162021"/>
    <s v="Spill"/>
    <x v="1"/>
    <s v="Pumpkinseed"/>
    <s v="Lepomis"/>
    <s v="gibbosus"/>
    <s v="U"/>
    <x v="0"/>
    <n v="8"/>
    <n v="11.81"/>
    <x v="26"/>
    <s v="31506-32-8"/>
    <x v="26"/>
    <n v="7.0000000000000007E-2"/>
  </r>
  <r>
    <s v="PU050-JBA-08162021"/>
    <s v="Spill"/>
    <x v="1"/>
    <s v="Pumpkinseed"/>
    <s v="Lepomis"/>
    <s v="gibbosus"/>
    <s v="U"/>
    <x v="0"/>
    <n v="8"/>
    <n v="11.81"/>
    <x v="27"/>
    <s v="4151-50-2"/>
    <x v="27"/>
    <n v="8.2000000000000003E-2"/>
  </r>
  <r>
    <s v="PU050-JBA-08162021"/>
    <s v="Spill"/>
    <x v="1"/>
    <s v="Pumpkinseed"/>
    <s v="Lepomis"/>
    <s v="gibbosus"/>
    <s v="U"/>
    <x v="0"/>
    <n v="8"/>
    <n v="11.81"/>
    <x v="28"/>
    <s v="2806-24-8"/>
    <x v="28"/>
    <n v="5.5E-2"/>
  </r>
  <r>
    <s v="PU050-JBA-08162021"/>
    <s v="Spill"/>
    <x v="1"/>
    <s v="Pumpkinseed"/>
    <s v="Lepomis"/>
    <s v="gibbosus"/>
    <s v="U"/>
    <x v="0"/>
    <n v="8"/>
    <n v="11.81"/>
    <x v="29"/>
    <s v="2355-31-9"/>
    <x v="29"/>
    <n v="0.23250000000000001"/>
  </r>
  <r>
    <s v="PU050-JBA-08162021"/>
    <s v="Spill"/>
    <x v="1"/>
    <s v="Pumpkinseed"/>
    <s v="Lepomis"/>
    <s v="gibbosus"/>
    <s v="U"/>
    <x v="0"/>
    <n v="8"/>
    <n v="11.81"/>
    <x v="30"/>
    <s v="2991-50-6"/>
    <x v="30"/>
    <n v="6.0999999999999999E-2"/>
  </r>
  <r>
    <s v="PU050-JBA-08162021"/>
    <s v="Spill"/>
    <x v="1"/>
    <s v="Pumpkinseed"/>
    <s v="Lepomis"/>
    <s v="gibbosus"/>
    <s v="U"/>
    <x v="0"/>
    <n v="8"/>
    <n v="11.81"/>
    <x v="31"/>
    <s v="757124-72-4"/>
    <x v="31"/>
    <n v="7.0000000000000007E-2"/>
  </r>
  <r>
    <s v="PU050-JBA-08162021"/>
    <s v="Spill"/>
    <x v="1"/>
    <s v="Pumpkinseed"/>
    <s v="Lepomis"/>
    <s v="gibbosus"/>
    <s v="U"/>
    <x v="0"/>
    <n v="8"/>
    <n v="11.81"/>
    <x v="32"/>
    <s v="27619-97-2"/>
    <x v="32"/>
    <n v="0.85899999999999999"/>
  </r>
  <r>
    <s v="PU050-JBA-08162021"/>
    <s v="Spill"/>
    <x v="1"/>
    <s v="Pumpkinseed"/>
    <s v="Lepomis"/>
    <s v="gibbosus"/>
    <s v="U"/>
    <x v="0"/>
    <n v="8"/>
    <n v="11.81"/>
    <x v="33"/>
    <s v="39108-34-4"/>
    <x v="33"/>
    <n v="4.04"/>
  </r>
  <r>
    <s v="PU050-JBA-08162021"/>
    <s v="Spill"/>
    <x v="1"/>
    <s v="Pumpkinseed"/>
    <s v="Lepomis"/>
    <s v="gibbosus"/>
    <s v="U"/>
    <x v="0"/>
    <n v="8"/>
    <n v="11.81"/>
    <x v="34"/>
    <s v="120226-60-0"/>
    <x v="34"/>
    <n v="0.26250000000000001"/>
  </r>
  <r>
    <s v="PU050-JBA-08162021"/>
    <s v="Spill"/>
    <x v="1"/>
    <s v="Pumpkinseed"/>
    <s v="Lepomis"/>
    <s v="gibbosus"/>
    <s v="U"/>
    <x v="0"/>
    <n v="8"/>
    <n v="11.81"/>
    <x v="35"/>
    <s v="356-02-5"/>
    <x v="35"/>
    <n v="8.1000000000000003E-2"/>
  </r>
  <r>
    <s v="PU050-JBA-08162021"/>
    <s v="Spill"/>
    <x v="1"/>
    <s v="Pumpkinseed"/>
    <s v="Lepomis"/>
    <s v="gibbosus"/>
    <s v="U"/>
    <x v="0"/>
    <n v="8"/>
    <n v="11.81"/>
    <x v="36"/>
    <s v="914637-49-3"/>
    <x v="36"/>
    <n v="5.2999999999999999E-2"/>
  </r>
  <r>
    <s v="PU050-JBA-08162021"/>
    <s v="Spill"/>
    <x v="1"/>
    <s v="Pumpkinseed"/>
    <s v="Lepomis"/>
    <s v="gibbosus"/>
    <s v="U"/>
    <x v="0"/>
    <n v="8"/>
    <n v="11.81"/>
    <x v="37"/>
    <s v="812-70-4"/>
    <x v="37"/>
    <n v="2.87"/>
  </r>
  <r>
    <s v="PU050-JBA-08162021"/>
    <s v="Spill"/>
    <x v="1"/>
    <s v="Pumpkinseed"/>
    <s v="Lepomis"/>
    <s v="gibbosus"/>
    <s v="U"/>
    <x v="0"/>
    <n v="8"/>
    <n v="11.81"/>
    <x v="38"/>
    <s v="53826-12-3"/>
    <x v="38"/>
    <n v="0.57199999999999995"/>
  </r>
  <r>
    <s v="PU050-JBA-08162021"/>
    <s v="Spill"/>
    <x v="1"/>
    <s v="Pumpkinseed"/>
    <s v="Lepomis"/>
    <s v="gibbosus"/>
    <s v="U"/>
    <x v="0"/>
    <n v="8"/>
    <n v="11.81"/>
    <x v="39"/>
    <s v="27854-31-5"/>
    <x v="39"/>
    <n v="7.0000000000000007E-2"/>
  </r>
  <r>
    <s v="PU050-JBA-08162021"/>
    <s v="Spill"/>
    <x v="1"/>
    <s v="Pumpkinseed"/>
    <s v="Lepomis"/>
    <s v="gibbosus"/>
    <s v="U"/>
    <x v="0"/>
    <n v="8"/>
    <n v="11.81"/>
    <x v="40"/>
    <s v="53826-13-4"/>
    <x v="40"/>
    <n v="0.1045"/>
  </r>
  <r>
    <s v="PU050-JBA-08162021"/>
    <s v="Spill"/>
    <x v="1"/>
    <s v="Pumpkinseed"/>
    <s v="Lepomis"/>
    <s v="gibbosus"/>
    <s v="U"/>
    <x v="0"/>
    <n v="8"/>
    <n v="11.81"/>
    <x v="41"/>
    <s v="161094-75-3"/>
    <x v="41"/>
    <n v="5.5E-2"/>
  </r>
  <r>
    <s v="PU050-JBA-08162021"/>
    <s v="Spill"/>
    <x v="1"/>
    <s v="Pumpkinseed"/>
    <s v="Lepomis"/>
    <s v="gibbosus"/>
    <s v="U"/>
    <x v="0"/>
    <n v="8"/>
    <n v="11.81"/>
    <x v="42"/>
    <s v="70887-84-2"/>
    <x v="42"/>
    <n v="4.2349999999999999E-2"/>
  </r>
  <r>
    <s v="PU050-JBA-08162021"/>
    <s v="Spill"/>
    <x v="1"/>
    <s v="Pumpkinseed"/>
    <s v="Lepomis"/>
    <s v="gibbosus"/>
    <s v="U"/>
    <x v="0"/>
    <n v="8"/>
    <n v="11.81"/>
    <x v="43"/>
    <s v="919005-14-4"/>
    <x v="43"/>
    <n v="6.2E-2"/>
  </r>
  <r>
    <s v="PU050-JBA-08162021"/>
    <s v="Spill"/>
    <x v="1"/>
    <s v="Pumpkinseed"/>
    <s v="Lepomis"/>
    <s v="gibbosus"/>
    <s v="U"/>
    <x v="0"/>
    <n v="8"/>
    <n v="11.81"/>
    <x v="44"/>
    <s v="756426-58-1"/>
    <x v="44"/>
    <n v="7.0000000000000007E-2"/>
  </r>
  <r>
    <s v="PU050-JBA-08162021"/>
    <s v="Spill"/>
    <x v="1"/>
    <s v="Pumpkinseed"/>
    <s v="Lepomis"/>
    <s v="gibbosus"/>
    <s v="U"/>
    <x v="0"/>
    <n v="8"/>
    <n v="11.81"/>
    <x v="45"/>
    <s v="763051-92-9"/>
    <x v="45"/>
    <n v="7.0000000000000007E-2"/>
  </r>
  <r>
    <s v="PU050-JBA-08162021"/>
    <s v="Spill"/>
    <x v="1"/>
    <s v="Pumpkinseed"/>
    <s v="Lepomis"/>
    <s v="gibbosus"/>
    <s v="U"/>
    <x v="0"/>
    <n v="8"/>
    <n v="11.81"/>
    <x v="46"/>
    <s v="13252-13-6"/>
    <x v="46"/>
    <n v="0.10050000000000001"/>
  </r>
  <r>
    <s v="PU050-JBA-08162021"/>
    <s v="Spill"/>
    <x v="1"/>
    <s v="Pumpkinseed"/>
    <s v="Lepomis"/>
    <s v="gibbosus"/>
    <s v="U"/>
    <x v="0"/>
    <n v="8"/>
    <n v="11.81"/>
    <x v="47"/>
    <s v="57677-95-9"/>
    <x v="47"/>
    <n v="7.4499999999999997E-2"/>
  </r>
  <r>
    <s v="PU050-JBA-08162021"/>
    <s v="Spill"/>
    <x v="1"/>
    <s v="Pumpkinseed"/>
    <s v="Lepomis"/>
    <s v="gibbosus"/>
    <s v="U"/>
    <x v="0"/>
    <n v="8"/>
    <n v="11.81"/>
    <x v="48"/>
    <s v="678-41-1"/>
    <x v="48"/>
    <n v="9.2999999999999999E-2"/>
  </r>
  <r>
    <s v="PU050-JBA-08162021"/>
    <s v="Spill"/>
    <x v="1"/>
    <s v="Pumpkinseed"/>
    <s v="Lepomis"/>
    <s v="gibbosus"/>
    <s v="U"/>
    <x v="0"/>
    <n v="8"/>
    <n v="11.81"/>
    <x v="49"/>
    <s v="2965-52-8"/>
    <x v="49"/>
    <n v="0.1235"/>
  </r>
  <r>
    <s v="PU051-JBA-08162021"/>
    <s v="Spill"/>
    <x v="1"/>
    <s v="Pumpkinseed"/>
    <s v="Lepomis"/>
    <s v="gibbosus"/>
    <s v="U"/>
    <x v="0"/>
    <n v="8"/>
    <n v="11.81"/>
    <x v="0"/>
    <s v="375-22-4"/>
    <x v="0"/>
    <n v="0.217"/>
  </r>
  <r>
    <s v="PU051-JBA-08162021"/>
    <s v="Spill"/>
    <x v="1"/>
    <s v="Pumpkinseed"/>
    <s v="Lepomis"/>
    <s v="gibbosus"/>
    <s v="U"/>
    <x v="0"/>
    <n v="8"/>
    <n v="11.81"/>
    <x v="1"/>
    <s v="2706-90-3"/>
    <x v="1"/>
    <n v="4.6449999999999998E-2"/>
  </r>
  <r>
    <s v="PU051-JBA-08162021"/>
    <s v="Spill"/>
    <x v="1"/>
    <s v="Pumpkinseed"/>
    <s v="Lepomis"/>
    <s v="gibbosus"/>
    <s v="U"/>
    <x v="0"/>
    <n v="8"/>
    <n v="11.81"/>
    <x v="2"/>
    <s v="307-24-4"/>
    <x v="2"/>
    <n v="0.11700000000000001"/>
  </r>
  <r>
    <s v="PU051-JBA-08162021"/>
    <s v="Spill"/>
    <x v="1"/>
    <s v="Pumpkinseed"/>
    <s v="Lepomis"/>
    <s v="gibbosus"/>
    <s v="U"/>
    <x v="0"/>
    <n v="8"/>
    <n v="11.81"/>
    <x v="3"/>
    <s v="375-85-9"/>
    <x v="3"/>
    <n v="8.6499999999999994E-2"/>
  </r>
  <r>
    <s v="PU051-JBA-08162021"/>
    <s v="Spill"/>
    <x v="1"/>
    <s v="Pumpkinseed"/>
    <s v="Lepomis"/>
    <s v="gibbosus"/>
    <s v="U"/>
    <x v="0"/>
    <n v="8"/>
    <n v="11.81"/>
    <x v="4"/>
    <s v="335-67-1"/>
    <x v="4"/>
    <n v="1.04"/>
  </r>
  <r>
    <s v="PU051-JBA-08162021"/>
    <s v="Spill"/>
    <x v="1"/>
    <s v="Pumpkinseed"/>
    <s v="Lepomis"/>
    <s v="gibbosus"/>
    <s v="U"/>
    <x v="0"/>
    <n v="8"/>
    <n v="11.81"/>
    <x v="5"/>
    <s v="375-95-1"/>
    <x v="5"/>
    <n v="0.30399999999999999"/>
  </r>
  <r>
    <s v="PU051-JBA-08162021"/>
    <s v="Spill"/>
    <x v="1"/>
    <s v="Pumpkinseed"/>
    <s v="Lepomis"/>
    <s v="gibbosus"/>
    <s v="U"/>
    <x v="0"/>
    <n v="8"/>
    <n v="11.81"/>
    <x v="6"/>
    <s v="335-76-2"/>
    <x v="6"/>
    <n v="3.19"/>
  </r>
  <r>
    <s v="PU051-JBA-08162021"/>
    <s v="Spill"/>
    <x v="1"/>
    <s v="Pumpkinseed"/>
    <s v="Lepomis"/>
    <s v="gibbosus"/>
    <s v="U"/>
    <x v="0"/>
    <n v="8"/>
    <n v="11.81"/>
    <x v="7"/>
    <s v="2058-94-8"/>
    <x v="7"/>
    <n v="5.88"/>
  </r>
  <r>
    <s v="PU051-JBA-08162021"/>
    <s v="Spill"/>
    <x v="1"/>
    <s v="Pumpkinseed"/>
    <s v="Lepomis"/>
    <s v="gibbosus"/>
    <s v="U"/>
    <x v="0"/>
    <n v="8"/>
    <n v="11.81"/>
    <x v="8"/>
    <s v="307-55-1"/>
    <x v="8"/>
    <n v="14.5"/>
  </r>
  <r>
    <s v="PU051-JBA-08162021"/>
    <s v="Spill"/>
    <x v="1"/>
    <s v="Pumpkinseed"/>
    <s v="Lepomis"/>
    <s v="gibbosus"/>
    <s v="U"/>
    <x v="0"/>
    <n v="8"/>
    <n v="11.81"/>
    <x v="9"/>
    <s v="72629-94-8"/>
    <x v="9"/>
    <n v="3.51"/>
  </r>
  <r>
    <s v="PU051-JBA-08162021"/>
    <s v="Spill"/>
    <x v="1"/>
    <s v="Pumpkinseed"/>
    <s v="Lepomis"/>
    <s v="gibbosus"/>
    <s v="U"/>
    <x v="0"/>
    <n v="8"/>
    <n v="11.81"/>
    <x v="10"/>
    <s v="376-06-7"/>
    <x v="10"/>
    <n v="9.32"/>
  </r>
  <r>
    <s v="PU051-JBA-08162021"/>
    <s v="Spill"/>
    <x v="1"/>
    <s v="Pumpkinseed"/>
    <s v="Lepomis"/>
    <s v="gibbosus"/>
    <s v="U"/>
    <x v="0"/>
    <n v="8"/>
    <n v="11.81"/>
    <x v="11"/>
    <s v="67905-19-5"/>
    <x v="11"/>
    <n v="7.85E-2"/>
  </r>
  <r>
    <s v="PU051-JBA-08162021"/>
    <s v="Spill"/>
    <x v="1"/>
    <s v="Pumpkinseed"/>
    <s v="Lepomis"/>
    <s v="gibbosus"/>
    <s v="U"/>
    <x v="0"/>
    <n v="8"/>
    <n v="11.81"/>
    <x v="12"/>
    <s v="423-41-6"/>
    <x v="12"/>
    <n v="6.5500000000000003E-2"/>
  </r>
  <r>
    <s v="PU051-JBA-08162021"/>
    <s v="Spill"/>
    <x v="1"/>
    <s v="Pumpkinseed"/>
    <s v="Lepomis"/>
    <s v="gibbosus"/>
    <s v="U"/>
    <x v="0"/>
    <n v="8"/>
    <n v="11.81"/>
    <x v="13"/>
    <s v="375-73-5"/>
    <x v="13"/>
    <n v="0.437"/>
  </r>
  <r>
    <s v="PU051-JBA-08162021"/>
    <s v="Spill"/>
    <x v="1"/>
    <s v="Pumpkinseed"/>
    <s v="Lepomis"/>
    <s v="gibbosus"/>
    <s v="U"/>
    <x v="0"/>
    <n v="8"/>
    <n v="11.81"/>
    <x v="14"/>
    <s v="2706-91-4"/>
    <x v="14"/>
    <n v="0.217"/>
  </r>
  <r>
    <s v="PU051-JBA-08162021"/>
    <s v="Spill"/>
    <x v="1"/>
    <s v="Pumpkinseed"/>
    <s v="Lepomis"/>
    <s v="gibbosus"/>
    <s v="U"/>
    <x v="0"/>
    <n v="8"/>
    <n v="11.81"/>
    <x v="15"/>
    <s v="355-46-4"/>
    <x v="15"/>
    <n v="15.2"/>
  </r>
  <r>
    <s v="PU051-JBA-08162021"/>
    <s v="Spill"/>
    <x v="1"/>
    <s v="Pumpkinseed"/>
    <s v="Lepomis"/>
    <s v="gibbosus"/>
    <s v="U"/>
    <x v="0"/>
    <n v="8"/>
    <n v="11.81"/>
    <x v="16"/>
    <s v="375-92-8"/>
    <x v="16"/>
    <n v="2.78"/>
  </r>
  <r>
    <s v="PU051-JBA-08162021"/>
    <s v="Spill"/>
    <x v="1"/>
    <s v="Pumpkinseed"/>
    <s v="Lepomis"/>
    <s v="gibbosus"/>
    <s v="U"/>
    <x v="0"/>
    <n v="8"/>
    <n v="11.81"/>
    <x v="17"/>
    <s v="1763-23-1"/>
    <x v="17"/>
    <n v="899"/>
  </r>
  <r>
    <s v="PU051-JBA-08162021"/>
    <s v="Spill"/>
    <x v="1"/>
    <s v="Pumpkinseed"/>
    <s v="Lepomis"/>
    <s v="gibbosus"/>
    <s v="U"/>
    <x v="0"/>
    <n v="8"/>
    <n v="11.81"/>
    <x v="18"/>
    <s v="68259-12-1"/>
    <x v="18"/>
    <n v="1.94"/>
  </r>
  <r>
    <s v="PU051-JBA-08162021"/>
    <s v="Spill"/>
    <x v="1"/>
    <s v="Pumpkinseed"/>
    <s v="Lepomis"/>
    <s v="gibbosus"/>
    <s v="U"/>
    <x v="0"/>
    <n v="8"/>
    <n v="11.81"/>
    <x v="19"/>
    <s v="335-77-3"/>
    <x v="19"/>
    <n v="3.03"/>
  </r>
  <r>
    <s v="PU051-JBA-08162021"/>
    <s v="Spill"/>
    <x v="1"/>
    <s v="Pumpkinseed"/>
    <s v="Lepomis"/>
    <s v="gibbosus"/>
    <s v="U"/>
    <x v="0"/>
    <n v="8"/>
    <n v="11.81"/>
    <x v="20"/>
    <s v="79780-39-5"/>
    <x v="20"/>
    <n v="1.1599999999999999"/>
  </r>
  <r>
    <s v="PU051-JBA-08162021"/>
    <s v="Spill"/>
    <x v="1"/>
    <s v="Pumpkinseed"/>
    <s v="Lepomis"/>
    <s v="gibbosus"/>
    <s v="U"/>
    <x v="0"/>
    <n v="8"/>
    <n v="11.81"/>
    <x v="21"/>
    <s v="777011-38-8"/>
    <x v="21"/>
    <n v="0.13200000000000001"/>
  </r>
  <r>
    <s v="PU051-JBA-08162021"/>
    <s v="Spill"/>
    <x v="1"/>
    <s v="Pumpkinseed"/>
    <s v="Lepomis"/>
    <s v="gibbosus"/>
    <s v="U"/>
    <x v="0"/>
    <n v="8"/>
    <n v="11.81"/>
    <x v="22"/>
    <s v="646-83-3"/>
    <x v="22"/>
    <n v="0.217"/>
  </r>
  <r>
    <s v="PU051-JBA-08162021"/>
    <s v="Spill"/>
    <x v="1"/>
    <s v="Pumpkinseed"/>
    <s v="Lepomis"/>
    <s v="gibbosus"/>
    <s v="U"/>
    <x v="0"/>
    <n v="8"/>
    <n v="11.81"/>
    <x v="23"/>
    <s v="30334-69-1"/>
    <x v="23"/>
    <n v="31.3"/>
  </r>
  <r>
    <s v="PU051-JBA-08162021"/>
    <s v="Spill"/>
    <x v="1"/>
    <s v="Pumpkinseed"/>
    <s v="Lepomis"/>
    <s v="gibbosus"/>
    <s v="U"/>
    <x v="0"/>
    <n v="8"/>
    <n v="11.81"/>
    <x v="24"/>
    <s v="41997-13-1"/>
    <x v="24"/>
    <n v="70.5"/>
  </r>
  <r>
    <s v="PU051-JBA-08162021"/>
    <s v="Spill"/>
    <x v="1"/>
    <s v="Pumpkinseed"/>
    <s v="Lepomis"/>
    <s v="gibbosus"/>
    <s v="U"/>
    <x v="0"/>
    <n v="8"/>
    <n v="11.81"/>
    <x v="25"/>
    <s v="754-91-6"/>
    <x v="25"/>
    <n v="11.6"/>
  </r>
  <r>
    <s v="PU051-JBA-08162021"/>
    <s v="Spill"/>
    <x v="1"/>
    <s v="Pumpkinseed"/>
    <s v="Lepomis"/>
    <s v="gibbosus"/>
    <s v="U"/>
    <x v="0"/>
    <n v="8"/>
    <n v="11.81"/>
    <x v="26"/>
    <s v="31506-32-8"/>
    <x v="26"/>
    <n v="6.5500000000000003E-2"/>
  </r>
  <r>
    <s v="PU051-JBA-08162021"/>
    <s v="Spill"/>
    <x v="1"/>
    <s v="Pumpkinseed"/>
    <s v="Lepomis"/>
    <s v="gibbosus"/>
    <s v="U"/>
    <x v="0"/>
    <n v="8"/>
    <n v="11.81"/>
    <x v="27"/>
    <s v="4151-50-2"/>
    <x v="27"/>
    <n v="7.6499999999999999E-2"/>
  </r>
  <r>
    <s v="PU051-JBA-08162021"/>
    <s v="Spill"/>
    <x v="1"/>
    <s v="Pumpkinseed"/>
    <s v="Lepomis"/>
    <s v="gibbosus"/>
    <s v="U"/>
    <x v="0"/>
    <n v="8"/>
    <n v="11.81"/>
    <x v="28"/>
    <s v="2806-24-8"/>
    <x v="28"/>
    <n v="5.1999999999999998E-2"/>
  </r>
  <r>
    <s v="PU051-JBA-08162021"/>
    <s v="Spill"/>
    <x v="1"/>
    <s v="Pumpkinseed"/>
    <s v="Lepomis"/>
    <s v="gibbosus"/>
    <s v="U"/>
    <x v="0"/>
    <n v="8"/>
    <n v="11.81"/>
    <x v="29"/>
    <s v="2355-31-9"/>
    <x v="29"/>
    <n v="6.6000000000000003E-2"/>
  </r>
  <r>
    <s v="PU051-JBA-08162021"/>
    <s v="Spill"/>
    <x v="1"/>
    <s v="Pumpkinseed"/>
    <s v="Lepomis"/>
    <s v="gibbosus"/>
    <s v="U"/>
    <x v="0"/>
    <n v="8"/>
    <n v="11.81"/>
    <x v="30"/>
    <s v="2991-50-6"/>
    <x v="30"/>
    <n v="5.7000000000000002E-2"/>
  </r>
  <r>
    <s v="PU051-JBA-08162021"/>
    <s v="Spill"/>
    <x v="1"/>
    <s v="Pumpkinseed"/>
    <s v="Lepomis"/>
    <s v="gibbosus"/>
    <s v="U"/>
    <x v="0"/>
    <n v="8"/>
    <n v="11.81"/>
    <x v="31"/>
    <s v="757124-72-4"/>
    <x v="31"/>
    <n v="6.5500000000000003E-2"/>
  </r>
  <r>
    <s v="PU051-JBA-08162021"/>
    <s v="Spill"/>
    <x v="1"/>
    <s v="Pumpkinseed"/>
    <s v="Lepomis"/>
    <s v="gibbosus"/>
    <s v="U"/>
    <x v="0"/>
    <n v="8"/>
    <n v="11.81"/>
    <x v="32"/>
    <s v="27619-97-2"/>
    <x v="32"/>
    <n v="1.27"/>
  </r>
  <r>
    <s v="PU051-JBA-08162021"/>
    <s v="Spill"/>
    <x v="1"/>
    <s v="Pumpkinseed"/>
    <s v="Lepomis"/>
    <s v="gibbosus"/>
    <s v="U"/>
    <x v="0"/>
    <n v="8"/>
    <n v="11.81"/>
    <x v="33"/>
    <s v="39108-34-4"/>
    <x v="33"/>
    <n v="3.82"/>
  </r>
  <r>
    <s v="PU051-JBA-08162021"/>
    <s v="Spill"/>
    <x v="1"/>
    <s v="Pumpkinseed"/>
    <s v="Lepomis"/>
    <s v="gibbosus"/>
    <s v="U"/>
    <x v="0"/>
    <n v="8"/>
    <n v="11.81"/>
    <x v="34"/>
    <s v="120226-60-0"/>
    <x v="34"/>
    <n v="0.52500000000000002"/>
  </r>
  <r>
    <s v="PU051-JBA-08162021"/>
    <s v="Spill"/>
    <x v="1"/>
    <s v="Pumpkinseed"/>
    <s v="Lepomis"/>
    <s v="gibbosus"/>
    <s v="U"/>
    <x v="0"/>
    <n v="8"/>
    <n v="11.81"/>
    <x v="35"/>
    <s v="356-02-5"/>
    <x v="35"/>
    <n v="7.5999999999999998E-2"/>
  </r>
  <r>
    <s v="PU051-JBA-08162021"/>
    <s v="Spill"/>
    <x v="1"/>
    <s v="Pumpkinseed"/>
    <s v="Lepomis"/>
    <s v="gibbosus"/>
    <s v="U"/>
    <x v="0"/>
    <n v="8"/>
    <n v="11.81"/>
    <x v="36"/>
    <s v="914637-49-3"/>
    <x v="36"/>
    <n v="0.82499999999999996"/>
  </r>
  <r>
    <s v="PU051-JBA-08162021"/>
    <s v="Spill"/>
    <x v="1"/>
    <s v="Pumpkinseed"/>
    <s v="Lepomis"/>
    <s v="gibbosus"/>
    <s v="U"/>
    <x v="0"/>
    <n v="8"/>
    <n v="11.81"/>
    <x v="37"/>
    <s v="812-70-4"/>
    <x v="37"/>
    <n v="6.5500000000000003E-2"/>
  </r>
  <r>
    <s v="PU051-JBA-08162021"/>
    <s v="Spill"/>
    <x v="1"/>
    <s v="Pumpkinseed"/>
    <s v="Lepomis"/>
    <s v="gibbosus"/>
    <s v="U"/>
    <x v="0"/>
    <n v="8"/>
    <n v="11.81"/>
    <x v="38"/>
    <s v="53826-12-3"/>
    <x v="38"/>
    <n v="6.5500000000000003E-2"/>
  </r>
  <r>
    <s v="PU051-JBA-08162021"/>
    <s v="Spill"/>
    <x v="1"/>
    <s v="Pumpkinseed"/>
    <s v="Lepomis"/>
    <s v="gibbosus"/>
    <s v="U"/>
    <x v="0"/>
    <n v="8"/>
    <n v="11.81"/>
    <x v="39"/>
    <s v="27854-31-5"/>
    <x v="39"/>
    <n v="6.5500000000000003E-2"/>
  </r>
  <r>
    <s v="PU051-JBA-08162021"/>
    <s v="Spill"/>
    <x v="1"/>
    <s v="Pumpkinseed"/>
    <s v="Lepomis"/>
    <s v="gibbosus"/>
    <s v="U"/>
    <x v="0"/>
    <n v="8"/>
    <n v="11.81"/>
    <x v="40"/>
    <s v="53826-13-4"/>
    <x v="40"/>
    <n v="9.8000000000000004E-2"/>
  </r>
  <r>
    <s v="PU051-JBA-08162021"/>
    <s v="Spill"/>
    <x v="1"/>
    <s v="Pumpkinseed"/>
    <s v="Lepomis"/>
    <s v="gibbosus"/>
    <s v="U"/>
    <x v="0"/>
    <n v="8"/>
    <n v="11.81"/>
    <x v="41"/>
    <s v="161094-75-3"/>
    <x v="41"/>
    <n v="5.1499999999999997E-2"/>
  </r>
  <r>
    <s v="PU051-JBA-08162021"/>
    <s v="Spill"/>
    <x v="1"/>
    <s v="Pumpkinseed"/>
    <s v="Lepomis"/>
    <s v="gibbosus"/>
    <s v="U"/>
    <x v="0"/>
    <n v="8"/>
    <n v="11.81"/>
    <x v="42"/>
    <s v="70887-84-2"/>
    <x v="42"/>
    <n v="3.9699999999999999E-2"/>
  </r>
  <r>
    <s v="PU051-JBA-08162021"/>
    <s v="Spill"/>
    <x v="1"/>
    <s v="Pumpkinseed"/>
    <s v="Lepomis"/>
    <s v="gibbosus"/>
    <s v="U"/>
    <x v="0"/>
    <n v="8"/>
    <n v="11.81"/>
    <x v="43"/>
    <s v="919005-14-4"/>
    <x v="43"/>
    <n v="5.8000000000000003E-2"/>
  </r>
  <r>
    <s v="PU051-JBA-08162021"/>
    <s v="Spill"/>
    <x v="1"/>
    <s v="Pumpkinseed"/>
    <s v="Lepomis"/>
    <s v="gibbosus"/>
    <s v="U"/>
    <x v="0"/>
    <n v="8"/>
    <n v="11.81"/>
    <x v="44"/>
    <s v="756426-58-1"/>
    <x v="44"/>
    <n v="6.5500000000000003E-2"/>
  </r>
  <r>
    <s v="PU051-JBA-08162021"/>
    <s v="Spill"/>
    <x v="1"/>
    <s v="Pumpkinseed"/>
    <s v="Lepomis"/>
    <s v="gibbosus"/>
    <s v="U"/>
    <x v="0"/>
    <n v="8"/>
    <n v="11.81"/>
    <x v="45"/>
    <s v="763051-92-9"/>
    <x v="45"/>
    <n v="6.5500000000000003E-2"/>
  </r>
  <r>
    <s v="PU051-JBA-08162021"/>
    <s v="Spill"/>
    <x v="1"/>
    <s v="Pumpkinseed"/>
    <s v="Lepomis"/>
    <s v="gibbosus"/>
    <s v="U"/>
    <x v="0"/>
    <n v="8"/>
    <n v="11.81"/>
    <x v="46"/>
    <s v="13252-13-6"/>
    <x v="46"/>
    <n v="9.4500000000000001E-2"/>
  </r>
  <r>
    <s v="PU051-JBA-08162021"/>
    <s v="Spill"/>
    <x v="1"/>
    <s v="Pumpkinseed"/>
    <s v="Lepomis"/>
    <s v="gibbosus"/>
    <s v="U"/>
    <x v="0"/>
    <n v="8"/>
    <n v="11.81"/>
    <x v="47"/>
    <s v="57677-95-9"/>
    <x v="47"/>
    <n v="7.0000000000000007E-2"/>
  </r>
  <r>
    <s v="PU051-JBA-08162021"/>
    <s v="Spill"/>
    <x v="1"/>
    <s v="Pumpkinseed"/>
    <s v="Lepomis"/>
    <s v="gibbosus"/>
    <s v="U"/>
    <x v="0"/>
    <n v="8"/>
    <n v="11.81"/>
    <x v="48"/>
    <s v="678-41-1"/>
    <x v="48"/>
    <n v="8.6999999999999994E-2"/>
  </r>
  <r>
    <s v="PU051-JBA-08162021"/>
    <s v="Spill"/>
    <x v="1"/>
    <s v="Pumpkinseed"/>
    <s v="Lepomis"/>
    <s v="gibbosus"/>
    <s v="U"/>
    <x v="0"/>
    <n v="8"/>
    <n v="11.81"/>
    <x v="49"/>
    <s v="2965-52-8"/>
    <x v="49"/>
    <n v="0.11550000000000001"/>
  </r>
  <r>
    <s v="PU052-JBA-08162021"/>
    <s v="Spill"/>
    <x v="1"/>
    <s v="Pumpkinseed"/>
    <s v="Lepomis"/>
    <s v="gibbosus"/>
    <s v="U"/>
    <x v="0"/>
    <n v="8"/>
    <n v="11.81"/>
    <x v="0"/>
    <s v="375-22-4"/>
    <x v="0"/>
    <n v="0.22650000000000001"/>
  </r>
  <r>
    <s v="PU052-JBA-08162021"/>
    <s v="Spill"/>
    <x v="1"/>
    <s v="Pumpkinseed"/>
    <s v="Lepomis"/>
    <s v="gibbosus"/>
    <s v="U"/>
    <x v="0"/>
    <n v="8"/>
    <n v="11.81"/>
    <x v="1"/>
    <s v="2706-90-3"/>
    <x v="1"/>
    <n v="4.8500000000000001E-2"/>
  </r>
  <r>
    <s v="PU052-JBA-08162021"/>
    <s v="Spill"/>
    <x v="1"/>
    <s v="Pumpkinseed"/>
    <s v="Lepomis"/>
    <s v="gibbosus"/>
    <s v="U"/>
    <x v="0"/>
    <n v="8"/>
    <n v="11.81"/>
    <x v="2"/>
    <s v="307-24-4"/>
    <x v="2"/>
    <n v="0.122"/>
  </r>
  <r>
    <s v="PU052-JBA-08162021"/>
    <s v="Spill"/>
    <x v="1"/>
    <s v="Pumpkinseed"/>
    <s v="Lepomis"/>
    <s v="gibbosus"/>
    <s v="U"/>
    <x v="0"/>
    <n v="8"/>
    <n v="11.81"/>
    <x v="3"/>
    <s v="375-85-9"/>
    <x v="3"/>
    <n v="2.7449999999999999E-2"/>
  </r>
  <r>
    <s v="PU052-JBA-08162021"/>
    <s v="Spill"/>
    <x v="1"/>
    <s v="Pumpkinseed"/>
    <s v="Lepomis"/>
    <s v="gibbosus"/>
    <s v="U"/>
    <x v="0"/>
    <n v="8"/>
    <n v="11.81"/>
    <x v="4"/>
    <s v="335-67-1"/>
    <x v="4"/>
    <n v="0.61599999999999999"/>
  </r>
  <r>
    <s v="PU052-JBA-08162021"/>
    <s v="Spill"/>
    <x v="1"/>
    <s v="Pumpkinseed"/>
    <s v="Lepomis"/>
    <s v="gibbosus"/>
    <s v="U"/>
    <x v="0"/>
    <n v="8"/>
    <n v="11.81"/>
    <x v="5"/>
    <s v="375-95-1"/>
    <x v="5"/>
    <n v="0.1565"/>
  </r>
  <r>
    <s v="PU052-JBA-08162021"/>
    <s v="Spill"/>
    <x v="1"/>
    <s v="Pumpkinseed"/>
    <s v="Lepomis"/>
    <s v="gibbosus"/>
    <s v="U"/>
    <x v="0"/>
    <n v="8"/>
    <n v="11.81"/>
    <x v="6"/>
    <s v="335-76-2"/>
    <x v="6"/>
    <n v="5.42"/>
  </r>
  <r>
    <s v="PU052-JBA-08162021"/>
    <s v="Spill"/>
    <x v="1"/>
    <s v="Pumpkinseed"/>
    <s v="Lepomis"/>
    <s v="gibbosus"/>
    <s v="U"/>
    <x v="0"/>
    <n v="8"/>
    <n v="11.81"/>
    <x v="7"/>
    <s v="2058-94-8"/>
    <x v="7"/>
    <n v="8.93"/>
  </r>
  <r>
    <s v="PU052-JBA-08162021"/>
    <s v="Spill"/>
    <x v="1"/>
    <s v="Pumpkinseed"/>
    <s v="Lepomis"/>
    <s v="gibbosus"/>
    <s v="U"/>
    <x v="0"/>
    <n v="8"/>
    <n v="11.81"/>
    <x v="8"/>
    <s v="307-55-1"/>
    <x v="8"/>
    <n v="30.1"/>
  </r>
  <r>
    <s v="PU052-JBA-08162021"/>
    <s v="Spill"/>
    <x v="1"/>
    <s v="Pumpkinseed"/>
    <s v="Lepomis"/>
    <s v="gibbosus"/>
    <s v="U"/>
    <x v="0"/>
    <n v="8"/>
    <n v="11.81"/>
    <x v="9"/>
    <s v="72629-94-8"/>
    <x v="9"/>
    <n v="6.45"/>
  </r>
  <r>
    <s v="PU052-JBA-08162021"/>
    <s v="Spill"/>
    <x v="1"/>
    <s v="Pumpkinseed"/>
    <s v="Lepomis"/>
    <s v="gibbosus"/>
    <s v="U"/>
    <x v="0"/>
    <n v="8"/>
    <n v="11.81"/>
    <x v="10"/>
    <s v="376-06-7"/>
    <x v="10"/>
    <n v="27.6"/>
  </r>
  <r>
    <s v="PU052-JBA-08162021"/>
    <s v="Spill"/>
    <x v="1"/>
    <s v="Pumpkinseed"/>
    <s v="Lepomis"/>
    <s v="gibbosus"/>
    <s v="U"/>
    <x v="0"/>
    <n v="8"/>
    <n v="11.81"/>
    <x v="11"/>
    <s v="67905-19-5"/>
    <x v="11"/>
    <n v="8.2000000000000003E-2"/>
  </r>
  <r>
    <s v="PU052-JBA-08162021"/>
    <s v="Spill"/>
    <x v="1"/>
    <s v="Pumpkinseed"/>
    <s v="Lepomis"/>
    <s v="gibbosus"/>
    <s v="U"/>
    <x v="0"/>
    <n v="8"/>
    <n v="11.81"/>
    <x v="12"/>
    <s v="423-41-6"/>
    <x v="12"/>
    <n v="6.8500000000000005E-2"/>
  </r>
  <r>
    <s v="PU052-JBA-08162021"/>
    <s v="Spill"/>
    <x v="1"/>
    <s v="Pumpkinseed"/>
    <s v="Lepomis"/>
    <s v="gibbosus"/>
    <s v="U"/>
    <x v="0"/>
    <n v="8"/>
    <n v="11.81"/>
    <x v="13"/>
    <s v="375-73-5"/>
    <x v="13"/>
    <n v="0.51200000000000001"/>
  </r>
  <r>
    <s v="PU052-JBA-08162021"/>
    <s v="Spill"/>
    <x v="1"/>
    <s v="Pumpkinseed"/>
    <s v="Lepomis"/>
    <s v="gibbosus"/>
    <s v="U"/>
    <x v="0"/>
    <n v="8"/>
    <n v="11.81"/>
    <x v="14"/>
    <s v="2706-91-4"/>
    <x v="14"/>
    <n v="0.22650000000000001"/>
  </r>
  <r>
    <s v="PU052-JBA-08162021"/>
    <s v="Spill"/>
    <x v="1"/>
    <s v="Pumpkinseed"/>
    <s v="Lepomis"/>
    <s v="gibbosus"/>
    <s v="U"/>
    <x v="0"/>
    <n v="8"/>
    <n v="11.81"/>
    <x v="15"/>
    <s v="355-46-4"/>
    <x v="15"/>
    <n v="9.64"/>
  </r>
  <r>
    <s v="PU052-JBA-08162021"/>
    <s v="Spill"/>
    <x v="1"/>
    <s v="Pumpkinseed"/>
    <s v="Lepomis"/>
    <s v="gibbosus"/>
    <s v="U"/>
    <x v="0"/>
    <n v="8"/>
    <n v="11.81"/>
    <x v="16"/>
    <s v="375-92-8"/>
    <x v="16"/>
    <n v="1.07"/>
  </r>
  <r>
    <s v="PU052-JBA-08162021"/>
    <s v="Spill"/>
    <x v="1"/>
    <s v="Pumpkinseed"/>
    <s v="Lepomis"/>
    <s v="gibbosus"/>
    <s v="U"/>
    <x v="0"/>
    <n v="8"/>
    <n v="11.81"/>
    <x v="17"/>
    <s v="1763-23-1"/>
    <x v="17"/>
    <n v="761"/>
  </r>
  <r>
    <s v="PU052-JBA-08162021"/>
    <s v="Spill"/>
    <x v="1"/>
    <s v="Pumpkinseed"/>
    <s v="Lepomis"/>
    <s v="gibbosus"/>
    <s v="U"/>
    <x v="0"/>
    <n v="8"/>
    <n v="11.81"/>
    <x v="18"/>
    <s v="68259-12-1"/>
    <x v="18"/>
    <n v="1.77"/>
  </r>
  <r>
    <s v="PU052-JBA-08162021"/>
    <s v="Spill"/>
    <x v="1"/>
    <s v="Pumpkinseed"/>
    <s v="Lepomis"/>
    <s v="gibbosus"/>
    <s v="U"/>
    <x v="0"/>
    <n v="8"/>
    <n v="11.81"/>
    <x v="19"/>
    <s v="335-77-3"/>
    <x v="19"/>
    <n v="2.39"/>
  </r>
  <r>
    <s v="PU052-JBA-08162021"/>
    <s v="Spill"/>
    <x v="1"/>
    <s v="Pumpkinseed"/>
    <s v="Lepomis"/>
    <s v="gibbosus"/>
    <s v="U"/>
    <x v="0"/>
    <n v="8"/>
    <n v="11.81"/>
    <x v="20"/>
    <s v="79780-39-5"/>
    <x v="20"/>
    <n v="0.55500000000000005"/>
  </r>
  <r>
    <s v="PU052-JBA-08162021"/>
    <s v="Spill"/>
    <x v="1"/>
    <s v="Pumpkinseed"/>
    <s v="Lepomis"/>
    <s v="gibbosus"/>
    <s v="U"/>
    <x v="0"/>
    <n v="8"/>
    <n v="11.81"/>
    <x v="21"/>
    <s v="777011-38-8"/>
    <x v="21"/>
    <n v="0.13750000000000001"/>
  </r>
  <r>
    <s v="PU052-JBA-08162021"/>
    <s v="Spill"/>
    <x v="1"/>
    <s v="Pumpkinseed"/>
    <s v="Lepomis"/>
    <s v="gibbosus"/>
    <s v="U"/>
    <x v="0"/>
    <n v="8"/>
    <n v="11.81"/>
    <x v="22"/>
    <s v="646-83-3"/>
    <x v="22"/>
    <n v="0.22650000000000001"/>
  </r>
  <r>
    <s v="PU052-JBA-08162021"/>
    <s v="Spill"/>
    <x v="1"/>
    <s v="Pumpkinseed"/>
    <s v="Lepomis"/>
    <s v="gibbosus"/>
    <s v="U"/>
    <x v="0"/>
    <n v="8"/>
    <n v="11.81"/>
    <x v="23"/>
    <s v="30334-69-1"/>
    <x v="23"/>
    <n v="31"/>
  </r>
  <r>
    <s v="PU052-JBA-08162021"/>
    <s v="Spill"/>
    <x v="1"/>
    <s v="Pumpkinseed"/>
    <s v="Lepomis"/>
    <s v="gibbosus"/>
    <s v="U"/>
    <x v="0"/>
    <n v="8"/>
    <n v="11.81"/>
    <x v="24"/>
    <s v="41997-13-1"/>
    <x v="24"/>
    <n v="42.3"/>
  </r>
  <r>
    <s v="PU052-JBA-08162021"/>
    <s v="Spill"/>
    <x v="1"/>
    <s v="Pumpkinseed"/>
    <s v="Lepomis"/>
    <s v="gibbosus"/>
    <s v="U"/>
    <x v="0"/>
    <n v="8"/>
    <n v="11.81"/>
    <x v="25"/>
    <s v="754-91-6"/>
    <x v="25"/>
    <n v="8.76"/>
  </r>
  <r>
    <s v="PU052-JBA-08162021"/>
    <s v="Spill"/>
    <x v="1"/>
    <s v="Pumpkinseed"/>
    <s v="Lepomis"/>
    <s v="gibbosus"/>
    <s v="U"/>
    <x v="0"/>
    <n v="8"/>
    <n v="11.81"/>
    <x v="26"/>
    <s v="31506-32-8"/>
    <x v="26"/>
    <n v="6.8500000000000005E-2"/>
  </r>
  <r>
    <s v="PU052-JBA-08162021"/>
    <s v="Spill"/>
    <x v="1"/>
    <s v="Pumpkinseed"/>
    <s v="Lepomis"/>
    <s v="gibbosus"/>
    <s v="U"/>
    <x v="0"/>
    <n v="8"/>
    <n v="11.81"/>
    <x v="27"/>
    <s v="4151-50-2"/>
    <x v="27"/>
    <n v="0.08"/>
  </r>
  <r>
    <s v="PU052-JBA-08162021"/>
    <s v="Spill"/>
    <x v="1"/>
    <s v="Pumpkinseed"/>
    <s v="Lepomis"/>
    <s v="gibbosus"/>
    <s v="U"/>
    <x v="0"/>
    <n v="8"/>
    <n v="11.81"/>
    <x v="28"/>
    <s v="2806-24-8"/>
    <x v="28"/>
    <n v="5.3999999999999999E-2"/>
  </r>
  <r>
    <s v="PU052-JBA-08162021"/>
    <s v="Spill"/>
    <x v="1"/>
    <s v="Pumpkinseed"/>
    <s v="Lepomis"/>
    <s v="gibbosus"/>
    <s v="U"/>
    <x v="0"/>
    <n v="8"/>
    <n v="11.81"/>
    <x v="29"/>
    <s v="2355-31-9"/>
    <x v="29"/>
    <n v="6.9000000000000006E-2"/>
  </r>
  <r>
    <s v="PU052-JBA-08162021"/>
    <s v="Spill"/>
    <x v="1"/>
    <s v="Pumpkinseed"/>
    <s v="Lepomis"/>
    <s v="gibbosus"/>
    <s v="U"/>
    <x v="0"/>
    <n v="8"/>
    <n v="11.81"/>
    <x v="30"/>
    <s v="2991-50-6"/>
    <x v="30"/>
    <n v="5.9499999999999997E-2"/>
  </r>
  <r>
    <s v="PU052-JBA-08162021"/>
    <s v="Spill"/>
    <x v="1"/>
    <s v="Pumpkinseed"/>
    <s v="Lepomis"/>
    <s v="gibbosus"/>
    <s v="U"/>
    <x v="0"/>
    <n v="8"/>
    <n v="11.81"/>
    <x v="31"/>
    <s v="757124-72-4"/>
    <x v="31"/>
    <n v="6.8500000000000005E-2"/>
  </r>
  <r>
    <s v="PU052-JBA-08162021"/>
    <s v="Spill"/>
    <x v="1"/>
    <s v="Pumpkinseed"/>
    <s v="Lepomis"/>
    <s v="gibbosus"/>
    <s v="U"/>
    <x v="0"/>
    <n v="8"/>
    <n v="11.81"/>
    <x v="32"/>
    <s v="27619-97-2"/>
    <x v="32"/>
    <n v="0.39700000000000002"/>
  </r>
  <r>
    <s v="PU052-JBA-08162021"/>
    <s v="Spill"/>
    <x v="1"/>
    <s v="Pumpkinseed"/>
    <s v="Lepomis"/>
    <s v="gibbosus"/>
    <s v="U"/>
    <x v="0"/>
    <n v="8"/>
    <n v="11.81"/>
    <x v="33"/>
    <s v="39108-34-4"/>
    <x v="33"/>
    <n v="3.01"/>
  </r>
  <r>
    <s v="PU052-JBA-08162021"/>
    <s v="Spill"/>
    <x v="1"/>
    <s v="Pumpkinseed"/>
    <s v="Lepomis"/>
    <s v="gibbosus"/>
    <s v="U"/>
    <x v="0"/>
    <n v="8"/>
    <n v="11.81"/>
    <x v="34"/>
    <s v="120226-60-0"/>
    <x v="34"/>
    <n v="0.25700000000000001"/>
  </r>
  <r>
    <s v="PU052-JBA-08162021"/>
    <s v="Spill"/>
    <x v="1"/>
    <s v="Pumpkinseed"/>
    <s v="Lepomis"/>
    <s v="gibbosus"/>
    <s v="U"/>
    <x v="0"/>
    <n v="8"/>
    <n v="11.81"/>
    <x v="35"/>
    <s v="356-02-5"/>
    <x v="35"/>
    <n v="7.9000000000000001E-2"/>
  </r>
  <r>
    <s v="PU052-JBA-08162021"/>
    <s v="Spill"/>
    <x v="1"/>
    <s v="Pumpkinseed"/>
    <s v="Lepomis"/>
    <s v="gibbosus"/>
    <s v="U"/>
    <x v="0"/>
    <n v="8"/>
    <n v="11.81"/>
    <x v="36"/>
    <s v="914637-49-3"/>
    <x v="36"/>
    <n v="1.28"/>
  </r>
  <r>
    <s v="PU052-JBA-08162021"/>
    <s v="Spill"/>
    <x v="1"/>
    <s v="Pumpkinseed"/>
    <s v="Lepomis"/>
    <s v="gibbosus"/>
    <s v="U"/>
    <x v="0"/>
    <n v="8"/>
    <n v="11.81"/>
    <x v="37"/>
    <s v="812-70-4"/>
    <x v="37"/>
    <n v="8.32"/>
  </r>
  <r>
    <s v="PU052-JBA-08162021"/>
    <s v="Spill"/>
    <x v="1"/>
    <s v="Pumpkinseed"/>
    <s v="Lepomis"/>
    <s v="gibbosus"/>
    <s v="U"/>
    <x v="0"/>
    <n v="8"/>
    <n v="11.81"/>
    <x v="38"/>
    <s v="53826-12-3"/>
    <x v="38"/>
    <n v="6.8500000000000005E-2"/>
  </r>
  <r>
    <s v="PU052-JBA-08162021"/>
    <s v="Spill"/>
    <x v="1"/>
    <s v="Pumpkinseed"/>
    <s v="Lepomis"/>
    <s v="gibbosus"/>
    <s v="U"/>
    <x v="0"/>
    <n v="8"/>
    <n v="11.81"/>
    <x v="39"/>
    <s v="27854-31-5"/>
    <x v="39"/>
    <n v="6.8500000000000005E-2"/>
  </r>
  <r>
    <s v="PU052-JBA-08162021"/>
    <s v="Spill"/>
    <x v="1"/>
    <s v="Pumpkinseed"/>
    <s v="Lepomis"/>
    <s v="gibbosus"/>
    <s v="U"/>
    <x v="0"/>
    <n v="8"/>
    <n v="11.81"/>
    <x v="40"/>
    <s v="53826-13-4"/>
    <x v="40"/>
    <n v="0.10249999999999999"/>
  </r>
  <r>
    <s v="PU052-JBA-08162021"/>
    <s v="Spill"/>
    <x v="1"/>
    <s v="Pumpkinseed"/>
    <s v="Lepomis"/>
    <s v="gibbosus"/>
    <s v="U"/>
    <x v="0"/>
    <n v="8"/>
    <n v="11.81"/>
    <x v="41"/>
    <s v="161094-75-3"/>
    <x v="41"/>
    <n v="5.3999999999999999E-2"/>
  </r>
  <r>
    <s v="PU052-JBA-08162021"/>
    <s v="Spill"/>
    <x v="1"/>
    <s v="Pumpkinseed"/>
    <s v="Lepomis"/>
    <s v="gibbosus"/>
    <s v="U"/>
    <x v="0"/>
    <n v="8"/>
    <n v="11.81"/>
    <x v="42"/>
    <s v="70887-84-2"/>
    <x v="42"/>
    <n v="4.1500000000000002E-2"/>
  </r>
  <r>
    <s v="PU052-JBA-08162021"/>
    <s v="Spill"/>
    <x v="1"/>
    <s v="Pumpkinseed"/>
    <s v="Lepomis"/>
    <s v="gibbosus"/>
    <s v="U"/>
    <x v="0"/>
    <n v="8"/>
    <n v="11.81"/>
    <x v="43"/>
    <s v="919005-14-4"/>
    <x v="43"/>
    <n v="6.0499999999999998E-2"/>
  </r>
  <r>
    <s v="PU052-JBA-08162021"/>
    <s v="Spill"/>
    <x v="1"/>
    <s v="Pumpkinseed"/>
    <s v="Lepomis"/>
    <s v="gibbosus"/>
    <s v="U"/>
    <x v="0"/>
    <n v="8"/>
    <n v="11.81"/>
    <x v="44"/>
    <s v="756426-58-1"/>
    <x v="44"/>
    <n v="6.8500000000000005E-2"/>
  </r>
  <r>
    <s v="PU052-JBA-08162021"/>
    <s v="Spill"/>
    <x v="1"/>
    <s v="Pumpkinseed"/>
    <s v="Lepomis"/>
    <s v="gibbosus"/>
    <s v="U"/>
    <x v="0"/>
    <n v="8"/>
    <n v="11.81"/>
    <x v="45"/>
    <s v="763051-92-9"/>
    <x v="45"/>
    <n v="6.8500000000000005E-2"/>
  </r>
  <r>
    <s v="PU052-JBA-08162021"/>
    <s v="Spill"/>
    <x v="1"/>
    <s v="Pumpkinseed"/>
    <s v="Lepomis"/>
    <s v="gibbosus"/>
    <s v="U"/>
    <x v="0"/>
    <n v="8"/>
    <n v="11.81"/>
    <x v="46"/>
    <s v="13252-13-6"/>
    <x v="46"/>
    <n v="9.8500000000000004E-2"/>
  </r>
  <r>
    <s v="PU052-JBA-08162021"/>
    <s v="Spill"/>
    <x v="1"/>
    <s v="Pumpkinseed"/>
    <s v="Lepomis"/>
    <s v="gibbosus"/>
    <s v="U"/>
    <x v="0"/>
    <n v="8"/>
    <n v="11.81"/>
    <x v="47"/>
    <s v="57677-95-9"/>
    <x v="47"/>
    <n v="7.2999999999999995E-2"/>
  </r>
  <r>
    <s v="PU052-JBA-08162021"/>
    <s v="Spill"/>
    <x v="1"/>
    <s v="Pumpkinseed"/>
    <s v="Lepomis"/>
    <s v="gibbosus"/>
    <s v="U"/>
    <x v="0"/>
    <n v="8"/>
    <n v="11.81"/>
    <x v="48"/>
    <s v="678-41-1"/>
    <x v="48"/>
    <n v="9.0999999999999998E-2"/>
  </r>
  <r>
    <s v="PU052-JBA-08162021"/>
    <s v="Spill"/>
    <x v="1"/>
    <s v="Pumpkinseed"/>
    <s v="Lepomis"/>
    <s v="gibbosus"/>
    <s v="U"/>
    <x v="0"/>
    <n v="8"/>
    <n v="11.81"/>
    <x v="49"/>
    <s v="2965-52-8"/>
    <x v="49"/>
    <n v="0.121"/>
  </r>
  <r>
    <s v="PU053-JBA-08162021"/>
    <s v="Spill"/>
    <x v="1"/>
    <s v="Pumpkinseed"/>
    <s v="Lepomis"/>
    <s v="gibbosus"/>
    <s v="U"/>
    <x v="0"/>
    <n v="8"/>
    <n v="11.81"/>
    <x v="0"/>
    <s v="375-22-4"/>
    <x v="0"/>
    <n v="0.217"/>
  </r>
  <r>
    <s v="PU053-JBA-08162021"/>
    <s v="Spill"/>
    <x v="1"/>
    <s v="Pumpkinseed"/>
    <s v="Lepomis"/>
    <s v="gibbosus"/>
    <s v="U"/>
    <x v="0"/>
    <n v="8"/>
    <n v="11.81"/>
    <x v="1"/>
    <s v="2706-90-3"/>
    <x v="1"/>
    <n v="4.6399999999999997E-2"/>
  </r>
  <r>
    <s v="PU053-JBA-08162021"/>
    <s v="Spill"/>
    <x v="1"/>
    <s v="Pumpkinseed"/>
    <s v="Lepomis"/>
    <s v="gibbosus"/>
    <s v="U"/>
    <x v="0"/>
    <n v="8"/>
    <n v="11.81"/>
    <x v="2"/>
    <s v="307-24-4"/>
    <x v="2"/>
    <n v="0.11700000000000001"/>
  </r>
  <r>
    <s v="PU053-JBA-08162021"/>
    <s v="Spill"/>
    <x v="1"/>
    <s v="Pumpkinseed"/>
    <s v="Lepomis"/>
    <s v="gibbosus"/>
    <s v="U"/>
    <x v="0"/>
    <n v="8"/>
    <n v="11.81"/>
    <x v="3"/>
    <s v="375-85-9"/>
    <x v="3"/>
    <n v="8.6499999999999994E-2"/>
  </r>
  <r>
    <s v="PU053-JBA-08162021"/>
    <s v="Spill"/>
    <x v="1"/>
    <s v="Pumpkinseed"/>
    <s v="Lepomis"/>
    <s v="gibbosus"/>
    <s v="U"/>
    <x v="0"/>
    <n v="8"/>
    <n v="11.81"/>
    <x v="4"/>
    <s v="335-67-1"/>
    <x v="4"/>
    <n v="2.27"/>
  </r>
  <r>
    <s v="PU053-JBA-08162021"/>
    <s v="Spill"/>
    <x v="1"/>
    <s v="Pumpkinseed"/>
    <s v="Lepomis"/>
    <s v="gibbosus"/>
    <s v="U"/>
    <x v="0"/>
    <n v="8"/>
    <n v="11.81"/>
    <x v="5"/>
    <s v="375-95-1"/>
    <x v="5"/>
    <n v="1.26"/>
  </r>
  <r>
    <s v="PU053-JBA-08162021"/>
    <s v="Spill"/>
    <x v="1"/>
    <s v="Pumpkinseed"/>
    <s v="Lepomis"/>
    <s v="gibbosus"/>
    <s v="U"/>
    <x v="0"/>
    <n v="8"/>
    <n v="11.81"/>
    <x v="6"/>
    <s v="335-76-2"/>
    <x v="6"/>
    <n v="9.65"/>
  </r>
  <r>
    <s v="PU053-JBA-08162021"/>
    <s v="Spill"/>
    <x v="1"/>
    <s v="Pumpkinseed"/>
    <s v="Lepomis"/>
    <s v="gibbosus"/>
    <s v="U"/>
    <x v="0"/>
    <n v="8"/>
    <n v="11.81"/>
    <x v="7"/>
    <s v="2058-94-8"/>
    <x v="7"/>
    <n v="11.1"/>
  </r>
  <r>
    <s v="PU053-JBA-08162021"/>
    <s v="Spill"/>
    <x v="1"/>
    <s v="Pumpkinseed"/>
    <s v="Lepomis"/>
    <s v="gibbosus"/>
    <s v="U"/>
    <x v="0"/>
    <n v="8"/>
    <n v="11.81"/>
    <x v="8"/>
    <s v="307-55-1"/>
    <x v="8"/>
    <n v="27.8"/>
  </r>
  <r>
    <s v="PU053-JBA-08162021"/>
    <s v="Spill"/>
    <x v="1"/>
    <s v="Pumpkinseed"/>
    <s v="Lepomis"/>
    <s v="gibbosus"/>
    <s v="U"/>
    <x v="0"/>
    <n v="8"/>
    <n v="11.81"/>
    <x v="9"/>
    <s v="72629-94-8"/>
    <x v="9"/>
    <n v="6.47"/>
  </r>
  <r>
    <s v="PU053-JBA-08162021"/>
    <s v="Spill"/>
    <x v="1"/>
    <s v="Pumpkinseed"/>
    <s v="Lepomis"/>
    <s v="gibbosus"/>
    <s v="U"/>
    <x v="0"/>
    <n v="8"/>
    <n v="11.81"/>
    <x v="10"/>
    <s v="376-06-7"/>
    <x v="10"/>
    <n v="25.6"/>
  </r>
  <r>
    <s v="PU053-JBA-08162021"/>
    <s v="Spill"/>
    <x v="1"/>
    <s v="Pumpkinseed"/>
    <s v="Lepomis"/>
    <s v="gibbosus"/>
    <s v="U"/>
    <x v="0"/>
    <n v="8"/>
    <n v="11.81"/>
    <x v="11"/>
    <s v="67905-19-5"/>
    <x v="11"/>
    <n v="0.25850000000000001"/>
  </r>
  <r>
    <s v="PU053-JBA-08162021"/>
    <s v="Spill"/>
    <x v="1"/>
    <s v="Pumpkinseed"/>
    <s v="Lepomis"/>
    <s v="gibbosus"/>
    <s v="U"/>
    <x v="0"/>
    <n v="8"/>
    <n v="11.81"/>
    <x v="12"/>
    <s v="423-41-6"/>
    <x v="12"/>
    <n v="6.5500000000000003E-2"/>
  </r>
  <r>
    <s v="PU053-JBA-08162021"/>
    <s v="Spill"/>
    <x v="1"/>
    <s v="Pumpkinseed"/>
    <s v="Lepomis"/>
    <s v="gibbosus"/>
    <s v="U"/>
    <x v="0"/>
    <n v="8"/>
    <n v="11.81"/>
    <x v="13"/>
    <s v="375-73-5"/>
    <x v="13"/>
    <n v="0.14749999999999999"/>
  </r>
  <r>
    <s v="PU053-JBA-08162021"/>
    <s v="Spill"/>
    <x v="1"/>
    <s v="Pumpkinseed"/>
    <s v="Lepomis"/>
    <s v="gibbosus"/>
    <s v="U"/>
    <x v="0"/>
    <n v="8"/>
    <n v="11.81"/>
    <x v="14"/>
    <s v="2706-91-4"/>
    <x v="14"/>
    <n v="0.217"/>
  </r>
  <r>
    <s v="PU053-JBA-08162021"/>
    <s v="Spill"/>
    <x v="1"/>
    <s v="Pumpkinseed"/>
    <s v="Lepomis"/>
    <s v="gibbosus"/>
    <s v="U"/>
    <x v="0"/>
    <n v="8"/>
    <n v="11.81"/>
    <x v="15"/>
    <s v="355-46-4"/>
    <x v="15"/>
    <n v="24.8"/>
  </r>
  <r>
    <s v="PU053-JBA-08162021"/>
    <s v="Spill"/>
    <x v="1"/>
    <s v="Pumpkinseed"/>
    <s v="Lepomis"/>
    <s v="gibbosus"/>
    <s v="U"/>
    <x v="0"/>
    <n v="8"/>
    <n v="11.81"/>
    <x v="16"/>
    <s v="375-92-8"/>
    <x v="16"/>
    <n v="2.2400000000000002"/>
  </r>
  <r>
    <s v="PU053-JBA-08162021"/>
    <s v="Spill"/>
    <x v="1"/>
    <s v="Pumpkinseed"/>
    <s v="Lepomis"/>
    <s v="gibbosus"/>
    <s v="U"/>
    <x v="0"/>
    <n v="8"/>
    <n v="11.81"/>
    <x v="17"/>
    <s v="1763-23-1"/>
    <x v="17"/>
    <n v="961"/>
  </r>
  <r>
    <s v="PU053-JBA-08162021"/>
    <s v="Spill"/>
    <x v="1"/>
    <s v="Pumpkinseed"/>
    <s v="Lepomis"/>
    <s v="gibbosus"/>
    <s v="U"/>
    <x v="0"/>
    <n v="8"/>
    <n v="11.81"/>
    <x v="18"/>
    <s v="68259-12-1"/>
    <x v="18"/>
    <n v="2.68"/>
  </r>
  <r>
    <s v="PU053-JBA-08162021"/>
    <s v="Spill"/>
    <x v="1"/>
    <s v="Pumpkinseed"/>
    <s v="Lepomis"/>
    <s v="gibbosus"/>
    <s v="U"/>
    <x v="0"/>
    <n v="8"/>
    <n v="11.81"/>
    <x v="19"/>
    <s v="335-77-3"/>
    <x v="19"/>
    <n v="2.95"/>
  </r>
  <r>
    <s v="PU053-JBA-08162021"/>
    <s v="Spill"/>
    <x v="1"/>
    <s v="Pumpkinseed"/>
    <s v="Lepomis"/>
    <s v="gibbosus"/>
    <s v="U"/>
    <x v="0"/>
    <n v="8"/>
    <n v="11.81"/>
    <x v="20"/>
    <s v="79780-39-5"/>
    <x v="20"/>
    <n v="1.1499999999999999"/>
  </r>
  <r>
    <s v="PU053-JBA-08162021"/>
    <s v="Spill"/>
    <x v="1"/>
    <s v="Pumpkinseed"/>
    <s v="Lepomis"/>
    <s v="gibbosus"/>
    <s v="U"/>
    <x v="0"/>
    <n v="8"/>
    <n v="11.81"/>
    <x v="21"/>
    <s v="777011-38-8"/>
    <x v="21"/>
    <n v="0.13150000000000001"/>
  </r>
  <r>
    <s v="PU053-JBA-08162021"/>
    <s v="Spill"/>
    <x v="1"/>
    <s v="Pumpkinseed"/>
    <s v="Lepomis"/>
    <s v="gibbosus"/>
    <s v="U"/>
    <x v="0"/>
    <n v="8"/>
    <n v="11.81"/>
    <x v="22"/>
    <s v="646-83-3"/>
    <x v="22"/>
    <n v="0.217"/>
  </r>
  <r>
    <s v="PU053-JBA-08162021"/>
    <s v="Spill"/>
    <x v="1"/>
    <s v="Pumpkinseed"/>
    <s v="Lepomis"/>
    <s v="gibbosus"/>
    <s v="U"/>
    <x v="0"/>
    <n v="8"/>
    <n v="11.81"/>
    <x v="23"/>
    <s v="30334-69-1"/>
    <x v="23"/>
    <n v="32.9"/>
  </r>
  <r>
    <s v="PU053-JBA-08162021"/>
    <s v="Spill"/>
    <x v="1"/>
    <s v="Pumpkinseed"/>
    <s v="Lepomis"/>
    <s v="gibbosus"/>
    <s v="U"/>
    <x v="0"/>
    <n v="8"/>
    <n v="11.81"/>
    <x v="24"/>
    <s v="41997-13-1"/>
    <x v="24"/>
    <n v="63"/>
  </r>
  <r>
    <s v="PU053-JBA-08162021"/>
    <s v="Spill"/>
    <x v="1"/>
    <s v="Pumpkinseed"/>
    <s v="Lepomis"/>
    <s v="gibbosus"/>
    <s v="U"/>
    <x v="0"/>
    <n v="8"/>
    <n v="11.81"/>
    <x v="25"/>
    <s v="754-91-6"/>
    <x v="25"/>
    <n v="13.8"/>
  </r>
  <r>
    <s v="PU053-JBA-08162021"/>
    <s v="Spill"/>
    <x v="1"/>
    <s v="Pumpkinseed"/>
    <s v="Lepomis"/>
    <s v="gibbosus"/>
    <s v="U"/>
    <x v="0"/>
    <n v="8"/>
    <n v="11.81"/>
    <x v="26"/>
    <s v="31506-32-8"/>
    <x v="26"/>
    <n v="6.5500000000000003E-2"/>
  </r>
  <r>
    <s v="PU053-JBA-08162021"/>
    <s v="Spill"/>
    <x v="1"/>
    <s v="Pumpkinseed"/>
    <s v="Lepomis"/>
    <s v="gibbosus"/>
    <s v="U"/>
    <x v="0"/>
    <n v="8"/>
    <n v="11.81"/>
    <x v="27"/>
    <s v="4151-50-2"/>
    <x v="27"/>
    <n v="7.6499999999999999E-2"/>
  </r>
  <r>
    <s v="PU053-JBA-08162021"/>
    <s v="Spill"/>
    <x v="1"/>
    <s v="Pumpkinseed"/>
    <s v="Lepomis"/>
    <s v="gibbosus"/>
    <s v="U"/>
    <x v="0"/>
    <n v="8"/>
    <n v="11.81"/>
    <x v="28"/>
    <s v="2806-24-8"/>
    <x v="28"/>
    <n v="5.1999999999999998E-2"/>
  </r>
  <r>
    <s v="PU053-JBA-08162021"/>
    <s v="Spill"/>
    <x v="1"/>
    <s v="Pumpkinseed"/>
    <s v="Lepomis"/>
    <s v="gibbosus"/>
    <s v="U"/>
    <x v="0"/>
    <n v="8"/>
    <n v="11.81"/>
    <x v="29"/>
    <s v="2355-31-9"/>
    <x v="29"/>
    <n v="0.218"/>
  </r>
  <r>
    <s v="PU053-JBA-08162021"/>
    <s v="Spill"/>
    <x v="1"/>
    <s v="Pumpkinseed"/>
    <s v="Lepomis"/>
    <s v="gibbosus"/>
    <s v="U"/>
    <x v="0"/>
    <n v="8"/>
    <n v="11.81"/>
    <x v="30"/>
    <s v="2991-50-6"/>
    <x v="30"/>
    <n v="5.7000000000000002E-2"/>
  </r>
  <r>
    <s v="PU053-JBA-08162021"/>
    <s v="Spill"/>
    <x v="1"/>
    <s v="Pumpkinseed"/>
    <s v="Lepomis"/>
    <s v="gibbosus"/>
    <s v="U"/>
    <x v="0"/>
    <n v="8"/>
    <n v="11.81"/>
    <x v="31"/>
    <s v="757124-72-4"/>
    <x v="31"/>
    <n v="6.5500000000000003E-2"/>
  </r>
  <r>
    <s v="PU053-JBA-08162021"/>
    <s v="Spill"/>
    <x v="1"/>
    <s v="Pumpkinseed"/>
    <s v="Lepomis"/>
    <s v="gibbosus"/>
    <s v="U"/>
    <x v="0"/>
    <n v="8"/>
    <n v="11.81"/>
    <x v="32"/>
    <s v="27619-97-2"/>
    <x v="32"/>
    <n v="1.35"/>
  </r>
  <r>
    <s v="PU053-JBA-08162021"/>
    <s v="Spill"/>
    <x v="1"/>
    <s v="Pumpkinseed"/>
    <s v="Lepomis"/>
    <s v="gibbosus"/>
    <s v="U"/>
    <x v="0"/>
    <n v="8"/>
    <n v="11.81"/>
    <x v="33"/>
    <s v="39108-34-4"/>
    <x v="33"/>
    <n v="5.45"/>
  </r>
  <r>
    <s v="PU053-JBA-08162021"/>
    <s v="Spill"/>
    <x v="1"/>
    <s v="Pumpkinseed"/>
    <s v="Lepomis"/>
    <s v="gibbosus"/>
    <s v="U"/>
    <x v="0"/>
    <n v="8"/>
    <n v="11.81"/>
    <x v="34"/>
    <s v="120226-60-0"/>
    <x v="34"/>
    <n v="0.246"/>
  </r>
  <r>
    <s v="PU053-JBA-08162021"/>
    <s v="Spill"/>
    <x v="1"/>
    <s v="Pumpkinseed"/>
    <s v="Lepomis"/>
    <s v="gibbosus"/>
    <s v="U"/>
    <x v="0"/>
    <n v="8"/>
    <n v="11.81"/>
    <x v="35"/>
    <s v="356-02-5"/>
    <x v="35"/>
    <n v="7.5999999999999998E-2"/>
  </r>
  <r>
    <s v="PU053-JBA-08162021"/>
    <s v="Spill"/>
    <x v="1"/>
    <s v="Pumpkinseed"/>
    <s v="Lepomis"/>
    <s v="gibbosus"/>
    <s v="U"/>
    <x v="0"/>
    <n v="8"/>
    <n v="11.81"/>
    <x v="36"/>
    <s v="914637-49-3"/>
    <x v="36"/>
    <n v="0.16350000000000001"/>
  </r>
  <r>
    <s v="PU053-JBA-08162021"/>
    <s v="Spill"/>
    <x v="1"/>
    <s v="Pumpkinseed"/>
    <s v="Lepomis"/>
    <s v="gibbosus"/>
    <s v="U"/>
    <x v="0"/>
    <n v="8"/>
    <n v="11.81"/>
    <x v="37"/>
    <s v="812-70-4"/>
    <x v="37"/>
    <n v="2.74"/>
  </r>
  <r>
    <s v="PU053-JBA-08162021"/>
    <s v="Spill"/>
    <x v="1"/>
    <s v="Pumpkinseed"/>
    <s v="Lepomis"/>
    <s v="gibbosus"/>
    <s v="U"/>
    <x v="0"/>
    <n v="8"/>
    <n v="11.81"/>
    <x v="38"/>
    <s v="53826-12-3"/>
    <x v="38"/>
    <n v="6.5500000000000003E-2"/>
  </r>
  <r>
    <s v="PU053-JBA-08162021"/>
    <s v="Spill"/>
    <x v="1"/>
    <s v="Pumpkinseed"/>
    <s v="Lepomis"/>
    <s v="gibbosus"/>
    <s v="U"/>
    <x v="0"/>
    <n v="8"/>
    <n v="11.81"/>
    <x v="39"/>
    <s v="27854-31-5"/>
    <x v="39"/>
    <n v="6.5500000000000003E-2"/>
  </r>
  <r>
    <s v="PU053-JBA-08162021"/>
    <s v="Spill"/>
    <x v="1"/>
    <s v="Pumpkinseed"/>
    <s v="Lepomis"/>
    <s v="gibbosus"/>
    <s v="U"/>
    <x v="0"/>
    <n v="8"/>
    <n v="11.81"/>
    <x v="40"/>
    <s v="53826-13-4"/>
    <x v="40"/>
    <n v="9.8000000000000004E-2"/>
  </r>
  <r>
    <s v="PU053-JBA-08162021"/>
    <s v="Spill"/>
    <x v="1"/>
    <s v="Pumpkinseed"/>
    <s v="Lepomis"/>
    <s v="gibbosus"/>
    <s v="U"/>
    <x v="0"/>
    <n v="8"/>
    <n v="11.81"/>
    <x v="41"/>
    <s v="161094-75-3"/>
    <x v="41"/>
    <n v="5.1499999999999997E-2"/>
  </r>
  <r>
    <s v="PU053-JBA-08162021"/>
    <s v="Spill"/>
    <x v="1"/>
    <s v="Pumpkinseed"/>
    <s v="Lepomis"/>
    <s v="gibbosus"/>
    <s v="U"/>
    <x v="0"/>
    <n v="8"/>
    <n v="11.81"/>
    <x v="42"/>
    <s v="70887-84-2"/>
    <x v="42"/>
    <n v="3.9699999999999999E-2"/>
  </r>
  <r>
    <s v="PU053-JBA-08162021"/>
    <s v="Spill"/>
    <x v="1"/>
    <s v="Pumpkinseed"/>
    <s v="Lepomis"/>
    <s v="gibbosus"/>
    <s v="U"/>
    <x v="0"/>
    <n v="8"/>
    <n v="11.81"/>
    <x v="43"/>
    <s v="919005-14-4"/>
    <x v="43"/>
    <n v="5.8000000000000003E-2"/>
  </r>
  <r>
    <s v="PU053-JBA-08162021"/>
    <s v="Spill"/>
    <x v="1"/>
    <s v="Pumpkinseed"/>
    <s v="Lepomis"/>
    <s v="gibbosus"/>
    <s v="U"/>
    <x v="0"/>
    <n v="8"/>
    <n v="11.81"/>
    <x v="44"/>
    <s v="756426-58-1"/>
    <x v="44"/>
    <n v="6.5500000000000003E-2"/>
  </r>
  <r>
    <s v="PU053-JBA-08162021"/>
    <s v="Spill"/>
    <x v="1"/>
    <s v="Pumpkinseed"/>
    <s v="Lepomis"/>
    <s v="gibbosus"/>
    <s v="U"/>
    <x v="0"/>
    <n v="8"/>
    <n v="11.81"/>
    <x v="45"/>
    <s v="763051-92-9"/>
    <x v="45"/>
    <n v="6.5500000000000003E-2"/>
  </r>
  <r>
    <s v="PU053-JBA-08162021"/>
    <s v="Spill"/>
    <x v="1"/>
    <s v="Pumpkinseed"/>
    <s v="Lepomis"/>
    <s v="gibbosus"/>
    <s v="U"/>
    <x v="0"/>
    <n v="8"/>
    <n v="11.81"/>
    <x v="46"/>
    <s v="13252-13-6"/>
    <x v="46"/>
    <n v="9.4500000000000001E-2"/>
  </r>
  <r>
    <s v="PU053-JBA-08162021"/>
    <s v="Spill"/>
    <x v="1"/>
    <s v="Pumpkinseed"/>
    <s v="Lepomis"/>
    <s v="gibbosus"/>
    <s v="U"/>
    <x v="0"/>
    <n v="8"/>
    <n v="11.81"/>
    <x v="47"/>
    <s v="57677-95-9"/>
    <x v="47"/>
    <n v="7.0000000000000007E-2"/>
  </r>
  <r>
    <s v="PU053-JBA-08162021"/>
    <s v="Spill"/>
    <x v="1"/>
    <s v="Pumpkinseed"/>
    <s v="Lepomis"/>
    <s v="gibbosus"/>
    <s v="U"/>
    <x v="0"/>
    <n v="8"/>
    <n v="11.81"/>
    <x v="48"/>
    <s v="678-41-1"/>
    <x v="48"/>
    <n v="8.6999999999999994E-2"/>
  </r>
  <r>
    <s v="PU053-JBA-08162021"/>
    <s v="Spill"/>
    <x v="1"/>
    <s v="Pumpkinseed"/>
    <s v="Lepomis"/>
    <s v="gibbosus"/>
    <s v="U"/>
    <x v="0"/>
    <n v="8"/>
    <n v="11.81"/>
    <x v="49"/>
    <s v="2965-52-8"/>
    <x v="49"/>
    <n v="0.11550000000000001"/>
  </r>
  <r>
    <s v="PU054-JBA-08162021"/>
    <s v="Spill"/>
    <x v="1"/>
    <s v="Pumpkinseed"/>
    <s v="Lepomis"/>
    <s v="gibbosus"/>
    <s v="U"/>
    <x v="0"/>
    <n v="8"/>
    <n v="11.81"/>
    <x v="0"/>
    <s v="375-22-4"/>
    <x v="0"/>
    <n v="0.23150000000000001"/>
  </r>
  <r>
    <s v="PU054-JBA-08162021"/>
    <s v="Spill"/>
    <x v="1"/>
    <s v="Pumpkinseed"/>
    <s v="Lepomis"/>
    <s v="gibbosus"/>
    <s v="U"/>
    <x v="0"/>
    <n v="8"/>
    <n v="11.81"/>
    <x v="1"/>
    <s v="2706-90-3"/>
    <x v="1"/>
    <n v="4.9549999999999997E-2"/>
  </r>
  <r>
    <s v="PU054-JBA-08162021"/>
    <s v="Spill"/>
    <x v="1"/>
    <s v="Pumpkinseed"/>
    <s v="Lepomis"/>
    <s v="gibbosus"/>
    <s v="U"/>
    <x v="0"/>
    <n v="8"/>
    <n v="11.81"/>
    <x v="2"/>
    <s v="307-24-4"/>
    <x v="2"/>
    <n v="3.7850000000000002E-2"/>
  </r>
  <r>
    <s v="PU054-JBA-08162021"/>
    <s v="Spill"/>
    <x v="1"/>
    <s v="Pumpkinseed"/>
    <s v="Lepomis"/>
    <s v="gibbosus"/>
    <s v="U"/>
    <x v="0"/>
    <n v="8"/>
    <n v="11.81"/>
    <x v="3"/>
    <s v="375-85-9"/>
    <x v="3"/>
    <n v="2.8049999999999999E-2"/>
  </r>
  <r>
    <s v="PU054-JBA-08162021"/>
    <s v="Spill"/>
    <x v="1"/>
    <s v="Pumpkinseed"/>
    <s v="Lepomis"/>
    <s v="gibbosus"/>
    <s v="U"/>
    <x v="0"/>
    <n v="8"/>
    <n v="11.81"/>
    <x v="4"/>
    <s v="335-67-1"/>
    <x v="4"/>
    <n v="3.05"/>
  </r>
  <r>
    <s v="PU054-JBA-08162021"/>
    <s v="Spill"/>
    <x v="1"/>
    <s v="Pumpkinseed"/>
    <s v="Lepomis"/>
    <s v="gibbosus"/>
    <s v="U"/>
    <x v="0"/>
    <n v="8"/>
    <n v="11.81"/>
    <x v="5"/>
    <s v="375-95-1"/>
    <x v="5"/>
    <n v="2.96"/>
  </r>
  <r>
    <s v="PU054-JBA-08162021"/>
    <s v="Spill"/>
    <x v="1"/>
    <s v="Pumpkinseed"/>
    <s v="Lepomis"/>
    <s v="gibbosus"/>
    <s v="U"/>
    <x v="0"/>
    <n v="8"/>
    <n v="11.81"/>
    <x v="6"/>
    <s v="335-76-2"/>
    <x v="6"/>
    <n v="7.22"/>
  </r>
  <r>
    <s v="PU054-JBA-08162021"/>
    <s v="Spill"/>
    <x v="1"/>
    <s v="Pumpkinseed"/>
    <s v="Lepomis"/>
    <s v="gibbosus"/>
    <s v="U"/>
    <x v="0"/>
    <n v="8"/>
    <n v="11.81"/>
    <x v="7"/>
    <s v="2058-94-8"/>
    <x v="7"/>
    <n v="10.1"/>
  </r>
  <r>
    <s v="PU054-JBA-08162021"/>
    <s v="Spill"/>
    <x v="1"/>
    <s v="Pumpkinseed"/>
    <s v="Lepomis"/>
    <s v="gibbosus"/>
    <s v="U"/>
    <x v="0"/>
    <n v="8"/>
    <n v="11.81"/>
    <x v="8"/>
    <s v="307-55-1"/>
    <x v="8"/>
    <n v="22.4"/>
  </r>
  <r>
    <s v="PU054-JBA-08162021"/>
    <s v="Spill"/>
    <x v="1"/>
    <s v="Pumpkinseed"/>
    <s v="Lepomis"/>
    <s v="gibbosus"/>
    <s v="U"/>
    <x v="0"/>
    <n v="8"/>
    <n v="11.81"/>
    <x v="9"/>
    <s v="72629-94-8"/>
    <x v="9"/>
    <n v="3.04"/>
  </r>
  <r>
    <s v="PU054-JBA-08162021"/>
    <s v="Spill"/>
    <x v="1"/>
    <s v="Pumpkinseed"/>
    <s v="Lepomis"/>
    <s v="gibbosus"/>
    <s v="U"/>
    <x v="0"/>
    <n v="8"/>
    <n v="11.81"/>
    <x v="10"/>
    <s v="376-06-7"/>
    <x v="10"/>
    <n v="15.4"/>
  </r>
  <r>
    <s v="PU054-JBA-08162021"/>
    <s v="Spill"/>
    <x v="1"/>
    <s v="Pumpkinseed"/>
    <s v="Lepomis"/>
    <s v="gibbosus"/>
    <s v="U"/>
    <x v="0"/>
    <n v="8"/>
    <n v="11.81"/>
    <x v="11"/>
    <s v="67905-19-5"/>
    <x v="11"/>
    <n v="0.27600000000000002"/>
  </r>
  <r>
    <s v="PU054-JBA-08162021"/>
    <s v="Spill"/>
    <x v="1"/>
    <s v="Pumpkinseed"/>
    <s v="Lepomis"/>
    <s v="gibbosus"/>
    <s v="U"/>
    <x v="0"/>
    <n v="8"/>
    <n v="11.81"/>
    <x v="12"/>
    <s v="423-41-6"/>
    <x v="12"/>
    <n v="7.0000000000000007E-2"/>
  </r>
  <r>
    <s v="PU054-JBA-08162021"/>
    <s v="Spill"/>
    <x v="1"/>
    <s v="Pumpkinseed"/>
    <s v="Lepomis"/>
    <s v="gibbosus"/>
    <s v="U"/>
    <x v="0"/>
    <n v="8"/>
    <n v="11.81"/>
    <x v="13"/>
    <s v="375-73-5"/>
    <x v="13"/>
    <n v="0.1575"/>
  </r>
  <r>
    <s v="PU054-JBA-08162021"/>
    <s v="Spill"/>
    <x v="1"/>
    <s v="Pumpkinseed"/>
    <s v="Lepomis"/>
    <s v="gibbosus"/>
    <s v="U"/>
    <x v="0"/>
    <n v="8"/>
    <n v="11.81"/>
    <x v="14"/>
    <s v="2706-91-4"/>
    <x v="14"/>
    <n v="0.23150000000000001"/>
  </r>
  <r>
    <s v="PU054-JBA-08162021"/>
    <s v="Spill"/>
    <x v="1"/>
    <s v="Pumpkinseed"/>
    <s v="Lepomis"/>
    <s v="gibbosus"/>
    <s v="U"/>
    <x v="0"/>
    <n v="8"/>
    <n v="11.81"/>
    <x v="15"/>
    <s v="355-46-4"/>
    <x v="15"/>
    <n v="54.1"/>
  </r>
  <r>
    <s v="PU054-JBA-08162021"/>
    <s v="Spill"/>
    <x v="1"/>
    <s v="Pumpkinseed"/>
    <s v="Lepomis"/>
    <s v="gibbosus"/>
    <s v="U"/>
    <x v="0"/>
    <n v="8"/>
    <n v="11.81"/>
    <x v="16"/>
    <s v="375-92-8"/>
    <x v="16"/>
    <n v="5.19"/>
  </r>
  <r>
    <s v="PU054-JBA-08162021"/>
    <s v="Spill"/>
    <x v="1"/>
    <s v="Pumpkinseed"/>
    <s v="Lepomis"/>
    <s v="gibbosus"/>
    <s v="U"/>
    <x v="0"/>
    <n v="8"/>
    <n v="11.81"/>
    <x v="17"/>
    <s v="1763-23-1"/>
    <x v="17"/>
    <n v="660"/>
  </r>
  <r>
    <s v="PU054-JBA-08162021"/>
    <s v="Spill"/>
    <x v="1"/>
    <s v="Pumpkinseed"/>
    <s v="Lepomis"/>
    <s v="gibbosus"/>
    <s v="U"/>
    <x v="0"/>
    <n v="8"/>
    <n v="11.81"/>
    <x v="18"/>
    <s v="68259-12-1"/>
    <x v="18"/>
    <n v="3.51"/>
  </r>
  <r>
    <s v="PU054-JBA-08162021"/>
    <s v="Spill"/>
    <x v="1"/>
    <s v="Pumpkinseed"/>
    <s v="Lepomis"/>
    <s v="gibbosus"/>
    <s v="U"/>
    <x v="0"/>
    <n v="8"/>
    <n v="11.81"/>
    <x v="19"/>
    <s v="335-77-3"/>
    <x v="19"/>
    <n v="3.66"/>
  </r>
  <r>
    <s v="PU054-JBA-08162021"/>
    <s v="Spill"/>
    <x v="1"/>
    <s v="Pumpkinseed"/>
    <s v="Lepomis"/>
    <s v="gibbosus"/>
    <s v="U"/>
    <x v="0"/>
    <n v="8"/>
    <n v="11.81"/>
    <x v="20"/>
    <s v="79780-39-5"/>
    <x v="20"/>
    <n v="0.66100000000000003"/>
  </r>
  <r>
    <s v="PU054-JBA-08162021"/>
    <s v="Spill"/>
    <x v="1"/>
    <s v="Pumpkinseed"/>
    <s v="Lepomis"/>
    <s v="gibbosus"/>
    <s v="U"/>
    <x v="0"/>
    <n v="8"/>
    <n v="11.81"/>
    <x v="21"/>
    <s v="777011-38-8"/>
    <x v="21"/>
    <n v="0.14050000000000001"/>
  </r>
  <r>
    <s v="PU054-JBA-08162021"/>
    <s v="Spill"/>
    <x v="1"/>
    <s v="Pumpkinseed"/>
    <s v="Lepomis"/>
    <s v="gibbosus"/>
    <s v="U"/>
    <x v="0"/>
    <n v="8"/>
    <n v="11.81"/>
    <x v="22"/>
    <s v="646-83-3"/>
    <x v="22"/>
    <n v="0.505"/>
  </r>
  <r>
    <s v="PU054-JBA-08162021"/>
    <s v="Spill"/>
    <x v="1"/>
    <s v="Pumpkinseed"/>
    <s v="Lepomis"/>
    <s v="gibbosus"/>
    <s v="U"/>
    <x v="0"/>
    <n v="8"/>
    <n v="11.81"/>
    <x v="23"/>
    <s v="30334-69-1"/>
    <x v="23"/>
    <n v="18.100000000000001"/>
  </r>
  <r>
    <s v="PU054-JBA-08162021"/>
    <s v="Spill"/>
    <x v="1"/>
    <s v="Pumpkinseed"/>
    <s v="Lepomis"/>
    <s v="gibbosus"/>
    <s v="U"/>
    <x v="0"/>
    <n v="8"/>
    <n v="11.81"/>
    <x v="24"/>
    <s v="41997-13-1"/>
    <x v="24"/>
    <n v="50.7"/>
  </r>
  <r>
    <s v="PU054-JBA-08162021"/>
    <s v="Spill"/>
    <x v="1"/>
    <s v="Pumpkinseed"/>
    <s v="Lepomis"/>
    <s v="gibbosus"/>
    <s v="U"/>
    <x v="0"/>
    <n v="8"/>
    <n v="11.81"/>
    <x v="25"/>
    <s v="754-91-6"/>
    <x v="25"/>
    <n v="12.9"/>
  </r>
  <r>
    <s v="PU054-JBA-08162021"/>
    <s v="Spill"/>
    <x v="1"/>
    <s v="Pumpkinseed"/>
    <s v="Lepomis"/>
    <s v="gibbosus"/>
    <s v="U"/>
    <x v="0"/>
    <n v="8"/>
    <n v="11.81"/>
    <x v="26"/>
    <s v="31506-32-8"/>
    <x v="26"/>
    <n v="7.0000000000000007E-2"/>
  </r>
  <r>
    <s v="PU054-JBA-08162021"/>
    <s v="Spill"/>
    <x v="1"/>
    <s v="Pumpkinseed"/>
    <s v="Lepomis"/>
    <s v="gibbosus"/>
    <s v="U"/>
    <x v="0"/>
    <n v="8"/>
    <n v="11.81"/>
    <x v="27"/>
    <s v="4151-50-2"/>
    <x v="27"/>
    <n v="8.2000000000000003E-2"/>
  </r>
  <r>
    <s v="PU054-JBA-08162021"/>
    <s v="Spill"/>
    <x v="1"/>
    <s v="Pumpkinseed"/>
    <s v="Lepomis"/>
    <s v="gibbosus"/>
    <s v="U"/>
    <x v="0"/>
    <n v="8"/>
    <n v="11.81"/>
    <x v="28"/>
    <s v="2806-24-8"/>
    <x v="28"/>
    <n v="5.5500000000000001E-2"/>
  </r>
  <r>
    <s v="PU054-JBA-08162021"/>
    <s v="Spill"/>
    <x v="1"/>
    <s v="Pumpkinseed"/>
    <s v="Lepomis"/>
    <s v="gibbosus"/>
    <s v="U"/>
    <x v="0"/>
    <n v="8"/>
    <n v="11.81"/>
    <x v="29"/>
    <s v="2355-31-9"/>
    <x v="29"/>
    <n v="7.0499999999999993E-2"/>
  </r>
  <r>
    <s v="PU054-JBA-08162021"/>
    <s v="Spill"/>
    <x v="1"/>
    <s v="Pumpkinseed"/>
    <s v="Lepomis"/>
    <s v="gibbosus"/>
    <s v="U"/>
    <x v="0"/>
    <n v="8"/>
    <n v="11.81"/>
    <x v="30"/>
    <s v="2991-50-6"/>
    <x v="30"/>
    <n v="6.0999999999999999E-2"/>
  </r>
  <r>
    <s v="PU054-JBA-08162021"/>
    <s v="Spill"/>
    <x v="1"/>
    <s v="Pumpkinseed"/>
    <s v="Lepomis"/>
    <s v="gibbosus"/>
    <s v="U"/>
    <x v="0"/>
    <n v="8"/>
    <n v="11.81"/>
    <x v="31"/>
    <s v="757124-72-4"/>
    <x v="31"/>
    <n v="7.0000000000000007E-2"/>
  </r>
  <r>
    <s v="PU054-JBA-08162021"/>
    <s v="Spill"/>
    <x v="1"/>
    <s v="Pumpkinseed"/>
    <s v="Lepomis"/>
    <s v="gibbosus"/>
    <s v="U"/>
    <x v="0"/>
    <n v="8"/>
    <n v="11.81"/>
    <x v="32"/>
    <s v="27619-97-2"/>
    <x v="32"/>
    <n v="1.0900000000000001"/>
  </r>
  <r>
    <s v="PU054-JBA-08162021"/>
    <s v="Spill"/>
    <x v="1"/>
    <s v="Pumpkinseed"/>
    <s v="Lepomis"/>
    <s v="gibbosus"/>
    <s v="U"/>
    <x v="0"/>
    <n v="8"/>
    <n v="11.81"/>
    <x v="33"/>
    <s v="39108-34-4"/>
    <x v="33"/>
    <n v="7.86"/>
  </r>
  <r>
    <s v="PU054-JBA-08162021"/>
    <s v="Spill"/>
    <x v="1"/>
    <s v="Pumpkinseed"/>
    <s v="Lepomis"/>
    <s v="gibbosus"/>
    <s v="U"/>
    <x v="0"/>
    <n v="8"/>
    <n v="11.81"/>
    <x v="34"/>
    <s v="120226-60-0"/>
    <x v="34"/>
    <n v="0.26250000000000001"/>
  </r>
  <r>
    <s v="PU054-JBA-08162021"/>
    <s v="Spill"/>
    <x v="1"/>
    <s v="Pumpkinseed"/>
    <s v="Lepomis"/>
    <s v="gibbosus"/>
    <s v="U"/>
    <x v="0"/>
    <n v="8"/>
    <n v="11.81"/>
    <x v="35"/>
    <s v="356-02-5"/>
    <x v="35"/>
    <n v="8.1000000000000003E-2"/>
  </r>
  <r>
    <s v="PU054-JBA-08162021"/>
    <s v="Spill"/>
    <x v="1"/>
    <s v="Pumpkinseed"/>
    <s v="Lepomis"/>
    <s v="gibbosus"/>
    <s v="U"/>
    <x v="0"/>
    <n v="8"/>
    <n v="11.81"/>
    <x v="36"/>
    <s v="914637-49-3"/>
    <x v="36"/>
    <n v="5.2999999999999999E-2"/>
  </r>
  <r>
    <s v="PU054-JBA-08162021"/>
    <s v="Spill"/>
    <x v="1"/>
    <s v="Pumpkinseed"/>
    <s v="Lepomis"/>
    <s v="gibbosus"/>
    <s v="U"/>
    <x v="0"/>
    <n v="8"/>
    <n v="11.81"/>
    <x v="37"/>
    <s v="812-70-4"/>
    <x v="37"/>
    <n v="2.0699999999999998"/>
  </r>
  <r>
    <s v="PU054-JBA-08162021"/>
    <s v="Spill"/>
    <x v="1"/>
    <s v="Pumpkinseed"/>
    <s v="Lepomis"/>
    <s v="gibbosus"/>
    <s v="U"/>
    <x v="0"/>
    <n v="8"/>
    <n v="11.81"/>
    <x v="38"/>
    <s v="53826-12-3"/>
    <x v="38"/>
    <n v="7.0000000000000007E-2"/>
  </r>
  <r>
    <s v="PU054-JBA-08162021"/>
    <s v="Spill"/>
    <x v="1"/>
    <s v="Pumpkinseed"/>
    <s v="Lepomis"/>
    <s v="gibbosus"/>
    <s v="U"/>
    <x v="0"/>
    <n v="8"/>
    <n v="11.81"/>
    <x v="39"/>
    <s v="27854-31-5"/>
    <x v="39"/>
    <n v="7.0000000000000007E-2"/>
  </r>
  <r>
    <s v="PU054-JBA-08162021"/>
    <s v="Spill"/>
    <x v="1"/>
    <s v="Pumpkinseed"/>
    <s v="Lepomis"/>
    <s v="gibbosus"/>
    <s v="U"/>
    <x v="0"/>
    <n v="8"/>
    <n v="11.81"/>
    <x v="40"/>
    <s v="53826-13-4"/>
    <x v="40"/>
    <n v="0.1045"/>
  </r>
  <r>
    <s v="PU054-JBA-08162021"/>
    <s v="Spill"/>
    <x v="1"/>
    <s v="Pumpkinseed"/>
    <s v="Lepomis"/>
    <s v="gibbosus"/>
    <s v="U"/>
    <x v="0"/>
    <n v="8"/>
    <n v="11.81"/>
    <x v="41"/>
    <s v="161094-75-3"/>
    <x v="41"/>
    <n v="5.5E-2"/>
  </r>
  <r>
    <s v="PU054-JBA-08162021"/>
    <s v="Spill"/>
    <x v="1"/>
    <s v="Pumpkinseed"/>
    <s v="Lepomis"/>
    <s v="gibbosus"/>
    <s v="U"/>
    <x v="0"/>
    <n v="8"/>
    <n v="11.81"/>
    <x v="42"/>
    <s v="70887-84-2"/>
    <x v="42"/>
    <n v="4.2349999999999999E-2"/>
  </r>
  <r>
    <s v="PU054-JBA-08162021"/>
    <s v="Spill"/>
    <x v="1"/>
    <s v="Pumpkinseed"/>
    <s v="Lepomis"/>
    <s v="gibbosus"/>
    <s v="U"/>
    <x v="0"/>
    <n v="8"/>
    <n v="11.81"/>
    <x v="43"/>
    <s v="919005-14-4"/>
    <x v="43"/>
    <n v="6.2E-2"/>
  </r>
  <r>
    <s v="PU054-JBA-08162021"/>
    <s v="Spill"/>
    <x v="1"/>
    <s v="Pumpkinseed"/>
    <s v="Lepomis"/>
    <s v="gibbosus"/>
    <s v="U"/>
    <x v="0"/>
    <n v="8"/>
    <n v="11.81"/>
    <x v="44"/>
    <s v="756426-58-1"/>
    <x v="44"/>
    <n v="7.0000000000000007E-2"/>
  </r>
  <r>
    <s v="PU054-JBA-08162021"/>
    <s v="Spill"/>
    <x v="1"/>
    <s v="Pumpkinseed"/>
    <s v="Lepomis"/>
    <s v="gibbosus"/>
    <s v="U"/>
    <x v="0"/>
    <n v="8"/>
    <n v="11.81"/>
    <x v="45"/>
    <s v="763051-92-9"/>
    <x v="45"/>
    <n v="7.0000000000000007E-2"/>
  </r>
  <r>
    <s v="PU054-JBA-08162021"/>
    <s v="Spill"/>
    <x v="1"/>
    <s v="Pumpkinseed"/>
    <s v="Lepomis"/>
    <s v="gibbosus"/>
    <s v="U"/>
    <x v="0"/>
    <n v="8"/>
    <n v="11.81"/>
    <x v="46"/>
    <s v="13252-13-6"/>
    <x v="46"/>
    <n v="0.10050000000000001"/>
  </r>
  <r>
    <s v="PU054-JBA-08162021"/>
    <s v="Spill"/>
    <x v="1"/>
    <s v="Pumpkinseed"/>
    <s v="Lepomis"/>
    <s v="gibbosus"/>
    <s v="U"/>
    <x v="0"/>
    <n v="8"/>
    <n v="11.81"/>
    <x v="47"/>
    <s v="57677-95-9"/>
    <x v="47"/>
    <n v="7.4499999999999997E-2"/>
  </r>
  <r>
    <s v="PU054-JBA-08162021"/>
    <s v="Spill"/>
    <x v="1"/>
    <s v="Pumpkinseed"/>
    <s v="Lepomis"/>
    <s v="gibbosus"/>
    <s v="U"/>
    <x v="0"/>
    <n v="8"/>
    <n v="11.81"/>
    <x v="48"/>
    <s v="678-41-1"/>
    <x v="48"/>
    <n v="9.2999999999999999E-2"/>
  </r>
  <r>
    <s v="PU054-JBA-08162021"/>
    <s v="Spill"/>
    <x v="1"/>
    <s v="Pumpkinseed"/>
    <s v="Lepomis"/>
    <s v="gibbosus"/>
    <s v="U"/>
    <x v="0"/>
    <n v="8"/>
    <n v="11.81"/>
    <x v="49"/>
    <s v="2965-52-8"/>
    <x v="49"/>
    <n v="0.1235"/>
  </r>
  <r>
    <s v="PU055-JBA-08162021"/>
    <s v="Spill"/>
    <x v="1"/>
    <s v="Pumpkinseed"/>
    <s v="Lepomis"/>
    <s v="gibbosus"/>
    <s v="U"/>
    <x v="0"/>
    <n v="8"/>
    <n v="11.81"/>
    <x v="0"/>
    <s v="375-22-4"/>
    <x v="0"/>
    <n v="0.25"/>
  </r>
  <r>
    <s v="PU055-JBA-08162021"/>
    <s v="Spill"/>
    <x v="1"/>
    <s v="Pumpkinseed"/>
    <s v="Lepomis"/>
    <s v="gibbosus"/>
    <s v="U"/>
    <x v="0"/>
    <n v="8"/>
    <n v="11.81"/>
    <x v="1"/>
    <s v="2706-90-3"/>
    <x v="1"/>
    <n v="5.3499999999999999E-2"/>
  </r>
  <r>
    <s v="PU055-JBA-08162021"/>
    <s v="Spill"/>
    <x v="1"/>
    <s v="Pumpkinseed"/>
    <s v="Lepomis"/>
    <s v="gibbosus"/>
    <s v="U"/>
    <x v="0"/>
    <n v="8"/>
    <n v="11.81"/>
    <x v="2"/>
    <s v="307-24-4"/>
    <x v="2"/>
    <n v="4.0899999999999999E-2"/>
  </r>
  <r>
    <s v="PU055-JBA-08162021"/>
    <s v="Spill"/>
    <x v="1"/>
    <s v="Pumpkinseed"/>
    <s v="Lepomis"/>
    <s v="gibbosus"/>
    <s v="U"/>
    <x v="0"/>
    <n v="8"/>
    <n v="11.81"/>
    <x v="3"/>
    <s v="375-85-9"/>
    <x v="3"/>
    <n v="3.0300000000000001E-2"/>
  </r>
  <r>
    <s v="PU055-JBA-08162021"/>
    <s v="Spill"/>
    <x v="1"/>
    <s v="Pumpkinseed"/>
    <s v="Lepomis"/>
    <s v="gibbosus"/>
    <s v="U"/>
    <x v="0"/>
    <n v="8"/>
    <n v="11.81"/>
    <x v="4"/>
    <s v="335-67-1"/>
    <x v="4"/>
    <n v="0.36299999999999999"/>
  </r>
  <r>
    <s v="PU055-JBA-08162021"/>
    <s v="Spill"/>
    <x v="1"/>
    <s v="Pumpkinseed"/>
    <s v="Lepomis"/>
    <s v="gibbosus"/>
    <s v="U"/>
    <x v="0"/>
    <n v="8"/>
    <n v="11.81"/>
    <x v="5"/>
    <s v="375-95-1"/>
    <x v="5"/>
    <n v="0.17299999999999999"/>
  </r>
  <r>
    <s v="PU055-JBA-08162021"/>
    <s v="Spill"/>
    <x v="1"/>
    <s v="Pumpkinseed"/>
    <s v="Lepomis"/>
    <s v="gibbosus"/>
    <s v="U"/>
    <x v="0"/>
    <n v="8"/>
    <n v="11.81"/>
    <x v="6"/>
    <s v="335-76-2"/>
    <x v="6"/>
    <n v="2.0299999999999998"/>
  </r>
  <r>
    <s v="PU055-JBA-08162021"/>
    <s v="Spill"/>
    <x v="1"/>
    <s v="Pumpkinseed"/>
    <s v="Lepomis"/>
    <s v="gibbosus"/>
    <s v="U"/>
    <x v="0"/>
    <n v="8"/>
    <n v="11.81"/>
    <x v="7"/>
    <s v="2058-94-8"/>
    <x v="7"/>
    <n v="2.83"/>
  </r>
  <r>
    <s v="PU055-JBA-08162021"/>
    <s v="Spill"/>
    <x v="1"/>
    <s v="Pumpkinseed"/>
    <s v="Lepomis"/>
    <s v="gibbosus"/>
    <s v="U"/>
    <x v="0"/>
    <n v="8"/>
    <n v="11.81"/>
    <x v="8"/>
    <s v="307-55-1"/>
    <x v="8"/>
    <n v="6.76"/>
  </r>
  <r>
    <s v="PU055-JBA-08162021"/>
    <s v="Spill"/>
    <x v="1"/>
    <s v="Pumpkinseed"/>
    <s v="Lepomis"/>
    <s v="gibbosus"/>
    <s v="U"/>
    <x v="0"/>
    <n v="8"/>
    <n v="11.81"/>
    <x v="9"/>
    <s v="72629-94-8"/>
    <x v="9"/>
    <n v="2.86"/>
  </r>
  <r>
    <s v="PU055-JBA-08162021"/>
    <s v="Spill"/>
    <x v="1"/>
    <s v="Pumpkinseed"/>
    <s v="Lepomis"/>
    <s v="gibbosus"/>
    <s v="U"/>
    <x v="0"/>
    <n v="8"/>
    <n v="11.81"/>
    <x v="10"/>
    <s v="376-06-7"/>
    <x v="10"/>
    <n v="7.98"/>
  </r>
  <r>
    <s v="PU055-JBA-08162021"/>
    <s v="Spill"/>
    <x v="1"/>
    <s v="Pumpkinseed"/>
    <s v="Lepomis"/>
    <s v="gibbosus"/>
    <s v="U"/>
    <x v="0"/>
    <n v="8"/>
    <n v="11.81"/>
    <x v="11"/>
    <s v="67905-19-5"/>
    <x v="11"/>
    <n v="9.0499999999999997E-2"/>
  </r>
  <r>
    <s v="PU055-JBA-08162021"/>
    <s v="Spill"/>
    <x v="1"/>
    <s v="Pumpkinseed"/>
    <s v="Lepomis"/>
    <s v="gibbosus"/>
    <s v="U"/>
    <x v="0"/>
    <n v="8"/>
    <n v="11.81"/>
    <x v="12"/>
    <s v="423-41-6"/>
    <x v="12"/>
    <n v="7.5499999999999998E-2"/>
  </r>
  <r>
    <s v="PU055-JBA-08162021"/>
    <s v="Spill"/>
    <x v="1"/>
    <s v="Pumpkinseed"/>
    <s v="Lepomis"/>
    <s v="gibbosus"/>
    <s v="U"/>
    <x v="0"/>
    <n v="8"/>
    <n v="11.81"/>
    <x v="13"/>
    <s v="375-73-5"/>
    <x v="13"/>
    <n v="0.17"/>
  </r>
  <r>
    <s v="PU055-JBA-08162021"/>
    <s v="Spill"/>
    <x v="1"/>
    <s v="Pumpkinseed"/>
    <s v="Lepomis"/>
    <s v="gibbosus"/>
    <s v="U"/>
    <x v="0"/>
    <n v="8"/>
    <n v="11.81"/>
    <x v="14"/>
    <s v="2706-91-4"/>
    <x v="14"/>
    <n v="7.5499999999999998E-2"/>
  </r>
  <r>
    <s v="PU055-JBA-08162021"/>
    <s v="Spill"/>
    <x v="1"/>
    <s v="Pumpkinseed"/>
    <s v="Lepomis"/>
    <s v="gibbosus"/>
    <s v="U"/>
    <x v="0"/>
    <n v="8"/>
    <n v="11.81"/>
    <x v="15"/>
    <s v="355-46-4"/>
    <x v="15"/>
    <n v="7.18"/>
  </r>
  <r>
    <s v="PU055-JBA-08162021"/>
    <s v="Spill"/>
    <x v="1"/>
    <s v="Pumpkinseed"/>
    <s v="Lepomis"/>
    <s v="gibbosus"/>
    <s v="U"/>
    <x v="0"/>
    <n v="8"/>
    <n v="11.81"/>
    <x v="16"/>
    <s v="375-92-8"/>
    <x v="16"/>
    <n v="1.66"/>
  </r>
  <r>
    <s v="PU055-JBA-08162021"/>
    <s v="Spill"/>
    <x v="1"/>
    <s v="Pumpkinseed"/>
    <s v="Lepomis"/>
    <s v="gibbosus"/>
    <s v="U"/>
    <x v="0"/>
    <n v="8"/>
    <n v="11.81"/>
    <x v="17"/>
    <s v="1763-23-1"/>
    <x v="17"/>
    <n v="441"/>
  </r>
  <r>
    <s v="PU055-JBA-08162021"/>
    <s v="Spill"/>
    <x v="1"/>
    <s v="Pumpkinseed"/>
    <s v="Lepomis"/>
    <s v="gibbosus"/>
    <s v="U"/>
    <x v="0"/>
    <n v="8"/>
    <n v="11.81"/>
    <x v="18"/>
    <s v="68259-12-1"/>
    <x v="18"/>
    <n v="1.45"/>
  </r>
  <r>
    <s v="PU055-JBA-08162021"/>
    <s v="Spill"/>
    <x v="1"/>
    <s v="Pumpkinseed"/>
    <s v="Lepomis"/>
    <s v="gibbosus"/>
    <s v="U"/>
    <x v="0"/>
    <n v="8"/>
    <n v="11.81"/>
    <x v="19"/>
    <s v="335-77-3"/>
    <x v="19"/>
    <n v="1.38"/>
  </r>
  <r>
    <s v="PU055-JBA-08162021"/>
    <s v="Spill"/>
    <x v="1"/>
    <s v="Pumpkinseed"/>
    <s v="Lepomis"/>
    <s v="gibbosus"/>
    <s v="U"/>
    <x v="0"/>
    <n v="8"/>
    <n v="11.81"/>
    <x v="20"/>
    <s v="79780-39-5"/>
    <x v="20"/>
    <n v="1.47"/>
  </r>
  <r>
    <s v="PU055-JBA-08162021"/>
    <s v="Spill"/>
    <x v="1"/>
    <s v="Pumpkinseed"/>
    <s v="Lepomis"/>
    <s v="gibbosus"/>
    <s v="U"/>
    <x v="0"/>
    <n v="8"/>
    <n v="11.81"/>
    <x v="21"/>
    <s v="777011-38-8"/>
    <x v="21"/>
    <n v="4.6050000000000001E-2"/>
  </r>
  <r>
    <s v="PU055-JBA-08162021"/>
    <s v="Spill"/>
    <x v="1"/>
    <s v="Pumpkinseed"/>
    <s v="Lepomis"/>
    <s v="gibbosus"/>
    <s v="U"/>
    <x v="0"/>
    <n v="8"/>
    <n v="11.81"/>
    <x v="22"/>
    <s v="646-83-3"/>
    <x v="22"/>
    <n v="0.25"/>
  </r>
  <r>
    <s v="PU055-JBA-08162021"/>
    <s v="Spill"/>
    <x v="1"/>
    <s v="Pumpkinseed"/>
    <s v="Lepomis"/>
    <s v="gibbosus"/>
    <s v="U"/>
    <x v="0"/>
    <n v="8"/>
    <n v="11.81"/>
    <x v="23"/>
    <s v="30334-69-1"/>
    <x v="23"/>
    <n v="24.6"/>
  </r>
  <r>
    <s v="PU055-JBA-08162021"/>
    <s v="Spill"/>
    <x v="1"/>
    <s v="Pumpkinseed"/>
    <s v="Lepomis"/>
    <s v="gibbosus"/>
    <s v="U"/>
    <x v="0"/>
    <n v="8"/>
    <n v="11.81"/>
    <x v="24"/>
    <s v="41997-13-1"/>
    <x v="24"/>
    <n v="55.1"/>
  </r>
  <r>
    <s v="PU055-JBA-08162021"/>
    <s v="Spill"/>
    <x v="1"/>
    <s v="Pumpkinseed"/>
    <s v="Lepomis"/>
    <s v="gibbosus"/>
    <s v="U"/>
    <x v="0"/>
    <n v="8"/>
    <n v="11.81"/>
    <x v="25"/>
    <s v="754-91-6"/>
    <x v="25"/>
    <n v="7.58"/>
  </r>
  <r>
    <s v="PU055-JBA-08162021"/>
    <s v="Spill"/>
    <x v="1"/>
    <s v="Pumpkinseed"/>
    <s v="Lepomis"/>
    <s v="gibbosus"/>
    <s v="U"/>
    <x v="0"/>
    <n v="8"/>
    <n v="11.81"/>
    <x v="26"/>
    <s v="31506-32-8"/>
    <x v="26"/>
    <n v="7.5499999999999998E-2"/>
  </r>
  <r>
    <s v="PU055-JBA-08162021"/>
    <s v="Spill"/>
    <x v="1"/>
    <s v="Pumpkinseed"/>
    <s v="Lepomis"/>
    <s v="gibbosus"/>
    <s v="U"/>
    <x v="0"/>
    <n v="8"/>
    <n v="11.81"/>
    <x v="27"/>
    <s v="4151-50-2"/>
    <x v="27"/>
    <n v="8.8499999999999995E-2"/>
  </r>
  <r>
    <s v="PU055-JBA-08162021"/>
    <s v="Spill"/>
    <x v="1"/>
    <s v="Pumpkinseed"/>
    <s v="Lepomis"/>
    <s v="gibbosus"/>
    <s v="U"/>
    <x v="0"/>
    <n v="8"/>
    <n v="11.81"/>
    <x v="28"/>
    <s v="2806-24-8"/>
    <x v="28"/>
    <n v="5.9499999999999997E-2"/>
  </r>
  <r>
    <s v="PU055-JBA-08162021"/>
    <s v="Spill"/>
    <x v="1"/>
    <s v="Pumpkinseed"/>
    <s v="Lepomis"/>
    <s v="gibbosus"/>
    <s v="U"/>
    <x v="0"/>
    <n v="8"/>
    <n v="11.81"/>
    <x v="29"/>
    <s v="2355-31-9"/>
    <x v="29"/>
    <n v="7.5999999999999998E-2"/>
  </r>
  <r>
    <s v="PU055-JBA-08162021"/>
    <s v="Spill"/>
    <x v="1"/>
    <s v="Pumpkinseed"/>
    <s v="Lepomis"/>
    <s v="gibbosus"/>
    <s v="U"/>
    <x v="0"/>
    <n v="8"/>
    <n v="11.81"/>
    <x v="30"/>
    <s v="2991-50-6"/>
    <x v="30"/>
    <n v="6.5500000000000003E-2"/>
  </r>
  <r>
    <s v="PU055-JBA-08162021"/>
    <s v="Spill"/>
    <x v="1"/>
    <s v="Pumpkinseed"/>
    <s v="Lepomis"/>
    <s v="gibbosus"/>
    <s v="U"/>
    <x v="0"/>
    <n v="8"/>
    <n v="11.81"/>
    <x v="31"/>
    <s v="757124-72-4"/>
    <x v="31"/>
    <n v="7.5499999999999998E-2"/>
  </r>
  <r>
    <s v="PU055-JBA-08162021"/>
    <s v="Spill"/>
    <x v="1"/>
    <s v="Pumpkinseed"/>
    <s v="Lepomis"/>
    <s v="gibbosus"/>
    <s v="U"/>
    <x v="0"/>
    <n v="8"/>
    <n v="11.81"/>
    <x v="32"/>
    <s v="27619-97-2"/>
    <x v="32"/>
    <n v="0.151"/>
  </r>
  <r>
    <s v="PU055-JBA-08162021"/>
    <s v="Spill"/>
    <x v="1"/>
    <s v="Pumpkinseed"/>
    <s v="Lepomis"/>
    <s v="gibbosus"/>
    <s v="U"/>
    <x v="0"/>
    <n v="8"/>
    <n v="11.81"/>
    <x v="33"/>
    <s v="39108-34-4"/>
    <x v="33"/>
    <n v="1.62"/>
  </r>
  <r>
    <s v="PU055-JBA-08162021"/>
    <s v="Spill"/>
    <x v="1"/>
    <s v="Pumpkinseed"/>
    <s v="Lepomis"/>
    <s v="gibbosus"/>
    <s v="U"/>
    <x v="0"/>
    <n v="8"/>
    <n v="11.81"/>
    <x v="34"/>
    <s v="120226-60-0"/>
    <x v="34"/>
    <n v="0.28399999999999997"/>
  </r>
  <r>
    <s v="PU055-JBA-08162021"/>
    <s v="Spill"/>
    <x v="1"/>
    <s v="Pumpkinseed"/>
    <s v="Lepomis"/>
    <s v="gibbosus"/>
    <s v="U"/>
    <x v="0"/>
    <n v="8"/>
    <n v="11.81"/>
    <x v="35"/>
    <s v="356-02-5"/>
    <x v="35"/>
    <n v="8.7499999999999994E-2"/>
  </r>
  <r>
    <s v="PU055-JBA-08162021"/>
    <s v="Spill"/>
    <x v="1"/>
    <s v="Pumpkinseed"/>
    <s v="Lepomis"/>
    <s v="gibbosus"/>
    <s v="U"/>
    <x v="0"/>
    <n v="8"/>
    <n v="11.81"/>
    <x v="36"/>
    <s v="914637-49-3"/>
    <x v="36"/>
    <n v="7.19"/>
  </r>
  <r>
    <s v="PU055-JBA-08162021"/>
    <s v="Spill"/>
    <x v="1"/>
    <s v="Pumpkinseed"/>
    <s v="Lepomis"/>
    <s v="gibbosus"/>
    <s v="U"/>
    <x v="0"/>
    <n v="8"/>
    <n v="11.81"/>
    <x v="37"/>
    <s v="812-70-4"/>
    <x v="37"/>
    <n v="5.48"/>
  </r>
  <r>
    <s v="PU055-JBA-08162021"/>
    <s v="Spill"/>
    <x v="1"/>
    <s v="Pumpkinseed"/>
    <s v="Lepomis"/>
    <s v="gibbosus"/>
    <s v="U"/>
    <x v="0"/>
    <n v="8"/>
    <n v="11.81"/>
    <x v="38"/>
    <s v="53826-12-3"/>
    <x v="38"/>
    <n v="7.5499999999999998E-2"/>
  </r>
  <r>
    <s v="PU055-JBA-08162021"/>
    <s v="Spill"/>
    <x v="1"/>
    <s v="Pumpkinseed"/>
    <s v="Lepomis"/>
    <s v="gibbosus"/>
    <s v="U"/>
    <x v="0"/>
    <n v="8"/>
    <n v="11.81"/>
    <x v="39"/>
    <s v="27854-31-5"/>
    <x v="39"/>
    <n v="7.5499999999999998E-2"/>
  </r>
  <r>
    <s v="PU055-JBA-08162021"/>
    <s v="Spill"/>
    <x v="1"/>
    <s v="Pumpkinseed"/>
    <s v="Lepomis"/>
    <s v="gibbosus"/>
    <s v="U"/>
    <x v="0"/>
    <n v="8"/>
    <n v="11.81"/>
    <x v="40"/>
    <s v="53826-13-4"/>
    <x v="40"/>
    <n v="0.113"/>
  </r>
  <r>
    <s v="PU055-JBA-08162021"/>
    <s v="Spill"/>
    <x v="1"/>
    <s v="Pumpkinseed"/>
    <s v="Lepomis"/>
    <s v="gibbosus"/>
    <s v="U"/>
    <x v="0"/>
    <n v="8"/>
    <n v="11.81"/>
    <x v="41"/>
    <s v="161094-75-3"/>
    <x v="41"/>
    <n v="5.9499999999999997E-2"/>
  </r>
  <r>
    <s v="PU055-JBA-08162021"/>
    <s v="Spill"/>
    <x v="1"/>
    <s v="Pumpkinseed"/>
    <s v="Lepomis"/>
    <s v="gibbosus"/>
    <s v="U"/>
    <x v="0"/>
    <n v="8"/>
    <n v="11.81"/>
    <x v="42"/>
    <s v="70887-84-2"/>
    <x v="42"/>
    <n v="4.5749999999999999E-2"/>
  </r>
  <r>
    <s v="PU055-JBA-08162021"/>
    <s v="Spill"/>
    <x v="1"/>
    <s v="Pumpkinseed"/>
    <s v="Lepomis"/>
    <s v="gibbosus"/>
    <s v="U"/>
    <x v="0"/>
    <n v="8"/>
    <n v="11.81"/>
    <x v="43"/>
    <s v="919005-14-4"/>
    <x v="43"/>
    <n v="6.7000000000000004E-2"/>
  </r>
  <r>
    <s v="PU055-JBA-08162021"/>
    <s v="Spill"/>
    <x v="1"/>
    <s v="Pumpkinseed"/>
    <s v="Lepomis"/>
    <s v="gibbosus"/>
    <s v="U"/>
    <x v="0"/>
    <n v="8"/>
    <n v="11.81"/>
    <x v="44"/>
    <s v="756426-58-1"/>
    <x v="44"/>
    <n v="7.5499999999999998E-2"/>
  </r>
  <r>
    <s v="PU055-JBA-08162021"/>
    <s v="Spill"/>
    <x v="1"/>
    <s v="Pumpkinseed"/>
    <s v="Lepomis"/>
    <s v="gibbosus"/>
    <s v="U"/>
    <x v="0"/>
    <n v="8"/>
    <n v="11.81"/>
    <x v="45"/>
    <s v="763051-92-9"/>
    <x v="45"/>
    <n v="7.5499999999999998E-2"/>
  </r>
  <r>
    <s v="PU055-JBA-08162021"/>
    <s v="Spill"/>
    <x v="1"/>
    <s v="Pumpkinseed"/>
    <s v="Lepomis"/>
    <s v="gibbosus"/>
    <s v="U"/>
    <x v="0"/>
    <n v="8"/>
    <n v="11.81"/>
    <x v="46"/>
    <s v="13252-13-6"/>
    <x v="46"/>
    <n v="0.1085"/>
  </r>
  <r>
    <s v="PU055-JBA-08162021"/>
    <s v="Spill"/>
    <x v="1"/>
    <s v="Pumpkinseed"/>
    <s v="Lepomis"/>
    <s v="gibbosus"/>
    <s v="U"/>
    <x v="0"/>
    <n v="8"/>
    <n v="11.81"/>
    <x v="47"/>
    <s v="57677-95-9"/>
    <x v="47"/>
    <n v="8.0500000000000002E-2"/>
  </r>
  <r>
    <s v="PU055-JBA-08162021"/>
    <s v="Spill"/>
    <x v="1"/>
    <s v="Pumpkinseed"/>
    <s v="Lepomis"/>
    <s v="gibbosus"/>
    <s v="U"/>
    <x v="0"/>
    <n v="8"/>
    <n v="11.81"/>
    <x v="48"/>
    <s v="678-41-1"/>
    <x v="48"/>
    <n v="0.10050000000000001"/>
  </r>
  <r>
    <s v="PU055-JBA-08162021"/>
    <s v="Spill"/>
    <x v="1"/>
    <s v="Pumpkinseed"/>
    <s v="Lepomis"/>
    <s v="gibbosus"/>
    <s v="U"/>
    <x v="0"/>
    <n v="8"/>
    <n v="11.81"/>
    <x v="49"/>
    <s v="2965-52-8"/>
    <x v="49"/>
    <n v="0.13350000000000001"/>
  </r>
  <r>
    <s v="PU056-JBA-08162021"/>
    <s v="Spill"/>
    <x v="1"/>
    <s v="Pumpkinseed"/>
    <s v="Lepomis"/>
    <s v="gibbosus"/>
    <s v="U"/>
    <x v="0"/>
    <n v="8"/>
    <n v="11.81"/>
    <x v="0"/>
    <s v="375-22-4"/>
    <x v="0"/>
    <n v="0.2145"/>
  </r>
  <r>
    <s v="PU056-JBA-08162021"/>
    <s v="Spill"/>
    <x v="1"/>
    <s v="Pumpkinseed"/>
    <s v="Lepomis"/>
    <s v="gibbosus"/>
    <s v="U"/>
    <x v="0"/>
    <n v="8"/>
    <n v="11.81"/>
    <x v="1"/>
    <s v="2706-90-3"/>
    <x v="1"/>
    <n v="4.5900000000000003E-2"/>
  </r>
  <r>
    <s v="PU056-JBA-08162021"/>
    <s v="Spill"/>
    <x v="1"/>
    <s v="Pumpkinseed"/>
    <s v="Lepomis"/>
    <s v="gibbosus"/>
    <s v="U"/>
    <x v="0"/>
    <n v="8"/>
    <n v="11.81"/>
    <x v="2"/>
    <s v="307-24-4"/>
    <x v="2"/>
    <n v="0.11550000000000001"/>
  </r>
  <r>
    <s v="PU056-JBA-08162021"/>
    <s v="Spill"/>
    <x v="1"/>
    <s v="Pumpkinseed"/>
    <s v="Lepomis"/>
    <s v="gibbosus"/>
    <s v="U"/>
    <x v="0"/>
    <n v="8"/>
    <n v="11.81"/>
    <x v="3"/>
    <s v="375-85-9"/>
    <x v="3"/>
    <n v="8.5500000000000007E-2"/>
  </r>
  <r>
    <s v="PU056-JBA-08162021"/>
    <s v="Spill"/>
    <x v="1"/>
    <s v="Pumpkinseed"/>
    <s v="Lepomis"/>
    <s v="gibbosus"/>
    <s v="U"/>
    <x v="0"/>
    <n v="8"/>
    <n v="11.81"/>
    <x v="4"/>
    <s v="335-67-1"/>
    <x v="4"/>
    <n v="0.49199999999999999"/>
  </r>
  <r>
    <s v="PU056-JBA-08162021"/>
    <s v="Spill"/>
    <x v="1"/>
    <s v="Pumpkinseed"/>
    <s v="Lepomis"/>
    <s v="gibbosus"/>
    <s v="U"/>
    <x v="0"/>
    <n v="8"/>
    <n v="11.81"/>
    <x v="5"/>
    <s v="375-95-1"/>
    <x v="5"/>
    <n v="0.14849999999999999"/>
  </r>
  <r>
    <s v="PU056-JBA-08162021"/>
    <s v="Spill"/>
    <x v="1"/>
    <s v="Pumpkinseed"/>
    <s v="Lepomis"/>
    <s v="gibbosus"/>
    <s v="U"/>
    <x v="0"/>
    <n v="8"/>
    <n v="11.81"/>
    <x v="6"/>
    <s v="335-76-2"/>
    <x v="6"/>
    <n v="3.14"/>
  </r>
  <r>
    <s v="PU056-JBA-08162021"/>
    <s v="Spill"/>
    <x v="1"/>
    <s v="Pumpkinseed"/>
    <s v="Lepomis"/>
    <s v="gibbosus"/>
    <s v="U"/>
    <x v="0"/>
    <n v="8"/>
    <n v="11.81"/>
    <x v="7"/>
    <s v="2058-94-8"/>
    <x v="7"/>
    <n v="4.3899999999999997"/>
  </r>
  <r>
    <s v="PU056-JBA-08162021"/>
    <s v="Spill"/>
    <x v="1"/>
    <s v="Pumpkinseed"/>
    <s v="Lepomis"/>
    <s v="gibbosus"/>
    <s v="U"/>
    <x v="0"/>
    <n v="8"/>
    <n v="11.81"/>
    <x v="8"/>
    <s v="307-55-1"/>
    <x v="8"/>
    <n v="5.51"/>
  </r>
  <r>
    <s v="PU056-JBA-08162021"/>
    <s v="Spill"/>
    <x v="1"/>
    <s v="Pumpkinseed"/>
    <s v="Lepomis"/>
    <s v="gibbosus"/>
    <s v="U"/>
    <x v="0"/>
    <n v="8"/>
    <n v="11.81"/>
    <x v="9"/>
    <s v="72629-94-8"/>
    <x v="9"/>
    <n v="2.5"/>
  </r>
  <r>
    <s v="PU056-JBA-08162021"/>
    <s v="Spill"/>
    <x v="1"/>
    <s v="Pumpkinseed"/>
    <s v="Lepomis"/>
    <s v="gibbosus"/>
    <s v="U"/>
    <x v="0"/>
    <n v="8"/>
    <n v="11.81"/>
    <x v="10"/>
    <s v="376-06-7"/>
    <x v="10"/>
    <n v="6.88"/>
  </r>
  <r>
    <s v="PU056-JBA-08162021"/>
    <s v="Spill"/>
    <x v="1"/>
    <s v="Pumpkinseed"/>
    <s v="Lepomis"/>
    <s v="gibbosus"/>
    <s v="U"/>
    <x v="0"/>
    <n v="8"/>
    <n v="11.81"/>
    <x v="11"/>
    <s v="67905-19-5"/>
    <x v="11"/>
    <n v="7.7499999999999999E-2"/>
  </r>
  <r>
    <s v="PU056-JBA-08162021"/>
    <s v="Spill"/>
    <x v="1"/>
    <s v="Pumpkinseed"/>
    <s v="Lepomis"/>
    <s v="gibbosus"/>
    <s v="U"/>
    <x v="0"/>
    <n v="8"/>
    <n v="11.81"/>
    <x v="12"/>
    <s v="423-41-6"/>
    <x v="12"/>
    <n v="6.5000000000000002E-2"/>
  </r>
  <r>
    <s v="PU056-JBA-08162021"/>
    <s v="Spill"/>
    <x v="1"/>
    <s v="Pumpkinseed"/>
    <s v="Lepomis"/>
    <s v="gibbosus"/>
    <s v="U"/>
    <x v="0"/>
    <n v="8"/>
    <n v="11.81"/>
    <x v="13"/>
    <s v="375-73-5"/>
    <x v="13"/>
    <n v="0.14599999999999999"/>
  </r>
  <r>
    <s v="PU056-JBA-08162021"/>
    <s v="Spill"/>
    <x v="1"/>
    <s v="Pumpkinseed"/>
    <s v="Lepomis"/>
    <s v="gibbosus"/>
    <s v="U"/>
    <x v="0"/>
    <n v="8"/>
    <n v="11.81"/>
    <x v="14"/>
    <s v="2706-91-4"/>
    <x v="14"/>
    <n v="0.2145"/>
  </r>
  <r>
    <s v="PU056-JBA-08162021"/>
    <s v="Spill"/>
    <x v="1"/>
    <s v="Pumpkinseed"/>
    <s v="Lepomis"/>
    <s v="gibbosus"/>
    <s v="U"/>
    <x v="0"/>
    <n v="8"/>
    <n v="11.81"/>
    <x v="15"/>
    <s v="355-46-4"/>
    <x v="15"/>
    <n v="7.81"/>
  </r>
  <r>
    <s v="PU056-JBA-08162021"/>
    <s v="Spill"/>
    <x v="1"/>
    <s v="Pumpkinseed"/>
    <s v="Lepomis"/>
    <s v="gibbosus"/>
    <s v="U"/>
    <x v="0"/>
    <n v="8"/>
    <n v="11.81"/>
    <x v="16"/>
    <s v="375-92-8"/>
    <x v="16"/>
    <n v="1.17"/>
  </r>
  <r>
    <s v="PU056-JBA-08162021"/>
    <s v="Spill"/>
    <x v="1"/>
    <s v="Pumpkinseed"/>
    <s v="Lepomis"/>
    <s v="gibbosus"/>
    <s v="U"/>
    <x v="0"/>
    <n v="8"/>
    <n v="11.81"/>
    <x v="17"/>
    <s v="1763-23-1"/>
    <x v="17"/>
    <n v="567"/>
  </r>
  <r>
    <s v="PU056-JBA-08162021"/>
    <s v="Spill"/>
    <x v="1"/>
    <s v="Pumpkinseed"/>
    <s v="Lepomis"/>
    <s v="gibbosus"/>
    <s v="U"/>
    <x v="0"/>
    <n v="8"/>
    <n v="11.81"/>
    <x v="18"/>
    <s v="68259-12-1"/>
    <x v="18"/>
    <n v="1.59"/>
  </r>
  <r>
    <s v="PU056-JBA-08162021"/>
    <s v="Spill"/>
    <x v="1"/>
    <s v="Pumpkinseed"/>
    <s v="Lepomis"/>
    <s v="gibbosus"/>
    <s v="U"/>
    <x v="0"/>
    <n v="8"/>
    <n v="11.81"/>
    <x v="19"/>
    <s v="335-77-3"/>
    <x v="19"/>
    <n v="1.97"/>
  </r>
  <r>
    <s v="PU056-JBA-08162021"/>
    <s v="Spill"/>
    <x v="1"/>
    <s v="Pumpkinseed"/>
    <s v="Lepomis"/>
    <s v="gibbosus"/>
    <s v="U"/>
    <x v="0"/>
    <n v="8"/>
    <n v="11.81"/>
    <x v="20"/>
    <s v="79780-39-5"/>
    <x v="20"/>
    <n v="0.629"/>
  </r>
  <r>
    <s v="PU056-JBA-08162021"/>
    <s v="Spill"/>
    <x v="1"/>
    <s v="Pumpkinseed"/>
    <s v="Lepomis"/>
    <s v="gibbosus"/>
    <s v="U"/>
    <x v="0"/>
    <n v="8"/>
    <n v="11.81"/>
    <x v="21"/>
    <s v="777011-38-8"/>
    <x v="21"/>
    <n v="0.1305"/>
  </r>
  <r>
    <s v="PU056-JBA-08162021"/>
    <s v="Spill"/>
    <x v="1"/>
    <s v="Pumpkinseed"/>
    <s v="Lepomis"/>
    <s v="gibbosus"/>
    <s v="U"/>
    <x v="0"/>
    <n v="8"/>
    <n v="11.81"/>
    <x v="22"/>
    <s v="646-83-3"/>
    <x v="22"/>
    <n v="0.2145"/>
  </r>
  <r>
    <s v="PU056-JBA-08162021"/>
    <s v="Spill"/>
    <x v="1"/>
    <s v="Pumpkinseed"/>
    <s v="Lepomis"/>
    <s v="gibbosus"/>
    <s v="U"/>
    <x v="0"/>
    <n v="8"/>
    <n v="11.81"/>
    <x v="23"/>
    <s v="30334-69-1"/>
    <x v="23"/>
    <n v="16.899999999999999"/>
  </r>
  <r>
    <s v="PU056-JBA-08162021"/>
    <s v="Spill"/>
    <x v="1"/>
    <s v="Pumpkinseed"/>
    <s v="Lepomis"/>
    <s v="gibbosus"/>
    <s v="U"/>
    <x v="0"/>
    <n v="8"/>
    <n v="11.81"/>
    <x v="24"/>
    <s v="41997-13-1"/>
    <x v="24"/>
    <n v="52.1"/>
  </r>
  <r>
    <s v="PU056-JBA-08162021"/>
    <s v="Spill"/>
    <x v="1"/>
    <s v="Pumpkinseed"/>
    <s v="Lepomis"/>
    <s v="gibbosus"/>
    <s v="U"/>
    <x v="0"/>
    <n v="8"/>
    <n v="11.81"/>
    <x v="25"/>
    <s v="754-91-6"/>
    <x v="25"/>
    <n v="6.24"/>
  </r>
  <r>
    <s v="PU056-JBA-08162021"/>
    <s v="Spill"/>
    <x v="1"/>
    <s v="Pumpkinseed"/>
    <s v="Lepomis"/>
    <s v="gibbosus"/>
    <s v="U"/>
    <x v="0"/>
    <n v="8"/>
    <n v="11.81"/>
    <x v="26"/>
    <s v="31506-32-8"/>
    <x v="26"/>
    <n v="6.5000000000000002E-2"/>
  </r>
  <r>
    <s v="PU056-JBA-08162021"/>
    <s v="Spill"/>
    <x v="1"/>
    <s v="Pumpkinseed"/>
    <s v="Lepomis"/>
    <s v="gibbosus"/>
    <s v="U"/>
    <x v="0"/>
    <n v="8"/>
    <n v="11.81"/>
    <x v="27"/>
    <s v="4151-50-2"/>
    <x v="27"/>
    <n v="7.5999999999999998E-2"/>
  </r>
  <r>
    <s v="PU056-JBA-08162021"/>
    <s v="Spill"/>
    <x v="1"/>
    <s v="Pumpkinseed"/>
    <s v="Lepomis"/>
    <s v="gibbosus"/>
    <s v="U"/>
    <x v="0"/>
    <n v="8"/>
    <n v="11.81"/>
    <x v="28"/>
    <s v="2806-24-8"/>
    <x v="28"/>
    <n v="5.0999999999999997E-2"/>
  </r>
  <r>
    <s v="PU056-JBA-08162021"/>
    <s v="Spill"/>
    <x v="1"/>
    <s v="Pumpkinseed"/>
    <s v="Lepomis"/>
    <s v="gibbosus"/>
    <s v="U"/>
    <x v="0"/>
    <n v="8"/>
    <n v="11.81"/>
    <x v="29"/>
    <s v="2355-31-9"/>
    <x v="29"/>
    <n v="6.5500000000000003E-2"/>
  </r>
  <r>
    <s v="PU056-JBA-08162021"/>
    <s v="Spill"/>
    <x v="1"/>
    <s v="Pumpkinseed"/>
    <s v="Lepomis"/>
    <s v="gibbosus"/>
    <s v="U"/>
    <x v="0"/>
    <n v="8"/>
    <n v="11.81"/>
    <x v="30"/>
    <s v="2991-50-6"/>
    <x v="30"/>
    <n v="5.6500000000000002E-2"/>
  </r>
  <r>
    <s v="PU056-JBA-08162021"/>
    <s v="Spill"/>
    <x v="1"/>
    <s v="Pumpkinseed"/>
    <s v="Lepomis"/>
    <s v="gibbosus"/>
    <s v="U"/>
    <x v="0"/>
    <n v="8"/>
    <n v="11.81"/>
    <x v="31"/>
    <s v="757124-72-4"/>
    <x v="31"/>
    <n v="6.5000000000000002E-2"/>
  </r>
  <r>
    <s v="PU056-JBA-08162021"/>
    <s v="Spill"/>
    <x v="1"/>
    <s v="Pumpkinseed"/>
    <s v="Lepomis"/>
    <s v="gibbosus"/>
    <s v="U"/>
    <x v="0"/>
    <n v="8"/>
    <n v="11.81"/>
    <x v="32"/>
    <s v="27619-97-2"/>
    <x v="32"/>
    <n v="0.36599999999999999"/>
  </r>
  <r>
    <s v="PU056-JBA-08162021"/>
    <s v="Spill"/>
    <x v="1"/>
    <s v="Pumpkinseed"/>
    <s v="Lepomis"/>
    <s v="gibbosus"/>
    <s v="U"/>
    <x v="0"/>
    <n v="8"/>
    <n v="11.81"/>
    <x v="33"/>
    <s v="39108-34-4"/>
    <x v="33"/>
    <n v="3.6"/>
  </r>
  <r>
    <s v="PU056-JBA-08162021"/>
    <s v="Spill"/>
    <x v="1"/>
    <s v="Pumpkinseed"/>
    <s v="Lepomis"/>
    <s v="gibbosus"/>
    <s v="U"/>
    <x v="0"/>
    <n v="8"/>
    <n v="11.81"/>
    <x v="34"/>
    <s v="120226-60-0"/>
    <x v="34"/>
    <n v="0.24349999999999999"/>
  </r>
  <r>
    <s v="PU056-JBA-08162021"/>
    <s v="Spill"/>
    <x v="1"/>
    <s v="Pumpkinseed"/>
    <s v="Lepomis"/>
    <s v="gibbosus"/>
    <s v="U"/>
    <x v="0"/>
    <n v="8"/>
    <n v="11.81"/>
    <x v="35"/>
    <s v="356-02-5"/>
    <x v="35"/>
    <n v="7.4999999999999997E-2"/>
  </r>
  <r>
    <s v="PU056-JBA-08162021"/>
    <s v="Spill"/>
    <x v="1"/>
    <s v="Pumpkinseed"/>
    <s v="Lepomis"/>
    <s v="gibbosus"/>
    <s v="U"/>
    <x v="0"/>
    <n v="8"/>
    <n v="11.81"/>
    <x v="36"/>
    <s v="914637-49-3"/>
    <x v="36"/>
    <n v="2.09"/>
  </r>
  <r>
    <s v="PU056-JBA-08162021"/>
    <s v="Spill"/>
    <x v="1"/>
    <s v="Pumpkinseed"/>
    <s v="Lepomis"/>
    <s v="gibbosus"/>
    <s v="U"/>
    <x v="0"/>
    <n v="8"/>
    <n v="11.81"/>
    <x v="37"/>
    <s v="812-70-4"/>
    <x v="37"/>
    <n v="6.07"/>
  </r>
  <r>
    <s v="PU056-JBA-08162021"/>
    <s v="Spill"/>
    <x v="1"/>
    <s v="Pumpkinseed"/>
    <s v="Lepomis"/>
    <s v="gibbosus"/>
    <s v="U"/>
    <x v="0"/>
    <n v="8"/>
    <n v="11.81"/>
    <x v="38"/>
    <s v="53826-12-3"/>
    <x v="38"/>
    <n v="6.5000000000000002E-2"/>
  </r>
  <r>
    <s v="PU056-JBA-08162021"/>
    <s v="Spill"/>
    <x v="1"/>
    <s v="Pumpkinseed"/>
    <s v="Lepomis"/>
    <s v="gibbosus"/>
    <s v="U"/>
    <x v="0"/>
    <n v="8"/>
    <n v="11.81"/>
    <x v="39"/>
    <s v="27854-31-5"/>
    <x v="39"/>
    <n v="6.5000000000000002E-2"/>
  </r>
  <r>
    <s v="PU056-JBA-08162021"/>
    <s v="Spill"/>
    <x v="1"/>
    <s v="Pumpkinseed"/>
    <s v="Lepomis"/>
    <s v="gibbosus"/>
    <s v="U"/>
    <x v="0"/>
    <n v="8"/>
    <n v="11.81"/>
    <x v="40"/>
    <s v="53826-13-4"/>
    <x v="40"/>
    <n v="9.7000000000000003E-2"/>
  </r>
  <r>
    <s v="PU056-JBA-08162021"/>
    <s v="Spill"/>
    <x v="1"/>
    <s v="Pumpkinseed"/>
    <s v="Lepomis"/>
    <s v="gibbosus"/>
    <s v="U"/>
    <x v="0"/>
    <n v="8"/>
    <n v="11.81"/>
    <x v="41"/>
    <s v="161094-75-3"/>
    <x v="41"/>
    <n v="5.0999999999999997E-2"/>
  </r>
  <r>
    <s v="PU056-JBA-08162021"/>
    <s v="Spill"/>
    <x v="1"/>
    <s v="Pumpkinseed"/>
    <s v="Lepomis"/>
    <s v="gibbosus"/>
    <s v="U"/>
    <x v="0"/>
    <n v="8"/>
    <n v="11.81"/>
    <x v="42"/>
    <s v="70887-84-2"/>
    <x v="42"/>
    <n v="3.925E-2"/>
  </r>
  <r>
    <s v="PU056-JBA-08162021"/>
    <s v="Spill"/>
    <x v="1"/>
    <s v="Pumpkinseed"/>
    <s v="Lepomis"/>
    <s v="gibbosus"/>
    <s v="U"/>
    <x v="0"/>
    <n v="8"/>
    <n v="11.81"/>
    <x v="43"/>
    <s v="919005-14-4"/>
    <x v="43"/>
    <n v="0.189"/>
  </r>
  <r>
    <s v="PU056-JBA-08162021"/>
    <s v="Spill"/>
    <x v="1"/>
    <s v="Pumpkinseed"/>
    <s v="Lepomis"/>
    <s v="gibbosus"/>
    <s v="U"/>
    <x v="0"/>
    <n v="8"/>
    <n v="11.81"/>
    <x v="44"/>
    <s v="756426-58-1"/>
    <x v="44"/>
    <n v="6.5000000000000002E-2"/>
  </r>
  <r>
    <s v="PU056-JBA-08162021"/>
    <s v="Spill"/>
    <x v="1"/>
    <s v="Pumpkinseed"/>
    <s v="Lepomis"/>
    <s v="gibbosus"/>
    <s v="U"/>
    <x v="0"/>
    <n v="8"/>
    <n v="11.81"/>
    <x v="45"/>
    <s v="763051-92-9"/>
    <x v="45"/>
    <n v="6.5000000000000002E-2"/>
  </r>
  <r>
    <s v="PU056-JBA-08162021"/>
    <s v="Spill"/>
    <x v="1"/>
    <s v="Pumpkinseed"/>
    <s v="Lepomis"/>
    <s v="gibbosus"/>
    <s v="U"/>
    <x v="0"/>
    <n v="8"/>
    <n v="11.81"/>
    <x v="46"/>
    <s v="13252-13-6"/>
    <x v="46"/>
    <n v="9.2999999999999999E-2"/>
  </r>
  <r>
    <s v="PU056-JBA-08162021"/>
    <s v="Spill"/>
    <x v="1"/>
    <s v="Pumpkinseed"/>
    <s v="Lepomis"/>
    <s v="gibbosus"/>
    <s v="U"/>
    <x v="0"/>
    <n v="8"/>
    <n v="11.81"/>
    <x v="47"/>
    <s v="57677-95-9"/>
    <x v="47"/>
    <n v="6.9000000000000006E-2"/>
  </r>
  <r>
    <s v="PU056-JBA-08162021"/>
    <s v="Spill"/>
    <x v="1"/>
    <s v="Pumpkinseed"/>
    <s v="Lepomis"/>
    <s v="gibbosus"/>
    <s v="U"/>
    <x v="0"/>
    <n v="8"/>
    <n v="11.81"/>
    <x v="48"/>
    <s v="678-41-1"/>
    <x v="48"/>
    <n v="8.5999999999999993E-2"/>
  </r>
  <r>
    <s v="PU056-JBA-08162021"/>
    <s v="Spill"/>
    <x v="1"/>
    <s v="Pumpkinseed"/>
    <s v="Lepomis"/>
    <s v="gibbosus"/>
    <s v="U"/>
    <x v="0"/>
    <n v="8"/>
    <n v="11.81"/>
    <x v="49"/>
    <s v="2965-52-8"/>
    <x v="49"/>
    <n v="0.1145"/>
  </r>
  <r>
    <s v="PU057-JBA-08162021"/>
    <s v="Spill"/>
    <x v="1"/>
    <s v="Pumpkinseed"/>
    <s v="Lepomis"/>
    <s v="gibbosus"/>
    <s v="U"/>
    <x v="0"/>
    <n v="8"/>
    <n v="11.81"/>
    <x v="0"/>
    <s v="375-22-4"/>
    <x v="0"/>
    <n v="7.0000000000000007E-2"/>
  </r>
  <r>
    <s v="PU057-JBA-08162021"/>
    <s v="Spill"/>
    <x v="1"/>
    <s v="Pumpkinseed"/>
    <s v="Lepomis"/>
    <s v="gibbosus"/>
    <s v="U"/>
    <x v="0"/>
    <n v="8"/>
    <n v="11.81"/>
    <x v="1"/>
    <s v="2706-90-3"/>
    <x v="1"/>
    <n v="4.9599999999999998E-2"/>
  </r>
  <r>
    <s v="PU057-JBA-08162021"/>
    <s v="Spill"/>
    <x v="1"/>
    <s v="Pumpkinseed"/>
    <s v="Lepomis"/>
    <s v="gibbosus"/>
    <s v="U"/>
    <x v="0"/>
    <n v="8"/>
    <n v="11.81"/>
    <x v="2"/>
    <s v="307-24-4"/>
    <x v="2"/>
    <n v="3.7850000000000002E-2"/>
  </r>
  <r>
    <s v="PU057-JBA-08162021"/>
    <s v="Spill"/>
    <x v="1"/>
    <s v="Pumpkinseed"/>
    <s v="Lepomis"/>
    <s v="gibbosus"/>
    <s v="U"/>
    <x v="0"/>
    <n v="8"/>
    <n v="11.81"/>
    <x v="3"/>
    <s v="375-85-9"/>
    <x v="3"/>
    <n v="9.2499999999999999E-2"/>
  </r>
  <r>
    <s v="PU057-JBA-08162021"/>
    <s v="Spill"/>
    <x v="1"/>
    <s v="Pumpkinseed"/>
    <s v="Lepomis"/>
    <s v="gibbosus"/>
    <s v="U"/>
    <x v="0"/>
    <n v="8"/>
    <n v="11.81"/>
    <x v="4"/>
    <s v="335-67-1"/>
    <x v="4"/>
    <n v="0.49299999999999999"/>
  </r>
  <r>
    <s v="PU057-JBA-08162021"/>
    <s v="Spill"/>
    <x v="1"/>
    <s v="Pumpkinseed"/>
    <s v="Lepomis"/>
    <s v="gibbosus"/>
    <s v="U"/>
    <x v="0"/>
    <n v="8"/>
    <n v="11.81"/>
    <x v="5"/>
    <s v="375-95-1"/>
    <x v="5"/>
    <n v="4.8550000000000003E-2"/>
  </r>
  <r>
    <s v="PU057-JBA-08162021"/>
    <s v="Spill"/>
    <x v="1"/>
    <s v="Pumpkinseed"/>
    <s v="Lepomis"/>
    <s v="gibbosus"/>
    <s v="U"/>
    <x v="0"/>
    <n v="8"/>
    <n v="11.81"/>
    <x v="6"/>
    <s v="335-76-2"/>
    <x v="6"/>
    <n v="4.91"/>
  </r>
  <r>
    <s v="PU057-JBA-08162021"/>
    <s v="Spill"/>
    <x v="1"/>
    <s v="Pumpkinseed"/>
    <s v="Lepomis"/>
    <s v="gibbosus"/>
    <s v="U"/>
    <x v="0"/>
    <n v="8"/>
    <n v="11.81"/>
    <x v="7"/>
    <s v="2058-94-8"/>
    <x v="7"/>
    <n v="9.51"/>
  </r>
  <r>
    <s v="PU057-JBA-08162021"/>
    <s v="Spill"/>
    <x v="1"/>
    <s v="Pumpkinseed"/>
    <s v="Lepomis"/>
    <s v="gibbosus"/>
    <s v="U"/>
    <x v="0"/>
    <n v="8"/>
    <n v="11.81"/>
    <x v="8"/>
    <s v="307-55-1"/>
    <x v="8"/>
    <n v="18.2"/>
  </r>
  <r>
    <s v="PU057-JBA-08162021"/>
    <s v="Spill"/>
    <x v="1"/>
    <s v="Pumpkinseed"/>
    <s v="Lepomis"/>
    <s v="gibbosus"/>
    <s v="U"/>
    <x v="0"/>
    <n v="8"/>
    <n v="11.81"/>
    <x v="9"/>
    <s v="72629-94-8"/>
    <x v="9"/>
    <n v="4.16"/>
  </r>
  <r>
    <s v="PU057-JBA-08162021"/>
    <s v="Spill"/>
    <x v="1"/>
    <s v="Pumpkinseed"/>
    <s v="Lepomis"/>
    <s v="gibbosus"/>
    <s v="U"/>
    <x v="0"/>
    <n v="8"/>
    <n v="11.81"/>
    <x v="10"/>
    <s v="376-06-7"/>
    <x v="10"/>
    <n v="10.6"/>
  </r>
  <r>
    <s v="PU057-JBA-08162021"/>
    <s v="Spill"/>
    <x v="1"/>
    <s v="Pumpkinseed"/>
    <s v="Lepomis"/>
    <s v="gibbosus"/>
    <s v="U"/>
    <x v="0"/>
    <n v="8"/>
    <n v="11.81"/>
    <x v="11"/>
    <s v="67905-19-5"/>
    <x v="11"/>
    <n v="8.3500000000000005E-2"/>
  </r>
  <r>
    <s v="PU057-JBA-08162021"/>
    <s v="Spill"/>
    <x v="1"/>
    <s v="Pumpkinseed"/>
    <s v="Lepomis"/>
    <s v="gibbosus"/>
    <s v="U"/>
    <x v="0"/>
    <n v="8"/>
    <n v="11.81"/>
    <x v="12"/>
    <s v="423-41-6"/>
    <x v="12"/>
    <n v="7.0000000000000007E-2"/>
  </r>
  <r>
    <s v="PU057-JBA-08162021"/>
    <s v="Spill"/>
    <x v="1"/>
    <s v="Pumpkinseed"/>
    <s v="Lepomis"/>
    <s v="gibbosus"/>
    <s v="U"/>
    <x v="0"/>
    <n v="8"/>
    <n v="11.81"/>
    <x v="13"/>
    <s v="375-73-5"/>
    <x v="13"/>
    <n v="0.1575"/>
  </r>
  <r>
    <s v="PU057-JBA-08162021"/>
    <s v="Spill"/>
    <x v="1"/>
    <s v="Pumpkinseed"/>
    <s v="Lepomis"/>
    <s v="gibbosus"/>
    <s v="U"/>
    <x v="0"/>
    <n v="8"/>
    <n v="11.81"/>
    <x v="14"/>
    <s v="2706-91-4"/>
    <x v="14"/>
    <n v="7.0000000000000007E-2"/>
  </r>
  <r>
    <s v="PU057-JBA-08162021"/>
    <s v="Spill"/>
    <x v="1"/>
    <s v="Pumpkinseed"/>
    <s v="Lepomis"/>
    <s v="gibbosus"/>
    <s v="U"/>
    <x v="0"/>
    <n v="8"/>
    <n v="11.81"/>
    <x v="15"/>
    <s v="355-46-4"/>
    <x v="15"/>
    <n v="6.83"/>
  </r>
  <r>
    <s v="PU057-JBA-08162021"/>
    <s v="Spill"/>
    <x v="1"/>
    <s v="Pumpkinseed"/>
    <s v="Lepomis"/>
    <s v="gibbosus"/>
    <s v="U"/>
    <x v="0"/>
    <n v="8"/>
    <n v="11.81"/>
    <x v="16"/>
    <s v="375-92-8"/>
    <x v="16"/>
    <n v="0.77"/>
  </r>
  <r>
    <s v="PU057-JBA-08162021"/>
    <s v="Spill"/>
    <x v="1"/>
    <s v="Pumpkinseed"/>
    <s v="Lepomis"/>
    <s v="gibbosus"/>
    <s v="U"/>
    <x v="0"/>
    <n v="8"/>
    <n v="11.81"/>
    <x v="17"/>
    <s v="1763-23-1"/>
    <x v="17"/>
    <n v="1070"/>
  </r>
  <r>
    <s v="PU057-JBA-08162021"/>
    <s v="Spill"/>
    <x v="1"/>
    <s v="Pumpkinseed"/>
    <s v="Lepomis"/>
    <s v="gibbosus"/>
    <s v="U"/>
    <x v="0"/>
    <n v="8"/>
    <n v="11.81"/>
    <x v="18"/>
    <s v="68259-12-1"/>
    <x v="18"/>
    <n v="4.0999999999999996"/>
  </r>
  <r>
    <s v="PU057-JBA-08162021"/>
    <s v="Spill"/>
    <x v="1"/>
    <s v="Pumpkinseed"/>
    <s v="Lepomis"/>
    <s v="gibbosus"/>
    <s v="U"/>
    <x v="0"/>
    <n v="8"/>
    <n v="11.81"/>
    <x v="19"/>
    <s v="335-77-3"/>
    <x v="19"/>
    <n v="5.43"/>
  </r>
  <r>
    <s v="PU057-JBA-08162021"/>
    <s v="Spill"/>
    <x v="1"/>
    <s v="Pumpkinseed"/>
    <s v="Lepomis"/>
    <s v="gibbosus"/>
    <s v="U"/>
    <x v="0"/>
    <n v="8"/>
    <n v="11.81"/>
    <x v="20"/>
    <s v="79780-39-5"/>
    <x v="20"/>
    <n v="1.29"/>
  </r>
  <r>
    <s v="PU057-JBA-08162021"/>
    <s v="Spill"/>
    <x v="1"/>
    <s v="Pumpkinseed"/>
    <s v="Lepomis"/>
    <s v="gibbosus"/>
    <s v="U"/>
    <x v="0"/>
    <n v="8"/>
    <n v="11.81"/>
    <x v="21"/>
    <s v="777011-38-8"/>
    <x v="21"/>
    <n v="0.14050000000000001"/>
  </r>
  <r>
    <s v="PU057-JBA-08162021"/>
    <s v="Spill"/>
    <x v="1"/>
    <s v="Pumpkinseed"/>
    <s v="Lepomis"/>
    <s v="gibbosus"/>
    <s v="U"/>
    <x v="0"/>
    <n v="8"/>
    <n v="11.81"/>
    <x v="22"/>
    <s v="646-83-3"/>
    <x v="22"/>
    <n v="0.23150000000000001"/>
  </r>
  <r>
    <s v="PU057-JBA-08162021"/>
    <s v="Spill"/>
    <x v="1"/>
    <s v="Pumpkinseed"/>
    <s v="Lepomis"/>
    <s v="gibbosus"/>
    <s v="U"/>
    <x v="0"/>
    <n v="8"/>
    <n v="11.81"/>
    <x v="23"/>
    <s v="30334-69-1"/>
    <x v="23"/>
    <n v="19.399999999999999"/>
  </r>
  <r>
    <s v="PU057-JBA-08162021"/>
    <s v="Spill"/>
    <x v="1"/>
    <s v="Pumpkinseed"/>
    <s v="Lepomis"/>
    <s v="gibbosus"/>
    <s v="U"/>
    <x v="0"/>
    <n v="8"/>
    <n v="11.81"/>
    <x v="24"/>
    <s v="41997-13-1"/>
    <x v="24"/>
    <n v="45.2"/>
  </r>
  <r>
    <s v="PU057-JBA-08162021"/>
    <s v="Spill"/>
    <x v="1"/>
    <s v="Pumpkinseed"/>
    <s v="Lepomis"/>
    <s v="gibbosus"/>
    <s v="U"/>
    <x v="0"/>
    <n v="8"/>
    <n v="11.81"/>
    <x v="25"/>
    <s v="754-91-6"/>
    <x v="25"/>
    <n v="10.4"/>
  </r>
  <r>
    <s v="PU057-JBA-08162021"/>
    <s v="Spill"/>
    <x v="1"/>
    <s v="Pumpkinseed"/>
    <s v="Lepomis"/>
    <s v="gibbosus"/>
    <s v="U"/>
    <x v="0"/>
    <n v="8"/>
    <n v="11.81"/>
    <x v="26"/>
    <s v="31506-32-8"/>
    <x v="26"/>
    <n v="7.0000000000000007E-2"/>
  </r>
  <r>
    <s v="PU057-JBA-08162021"/>
    <s v="Spill"/>
    <x v="1"/>
    <s v="Pumpkinseed"/>
    <s v="Lepomis"/>
    <s v="gibbosus"/>
    <s v="U"/>
    <x v="0"/>
    <n v="8"/>
    <n v="11.81"/>
    <x v="27"/>
    <s v="4151-50-2"/>
    <x v="27"/>
    <n v="8.2000000000000003E-2"/>
  </r>
  <r>
    <s v="PU057-JBA-08162021"/>
    <s v="Spill"/>
    <x v="1"/>
    <s v="Pumpkinseed"/>
    <s v="Lepomis"/>
    <s v="gibbosus"/>
    <s v="U"/>
    <x v="0"/>
    <n v="8"/>
    <n v="11.81"/>
    <x v="28"/>
    <s v="2806-24-8"/>
    <x v="28"/>
    <n v="5.5500000000000001E-2"/>
  </r>
  <r>
    <s v="PU057-JBA-08162021"/>
    <s v="Spill"/>
    <x v="1"/>
    <s v="Pumpkinseed"/>
    <s v="Lepomis"/>
    <s v="gibbosus"/>
    <s v="U"/>
    <x v="0"/>
    <n v="8"/>
    <n v="11.81"/>
    <x v="29"/>
    <s v="2355-31-9"/>
    <x v="29"/>
    <n v="7.0499999999999993E-2"/>
  </r>
  <r>
    <s v="PU057-JBA-08162021"/>
    <s v="Spill"/>
    <x v="1"/>
    <s v="Pumpkinseed"/>
    <s v="Lepomis"/>
    <s v="gibbosus"/>
    <s v="U"/>
    <x v="0"/>
    <n v="8"/>
    <n v="11.81"/>
    <x v="30"/>
    <s v="2991-50-6"/>
    <x v="30"/>
    <n v="6.0999999999999999E-2"/>
  </r>
  <r>
    <s v="PU057-JBA-08162021"/>
    <s v="Spill"/>
    <x v="1"/>
    <s v="Pumpkinseed"/>
    <s v="Lepomis"/>
    <s v="gibbosus"/>
    <s v="U"/>
    <x v="0"/>
    <n v="8"/>
    <n v="11.81"/>
    <x v="31"/>
    <s v="757124-72-4"/>
    <x v="31"/>
    <n v="7.0000000000000007E-2"/>
  </r>
  <r>
    <s v="PU057-JBA-08162021"/>
    <s v="Spill"/>
    <x v="1"/>
    <s v="Pumpkinseed"/>
    <s v="Lepomis"/>
    <s v="gibbosus"/>
    <s v="U"/>
    <x v="0"/>
    <n v="8"/>
    <n v="11.81"/>
    <x v="32"/>
    <s v="27619-97-2"/>
    <x v="32"/>
    <n v="0.314"/>
  </r>
  <r>
    <s v="PU057-JBA-08162021"/>
    <s v="Spill"/>
    <x v="1"/>
    <s v="Pumpkinseed"/>
    <s v="Lepomis"/>
    <s v="gibbosus"/>
    <s v="U"/>
    <x v="0"/>
    <n v="8"/>
    <n v="11.81"/>
    <x v="33"/>
    <s v="39108-34-4"/>
    <x v="33"/>
    <n v="4.51"/>
  </r>
  <r>
    <s v="PU057-JBA-08162021"/>
    <s v="Spill"/>
    <x v="1"/>
    <s v="Pumpkinseed"/>
    <s v="Lepomis"/>
    <s v="gibbosus"/>
    <s v="U"/>
    <x v="0"/>
    <n v="8"/>
    <n v="11.81"/>
    <x v="34"/>
    <s v="120226-60-0"/>
    <x v="34"/>
    <n v="0.81399999999999995"/>
  </r>
  <r>
    <s v="PU057-JBA-08162021"/>
    <s v="Spill"/>
    <x v="1"/>
    <s v="Pumpkinseed"/>
    <s v="Lepomis"/>
    <s v="gibbosus"/>
    <s v="U"/>
    <x v="0"/>
    <n v="8"/>
    <n v="11.81"/>
    <x v="35"/>
    <s v="356-02-5"/>
    <x v="35"/>
    <n v="8.1000000000000003E-2"/>
  </r>
  <r>
    <s v="PU057-JBA-08162021"/>
    <s v="Spill"/>
    <x v="1"/>
    <s v="Pumpkinseed"/>
    <s v="Lepomis"/>
    <s v="gibbosus"/>
    <s v="U"/>
    <x v="0"/>
    <n v="8"/>
    <n v="11.81"/>
    <x v="36"/>
    <s v="914637-49-3"/>
    <x v="36"/>
    <n v="1.01"/>
  </r>
  <r>
    <s v="PU057-JBA-08162021"/>
    <s v="Spill"/>
    <x v="1"/>
    <s v="Pumpkinseed"/>
    <s v="Lepomis"/>
    <s v="gibbosus"/>
    <s v="U"/>
    <x v="0"/>
    <n v="8"/>
    <n v="11.81"/>
    <x v="37"/>
    <s v="812-70-4"/>
    <x v="37"/>
    <n v="2.79"/>
  </r>
  <r>
    <s v="PU057-JBA-08162021"/>
    <s v="Spill"/>
    <x v="1"/>
    <s v="Pumpkinseed"/>
    <s v="Lepomis"/>
    <s v="gibbosus"/>
    <s v="U"/>
    <x v="0"/>
    <n v="8"/>
    <n v="11.81"/>
    <x v="38"/>
    <s v="53826-12-3"/>
    <x v="38"/>
    <n v="7.0000000000000007E-2"/>
  </r>
  <r>
    <s v="PU057-JBA-08162021"/>
    <s v="Spill"/>
    <x v="1"/>
    <s v="Pumpkinseed"/>
    <s v="Lepomis"/>
    <s v="gibbosus"/>
    <s v="U"/>
    <x v="0"/>
    <n v="8"/>
    <n v="11.81"/>
    <x v="39"/>
    <s v="27854-31-5"/>
    <x v="39"/>
    <n v="7.0000000000000007E-2"/>
  </r>
  <r>
    <s v="PU057-JBA-08162021"/>
    <s v="Spill"/>
    <x v="1"/>
    <s v="Pumpkinseed"/>
    <s v="Lepomis"/>
    <s v="gibbosus"/>
    <s v="U"/>
    <x v="0"/>
    <n v="8"/>
    <n v="11.81"/>
    <x v="40"/>
    <s v="53826-13-4"/>
    <x v="40"/>
    <n v="0.1045"/>
  </r>
  <r>
    <s v="PU057-JBA-08162021"/>
    <s v="Spill"/>
    <x v="1"/>
    <s v="Pumpkinseed"/>
    <s v="Lepomis"/>
    <s v="gibbosus"/>
    <s v="U"/>
    <x v="0"/>
    <n v="8"/>
    <n v="11.81"/>
    <x v="41"/>
    <s v="161094-75-3"/>
    <x v="41"/>
    <n v="5.5E-2"/>
  </r>
  <r>
    <s v="PU057-JBA-08162021"/>
    <s v="Spill"/>
    <x v="1"/>
    <s v="Pumpkinseed"/>
    <s v="Lepomis"/>
    <s v="gibbosus"/>
    <s v="U"/>
    <x v="0"/>
    <n v="8"/>
    <n v="11.81"/>
    <x v="42"/>
    <s v="70887-84-2"/>
    <x v="42"/>
    <n v="4.24E-2"/>
  </r>
  <r>
    <s v="PU057-JBA-08162021"/>
    <s v="Spill"/>
    <x v="1"/>
    <s v="Pumpkinseed"/>
    <s v="Lepomis"/>
    <s v="gibbosus"/>
    <s v="U"/>
    <x v="0"/>
    <n v="8"/>
    <n v="11.81"/>
    <x v="43"/>
    <s v="919005-14-4"/>
    <x v="43"/>
    <n v="6.2E-2"/>
  </r>
  <r>
    <s v="PU057-JBA-08162021"/>
    <s v="Spill"/>
    <x v="1"/>
    <s v="Pumpkinseed"/>
    <s v="Lepomis"/>
    <s v="gibbosus"/>
    <s v="U"/>
    <x v="0"/>
    <n v="8"/>
    <n v="11.81"/>
    <x v="44"/>
    <s v="756426-58-1"/>
    <x v="44"/>
    <n v="7.0000000000000007E-2"/>
  </r>
  <r>
    <s v="PU057-JBA-08162021"/>
    <s v="Spill"/>
    <x v="1"/>
    <s v="Pumpkinseed"/>
    <s v="Lepomis"/>
    <s v="gibbosus"/>
    <s v="U"/>
    <x v="0"/>
    <n v="8"/>
    <n v="11.81"/>
    <x v="45"/>
    <s v="763051-92-9"/>
    <x v="45"/>
    <n v="7.0000000000000007E-2"/>
  </r>
  <r>
    <s v="PU057-JBA-08162021"/>
    <s v="Spill"/>
    <x v="1"/>
    <s v="Pumpkinseed"/>
    <s v="Lepomis"/>
    <s v="gibbosus"/>
    <s v="U"/>
    <x v="0"/>
    <n v="8"/>
    <n v="11.81"/>
    <x v="46"/>
    <s v="13252-13-6"/>
    <x v="46"/>
    <n v="0.10050000000000001"/>
  </r>
  <r>
    <s v="PU057-JBA-08162021"/>
    <s v="Spill"/>
    <x v="1"/>
    <s v="Pumpkinseed"/>
    <s v="Lepomis"/>
    <s v="gibbosus"/>
    <s v="U"/>
    <x v="0"/>
    <n v="8"/>
    <n v="11.81"/>
    <x v="47"/>
    <s v="57677-95-9"/>
    <x v="47"/>
    <n v="7.4499999999999997E-2"/>
  </r>
  <r>
    <s v="PU057-JBA-08162021"/>
    <s v="Spill"/>
    <x v="1"/>
    <s v="Pumpkinseed"/>
    <s v="Lepomis"/>
    <s v="gibbosus"/>
    <s v="U"/>
    <x v="0"/>
    <n v="8"/>
    <n v="11.81"/>
    <x v="48"/>
    <s v="678-41-1"/>
    <x v="48"/>
    <n v="9.2999999999999999E-2"/>
  </r>
  <r>
    <s v="PU057-JBA-08162021"/>
    <s v="Spill"/>
    <x v="1"/>
    <s v="Pumpkinseed"/>
    <s v="Lepomis"/>
    <s v="gibbosus"/>
    <s v="U"/>
    <x v="0"/>
    <n v="8"/>
    <n v="11.81"/>
    <x v="49"/>
    <s v="2965-52-8"/>
    <x v="49"/>
    <n v="0.1235"/>
  </r>
  <r>
    <s v="PU058-JBA-08162021"/>
    <s v="Spill"/>
    <x v="1"/>
    <s v="Pumpkinseed"/>
    <s v="Lepomis"/>
    <s v="gibbosus"/>
    <s v="U"/>
    <x v="0"/>
    <n v="8"/>
    <n v="11.81"/>
    <x v="0"/>
    <s v="375-22-4"/>
    <x v="0"/>
    <n v="6.6500000000000004E-2"/>
  </r>
  <r>
    <s v="PU058-JBA-08162021"/>
    <s v="Spill"/>
    <x v="1"/>
    <s v="Pumpkinseed"/>
    <s v="Lepomis"/>
    <s v="gibbosus"/>
    <s v="U"/>
    <x v="0"/>
    <n v="8"/>
    <n v="11.81"/>
    <x v="1"/>
    <s v="2706-90-3"/>
    <x v="1"/>
    <n v="4.6850000000000003E-2"/>
  </r>
  <r>
    <s v="PU058-JBA-08162021"/>
    <s v="Spill"/>
    <x v="1"/>
    <s v="Pumpkinseed"/>
    <s v="Lepomis"/>
    <s v="gibbosus"/>
    <s v="U"/>
    <x v="0"/>
    <n v="8"/>
    <n v="11.81"/>
    <x v="2"/>
    <s v="307-24-4"/>
    <x v="2"/>
    <n v="3.5799999999999998E-2"/>
  </r>
  <r>
    <s v="PU058-JBA-08162021"/>
    <s v="Spill"/>
    <x v="1"/>
    <s v="Pumpkinseed"/>
    <s v="Lepomis"/>
    <s v="gibbosus"/>
    <s v="U"/>
    <x v="0"/>
    <n v="8"/>
    <n v="11.81"/>
    <x v="3"/>
    <s v="375-85-9"/>
    <x v="3"/>
    <n v="0.21"/>
  </r>
  <r>
    <s v="PU058-JBA-08162021"/>
    <s v="Spill"/>
    <x v="1"/>
    <s v="Pumpkinseed"/>
    <s v="Lepomis"/>
    <s v="gibbosus"/>
    <s v="U"/>
    <x v="0"/>
    <n v="8"/>
    <n v="11.81"/>
    <x v="4"/>
    <s v="335-67-1"/>
    <x v="4"/>
    <n v="0.70499999999999996"/>
  </r>
  <r>
    <s v="PU058-JBA-08162021"/>
    <s v="Spill"/>
    <x v="1"/>
    <s v="Pumpkinseed"/>
    <s v="Lepomis"/>
    <s v="gibbosus"/>
    <s v="U"/>
    <x v="0"/>
    <n v="8"/>
    <n v="11.81"/>
    <x v="5"/>
    <s v="375-95-1"/>
    <x v="5"/>
    <n v="4.5900000000000003E-2"/>
  </r>
  <r>
    <s v="PU058-JBA-08162021"/>
    <s v="Spill"/>
    <x v="1"/>
    <s v="Pumpkinseed"/>
    <s v="Lepomis"/>
    <s v="gibbosus"/>
    <s v="U"/>
    <x v="0"/>
    <n v="8"/>
    <n v="11.81"/>
    <x v="6"/>
    <s v="335-76-2"/>
    <x v="6"/>
    <n v="3.55"/>
  </r>
  <r>
    <s v="PU058-JBA-08162021"/>
    <s v="Spill"/>
    <x v="1"/>
    <s v="Pumpkinseed"/>
    <s v="Lepomis"/>
    <s v="gibbosus"/>
    <s v="U"/>
    <x v="0"/>
    <n v="8"/>
    <n v="11.81"/>
    <x v="7"/>
    <s v="2058-94-8"/>
    <x v="7"/>
    <n v="5.35"/>
  </r>
  <r>
    <s v="PU058-JBA-08162021"/>
    <s v="Spill"/>
    <x v="1"/>
    <s v="Pumpkinseed"/>
    <s v="Lepomis"/>
    <s v="gibbosus"/>
    <s v="U"/>
    <x v="0"/>
    <n v="8"/>
    <n v="11.81"/>
    <x v="8"/>
    <s v="307-55-1"/>
    <x v="8"/>
    <n v="9.92"/>
  </r>
  <r>
    <s v="PU058-JBA-08162021"/>
    <s v="Spill"/>
    <x v="1"/>
    <s v="Pumpkinseed"/>
    <s v="Lepomis"/>
    <s v="gibbosus"/>
    <s v="U"/>
    <x v="0"/>
    <n v="8"/>
    <n v="11.81"/>
    <x v="9"/>
    <s v="72629-94-8"/>
    <x v="9"/>
    <n v="1.85"/>
  </r>
  <r>
    <s v="PU058-JBA-08162021"/>
    <s v="Spill"/>
    <x v="1"/>
    <s v="Pumpkinseed"/>
    <s v="Lepomis"/>
    <s v="gibbosus"/>
    <s v="U"/>
    <x v="0"/>
    <n v="8"/>
    <n v="11.81"/>
    <x v="10"/>
    <s v="376-06-7"/>
    <x v="10"/>
    <n v="11.6"/>
  </r>
  <r>
    <s v="PU058-JBA-08162021"/>
    <s v="Spill"/>
    <x v="1"/>
    <s v="Pumpkinseed"/>
    <s v="Lepomis"/>
    <s v="gibbosus"/>
    <s v="U"/>
    <x v="0"/>
    <n v="8"/>
    <n v="11.81"/>
    <x v="11"/>
    <s v="67905-19-5"/>
    <x v="11"/>
    <n v="7.9000000000000001E-2"/>
  </r>
  <r>
    <s v="PU058-JBA-08162021"/>
    <s v="Spill"/>
    <x v="1"/>
    <s v="Pumpkinseed"/>
    <s v="Lepomis"/>
    <s v="gibbosus"/>
    <s v="U"/>
    <x v="0"/>
    <n v="8"/>
    <n v="11.81"/>
    <x v="12"/>
    <s v="423-41-6"/>
    <x v="12"/>
    <n v="6.6500000000000004E-2"/>
  </r>
  <r>
    <s v="PU058-JBA-08162021"/>
    <s v="Spill"/>
    <x v="1"/>
    <s v="Pumpkinseed"/>
    <s v="Lepomis"/>
    <s v="gibbosus"/>
    <s v="U"/>
    <x v="0"/>
    <n v="8"/>
    <n v="11.81"/>
    <x v="13"/>
    <s v="375-73-5"/>
    <x v="13"/>
    <n v="0.14899999999999999"/>
  </r>
  <r>
    <s v="PU058-JBA-08162021"/>
    <s v="Spill"/>
    <x v="1"/>
    <s v="Pumpkinseed"/>
    <s v="Lepomis"/>
    <s v="gibbosus"/>
    <s v="U"/>
    <x v="0"/>
    <n v="8"/>
    <n v="11.81"/>
    <x v="14"/>
    <s v="2706-91-4"/>
    <x v="14"/>
    <n v="0.219"/>
  </r>
  <r>
    <s v="PU058-JBA-08162021"/>
    <s v="Spill"/>
    <x v="1"/>
    <s v="Pumpkinseed"/>
    <s v="Lepomis"/>
    <s v="gibbosus"/>
    <s v="U"/>
    <x v="0"/>
    <n v="8"/>
    <n v="11.81"/>
    <x v="15"/>
    <s v="355-46-4"/>
    <x v="15"/>
    <n v="13.4"/>
  </r>
  <r>
    <s v="PU058-JBA-08162021"/>
    <s v="Spill"/>
    <x v="1"/>
    <s v="Pumpkinseed"/>
    <s v="Lepomis"/>
    <s v="gibbosus"/>
    <s v="U"/>
    <x v="0"/>
    <n v="8"/>
    <n v="11.81"/>
    <x v="16"/>
    <s v="375-92-8"/>
    <x v="16"/>
    <n v="3.35"/>
  </r>
  <r>
    <s v="PU058-JBA-08162021"/>
    <s v="Spill"/>
    <x v="1"/>
    <s v="Pumpkinseed"/>
    <s v="Lepomis"/>
    <s v="gibbosus"/>
    <s v="U"/>
    <x v="0"/>
    <n v="8"/>
    <n v="11.81"/>
    <x v="17"/>
    <s v="1763-23-1"/>
    <x v="17"/>
    <n v="668"/>
  </r>
  <r>
    <s v="PU058-JBA-08162021"/>
    <s v="Spill"/>
    <x v="1"/>
    <s v="Pumpkinseed"/>
    <s v="Lepomis"/>
    <s v="gibbosus"/>
    <s v="U"/>
    <x v="0"/>
    <n v="8"/>
    <n v="11.81"/>
    <x v="18"/>
    <s v="68259-12-1"/>
    <x v="18"/>
    <n v="5.71"/>
  </r>
  <r>
    <s v="PU058-JBA-08162021"/>
    <s v="Spill"/>
    <x v="1"/>
    <s v="Pumpkinseed"/>
    <s v="Lepomis"/>
    <s v="gibbosus"/>
    <s v="U"/>
    <x v="0"/>
    <n v="8"/>
    <n v="11.81"/>
    <x v="19"/>
    <s v="335-77-3"/>
    <x v="19"/>
    <n v="5.26"/>
  </r>
  <r>
    <s v="PU058-JBA-08162021"/>
    <s v="Spill"/>
    <x v="1"/>
    <s v="Pumpkinseed"/>
    <s v="Lepomis"/>
    <s v="gibbosus"/>
    <s v="U"/>
    <x v="0"/>
    <n v="8"/>
    <n v="11.81"/>
    <x v="20"/>
    <s v="79780-39-5"/>
    <x v="20"/>
    <n v="2.17"/>
  </r>
  <r>
    <s v="PU058-JBA-08162021"/>
    <s v="Spill"/>
    <x v="1"/>
    <s v="Pumpkinseed"/>
    <s v="Lepomis"/>
    <s v="gibbosus"/>
    <s v="U"/>
    <x v="0"/>
    <n v="8"/>
    <n v="11.81"/>
    <x v="21"/>
    <s v="777011-38-8"/>
    <x v="21"/>
    <n v="0.13300000000000001"/>
  </r>
  <r>
    <s v="PU058-JBA-08162021"/>
    <s v="Spill"/>
    <x v="1"/>
    <s v="Pumpkinseed"/>
    <s v="Lepomis"/>
    <s v="gibbosus"/>
    <s v="U"/>
    <x v="0"/>
    <n v="8"/>
    <n v="11.81"/>
    <x v="22"/>
    <s v="646-83-3"/>
    <x v="22"/>
    <n v="0.219"/>
  </r>
  <r>
    <s v="PU058-JBA-08162021"/>
    <s v="Spill"/>
    <x v="1"/>
    <s v="Pumpkinseed"/>
    <s v="Lepomis"/>
    <s v="gibbosus"/>
    <s v="U"/>
    <x v="0"/>
    <n v="8"/>
    <n v="11.81"/>
    <x v="23"/>
    <s v="30334-69-1"/>
    <x v="23"/>
    <n v="15.9"/>
  </r>
  <r>
    <s v="PU058-JBA-08162021"/>
    <s v="Spill"/>
    <x v="1"/>
    <s v="Pumpkinseed"/>
    <s v="Lepomis"/>
    <s v="gibbosus"/>
    <s v="U"/>
    <x v="0"/>
    <n v="8"/>
    <n v="11.81"/>
    <x v="24"/>
    <s v="41997-13-1"/>
    <x v="24"/>
    <n v="71.3"/>
  </r>
  <r>
    <s v="PU058-JBA-08162021"/>
    <s v="Spill"/>
    <x v="1"/>
    <s v="Pumpkinseed"/>
    <s v="Lepomis"/>
    <s v="gibbosus"/>
    <s v="U"/>
    <x v="0"/>
    <n v="8"/>
    <n v="11.81"/>
    <x v="25"/>
    <s v="754-91-6"/>
    <x v="25"/>
    <n v="8.2100000000000009"/>
  </r>
  <r>
    <s v="PU058-JBA-08162021"/>
    <s v="Spill"/>
    <x v="1"/>
    <s v="Pumpkinseed"/>
    <s v="Lepomis"/>
    <s v="gibbosus"/>
    <s v="U"/>
    <x v="0"/>
    <n v="8"/>
    <n v="11.81"/>
    <x v="26"/>
    <s v="31506-32-8"/>
    <x v="26"/>
    <n v="6.6500000000000004E-2"/>
  </r>
  <r>
    <s v="PU058-JBA-08162021"/>
    <s v="Spill"/>
    <x v="1"/>
    <s v="Pumpkinseed"/>
    <s v="Lepomis"/>
    <s v="gibbosus"/>
    <s v="U"/>
    <x v="0"/>
    <n v="8"/>
    <n v="11.81"/>
    <x v="27"/>
    <s v="4151-50-2"/>
    <x v="27"/>
    <n v="7.7499999999999999E-2"/>
  </r>
  <r>
    <s v="PU058-JBA-08162021"/>
    <s v="Spill"/>
    <x v="1"/>
    <s v="Pumpkinseed"/>
    <s v="Lepomis"/>
    <s v="gibbosus"/>
    <s v="U"/>
    <x v="0"/>
    <n v="8"/>
    <n v="11.81"/>
    <x v="28"/>
    <s v="2806-24-8"/>
    <x v="28"/>
    <n v="5.2499999999999998E-2"/>
  </r>
  <r>
    <s v="PU058-JBA-08162021"/>
    <s v="Spill"/>
    <x v="1"/>
    <s v="Pumpkinseed"/>
    <s v="Lepomis"/>
    <s v="gibbosus"/>
    <s v="U"/>
    <x v="0"/>
    <n v="8"/>
    <n v="11.81"/>
    <x v="29"/>
    <s v="2355-31-9"/>
    <x v="29"/>
    <n v="6.6500000000000004E-2"/>
  </r>
  <r>
    <s v="PU058-JBA-08162021"/>
    <s v="Spill"/>
    <x v="1"/>
    <s v="Pumpkinseed"/>
    <s v="Lepomis"/>
    <s v="gibbosus"/>
    <s v="U"/>
    <x v="0"/>
    <n v="8"/>
    <n v="11.81"/>
    <x v="30"/>
    <s v="2991-50-6"/>
    <x v="30"/>
    <n v="5.7500000000000002E-2"/>
  </r>
  <r>
    <s v="PU058-JBA-08162021"/>
    <s v="Spill"/>
    <x v="1"/>
    <s v="Pumpkinseed"/>
    <s v="Lepomis"/>
    <s v="gibbosus"/>
    <s v="U"/>
    <x v="0"/>
    <n v="8"/>
    <n v="11.81"/>
    <x v="31"/>
    <s v="757124-72-4"/>
    <x v="31"/>
    <n v="6.6500000000000004E-2"/>
  </r>
  <r>
    <s v="PU058-JBA-08162021"/>
    <s v="Spill"/>
    <x v="1"/>
    <s v="Pumpkinseed"/>
    <s v="Lepomis"/>
    <s v="gibbosus"/>
    <s v="U"/>
    <x v="0"/>
    <n v="8"/>
    <n v="11.81"/>
    <x v="32"/>
    <s v="27619-97-2"/>
    <x v="32"/>
    <n v="0.65"/>
  </r>
  <r>
    <s v="PU058-JBA-08162021"/>
    <s v="Spill"/>
    <x v="1"/>
    <s v="Pumpkinseed"/>
    <s v="Lepomis"/>
    <s v="gibbosus"/>
    <s v="U"/>
    <x v="0"/>
    <n v="8"/>
    <n v="11.81"/>
    <x v="33"/>
    <s v="39108-34-4"/>
    <x v="33"/>
    <n v="3.11"/>
  </r>
  <r>
    <s v="PU058-JBA-08162021"/>
    <s v="Spill"/>
    <x v="1"/>
    <s v="Pumpkinseed"/>
    <s v="Lepomis"/>
    <s v="gibbosus"/>
    <s v="U"/>
    <x v="0"/>
    <n v="8"/>
    <n v="11.81"/>
    <x v="34"/>
    <s v="120226-60-0"/>
    <x v="34"/>
    <n v="0.2485"/>
  </r>
  <r>
    <s v="PU058-JBA-08162021"/>
    <s v="Spill"/>
    <x v="1"/>
    <s v="Pumpkinseed"/>
    <s v="Lepomis"/>
    <s v="gibbosus"/>
    <s v="U"/>
    <x v="0"/>
    <n v="8"/>
    <n v="11.81"/>
    <x v="35"/>
    <s v="356-02-5"/>
    <x v="35"/>
    <n v="7.6499999999999999E-2"/>
  </r>
  <r>
    <s v="PU058-JBA-08162021"/>
    <s v="Spill"/>
    <x v="1"/>
    <s v="Pumpkinseed"/>
    <s v="Lepomis"/>
    <s v="gibbosus"/>
    <s v="U"/>
    <x v="0"/>
    <n v="8"/>
    <n v="11.81"/>
    <x v="36"/>
    <s v="914637-49-3"/>
    <x v="36"/>
    <n v="1.19"/>
  </r>
  <r>
    <s v="PU058-JBA-08162021"/>
    <s v="Spill"/>
    <x v="1"/>
    <s v="Pumpkinseed"/>
    <s v="Lepomis"/>
    <s v="gibbosus"/>
    <s v="U"/>
    <x v="0"/>
    <n v="8"/>
    <n v="11.81"/>
    <x v="37"/>
    <s v="812-70-4"/>
    <x v="37"/>
    <n v="3.03"/>
  </r>
  <r>
    <s v="PU058-JBA-08162021"/>
    <s v="Spill"/>
    <x v="1"/>
    <s v="Pumpkinseed"/>
    <s v="Lepomis"/>
    <s v="gibbosus"/>
    <s v="U"/>
    <x v="0"/>
    <n v="8"/>
    <n v="11.81"/>
    <x v="38"/>
    <s v="53826-12-3"/>
    <x v="38"/>
    <n v="6.6500000000000004E-2"/>
  </r>
  <r>
    <s v="PU058-JBA-08162021"/>
    <s v="Spill"/>
    <x v="1"/>
    <s v="Pumpkinseed"/>
    <s v="Lepomis"/>
    <s v="gibbosus"/>
    <s v="U"/>
    <x v="0"/>
    <n v="8"/>
    <n v="11.81"/>
    <x v="39"/>
    <s v="27854-31-5"/>
    <x v="39"/>
    <n v="6.6500000000000004E-2"/>
  </r>
  <r>
    <s v="PU058-JBA-08162021"/>
    <s v="Spill"/>
    <x v="1"/>
    <s v="Pumpkinseed"/>
    <s v="Lepomis"/>
    <s v="gibbosus"/>
    <s v="U"/>
    <x v="0"/>
    <n v="8"/>
    <n v="11.81"/>
    <x v="40"/>
    <s v="53826-13-4"/>
    <x v="40"/>
    <n v="9.9000000000000005E-2"/>
  </r>
  <r>
    <s v="PU058-JBA-08162021"/>
    <s v="Spill"/>
    <x v="1"/>
    <s v="Pumpkinseed"/>
    <s v="Lepomis"/>
    <s v="gibbosus"/>
    <s v="U"/>
    <x v="0"/>
    <n v="8"/>
    <n v="11.81"/>
    <x v="41"/>
    <s v="161094-75-3"/>
    <x v="41"/>
    <n v="5.1999999999999998E-2"/>
  </r>
  <r>
    <s v="PU058-JBA-08162021"/>
    <s v="Spill"/>
    <x v="1"/>
    <s v="Pumpkinseed"/>
    <s v="Lepomis"/>
    <s v="gibbosus"/>
    <s v="U"/>
    <x v="0"/>
    <n v="8"/>
    <n v="11.81"/>
    <x v="42"/>
    <s v="70887-84-2"/>
    <x v="42"/>
    <n v="4.0099999999999997E-2"/>
  </r>
  <r>
    <s v="PU058-JBA-08162021"/>
    <s v="Spill"/>
    <x v="1"/>
    <s v="Pumpkinseed"/>
    <s v="Lepomis"/>
    <s v="gibbosus"/>
    <s v="U"/>
    <x v="0"/>
    <n v="8"/>
    <n v="11.81"/>
    <x v="43"/>
    <s v="919005-14-4"/>
    <x v="43"/>
    <n v="5.8500000000000003E-2"/>
  </r>
  <r>
    <s v="PU058-JBA-08162021"/>
    <s v="Spill"/>
    <x v="1"/>
    <s v="Pumpkinseed"/>
    <s v="Lepomis"/>
    <s v="gibbosus"/>
    <s v="U"/>
    <x v="0"/>
    <n v="8"/>
    <n v="11.81"/>
    <x v="44"/>
    <s v="756426-58-1"/>
    <x v="44"/>
    <n v="6.6500000000000004E-2"/>
  </r>
  <r>
    <s v="PU058-JBA-08162021"/>
    <s v="Spill"/>
    <x v="1"/>
    <s v="Pumpkinseed"/>
    <s v="Lepomis"/>
    <s v="gibbosus"/>
    <s v="U"/>
    <x v="0"/>
    <n v="8"/>
    <n v="11.81"/>
    <x v="45"/>
    <s v="763051-92-9"/>
    <x v="45"/>
    <n v="6.6500000000000004E-2"/>
  </r>
  <r>
    <s v="PU058-JBA-08162021"/>
    <s v="Spill"/>
    <x v="1"/>
    <s v="Pumpkinseed"/>
    <s v="Lepomis"/>
    <s v="gibbosus"/>
    <s v="U"/>
    <x v="0"/>
    <n v="8"/>
    <n v="11.81"/>
    <x v="46"/>
    <s v="13252-13-6"/>
    <x v="46"/>
    <n v="9.5000000000000001E-2"/>
  </r>
  <r>
    <s v="PU058-JBA-08162021"/>
    <s v="Spill"/>
    <x v="1"/>
    <s v="Pumpkinseed"/>
    <s v="Lepomis"/>
    <s v="gibbosus"/>
    <s v="U"/>
    <x v="0"/>
    <n v="8"/>
    <n v="11.81"/>
    <x v="47"/>
    <s v="57677-95-9"/>
    <x v="47"/>
    <n v="7.0499999999999993E-2"/>
  </r>
  <r>
    <s v="PU058-JBA-08162021"/>
    <s v="Spill"/>
    <x v="1"/>
    <s v="Pumpkinseed"/>
    <s v="Lepomis"/>
    <s v="gibbosus"/>
    <s v="U"/>
    <x v="0"/>
    <n v="8"/>
    <n v="11.81"/>
    <x v="48"/>
    <s v="678-41-1"/>
    <x v="48"/>
    <n v="8.7999999999999995E-2"/>
  </r>
  <r>
    <s v="PU058-JBA-08162021"/>
    <s v="Spill"/>
    <x v="1"/>
    <s v="Pumpkinseed"/>
    <s v="Lepomis"/>
    <s v="gibbosus"/>
    <s v="U"/>
    <x v="0"/>
    <n v="8"/>
    <n v="11.81"/>
    <x v="49"/>
    <s v="2965-52-8"/>
    <x v="49"/>
    <n v="0.11650000000000001"/>
  </r>
  <r>
    <s v="PU059-JBA-08162021"/>
    <s v="Spill"/>
    <x v="1"/>
    <s v="Pumpkinseed"/>
    <s v="Lepomis"/>
    <s v="gibbosus"/>
    <s v="U"/>
    <x v="0"/>
    <n v="8"/>
    <n v="11.81"/>
    <x v="0"/>
    <s v="375-22-4"/>
    <x v="0"/>
    <n v="0.23250000000000001"/>
  </r>
  <r>
    <s v="PU059-JBA-08162021"/>
    <s v="Spill"/>
    <x v="1"/>
    <s v="Pumpkinseed"/>
    <s v="Lepomis"/>
    <s v="gibbosus"/>
    <s v="U"/>
    <x v="0"/>
    <n v="8"/>
    <n v="11.81"/>
    <x v="1"/>
    <s v="2706-90-3"/>
    <x v="1"/>
    <n v="0.16400000000000001"/>
  </r>
  <r>
    <s v="PU059-JBA-08162021"/>
    <s v="Spill"/>
    <x v="1"/>
    <s v="Pumpkinseed"/>
    <s v="Lepomis"/>
    <s v="gibbosus"/>
    <s v="U"/>
    <x v="0"/>
    <n v="8"/>
    <n v="11.81"/>
    <x v="2"/>
    <s v="307-24-4"/>
    <x v="2"/>
    <n v="0.1255"/>
  </r>
  <r>
    <s v="PU059-JBA-08162021"/>
    <s v="Spill"/>
    <x v="1"/>
    <s v="Pumpkinseed"/>
    <s v="Lepomis"/>
    <s v="gibbosus"/>
    <s v="U"/>
    <x v="0"/>
    <n v="8"/>
    <n v="11.81"/>
    <x v="3"/>
    <s v="375-85-9"/>
    <x v="3"/>
    <n v="9.2999999999999999E-2"/>
  </r>
  <r>
    <s v="PU059-JBA-08162021"/>
    <s v="Spill"/>
    <x v="1"/>
    <s v="Pumpkinseed"/>
    <s v="Lepomis"/>
    <s v="gibbosus"/>
    <s v="U"/>
    <x v="0"/>
    <n v="8"/>
    <n v="11.81"/>
    <x v="4"/>
    <s v="335-67-1"/>
    <x v="4"/>
    <n v="0.24399999999999999"/>
  </r>
  <r>
    <s v="PU059-JBA-08162021"/>
    <s v="Spill"/>
    <x v="1"/>
    <s v="Pumpkinseed"/>
    <s v="Lepomis"/>
    <s v="gibbosus"/>
    <s v="U"/>
    <x v="0"/>
    <n v="8"/>
    <n v="11.81"/>
    <x v="5"/>
    <s v="375-95-1"/>
    <x v="5"/>
    <n v="0.161"/>
  </r>
  <r>
    <s v="PU059-JBA-08162021"/>
    <s v="Spill"/>
    <x v="1"/>
    <s v="Pumpkinseed"/>
    <s v="Lepomis"/>
    <s v="gibbosus"/>
    <s v="U"/>
    <x v="0"/>
    <n v="8"/>
    <n v="11.81"/>
    <x v="6"/>
    <s v="335-76-2"/>
    <x v="6"/>
    <n v="1.29"/>
  </r>
  <r>
    <s v="PU059-JBA-08162021"/>
    <s v="Spill"/>
    <x v="1"/>
    <s v="Pumpkinseed"/>
    <s v="Lepomis"/>
    <s v="gibbosus"/>
    <s v="U"/>
    <x v="0"/>
    <n v="8"/>
    <n v="11.81"/>
    <x v="7"/>
    <s v="2058-94-8"/>
    <x v="7"/>
    <n v="1.6"/>
  </r>
  <r>
    <s v="PU059-JBA-08162021"/>
    <s v="Spill"/>
    <x v="1"/>
    <s v="Pumpkinseed"/>
    <s v="Lepomis"/>
    <s v="gibbosus"/>
    <s v="U"/>
    <x v="0"/>
    <n v="8"/>
    <n v="11.81"/>
    <x v="8"/>
    <s v="307-55-1"/>
    <x v="8"/>
    <n v="2.72"/>
  </r>
  <r>
    <s v="PU059-JBA-08162021"/>
    <s v="Spill"/>
    <x v="1"/>
    <s v="Pumpkinseed"/>
    <s v="Lepomis"/>
    <s v="gibbosus"/>
    <s v="U"/>
    <x v="0"/>
    <n v="8"/>
    <n v="11.81"/>
    <x v="9"/>
    <s v="72629-94-8"/>
    <x v="9"/>
    <n v="0.72"/>
  </r>
  <r>
    <s v="PU059-JBA-08162021"/>
    <s v="Spill"/>
    <x v="1"/>
    <s v="Pumpkinseed"/>
    <s v="Lepomis"/>
    <s v="gibbosus"/>
    <s v="U"/>
    <x v="0"/>
    <n v="8"/>
    <n v="11.81"/>
    <x v="10"/>
    <s v="376-06-7"/>
    <x v="10"/>
    <n v="2.59"/>
  </r>
  <r>
    <s v="PU059-JBA-08162021"/>
    <s v="Spill"/>
    <x v="1"/>
    <s v="Pumpkinseed"/>
    <s v="Lepomis"/>
    <s v="gibbosus"/>
    <s v="U"/>
    <x v="0"/>
    <n v="8"/>
    <n v="11.81"/>
    <x v="11"/>
    <s v="67905-19-5"/>
    <x v="11"/>
    <n v="8.4000000000000005E-2"/>
  </r>
  <r>
    <s v="PU059-JBA-08162021"/>
    <s v="Spill"/>
    <x v="1"/>
    <s v="Pumpkinseed"/>
    <s v="Lepomis"/>
    <s v="gibbosus"/>
    <s v="U"/>
    <x v="0"/>
    <n v="8"/>
    <n v="11.81"/>
    <x v="12"/>
    <s v="423-41-6"/>
    <x v="12"/>
    <n v="7.0499999999999993E-2"/>
  </r>
  <r>
    <s v="PU059-JBA-08162021"/>
    <s v="Spill"/>
    <x v="1"/>
    <s v="Pumpkinseed"/>
    <s v="Lepomis"/>
    <s v="gibbosus"/>
    <s v="U"/>
    <x v="0"/>
    <n v="8"/>
    <n v="11.81"/>
    <x v="13"/>
    <s v="375-73-5"/>
    <x v="13"/>
    <n v="0.158"/>
  </r>
  <r>
    <s v="PU059-JBA-08162021"/>
    <s v="Spill"/>
    <x v="1"/>
    <s v="Pumpkinseed"/>
    <s v="Lepomis"/>
    <s v="gibbosus"/>
    <s v="U"/>
    <x v="0"/>
    <n v="8"/>
    <n v="11.81"/>
    <x v="14"/>
    <s v="2706-91-4"/>
    <x v="14"/>
    <n v="7.0499999999999993E-2"/>
  </r>
  <r>
    <s v="PU059-JBA-08162021"/>
    <s v="Spill"/>
    <x v="1"/>
    <s v="Pumpkinseed"/>
    <s v="Lepomis"/>
    <s v="gibbosus"/>
    <s v="U"/>
    <x v="0"/>
    <n v="8"/>
    <n v="11.81"/>
    <x v="15"/>
    <s v="355-46-4"/>
    <x v="15"/>
    <n v="7.06"/>
  </r>
  <r>
    <s v="PU059-JBA-08162021"/>
    <s v="Spill"/>
    <x v="1"/>
    <s v="Pumpkinseed"/>
    <s v="Lepomis"/>
    <s v="gibbosus"/>
    <s v="U"/>
    <x v="0"/>
    <n v="8"/>
    <n v="11.81"/>
    <x v="16"/>
    <s v="375-92-8"/>
    <x v="16"/>
    <n v="0.48599999999999999"/>
  </r>
  <r>
    <s v="PU059-JBA-08162021"/>
    <s v="Spill"/>
    <x v="1"/>
    <s v="Pumpkinseed"/>
    <s v="Lepomis"/>
    <s v="gibbosus"/>
    <s v="U"/>
    <x v="0"/>
    <n v="8"/>
    <n v="11.81"/>
    <x v="17"/>
    <s v="1763-23-1"/>
    <x v="17"/>
    <n v="174"/>
  </r>
  <r>
    <s v="PU059-JBA-08162021"/>
    <s v="Spill"/>
    <x v="1"/>
    <s v="Pumpkinseed"/>
    <s v="Lepomis"/>
    <s v="gibbosus"/>
    <s v="U"/>
    <x v="0"/>
    <n v="8"/>
    <n v="11.81"/>
    <x v="18"/>
    <s v="68259-12-1"/>
    <x v="18"/>
    <n v="0.13250000000000001"/>
  </r>
  <r>
    <s v="PU059-JBA-08162021"/>
    <s v="Spill"/>
    <x v="1"/>
    <s v="Pumpkinseed"/>
    <s v="Lepomis"/>
    <s v="gibbosus"/>
    <s v="U"/>
    <x v="0"/>
    <n v="8"/>
    <n v="11.81"/>
    <x v="19"/>
    <s v="335-77-3"/>
    <x v="19"/>
    <n v="0.1905"/>
  </r>
  <r>
    <s v="PU059-JBA-08162021"/>
    <s v="Spill"/>
    <x v="1"/>
    <s v="Pumpkinseed"/>
    <s v="Lepomis"/>
    <s v="gibbosus"/>
    <s v="U"/>
    <x v="0"/>
    <n v="8"/>
    <n v="11.81"/>
    <x v="20"/>
    <s v="79780-39-5"/>
    <x v="20"/>
    <n v="0.2485"/>
  </r>
  <r>
    <s v="PU059-JBA-08162021"/>
    <s v="Spill"/>
    <x v="1"/>
    <s v="Pumpkinseed"/>
    <s v="Lepomis"/>
    <s v="gibbosus"/>
    <s v="U"/>
    <x v="0"/>
    <n v="8"/>
    <n v="11.81"/>
    <x v="21"/>
    <s v="777011-38-8"/>
    <x v="21"/>
    <n v="4.2799999999999998E-2"/>
  </r>
  <r>
    <s v="PU059-JBA-08162021"/>
    <s v="Spill"/>
    <x v="1"/>
    <s v="Pumpkinseed"/>
    <s v="Lepomis"/>
    <s v="gibbosus"/>
    <s v="U"/>
    <x v="0"/>
    <n v="8"/>
    <n v="11.81"/>
    <x v="22"/>
    <s v="646-83-3"/>
    <x v="22"/>
    <n v="7.0499999999999993E-2"/>
  </r>
  <r>
    <s v="PU059-JBA-08162021"/>
    <s v="Spill"/>
    <x v="1"/>
    <s v="Pumpkinseed"/>
    <s v="Lepomis"/>
    <s v="gibbosus"/>
    <s v="U"/>
    <x v="0"/>
    <n v="8"/>
    <n v="11.81"/>
    <x v="23"/>
    <s v="30334-69-1"/>
    <x v="23"/>
    <n v="9.35"/>
  </r>
  <r>
    <s v="PU059-JBA-08162021"/>
    <s v="Spill"/>
    <x v="1"/>
    <s v="Pumpkinseed"/>
    <s v="Lepomis"/>
    <s v="gibbosus"/>
    <s v="U"/>
    <x v="0"/>
    <n v="8"/>
    <n v="11.81"/>
    <x v="24"/>
    <s v="41997-13-1"/>
    <x v="24"/>
    <n v="30.3"/>
  </r>
  <r>
    <s v="PU059-JBA-08162021"/>
    <s v="Spill"/>
    <x v="1"/>
    <s v="Pumpkinseed"/>
    <s v="Lepomis"/>
    <s v="gibbosus"/>
    <s v="U"/>
    <x v="0"/>
    <n v="8"/>
    <n v="11.81"/>
    <x v="25"/>
    <s v="754-91-6"/>
    <x v="25"/>
    <n v="3.35"/>
  </r>
  <r>
    <s v="PU059-JBA-08162021"/>
    <s v="Spill"/>
    <x v="1"/>
    <s v="Pumpkinseed"/>
    <s v="Lepomis"/>
    <s v="gibbosus"/>
    <s v="U"/>
    <x v="0"/>
    <n v="8"/>
    <n v="11.81"/>
    <x v="26"/>
    <s v="31506-32-8"/>
    <x v="26"/>
    <n v="7.0499999999999993E-2"/>
  </r>
  <r>
    <s v="PU059-JBA-08162021"/>
    <s v="Spill"/>
    <x v="1"/>
    <s v="Pumpkinseed"/>
    <s v="Lepomis"/>
    <s v="gibbosus"/>
    <s v="U"/>
    <x v="0"/>
    <n v="8"/>
    <n v="11.81"/>
    <x v="27"/>
    <s v="4151-50-2"/>
    <x v="27"/>
    <n v="8.2000000000000003E-2"/>
  </r>
  <r>
    <s v="PU059-JBA-08162021"/>
    <s v="Spill"/>
    <x v="1"/>
    <s v="Pumpkinseed"/>
    <s v="Lepomis"/>
    <s v="gibbosus"/>
    <s v="U"/>
    <x v="0"/>
    <n v="8"/>
    <n v="11.81"/>
    <x v="28"/>
    <s v="2806-24-8"/>
    <x v="28"/>
    <n v="5.5500000000000001E-2"/>
  </r>
  <r>
    <s v="PU059-JBA-08162021"/>
    <s v="Spill"/>
    <x v="1"/>
    <s v="Pumpkinseed"/>
    <s v="Lepomis"/>
    <s v="gibbosus"/>
    <s v="U"/>
    <x v="0"/>
    <n v="8"/>
    <n v="11.81"/>
    <x v="29"/>
    <s v="2355-31-9"/>
    <x v="29"/>
    <n v="7.0999999999999994E-2"/>
  </r>
  <r>
    <s v="PU059-JBA-08162021"/>
    <s v="Spill"/>
    <x v="1"/>
    <s v="Pumpkinseed"/>
    <s v="Lepomis"/>
    <s v="gibbosus"/>
    <s v="U"/>
    <x v="0"/>
    <n v="8"/>
    <n v="11.81"/>
    <x v="30"/>
    <s v="2991-50-6"/>
    <x v="30"/>
    <n v="6.0999999999999999E-2"/>
  </r>
  <r>
    <s v="PU059-JBA-08162021"/>
    <s v="Spill"/>
    <x v="1"/>
    <s v="Pumpkinseed"/>
    <s v="Lepomis"/>
    <s v="gibbosus"/>
    <s v="U"/>
    <x v="0"/>
    <n v="8"/>
    <n v="11.81"/>
    <x v="31"/>
    <s v="757124-72-4"/>
    <x v="31"/>
    <n v="7.0499999999999993E-2"/>
  </r>
  <r>
    <s v="PU059-JBA-08162021"/>
    <s v="Spill"/>
    <x v="1"/>
    <s v="Pumpkinseed"/>
    <s v="Lepomis"/>
    <s v="gibbosus"/>
    <s v="U"/>
    <x v="0"/>
    <n v="8"/>
    <n v="11.81"/>
    <x v="32"/>
    <s v="27619-97-2"/>
    <x v="32"/>
    <n v="0.39600000000000002"/>
  </r>
  <r>
    <s v="PU059-JBA-08162021"/>
    <s v="Spill"/>
    <x v="1"/>
    <s v="Pumpkinseed"/>
    <s v="Lepomis"/>
    <s v="gibbosus"/>
    <s v="U"/>
    <x v="0"/>
    <n v="8"/>
    <n v="11.81"/>
    <x v="33"/>
    <s v="39108-34-4"/>
    <x v="33"/>
    <n v="2.1"/>
  </r>
  <r>
    <s v="PU059-JBA-08162021"/>
    <s v="Spill"/>
    <x v="1"/>
    <s v="Pumpkinseed"/>
    <s v="Lepomis"/>
    <s v="gibbosus"/>
    <s v="U"/>
    <x v="0"/>
    <n v="8"/>
    <n v="11.81"/>
    <x v="34"/>
    <s v="120226-60-0"/>
    <x v="34"/>
    <n v="0.08"/>
  </r>
  <r>
    <s v="PU059-JBA-08162021"/>
    <s v="Spill"/>
    <x v="1"/>
    <s v="Pumpkinseed"/>
    <s v="Lepomis"/>
    <s v="gibbosus"/>
    <s v="U"/>
    <x v="0"/>
    <n v="8"/>
    <n v="11.81"/>
    <x v="35"/>
    <s v="356-02-5"/>
    <x v="35"/>
    <n v="8.1000000000000003E-2"/>
  </r>
  <r>
    <s v="PU059-JBA-08162021"/>
    <s v="Spill"/>
    <x v="1"/>
    <s v="Pumpkinseed"/>
    <s v="Lepomis"/>
    <s v="gibbosus"/>
    <s v="U"/>
    <x v="0"/>
    <n v="8"/>
    <n v="11.81"/>
    <x v="36"/>
    <s v="914637-49-3"/>
    <x v="36"/>
    <n v="1.98"/>
  </r>
  <r>
    <s v="PU059-JBA-08162021"/>
    <s v="Spill"/>
    <x v="1"/>
    <s v="Pumpkinseed"/>
    <s v="Lepomis"/>
    <s v="gibbosus"/>
    <s v="U"/>
    <x v="0"/>
    <n v="8"/>
    <n v="11.81"/>
    <x v="37"/>
    <s v="812-70-4"/>
    <x v="37"/>
    <n v="1.98"/>
  </r>
  <r>
    <s v="PU059-JBA-08162021"/>
    <s v="Spill"/>
    <x v="1"/>
    <s v="Pumpkinseed"/>
    <s v="Lepomis"/>
    <s v="gibbosus"/>
    <s v="U"/>
    <x v="0"/>
    <n v="8"/>
    <n v="11.81"/>
    <x v="38"/>
    <s v="53826-12-3"/>
    <x v="38"/>
    <n v="7.0499999999999993E-2"/>
  </r>
  <r>
    <s v="PU059-JBA-08162021"/>
    <s v="Spill"/>
    <x v="1"/>
    <s v="Pumpkinseed"/>
    <s v="Lepomis"/>
    <s v="gibbosus"/>
    <s v="U"/>
    <x v="0"/>
    <n v="8"/>
    <n v="11.81"/>
    <x v="39"/>
    <s v="27854-31-5"/>
    <x v="39"/>
    <n v="7.0499999999999993E-2"/>
  </r>
  <r>
    <s v="PU059-JBA-08162021"/>
    <s v="Spill"/>
    <x v="1"/>
    <s v="Pumpkinseed"/>
    <s v="Lepomis"/>
    <s v="gibbosus"/>
    <s v="U"/>
    <x v="0"/>
    <n v="8"/>
    <n v="11.81"/>
    <x v="40"/>
    <s v="53826-13-4"/>
    <x v="40"/>
    <n v="0.105"/>
  </r>
  <r>
    <s v="PU059-JBA-08162021"/>
    <s v="Spill"/>
    <x v="1"/>
    <s v="Pumpkinseed"/>
    <s v="Lepomis"/>
    <s v="gibbosus"/>
    <s v="U"/>
    <x v="0"/>
    <n v="8"/>
    <n v="11.81"/>
    <x v="41"/>
    <s v="161094-75-3"/>
    <x v="41"/>
    <n v="5.5500000000000001E-2"/>
  </r>
  <r>
    <s v="PU059-JBA-08162021"/>
    <s v="Spill"/>
    <x v="1"/>
    <s v="Pumpkinseed"/>
    <s v="Lepomis"/>
    <s v="gibbosus"/>
    <s v="U"/>
    <x v="0"/>
    <n v="8"/>
    <n v="11.81"/>
    <x v="42"/>
    <s v="70887-84-2"/>
    <x v="42"/>
    <n v="4.2549999999999998E-2"/>
  </r>
  <r>
    <s v="PU059-JBA-08162021"/>
    <s v="Spill"/>
    <x v="1"/>
    <s v="Pumpkinseed"/>
    <s v="Lepomis"/>
    <s v="gibbosus"/>
    <s v="U"/>
    <x v="0"/>
    <n v="8"/>
    <n v="11.81"/>
    <x v="43"/>
    <s v="919005-14-4"/>
    <x v="43"/>
    <n v="0.20499999999999999"/>
  </r>
  <r>
    <s v="PU059-JBA-08162021"/>
    <s v="Spill"/>
    <x v="1"/>
    <s v="Pumpkinseed"/>
    <s v="Lepomis"/>
    <s v="gibbosus"/>
    <s v="U"/>
    <x v="0"/>
    <n v="8"/>
    <n v="11.81"/>
    <x v="44"/>
    <s v="756426-58-1"/>
    <x v="44"/>
    <n v="7.0499999999999993E-2"/>
  </r>
  <r>
    <s v="PU059-JBA-08162021"/>
    <s v="Spill"/>
    <x v="1"/>
    <s v="Pumpkinseed"/>
    <s v="Lepomis"/>
    <s v="gibbosus"/>
    <s v="U"/>
    <x v="0"/>
    <n v="8"/>
    <n v="11.81"/>
    <x v="45"/>
    <s v="763051-92-9"/>
    <x v="45"/>
    <n v="7.0499999999999993E-2"/>
  </r>
  <r>
    <s v="PU059-JBA-08162021"/>
    <s v="Spill"/>
    <x v="1"/>
    <s v="Pumpkinseed"/>
    <s v="Lepomis"/>
    <s v="gibbosus"/>
    <s v="U"/>
    <x v="0"/>
    <n v="8"/>
    <n v="11.81"/>
    <x v="46"/>
    <s v="13252-13-6"/>
    <x v="46"/>
    <n v="0.10100000000000001"/>
  </r>
  <r>
    <s v="PU059-JBA-08162021"/>
    <s v="Spill"/>
    <x v="1"/>
    <s v="Pumpkinseed"/>
    <s v="Lepomis"/>
    <s v="gibbosus"/>
    <s v="U"/>
    <x v="0"/>
    <n v="8"/>
    <n v="11.81"/>
    <x v="47"/>
    <s v="57677-95-9"/>
    <x v="47"/>
    <n v="7.4999999999999997E-2"/>
  </r>
  <r>
    <s v="PU059-JBA-08162021"/>
    <s v="Spill"/>
    <x v="1"/>
    <s v="Pumpkinseed"/>
    <s v="Lepomis"/>
    <s v="gibbosus"/>
    <s v="U"/>
    <x v="0"/>
    <n v="8"/>
    <n v="11.81"/>
    <x v="48"/>
    <s v="678-41-1"/>
    <x v="48"/>
    <n v="9.35E-2"/>
  </r>
  <r>
    <s v="PU059-JBA-08162021"/>
    <s v="Spill"/>
    <x v="1"/>
    <s v="Pumpkinseed"/>
    <s v="Lepomis"/>
    <s v="gibbosus"/>
    <s v="U"/>
    <x v="0"/>
    <n v="8"/>
    <n v="11.81"/>
    <x v="49"/>
    <s v="2965-52-8"/>
    <x v="49"/>
    <n v="0.124"/>
  </r>
  <r>
    <s v="GC018-JBA-08162021"/>
    <s v="Spill"/>
    <x v="1"/>
    <s v="Swallowtail Shiner"/>
    <s v="Notropis"/>
    <s v="gibbosus"/>
    <s v="U"/>
    <x v="0"/>
    <n v="8"/>
    <n v="11.81"/>
    <x v="0"/>
    <s v="375-22-4"/>
    <x v="0"/>
    <n v="0.22600000000000001"/>
  </r>
  <r>
    <s v="GC018-JBA-08162021"/>
    <s v="Spill"/>
    <x v="1"/>
    <s v="Swallowtail Shiner"/>
    <s v="Notropis"/>
    <s v="gibbosus"/>
    <s v="U"/>
    <x v="0"/>
    <n v="8"/>
    <n v="11.81"/>
    <x v="1"/>
    <s v="2706-90-3"/>
    <x v="1"/>
    <n v="0.1595"/>
  </r>
  <r>
    <s v="GC018-JBA-08162021"/>
    <s v="Spill"/>
    <x v="1"/>
    <s v="Swallowtail Shiner"/>
    <s v="Notropis"/>
    <s v="gibbosus"/>
    <s v="U"/>
    <x v="0"/>
    <n v="8"/>
    <n v="11.81"/>
    <x v="2"/>
    <s v="307-24-4"/>
    <x v="2"/>
    <n v="0.122"/>
  </r>
  <r>
    <s v="GC018-JBA-08162021"/>
    <s v="Spill"/>
    <x v="1"/>
    <s v="Swallowtail Shiner"/>
    <s v="Notropis"/>
    <s v="gibbosus"/>
    <s v="U"/>
    <x v="0"/>
    <n v="8"/>
    <n v="11.81"/>
    <x v="3"/>
    <s v="375-85-9"/>
    <x v="3"/>
    <n v="9.0499999999999997E-2"/>
  </r>
  <r>
    <s v="GC018-JBA-08162021"/>
    <s v="Spill"/>
    <x v="1"/>
    <s v="Swallowtail Shiner"/>
    <s v="Notropis"/>
    <s v="gibbosus"/>
    <s v="U"/>
    <x v="0"/>
    <n v="8"/>
    <n v="11.81"/>
    <x v="4"/>
    <s v="335-67-1"/>
    <x v="4"/>
    <n v="3.05"/>
  </r>
  <r>
    <s v="GC018-JBA-08162021"/>
    <s v="Spill"/>
    <x v="1"/>
    <s v="Swallowtail Shiner"/>
    <s v="Notropis"/>
    <s v="gibbosus"/>
    <s v="U"/>
    <x v="0"/>
    <n v="8"/>
    <n v="11.81"/>
    <x v="5"/>
    <s v="375-95-1"/>
    <x v="5"/>
    <n v="2.5099999999999998"/>
  </r>
  <r>
    <s v="GC018-JBA-08162021"/>
    <s v="Spill"/>
    <x v="1"/>
    <s v="Swallowtail Shiner"/>
    <s v="Notropis"/>
    <s v="gibbosus"/>
    <s v="U"/>
    <x v="0"/>
    <n v="8"/>
    <n v="11.81"/>
    <x v="6"/>
    <s v="335-76-2"/>
    <x v="6"/>
    <n v="6.05"/>
  </r>
  <r>
    <s v="GC018-JBA-08162021"/>
    <s v="Spill"/>
    <x v="1"/>
    <s v="Swallowtail Shiner"/>
    <s v="Notropis"/>
    <s v="gibbosus"/>
    <s v="U"/>
    <x v="0"/>
    <n v="8"/>
    <n v="11.81"/>
    <x v="7"/>
    <s v="2058-94-8"/>
    <x v="7"/>
    <n v="6.28"/>
  </r>
  <r>
    <s v="GC018-JBA-08162021"/>
    <s v="Spill"/>
    <x v="1"/>
    <s v="Swallowtail Shiner"/>
    <s v="Notropis"/>
    <s v="gibbosus"/>
    <s v="U"/>
    <x v="0"/>
    <n v="8"/>
    <n v="11.81"/>
    <x v="8"/>
    <s v="307-55-1"/>
    <x v="8"/>
    <n v="13.1"/>
  </r>
  <r>
    <s v="GC018-JBA-08162021"/>
    <s v="Spill"/>
    <x v="1"/>
    <s v="Swallowtail Shiner"/>
    <s v="Notropis"/>
    <s v="gibbosus"/>
    <s v="U"/>
    <x v="0"/>
    <n v="8"/>
    <n v="11.81"/>
    <x v="9"/>
    <s v="72629-94-8"/>
    <x v="9"/>
    <n v="3.89"/>
  </r>
  <r>
    <s v="GC018-JBA-08162021"/>
    <s v="Spill"/>
    <x v="1"/>
    <s v="Swallowtail Shiner"/>
    <s v="Notropis"/>
    <s v="gibbosus"/>
    <s v="U"/>
    <x v="0"/>
    <n v="8"/>
    <n v="11.81"/>
    <x v="10"/>
    <s v="376-06-7"/>
    <x v="10"/>
    <n v="16"/>
  </r>
  <r>
    <s v="GC018-JBA-08162021"/>
    <s v="Spill"/>
    <x v="1"/>
    <s v="Swallowtail Shiner"/>
    <s v="Notropis"/>
    <s v="gibbosus"/>
    <s v="U"/>
    <x v="0"/>
    <n v="8"/>
    <n v="11.81"/>
    <x v="11"/>
    <s v="67905-19-5"/>
    <x v="11"/>
    <n v="8.1500000000000003E-2"/>
  </r>
  <r>
    <s v="GC018-JBA-08162021"/>
    <s v="Spill"/>
    <x v="1"/>
    <s v="Swallowtail Shiner"/>
    <s v="Notropis"/>
    <s v="gibbosus"/>
    <s v="U"/>
    <x v="0"/>
    <n v="8"/>
    <n v="11.81"/>
    <x v="12"/>
    <s v="423-41-6"/>
    <x v="12"/>
    <n v="6.8500000000000005E-2"/>
  </r>
  <r>
    <s v="GC018-JBA-08162021"/>
    <s v="Spill"/>
    <x v="1"/>
    <s v="Swallowtail Shiner"/>
    <s v="Notropis"/>
    <s v="gibbosus"/>
    <s v="U"/>
    <x v="0"/>
    <n v="8"/>
    <n v="11.81"/>
    <x v="13"/>
    <s v="375-73-5"/>
    <x v="13"/>
    <n v="0.1535"/>
  </r>
  <r>
    <s v="GC018-JBA-08162021"/>
    <s v="Spill"/>
    <x v="1"/>
    <s v="Swallowtail Shiner"/>
    <s v="Notropis"/>
    <s v="gibbosus"/>
    <s v="U"/>
    <x v="0"/>
    <n v="8"/>
    <n v="11.81"/>
    <x v="14"/>
    <s v="2706-91-4"/>
    <x v="14"/>
    <n v="0.22600000000000001"/>
  </r>
  <r>
    <s v="GC018-JBA-08162021"/>
    <s v="Spill"/>
    <x v="1"/>
    <s v="Swallowtail Shiner"/>
    <s v="Notropis"/>
    <s v="gibbosus"/>
    <s v="U"/>
    <x v="0"/>
    <n v="8"/>
    <n v="11.81"/>
    <x v="15"/>
    <s v="355-46-4"/>
    <x v="15"/>
    <n v="57.9"/>
  </r>
  <r>
    <s v="GC018-JBA-08162021"/>
    <s v="Spill"/>
    <x v="1"/>
    <s v="Swallowtail Shiner"/>
    <s v="Notropis"/>
    <s v="gibbosus"/>
    <s v="U"/>
    <x v="0"/>
    <n v="8"/>
    <n v="11.81"/>
    <x v="16"/>
    <s v="375-92-8"/>
    <x v="16"/>
    <n v="2.25"/>
  </r>
  <r>
    <s v="GC018-JBA-08162021"/>
    <s v="Spill"/>
    <x v="1"/>
    <s v="Swallowtail Shiner"/>
    <s v="Notropis"/>
    <s v="gibbosus"/>
    <s v="U"/>
    <x v="0"/>
    <n v="8"/>
    <n v="11.81"/>
    <x v="17"/>
    <s v="1763-23-1"/>
    <x v="17"/>
    <n v="630"/>
  </r>
  <r>
    <s v="GC018-JBA-08162021"/>
    <s v="Spill"/>
    <x v="1"/>
    <s v="Swallowtail Shiner"/>
    <s v="Notropis"/>
    <s v="gibbosus"/>
    <s v="U"/>
    <x v="0"/>
    <n v="8"/>
    <n v="11.81"/>
    <x v="18"/>
    <s v="68259-12-1"/>
    <x v="18"/>
    <n v="0.39800000000000002"/>
  </r>
  <r>
    <s v="GC018-JBA-08162021"/>
    <s v="Spill"/>
    <x v="1"/>
    <s v="Swallowtail Shiner"/>
    <s v="Notropis"/>
    <s v="gibbosus"/>
    <s v="U"/>
    <x v="0"/>
    <n v="8"/>
    <n v="11.81"/>
    <x v="19"/>
    <s v="335-77-3"/>
    <x v="19"/>
    <n v="0.65100000000000002"/>
  </r>
  <r>
    <s v="GC018-JBA-08162021"/>
    <s v="Spill"/>
    <x v="1"/>
    <s v="Swallowtail Shiner"/>
    <s v="Notropis"/>
    <s v="gibbosus"/>
    <s v="U"/>
    <x v="0"/>
    <n v="8"/>
    <n v="11.81"/>
    <x v="20"/>
    <s v="79780-39-5"/>
    <x v="20"/>
    <n v="0.24149999999999999"/>
  </r>
  <r>
    <s v="GC018-JBA-08162021"/>
    <s v="Spill"/>
    <x v="1"/>
    <s v="Swallowtail Shiner"/>
    <s v="Notropis"/>
    <s v="gibbosus"/>
    <s v="U"/>
    <x v="0"/>
    <n v="8"/>
    <n v="11.81"/>
    <x v="21"/>
    <s v="777011-38-8"/>
    <x v="21"/>
    <n v="0.13750000000000001"/>
  </r>
  <r>
    <s v="GC018-JBA-08162021"/>
    <s v="Spill"/>
    <x v="1"/>
    <s v="Swallowtail Shiner"/>
    <s v="Notropis"/>
    <s v="gibbosus"/>
    <s v="U"/>
    <x v="0"/>
    <n v="8"/>
    <n v="11.81"/>
    <x v="22"/>
    <s v="646-83-3"/>
    <x v="22"/>
    <n v="0.22600000000000001"/>
  </r>
  <r>
    <s v="GC018-JBA-08162021"/>
    <s v="Spill"/>
    <x v="1"/>
    <s v="Swallowtail Shiner"/>
    <s v="Notropis"/>
    <s v="gibbosus"/>
    <s v="U"/>
    <x v="0"/>
    <n v="8"/>
    <n v="11.81"/>
    <x v="23"/>
    <s v="30334-69-1"/>
    <x v="23"/>
    <n v="122"/>
  </r>
  <r>
    <s v="GC018-JBA-08162021"/>
    <s v="Spill"/>
    <x v="1"/>
    <s v="Swallowtail Shiner"/>
    <s v="Notropis"/>
    <s v="gibbosus"/>
    <s v="U"/>
    <x v="0"/>
    <n v="8"/>
    <n v="11.81"/>
    <x v="24"/>
    <s v="41997-13-1"/>
    <x v="24"/>
    <n v="515"/>
  </r>
  <r>
    <s v="GC018-JBA-08162021"/>
    <s v="Spill"/>
    <x v="1"/>
    <s v="Swallowtail Shiner"/>
    <s v="Notropis"/>
    <s v="gibbosus"/>
    <s v="U"/>
    <x v="0"/>
    <n v="8"/>
    <n v="11.81"/>
    <x v="25"/>
    <s v="754-91-6"/>
    <x v="25"/>
    <n v="23.9"/>
  </r>
  <r>
    <s v="GC018-JBA-08162021"/>
    <s v="Spill"/>
    <x v="1"/>
    <s v="Swallowtail Shiner"/>
    <s v="Notropis"/>
    <s v="gibbosus"/>
    <s v="U"/>
    <x v="0"/>
    <n v="8"/>
    <n v="11.81"/>
    <x v="26"/>
    <s v="31506-32-8"/>
    <x v="26"/>
    <n v="6.8500000000000005E-2"/>
  </r>
  <r>
    <s v="GC018-JBA-08162021"/>
    <s v="Spill"/>
    <x v="1"/>
    <s v="Swallowtail Shiner"/>
    <s v="Notropis"/>
    <s v="gibbosus"/>
    <s v="U"/>
    <x v="0"/>
    <n v="8"/>
    <n v="11.81"/>
    <x v="27"/>
    <s v="4151-50-2"/>
    <x v="27"/>
    <n v="0.08"/>
  </r>
  <r>
    <s v="GC018-JBA-08162021"/>
    <s v="Spill"/>
    <x v="1"/>
    <s v="Swallowtail Shiner"/>
    <s v="Notropis"/>
    <s v="gibbosus"/>
    <s v="U"/>
    <x v="0"/>
    <n v="8"/>
    <n v="11.81"/>
    <x v="28"/>
    <s v="2806-24-8"/>
    <x v="28"/>
    <n v="5.3999999999999999E-2"/>
  </r>
  <r>
    <s v="GC018-JBA-08162021"/>
    <s v="Spill"/>
    <x v="1"/>
    <s v="Swallowtail Shiner"/>
    <s v="Notropis"/>
    <s v="gibbosus"/>
    <s v="U"/>
    <x v="0"/>
    <n v="8"/>
    <n v="11.81"/>
    <x v="29"/>
    <s v="2355-31-9"/>
    <x v="29"/>
    <n v="6.9000000000000006E-2"/>
  </r>
  <r>
    <s v="GC018-JBA-08162021"/>
    <s v="Spill"/>
    <x v="1"/>
    <s v="Swallowtail Shiner"/>
    <s v="Notropis"/>
    <s v="gibbosus"/>
    <s v="U"/>
    <x v="0"/>
    <n v="8"/>
    <n v="11.81"/>
    <x v="30"/>
    <s v="2991-50-6"/>
    <x v="30"/>
    <n v="5.9499999999999997E-2"/>
  </r>
  <r>
    <s v="GC018-JBA-08162021"/>
    <s v="Spill"/>
    <x v="1"/>
    <s v="Swallowtail Shiner"/>
    <s v="Notropis"/>
    <s v="gibbosus"/>
    <s v="U"/>
    <x v="0"/>
    <n v="8"/>
    <n v="11.81"/>
    <x v="31"/>
    <s v="757124-72-4"/>
    <x v="31"/>
    <n v="6.8500000000000005E-2"/>
  </r>
  <r>
    <s v="GC018-JBA-08162021"/>
    <s v="Spill"/>
    <x v="1"/>
    <s v="Swallowtail Shiner"/>
    <s v="Notropis"/>
    <s v="gibbosus"/>
    <s v="U"/>
    <x v="0"/>
    <n v="8"/>
    <n v="11.81"/>
    <x v="32"/>
    <s v="27619-97-2"/>
    <x v="32"/>
    <n v="0.73"/>
  </r>
  <r>
    <s v="GC018-JBA-08162021"/>
    <s v="Spill"/>
    <x v="1"/>
    <s v="Swallowtail Shiner"/>
    <s v="Notropis"/>
    <s v="gibbosus"/>
    <s v="U"/>
    <x v="0"/>
    <n v="8"/>
    <n v="11.81"/>
    <x v="33"/>
    <s v="39108-34-4"/>
    <x v="33"/>
    <n v="13.4"/>
  </r>
  <r>
    <s v="GC018-JBA-08162021"/>
    <s v="Spill"/>
    <x v="1"/>
    <s v="Swallowtail Shiner"/>
    <s v="Notropis"/>
    <s v="gibbosus"/>
    <s v="U"/>
    <x v="0"/>
    <n v="8"/>
    <n v="11.81"/>
    <x v="34"/>
    <s v="120226-60-0"/>
    <x v="34"/>
    <n v="7.7499999999999999E-2"/>
  </r>
  <r>
    <s v="GC018-JBA-08162021"/>
    <s v="Spill"/>
    <x v="1"/>
    <s v="Swallowtail Shiner"/>
    <s v="Notropis"/>
    <s v="gibbosus"/>
    <s v="U"/>
    <x v="0"/>
    <n v="8"/>
    <n v="11.81"/>
    <x v="35"/>
    <s v="356-02-5"/>
    <x v="35"/>
    <n v="7.9000000000000001E-2"/>
  </r>
  <r>
    <s v="GC018-JBA-08162021"/>
    <s v="Spill"/>
    <x v="1"/>
    <s v="Swallowtail Shiner"/>
    <s v="Notropis"/>
    <s v="gibbosus"/>
    <s v="U"/>
    <x v="0"/>
    <n v="8"/>
    <n v="11.81"/>
    <x v="36"/>
    <s v="914637-49-3"/>
    <x v="36"/>
    <n v="0.43"/>
  </r>
  <r>
    <s v="GC018-JBA-08162021"/>
    <s v="Spill"/>
    <x v="1"/>
    <s v="Swallowtail Shiner"/>
    <s v="Notropis"/>
    <s v="gibbosus"/>
    <s v="U"/>
    <x v="0"/>
    <n v="8"/>
    <n v="11.81"/>
    <x v="37"/>
    <s v="812-70-4"/>
    <x v="37"/>
    <n v="14.8"/>
  </r>
  <r>
    <s v="GC018-JBA-08162021"/>
    <s v="Spill"/>
    <x v="1"/>
    <s v="Swallowtail Shiner"/>
    <s v="Notropis"/>
    <s v="gibbosus"/>
    <s v="U"/>
    <x v="0"/>
    <n v="8"/>
    <n v="11.81"/>
    <x v="38"/>
    <s v="53826-12-3"/>
    <x v="38"/>
    <n v="1.78"/>
  </r>
  <r>
    <s v="GC018-JBA-08162021"/>
    <s v="Spill"/>
    <x v="1"/>
    <s v="Swallowtail Shiner"/>
    <s v="Notropis"/>
    <s v="gibbosus"/>
    <s v="U"/>
    <x v="0"/>
    <n v="8"/>
    <n v="11.81"/>
    <x v="39"/>
    <s v="27854-31-5"/>
    <x v="39"/>
    <n v="6.8500000000000005E-2"/>
  </r>
  <r>
    <s v="GC018-JBA-08162021"/>
    <s v="Spill"/>
    <x v="1"/>
    <s v="Swallowtail Shiner"/>
    <s v="Notropis"/>
    <s v="gibbosus"/>
    <s v="U"/>
    <x v="0"/>
    <n v="8"/>
    <n v="11.81"/>
    <x v="40"/>
    <s v="53826-13-4"/>
    <x v="40"/>
    <n v="0.10199999999999999"/>
  </r>
  <r>
    <s v="GC018-JBA-08162021"/>
    <s v="Spill"/>
    <x v="1"/>
    <s v="Swallowtail Shiner"/>
    <s v="Notropis"/>
    <s v="gibbosus"/>
    <s v="U"/>
    <x v="0"/>
    <n v="8"/>
    <n v="11.81"/>
    <x v="41"/>
    <s v="161094-75-3"/>
    <x v="41"/>
    <n v="5.3499999999999999E-2"/>
  </r>
  <r>
    <s v="GC018-JBA-08162021"/>
    <s v="Spill"/>
    <x v="1"/>
    <s v="Swallowtail Shiner"/>
    <s v="Notropis"/>
    <s v="gibbosus"/>
    <s v="U"/>
    <x v="0"/>
    <n v="8"/>
    <n v="11.81"/>
    <x v="42"/>
    <s v="70887-84-2"/>
    <x v="42"/>
    <n v="4.1349999999999998E-2"/>
  </r>
  <r>
    <s v="GC018-JBA-08162021"/>
    <s v="Spill"/>
    <x v="1"/>
    <s v="Swallowtail Shiner"/>
    <s v="Notropis"/>
    <s v="gibbosus"/>
    <s v="U"/>
    <x v="0"/>
    <n v="8"/>
    <n v="11.81"/>
    <x v="43"/>
    <s v="919005-14-4"/>
    <x v="43"/>
    <n v="0.19950000000000001"/>
  </r>
  <r>
    <s v="GC018-JBA-08162021"/>
    <s v="Spill"/>
    <x v="1"/>
    <s v="Swallowtail Shiner"/>
    <s v="Notropis"/>
    <s v="gibbosus"/>
    <s v="U"/>
    <x v="0"/>
    <n v="8"/>
    <n v="11.81"/>
    <x v="44"/>
    <s v="756426-58-1"/>
    <x v="44"/>
    <n v="6.8500000000000005E-2"/>
  </r>
  <r>
    <s v="GC018-JBA-08162021"/>
    <s v="Spill"/>
    <x v="1"/>
    <s v="Swallowtail Shiner"/>
    <s v="Notropis"/>
    <s v="gibbosus"/>
    <s v="U"/>
    <x v="0"/>
    <n v="8"/>
    <n v="11.81"/>
    <x v="45"/>
    <s v="763051-92-9"/>
    <x v="45"/>
    <n v="6.8500000000000005E-2"/>
  </r>
  <r>
    <s v="GC018-JBA-08162021"/>
    <s v="Spill"/>
    <x v="1"/>
    <s v="Swallowtail Shiner"/>
    <s v="Notropis"/>
    <s v="gibbosus"/>
    <s v="U"/>
    <x v="0"/>
    <n v="8"/>
    <n v="11.81"/>
    <x v="46"/>
    <s v="13252-13-6"/>
    <x v="46"/>
    <n v="9.8000000000000004E-2"/>
  </r>
  <r>
    <s v="GC018-JBA-08162021"/>
    <s v="Spill"/>
    <x v="1"/>
    <s v="Swallowtail Shiner"/>
    <s v="Notropis"/>
    <s v="gibbosus"/>
    <s v="U"/>
    <x v="0"/>
    <n v="8"/>
    <n v="11.81"/>
    <x v="47"/>
    <s v="57677-95-9"/>
    <x v="47"/>
    <n v="7.2999999999999995E-2"/>
  </r>
  <r>
    <s v="GC018-JBA-08162021"/>
    <s v="Spill"/>
    <x v="1"/>
    <s v="Swallowtail Shiner"/>
    <s v="Notropis"/>
    <s v="gibbosus"/>
    <s v="U"/>
    <x v="0"/>
    <n v="8"/>
    <n v="11.81"/>
    <x v="48"/>
    <s v="678-41-1"/>
    <x v="48"/>
    <n v="9.0499999999999997E-2"/>
  </r>
  <r>
    <s v="GC018-JBA-08162021"/>
    <s v="Spill"/>
    <x v="1"/>
    <s v="Swallowtail Shiner"/>
    <s v="Notropis"/>
    <s v="gibbosus"/>
    <s v="U"/>
    <x v="0"/>
    <n v="8"/>
    <n v="11.81"/>
    <x v="49"/>
    <s v="2965-52-8"/>
    <x v="49"/>
    <n v="0.1205"/>
  </r>
  <r>
    <s v="GC019-JBA-08162021"/>
    <s v="Spill"/>
    <x v="1"/>
    <s v="Swallowtail Shiner"/>
    <s v="Notropis"/>
    <s v="gibbosus"/>
    <s v="U"/>
    <x v="0"/>
    <n v="8"/>
    <n v="11.81"/>
    <x v="0"/>
    <s v="375-22-4"/>
    <x v="0"/>
    <n v="0.22500000000000001"/>
  </r>
  <r>
    <s v="GC019-JBA-08162021"/>
    <s v="Spill"/>
    <x v="1"/>
    <s v="Swallowtail Shiner"/>
    <s v="Notropis"/>
    <s v="gibbosus"/>
    <s v="U"/>
    <x v="0"/>
    <n v="8"/>
    <n v="11.81"/>
    <x v="1"/>
    <s v="2706-90-3"/>
    <x v="1"/>
    <n v="4.82E-2"/>
  </r>
  <r>
    <s v="GC019-JBA-08162021"/>
    <s v="Spill"/>
    <x v="1"/>
    <s v="Swallowtail Shiner"/>
    <s v="Notropis"/>
    <s v="gibbosus"/>
    <s v="U"/>
    <x v="0"/>
    <n v="8"/>
    <n v="11.81"/>
    <x v="2"/>
    <s v="307-24-4"/>
    <x v="2"/>
    <n v="0.1215"/>
  </r>
  <r>
    <s v="GC019-JBA-08162021"/>
    <s v="Spill"/>
    <x v="1"/>
    <s v="Swallowtail Shiner"/>
    <s v="Notropis"/>
    <s v="gibbosus"/>
    <s v="U"/>
    <x v="0"/>
    <n v="8"/>
    <n v="11.81"/>
    <x v="3"/>
    <s v="375-85-9"/>
    <x v="3"/>
    <n v="0.09"/>
  </r>
  <r>
    <s v="GC019-JBA-08162021"/>
    <s v="Spill"/>
    <x v="1"/>
    <s v="Swallowtail Shiner"/>
    <s v="Notropis"/>
    <s v="gibbosus"/>
    <s v="U"/>
    <x v="0"/>
    <n v="8"/>
    <n v="11.81"/>
    <x v="4"/>
    <s v="335-67-1"/>
    <x v="4"/>
    <n v="2"/>
  </r>
  <r>
    <s v="GC019-JBA-08162021"/>
    <s v="Spill"/>
    <x v="1"/>
    <s v="Swallowtail Shiner"/>
    <s v="Notropis"/>
    <s v="gibbosus"/>
    <s v="U"/>
    <x v="0"/>
    <n v="8"/>
    <n v="11.81"/>
    <x v="5"/>
    <s v="375-95-1"/>
    <x v="5"/>
    <n v="1.96"/>
  </r>
  <r>
    <s v="GC019-JBA-08162021"/>
    <s v="Spill"/>
    <x v="1"/>
    <s v="Swallowtail Shiner"/>
    <s v="Notropis"/>
    <s v="gibbosus"/>
    <s v="U"/>
    <x v="0"/>
    <n v="8"/>
    <n v="11.81"/>
    <x v="6"/>
    <s v="335-76-2"/>
    <x v="6"/>
    <n v="6.25"/>
  </r>
  <r>
    <s v="GC019-JBA-08162021"/>
    <s v="Spill"/>
    <x v="1"/>
    <s v="Swallowtail Shiner"/>
    <s v="Notropis"/>
    <s v="gibbosus"/>
    <s v="U"/>
    <x v="0"/>
    <n v="8"/>
    <n v="11.81"/>
    <x v="7"/>
    <s v="2058-94-8"/>
    <x v="7"/>
    <n v="10"/>
  </r>
  <r>
    <s v="GC019-JBA-08162021"/>
    <s v="Spill"/>
    <x v="1"/>
    <s v="Swallowtail Shiner"/>
    <s v="Notropis"/>
    <s v="gibbosus"/>
    <s v="U"/>
    <x v="0"/>
    <n v="8"/>
    <n v="11.81"/>
    <x v="8"/>
    <s v="307-55-1"/>
    <x v="8"/>
    <n v="12.1"/>
  </r>
  <r>
    <s v="GC019-JBA-08162021"/>
    <s v="Spill"/>
    <x v="1"/>
    <s v="Swallowtail Shiner"/>
    <s v="Notropis"/>
    <s v="gibbosus"/>
    <s v="U"/>
    <x v="0"/>
    <n v="8"/>
    <n v="11.81"/>
    <x v="9"/>
    <s v="72629-94-8"/>
    <x v="9"/>
    <n v="2.82"/>
  </r>
  <r>
    <s v="GC019-JBA-08162021"/>
    <s v="Spill"/>
    <x v="1"/>
    <s v="Swallowtail Shiner"/>
    <s v="Notropis"/>
    <s v="gibbosus"/>
    <s v="U"/>
    <x v="0"/>
    <n v="8"/>
    <n v="11.81"/>
    <x v="10"/>
    <s v="376-06-7"/>
    <x v="10"/>
    <n v="9.74"/>
  </r>
  <r>
    <s v="GC019-JBA-08162021"/>
    <s v="Spill"/>
    <x v="1"/>
    <s v="Swallowtail Shiner"/>
    <s v="Notropis"/>
    <s v="gibbosus"/>
    <s v="U"/>
    <x v="0"/>
    <n v="8"/>
    <n v="11.81"/>
    <x v="11"/>
    <s v="67905-19-5"/>
    <x v="11"/>
    <n v="8.1500000000000003E-2"/>
  </r>
  <r>
    <s v="GC019-JBA-08162021"/>
    <s v="Spill"/>
    <x v="1"/>
    <s v="Swallowtail Shiner"/>
    <s v="Notropis"/>
    <s v="gibbosus"/>
    <s v="U"/>
    <x v="0"/>
    <n v="8"/>
    <n v="11.81"/>
    <x v="12"/>
    <s v="423-41-6"/>
    <x v="12"/>
    <n v="6.8000000000000005E-2"/>
  </r>
  <r>
    <s v="GC019-JBA-08162021"/>
    <s v="Spill"/>
    <x v="1"/>
    <s v="Swallowtail Shiner"/>
    <s v="Notropis"/>
    <s v="gibbosus"/>
    <s v="U"/>
    <x v="0"/>
    <n v="8"/>
    <n v="11.81"/>
    <x v="13"/>
    <s v="375-73-5"/>
    <x v="13"/>
    <n v="0.153"/>
  </r>
  <r>
    <s v="GC019-JBA-08162021"/>
    <s v="Spill"/>
    <x v="1"/>
    <s v="Swallowtail Shiner"/>
    <s v="Notropis"/>
    <s v="gibbosus"/>
    <s v="U"/>
    <x v="0"/>
    <n v="8"/>
    <n v="11.81"/>
    <x v="14"/>
    <s v="2706-91-4"/>
    <x v="14"/>
    <n v="0.22500000000000001"/>
  </r>
  <r>
    <s v="GC019-JBA-08162021"/>
    <s v="Spill"/>
    <x v="1"/>
    <s v="Swallowtail Shiner"/>
    <s v="Notropis"/>
    <s v="gibbosus"/>
    <s v="U"/>
    <x v="0"/>
    <n v="8"/>
    <n v="11.81"/>
    <x v="15"/>
    <s v="355-46-4"/>
    <x v="15"/>
    <n v="31.9"/>
  </r>
  <r>
    <s v="GC019-JBA-08162021"/>
    <s v="Spill"/>
    <x v="1"/>
    <s v="Swallowtail Shiner"/>
    <s v="Notropis"/>
    <s v="gibbosus"/>
    <s v="U"/>
    <x v="0"/>
    <n v="8"/>
    <n v="11.81"/>
    <x v="16"/>
    <s v="375-92-8"/>
    <x v="16"/>
    <n v="2.2799999999999998"/>
  </r>
  <r>
    <s v="GC019-JBA-08162021"/>
    <s v="Spill"/>
    <x v="1"/>
    <s v="Swallowtail Shiner"/>
    <s v="Notropis"/>
    <s v="gibbosus"/>
    <s v="U"/>
    <x v="0"/>
    <n v="8"/>
    <n v="11.81"/>
    <x v="17"/>
    <s v="1763-23-1"/>
    <x v="17"/>
    <n v="603"/>
  </r>
  <r>
    <s v="GC019-JBA-08162021"/>
    <s v="Spill"/>
    <x v="1"/>
    <s v="Swallowtail Shiner"/>
    <s v="Notropis"/>
    <s v="gibbosus"/>
    <s v="U"/>
    <x v="0"/>
    <n v="8"/>
    <n v="11.81"/>
    <x v="18"/>
    <s v="68259-12-1"/>
    <x v="18"/>
    <n v="0.38800000000000001"/>
  </r>
  <r>
    <s v="GC019-JBA-08162021"/>
    <s v="Spill"/>
    <x v="1"/>
    <s v="Swallowtail Shiner"/>
    <s v="Notropis"/>
    <s v="gibbosus"/>
    <s v="U"/>
    <x v="0"/>
    <n v="8"/>
    <n v="11.81"/>
    <x v="19"/>
    <s v="335-77-3"/>
    <x v="19"/>
    <n v="0.64200000000000002"/>
  </r>
  <r>
    <s v="GC019-JBA-08162021"/>
    <s v="Spill"/>
    <x v="1"/>
    <s v="Swallowtail Shiner"/>
    <s v="Notropis"/>
    <s v="gibbosus"/>
    <s v="U"/>
    <x v="0"/>
    <n v="8"/>
    <n v="11.81"/>
    <x v="20"/>
    <s v="79780-39-5"/>
    <x v="20"/>
    <n v="0.24049999999999999"/>
  </r>
  <r>
    <s v="GC019-JBA-08162021"/>
    <s v="Spill"/>
    <x v="1"/>
    <s v="Swallowtail Shiner"/>
    <s v="Notropis"/>
    <s v="gibbosus"/>
    <s v="U"/>
    <x v="0"/>
    <n v="8"/>
    <n v="11.81"/>
    <x v="21"/>
    <s v="777011-38-8"/>
    <x v="21"/>
    <n v="0.13700000000000001"/>
  </r>
  <r>
    <s v="GC019-JBA-08162021"/>
    <s v="Spill"/>
    <x v="1"/>
    <s v="Swallowtail Shiner"/>
    <s v="Notropis"/>
    <s v="gibbosus"/>
    <s v="U"/>
    <x v="0"/>
    <n v="8"/>
    <n v="11.81"/>
    <x v="22"/>
    <s v="646-83-3"/>
    <x v="22"/>
    <n v="0.22500000000000001"/>
  </r>
  <r>
    <s v="GC019-JBA-08162021"/>
    <s v="Spill"/>
    <x v="1"/>
    <s v="Swallowtail Shiner"/>
    <s v="Notropis"/>
    <s v="gibbosus"/>
    <s v="U"/>
    <x v="0"/>
    <n v="8"/>
    <n v="11.81"/>
    <x v="23"/>
    <s v="30334-69-1"/>
    <x v="23"/>
    <n v="77.900000000000006"/>
  </r>
  <r>
    <s v="GC019-JBA-08162021"/>
    <s v="Spill"/>
    <x v="1"/>
    <s v="Swallowtail Shiner"/>
    <s v="Notropis"/>
    <s v="gibbosus"/>
    <s v="U"/>
    <x v="0"/>
    <n v="8"/>
    <n v="11.81"/>
    <x v="24"/>
    <s v="41997-13-1"/>
    <x v="24"/>
    <n v="380"/>
  </r>
  <r>
    <s v="GC019-JBA-08162021"/>
    <s v="Spill"/>
    <x v="1"/>
    <s v="Swallowtail Shiner"/>
    <s v="Notropis"/>
    <s v="gibbosus"/>
    <s v="U"/>
    <x v="0"/>
    <n v="8"/>
    <n v="11.81"/>
    <x v="25"/>
    <s v="754-91-6"/>
    <x v="25"/>
    <n v="36.799999999999997"/>
  </r>
  <r>
    <s v="GC019-JBA-08162021"/>
    <s v="Spill"/>
    <x v="1"/>
    <s v="Swallowtail Shiner"/>
    <s v="Notropis"/>
    <s v="gibbosus"/>
    <s v="U"/>
    <x v="0"/>
    <n v="8"/>
    <n v="11.81"/>
    <x v="26"/>
    <s v="31506-32-8"/>
    <x v="26"/>
    <n v="6.8000000000000005E-2"/>
  </r>
  <r>
    <s v="GC019-JBA-08162021"/>
    <s v="Spill"/>
    <x v="1"/>
    <s v="Swallowtail Shiner"/>
    <s v="Notropis"/>
    <s v="gibbosus"/>
    <s v="U"/>
    <x v="0"/>
    <n v="8"/>
    <n v="11.81"/>
    <x v="27"/>
    <s v="4151-50-2"/>
    <x v="27"/>
    <n v="7.9500000000000001E-2"/>
  </r>
  <r>
    <s v="GC019-JBA-08162021"/>
    <s v="Spill"/>
    <x v="1"/>
    <s v="Swallowtail Shiner"/>
    <s v="Notropis"/>
    <s v="gibbosus"/>
    <s v="U"/>
    <x v="0"/>
    <n v="8"/>
    <n v="11.81"/>
    <x v="28"/>
    <s v="2806-24-8"/>
    <x v="28"/>
    <n v="5.3999999999999999E-2"/>
  </r>
  <r>
    <s v="GC019-JBA-08162021"/>
    <s v="Spill"/>
    <x v="1"/>
    <s v="Swallowtail Shiner"/>
    <s v="Notropis"/>
    <s v="gibbosus"/>
    <s v="U"/>
    <x v="0"/>
    <n v="8"/>
    <n v="11.81"/>
    <x v="29"/>
    <s v="2355-31-9"/>
    <x v="29"/>
    <n v="6.8500000000000005E-2"/>
  </r>
  <r>
    <s v="GC019-JBA-08162021"/>
    <s v="Spill"/>
    <x v="1"/>
    <s v="Swallowtail Shiner"/>
    <s v="Notropis"/>
    <s v="gibbosus"/>
    <s v="U"/>
    <x v="0"/>
    <n v="8"/>
    <n v="11.81"/>
    <x v="30"/>
    <s v="2991-50-6"/>
    <x v="30"/>
    <n v="5.8999999999999997E-2"/>
  </r>
  <r>
    <s v="GC019-JBA-08162021"/>
    <s v="Spill"/>
    <x v="1"/>
    <s v="Swallowtail Shiner"/>
    <s v="Notropis"/>
    <s v="gibbosus"/>
    <s v="U"/>
    <x v="0"/>
    <n v="8"/>
    <n v="11.81"/>
    <x v="31"/>
    <s v="757124-72-4"/>
    <x v="31"/>
    <n v="6.8000000000000005E-2"/>
  </r>
  <r>
    <s v="GC019-JBA-08162021"/>
    <s v="Spill"/>
    <x v="1"/>
    <s v="Swallowtail Shiner"/>
    <s v="Notropis"/>
    <s v="gibbosus"/>
    <s v="U"/>
    <x v="0"/>
    <n v="8"/>
    <n v="11.81"/>
    <x v="32"/>
    <s v="27619-97-2"/>
    <x v="32"/>
    <n v="0.95899999999999996"/>
  </r>
  <r>
    <s v="GC019-JBA-08162021"/>
    <s v="Spill"/>
    <x v="1"/>
    <s v="Swallowtail Shiner"/>
    <s v="Notropis"/>
    <s v="gibbosus"/>
    <s v="U"/>
    <x v="0"/>
    <n v="8"/>
    <n v="11.81"/>
    <x v="33"/>
    <s v="39108-34-4"/>
    <x v="33"/>
    <n v="12.4"/>
  </r>
  <r>
    <s v="GC019-JBA-08162021"/>
    <s v="Spill"/>
    <x v="1"/>
    <s v="Swallowtail Shiner"/>
    <s v="Notropis"/>
    <s v="gibbosus"/>
    <s v="U"/>
    <x v="0"/>
    <n v="8"/>
    <n v="11.81"/>
    <x v="34"/>
    <s v="120226-60-0"/>
    <x v="34"/>
    <n v="0.2555"/>
  </r>
  <r>
    <s v="GC019-JBA-08162021"/>
    <s v="Spill"/>
    <x v="1"/>
    <s v="Swallowtail Shiner"/>
    <s v="Notropis"/>
    <s v="gibbosus"/>
    <s v="U"/>
    <x v="0"/>
    <n v="8"/>
    <n v="11.81"/>
    <x v="35"/>
    <s v="356-02-5"/>
    <x v="35"/>
    <n v="7.85E-2"/>
  </r>
  <r>
    <s v="GC019-JBA-08162021"/>
    <s v="Spill"/>
    <x v="1"/>
    <s v="Swallowtail Shiner"/>
    <s v="Notropis"/>
    <s v="gibbosus"/>
    <s v="U"/>
    <x v="0"/>
    <n v="8"/>
    <n v="11.81"/>
    <x v="36"/>
    <s v="914637-49-3"/>
    <x v="36"/>
    <n v="2.82"/>
  </r>
  <r>
    <s v="GC019-JBA-08162021"/>
    <s v="Spill"/>
    <x v="1"/>
    <s v="Swallowtail Shiner"/>
    <s v="Notropis"/>
    <s v="gibbosus"/>
    <s v="U"/>
    <x v="0"/>
    <n v="8"/>
    <n v="11.81"/>
    <x v="37"/>
    <s v="812-70-4"/>
    <x v="37"/>
    <n v="24.8"/>
  </r>
  <r>
    <s v="GC019-JBA-08162021"/>
    <s v="Spill"/>
    <x v="1"/>
    <s v="Swallowtail Shiner"/>
    <s v="Notropis"/>
    <s v="gibbosus"/>
    <s v="U"/>
    <x v="0"/>
    <n v="8"/>
    <n v="11.81"/>
    <x v="38"/>
    <s v="53826-12-3"/>
    <x v="38"/>
    <n v="6.8000000000000005E-2"/>
  </r>
  <r>
    <s v="GC019-JBA-08162021"/>
    <s v="Spill"/>
    <x v="1"/>
    <s v="Swallowtail Shiner"/>
    <s v="Notropis"/>
    <s v="gibbosus"/>
    <s v="U"/>
    <x v="0"/>
    <n v="8"/>
    <n v="11.81"/>
    <x v="39"/>
    <s v="27854-31-5"/>
    <x v="39"/>
    <n v="6.8000000000000005E-2"/>
  </r>
  <r>
    <s v="GC019-JBA-08162021"/>
    <s v="Spill"/>
    <x v="1"/>
    <s v="Swallowtail Shiner"/>
    <s v="Notropis"/>
    <s v="gibbosus"/>
    <s v="U"/>
    <x v="0"/>
    <n v="8"/>
    <n v="11.81"/>
    <x v="40"/>
    <s v="53826-13-4"/>
    <x v="40"/>
    <n v="0.10199999999999999"/>
  </r>
  <r>
    <s v="GC019-JBA-08162021"/>
    <s v="Spill"/>
    <x v="1"/>
    <s v="Swallowtail Shiner"/>
    <s v="Notropis"/>
    <s v="gibbosus"/>
    <s v="U"/>
    <x v="0"/>
    <n v="8"/>
    <n v="11.81"/>
    <x v="41"/>
    <s v="161094-75-3"/>
    <x v="41"/>
    <n v="5.3499999999999999E-2"/>
  </r>
  <r>
    <s v="GC019-JBA-08162021"/>
    <s v="Spill"/>
    <x v="1"/>
    <s v="Swallowtail Shiner"/>
    <s v="Notropis"/>
    <s v="gibbosus"/>
    <s v="U"/>
    <x v="0"/>
    <n v="8"/>
    <n v="11.81"/>
    <x v="42"/>
    <s v="70887-84-2"/>
    <x v="42"/>
    <n v="4.1200000000000001E-2"/>
  </r>
  <r>
    <s v="GC019-JBA-08162021"/>
    <s v="Spill"/>
    <x v="1"/>
    <s v="Swallowtail Shiner"/>
    <s v="Notropis"/>
    <s v="gibbosus"/>
    <s v="U"/>
    <x v="0"/>
    <n v="8"/>
    <n v="11.81"/>
    <x v="43"/>
    <s v="919005-14-4"/>
    <x v="43"/>
    <n v="0.06"/>
  </r>
  <r>
    <s v="GC019-JBA-08162021"/>
    <s v="Spill"/>
    <x v="1"/>
    <s v="Swallowtail Shiner"/>
    <s v="Notropis"/>
    <s v="gibbosus"/>
    <s v="U"/>
    <x v="0"/>
    <n v="8"/>
    <n v="11.81"/>
    <x v="44"/>
    <s v="756426-58-1"/>
    <x v="44"/>
    <n v="6.8000000000000005E-2"/>
  </r>
  <r>
    <s v="GC019-JBA-08162021"/>
    <s v="Spill"/>
    <x v="1"/>
    <s v="Swallowtail Shiner"/>
    <s v="Notropis"/>
    <s v="gibbosus"/>
    <s v="U"/>
    <x v="0"/>
    <n v="8"/>
    <n v="11.81"/>
    <x v="45"/>
    <s v="763051-92-9"/>
    <x v="45"/>
    <n v="6.8000000000000005E-2"/>
  </r>
  <r>
    <s v="GC019-JBA-08162021"/>
    <s v="Spill"/>
    <x v="1"/>
    <s v="Swallowtail Shiner"/>
    <s v="Notropis"/>
    <s v="gibbosus"/>
    <s v="U"/>
    <x v="0"/>
    <n v="8"/>
    <n v="11.81"/>
    <x v="46"/>
    <s v="13252-13-6"/>
    <x v="46"/>
    <n v="9.8000000000000004E-2"/>
  </r>
  <r>
    <s v="GC019-JBA-08162021"/>
    <s v="Spill"/>
    <x v="1"/>
    <s v="Swallowtail Shiner"/>
    <s v="Notropis"/>
    <s v="gibbosus"/>
    <s v="U"/>
    <x v="0"/>
    <n v="8"/>
    <n v="11.81"/>
    <x v="47"/>
    <s v="57677-95-9"/>
    <x v="47"/>
    <n v="7.2499999999999995E-2"/>
  </r>
  <r>
    <s v="GC019-JBA-08162021"/>
    <s v="Spill"/>
    <x v="1"/>
    <s v="Swallowtail Shiner"/>
    <s v="Notropis"/>
    <s v="gibbosus"/>
    <s v="U"/>
    <x v="0"/>
    <n v="8"/>
    <n v="11.81"/>
    <x v="48"/>
    <s v="678-41-1"/>
    <x v="48"/>
    <n v="9.0499999999999997E-2"/>
  </r>
  <r>
    <s v="GC019-JBA-08162021"/>
    <s v="Spill"/>
    <x v="1"/>
    <s v="Swallowtail Shiner"/>
    <s v="Notropis"/>
    <s v="gibbosus"/>
    <s v="U"/>
    <x v="0"/>
    <n v="8"/>
    <n v="11.81"/>
    <x v="49"/>
    <s v="2965-52-8"/>
    <x v="49"/>
    <n v="0.12"/>
  </r>
  <r>
    <s v="GC020-JBA-08162021"/>
    <s v="Spill"/>
    <x v="1"/>
    <s v="Swallowtail Shiner"/>
    <s v="Notropis"/>
    <s v="gibbosus"/>
    <s v="U"/>
    <x v="0"/>
    <n v="8"/>
    <n v="11.81"/>
    <x v="0"/>
    <s v="375-22-4"/>
    <x v="0"/>
    <n v="7.8E-2"/>
  </r>
  <r>
    <s v="GC020-JBA-08162021"/>
    <s v="Spill"/>
    <x v="1"/>
    <s v="Swallowtail Shiner"/>
    <s v="Notropis"/>
    <s v="gibbosus"/>
    <s v="U"/>
    <x v="0"/>
    <n v="8"/>
    <n v="11.81"/>
    <x v="1"/>
    <s v="2706-90-3"/>
    <x v="1"/>
    <n v="5.5E-2"/>
  </r>
  <r>
    <s v="GC020-JBA-08162021"/>
    <s v="Spill"/>
    <x v="1"/>
    <s v="Swallowtail Shiner"/>
    <s v="Notropis"/>
    <s v="gibbosus"/>
    <s v="U"/>
    <x v="0"/>
    <n v="8"/>
    <n v="11.81"/>
    <x v="2"/>
    <s v="307-24-4"/>
    <x v="2"/>
    <n v="4.2099999999999999E-2"/>
  </r>
  <r>
    <s v="GC020-JBA-08162021"/>
    <s v="Spill"/>
    <x v="1"/>
    <s v="Swallowtail Shiner"/>
    <s v="Notropis"/>
    <s v="gibbosus"/>
    <s v="U"/>
    <x v="0"/>
    <n v="8"/>
    <n v="11.81"/>
    <x v="3"/>
    <s v="375-85-9"/>
    <x v="3"/>
    <n v="3.1199999999999999E-2"/>
  </r>
  <r>
    <s v="GC020-JBA-08162021"/>
    <s v="Spill"/>
    <x v="1"/>
    <s v="Swallowtail Shiner"/>
    <s v="Notropis"/>
    <s v="gibbosus"/>
    <s v="U"/>
    <x v="0"/>
    <n v="8"/>
    <n v="11.81"/>
    <x v="4"/>
    <s v="335-67-1"/>
    <x v="4"/>
    <n v="8.2899999999999991"/>
  </r>
  <r>
    <s v="GC020-JBA-08162021"/>
    <s v="Spill"/>
    <x v="1"/>
    <s v="Swallowtail Shiner"/>
    <s v="Notropis"/>
    <s v="gibbosus"/>
    <s v="U"/>
    <x v="0"/>
    <n v="8"/>
    <n v="11.81"/>
    <x v="5"/>
    <s v="375-95-1"/>
    <x v="5"/>
    <n v="8.3000000000000007"/>
  </r>
  <r>
    <s v="GC020-JBA-08162021"/>
    <s v="Spill"/>
    <x v="1"/>
    <s v="Swallowtail Shiner"/>
    <s v="Notropis"/>
    <s v="gibbosus"/>
    <s v="U"/>
    <x v="0"/>
    <n v="8"/>
    <n v="11.81"/>
    <x v="6"/>
    <s v="335-76-2"/>
    <x v="6"/>
    <n v="9.51"/>
  </r>
  <r>
    <s v="GC020-JBA-08162021"/>
    <s v="Spill"/>
    <x v="1"/>
    <s v="Swallowtail Shiner"/>
    <s v="Notropis"/>
    <s v="gibbosus"/>
    <s v="U"/>
    <x v="0"/>
    <n v="8"/>
    <n v="11.81"/>
    <x v="7"/>
    <s v="2058-94-8"/>
    <x v="7"/>
    <n v="21.7"/>
  </r>
  <r>
    <s v="GC020-JBA-08162021"/>
    <s v="Spill"/>
    <x v="1"/>
    <s v="Swallowtail Shiner"/>
    <s v="Notropis"/>
    <s v="gibbosus"/>
    <s v="U"/>
    <x v="0"/>
    <n v="8"/>
    <n v="11.81"/>
    <x v="8"/>
    <s v="307-55-1"/>
    <x v="8"/>
    <n v="16"/>
  </r>
  <r>
    <s v="GC020-JBA-08162021"/>
    <s v="Spill"/>
    <x v="1"/>
    <s v="Swallowtail Shiner"/>
    <s v="Notropis"/>
    <s v="gibbosus"/>
    <s v="U"/>
    <x v="0"/>
    <n v="8"/>
    <n v="11.81"/>
    <x v="9"/>
    <s v="72629-94-8"/>
    <x v="9"/>
    <n v="4.9849999999999998E-2"/>
  </r>
  <r>
    <s v="GC020-JBA-08162021"/>
    <s v="Spill"/>
    <x v="1"/>
    <s v="Swallowtail Shiner"/>
    <s v="Notropis"/>
    <s v="gibbosus"/>
    <s v="U"/>
    <x v="0"/>
    <n v="8"/>
    <n v="11.81"/>
    <x v="10"/>
    <s v="376-06-7"/>
    <x v="10"/>
    <n v="7.16"/>
  </r>
  <r>
    <s v="GC020-JBA-08162021"/>
    <s v="Spill"/>
    <x v="1"/>
    <s v="Swallowtail Shiner"/>
    <s v="Notropis"/>
    <s v="gibbosus"/>
    <s v="U"/>
    <x v="0"/>
    <n v="8"/>
    <n v="11.81"/>
    <x v="11"/>
    <s v="67905-19-5"/>
    <x v="11"/>
    <n v="9.2999999999999999E-2"/>
  </r>
  <r>
    <s v="GC020-JBA-08162021"/>
    <s v="Spill"/>
    <x v="1"/>
    <s v="Swallowtail Shiner"/>
    <s v="Notropis"/>
    <s v="gibbosus"/>
    <s v="U"/>
    <x v="0"/>
    <n v="8"/>
    <n v="11.81"/>
    <x v="12"/>
    <s v="423-41-6"/>
    <x v="12"/>
    <n v="7.8E-2"/>
  </r>
  <r>
    <s v="GC020-JBA-08162021"/>
    <s v="Spill"/>
    <x v="1"/>
    <s v="Swallowtail Shiner"/>
    <s v="Notropis"/>
    <s v="gibbosus"/>
    <s v="U"/>
    <x v="0"/>
    <n v="8"/>
    <n v="11.81"/>
    <x v="13"/>
    <s v="375-73-5"/>
    <x v="13"/>
    <n v="5.2999999999999999E-2"/>
  </r>
  <r>
    <s v="GC020-JBA-08162021"/>
    <s v="Spill"/>
    <x v="1"/>
    <s v="Swallowtail Shiner"/>
    <s v="Notropis"/>
    <s v="gibbosus"/>
    <s v="U"/>
    <x v="0"/>
    <n v="8"/>
    <n v="11.81"/>
    <x v="14"/>
    <s v="2706-91-4"/>
    <x v="14"/>
    <n v="0.75800000000000001"/>
  </r>
  <r>
    <s v="GC020-JBA-08162021"/>
    <s v="Spill"/>
    <x v="1"/>
    <s v="Swallowtail Shiner"/>
    <s v="Notropis"/>
    <s v="gibbosus"/>
    <s v="U"/>
    <x v="0"/>
    <n v="8"/>
    <n v="11.81"/>
    <x v="15"/>
    <s v="355-46-4"/>
    <x v="15"/>
    <n v="92.1"/>
  </r>
  <r>
    <s v="GC020-JBA-08162021"/>
    <s v="Spill"/>
    <x v="1"/>
    <s v="Swallowtail Shiner"/>
    <s v="Notropis"/>
    <s v="gibbosus"/>
    <s v="U"/>
    <x v="0"/>
    <n v="8"/>
    <n v="11.81"/>
    <x v="16"/>
    <s v="375-92-8"/>
    <x v="16"/>
    <n v="11"/>
  </r>
  <r>
    <s v="GC020-JBA-08162021"/>
    <s v="Spill"/>
    <x v="1"/>
    <s v="Swallowtail Shiner"/>
    <s v="Notropis"/>
    <s v="gibbosus"/>
    <s v="U"/>
    <x v="0"/>
    <n v="8"/>
    <n v="11.81"/>
    <x v="17"/>
    <s v="1763-23-1"/>
    <x v="17"/>
    <n v="1010"/>
  </r>
  <r>
    <s v="GC020-JBA-08162021"/>
    <s v="Spill"/>
    <x v="1"/>
    <s v="Swallowtail Shiner"/>
    <s v="Notropis"/>
    <s v="gibbosus"/>
    <s v="U"/>
    <x v="0"/>
    <n v="8"/>
    <n v="11.81"/>
    <x v="18"/>
    <s v="68259-12-1"/>
    <x v="18"/>
    <n v="5.03"/>
  </r>
  <r>
    <s v="GC020-JBA-08162021"/>
    <s v="Spill"/>
    <x v="1"/>
    <s v="Swallowtail Shiner"/>
    <s v="Notropis"/>
    <s v="gibbosus"/>
    <s v="U"/>
    <x v="0"/>
    <n v="8"/>
    <n v="11.81"/>
    <x v="19"/>
    <s v="335-77-3"/>
    <x v="19"/>
    <n v="8.6"/>
  </r>
  <r>
    <s v="GC020-JBA-08162021"/>
    <s v="Spill"/>
    <x v="1"/>
    <s v="Swallowtail Shiner"/>
    <s v="Notropis"/>
    <s v="gibbosus"/>
    <s v="U"/>
    <x v="0"/>
    <n v="8"/>
    <n v="11.81"/>
    <x v="20"/>
    <s v="79780-39-5"/>
    <x v="20"/>
    <n v="4.04"/>
  </r>
  <r>
    <s v="GC020-JBA-08162021"/>
    <s v="Spill"/>
    <x v="1"/>
    <s v="Swallowtail Shiner"/>
    <s v="Notropis"/>
    <s v="gibbosus"/>
    <s v="U"/>
    <x v="0"/>
    <n v="8"/>
    <n v="11.81"/>
    <x v="21"/>
    <s v="777011-38-8"/>
    <x v="21"/>
    <n v="0.1565"/>
  </r>
  <r>
    <s v="GC020-JBA-08162021"/>
    <s v="Spill"/>
    <x v="1"/>
    <s v="Swallowtail Shiner"/>
    <s v="Notropis"/>
    <s v="gibbosus"/>
    <s v="U"/>
    <x v="0"/>
    <n v="8"/>
    <n v="11.81"/>
    <x v="22"/>
    <s v="646-83-3"/>
    <x v="22"/>
    <n v="7.8E-2"/>
  </r>
  <r>
    <s v="GC020-JBA-08162021"/>
    <s v="Spill"/>
    <x v="1"/>
    <s v="Swallowtail Shiner"/>
    <s v="Notropis"/>
    <s v="gibbosus"/>
    <s v="U"/>
    <x v="0"/>
    <n v="8"/>
    <n v="11.81"/>
    <x v="23"/>
    <s v="30334-69-1"/>
    <x v="23"/>
    <n v="16"/>
  </r>
  <r>
    <s v="GC020-JBA-08162021"/>
    <s v="Spill"/>
    <x v="1"/>
    <s v="Swallowtail Shiner"/>
    <s v="Notropis"/>
    <s v="gibbosus"/>
    <s v="U"/>
    <x v="0"/>
    <n v="8"/>
    <n v="11.81"/>
    <x v="24"/>
    <s v="41997-13-1"/>
    <x v="24"/>
    <n v="159"/>
  </r>
  <r>
    <s v="GC020-JBA-08162021"/>
    <s v="Spill"/>
    <x v="1"/>
    <s v="Swallowtail Shiner"/>
    <s v="Notropis"/>
    <s v="gibbosus"/>
    <s v="U"/>
    <x v="0"/>
    <n v="8"/>
    <n v="11.81"/>
    <x v="25"/>
    <s v="754-91-6"/>
    <x v="25"/>
    <n v="30.3"/>
  </r>
  <r>
    <s v="GC020-JBA-08162021"/>
    <s v="Spill"/>
    <x v="1"/>
    <s v="Swallowtail Shiner"/>
    <s v="Notropis"/>
    <s v="gibbosus"/>
    <s v="U"/>
    <x v="0"/>
    <n v="8"/>
    <n v="11.81"/>
    <x v="26"/>
    <s v="31506-32-8"/>
    <x v="26"/>
    <n v="7.8E-2"/>
  </r>
  <r>
    <s v="GC020-JBA-08162021"/>
    <s v="Spill"/>
    <x v="1"/>
    <s v="Swallowtail Shiner"/>
    <s v="Notropis"/>
    <s v="gibbosus"/>
    <s v="U"/>
    <x v="0"/>
    <n v="8"/>
    <n v="11.81"/>
    <x v="27"/>
    <s v="4151-50-2"/>
    <x v="27"/>
    <n v="9.0999999999999998E-2"/>
  </r>
  <r>
    <s v="GC020-JBA-08162021"/>
    <s v="Spill"/>
    <x v="1"/>
    <s v="Swallowtail Shiner"/>
    <s v="Notropis"/>
    <s v="gibbosus"/>
    <s v="U"/>
    <x v="0"/>
    <n v="8"/>
    <n v="11.81"/>
    <x v="28"/>
    <s v="2806-24-8"/>
    <x v="28"/>
    <n v="6.1499999999999999E-2"/>
  </r>
  <r>
    <s v="GC020-JBA-08162021"/>
    <s v="Spill"/>
    <x v="1"/>
    <s v="Swallowtail Shiner"/>
    <s v="Notropis"/>
    <s v="gibbosus"/>
    <s v="U"/>
    <x v="0"/>
    <n v="8"/>
    <n v="11.81"/>
    <x v="29"/>
    <s v="2355-31-9"/>
    <x v="29"/>
    <n v="7.85E-2"/>
  </r>
  <r>
    <s v="GC020-JBA-08162021"/>
    <s v="Spill"/>
    <x v="1"/>
    <s v="Swallowtail Shiner"/>
    <s v="Notropis"/>
    <s v="gibbosus"/>
    <s v="U"/>
    <x v="0"/>
    <n v="8"/>
    <n v="11.81"/>
    <x v="30"/>
    <s v="2991-50-6"/>
    <x v="30"/>
    <n v="6.7500000000000004E-2"/>
  </r>
  <r>
    <s v="GC020-JBA-08162021"/>
    <s v="Spill"/>
    <x v="1"/>
    <s v="Swallowtail Shiner"/>
    <s v="Notropis"/>
    <s v="gibbosus"/>
    <s v="U"/>
    <x v="0"/>
    <n v="8"/>
    <n v="11.81"/>
    <x v="31"/>
    <s v="757124-72-4"/>
    <x v="31"/>
    <n v="7.8E-2"/>
  </r>
  <r>
    <s v="GC020-JBA-08162021"/>
    <s v="Spill"/>
    <x v="1"/>
    <s v="Swallowtail Shiner"/>
    <s v="Notropis"/>
    <s v="gibbosus"/>
    <s v="U"/>
    <x v="0"/>
    <n v="8"/>
    <n v="11.81"/>
    <x v="32"/>
    <s v="27619-97-2"/>
    <x v="32"/>
    <n v="1.26"/>
  </r>
  <r>
    <s v="GC020-JBA-08162021"/>
    <s v="Spill"/>
    <x v="1"/>
    <s v="Swallowtail Shiner"/>
    <s v="Notropis"/>
    <s v="gibbosus"/>
    <s v="U"/>
    <x v="0"/>
    <n v="8"/>
    <n v="11.81"/>
    <x v="33"/>
    <s v="39108-34-4"/>
    <x v="33"/>
    <n v="23.8"/>
  </r>
  <r>
    <s v="GC020-JBA-08162021"/>
    <s v="Spill"/>
    <x v="1"/>
    <s v="Swallowtail Shiner"/>
    <s v="Notropis"/>
    <s v="gibbosus"/>
    <s v="U"/>
    <x v="0"/>
    <n v="8"/>
    <n v="11.81"/>
    <x v="34"/>
    <s v="120226-60-0"/>
    <x v="34"/>
    <n v="1.1299999999999999"/>
  </r>
  <r>
    <s v="GC020-JBA-08162021"/>
    <s v="Spill"/>
    <x v="1"/>
    <s v="Swallowtail Shiner"/>
    <s v="Notropis"/>
    <s v="gibbosus"/>
    <s v="U"/>
    <x v="0"/>
    <n v="8"/>
    <n v="11.81"/>
    <x v="35"/>
    <s v="356-02-5"/>
    <x v="35"/>
    <n v="0.09"/>
  </r>
  <r>
    <s v="GC020-JBA-08162021"/>
    <s v="Spill"/>
    <x v="1"/>
    <s v="Swallowtail Shiner"/>
    <s v="Notropis"/>
    <s v="gibbosus"/>
    <s v="U"/>
    <x v="0"/>
    <n v="8"/>
    <n v="11.81"/>
    <x v="36"/>
    <s v="914637-49-3"/>
    <x v="36"/>
    <n v="5.8999999999999997E-2"/>
  </r>
  <r>
    <s v="GC020-JBA-08162021"/>
    <s v="Spill"/>
    <x v="1"/>
    <s v="Swallowtail Shiner"/>
    <s v="Notropis"/>
    <s v="gibbosus"/>
    <s v="U"/>
    <x v="0"/>
    <n v="8"/>
    <n v="11.81"/>
    <x v="37"/>
    <s v="812-70-4"/>
    <x v="37"/>
    <n v="19.899999999999999"/>
  </r>
  <r>
    <s v="GC020-JBA-08162021"/>
    <s v="Spill"/>
    <x v="1"/>
    <s v="Swallowtail Shiner"/>
    <s v="Notropis"/>
    <s v="gibbosus"/>
    <s v="U"/>
    <x v="0"/>
    <n v="8"/>
    <n v="11.81"/>
    <x v="38"/>
    <s v="53826-12-3"/>
    <x v="38"/>
    <n v="7.8E-2"/>
  </r>
  <r>
    <s v="GC020-JBA-08162021"/>
    <s v="Spill"/>
    <x v="1"/>
    <s v="Swallowtail Shiner"/>
    <s v="Notropis"/>
    <s v="gibbosus"/>
    <s v="U"/>
    <x v="0"/>
    <n v="8"/>
    <n v="11.81"/>
    <x v="39"/>
    <s v="27854-31-5"/>
    <x v="39"/>
    <n v="7.8E-2"/>
  </r>
  <r>
    <s v="GC020-JBA-08162021"/>
    <s v="Spill"/>
    <x v="1"/>
    <s v="Swallowtail Shiner"/>
    <s v="Notropis"/>
    <s v="gibbosus"/>
    <s v="U"/>
    <x v="0"/>
    <n v="8"/>
    <n v="11.81"/>
    <x v="40"/>
    <s v="53826-13-4"/>
    <x v="40"/>
    <n v="0.11650000000000001"/>
  </r>
  <r>
    <s v="GC020-JBA-08162021"/>
    <s v="Spill"/>
    <x v="1"/>
    <s v="Swallowtail Shiner"/>
    <s v="Notropis"/>
    <s v="gibbosus"/>
    <s v="U"/>
    <x v="0"/>
    <n v="8"/>
    <n v="11.81"/>
    <x v="41"/>
    <s v="161094-75-3"/>
    <x v="41"/>
    <n v="6.0999999999999999E-2"/>
  </r>
  <r>
    <s v="GC020-JBA-08162021"/>
    <s v="Spill"/>
    <x v="1"/>
    <s v="Swallowtail Shiner"/>
    <s v="Notropis"/>
    <s v="gibbosus"/>
    <s v="U"/>
    <x v="0"/>
    <n v="8"/>
    <n v="11.81"/>
    <x v="42"/>
    <s v="70887-84-2"/>
    <x v="42"/>
    <n v="4.7149999999999997E-2"/>
  </r>
  <r>
    <s v="GC020-JBA-08162021"/>
    <s v="Spill"/>
    <x v="1"/>
    <s v="Swallowtail Shiner"/>
    <s v="Notropis"/>
    <s v="gibbosus"/>
    <s v="U"/>
    <x v="0"/>
    <n v="8"/>
    <n v="11.81"/>
    <x v="43"/>
    <s v="919005-14-4"/>
    <x v="43"/>
    <n v="6.9000000000000006E-2"/>
  </r>
  <r>
    <s v="GC020-JBA-08162021"/>
    <s v="Spill"/>
    <x v="1"/>
    <s v="Swallowtail Shiner"/>
    <s v="Notropis"/>
    <s v="gibbosus"/>
    <s v="U"/>
    <x v="0"/>
    <n v="8"/>
    <n v="11.81"/>
    <x v="44"/>
    <s v="756426-58-1"/>
    <x v="44"/>
    <n v="7.8E-2"/>
  </r>
  <r>
    <s v="GC020-JBA-08162021"/>
    <s v="Spill"/>
    <x v="1"/>
    <s v="Swallowtail Shiner"/>
    <s v="Notropis"/>
    <s v="gibbosus"/>
    <s v="U"/>
    <x v="0"/>
    <n v="8"/>
    <n v="11.81"/>
    <x v="45"/>
    <s v="763051-92-9"/>
    <x v="45"/>
    <n v="7.8E-2"/>
  </r>
  <r>
    <s v="GC020-JBA-08162021"/>
    <s v="Spill"/>
    <x v="1"/>
    <s v="Swallowtail Shiner"/>
    <s v="Notropis"/>
    <s v="gibbosus"/>
    <s v="U"/>
    <x v="0"/>
    <n v="8"/>
    <n v="11.81"/>
    <x v="46"/>
    <s v="13252-13-6"/>
    <x v="46"/>
    <n v="0.112"/>
  </r>
  <r>
    <s v="GC020-JBA-08162021"/>
    <s v="Spill"/>
    <x v="1"/>
    <s v="Swallowtail Shiner"/>
    <s v="Notropis"/>
    <s v="gibbosus"/>
    <s v="U"/>
    <x v="0"/>
    <n v="8"/>
    <n v="11.81"/>
    <x v="47"/>
    <s v="57677-95-9"/>
    <x v="47"/>
    <n v="8.3000000000000004E-2"/>
  </r>
  <r>
    <s v="GC020-JBA-08162021"/>
    <s v="Spill"/>
    <x v="1"/>
    <s v="Swallowtail Shiner"/>
    <s v="Notropis"/>
    <s v="gibbosus"/>
    <s v="U"/>
    <x v="0"/>
    <n v="8"/>
    <n v="11.81"/>
    <x v="48"/>
    <s v="678-41-1"/>
    <x v="48"/>
    <n v="0.10349999999999999"/>
  </r>
  <r>
    <s v="GC020-JBA-08162021"/>
    <s v="Spill"/>
    <x v="1"/>
    <s v="Swallowtail Shiner"/>
    <s v="Notropis"/>
    <s v="gibbosus"/>
    <s v="U"/>
    <x v="0"/>
    <n v="8"/>
    <n v="11.81"/>
    <x v="49"/>
    <s v="2965-52-8"/>
    <x v="49"/>
    <n v="0.13750000000000001"/>
  </r>
  <r>
    <s v="CS007-JBA-08162021"/>
    <s v="Spill"/>
    <x v="1"/>
    <s v="Darter sp."/>
    <s v="Etheostoma"/>
    <s v="gibbosus"/>
    <s v="U"/>
    <x v="0"/>
    <n v="8"/>
    <n v="11.81"/>
    <x v="0"/>
    <s v="375-22-4"/>
    <x v="0"/>
    <n v="0.254"/>
  </r>
  <r>
    <s v="CS007-JBA-08162021"/>
    <s v="Spill"/>
    <x v="1"/>
    <s v="Darter sp."/>
    <s v="Etheostoma"/>
    <s v="gibbosus"/>
    <s v="U"/>
    <x v="0"/>
    <n v="8"/>
    <n v="11.81"/>
    <x v="1"/>
    <s v="2706-90-3"/>
    <x v="1"/>
    <n v="8.9499999999999996E-2"/>
  </r>
  <r>
    <s v="CS007-JBA-08162021"/>
    <s v="Spill"/>
    <x v="1"/>
    <s v="Darter sp."/>
    <s v="Etheostoma"/>
    <s v="gibbosus"/>
    <s v="U"/>
    <x v="0"/>
    <n v="8"/>
    <n v="11.81"/>
    <x v="2"/>
    <s v="307-24-4"/>
    <x v="2"/>
    <n v="0.13700000000000001"/>
  </r>
  <r>
    <s v="CS007-JBA-08162021"/>
    <s v="Spill"/>
    <x v="1"/>
    <s v="Darter sp."/>
    <s v="Etheostoma"/>
    <s v="gibbosus"/>
    <s v="U"/>
    <x v="0"/>
    <n v="8"/>
    <n v="11.81"/>
    <x v="3"/>
    <s v="375-85-9"/>
    <x v="3"/>
    <n v="0.254"/>
  </r>
  <r>
    <s v="CS007-JBA-08162021"/>
    <s v="Spill"/>
    <x v="1"/>
    <s v="Darter sp."/>
    <s v="Etheostoma"/>
    <s v="gibbosus"/>
    <s v="U"/>
    <x v="0"/>
    <n v="8"/>
    <n v="11.81"/>
    <x v="4"/>
    <s v="335-67-1"/>
    <x v="4"/>
    <n v="3.7"/>
  </r>
  <r>
    <s v="CS007-JBA-08162021"/>
    <s v="Spill"/>
    <x v="1"/>
    <s v="Darter sp."/>
    <s v="Etheostoma"/>
    <s v="gibbosus"/>
    <s v="U"/>
    <x v="0"/>
    <n v="8"/>
    <n v="11.81"/>
    <x v="5"/>
    <s v="375-95-1"/>
    <x v="5"/>
    <n v="2.69"/>
  </r>
  <r>
    <s v="CS007-JBA-08162021"/>
    <s v="Spill"/>
    <x v="1"/>
    <s v="Darter sp."/>
    <s v="Etheostoma"/>
    <s v="gibbosus"/>
    <s v="U"/>
    <x v="0"/>
    <n v="8"/>
    <n v="11.81"/>
    <x v="6"/>
    <s v="335-76-2"/>
    <x v="6"/>
    <n v="3.97"/>
  </r>
  <r>
    <s v="CS007-JBA-08162021"/>
    <s v="Spill"/>
    <x v="1"/>
    <s v="Darter sp."/>
    <s v="Etheostoma"/>
    <s v="gibbosus"/>
    <s v="U"/>
    <x v="0"/>
    <n v="8"/>
    <n v="11.81"/>
    <x v="7"/>
    <s v="2058-94-8"/>
    <x v="7"/>
    <n v="4.79"/>
  </r>
  <r>
    <s v="CS007-JBA-08162021"/>
    <s v="Spill"/>
    <x v="1"/>
    <s v="Darter sp."/>
    <s v="Etheostoma"/>
    <s v="gibbosus"/>
    <s v="U"/>
    <x v="0"/>
    <n v="8"/>
    <n v="11.81"/>
    <x v="8"/>
    <s v="307-55-1"/>
    <x v="8"/>
    <n v="4.51"/>
  </r>
  <r>
    <s v="CS007-JBA-08162021"/>
    <s v="Spill"/>
    <x v="1"/>
    <s v="Darter sp."/>
    <s v="Etheostoma"/>
    <s v="gibbosus"/>
    <s v="U"/>
    <x v="0"/>
    <n v="8"/>
    <n v="11.81"/>
    <x v="9"/>
    <s v="72629-94-8"/>
    <x v="9"/>
    <n v="1.28"/>
  </r>
  <r>
    <s v="CS007-JBA-08162021"/>
    <s v="Spill"/>
    <x v="1"/>
    <s v="Darter sp."/>
    <s v="Etheostoma"/>
    <s v="gibbosus"/>
    <s v="U"/>
    <x v="0"/>
    <n v="8"/>
    <n v="11.81"/>
    <x v="10"/>
    <s v="376-06-7"/>
    <x v="10"/>
    <n v="0.90500000000000003"/>
  </r>
  <r>
    <s v="CS007-JBA-08162021"/>
    <s v="Spill"/>
    <x v="1"/>
    <s v="Darter sp."/>
    <s v="Etheostoma"/>
    <s v="gibbosus"/>
    <s v="U"/>
    <x v="0"/>
    <n v="8"/>
    <n v="11.81"/>
    <x v="11"/>
    <s v="67905-19-5"/>
    <x v="11"/>
    <n v="0.1515"/>
  </r>
  <r>
    <s v="CS007-JBA-08162021"/>
    <s v="Spill"/>
    <x v="1"/>
    <s v="Darter sp."/>
    <s v="Etheostoma"/>
    <s v="gibbosus"/>
    <s v="U"/>
    <x v="0"/>
    <n v="8"/>
    <n v="11.81"/>
    <x v="12"/>
    <s v="423-41-6"/>
    <x v="12"/>
    <n v="0.127"/>
  </r>
  <r>
    <s v="CS007-JBA-08162021"/>
    <s v="Spill"/>
    <x v="1"/>
    <s v="Darter sp."/>
    <s v="Etheostoma"/>
    <s v="gibbosus"/>
    <s v="U"/>
    <x v="0"/>
    <n v="8"/>
    <n v="11.81"/>
    <x v="13"/>
    <s v="375-73-5"/>
    <x v="13"/>
    <n v="0.254"/>
  </r>
  <r>
    <s v="CS007-JBA-08162021"/>
    <s v="Spill"/>
    <x v="1"/>
    <s v="Darter sp."/>
    <s v="Etheostoma"/>
    <s v="gibbosus"/>
    <s v="U"/>
    <x v="0"/>
    <n v="8"/>
    <n v="11.81"/>
    <x v="14"/>
    <s v="2706-91-4"/>
    <x v="14"/>
    <n v="0.32400000000000001"/>
  </r>
  <r>
    <s v="CS007-JBA-08162021"/>
    <s v="Spill"/>
    <x v="1"/>
    <s v="Darter sp."/>
    <s v="Etheostoma"/>
    <s v="gibbosus"/>
    <s v="U"/>
    <x v="0"/>
    <n v="8"/>
    <n v="11.81"/>
    <x v="15"/>
    <s v="355-46-4"/>
    <x v="15"/>
    <n v="44.4"/>
  </r>
  <r>
    <s v="CS007-JBA-08162021"/>
    <s v="Spill"/>
    <x v="1"/>
    <s v="Darter sp."/>
    <s v="Etheostoma"/>
    <s v="gibbosus"/>
    <s v="U"/>
    <x v="0"/>
    <n v="8"/>
    <n v="11.81"/>
    <x v="16"/>
    <s v="375-92-8"/>
    <x v="16"/>
    <n v="5.91"/>
  </r>
  <r>
    <s v="CS007-JBA-08162021"/>
    <s v="Spill"/>
    <x v="1"/>
    <s v="Darter sp."/>
    <s v="Etheostoma"/>
    <s v="gibbosus"/>
    <s v="U"/>
    <x v="0"/>
    <n v="8"/>
    <n v="11.81"/>
    <x v="17"/>
    <s v="1763-23-1"/>
    <x v="17"/>
    <n v="662"/>
  </r>
  <r>
    <s v="CS007-JBA-08162021"/>
    <s v="Spill"/>
    <x v="1"/>
    <s v="Darter sp."/>
    <s v="Etheostoma"/>
    <s v="gibbosus"/>
    <s v="U"/>
    <x v="0"/>
    <n v="8"/>
    <n v="11.81"/>
    <x v="18"/>
    <s v="68259-12-1"/>
    <x v="18"/>
    <n v="1.48"/>
  </r>
  <r>
    <s v="CS007-JBA-08162021"/>
    <s v="Spill"/>
    <x v="1"/>
    <s v="Darter sp."/>
    <s v="Etheostoma"/>
    <s v="gibbosus"/>
    <s v="U"/>
    <x v="0"/>
    <n v="8"/>
    <n v="11.81"/>
    <x v="19"/>
    <s v="335-77-3"/>
    <x v="19"/>
    <n v="0.70899999999999996"/>
  </r>
  <r>
    <s v="CS007-JBA-08162021"/>
    <s v="Spill"/>
    <x v="1"/>
    <s v="Darter sp."/>
    <s v="Etheostoma"/>
    <s v="gibbosus"/>
    <s v="U"/>
    <x v="0"/>
    <n v="8"/>
    <n v="11.81"/>
    <x v="20"/>
    <s v="79780-39-5"/>
    <x v="20"/>
    <n v="0.27200000000000002"/>
  </r>
  <r>
    <s v="CS007-JBA-08162021"/>
    <s v="Spill"/>
    <x v="1"/>
    <s v="Darter sp."/>
    <s v="Etheostoma"/>
    <s v="gibbosus"/>
    <s v="U"/>
    <x v="0"/>
    <n v="8"/>
    <n v="11.81"/>
    <x v="21"/>
    <s v="777011-38-8"/>
    <x v="21"/>
    <n v="0.1545"/>
  </r>
  <r>
    <s v="CS007-JBA-08162021"/>
    <s v="Spill"/>
    <x v="1"/>
    <s v="Darter sp."/>
    <s v="Etheostoma"/>
    <s v="gibbosus"/>
    <s v="U"/>
    <x v="0"/>
    <n v="8"/>
    <n v="11.81"/>
    <x v="22"/>
    <s v="646-83-3"/>
    <x v="22"/>
    <n v="0.47199999999999998"/>
  </r>
  <r>
    <s v="CS007-JBA-08162021"/>
    <s v="Spill"/>
    <x v="1"/>
    <s v="Darter sp."/>
    <s v="Etheostoma"/>
    <s v="gibbosus"/>
    <s v="U"/>
    <x v="0"/>
    <n v="8"/>
    <n v="11.81"/>
    <x v="23"/>
    <s v="30334-69-1"/>
    <x v="23"/>
    <n v="12.5"/>
  </r>
  <r>
    <s v="CS007-JBA-08162021"/>
    <s v="Spill"/>
    <x v="1"/>
    <s v="Darter sp."/>
    <s v="Etheostoma"/>
    <s v="gibbosus"/>
    <s v="U"/>
    <x v="0"/>
    <n v="8"/>
    <n v="11.81"/>
    <x v="24"/>
    <s v="41997-13-1"/>
    <x v="24"/>
    <n v="75.900000000000006"/>
  </r>
  <r>
    <s v="CS007-JBA-08162021"/>
    <s v="Spill"/>
    <x v="1"/>
    <s v="Darter sp."/>
    <s v="Etheostoma"/>
    <s v="gibbosus"/>
    <s v="U"/>
    <x v="0"/>
    <n v="8"/>
    <n v="11.81"/>
    <x v="25"/>
    <s v="754-91-6"/>
    <x v="25"/>
    <n v="11.2"/>
  </r>
  <r>
    <s v="CS007-JBA-08162021"/>
    <s v="Spill"/>
    <x v="1"/>
    <s v="Darter sp."/>
    <s v="Etheostoma"/>
    <s v="gibbosus"/>
    <s v="U"/>
    <x v="0"/>
    <n v="8"/>
    <n v="11.81"/>
    <x v="26"/>
    <s v="31506-32-8"/>
    <x v="26"/>
    <n v="9.8000000000000004E-2"/>
  </r>
  <r>
    <s v="CS007-JBA-08162021"/>
    <s v="Spill"/>
    <x v="1"/>
    <s v="Darter sp."/>
    <s v="Etheostoma"/>
    <s v="gibbosus"/>
    <s v="U"/>
    <x v="0"/>
    <n v="8"/>
    <n v="11.81"/>
    <x v="27"/>
    <s v="4151-50-2"/>
    <x v="27"/>
    <n v="0.254"/>
  </r>
  <r>
    <s v="CS007-JBA-08162021"/>
    <s v="Spill"/>
    <x v="1"/>
    <s v="Darter sp."/>
    <s v="Etheostoma"/>
    <s v="gibbosus"/>
    <s v="U"/>
    <x v="0"/>
    <n v="8"/>
    <n v="11.81"/>
    <x v="28"/>
    <s v="2806-24-8"/>
    <x v="28"/>
    <n v="0.254"/>
  </r>
  <r>
    <s v="CS007-JBA-08162021"/>
    <s v="Spill"/>
    <x v="1"/>
    <s v="Darter sp."/>
    <s v="Etheostoma"/>
    <s v="gibbosus"/>
    <s v="U"/>
    <x v="0"/>
    <n v="8"/>
    <n v="11.81"/>
    <x v="29"/>
    <s v="2355-31-9"/>
    <x v="29"/>
    <n v="0.128"/>
  </r>
  <r>
    <s v="CS007-JBA-08162021"/>
    <s v="Spill"/>
    <x v="1"/>
    <s v="Darter sp."/>
    <s v="Etheostoma"/>
    <s v="gibbosus"/>
    <s v="U"/>
    <x v="0"/>
    <n v="8"/>
    <n v="11.81"/>
    <x v="30"/>
    <s v="2991-50-6"/>
    <x v="30"/>
    <n v="0.127"/>
  </r>
  <r>
    <s v="CS007-JBA-08162021"/>
    <s v="Spill"/>
    <x v="1"/>
    <s v="Darter sp."/>
    <s v="Etheostoma"/>
    <s v="gibbosus"/>
    <s v="U"/>
    <x v="0"/>
    <n v="8"/>
    <n v="11.81"/>
    <x v="31"/>
    <s v="757124-72-4"/>
    <x v="31"/>
    <n v="0.127"/>
  </r>
  <r>
    <s v="CS007-JBA-08162021"/>
    <s v="Spill"/>
    <x v="1"/>
    <s v="Darter sp."/>
    <s v="Etheostoma"/>
    <s v="gibbosus"/>
    <s v="U"/>
    <x v="0"/>
    <n v="8"/>
    <n v="11.81"/>
    <x v="32"/>
    <s v="27619-97-2"/>
    <x v="32"/>
    <n v="2.2400000000000002"/>
  </r>
  <r>
    <s v="CS007-JBA-08162021"/>
    <s v="Spill"/>
    <x v="1"/>
    <s v="Darter sp."/>
    <s v="Etheostoma"/>
    <s v="gibbosus"/>
    <s v="U"/>
    <x v="0"/>
    <n v="8"/>
    <n v="11.81"/>
    <x v="33"/>
    <s v="39108-34-4"/>
    <x v="33"/>
    <n v="9.48"/>
  </r>
  <r>
    <s v="CS007-JBA-08162021"/>
    <s v="Spill"/>
    <x v="1"/>
    <s v="Darter sp."/>
    <s v="Etheostoma"/>
    <s v="gibbosus"/>
    <s v="U"/>
    <x v="0"/>
    <n v="8"/>
    <n v="11.81"/>
    <x v="34"/>
    <s v="120226-60-0"/>
    <x v="34"/>
    <n v="0.51"/>
  </r>
  <r>
    <s v="CS007-JBA-08162021"/>
    <s v="Spill"/>
    <x v="1"/>
    <s v="Darter sp."/>
    <s v="Etheostoma"/>
    <s v="gibbosus"/>
    <s v="U"/>
    <x v="0"/>
    <n v="8"/>
    <n v="11.81"/>
    <x v="35"/>
    <s v="356-02-5"/>
    <x v="35"/>
    <n v="0.254"/>
  </r>
  <r>
    <s v="CS007-JBA-08162021"/>
    <s v="Spill"/>
    <x v="1"/>
    <s v="Darter sp."/>
    <s v="Etheostoma"/>
    <s v="gibbosus"/>
    <s v="U"/>
    <x v="0"/>
    <n v="8"/>
    <n v="11.81"/>
    <x v="36"/>
    <s v="914637-49-3"/>
    <x v="36"/>
    <n v="0.254"/>
  </r>
  <r>
    <s v="CS007-JBA-08162021"/>
    <s v="Spill"/>
    <x v="1"/>
    <s v="Darter sp."/>
    <s v="Etheostoma"/>
    <s v="gibbosus"/>
    <s v="U"/>
    <x v="0"/>
    <n v="8"/>
    <n v="11.81"/>
    <x v="37"/>
    <s v="812-70-4"/>
    <x v="37"/>
    <n v="7.93"/>
  </r>
  <r>
    <s v="CS007-JBA-08162021"/>
    <s v="Spill"/>
    <x v="1"/>
    <s v="Darter sp."/>
    <s v="Etheostoma"/>
    <s v="gibbosus"/>
    <s v="U"/>
    <x v="0"/>
    <n v="8"/>
    <n v="11.81"/>
    <x v="38"/>
    <s v="53826-12-3"/>
    <x v="38"/>
    <n v="0.254"/>
  </r>
  <r>
    <s v="CS007-JBA-08162021"/>
    <s v="Spill"/>
    <x v="1"/>
    <s v="Darter sp."/>
    <s v="Etheostoma"/>
    <s v="gibbosus"/>
    <s v="U"/>
    <x v="0"/>
    <n v="8"/>
    <n v="11.81"/>
    <x v="39"/>
    <s v="27854-31-5"/>
    <x v="39"/>
    <n v="0.127"/>
  </r>
  <r>
    <s v="CS007-JBA-08162021"/>
    <s v="Spill"/>
    <x v="1"/>
    <s v="Darter sp."/>
    <s v="Etheostoma"/>
    <s v="gibbosus"/>
    <s v="U"/>
    <x v="0"/>
    <n v="8"/>
    <n v="11.81"/>
    <x v="40"/>
    <s v="53826-13-4"/>
    <x v="40"/>
    <n v="0.254"/>
  </r>
  <r>
    <s v="CS007-JBA-08162021"/>
    <s v="Spill"/>
    <x v="1"/>
    <s v="Darter sp."/>
    <s v="Etheostoma"/>
    <s v="gibbosus"/>
    <s v="U"/>
    <x v="0"/>
    <n v="8"/>
    <n v="11.81"/>
    <x v="41"/>
    <s v="161094-75-3"/>
    <x v="41"/>
    <n v="0.1"/>
  </r>
  <r>
    <s v="CS007-JBA-08162021"/>
    <s v="Spill"/>
    <x v="1"/>
    <s v="Darter sp."/>
    <s v="Etheostoma"/>
    <s v="gibbosus"/>
    <s v="U"/>
    <x v="0"/>
    <n v="8"/>
    <n v="11.81"/>
    <x v="42"/>
    <s v="70887-84-2"/>
    <x v="42"/>
    <n v="7.6999999999999999E-2"/>
  </r>
  <r>
    <s v="CS007-JBA-08162021"/>
    <s v="Spill"/>
    <x v="1"/>
    <s v="Darter sp."/>
    <s v="Etheostoma"/>
    <s v="gibbosus"/>
    <s v="U"/>
    <x v="0"/>
    <n v="8"/>
    <n v="11.81"/>
    <x v="43"/>
    <s v="919005-14-4"/>
    <x v="43"/>
    <n v="0.112"/>
  </r>
  <r>
    <s v="CS007-JBA-08162021"/>
    <s v="Spill"/>
    <x v="1"/>
    <s v="Darter sp."/>
    <s v="Etheostoma"/>
    <s v="gibbosus"/>
    <s v="U"/>
    <x v="0"/>
    <n v="8"/>
    <n v="11.81"/>
    <x v="44"/>
    <s v="756426-58-1"/>
    <x v="44"/>
    <n v="0.254"/>
  </r>
  <r>
    <s v="CS007-JBA-08162021"/>
    <s v="Spill"/>
    <x v="1"/>
    <s v="Darter sp."/>
    <s v="Etheostoma"/>
    <s v="gibbosus"/>
    <s v="U"/>
    <x v="0"/>
    <n v="8"/>
    <n v="11.81"/>
    <x v="45"/>
    <s v="763051-92-9"/>
    <x v="45"/>
    <n v="0.254"/>
  </r>
  <r>
    <s v="CS007-JBA-08162021"/>
    <s v="Spill"/>
    <x v="1"/>
    <s v="Darter sp."/>
    <s v="Etheostoma"/>
    <s v="gibbosus"/>
    <s v="U"/>
    <x v="0"/>
    <n v="8"/>
    <n v="11.81"/>
    <x v="46"/>
    <s v="13252-13-6"/>
    <x v="46"/>
    <n v="0.1825"/>
  </r>
  <r>
    <s v="CS007-JBA-08162021"/>
    <s v="Spill"/>
    <x v="1"/>
    <s v="Darter sp."/>
    <s v="Etheostoma"/>
    <s v="gibbosus"/>
    <s v="U"/>
    <x v="0"/>
    <n v="8"/>
    <n v="11.81"/>
    <x v="47"/>
    <s v="57677-95-9"/>
    <x v="47"/>
    <n v="0.254"/>
  </r>
  <r>
    <s v="CS007-JBA-08162021"/>
    <s v="Spill"/>
    <x v="1"/>
    <s v="Darter sp."/>
    <s v="Etheostoma"/>
    <s v="gibbosus"/>
    <s v="U"/>
    <x v="0"/>
    <n v="8"/>
    <n v="11.81"/>
    <x v="48"/>
    <s v="678-41-1"/>
    <x v="48"/>
    <n v="0.254"/>
  </r>
  <r>
    <s v="CS007-JBA-08162021"/>
    <s v="Spill"/>
    <x v="1"/>
    <s v="Darter sp."/>
    <s v="Etheostoma"/>
    <s v="gibbosus"/>
    <s v="U"/>
    <x v="0"/>
    <n v="8"/>
    <n v="11.81"/>
    <x v="49"/>
    <s v="2965-52-8"/>
    <x v="49"/>
    <n v="0.254"/>
  </r>
  <r>
    <s v="LMB001-JBA-08162021"/>
    <s v="Spill"/>
    <x v="1"/>
    <s v="Large Mouth Bass"/>
    <s v="Micropterus"/>
    <s v="gibbosus"/>
    <s v="U"/>
    <x v="0"/>
    <n v="8"/>
    <n v="11.81"/>
    <x v="0"/>
    <s v="375-22-4"/>
    <x v="0"/>
    <n v="0.23849999999999999"/>
  </r>
  <r>
    <s v="LMB001-JBA-08162021"/>
    <s v="Spill"/>
    <x v="1"/>
    <s v="Large Mouth Bass"/>
    <s v="Micropterus"/>
    <s v="gibbosus"/>
    <s v="U"/>
    <x v="0"/>
    <n v="8"/>
    <n v="11.81"/>
    <x v="1"/>
    <s v="2706-90-3"/>
    <x v="1"/>
    <n v="8.4000000000000005E-2"/>
  </r>
  <r>
    <s v="LMB001-JBA-08162021"/>
    <s v="Spill"/>
    <x v="1"/>
    <s v="Large Mouth Bass"/>
    <s v="Micropterus"/>
    <s v="gibbosus"/>
    <s v="U"/>
    <x v="0"/>
    <n v="8"/>
    <n v="11.81"/>
    <x v="2"/>
    <s v="307-24-4"/>
    <x v="2"/>
    <n v="0.129"/>
  </r>
  <r>
    <s v="LMB001-JBA-08162021"/>
    <s v="Spill"/>
    <x v="1"/>
    <s v="Large Mouth Bass"/>
    <s v="Micropterus"/>
    <s v="gibbosus"/>
    <s v="U"/>
    <x v="0"/>
    <n v="8"/>
    <n v="11.81"/>
    <x v="3"/>
    <s v="375-85-9"/>
    <x v="3"/>
    <n v="0.23849999999999999"/>
  </r>
  <r>
    <s v="LMB001-JBA-08162021"/>
    <s v="Spill"/>
    <x v="1"/>
    <s v="Large Mouth Bass"/>
    <s v="Micropterus"/>
    <s v="gibbosus"/>
    <s v="U"/>
    <x v="0"/>
    <n v="8"/>
    <n v="11.81"/>
    <x v="4"/>
    <s v="335-67-1"/>
    <x v="4"/>
    <n v="0.53400000000000003"/>
  </r>
  <r>
    <s v="LMB001-JBA-08162021"/>
    <s v="Spill"/>
    <x v="1"/>
    <s v="Large Mouth Bass"/>
    <s v="Micropterus"/>
    <s v="gibbosus"/>
    <s v="U"/>
    <x v="0"/>
    <n v="8"/>
    <n v="11.81"/>
    <x v="5"/>
    <s v="375-95-1"/>
    <x v="5"/>
    <n v="1.17"/>
  </r>
  <r>
    <s v="LMB001-JBA-08162021"/>
    <s v="Spill"/>
    <x v="1"/>
    <s v="Large Mouth Bass"/>
    <s v="Micropterus"/>
    <s v="gibbosus"/>
    <s v="U"/>
    <x v="0"/>
    <n v="8"/>
    <n v="11.81"/>
    <x v="6"/>
    <s v="335-76-2"/>
    <x v="6"/>
    <n v="9.93"/>
  </r>
  <r>
    <s v="LMB001-JBA-08162021"/>
    <s v="Spill"/>
    <x v="1"/>
    <s v="Large Mouth Bass"/>
    <s v="Micropterus"/>
    <s v="gibbosus"/>
    <s v="U"/>
    <x v="0"/>
    <n v="8"/>
    <n v="11.81"/>
    <x v="7"/>
    <s v="2058-94-8"/>
    <x v="7"/>
    <n v="16.2"/>
  </r>
  <r>
    <s v="LMB001-JBA-08162021"/>
    <s v="Spill"/>
    <x v="1"/>
    <s v="Large Mouth Bass"/>
    <s v="Micropterus"/>
    <s v="gibbosus"/>
    <s v="U"/>
    <x v="0"/>
    <n v="8"/>
    <n v="11.81"/>
    <x v="8"/>
    <s v="307-55-1"/>
    <x v="8"/>
    <n v="17.399999999999999"/>
  </r>
  <r>
    <s v="LMB001-JBA-08162021"/>
    <s v="Spill"/>
    <x v="1"/>
    <s v="Large Mouth Bass"/>
    <s v="Micropterus"/>
    <s v="gibbosus"/>
    <s v="U"/>
    <x v="0"/>
    <n v="8"/>
    <n v="11.81"/>
    <x v="9"/>
    <s v="72629-94-8"/>
    <x v="9"/>
    <n v="4.83"/>
  </r>
  <r>
    <s v="LMB001-JBA-08162021"/>
    <s v="Spill"/>
    <x v="1"/>
    <s v="Large Mouth Bass"/>
    <s v="Micropterus"/>
    <s v="gibbosus"/>
    <s v="U"/>
    <x v="0"/>
    <n v="8"/>
    <n v="11.81"/>
    <x v="10"/>
    <s v="376-06-7"/>
    <x v="10"/>
    <n v="7.62"/>
  </r>
  <r>
    <s v="LMB001-JBA-08162021"/>
    <s v="Spill"/>
    <x v="1"/>
    <s v="Large Mouth Bass"/>
    <s v="Micropterus"/>
    <s v="gibbosus"/>
    <s v="U"/>
    <x v="0"/>
    <n v="8"/>
    <n v="11.81"/>
    <x v="11"/>
    <s v="67905-19-5"/>
    <x v="11"/>
    <n v="0.14199999999999999"/>
  </r>
  <r>
    <s v="LMB001-JBA-08162021"/>
    <s v="Spill"/>
    <x v="1"/>
    <s v="Large Mouth Bass"/>
    <s v="Micropterus"/>
    <s v="gibbosus"/>
    <s v="U"/>
    <x v="0"/>
    <n v="8"/>
    <n v="11.81"/>
    <x v="12"/>
    <s v="423-41-6"/>
    <x v="12"/>
    <n v="0.1195"/>
  </r>
  <r>
    <s v="LMB001-JBA-08162021"/>
    <s v="Spill"/>
    <x v="1"/>
    <s v="Large Mouth Bass"/>
    <s v="Micropterus"/>
    <s v="gibbosus"/>
    <s v="U"/>
    <x v="0"/>
    <n v="8"/>
    <n v="11.81"/>
    <x v="13"/>
    <s v="375-73-5"/>
    <x v="13"/>
    <n v="0.23849999999999999"/>
  </r>
  <r>
    <s v="LMB001-JBA-08162021"/>
    <s v="Spill"/>
    <x v="1"/>
    <s v="Large Mouth Bass"/>
    <s v="Micropterus"/>
    <s v="gibbosus"/>
    <s v="U"/>
    <x v="0"/>
    <n v="8"/>
    <n v="11.81"/>
    <x v="14"/>
    <s v="2706-91-4"/>
    <x v="14"/>
    <n v="0.1265"/>
  </r>
  <r>
    <s v="LMB001-JBA-08162021"/>
    <s v="Spill"/>
    <x v="1"/>
    <s v="Large Mouth Bass"/>
    <s v="Micropterus"/>
    <s v="gibbosus"/>
    <s v="U"/>
    <x v="0"/>
    <n v="8"/>
    <n v="11.81"/>
    <x v="15"/>
    <s v="355-46-4"/>
    <x v="15"/>
    <n v="30.2"/>
  </r>
  <r>
    <s v="LMB001-JBA-08162021"/>
    <s v="Spill"/>
    <x v="1"/>
    <s v="Large Mouth Bass"/>
    <s v="Micropterus"/>
    <s v="gibbosus"/>
    <s v="U"/>
    <x v="0"/>
    <n v="8"/>
    <n v="11.81"/>
    <x v="16"/>
    <s v="375-92-8"/>
    <x v="16"/>
    <n v="6.57"/>
  </r>
  <r>
    <s v="LMB001-JBA-08162021"/>
    <s v="Spill"/>
    <x v="1"/>
    <s v="Large Mouth Bass"/>
    <s v="Micropterus"/>
    <s v="gibbosus"/>
    <s v="U"/>
    <x v="0"/>
    <n v="8"/>
    <n v="11.81"/>
    <x v="17"/>
    <s v="1763-23-1"/>
    <x v="17"/>
    <n v="1670"/>
  </r>
  <r>
    <s v="LMB001-JBA-08162021"/>
    <s v="Spill"/>
    <x v="1"/>
    <s v="Large Mouth Bass"/>
    <s v="Micropterus"/>
    <s v="gibbosus"/>
    <s v="U"/>
    <x v="0"/>
    <n v="8"/>
    <n v="11.81"/>
    <x v="18"/>
    <s v="68259-12-1"/>
    <x v="18"/>
    <n v="2.98"/>
  </r>
  <r>
    <s v="LMB001-JBA-08162021"/>
    <s v="Spill"/>
    <x v="1"/>
    <s v="Large Mouth Bass"/>
    <s v="Micropterus"/>
    <s v="gibbosus"/>
    <s v="U"/>
    <x v="0"/>
    <n v="8"/>
    <n v="11.81"/>
    <x v="19"/>
    <s v="335-77-3"/>
    <x v="19"/>
    <n v="2.38"/>
  </r>
  <r>
    <s v="LMB001-JBA-08162021"/>
    <s v="Spill"/>
    <x v="1"/>
    <s v="Large Mouth Bass"/>
    <s v="Micropterus"/>
    <s v="gibbosus"/>
    <s v="U"/>
    <x v="0"/>
    <n v="8"/>
    <n v="11.81"/>
    <x v="20"/>
    <s v="79780-39-5"/>
    <x v="20"/>
    <n v="0.255"/>
  </r>
  <r>
    <s v="LMB001-JBA-08162021"/>
    <s v="Spill"/>
    <x v="1"/>
    <s v="Large Mouth Bass"/>
    <s v="Micropterus"/>
    <s v="gibbosus"/>
    <s v="U"/>
    <x v="0"/>
    <n v="8"/>
    <n v="11.81"/>
    <x v="21"/>
    <s v="777011-38-8"/>
    <x v="21"/>
    <n v="0.46"/>
  </r>
  <r>
    <s v="LMB001-JBA-08162021"/>
    <s v="Spill"/>
    <x v="1"/>
    <s v="Large Mouth Bass"/>
    <s v="Micropterus"/>
    <s v="gibbosus"/>
    <s v="U"/>
    <x v="0"/>
    <n v="8"/>
    <n v="11.81"/>
    <x v="22"/>
    <s v="646-83-3"/>
    <x v="22"/>
    <n v="0.41099999999999998"/>
  </r>
  <r>
    <s v="LMB001-JBA-08162021"/>
    <s v="Spill"/>
    <x v="1"/>
    <s v="Large Mouth Bass"/>
    <s v="Micropterus"/>
    <s v="gibbosus"/>
    <s v="U"/>
    <x v="0"/>
    <n v="8"/>
    <n v="11.81"/>
    <x v="23"/>
    <s v="30334-69-1"/>
    <x v="23"/>
    <n v="75.5"/>
  </r>
  <r>
    <s v="LMB001-JBA-08162021"/>
    <s v="Spill"/>
    <x v="1"/>
    <s v="Large Mouth Bass"/>
    <s v="Micropterus"/>
    <s v="gibbosus"/>
    <s v="U"/>
    <x v="0"/>
    <n v="8"/>
    <n v="11.81"/>
    <x v="24"/>
    <s v="41997-13-1"/>
    <x v="24"/>
    <n v="53.7"/>
  </r>
  <r>
    <s v="LMB001-JBA-08162021"/>
    <s v="Spill"/>
    <x v="1"/>
    <s v="Large Mouth Bass"/>
    <s v="Micropterus"/>
    <s v="gibbosus"/>
    <s v="U"/>
    <x v="0"/>
    <n v="8"/>
    <n v="11.81"/>
    <x v="25"/>
    <s v="754-91-6"/>
    <x v="25"/>
    <n v="11.6"/>
  </r>
  <r>
    <s v="LMB001-JBA-08162021"/>
    <s v="Spill"/>
    <x v="1"/>
    <s v="Large Mouth Bass"/>
    <s v="Micropterus"/>
    <s v="gibbosus"/>
    <s v="U"/>
    <x v="0"/>
    <n v="8"/>
    <n v="11.81"/>
    <x v="26"/>
    <s v="31506-32-8"/>
    <x v="26"/>
    <n v="9.1999999999999998E-2"/>
  </r>
  <r>
    <s v="LMB001-JBA-08162021"/>
    <s v="Spill"/>
    <x v="1"/>
    <s v="Large Mouth Bass"/>
    <s v="Micropterus"/>
    <s v="gibbosus"/>
    <s v="U"/>
    <x v="0"/>
    <n v="8"/>
    <n v="11.81"/>
    <x v="27"/>
    <s v="4151-50-2"/>
    <x v="27"/>
    <n v="0.23849999999999999"/>
  </r>
  <r>
    <s v="LMB001-JBA-08162021"/>
    <s v="Spill"/>
    <x v="1"/>
    <s v="Large Mouth Bass"/>
    <s v="Micropterus"/>
    <s v="gibbosus"/>
    <s v="U"/>
    <x v="0"/>
    <n v="8"/>
    <n v="11.81"/>
    <x v="28"/>
    <s v="2806-24-8"/>
    <x v="28"/>
    <n v="0.23849999999999999"/>
  </r>
  <r>
    <s v="LMB001-JBA-08162021"/>
    <s v="Spill"/>
    <x v="1"/>
    <s v="Large Mouth Bass"/>
    <s v="Micropterus"/>
    <s v="gibbosus"/>
    <s v="U"/>
    <x v="0"/>
    <n v="8"/>
    <n v="11.81"/>
    <x v="29"/>
    <s v="2355-31-9"/>
    <x v="29"/>
    <n v="0.12"/>
  </r>
  <r>
    <s v="LMB001-JBA-08162021"/>
    <s v="Spill"/>
    <x v="1"/>
    <s v="Large Mouth Bass"/>
    <s v="Micropterus"/>
    <s v="gibbosus"/>
    <s v="U"/>
    <x v="0"/>
    <n v="8"/>
    <n v="11.81"/>
    <x v="30"/>
    <s v="2991-50-6"/>
    <x v="30"/>
    <n v="0.1195"/>
  </r>
  <r>
    <s v="LMB001-JBA-08162021"/>
    <s v="Spill"/>
    <x v="1"/>
    <s v="Large Mouth Bass"/>
    <s v="Micropterus"/>
    <s v="gibbosus"/>
    <s v="U"/>
    <x v="0"/>
    <n v="8"/>
    <n v="11.81"/>
    <x v="31"/>
    <s v="757124-72-4"/>
    <x v="31"/>
    <n v="0.1195"/>
  </r>
  <r>
    <s v="LMB001-JBA-08162021"/>
    <s v="Spill"/>
    <x v="1"/>
    <s v="Large Mouth Bass"/>
    <s v="Micropterus"/>
    <s v="gibbosus"/>
    <s v="U"/>
    <x v="0"/>
    <n v="8"/>
    <n v="11.81"/>
    <x v="32"/>
    <s v="27619-97-2"/>
    <x v="32"/>
    <n v="0.23849999999999999"/>
  </r>
  <r>
    <s v="LMB001-JBA-08162021"/>
    <s v="Spill"/>
    <x v="1"/>
    <s v="Large Mouth Bass"/>
    <s v="Micropterus"/>
    <s v="gibbosus"/>
    <s v="U"/>
    <x v="0"/>
    <n v="8"/>
    <n v="11.81"/>
    <x v="33"/>
    <s v="39108-34-4"/>
    <x v="33"/>
    <n v="6.09"/>
  </r>
  <r>
    <s v="LMB001-JBA-08162021"/>
    <s v="Spill"/>
    <x v="1"/>
    <s v="Large Mouth Bass"/>
    <s v="Micropterus"/>
    <s v="gibbosus"/>
    <s v="U"/>
    <x v="0"/>
    <n v="8"/>
    <n v="11.81"/>
    <x v="34"/>
    <s v="120226-60-0"/>
    <x v="34"/>
    <n v="0.47699999999999998"/>
  </r>
  <r>
    <s v="LMB001-JBA-08162021"/>
    <s v="Spill"/>
    <x v="1"/>
    <s v="Large Mouth Bass"/>
    <s v="Micropterus"/>
    <s v="gibbosus"/>
    <s v="U"/>
    <x v="0"/>
    <n v="8"/>
    <n v="11.81"/>
    <x v="35"/>
    <s v="356-02-5"/>
    <x v="35"/>
    <n v="0.23849999999999999"/>
  </r>
  <r>
    <s v="LMB001-JBA-08162021"/>
    <s v="Spill"/>
    <x v="1"/>
    <s v="Large Mouth Bass"/>
    <s v="Micropterus"/>
    <s v="gibbosus"/>
    <s v="U"/>
    <x v="0"/>
    <n v="8"/>
    <n v="11.81"/>
    <x v="36"/>
    <s v="914637-49-3"/>
    <x v="36"/>
    <n v="0.23849999999999999"/>
  </r>
  <r>
    <s v="LMB001-JBA-08162021"/>
    <s v="Spill"/>
    <x v="1"/>
    <s v="Large Mouth Bass"/>
    <s v="Micropterus"/>
    <s v="gibbosus"/>
    <s v="U"/>
    <x v="0"/>
    <n v="8"/>
    <n v="11.81"/>
    <x v="37"/>
    <s v="812-70-4"/>
    <x v="37"/>
    <n v="2.0299999999999998"/>
  </r>
  <r>
    <s v="LMB001-JBA-08162021"/>
    <s v="Spill"/>
    <x v="1"/>
    <s v="Large Mouth Bass"/>
    <s v="Micropterus"/>
    <s v="gibbosus"/>
    <s v="U"/>
    <x v="0"/>
    <n v="8"/>
    <n v="11.81"/>
    <x v="38"/>
    <s v="53826-12-3"/>
    <x v="38"/>
    <n v="0.23849999999999999"/>
  </r>
  <r>
    <s v="LMB001-JBA-08162021"/>
    <s v="Spill"/>
    <x v="1"/>
    <s v="Large Mouth Bass"/>
    <s v="Micropterus"/>
    <s v="gibbosus"/>
    <s v="U"/>
    <x v="0"/>
    <n v="8"/>
    <n v="11.81"/>
    <x v="39"/>
    <s v="27854-31-5"/>
    <x v="39"/>
    <n v="0.1195"/>
  </r>
  <r>
    <s v="LMB001-JBA-08162021"/>
    <s v="Spill"/>
    <x v="1"/>
    <s v="Large Mouth Bass"/>
    <s v="Micropterus"/>
    <s v="gibbosus"/>
    <s v="U"/>
    <x v="0"/>
    <n v="8"/>
    <n v="11.81"/>
    <x v="40"/>
    <s v="53826-13-4"/>
    <x v="40"/>
    <n v="0.23849999999999999"/>
  </r>
  <r>
    <s v="LMB001-JBA-08162021"/>
    <s v="Spill"/>
    <x v="1"/>
    <s v="Large Mouth Bass"/>
    <s v="Micropterus"/>
    <s v="gibbosus"/>
    <s v="U"/>
    <x v="0"/>
    <n v="8"/>
    <n v="11.81"/>
    <x v="41"/>
    <s v="161094-75-3"/>
    <x v="41"/>
    <n v="9.35E-2"/>
  </r>
  <r>
    <s v="LMB001-JBA-08162021"/>
    <s v="Spill"/>
    <x v="1"/>
    <s v="Large Mouth Bass"/>
    <s v="Micropterus"/>
    <s v="gibbosus"/>
    <s v="U"/>
    <x v="0"/>
    <n v="8"/>
    <n v="11.81"/>
    <x v="42"/>
    <s v="70887-84-2"/>
    <x v="42"/>
    <n v="7.1999999999999995E-2"/>
  </r>
  <r>
    <s v="LMB001-JBA-08162021"/>
    <s v="Spill"/>
    <x v="1"/>
    <s v="Large Mouth Bass"/>
    <s v="Micropterus"/>
    <s v="gibbosus"/>
    <s v="U"/>
    <x v="0"/>
    <n v="8"/>
    <n v="11.81"/>
    <x v="43"/>
    <s v="919005-14-4"/>
    <x v="43"/>
    <n v="0.105"/>
  </r>
  <r>
    <s v="LMB001-JBA-08162021"/>
    <s v="Spill"/>
    <x v="1"/>
    <s v="Large Mouth Bass"/>
    <s v="Micropterus"/>
    <s v="gibbosus"/>
    <s v="U"/>
    <x v="0"/>
    <n v="8"/>
    <n v="11.81"/>
    <x v="44"/>
    <s v="756426-58-1"/>
    <x v="44"/>
    <n v="0.23849999999999999"/>
  </r>
  <r>
    <s v="LMB001-JBA-08162021"/>
    <s v="Spill"/>
    <x v="1"/>
    <s v="Large Mouth Bass"/>
    <s v="Micropterus"/>
    <s v="gibbosus"/>
    <s v="U"/>
    <x v="0"/>
    <n v="8"/>
    <n v="11.81"/>
    <x v="45"/>
    <s v="763051-92-9"/>
    <x v="45"/>
    <n v="0.23849999999999999"/>
  </r>
  <r>
    <s v="LMB001-JBA-08162021"/>
    <s v="Spill"/>
    <x v="1"/>
    <s v="Large Mouth Bass"/>
    <s v="Micropterus"/>
    <s v="gibbosus"/>
    <s v="U"/>
    <x v="0"/>
    <n v="8"/>
    <n v="11.81"/>
    <x v="46"/>
    <s v="13252-13-6"/>
    <x v="46"/>
    <n v="0.17100000000000001"/>
  </r>
  <r>
    <s v="LMB001-JBA-08162021"/>
    <s v="Spill"/>
    <x v="1"/>
    <s v="Large Mouth Bass"/>
    <s v="Micropterus"/>
    <s v="gibbosus"/>
    <s v="U"/>
    <x v="0"/>
    <n v="8"/>
    <n v="11.81"/>
    <x v="47"/>
    <s v="57677-95-9"/>
    <x v="47"/>
    <n v="0.23849999999999999"/>
  </r>
  <r>
    <s v="LMB001-JBA-08162021"/>
    <s v="Spill"/>
    <x v="1"/>
    <s v="Large Mouth Bass"/>
    <s v="Micropterus"/>
    <s v="gibbosus"/>
    <s v="U"/>
    <x v="0"/>
    <n v="8"/>
    <n v="11.81"/>
    <x v="48"/>
    <s v="678-41-1"/>
    <x v="48"/>
    <n v="0.23849999999999999"/>
  </r>
  <r>
    <s v="LMB001-JBA-08162021"/>
    <s v="Spill"/>
    <x v="1"/>
    <s v="Large Mouth Bass"/>
    <s v="Micropterus"/>
    <s v="gibbosus"/>
    <s v="U"/>
    <x v="0"/>
    <n v="8"/>
    <n v="11.81"/>
    <x v="49"/>
    <s v="2965-52-8"/>
    <x v="49"/>
    <n v="0.23849999999999999"/>
  </r>
  <r>
    <s v="CC008-JBA-08162021"/>
    <s v="Spill"/>
    <x v="1"/>
    <s v="Dace. Sp"/>
    <s v="Clinostomus"/>
    <s v="gibbosus"/>
    <s v="U"/>
    <x v="0"/>
    <n v="8"/>
    <n v="11.81"/>
    <x v="0"/>
    <s v="375-22-4"/>
    <x v="0"/>
    <n v="0.2465"/>
  </r>
  <r>
    <s v="CC008-JBA-08162021"/>
    <s v="Spill"/>
    <x v="1"/>
    <s v="Dace. Sp"/>
    <s v="Clinostomus"/>
    <s v="gibbosus"/>
    <s v="U"/>
    <x v="0"/>
    <n v="8"/>
    <n v="11.81"/>
    <x v="1"/>
    <s v="2706-90-3"/>
    <x v="1"/>
    <n v="8.6999999999999994E-2"/>
  </r>
  <r>
    <s v="CC008-JBA-08162021"/>
    <s v="Spill"/>
    <x v="1"/>
    <s v="Dace. Sp"/>
    <s v="Clinostomus"/>
    <s v="gibbosus"/>
    <s v="U"/>
    <x v="0"/>
    <n v="8"/>
    <n v="11.81"/>
    <x v="2"/>
    <s v="307-24-4"/>
    <x v="2"/>
    <n v="0.13300000000000001"/>
  </r>
  <r>
    <s v="CC008-JBA-08162021"/>
    <s v="Spill"/>
    <x v="1"/>
    <s v="Dace. Sp"/>
    <s v="Clinostomus"/>
    <s v="gibbosus"/>
    <s v="U"/>
    <x v="0"/>
    <n v="8"/>
    <n v="11.81"/>
    <x v="3"/>
    <s v="375-85-9"/>
    <x v="3"/>
    <n v="0.2465"/>
  </r>
  <r>
    <s v="CC008-JBA-08162021"/>
    <s v="Spill"/>
    <x v="1"/>
    <s v="Dace. Sp"/>
    <s v="Clinostomus"/>
    <s v="gibbosus"/>
    <s v="U"/>
    <x v="0"/>
    <n v="8"/>
    <n v="11.81"/>
    <x v="4"/>
    <s v="335-67-1"/>
    <x v="4"/>
    <n v="1.76"/>
  </r>
  <r>
    <s v="CC008-JBA-08162021"/>
    <s v="Spill"/>
    <x v="1"/>
    <s v="Dace. Sp"/>
    <s v="Clinostomus"/>
    <s v="gibbosus"/>
    <s v="U"/>
    <x v="0"/>
    <n v="8"/>
    <n v="11.81"/>
    <x v="5"/>
    <s v="375-95-1"/>
    <x v="5"/>
    <n v="0.1235"/>
  </r>
  <r>
    <s v="CC008-JBA-08162021"/>
    <s v="Spill"/>
    <x v="1"/>
    <s v="Dace. Sp"/>
    <s v="Clinostomus"/>
    <s v="gibbosus"/>
    <s v="U"/>
    <x v="0"/>
    <n v="8"/>
    <n v="11.81"/>
    <x v="6"/>
    <s v="335-76-2"/>
    <x v="6"/>
    <n v="5.53"/>
  </r>
  <r>
    <s v="CC008-JBA-08162021"/>
    <s v="Spill"/>
    <x v="1"/>
    <s v="Dace. Sp"/>
    <s v="Clinostomus"/>
    <s v="gibbosus"/>
    <s v="U"/>
    <x v="0"/>
    <n v="8"/>
    <n v="11.81"/>
    <x v="7"/>
    <s v="2058-94-8"/>
    <x v="7"/>
    <n v="10.4"/>
  </r>
  <r>
    <s v="CC008-JBA-08162021"/>
    <s v="Spill"/>
    <x v="1"/>
    <s v="Dace. Sp"/>
    <s v="Clinostomus"/>
    <s v="gibbosus"/>
    <s v="U"/>
    <x v="0"/>
    <n v="8"/>
    <n v="11.81"/>
    <x v="8"/>
    <s v="307-55-1"/>
    <x v="8"/>
    <n v="16.3"/>
  </r>
  <r>
    <s v="CC008-JBA-08162021"/>
    <s v="Spill"/>
    <x v="1"/>
    <s v="Dace. Sp"/>
    <s v="Clinostomus"/>
    <s v="gibbosus"/>
    <s v="U"/>
    <x v="0"/>
    <n v="8"/>
    <n v="11.81"/>
    <x v="9"/>
    <s v="72629-94-8"/>
    <x v="9"/>
    <n v="8.3699999999999992"/>
  </r>
  <r>
    <s v="CC008-JBA-08162021"/>
    <s v="Spill"/>
    <x v="1"/>
    <s v="Dace. Sp"/>
    <s v="Clinostomus"/>
    <s v="gibbosus"/>
    <s v="U"/>
    <x v="0"/>
    <n v="8"/>
    <n v="11.81"/>
    <x v="10"/>
    <s v="376-06-7"/>
    <x v="10"/>
    <n v="13.7"/>
  </r>
  <r>
    <s v="CC008-JBA-08162021"/>
    <s v="Spill"/>
    <x v="1"/>
    <s v="Dace. Sp"/>
    <s v="Clinostomus"/>
    <s v="gibbosus"/>
    <s v="U"/>
    <x v="0"/>
    <n v="8"/>
    <n v="11.81"/>
    <x v="11"/>
    <s v="67905-19-5"/>
    <x v="11"/>
    <n v="0.14699999999999999"/>
  </r>
  <r>
    <s v="CC008-JBA-08162021"/>
    <s v="Spill"/>
    <x v="1"/>
    <s v="Dace. Sp"/>
    <s v="Clinostomus"/>
    <s v="gibbosus"/>
    <s v="U"/>
    <x v="0"/>
    <n v="8"/>
    <n v="11.81"/>
    <x v="12"/>
    <s v="423-41-6"/>
    <x v="12"/>
    <n v="0.1235"/>
  </r>
  <r>
    <s v="CC008-JBA-08162021"/>
    <s v="Spill"/>
    <x v="1"/>
    <s v="Dace. Sp"/>
    <s v="Clinostomus"/>
    <s v="gibbosus"/>
    <s v="U"/>
    <x v="0"/>
    <n v="8"/>
    <n v="11.81"/>
    <x v="13"/>
    <s v="375-73-5"/>
    <x v="13"/>
    <n v="0.2465"/>
  </r>
  <r>
    <s v="CC008-JBA-08162021"/>
    <s v="Spill"/>
    <x v="1"/>
    <s v="Dace. Sp"/>
    <s v="Clinostomus"/>
    <s v="gibbosus"/>
    <s v="U"/>
    <x v="0"/>
    <n v="8"/>
    <n v="11.81"/>
    <x v="14"/>
    <s v="2706-91-4"/>
    <x v="14"/>
    <n v="0.96799999999999997"/>
  </r>
  <r>
    <s v="CC008-JBA-08162021"/>
    <s v="Spill"/>
    <x v="1"/>
    <s v="Dace. Sp"/>
    <s v="Clinostomus"/>
    <s v="gibbosus"/>
    <s v="U"/>
    <x v="0"/>
    <n v="8"/>
    <n v="11.81"/>
    <x v="15"/>
    <s v="355-46-4"/>
    <x v="15"/>
    <n v="72.7"/>
  </r>
  <r>
    <s v="CC008-JBA-08162021"/>
    <s v="Spill"/>
    <x v="1"/>
    <s v="Dace. Sp"/>
    <s v="Clinostomus"/>
    <s v="gibbosus"/>
    <s v="U"/>
    <x v="0"/>
    <n v="8"/>
    <n v="11.81"/>
    <x v="16"/>
    <s v="375-92-8"/>
    <x v="16"/>
    <n v="7.03"/>
  </r>
  <r>
    <s v="CC008-JBA-08162021"/>
    <s v="Spill"/>
    <x v="1"/>
    <s v="Dace. Sp"/>
    <s v="Clinostomus"/>
    <s v="gibbosus"/>
    <s v="U"/>
    <x v="0"/>
    <n v="8"/>
    <n v="11.81"/>
    <x v="17"/>
    <s v="1763-23-1"/>
    <x v="17"/>
    <n v="623"/>
  </r>
  <r>
    <s v="CC008-JBA-08162021"/>
    <s v="Spill"/>
    <x v="1"/>
    <s v="Dace. Sp"/>
    <s v="Clinostomus"/>
    <s v="gibbosus"/>
    <s v="U"/>
    <x v="0"/>
    <n v="8"/>
    <n v="11.81"/>
    <x v="18"/>
    <s v="68259-12-1"/>
    <x v="18"/>
    <n v="0.62"/>
  </r>
  <r>
    <s v="CC008-JBA-08162021"/>
    <s v="Spill"/>
    <x v="1"/>
    <s v="Dace. Sp"/>
    <s v="Clinostomus"/>
    <s v="gibbosus"/>
    <s v="U"/>
    <x v="0"/>
    <n v="8"/>
    <n v="11.81"/>
    <x v="19"/>
    <s v="335-77-3"/>
    <x v="19"/>
    <n v="2.2200000000000002"/>
  </r>
  <r>
    <s v="CC008-JBA-08162021"/>
    <s v="Spill"/>
    <x v="1"/>
    <s v="Dace. Sp"/>
    <s v="Clinostomus"/>
    <s v="gibbosus"/>
    <s v="U"/>
    <x v="0"/>
    <n v="8"/>
    <n v="11.81"/>
    <x v="20"/>
    <s v="79780-39-5"/>
    <x v="20"/>
    <n v="0.876"/>
  </r>
  <r>
    <s v="CC008-JBA-08162021"/>
    <s v="Spill"/>
    <x v="1"/>
    <s v="Dace. Sp"/>
    <s v="Clinostomus"/>
    <s v="gibbosus"/>
    <s v="U"/>
    <x v="0"/>
    <n v="8"/>
    <n v="11.81"/>
    <x v="21"/>
    <s v="777011-38-8"/>
    <x v="21"/>
    <n v="0.15"/>
  </r>
  <r>
    <s v="CC008-JBA-08162021"/>
    <s v="Spill"/>
    <x v="1"/>
    <s v="Dace. Sp"/>
    <s v="Clinostomus"/>
    <s v="gibbosus"/>
    <s v="U"/>
    <x v="0"/>
    <n v="8"/>
    <n v="11.81"/>
    <x v="22"/>
    <s v="646-83-3"/>
    <x v="22"/>
    <n v="0.375"/>
  </r>
  <r>
    <s v="CC008-JBA-08162021"/>
    <s v="Spill"/>
    <x v="1"/>
    <s v="Dace. Sp"/>
    <s v="Clinostomus"/>
    <s v="gibbosus"/>
    <s v="U"/>
    <x v="0"/>
    <n v="8"/>
    <n v="11.81"/>
    <x v="23"/>
    <s v="30334-69-1"/>
    <x v="23"/>
    <n v="56.5"/>
  </r>
  <r>
    <s v="CC008-JBA-08162021"/>
    <s v="Spill"/>
    <x v="1"/>
    <s v="Dace. Sp"/>
    <s v="Clinostomus"/>
    <s v="gibbosus"/>
    <s v="U"/>
    <x v="0"/>
    <n v="8"/>
    <n v="11.81"/>
    <x v="24"/>
    <s v="41997-13-1"/>
    <x v="24"/>
    <n v="121"/>
  </r>
  <r>
    <s v="CC008-JBA-08162021"/>
    <s v="Spill"/>
    <x v="1"/>
    <s v="Dace. Sp"/>
    <s v="Clinostomus"/>
    <s v="gibbosus"/>
    <s v="U"/>
    <x v="0"/>
    <n v="8"/>
    <n v="11.81"/>
    <x v="25"/>
    <s v="754-91-6"/>
    <x v="25"/>
    <n v="6.5"/>
  </r>
  <r>
    <s v="CC008-JBA-08162021"/>
    <s v="Spill"/>
    <x v="1"/>
    <s v="Dace. Sp"/>
    <s v="Clinostomus"/>
    <s v="gibbosus"/>
    <s v="U"/>
    <x v="0"/>
    <n v="8"/>
    <n v="11.81"/>
    <x v="26"/>
    <s v="31506-32-8"/>
    <x v="26"/>
    <n v="9.5000000000000001E-2"/>
  </r>
  <r>
    <s v="CC008-JBA-08162021"/>
    <s v="Spill"/>
    <x v="1"/>
    <s v="Dace. Sp"/>
    <s v="Clinostomus"/>
    <s v="gibbosus"/>
    <s v="U"/>
    <x v="0"/>
    <n v="8"/>
    <n v="11.81"/>
    <x v="27"/>
    <s v="4151-50-2"/>
    <x v="27"/>
    <n v="0.2465"/>
  </r>
  <r>
    <s v="CC008-JBA-08162021"/>
    <s v="Spill"/>
    <x v="1"/>
    <s v="Dace. Sp"/>
    <s v="Clinostomus"/>
    <s v="gibbosus"/>
    <s v="U"/>
    <x v="0"/>
    <n v="8"/>
    <n v="11.81"/>
    <x v="28"/>
    <s v="2806-24-8"/>
    <x v="28"/>
    <n v="0.2465"/>
  </r>
  <r>
    <s v="CC008-JBA-08162021"/>
    <s v="Spill"/>
    <x v="1"/>
    <s v="Dace. Sp"/>
    <s v="Clinostomus"/>
    <s v="gibbosus"/>
    <s v="U"/>
    <x v="0"/>
    <n v="8"/>
    <n v="11.81"/>
    <x v="29"/>
    <s v="2355-31-9"/>
    <x v="29"/>
    <n v="0.124"/>
  </r>
  <r>
    <s v="CC008-JBA-08162021"/>
    <s v="Spill"/>
    <x v="1"/>
    <s v="Dace. Sp"/>
    <s v="Clinostomus"/>
    <s v="gibbosus"/>
    <s v="U"/>
    <x v="0"/>
    <n v="8"/>
    <n v="11.81"/>
    <x v="30"/>
    <s v="2991-50-6"/>
    <x v="30"/>
    <n v="0.1235"/>
  </r>
  <r>
    <s v="CC008-JBA-08162021"/>
    <s v="Spill"/>
    <x v="1"/>
    <s v="Dace. Sp"/>
    <s v="Clinostomus"/>
    <s v="gibbosus"/>
    <s v="U"/>
    <x v="0"/>
    <n v="8"/>
    <n v="11.81"/>
    <x v="31"/>
    <s v="757124-72-4"/>
    <x v="31"/>
    <n v="0.1235"/>
  </r>
  <r>
    <s v="CC008-JBA-08162021"/>
    <s v="Spill"/>
    <x v="1"/>
    <s v="Dace. Sp"/>
    <s v="Clinostomus"/>
    <s v="gibbosus"/>
    <s v="U"/>
    <x v="0"/>
    <n v="8"/>
    <n v="11.81"/>
    <x v="32"/>
    <s v="27619-97-2"/>
    <x v="32"/>
    <n v="0.2465"/>
  </r>
  <r>
    <s v="CC008-JBA-08162021"/>
    <s v="Spill"/>
    <x v="1"/>
    <s v="Dace. Sp"/>
    <s v="Clinostomus"/>
    <s v="gibbosus"/>
    <s v="U"/>
    <x v="0"/>
    <n v="8"/>
    <n v="11.81"/>
    <x v="33"/>
    <s v="39108-34-4"/>
    <x v="33"/>
    <n v="6.36"/>
  </r>
  <r>
    <s v="CC008-JBA-08162021"/>
    <s v="Spill"/>
    <x v="1"/>
    <s v="Dace. Sp"/>
    <s v="Clinostomus"/>
    <s v="gibbosus"/>
    <s v="U"/>
    <x v="0"/>
    <n v="8"/>
    <n v="11.81"/>
    <x v="34"/>
    <s v="120226-60-0"/>
    <x v="34"/>
    <n v="1.08"/>
  </r>
  <r>
    <s v="CC008-JBA-08162021"/>
    <s v="Spill"/>
    <x v="1"/>
    <s v="Dace. Sp"/>
    <s v="Clinostomus"/>
    <s v="gibbosus"/>
    <s v="U"/>
    <x v="0"/>
    <n v="8"/>
    <n v="11.81"/>
    <x v="35"/>
    <s v="356-02-5"/>
    <x v="35"/>
    <n v="0.2465"/>
  </r>
  <r>
    <s v="CC008-JBA-08162021"/>
    <s v="Spill"/>
    <x v="1"/>
    <s v="Dace. Sp"/>
    <s v="Clinostomus"/>
    <s v="gibbosus"/>
    <s v="U"/>
    <x v="0"/>
    <n v="8"/>
    <n v="11.81"/>
    <x v="36"/>
    <s v="914637-49-3"/>
    <x v="36"/>
    <n v="0.1235"/>
  </r>
  <r>
    <s v="CC008-JBA-08162021"/>
    <s v="Spill"/>
    <x v="1"/>
    <s v="Dace. Sp"/>
    <s v="Clinostomus"/>
    <s v="gibbosus"/>
    <s v="U"/>
    <x v="0"/>
    <n v="8"/>
    <n v="11.81"/>
    <x v="37"/>
    <s v="812-70-4"/>
    <x v="37"/>
    <n v="0.2465"/>
  </r>
  <r>
    <s v="CC008-JBA-08162021"/>
    <s v="Spill"/>
    <x v="1"/>
    <s v="Dace. Sp"/>
    <s v="Clinostomus"/>
    <s v="gibbosus"/>
    <s v="U"/>
    <x v="0"/>
    <n v="8"/>
    <n v="11.81"/>
    <x v="38"/>
    <s v="53826-12-3"/>
    <x v="38"/>
    <n v="0.2465"/>
  </r>
  <r>
    <s v="CC008-JBA-08162021"/>
    <s v="Spill"/>
    <x v="1"/>
    <s v="Dace. Sp"/>
    <s v="Clinostomus"/>
    <s v="gibbosus"/>
    <s v="U"/>
    <x v="0"/>
    <n v="8"/>
    <n v="11.81"/>
    <x v="39"/>
    <s v="27854-31-5"/>
    <x v="39"/>
    <n v="0.1235"/>
  </r>
  <r>
    <s v="CC008-JBA-08162021"/>
    <s v="Spill"/>
    <x v="1"/>
    <s v="Dace. Sp"/>
    <s v="Clinostomus"/>
    <s v="gibbosus"/>
    <s v="U"/>
    <x v="0"/>
    <n v="8"/>
    <n v="11.81"/>
    <x v="40"/>
    <s v="53826-13-4"/>
    <x v="40"/>
    <n v="0.2465"/>
  </r>
  <r>
    <s v="CC008-JBA-08162021"/>
    <s v="Spill"/>
    <x v="1"/>
    <s v="Dace. Sp"/>
    <s v="Clinostomus"/>
    <s v="gibbosus"/>
    <s v="U"/>
    <x v="0"/>
    <n v="8"/>
    <n v="11.81"/>
    <x v="41"/>
    <s v="161094-75-3"/>
    <x v="41"/>
    <n v="9.7000000000000003E-2"/>
  </r>
  <r>
    <s v="CC008-JBA-08162021"/>
    <s v="Spill"/>
    <x v="1"/>
    <s v="Dace. Sp"/>
    <s v="Clinostomus"/>
    <s v="gibbosus"/>
    <s v="U"/>
    <x v="0"/>
    <n v="8"/>
    <n v="11.81"/>
    <x v="42"/>
    <s v="70887-84-2"/>
    <x v="42"/>
    <n v="7.4499999999999997E-2"/>
  </r>
  <r>
    <s v="CC008-JBA-08162021"/>
    <s v="Spill"/>
    <x v="1"/>
    <s v="Dace. Sp"/>
    <s v="Clinostomus"/>
    <s v="gibbosus"/>
    <s v="U"/>
    <x v="0"/>
    <n v="8"/>
    <n v="11.81"/>
    <x v="43"/>
    <s v="919005-14-4"/>
    <x v="43"/>
    <n v="0.109"/>
  </r>
  <r>
    <s v="CC008-JBA-08162021"/>
    <s v="Spill"/>
    <x v="1"/>
    <s v="Dace. Sp"/>
    <s v="Clinostomus"/>
    <s v="gibbosus"/>
    <s v="U"/>
    <x v="0"/>
    <n v="8"/>
    <n v="11.81"/>
    <x v="44"/>
    <s v="756426-58-1"/>
    <x v="44"/>
    <n v="0.2465"/>
  </r>
  <r>
    <s v="CC008-JBA-08162021"/>
    <s v="Spill"/>
    <x v="1"/>
    <s v="Dace. Sp"/>
    <s v="Clinostomus"/>
    <s v="gibbosus"/>
    <s v="U"/>
    <x v="0"/>
    <n v="8"/>
    <n v="11.81"/>
    <x v="45"/>
    <s v="763051-92-9"/>
    <x v="45"/>
    <n v="0.2465"/>
  </r>
  <r>
    <s v="CC008-JBA-08162021"/>
    <s v="Spill"/>
    <x v="1"/>
    <s v="Dace. Sp"/>
    <s v="Clinostomus"/>
    <s v="gibbosus"/>
    <s v="U"/>
    <x v="0"/>
    <n v="8"/>
    <n v="11.81"/>
    <x v="46"/>
    <s v="13252-13-6"/>
    <x v="46"/>
    <n v="0.17699999999999999"/>
  </r>
  <r>
    <s v="CC008-JBA-08162021"/>
    <s v="Spill"/>
    <x v="1"/>
    <s v="Dace. Sp"/>
    <s v="Clinostomus"/>
    <s v="gibbosus"/>
    <s v="U"/>
    <x v="0"/>
    <n v="8"/>
    <n v="11.81"/>
    <x v="47"/>
    <s v="57677-95-9"/>
    <x v="47"/>
    <n v="0.2465"/>
  </r>
  <r>
    <s v="CC008-JBA-08162021"/>
    <s v="Spill"/>
    <x v="1"/>
    <s v="Dace. Sp"/>
    <s v="Clinostomus"/>
    <s v="gibbosus"/>
    <s v="U"/>
    <x v="0"/>
    <n v="8"/>
    <n v="11.81"/>
    <x v="48"/>
    <s v="678-41-1"/>
    <x v="48"/>
    <n v="0.2465"/>
  </r>
  <r>
    <s v="CC008-JBA-08162021"/>
    <s v="Spill"/>
    <x v="1"/>
    <s v="Dace. Sp"/>
    <s v="Clinostomus"/>
    <s v="gibbosus"/>
    <s v="U"/>
    <x v="0"/>
    <n v="8"/>
    <n v="11.81"/>
    <x v="49"/>
    <s v="2965-52-8"/>
    <x v="49"/>
    <n v="0.2465"/>
  </r>
  <r>
    <s v="CC009-JBA-08162021"/>
    <s v="Spill"/>
    <x v="1"/>
    <s v="Dace. Sp"/>
    <s v="Clinostomus"/>
    <s v="gibbosus"/>
    <s v="U"/>
    <x v="0"/>
    <n v="8"/>
    <n v="11.81"/>
    <x v="0"/>
    <s v="375-22-4"/>
    <x v="0"/>
    <n v="0.108"/>
  </r>
  <r>
    <s v="CC009-JBA-08162021"/>
    <s v="Spill"/>
    <x v="1"/>
    <s v="Dace. Sp"/>
    <s v="Clinostomus"/>
    <s v="gibbosus"/>
    <s v="U"/>
    <x v="0"/>
    <n v="8"/>
    <n v="11.81"/>
    <x v="1"/>
    <s v="2706-90-3"/>
    <x v="1"/>
    <n v="7.5999999999999998E-2"/>
  </r>
  <r>
    <s v="CC009-JBA-08162021"/>
    <s v="Spill"/>
    <x v="1"/>
    <s v="Dace. Sp"/>
    <s v="Clinostomus"/>
    <s v="gibbosus"/>
    <s v="U"/>
    <x v="0"/>
    <n v="8"/>
    <n v="11.81"/>
    <x v="2"/>
    <s v="307-24-4"/>
    <x v="2"/>
    <n v="0.28599999999999998"/>
  </r>
  <r>
    <s v="CC009-JBA-08162021"/>
    <s v="Spill"/>
    <x v="1"/>
    <s v="Dace. Sp"/>
    <s v="Clinostomus"/>
    <s v="gibbosus"/>
    <s v="U"/>
    <x v="0"/>
    <n v="8"/>
    <n v="11.81"/>
    <x v="3"/>
    <s v="375-85-9"/>
    <x v="3"/>
    <n v="0.108"/>
  </r>
  <r>
    <s v="CC009-JBA-08162021"/>
    <s v="Spill"/>
    <x v="1"/>
    <s v="Dace. Sp"/>
    <s v="Clinostomus"/>
    <s v="gibbosus"/>
    <s v="U"/>
    <x v="0"/>
    <n v="8"/>
    <n v="11.81"/>
    <x v="4"/>
    <s v="335-67-1"/>
    <x v="4"/>
    <n v="1.37"/>
  </r>
  <r>
    <s v="CC009-JBA-08162021"/>
    <s v="Spill"/>
    <x v="1"/>
    <s v="Dace. Sp"/>
    <s v="Clinostomus"/>
    <s v="gibbosus"/>
    <s v="U"/>
    <x v="0"/>
    <n v="8"/>
    <n v="11.81"/>
    <x v="5"/>
    <s v="375-95-1"/>
    <x v="5"/>
    <n v="0.7"/>
  </r>
  <r>
    <s v="CC009-JBA-08162021"/>
    <s v="Spill"/>
    <x v="1"/>
    <s v="Dace. Sp"/>
    <s v="Clinostomus"/>
    <s v="gibbosus"/>
    <s v="U"/>
    <x v="0"/>
    <n v="8"/>
    <n v="11.81"/>
    <x v="6"/>
    <s v="335-76-2"/>
    <x v="6"/>
    <n v="4.7300000000000004"/>
  </r>
  <r>
    <s v="CC009-JBA-08162021"/>
    <s v="Spill"/>
    <x v="1"/>
    <s v="Dace. Sp"/>
    <s v="Clinostomus"/>
    <s v="gibbosus"/>
    <s v="U"/>
    <x v="0"/>
    <n v="8"/>
    <n v="11.81"/>
    <x v="7"/>
    <s v="2058-94-8"/>
    <x v="7"/>
    <n v="8.6300000000000008"/>
  </r>
  <r>
    <s v="CC009-JBA-08162021"/>
    <s v="Spill"/>
    <x v="1"/>
    <s v="Dace. Sp"/>
    <s v="Clinostomus"/>
    <s v="gibbosus"/>
    <s v="U"/>
    <x v="0"/>
    <n v="8"/>
    <n v="11.81"/>
    <x v="8"/>
    <s v="307-55-1"/>
    <x v="8"/>
    <n v="7.29"/>
  </r>
  <r>
    <s v="CC009-JBA-08162021"/>
    <s v="Spill"/>
    <x v="1"/>
    <s v="Dace. Sp"/>
    <s v="Clinostomus"/>
    <s v="gibbosus"/>
    <s v="U"/>
    <x v="0"/>
    <n v="8"/>
    <n v="11.81"/>
    <x v="9"/>
    <s v="72629-94-8"/>
    <x v="9"/>
    <n v="1.54"/>
  </r>
  <r>
    <s v="CC009-JBA-08162021"/>
    <s v="Spill"/>
    <x v="1"/>
    <s v="Dace. Sp"/>
    <s v="Clinostomus"/>
    <s v="gibbosus"/>
    <s v="U"/>
    <x v="0"/>
    <n v="8"/>
    <n v="11.81"/>
    <x v="10"/>
    <s v="376-06-7"/>
    <x v="10"/>
    <n v="4.05"/>
  </r>
  <r>
    <s v="CC009-JBA-08162021"/>
    <s v="Spill"/>
    <x v="1"/>
    <s v="Dace. Sp"/>
    <s v="Clinostomus"/>
    <s v="gibbosus"/>
    <s v="U"/>
    <x v="0"/>
    <n v="8"/>
    <n v="11.81"/>
    <x v="11"/>
    <s v="67905-19-5"/>
    <x v="11"/>
    <n v="0.1285"/>
  </r>
  <r>
    <s v="CC009-JBA-08162021"/>
    <s v="Spill"/>
    <x v="1"/>
    <s v="Dace. Sp"/>
    <s v="Clinostomus"/>
    <s v="gibbosus"/>
    <s v="U"/>
    <x v="0"/>
    <n v="8"/>
    <n v="11.81"/>
    <x v="12"/>
    <s v="423-41-6"/>
    <x v="12"/>
    <n v="0.108"/>
  </r>
  <r>
    <s v="CC009-JBA-08162021"/>
    <s v="Spill"/>
    <x v="1"/>
    <s v="Dace. Sp"/>
    <s v="Clinostomus"/>
    <s v="gibbosus"/>
    <s v="U"/>
    <x v="0"/>
    <n v="8"/>
    <n v="11.81"/>
    <x v="13"/>
    <s v="375-73-5"/>
    <x v="13"/>
    <n v="0.216"/>
  </r>
  <r>
    <s v="CC009-JBA-08162021"/>
    <s v="Spill"/>
    <x v="1"/>
    <s v="Dace. Sp"/>
    <s v="Clinostomus"/>
    <s v="gibbosus"/>
    <s v="U"/>
    <x v="0"/>
    <n v="8"/>
    <n v="11.81"/>
    <x v="14"/>
    <s v="2706-91-4"/>
    <x v="14"/>
    <n v="0.247"/>
  </r>
  <r>
    <s v="CC009-JBA-08162021"/>
    <s v="Spill"/>
    <x v="1"/>
    <s v="Dace. Sp"/>
    <s v="Clinostomus"/>
    <s v="gibbosus"/>
    <s v="U"/>
    <x v="0"/>
    <n v="8"/>
    <n v="11.81"/>
    <x v="15"/>
    <s v="355-46-4"/>
    <x v="15"/>
    <n v="68"/>
  </r>
  <r>
    <s v="CC009-JBA-08162021"/>
    <s v="Spill"/>
    <x v="1"/>
    <s v="Dace. Sp"/>
    <s v="Clinostomus"/>
    <s v="gibbosus"/>
    <s v="U"/>
    <x v="0"/>
    <n v="8"/>
    <n v="11.81"/>
    <x v="16"/>
    <s v="375-92-8"/>
    <x v="16"/>
    <n v="6.12"/>
  </r>
  <r>
    <s v="CC009-JBA-08162021"/>
    <s v="Spill"/>
    <x v="1"/>
    <s v="Dace. Sp"/>
    <s v="Clinostomus"/>
    <s v="gibbosus"/>
    <s v="U"/>
    <x v="0"/>
    <n v="8"/>
    <n v="11.81"/>
    <x v="17"/>
    <s v="1763-23-1"/>
    <x v="17"/>
    <n v="560"/>
  </r>
  <r>
    <s v="CC009-JBA-08162021"/>
    <s v="Spill"/>
    <x v="1"/>
    <s v="Dace. Sp"/>
    <s v="Clinostomus"/>
    <s v="gibbosus"/>
    <s v="U"/>
    <x v="0"/>
    <n v="8"/>
    <n v="11.81"/>
    <x v="18"/>
    <s v="68259-12-1"/>
    <x v="18"/>
    <n v="0.627"/>
  </r>
  <r>
    <s v="CC009-JBA-08162021"/>
    <s v="Spill"/>
    <x v="1"/>
    <s v="Dace. Sp"/>
    <s v="Clinostomus"/>
    <s v="gibbosus"/>
    <s v="U"/>
    <x v="0"/>
    <n v="8"/>
    <n v="11.81"/>
    <x v="19"/>
    <s v="335-77-3"/>
    <x v="19"/>
    <n v="1.01"/>
  </r>
  <r>
    <s v="CC009-JBA-08162021"/>
    <s v="Spill"/>
    <x v="1"/>
    <s v="Dace. Sp"/>
    <s v="Clinostomus"/>
    <s v="gibbosus"/>
    <s v="U"/>
    <x v="0"/>
    <n v="8"/>
    <n v="11.81"/>
    <x v="20"/>
    <s v="79780-39-5"/>
    <x v="20"/>
    <n v="0.73699999999999999"/>
  </r>
  <r>
    <s v="CC009-JBA-08162021"/>
    <s v="Spill"/>
    <x v="1"/>
    <s v="Dace. Sp"/>
    <s v="Clinostomus"/>
    <s v="gibbosus"/>
    <s v="U"/>
    <x v="0"/>
    <n v="8"/>
    <n v="11.81"/>
    <x v="21"/>
    <s v="777011-38-8"/>
    <x v="21"/>
    <n v="0.35899999999999999"/>
  </r>
  <r>
    <s v="CC009-JBA-08162021"/>
    <s v="Spill"/>
    <x v="1"/>
    <s v="Dace. Sp"/>
    <s v="Clinostomus"/>
    <s v="gibbosus"/>
    <s v="U"/>
    <x v="0"/>
    <n v="8"/>
    <n v="11.81"/>
    <x v="22"/>
    <s v="646-83-3"/>
    <x v="22"/>
    <n v="0.246"/>
  </r>
  <r>
    <s v="CC009-JBA-08162021"/>
    <s v="Spill"/>
    <x v="1"/>
    <s v="Dace. Sp"/>
    <s v="Clinostomus"/>
    <s v="gibbosus"/>
    <s v="U"/>
    <x v="0"/>
    <n v="8"/>
    <n v="11.81"/>
    <x v="23"/>
    <s v="30334-69-1"/>
    <x v="23"/>
    <n v="28.3"/>
  </r>
  <r>
    <s v="CC009-JBA-08162021"/>
    <s v="Spill"/>
    <x v="1"/>
    <s v="Dace. Sp"/>
    <s v="Clinostomus"/>
    <s v="gibbosus"/>
    <s v="U"/>
    <x v="0"/>
    <n v="8"/>
    <n v="11.81"/>
    <x v="24"/>
    <s v="41997-13-1"/>
    <x v="24"/>
    <n v="98.8"/>
  </r>
  <r>
    <s v="CC009-JBA-08162021"/>
    <s v="Spill"/>
    <x v="1"/>
    <s v="Dace. Sp"/>
    <s v="Clinostomus"/>
    <s v="gibbosus"/>
    <s v="U"/>
    <x v="0"/>
    <n v="8"/>
    <n v="11.81"/>
    <x v="25"/>
    <s v="754-91-6"/>
    <x v="25"/>
    <n v="5.0599999999999996"/>
  </r>
  <r>
    <s v="CC009-JBA-08162021"/>
    <s v="Spill"/>
    <x v="1"/>
    <s v="Dace. Sp"/>
    <s v="Clinostomus"/>
    <s v="gibbosus"/>
    <s v="U"/>
    <x v="0"/>
    <n v="8"/>
    <n v="11.81"/>
    <x v="26"/>
    <s v="31506-32-8"/>
    <x v="26"/>
    <n v="8.3000000000000004E-2"/>
  </r>
  <r>
    <s v="CC009-JBA-08162021"/>
    <s v="Spill"/>
    <x v="1"/>
    <s v="Dace. Sp"/>
    <s v="Clinostomus"/>
    <s v="gibbosus"/>
    <s v="U"/>
    <x v="0"/>
    <n v="8"/>
    <n v="11.81"/>
    <x v="27"/>
    <s v="4151-50-2"/>
    <x v="27"/>
    <n v="0.216"/>
  </r>
  <r>
    <s v="CC009-JBA-08162021"/>
    <s v="Spill"/>
    <x v="1"/>
    <s v="Dace. Sp"/>
    <s v="Clinostomus"/>
    <s v="gibbosus"/>
    <s v="U"/>
    <x v="0"/>
    <n v="8"/>
    <n v="11.81"/>
    <x v="28"/>
    <s v="2806-24-8"/>
    <x v="28"/>
    <n v="0.216"/>
  </r>
  <r>
    <s v="CC009-JBA-08162021"/>
    <s v="Spill"/>
    <x v="1"/>
    <s v="Dace. Sp"/>
    <s v="Clinostomus"/>
    <s v="gibbosus"/>
    <s v="U"/>
    <x v="0"/>
    <n v="8"/>
    <n v="11.81"/>
    <x v="29"/>
    <s v="2355-31-9"/>
    <x v="29"/>
    <n v="0.1085"/>
  </r>
  <r>
    <s v="CC009-JBA-08162021"/>
    <s v="Spill"/>
    <x v="1"/>
    <s v="Dace. Sp"/>
    <s v="Clinostomus"/>
    <s v="gibbosus"/>
    <s v="U"/>
    <x v="0"/>
    <n v="8"/>
    <n v="11.81"/>
    <x v="30"/>
    <s v="2991-50-6"/>
    <x v="30"/>
    <n v="0.108"/>
  </r>
  <r>
    <s v="CC009-JBA-08162021"/>
    <s v="Spill"/>
    <x v="1"/>
    <s v="Dace. Sp"/>
    <s v="Clinostomus"/>
    <s v="gibbosus"/>
    <s v="U"/>
    <x v="0"/>
    <n v="8"/>
    <n v="11.81"/>
    <x v="31"/>
    <s v="757124-72-4"/>
    <x v="31"/>
    <n v="0.108"/>
  </r>
  <r>
    <s v="CC009-JBA-08162021"/>
    <s v="Spill"/>
    <x v="1"/>
    <s v="Dace. Sp"/>
    <s v="Clinostomus"/>
    <s v="gibbosus"/>
    <s v="U"/>
    <x v="0"/>
    <n v="8"/>
    <n v="11.81"/>
    <x v="32"/>
    <s v="27619-97-2"/>
    <x v="32"/>
    <n v="0.216"/>
  </r>
  <r>
    <s v="CC009-JBA-08162021"/>
    <s v="Spill"/>
    <x v="1"/>
    <s v="Dace. Sp"/>
    <s v="Clinostomus"/>
    <s v="gibbosus"/>
    <s v="U"/>
    <x v="0"/>
    <n v="8"/>
    <n v="11.81"/>
    <x v="33"/>
    <s v="39108-34-4"/>
    <x v="33"/>
    <n v="8.64"/>
  </r>
  <r>
    <s v="CC009-JBA-08162021"/>
    <s v="Spill"/>
    <x v="1"/>
    <s v="Dace. Sp"/>
    <s v="Clinostomus"/>
    <s v="gibbosus"/>
    <s v="U"/>
    <x v="0"/>
    <n v="8"/>
    <n v="11.81"/>
    <x v="34"/>
    <s v="120226-60-0"/>
    <x v="34"/>
    <n v="0.432"/>
  </r>
  <r>
    <s v="CC009-JBA-08162021"/>
    <s v="Spill"/>
    <x v="1"/>
    <s v="Dace. Sp"/>
    <s v="Clinostomus"/>
    <s v="gibbosus"/>
    <s v="U"/>
    <x v="0"/>
    <n v="8"/>
    <n v="11.81"/>
    <x v="35"/>
    <s v="356-02-5"/>
    <x v="35"/>
    <n v="0.216"/>
  </r>
  <r>
    <s v="CC009-JBA-08162021"/>
    <s v="Spill"/>
    <x v="1"/>
    <s v="Dace. Sp"/>
    <s v="Clinostomus"/>
    <s v="gibbosus"/>
    <s v="U"/>
    <x v="0"/>
    <n v="8"/>
    <n v="11.81"/>
    <x v="36"/>
    <s v="914637-49-3"/>
    <x v="36"/>
    <n v="0.108"/>
  </r>
  <r>
    <s v="CC009-JBA-08162021"/>
    <s v="Spill"/>
    <x v="1"/>
    <s v="Dace. Sp"/>
    <s v="Clinostomus"/>
    <s v="gibbosus"/>
    <s v="U"/>
    <x v="0"/>
    <n v="8"/>
    <n v="11.81"/>
    <x v="37"/>
    <s v="812-70-4"/>
    <x v="37"/>
    <n v="0.216"/>
  </r>
  <r>
    <s v="CC009-JBA-08162021"/>
    <s v="Spill"/>
    <x v="1"/>
    <s v="Dace. Sp"/>
    <s v="Clinostomus"/>
    <s v="gibbosus"/>
    <s v="U"/>
    <x v="0"/>
    <n v="8"/>
    <n v="11.81"/>
    <x v="38"/>
    <s v="53826-12-3"/>
    <x v="38"/>
    <n v="0.216"/>
  </r>
  <r>
    <s v="CC009-JBA-08162021"/>
    <s v="Spill"/>
    <x v="1"/>
    <s v="Dace. Sp"/>
    <s v="Clinostomus"/>
    <s v="gibbosus"/>
    <s v="U"/>
    <x v="0"/>
    <n v="8"/>
    <n v="11.81"/>
    <x v="39"/>
    <s v="27854-31-5"/>
    <x v="39"/>
    <n v="0.108"/>
  </r>
  <r>
    <s v="CC009-JBA-08162021"/>
    <s v="Spill"/>
    <x v="1"/>
    <s v="Dace. Sp"/>
    <s v="Clinostomus"/>
    <s v="gibbosus"/>
    <s v="U"/>
    <x v="0"/>
    <n v="8"/>
    <n v="11.81"/>
    <x v="40"/>
    <s v="53826-13-4"/>
    <x v="40"/>
    <n v="0.216"/>
  </r>
  <r>
    <s v="CC009-JBA-08162021"/>
    <s v="Spill"/>
    <x v="1"/>
    <s v="Dace. Sp"/>
    <s v="Clinostomus"/>
    <s v="gibbosus"/>
    <s v="U"/>
    <x v="0"/>
    <n v="8"/>
    <n v="11.81"/>
    <x v="41"/>
    <s v="161094-75-3"/>
    <x v="41"/>
    <n v="8.5000000000000006E-2"/>
  </r>
  <r>
    <s v="CC009-JBA-08162021"/>
    <s v="Spill"/>
    <x v="1"/>
    <s v="Dace. Sp"/>
    <s v="Clinostomus"/>
    <s v="gibbosus"/>
    <s v="U"/>
    <x v="0"/>
    <n v="8"/>
    <n v="11.81"/>
    <x v="42"/>
    <s v="70887-84-2"/>
    <x v="42"/>
    <n v="6.5000000000000002E-2"/>
  </r>
  <r>
    <s v="CC009-JBA-08162021"/>
    <s v="Spill"/>
    <x v="1"/>
    <s v="Dace. Sp"/>
    <s v="Clinostomus"/>
    <s v="gibbosus"/>
    <s v="U"/>
    <x v="0"/>
    <n v="8"/>
    <n v="11.81"/>
    <x v="43"/>
    <s v="919005-14-4"/>
    <x v="43"/>
    <n v="9.5000000000000001E-2"/>
  </r>
  <r>
    <s v="CC009-JBA-08162021"/>
    <s v="Spill"/>
    <x v="1"/>
    <s v="Dace. Sp"/>
    <s v="Clinostomus"/>
    <s v="gibbosus"/>
    <s v="U"/>
    <x v="0"/>
    <n v="8"/>
    <n v="11.81"/>
    <x v="44"/>
    <s v="756426-58-1"/>
    <x v="44"/>
    <n v="0.216"/>
  </r>
  <r>
    <s v="CC009-JBA-08162021"/>
    <s v="Spill"/>
    <x v="1"/>
    <s v="Dace. Sp"/>
    <s v="Clinostomus"/>
    <s v="gibbosus"/>
    <s v="U"/>
    <x v="0"/>
    <n v="8"/>
    <n v="11.81"/>
    <x v="45"/>
    <s v="763051-92-9"/>
    <x v="45"/>
    <n v="0.216"/>
  </r>
  <r>
    <s v="CC009-JBA-08162021"/>
    <s v="Spill"/>
    <x v="1"/>
    <s v="Dace. Sp"/>
    <s v="Clinostomus"/>
    <s v="gibbosus"/>
    <s v="U"/>
    <x v="0"/>
    <n v="8"/>
    <n v="11.81"/>
    <x v="46"/>
    <s v="13252-13-6"/>
    <x v="46"/>
    <n v="0.155"/>
  </r>
  <r>
    <s v="CC009-JBA-08162021"/>
    <s v="Spill"/>
    <x v="1"/>
    <s v="Dace. Sp"/>
    <s v="Clinostomus"/>
    <s v="gibbosus"/>
    <s v="U"/>
    <x v="0"/>
    <n v="8"/>
    <n v="11.81"/>
    <x v="47"/>
    <s v="57677-95-9"/>
    <x v="47"/>
    <n v="0.216"/>
  </r>
  <r>
    <s v="CC009-JBA-08162021"/>
    <s v="Spill"/>
    <x v="1"/>
    <s v="Dace. Sp"/>
    <s v="Clinostomus"/>
    <s v="gibbosus"/>
    <s v="U"/>
    <x v="0"/>
    <n v="8"/>
    <n v="11.81"/>
    <x v="48"/>
    <s v="678-41-1"/>
    <x v="48"/>
    <n v="0.216"/>
  </r>
  <r>
    <s v="CC009-JBA-08162021"/>
    <s v="Spill"/>
    <x v="1"/>
    <s v="Dace. Sp"/>
    <s v="Clinostomus"/>
    <s v="gibbosus"/>
    <s v="U"/>
    <x v="0"/>
    <n v="8"/>
    <n v="11.81"/>
    <x v="49"/>
    <s v="2965-52-8"/>
    <x v="49"/>
    <n v="0.216"/>
  </r>
  <r>
    <s v="ESM001-JBA-08162021"/>
    <s v="Spill"/>
    <x v="1"/>
    <s v="Fallfish"/>
    <s v="Semotilus"/>
    <s v="gibbosus"/>
    <s v="U"/>
    <x v="0"/>
    <n v="8"/>
    <n v="11.81"/>
    <x v="0"/>
    <s v="375-22-4"/>
    <x v="0"/>
    <n v="0.21299999999999999"/>
  </r>
  <r>
    <s v="ESM001-JBA-08162021"/>
    <s v="Spill"/>
    <x v="1"/>
    <s v="Fallfish"/>
    <s v="Semotilus"/>
    <s v="gibbosus"/>
    <s v="U"/>
    <x v="0"/>
    <n v="8"/>
    <n v="11.81"/>
    <x v="1"/>
    <s v="2706-90-3"/>
    <x v="1"/>
    <n v="7.4999999999999997E-2"/>
  </r>
  <r>
    <s v="ESM001-JBA-08162021"/>
    <s v="Spill"/>
    <x v="1"/>
    <s v="Fallfish"/>
    <s v="Semotilus"/>
    <s v="gibbosus"/>
    <s v="U"/>
    <x v="0"/>
    <n v="8"/>
    <n v="11.81"/>
    <x v="2"/>
    <s v="307-24-4"/>
    <x v="2"/>
    <n v="0.3"/>
  </r>
  <r>
    <s v="ESM001-JBA-08162021"/>
    <s v="Spill"/>
    <x v="1"/>
    <s v="Fallfish"/>
    <s v="Semotilus"/>
    <s v="gibbosus"/>
    <s v="U"/>
    <x v="0"/>
    <n v="8"/>
    <n v="11.81"/>
    <x v="3"/>
    <s v="375-85-9"/>
    <x v="3"/>
    <n v="0.21299999999999999"/>
  </r>
  <r>
    <s v="ESM001-JBA-08162021"/>
    <s v="Spill"/>
    <x v="1"/>
    <s v="Fallfish"/>
    <s v="Semotilus"/>
    <s v="gibbosus"/>
    <s v="U"/>
    <x v="0"/>
    <n v="8"/>
    <n v="11.81"/>
    <x v="4"/>
    <s v="335-67-1"/>
    <x v="4"/>
    <n v="1.69"/>
  </r>
  <r>
    <s v="ESM001-JBA-08162021"/>
    <s v="Spill"/>
    <x v="1"/>
    <s v="Fallfish"/>
    <s v="Semotilus"/>
    <s v="gibbosus"/>
    <s v="U"/>
    <x v="0"/>
    <n v="8"/>
    <n v="11.81"/>
    <x v="5"/>
    <s v="375-95-1"/>
    <x v="5"/>
    <n v="0.1065"/>
  </r>
  <r>
    <s v="ESM001-JBA-08162021"/>
    <s v="Spill"/>
    <x v="1"/>
    <s v="Fallfish"/>
    <s v="Semotilus"/>
    <s v="gibbosus"/>
    <s v="U"/>
    <x v="0"/>
    <n v="8"/>
    <n v="11.81"/>
    <x v="6"/>
    <s v="335-76-2"/>
    <x v="6"/>
    <n v="8.9600000000000009"/>
  </r>
  <r>
    <s v="ESM001-JBA-08162021"/>
    <s v="Spill"/>
    <x v="1"/>
    <s v="Fallfish"/>
    <s v="Semotilus"/>
    <s v="gibbosus"/>
    <s v="U"/>
    <x v="0"/>
    <n v="8"/>
    <n v="11.81"/>
    <x v="7"/>
    <s v="2058-94-8"/>
    <x v="7"/>
    <n v="12.1"/>
  </r>
  <r>
    <s v="ESM001-JBA-08162021"/>
    <s v="Spill"/>
    <x v="1"/>
    <s v="Fallfish"/>
    <s v="Semotilus"/>
    <s v="gibbosus"/>
    <s v="U"/>
    <x v="0"/>
    <n v="8"/>
    <n v="11.81"/>
    <x v="8"/>
    <s v="307-55-1"/>
    <x v="8"/>
    <n v="16.7"/>
  </r>
  <r>
    <s v="ESM001-JBA-08162021"/>
    <s v="Spill"/>
    <x v="1"/>
    <s v="Fallfish"/>
    <s v="Semotilus"/>
    <s v="gibbosus"/>
    <s v="U"/>
    <x v="0"/>
    <n v="8"/>
    <n v="11.81"/>
    <x v="9"/>
    <s v="72629-94-8"/>
    <x v="9"/>
    <n v="15.7"/>
  </r>
  <r>
    <s v="ESM001-JBA-08162021"/>
    <s v="Spill"/>
    <x v="1"/>
    <s v="Fallfish"/>
    <s v="Semotilus"/>
    <s v="gibbosus"/>
    <s v="U"/>
    <x v="0"/>
    <n v="8"/>
    <n v="11.81"/>
    <x v="10"/>
    <s v="376-06-7"/>
    <x v="10"/>
    <n v="9.16"/>
  </r>
  <r>
    <s v="ESM001-JBA-08162021"/>
    <s v="Spill"/>
    <x v="1"/>
    <s v="Fallfish"/>
    <s v="Semotilus"/>
    <s v="gibbosus"/>
    <s v="U"/>
    <x v="0"/>
    <n v="8"/>
    <n v="11.81"/>
    <x v="11"/>
    <s v="67905-19-5"/>
    <x v="11"/>
    <n v="0.127"/>
  </r>
  <r>
    <s v="ESM001-JBA-08162021"/>
    <s v="Spill"/>
    <x v="1"/>
    <s v="Fallfish"/>
    <s v="Semotilus"/>
    <s v="gibbosus"/>
    <s v="U"/>
    <x v="0"/>
    <n v="8"/>
    <n v="11.81"/>
    <x v="12"/>
    <s v="423-41-6"/>
    <x v="12"/>
    <n v="0.1065"/>
  </r>
  <r>
    <s v="ESM001-JBA-08162021"/>
    <s v="Spill"/>
    <x v="1"/>
    <s v="Fallfish"/>
    <s v="Semotilus"/>
    <s v="gibbosus"/>
    <s v="U"/>
    <x v="0"/>
    <n v="8"/>
    <n v="11.81"/>
    <x v="13"/>
    <s v="375-73-5"/>
    <x v="13"/>
    <n v="0.1065"/>
  </r>
  <r>
    <s v="ESM001-JBA-08162021"/>
    <s v="Spill"/>
    <x v="1"/>
    <s v="Fallfish"/>
    <s v="Semotilus"/>
    <s v="gibbosus"/>
    <s v="U"/>
    <x v="0"/>
    <n v="8"/>
    <n v="11.81"/>
    <x v="14"/>
    <s v="2706-91-4"/>
    <x v="14"/>
    <n v="1.04"/>
  </r>
  <r>
    <s v="ESM001-JBA-08162021"/>
    <s v="Spill"/>
    <x v="1"/>
    <s v="Fallfish"/>
    <s v="Semotilus"/>
    <s v="gibbosus"/>
    <s v="U"/>
    <x v="0"/>
    <n v="8"/>
    <n v="11.81"/>
    <x v="15"/>
    <s v="355-46-4"/>
    <x v="15"/>
    <n v="29.3"/>
  </r>
  <r>
    <s v="ESM001-JBA-08162021"/>
    <s v="Spill"/>
    <x v="1"/>
    <s v="Fallfish"/>
    <s v="Semotilus"/>
    <s v="gibbosus"/>
    <s v="U"/>
    <x v="0"/>
    <n v="8"/>
    <n v="11.81"/>
    <x v="16"/>
    <s v="375-92-8"/>
    <x v="16"/>
    <n v="9.82"/>
  </r>
  <r>
    <s v="ESM001-JBA-08162021"/>
    <s v="Spill"/>
    <x v="1"/>
    <s v="Fallfish"/>
    <s v="Semotilus"/>
    <s v="gibbosus"/>
    <s v="U"/>
    <x v="0"/>
    <n v="8"/>
    <n v="11.81"/>
    <x v="17"/>
    <s v="1763-23-1"/>
    <x v="17"/>
    <n v="738"/>
  </r>
  <r>
    <s v="ESM001-JBA-08162021"/>
    <s v="Spill"/>
    <x v="1"/>
    <s v="Fallfish"/>
    <s v="Semotilus"/>
    <s v="gibbosus"/>
    <s v="U"/>
    <x v="0"/>
    <n v="8"/>
    <n v="11.81"/>
    <x v="18"/>
    <s v="68259-12-1"/>
    <x v="18"/>
    <n v="1.1599999999999999"/>
  </r>
  <r>
    <s v="ESM001-JBA-08162021"/>
    <s v="Spill"/>
    <x v="1"/>
    <s v="Fallfish"/>
    <s v="Semotilus"/>
    <s v="gibbosus"/>
    <s v="U"/>
    <x v="0"/>
    <n v="8"/>
    <n v="11.81"/>
    <x v="19"/>
    <s v="335-77-3"/>
    <x v="19"/>
    <n v="2.46"/>
  </r>
  <r>
    <s v="ESM001-JBA-08162021"/>
    <s v="Spill"/>
    <x v="1"/>
    <s v="Fallfish"/>
    <s v="Semotilus"/>
    <s v="gibbosus"/>
    <s v="U"/>
    <x v="0"/>
    <n v="8"/>
    <n v="11.81"/>
    <x v="20"/>
    <s v="79780-39-5"/>
    <x v="20"/>
    <n v="0.49"/>
  </r>
  <r>
    <s v="ESM001-JBA-08162021"/>
    <s v="Spill"/>
    <x v="1"/>
    <s v="Fallfish"/>
    <s v="Semotilus"/>
    <s v="gibbosus"/>
    <s v="U"/>
    <x v="0"/>
    <n v="8"/>
    <n v="11.81"/>
    <x v="21"/>
    <s v="777011-38-8"/>
    <x v="21"/>
    <n v="6.4500000000000002E-2"/>
  </r>
  <r>
    <s v="ESM001-JBA-08162021"/>
    <s v="Spill"/>
    <x v="1"/>
    <s v="Fallfish"/>
    <s v="Semotilus"/>
    <s v="gibbosus"/>
    <s v="U"/>
    <x v="0"/>
    <n v="8"/>
    <n v="11.81"/>
    <x v="22"/>
    <s v="646-83-3"/>
    <x v="22"/>
    <n v="0.41499999999999998"/>
  </r>
  <r>
    <s v="ESM001-JBA-08162021"/>
    <s v="Spill"/>
    <x v="1"/>
    <s v="Fallfish"/>
    <s v="Semotilus"/>
    <s v="gibbosus"/>
    <s v="U"/>
    <x v="0"/>
    <n v="8"/>
    <n v="11.81"/>
    <x v="23"/>
    <s v="30334-69-1"/>
    <x v="23"/>
    <n v="75.8"/>
  </r>
  <r>
    <s v="ESM001-JBA-08162021"/>
    <s v="Spill"/>
    <x v="1"/>
    <s v="Fallfish"/>
    <s v="Semotilus"/>
    <s v="gibbosus"/>
    <s v="U"/>
    <x v="0"/>
    <n v="8"/>
    <n v="11.81"/>
    <x v="24"/>
    <s v="41997-13-1"/>
    <x v="24"/>
    <n v="211"/>
  </r>
  <r>
    <s v="ESM001-JBA-08162021"/>
    <s v="Spill"/>
    <x v="1"/>
    <s v="Fallfish"/>
    <s v="Semotilus"/>
    <s v="gibbosus"/>
    <s v="U"/>
    <x v="0"/>
    <n v="8"/>
    <n v="11.81"/>
    <x v="25"/>
    <s v="754-91-6"/>
    <x v="25"/>
    <n v="18.5"/>
  </r>
  <r>
    <s v="ESM001-JBA-08162021"/>
    <s v="Spill"/>
    <x v="1"/>
    <s v="Fallfish"/>
    <s v="Semotilus"/>
    <s v="gibbosus"/>
    <s v="U"/>
    <x v="0"/>
    <n v="8"/>
    <n v="11.81"/>
    <x v="26"/>
    <s v="31506-32-8"/>
    <x v="26"/>
    <n v="8.2000000000000003E-2"/>
  </r>
  <r>
    <s v="ESM001-JBA-08162021"/>
    <s v="Spill"/>
    <x v="1"/>
    <s v="Fallfish"/>
    <s v="Semotilus"/>
    <s v="gibbosus"/>
    <s v="U"/>
    <x v="0"/>
    <n v="8"/>
    <n v="11.81"/>
    <x v="27"/>
    <s v="4151-50-2"/>
    <x v="27"/>
    <n v="0.21299999999999999"/>
  </r>
  <r>
    <s v="ESM001-JBA-08162021"/>
    <s v="Spill"/>
    <x v="1"/>
    <s v="Fallfish"/>
    <s v="Semotilus"/>
    <s v="gibbosus"/>
    <s v="U"/>
    <x v="0"/>
    <n v="8"/>
    <n v="11.81"/>
    <x v="28"/>
    <s v="2806-24-8"/>
    <x v="28"/>
    <n v="0.21299999999999999"/>
  </r>
  <r>
    <s v="ESM001-JBA-08162021"/>
    <s v="Spill"/>
    <x v="1"/>
    <s v="Fallfish"/>
    <s v="Semotilus"/>
    <s v="gibbosus"/>
    <s v="U"/>
    <x v="0"/>
    <n v="8"/>
    <n v="11.81"/>
    <x v="29"/>
    <s v="2355-31-9"/>
    <x v="29"/>
    <n v="0.107"/>
  </r>
  <r>
    <s v="ESM001-JBA-08162021"/>
    <s v="Spill"/>
    <x v="1"/>
    <s v="Fallfish"/>
    <s v="Semotilus"/>
    <s v="gibbosus"/>
    <s v="U"/>
    <x v="0"/>
    <n v="8"/>
    <n v="11.81"/>
    <x v="30"/>
    <s v="2991-50-6"/>
    <x v="30"/>
    <n v="0.1065"/>
  </r>
  <r>
    <s v="ESM001-JBA-08162021"/>
    <s v="Spill"/>
    <x v="1"/>
    <s v="Fallfish"/>
    <s v="Semotilus"/>
    <s v="gibbosus"/>
    <s v="U"/>
    <x v="0"/>
    <n v="8"/>
    <n v="11.81"/>
    <x v="31"/>
    <s v="757124-72-4"/>
    <x v="31"/>
    <n v="0.1065"/>
  </r>
  <r>
    <s v="ESM001-JBA-08162021"/>
    <s v="Spill"/>
    <x v="1"/>
    <s v="Fallfish"/>
    <s v="Semotilus"/>
    <s v="gibbosus"/>
    <s v="U"/>
    <x v="0"/>
    <n v="8"/>
    <n v="11.81"/>
    <x v="32"/>
    <s v="27619-97-2"/>
    <x v="32"/>
    <n v="0.66800000000000004"/>
  </r>
  <r>
    <s v="ESM001-JBA-08162021"/>
    <s v="Spill"/>
    <x v="1"/>
    <s v="Fallfish"/>
    <s v="Semotilus"/>
    <s v="gibbosus"/>
    <s v="U"/>
    <x v="0"/>
    <n v="8"/>
    <n v="11.81"/>
    <x v="33"/>
    <s v="39108-34-4"/>
    <x v="33"/>
    <n v="21.9"/>
  </r>
  <r>
    <s v="ESM001-JBA-08162021"/>
    <s v="Spill"/>
    <x v="1"/>
    <s v="Fallfish"/>
    <s v="Semotilus"/>
    <s v="gibbosus"/>
    <s v="U"/>
    <x v="0"/>
    <n v="8"/>
    <n v="11.81"/>
    <x v="34"/>
    <s v="120226-60-0"/>
    <x v="34"/>
    <n v="1.36"/>
  </r>
  <r>
    <s v="ESM001-JBA-08162021"/>
    <s v="Spill"/>
    <x v="1"/>
    <s v="Fallfish"/>
    <s v="Semotilus"/>
    <s v="gibbosus"/>
    <s v="U"/>
    <x v="0"/>
    <n v="8"/>
    <n v="11.81"/>
    <x v="35"/>
    <s v="356-02-5"/>
    <x v="35"/>
    <n v="0.21299999999999999"/>
  </r>
  <r>
    <s v="ESM001-JBA-08162021"/>
    <s v="Spill"/>
    <x v="1"/>
    <s v="Fallfish"/>
    <s v="Semotilus"/>
    <s v="gibbosus"/>
    <s v="U"/>
    <x v="0"/>
    <n v="8"/>
    <n v="11.81"/>
    <x v="36"/>
    <s v="914637-49-3"/>
    <x v="36"/>
    <n v="0.1065"/>
  </r>
  <r>
    <s v="ESM001-JBA-08162021"/>
    <s v="Spill"/>
    <x v="1"/>
    <s v="Fallfish"/>
    <s v="Semotilus"/>
    <s v="gibbosus"/>
    <s v="U"/>
    <x v="0"/>
    <n v="8"/>
    <n v="11.81"/>
    <x v="37"/>
    <s v="812-70-4"/>
    <x v="37"/>
    <n v="0.21299999999999999"/>
  </r>
  <r>
    <s v="ESM001-JBA-08162021"/>
    <s v="Spill"/>
    <x v="1"/>
    <s v="Fallfish"/>
    <s v="Semotilus"/>
    <s v="gibbosus"/>
    <s v="U"/>
    <x v="0"/>
    <n v="8"/>
    <n v="11.81"/>
    <x v="38"/>
    <s v="53826-12-3"/>
    <x v="38"/>
    <n v="0.21299999999999999"/>
  </r>
  <r>
    <s v="ESM001-JBA-08162021"/>
    <s v="Spill"/>
    <x v="1"/>
    <s v="Fallfish"/>
    <s v="Semotilus"/>
    <s v="gibbosus"/>
    <s v="U"/>
    <x v="0"/>
    <n v="8"/>
    <n v="11.81"/>
    <x v="39"/>
    <s v="27854-31-5"/>
    <x v="39"/>
    <n v="0.1065"/>
  </r>
  <r>
    <s v="ESM001-JBA-08162021"/>
    <s v="Spill"/>
    <x v="1"/>
    <s v="Fallfish"/>
    <s v="Semotilus"/>
    <s v="gibbosus"/>
    <s v="U"/>
    <x v="0"/>
    <n v="8"/>
    <n v="11.81"/>
    <x v="40"/>
    <s v="53826-13-4"/>
    <x v="40"/>
    <n v="0.21299999999999999"/>
  </r>
  <r>
    <s v="ESM001-JBA-08162021"/>
    <s v="Spill"/>
    <x v="1"/>
    <s v="Fallfish"/>
    <s v="Semotilus"/>
    <s v="gibbosus"/>
    <s v="U"/>
    <x v="0"/>
    <n v="8"/>
    <n v="11.81"/>
    <x v="41"/>
    <s v="161094-75-3"/>
    <x v="41"/>
    <n v="8.3500000000000005E-2"/>
  </r>
  <r>
    <s v="ESM001-JBA-08162021"/>
    <s v="Spill"/>
    <x v="1"/>
    <s v="Fallfish"/>
    <s v="Semotilus"/>
    <s v="gibbosus"/>
    <s v="U"/>
    <x v="0"/>
    <n v="8"/>
    <n v="11.81"/>
    <x v="42"/>
    <s v="70887-84-2"/>
    <x v="42"/>
    <n v="6.4500000000000002E-2"/>
  </r>
  <r>
    <s v="ESM001-JBA-08162021"/>
    <s v="Spill"/>
    <x v="1"/>
    <s v="Fallfish"/>
    <s v="Semotilus"/>
    <s v="gibbosus"/>
    <s v="U"/>
    <x v="0"/>
    <n v="8"/>
    <n v="11.81"/>
    <x v="43"/>
    <s v="919005-14-4"/>
    <x v="43"/>
    <n v="9.4E-2"/>
  </r>
  <r>
    <s v="ESM001-JBA-08162021"/>
    <s v="Spill"/>
    <x v="1"/>
    <s v="Fallfish"/>
    <s v="Semotilus"/>
    <s v="gibbosus"/>
    <s v="U"/>
    <x v="0"/>
    <n v="8"/>
    <n v="11.81"/>
    <x v="44"/>
    <s v="756426-58-1"/>
    <x v="44"/>
    <n v="0.21299999999999999"/>
  </r>
  <r>
    <s v="ESM001-JBA-08162021"/>
    <s v="Spill"/>
    <x v="1"/>
    <s v="Fallfish"/>
    <s v="Semotilus"/>
    <s v="gibbosus"/>
    <s v="U"/>
    <x v="0"/>
    <n v="8"/>
    <n v="11.81"/>
    <x v="45"/>
    <s v="763051-92-9"/>
    <x v="45"/>
    <n v="0.21299999999999999"/>
  </r>
  <r>
    <s v="ESM001-JBA-08162021"/>
    <s v="Spill"/>
    <x v="1"/>
    <s v="Fallfish"/>
    <s v="Semotilus"/>
    <s v="gibbosus"/>
    <s v="U"/>
    <x v="0"/>
    <n v="8"/>
    <n v="11.81"/>
    <x v="46"/>
    <s v="13252-13-6"/>
    <x v="46"/>
    <n v="0.1525"/>
  </r>
  <r>
    <s v="ESM001-JBA-08162021"/>
    <s v="Spill"/>
    <x v="1"/>
    <s v="Fallfish"/>
    <s v="Semotilus"/>
    <s v="gibbosus"/>
    <s v="U"/>
    <x v="0"/>
    <n v="8"/>
    <n v="11.81"/>
    <x v="47"/>
    <s v="57677-95-9"/>
    <x v="47"/>
    <n v="0.21299999999999999"/>
  </r>
  <r>
    <s v="ESM001-JBA-08162021"/>
    <s v="Spill"/>
    <x v="1"/>
    <s v="Fallfish"/>
    <s v="Semotilus"/>
    <s v="gibbosus"/>
    <s v="U"/>
    <x v="0"/>
    <n v="8"/>
    <n v="11.81"/>
    <x v="48"/>
    <s v="678-41-1"/>
    <x v="48"/>
    <n v="0.21299999999999999"/>
  </r>
  <r>
    <s v="ESM001-JBA-08162021"/>
    <s v="Spill"/>
    <x v="1"/>
    <s v="Fallfish"/>
    <s v="Semotilus"/>
    <s v="gibbosus"/>
    <s v="U"/>
    <x v="0"/>
    <n v="8"/>
    <n v="11.81"/>
    <x v="49"/>
    <s v="2965-52-8"/>
    <x v="49"/>
    <n v="0.21299999999999999"/>
  </r>
  <r>
    <s v="ESM002-JBA-08162021"/>
    <s v="Spill"/>
    <x v="1"/>
    <s v="Fallfish"/>
    <s v="Semotilus"/>
    <s v="gibbosus"/>
    <s v="U"/>
    <x v="0"/>
    <n v="8"/>
    <n v="11.81"/>
    <x v="0"/>
    <s v="375-22-4"/>
    <x v="0"/>
    <n v="0.22"/>
  </r>
  <r>
    <s v="ESM002-JBA-08162021"/>
    <s v="Spill"/>
    <x v="1"/>
    <s v="Fallfish"/>
    <s v="Semotilus"/>
    <s v="gibbosus"/>
    <s v="U"/>
    <x v="0"/>
    <n v="8"/>
    <n v="11.81"/>
    <x v="1"/>
    <s v="2706-90-3"/>
    <x v="1"/>
    <n v="7.7499999999999999E-2"/>
  </r>
  <r>
    <s v="ESM002-JBA-08162021"/>
    <s v="Spill"/>
    <x v="1"/>
    <s v="Fallfish"/>
    <s v="Semotilus"/>
    <s v="gibbosus"/>
    <s v="U"/>
    <x v="0"/>
    <n v="8"/>
    <n v="11.81"/>
    <x v="2"/>
    <s v="307-24-4"/>
    <x v="2"/>
    <n v="0.11899999999999999"/>
  </r>
  <r>
    <s v="ESM002-JBA-08162021"/>
    <s v="Spill"/>
    <x v="1"/>
    <s v="Fallfish"/>
    <s v="Semotilus"/>
    <s v="gibbosus"/>
    <s v="U"/>
    <x v="0"/>
    <n v="8"/>
    <n v="11.81"/>
    <x v="3"/>
    <s v="375-85-9"/>
    <x v="3"/>
    <n v="0.11"/>
  </r>
  <r>
    <s v="ESM002-JBA-08162021"/>
    <s v="Spill"/>
    <x v="1"/>
    <s v="Fallfish"/>
    <s v="Semotilus"/>
    <s v="gibbosus"/>
    <s v="U"/>
    <x v="0"/>
    <n v="8"/>
    <n v="11.81"/>
    <x v="4"/>
    <s v="335-67-1"/>
    <x v="4"/>
    <n v="1.81"/>
  </r>
  <r>
    <s v="ESM002-JBA-08162021"/>
    <s v="Spill"/>
    <x v="1"/>
    <s v="Fallfish"/>
    <s v="Semotilus"/>
    <s v="gibbosus"/>
    <s v="U"/>
    <x v="0"/>
    <n v="8"/>
    <n v="11.81"/>
    <x v="5"/>
    <s v="375-95-1"/>
    <x v="5"/>
    <n v="0.11"/>
  </r>
  <r>
    <s v="ESM002-JBA-08162021"/>
    <s v="Spill"/>
    <x v="1"/>
    <s v="Fallfish"/>
    <s v="Semotilus"/>
    <s v="gibbosus"/>
    <s v="U"/>
    <x v="0"/>
    <n v="8"/>
    <n v="11.81"/>
    <x v="6"/>
    <s v="335-76-2"/>
    <x v="6"/>
    <n v="13"/>
  </r>
  <r>
    <s v="ESM002-JBA-08162021"/>
    <s v="Spill"/>
    <x v="1"/>
    <s v="Fallfish"/>
    <s v="Semotilus"/>
    <s v="gibbosus"/>
    <s v="U"/>
    <x v="0"/>
    <n v="8"/>
    <n v="11.81"/>
    <x v="7"/>
    <s v="2058-94-8"/>
    <x v="7"/>
    <n v="15.8"/>
  </r>
  <r>
    <s v="ESM002-JBA-08162021"/>
    <s v="Spill"/>
    <x v="1"/>
    <s v="Fallfish"/>
    <s v="Semotilus"/>
    <s v="gibbosus"/>
    <s v="U"/>
    <x v="0"/>
    <n v="8"/>
    <n v="11.81"/>
    <x v="8"/>
    <s v="307-55-1"/>
    <x v="8"/>
    <n v="16.100000000000001"/>
  </r>
  <r>
    <s v="ESM002-JBA-08162021"/>
    <s v="Spill"/>
    <x v="1"/>
    <s v="Fallfish"/>
    <s v="Semotilus"/>
    <s v="gibbosus"/>
    <s v="U"/>
    <x v="0"/>
    <n v="8"/>
    <n v="11.81"/>
    <x v="9"/>
    <s v="72629-94-8"/>
    <x v="9"/>
    <n v="4.07"/>
  </r>
  <r>
    <s v="ESM002-JBA-08162021"/>
    <s v="Spill"/>
    <x v="1"/>
    <s v="Fallfish"/>
    <s v="Semotilus"/>
    <s v="gibbosus"/>
    <s v="U"/>
    <x v="0"/>
    <n v="8"/>
    <n v="11.81"/>
    <x v="10"/>
    <s v="376-06-7"/>
    <x v="10"/>
    <n v="7.32"/>
  </r>
  <r>
    <s v="ESM002-JBA-08162021"/>
    <s v="Spill"/>
    <x v="1"/>
    <s v="Fallfish"/>
    <s v="Semotilus"/>
    <s v="gibbosus"/>
    <s v="U"/>
    <x v="0"/>
    <n v="8"/>
    <n v="11.81"/>
    <x v="11"/>
    <s v="67905-19-5"/>
    <x v="11"/>
    <n v="0.13100000000000001"/>
  </r>
  <r>
    <s v="ESM002-JBA-08162021"/>
    <s v="Spill"/>
    <x v="1"/>
    <s v="Fallfish"/>
    <s v="Semotilus"/>
    <s v="gibbosus"/>
    <s v="U"/>
    <x v="0"/>
    <n v="8"/>
    <n v="11.81"/>
    <x v="12"/>
    <s v="423-41-6"/>
    <x v="12"/>
    <n v="0.11"/>
  </r>
  <r>
    <s v="ESM002-JBA-08162021"/>
    <s v="Spill"/>
    <x v="1"/>
    <s v="Fallfish"/>
    <s v="Semotilus"/>
    <s v="gibbosus"/>
    <s v="U"/>
    <x v="0"/>
    <n v="8"/>
    <n v="11.81"/>
    <x v="13"/>
    <s v="375-73-5"/>
    <x v="13"/>
    <n v="0.22"/>
  </r>
  <r>
    <s v="ESM002-JBA-08162021"/>
    <s v="Spill"/>
    <x v="1"/>
    <s v="Fallfish"/>
    <s v="Semotilus"/>
    <s v="gibbosus"/>
    <s v="U"/>
    <x v="0"/>
    <n v="8"/>
    <n v="11.81"/>
    <x v="14"/>
    <s v="2706-91-4"/>
    <x v="14"/>
    <n v="0.11650000000000001"/>
  </r>
  <r>
    <s v="ESM002-JBA-08162021"/>
    <s v="Spill"/>
    <x v="1"/>
    <s v="Fallfish"/>
    <s v="Semotilus"/>
    <s v="gibbosus"/>
    <s v="U"/>
    <x v="0"/>
    <n v="8"/>
    <n v="11.81"/>
    <x v="15"/>
    <s v="355-46-4"/>
    <x v="15"/>
    <n v="13.8"/>
  </r>
  <r>
    <s v="ESM002-JBA-08162021"/>
    <s v="Spill"/>
    <x v="1"/>
    <s v="Fallfish"/>
    <s v="Semotilus"/>
    <s v="gibbosus"/>
    <s v="U"/>
    <x v="0"/>
    <n v="8"/>
    <n v="11.81"/>
    <x v="16"/>
    <s v="375-92-8"/>
    <x v="16"/>
    <n v="3.15"/>
  </r>
  <r>
    <s v="ESM002-JBA-08162021"/>
    <s v="Spill"/>
    <x v="1"/>
    <s v="Fallfish"/>
    <s v="Semotilus"/>
    <s v="gibbosus"/>
    <s v="U"/>
    <x v="0"/>
    <n v="8"/>
    <n v="11.81"/>
    <x v="17"/>
    <s v="1763-23-1"/>
    <x v="17"/>
    <n v="844"/>
  </r>
  <r>
    <s v="ESM002-JBA-08162021"/>
    <s v="Spill"/>
    <x v="1"/>
    <s v="Fallfish"/>
    <s v="Semotilus"/>
    <s v="gibbosus"/>
    <s v="U"/>
    <x v="0"/>
    <n v="8"/>
    <n v="11.81"/>
    <x v="18"/>
    <s v="68259-12-1"/>
    <x v="18"/>
    <n v="0.22"/>
  </r>
  <r>
    <s v="ESM002-JBA-08162021"/>
    <s v="Spill"/>
    <x v="1"/>
    <s v="Fallfish"/>
    <s v="Semotilus"/>
    <s v="gibbosus"/>
    <s v="U"/>
    <x v="0"/>
    <n v="8"/>
    <n v="11.81"/>
    <x v="19"/>
    <s v="335-77-3"/>
    <x v="19"/>
    <n v="0.88700000000000001"/>
  </r>
  <r>
    <s v="ESM002-JBA-08162021"/>
    <s v="Spill"/>
    <x v="1"/>
    <s v="Fallfish"/>
    <s v="Semotilus"/>
    <s v="gibbosus"/>
    <s v="U"/>
    <x v="0"/>
    <n v="8"/>
    <n v="11.81"/>
    <x v="20"/>
    <s v="79780-39-5"/>
    <x v="20"/>
    <n v="0.23549999999999999"/>
  </r>
  <r>
    <s v="ESM002-JBA-08162021"/>
    <s v="Spill"/>
    <x v="1"/>
    <s v="Fallfish"/>
    <s v="Semotilus"/>
    <s v="gibbosus"/>
    <s v="U"/>
    <x v="0"/>
    <n v="8"/>
    <n v="11.81"/>
    <x v="21"/>
    <s v="777011-38-8"/>
    <x v="21"/>
    <n v="0.13350000000000001"/>
  </r>
  <r>
    <s v="ESM002-JBA-08162021"/>
    <s v="Spill"/>
    <x v="1"/>
    <s v="Fallfish"/>
    <s v="Semotilus"/>
    <s v="gibbosus"/>
    <s v="U"/>
    <x v="0"/>
    <n v="8"/>
    <n v="11.81"/>
    <x v="22"/>
    <s v="646-83-3"/>
    <x v="22"/>
    <n v="0.182"/>
  </r>
  <r>
    <s v="ESM002-JBA-08162021"/>
    <s v="Spill"/>
    <x v="1"/>
    <s v="Fallfish"/>
    <s v="Semotilus"/>
    <s v="gibbosus"/>
    <s v="U"/>
    <x v="0"/>
    <n v="8"/>
    <n v="11.81"/>
    <x v="23"/>
    <s v="30334-69-1"/>
    <x v="23"/>
    <n v="139"/>
  </r>
  <r>
    <s v="ESM002-JBA-08162021"/>
    <s v="Spill"/>
    <x v="1"/>
    <s v="Fallfish"/>
    <s v="Semotilus"/>
    <s v="gibbosus"/>
    <s v="U"/>
    <x v="0"/>
    <n v="8"/>
    <n v="11.81"/>
    <x v="24"/>
    <s v="41997-13-1"/>
    <x v="24"/>
    <n v="1180"/>
  </r>
  <r>
    <s v="ESM002-JBA-08162021"/>
    <s v="Spill"/>
    <x v="1"/>
    <s v="Fallfish"/>
    <s v="Semotilus"/>
    <s v="gibbosus"/>
    <s v="U"/>
    <x v="0"/>
    <n v="8"/>
    <n v="11.81"/>
    <x v="25"/>
    <s v="754-91-6"/>
    <x v="25"/>
    <n v="26.6"/>
  </r>
  <r>
    <s v="ESM002-JBA-08162021"/>
    <s v="Spill"/>
    <x v="1"/>
    <s v="Fallfish"/>
    <s v="Semotilus"/>
    <s v="gibbosus"/>
    <s v="U"/>
    <x v="0"/>
    <n v="8"/>
    <n v="11.81"/>
    <x v="26"/>
    <s v="31506-32-8"/>
    <x v="26"/>
    <n v="8.4500000000000006E-2"/>
  </r>
  <r>
    <s v="ESM002-JBA-08162021"/>
    <s v="Spill"/>
    <x v="1"/>
    <s v="Fallfish"/>
    <s v="Semotilus"/>
    <s v="gibbosus"/>
    <s v="U"/>
    <x v="0"/>
    <n v="8"/>
    <n v="11.81"/>
    <x v="27"/>
    <s v="4151-50-2"/>
    <x v="27"/>
    <n v="0.22"/>
  </r>
  <r>
    <s v="ESM002-JBA-08162021"/>
    <s v="Spill"/>
    <x v="1"/>
    <s v="Fallfish"/>
    <s v="Semotilus"/>
    <s v="gibbosus"/>
    <s v="U"/>
    <x v="0"/>
    <n v="8"/>
    <n v="11.81"/>
    <x v="28"/>
    <s v="2806-24-8"/>
    <x v="28"/>
    <n v="0.22"/>
  </r>
  <r>
    <s v="ESM002-JBA-08162021"/>
    <s v="Spill"/>
    <x v="1"/>
    <s v="Fallfish"/>
    <s v="Semotilus"/>
    <s v="gibbosus"/>
    <s v="U"/>
    <x v="0"/>
    <n v="8"/>
    <n v="11.81"/>
    <x v="29"/>
    <s v="2355-31-9"/>
    <x v="29"/>
    <n v="0.1105"/>
  </r>
  <r>
    <s v="ESM002-JBA-08162021"/>
    <s v="Spill"/>
    <x v="1"/>
    <s v="Fallfish"/>
    <s v="Semotilus"/>
    <s v="gibbosus"/>
    <s v="U"/>
    <x v="0"/>
    <n v="8"/>
    <n v="11.81"/>
    <x v="30"/>
    <s v="2991-50-6"/>
    <x v="30"/>
    <n v="0.11"/>
  </r>
  <r>
    <s v="ESM002-JBA-08162021"/>
    <s v="Spill"/>
    <x v="1"/>
    <s v="Fallfish"/>
    <s v="Semotilus"/>
    <s v="gibbosus"/>
    <s v="U"/>
    <x v="0"/>
    <n v="8"/>
    <n v="11.81"/>
    <x v="31"/>
    <s v="757124-72-4"/>
    <x v="31"/>
    <n v="0.11"/>
  </r>
  <r>
    <s v="ESM002-JBA-08162021"/>
    <s v="Spill"/>
    <x v="1"/>
    <s v="Fallfish"/>
    <s v="Semotilus"/>
    <s v="gibbosus"/>
    <s v="U"/>
    <x v="0"/>
    <n v="8"/>
    <n v="11.81"/>
    <x v="32"/>
    <s v="27619-97-2"/>
    <x v="32"/>
    <n v="1.08"/>
  </r>
  <r>
    <s v="ESM002-JBA-08162021"/>
    <s v="Spill"/>
    <x v="1"/>
    <s v="Fallfish"/>
    <s v="Semotilus"/>
    <s v="gibbosus"/>
    <s v="U"/>
    <x v="0"/>
    <n v="8"/>
    <n v="11.81"/>
    <x v="33"/>
    <s v="39108-34-4"/>
    <x v="33"/>
    <n v="32.9"/>
  </r>
  <r>
    <s v="ESM002-JBA-08162021"/>
    <s v="Spill"/>
    <x v="1"/>
    <s v="Fallfish"/>
    <s v="Semotilus"/>
    <s v="gibbosus"/>
    <s v="U"/>
    <x v="0"/>
    <n v="8"/>
    <n v="11.81"/>
    <x v="34"/>
    <s v="120226-60-0"/>
    <x v="34"/>
    <n v="3.37"/>
  </r>
  <r>
    <s v="ESM002-JBA-08162021"/>
    <s v="Spill"/>
    <x v="1"/>
    <s v="Fallfish"/>
    <s v="Semotilus"/>
    <s v="gibbosus"/>
    <s v="U"/>
    <x v="0"/>
    <n v="8"/>
    <n v="11.81"/>
    <x v="35"/>
    <s v="356-02-5"/>
    <x v="35"/>
    <n v="0.22"/>
  </r>
  <r>
    <s v="ESM002-JBA-08162021"/>
    <s v="Spill"/>
    <x v="1"/>
    <s v="Fallfish"/>
    <s v="Semotilus"/>
    <s v="gibbosus"/>
    <s v="U"/>
    <x v="0"/>
    <n v="8"/>
    <n v="11.81"/>
    <x v="36"/>
    <s v="914637-49-3"/>
    <x v="36"/>
    <n v="5.45"/>
  </r>
  <r>
    <s v="ESM002-JBA-08162021"/>
    <s v="Spill"/>
    <x v="1"/>
    <s v="Fallfish"/>
    <s v="Semotilus"/>
    <s v="gibbosus"/>
    <s v="U"/>
    <x v="0"/>
    <n v="8"/>
    <n v="11.81"/>
    <x v="37"/>
    <s v="812-70-4"/>
    <x v="37"/>
    <n v="0.22"/>
  </r>
  <r>
    <s v="ESM002-JBA-08162021"/>
    <s v="Spill"/>
    <x v="1"/>
    <s v="Fallfish"/>
    <s v="Semotilus"/>
    <s v="gibbosus"/>
    <s v="U"/>
    <x v="0"/>
    <n v="8"/>
    <n v="11.81"/>
    <x v="38"/>
    <s v="53826-12-3"/>
    <x v="38"/>
    <n v="0.22"/>
  </r>
  <r>
    <s v="ESM002-JBA-08162021"/>
    <s v="Spill"/>
    <x v="1"/>
    <s v="Fallfish"/>
    <s v="Semotilus"/>
    <s v="gibbosus"/>
    <s v="U"/>
    <x v="0"/>
    <n v="8"/>
    <n v="11.81"/>
    <x v="39"/>
    <s v="27854-31-5"/>
    <x v="39"/>
    <n v="0.11"/>
  </r>
  <r>
    <s v="ESM002-JBA-08162021"/>
    <s v="Spill"/>
    <x v="1"/>
    <s v="Fallfish"/>
    <s v="Semotilus"/>
    <s v="gibbosus"/>
    <s v="U"/>
    <x v="0"/>
    <n v="8"/>
    <n v="11.81"/>
    <x v="40"/>
    <s v="53826-13-4"/>
    <x v="40"/>
    <n v="0.22"/>
  </r>
  <r>
    <s v="ESM002-JBA-08162021"/>
    <s v="Spill"/>
    <x v="1"/>
    <s v="Fallfish"/>
    <s v="Semotilus"/>
    <s v="gibbosus"/>
    <s v="U"/>
    <x v="0"/>
    <n v="8"/>
    <n v="11.81"/>
    <x v="41"/>
    <s v="161094-75-3"/>
    <x v="41"/>
    <n v="8.6499999999999994E-2"/>
  </r>
  <r>
    <s v="ESM002-JBA-08162021"/>
    <s v="Spill"/>
    <x v="1"/>
    <s v="Fallfish"/>
    <s v="Semotilus"/>
    <s v="gibbosus"/>
    <s v="U"/>
    <x v="0"/>
    <n v="8"/>
    <n v="11.81"/>
    <x v="42"/>
    <s v="70887-84-2"/>
    <x v="42"/>
    <n v="6.6500000000000004E-2"/>
  </r>
  <r>
    <s v="ESM002-JBA-08162021"/>
    <s v="Spill"/>
    <x v="1"/>
    <s v="Fallfish"/>
    <s v="Semotilus"/>
    <s v="gibbosus"/>
    <s v="U"/>
    <x v="0"/>
    <n v="8"/>
    <n v="11.81"/>
    <x v="43"/>
    <s v="919005-14-4"/>
    <x v="43"/>
    <n v="9.7000000000000003E-2"/>
  </r>
  <r>
    <s v="ESM002-JBA-08162021"/>
    <s v="Spill"/>
    <x v="1"/>
    <s v="Fallfish"/>
    <s v="Semotilus"/>
    <s v="gibbosus"/>
    <s v="U"/>
    <x v="0"/>
    <n v="8"/>
    <n v="11.81"/>
    <x v="44"/>
    <s v="756426-58-1"/>
    <x v="44"/>
    <n v="0.22"/>
  </r>
  <r>
    <s v="ESM002-JBA-08162021"/>
    <s v="Spill"/>
    <x v="1"/>
    <s v="Fallfish"/>
    <s v="Semotilus"/>
    <s v="gibbosus"/>
    <s v="U"/>
    <x v="0"/>
    <n v="8"/>
    <n v="11.81"/>
    <x v="45"/>
    <s v="763051-92-9"/>
    <x v="45"/>
    <n v="0.22"/>
  </r>
  <r>
    <s v="ESM002-JBA-08162021"/>
    <s v="Spill"/>
    <x v="1"/>
    <s v="Fallfish"/>
    <s v="Semotilus"/>
    <s v="gibbosus"/>
    <s v="U"/>
    <x v="0"/>
    <n v="8"/>
    <n v="11.81"/>
    <x v="46"/>
    <s v="13252-13-6"/>
    <x v="46"/>
    <n v="0.158"/>
  </r>
  <r>
    <s v="ESM002-JBA-08162021"/>
    <s v="Spill"/>
    <x v="1"/>
    <s v="Fallfish"/>
    <s v="Semotilus"/>
    <s v="gibbosus"/>
    <s v="U"/>
    <x v="0"/>
    <n v="8"/>
    <n v="11.81"/>
    <x v="47"/>
    <s v="57677-95-9"/>
    <x v="47"/>
    <n v="0.22"/>
  </r>
  <r>
    <s v="ESM002-JBA-08162021"/>
    <s v="Spill"/>
    <x v="1"/>
    <s v="Fallfish"/>
    <s v="Semotilus"/>
    <s v="gibbosus"/>
    <s v="U"/>
    <x v="0"/>
    <n v="8"/>
    <n v="11.81"/>
    <x v="48"/>
    <s v="678-41-1"/>
    <x v="48"/>
    <n v="0.22"/>
  </r>
  <r>
    <s v="ESM002-JBA-08162021"/>
    <s v="Spill"/>
    <x v="1"/>
    <s v="Fallfish"/>
    <s v="Semotilus"/>
    <s v="gibbosus"/>
    <s v="U"/>
    <x v="0"/>
    <n v="8"/>
    <n v="11.81"/>
    <x v="49"/>
    <s v="2965-52-8"/>
    <x v="49"/>
    <n v="0.22"/>
  </r>
  <r>
    <s v="ESM003-JBA-08162021"/>
    <s v="Spill"/>
    <x v="1"/>
    <s v="Fallfish"/>
    <s v="Semotilus"/>
    <s v="gibbosus"/>
    <s v="U"/>
    <x v="0"/>
    <n v="8"/>
    <n v="11.81"/>
    <x v="0"/>
    <s v="375-22-4"/>
    <x v="0"/>
    <n v="0.246"/>
  </r>
  <r>
    <s v="ESM003-JBA-08162021"/>
    <s v="Spill"/>
    <x v="1"/>
    <s v="Fallfish"/>
    <s v="Semotilus"/>
    <s v="gibbosus"/>
    <s v="U"/>
    <x v="0"/>
    <n v="8"/>
    <n v="11.81"/>
    <x v="1"/>
    <s v="2706-90-3"/>
    <x v="1"/>
    <n v="8.6999999999999994E-2"/>
  </r>
  <r>
    <s v="ESM003-JBA-08162021"/>
    <s v="Spill"/>
    <x v="1"/>
    <s v="Fallfish"/>
    <s v="Semotilus"/>
    <s v="gibbosus"/>
    <s v="U"/>
    <x v="0"/>
    <n v="8"/>
    <n v="11.81"/>
    <x v="2"/>
    <s v="307-24-4"/>
    <x v="2"/>
    <n v="6.6500000000000004E-2"/>
  </r>
  <r>
    <s v="ESM003-JBA-08162021"/>
    <s v="Spill"/>
    <x v="1"/>
    <s v="Fallfish"/>
    <s v="Semotilus"/>
    <s v="gibbosus"/>
    <s v="U"/>
    <x v="0"/>
    <n v="8"/>
    <n v="11.81"/>
    <x v="3"/>
    <s v="375-85-9"/>
    <x v="3"/>
    <n v="0.123"/>
  </r>
  <r>
    <s v="ESM003-JBA-08162021"/>
    <s v="Spill"/>
    <x v="1"/>
    <s v="Fallfish"/>
    <s v="Semotilus"/>
    <s v="gibbosus"/>
    <s v="U"/>
    <x v="0"/>
    <n v="8"/>
    <n v="11.81"/>
    <x v="4"/>
    <s v="335-67-1"/>
    <x v="4"/>
    <n v="2.1"/>
  </r>
  <r>
    <s v="ESM003-JBA-08162021"/>
    <s v="Spill"/>
    <x v="1"/>
    <s v="Fallfish"/>
    <s v="Semotilus"/>
    <s v="gibbosus"/>
    <s v="U"/>
    <x v="0"/>
    <n v="8"/>
    <n v="11.81"/>
    <x v="5"/>
    <s v="375-95-1"/>
    <x v="5"/>
    <n v="0.123"/>
  </r>
  <r>
    <s v="ESM003-JBA-08162021"/>
    <s v="Spill"/>
    <x v="1"/>
    <s v="Fallfish"/>
    <s v="Semotilus"/>
    <s v="gibbosus"/>
    <s v="U"/>
    <x v="0"/>
    <n v="8"/>
    <n v="11.81"/>
    <x v="6"/>
    <s v="335-76-2"/>
    <x v="6"/>
    <n v="4.62"/>
  </r>
  <r>
    <s v="ESM003-JBA-08162021"/>
    <s v="Spill"/>
    <x v="1"/>
    <s v="Fallfish"/>
    <s v="Semotilus"/>
    <s v="gibbosus"/>
    <s v="U"/>
    <x v="0"/>
    <n v="8"/>
    <n v="11.81"/>
    <x v="7"/>
    <s v="2058-94-8"/>
    <x v="7"/>
    <n v="6.6"/>
  </r>
  <r>
    <s v="ESM003-JBA-08162021"/>
    <s v="Spill"/>
    <x v="1"/>
    <s v="Fallfish"/>
    <s v="Semotilus"/>
    <s v="gibbosus"/>
    <s v="U"/>
    <x v="0"/>
    <n v="8"/>
    <n v="11.81"/>
    <x v="8"/>
    <s v="307-55-1"/>
    <x v="8"/>
    <n v="8"/>
  </r>
  <r>
    <s v="ESM003-JBA-08162021"/>
    <s v="Spill"/>
    <x v="1"/>
    <s v="Fallfish"/>
    <s v="Semotilus"/>
    <s v="gibbosus"/>
    <s v="U"/>
    <x v="0"/>
    <n v="8"/>
    <n v="11.81"/>
    <x v="9"/>
    <s v="72629-94-8"/>
    <x v="9"/>
    <n v="2.06"/>
  </r>
  <r>
    <s v="ESM003-JBA-08162021"/>
    <s v="Spill"/>
    <x v="1"/>
    <s v="Fallfish"/>
    <s v="Semotilus"/>
    <s v="gibbosus"/>
    <s v="U"/>
    <x v="0"/>
    <n v="8"/>
    <n v="11.81"/>
    <x v="10"/>
    <s v="376-06-7"/>
    <x v="10"/>
    <n v="6.09"/>
  </r>
  <r>
    <s v="ESM003-JBA-08162021"/>
    <s v="Spill"/>
    <x v="1"/>
    <s v="Fallfish"/>
    <s v="Semotilus"/>
    <s v="gibbosus"/>
    <s v="U"/>
    <x v="0"/>
    <n v="8"/>
    <n v="11.81"/>
    <x v="11"/>
    <s v="67905-19-5"/>
    <x v="11"/>
    <n v="0.14649999999999999"/>
  </r>
  <r>
    <s v="ESM003-JBA-08162021"/>
    <s v="Spill"/>
    <x v="1"/>
    <s v="Fallfish"/>
    <s v="Semotilus"/>
    <s v="gibbosus"/>
    <s v="U"/>
    <x v="0"/>
    <n v="8"/>
    <n v="11.81"/>
    <x v="12"/>
    <s v="423-41-6"/>
    <x v="12"/>
    <n v="0.123"/>
  </r>
  <r>
    <s v="ESM003-JBA-08162021"/>
    <s v="Spill"/>
    <x v="1"/>
    <s v="Fallfish"/>
    <s v="Semotilus"/>
    <s v="gibbosus"/>
    <s v="U"/>
    <x v="0"/>
    <n v="8"/>
    <n v="11.81"/>
    <x v="13"/>
    <s v="375-73-5"/>
    <x v="13"/>
    <n v="0.246"/>
  </r>
  <r>
    <s v="ESM003-JBA-08162021"/>
    <s v="Spill"/>
    <x v="1"/>
    <s v="Fallfish"/>
    <s v="Semotilus"/>
    <s v="gibbosus"/>
    <s v="U"/>
    <x v="0"/>
    <n v="8"/>
    <n v="11.81"/>
    <x v="14"/>
    <s v="2706-91-4"/>
    <x v="14"/>
    <n v="0.1305"/>
  </r>
  <r>
    <s v="ESM003-JBA-08162021"/>
    <s v="Spill"/>
    <x v="1"/>
    <s v="Fallfish"/>
    <s v="Semotilus"/>
    <s v="gibbosus"/>
    <s v="U"/>
    <x v="0"/>
    <n v="8"/>
    <n v="11.81"/>
    <x v="15"/>
    <s v="355-46-4"/>
    <x v="15"/>
    <n v="17.5"/>
  </r>
  <r>
    <s v="ESM003-JBA-08162021"/>
    <s v="Spill"/>
    <x v="1"/>
    <s v="Fallfish"/>
    <s v="Semotilus"/>
    <s v="gibbosus"/>
    <s v="U"/>
    <x v="0"/>
    <n v="8"/>
    <n v="11.81"/>
    <x v="16"/>
    <s v="375-92-8"/>
    <x v="16"/>
    <n v="3.58"/>
  </r>
  <r>
    <s v="ESM003-JBA-08162021"/>
    <s v="Spill"/>
    <x v="1"/>
    <s v="Fallfish"/>
    <s v="Semotilus"/>
    <s v="gibbosus"/>
    <s v="U"/>
    <x v="0"/>
    <n v="8"/>
    <n v="11.81"/>
    <x v="17"/>
    <s v="1763-23-1"/>
    <x v="17"/>
    <n v="779"/>
  </r>
  <r>
    <s v="ESM003-JBA-08162021"/>
    <s v="Spill"/>
    <x v="1"/>
    <s v="Fallfish"/>
    <s v="Semotilus"/>
    <s v="gibbosus"/>
    <s v="U"/>
    <x v="0"/>
    <n v="8"/>
    <n v="11.81"/>
    <x v="18"/>
    <s v="68259-12-1"/>
    <x v="18"/>
    <n v="0.246"/>
  </r>
  <r>
    <s v="ESM003-JBA-08162021"/>
    <s v="Spill"/>
    <x v="1"/>
    <s v="Fallfish"/>
    <s v="Semotilus"/>
    <s v="gibbosus"/>
    <s v="U"/>
    <x v="0"/>
    <n v="8"/>
    <n v="11.81"/>
    <x v="19"/>
    <s v="335-77-3"/>
    <x v="19"/>
    <n v="0.629"/>
  </r>
  <r>
    <s v="ESM003-JBA-08162021"/>
    <s v="Spill"/>
    <x v="1"/>
    <s v="Fallfish"/>
    <s v="Semotilus"/>
    <s v="gibbosus"/>
    <s v="U"/>
    <x v="0"/>
    <n v="8"/>
    <n v="11.81"/>
    <x v="20"/>
    <s v="79780-39-5"/>
    <x v="20"/>
    <n v="0.26350000000000001"/>
  </r>
  <r>
    <s v="ESM003-JBA-08162021"/>
    <s v="Spill"/>
    <x v="1"/>
    <s v="Fallfish"/>
    <s v="Semotilus"/>
    <s v="gibbosus"/>
    <s v="U"/>
    <x v="0"/>
    <n v="8"/>
    <n v="11.81"/>
    <x v="21"/>
    <s v="777011-38-8"/>
    <x v="21"/>
    <n v="0.14949999999999999"/>
  </r>
  <r>
    <s v="ESM003-JBA-08162021"/>
    <s v="Spill"/>
    <x v="1"/>
    <s v="Fallfish"/>
    <s v="Semotilus"/>
    <s v="gibbosus"/>
    <s v="U"/>
    <x v="0"/>
    <n v="8"/>
    <n v="11.81"/>
    <x v="22"/>
    <s v="646-83-3"/>
    <x v="22"/>
    <n v="0.23300000000000001"/>
  </r>
  <r>
    <s v="ESM003-JBA-08162021"/>
    <s v="Spill"/>
    <x v="1"/>
    <s v="Fallfish"/>
    <s v="Semotilus"/>
    <s v="gibbosus"/>
    <s v="U"/>
    <x v="0"/>
    <n v="8"/>
    <n v="11.81"/>
    <x v="23"/>
    <s v="30334-69-1"/>
    <x v="23"/>
    <n v="192"/>
  </r>
  <r>
    <s v="ESM003-JBA-08162021"/>
    <s v="Spill"/>
    <x v="1"/>
    <s v="Fallfish"/>
    <s v="Semotilus"/>
    <s v="gibbosus"/>
    <s v="U"/>
    <x v="0"/>
    <n v="8"/>
    <n v="11.81"/>
    <x v="24"/>
    <s v="41997-13-1"/>
    <x v="24"/>
    <n v="1340"/>
  </r>
  <r>
    <s v="ESM003-JBA-08162021"/>
    <s v="Spill"/>
    <x v="1"/>
    <s v="Fallfish"/>
    <s v="Semotilus"/>
    <s v="gibbosus"/>
    <s v="U"/>
    <x v="0"/>
    <n v="8"/>
    <n v="11.81"/>
    <x v="25"/>
    <s v="754-91-6"/>
    <x v="25"/>
    <n v="26.1"/>
  </r>
  <r>
    <s v="ESM003-JBA-08162021"/>
    <s v="Spill"/>
    <x v="1"/>
    <s v="Fallfish"/>
    <s v="Semotilus"/>
    <s v="gibbosus"/>
    <s v="U"/>
    <x v="0"/>
    <n v="8"/>
    <n v="11.81"/>
    <x v="26"/>
    <s v="31506-32-8"/>
    <x v="26"/>
    <n v="9.5000000000000001E-2"/>
  </r>
  <r>
    <s v="ESM003-JBA-08162021"/>
    <s v="Spill"/>
    <x v="1"/>
    <s v="Fallfish"/>
    <s v="Semotilus"/>
    <s v="gibbosus"/>
    <s v="U"/>
    <x v="0"/>
    <n v="8"/>
    <n v="11.81"/>
    <x v="27"/>
    <s v="4151-50-2"/>
    <x v="27"/>
    <n v="0.246"/>
  </r>
  <r>
    <s v="ESM003-JBA-08162021"/>
    <s v="Spill"/>
    <x v="1"/>
    <s v="Fallfish"/>
    <s v="Semotilus"/>
    <s v="gibbosus"/>
    <s v="U"/>
    <x v="0"/>
    <n v="8"/>
    <n v="11.81"/>
    <x v="28"/>
    <s v="2806-24-8"/>
    <x v="28"/>
    <n v="0.246"/>
  </r>
  <r>
    <s v="ESM003-JBA-08162021"/>
    <s v="Spill"/>
    <x v="1"/>
    <s v="Fallfish"/>
    <s v="Semotilus"/>
    <s v="gibbosus"/>
    <s v="U"/>
    <x v="0"/>
    <n v="8"/>
    <n v="11.81"/>
    <x v="29"/>
    <s v="2355-31-9"/>
    <x v="29"/>
    <n v="0.124"/>
  </r>
  <r>
    <s v="ESM003-JBA-08162021"/>
    <s v="Spill"/>
    <x v="1"/>
    <s v="Fallfish"/>
    <s v="Semotilus"/>
    <s v="gibbosus"/>
    <s v="U"/>
    <x v="0"/>
    <n v="8"/>
    <n v="11.81"/>
    <x v="30"/>
    <s v="2991-50-6"/>
    <x v="30"/>
    <n v="0.123"/>
  </r>
  <r>
    <s v="ESM003-JBA-08162021"/>
    <s v="Spill"/>
    <x v="1"/>
    <s v="Fallfish"/>
    <s v="Semotilus"/>
    <s v="gibbosus"/>
    <s v="U"/>
    <x v="0"/>
    <n v="8"/>
    <n v="11.81"/>
    <x v="31"/>
    <s v="757124-72-4"/>
    <x v="31"/>
    <n v="0.123"/>
  </r>
  <r>
    <s v="ESM003-JBA-08162021"/>
    <s v="Spill"/>
    <x v="1"/>
    <s v="Fallfish"/>
    <s v="Semotilus"/>
    <s v="gibbosus"/>
    <s v="U"/>
    <x v="0"/>
    <n v="8"/>
    <n v="11.81"/>
    <x v="32"/>
    <s v="27619-97-2"/>
    <x v="32"/>
    <n v="0.83799999999999997"/>
  </r>
  <r>
    <s v="ESM003-JBA-08162021"/>
    <s v="Spill"/>
    <x v="1"/>
    <s v="Fallfish"/>
    <s v="Semotilus"/>
    <s v="gibbosus"/>
    <s v="U"/>
    <x v="0"/>
    <n v="8"/>
    <n v="11.81"/>
    <x v="33"/>
    <s v="39108-34-4"/>
    <x v="33"/>
    <n v="19.100000000000001"/>
  </r>
  <r>
    <s v="ESM003-JBA-08162021"/>
    <s v="Spill"/>
    <x v="1"/>
    <s v="Fallfish"/>
    <s v="Semotilus"/>
    <s v="gibbosus"/>
    <s v="U"/>
    <x v="0"/>
    <n v="8"/>
    <n v="11.81"/>
    <x v="34"/>
    <s v="120226-60-0"/>
    <x v="34"/>
    <n v="1.36"/>
  </r>
  <r>
    <s v="ESM003-JBA-08162021"/>
    <s v="Spill"/>
    <x v="1"/>
    <s v="Fallfish"/>
    <s v="Semotilus"/>
    <s v="gibbosus"/>
    <s v="U"/>
    <x v="0"/>
    <n v="8"/>
    <n v="11.81"/>
    <x v="35"/>
    <s v="356-02-5"/>
    <x v="35"/>
    <n v="0.246"/>
  </r>
  <r>
    <s v="ESM003-JBA-08162021"/>
    <s v="Spill"/>
    <x v="1"/>
    <s v="Fallfish"/>
    <s v="Semotilus"/>
    <s v="gibbosus"/>
    <s v="U"/>
    <x v="0"/>
    <n v="8"/>
    <n v="11.81"/>
    <x v="36"/>
    <s v="914637-49-3"/>
    <x v="36"/>
    <n v="0.69299999999999995"/>
  </r>
  <r>
    <s v="ESM003-JBA-08162021"/>
    <s v="Spill"/>
    <x v="1"/>
    <s v="Fallfish"/>
    <s v="Semotilus"/>
    <s v="gibbosus"/>
    <s v="U"/>
    <x v="0"/>
    <n v="8"/>
    <n v="11.81"/>
    <x v="37"/>
    <s v="812-70-4"/>
    <x v="37"/>
    <n v="0.246"/>
  </r>
  <r>
    <s v="ESM003-JBA-08162021"/>
    <s v="Spill"/>
    <x v="1"/>
    <s v="Fallfish"/>
    <s v="Semotilus"/>
    <s v="gibbosus"/>
    <s v="U"/>
    <x v="0"/>
    <n v="8"/>
    <n v="11.81"/>
    <x v="38"/>
    <s v="53826-12-3"/>
    <x v="38"/>
    <n v="0.246"/>
  </r>
  <r>
    <s v="ESM003-JBA-08162021"/>
    <s v="Spill"/>
    <x v="1"/>
    <s v="Fallfish"/>
    <s v="Semotilus"/>
    <s v="gibbosus"/>
    <s v="U"/>
    <x v="0"/>
    <n v="8"/>
    <n v="11.81"/>
    <x v="39"/>
    <s v="27854-31-5"/>
    <x v="39"/>
    <n v="0.123"/>
  </r>
  <r>
    <s v="ESM003-JBA-08162021"/>
    <s v="Spill"/>
    <x v="1"/>
    <s v="Fallfish"/>
    <s v="Semotilus"/>
    <s v="gibbosus"/>
    <s v="U"/>
    <x v="0"/>
    <n v="8"/>
    <n v="11.81"/>
    <x v="40"/>
    <s v="53826-13-4"/>
    <x v="40"/>
    <n v="0.246"/>
  </r>
  <r>
    <s v="ESM003-JBA-08162021"/>
    <s v="Spill"/>
    <x v="1"/>
    <s v="Fallfish"/>
    <s v="Semotilus"/>
    <s v="gibbosus"/>
    <s v="U"/>
    <x v="0"/>
    <n v="8"/>
    <n v="11.81"/>
    <x v="41"/>
    <s v="161094-75-3"/>
    <x v="41"/>
    <n v="9.6500000000000002E-2"/>
  </r>
  <r>
    <s v="ESM003-JBA-08162021"/>
    <s v="Spill"/>
    <x v="1"/>
    <s v="Fallfish"/>
    <s v="Semotilus"/>
    <s v="gibbosus"/>
    <s v="U"/>
    <x v="0"/>
    <n v="8"/>
    <n v="11.81"/>
    <x v="42"/>
    <s v="70887-84-2"/>
    <x v="42"/>
    <n v="7.4499999999999997E-2"/>
  </r>
  <r>
    <s v="ESM003-JBA-08162021"/>
    <s v="Spill"/>
    <x v="1"/>
    <s v="Fallfish"/>
    <s v="Semotilus"/>
    <s v="gibbosus"/>
    <s v="U"/>
    <x v="0"/>
    <n v="8"/>
    <n v="11.81"/>
    <x v="43"/>
    <s v="919005-14-4"/>
    <x v="43"/>
    <n v="0.1085"/>
  </r>
  <r>
    <s v="ESM003-JBA-08162021"/>
    <s v="Spill"/>
    <x v="1"/>
    <s v="Fallfish"/>
    <s v="Semotilus"/>
    <s v="gibbosus"/>
    <s v="U"/>
    <x v="0"/>
    <n v="8"/>
    <n v="11.81"/>
    <x v="44"/>
    <s v="756426-58-1"/>
    <x v="44"/>
    <n v="0.246"/>
  </r>
  <r>
    <s v="ESM003-JBA-08162021"/>
    <s v="Spill"/>
    <x v="1"/>
    <s v="Fallfish"/>
    <s v="Semotilus"/>
    <s v="gibbosus"/>
    <s v="U"/>
    <x v="0"/>
    <n v="8"/>
    <n v="11.81"/>
    <x v="45"/>
    <s v="763051-92-9"/>
    <x v="45"/>
    <n v="0.246"/>
  </r>
  <r>
    <s v="ESM003-JBA-08162021"/>
    <s v="Spill"/>
    <x v="1"/>
    <s v="Fallfish"/>
    <s v="Semotilus"/>
    <s v="gibbosus"/>
    <s v="U"/>
    <x v="0"/>
    <n v="8"/>
    <n v="11.81"/>
    <x v="46"/>
    <s v="13252-13-6"/>
    <x v="46"/>
    <n v="0.17649999999999999"/>
  </r>
  <r>
    <s v="ESM003-JBA-08162021"/>
    <s v="Spill"/>
    <x v="1"/>
    <s v="Fallfish"/>
    <s v="Semotilus"/>
    <s v="gibbosus"/>
    <s v="U"/>
    <x v="0"/>
    <n v="8"/>
    <n v="11.81"/>
    <x v="47"/>
    <s v="57677-95-9"/>
    <x v="47"/>
    <n v="0.246"/>
  </r>
  <r>
    <s v="ESM003-JBA-08162021"/>
    <s v="Spill"/>
    <x v="1"/>
    <s v="Fallfish"/>
    <s v="Semotilus"/>
    <s v="gibbosus"/>
    <s v="U"/>
    <x v="0"/>
    <n v="8"/>
    <n v="11.81"/>
    <x v="48"/>
    <s v="678-41-1"/>
    <x v="48"/>
    <n v="0.246"/>
  </r>
  <r>
    <s v="ESM003-JBA-08162021"/>
    <s v="Spill"/>
    <x v="1"/>
    <s v="Fallfish"/>
    <s v="Semotilus"/>
    <s v="gibbosus"/>
    <s v="U"/>
    <x v="0"/>
    <n v="8"/>
    <n v="11.81"/>
    <x v="49"/>
    <s v="2965-52-8"/>
    <x v="49"/>
    <n v="0.246"/>
  </r>
  <r>
    <s v="SS003-JBA-08132021"/>
    <s v="Spill"/>
    <x v="1"/>
    <s v="Dace. Sp"/>
    <s v="Rhinichthys"/>
    <s v="gibbosus"/>
    <s v="U"/>
    <x v="0"/>
    <n v="8"/>
    <n v="11.81"/>
    <x v="0"/>
    <s v="375-22-4"/>
    <x v="0"/>
    <n v="0.109"/>
  </r>
  <r>
    <s v="SS003-JBA-08132021"/>
    <s v="Spill"/>
    <x v="1"/>
    <s v="Dace. Sp"/>
    <s v="Rhinichthys"/>
    <s v="gibbosus"/>
    <s v="U"/>
    <x v="0"/>
    <n v="8"/>
    <n v="11.81"/>
    <x v="1"/>
    <s v="2706-90-3"/>
    <x v="1"/>
    <n v="7.6999999999999999E-2"/>
  </r>
  <r>
    <s v="SS003-JBA-08132021"/>
    <s v="Spill"/>
    <x v="1"/>
    <s v="Dace. Sp"/>
    <s v="Rhinichthys"/>
    <s v="gibbosus"/>
    <s v="U"/>
    <x v="0"/>
    <n v="8"/>
    <n v="11.81"/>
    <x v="2"/>
    <s v="307-24-4"/>
    <x v="2"/>
    <n v="5.8999999999999997E-2"/>
  </r>
  <r>
    <s v="SS003-JBA-08132021"/>
    <s v="Spill"/>
    <x v="1"/>
    <s v="Dace. Sp"/>
    <s v="Rhinichthys"/>
    <s v="gibbosus"/>
    <s v="U"/>
    <x v="0"/>
    <n v="8"/>
    <n v="11.81"/>
    <x v="3"/>
    <s v="375-85-9"/>
    <x v="3"/>
    <n v="0.2185"/>
  </r>
  <r>
    <s v="SS003-JBA-08132021"/>
    <s v="Spill"/>
    <x v="1"/>
    <s v="Dace. Sp"/>
    <s v="Rhinichthys"/>
    <s v="gibbosus"/>
    <s v="U"/>
    <x v="0"/>
    <n v="8"/>
    <n v="11.81"/>
    <x v="4"/>
    <s v="335-67-1"/>
    <x v="4"/>
    <n v="3.75"/>
  </r>
  <r>
    <s v="SS003-JBA-08132021"/>
    <s v="Spill"/>
    <x v="1"/>
    <s v="Dace. Sp"/>
    <s v="Rhinichthys"/>
    <s v="gibbosus"/>
    <s v="U"/>
    <x v="0"/>
    <n v="8"/>
    <n v="11.81"/>
    <x v="5"/>
    <s v="375-95-1"/>
    <x v="5"/>
    <n v="3.53"/>
  </r>
  <r>
    <s v="SS003-JBA-08132021"/>
    <s v="Spill"/>
    <x v="1"/>
    <s v="Dace. Sp"/>
    <s v="Rhinichthys"/>
    <s v="gibbosus"/>
    <s v="U"/>
    <x v="0"/>
    <n v="8"/>
    <n v="11.81"/>
    <x v="6"/>
    <s v="335-76-2"/>
    <x v="6"/>
    <n v="10.3"/>
  </r>
  <r>
    <s v="SS003-JBA-08132021"/>
    <s v="Spill"/>
    <x v="1"/>
    <s v="Dace. Sp"/>
    <s v="Rhinichthys"/>
    <s v="gibbosus"/>
    <s v="U"/>
    <x v="0"/>
    <n v="8"/>
    <n v="11.81"/>
    <x v="7"/>
    <s v="2058-94-8"/>
    <x v="7"/>
    <n v="6.13"/>
  </r>
  <r>
    <s v="SS003-JBA-08132021"/>
    <s v="Spill"/>
    <x v="1"/>
    <s v="Dace. Sp"/>
    <s v="Rhinichthys"/>
    <s v="gibbosus"/>
    <s v="U"/>
    <x v="0"/>
    <n v="8"/>
    <n v="11.81"/>
    <x v="8"/>
    <s v="307-55-1"/>
    <x v="8"/>
    <n v="5.44"/>
  </r>
  <r>
    <s v="SS003-JBA-08132021"/>
    <s v="Spill"/>
    <x v="1"/>
    <s v="Dace. Sp"/>
    <s v="Rhinichthys"/>
    <s v="gibbosus"/>
    <s v="U"/>
    <x v="0"/>
    <n v="8"/>
    <n v="11.81"/>
    <x v="9"/>
    <s v="72629-94-8"/>
    <x v="9"/>
    <n v="2.75"/>
  </r>
  <r>
    <s v="SS003-JBA-08132021"/>
    <s v="Spill"/>
    <x v="1"/>
    <s v="Dace. Sp"/>
    <s v="Rhinichthys"/>
    <s v="gibbosus"/>
    <s v="U"/>
    <x v="0"/>
    <n v="8"/>
    <n v="11.81"/>
    <x v="10"/>
    <s v="376-06-7"/>
    <x v="10"/>
    <n v="2.4500000000000002"/>
  </r>
  <r>
    <s v="SS003-JBA-08132021"/>
    <s v="Spill"/>
    <x v="1"/>
    <s v="Dace. Sp"/>
    <s v="Rhinichthys"/>
    <s v="gibbosus"/>
    <s v="U"/>
    <x v="0"/>
    <n v="8"/>
    <n v="11.81"/>
    <x v="11"/>
    <s v="67905-19-5"/>
    <x v="11"/>
    <n v="0.13"/>
  </r>
  <r>
    <s v="SS003-JBA-08132021"/>
    <s v="Spill"/>
    <x v="1"/>
    <s v="Dace. Sp"/>
    <s v="Rhinichthys"/>
    <s v="gibbosus"/>
    <s v="U"/>
    <x v="0"/>
    <n v="8"/>
    <n v="11.81"/>
    <x v="12"/>
    <s v="423-41-6"/>
    <x v="12"/>
    <n v="0.109"/>
  </r>
  <r>
    <s v="SS003-JBA-08132021"/>
    <s v="Spill"/>
    <x v="1"/>
    <s v="Dace. Sp"/>
    <s v="Rhinichthys"/>
    <s v="gibbosus"/>
    <s v="U"/>
    <x v="0"/>
    <n v="8"/>
    <n v="11.81"/>
    <x v="13"/>
    <s v="375-73-5"/>
    <x v="13"/>
    <n v="0.2185"/>
  </r>
  <r>
    <s v="SS003-JBA-08132021"/>
    <s v="Spill"/>
    <x v="1"/>
    <s v="Dace. Sp"/>
    <s v="Rhinichthys"/>
    <s v="gibbosus"/>
    <s v="U"/>
    <x v="0"/>
    <n v="8"/>
    <n v="11.81"/>
    <x v="14"/>
    <s v="2706-91-4"/>
    <x v="14"/>
    <n v="0.59799999999999998"/>
  </r>
  <r>
    <s v="SS003-JBA-08132021"/>
    <s v="Spill"/>
    <x v="1"/>
    <s v="Dace. Sp"/>
    <s v="Rhinichthys"/>
    <s v="gibbosus"/>
    <s v="U"/>
    <x v="0"/>
    <n v="8"/>
    <n v="11.81"/>
    <x v="15"/>
    <s v="355-46-4"/>
    <x v="15"/>
    <n v="68.599999999999994"/>
  </r>
  <r>
    <s v="SS003-JBA-08132021"/>
    <s v="Spill"/>
    <x v="1"/>
    <s v="Dace. Sp"/>
    <s v="Rhinichthys"/>
    <s v="gibbosus"/>
    <s v="U"/>
    <x v="0"/>
    <n v="8"/>
    <n v="11.81"/>
    <x v="16"/>
    <s v="375-92-8"/>
    <x v="16"/>
    <n v="6.57"/>
  </r>
  <r>
    <s v="SS003-JBA-08132021"/>
    <s v="Spill"/>
    <x v="1"/>
    <s v="Dace. Sp"/>
    <s v="Rhinichthys"/>
    <s v="gibbosus"/>
    <s v="U"/>
    <x v="0"/>
    <n v="8"/>
    <n v="11.81"/>
    <x v="17"/>
    <s v="1763-23-1"/>
    <x v="17"/>
    <n v="708"/>
  </r>
  <r>
    <s v="SS003-JBA-08132021"/>
    <s v="Spill"/>
    <x v="1"/>
    <s v="Dace. Sp"/>
    <s v="Rhinichthys"/>
    <s v="gibbosus"/>
    <s v="U"/>
    <x v="0"/>
    <n v="8"/>
    <n v="11.81"/>
    <x v="18"/>
    <s v="68259-12-1"/>
    <x v="18"/>
    <n v="0.746"/>
  </r>
  <r>
    <s v="SS003-JBA-08132021"/>
    <s v="Spill"/>
    <x v="1"/>
    <s v="Dace. Sp"/>
    <s v="Rhinichthys"/>
    <s v="gibbosus"/>
    <s v="U"/>
    <x v="0"/>
    <n v="8"/>
    <n v="11.81"/>
    <x v="19"/>
    <s v="335-77-3"/>
    <x v="19"/>
    <n v="1.25"/>
  </r>
  <r>
    <s v="SS003-JBA-08132021"/>
    <s v="Spill"/>
    <x v="1"/>
    <s v="Dace. Sp"/>
    <s v="Rhinichthys"/>
    <s v="gibbosus"/>
    <s v="U"/>
    <x v="0"/>
    <n v="8"/>
    <n v="11.81"/>
    <x v="20"/>
    <s v="79780-39-5"/>
    <x v="20"/>
    <n v="0.23350000000000001"/>
  </r>
  <r>
    <s v="SS003-JBA-08132021"/>
    <s v="Spill"/>
    <x v="1"/>
    <s v="Dace. Sp"/>
    <s v="Rhinichthys"/>
    <s v="gibbosus"/>
    <s v="U"/>
    <x v="0"/>
    <n v="8"/>
    <n v="11.81"/>
    <x v="21"/>
    <s v="777011-38-8"/>
    <x v="21"/>
    <n v="0.52600000000000002"/>
  </r>
  <r>
    <s v="SS003-JBA-08132021"/>
    <s v="Spill"/>
    <x v="1"/>
    <s v="Dace. Sp"/>
    <s v="Rhinichthys"/>
    <s v="gibbosus"/>
    <s v="U"/>
    <x v="0"/>
    <n v="8"/>
    <n v="11.81"/>
    <x v="22"/>
    <s v="646-83-3"/>
    <x v="22"/>
    <n v="0.436"/>
  </r>
  <r>
    <s v="SS003-JBA-08132021"/>
    <s v="Spill"/>
    <x v="1"/>
    <s v="Dace. Sp"/>
    <s v="Rhinichthys"/>
    <s v="gibbosus"/>
    <s v="U"/>
    <x v="0"/>
    <n v="8"/>
    <n v="11.81"/>
    <x v="23"/>
    <s v="30334-69-1"/>
    <x v="23"/>
    <n v="46.8"/>
  </r>
  <r>
    <s v="SS003-JBA-08132021"/>
    <s v="Spill"/>
    <x v="1"/>
    <s v="Dace. Sp"/>
    <s v="Rhinichthys"/>
    <s v="gibbosus"/>
    <s v="U"/>
    <x v="0"/>
    <n v="8"/>
    <n v="11.81"/>
    <x v="24"/>
    <s v="41997-13-1"/>
    <x v="24"/>
    <n v="579"/>
  </r>
  <r>
    <s v="SS003-JBA-08132021"/>
    <s v="Spill"/>
    <x v="1"/>
    <s v="Dace. Sp"/>
    <s v="Rhinichthys"/>
    <s v="gibbosus"/>
    <s v="U"/>
    <x v="0"/>
    <n v="8"/>
    <n v="11.81"/>
    <x v="25"/>
    <s v="754-91-6"/>
    <x v="25"/>
    <n v="26"/>
  </r>
  <r>
    <s v="SS003-JBA-08132021"/>
    <s v="Spill"/>
    <x v="1"/>
    <s v="Dace. Sp"/>
    <s v="Rhinichthys"/>
    <s v="gibbosus"/>
    <s v="U"/>
    <x v="0"/>
    <n v="8"/>
    <n v="11.81"/>
    <x v="26"/>
    <s v="31506-32-8"/>
    <x v="26"/>
    <n v="8.4000000000000005E-2"/>
  </r>
  <r>
    <s v="SS003-JBA-08132021"/>
    <s v="Spill"/>
    <x v="1"/>
    <s v="Dace. Sp"/>
    <s v="Rhinichthys"/>
    <s v="gibbosus"/>
    <s v="U"/>
    <x v="0"/>
    <n v="8"/>
    <n v="11.81"/>
    <x v="27"/>
    <s v="4151-50-2"/>
    <x v="27"/>
    <n v="0.2185"/>
  </r>
  <r>
    <s v="SS003-JBA-08132021"/>
    <s v="Spill"/>
    <x v="1"/>
    <s v="Dace. Sp"/>
    <s v="Rhinichthys"/>
    <s v="gibbosus"/>
    <s v="U"/>
    <x v="0"/>
    <n v="8"/>
    <n v="11.81"/>
    <x v="28"/>
    <s v="2806-24-8"/>
    <x v="28"/>
    <n v="0.2185"/>
  </r>
  <r>
    <s v="SS003-JBA-08132021"/>
    <s v="Spill"/>
    <x v="1"/>
    <s v="Dace. Sp"/>
    <s v="Rhinichthys"/>
    <s v="gibbosus"/>
    <s v="U"/>
    <x v="0"/>
    <n v="8"/>
    <n v="11.81"/>
    <x v="29"/>
    <s v="2355-31-9"/>
    <x v="29"/>
    <n v="0.11"/>
  </r>
  <r>
    <s v="SS003-JBA-08132021"/>
    <s v="Spill"/>
    <x v="1"/>
    <s v="Dace. Sp"/>
    <s v="Rhinichthys"/>
    <s v="gibbosus"/>
    <s v="U"/>
    <x v="0"/>
    <n v="8"/>
    <n v="11.81"/>
    <x v="30"/>
    <s v="2991-50-6"/>
    <x v="30"/>
    <n v="0.109"/>
  </r>
  <r>
    <s v="SS003-JBA-08132021"/>
    <s v="Spill"/>
    <x v="1"/>
    <s v="Dace. Sp"/>
    <s v="Rhinichthys"/>
    <s v="gibbosus"/>
    <s v="U"/>
    <x v="0"/>
    <n v="8"/>
    <n v="11.81"/>
    <x v="31"/>
    <s v="757124-72-4"/>
    <x v="31"/>
    <n v="0.109"/>
  </r>
  <r>
    <s v="SS003-JBA-08132021"/>
    <s v="Spill"/>
    <x v="1"/>
    <s v="Dace. Sp"/>
    <s v="Rhinichthys"/>
    <s v="gibbosus"/>
    <s v="U"/>
    <x v="0"/>
    <n v="8"/>
    <n v="11.81"/>
    <x v="32"/>
    <s v="27619-97-2"/>
    <x v="32"/>
    <n v="0.98599999999999999"/>
  </r>
  <r>
    <s v="SS003-JBA-08132021"/>
    <s v="Spill"/>
    <x v="1"/>
    <s v="Dace. Sp"/>
    <s v="Rhinichthys"/>
    <s v="gibbosus"/>
    <s v="U"/>
    <x v="0"/>
    <n v="8"/>
    <n v="11.81"/>
    <x v="33"/>
    <s v="39108-34-4"/>
    <x v="33"/>
    <n v="18.3"/>
  </r>
  <r>
    <s v="SS003-JBA-08132021"/>
    <s v="Spill"/>
    <x v="1"/>
    <s v="Dace. Sp"/>
    <s v="Rhinichthys"/>
    <s v="gibbosus"/>
    <s v="U"/>
    <x v="0"/>
    <n v="8"/>
    <n v="11.81"/>
    <x v="34"/>
    <s v="120226-60-0"/>
    <x v="34"/>
    <n v="0.4365"/>
  </r>
  <r>
    <s v="SS003-JBA-08132021"/>
    <s v="Spill"/>
    <x v="1"/>
    <s v="Dace. Sp"/>
    <s v="Rhinichthys"/>
    <s v="gibbosus"/>
    <s v="U"/>
    <x v="0"/>
    <n v="8"/>
    <n v="11.81"/>
    <x v="35"/>
    <s v="356-02-5"/>
    <x v="35"/>
    <n v="0.2185"/>
  </r>
  <r>
    <s v="SS003-JBA-08132021"/>
    <s v="Spill"/>
    <x v="1"/>
    <s v="Dace. Sp"/>
    <s v="Rhinichthys"/>
    <s v="gibbosus"/>
    <s v="U"/>
    <x v="0"/>
    <n v="8"/>
    <n v="11.81"/>
    <x v="36"/>
    <s v="914637-49-3"/>
    <x v="36"/>
    <n v="0.109"/>
  </r>
  <r>
    <s v="SS003-JBA-08132021"/>
    <s v="Spill"/>
    <x v="1"/>
    <s v="Dace. Sp"/>
    <s v="Rhinichthys"/>
    <s v="gibbosus"/>
    <s v="U"/>
    <x v="0"/>
    <n v="8"/>
    <n v="11.81"/>
    <x v="37"/>
    <s v="812-70-4"/>
    <x v="37"/>
    <n v="0.2185"/>
  </r>
  <r>
    <s v="SS003-JBA-08132021"/>
    <s v="Spill"/>
    <x v="1"/>
    <s v="Dace. Sp"/>
    <s v="Rhinichthys"/>
    <s v="gibbosus"/>
    <s v="U"/>
    <x v="0"/>
    <n v="8"/>
    <n v="11.81"/>
    <x v="38"/>
    <s v="53826-12-3"/>
    <x v="38"/>
    <n v="0.2185"/>
  </r>
  <r>
    <s v="SS003-JBA-08132021"/>
    <s v="Spill"/>
    <x v="1"/>
    <s v="Dace. Sp"/>
    <s v="Rhinichthys"/>
    <s v="gibbosus"/>
    <s v="U"/>
    <x v="0"/>
    <n v="8"/>
    <n v="11.81"/>
    <x v="39"/>
    <s v="27854-31-5"/>
    <x v="39"/>
    <n v="0.109"/>
  </r>
  <r>
    <s v="SS003-JBA-08132021"/>
    <s v="Spill"/>
    <x v="1"/>
    <s v="Dace. Sp"/>
    <s v="Rhinichthys"/>
    <s v="gibbosus"/>
    <s v="U"/>
    <x v="0"/>
    <n v="8"/>
    <n v="11.81"/>
    <x v="40"/>
    <s v="53826-13-4"/>
    <x v="40"/>
    <n v="0.2185"/>
  </r>
  <r>
    <s v="SS003-JBA-08132021"/>
    <s v="Spill"/>
    <x v="1"/>
    <s v="Dace. Sp"/>
    <s v="Rhinichthys"/>
    <s v="gibbosus"/>
    <s v="U"/>
    <x v="0"/>
    <n v="8"/>
    <n v="11.81"/>
    <x v="41"/>
    <s v="161094-75-3"/>
    <x v="41"/>
    <n v="8.5500000000000007E-2"/>
  </r>
  <r>
    <s v="SS003-JBA-08132021"/>
    <s v="Spill"/>
    <x v="1"/>
    <s v="Dace. Sp"/>
    <s v="Rhinichthys"/>
    <s v="gibbosus"/>
    <s v="U"/>
    <x v="0"/>
    <n v="8"/>
    <n v="11.81"/>
    <x v="42"/>
    <s v="70887-84-2"/>
    <x v="42"/>
    <n v="6.6000000000000003E-2"/>
  </r>
  <r>
    <s v="SS003-JBA-08132021"/>
    <s v="Spill"/>
    <x v="1"/>
    <s v="Dace. Sp"/>
    <s v="Rhinichthys"/>
    <s v="gibbosus"/>
    <s v="U"/>
    <x v="0"/>
    <n v="8"/>
    <n v="11.81"/>
    <x v="43"/>
    <s v="919005-14-4"/>
    <x v="43"/>
    <n v="9.6500000000000002E-2"/>
  </r>
  <r>
    <s v="SS003-JBA-08132021"/>
    <s v="Spill"/>
    <x v="1"/>
    <s v="Dace. Sp"/>
    <s v="Rhinichthys"/>
    <s v="gibbosus"/>
    <s v="U"/>
    <x v="0"/>
    <n v="8"/>
    <n v="11.81"/>
    <x v="44"/>
    <s v="756426-58-1"/>
    <x v="44"/>
    <n v="0.2185"/>
  </r>
  <r>
    <s v="SS003-JBA-08132021"/>
    <s v="Spill"/>
    <x v="1"/>
    <s v="Dace. Sp"/>
    <s v="Rhinichthys"/>
    <s v="gibbosus"/>
    <s v="U"/>
    <x v="0"/>
    <n v="8"/>
    <n v="11.81"/>
    <x v="45"/>
    <s v="763051-92-9"/>
    <x v="45"/>
    <n v="0.2185"/>
  </r>
  <r>
    <s v="SS003-JBA-08132021"/>
    <s v="Spill"/>
    <x v="1"/>
    <s v="Dace. Sp"/>
    <s v="Rhinichthys"/>
    <s v="gibbosus"/>
    <s v="U"/>
    <x v="0"/>
    <n v="8"/>
    <n v="11.81"/>
    <x v="46"/>
    <s v="13252-13-6"/>
    <x v="46"/>
    <n v="0.1565"/>
  </r>
  <r>
    <s v="SS003-JBA-08132021"/>
    <s v="Spill"/>
    <x v="1"/>
    <s v="Dace. Sp"/>
    <s v="Rhinichthys"/>
    <s v="gibbosus"/>
    <s v="U"/>
    <x v="0"/>
    <n v="8"/>
    <n v="11.81"/>
    <x v="47"/>
    <s v="57677-95-9"/>
    <x v="47"/>
    <n v="0.2185"/>
  </r>
  <r>
    <s v="SS003-JBA-08132021"/>
    <s v="Spill"/>
    <x v="1"/>
    <s v="Dace. Sp"/>
    <s v="Rhinichthys"/>
    <s v="gibbosus"/>
    <s v="U"/>
    <x v="0"/>
    <n v="8"/>
    <n v="11.81"/>
    <x v="48"/>
    <s v="678-41-1"/>
    <x v="48"/>
    <n v="0.2185"/>
  </r>
  <r>
    <s v="SS003-JBA-08132021"/>
    <s v="Spill"/>
    <x v="1"/>
    <s v="Dace. Sp"/>
    <s v="Rhinichthys"/>
    <s v="gibbosus"/>
    <s v="U"/>
    <x v="0"/>
    <n v="8"/>
    <n v="11.81"/>
    <x v="49"/>
    <s v="2965-52-8"/>
    <x v="49"/>
    <n v="0.2185"/>
  </r>
  <r>
    <s v="SS004-JBA-08132021"/>
    <s v="Spill"/>
    <x v="1"/>
    <s v="Dace. Sp"/>
    <s v="Rhinichthys"/>
    <s v="gibbosus"/>
    <s v="U"/>
    <x v="0"/>
    <n v="8"/>
    <n v="11.81"/>
    <x v="0"/>
    <s v="375-22-4"/>
    <x v="0"/>
    <n v="0.24349999999999999"/>
  </r>
  <r>
    <s v="SS004-JBA-08132021"/>
    <s v="Spill"/>
    <x v="1"/>
    <s v="Dace. Sp"/>
    <s v="Rhinichthys"/>
    <s v="gibbosus"/>
    <s v="U"/>
    <x v="0"/>
    <n v="8"/>
    <n v="11.81"/>
    <x v="1"/>
    <s v="2706-90-3"/>
    <x v="1"/>
    <n v="8.5999999999999993E-2"/>
  </r>
  <r>
    <s v="SS004-JBA-08132021"/>
    <s v="Spill"/>
    <x v="1"/>
    <s v="Dace. Sp"/>
    <s v="Rhinichthys"/>
    <s v="gibbosus"/>
    <s v="U"/>
    <x v="0"/>
    <n v="8"/>
    <n v="11.81"/>
    <x v="2"/>
    <s v="307-24-4"/>
    <x v="2"/>
    <n v="6.6000000000000003E-2"/>
  </r>
  <r>
    <s v="SS004-JBA-08132021"/>
    <s v="Spill"/>
    <x v="1"/>
    <s v="Dace. Sp"/>
    <s v="Rhinichthys"/>
    <s v="gibbosus"/>
    <s v="U"/>
    <x v="0"/>
    <n v="8"/>
    <n v="11.81"/>
    <x v="3"/>
    <s v="375-85-9"/>
    <x v="3"/>
    <n v="0.24349999999999999"/>
  </r>
  <r>
    <s v="SS004-JBA-08132021"/>
    <s v="Spill"/>
    <x v="1"/>
    <s v="Dace. Sp"/>
    <s v="Rhinichthys"/>
    <s v="gibbosus"/>
    <s v="U"/>
    <x v="0"/>
    <n v="8"/>
    <n v="11.81"/>
    <x v="4"/>
    <s v="335-67-1"/>
    <x v="4"/>
    <n v="1.33"/>
  </r>
  <r>
    <s v="SS004-JBA-08132021"/>
    <s v="Spill"/>
    <x v="1"/>
    <s v="Dace. Sp"/>
    <s v="Rhinichthys"/>
    <s v="gibbosus"/>
    <s v="U"/>
    <x v="0"/>
    <n v="8"/>
    <n v="11.81"/>
    <x v="5"/>
    <s v="375-95-1"/>
    <x v="5"/>
    <n v="2.06"/>
  </r>
  <r>
    <s v="SS004-JBA-08132021"/>
    <s v="Spill"/>
    <x v="1"/>
    <s v="Dace. Sp"/>
    <s v="Rhinichthys"/>
    <s v="gibbosus"/>
    <s v="U"/>
    <x v="0"/>
    <n v="8"/>
    <n v="11.81"/>
    <x v="6"/>
    <s v="335-76-2"/>
    <x v="6"/>
    <n v="6.13"/>
  </r>
  <r>
    <s v="SS004-JBA-08132021"/>
    <s v="Spill"/>
    <x v="1"/>
    <s v="Dace. Sp"/>
    <s v="Rhinichthys"/>
    <s v="gibbosus"/>
    <s v="U"/>
    <x v="0"/>
    <n v="8"/>
    <n v="11.81"/>
    <x v="7"/>
    <s v="2058-94-8"/>
    <x v="7"/>
    <n v="9.9499999999999993"/>
  </r>
  <r>
    <s v="SS004-JBA-08132021"/>
    <s v="Spill"/>
    <x v="1"/>
    <s v="Dace. Sp"/>
    <s v="Rhinichthys"/>
    <s v="gibbosus"/>
    <s v="U"/>
    <x v="0"/>
    <n v="8"/>
    <n v="11.81"/>
    <x v="8"/>
    <s v="307-55-1"/>
    <x v="8"/>
    <n v="10.5"/>
  </r>
  <r>
    <s v="SS004-JBA-08132021"/>
    <s v="Spill"/>
    <x v="1"/>
    <s v="Dace. Sp"/>
    <s v="Rhinichthys"/>
    <s v="gibbosus"/>
    <s v="U"/>
    <x v="0"/>
    <n v="8"/>
    <n v="11.81"/>
    <x v="9"/>
    <s v="72629-94-8"/>
    <x v="9"/>
    <n v="7.92"/>
  </r>
  <r>
    <s v="SS004-JBA-08132021"/>
    <s v="Spill"/>
    <x v="1"/>
    <s v="Dace. Sp"/>
    <s v="Rhinichthys"/>
    <s v="gibbosus"/>
    <s v="U"/>
    <x v="0"/>
    <n v="8"/>
    <n v="11.81"/>
    <x v="10"/>
    <s v="376-06-7"/>
    <x v="10"/>
    <n v="3.36"/>
  </r>
  <r>
    <s v="SS004-JBA-08132021"/>
    <s v="Spill"/>
    <x v="1"/>
    <s v="Dace. Sp"/>
    <s v="Rhinichthys"/>
    <s v="gibbosus"/>
    <s v="U"/>
    <x v="0"/>
    <n v="8"/>
    <n v="11.81"/>
    <x v="11"/>
    <s v="67905-19-5"/>
    <x v="11"/>
    <n v="0.14499999999999999"/>
  </r>
  <r>
    <s v="SS004-JBA-08132021"/>
    <s v="Spill"/>
    <x v="1"/>
    <s v="Dace. Sp"/>
    <s v="Rhinichthys"/>
    <s v="gibbosus"/>
    <s v="U"/>
    <x v="0"/>
    <n v="8"/>
    <n v="11.81"/>
    <x v="12"/>
    <s v="423-41-6"/>
    <x v="12"/>
    <n v="0.122"/>
  </r>
  <r>
    <s v="SS004-JBA-08132021"/>
    <s v="Spill"/>
    <x v="1"/>
    <s v="Dace. Sp"/>
    <s v="Rhinichthys"/>
    <s v="gibbosus"/>
    <s v="U"/>
    <x v="0"/>
    <n v="8"/>
    <n v="11.81"/>
    <x v="13"/>
    <s v="375-73-5"/>
    <x v="13"/>
    <n v="0.24349999999999999"/>
  </r>
  <r>
    <s v="SS004-JBA-08132021"/>
    <s v="Spill"/>
    <x v="1"/>
    <s v="Dace. Sp"/>
    <s v="Rhinichthys"/>
    <s v="gibbosus"/>
    <s v="U"/>
    <x v="0"/>
    <n v="8"/>
    <n v="11.81"/>
    <x v="14"/>
    <s v="2706-91-4"/>
    <x v="14"/>
    <n v="0.30299999999999999"/>
  </r>
  <r>
    <s v="SS004-JBA-08132021"/>
    <s v="Spill"/>
    <x v="1"/>
    <s v="Dace. Sp"/>
    <s v="Rhinichthys"/>
    <s v="gibbosus"/>
    <s v="U"/>
    <x v="0"/>
    <n v="8"/>
    <n v="11.81"/>
    <x v="15"/>
    <s v="355-46-4"/>
    <x v="15"/>
    <n v="41.3"/>
  </r>
  <r>
    <s v="SS004-JBA-08132021"/>
    <s v="Spill"/>
    <x v="1"/>
    <s v="Dace. Sp"/>
    <s v="Rhinichthys"/>
    <s v="gibbosus"/>
    <s v="U"/>
    <x v="0"/>
    <n v="8"/>
    <n v="11.81"/>
    <x v="16"/>
    <s v="375-92-8"/>
    <x v="16"/>
    <n v="3.37"/>
  </r>
  <r>
    <s v="SS004-JBA-08132021"/>
    <s v="Spill"/>
    <x v="1"/>
    <s v="Dace. Sp"/>
    <s v="Rhinichthys"/>
    <s v="gibbosus"/>
    <s v="U"/>
    <x v="0"/>
    <n v="8"/>
    <n v="11.81"/>
    <x v="17"/>
    <s v="1763-23-1"/>
    <x v="17"/>
    <n v="655"/>
  </r>
  <r>
    <s v="SS004-JBA-08132021"/>
    <s v="Spill"/>
    <x v="1"/>
    <s v="Dace. Sp"/>
    <s v="Rhinichthys"/>
    <s v="gibbosus"/>
    <s v="U"/>
    <x v="0"/>
    <n v="8"/>
    <n v="11.81"/>
    <x v="18"/>
    <s v="68259-12-1"/>
    <x v="18"/>
    <n v="0.48899999999999999"/>
  </r>
  <r>
    <s v="SS004-JBA-08132021"/>
    <s v="Spill"/>
    <x v="1"/>
    <s v="Dace. Sp"/>
    <s v="Rhinichthys"/>
    <s v="gibbosus"/>
    <s v="U"/>
    <x v="0"/>
    <n v="8"/>
    <n v="11.81"/>
    <x v="19"/>
    <s v="335-77-3"/>
    <x v="19"/>
    <n v="0.24349999999999999"/>
  </r>
  <r>
    <s v="SS004-JBA-08132021"/>
    <s v="Spill"/>
    <x v="1"/>
    <s v="Dace. Sp"/>
    <s v="Rhinichthys"/>
    <s v="gibbosus"/>
    <s v="U"/>
    <x v="0"/>
    <n v="8"/>
    <n v="11.81"/>
    <x v="20"/>
    <s v="79780-39-5"/>
    <x v="20"/>
    <n v="0.26050000000000001"/>
  </r>
  <r>
    <s v="SS004-JBA-08132021"/>
    <s v="Spill"/>
    <x v="1"/>
    <s v="Dace. Sp"/>
    <s v="Rhinichthys"/>
    <s v="gibbosus"/>
    <s v="U"/>
    <x v="0"/>
    <n v="8"/>
    <n v="11.81"/>
    <x v="21"/>
    <s v="777011-38-8"/>
    <x v="21"/>
    <n v="0.14799999999999999"/>
  </r>
  <r>
    <s v="SS004-JBA-08132021"/>
    <s v="Spill"/>
    <x v="1"/>
    <s v="Dace. Sp"/>
    <s v="Rhinichthys"/>
    <s v="gibbosus"/>
    <s v="U"/>
    <x v="0"/>
    <n v="8"/>
    <n v="11.81"/>
    <x v="22"/>
    <s v="646-83-3"/>
    <x v="22"/>
    <n v="0.2"/>
  </r>
  <r>
    <s v="SS004-JBA-08132021"/>
    <s v="Spill"/>
    <x v="1"/>
    <s v="Dace. Sp"/>
    <s v="Rhinichthys"/>
    <s v="gibbosus"/>
    <s v="U"/>
    <x v="0"/>
    <n v="8"/>
    <n v="11.81"/>
    <x v="23"/>
    <s v="30334-69-1"/>
    <x v="23"/>
    <n v="195"/>
  </r>
  <r>
    <s v="SS004-JBA-08132021"/>
    <s v="Spill"/>
    <x v="1"/>
    <s v="Dace. Sp"/>
    <s v="Rhinichthys"/>
    <s v="gibbosus"/>
    <s v="U"/>
    <x v="0"/>
    <n v="8"/>
    <n v="11.81"/>
    <x v="24"/>
    <s v="41997-13-1"/>
    <x v="24"/>
    <n v="726"/>
  </r>
  <r>
    <s v="SS004-JBA-08132021"/>
    <s v="Spill"/>
    <x v="1"/>
    <s v="Dace. Sp"/>
    <s v="Rhinichthys"/>
    <s v="gibbosus"/>
    <s v="U"/>
    <x v="0"/>
    <n v="8"/>
    <n v="11.81"/>
    <x v="25"/>
    <s v="754-91-6"/>
    <x v="25"/>
    <n v="18.600000000000001"/>
  </r>
  <r>
    <s v="SS004-JBA-08132021"/>
    <s v="Spill"/>
    <x v="1"/>
    <s v="Dace. Sp"/>
    <s v="Rhinichthys"/>
    <s v="gibbosus"/>
    <s v="U"/>
    <x v="0"/>
    <n v="8"/>
    <n v="11.81"/>
    <x v="26"/>
    <s v="31506-32-8"/>
    <x v="26"/>
    <n v="9.4E-2"/>
  </r>
  <r>
    <s v="SS004-JBA-08132021"/>
    <s v="Spill"/>
    <x v="1"/>
    <s v="Dace. Sp"/>
    <s v="Rhinichthys"/>
    <s v="gibbosus"/>
    <s v="U"/>
    <x v="0"/>
    <n v="8"/>
    <n v="11.81"/>
    <x v="27"/>
    <s v="4151-50-2"/>
    <x v="27"/>
    <n v="0.24349999999999999"/>
  </r>
  <r>
    <s v="SS004-JBA-08132021"/>
    <s v="Spill"/>
    <x v="1"/>
    <s v="Dace. Sp"/>
    <s v="Rhinichthys"/>
    <s v="gibbosus"/>
    <s v="U"/>
    <x v="0"/>
    <n v="8"/>
    <n v="11.81"/>
    <x v="28"/>
    <s v="2806-24-8"/>
    <x v="28"/>
    <n v="0.24349999999999999"/>
  </r>
  <r>
    <s v="SS004-JBA-08132021"/>
    <s v="Spill"/>
    <x v="1"/>
    <s v="Dace. Sp"/>
    <s v="Rhinichthys"/>
    <s v="gibbosus"/>
    <s v="U"/>
    <x v="0"/>
    <n v="8"/>
    <n v="11.81"/>
    <x v="29"/>
    <s v="2355-31-9"/>
    <x v="29"/>
    <n v="0.1225"/>
  </r>
  <r>
    <s v="SS004-JBA-08132021"/>
    <s v="Spill"/>
    <x v="1"/>
    <s v="Dace. Sp"/>
    <s v="Rhinichthys"/>
    <s v="gibbosus"/>
    <s v="U"/>
    <x v="0"/>
    <n v="8"/>
    <n v="11.81"/>
    <x v="30"/>
    <s v="2991-50-6"/>
    <x v="30"/>
    <n v="0.122"/>
  </r>
  <r>
    <s v="SS004-JBA-08132021"/>
    <s v="Spill"/>
    <x v="1"/>
    <s v="Dace. Sp"/>
    <s v="Rhinichthys"/>
    <s v="gibbosus"/>
    <s v="U"/>
    <x v="0"/>
    <n v="8"/>
    <n v="11.81"/>
    <x v="31"/>
    <s v="757124-72-4"/>
    <x v="31"/>
    <n v="0.122"/>
  </r>
  <r>
    <s v="SS004-JBA-08132021"/>
    <s v="Spill"/>
    <x v="1"/>
    <s v="Dace. Sp"/>
    <s v="Rhinichthys"/>
    <s v="gibbosus"/>
    <s v="U"/>
    <x v="0"/>
    <n v="8"/>
    <n v="11.81"/>
    <x v="32"/>
    <s v="27619-97-2"/>
    <x v="32"/>
    <n v="0.51700000000000002"/>
  </r>
  <r>
    <s v="SS004-JBA-08132021"/>
    <s v="Spill"/>
    <x v="1"/>
    <s v="Dace. Sp"/>
    <s v="Rhinichthys"/>
    <s v="gibbosus"/>
    <s v="U"/>
    <x v="0"/>
    <n v="8"/>
    <n v="11.81"/>
    <x v="33"/>
    <s v="39108-34-4"/>
    <x v="33"/>
    <n v="16"/>
  </r>
  <r>
    <s v="SS004-JBA-08132021"/>
    <s v="Spill"/>
    <x v="1"/>
    <s v="Dace. Sp"/>
    <s v="Rhinichthys"/>
    <s v="gibbosus"/>
    <s v="U"/>
    <x v="0"/>
    <n v="8"/>
    <n v="11.81"/>
    <x v="34"/>
    <s v="120226-60-0"/>
    <x v="34"/>
    <n v="0.24349999999999999"/>
  </r>
  <r>
    <s v="SS004-JBA-08132021"/>
    <s v="Spill"/>
    <x v="1"/>
    <s v="Dace. Sp"/>
    <s v="Rhinichthys"/>
    <s v="gibbosus"/>
    <s v="U"/>
    <x v="0"/>
    <n v="8"/>
    <n v="11.81"/>
    <x v="35"/>
    <s v="356-02-5"/>
    <x v="35"/>
    <n v="0.24349999999999999"/>
  </r>
  <r>
    <s v="SS004-JBA-08132021"/>
    <s v="Spill"/>
    <x v="1"/>
    <s v="Dace. Sp"/>
    <s v="Rhinichthys"/>
    <s v="gibbosus"/>
    <s v="U"/>
    <x v="0"/>
    <n v="8"/>
    <n v="11.81"/>
    <x v="36"/>
    <s v="914637-49-3"/>
    <x v="36"/>
    <n v="0.122"/>
  </r>
  <r>
    <s v="SS004-JBA-08132021"/>
    <s v="Spill"/>
    <x v="1"/>
    <s v="Dace. Sp"/>
    <s v="Rhinichthys"/>
    <s v="gibbosus"/>
    <s v="U"/>
    <x v="0"/>
    <n v="8"/>
    <n v="11.81"/>
    <x v="37"/>
    <s v="812-70-4"/>
    <x v="37"/>
    <n v="6.56"/>
  </r>
  <r>
    <s v="SS004-JBA-08132021"/>
    <s v="Spill"/>
    <x v="1"/>
    <s v="Dace. Sp"/>
    <s v="Rhinichthys"/>
    <s v="gibbosus"/>
    <s v="U"/>
    <x v="0"/>
    <n v="8"/>
    <n v="11.81"/>
    <x v="38"/>
    <s v="53826-12-3"/>
    <x v="38"/>
    <n v="0.24349999999999999"/>
  </r>
  <r>
    <s v="SS004-JBA-08132021"/>
    <s v="Spill"/>
    <x v="1"/>
    <s v="Dace. Sp"/>
    <s v="Rhinichthys"/>
    <s v="gibbosus"/>
    <s v="U"/>
    <x v="0"/>
    <n v="8"/>
    <n v="11.81"/>
    <x v="39"/>
    <s v="27854-31-5"/>
    <x v="39"/>
    <n v="0.122"/>
  </r>
  <r>
    <s v="SS004-JBA-08132021"/>
    <s v="Spill"/>
    <x v="1"/>
    <s v="Dace. Sp"/>
    <s v="Rhinichthys"/>
    <s v="gibbosus"/>
    <s v="U"/>
    <x v="0"/>
    <n v="8"/>
    <n v="11.81"/>
    <x v="40"/>
    <s v="53826-13-4"/>
    <x v="40"/>
    <n v="0.24349999999999999"/>
  </r>
  <r>
    <s v="SS004-JBA-08132021"/>
    <s v="Spill"/>
    <x v="1"/>
    <s v="Dace. Sp"/>
    <s v="Rhinichthys"/>
    <s v="gibbosus"/>
    <s v="U"/>
    <x v="0"/>
    <n v="8"/>
    <n v="11.81"/>
    <x v="41"/>
    <s v="161094-75-3"/>
    <x v="41"/>
    <n v="9.5500000000000002E-2"/>
  </r>
  <r>
    <s v="SS004-JBA-08132021"/>
    <s v="Spill"/>
    <x v="1"/>
    <s v="Dace. Sp"/>
    <s v="Rhinichthys"/>
    <s v="gibbosus"/>
    <s v="U"/>
    <x v="0"/>
    <n v="8"/>
    <n v="11.81"/>
    <x v="42"/>
    <s v="70887-84-2"/>
    <x v="42"/>
    <n v="7.3499999999999996E-2"/>
  </r>
  <r>
    <s v="SS004-JBA-08132021"/>
    <s v="Spill"/>
    <x v="1"/>
    <s v="Dace. Sp"/>
    <s v="Rhinichthys"/>
    <s v="gibbosus"/>
    <s v="U"/>
    <x v="0"/>
    <n v="8"/>
    <n v="11.81"/>
    <x v="43"/>
    <s v="919005-14-4"/>
    <x v="43"/>
    <n v="0.1075"/>
  </r>
  <r>
    <s v="SS004-JBA-08132021"/>
    <s v="Spill"/>
    <x v="1"/>
    <s v="Dace. Sp"/>
    <s v="Rhinichthys"/>
    <s v="gibbosus"/>
    <s v="U"/>
    <x v="0"/>
    <n v="8"/>
    <n v="11.81"/>
    <x v="44"/>
    <s v="756426-58-1"/>
    <x v="44"/>
    <n v="0.24349999999999999"/>
  </r>
  <r>
    <s v="SS004-JBA-08132021"/>
    <s v="Spill"/>
    <x v="1"/>
    <s v="Dace. Sp"/>
    <s v="Rhinichthys"/>
    <s v="gibbosus"/>
    <s v="U"/>
    <x v="0"/>
    <n v="8"/>
    <n v="11.81"/>
    <x v="45"/>
    <s v="763051-92-9"/>
    <x v="45"/>
    <n v="0.24349999999999999"/>
  </r>
  <r>
    <s v="SS004-JBA-08132021"/>
    <s v="Spill"/>
    <x v="1"/>
    <s v="Dace. Sp"/>
    <s v="Rhinichthys"/>
    <s v="gibbosus"/>
    <s v="U"/>
    <x v="0"/>
    <n v="8"/>
    <n v="11.81"/>
    <x v="46"/>
    <s v="13252-13-6"/>
    <x v="46"/>
    <n v="0.17499999999999999"/>
  </r>
  <r>
    <s v="SS004-JBA-08132021"/>
    <s v="Spill"/>
    <x v="1"/>
    <s v="Dace. Sp"/>
    <s v="Rhinichthys"/>
    <s v="gibbosus"/>
    <s v="U"/>
    <x v="0"/>
    <n v="8"/>
    <n v="11.81"/>
    <x v="47"/>
    <s v="57677-95-9"/>
    <x v="47"/>
    <n v="0.24349999999999999"/>
  </r>
  <r>
    <s v="SS004-JBA-08132021"/>
    <s v="Spill"/>
    <x v="1"/>
    <s v="Dace. Sp"/>
    <s v="Rhinichthys"/>
    <s v="gibbosus"/>
    <s v="U"/>
    <x v="0"/>
    <n v="8"/>
    <n v="11.81"/>
    <x v="48"/>
    <s v="678-41-1"/>
    <x v="48"/>
    <n v="0.24349999999999999"/>
  </r>
  <r>
    <s v="SS004-JBA-08132021"/>
    <s v="Spill"/>
    <x v="1"/>
    <s v="Dace. Sp"/>
    <s v="Rhinichthys"/>
    <s v="gibbosus"/>
    <s v="U"/>
    <x v="0"/>
    <n v="8"/>
    <n v="11.81"/>
    <x v="49"/>
    <s v="2965-52-8"/>
    <x v="49"/>
    <n v="0.24349999999999999"/>
  </r>
  <r>
    <s v="SS005-JBA-08132021"/>
    <s v="Spill"/>
    <x v="1"/>
    <s v="Dace. Sp"/>
    <s v="Rhinichthys"/>
    <s v="gibbosus"/>
    <s v="U"/>
    <x v="0"/>
    <n v="8"/>
    <n v="11.81"/>
    <x v="0"/>
    <s v="375-22-4"/>
    <x v="0"/>
    <n v="0.2555"/>
  </r>
  <r>
    <s v="SS005-JBA-08132021"/>
    <s v="Spill"/>
    <x v="1"/>
    <s v="Dace. Sp"/>
    <s v="Rhinichthys"/>
    <s v="gibbosus"/>
    <s v="U"/>
    <x v="0"/>
    <n v="8"/>
    <n v="11.81"/>
    <x v="1"/>
    <s v="2706-90-3"/>
    <x v="1"/>
    <n v="9.0499999999999997E-2"/>
  </r>
  <r>
    <s v="SS005-JBA-08132021"/>
    <s v="Spill"/>
    <x v="1"/>
    <s v="Dace. Sp"/>
    <s v="Rhinichthys"/>
    <s v="gibbosus"/>
    <s v="U"/>
    <x v="0"/>
    <n v="8"/>
    <n v="11.81"/>
    <x v="2"/>
    <s v="307-24-4"/>
    <x v="2"/>
    <n v="0.13800000000000001"/>
  </r>
  <r>
    <s v="SS005-JBA-08132021"/>
    <s v="Spill"/>
    <x v="1"/>
    <s v="Dace. Sp"/>
    <s v="Rhinichthys"/>
    <s v="gibbosus"/>
    <s v="U"/>
    <x v="0"/>
    <n v="8"/>
    <n v="11.81"/>
    <x v="3"/>
    <s v="375-85-9"/>
    <x v="3"/>
    <n v="0.128"/>
  </r>
  <r>
    <s v="SS005-JBA-08132021"/>
    <s v="Spill"/>
    <x v="1"/>
    <s v="Dace. Sp"/>
    <s v="Rhinichthys"/>
    <s v="gibbosus"/>
    <s v="U"/>
    <x v="0"/>
    <n v="8"/>
    <n v="11.81"/>
    <x v="4"/>
    <s v="335-67-1"/>
    <x v="4"/>
    <n v="2.93"/>
  </r>
  <r>
    <s v="SS005-JBA-08132021"/>
    <s v="Spill"/>
    <x v="1"/>
    <s v="Dace. Sp"/>
    <s v="Rhinichthys"/>
    <s v="gibbosus"/>
    <s v="U"/>
    <x v="0"/>
    <n v="8"/>
    <n v="11.81"/>
    <x v="5"/>
    <s v="375-95-1"/>
    <x v="5"/>
    <n v="2.3199999999999998"/>
  </r>
  <r>
    <s v="SS005-JBA-08132021"/>
    <s v="Spill"/>
    <x v="1"/>
    <s v="Dace. Sp"/>
    <s v="Rhinichthys"/>
    <s v="gibbosus"/>
    <s v="U"/>
    <x v="0"/>
    <n v="8"/>
    <n v="11.81"/>
    <x v="6"/>
    <s v="335-76-2"/>
    <x v="6"/>
    <n v="6.71"/>
  </r>
  <r>
    <s v="SS005-JBA-08132021"/>
    <s v="Spill"/>
    <x v="1"/>
    <s v="Dace. Sp"/>
    <s v="Rhinichthys"/>
    <s v="gibbosus"/>
    <s v="U"/>
    <x v="0"/>
    <n v="8"/>
    <n v="11.81"/>
    <x v="7"/>
    <s v="2058-94-8"/>
    <x v="7"/>
    <n v="7.72"/>
  </r>
  <r>
    <s v="SS005-JBA-08132021"/>
    <s v="Spill"/>
    <x v="1"/>
    <s v="Dace. Sp"/>
    <s v="Rhinichthys"/>
    <s v="gibbosus"/>
    <s v="U"/>
    <x v="0"/>
    <n v="8"/>
    <n v="11.81"/>
    <x v="8"/>
    <s v="307-55-1"/>
    <x v="8"/>
    <n v="15.8"/>
  </r>
  <r>
    <s v="SS005-JBA-08132021"/>
    <s v="Spill"/>
    <x v="1"/>
    <s v="Dace. Sp"/>
    <s v="Rhinichthys"/>
    <s v="gibbosus"/>
    <s v="U"/>
    <x v="0"/>
    <n v="8"/>
    <n v="11.81"/>
    <x v="9"/>
    <s v="72629-94-8"/>
    <x v="9"/>
    <n v="7.46"/>
  </r>
  <r>
    <s v="SS005-JBA-08132021"/>
    <s v="Spill"/>
    <x v="1"/>
    <s v="Dace. Sp"/>
    <s v="Rhinichthys"/>
    <s v="gibbosus"/>
    <s v="U"/>
    <x v="0"/>
    <n v="8"/>
    <n v="11.81"/>
    <x v="10"/>
    <s v="376-06-7"/>
    <x v="10"/>
    <n v="13.6"/>
  </r>
  <r>
    <s v="SS005-JBA-08132021"/>
    <s v="Spill"/>
    <x v="1"/>
    <s v="Dace. Sp"/>
    <s v="Rhinichthys"/>
    <s v="gibbosus"/>
    <s v="U"/>
    <x v="0"/>
    <n v="8"/>
    <n v="11.81"/>
    <x v="11"/>
    <s v="67905-19-5"/>
    <x v="11"/>
    <n v="0.1525"/>
  </r>
  <r>
    <s v="SS005-JBA-08132021"/>
    <s v="Spill"/>
    <x v="1"/>
    <s v="Dace. Sp"/>
    <s v="Rhinichthys"/>
    <s v="gibbosus"/>
    <s v="U"/>
    <x v="0"/>
    <n v="8"/>
    <n v="11.81"/>
    <x v="12"/>
    <s v="423-41-6"/>
    <x v="12"/>
    <n v="0.128"/>
  </r>
  <r>
    <s v="SS005-JBA-08132021"/>
    <s v="Spill"/>
    <x v="1"/>
    <s v="Dace. Sp"/>
    <s v="Rhinichthys"/>
    <s v="gibbosus"/>
    <s v="U"/>
    <x v="0"/>
    <n v="8"/>
    <n v="11.81"/>
    <x v="13"/>
    <s v="375-73-5"/>
    <x v="13"/>
    <n v="0.2555"/>
  </r>
  <r>
    <s v="SS005-JBA-08132021"/>
    <s v="Spill"/>
    <x v="1"/>
    <s v="Dace. Sp"/>
    <s v="Rhinichthys"/>
    <s v="gibbosus"/>
    <s v="U"/>
    <x v="0"/>
    <n v="8"/>
    <n v="11.81"/>
    <x v="14"/>
    <s v="2706-91-4"/>
    <x v="14"/>
    <n v="0.36599999999999999"/>
  </r>
  <r>
    <s v="SS005-JBA-08132021"/>
    <s v="Spill"/>
    <x v="1"/>
    <s v="Dace. Sp"/>
    <s v="Rhinichthys"/>
    <s v="gibbosus"/>
    <s v="U"/>
    <x v="0"/>
    <n v="8"/>
    <n v="11.81"/>
    <x v="15"/>
    <s v="355-46-4"/>
    <x v="15"/>
    <n v="60.3"/>
  </r>
  <r>
    <s v="SS005-JBA-08132021"/>
    <s v="Spill"/>
    <x v="1"/>
    <s v="Dace. Sp"/>
    <s v="Rhinichthys"/>
    <s v="gibbosus"/>
    <s v="U"/>
    <x v="0"/>
    <n v="8"/>
    <n v="11.81"/>
    <x v="16"/>
    <s v="375-92-8"/>
    <x v="16"/>
    <n v="2.69"/>
  </r>
  <r>
    <s v="SS005-JBA-08132021"/>
    <s v="Spill"/>
    <x v="1"/>
    <s v="Dace. Sp"/>
    <s v="Rhinichthys"/>
    <s v="gibbosus"/>
    <s v="U"/>
    <x v="0"/>
    <n v="8"/>
    <n v="11.81"/>
    <x v="17"/>
    <s v="1763-23-1"/>
    <x v="17"/>
    <n v="724"/>
  </r>
  <r>
    <s v="SS005-JBA-08132021"/>
    <s v="Spill"/>
    <x v="1"/>
    <s v="Dace. Sp"/>
    <s v="Rhinichthys"/>
    <s v="gibbosus"/>
    <s v="U"/>
    <x v="0"/>
    <n v="8"/>
    <n v="11.81"/>
    <x v="18"/>
    <s v="68259-12-1"/>
    <x v="18"/>
    <n v="0.2555"/>
  </r>
  <r>
    <s v="SS005-JBA-08132021"/>
    <s v="Spill"/>
    <x v="1"/>
    <s v="Dace. Sp"/>
    <s v="Rhinichthys"/>
    <s v="gibbosus"/>
    <s v="U"/>
    <x v="0"/>
    <n v="8"/>
    <n v="11.81"/>
    <x v="19"/>
    <s v="335-77-3"/>
    <x v="19"/>
    <n v="0.66"/>
  </r>
  <r>
    <s v="SS005-JBA-08132021"/>
    <s v="Spill"/>
    <x v="1"/>
    <s v="Dace. Sp"/>
    <s v="Rhinichthys"/>
    <s v="gibbosus"/>
    <s v="U"/>
    <x v="0"/>
    <n v="8"/>
    <n v="11.81"/>
    <x v="20"/>
    <s v="79780-39-5"/>
    <x v="20"/>
    <n v="0.27350000000000002"/>
  </r>
  <r>
    <s v="SS005-JBA-08132021"/>
    <s v="Spill"/>
    <x v="1"/>
    <s v="Dace. Sp"/>
    <s v="Rhinichthys"/>
    <s v="gibbosus"/>
    <s v="U"/>
    <x v="0"/>
    <n v="8"/>
    <n v="11.81"/>
    <x v="21"/>
    <s v="777011-38-8"/>
    <x v="21"/>
    <n v="0.1555"/>
  </r>
  <r>
    <s v="SS005-JBA-08132021"/>
    <s v="Spill"/>
    <x v="1"/>
    <s v="Dace. Sp"/>
    <s v="Rhinichthys"/>
    <s v="gibbosus"/>
    <s v="U"/>
    <x v="0"/>
    <n v="8"/>
    <n v="11.81"/>
    <x v="22"/>
    <s v="646-83-3"/>
    <x v="22"/>
    <n v="0.10249999999999999"/>
  </r>
  <r>
    <s v="SS005-JBA-08132021"/>
    <s v="Spill"/>
    <x v="1"/>
    <s v="Dace. Sp"/>
    <s v="Rhinichthys"/>
    <s v="gibbosus"/>
    <s v="U"/>
    <x v="0"/>
    <n v="8"/>
    <n v="11.81"/>
    <x v="23"/>
    <s v="30334-69-1"/>
    <x v="23"/>
    <n v="79.8"/>
  </r>
  <r>
    <s v="SS005-JBA-08132021"/>
    <s v="Spill"/>
    <x v="1"/>
    <s v="Dace. Sp"/>
    <s v="Rhinichthys"/>
    <s v="gibbosus"/>
    <s v="U"/>
    <x v="0"/>
    <n v="8"/>
    <n v="11.81"/>
    <x v="24"/>
    <s v="41997-13-1"/>
    <x v="24"/>
    <n v="279"/>
  </r>
  <r>
    <s v="SS005-JBA-08132021"/>
    <s v="Spill"/>
    <x v="1"/>
    <s v="Dace. Sp"/>
    <s v="Rhinichthys"/>
    <s v="gibbosus"/>
    <s v="U"/>
    <x v="0"/>
    <n v="8"/>
    <n v="11.81"/>
    <x v="25"/>
    <s v="754-91-6"/>
    <x v="25"/>
    <n v="11.6"/>
  </r>
  <r>
    <s v="SS005-JBA-08132021"/>
    <s v="Spill"/>
    <x v="1"/>
    <s v="Dace. Sp"/>
    <s v="Rhinichthys"/>
    <s v="gibbosus"/>
    <s v="U"/>
    <x v="0"/>
    <n v="8"/>
    <n v="11.81"/>
    <x v="26"/>
    <s v="31506-32-8"/>
    <x v="26"/>
    <n v="9.8500000000000004E-2"/>
  </r>
  <r>
    <s v="SS005-JBA-08132021"/>
    <s v="Spill"/>
    <x v="1"/>
    <s v="Dace. Sp"/>
    <s v="Rhinichthys"/>
    <s v="gibbosus"/>
    <s v="U"/>
    <x v="0"/>
    <n v="8"/>
    <n v="11.81"/>
    <x v="27"/>
    <s v="4151-50-2"/>
    <x v="27"/>
    <n v="0.2555"/>
  </r>
  <r>
    <s v="SS005-JBA-08132021"/>
    <s v="Spill"/>
    <x v="1"/>
    <s v="Dace. Sp"/>
    <s v="Rhinichthys"/>
    <s v="gibbosus"/>
    <s v="U"/>
    <x v="0"/>
    <n v="8"/>
    <n v="11.81"/>
    <x v="28"/>
    <s v="2806-24-8"/>
    <x v="28"/>
    <n v="0.2555"/>
  </r>
  <r>
    <s v="SS005-JBA-08132021"/>
    <s v="Spill"/>
    <x v="1"/>
    <s v="Dace. Sp"/>
    <s v="Rhinichthys"/>
    <s v="gibbosus"/>
    <s v="U"/>
    <x v="0"/>
    <n v="8"/>
    <n v="11.81"/>
    <x v="29"/>
    <s v="2355-31-9"/>
    <x v="29"/>
    <n v="0.1285"/>
  </r>
  <r>
    <s v="SS005-JBA-08132021"/>
    <s v="Spill"/>
    <x v="1"/>
    <s v="Dace. Sp"/>
    <s v="Rhinichthys"/>
    <s v="gibbosus"/>
    <s v="U"/>
    <x v="0"/>
    <n v="8"/>
    <n v="11.81"/>
    <x v="30"/>
    <s v="2991-50-6"/>
    <x v="30"/>
    <n v="0.128"/>
  </r>
  <r>
    <s v="SS005-JBA-08132021"/>
    <s v="Spill"/>
    <x v="1"/>
    <s v="Dace. Sp"/>
    <s v="Rhinichthys"/>
    <s v="gibbosus"/>
    <s v="U"/>
    <x v="0"/>
    <n v="8"/>
    <n v="11.81"/>
    <x v="31"/>
    <s v="757124-72-4"/>
    <x v="31"/>
    <n v="0.128"/>
  </r>
  <r>
    <s v="SS005-JBA-08132021"/>
    <s v="Spill"/>
    <x v="1"/>
    <s v="Dace. Sp"/>
    <s v="Rhinichthys"/>
    <s v="gibbosus"/>
    <s v="U"/>
    <x v="0"/>
    <n v="8"/>
    <n v="11.81"/>
    <x v="32"/>
    <s v="27619-97-2"/>
    <x v="32"/>
    <n v="0.84799999999999998"/>
  </r>
  <r>
    <s v="SS005-JBA-08132021"/>
    <s v="Spill"/>
    <x v="1"/>
    <s v="Dace. Sp"/>
    <s v="Rhinichthys"/>
    <s v="gibbosus"/>
    <s v="U"/>
    <x v="0"/>
    <n v="8"/>
    <n v="11.81"/>
    <x v="33"/>
    <s v="39108-34-4"/>
    <x v="33"/>
    <n v="11.5"/>
  </r>
  <r>
    <s v="SS005-JBA-08132021"/>
    <s v="Spill"/>
    <x v="1"/>
    <s v="Dace. Sp"/>
    <s v="Rhinichthys"/>
    <s v="gibbosus"/>
    <s v="U"/>
    <x v="0"/>
    <n v="8"/>
    <n v="11.81"/>
    <x v="34"/>
    <s v="120226-60-0"/>
    <x v="34"/>
    <n v="0.51"/>
  </r>
  <r>
    <s v="SS005-JBA-08132021"/>
    <s v="Spill"/>
    <x v="1"/>
    <s v="Dace. Sp"/>
    <s v="Rhinichthys"/>
    <s v="gibbosus"/>
    <s v="U"/>
    <x v="0"/>
    <n v="8"/>
    <n v="11.81"/>
    <x v="35"/>
    <s v="356-02-5"/>
    <x v="35"/>
    <n v="0.2555"/>
  </r>
  <r>
    <s v="SS005-JBA-08132021"/>
    <s v="Spill"/>
    <x v="1"/>
    <s v="Dace. Sp"/>
    <s v="Rhinichthys"/>
    <s v="gibbosus"/>
    <s v="U"/>
    <x v="0"/>
    <n v="8"/>
    <n v="11.81"/>
    <x v="36"/>
    <s v="914637-49-3"/>
    <x v="36"/>
    <n v="0.128"/>
  </r>
  <r>
    <s v="SS005-JBA-08132021"/>
    <s v="Spill"/>
    <x v="1"/>
    <s v="Dace. Sp"/>
    <s v="Rhinichthys"/>
    <s v="gibbosus"/>
    <s v="U"/>
    <x v="0"/>
    <n v="8"/>
    <n v="11.81"/>
    <x v="37"/>
    <s v="812-70-4"/>
    <x v="37"/>
    <n v="6.73"/>
  </r>
  <r>
    <s v="SS005-JBA-08132021"/>
    <s v="Spill"/>
    <x v="1"/>
    <s v="Dace. Sp"/>
    <s v="Rhinichthys"/>
    <s v="gibbosus"/>
    <s v="U"/>
    <x v="0"/>
    <n v="8"/>
    <n v="11.81"/>
    <x v="38"/>
    <s v="53826-12-3"/>
    <x v="38"/>
    <n v="0.2555"/>
  </r>
  <r>
    <s v="SS005-JBA-08132021"/>
    <s v="Spill"/>
    <x v="1"/>
    <s v="Dace. Sp"/>
    <s v="Rhinichthys"/>
    <s v="gibbosus"/>
    <s v="U"/>
    <x v="0"/>
    <n v="8"/>
    <n v="11.81"/>
    <x v="39"/>
    <s v="27854-31-5"/>
    <x v="39"/>
    <n v="0.128"/>
  </r>
  <r>
    <s v="SS005-JBA-08132021"/>
    <s v="Spill"/>
    <x v="1"/>
    <s v="Dace. Sp"/>
    <s v="Rhinichthys"/>
    <s v="gibbosus"/>
    <s v="U"/>
    <x v="0"/>
    <n v="8"/>
    <n v="11.81"/>
    <x v="40"/>
    <s v="53826-13-4"/>
    <x v="40"/>
    <n v="0.2555"/>
  </r>
  <r>
    <s v="SS005-JBA-08132021"/>
    <s v="Spill"/>
    <x v="1"/>
    <s v="Dace. Sp"/>
    <s v="Rhinichthys"/>
    <s v="gibbosus"/>
    <s v="U"/>
    <x v="0"/>
    <n v="8"/>
    <n v="11.81"/>
    <x v="41"/>
    <s v="161094-75-3"/>
    <x v="41"/>
    <n v="0.10050000000000001"/>
  </r>
  <r>
    <s v="SS005-JBA-08132021"/>
    <s v="Spill"/>
    <x v="1"/>
    <s v="Dace. Sp"/>
    <s v="Rhinichthys"/>
    <s v="gibbosus"/>
    <s v="U"/>
    <x v="0"/>
    <n v="8"/>
    <n v="11.81"/>
    <x v="42"/>
    <s v="70887-84-2"/>
    <x v="42"/>
    <n v="7.7499999999999999E-2"/>
  </r>
  <r>
    <s v="SS005-JBA-08132021"/>
    <s v="Spill"/>
    <x v="1"/>
    <s v="Dace. Sp"/>
    <s v="Rhinichthys"/>
    <s v="gibbosus"/>
    <s v="U"/>
    <x v="0"/>
    <n v="8"/>
    <n v="11.81"/>
    <x v="43"/>
    <s v="919005-14-4"/>
    <x v="43"/>
    <n v="0.113"/>
  </r>
  <r>
    <s v="SS005-JBA-08132021"/>
    <s v="Spill"/>
    <x v="1"/>
    <s v="Dace. Sp"/>
    <s v="Rhinichthys"/>
    <s v="gibbosus"/>
    <s v="U"/>
    <x v="0"/>
    <n v="8"/>
    <n v="11.81"/>
    <x v="44"/>
    <s v="756426-58-1"/>
    <x v="44"/>
    <n v="0.2555"/>
  </r>
  <r>
    <s v="SS005-JBA-08132021"/>
    <s v="Spill"/>
    <x v="1"/>
    <s v="Dace. Sp"/>
    <s v="Rhinichthys"/>
    <s v="gibbosus"/>
    <s v="U"/>
    <x v="0"/>
    <n v="8"/>
    <n v="11.81"/>
    <x v="45"/>
    <s v="763051-92-9"/>
    <x v="45"/>
    <n v="0.2555"/>
  </r>
  <r>
    <s v="SS005-JBA-08132021"/>
    <s v="Spill"/>
    <x v="1"/>
    <s v="Dace. Sp"/>
    <s v="Rhinichthys"/>
    <s v="gibbosus"/>
    <s v="U"/>
    <x v="0"/>
    <n v="8"/>
    <n v="11.81"/>
    <x v="46"/>
    <s v="13252-13-6"/>
    <x v="46"/>
    <n v="0.1835"/>
  </r>
  <r>
    <s v="SS005-JBA-08132021"/>
    <s v="Spill"/>
    <x v="1"/>
    <s v="Dace. Sp"/>
    <s v="Rhinichthys"/>
    <s v="gibbosus"/>
    <s v="U"/>
    <x v="0"/>
    <n v="8"/>
    <n v="11.81"/>
    <x v="47"/>
    <s v="57677-95-9"/>
    <x v="47"/>
    <n v="0.2555"/>
  </r>
  <r>
    <s v="SS005-JBA-08132021"/>
    <s v="Spill"/>
    <x v="1"/>
    <s v="Dace. Sp"/>
    <s v="Rhinichthys"/>
    <s v="gibbosus"/>
    <s v="U"/>
    <x v="0"/>
    <n v="8"/>
    <n v="11.81"/>
    <x v="48"/>
    <s v="678-41-1"/>
    <x v="48"/>
    <n v="0.2555"/>
  </r>
  <r>
    <s v="SS005-JBA-08132021"/>
    <s v="Spill"/>
    <x v="1"/>
    <s v="Dace. Sp"/>
    <s v="Rhinichthys"/>
    <s v="gibbosus"/>
    <s v="U"/>
    <x v="0"/>
    <n v="8"/>
    <n v="11.81"/>
    <x v="49"/>
    <s v="2965-52-8"/>
    <x v="49"/>
    <n v="0.2555"/>
  </r>
  <r>
    <s v="SS006-JBA-08132021"/>
    <s v="Spill"/>
    <x v="1"/>
    <s v="Dace. Sp"/>
    <s v="Rhinichthys"/>
    <s v="gibbosus"/>
    <s v="U"/>
    <x v="0"/>
    <n v="8"/>
    <n v="11.81"/>
    <x v="0"/>
    <s v="375-22-4"/>
    <x v="0"/>
    <n v="0.248"/>
  </r>
  <r>
    <s v="SS006-JBA-08132021"/>
    <s v="Spill"/>
    <x v="1"/>
    <s v="Dace. Sp"/>
    <s v="Rhinichthys"/>
    <s v="gibbosus"/>
    <s v="U"/>
    <x v="0"/>
    <n v="8"/>
    <n v="11.81"/>
    <x v="1"/>
    <s v="2706-90-3"/>
    <x v="1"/>
    <n v="8.7499999999999994E-2"/>
  </r>
  <r>
    <s v="SS006-JBA-08132021"/>
    <s v="Spill"/>
    <x v="1"/>
    <s v="Dace. Sp"/>
    <s v="Rhinichthys"/>
    <s v="gibbosus"/>
    <s v="U"/>
    <x v="0"/>
    <n v="8"/>
    <n v="11.81"/>
    <x v="2"/>
    <s v="307-24-4"/>
    <x v="2"/>
    <n v="0.13400000000000001"/>
  </r>
  <r>
    <s v="SS006-JBA-08132021"/>
    <s v="Spill"/>
    <x v="1"/>
    <s v="Dace. Sp"/>
    <s v="Rhinichthys"/>
    <s v="gibbosus"/>
    <s v="U"/>
    <x v="0"/>
    <n v="8"/>
    <n v="11.81"/>
    <x v="3"/>
    <s v="375-85-9"/>
    <x v="3"/>
    <n v="0.248"/>
  </r>
  <r>
    <s v="SS006-JBA-08132021"/>
    <s v="Spill"/>
    <x v="1"/>
    <s v="Dace. Sp"/>
    <s v="Rhinichthys"/>
    <s v="gibbosus"/>
    <s v="U"/>
    <x v="0"/>
    <n v="8"/>
    <n v="11.81"/>
    <x v="4"/>
    <s v="335-67-1"/>
    <x v="4"/>
    <n v="5.39"/>
  </r>
  <r>
    <s v="SS006-JBA-08132021"/>
    <s v="Spill"/>
    <x v="1"/>
    <s v="Dace. Sp"/>
    <s v="Rhinichthys"/>
    <s v="gibbosus"/>
    <s v="U"/>
    <x v="0"/>
    <n v="8"/>
    <n v="11.81"/>
    <x v="5"/>
    <s v="375-95-1"/>
    <x v="5"/>
    <n v="7.52"/>
  </r>
  <r>
    <s v="SS006-JBA-08132021"/>
    <s v="Spill"/>
    <x v="1"/>
    <s v="Dace. Sp"/>
    <s v="Rhinichthys"/>
    <s v="gibbosus"/>
    <s v="U"/>
    <x v="0"/>
    <n v="8"/>
    <n v="11.81"/>
    <x v="6"/>
    <s v="335-76-2"/>
    <x v="6"/>
    <n v="11.1"/>
  </r>
  <r>
    <s v="SS006-JBA-08132021"/>
    <s v="Spill"/>
    <x v="1"/>
    <s v="Dace. Sp"/>
    <s v="Rhinichthys"/>
    <s v="gibbosus"/>
    <s v="U"/>
    <x v="0"/>
    <n v="8"/>
    <n v="11.81"/>
    <x v="7"/>
    <s v="2058-94-8"/>
    <x v="7"/>
    <n v="9.7200000000000006"/>
  </r>
  <r>
    <s v="SS006-JBA-08132021"/>
    <s v="Spill"/>
    <x v="1"/>
    <s v="Dace. Sp"/>
    <s v="Rhinichthys"/>
    <s v="gibbosus"/>
    <s v="U"/>
    <x v="0"/>
    <n v="8"/>
    <n v="11.81"/>
    <x v="8"/>
    <s v="307-55-1"/>
    <x v="8"/>
    <n v="7.14"/>
  </r>
  <r>
    <s v="SS006-JBA-08132021"/>
    <s v="Spill"/>
    <x v="1"/>
    <s v="Dace. Sp"/>
    <s v="Rhinichthys"/>
    <s v="gibbosus"/>
    <s v="U"/>
    <x v="0"/>
    <n v="8"/>
    <n v="11.81"/>
    <x v="9"/>
    <s v="72629-94-8"/>
    <x v="9"/>
    <n v="3.78"/>
  </r>
  <r>
    <s v="SS006-JBA-08132021"/>
    <s v="Spill"/>
    <x v="1"/>
    <s v="Dace. Sp"/>
    <s v="Rhinichthys"/>
    <s v="gibbosus"/>
    <s v="U"/>
    <x v="0"/>
    <n v="8"/>
    <n v="11.81"/>
    <x v="10"/>
    <s v="376-06-7"/>
    <x v="10"/>
    <n v="2.5299999999999998"/>
  </r>
  <r>
    <s v="SS006-JBA-08132021"/>
    <s v="Spill"/>
    <x v="1"/>
    <s v="Dace. Sp"/>
    <s v="Rhinichthys"/>
    <s v="gibbosus"/>
    <s v="U"/>
    <x v="0"/>
    <n v="8"/>
    <n v="11.81"/>
    <x v="11"/>
    <s v="67905-19-5"/>
    <x v="11"/>
    <n v="0.14749999999999999"/>
  </r>
  <r>
    <s v="SS006-JBA-08132021"/>
    <s v="Spill"/>
    <x v="1"/>
    <s v="Dace. Sp"/>
    <s v="Rhinichthys"/>
    <s v="gibbosus"/>
    <s v="U"/>
    <x v="0"/>
    <n v="8"/>
    <n v="11.81"/>
    <x v="12"/>
    <s v="423-41-6"/>
    <x v="12"/>
    <n v="0.124"/>
  </r>
  <r>
    <s v="SS006-JBA-08132021"/>
    <s v="Spill"/>
    <x v="1"/>
    <s v="Dace. Sp"/>
    <s v="Rhinichthys"/>
    <s v="gibbosus"/>
    <s v="U"/>
    <x v="0"/>
    <n v="8"/>
    <n v="11.81"/>
    <x v="13"/>
    <s v="375-73-5"/>
    <x v="13"/>
    <n v="0.248"/>
  </r>
  <r>
    <s v="SS006-JBA-08132021"/>
    <s v="Spill"/>
    <x v="1"/>
    <s v="Dace. Sp"/>
    <s v="Rhinichthys"/>
    <s v="gibbosus"/>
    <s v="U"/>
    <x v="0"/>
    <n v="8"/>
    <n v="11.81"/>
    <x v="14"/>
    <s v="2706-91-4"/>
    <x v="14"/>
    <n v="0.435"/>
  </r>
  <r>
    <s v="SS006-JBA-08132021"/>
    <s v="Spill"/>
    <x v="1"/>
    <s v="Dace. Sp"/>
    <s v="Rhinichthys"/>
    <s v="gibbosus"/>
    <s v="U"/>
    <x v="0"/>
    <n v="8"/>
    <n v="11.81"/>
    <x v="15"/>
    <s v="355-46-4"/>
    <x v="15"/>
    <n v="62.7"/>
  </r>
  <r>
    <s v="SS006-JBA-08132021"/>
    <s v="Spill"/>
    <x v="1"/>
    <s v="Dace. Sp"/>
    <s v="Rhinichthys"/>
    <s v="gibbosus"/>
    <s v="U"/>
    <x v="0"/>
    <n v="8"/>
    <n v="11.81"/>
    <x v="16"/>
    <s v="375-92-8"/>
    <x v="16"/>
    <n v="6.45"/>
  </r>
  <r>
    <s v="SS006-JBA-08132021"/>
    <s v="Spill"/>
    <x v="1"/>
    <s v="Dace. Sp"/>
    <s v="Rhinichthys"/>
    <s v="gibbosus"/>
    <s v="U"/>
    <x v="0"/>
    <n v="8"/>
    <n v="11.81"/>
    <x v="17"/>
    <s v="1763-23-1"/>
    <x v="17"/>
    <n v="809"/>
  </r>
  <r>
    <s v="SS006-JBA-08132021"/>
    <s v="Spill"/>
    <x v="1"/>
    <s v="Dace. Sp"/>
    <s v="Rhinichthys"/>
    <s v="gibbosus"/>
    <s v="U"/>
    <x v="0"/>
    <n v="8"/>
    <n v="11.81"/>
    <x v="18"/>
    <s v="68259-12-1"/>
    <x v="18"/>
    <n v="0.71499999999999997"/>
  </r>
  <r>
    <s v="SS006-JBA-08132021"/>
    <s v="Spill"/>
    <x v="1"/>
    <s v="Dace. Sp"/>
    <s v="Rhinichthys"/>
    <s v="gibbosus"/>
    <s v="U"/>
    <x v="0"/>
    <n v="8"/>
    <n v="11.81"/>
    <x v="19"/>
    <s v="335-77-3"/>
    <x v="19"/>
    <n v="0.66800000000000004"/>
  </r>
  <r>
    <s v="SS006-JBA-08132021"/>
    <s v="Spill"/>
    <x v="1"/>
    <s v="Dace. Sp"/>
    <s v="Rhinichthys"/>
    <s v="gibbosus"/>
    <s v="U"/>
    <x v="0"/>
    <n v="8"/>
    <n v="11.81"/>
    <x v="20"/>
    <s v="79780-39-5"/>
    <x v="20"/>
    <n v="0.26500000000000001"/>
  </r>
  <r>
    <s v="SS006-JBA-08132021"/>
    <s v="Spill"/>
    <x v="1"/>
    <s v="Dace. Sp"/>
    <s v="Rhinichthys"/>
    <s v="gibbosus"/>
    <s v="U"/>
    <x v="0"/>
    <n v="8"/>
    <n v="11.81"/>
    <x v="21"/>
    <s v="777011-38-8"/>
    <x v="21"/>
    <n v="0.32800000000000001"/>
  </r>
  <r>
    <s v="SS006-JBA-08132021"/>
    <s v="Spill"/>
    <x v="1"/>
    <s v="Dace. Sp"/>
    <s v="Rhinichthys"/>
    <s v="gibbosus"/>
    <s v="U"/>
    <x v="0"/>
    <n v="8"/>
    <n v="11.81"/>
    <x v="22"/>
    <s v="646-83-3"/>
    <x v="22"/>
    <n v="0.33400000000000002"/>
  </r>
  <r>
    <s v="SS006-JBA-08132021"/>
    <s v="Spill"/>
    <x v="1"/>
    <s v="Dace. Sp"/>
    <s v="Rhinichthys"/>
    <s v="gibbosus"/>
    <s v="U"/>
    <x v="0"/>
    <n v="8"/>
    <n v="11.81"/>
    <x v="23"/>
    <s v="30334-69-1"/>
    <x v="23"/>
    <n v="54"/>
  </r>
  <r>
    <s v="SS006-JBA-08132021"/>
    <s v="Spill"/>
    <x v="1"/>
    <s v="Dace. Sp"/>
    <s v="Rhinichthys"/>
    <s v="gibbosus"/>
    <s v="U"/>
    <x v="0"/>
    <n v="8"/>
    <n v="11.81"/>
    <x v="24"/>
    <s v="41997-13-1"/>
    <x v="24"/>
    <n v="383"/>
  </r>
  <r>
    <s v="SS006-JBA-08132021"/>
    <s v="Spill"/>
    <x v="1"/>
    <s v="Dace. Sp"/>
    <s v="Rhinichthys"/>
    <s v="gibbosus"/>
    <s v="U"/>
    <x v="0"/>
    <n v="8"/>
    <n v="11.81"/>
    <x v="25"/>
    <s v="754-91-6"/>
    <x v="25"/>
    <n v="13.5"/>
  </r>
  <r>
    <s v="SS006-JBA-08132021"/>
    <s v="Spill"/>
    <x v="1"/>
    <s v="Dace. Sp"/>
    <s v="Rhinichthys"/>
    <s v="gibbosus"/>
    <s v="U"/>
    <x v="0"/>
    <n v="8"/>
    <n v="11.81"/>
    <x v="26"/>
    <s v="31506-32-8"/>
    <x v="26"/>
    <n v="9.5500000000000002E-2"/>
  </r>
  <r>
    <s v="SS006-JBA-08132021"/>
    <s v="Spill"/>
    <x v="1"/>
    <s v="Dace. Sp"/>
    <s v="Rhinichthys"/>
    <s v="gibbosus"/>
    <s v="U"/>
    <x v="0"/>
    <n v="8"/>
    <n v="11.81"/>
    <x v="27"/>
    <s v="4151-50-2"/>
    <x v="27"/>
    <n v="0.248"/>
  </r>
  <r>
    <s v="SS006-JBA-08132021"/>
    <s v="Spill"/>
    <x v="1"/>
    <s v="Dace. Sp"/>
    <s v="Rhinichthys"/>
    <s v="gibbosus"/>
    <s v="U"/>
    <x v="0"/>
    <n v="8"/>
    <n v="11.81"/>
    <x v="28"/>
    <s v="2806-24-8"/>
    <x v="28"/>
    <n v="0.248"/>
  </r>
  <r>
    <s v="SS006-JBA-08132021"/>
    <s v="Spill"/>
    <x v="1"/>
    <s v="Dace. Sp"/>
    <s v="Rhinichthys"/>
    <s v="gibbosus"/>
    <s v="U"/>
    <x v="0"/>
    <n v="8"/>
    <n v="11.81"/>
    <x v="29"/>
    <s v="2355-31-9"/>
    <x v="29"/>
    <n v="0.1245"/>
  </r>
  <r>
    <s v="SS006-JBA-08132021"/>
    <s v="Spill"/>
    <x v="1"/>
    <s v="Dace. Sp"/>
    <s v="Rhinichthys"/>
    <s v="gibbosus"/>
    <s v="U"/>
    <x v="0"/>
    <n v="8"/>
    <n v="11.81"/>
    <x v="30"/>
    <s v="2991-50-6"/>
    <x v="30"/>
    <n v="0.124"/>
  </r>
  <r>
    <s v="SS006-JBA-08132021"/>
    <s v="Spill"/>
    <x v="1"/>
    <s v="Dace. Sp"/>
    <s v="Rhinichthys"/>
    <s v="gibbosus"/>
    <s v="U"/>
    <x v="0"/>
    <n v="8"/>
    <n v="11.81"/>
    <x v="31"/>
    <s v="757124-72-4"/>
    <x v="31"/>
    <n v="0.124"/>
  </r>
  <r>
    <s v="SS006-JBA-08132021"/>
    <s v="Spill"/>
    <x v="1"/>
    <s v="Dace. Sp"/>
    <s v="Rhinichthys"/>
    <s v="gibbosus"/>
    <s v="U"/>
    <x v="0"/>
    <n v="8"/>
    <n v="11.81"/>
    <x v="32"/>
    <s v="27619-97-2"/>
    <x v="32"/>
    <n v="1.42"/>
  </r>
  <r>
    <s v="SS006-JBA-08132021"/>
    <s v="Spill"/>
    <x v="1"/>
    <s v="Dace. Sp"/>
    <s v="Rhinichthys"/>
    <s v="gibbosus"/>
    <s v="U"/>
    <x v="0"/>
    <n v="8"/>
    <n v="11.81"/>
    <x v="33"/>
    <s v="39108-34-4"/>
    <x v="33"/>
    <n v="20.3"/>
  </r>
  <r>
    <s v="SS006-JBA-08132021"/>
    <s v="Spill"/>
    <x v="1"/>
    <s v="Dace. Sp"/>
    <s v="Rhinichthys"/>
    <s v="gibbosus"/>
    <s v="U"/>
    <x v="0"/>
    <n v="8"/>
    <n v="11.81"/>
    <x v="34"/>
    <s v="120226-60-0"/>
    <x v="34"/>
    <n v="0.248"/>
  </r>
  <r>
    <s v="SS006-JBA-08132021"/>
    <s v="Spill"/>
    <x v="1"/>
    <s v="Dace. Sp"/>
    <s v="Rhinichthys"/>
    <s v="gibbosus"/>
    <s v="U"/>
    <x v="0"/>
    <n v="8"/>
    <n v="11.81"/>
    <x v="35"/>
    <s v="356-02-5"/>
    <x v="35"/>
    <n v="0.248"/>
  </r>
  <r>
    <s v="SS006-JBA-08132021"/>
    <s v="Spill"/>
    <x v="1"/>
    <s v="Dace. Sp"/>
    <s v="Rhinichthys"/>
    <s v="gibbosus"/>
    <s v="U"/>
    <x v="0"/>
    <n v="8"/>
    <n v="11.81"/>
    <x v="36"/>
    <s v="914637-49-3"/>
    <x v="36"/>
    <n v="0.95"/>
  </r>
  <r>
    <s v="SS006-JBA-08132021"/>
    <s v="Spill"/>
    <x v="1"/>
    <s v="Dace. Sp"/>
    <s v="Rhinichthys"/>
    <s v="gibbosus"/>
    <s v="U"/>
    <x v="0"/>
    <n v="8"/>
    <n v="11.81"/>
    <x v="37"/>
    <s v="812-70-4"/>
    <x v="37"/>
    <n v="0.248"/>
  </r>
  <r>
    <s v="SS006-JBA-08132021"/>
    <s v="Spill"/>
    <x v="1"/>
    <s v="Dace. Sp"/>
    <s v="Rhinichthys"/>
    <s v="gibbosus"/>
    <s v="U"/>
    <x v="0"/>
    <n v="8"/>
    <n v="11.81"/>
    <x v="38"/>
    <s v="53826-12-3"/>
    <x v="38"/>
    <n v="0.248"/>
  </r>
  <r>
    <s v="SS006-JBA-08132021"/>
    <s v="Spill"/>
    <x v="1"/>
    <s v="Dace. Sp"/>
    <s v="Rhinichthys"/>
    <s v="gibbosus"/>
    <s v="U"/>
    <x v="0"/>
    <n v="8"/>
    <n v="11.81"/>
    <x v="39"/>
    <s v="27854-31-5"/>
    <x v="39"/>
    <n v="0.124"/>
  </r>
  <r>
    <s v="SS006-JBA-08132021"/>
    <s v="Spill"/>
    <x v="1"/>
    <s v="Dace. Sp"/>
    <s v="Rhinichthys"/>
    <s v="gibbosus"/>
    <s v="U"/>
    <x v="0"/>
    <n v="8"/>
    <n v="11.81"/>
    <x v="40"/>
    <s v="53826-13-4"/>
    <x v="40"/>
    <n v="0.248"/>
  </r>
  <r>
    <s v="SS006-JBA-08132021"/>
    <s v="Spill"/>
    <x v="1"/>
    <s v="Dace. Sp"/>
    <s v="Rhinichthys"/>
    <s v="gibbosus"/>
    <s v="U"/>
    <x v="0"/>
    <n v="8"/>
    <n v="11.81"/>
    <x v="41"/>
    <s v="161094-75-3"/>
    <x v="41"/>
    <n v="9.7500000000000003E-2"/>
  </r>
  <r>
    <s v="SS006-JBA-08132021"/>
    <s v="Spill"/>
    <x v="1"/>
    <s v="Dace. Sp"/>
    <s v="Rhinichthys"/>
    <s v="gibbosus"/>
    <s v="U"/>
    <x v="0"/>
    <n v="8"/>
    <n v="11.81"/>
    <x v="42"/>
    <s v="70887-84-2"/>
    <x v="42"/>
    <n v="7.4999999999999997E-2"/>
  </r>
  <r>
    <s v="SS006-JBA-08132021"/>
    <s v="Spill"/>
    <x v="1"/>
    <s v="Dace. Sp"/>
    <s v="Rhinichthys"/>
    <s v="gibbosus"/>
    <s v="U"/>
    <x v="0"/>
    <n v="8"/>
    <n v="11.81"/>
    <x v="43"/>
    <s v="919005-14-4"/>
    <x v="43"/>
    <n v="0.1095"/>
  </r>
  <r>
    <s v="SS006-JBA-08132021"/>
    <s v="Spill"/>
    <x v="1"/>
    <s v="Dace. Sp"/>
    <s v="Rhinichthys"/>
    <s v="gibbosus"/>
    <s v="U"/>
    <x v="0"/>
    <n v="8"/>
    <n v="11.81"/>
    <x v="44"/>
    <s v="756426-58-1"/>
    <x v="44"/>
    <n v="0.248"/>
  </r>
  <r>
    <s v="SS006-JBA-08132021"/>
    <s v="Spill"/>
    <x v="1"/>
    <s v="Dace. Sp"/>
    <s v="Rhinichthys"/>
    <s v="gibbosus"/>
    <s v="U"/>
    <x v="0"/>
    <n v="8"/>
    <n v="11.81"/>
    <x v="45"/>
    <s v="763051-92-9"/>
    <x v="45"/>
    <n v="0.248"/>
  </r>
  <r>
    <s v="SS006-JBA-08132021"/>
    <s v="Spill"/>
    <x v="1"/>
    <s v="Dace. Sp"/>
    <s v="Rhinichthys"/>
    <s v="gibbosus"/>
    <s v="U"/>
    <x v="0"/>
    <n v="8"/>
    <n v="11.81"/>
    <x v="46"/>
    <s v="13252-13-6"/>
    <x v="46"/>
    <n v="0.17799999999999999"/>
  </r>
  <r>
    <s v="SS006-JBA-08132021"/>
    <s v="Spill"/>
    <x v="1"/>
    <s v="Dace. Sp"/>
    <s v="Rhinichthys"/>
    <s v="gibbosus"/>
    <s v="U"/>
    <x v="0"/>
    <n v="8"/>
    <n v="11.81"/>
    <x v="47"/>
    <s v="57677-95-9"/>
    <x v="47"/>
    <n v="0.248"/>
  </r>
  <r>
    <s v="SS006-JBA-08132021"/>
    <s v="Spill"/>
    <x v="1"/>
    <s v="Dace. Sp"/>
    <s v="Rhinichthys"/>
    <s v="gibbosus"/>
    <s v="U"/>
    <x v="0"/>
    <n v="8"/>
    <n v="11.81"/>
    <x v="48"/>
    <s v="678-41-1"/>
    <x v="48"/>
    <n v="0.248"/>
  </r>
  <r>
    <s v="SS006-JBA-08132021"/>
    <s v="Spill"/>
    <x v="1"/>
    <s v="Dace. Sp"/>
    <s v="Rhinichthys"/>
    <s v="gibbosus"/>
    <s v="U"/>
    <x v="0"/>
    <n v="8"/>
    <n v="11.81"/>
    <x v="49"/>
    <s v="2965-52-8"/>
    <x v="49"/>
    <n v="0.248"/>
  </r>
  <r>
    <s v="MM005-JBA-08162021"/>
    <s v="Spill"/>
    <x v="1"/>
    <s v="Margined Madtom"/>
    <s v="Noturus"/>
    <s v="gibbosus"/>
    <s v="U"/>
    <x v="0"/>
    <n v="8"/>
    <n v="11.81"/>
    <x v="0"/>
    <s v="375-22-4"/>
    <x v="0"/>
    <n v="0.21149999999999999"/>
  </r>
  <r>
    <s v="MM005-JBA-08162021"/>
    <s v="Spill"/>
    <x v="1"/>
    <s v="Margined Madtom"/>
    <s v="Noturus"/>
    <s v="gibbosus"/>
    <s v="U"/>
    <x v="0"/>
    <n v="8"/>
    <n v="11.81"/>
    <x v="1"/>
    <s v="2706-90-3"/>
    <x v="1"/>
    <n v="7.4499999999999997E-2"/>
  </r>
  <r>
    <s v="MM005-JBA-08162021"/>
    <s v="Spill"/>
    <x v="1"/>
    <s v="Margined Madtom"/>
    <s v="Noturus"/>
    <s v="gibbosus"/>
    <s v="U"/>
    <x v="0"/>
    <n v="8"/>
    <n v="11.81"/>
    <x v="2"/>
    <s v="307-24-4"/>
    <x v="2"/>
    <n v="5.7000000000000002E-2"/>
  </r>
  <r>
    <s v="MM005-JBA-08162021"/>
    <s v="Spill"/>
    <x v="1"/>
    <s v="Margined Madtom"/>
    <s v="Noturus"/>
    <s v="gibbosus"/>
    <s v="U"/>
    <x v="0"/>
    <n v="8"/>
    <n v="11.81"/>
    <x v="3"/>
    <s v="375-85-9"/>
    <x v="3"/>
    <n v="0.106"/>
  </r>
  <r>
    <s v="MM005-JBA-08162021"/>
    <s v="Spill"/>
    <x v="1"/>
    <s v="Margined Madtom"/>
    <s v="Noturus"/>
    <s v="gibbosus"/>
    <s v="U"/>
    <x v="0"/>
    <n v="8"/>
    <n v="11.81"/>
    <x v="4"/>
    <s v="335-67-1"/>
    <x v="4"/>
    <n v="0.68400000000000005"/>
  </r>
  <r>
    <s v="MM005-JBA-08162021"/>
    <s v="Spill"/>
    <x v="1"/>
    <s v="Margined Madtom"/>
    <s v="Noturus"/>
    <s v="gibbosus"/>
    <s v="U"/>
    <x v="0"/>
    <n v="8"/>
    <n v="11.81"/>
    <x v="5"/>
    <s v="375-95-1"/>
    <x v="5"/>
    <n v="0.61699999999999999"/>
  </r>
  <r>
    <s v="MM005-JBA-08162021"/>
    <s v="Spill"/>
    <x v="1"/>
    <s v="Margined Madtom"/>
    <s v="Noturus"/>
    <s v="gibbosus"/>
    <s v="U"/>
    <x v="0"/>
    <n v="8"/>
    <n v="11.81"/>
    <x v="6"/>
    <s v="335-76-2"/>
    <x v="6"/>
    <n v="7.47"/>
  </r>
  <r>
    <s v="MM005-JBA-08162021"/>
    <s v="Spill"/>
    <x v="1"/>
    <s v="Margined Madtom"/>
    <s v="Noturus"/>
    <s v="gibbosus"/>
    <s v="U"/>
    <x v="0"/>
    <n v="8"/>
    <n v="11.81"/>
    <x v="7"/>
    <s v="2058-94-8"/>
    <x v="7"/>
    <n v="15.7"/>
  </r>
  <r>
    <s v="MM005-JBA-08162021"/>
    <s v="Spill"/>
    <x v="1"/>
    <s v="Margined Madtom"/>
    <s v="Noturus"/>
    <s v="gibbosus"/>
    <s v="U"/>
    <x v="0"/>
    <n v="8"/>
    <n v="11.81"/>
    <x v="8"/>
    <s v="307-55-1"/>
    <x v="8"/>
    <n v="22.5"/>
  </r>
  <r>
    <s v="MM005-JBA-08162021"/>
    <s v="Spill"/>
    <x v="1"/>
    <s v="Margined Madtom"/>
    <s v="Noturus"/>
    <s v="gibbosus"/>
    <s v="U"/>
    <x v="0"/>
    <n v="8"/>
    <n v="11.81"/>
    <x v="9"/>
    <s v="72629-94-8"/>
    <x v="9"/>
    <n v="5.58"/>
  </r>
  <r>
    <s v="MM005-JBA-08162021"/>
    <s v="Spill"/>
    <x v="1"/>
    <s v="Margined Madtom"/>
    <s v="Noturus"/>
    <s v="gibbosus"/>
    <s v="U"/>
    <x v="0"/>
    <n v="8"/>
    <n v="11.81"/>
    <x v="10"/>
    <s v="376-06-7"/>
    <x v="10"/>
    <n v="14.3"/>
  </r>
  <r>
    <s v="MM005-JBA-08162021"/>
    <s v="Spill"/>
    <x v="1"/>
    <s v="Margined Madtom"/>
    <s v="Noturus"/>
    <s v="gibbosus"/>
    <s v="U"/>
    <x v="0"/>
    <n v="8"/>
    <n v="11.81"/>
    <x v="11"/>
    <s v="67905-19-5"/>
    <x v="11"/>
    <n v="0.126"/>
  </r>
  <r>
    <s v="MM005-JBA-08162021"/>
    <s v="Spill"/>
    <x v="1"/>
    <s v="Margined Madtom"/>
    <s v="Noturus"/>
    <s v="gibbosus"/>
    <s v="U"/>
    <x v="0"/>
    <n v="8"/>
    <n v="11.81"/>
    <x v="12"/>
    <s v="423-41-6"/>
    <x v="12"/>
    <n v="0.106"/>
  </r>
  <r>
    <s v="MM005-JBA-08162021"/>
    <s v="Spill"/>
    <x v="1"/>
    <s v="Margined Madtom"/>
    <s v="Noturus"/>
    <s v="gibbosus"/>
    <s v="U"/>
    <x v="0"/>
    <n v="8"/>
    <n v="11.81"/>
    <x v="13"/>
    <s v="375-73-5"/>
    <x v="13"/>
    <n v="1.66"/>
  </r>
  <r>
    <s v="MM005-JBA-08162021"/>
    <s v="Spill"/>
    <x v="1"/>
    <s v="Margined Madtom"/>
    <s v="Noturus"/>
    <s v="gibbosus"/>
    <s v="U"/>
    <x v="0"/>
    <n v="8"/>
    <n v="11.81"/>
    <x v="14"/>
    <s v="2706-91-4"/>
    <x v="14"/>
    <n v="0.29599999999999999"/>
  </r>
  <r>
    <s v="MM005-JBA-08162021"/>
    <s v="Spill"/>
    <x v="1"/>
    <s v="Margined Madtom"/>
    <s v="Noturus"/>
    <s v="gibbosus"/>
    <s v="U"/>
    <x v="0"/>
    <n v="8"/>
    <n v="11.81"/>
    <x v="15"/>
    <s v="355-46-4"/>
    <x v="15"/>
    <n v="62.6"/>
  </r>
  <r>
    <s v="MM005-JBA-08162021"/>
    <s v="Spill"/>
    <x v="1"/>
    <s v="Margined Madtom"/>
    <s v="Noturus"/>
    <s v="gibbosus"/>
    <s v="U"/>
    <x v="0"/>
    <n v="8"/>
    <n v="11.81"/>
    <x v="16"/>
    <s v="375-92-8"/>
    <x v="16"/>
    <n v="5.4"/>
  </r>
  <r>
    <s v="MM005-JBA-08162021"/>
    <s v="Spill"/>
    <x v="1"/>
    <s v="Margined Madtom"/>
    <s v="Noturus"/>
    <s v="gibbosus"/>
    <s v="U"/>
    <x v="0"/>
    <n v="8"/>
    <n v="11.81"/>
    <x v="17"/>
    <s v="1763-23-1"/>
    <x v="17"/>
    <n v="792"/>
  </r>
  <r>
    <s v="MM005-JBA-08162021"/>
    <s v="Spill"/>
    <x v="1"/>
    <s v="Margined Madtom"/>
    <s v="Noturus"/>
    <s v="gibbosus"/>
    <s v="U"/>
    <x v="0"/>
    <n v="8"/>
    <n v="11.81"/>
    <x v="18"/>
    <s v="68259-12-1"/>
    <x v="18"/>
    <n v="1.39"/>
  </r>
  <r>
    <s v="MM005-JBA-08162021"/>
    <s v="Spill"/>
    <x v="1"/>
    <s v="Margined Madtom"/>
    <s v="Noturus"/>
    <s v="gibbosus"/>
    <s v="U"/>
    <x v="0"/>
    <n v="8"/>
    <n v="11.81"/>
    <x v="19"/>
    <s v="335-77-3"/>
    <x v="19"/>
    <n v="1.87"/>
  </r>
  <r>
    <s v="MM005-JBA-08162021"/>
    <s v="Spill"/>
    <x v="1"/>
    <s v="Margined Madtom"/>
    <s v="Noturus"/>
    <s v="gibbosus"/>
    <s v="U"/>
    <x v="0"/>
    <n v="8"/>
    <n v="11.81"/>
    <x v="20"/>
    <s v="79780-39-5"/>
    <x v="20"/>
    <n v="0.72"/>
  </r>
  <r>
    <s v="MM005-JBA-08162021"/>
    <s v="Spill"/>
    <x v="1"/>
    <s v="Margined Madtom"/>
    <s v="Noturus"/>
    <s v="gibbosus"/>
    <s v="U"/>
    <x v="0"/>
    <n v="8"/>
    <n v="11.81"/>
    <x v="21"/>
    <s v="777011-38-8"/>
    <x v="21"/>
    <n v="0.1285"/>
  </r>
  <r>
    <s v="MM005-JBA-08162021"/>
    <s v="Spill"/>
    <x v="1"/>
    <s v="Margined Madtom"/>
    <s v="Noturus"/>
    <s v="gibbosus"/>
    <s v="U"/>
    <x v="0"/>
    <n v="8"/>
    <n v="11.81"/>
    <x v="22"/>
    <s v="646-83-3"/>
    <x v="22"/>
    <n v="0.188"/>
  </r>
  <r>
    <s v="MM005-JBA-08162021"/>
    <s v="Spill"/>
    <x v="1"/>
    <s v="Margined Madtom"/>
    <s v="Noturus"/>
    <s v="gibbosus"/>
    <s v="U"/>
    <x v="0"/>
    <n v="8"/>
    <n v="11.81"/>
    <x v="23"/>
    <s v="30334-69-1"/>
    <x v="23"/>
    <n v="166"/>
  </r>
  <r>
    <s v="MM005-JBA-08162021"/>
    <s v="Spill"/>
    <x v="1"/>
    <s v="Margined Madtom"/>
    <s v="Noturus"/>
    <s v="gibbosus"/>
    <s v="U"/>
    <x v="0"/>
    <n v="8"/>
    <n v="11.81"/>
    <x v="24"/>
    <s v="41997-13-1"/>
    <x v="24"/>
    <n v="664"/>
  </r>
  <r>
    <s v="MM005-JBA-08162021"/>
    <s v="Spill"/>
    <x v="1"/>
    <s v="Margined Madtom"/>
    <s v="Noturus"/>
    <s v="gibbosus"/>
    <s v="U"/>
    <x v="0"/>
    <n v="8"/>
    <n v="11.81"/>
    <x v="25"/>
    <s v="754-91-6"/>
    <x v="25"/>
    <n v="23.8"/>
  </r>
  <r>
    <s v="MM005-JBA-08162021"/>
    <s v="Spill"/>
    <x v="1"/>
    <s v="Margined Madtom"/>
    <s v="Noturus"/>
    <s v="gibbosus"/>
    <s v="U"/>
    <x v="0"/>
    <n v="8"/>
    <n v="11.81"/>
    <x v="26"/>
    <s v="31506-32-8"/>
    <x v="26"/>
    <n v="8.1500000000000003E-2"/>
  </r>
  <r>
    <s v="MM005-JBA-08162021"/>
    <s v="Spill"/>
    <x v="1"/>
    <s v="Margined Madtom"/>
    <s v="Noturus"/>
    <s v="gibbosus"/>
    <s v="U"/>
    <x v="0"/>
    <n v="8"/>
    <n v="11.81"/>
    <x v="27"/>
    <s v="4151-50-2"/>
    <x v="27"/>
    <n v="0.21149999999999999"/>
  </r>
  <r>
    <s v="MM005-JBA-08162021"/>
    <s v="Spill"/>
    <x v="1"/>
    <s v="Margined Madtom"/>
    <s v="Noturus"/>
    <s v="gibbosus"/>
    <s v="U"/>
    <x v="0"/>
    <n v="8"/>
    <n v="11.81"/>
    <x v="28"/>
    <s v="2806-24-8"/>
    <x v="28"/>
    <n v="0.42299999999999999"/>
  </r>
  <r>
    <s v="MM005-JBA-08162021"/>
    <s v="Spill"/>
    <x v="1"/>
    <s v="Margined Madtom"/>
    <s v="Noturus"/>
    <s v="gibbosus"/>
    <s v="U"/>
    <x v="0"/>
    <n v="8"/>
    <n v="11.81"/>
    <x v="29"/>
    <s v="2355-31-9"/>
    <x v="29"/>
    <n v="0.1065"/>
  </r>
  <r>
    <s v="MM005-JBA-08162021"/>
    <s v="Spill"/>
    <x v="1"/>
    <s v="Margined Madtom"/>
    <s v="Noturus"/>
    <s v="gibbosus"/>
    <s v="U"/>
    <x v="0"/>
    <n v="8"/>
    <n v="11.81"/>
    <x v="30"/>
    <s v="2991-50-6"/>
    <x v="30"/>
    <n v="0.106"/>
  </r>
  <r>
    <s v="MM005-JBA-08162021"/>
    <s v="Spill"/>
    <x v="1"/>
    <s v="Margined Madtom"/>
    <s v="Noturus"/>
    <s v="gibbosus"/>
    <s v="U"/>
    <x v="0"/>
    <n v="8"/>
    <n v="11.81"/>
    <x v="31"/>
    <s v="757124-72-4"/>
    <x v="31"/>
    <n v="0.106"/>
  </r>
  <r>
    <s v="MM005-JBA-08162021"/>
    <s v="Spill"/>
    <x v="1"/>
    <s v="Margined Madtom"/>
    <s v="Noturus"/>
    <s v="gibbosus"/>
    <s v="U"/>
    <x v="0"/>
    <n v="8"/>
    <n v="11.81"/>
    <x v="32"/>
    <s v="27619-97-2"/>
    <x v="32"/>
    <n v="0.21149999999999999"/>
  </r>
  <r>
    <s v="MM005-JBA-08162021"/>
    <s v="Spill"/>
    <x v="1"/>
    <s v="Margined Madtom"/>
    <s v="Noturus"/>
    <s v="gibbosus"/>
    <s v="U"/>
    <x v="0"/>
    <n v="8"/>
    <n v="11.81"/>
    <x v="33"/>
    <s v="39108-34-4"/>
    <x v="33"/>
    <n v="20.2"/>
  </r>
  <r>
    <s v="MM005-JBA-08162021"/>
    <s v="Spill"/>
    <x v="1"/>
    <s v="Margined Madtom"/>
    <s v="Noturus"/>
    <s v="gibbosus"/>
    <s v="U"/>
    <x v="0"/>
    <n v="8"/>
    <n v="11.81"/>
    <x v="34"/>
    <s v="120226-60-0"/>
    <x v="34"/>
    <n v="0.42299999999999999"/>
  </r>
  <r>
    <s v="MM005-JBA-08162021"/>
    <s v="Spill"/>
    <x v="1"/>
    <s v="Margined Madtom"/>
    <s v="Noturus"/>
    <s v="gibbosus"/>
    <s v="U"/>
    <x v="0"/>
    <n v="8"/>
    <n v="11.81"/>
    <x v="35"/>
    <s v="356-02-5"/>
    <x v="35"/>
    <n v="0.21149999999999999"/>
  </r>
  <r>
    <s v="MM005-JBA-08162021"/>
    <s v="Spill"/>
    <x v="1"/>
    <s v="Margined Madtom"/>
    <s v="Noturus"/>
    <s v="gibbosus"/>
    <s v="U"/>
    <x v="0"/>
    <n v="8"/>
    <n v="11.81"/>
    <x v="36"/>
    <s v="914637-49-3"/>
    <x v="36"/>
    <n v="1.0900000000000001"/>
  </r>
  <r>
    <s v="MM005-JBA-08162021"/>
    <s v="Spill"/>
    <x v="1"/>
    <s v="Margined Madtom"/>
    <s v="Noturus"/>
    <s v="gibbosus"/>
    <s v="U"/>
    <x v="0"/>
    <n v="8"/>
    <n v="11.81"/>
    <x v="37"/>
    <s v="812-70-4"/>
    <x v="37"/>
    <n v="13"/>
  </r>
  <r>
    <s v="MM005-JBA-08162021"/>
    <s v="Spill"/>
    <x v="1"/>
    <s v="Margined Madtom"/>
    <s v="Noturus"/>
    <s v="gibbosus"/>
    <s v="U"/>
    <x v="0"/>
    <n v="8"/>
    <n v="11.81"/>
    <x v="38"/>
    <s v="53826-12-3"/>
    <x v="38"/>
    <n v="0.21149999999999999"/>
  </r>
  <r>
    <s v="MM005-JBA-08162021"/>
    <s v="Spill"/>
    <x v="1"/>
    <s v="Margined Madtom"/>
    <s v="Noturus"/>
    <s v="gibbosus"/>
    <s v="U"/>
    <x v="0"/>
    <n v="8"/>
    <n v="11.81"/>
    <x v="39"/>
    <s v="27854-31-5"/>
    <x v="39"/>
    <n v="0.106"/>
  </r>
  <r>
    <s v="MM005-JBA-08162021"/>
    <s v="Spill"/>
    <x v="1"/>
    <s v="Margined Madtom"/>
    <s v="Noturus"/>
    <s v="gibbosus"/>
    <s v="U"/>
    <x v="0"/>
    <n v="8"/>
    <n v="11.81"/>
    <x v="40"/>
    <s v="53826-13-4"/>
    <x v="40"/>
    <n v="0.21149999999999999"/>
  </r>
  <r>
    <s v="MM005-JBA-08162021"/>
    <s v="Spill"/>
    <x v="1"/>
    <s v="Margined Madtom"/>
    <s v="Noturus"/>
    <s v="gibbosus"/>
    <s v="U"/>
    <x v="0"/>
    <n v="8"/>
    <n v="11.81"/>
    <x v="41"/>
    <s v="161094-75-3"/>
    <x v="41"/>
    <n v="8.3000000000000004E-2"/>
  </r>
  <r>
    <s v="MM005-JBA-08162021"/>
    <s v="Spill"/>
    <x v="1"/>
    <s v="Margined Madtom"/>
    <s v="Noturus"/>
    <s v="gibbosus"/>
    <s v="U"/>
    <x v="0"/>
    <n v="8"/>
    <n v="11.81"/>
    <x v="42"/>
    <s v="70887-84-2"/>
    <x v="42"/>
    <n v="6.4000000000000001E-2"/>
  </r>
  <r>
    <s v="MM005-JBA-08162021"/>
    <s v="Spill"/>
    <x v="1"/>
    <s v="Margined Madtom"/>
    <s v="Noturus"/>
    <s v="gibbosus"/>
    <s v="U"/>
    <x v="0"/>
    <n v="8"/>
    <n v="11.81"/>
    <x v="43"/>
    <s v="919005-14-4"/>
    <x v="43"/>
    <n v="9.35E-2"/>
  </r>
  <r>
    <s v="MM005-JBA-08162021"/>
    <s v="Spill"/>
    <x v="1"/>
    <s v="Margined Madtom"/>
    <s v="Noturus"/>
    <s v="gibbosus"/>
    <s v="U"/>
    <x v="0"/>
    <n v="8"/>
    <n v="11.81"/>
    <x v="44"/>
    <s v="756426-58-1"/>
    <x v="44"/>
    <n v="0.21149999999999999"/>
  </r>
  <r>
    <s v="MM005-JBA-08162021"/>
    <s v="Spill"/>
    <x v="1"/>
    <s v="Margined Madtom"/>
    <s v="Noturus"/>
    <s v="gibbosus"/>
    <s v="U"/>
    <x v="0"/>
    <n v="8"/>
    <n v="11.81"/>
    <x v="45"/>
    <s v="763051-92-9"/>
    <x v="45"/>
    <n v="0.21149999999999999"/>
  </r>
  <r>
    <s v="MM005-JBA-08162021"/>
    <s v="Spill"/>
    <x v="1"/>
    <s v="Margined Madtom"/>
    <s v="Noturus"/>
    <s v="gibbosus"/>
    <s v="U"/>
    <x v="0"/>
    <n v="8"/>
    <n v="11.81"/>
    <x v="46"/>
    <s v="13252-13-6"/>
    <x v="46"/>
    <n v="0.152"/>
  </r>
  <r>
    <s v="MM005-JBA-08162021"/>
    <s v="Spill"/>
    <x v="1"/>
    <s v="Margined Madtom"/>
    <s v="Noturus"/>
    <s v="gibbosus"/>
    <s v="U"/>
    <x v="0"/>
    <n v="8"/>
    <n v="11.81"/>
    <x v="47"/>
    <s v="57677-95-9"/>
    <x v="47"/>
    <n v="0.21149999999999999"/>
  </r>
  <r>
    <s v="MM005-JBA-08162021"/>
    <s v="Spill"/>
    <x v="1"/>
    <s v="Margined Madtom"/>
    <s v="Noturus"/>
    <s v="gibbosus"/>
    <s v="U"/>
    <x v="0"/>
    <n v="8"/>
    <n v="11.81"/>
    <x v="48"/>
    <s v="678-41-1"/>
    <x v="48"/>
    <n v="0.21149999999999999"/>
  </r>
  <r>
    <s v="MM005-JBA-08162021"/>
    <s v="Spill"/>
    <x v="1"/>
    <s v="Margined Madtom"/>
    <s v="Noturus"/>
    <s v="gibbosus"/>
    <s v="U"/>
    <x v="0"/>
    <n v="8"/>
    <n v="11.81"/>
    <x v="49"/>
    <s v="2965-52-8"/>
    <x v="49"/>
    <n v="0.21149999999999999"/>
  </r>
  <r>
    <s v="MM006-JBA-08162021"/>
    <s v="Spill"/>
    <x v="1"/>
    <s v="Margined Madtom"/>
    <s v="Noturus"/>
    <s v="gibbosus"/>
    <s v="U"/>
    <x v="0"/>
    <n v="8"/>
    <n v="11.81"/>
    <x v="0"/>
    <s v="375-22-4"/>
    <x v="0"/>
    <n v="0.25"/>
  </r>
  <r>
    <s v="MM006-JBA-08162021"/>
    <s v="Spill"/>
    <x v="1"/>
    <s v="Margined Madtom"/>
    <s v="Noturus"/>
    <s v="gibbosus"/>
    <s v="U"/>
    <x v="0"/>
    <n v="8"/>
    <n v="11.81"/>
    <x v="1"/>
    <s v="2706-90-3"/>
    <x v="1"/>
    <n v="8.8499999999999995E-2"/>
  </r>
  <r>
    <s v="MM006-JBA-08162021"/>
    <s v="Spill"/>
    <x v="1"/>
    <s v="Margined Madtom"/>
    <s v="Noturus"/>
    <s v="gibbosus"/>
    <s v="U"/>
    <x v="0"/>
    <n v="8"/>
    <n v="11.81"/>
    <x v="2"/>
    <s v="307-24-4"/>
    <x v="2"/>
    <n v="6.7500000000000004E-2"/>
  </r>
  <r>
    <s v="MM006-JBA-08162021"/>
    <s v="Spill"/>
    <x v="1"/>
    <s v="Margined Madtom"/>
    <s v="Noturus"/>
    <s v="gibbosus"/>
    <s v="U"/>
    <x v="0"/>
    <n v="8"/>
    <n v="11.81"/>
    <x v="3"/>
    <s v="375-85-9"/>
    <x v="3"/>
    <n v="0.125"/>
  </r>
  <r>
    <s v="MM006-JBA-08162021"/>
    <s v="Spill"/>
    <x v="1"/>
    <s v="Margined Madtom"/>
    <s v="Noturus"/>
    <s v="gibbosus"/>
    <s v="U"/>
    <x v="0"/>
    <n v="8"/>
    <n v="11.81"/>
    <x v="4"/>
    <s v="335-67-1"/>
    <x v="4"/>
    <n v="0.82299999999999995"/>
  </r>
  <r>
    <s v="MM006-JBA-08162021"/>
    <s v="Spill"/>
    <x v="1"/>
    <s v="Margined Madtom"/>
    <s v="Noturus"/>
    <s v="gibbosus"/>
    <s v="U"/>
    <x v="0"/>
    <n v="8"/>
    <n v="11.81"/>
    <x v="5"/>
    <s v="375-95-1"/>
    <x v="5"/>
    <n v="0.25"/>
  </r>
  <r>
    <s v="MM006-JBA-08162021"/>
    <s v="Spill"/>
    <x v="1"/>
    <s v="Margined Madtom"/>
    <s v="Noturus"/>
    <s v="gibbosus"/>
    <s v="U"/>
    <x v="0"/>
    <n v="8"/>
    <n v="11.81"/>
    <x v="6"/>
    <s v="335-76-2"/>
    <x v="6"/>
    <n v="3.96"/>
  </r>
  <r>
    <s v="MM006-JBA-08162021"/>
    <s v="Spill"/>
    <x v="1"/>
    <s v="Margined Madtom"/>
    <s v="Noturus"/>
    <s v="gibbosus"/>
    <s v="U"/>
    <x v="0"/>
    <n v="8"/>
    <n v="11.81"/>
    <x v="7"/>
    <s v="2058-94-8"/>
    <x v="7"/>
    <n v="9.64"/>
  </r>
  <r>
    <s v="MM006-JBA-08162021"/>
    <s v="Spill"/>
    <x v="1"/>
    <s v="Margined Madtom"/>
    <s v="Noturus"/>
    <s v="gibbosus"/>
    <s v="U"/>
    <x v="0"/>
    <n v="8"/>
    <n v="11.81"/>
    <x v="8"/>
    <s v="307-55-1"/>
    <x v="8"/>
    <n v="33.799999999999997"/>
  </r>
  <r>
    <s v="MM006-JBA-08162021"/>
    <s v="Spill"/>
    <x v="1"/>
    <s v="Margined Madtom"/>
    <s v="Noturus"/>
    <s v="gibbosus"/>
    <s v="U"/>
    <x v="0"/>
    <n v="8"/>
    <n v="11.81"/>
    <x v="9"/>
    <s v="72629-94-8"/>
    <x v="9"/>
    <n v="7.75"/>
  </r>
  <r>
    <s v="MM006-JBA-08162021"/>
    <s v="Spill"/>
    <x v="1"/>
    <s v="Margined Madtom"/>
    <s v="Noturus"/>
    <s v="gibbosus"/>
    <s v="U"/>
    <x v="0"/>
    <n v="8"/>
    <n v="11.81"/>
    <x v="10"/>
    <s v="376-06-7"/>
    <x v="10"/>
    <n v="16.5"/>
  </r>
  <r>
    <s v="MM006-JBA-08162021"/>
    <s v="Spill"/>
    <x v="1"/>
    <s v="Margined Madtom"/>
    <s v="Noturus"/>
    <s v="gibbosus"/>
    <s v="U"/>
    <x v="0"/>
    <n v="8"/>
    <n v="11.81"/>
    <x v="11"/>
    <s v="67905-19-5"/>
    <x v="11"/>
    <n v="0.14899999999999999"/>
  </r>
  <r>
    <s v="MM006-JBA-08162021"/>
    <s v="Spill"/>
    <x v="1"/>
    <s v="Margined Madtom"/>
    <s v="Noturus"/>
    <s v="gibbosus"/>
    <s v="U"/>
    <x v="0"/>
    <n v="8"/>
    <n v="11.81"/>
    <x v="12"/>
    <s v="423-41-6"/>
    <x v="12"/>
    <n v="0.125"/>
  </r>
  <r>
    <s v="MM006-JBA-08162021"/>
    <s v="Spill"/>
    <x v="1"/>
    <s v="Margined Madtom"/>
    <s v="Noturus"/>
    <s v="gibbosus"/>
    <s v="U"/>
    <x v="0"/>
    <n v="8"/>
    <n v="11.81"/>
    <x v="13"/>
    <s v="375-73-5"/>
    <x v="13"/>
    <n v="0.73"/>
  </r>
  <r>
    <s v="MM006-JBA-08162021"/>
    <s v="Spill"/>
    <x v="1"/>
    <s v="Margined Madtom"/>
    <s v="Noturus"/>
    <s v="gibbosus"/>
    <s v="U"/>
    <x v="0"/>
    <n v="8"/>
    <n v="11.81"/>
    <x v="14"/>
    <s v="2706-91-4"/>
    <x v="14"/>
    <n v="0.13250000000000001"/>
  </r>
  <r>
    <s v="MM006-JBA-08162021"/>
    <s v="Spill"/>
    <x v="1"/>
    <s v="Margined Madtom"/>
    <s v="Noturus"/>
    <s v="gibbosus"/>
    <s v="U"/>
    <x v="0"/>
    <n v="8"/>
    <n v="11.81"/>
    <x v="15"/>
    <s v="355-46-4"/>
    <x v="15"/>
    <n v="21.6"/>
  </r>
  <r>
    <s v="MM006-JBA-08162021"/>
    <s v="Spill"/>
    <x v="1"/>
    <s v="Margined Madtom"/>
    <s v="Noturus"/>
    <s v="gibbosus"/>
    <s v="U"/>
    <x v="0"/>
    <n v="8"/>
    <n v="11.81"/>
    <x v="16"/>
    <s v="375-92-8"/>
    <x v="16"/>
    <n v="1.37"/>
  </r>
  <r>
    <s v="MM006-JBA-08162021"/>
    <s v="Spill"/>
    <x v="1"/>
    <s v="Margined Madtom"/>
    <s v="Noturus"/>
    <s v="gibbosus"/>
    <s v="U"/>
    <x v="0"/>
    <n v="8"/>
    <n v="11.81"/>
    <x v="17"/>
    <s v="1763-23-1"/>
    <x v="17"/>
    <n v="493"/>
  </r>
  <r>
    <s v="MM006-JBA-08162021"/>
    <s v="Spill"/>
    <x v="1"/>
    <s v="Margined Madtom"/>
    <s v="Noturus"/>
    <s v="gibbosus"/>
    <s v="U"/>
    <x v="0"/>
    <n v="8"/>
    <n v="11.81"/>
    <x v="18"/>
    <s v="68259-12-1"/>
    <x v="18"/>
    <n v="0.82099999999999995"/>
  </r>
  <r>
    <s v="MM006-JBA-08162021"/>
    <s v="Spill"/>
    <x v="1"/>
    <s v="Margined Madtom"/>
    <s v="Noturus"/>
    <s v="gibbosus"/>
    <s v="U"/>
    <x v="0"/>
    <n v="8"/>
    <n v="11.81"/>
    <x v="19"/>
    <s v="335-77-3"/>
    <x v="19"/>
    <n v="1.1599999999999999"/>
  </r>
  <r>
    <s v="MM006-JBA-08162021"/>
    <s v="Spill"/>
    <x v="1"/>
    <s v="Margined Madtom"/>
    <s v="Noturus"/>
    <s v="gibbosus"/>
    <s v="U"/>
    <x v="0"/>
    <n v="8"/>
    <n v="11.81"/>
    <x v="20"/>
    <s v="79780-39-5"/>
    <x v="20"/>
    <n v="0.26750000000000002"/>
  </r>
  <r>
    <s v="MM006-JBA-08162021"/>
    <s v="Spill"/>
    <x v="1"/>
    <s v="Margined Madtom"/>
    <s v="Noturus"/>
    <s v="gibbosus"/>
    <s v="U"/>
    <x v="0"/>
    <n v="8"/>
    <n v="11.81"/>
    <x v="21"/>
    <s v="777011-38-8"/>
    <x v="21"/>
    <n v="0.152"/>
  </r>
  <r>
    <s v="MM006-JBA-08162021"/>
    <s v="Spill"/>
    <x v="1"/>
    <s v="Margined Madtom"/>
    <s v="Noturus"/>
    <s v="gibbosus"/>
    <s v="U"/>
    <x v="0"/>
    <n v="8"/>
    <n v="11.81"/>
    <x v="22"/>
    <s v="646-83-3"/>
    <x v="22"/>
    <n v="0.1"/>
  </r>
  <r>
    <s v="MM006-JBA-08162021"/>
    <s v="Spill"/>
    <x v="1"/>
    <s v="Margined Madtom"/>
    <s v="Noturus"/>
    <s v="gibbosus"/>
    <s v="U"/>
    <x v="0"/>
    <n v="8"/>
    <n v="11.81"/>
    <x v="23"/>
    <s v="30334-69-1"/>
    <x v="23"/>
    <n v="80"/>
  </r>
  <r>
    <s v="MM006-JBA-08162021"/>
    <s v="Spill"/>
    <x v="1"/>
    <s v="Margined Madtom"/>
    <s v="Noturus"/>
    <s v="gibbosus"/>
    <s v="U"/>
    <x v="0"/>
    <n v="8"/>
    <n v="11.81"/>
    <x v="24"/>
    <s v="41997-13-1"/>
    <x v="24"/>
    <n v="204"/>
  </r>
  <r>
    <s v="MM006-JBA-08162021"/>
    <s v="Spill"/>
    <x v="1"/>
    <s v="Margined Madtom"/>
    <s v="Noturus"/>
    <s v="gibbosus"/>
    <s v="U"/>
    <x v="0"/>
    <n v="8"/>
    <n v="11.81"/>
    <x v="25"/>
    <s v="754-91-6"/>
    <x v="25"/>
    <n v="13.6"/>
  </r>
  <r>
    <s v="MM006-JBA-08162021"/>
    <s v="Spill"/>
    <x v="1"/>
    <s v="Margined Madtom"/>
    <s v="Noturus"/>
    <s v="gibbosus"/>
    <s v="U"/>
    <x v="0"/>
    <n v="8"/>
    <n v="11.81"/>
    <x v="26"/>
    <s v="31506-32-8"/>
    <x v="26"/>
    <n v="9.6500000000000002E-2"/>
  </r>
  <r>
    <s v="MM006-JBA-08162021"/>
    <s v="Spill"/>
    <x v="1"/>
    <s v="Margined Madtom"/>
    <s v="Noturus"/>
    <s v="gibbosus"/>
    <s v="U"/>
    <x v="0"/>
    <n v="8"/>
    <n v="11.81"/>
    <x v="27"/>
    <s v="4151-50-2"/>
    <x v="27"/>
    <n v="0.25"/>
  </r>
  <r>
    <s v="MM006-JBA-08162021"/>
    <s v="Spill"/>
    <x v="1"/>
    <s v="Margined Madtom"/>
    <s v="Noturus"/>
    <s v="gibbosus"/>
    <s v="U"/>
    <x v="0"/>
    <n v="8"/>
    <n v="11.81"/>
    <x v="28"/>
    <s v="2806-24-8"/>
    <x v="28"/>
    <n v="0.25"/>
  </r>
  <r>
    <s v="MM006-JBA-08162021"/>
    <s v="Spill"/>
    <x v="1"/>
    <s v="Margined Madtom"/>
    <s v="Noturus"/>
    <s v="gibbosus"/>
    <s v="U"/>
    <x v="0"/>
    <n v="8"/>
    <n v="11.81"/>
    <x v="29"/>
    <s v="2355-31-9"/>
    <x v="29"/>
    <n v="0.126"/>
  </r>
  <r>
    <s v="MM006-JBA-08162021"/>
    <s v="Spill"/>
    <x v="1"/>
    <s v="Margined Madtom"/>
    <s v="Noturus"/>
    <s v="gibbosus"/>
    <s v="U"/>
    <x v="0"/>
    <n v="8"/>
    <n v="11.81"/>
    <x v="30"/>
    <s v="2991-50-6"/>
    <x v="30"/>
    <n v="0.125"/>
  </r>
  <r>
    <s v="MM006-JBA-08162021"/>
    <s v="Spill"/>
    <x v="1"/>
    <s v="Margined Madtom"/>
    <s v="Noturus"/>
    <s v="gibbosus"/>
    <s v="U"/>
    <x v="0"/>
    <n v="8"/>
    <n v="11.81"/>
    <x v="31"/>
    <s v="757124-72-4"/>
    <x v="31"/>
    <n v="0.125"/>
  </r>
  <r>
    <s v="MM006-JBA-08162021"/>
    <s v="Spill"/>
    <x v="1"/>
    <s v="Margined Madtom"/>
    <s v="Noturus"/>
    <s v="gibbosus"/>
    <s v="U"/>
    <x v="0"/>
    <n v="8"/>
    <n v="11.81"/>
    <x v="32"/>
    <s v="27619-97-2"/>
    <x v="32"/>
    <n v="0.125"/>
  </r>
  <r>
    <s v="MM006-JBA-08162021"/>
    <s v="Spill"/>
    <x v="1"/>
    <s v="Margined Madtom"/>
    <s v="Noturus"/>
    <s v="gibbosus"/>
    <s v="U"/>
    <x v="0"/>
    <n v="8"/>
    <n v="11.81"/>
    <x v="33"/>
    <s v="39108-34-4"/>
    <x v="33"/>
    <n v="9.31"/>
  </r>
  <r>
    <s v="MM006-JBA-08162021"/>
    <s v="Spill"/>
    <x v="1"/>
    <s v="Margined Madtom"/>
    <s v="Noturus"/>
    <s v="gibbosus"/>
    <s v="U"/>
    <x v="0"/>
    <n v="8"/>
    <n v="11.81"/>
    <x v="34"/>
    <s v="120226-60-0"/>
    <x v="34"/>
    <n v="0.5"/>
  </r>
  <r>
    <s v="MM006-JBA-08162021"/>
    <s v="Spill"/>
    <x v="1"/>
    <s v="Margined Madtom"/>
    <s v="Noturus"/>
    <s v="gibbosus"/>
    <s v="U"/>
    <x v="0"/>
    <n v="8"/>
    <n v="11.81"/>
    <x v="35"/>
    <s v="356-02-5"/>
    <x v="35"/>
    <n v="0.25"/>
  </r>
  <r>
    <s v="MM006-JBA-08162021"/>
    <s v="Spill"/>
    <x v="1"/>
    <s v="Margined Madtom"/>
    <s v="Noturus"/>
    <s v="gibbosus"/>
    <s v="U"/>
    <x v="0"/>
    <n v="8"/>
    <n v="11.81"/>
    <x v="36"/>
    <s v="914637-49-3"/>
    <x v="36"/>
    <n v="2.4700000000000002"/>
  </r>
  <r>
    <s v="MM006-JBA-08162021"/>
    <s v="Spill"/>
    <x v="1"/>
    <s v="Margined Madtom"/>
    <s v="Noturus"/>
    <s v="gibbosus"/>
    <s v="U"/>
    <x v="0"/>
    <n v="8"/>
    <n v="11.81"/>
    <x v="37"/>
    <s v="812-70-4"/>
    <x v="37"/>
    <n v="28.2"/>
  </r>
  <r>
    <s v="MM006-JBA-08162021"/>
    <s v="Spill"/>
    <x v="1"/>
    <s v="Margined Madtom"/>
    <s v="Noturus"/>
    <s v="gibbosus"/>
    <s v="U"/>
    <x v="0"/>
    <n v="8"/>
    <n v="11.81"/>
    <x v="38"/>
    <s v="53826-12-3"/>
    <x v="38"/>
    <n v="0.25"/>
  </r>
  <r>
    <s v="MM006-JBA-08162021"/>
    <s v="Spill"/>
    <x v="1"/>
    <s v="Margined Madtom"/>
    <s v="Noturus"/>
    <s v="gibbosus"/>
    <s v="U"/>
    <x v="0"/>
    <n v="8"/>
    <n v="11.81"/>
    <x v="39"/>
    <s v="27854-31-5"/>
    <x v="39"/>
    <n v="0.125"/>
  </r>
  <r>
    <s v="MM006-JBA-08162021"/>
    <s v="Spill"/>
    <x v="1"/>
    <s v="Margined Madtom"/>
    <s v="Noturus"/>
    <s v="gibbosus"/>
    <s v="U"/>
    <x v="0"/>
    <n v="8"/>
    <n v="11.81"/>
    <x v="40"/>
    <s v="53826-13-4"/>
    <x v="40"/>
    <n v="0.25"/>
  </r>
  <r>
    <s v="MM006-JBA-08162021"/>
    <s v="Spill"/>
    <x v="1"/>
    <s v="Margined Madtom"/>
    <s v="Noturus"/>
    <s v="gibbosus"/>
    <s v="U"/>
    <x v="0"/>
    <n v="8"/>
    <n v="11.81"/>
    <x v="41"/>
    <s v="161094-75-3"/>
    <x v="41"/>
    <n v="9.8000000000000004E-2"/>
  </r>
  <r>
    <s v="MM006-JBA-08162021"/>
    <s v="Spill"/>
    <x v="1"/>
    <s v="Margined Madtom"/>
    <s v="Noturus"/>
    <s v="gibbosus"/>
    <s v="U"/>
    <x v="0"/>
    <n v="8"/>
    <n v="11.81"/>
    <x v="42"/>
    <s v="70887-84-2"/>
    <x v="42"/>
    <n v="7.5499999999999998E-2"/>
  </r>
  <r>
    <s v="MM006-JBA-08162021"/>
    <s v="Spill"/>
    <x v="1"/>
    <s v="Margined Madtom"/>
    <s v="Noturus"/>
    <s v="gibbosus"/>
    <s v="U"/>
    <x v="0"/>
    <n v="8"/>
    <n v="11.81"/>
    <x v="43"/>
    <s v="919005-14-4"/>
    <x v="43"/>
    <n v="0.1105"/>
  </r>
  <r>
    <s v="MM006-JBA-08162021"/>
    <s v="Spill"/>
    <x v="1"/>
    <s v="Margined Madtom"/>
    <s v="Noturus"/>
    <s v="gibbosus"/>
    <s v="U"/>
    <x v="0"/>
    <n v="8"/>
    <n v="11.81"/>
    <x v="44"/>
    <s v="756426-58-1"/>
    <x v="44"/>
    <n v="0.25"/>
  </r>
  <r>
    <s v="MM006-JBA-08162021"/>
    <s v="Spill"/>
    <x v="1"/>
    <s v="Margined Madtom"/>
    <s v="Noturus"/>
    <s v="gibbosus"/>
    <s v="U"/>
    <x v="0"/>
    <n v="8"/>
    <n v="11.81"/>
    <x v="45"/>
    <s v="763051-92-9"/>
    <x v="45"/>
    <n v="0.25"/>
  </r>
  <r>
    <s v="MM006-JBA-08162021"/>
    <s v="Spill"/>
    <x v="1"/>
    <s v="Margined Madtom"/>
    <s v="Noturus"/>
    <s v="gibbosus"/>
    <s v="U"/>
    <x v="0"/>
    <n v="8"/>
    <n v="11.81"/>
    <x v="46"/>
    <s v="13252-13-6"/>
    <x v="46"/>
    <n v="0.17949999999999999"/>
  </r>
  <r>
    <s v="MM006-JBA-08162021"/>
    <s v="Spill"/>
    <x v="1"/>
    <s v="Margined Madtom"/>
    <s v="Noturus"/>
    <s v="gibbosus"/>
    <s v="U"/>
    <x v="0"/>
    <n v="8"/>
    <n v="11.81"/>
    <x v="47"/>
    <s v="57677-95-9"/>
    <x v="47"/>
    <n v="0.25"/>
  </r>
  <r>
    <s v="MM006-JBA-08162021"/>
    <s v="Spill"/>
    <x v="1"/>
    <s v="Margined Madtom"/>
    <s v="Noturus"/>
    <s v="gibbosus"/>
    <s v="U"/>
    <x v="0"/>
    <n v="8"/>
    <n v="11.81"/>
    <x v="48"/>
    <s v="678-41-1"/>
    <x v="48"/>
    <n v="0.25"/>
  </r>
  <r>
    <s v="MM006-JBA-08162021"/>
    <s v="Spill"/>
    <x v="1"/>
    <s v="Margined Madtom"/>
    <s v="Noturus"/>
    <s v="gibbosus"/>
    <s v="U"/>
    <x v="0"/>
    <n v="8"/>
    <n v="11.81"/>
    <x v="49"/>
    <s v="2965-52-8"/>
    <x v="49"/>
    <n v="0.25"/>
  </r>
  <r>
    <s v="MM007-JBA-08162021"/>
    <s v="Spill"/>
    <x v="1"/>
    <s v="Margined Madtom"/>
    <s v="Noturus"/>
    <s v="gibbosus"/>
    <s v="U"/>
    <x v="0"/>
    <n v="8"/>
    <n v="11.81"/>
    <x v="0"/>
    <s v="375-22-4"/>
    <x v="0"/>
    <n v="0.2225"/>
  </r>
  <r>
    <s v="MM007-JBA-08162021"/>
    <s v="Spill"/>
    <x v="1"/>
    <s v="Margined Madtom"/>
    <s v="Noturus"/>
    <s v="gibbosus"/>
    <s v="U"/>
    <x v="0"/>
    <n v="8"/>
    <n v="11.81"/>
    <x v="1"/>
    <s v="2706-90-3"/>
    <x v="1"/>
    <n v="7.85E-2"/>
  </r>
  <r>
    <s v="MM007-JBA-08162021"/>
    <s v="Spill"/>
    <x v="1"/>
    <s v="Margined Madtom"/>
    <s v="Noturus"/>
    <s v="gibbosus"/>
    <s v="U"/>
    <x v="0"/>
    <n v="8"/>
    <n v="11.81"/>
    <x v="2"/>
    <s v="307-24-4"/>
    <x v="2"/>
    <n v="0.12"/>
  </r>
  <r>
    <s v="MM007-JBA-08162021"/>
    <s v="Spill"/>
    <x v="1"/>
    <s v="Margined Madtom"/>
    <s v="Noturus"/>
    <s v="gibbosus"/>
    <s v="U"/>
    <x v="0"/>
    <n v="8"/>
    <n v="11.81"/>
    <x v="3"/>
    <s v="375-85-9"/>
    <x v="3"/>
    <n v="0.2225"/>
  </r>
  <r>
    <s v="MM007-JBA-08162021"/>
    <s v="Spill"/>
    <x v="1"/>
    <s v="Margined Madtom"/>
    <s v="Noturus"/>
    <s v="gibbosus"/>
    <s v="U"/>
    <x v="0"/>
    <n v="8"/>
    <n v="11.81"/>
    <x v="4"/>
    <s v="335-67-1"/>
    <x v="4"/>
    <n v="1.31"/>
  </r>
  <r>
    <s v="MM007-JBA-08162021"/>
    <s v="Spill"/>
    <x v="1"/>
    <s v="Margined Madtom"/>
    <s v="Noturus"/>
    <s v="gibbosus"/>
    <s v="U"/>
    <x v="0"/>
    <n v="8"/>
    <n v="11.81"/>
    <x v="5"/>
    <s v="375-95-1"/>
    <x v="5"/>
    <n v="0.2225"/>
  </r>
  <r>
    <s v="MM007-JBA-08162021"/>
    <s v="Spill"/>
    <x v="1"/>
    <s v="Margined Madtom"/>
    <s v="Noturus"/>
    <s v="gibbosus"/>
    <s v="U"/>
    <x v="0"/>
    <n v="8"/>
    <n v="11.81"/>
    <x v="6"/>
    <s v="335-76-2"/>
    <x v="6"/>
    <n v="5.78"/>
  </r>
  <r>
    <s v="MM007-JBA-08162021"/>
    <s v="Spill"/>
    <x v="1"/>
    <s v="Margined Madtom"/>
    <s v="Noturus"/>
    <s v="gibbosus"/>
    <s v="U"/>
    <x v="0"/>
    <n v="8"/>
    <n v="11.81"/>
    <x v="7"/>
    <s v="2058-94-8"/>
    <x v="7"/>
    <n v="14.3"/>
  </r>
  <r>
    <s v="MM007-JBA-08162021"/>
    <s v="Spill"/>
    <x v="1"/>
    <s v="Margined Madtom"/>
    <s v="Noturus"/>
    <s v="gibbosus"/>
    <s v="U"/>
    <x v="0"/>
    <n v="8"/>
    <n v="11.81"/>
    <x v="8"/>
    <s v="307-55-1"/>
    <x v="8"/>
    <n v="51.6"/>
  </r>
  <r>
    <s v="MM007-JBA-08162021"/>
    <s v="Spill"/>
    <x v="1"/>
    <s v="Margined Madtom"/>
    <s v="Noturus"/>
    <s v="gibbosus"/>
    <s v="U"/>
    <x v="0"/>
    <n v="8"/>
    <n v="11.81"/>
    <x v="9"/>
    <s v="72629-94-8"/>
    <x v="9"/>
    <n v="5.45"/>
  </r>
  <r>
    <s v="MM007-JBA-08162021"/>
    <s v="Spill"/>
    <x v="1"/>
    <s v="Margined Madtom"/>
    <s v="Noturus"/>
    <s v="gibbosus"/>
    <s v="U"/>
    <x v="0"/>
    <n v="8"/>
    <n v="11.81"/>
    <x v="10"/>
    <s v="376-06-7"/>
    <x v="10"/>
    <n v="25.2"/>
  </r>
  <r>
    <s v="MM007-JBA-08162021"/>
    <s v="Spill"/>
    <x v="1"/>
    <s v="Margined Madtom"/>
    <s v="Noturus"/>
    <s v="gibbosus"/>
    <s v="U"/>
    <x v="0"/>
    <n v="8"/>
    <n v="11.81"/>
    <x v="11"/>
    <s v="67905-19-5"/>
    <x v="11"/>
    <n v="0.13250000000000001"/>
  </r>
  <r>
    <s v="MM007-JBA-08162021"/>
    <s v="Spill"/>
    <x v="1"/>
    <s v="Margined Madtom"/>
    <s v="Noturus"/>
    <s v="gibbosus"/>
    <s v="U"/>
    <x v="0"/>
    <n v="8"/>
    <n v="11.81"/>
    <x v="12"/>
    <s v="423-41-6"/>
    <x v="12"/>
    <n v="0.1115"/>
  </r>
  <r>
    <s v="MM007-JBA-08162021"/>
    <s v="Spill"/>
    <x v="1"/>
    <s v="Margined Madtom"/>
    <s v="Noturus"/>
    <s v="gibbosus"/>
    <s v="U"/>
    <x v="0"/>
    <n v="8"/>
    <n v="11.81"/>
    <x v="13"/>
    <s v="375-73-5"/>
    <x v="13"/>
    <n v="0.2225"/>
  </r>
  <r>
    <s v="MM007-JBA-08162021"/>
    <s v="Spill"/>
    <x v="1"/>
    <s v="Margined Madtom"/>
    <s v="Noturus"/>
    <s v="gibbosus"/>
    <s v="U"/>
    <x v="0"/>
    <n v="8"/>
    <n v="11.81"/>
    <x v="14"/>
    <s v="2706-91-4"/>
    <x v="14"/>
    <n v="0.39300000000000002"/>
  </r>
  <r>
    <s v="MM007-JBA-08162021"/>
    <s v="Spill"/>
    <x v="1"/>
    <s v="Margined Madtom"/>
    <s v="Noturus"/>
    <s v="gibbosus"/>
    <s v="U"/>
    <x v="0"/>
    <n v="8"/>
    <n v="11.81"/>
    <x v="15"/>
    <s v="355-46-4"/>
    <x v="15"/>
    <n v="42.6"/>
  </r>
  <r>
    <s v="MM007-JBA-08162021"/>
    <s v="Spill"/>
    <x v="1"/>
    <s v="Margined Madtom"/>
    <s v="Noturus"/>
    <s v="gibbosus"/>
    <s v="U"/>
    <x v="0"/>
    <n v="8"/>
    <n v="11.81"/>
    <x v="16"/>
    <s v="375-92-8"/>
    <x v="16"/>
    <n v="2.9"/>
  </r>
  <r>
    <s v="MM007-JBA-08162021"/>
    <s v="Spill"/>
    <x v="1"/>
    <s v="Margined Madtom"/>
    <s v="Noturus"/>
    <s v="gibbosus"/>
    <s v="U"/>
    <x v="0"/>
    <n v="8"/>
    <n v="11.81"/>
    <x v="17"/>
    <s v="1763-23-1"/>
    <x v="17"/>
    <n v="342"/>
  </r>
  <r>
    <s v="MM007-JBA-08162021"/>
    <s v="Spill"/>
    <x v="1"/>
    <s v="Margined Madtom"/>
    <s v="Noturus"/>
    <s v="gibbosus"/>
    <s v="U"/>
    <x v="0"/>
    <n v="8"/>
    <n v="11.81"/>
    <x v="18"/>
    <s v="68259-12-1"/>
    <x v="18"/>
    <n v="0.77800000000000002"/>
  </r>
  <r>
    <s v="MM007-JBA-08162021"/>
    <s v="Spill"/>
    <x v="1"/>
    <s v="Margined Madtom"/>
    <s v="Noturus"/>
    <s v="gibbosus"/>
    <s v="U"/>
    <x v="0"/>
    <n v="8"/>
    <n v="11.81"/>
    <x v="19"/>
    <s v="335-77-3"/>
    <x v="19"/>
    <n v="1.19"/>
  </r>
  <r>
    <s v="MM007-JBA-08162021"/>
    <s v="Spill"/>
    <x v="1"/>
    <s v="Margined Madtom"/>
    <s v="Noturus"/>
    <s v="gibbosus"/>
    <s v="U"/>
    <x v="0"/>
    <n v="8"/>
    <n v="11.81"/>
    <x v="20"/>
    <s v="79780-39-5"/>
    <x v="20"/>
    <n v="0.23799999999999999"/>
  </r>
  <r>
    <s v="MM007-JBA-08162021"/>
    <s v="Spill"/>
    <x v="1"/>
    <s v="Margined Madtom"/>
    <s v="Noturus"/>
    <s v="gibbosus"/>
    <s v="U"/>
    <x v="0"/>
    <n v="8"/>
    <n v="11.81"/>
    <x v="21"/>
    <s v="777011-38-8"/>
    <x v="21"/>
    <n v="0.13550000000000001"/>
  </r>
  <r>
    <s v="MM007-JBA-08162021"/>
    <s v="Spill"/>
    <x v="1"/>
    <s v="Margined Madtom"/>
    <s v="Noturus"/>
    <s v="gibbosus"/>
    <s v="U"/>
    <x v="0"/>
    <n v="8"/>
    <n v="11.81"/>
    <x v="22"/>
    <s v="646-83-3"/>
    <x v="22"/>
    <n v="0.187"/>
  </r>
  <r>
    <s v="MM007-JBA-08162021"/>
    <s v="Spill"/>
    <x v="1"/>
    <s v="Margined Madtom"/>
    <s v="Noturus"/>
    <s v="gibbosus"/>
    <s v="U"/>
    <x v="0"/>
    <n v="8"/>
    <n v="11.81"/>
    <x v="23"/>
    <s v="30334-69-1"/>
    <x v="23"/>
    <n v="119"/>
  </r>
  <r>
    <s v="MM007-JBA-08162021"/>
    <s v="Spill"/>
    <x v="1"/>
    <s v="Margined Madtom"/>
    <s v="Noturus"/>
    <s v="gibbosus"/>
    <s v="U"/>
    <x v="0"/>
    <n v="8"/>
    <n v="11.81"/>
    <x v="24"/>
    <s v="41997-13-1"/>
    <x v="24"/>
    <n v="283"/>
  </r>
  <r>
    <s v="MM007-JBA-08162021"/>
    <s v="Spill"/>
    <x v="1"/>
    <s v="Margined Madtom"/>
    <s v="Noturus"/>
    <s v="gibbosus"/>
    <s v="U"/>
    <x v="0"/>
    <n v="8"/>
    <n v="11.81"/>
    <x v="25"/>
    <s v="754-91-6"/>
    <x v="25"/>
    <n v="17.100000000000001"/>
  </r>
  <r>
    <s v="MM007-JBA-08162021"/>
    <s v="Spill"/>
    <x v="1"/>
    <s v="Margined Madtom"/>
    <s v="Noturus"/>
    <s v="gibbosus"/>
    <s v="U"/>
    <x v="0"/>
    <n v="8"/>
    <n v="11.81"/>
    <x v="26"/>
    <s v="31506-32-8"/>
    <x v="26"/>
    <n v="8.5500000000000007E-2"/>
  </r>
  <r>
    <s v="MM007-JBA-08162021"/>
    <s v="Spill"/>
    <x v="1"/>
    <s v="Margined Madtom"/>
    <s v="Noturus"/>
    <s v="gibbosus"/>
    <s v="U"/>
    <x v="0"/>
    <n v="8"/>
    <n v="11.81"/>
    <x v="27"/>
    <s v="4151-50-2"/>
    <x v="27"/>
    <n v="0.2225"/>
  </r>
  <r>
    <s v="MM007-JBA-08162021"/>
    <s v="Spill"/>
    <x v="1"/>
    <s v="Margined Madtom"/>
    <s v="Noturus"/>
    <s v="gibbosus"/>
    <s v="U"/>
    <x v="0"/>
    <n v="8"/>
    <n v="11.81"/>
    <x v="28"/>
    <s v="2806-24-8"/>
    <x v="28"/>
    <n v="0.2225"/>
  </r>
  <r>
    <s v="MM007-JBA-08162021"/>
    <s v="Spill"/>
    <x v="1"/>
    <s v="Margined Madtom"/>
    <s v="Noturus"/>
    <s v="gibbosus"/>
    <s v="U"/>
    <x v="0"/>
    <n v="8"/>
    <n v="11.81"/>
    <x v="29"/>
    <s v="2355-31-9"/>
    <x v="29"/>
    <n v="0.112"/>
  </r>
  <r>
    <s v="MM007-JBA-08162021"/>
    <s v="Spill"/>
    <x v="1"/>
    <s v="Margined Madtom"/>
    <s v="Noturus"/>
    <s v="gibbosus"/>
    <s v="U"/>
    <x v="0"/>
    <n v="8"/>
    <n v="11.81"/>
    <x v="30"/>
    <s v="2991-50-6"/>
    <x v="30"/>
    <n v="0.1115"/>
  </r>
  <r>
    <s v="MM007-JBA-08162021"/>
    <s v="Spill"/>
    <x v="1"/>
    <s v="Margined Madtom"/>
    <s v="Noturus"/>
    <s v="gibbosus"/>
    <s v="U"/>
    <x v="0"/>
    <n v="8"/>
    <n v="11.81"/>
    <x v="31"/>
    <s v="757124-72-4"/>
    <x v="31"/>
    <n v="0.1115"/>
  </r>
  <r>
    <s v="MM007-JBA-08162021"/>
    <s v="Spill"/>
    <x v="1"/>
    <s v="Margined Madtom"/>
    <s v="Noturus"/>
    <s v="gibbosus"/>
    <s v="U"/>
    <x v="0"/>
    <n v="8"/>
    <n v="11.81"/>
    <x v="32"/>
    <s v="27619-97-2"/>
    <x v="32"/>
    <n v="0.67700000000000005"/>
  </r>
  <r>
    <s v="MM007-JBA-08162021"/>
    <s v="Spill"/>
    <x v="1"/>
    <s v="Margined Madtom"/>
    <s v="Noturus"/>
    <s v="gibbosus"/>
    <s v="U"/>
    <x v="0"/>
    <n v="8"/>
    <n v="11.81"/>
    <x v="33"/>
    <s v="39108-34-4"/>
    <x v="33"/>
    <n v="14.1"/>
  </r>
  <r>
    <s v="MM007-JBA-08162021"/>
    <s v="Spill"/>
    <x v="1"/>
    <s v="Margined Madtom"/>
    <s v="Noturus"/>
    <s v="gibbosus"/>
    <s v="U"/>
    <x v="0"/>
    <n v="8"/>
    <n v="11.81"/>
    <x v="34"/>
    <s v="120226-60-0"/>
    <x v="34"/>
    <n v="0.2225"/>
  </r>
  <r>
    <s v="MM007-JBA-08162021"/>
    <s v="Spill"/>
    <x v="1"/>
    <s v="Margined Madtom"/>
    <s v="Noturus"/>
    <s v="gibbosus"/>
    <s v="U"/>
    <x v="0"/>
    <n v="8"/>
    <n v="11.81"/>
    <x v="35"/>
    <s v="356-02-5"/>
    <x v="35"/>
    <n v="0.2225"/>
  </r>
  <r>
    <s v="MM007-JBA-08162021"/>
    <s v="Spill"/>
    <x v="1"/>
    <s v="Margined Madtom"/>
    <s v="Noturus"/>
    <s v="gibbosus"/>
    <s v="U"/>
    <x v="0"/>
    <n v="8"/>
    <n v="11.81"/>
    <x v="36"/>
    <s v="914637-49-3"/>
    <x v="36"/>
    <n v="6.01"/>
  </r>
  <r>
    <s v="MM007-JBA-08162021"/>
    <s v="Spill"/>
    <x v="1"/>
    <s v="Margined Madtom"/>
    <s v="Noturus"/>
    <s v="gibbosus"/>
    <s v="U"/>
    <x v="0"/>
    <n v="8"/>
    <n v="11.81"/>
    <x v="37"/>
    <s v="812-70-4"/>
    <x v="37"/>
    <n v="33.4"/>
  </r>
  <r>
    <s v="MM007-JBA-08162021"/>
    <s v="Spill"/>
    <x v="1"/>
    <s v="Margined Madtom"/>
    <s v="Noturus"/>
    <s v="gibbosus"/>
    <s v="U"/>
    <x v="0"/>
    <n v="8"/>
    <n v="11.81"/>
    <x v="38"/>
    <s v="53826-12-3"/>
    <x v="38"/>
    <n v="0.2225"/>
  </r>
  <r>
    <s v="MM007-JBA-08162021"/>
    <s v="Spill"/>
    <x v="1"/>
    <s v="Margined Madtom"/>
    <s v="Noturus"/>
    <s v="gibbosus"/>
    <s v="U"/>
    <x v="0"/>
    <n v="8"/>
    <n v="11.81"/>
    <x v="39"/>
    <s v="27854-31-5"/>
    <x v="39"/>
    <n v="0.1115"/>
  </r>
  <r>
    <s v="MM007-JBA-08162021"/>
    <s v="Spill"/>
    <x v="1"/>
    <s v="Margined Madtom"/>
    <s v="Noturus"/>
    <s v="gibbosus"/>
    <s v="U"/>
    <x v="0"/>
    <n v="8"/>
    <n v="11.81"/>
    <x v="40"/>
    <s v="53826-13-4"/>
    <x v="40"/>
    <n v="0.2225"/>
  </r>
  <r>
    <s v="MM007-JBA-08162021"/>
    <s v="Spill"/>
    <x v="1"/>
    <s v="Margined Madtom"/>
    <s v="Noturus"/>
    <s v="gibbosus"/>
    <s v="U"/>
    <x v="0"/>
    <n v="8"/>
    <n v="11.81"/>
    <x v="41"/>
    <s v="161094-75-3"/>
    <x v="41"/>
    <n v="8.7499999999999994E-2"/>
  </r>
  <r>
    <s v="MM007-JBA-08162021"/>
    <s v="Spill"/>
    <x v="1"/>
    <s v="Margined Madtom"/>
    <s v="Noturus"/>
    <s v="gibbosus"/>
    <s v="U"/>
    <x v="0"/>
    <n v="8"/>
    <n v="11.81"/>
    <x v="42"/>
    <s v="70887-84-2"/>
    <x v="42"/>
    <n v="6.7500000000000004E-2"/>
  </r>
  <r>
    <s v="MM007-JBA-08162021"/>
    <s v="Spill"/>
    <x v="1"/>
    <s v="Margined Madtom"/>
    <s v="Noturus"/>
    <s v="gibbosus"/>
    <s v="U"/>
    <x v="0"/>
    <n v="8"/>
    <n v="11.81"/>
    <x v="43"/>
    <s v="919005-14-4"/>
    <x v="43"/>
    <n v="9.8000000000000004E-2"/>
  </r>
  <r>
    <s v="MM007-JBA-08162021"/>
    <s v="Spill"/>
    <x v="1"/>
    <s v="Margined Madtom"/>
    <s v="Noturus"/>
    <s v="gibbosus"/>
    <s v="U"/>
    <x v="0"/>
    <n v="8"/>
    <n v="11.81"/>
    <x v="44"/>
    <s v="756426-58-1"/>
    <x v="44"/>
    <n v="0.2225"/>
  </r>
  <r>
    <s v="MM007-JBA-08162021"/>
    <s v="Spill"/>
    <x v="1"/>
    <s v="Margined Madtom"/>
    <s v="Noturus"/>
    <s v="gibbosus"/>
    <s v="U"/>
    <x v="0"/>
    <n v="8"/>
    <n v="11.81"/>
    <x v="45"/>
    <s v="763051-92-9"/>
    <x v="45"/>
    <n v="0.2225"/>
  </r>
  <r>
    <s v="MM007-JBA-08162021"/>
    <s v="Spill"/>
    <x v="1"/>
    <s v="Margined Madtom"/>
    <s v="Noturus"/>
    <s v="gibbosus"/>
    <s v="U"/>
    <x v="0"/>
    <n v="8"/>
    <n v="11.81"/>
    <x v="46"/>
    <s v="13252-13-6"/>
    <x v="46"/>
    <n v="0.1595"/>
  </r>
  <r>
    <s v="MM007-JBA-08162021"/>
    <s v="Spill"/>
    <x v="1"/>
    <s v="Margined Madtom"/>
    <s v="Noturus"/>
    <s v="gibbosus"/>
    <s v="U"/>
    <x v="0"/>
    <n v="8"/>
    <n v="11.81"/>
    <x v="47"/>
    <s v="57677-95-9"/>
    <x v="47"/>
    <n v="0.2225"/>
  </r>
  <r>
    <s v="MM007-JBA-08162021"/>
    <s v="Spill"/>
    <x v="1"/>
    <s v="Margined Madtom"/>
    <s v="Noturus"/>
    <s v="gibbosus"/>
    <s v="U"/>
    <x v="0"/>
    <n v="8"/>
    <n v="11.81"/>
    <x v="48"/>
    <s v="678-41-1"/>
    <x v="48"/>
    <n v="0.2225"/>
  </r>
  <r>
    <s v="MM007-JBA-08162021"/>
    <s v="Spill"/>
    <x v="1"/>
    <s v="Margined Madtom"/>
    <s v="Noturus"/>
    <s v="gibbosus"/>
    <s v="U"/>
    <x v="0"/>
    <n v="8"/>
    <n v="11.81"/>
    <x v="49"/>
    <s v="2965-52-8"/>
    <x v="49"/>
    <n v="0.2225"/>
  </r>
  <r>
    <s v="EMM006-JBA-08162021"/>
    <s v="Spill"/>
    <x v="1"/>
    <s v="Eastern Mudminnow"/>
    <s v="Umbra"/>
    <s v="gibbosus"/>
    <s v="U"/>
    <x v="0"/>
    <n v="8"/>
    <n v="11.81"/>
    <x v="0"/>
    <s v="375-22-4"/>
    <x v="0"/>
    <n v="0.24"/>
  </r>
  <r>
    <s v="EMM006-JBA-08162021"/>
    <s v="Spill"/>
    <x v="1"/>
    <s v="Eastern Mudminnow"/>
    <s v="Umbra"/>
    <s v="gibbosus"/>
    <s v="U"/>
    <x v="0"/>
    <n v="8"/>
    <n v="11.81"/>
    <x v="1"/>
    <s v="2706-90-3"/>
    <x v="1"/>
    <n v="8.4500000000000006E-2"/>
  </r>
  <r>
    <s v="EMM006-JBA-08162021"/>
    <s v="Spill"/>
    <x v="1"/>
    <s v="Eastern Mudminnow"/>
    <s v="Umbra"/>
    <s v="gibbosus"/>
    <s v="U"/>
    <x v="0"/>
    <n v="8"/>
    <n v="11.81"/>
    <x v="2"/>
    <s v="307-24-4"/>
    <x v="2"/>
    <n v="0.1295"/>
  </r>
  <r>
    <s v="EMM006-JBA-08162021"/>
    <s v="Spill"/>
    <x v="1"/>
    <s v="Eastern Mudminnow"/>
    <s v="Umbra"/>
    <s v="gibbosus"/>
    <s v="U"/>
    <x v="0"/>
    <n v="8"/>
    <n v="11.81"/>
    <x v="3"/>
    <s v="375-85-9"/>
    <x v="3"/>
    <n v="0.24"/>
  </r>
  <r>
    <s v="EMM006-JBA-08162021"/>
    <s v="Spill"/>
    <x v="1"/>
    <s v="Eastern Mudminnow"/>
    <s v="Umbra"/>
    <s v="gibbosus"/>
    <s v="U"/>
    <x v="0"/>
    <n v="8"/>
    <n v="11.81"/>
    <x v="4"/>
    <s v="335-67-1"/>
    <x v="4"/>
    <n v="16.3"/>
  </r>
  <r>
    <s v="EMM006-JBA-08162021"/>
    <s v="Spill"/>
    <x v="1"/>
    <s v="Eastern Mudminnow"/>
    <s v="Umbra"/>
    <s v="gibbosus"/>
    <s v="U"/>
    <x v="0"/>
    <n v="8"/>
    <n v="11.81"/>
    <x v="5"/>
    <s v="375-95-1"/>
    <x v="5"/>
    <n v="5.29"/>
  </r>
  <r>
    <s v="EMM006-JBA-08162021"/>
    <s v="Spill"/>
    <x v="1"/>
    <s v="Eastern Mudminnow"/>
    <s v="Umbra"/>
    <s v="gibbosus"/>
    <s v="U"/>
    <x v="0"/>
    <n v="8"/>
    <n v="11.81"/>
    <x v="6"/>
    <s v="335-76-2"/>
    <x v="6"/>
    <n v="4.58"/>
  </r>
  <r>
    <s v="EMM006-JBA-08162021"/>
    <s v="Spill"/>
    <x v="1"/>
    <s v="Eastern Mudminnow"/>
    <s v="Umbra"/>
    <s v="gibbosus"/>
    <s v="U"/>
    <x v="0"/>
    <n v="8"/>
    <n v="11.81"/>
    <x v="7"/>
    <s v="2058-94-8"/>
    <x v="7"/>
    <n v="6.89"/>
  </r>
  <r>
    <s v="EMM006-JBA-08162021"/>
    <s v="Spill"/>
    <x v="1"/>
    <s v="Eastern Mudminnow"/>
    <s v="Umbra"/>
    <s v="gibbosus"/>
    <s v="U"/>
    <x v="0"/>
    <n v="8"/>
    <n v="11.81"/>
    <x v="8"/>
    <s v="307-55-1"/>
    <x v="8"/>
    <n v="11"/>
  </r>
  <r>
    <s v="EMM006-JBA-08162021"/>
    <s v="Spill"/>
    <x v="1"/>
    <s v="Eastern Mudminnow"/>
    <s v="Umbra"/>
    <s v="gibbosus"/>
    <s v="U"/>
    <x v="0"/>
    <n v="8"/>
    <n v="11.81"/>
    <x v="9"/>
    <s v="72629-94-8"/>
    <x v="9"/>
    <n v="1.85"/>
  </r>
  <r>
    <s v="EMM006-JBA-08162021"/>
    <s v="Spill"/>
    <x v="1"/>
    <s v="Eastern Mudminnow"/>
    <s v="Umbra"/>
    <s v="gibbosus"/>
    <s v="U"/>
    <x v="0"/>
    <n v="8"/>
    <n v="11.81"/>
    <x v="10"/>
    <s v="376-06-7"/>
    <x v="10"/>
    <n v="9.92"/>
  </r>
  <r>
    <s v="EMM006-JBA-08162021"/>
    <s v="Spill"/>
    <x v="1"/>
    <s v="Eastern Mudminnow"/>
    <s v="Umbra"/>
    <s v="gibbosus"/>
    <s v="U"/>
    <x v="0"/>
    <n v="8"/>
    <n v="11.81"/>
    <x v="11"/>
    <s v="67905-19-5"/>
    <x v="11"/>
    <n v="0.14299999999999999"/>
  </r>
  <r>
    <s v="EMM006-JBA-08162021"/>
    <s v="Spill"/>
    <x v="1"/>
    <s v="Eastern Mudminnow"/>
    <s v="Umbra"/>
    <s v="gibbosus"/>
    <s v="U"/>
    <x v="0"/>
    <n v="8"/>
    <n v="11.81"/>
    <x v="12"/>
    <s v="423-41-6"/>
    <x v="12"/>
    <n v="0.24"/>
  </r>
  <r>
    <s v="EMM006-JBA-08162021"/>
    <s v="Spill"/>
    <x v="1"/>
    <s v="Eastern Mudminnow"/>
    <s v="Umbra"/>
    <s v="gibbosus"/>
    <s v="U"/>
    <x v="0"/>
    <n v="8"/>
    <n v="11.81"/>
    <x v="13"/>
    <s v="375-73-5"/>
    <x v="13"/>
    <n v="0.24"/>
  </r>
  <r>
    <s v="EMM006-JBA-08162021"/>
    <s v="Spill"/>
    <x v="1"/>
    <s v="Eastern Mudminnow"/>
    <s v="Umbra"/>
    <s v="gibbosus"/>
    <s v="U"/>
    <x v="0"/>
    <n v="8"/>
    <n v="11.81"/>
    <x v="14"/>
    <s v="2706-91-4"/>
    <x v="14"/>
    <n v="0.77100000000000002"/>
  </r>
  <r>
    <s v="EMM006-JBA-08162021"/>
    <s v="Spill"/>
    <x v="1"/>
    <s v="Eastern Mudminnow"/>
    <s v="Umbra"/>
    <s v="gibbosus"/>
    <s v="U"/>
    <x v="0"/>
    <n v="8"/>
    <n v="11.81"/>
    <x v="15"/>
    <s v="355-46-4"/>
    <x v="15"/>
    <n v="108"/>
  </r>
  <r>
    <s v="EMM006-JBA-08162021"/>
    <s v="Spill"/>
    <x v="1"/>
    <s v="Eastern Mudminnow"/>
    <s v="Umbra"/>
    <s v="gibbosus"/>
    <s v="U"/>
    <x v="0"/>
    <n v="8"/>
    <n v="11.81"/>
    <x v="16"/>
    <s v="375-92-8"/>
    <x v="16"/>
    <n v="4.5999999999999996"/>
  </r>
  <r>
    <s v="EMM006-JBA-08162021"/>
    <s v="Spill"/>
    <x v="1"/>
    <s v="Eastern Mudminnow"/>
    <s v="Umbra"/>
    <s v="gibbosus"/>
    <s v="U"/>
    <x v="0"/>
    <n v="8"/>
    <n v="11.81"/>
    <x v="17"/>
    <s v="1763-23-1"/>
    <x v="17"/>
    <n v="792"/>
  </r>
  <r>
    <s v="EMM006-JBA-08162021"/>
    <s v="Spill"/>
    <x v="1"/>
    <s v="Eastern Mudminnow"/>
    <s v="Umbra"/>
    <s v="gibbosus"/>
    <s v="U"/>
    <x v="0"/>
    <n v="8"/>
    <n v="11.81"/>
    <x v="18"/>
    <s v="68259-12-1"/>
    <x v="18"/>
    <n v="0.99299999999999999"/>
  </r>
  <r>
    <s v="EMM006-JBA-08162021"/>
    <s v="Spill"/>
    <x v="1"/>
    <s v="Eastern Mudminnow"/>
    <s v="Umbra"/>
    <s v="gibbosus"/>
    <s v="U"/>
    <x v="0"/>
    <n v="8"/>
    <n v="11.81"/>
    <x v="19"/>
    <s v="335-77-3"/>
    <x v="19"/>
    <n v="0.89"/>
  </r>
  <r>
    <s v="EMM006-JBA-08162021"/>
    <s v="Spill"/>
    <x v="1"/>
    <s v="Eastern Mudminnow"/>
    <s v="Umbra"/>
    <s v="gibbosus"/>
    <s v="U"/>
    <x v="0"/>
    <n v="8"/>
    <n v="11.81"/>
    <x v="20"/>
    <s v="79780-39-5"/>
    <x v="20"/>
    <n v="0.25650000000000001"/>
  </r>
  <r>
    <s v="EMM006-JBA-08162021"/>
    <s v="Spill"/>
    <x v="1"/>
    <s v="Eastern Mudminnow"/>
    <s v="Umbra"/>
    <s v="gibbosus"/>
    <s v="U"/>
    <x v="0"/>
    <n v="8"/>
    <n v="11.81"/>
    <x v="21"/>
    <s v="777011-38-8"/>
    <x v="21"/>
    <n v="0.14599999999999999"/>
  </r>
  <r>
    <s v="EMM006-JBA-08162021"/>
    <s v="Spill"/>
    <x v="1"/>
    <s v="Eastern Mudminnow"/>
    <s v="Umbra"/>
    <s v="gibbosus"/>
    <s v="U"/>
    <x v="0"/>
    <n v="8"/>
    <n v="11.81"/>
    <x v="22"/>
    <s v="646-83-3"/>
    <x v="22"/>
    <n v="0.36"/>
  </r>
  <r>
    <s v="EMM006-JBA-08162021"/>
    <s v="Spill"/>
    <x v="1"/>
    <s v="Eastern Mudminnow"/>
    <s v="Umbra"/>
    <s v="gibbosus"/>
    <s v="U"/>
    <x v="0"/>
    <n v="8"/>
    <n v="11.81"/>
    <x v="23"/>
    <s v="30334-69-1"/>
    <x v="23"/>
    <n v="43.1"/>
  </r>
  <r>
    <s v="EMM006-JBA-08162021"/>
    <s v="Spill"/>
    <x v="1"/>
    <s v="Eastern Mudminnow"/>
    <s v="Umbra"/>
    <s v="gibbosus"/>
    <s v="U"/>
    <x v="0"/>
    <n v="8"/>
    <n v="11.81"/>
    <x v="24"/>
    <s v="41997-13-1"/>
    <x v="24"/>
    <n v="247"/>
  </r>
  <r>
    <s v="EMM006-JBA-08162021"/>
    <s v="Spill"/>
    <x v="1"/>
    <s v="Eastern Mudminnow"/>
    <s v="Umbra"/>
    <s v="gibbosus"/>
    <s v="U"/>
    <x v="0"/>
    <n v="8"/>
    <n v="11.81"/>
    <x v="25"/>
    <s v="754-91-6"/>
    <x v="25"/>
    <n v="14.1"/>
  </r>
  <r>
    <s v="EMM006-JBA-08162021"/>
    <s v="Spill"/>
    <x v="1"/>
    <s v="Eastern Mudminnow"/>
    <s v="Umbra"/>
    <s v="gibbosus"/>
    <s v="U"/>
    <x v="0"/>
    <n v="8"/>
    <n v="11.81"/>
    <x v="26"/>
    <s v="31506-32-8"/>
    <x v="26"/>
    <n v="9.2499999999999999E-2"/>
  </r>
  <r>
    <s v="EMM006-JBA-08162021"/>
    <s v="Spill"/>
    <x v="1"/>
    <s v="Eastern Mudminnow"/>
    <s v="Umbra"/>
    <s v="gibbosus"/>
    <s v="U"/>
    <x v="0"/>
    <n v="8"/>
    <n v="11.81"/>
    <x v="27"/>
    <s v="4151-50-2"/>
    <x v="27"/>
    <n v="0.24"/>
  </r>
  <r>
    <s v="EMM006-JBA-08162021"/>
    <s v="Spill"/>
    <x v="1"/>
    <s v="Eastern Mudminnow"/>
    <s v="Umbra"/>
    <s v="gibbosus"/>
    <s v="U"/>
    <x v="0"/>
    <n v="8"/>
    <n v="11.81"/>
    <x v="28"/>
    <s v="2806-24-8"/>
    <x v="28"/>
    <n v="0.24"/>
  </r>
  <r>
    <s v="EMM006-JBA-08162021"/>
    <s v="Spill"/>
    <x v="1"/>
    <s v="Eastern Mudminnow"/>
    <s v="Umbra"/>
    <s v="gibbosus"/>
    <s v="U"/>
    <x v="0"/>
    <n v="8"/>
    <n v="11.81"/>
    <x v="29"/>
    <s v="2355-31-9"/>
    <x v="29"/>
    <n v="0.1205"/>
  </r>
  <r>
    <s v="EMM006-JBA-08162021"/>
    <s v="Spill"/>
    <x v="1"/>
    <s v="Eastern Mudminnow"/>
    <s v="Umbra"/>
    <s v="gibbosus"/>
    <s v="U"/>
    <x v="0"/>
    <n v="8"/>
    <n v="11.81"/>
    <x v="30"/>
    <s v="2991-50-6"/>
    <x v="30"/>
    <n v="0.12"/>
  </r>
  <r>
    <s v="EMM006-JBA-08162021"/>
    <s v="Spill"/>
    <x v="1"/>
    <s v="Eastern Mudminnow"/>
    <s v="Umbra"/>
    <s v="gibbosus"/>
    <s v="U"/>
    <x v="0"/>
    <n v="8"/>
    <n v="11.81"/>
    <x v="31"/>
    <s v="757124-72-4"/>
    <x v="31"/>
    <n v="0.12"/>
  </r>
  <r>
    <s v="EMM006-JBA-08162021"/>
    <s v="Spill"/>
    <x v="1"/>
    <s v="Eastern Mudminnow"/>
    <s v="Umbra"/>
    <s v="gibbosus"/>
    <s v="U"/>
    <x v="0"/>
    <n v="8"/>
    <n v="11.81"/>
    <x v="32"/>
    <s v="27619-97-2"/>
    <x v="32"/>
    <n v="3.21"/>
  </r>
  <r>
    <s v="EMM006-JBA-08162021"/>
    <s v="Spill"/>
    <x v="1"/>
    <s v="Eastern Mudminnow"/>
    <s v="Umbra"/>
    <s v="gibbosus"/>
    <s v="U"/>
    <x v="0"/>
    <n v="8"/>
    <n v="11.81"/>
    <x v="33"/>
    <s v="39108-34-4"/>
    <x v="33"/>
    <n v="2.7"/>
  </r>
  <r>
    <s v="EMM006-JBA-08162021"/>
    <s v="Spill"/>
    <x v="1"/>
    <s v="Eastern Mudminnow"/>
    <s v="Umbra"/>
    <s v="gibbosus"/>
    <s v="U"/>
    <x v="0"/>
    <n v="8"/>
    <n v="11.81"/>
    <x v="34"/>
    <s v="120226-60-0"/>
    <x v="34"/>
    <n v="0.48"/>
  </r>
  <r>
    <s v="EMM006-JBA-08162021"/>
    <s v="Spill"/>
    <x v="1"/>
    <s v="Eastern Mudminnow"/>
    <s v="Umbra"/>
    <s v="gibbosus"/>
    <s v="U"/>
    <x v="0"/>
    <n v="8"/>
    <n v="11.81"/>
    <x v="35"/>
    <s v="356-02-5"/>
    <x v="35"/>
    <n v="0.24"/>
  </r>
  <r>
    <s v="EMM006-JBA-08162021"/>
    <s v="Spill"/>
    <x v="1"/>
    <s v="Eastern Mudminnow"/>
    <s v="Umbra"/>
    <s v="gibbosus"/>
    <s v="U"/>
    <x v="0"/>
    <n v="8"/>
    <n v="11.81"/>
    <x v="36"/>
    <s v="914637-49-3"/>
    <x v="36"/>
    <n v="10.3"/>
  </r>
  <r>
    <s v="EMM006-JBA-08162021"/>
    <s v="Spill"/>
    <x v="1"/>
    <s v="Eastern Mudminnow"/>
    <s v="Umbra"/>
    <s v="gibbosus"/>
    <s v="U"/>
    <x v="0"/>
    <n v="8"/>
    <n v="11.81"/>
    <x v="37"/>
    <s v="812-70-4"/>
    <x v="37"/>
    <n v="6.56"/>
  </r>
  <r>
    <s v="EMM006-JBA-08162021"/>
    <s v="Spill"/>
    <x v="1"/>
    <s v="Eastern Mudminnow"/>
    <s v="Umbra"/>
    <s v="gibbosus"/>
    <s v="U"/>
    <x v="0"/>
    <n v="8"/>
    <n v="11.81"/>
    <x v="38"/>
    <s v="53826-12-3"/>
    <x v="38"/>
    <n v="0.24"/>
  </r>
  <r>
    <s v="EMM006-JBA-08162021"/>
    <s v="Spill"/>
    <x v="1"/>
    <s v="Eastern Mudminnow"/>
    <s v="Umbra"/>
    <s v="gibbosus"/>
    <s v="U"/>
    <x v="0"/>
    <n v="8"/>
    <n v="11.81"/>
    <x v="39"/>
    <s v="27854-31-5"/>
    <x v="39"/>
    <n v="0.12"/>
  </r>
  <r>
    <s v="EMM006-JBA-08162021"/>
    <s v="Spill"/>
    <x v="1"/>
    <s v="Eastern Mudminnow"/>
    <s v="Umbra"/>
    <s v="gibbosus"/>
    <s v="U"/>
    <x v="0"/>
    <n v="8"/>
    <n v="11.81"/>
    <x v="40"/>
    <s v="53826-13-4"/>
    <x v="40"/>
    <n v="0.24"/>
  </r>
  <r>
    <s v="EMM006-JBA-08162021"/>
    <s v="Spill"/>
    <x v="1"/>
    <s v="Eastern Mudminnow"/>
    <s v="Umbra"/>
    <s v="gibbosus"/>
    <s v="U"/>
    <x v="0"/>
    <n v="8"/>
    <n v="11.81"/>
    <x v="41"/>
    <s v="161094-75-3"/>
    <x v="41"/>
    <n v="9.4E-2"/>
  </r>
  <r>
    <s v="EMM006-JBA-08162021"/>
    <s v="Spill"/>
    <x v="1"/>
    <s v="Eastern Mudminnow"/>
    <s v="Umbra"/>
    <s v="gibbosus"/>
    <s v="U"/>
    <x v="0"/>
    <n v="8"/>
    <n v="11.81"/>
    <x v="42"/>
    <s v="70887-84-2"/>
    <x v="42"/>
    <n v="7.2499999999999995E-2"/>
  </r>
  <r>
    <s v="EMM006-JBA-08162021"/>
    <s v="Spill"/>
    <x v="1"/>
    <s v="Eastern Mudminnow"/>
    <s v="Umbra"/>
    <s v="gibbosus"/>
    <s v="U"/>
    <x v="0"/>
    <n v="8"/>
    <n v="11.81"/>
    <x v="43"/>
    <s v="919005-14-4"/>
    <x v="43"/>
    <n v="0.106"/>
  </r>
  <r>
    <s v="EMM006-JBA-08162021"/>
    <s v="Spill"/>
    <x v="1"/>
    <s v="Eastern Mudminnow"/>
    <s v="Umbra"/>
    <s v="gibbosus"/>
    <s v="U"/>
    <x v="0"/>
    <n v="8"/>
    <n v="11.81"/>
    <x v="44"/>
    <s v="756426-58-1"/>
    <x v="44"/>
    <n v="0.24"/>
  </r>
  <r>
    <s v="EMM006-JBA-08162021"/>
    <s v="Spill"/>
    <x v="1"/>
    <s v="Eastern Mudminnow"/>
    <s v="Umbra"/>
    <s v="gibbosus"/>
    <s v="U"/>
    <x v="0"/>
    <n v="8"/>
    <n v="11.81"/>
    <x v="45"/>
    <s v="763051-92-9"/>
    <x v="45"/>
    <n v="0.24"/>
  </r>
  <r>
    <s v="EMM006-JBA-08162021"/>
    <s v="Spill"/>
    <x v="1"/>
    <s v="Eastern Mudminnow"/>
    <s v="Umbra"/>
    <s v="gibbosus"/>
    <s v="U"/>
    <x v="0"/>
    <n v="8"/>
    <n v="11.81"/>
    <x v="46"/>
    <s v="13252-13-6"/>
    <x v="46"/>
    <n v="0.17199999999999999"/>
  </r>
  <r>
    <s v="EMM006-JBA-08162021"/>
    <s v="Spill"/>
    <x v="1"/>
    <s v="Eastern Mudminnow"/>
    <s v="Umbra"/>
    <s v="gibbosus"/>
    <s v="U"/>
    <x v="0"/>
    <n v="8"/>
    <n v="11.81"/>
    <x v="47"/>
    <s v="57677-95-9"/>
    <x v="47"/>
    <n v="0.24"/>
  </r>
  <r>
    <s v="EMM006-JBA-08162021"/>
    <s v="Spill"/>
    <x v="1"/>
    <s v="Eastern Mudminnow"/>
    <s v="Umbra"/>
    <s v="gibbosus"/>
    <s v="U"/>
    <x v="0"/>
    <n v="8"/>
    <n v="11.81"/>
    <x v="48"/>
    <s v="678-41-1"/>
    <x v="48"/>
    <n v="0.24"/>
  </r>
  <r>
    <s v="EMM006-JBA-08162021"/>
    <s v="Spill"/>
    <x v="1"/>
    <s v="Eastern Mudminnow"/>
    <s v="Umbra"/>
    <s v="gibbosus"/>
    <s v="U"/>
    <x v="0"/>
    <n v="8"/>
    <n v="11.81"/>
    <x v="49"/>
    <s v="2965-52-8"/>
    <x v="49"/>
    <n v="0.24"/>
  </r>
  <r>
    <s v="EMM007-JBA-08162021"/>
    <s v="Spill"/>
    <x v="1"/>
    <s v="Eastern Mudminnow"/>
    <s v="Umbra"/>
    <s v="gibbosus"/>
    <s v="U"/>
    <x v="0"/>
    <n v="8"/>
    <n v="11.81"/>
    <x v="0"/>
    <s v="375-22-4"/>
    <x v="0"/>
    <n v="0.224"/>
  </r>
  <r>
    <s v="EMM007-JBA-08162021"/>
    <s v="Spill"/>
    <x v="1"/>
    <s v="Eastern Mudminnow"/>
    <s v="Umbra"/>
    <s v="gibbosus"/>
    <s v="U"/>
    <x v="0"/>
    <n v="8"/>
    <n v="11.81"/>
    <x v="1"/>
    <s v="2706-90-3"/>
    <x v="1"/>
    <n v="0.158"/>
  </r>
  <r>
    <s v="EMM007-JBA-08162021"/>
    <s v="Spill"/>
    <x v="1"/>
    <s v="Eastern Mudminnow"/>
    <s v="Umbra"/>
    <s v="gibbosus"/>
    <s v="U"/>
    <x v="0"/>
    <n v="8"/>
    <n v="11.81"/>
    <x v="2"/>
    <s v="307-24-4"/>
    <x v="2"/>
    <n v="0.121"/>
  </r>
  <r>
    <s v="EMM007-JBA-08162021"/>
    <s v="Spill"/>
    <x v="1"/>
    <s v="Eastern Mudminnow"/>
    <s v="Umbra"/>
    <s v="gibbosus"/>
    <s v="U"/>
    <x v="0"/>
    <n v="8"/>
    <n v="11.81"/>
    <x v="3"/>
    <s v="375-85-9"/>
    <x v="3"/>
    <n v="0.224"/>
  </r>
  <r>
    <s v="EMM007-JBA-08162021"/>
    <s v="Spill"/>
    <x v="1"/>
    <s v="Eastern Mudminnow"/>
    <s v="Umbra"/>
    <s v="gibbosus"/>
    <s v="U"/>
    <x v="0"/>
    <n v="8"/>
    <n v="11.81"/>
    <x v="4"/>
    <s v="335-67-1"/>
    <x v="4"/>
    <n v="17.3"/>
  </r>
  <r>
    <s v="EMM007-JBA-08162021"/>
    <s v="Spill"/>
    <x v="1"/>
    <s v="Eastern Mudminnow"/>
    <s v="Umbra"/>
    <s v="gibbosus"/>
    <s v="U"/>
    <x v="0"/>
    <n v="8"/>
    <n v="11.81"/>
    <x v="5"/>
    <s v="375-95-1"/>
    <x v="5"/>
    <n v="1.97"/>
  </r>
  <r>
    <s v="EMM007-JBA-08162021"/>
    <s v="Spill"/>
    <x v="1"/>
    <s v="Eastern Mudminnow"/>
    <s v="Umbra"/>
    <s v="gibbosus"/>
    <s v="U"/>
    <x v="0"/>
    <n v="8"/>
    <n v="11.81"/>
    <x v="6"/>
    <s v="335-76-2"/>
    <x v="6"/>
    <n v="5.78"/>
  </r>
  <r>
    <s v="EMM007-JBA-08162021"/>
    <s v="Spill"/>
    <x v="1"/>
    <s v="Eastern Mudminnow"/>
    <s v="Umbra"/>
    <s v="gibbosus"/>
    <s v="U"/>
    <x v="0"/>
    <n v="8"/>
    <n v="11.81"/>
    <x v="7"/>
    <s v="2058-94-8"/>
    <x v="7"/>
    <n v="45.7"/>
  </r>
  <r>
    <s v="EMM007-JBA-08162021"/>
    <s v="Spill"/>
    <x v="1"/>
    <s v="Eastern Mudminnow"/>
    <s v="Umbra"/>
    <s v="gibbosus"/>
    <s v="U"/>
    <x v="0"/>
    <n v="8"/>
    <n v="11.81"/>
    <x v="8"/>
    <s v="307-55-1"/>
    <x v="8"/>
    <n v="4.34"/>
  </r>
  <r>
    <s v="EMM007-JBA-08162021"/>
    <s v="Spill"/>
    <x v="1"/>
    <s v="Eastern Mudminnow"/>
    <s v="Umbra"/>
    <s v="gibbosus"/>
    <s v="U"/>
    <x v="0"/>
    <n v="8"/>
    <n v="11.81"/>
    <x v="9"/>
    <s v="72629-94-8"/>
    <x v="9"/>
    <n v="108"/>
  </r>
  <r>
    <s v="EMM007-JBA-08162021"/>
    <s v="Spill"/>
    <x v="1"/>
    <s v="Eastern Mudminnow"/>
    <s v="Umbra"/>
    <s v="gibbosus"/>
    <s v="U"/>
    <x v="0"/>
    <n v="8"/>
    <n v="11.81"/>
    <x v="10"/>
    <s v="376-06-7"/>
    <x v="10"/>
    <n v="4.43"/>
  </r>
  <r>
    <s v="EMM007-JBA-08162021"/>
    <s v="Spill"/>
    <x v="1"/>
    <s v="Eastern Mudminnow"/>
    <s v="Umbra"/>
    <s v="gibbosus"/>
    <s v="U"/>
    <x v="0"/>
    <n v="8"/>
    <n v="11.81"/>
    <x v="11"/>
    <s v="67905-19-5"/>
    <x v="11"/>
    <n v="0.13350000000000001"/>
  </r>
  <r>
    <s v="EMM007-JBA-08162021"/>
    <s v="Spill"/>
    <x v="1"/>
    <s v="Eastern Mudminnow"/>
    <s v="Umbra"/>
    <s v="gibbosus"/>
    <s v="U"/>
    <x v="0"/>
    <n v="8"/>
    <n v="11.81"/>
    <x v="12"/>
    <s v="423-41-6"/>
    <x v="12"/>
    <n v="0.112"/>
  </r>
  <r>
    <s v="EMM007-JBA-08162021"/>
    <s v="Spill"/>
    <x v="1"/>
    <s v="Eastern Mudminnow"/>
    <s v="Umbra"/>
    <s v="gibbosus"/>
    <s v="U"/>
    <x v="0"/>
    <n v="8"/>
    <n v="11.81"/>
    <x v="13"/>
    <s v="375-73-5"/>
    <x v="13"/>
    <n v="0.224"/>
  </r>
  <r>
    <s v="EMM007-JBA-08162021"/>
    <s v="Spill"/>
    <x v="1"/>
    <s v="Eastern Mudminnow"/>
    <s v="Umbra"/>
    <s v="gibbosus"/>
    <s v="U"/>
    <x v="0"/>
    <n v="8"/>
    <n v="11.81"/>
    <x v="14"/>
    <s v="2706-91-4"/>
    <x v="14"/>
    <n v="0.67"/>
  </r>
  <r>
    <s v="EMM007-JBA-08162021"/>
    <s v="Spill"/>
    <x v="1"/>
    <s v="Eastern Mudminnow"/>
    <s v="Umbra"/>
    <s v="gibbosus"/>
    <s v="U"/>
    <x v="0"/>
    <n v="8"/>
    <n v="11.81"/>
    <x v="15"/>
    <s v="355-46-4"/>
    <x v="15"/>
    <n v="298"/>
  </r>
  <r>
    <s v="EMM007-JBA-08162021"/>
    <s v="Spill"/>
    <x v="1"/>
    <s v="Eastern Mudminnow"/>
    <s v="Umbra"/>
    <s v="gibbosus"/>
    <s v="U"/>
    <x v="0"/>
    <n v="8"/>
    <n v="11.81"/>
    <x v="16"/>
    <s v="375-92-8"/>
    <x v="16"/>
    <n v="11.3"/>
  </r>
  <r>
    <s v="EMM007-JBA-08162021"/>
    <s v="Spill"/>
    <x v="1"/>
    <s v="Eastern Mudminnow"/>
    <s v="Umbra"/>
    <s v="gibbosus"/>
    <s v="U"/>
    <x v="0"/>
    <n v="8"/>
    <n v="11.81"/>
    <x v="17"/>
    <s v="1763-23-1"/>
    <x v="17"/>
    <n v="3680"/>
  </r>
  <r>
    <s v="EMM007-JBA-08162021"/>
    <s v="Spill"/>
    <x v="1"/>
    <s v="Eastern Mudminnow"/>
    <s v="Umbra"/>
    <s v="gibbosus"/>
    <s v="U"/>
    <x v="0"/>
    <n v="8"/>
    <n v="11.81"/>
    <x v="18"/>
    <s v="68259-12-1"/>
    <x v="18"/>
    <n v="1.56"/>
  </r>
  <r>
    <s v="EMM007-JBA-08162021"/>
    <s v="Spill"/>
    <x v="1"/>
    <s v="Eastern Mudminnow"/>
    <s v="Umbra"/>
    <s v="gibbosus"/>
    <s v="U"/>
    <x v="0"/>
    <n v="8"/>
    <n v="11.81"/>
    <x v="19"/>
    <s v="335-77-3"/>
    <x v="19"/>
    <n v="1.95"/>
  </r>
  <r>
    <s v="EMM007-JBA-08162021"/>
    <s v="Spill"/>
    <x v="1"/>
    <s v="Eastern Mudminnow"/>
    <s v="Umbra"/>
    <s v="gibbosus"/>
    <s v="U"/>
    <x v="0"/>
    <n v="8"/>
    <n v="11.81"/>
    <x v="20"/>
    <s v="79780-39-5"/>
    <x v="20"/>
    <n v="0.23949999999999999"/>
  </r>
  <r>
    <s v="EMM007-JBA-08162021"/>
    <s v="Spill"/>
    <x v="1"/>
    <s v="Eastern Mudminnow"/>
    <s v="Umbra"/>
    <s v="gibbosus"/>
    <s v="U"/>
    <x v="0"/>
    <n v="8"/>
    <n v="11.81"/>
    <x v="21"/>
    <s v="777011-38-8"/>
    <x v="21"/>
    <n v="0.13600000000000001"/>
  </r>
  <r>
    <s v="EMM007-JBA-08162021"/>
    <s v="Spill"/>
    <x v="1"/>
    <s v="Eastern Mudminnow"/>
    <s v="Umbra"/>
    <s v="gibbosus"/>
    <s v="U"/>
    <x v="0"/>
    <n v="8"/>
    <n v="11.81"/>
    <x v="22"/>
    <s v="646-83-3"/>
    <x v="22"/>
    <n v="0.44700000000000001"/>
  </r>
  <r>
    <s v="EMM007-JBA-08162021"/>
    <s v="Spill"/>
    <x v="1"/>
    <s v="Eastern Mudminnow"/>
    <s v="Umbra"/>
    <s v="gibbosus"/>
    <s v="U"/>
    <x v="0"/>
    <n v="8"/>
    <n v="11.81"/>
    <x v="23"/>
    <s v="30334-69-1"/>
    <x v="23"/>
    <n v="40.700000000000003"/>
  </r>
  <r>
    <s v="EMM007-JBA-08162021"/>
    <s v="Spill"/>
    <x v="1"/>
    <s v="Eastern Mudminnow"/>
    <s v="Umbra"/>
    <s v="gibbosus"/>
    <s v="U"/>
    <x v="0"/>
    <n v="8"/>
    <n v="11.81"/>
    <x v="24"/>
    <s v="41997-13-1"/>
    <x v="24"/>
    <n v="555"/>
  </r>
  <r>
    <s v="EMM007-JBA-08162021"/>
    <s v="Spill"/>
    <x v="1"/>
    <s v="Eastern Mudminnow"/>
    <s v="Umbra"/>
    <s v="gibbosus"/>
    <s v="U"/>
    <x v="0"/>
    <n v="8"/>
    <n v="11.81"/>
    <x v="25"/>
    <s v="754-91-6"/>
    <x v="25"/>
    <n v="83.5"/>
  </r>
  <r>
    <s v="EMM007-JBA-08162021"/>
    <s v="Spill"/>
    <x v="1"/>
    <s v="Eastern Mudminnow"/>
    <s v="Umbra"/>
    <s v="gibbosus"/>
    <s v="U"/>
    <x v="0"/>
    <n v="8"/>
    <n v="11.81"/>
    <x v="26"/>
    <s v="31506-32-8"/>
    <x v="26"/>
    <n v="8.5999999999999993E-2"/>
  </r>
  <r>
    <s v="EMM007-JBA-08162021"/>
    <s v="Spill"/>
    <x v="1"/>
    <s v="Eastern Mudminnow"/>
    <s v="Umbra"/>
    <s v="gibbosus"/>
    <s v="U"/>
    <x v="0"/>
    <n v="8"/>
    <n v="11.81"/>
    <x v="27"/>
    <s v="4151-50-2"/>
    <x v="27"/>
    <n v="0.224"/>
  </r>
  <r>
    <s v="EMM007-JBA-08162021"/>
    <s v="Spill"/>
    <x v="1"/>
    <s v="Eastern Mudminnow"/>
    <s v="Umbra"/>
    <s v="gibbosus"/>
    <s v="U"/>
    <x v="0"/>
    <n v="8"/>
    <n v="11.81"/>
    <x v="28"/>
    <s v="2806-24-8"/>
    <x v="28"/>
    <n v="0.44800000000000001"/>
  </r>
  <r>
    <s v="EMM007-JBA-08162021"/>
    <s v="Spill"/>
    <x v="1"/>
    <s v="Eastern Mudminnow"/>
    <s v="Umbra"/>
    <s v="gibbosus"/>
    <s v="U"/>
    <x v="0"/>
    <n v="8"/>
    <n v="11.81"/>
    <x v="29"/>
    <s v="2355-31-9"/>
    <x v="29"/>
    <n v="0.1125"/>
  </r>
  <r>
    <s v="EMM007-JBA-08162021"/>
    <s v="Spill"/>
    <x v="1"/>
    <s v="Eastern Mudminnow"/>
    <s v="Umbra"/>
    <s v="gibbosus"/>
    <s v="U"/>
    <x v="0"/>
    <n v="8"/>
    <n v="11.81"/>
    <x v="30"/>
    <s v="2991-50-6"/>
    <x v="30"/>
    <n v="0.112"/>
  </r>
  <r>
    <s v="EMM007-JBA-08162021"/>
    <s v="Spill"/>
    <x v="1"/>
    <s v="Eastern Mudminnow"/>
    <s v="Umbra"/>
    <s v="gibbosus"/>
    <s v="U"/>
    <x v="0"/>
    <n v="8"/>
    <n v="11.81"/>
    <x v="31"/>
    <s v="757124-72-4"/>
    <x v="31"/>
    <n v="0.112"/>
  </r>
  <r>
    <s v="EMM007-JBA-08162021"/>
    <s v="Spill"/>
    <x v="1"/>
    <s v="Eastern Mudminnow"/>
    <s v="Umbra"/>
    <s v="gibbosus"/>
    <s v="U"/>
    <x v="0"/>
    <n v="8"/>
    <n v="11.81"/>
    <x v="32"/>
    <s v="27619-97-2"/>
    <x v="32"/>
    <n v="0.224"/>
  </r>
  <r>
    <s v="EMM007-JBA-08162021"/>
    <s v="Spill"/>
    <x v="1"/>
    <s v="Eastern Mudminnow"/>
    <s v="Umbra"/>
    <s v="gibbosus"/>
    <s v="U"/>
    <x v="0"/>
    <n v="8"/>
    <n v="11.81"/>
    <x v="33"/>
    <s v="39108-34-4"/>
    <x v="33"/>
    <n v="0.66100000000000003"/>
  </r>
  <r>
    <s v="EMM007-JBA-08162021"/>
    <s v="Spill"/>
    <x v="1"/>
    <s v="Eastern Mudminnow"/>
    <s v="Umbra"/>
    <s v="gibbosus"/>
    <s v="U"/>
    <x v="0"/>
    <n v="8"/>
    <n v="11.81"/>
    <x v="34"/>
    <s v="120226-60-0"/>
    <x v="34"/>
    <n v="0.224"/>
  </r>
  <r>
    <s v="EMM007-JBA-08162021"/>
    <s v="Spill"/>
    <x v="1"/>
    <s v="Eastern Mudminnow"/>
    <s v="Umbra"/>
    <s v="gibbosus"/>
    <s v="U"/>
    <x v="0"/>
    <n v="8"/>
    <n v="11.81"/>
    <x v="35"/>
    <s v="356-02-5"/>
    <x v="35"/>
    <n v="0.224"/>
  </r>
  <r>
    <s v="EMM007-JBA-08162021"/>
    <s v="Spill"/>
    <x v="1"/>
    <s v="Eastern Mudminnow"/>
    <s v="Umbra"/>
    <s v="gibbosus"/>
    <s v="U"/>
    <x v="0"/>
    <n v="8"/>
    <n v="11.81"/>
    <x v="36"/>
    <s v="914637-49-3"/>
    <x v="36"/>
    <n v="0.224"/>
  </r>
  <r>
    <s v="EMM007-JBA-08162021"/>
    <s v="Spill"/>
    <x v="1"/>
    <s v="Eastern Mudminnow"/>
    <s v="Umbra"/>
    <s v="gibbosus"/>
    <s v="U"/>
    <x v="0"/>
    <n v="8"/>
    <n v="11.81"/>
    <x v="37"/>
    <s v="812-70-4"/>
    <x v="37"/>
    <n v="9.61"/>
  </r>
  <r>
    <s v="EMM007-JBA-08162021"/>
    <s v="Spill"/>
    <x v="1"/>
    <s v="Eastern Mudminnow"/>
    <s v="Umbra"/>
    <s v="gibbosus"/>
    <s v="U"/>
    <x v="0"/>
    <n v="8"/>
    <n v="11.81"/>
    <x v="38"/>
    <s v="53826-12-3"/>
    <x v="38"/>
    <n v="0.224"/>
  </r>
  <r>
    <s v="EMM007-JBA-08162021"/>
    <s v="Spill"/>
    <x v="1"/>
    <s v="Eastern Mudminnow"/>
    <s v="Umbra"/>
    <s v="gibbosus"/>
    <s v="U"/>
    <x v="0"/>
    <n v="8"/>
    <n v="11.81"/>
    <x v="39"/>
    <s v="27854-31-5"/>
    <x v="39"/>
    <n v="0.112"/>
  </r>
  <r>
    <s v="EMM007-JBA-08162021"/>
    <s v="Spill"/>
    <x v="1"/>
    <s v="Eastern Mudminnow"/>
    <s v="Umbra"/>
    <s v="gibbosus"/>
    <s v="U"/>
    <x v="0"/>
    <n v="8"/>
    <n v="11.81"/>
    <x v="40"/>
    <s v="53826-13-4"/>
    <x v="40"/>
    <n v="0.224"/>
  </r>
  <r>
    <s v="EMM007-JBA-08162021"/>
    <s v="Spill"/>
    <x v="1"/>
    <s v="Eastern Mudminnow"/>
    <s v="Umbra"/>
    <s v="gibbosus"/>
    <s v="U"/>
    <x v="0"/>
    <n v="8"/>
    <n v="11.81"/>
    <x v="41"/>
    <s v="161094-75-3"/>
    <x v="41"/>
    <n v="8.7999999999999995E-2"/>
  </r>
  <r>
    <s v="EMM007-JBA-08162021"/>
    <s v="Spill"/>
    <x v="1"/>
    <s v="Eastern Mudminnow"/>
    <s v="Umbra"/>
    <s v="gibbosus"/>
    <s v="U"/>
    <x v="0"/>
    <n v="8"/>
    <n v="11.81"/>
    <x v="42"/>
    <s v="70887-84-2"/>
    <x v="42"/>
    <n v="6.7500000000000004E-2"/>
  </r>
  <r>
    <s v="EMM007-JBA-08162021"/>
    <s v="Spill"/>
    <x v="1"/>
    <s v="Eastern Mudminnow"/>
    <s v="Umbra"/>
    <s v="gibbosus"/>
    <s v="U"/>
    <x v="0"/>
    <n v="8"/>
    <n v="11.81"/>
    <x v="43"/>
    <s v="919005-14-4"/>
    <x v="43"/>
    <n v="0.19750000000000001"/>
  </r>
  <r>
    <s v="EMM007-JBA-08162021"/>
    <s v="Spill"/>
    <x v="1"/>
    <s v="Eastern Mudminnow"/>
    <s v="Umbra"/>
    <s v="gibbosus"/>
    <s v="U"/>
    <x v="0"/>
    <n v="8"/>
    <n v="11.81"/>
    <x v="44"/>
    <s v="756426-58-1"/>
    <x v="44"/>
    <n v="0.224"/>
  </r>
  <r>
    <s v="EMM007-JBA-08162021"/>
    <s v="Spill"/>
    <x v="1"/>
    <s v="Eastern Mudminnow"/>
    <s v="Umbra"/>
    <s v="gibbosus"/>
    <s v="U"/>
    <x v="0"/>
    <n v="8"/>
    <n v="11.81"/>
    <x v="45"/>
    <s v="763051-92-9"/>
    <x v="45"/>
    <n v="0.224"/>
  </r>
  <r>
    <s v="EMM007-JBA-08162021"/>
    <s v="Spill"/>
    <x v="1"/>
    <s v="Eastern Mudminnow"/>
    <s v="Umbra"/>
    <s v="gibbosus"/>
    <s v="U"/>
    <x v="0"/>
    <n v="8"/>
    <n v="11.81"/>
    <x v="46"/>
    <s v="13252-13-6"/>
    <x v="46"/>
    <n v="0.1605"/>
  </r>
  <r>
    <s v="EMM007-JBA-08162021"/>
    <s v="Spill"/>
    <x v="1"/>
    <s v="Eastern Mudminnow"/>
    <s v="Umbra"/>
    <s v="gibbosus"/>
    <s v="U"/>
    <x v="0"/>
    <n v="8"/>
    <n v="11.81"/>
    <x v="47"/>
    <s v="57677-95-9"/>
    <x v="47"/>
    <n v="0.224"/>
  </r>
  <r>
    <s v="EMM007-JBA-08162021"/>
    <s v="Spill"/>
    <x v="1"/>
    <s v="Eastern Mudminnow"/>
    <s v="Umbra"/>
    <s v="gibbosus"/>
    <s v="U"/>
    <x v="0"/>
    <n v="8"/>
    <n v="11.81"/>
    <x v="48"/>
    <s v="678-41-1"/>
    <x v="48"/>
    <n v="0.224"/>
  </r>
  <r>
    <s v="EMM007-JBA-08162021"/>
    <s v="Spill"/>
    <x v="1"/>
    <s v="Eastern Mudminnow"/>
    <s v="Umbra"/>
    <s v="gibbosus"/>
    <s v="U"/>
    <x v="0"/>
    <n v="8"/>
    <n v="11.81"/>
    <x v="49"/>
    <s v="2965-52-8"/>
    <x v="49"/>
    <n v="0.224"/>
  </r>
  <r>
    <s v="PU060-LIV-08162021"/>
    <s v="Down"/>
    <x v="1"/>
    <s v="Pumpkinseed"/>
    <s v="Lepomis"/>
    <s v="gibbosus"/>
    <s v="U"/>
    <x v="2"/>
    <n v="8"/>
    <n v="11.81"/>
    <x v="0"/>
    <s v="375-22-4"/>
    <x v="0"/>
    <n v="1.34"/>
  </r>
  <r>
    <s v="PU060-LIV-08162021"/>
    <s v="Down"/>
    <x v="1"/>
    <s v="Pumpkinseed"/>
    <s v="Lepomis"/>
    <s v="gibbosus"/>
    <s v="U"/>
    <x v="2"/>
    <n v="8"/>
    <n v="11.81"/>
    <x v="1"/>
    <s v="2706-90-3"/>
    <x v="1"/>
    <n v="0.47199999999999998"/>
  </r>
  <r>
    <s v="PU060-LIV-08162021"/>
    <s v="Down"/>
    <x v="1"/>
    <s v="Pumpkinseed"/>
    <s v="Lepomis"/>
    <s v="gibbosus"/>
    <s v="U"/>
    <x v="2"/>
    <n v="8"/>
    <n v="11.81"/>
    <x v="2"/>
    <s v="307-24-4"/>
    <x v="2"/>
    <n v="0.36099999999999999"/>
  </r>
  <r>
    <s v="PU060-LIV-08162021"/>
    <s v="Down"/>
    <x v="1"/>
    <s v="Pumpkinseed"/>
    <s v="Lepomis"/>
    <s v="gibbosus"/>
    <s v="U"/>
    <x v="2"/>
    <n v="8"/>
    <n v="11.81"/>
    <x v="3"/>
    <s v="375-85-9"/>
    <x v="3"/>
    <n v="1.34"/>
  </r>
  <r>
    <s v="PU060-LIV-08162021"/>
    <s v="Down"/>
    <x v="1"/>
    <s v="Pumpkinseed"/>
    <s v="Lepomis"/>
    <s v="gibbosus"/>
    <s v="U"/>
    <x v="2"/>
    <n v="8"/>
    <n v="11.81"/>
    <x v="4"/>
    <s v="335-67-1"/>
    <x v="4"/>
    <n v="1.69"/>
  </r>
  <r>
    <s v="PU060-LIV-08162021"/>
    <s v="Down"/>
    <x v="1"/>
    <s v="Pumpkinseed"/>
    <s v="Lepomis"/>
    <s v="gibbosus"/>
    <s v="U"/>
    <x v="2"/>
    <n v="8"/>
    <n v="11.81"/>
    <x v="5"/>
    <s v="375-95-1"/>
    <x v="5"/>
    <n v="0.67"/>
  </r>
  <r>
    <s v="PU060-LIV-08162021"/>
    <s v="Down"/>
    <x v="1"/>
    <s v="Pumpkinseed"/>
    <s v="Lepomis"/>
    <s v="gibbosus"/>
    <s v="U"/>
    <x v="2"/>
    <n v="8"/>
    <n v="11.81"/>
    <x v="6"/>
    <s v="335-76-2"/>
    <x v="6"/>
    <n v="3.54"/>
  </r>
  <r>
    <s v="PU060-LIV-08162021"/>
    <s v="Down"/>
    <x v="1"/>
    <s v="Pumpkinseed"/>
    <s v="Lepomis"/>
    <s v="gibbosus"/>
    <s v="U"/>
    <x v="2"/>
    <n v="8"/>
    <n v="11.81"/>
    <x v="7"/>
    <s v="2058-94-8"/>
    <x v="7"/>
    <n v="5.6"/>
  </r>
  <r>
    <s v="PU060-LIV-08162021"/>
    <s v="Down"/>
    <x v="1"/>
    <s v="Pumpkinseed"/>
    <s v="Lepomis"/>
    <s v="gibbosus"/>
    <s v="U"/>
    <x v="2"/>
    <n v="8"/>
    <n v="11.81"/>
    <x v="8"/>
    <s v="307-55-1"/>
    <x v="8"/>
    <n v="13.8"/>
  </r>
  <r>
    <s v="PU060-LIV-08162021"/>
    <s v="Down"/>
    <x v="1"/>
    <s v="Pumpkinseed"/>
    <s v="Lepomis"/>
    <s v="gibbosus"/>
    <s v="U"/>
    <x v="2"/>
    <n v="8"/>
    <n v="11.81"/>
    <x v="9"/>
    <s v="72629-94-8"/>
    <x v="9"/>
    <n v="1.34"/>
  </r>
  <r>
    <s v="PU060-LIV-08162021"/>
    <s v="Down"/>
    <x v="1"/>
    <s v="Pumpkinseed"/>
    <s v="Lepomis"/>
    <s v="gibbosus"/>
    <s v="U"/>
    <x v="2"/>
    <n v="8"/>
    <n v="11.81"/>
    <x v="10"/>
    <s v="376-06-7"/>
    <x v="10"/>
    <n v="7.03"/>
  </r>
  <r>
    <s v="PU060-LIV-08162021"/>
    <s v="Down"/>
    <x v="1"/>
    <s v="Pumpkinseed"/>
    <s v="Lepomis"/>
    <s v="gibbosus"/>
    <s v="U"/>
    <x v="2"/>
    <n v="8"/>
    <n v="11.81"/>
    <x v="11"/>
    <s v="67905-19-5"/>
    <x v="11"/>
    <n v="0.79500000000000004"/>
  </r>
  <r>
    <s v="PU060-LIV-08162021"/>
    <s v="Down"/>
    <x v="1"/>
    <s v="Pumpkinseed"/>
    <s v="Lepomis"/>
    <s v="gibbosus"/>
    <s v="U"/>
    <x v="2"/>
    <n v="8"/>
    <n v="11.81"/>
    <x v="12"/>
    <s v="423-41-6"/>
    <x v="12"/>
    <n v="0.67"/>
  </r>
  <r>
    <s v="PU060-LIV-08162021"/>
    <s v="Down"/>
    <x v="1"/>
    <s v="Pumpkinseed"/>
    <s v="Lepomis"/>
    <s v="gibbosus"/>
    <s v="U"/>
    <x v="2"/>
    <n v="8"/>
    <n v="11.81"/>
    <x v="13"/>
    <s v="375-73-5"/>
    <x v="13"/>
    <n v="0.67"/>
  </r>
  <r>
    <s v="PU060-LIV-08162021"/>
    <s v="Down"/>
    <x v="1"/>
    <s v="Pumpkinseed"/>
    <s v="Lepomis"/>
    <s v="gibbosus"/>
    <s v="U"/>
    <x v="2"/>
    <n v="8"/>
    <n v="11.81"/>
    <x v="14"/>
    <s v="2706-91-4"/>
    <x v="14"/>
    <n v="0.71"/>
  </r>
  <r>
    <s v="PU060-LIV-08162021"/>
    <s v="Down"/>
    <x v="1"/>
    <s v="Pumpkinseed"/>
    <s v="Lepomis"/>
    <s v="gibbosus"/>
    <s v="U"/>
    <x v="2"/>
    <n v="8"/>
    <n v="11.81"/>
    <x v="15"/>
    <s v="355-46-4"/>
    <x v="15"/>
    <n v="21.7"/>
  </r>
  <r>
    <s v="PU060-LIV-08162021"/>
    <s v="Down"/>
    <x v="1"/>
    <s v="Pumpkinseed"/>
    <s v="Lepomis"/>
    <s v="gibbosus"/>
    <s v="U"/>
    <x v="2"/>
    <n v="8"/>
    <n v="11.81"/>
    <x v="16"/>
    <s v="375-92-8"/>
    <x v="16"/>
    <n v="3.49"/>
  </r>
  <r>
    <s v="PU060-LIV-08162021"/>
    <s v="Down"/>
    <x v="1"/>
    <s v="Pumpkinseed"/>
    <s v="Lepomis"/>
    <s v="gibbosus"/>
    <s v="U"/>
    <x v="2"/>
    <n v="8"/>
    <n v="11.81"/>
    <x v="17"/>
    <s v="1763-23-1"/>
    <x v="17"/>
    <n v="1140"/>
  </r>
  <r>
    <s v="PU060-LIV-08162021"/>
    <s v="Down"/>
    <x v="1"/>
    <s v="Pumpkinseed"/>
    <s v="Lepomis"/>
    <s v="gibbosus"/>
    <s v="U"/>
    <x v="2"/>
    <n v="8"/>
    <n v="11.81"/>
    <x v="18"/>
    <s v="68259-12-1"/>
    <x v="18"/>
    <n v="1.34"/>
  </r>
  <r>
    <s v="PU060-LIV-08162021"/>
    <s v="Down"/>
    <x v="1"/>
    <s v="Pumpkinseed"/>
    <s v="Lepomis"/>
    <s v="gibbosus"/>
    <s v="U"/>
    <x v="2"/>
    <n v="8"/>
    <n v="11.81"/>
    <x v="19"/>
    <s v="335-77-3"/>
    <x v="19"/>
    <n v="1.34"/>
  </r>
  <r>
    <s v="PU060-LIV-08162021"/>
    <s v="Down"/>
    <x v="1"/>
    <s v="Pumpkinseed"/>
    <s v="Lepomis"/>
    <s v="gibbosus"/>
    <s v="U"/>
    <x v="2"/>
    <n v="8"/>
    <n v="11.81"/>
    <x v="20"/>
    <s v="79780-39-5"/>
    <x v="20"/>
    <n v="1.43"/>
  </r>
  <r>
    <s v="PU060-LIV-08162021"/>
    <s v="Down"/>
    <x v="1"/>
    <s v="Pumpkinseed"/>
    <s v="Lepomis"/>
    <s v="gibbosus"/>
    <s v="U"/>
    <x v="2"/>
    <n v="8"/>
    <n v="11.81"/>
    <x v="21"/>
    <s v="777011-38-8"/>
    <x v="21"/>
    <n v="0.81499999999999995"/>
  </r>
  <r>
    <s v="PU060-LIV-08162021"/>
    <s v="Down"/>
    <x v="1"/>
    <s v="Pumpkinseed"/>
    <s v="Lepomis"/>
    <s v="gibbosus"/>
    <s v="U"/>
    <x v="2"/>
    <n v="8"/>
    <n v="11.81"/>
    <x v="22"/>
    <s v="646-83-3"/>
    <x v="22"/>
    <n v="0.53500000000000003"/>
  </r>
  <r>
    <s v="PU060-LIV-08162021"/>
    <s v="Down"/>
    <x v="1"/>
    <s v="Pumpkinseed"/>
    <s v="Lepomis"/>
    <s v="gibbosus"/>
    <s v="U"/>
    <x v="2"/>
    <n v="8"/>
    <n v="11.81"/>
    <x v="23"/>
    <s v="30334-69-1"/>
    <x v="23"/>
    <n v="15.7"/>
  </r>
  <r>
    <s v="PU060-LIV-08162021"/>
    <s v="Down"/>
    <x v="1"/>
    <s v="Pumpkinseed"/>
    <s v="Lepomis"/>
    <s v="gibbosus"/>
    <s v="U"/>
    <x v="2"/>
    <n v="8"/>
    <n v="11.81"/>
    <x v="24"/>
    <s v="41997-13-1"/>
    <x v="24"/>
    <n v="50.3"/>
  </r>
  <r>
    <s v="PU060-LIV-08162021"/>
    <s v="Down"/>
    <x v="1"/>
    <s v="Pumpkinseed"/>
    <s v="Lepomis"/>
    <s v="gibbosus"/>
    <s v="U"/>
    <x v="2"/>
    <n v="8"/>
    <n v="11.81"/>
    <x v="25"/>
    <s v="754-91-6"/>
    <x v="25"/>
    <n v="12.7"/>
  </r>
  <r>
    <s v="PU060-LIV-08162021"/>
    <s v="Down"/>
    <x v="1"/>
    <s v="Pumpkinseed"/>
    <s v="Lepomis"/>
    <s v="gibbosus"/>
    <s v="U"/>
    <x v="2"/>
    <n v="8"/>
    <n v="11.81"/>
    <x v="26"/>
    <s v="31506-32-8"/>
    <x v="26"/>
    <n v="0.51500000000000001"/>
  </r>
  <r>
    <s v="PU060-LIV-08162021"/>
    <s v="Down"/>
    <x v="1"/>
    <s v="Pumpkinseed"/>
    <s v="Lepomis"/>
    <s v="gibbosus"/>
    <s v="U"/>
    <x v="2"/>
    <n v="8"/>
    <n v="11.81"/>
    <x v="27"/>
    <s v="4151-50-2"/>
    <x v="27"/>
    <n v="1.34"/>
  </r>
  <r>
    <s v="PU060-LIV-08162021"/>
    <s v="Down"/>
    <x v="1"/>
    <s v="Pumpkinseed"/>
    <s v="Lepomis"/>
    <s v="gibbosus"/>
    <s v="U"/>
    <x v="2"/>
    <n v="8"/>
    <n v="11.81"/>
    <x v="28"/>
    <s v="2806-24-8"/>
    <x v="28"/>
    <n v="1.34"/>
  </r>
  <r>
    <s v="PU060-LIV-08162021"/>
    <s v="Down"/>
    <x v="1"/>
    <s v="Pumpkinseed"/>
    <s v="Lepomis"/>
    <s v="gibbosus"/>
    <s v="U"/>
    <x v="2"/>
    <n v="8"/>
    <n v="11.81"/>
    <x v="29"/>
    <s v="2355-31-9"/>
    <x v="29"/>
    <n v="0.67500000000000004"/>
  </r>
  <r>
    <s v="PU060-LIV-08162021"/>
    <s v="Down"/>
    <x v="1"/>
    <s v="Pumpkinseed"/>
    <s v="Lepomis"/>
    <s v="gibbosus"/>
    <s v="U"/>
    <x v="2"/>
    <n v="8"/>
    <n v="11.81"/>
    <x v="30"/>
    <s v="2991-50-6"/>
    <x v="30"/>
    <n v="0.67"/>
  </r>
  <r>
    <s v="PU060-LIV-08162021"/>
    <s v="Down"/>
    <x v="1"/>
    <s v="Pumpkinseed"/>
    <s v="Lepomis"/>
    <s v="gibbosus"/>
    <s v="U"/>
    <x v="2"/>
    <n v="8"/>
    <n v="11.81"/>
    <x v="31"/>
    <s v="757124-72-4"/>
    <x v="31"/>
    <n v="0.67"/>
  </r>
  <r>
    <s v="PU060-LIV-08162021"/>
    <s v="Down"/>
    <x v="1"/>
    <s v="Pumpkinseed"/>
    <s v="Lepomis"/>
    <s v="gibbosus"/>
    <s v="U"/>
    <x v="2"/>
    <n v="8"/>
    <n v="11.81"/>
    <x v="32"/>
    <s v="27619-97-2"/>
    <x v="32"/>
    <n v="0.67"/>
  </r>
  <r>
    <s v="PU060-LIV-08162021"/>
    <s v="Down"/>
    <x v="1"/>
    <s v="Pumpkinseed"/>
    <s v="Lepomis"/>
    <s v="gibbosus"/>
    <s v="U"/>
    <x v="2"/>
    <n v="8"/>
    <n v="11.81"/>
    <x v="33"/>
    <s v="39108-34-4"/>
    <x v="33"/>
    <n v="7.34"/>
  </r>
  <r>
    <s v="PU060-LIV-08162021"/>
    <s v="Down"/>
    <x v="1"/>
    <s v="Pumpkinseed"/>
    <s v="Lepomis"/>
    <s v="gibbosus"/>
    <s v="U"/>
    <x v="2"/>
    <n v="8"/>
    <n v="11.81"/>
    <x v="34"/>
    <s v="120226-60-0"/>
    <x v="34"/>
    <n v="2.6749999999999998"/>
  </r>
  <r>
    <s v="PU060-LIV-08162021"/>
    <s v="Down"/>
    <x v="1"/>
    <s v="Pumpkinseed"/>
    <s v="Lepomis"/>
    <s v="gibbosus"/>
    <s v="U"/>
    <x v="2"/>
    <n v="8"/>
    <n v="11.81"/>
    <x v="35"/>
    <s v="356-02-5"/>
    <x v="35"/>
    <n v="1.34"/>
  </r>
  <r>
    <s v="PU060-LIV-08162021"/>
    <s v="Down"/>
    <x v="1"/>
    <s v="Pumpkinseed"/>
    <s v="Lepomis"/>
    <s v="gibbosus"/>
    <s v="U"/>
    <x v="2"/>
    <n v="8"/>
    <n v="11.81"/>
    <x v="36"/>
    <s v="914637-49-3"/>
    <x v="36"/>
    <n v="0.67"/>
  </r>
  <r>
    <s v="PU060-LIV-08162021"/>
    <s v="Down"/>
    <x v="1"/>
    <s v="Pumpkinseed"/>
    <s v="Lepomis"/>
    <s v="gibbosus"/>
    <s v="U"/>
    <x v="2"/>
    <n v="8"/>
    <n v="11.81"/>
    <x v="37"/>
    <s v="812-70-4"/>
    <x v="37"/>
    <n v="1.34"/>
  </r>
  <r>
    <s v="PU060-LIV-08162021"/>
    <s v="Down"/>
    <x v="1"/>
    <s v="Pumpkinseed"/>
    <s v="Lepomis"/>
    <s v="gibbosus"/>
    <s v="U"/>
    <x v="2"/>
    <n v="8"/>
    <n v="11.81"/>
    <x v="38"/>
    <s v="53826-12-3"/>
    <x v="38"/>
    <n v="1.34"/>
  </r>
  <r>
    <s v="PU060-LIV-08162021"/>
    <s v="Down"/>
    <x v="1"/>
    <s v="Pumpkinseed"/>
    <s v="Lepomis"/>
    <s v="gibbosus"/>
    <s v="U"/>
    <x v="2"/>
    <n v="8"/>
    <n v="11.81"/>
    <x v="39"/>
    <s v="27854-31-5"/>
    <x v="39"/>
    <n v="0.67"/>
  </r>
  <r>
    <s v="PU060-LIV-08162021"/>
    <s v="Down"/>
    <x v="1"/>
    <s v="Pumpkinseed"/>
    <s v="Lepomis"/>
    <s v="gibbosus"/>
    <s v="U"/>
    <x v="2"/>
    <n v="8"/>
    <n v="11.81"/>
    <x v="40"/>
    <s v="53826-13-4"/>
    <x v="40"/>
    <n v="1.34"/>
  </r>
  <r>
    <s v="PU060-LIV-08162021"/>
    <s v="Down"/>
    <x v="1"/>
    <s v="Pumpkinseed"/>
    <s v="Lepomis"/>
    <s v="gibbosus"/>
    <s v="U"/>
    <x v="2"/>
    <n v="8"/>
    <n v="11.81"/>
    <x v="41"/>
    <s v="161094-75-3"/>
    <x v="41"/>
    <n v="0.52500000000000002"/>
  </r>
  <r>
    <s v="PU060-LIV-08162021"/>
    <s v="Down"/>
    <x v="1"/>
    <s v="Pumpkinseed"/>
    <s v="Lepomis"/>
    <s v="gibbosus"/>
    <s v="U"/>
    <x v="2"/>
    <n v="8"/>
    <n v="11.81"/>
    <x v="42"/>
    <s v="70887-84-2"/>
    <x v="42"/>
    <n v="0.40400000000000003"/>
  </r>
  <r>
    <s v="PU060-LIV-08162021"/>
    <s v="Down"/>
    <x v="1"/>
    <s v="Pumpkinseed"/>
    <s v="Lepomis"/>
    <s v="gibbosus"/>
    <s v="U"/>
    <x v="2"/>
    <n v="8"/>
    <n v="11.81"/>
    <x v="43"/>
    <s v="919005-14-4"/>
    <x v="43"/>
    <n v="0.59"/>
  </r>
  <r>
    <s v="PU060-LIV-08162021"/>
    <s v="Down"/>
    <x v="1"/>
    <s v="Pumpkinseed"/>
    <s v="Lepomis"/>
    <s v="gibbosus"/>
    <s v="U"/>
    <x v="2"/>
    <n v="8"/>
    <n v="11.81"/>
    <x v="44"/>
    <s v="756426-58-1"/>
    <x v="44"/>
    <n v="1.34"/>
  </r>
  <r>
    <s v="PU060-LIV-08162021"/>
    <s v="Down"/>
    <x v="1"/>
    <s v="Pumpkinseed"/>
    <s v="Lepomis"/>
    <s v="gibbosus"/>
    <s v="U"/>
    <x v="2"/>
    <n v="8"/>
    <n v="11.81"/>
    <x v="45"/>
    <s v="763051-92-9"/>
    <x v="45"/>
    <n v="1.34"/>
  </r>
  <r>
    <s v="PU060-LIV-08162021"/>
    <s v="Down"/>
    <x v="1"/>
    <s v="Pumpkinseed"/>
    <s v="Lepomis"/>
    <s v="gibbosus"/>
    <s v="U"/>
    <x v="2"/>
    <n v="8"/>
    <n v="11.81"/>
    <x v="46"/>
    <s v="13252-13-6"/>
    <x v="46"/>
    <n v="0.96"/>
  </r>
  <r>
    <s v="PU060-LIV-08162021"/>
    <s v="Down"/>
    <x v="1"/>
    <s v="Pumpkinseed"/>
    <s v="Lepomis"/>
    <s v="gibbosus"/>
    <s v="U"/>
    <x v="2"/>
    <n v="8"/>
    <n v="11.81"/>
    <x v="47"/>
    <s v="57677-95-9"/>
    <x v="47"/>
    <n v="1.34"/>
  </r>
  <r>
    <s v="PU060-LIV-08162021"/>
    <s v="Down"/>
    <x v="1"/>
    <s v="Pumpkinseed"/>
    <s v="Lepomis"/>
    <s v="gibbosus"/>
    <s v="U"/>
    <x v="2"/>
    <n v="8"/>
    <n v="11.81"/>
    <x v="48"/>
    <s v="678-41-1"/>
    <x v="48"/>
    <n v="1.34"/>
  </r>
  <r>
    <s v="PU060-LIV-08162021"/>
    <s v="Down"/>
    <x v="1"/>
    <s v="Pumpkinseed"/>
    <s v="Lepomis"/>
    <s v="gibbosus"/>
    <s v="U"/>
    <x v="2"/>
    <n v="8"/>
    <n v="11.81"/>
    <x v="49"/>
    <s v="2965-52-8"/>
    <x v="49"/>
    <n v="1.34"/>
  </r>
  <r>
    <s v="PU060-MU-08162021"/>
    <s v="Down"/>
    <x v="1"/>
    <s v="Pumpkinseed"/>
    <s v="Lepomis"/>
    <s v="gibbosus"/>
    <s v="U"/>
    <x v="1"/>
    <n v="8"/>
    <n v="11.81"/>
    <x v="0"/>
    <s v="375-22-4"/>
    <x v="0"/>
    <n v="0.24249999999999999"/>
  </r>
  <r>
    <s v="PU060-MU-08162021"/>
    <s v="Down"/>
    <x v="1"/>
    <s v="Pumpkinseed"/>
    <s v="Lepomis"/>
    <s v="gibbosus"/>
    <s v="U"/>
    <x v="1"/>
    <n v="8"/>
    <n v="11.81"/>
    <x v="1"/>
    <s v="2706-90-3"/>
    <x v="1"/>
    <n v="8.5500000000000007E-2"/>
  </r>
  <r>
    <s v="PU060-MU-08162021"/>
    <s v="Down"/>
    <x v="1"/>
    <s v="Pumpkinseed"/>
    <s v="Lepomis"/>
    <s v="gibbosus"/>
    <s v="U"/>
    <x v="1"/>
    <n v="8"/>
    <n v="11.81"/>
    <x v="2"/>
    <s v="307-24-4"/>
    <x v="2"/>
    <n v="0.13100000000000001"/>
  </r>
  <r>
    <s v="PU060-MU-08162021"/>
    <s v="Down"/>
    <x v="1"/>
    <s v="Pumpkinseed"/>
    <s v="Lepomis"/>
    <s v="gibbosus"/>
    <s v="U"/>
    <x v="1"/>
    <n v="8"/>
    <n v="11.81"/>
    <x v="3"/>
    <s v="375-85-9"/>
    <x v="3"/>
    <n v="0.24249999999999999"/>
  </r>
  <r>
    <s v="PU060-MU-08162021"/>
    <s v="Down"/>
    <x v="1"/>
    <s v="Pumpkinseed"/>
    <s v="Lepomis"/>
    <s v="gibbosus"/>
    <s v="U"/>
    <x v="1"/>
    <n v="8"/>
    <n v="11.81"/>
    <x v="4"/>
    <s v="335-67-1"/>
    <x v="4"/>
    <n v="0.51100000000000001"/>
  </r>
  <r>
    <s v="PU060-MU-08162021"/>
    <s v="Down"/>
    <x v="1"/>
    <s v="Pumpkinseed"/>
    <s v="Lepomis"/>
    <s v="gibbosus"/>
    <s v="U"/>
    <x v="1"/>
    <n v="8"/>
    <n v="11.81"/>
    <x v="5"/>
    <s v="375-95-1"/>
    <x v="5"/>
    <n v="0.24249999999999999"/>
  </r>
  <r>
    <s v="PU060-MU-08162021"/>
    <s v="Down"/>
    <x v="1"/>
    <s v="Pumpkinseed"/>
    <s v="Lepomis"/>
    <s v="gibbosus"/>
    <s v="U"/>
    <x v="1"/>
    <n v="8"/>
    <n v="11.81"/>
    <x v="6"/>
    <s v="335-76-2"/>
    <x v="6"/>
    <n v="0.56399999999999995"/>
  </r>
  <r>
    <s v="PU060-MU-08162021"/>
    <s v="Down"/>
    <x v="1"/>
    <s v="Pumpkinseed"/>
    <s v="Lepomis"/>
    <s v="gibbosus"/>
    <s v="U"/>
    <x v="1"/>
    <n v="8"/>
    <n v="11.81"/>
    <x v="7"/>
    <s v="2058-94-8"/>
    <x v="7"/>
    <n v="0.70799999999999996"/>
  </r>
  <r>
    <s v="PU060-MU-08162021"/>
    <s v="Down"/>
    <x v="1"/>
    <s v="Pumpkinseed"/>
    <s v="Lepomis"/>
    <s v="gibbosus"/>
    <s v="U"/>
    <x v="1"/>
    <n v="8"/>
    <n v="11.81"/>
    <x v="8"/>
    <s v="307-55-1"/>
    <x v="8"/>
    <n v="2.1"/>
  </r>
  <r>
    <s v="PU060-MU-08162021"/>
    <s v="Down"/>
    <x v="1"/>
    <s v="Pumpkinseed"/>
    <s v="Lepomis"/>
    <s v="gibbosus"/>
    <s v="U"/>
    <x v="1"/>
    <n v="8"/>
    <n v="11.81"/>
    <x v="9"/>
    <s v="72629-94-8"/>
    <x v="9"/>
    <n v="0.52700000000000002"/>
  </r>
  <r>
    <s v="PU060-MU-08162021"/>
    <s v="Down"/>
    <x v="1"/>
    <s v="Pumpkinseed"/>
    <s v="Lepomis"/>
    <s v="gibbosus"/>
    <s v="U"/>
    <x v="1"/>
    <n v="8"/>
    <n v="11.81"/>
    <x v="10"/>
    <s v="376-06-7"/>
    <x v="10"/>
    <n v="1.1599999999999999"/>
  </r>
  <r>
    <s v="PU060-MU-08162021"/>
    <s v="Down"/>
    <x v="1"/>
    <s v="Pumpkinseed"/>
    <s v="Lepomis"/>
    <s v="gibbosus"/>
    <s v="U"/>
    <x v="1"/>
    <n v="8"/>
    <n v="11.81"/>
    <x v="11"/>
    <s v="67905-19-5"/>
    <x v="11"/>
    <n v="0.14449999999999999"/>
  </r>
  <r>
    <s v="PU060-MU-08162021"/>
    <s v="Down"/>
    <x v="1"/>
    <s v="Pumpkinseed"/>
    <s v="Lepomis"/>
    <s v="gibbosus"/>
    <s v="U"/>
    <x v="1"/>
    <n v="8"/>
    <n v="11.81"/>
    <x v="12"/>
    <s v="423-41-6"/>
    <x v="12"/>
    <n v="0.121"/>
  </r>
  <r>
    <s v="PU060-MU-08162021"/>
    <s v="Down"/>
    <x v="1"/>
    <s v="Pumpkinseed"/>
    <s v="Lepomis"/>
    <s v="gibbosus"/>
    <s v="U"/>
    <x v="1"/>
    <n v="8"/>
    <n v="11.81"/>
    <x v="13"/>
    <s v="375-73-5"/>
    <x v="13"/>
    <n v="0.24249999999999999"/>
  </r>
  <r>
    <s v="PU060-MU-08162021"/>
    <s v="Down"/>
    <x v="1"/>
    <s v="Pumpkinseed"/>
    <s v="Lepomis"/>
    <s v="gibbosus"/>
    <s v="U"/>
    <x v="1"/>
    <n v="8"/>
    <n v="11.81"/>
    <x v="14"/>
    <s v="2706-91-4"/>
    <x v="14"/>
    <n v="0.1285"/>
  </r>
  <r>
    <s v="PU060-MU-08162021"/>
    <s v="Down"/>
    <x v="1"/>
    <s v="Pumpkinseed"/>
    <s v="Lepomis"/>
    <s v="gibbosus"/>
    <s v="U"/>
    <x v="1"/>
    <n v="8"/>
    <n v="11.81"/>
    <x v="15"/>
    <s v="355-46-4"/>
    <x v="15"/>
    <n v="7"/>
  </r>
  <r>
    <s v="PU060-MU-08162021"/>
    <s v="Down"/>
    <x v="1"/>
    <s v="Pumpkinseed"/>
    <s v="Lepomis"/>
    <s v="gibbosus"/>
    <s v="U"/>
    <x v="1"/>
    <n v="8"/>
    <n v="11.81"/>
    <x v="16"/>
    <s v="375-92-8"/>
    <x v="16"/>
    <n v="1.1299999999999999"/>
  </r>
  <r>
    <s v="PU060-MU-08162021"/>
    <s v="Down"/>
    <x v="1"/>
    <s v="Pumpkinseed"/>
    <s v="Lepomis"/>
    <s v="gibbosus"/>
    <s v="U"/>
    <x v="1"/>
    <n v="8"/>
    <n v="11.81"/>
    <x v="17"/>
    <s v="1763-23-1"/>
    <x v="17"/>
    <n v="159"/>
  </r>
  <r>
    <s v="PU060-MU-08162021"/>
    <s v="Down"/>
    <x v="1"/>
    <s v="Pumpkinseed"/>
    <s v="Lepomis"/>
    <s v="gibbosus"/>
    <s v="U"/>
    <x v="1"/>
    <n v="8"/>
    <n v="11.81"/>
    <x v="18"/>
    <s v="68259-12-1"/>
    <x v="18"/>
    <n v="0.24249999999999999"/>
  </r>
  <r>
    <s v="PU060-MU-08162021"/>
    <s v="Down"/>
    <x v="1"/>
    <s v="Pumpkinseed"/>
    <s v="Lepomis"/>
    <s v="gibbosus"/>
    <s v="U"/>
    <x v="1"/>
    <n v="8"/>
    <n v="11.81"/>
    <x v="19"/>
    <s v="335-77-3"/>
    <x v="19"/>
    <n v="0.24249999999999999"/>
  </r>
  <r>
    <s v="PU060-MU-08162021"/>
    <s v="Down"/>
    <x v="1"/>
    <s v="Pumpkinseed"/>
    <s v="Lepomis"/>
    <s v="gibbosus"/>
    <s v="U"/>
    <x v="1"/>
    <n v="8"/>
    <n v="11.81"/>
    <x v="20"/>
    <s v="79780-39-5"/>
    <x v="20"/>
    <n v="0.25950000000000001"/>
  </r>
  <r>
    <s v="PU060-MU-08162021"/>
    <s v="Down"/>
    <x v="1"/>
    <s v="Pumpkinseed"/>
    <s v="Lepomis"/>
    <s v="gibbosus"/>
    <s v="U"/>
    <x v="1"/>
    <n v="8"/>
    <n v="11.81"/>
    <x v="21"/>
    <s v="777011-38-8"/>
    <x v="21"/>
    <n v="0.14749999999999999"/>
  </r>
  <r>
    <s v="PU060-MU-08162021"/>
    <s v="Down"/>
    <x v="1"/>
    <s v="Pumpkinseed"/>
    <s v="Lepomis"/>
    <s v="gibbosus"/>
    <s v="U"/>
    <x v="1"/>
    <n v="8"/>
    <n v="11.81"/>
    <x v="22"/>
    <s v="646-83-3"/>
    <x v="22"/>
    <n v="9.7000000000000003E-2"/>
  </r>
  <r>
    <s v="PU060-MU-08162021"/>
    <s v="Down"/>
    <x v="1"/>
    <s v="Pumpkinseed"/>
    <s v="Lepomis"/>
    <s v="gibbosus"/>
    <s v="U"/>
    <x v="1"/>
    <n v="8"/>
    <n v="11.81"/>
    <x v="23"/>
    <s v="30334-69-1"/>
    <x v="23"/>
    <n v="4.4000000000000004"/>
  </r>
  <r>
    <s v="PU060-MU-08162021"/>
    <s v="Down"/>
    <x v="1"/>
    <s v="Pumpkinseed"/>
    <s v="Lepomis"/>
    <s v="gibbosus"/>
    <s v="U"/>
    <x v="1"/>
    <n v="8"/>
    <n v="11.81"/>
    <x v="24"/>
    <s v="41997-13-1"/>
    <x v="24"/>
    <n v="19.100000000000001"/>
  </r>
  <r>
    <s v="PU060-MU-08162021"/>
    <s v="Down"/>
    <x v="1"/>
    <s v="Pumpkinseed"/>
    <s v="Lepomis"/>
    <s v="gibbosus"/>
    <s v="U"/>
    <x v="1"/>
    <n v="8"/>
    <n v="11.81"/>
    <x v="25"/>
    <s v="754-91-6"/>
    <x v="25"/>
    <n v="3.07"/>
  </r>
  <r>
    <s v="PU060-MU-08162021"/>
    <s v="Down"/>
    <x v="1"/>
    <s v="Pumpkinseed"/>
    <s v="Lepomis"/>
    <s v="gibbosus"/>
    <s v="U"/>
    <x v="1"/>
    <n v="8"/>
    <n v="11.81"/>
    <x v="26"/>
    <s v="31506-32-8"/>
    <x v="26"/>
    <n v="9.35E-2"/>
  </r>
  <r>
    <s v="PU060-MU-08162021"/>
    <s v="Down"/>
    <x v="1"/>
    <s v="Pumpkinseed"/>
    <s v="Lepomis"/>
    <s v="gibbosus"/>
    <s v="U"/>
    <x v="1"/>
    <n v="8"/>
    <n v="11.81"/>
    <x v="27"/>
    <s v="4151-50-2"/>
    <x v="27"/>
    <n v="0.24249999999999999"/>
  </r>
  <r>
    <s v="PU060-MU-08162021"/>
    <s v="Down"/>
    <x v="1"/>
    <s v="Pumpkinseed"/>
    <s v="Lepomis"/>
    <s v="gibbosus"/>
    <s v="U"/>
    <x v="1"/>
    <n v="8"/>
    <n v="11.81"/>
    <x v="28"/>
    <s v="2806-24-8"/>
    <x v="28"/>
    <n v="0.24249999999999999"/>
  </r>
  <r>
    <s v="PU060-MU-08162021"/>
    <s v="Down"/>
    <x v="1"/>
    <s v="Pumpkinseed"/>
    <s v="Lepomis"/>
    <s v="gibbosus"/>
    <s v="U"/>
    <x v="1"/>
    <n v="8"/>
    <n v="11.81"/>
    <x v="29"/>
    <s v="2355-31-9"/>
    <x v="29"/>
    <n v="0.122"/>
  </r>
  <r>
    <s v="PU060-MU-08162021"/>
    <s v="Down"/>
    <x v="1"/>
    <s v="Pumpkinseed"/>
    <s v="Lepomis"/>
    <s v="gibbosus"/>
    <s v="U"/>
    <x v="1"/>
    <n v="8"/>
    <n v="11.81"/>
    <x v="30"/>
    <s v="2991-50-6"/>
    <x v="30"/>
    <n v="0.121"/>
  </r>
  <r>
    <s v="PU060-MU-08162021"/>
    <s v="Down"/>
    <x v="1"/>
    <s v="Pumpkinseed"/>
    <s v="Lepomis"/>
    <s v="gibbosus"/>
    <s v="U"/>
    <x v="1"/>
    <n v="8"/>
    <n v="11.81"/>
    <x v="31"/>
    <s v="757124-72-4"/>
    <x v="31"/>
    <n v="0.121"/>
  </r>
  <r>
    <s v="PU060-MU-08162021"/>
    <s v="Down"/>
    <x v="1"/>
    <s v="Pumpkinseed"/>
    <s v="Lepomis"/>
    <s v="gibbosus"/>
    <s v="U"/>
    <x v="1"/>
    <n v="8"/>
    <n v="11.81"/>
    <x v="32"/>
    <s v="27619-97-2"/>
    <x v="32"/>
    <n v="0.24249999999999999"/>
  </r>
  <r>
    <s v="PU060-MU-08162021"/>
    <s v="Down"/>
    <x v="1"/>
    <s v="Pumpkinseed"/>
    <s v="Lepomis"/>
    <s v="gibbosus"/>
    <s v="U"/>
    <x v="1"/>
    <n v="8"/>
    <n v="11.81"/>
    <x v="33"/>
    <s v="39108-34-4"/>
    <x v="33"/>
    <n v="0.64300000000000002"/>
  </r>
  <r>
    <s v="PU060-MU-08162021"/>
    <s v="Down"/>
    <x v="1"/>
    <s v="Pumpkinseed"/>
    <s v="Lepomis"/>
    <s v="gibbosus"/>
    <s v="U"/>
    <x v="1"/>
    <n v="8"/>
    <n v="11.81"/>
    <x v="34"/>
    <s v="120226-60-0"/>
    <x v="34"/>
    <n v="0.24249999999999999"/>
  </r>
  <r>
    <s v="PU060-MU-08162021"/>
    <s v="Down"/>
    <x v="1"/>
    <s v="Pumpkinseed"/>
    <s v="Lepomis"/>
    <s v="gibbosus"/>
    <s v="U"/>
    <x v="1"/>
    <n v="8"/>
    <n v="11.81"/>
    <x v="35"/>
    <s v="356-02-5"/>
    <x v="35"/>
    <n v="0.24249999999999999"/>
  </r>
  <r>
    <s v="PU060-MU-08162021"/>
    <s v="Down"/>
    <x v="1"/>
    <s v="Pumpkinseed"/>
    <s v="Lepomis"/>
    <s v="gibbosus"/>
    <s v="U"/>
    <x v="1"/>
    <n v="8"/>
    <n v="11.81"/>
    <x v="36"/>
    <s v="914637-49-3"/>
    <x v="36"/>
    <n v="0.121"/>
  </r>
  <r>
    <s v="PU060-MU-08162021"/>
    <s v="Down"/>
    <x v="1"/>
    <s v="Pumpkinseed"/>
    <s v="Lepomis"/>
    <s v="gibbosus"/>
    <s v="U"/>
    <x v="1"/>
    <n v="8"/>
    <n v="11.81"/>
    <x v="37"/>
    <s v="812-70-4"/>
    <x v="37"/>
    <n v="1.01"/>
  </r>
  <r>
    <s v="PU060-MU-08162021"/>
    <s v="Down"/>
    <x v="1"/>
    <s v="Pumpkinseed"/>
    <s v="Lepomis"/>
    <s v="gibbosus"/>
    <s v="U"/>
    <x v="1"/>
    <n v="8"/>
    <n v="11.81"/>
    <x v="38"/>
    <s v="53826-12-3"/>
    <x v="38"/>
    <n v="0.24249999999999999"/>
  </r>
  <r>
    <s v="PU060-MU-08162021"/>
    <s v="Down"/>
    <x v="1"/>
    <s v="Pumpkinseed"/>
    <s v="Lepomis"/>
    <s v="gibbosus"/>
    <s v="U"/>
    <x v="1"/>
    <n v="8"/>
    <n v="11.81"/>
    <x v="39"/>
    <s v="27854-31-5"/>
    <x v="39"/>
    <n v="0.121"/>
  </r>
  <r>
    <s v="PU060-MU-08162021"/>
    <s v="Down"/>
    <x v="1"/>
    <s v="Pumpkinseed"/>
    <s v="Lepomis"/>
    <s v="gibbosus"/>
    <s v="U"/>
    <x v="1"/>
    <n v="8"/>
    <n v="11.81"/>
    <x v="40"/>
    <s v="53826-13-4"/>
    <x v="40"/>
    <n v="0.24249999999999999"/>
  </r>
  <r>
    <s v="PU060-MU-08162021"/>
    <s v="Down"/>
    <x v="1"/>
    <s v="Pumpkinseed"/>
    <s v="Lepomis"/>
    <s v="gibbosus"/>
    <s v="U"/>
    <x v="1"/>
    <n v="8"/>
    <n v="11.81"/>
    <x v="41"/>
    <s v="161094-75-3"/>
    <x v="41"/>
    <n v="9.5000000000000001E-2"/>
  </r>
  <r>
    <s v="PU060-MU-08162021"/>
    <s v="Down"/>
    <x v="1"/>
    <s v="Pumpkinseed"/>
    <s v="Lepomis"/>
    <s v="gibbosus"/>
    <s v="U"/>
    <x v="1"/>
    <n v="8"/>
    <n v="11.81"/>
    <x v="42"/>
    <s v="70887-84-2"/>
    <x v="42"/>
    <n v="7.2999999999999995E-2"/>
  </r>
  <r>
    <s v="PU060-MU-08162021"/>
    <s v="Down"/>
    <x v="1"/>
    <s v="Pumpkinseed"/>
    <s v="Lepomis"/>
    <s v="gibbosus"/>
    <s v="U"/>
    <x v="1"/>
    <n v="8"/>
    <n v="11.81"/>
    <x v="43"/>
    <s v="919005-14-4"/>
    <x v="43"/>
    <n v="0.107"/>
  </r>
  <r>
    <s v="PU060-MU-08162021"/>
    <s v="Down"/>
    <x v="1"/>
    <s v="Pumpkinseed"/>
    <s v="Lepomis"/>
    <s v="gibbosus"/>
    <s v="U"/>
    <x v="1"/>
    <n v="8"/>
    <n v="11.81"/>
    <x v="44"/>
    <s v="756426-58-1"/>
    <x v="44"/>
    <n v="0.24249999999999999"/>
  </r>
  <r>
    <s v="PU060-MU-08162021"/>
    <s v="Down"/>
    <x v="1"/>
    <s v="Pumpkinseed"/>
    <s v="Lepomis"/>
    <s v="gibbosus"/>
    <s v="U"/>
    <x v="1"/>
    <n v="8"/>
    <n v="11.81"/>
    <x v="45"/>
    <s v="763051-92-9"/>
    <x v="45"/>
    <n v="0.24249999999999999"/>
  </r>
  <r>
    <s v="PU060-MU-08162021"/>
    <s v="Down"/>
    <x v="1"/>
    <s v="Pumpkinseed"/>
    <s v="Lepomis"/>
    <s v="gibbosus"/>
    <s v="U"/>
    <x v="1"/>
    <n v="8"/>
    <n v="11.81"/>
    <x v="46"/>
    <s v="13252-13-6"/>
    <x v="46"/>
    <n v="0.17399999999999999"/>
  </r>
  <r>
    <s v="PU060-MU-08162021"/>
    <s v="Down"/>
    <x v="1"/>
    <s v="Pumpkinseed"/>
    <s v="Lepomis"/>
    <s v="gibbosus"/>
    <s v="U"/>
    <x v="1"/>
    <n v="8"/>
    <n v="11.81"/>
    <x v="47"/>
    <s v="57677-95-9"/>
    <x v="47"/>
    <n v="0.24249999999999999"/>
  </r>
  <r>
    <s v="PU060-MU-08162021"/>
    <s v="Down"/>
    <x v="1"/>
    <s v="Pumpkinseed"/>
    <s v="Lepomis"/>
    <s v="gibbosus"/>
    <s v="U"/>
    <x v="1"/>
    <n v="8"/>
    <n v="11.81"/>
    <x v="48"/>
    <s v="678-41-1"/>
    <x v="48"/>
    <n v="0.24249999999999999"/>
  </r>
  <r>
    <s v="PU060-MU-08162021"/>
    <s v="Down"/>
    <x v="1"/>
    <s v="Pumpkinseed"/>
    <s v="Lepomis"/>
    <s v="gibbosus"/>
    <s v="U"/>
    <x v="1"/>
    <n v="8"/>
    <n v="11.81"/>
    <x v="49"/>
    <s v="2965-52-8"/>
    <x v="49"/>
    <n v="0.24249999999999999"/>
  </r>
  <r>
    <s v="PU061-LIV-08162021"/>
    <s v="Down"/>
    <x v="1"/>
    <s v="Pumpkinseed"/>
    <s v="Lepomis"/>
    <s v="gibbosus"/>
    <s v="U"/>
    <x v="2"/>
    <n v="8"/>
    <n v="11.81"/>
    <x v="0"/>
    <s v="375-22-4"/>
    <x v="0"/>
    <n v="1.2350000000000001"/>
  </r>
  <r>
    <s v="PU061-LIV-08162021"/>
    <s v="Down"/>
    <x v="1"/>
    <s v="Pumpkinseed"/>
    <s v="Lepomis"/>
    <s v="gibbosus"/>
    <s v="U"/>
    <x v="2"/>
    <n v="8"/>
    <n v="11.81"/>
    <x v="1"/>
    <s v="2706-90-3"/>
    <x v="1"/>
    <n v="0.4365"/>
  </r>
  <r>
    <s v="PU061-LIV-08162021"/>
    <s v="Down"/>
    <x v="1"/>
    <s v="Pumpkinseed"/>
    <s v="Lepomis"/>
    <s v="gibbosus"/>
    <s v="U"/>
    <x v="2"/>
    <n v="8"/>
    <n v="11.81"/>
    <x v="2"/>
    <s v="307-24-4"/>
    <x v="2"/>
    <n v="0.33400000000000002"/>
  </r>
  <r>
    <s v="PU061-LIV-08162021"/>
    <s v="Down"/>
    <x v="1"/>
    <s v="Pumpkinseed"/>
    <s v="Lepomis"/>
    <s v="gibbosus"/>
    <s v="U"/>
    <x v="2"/>
    <n v="8"/>
    <n v="11.81"/>
    <x v="3"/>
    <s v="375-85-9"/>
    <x v="3"/>
    <n v="0.62"/>
  </r>
  <r>
    <s v="PU061-LIV-08162021"/>
    <s v="Down"/>
    <x v="1"/>
    <s v="Pumpkinseed"/>
    <s v="Lepomis"/>
    <s v="gibbosus"/>
    <s v="U"/>
    <x v="2"/>
    <n v="8"/>
    <n v="11.81"/>
    <x v="4"/>
    <s v="335-67-1"/>
    <x v="4"/>
    <n v="0.2475"/>
  </r>
  <r>
    <s v="PU061-LIV-08162021"/>
    <s v="Down"/>
    <x v="1"/>
    <s v="Pumpkinseed"/>
    <s v="Lepomis"/>
    <s v="gibbosus"/>
    <s v="U"/>
    <x v="2"/>
    <n v="8"/>
    <n v="11.81"/>
    <x v="5"/>
    <s v="375-95-1"/>
    <x v="5"/>
    <n v="1.2350000000000001"/>
  </r>
  <r>
    <s v="PU061-LIV-08162021"/>
    <s v="Down"/>
    <x v="1"/>
    <s v="Pumpkinseed"/>
    <s v="Lepomis"/>
    <s v="gibbosus"/>
    <s v="U"/>
    <x v="2"/>
    <n v="8"/>
    <n v="11.81"/>
    <x v="6"/>
    <s v="335-76-2"/>
    <x v="6"/>
    <n v="12.1"/>
  </r>
  <r>
    <s v="PU061-LIV-08162021"/>
    <s v="Down"/>
    <x v="1"/>
    <s v="Pumpkinseed"/>
    <s v="Lepomis"/>
    <s v="gibbosus"/>
    <s v="U"/>
    <x v="2"/>
    <n v="8"/>
    <n v="11.81"/>
    <x v="7"/>
    <s v="2058-94-8"/>
    <x v="7"/>
    <n v="20.9"/>
  </r>
  <r>
    <s v="PU061-LIV-08162021"/>
    <s v="Down"/>
    <x v="1"/>
    <s v="Pumpkinseed"/>
    <s v="Lepomis"/>
    <s v="gibbosus"/>
    <s v="U"/>
    <x v="2"/>
    <n v="8"/>
    <n v="11.81"/>
    <x v="8"/>
    <s v="307-55-1"/>
    <x v="8"/>
    <n v="45.5"/>
  </r>
  <r>
    <s v="PU061-LIV-08162021"/>
    <s v="Down"/>
    <x v="1"/>
    <s v="Pumpkinseed"/>
    <s v="Lepomis"/>
    <s v="gibbosus"/>
    <s v="U"/>
    <x v="2"/>
    <n v="8"/>
    <n v="11.81"/>
    <x v="9"/>
    <s v="72629-94-8"/>
    <x v="9"/>
    <n v="15.4"/>
  </r>
  <r>
    <s v="PU061-LIV-08162021"/>
    <s v="Down"/>
    <x v="1"/>
    <s v="Pumpkinseed"/>
    <s v="Lepomis"/>
    <s v="gibbosus"/>
    <s v="U"/>
    <x v="2"/>
    <n v="8"/>
    <n v="11.81"/>
    <x v="10"/>
    <s v="376-06-7"/>
    <x v="10"/>
    <n v="35.6"/>
  </r>
  <r>
    <s v="PU061-LIV-08162021"/>
    <s v="Down"/>
    <x v="1"/>
    <s v="Pumpkinseed"/>
    <s v="Lepomis"/>
    <s v="gibbosus"/>
    <s v="U"/>
    <x v="2"/>
    <n v="8"/>
    <n v="11.81"/>
    <x v="11"/>
    <s v="67905-19-5"/>
    <x v="11"/>
    <n v="0.73499999999999999"/>
  </r>
  <r>
    <s v="PU061-LIV-08162021"/>
    <s v="Down"/>
    <x v="1"/>
    <s v="Pumpkinseed"/>
    <s v="Lepomis"/>
    <s v="gibbosus"/>
    <s v="U"/>
    <x v="2"/>
    <n v="8"/>
    <n v="11.81"/>
    <x v="12"/>
    <s v="423-41-6"/>
    <x v="12"/>
    <n v="0.62"/>
  </r>
  <r>
    <s v="PU061-LIV-08162021"/>
    <s v="Down"/>
    <x v="1"/>
    <s v="Pumpkinseed"/>
    <s v="Lepomis"/>
    <s v="gibbosus"/>
    <s v="U"/>
    <x v="2"/>
    <n v="8"/>
    <n v="11.81"/>
    <x v="13"/>
    <s v="375-73-5"/>
    <x v="13"/>
    <n v="1.2350000000000001"/>
  </r>
  <r>
    <s v="PU061-LIV-08162021"/>
    <s v="Down"/>
    <x v="1"/>
    <s v="Pumpkinseed"/>
    <s v="Lepomis"/>
    <s v="gibbosus"/>
    <s v="U"/>
    <x v="2"/>
    <n v="8"/>
    <n v="11.81"/>
    <x v="14"/>
    <s v="2706-91-4"/>
    <x v="14"/>
    <n v="0.65500000000000003"/>
  </r>
  <r>
    <s v="PU061-LIV-08162021"/>
    <s v="Down"/>
    <x v="1"/>
    <s v="Pumpkinseed"/>
    <s v="Lepomis"/>
    <s v="gibbosus"/>
    <s v="U"/>
    <x v="2"/>
    <n v="8"/>
    <n v="11.81"/>
    <x v="15"/>
    <s v="355-46-4"/>
    <x v="15"/>
    <n v="20.8"/>
  </r>
  <r>
    <s v="PU061-LIV-08162021"/>
    <s v="Down"/>
    <x v="1"/>
    <s v="Pumpkinseed"/>
    <s v="Lepomis"/>
    <s v="gibbosus"/>
    <s v="U"/>
    <x v="2"/>
    <n v="8"/>
    <n v="11.81"/>
    <x v="16"/>
    <s v="375-92-8"/>
    <x v="16"/>
    <n v="3.27"/>
  </r>
  <r>
    <s v="PU061-LIV-08162021"/>
    <s v="Down"/>
    <x v="1"/>
    <s v="Pumpkinseed"/>
    <s v="Lepomis"/>
    <s v="gibbosus"/>
    <s v="U"/>
    <x v="2"/>
    <n v="8"/>
    <n v="11.81"/>
    <x v="17"/>
    <s v="1763-23-1"/>
    <x v="17"/>
    <n v="3100"/>
  </r>
  <r>
    <s v="PU061-LIV-08162021"/>
    <s v="Down"/>
    <x v="1"/>
    <s v="Pumpkinseed"/>
    <s v="Lepomis"/>
    <s v="gibbosus"/>
    <s v="U"/>
    <x v="2"/>
    <n v="8"/>
    <n v="11.81"/>
    <x v="18"/>
    <s v="68259-12-1"/>
    <x v="18"/>
    <n v="3.18"/>
  </r>
  <r>
    <s v="PU061-LIV-08162021"/>
    <s v="Down"/>
    <x v="1"/>
    <s v="Pumpkinseed"/>
    <s v="Lepomis"/>
    <s v="gibbosus"/>
    <s v="U"/>
    <x v="2"/>
    <n v="8"/>
    <n v="11.81"/>
    <x v="19"/>
    <s v="335-77-3"/>
    <x v="19"/>
    <n v="2.65"/>
  </r>
  <r>
    <s v="PU061-LIV-08162021"/>
    <s v="Down"/>
    <x v="1"/>
    <s v="Pumpkinseed"/>
    <s v="Lepomis"/>
    <s v="gibbosus"/>
    <s v="U"/>
    <x v="2"/>
    <n v="8"/>
    <n v="11.81"/>
    <x v="20"/>
    <s v="79780-39-5"/>
    <x v="20"/>
    <n v="1.325"/>
  </r>
  <r>
    <s v="PU061-LIV-08162021"/>
    <s v="Down"/>
    <x v="1"/>
    <s v="Pumpkinseed"/>
    <s v="Lepomis"/>
    <s v="gibbosus"/>
    <s v="U"/>
    <x v="2"/>
    <n v="8"/>
    <n v="11.81"/>
    <x v="21"/>
    <s v="777011-38-8"/>
    <x v="21"/>
    <n v="0.75"/>
  </r>
  <r>
    <s v="PU061-LIV-08162021"/>
    <s v="Down"/>
    <x v="1"/>
    <s v="Pumpkinseed"/>
    <s v="Lepomis"/>
    <s v="gibbosus"/>
    <s v="U"/>
    <x v="2"/>
    <n v="8"/>
    <n v="11.81"/>
    <x v="22"/>
    <s v="646-83-3"/>
    <x v="22"/>
    <n v="0.4945"/>
  </r>
  <r>
    <s v="PU061-LIV-08162021"/>
    <s v="Down"/>
    <x v="1"/>
    <s v="Pumpkinseed"/>
    <s v="Lepomis"/>
    <s v="gibbosus"/>
    <s v="U"/>
    <x v="2"/>
    <n v="8"/>
    <n v="11.81"/>
    <x v="23"/>
    <s v="30334-69-1"/>
    <x v="23"/>
    <n v="134"/>
  </r>
  <r>
    <s v="PU061-LIV-08162021"/>
    <s v="Down"/>
    <x v="1"/>
    <s v="Pumpkinseed"/>
    <s v="Lepomis"/>
    <s v="gibbosus"/>
    <s v="U"/>
    <x v="2"/>
    <n v="8"/>
    <n v="11.81"/>
    <x v="24"/>
    <s v="41997-13-1"/>
    <x v="24"/>
    <n v="198"/>
  </r>
  <r>
    <s v="PU061-LIV-08162021"/>
    <s v="Down"/>
    <x v="1"/>
    <s v="Pumpkinseed"/>
    <s v="Lepomis"/>
    <s v="gibbosus"/>
    <s v="U"/>
    <x v="2"/>
    <n v="8"/>
    <n v="11.81"/>
    <x v="25"/>
    <s v="754-91-6"/>
    <x v="25"/>
    <n v="27"/>
  </r>
  <r>
    <s v="PU061-LIV-08162021"/>
    <s v="Down"/>
    <x v="1"/>
    <s v="Pumpkinseed"/>
    <s v="Lepomis"/>
    <s v="gibbosus"/>
    <s v="U"/>
    <x v="2"/>
    <n v="8"/>
    <n v="11.81"/>
    <x v="26"/>
    <s v="31506-32-8"/>
    <x v="26"/>
    <n v="0.47599999999999998"/>
  </r>
  <r>
    <s v="PU061-LIV-08162021"/>
    <s v="Down"/>
    <x v="1"/>
    <s v="Pumpkinseed"/>
    <s v="Lepomis"/>
    <s v="gibbosus"/>
    <s v="U"/>
    <x v="2"/>
    <n v="8"/>
    <n v="11.81"/>
    <x v="27"/>
    <s v="4151-50-2"/>
    <x v="27"/>
    <n v="1.2350000000000001"/>
  </r>
  <r>
    <s v="PU061-LIV-08162021"/>
    <s v="Down"/>
    <x v="1"/>
    <s v="Pumpkinseed"/>
    <s v="Lepomis"/>
    <s v="gibbosus"/>
    <s v="U"/>
    <x v="2"/>
    <n v="8"/>
    <n v="11.81"/>
    <x v="28"/>
    <s v="2806-24-8"/>
    <x v="28"/>
    <n v="1.2350000000000001"/>
  </r>
  <r>
    <s v="PU061-LIV-08162021"/>
    <s v="Down"/>
    <x v="1"/>
    <s v="Pumpkinseed"/>
    <s v="Lepomis"/>
    <s v="gibbosus"/>
    <s v="U"/>
    <x v="2"/>
    <n v="8"/>
    <n v="11.81"/>
    <x v="29"/>
    <s v="2355-31-9"/>
    <x v="29"/>
    <n v="0.62"/>
  </r>
  <r>
    <s v="PU061-LIV-08162021"/>
    <s v="Down"/>
    <x v="1"/>
    <s v="Pumpkinseed"/>
    <s v="Lepomis"/>
    <s v="gibbosus"/>
    <s v="U"/>
    <x v="2"/>
    <n v="8"/>
    <n v="11.81"/>
    <x v="30"/>
    <s v="2991-50-6"/>
    <x v="30"/>
    <n v="0.62"/>
  </r>
  <r>
    <s v="PU061-LIV-08162021"/>
    <s v="Down"/>
    <x v="1"/>
    <s v="Pumpkinseed"/>
    <s v="Lepomis"/>
    <s v="gibbosus"/>
    <s v="U"/>
    <x v="2"/>
    <n v="8"/>
    <n v="11.81"/>
    <x v="31"/>
    <s v="757124-72-4"/>
    <x v="31"/>
    <n v="0.62"/>
  </r>
  <r>
    <s v="PU061-LIV-08162021"/>
    <s v="Down"/>
    <x v="1"/>
    <s v="Pumpkinseed"/>
    <s v="Lepomis"/>
    <s v="gibbosus"/>
    <s v="U"/>
    <x v="2"/>
    <n v="8"/>
    <n v="11.81"/>
    <x v="32"/>
    <s v="27619-97-2"/>
    <x v="32"/>
    <n v="0.62"/>
  </r>
  <r>
    <s v="PU061-LIV-08162021"/>
    <s v="Down"/>
    <x v="1"/>
    <s v="Pumpkinseed"/>
    <s v="Lepomis"/>
    <s v="gibbosus"/>
    <s v="U"/>
    <x v="2"/>
    <n v="8"/>
    <n v="11.81"/>
    <x v="33"/>
    <s v="39108-34-4"/>
    <x v="33"/>
    <n v="7.15"/>
  </r>
  <r>
    <s v="PU061-LIV-08162021"/>
    <s v="Down"/>
    <x v="1"/>
    <s v="Pumpkinseed"/>
    <s v="Lepomis"/>
    <s v="gibbosus"/>
    <s v="U"/>
    <x v="2"/>
    <n v="8"/>
    <n v="11.81"/>
    <x v="34"/>
    <s v="120226-60-0"/>
    <x v="34"/>
    <n v="2.4750000000000001"/>
  </r>
  <r>
    <s v="PU061-LIV-08162021"/>
    <s v="Down"/>
    <x v="1"/>
    <s v="Pumpkinseed"/>
    <s v="Lepomis"/>
    <s v="gibbosus"/>
    <s v="U"/>
    <x v="2"/>
    <n v="8"/>
    <n v="11.81"/>
    <x v="35"/>
    <s v="356-02-5"/>
    <x v="35"/>
    <n v="1.2350000000000001"/>
  </r>
  <r>
    <s v="PU061-LIV-08162021"/>
    <s v="Down"/>
    <x v="1"/>
    <s v="Pumpkinseed"/>
    <s v="Lepomis"/>
    <s v="gibbosus"/>
    <s v="U"/>
    <x v="2"/>
    <n v="8"/>
    <n v="11.81"/>
    <x v="36"/>
    <s v="914637-49-3"/>
    <x v="36"/>
    <n v="0.62"/>
  </r>
  <r>
    <s v="PU061-LIV-08162021"/>
    <s v="Down"/>
    <x v="1"/>
    <s v="Pumpkinseed"/>
    <s v="Lepomis"/>
    <s v="gibbosus"/>
    <s v="U"/>
    <x v="2"/>
    <n v="8"/>
    <n v="11.81"/>
    <x v="37"/>
    <s v="812-70-4"/>
    <x v="37"/>
    <n v="1.2350000000000001"/>
  </r>
  <r>
    <s v="PU061-LIV-08162021"/>
    <s v="Down"/>
    <x v="1"/>
    <s v="Pumpkinseed"/>
    <s v="Lepomis"/>
    <s v="gibbosus"/>
    <s v="U"/>
    <x v="2"/>
    <n v="8"/>
    <n v="11.81"/>
    <x v="38"/>
    <s v="53826-12-3"/>
    <x v="38"/>
    <n v="1.2350000000000001"/>
  </r>
  <r>
    <s v="PU061-LIV-08162021"/>
    <s v="Down"/>
    <x v="1"/>
    <s v="Pumpkinseed"/>
    <s v="Lepomis"/>
    <s v="gibbosus"/>
    <s v="U"/>
    <x v="2"/>
    <n v="8"/>
    <n v="11.81"/>
    <x v="39"/>
    <s v="27854-31-5"/>
    <x v="39"/>
    <n v="0.62"/>
  </r>
  <r>
    <s v="PU061-LIV-08162021"/>
    <s v="Down"/>
    <x v="1"/>
    <s v="Pumpkinseed"/>
    <s v="Lepomis"/>
    <s v="gibbosus"/>
    <s v="U"/>
    <x v="2"/>
    <n v="8"/>
    <n v="11.81"/>
    <x v="40"/>
    <s v="53826-13-4"/>
    <x v="40"/>
    <n v="1.2350000000000001"/>
  </r>
  <r>
    <s v="PU061-LIV-08162021"/>
    <s v="Down"/>
    <x v="1"/>
    <s v="Pumpkinseed"/>
    <s v="Lepomis"/>
    <s v="gibbosus"/>
    <s v="U"/>
    <x v="2"/>
    <n v="8"/>
    <n v="11.81"/>
    <x v="41"/>
    <s v="161094-75-3"/>
    <x v="41"/>
    <n v="0.48549999999999999"/>
  </r>
  <r>
    <s v="PU061-LIV-08162021"/>
    <s v="Down"/>
    <x v="1"/>
    <s v="Pumpkinseed"/>
    <s v="Lepomis"/>
    <s v="gibbosus"/>
    <s v="U"/>
    <x v="2"/>
    <n v="8"/>
    <n v="11.81"/>
    <x v="42"/>
    <s v="70887-84-2"/>
    <x v="42"/>
    <n v="0.3735"/>
  </r>
  <r>
    <s v="PU061-LIV-08162021"/>
    <s v="Down"/>
    <x v="1"/>
    <s v="Pumpkinseed"/>
    <s v="Lepomis"/>
    <s v="gibbosus"/>
    <s v="U"/>
    <x v="2"/>
    <n v="8"/>
    <n v="11.81"/>
    <x v="43"/>
    <s v="919005-14-4"/>
    <x v="43"/>
    <n v="0.54500000000000004"/>
  </r>
  <r>
    <s v="PU061-LIV-08162021"/>
    <s v="Down"/>
    <x v="1"/>
    <s v="Pumpkinseed"/>
    <s v="Lepomis"/>
    <s v="gibbosus"/>
    <s v="U"/>
    <x v="2"/>
    <n v="8"/>
    <n v="11.81"/>
    <x v="44"/>
    <s v="756426-58-1"/>
    <x v="44"/>
    <n v="1.2350000000000001"/>
  </r>
  <r>
    <s v="PU061-LIV-08162021"/>
    <s v="Down"/>
    <x v="1"/>
    <s v="Pumpkinseed"/>
    <s v="Lepomis"/>
    <s v="gibbosus"/>
    <s v="U"/>
    <x v="2"/>
    <n v="8"/>
    <n v="11.81"/>
    <x v="45"/>
    <s v="763051-92-9"/>
    <x v="45"/>
    <n v="1.2350000000000001"/>
  </r>
  <r>
    <s v="PU061-LIV-08162021"/>
    <s v="Down"/>
    <x v="1"/>
    <s v="Pumpkinseed"/>
    <s v="Lepomis"/>
    <s v="gibbosus"/>
    <s v="U"/>
    <x v="2"/>
    <n v="8"/>
    <n v="11.81"/>
    <x v="46"/>
    <s v="13252-13-6"/>
    <x v="46"/>
    <n v="0.88500000000000001"/>
  </r>
  <r>
    <s v="PU061-LIV-08162021"/>
    <s v="Down"/>
    <x v="1"/>
    <s v="Pumpkinseed"/>
    <s v="Lepomis"/>
    <s v="gibbosus"/>
    <s v="U"/>
    <x v="2"/>
    <n v="8"/>
    <n v="11.81"/>
    <x v="47"/>
    <s v="57677-95-9"/>
    <x v="47"/>
    <n v="1.2350000000000001"/>
  </r>
  <r>
    <s v="PU061-LIV-08162021"/>
    <s v="Down"/>
    <x v="1"/>
    <s v="Pumpkinseed"/>
    <s v="Lepomis"/>
    <s v="gibbosus"/>
    <s v="U"/>
    <x v="2"/>
    <n v="8"/>
    <n v="11.81"/>
    <x v="48"/>
    <s v="678-41-1"/>
    <x v="48"/>
    <n v="1.2350000000000001"/>
  </r>
  <r>
    <s v="PU061-LIV-08162021"/>
    <s v="Down"/>
    <x v="1"/>
    <s v="Pumpkinseed"/>
    <s v="Lepomis"/>
    <s v="gibbosus"/>
    <s v="U"/>
    <x v="2"/>
    <n v="8"/>
    <n v="11.81"/>
    <x v="49"/>
    <s v="2965-52-8"/>
    <x v="49"/>
    <n v="1.2350000000000001"/>
  </r>
  <r>
    <s v="PU061-MU-08162021"/>
    <s v="Down"/>
    <x v="1"/>
    <s v="Pumpkinseed"/>
    <s v="Lepomis"/>
    <s v="gibbosus"/>
    <s v="U"/>
    <x v="1"/>
    <n v="8"/>
    <n v="11.81"/>
    <x v="0"/>
    <s v="375-22-4"/>
    <x v="0"/>
    <n v="0.23400000000000001"/>
  </r>
  <r>
    <s v="PU061-MU-08162021"/>
    <s v="Down"/>
    <x v="1"/>
    <s v="Pumpkinseed"/>
    <s v="Lepomis"/>
    <s v="gibbosus"/>
    <s v="U"/>
    <x v="1"/>
    <n v="8"/>
    <n v="11.81"/>
    <x v="1"/>
    <s v="2706-90-3"/>
    <x v="1"/>
    <n v="8.2500000000000004E-2"/>
  </r>
  <r>
    <s v="PU061-MU-08162021"/>
    <s v="Down"/>
    <x v="1"/>
    <s v="Pumpkinseed"/>
    <s v="Lepomis"/>
    <s v="gibbosus"/>
    <s v="U"/>
    <x v="1"/>
    <n v="8"/>
    <n v="11.81"/>
    <x v="2"/>
    <s v="307-24-4"/>
    <x v="2"/>
    <n v="0.1265"/>
  </r>
  <r>
    <s v="PU061-MU-08162021"/>
    <s v="Down"/>
    <x v="1"/>
    <s v="Pumpkinseed"/>
    <s v="Lepomis"/>
    <s v="gibbosus"/>
    <s v="U"/>
    <x v="1"/>
    <n v="8"/>
    <n v="11.81"/>
    <x v="3"/>
    <s v="375-85-9"/>
    <x v="3"/>
    <n v="0.23400000000000001"/>
  </r>
  <r>
    <s v="PU061-MU-08162021"/>
    <s v="Down"/>
    <x v="1"/>
    <s v="Pumpkinseed"/>
    <s v="Lepomis"/>
    <s v="gibbosus"/>
    <s v="U"/>
    <x v="1"/>
    <n v="8"/>
    <n v="11.81"/>
    <x v="4"/>
    <s v="335-67-1"/>
    <x v="4"/>
    <n v="0.20499999999999999"/>
  </r>
  <r>
    <s v="PU061-MU-08162021"/>
    <s v="Down"/>
    <x v="1"/>
    <s v="Pumpkinseed"/>
    <s v="Lepomis"/>
    <s v="gibbosus"/>
    <s v="U"/>
    <x v="1"/>
    <n v="8"/>
    <n v="11.81"/>
    <x v="5"/>
    <s v="375-95-1"/>
    <x v="5"/>
    <n v="0.23400000000000001"/>
  </r>
  <r>
    <s v="PU061-MU-08162021"/>
    <s v="Down"/>
    <x v="1"/>
    <s v="Pumpkinseed"/>
    <s v="Lepomis"/>
    <s v="gibbosus"/>
    <s v="U"/>
    <x v="1"/>
    <n v="8"/>
    <n v="11.81"/>
    <x v="6"/>
    <s v="335-76-2"/>
    <x v="6"/>
    <n v="1.88"/>
  </r>
  <r>
    <s v="PU061-MU-08162021"/>
    <s v="Down"/>
    <x v="1"/>
    <s v="Pumpkinseed"/>
    <s v="Lepomis"/>
    <s v="gibbosus"/>
    <s v="U"/>
    <x v="1"/>
    <n v="8"/>
    <n v="11.81"/>
    <x v="7"/>
    <s v="2058-94-8"/>
    <x v="7"/>
    <n v="3.02"/>
  </r>
  <r>
    <s v="PU061-MU-08162021"/>
    <s v="Down"/>
    <x v="1"/>
    <s v="Pumpkinseed"/>
    <s v="Lepomis"/>
    <s v="gibbosus"/>
    <s v="U"/>
    <x v="1"/>
    <n v="8"/>
    <n v="11.81"/>
    <x v="8"/>
    <s v="307-55-1"/>
    <x v="8"/>
    <n v="6.83"/>
  </r>
  <r>
    <s v="PU061-MU-08162021"/>
    <s v="Down"/>
    <x v="1"/>
    <s v="Pumpkinseed"/>
    <s v="Lepomis"/>
    <s v="gibbosus"/>
    <s v="U"/>
    <x v="1"/>
    <n v="8"/>
    <n v="11.81"/>
    <x v="9"/>
    <s v="72629-94-8"/>
    <x v="9"/>
    <n v="3.09"/>
  </r>
  <r>
    <s v="PU061-MU-08162021"/>
    <s v="Down"/>
    <x v="1"/>
    <s v="Pumpkinseed"/>
    <s v="Lepomis"/>
    <s v="gibbosus"/>
    <s v="U"/>
    <x v="1"/>
    <n v="8"/>
    <n v="11.81"/>
    <x v="10"/>
    <s v="376-06-7"/>
    <x v="10"/>
    <n v="4.41"/>
  </r>
  <r>
    <s v="PU061-MU-08162021"/>
    <s v="Down"/>
    <x v="1"/>
    <s v="Pumpkinseed"/>
    <s v="Lepomis"/>
    <s v="gibbosus"/>
    <s v="U"/>
    <x v="1"/>
    <n v="8"/>
    <n v="11.81"/>
    <x v="11"/>
    <s v="67905-19-5"/>
    <x v="11"/>
    <n v="0.13950000000000001"/>
  </r>
  <r>
    <s v="PU061-MU-08162021"/>
    <s v="Down"/>
    <x v="1"/>
    <s v="Pumpkinseed"/>
    <s v="Lepomis"/>
    <s v="gibbosus"/>
    <s v="U"/>
    <x v="1"/>
    <n v="8"/>
    <n v="11.81"/>
    <x v="12"/>
    <s v="423-41-6"/>
    <x v="12"/>
    <n v="0.11700000000000001"/>
  </r>
  <r>
    <s v="PU061-MU-08162021"/>
    <s v="Down"/>
    <x v="1"/>
    <s v="Pumpkinseed"/>
    <s v="Lepomis"/>
    <s v="gibbosus"/>
    <s v="U"/>
    <x v="1"/>
    <n v="8"/>
    <n v="11.81"/>
    <x v="13"/>
    <s v="375-73-5"/>
    <x v="13"/>
    <n v="0.23400000000000001"/>
  </r>
  <r>
    <s v="PU061-MU-08162021"/>
    <s v="Down"/>
    <x v="1"/>
    <s v="Pumpkinseed"/>
    <s v="Lepomis"/>
    <s v="gibbosus"/>
    <s v="U"/>
    <x v="1"/>
    <n v="8"/>
    <n v="11.81"/>
    <x v="14"/>
    <s v="2706-91-4"/>
    <x v="14"/>
    <n v="0.124"/>
  </r>
  <r>
    <s v="PU061-MU-08162021"/>
    <s v="Down"/>
    <x v="1"/>
    <s v="Pumpkinseed"/>
    <s v="Lepomis"/>
    <s v="gibbosus"/>
    <s v="U"/>
    <x v="1"/>
    <n v="8"/>
    <n v="11.81"/>
    <x v="15"/>
    <s v="355-46-4"/>
    <x v="15"/>
    <n v="4.38"/>
  </r>
  <r>
    <s v="PU061-MU-08162021"/>
    <s v="Down"/>
    <x v="1"/>
    <s v="Pumpkinseed"/>
    <s v="Lepomis"/>
    <s v="gibbosus"/>
    <s v="U"/>
    <x v="1"/>
    <n v="8"/>
    <n v="11.81"/>
    <x v="16"/>
    <s v="375-92-8"/>
    <x v="16"/>
    <n v="1.26"/>
  </r>
  <r>
    <s v="PU061-MU-08162021"/>
    <s v="Down"/>
    <x v="1"/>
    <s v="Pumpkinseed"/>
    <s v="Lepomis"/>
    <s v="gibbosus"/>
    <s v="U"/>
    <x v="1"/>
    <n v="8"/>
    <n v="11.81"/>
    <x v="17"/>
    <s v="1763-23-1"/>
    <x v="17"/>
    <n v="433"/>
  </r>
  <r>
    <s v="PU061-MU-08162021"/>
    <s v="Down"/>
    <x v="1"/>
    <s v="Pumpkinseed"/>
    <s v="Lepomis"/>
    <s v="gibbosus"/>
    <s v="U"/>
    <x v="1"/>
    <n v="8"/>
    <n v="11.81"/>
    <x v="18"/>
    <s v="68259-12-1"/>
    <x v="18"/>
    <n v="1.1599999999999999"/>
  </r>
  <r>
    <s v="PU061-MU-08162021"/>
    <s v="Down"/>
    <x v="1"/>
    <s v="Pumpkinseed"/>
    <s v="Lepomis"/>
    <s v="gibbosus"/>
    <s v="U"/>
    <x v="1"/>
    <n v="8"/>
    <n v="11.81"/>
    <x v="19"/>
    <s v="335-77-3"/>
    <x v="19"/>
    <n v="1.02"/>
  </r>
  <r>
    <s v="PU061-MU-08162021"/>
    <s v="Down"/>
    <x v="1"/>
    <s v="Pumpkinseed"/>
    <s v="Lepomis"/>
    <s v="gibbosus"/>
    <s v="U"/>
    <x v="1"/>
    <n v="8"/>
    <n v="11.81"/>
    <x v="20"/>
    <s v="79780-39-5"/>
    <x v="20"/>
    <n v="0.2505"/>
  </r>
  <r>
    <s v="PU061-MU-08162021"/>
    <s v="Down"/>
    <x v="1"/>
    <s v="Pumpkinseed"/>
    <s v="Lepomis"/>
    <s v="gibbosus"/>
    <s v="U"/>
    <x v="1"/>
    <n v="8"/>
    <n v="11.81"/>
    <x v="21"/>
    <s v="777011-38-8"/>
    <x v="21"/>
    <n v="0.14249999999999999"/>
  </r>
  <r>
    <s v="PU061-MU-08162021"/>
    <s v="Down"/>
    <x v="1"/>
    <s v="Pumpkinseed"/>
    <s v="Lepomis"/>
    <s v="gibbosus"/>
    <s v="U"/>
    <x v="1"/>
    <n v="8"/>
    <n v="11.81"/>
    <x v="22"/>
    <s v="646-83-3"/>
    <x v="22"/>
    <n v="9.35E-2"/>
  </r>
  <r>
    <s v="PU061-MU-08162021"/>
    <s v="Down"/>
    <x v="1"/>
    <s v="Pumpkinseed"/>
    <s v="Lepomis"/>
    <s v="gibbosus"/>
    <s v="U"/>
    <x v="1"/>
    <n v="8"/>
    <n v="11.81"/>
    <x v="23"/>
    <s v="30334-69-1"/>
    <x v="23"/>
    <n v="22.7"/>
  </r>
  <r>
    <s v="PU061-MU-08162021"/>
    <s v="Down"/>
    <x v="1"/>
    <s v="Pumpkinseed"/>
    <s v="Lepomis"/>
    <s v="gibbosus"/>
    <s v="U"/>
    <x v="1"/>
    <n v="8"/>
    <n v="11.81"/>
    <x v="24"/>
    <s v="41997-13-1"/>
    <x v="24"/>
    <n v="63.7"/>
  </r>
  <r>
    <s v="PU061-MU-08162021"/>
    <s v="Down"/>
    <x v="1"/>
    <s v="Pumpkinseed"/>
    <s v="Lepomis"/>
    <s v="gibbosus"/>
    <s v="U"/>
    <x v="1"/>
    <n v="8"/>
    <n v="11.81"/>
    <x v="25"/>
    <s v="754-91-6"/>
    <x v="25"/>
    <n v="8.08"/>
  </r>
  <r>
    <s v="PU061-MU-08162021"/>
    <s v="Down"/>
    <x v="1"/>
    <s v="Pumpkinseed"/>
    <s v="Lepomis"/>
    <s v="gibbosus"/>
    <s v="U"/>
    <x v="1"/>
    <n v="8"/>
    <n v="11.81"/>
    <x v="26"/>
    <s v="31506-32-8"/>
    <x v="26"/>
    <n v="0.09"/>
  </r>
  <r>
    <s v="PU061-MU-08162021"/>
    <s v="Down"/>
    <x v="1"/>
    <s v="Pumpkinseed"/>
    <s v="Lepomis"/>
    <s v="gibbosus"/>
    <s v="U"/>
    <x v="1"/>
    <n v="8"/>
    <n v="11.81"/>
    <x v="27"/>
    <s v="4151-50-2"/>
    <x v="27"/>
    <n v="0.23400000000000001"/>
  </r>
  <r>
    <s v="PU061-MU-08162021"/>
    <s v="Down"/>
    <x v="1"/>
    <s v="Pumpkinseed"/>
    <s v="Lepomis"/>
    <s v="gibbosus"/>
    <s v="U"/>
    <x v="1"/>
    <n v="8"/>
    <n v="11.81"/>
    <x v="28"/>
    <s v="2806-24-8"/>
    <x v="28"/>
    <n v="0.23400000000000001"/>
  </r>
  <r>
    <s v="PU061-MU-08162021"/>
    <s v="Down"/>
    <x v="1"/>
    <s v="Pumpkinseed"/>
    <s v="Lepomis"/>
    <s v="gibbosus"/>
    <s v="U"/>
    <x v="1"/>
    <n v="8"/>
    <n v="11.81"/>
    <x v="29"/>
    <s v="2355-31-9"/>
    <x v="29"/>
    <n v="0.11799999999999999"/>
  </r>
  <r>
    <s v="PU061-MU-08162021"/>
    <s v="Down"/>
    <x v="1"/>
    <s v="Pumpkinseed"/>
    <s v="Lepomis"/>
    <s v="gibbosus"/>
    <s v="U"/>
    <x v="1"/>
    <n v="8"/>
    <n v="11.81"/>
    <x v="30"/>
    <s v="2991-50-6"/>
    <x v="30"/>
    <n v="0.11700000000000001"/>
  </r>
  <r>
    <s v="PU061-MU-08162021"/>
    <s v="Down"/>
    <x v="1"/>
    <s v="Pumpkinseed"/>
    <s v="Lepomis"/>
    <s v="gibbosus"/>
    <s v="U"/>
    <x v="1"/>
    <n v="8"/>
    <n v="11.81"/>
    <x v="31"/>
    <s v="757124-72-4"/>
    <x v="31"/>
    <n v="0.11700000000000001"/>
  </r>
  <r>
    <s v="PU061-MU-08162021"/>
    <s v="Down"/>
    <x v="1"/>
    <s v="Pumpkinseed"/>
    <s v="Lepomis"/>
    <s v="gibbosus"/>
    <s v="U"/>
    <x v="1"/>
    <n v="8"/>
    <n v="11.81"/>
    <x v="32"/>
    <s v="27619-97-2"/>
    <x v="32"/>
    <n v="0.11700000000000001"/>
  </r>
  <r>
    <s v="PU061-MU-08162021"/>
    <s v="Down"/>
    <x v="1"/>
    <s v="Pumpkinseed"/>
    <s v="Lepomis"/>
    <s v="gibbosus"/>
    <s v="U"/>
    <x v="1"/>
    <n v="8"/>
    <n v="11.81"/>
    <x v="33"/>
    <s v="39108-34-4"/>
    <x v="33"/>
    <n v="0.72299999999999998"/>
  </r>
  <r>
    <s v="PU061-MU-08162021"/>
    <s v="Down"/>
    <x v="1"/>
    <s v="Pumpkinseed"/>
    <s v="Lepomis"/>
    <s v="gibbosus"/>
    <s v="U"/>
    <x v="1"/>
    <n v="8"/>
    <n v="11.81"/>
    <x v="34"/>
    <s v="120226-60-0"/>
    <x v="34"/>
    <n v="0.23400000000000001"/>
  </r>
  <r>
    <s v="PU061-MU-08162021"/>
    <s v="Down"/>
    <x v="1"/>
    <s v="Pumpkinseed"/>
    <s v="Lepomis"/>
    <s v="gibbosus"/>
    <s v="U"/>
    <x v="1"/>
    <n v="8"/>
    <n v="11.81"/>
    <x v="35"/>
    <s v="356-02-5"/>
    <x v="35"/>
    <n v="0.23400000000000001"/>
  </r>
  <r>
    <s v="PU061-MU-08162021"/>
    <s v="Down"/>
    <x v="1"/>
    <s v="Pumpkinseed"/>
    <s v="Lepomis"/>
    <s v="gibbosus"/>
    <s v="U"/>
    <x v="1"/>
    <n v="8"/>
    <n v="11.81"/>
    <x v="36"/>
    <s v="914637-49-3"/>
    <x v="36"/>
    <n v="0.23400000000000001"/>
  </r>
  <r>
    <s v="PU061-MU-08162021"/>
    <s v="Down"/>
    <x v="1"/>
    <s v="Pumpkinseed"/>
    <s v="Lepomis"/>
    <s v="gibbosus"/>
    <s v="U"/>
    <x v="1"/>
    <n v="8"/>
    <n v="11.81"/>
    <x v="37"/>
    <s v="812-70-4"/>
    <x v="37"/>
    <n v="2.13"/>
  </r>
  <r>
    <s v="PU061-MU-08162021"/>
    <s v="Down"/>
    <x v="1"/>
    <s v="Pumpkinseed"/>
    <s v="Lepomis"/>
    <s v="gibbosus"/>
    <s v="U"/>
    <x v="1"/>
    <n v="8"/>
    <n v="11.81"/>
    <x v="38"/>
    <s v="53826-12-3"/>
    <x v="38"/>
    <n v="0.23400000000000001"/>
  </r>
  <r>
    <s v="PU061-MU-08162021"/>
    <s v="Down"/>
    <x v="1"/>
    <s v="Pumpkinseed"/>
    <s v="Lepomis"/>
    <s v="gibbosus"/>
    <s v="U"/>
    <x v="1"/>
    <n v="8"/>
    <n v="11.81"/>
    <x v="39"/>
    <s v="27854-31-5"/>
    <x v="39"/>
    <n v="0.11700000000000001"/>
  </r>
  <r>
    <s v="PU061-MU-08162021"/>
    <s v="Down"/>
    <x v="1"/>
    <s v="Pumpkinseed"/>
    <s v="Lepomis"/>
    <s v="gibbosus"/>
    <s v="U"/>
    <x v="1"/>
    <n v="8"/>
    <n v="11.81"/>
    <x v="40"/>
    <s v="53826-13-4"/>
    <x v="40"/>
    <n v="0.23400000000000001"/>
  </r>
  <r>
    <s v="PU061-MU-08162021"/>
    <s v="Down"/>
    <x v="1"/>
    <s v="Pumpkinseed"/>
    <s v="Lepomis"/>
    <s v="gibbosus"/>
    <s v="U"/>
    <x v="1"/>
    <n v="8"/>
    <n v="11.81"/>
    <x v="41"/>
    <s v="161094-75-3"/>
    <x v="41"/>
    <n v="9.1999999999999998E-2"/>
  </r>
  <r>
    <s v="PU061-MU-08162021"/>
    <s v="Down"/>
    <x v="1"/>
    <s v="Pumpkinseed"/>
    <s v="Lepomis"/>
    <s v="gibbosus"/>
    <s v="U"/>
    <x v="1"/>
    <n v="8"/>
    <n v="11.81"/>
    <x v="42"/>
    <s v="70887-84-2"/>
    <x v="42"/>
    <n v="7.0499999999999993E-2"/>
  </r>
  <r>
    <s v="PU061-MU-08162021"/>
    <s v="Down"/>
    <x v="1"/>
    <s v="Pumpkinseed"/>
    <s v="Lepomis"/>
    <s v="gibbosus"/>
    <s v="U"/>
    <x v="1"/>
    <n v="8"/>
    <n v="11.81"/>
    <x v="43"/>
    <s v="919005-14-4"/>
    <x v="43"/>
    <n v="0.10349999999999999"/>
  </r>
  <r>
    <s v="PU061-MU-08162021"/>
    <s v="Down"/>
    <x v="1"/>
    <s v="Pumpkinseed"/>
    <s v="Lepomis"/>
    <s v="gibbosus"/>
    <s v="U"/>
    <x v="1"/>
    <n v="8"/>
    <n v="11.81"/>
    <x v="44"/>
    <s v="756426-58-1"/>
    <x v="44"/>
    <n v="0.23400000000000001"/>
  </r>
  <r>
    <s v="PU061-MU-08162021"/>
    <s v="Down"/>
    <x v="1"/>
    <s v="Pumpkinseed"/>
    <s v="Lepomis"/>
    <s v="gibbosus"/>
    <s v="U"/>
    <x v="1"/>
    <n v="8"/>
    <n v="11.81"/>
    <x v="45"/>
    <s v="763051-92-9"/>
    <x v="45"/>
    <n v="0.23400000000000001"/>
  </r>
  <r>
    <s v="PU061-MU-08162021"/>
    <s v="Down"/>
    <x v="1"/>
    <s v="Pumpkinseed"/>
    <s v="Lepomis"/>
    <s v="gibbosus"/>
    <s v="U"/>
    <x v="1"/>
    <n v="8"/>
    <n v="11.81"/>
    <x v="46"/>
    <s v="13252-13-6"/>
    <x v="46"/>
    <n v="0.16800000000000001"/>
  </r>
  <r>
    <s v="PU061-MU-08162021"/>
    <s v="Down"/>
    <x v="1"/>
    <s v="Pumpkinseed"/>
    <s v="Lepomis"/>
    <s v="gibbosus"/>
    <s v="U"/>
    <x v="1"/>
    <n v="8"/>
    <n v="11.81"/>
    <x v="47"/>
    <s v="57677-95-9"/>
    <x v="47"/>
    <n v="0.23400000000000001"/>
  </r>
  <r>
    <s v="PU061-MU-08162021"/>
    <s v="Down"/>
    <x v="1"/>
    <s v="Pumpkinseed"/>
    <s v="Lepomis"/>
    <s v="gibbosus"/>
    <s v="U"/>
    <x v="1"/>
    <n v="8"/>
    <n v="11.81"/>
    <x v="48"/>
    <s v="678-41-1"/>
    <x v="48"/>
    <n v="0.23400000000000001"/>
  </r>
  <r>
    <s v="PU061-MU-08162021"/>
    <s v="Down"/>
    <x v="1"/>
    <s v="Pumpkinseed"/>
    <s v="Lepomis"/>
    <s v="gibbosus"/>
    <s v="U"/>
    <x v="1"/>
    <n v="8"/>
    <n v="11.81"/>
    <x v="49"/>
    <s v="2965-52-8"/>
    <x v="49"/>
    <n v="0.23400000000000001"/>
  </r>
  <r>
    <s v="PU062-JBA-08162021"/>
    <s v="Down"/>
    <x v="1"/>
    <s v="Pumpkinseed"/>
    <s v="Lepomis"/>
    <s v="gibbosus"/>
    <s v="U"/>
    <x v="0"/>
    <n v="8"/>
    <n v="11.81"/>
    <x v="0"/>
    <s v="375-22-4"/>
    <x v="0"/>
    <n v="0.21149999999999999"/>
  </r>
  <r>
    <s v="PU062-JBA-08162021"/>
    <s v="Down"/>
    <x v="1"/>
    <s v="Pumpkinseed"/>
    <s v="Lepomis"/>
    <s v="gibbosus"/>
    <s v="U"/>
    <x v="0"/>
    <n v="8"/>
    <n v="11.81"/>
    <x v="1"/>
    <s v="2706-90-3"/>
    <x v="1"/>
    <n v="7.4499999999999997E-2"/>
  </r>
  <r>
    <s v="PU062-JBA-08162021"/>
    <s v="Down"/>
    <x v="1"/>
    <s v="Pumpkinseed"/>
    <s v="Lepomis"/>
    <s v="gibbosus"/>
    <s v="U"/>
    <x v="0"/>
    <n v="8"/>
    <n v="11.81"/>
    <x v="2"/>
    <s v="307-24-4"/>
    <x v="2"/>
    <n v="0.26700000000000002"/>
  </r>
  <r>
    <s v="PU062-JBA-08162021"/>
    <s v="Down"/>
    <x v="1"/>
    <s v="Pumpkinseed"/>
    <s v="Lepomis"/>
    <s v="gibbosus"/>
    <s v="U"/>
    <x v="0"/>
    <n v="8"/>
    <n v="11.81"/>
    <x v="3"/>
    <s v="375-85-9"/>
    <x v="3"/>
    <n v="0.106"/>
  </r>
  <r>
    <s v="PU062-JBA-08162021"/>
    <s v="Down"/>
    <x v="1"/>
    <s v="Pumpkinseed"/>
    <s v="Lepomis"/>
    <s v="gibbosus"/>
    <s v="U"/>
    <x v="0"/>
    <n v="8"/>
    <n v="11.81"/>
    <x v="4"/>
    <s v="335-67-1"/>
    <x v="4"/>
    <n v="0.316"/>
  </r>
  <r>
    <s v="PU062-JBA-08162021"/>
    <s v="Down"/>
    <x v="1"/>
    <s v="Pumpkinseed"/>
    <s v="Lepomis"/>
    <s v="gibbosus"/>
    <s v="U"/>
    <x v="0"/>
    <n v="8"/>
    <n v="11.81"/>
    <x v="5"/>
    <s v="375-95-1"/>
    <x v="5"/>
    <n v="0.106"/>
  </r>
  <r>
    <s v="PU062-JBA-08162021"/>
    <s v="Down"/>
    <x v="1"/>
    <s v="Pumpkinseed"/>
    <s v="Lepomis"/>
    <s v="gibbosus"/>
    <s v="U"/>
    <x v="0"/>
    <n v="8"/>
    <n v="11.81"/>
    <x v="6"/>
    <s v="335-76-2"/>
    <x v="6"/>
    <n v="5.98"/>
  </r>
  <r>
    <s v="PU062-JBA-08162021"/>
    <s v="Down"/>
    <x v="1"/>
    <s v="Pumpkinseed"/>
    <s v="Lepomis"/>
    <s v="gibbosus"/>
    <s v="U"/>
    <x v="0"/>
    <n v="8"/>
    <n v="11.81"/>
    <x v="7"/>
    <s v="2058-94-8"/>
    <x v="7"/>
    <n v="7.18"/>
  </r>
  <r>
    <s v="PU062-JBA-08162021"/>
    <s v="Down"/>
    <x v="1"/>
    <s v="Pumpkinseed"/>
    <s v="Lepomis"/>
    <s v="gibbosus"/>
    <s v="U"/>
    <x v="0"/>
    <n v="8"/>
    <n v="11.81"/>
    <x v="8"/>
    <s v="307-55-1"/>
    <x v="8"/>
    <n v="23"/>
  </r>
  <r>
    <s v="PU062-JBA-08162021"/>
    <s v="Down"/>
    <x v="1"/>
    <s v="Pumpkinseed"/>
    <s v="Lepomis"/>
    <s v="gibbosus"/>
    <s v="U"/>
    <x v="0"/>
    <n v="8"/>
    <n v="11.81"/>
    <x v="9"/>
    <s v="72629-94-8"/>
    <x v="9"/>
    <n v="3.74"/>
  </r>
  <r>
    <s v="PU062-JBA-08162021"/>
    <s v="Down"/>
    <x v="1"/>
    <s v="Pumpkinseed"/>
    <s v="Lepomis"/>
    <s v="gibbosus"/>
    <s v="U"/>
    <x v="0"/>
    <n v="8"/>
    <n v="11.81"/>
    <x v="10"/>
    <s v="376-06-7"/>
    <x v="10"/>
    <n v="16.600000000000001"/>
  </r>
  <r>
    <s v="PU062-JBA-08162021"/>
    <s v="Down"/>
    <x v="1"/>
    <s v="Pumpkinseed"/>
    <s v="Lepomis"/>
    <s v="gibbosus"/>
    <s v="U"/>
    <x v="0"/>
    <n v="8"/>
    <n v="11.81"/>
    <x v="11"/>
    <s v="67905-19-5"/>
    <x v="11"/>
    <n v="0.126"/>
  </r>
  <r>
    <s v="PU062-JBA-08162021"/>
    <s v="Down"/>
    <x v="1"/>
    <s v="Pumpkinseed"/>
    <s v="Lepomis"/>
    <s v="gibbosus"/>
    <s v="U"/>
    <x v="0"/>
    <n v="8"/>
    <n v="11.81"/>
    <x v="12"/>
    <s v="423-41-6"/>
    <x v="12"/>
    <n v="0.106"/>
  </r>
  <r>
    <s v="PU062-JBA-08162021"/>
    <s v="Down"/>
    <x v="1"/>
    <s v="Pumpkinseed"/>
    <s v="Lepomis"/>
    <s v="gibbosus"/>
    <s v="U"/>
    <x v="0"/>
    <n v="8"/>
    <n v="11.81"/>
    <x v="13"/>
    <s v="375-73-5"/>
    <x v="13"/>
    <n v="0.106"/>
  </r>
  <r>
    <s v="PU062-JBA-08162021"/>
    <s v="Down"/>
    <x v="1"/>
    <s v="Pumpkinseed"/>
    <s v="Lepomis"/>
    <s v="gibbosus"/>
    <s v="U"/>
    <x v="0"/>
    <n v="8"/>
    <n v="11.81"/>
    <x v="14"/>
    <s v="2706-91-4"/>
    <x v="14"/>
    <n v="0.112"/>
  </r>
  <r>
    <s v="PU062-JBA-08162021"/>
    <s v="Down"/>
    <x v="1"/>
    <s v="Pumpkinseed"/>
    <s v="Lepomis"/>
    <s v="gibbosus"/>
    <s v="U"/>
    <x v="0"/>
    <n v="8"/>
    <n v="11.81"/>
    <x v="15"/>
    <s v="355-46-4"/>
    <x v="15"/>
    <n v="6.09"/>
  </r>
  <r>
    <s v="PU062-JBA-08162021"/>
    <s v="Down"/>
    <x v="1"/>
    <s v="Pumpkinseed"/>
    <s v="Lepomis"/>
    <s v="gibbosus"/>
    <s v="U"/>
    <x v="0"/>
    <n v="8"/>
    <n v="11.81"/>
    <x v="16"/>
    <s v="375-92-8"/>
    <x v="16"/>
    <n v="1.02"/>
  </r>
  <r>
    <s v="PU062-JBA-08162021"/>
    <s v="Down"/>
    <x v="1"/>
    <s v="Pumpkinseed"/>
    <s v="Lepomis"/>
    <s v="gibbosus"/>
    <s v="U"/>
    <x v="0"/>
    <n v="8"/>
    <n v="11.81"/>
    <x v="17"/>
    <s v="1763-23-1"/>
    <x v="17"/>
    <n v="674"/>
  </r>
  <r>
    <s v="PU062-JBA-08162021"/>
    <s v="Down"/>
    <x v="1"/>
    <s v="Pumpkinseed"/>
    <s v="Lepomis"/>
    <s v="gibbosus"/>
    <s v="U"/>
    <x v="0"/>
    <n v="8"/>
    <n v="11.81"/>
    <x v="18"/>
    <s v="68259-12-1"/>
    <x v="18"/>
    <n v="1.44"/>
  </r>
  <r>
    <s v="PU062-JBA-08162021"/>
    <s v="Down"/>
    <x v="1"/>
    <s v="Pumpkinseed"/>
    <s v="Lepomis"/>
    <s v="gibbosus"/>
    <s v="U"/>
    <x v="0"/>
    <n v="8"/>
    <n v="11.81"/>
    <x v="19"/>
    <s v="335-77-3"/>
    <x v="19"/>
    <n v="1.22"/>
  </r>
  <r>
    <s v="PU062-JBA-08162021"/>
    <s v="Down"/>
    <x v="1"/>
    <s v="Pumpkinseed"/>
    <s v="Lepomis"/>
    <s v="gibbosus"/>
    <s v="U"/>
    <x v="0"/>
    <n v="8"/>
    <n v="11.81"/>
    <x v="20"/>
    <s v="79780-39-5"/>
    <x v="20"/>
    <n v="0.22650000000000001"/>
  </r>
  <r>
    <s v="PU062-JBA-08162021"/>
    <s v="Down"/>
    <x v="1"/>
    <s v="Pumpkinseed"/>
    <s v="Lepomis"/>
    <s v="gibbosus"/>
    <s v="U"/>
    <x v="0"/>
    <n v="8"/>
    <n v="11.81"/>
    <x v="21"/>
    <s v="777011-38-8"/>
    <x v="21"/>
    <n v="0.1285"/>
  </r>
  <r>
    <s v="PU062-JBA-08162021"/>
    <s v="Down"/>
    <x v="1"/>
    <s v="Pumpkinseed"/>
    <s v="Lepomis"/>
    <s v="gibbosus"/>
    <s v="U"/>
    <x v="0"/>
    <n v="8"/>
    <n v="11.81"/>
    <x v="22"/>
    <s v="646-83-3"/>
    <x v="22"/>
    <n v="8.4500000000000006E-2"/>
  </r>
  <r>
    <s v="PU062-JBA-08162021"/>
    <s v="Down"/>
    <x v="1"/>
    <s v="Pumpkinseed"/>
    <s v="Lepomis"/>
    <s v="gibbosus"/>
    <s v="U"/>
    <x v="0"/>
    <n v="8"/>
    <n v="11.81"/>
    <x v="23"/>
    <s v="30334-69-1"/>
    <x v="23"/>
    <n v="57.5"/>
  </r>
  <r>
    <s v="PU062-JBA-08162021"/>
    <s v="Down"/>
    <x v="1"/>
    <s v="Pumpkinseed"/>
    <s v="Lepomis"/>
    <s v="gibbosus"/>
    <s v="U"/>
    <x v="0"/>
    <n v="8"/>
    <n v="11.81"/>
    <x v="24"/>
    <s v="41997-13-1"/>
    <x v="24"/>
    <n v="70.5"/>
  </r>
  <r>
    <s v="PU062-JBA-08162021"/>
    <s v="Down"/>
    <x v="1"/>
    <s v="Pumpkinseed"/>
    <s v="Lepomis"/>
    <s v="gibbosus"/>
    <s v="U"/>
    <x v="0"/>
    <n v="8"/>
    <n v="11.81"/>
    <x v="25"/>
    <s v="754-91-6"/>
    <x v="25"/>
    <n v="9.8000000000000007"/>
  </r>
  <r>
    <s v="PU062-JBA-08162021"/>
    <s v="Down"/>
    <x v="1"/>
    <s v="Pumpkinseed"/>
    <s v="Lepomis"/>
    <s v="gibbosus"/>
    <s v="U"/>
    <x v="0"/>
    <n v="8"/>
    <n v="11.81"/>
    <x v="26"/>
    <s v="31506-32-8"/>
    <x v="26"/>
    <n v="8.1500000000000003E-2"/>
  </r>
  <r>
    <s v="PU062-JBA-08162021"/>
    <s v="Down"/>
    <x v="1"/>
    <s v="Pumpkinseed"/>
    <s v="Lepomis"/>
    <s v="gibbosus"/>
    <s v="U"/>
    <x v="0"/>
    <n v="8"/>
    <n v="11.81"/>
    <x v="27"/>
    <s v="4151-50-2"/>
    <x v="27"/>
    <n v="0.21149999999999999"/>
  </r>
  <r>
    <s v="PU062-JBA-08162021"/>
    <s v="Down"/>
    <x v="1"/>
    <s v="Pumpkinseed"/>
    <s v="Lepomis"/>
    <s v="gibbosus"/>
    <s v="U"/>
    <x v="0"/>
    <n v="8"/>
    <n v="11.81"/>
    <x v="28"/>
    <s v="2806-24-8"/>
    <x v="28"/>
    <n v="0.21149999999999999"/>
  </r>
  <r>
    <s v="PU062-JBA-08162021"/>
    <s v="Down"/>
    <x v="1"/>
    <s v="Pumpkinseed"/>
    <s v="Lepomis"/>
    <s v="gibbosus"/>
    <s v="U"/>
    <x v="0"/>
    <n v="8"/>
    <n v="11.81"/>
    <x v="29"/>
    <s v="2355-31-9"/>
    <x v="29"/>
    <n v="0.1065"/>
  </r>
  <r>
    <s v="PU062-JBA-08162021"/>
    <s v="Down"/>
    <x v="1"/>
    <s v="Pumpkinseed"/>
    <s v="Lepomis"/>
    <s v="gibbosus"/>
    <s v="U"/>
    <x v="0"/>
    <n v="8"/>
    <n v="11.81"/>
    <x v="30"/>
    <s v="2991-50-6"/>
    <x v="30"/>
    <n v="0.106"/>
  </r>
  <r>
    <s v="PU062-JBA-08162021"/>
    <s v="Down"/>
    <x v="1"/>
    <s v="Pumpkinseed"/>
    <s v="Lepomis"/>
    <s v="gibbosus"/>
    <s v="U"/>
    <x v="0"/>
    <n v="8"/>
    <n v="11.81"/>
    <x v="31"/>
    <s v="757124-72-4"/>
    <x v="31"/>
    <n v="0.106"/>
  </r>
  <r>
    <s v="PU062-JBA-08162021"/>
    <s v="Down"/>
    <x v="1"/>
    <s v="Pumpkinseed"/>
    <s v="Lepomis"/>
    <s v="gibbosus"/>
    <s v="U"/>
    <x v="0"/>
    <n v="8"/>
    <n v="11.81"/>
    <x v="32"/>
    <s v="27619-97-2"/>
    <x v="32"/>
    <n v="0.21149999999999999"/>
  </r>
  <r>
    <s v="PU062-JBA-08162021"/>
    <s v="Down"/>
    <x v="1"/>
    <s v="Pumpkinseed"/>
    <s v="Lepomis"/>
    <s v="gibbosus"/>
    <s v="U"/>
    <x v="0"/>
    <n v="8"/>
    <n v="11.81"/>
    <x v="33"/>
    <s v="39108-34-4"/>
    <x v="33"/>
    <n v="2.76"/>
  </r>
  <r>
    <s v="PU062-JBA-08162021"/>
    <s v="Down"/>
    <x v="1"/>
    <s v="Pumpkinseed"/>
    <s v="Lepomis"/>
    <s v="gibbosus"/>
    <s v="U"/>
    <x v="0"/>
    <n v="8"/>
    <n v="11.81"/>
    <x v="34"/>
    <s v="120226-60-0"/>
    <x v="34"/>
    <n v="0.21149999999999999"/>
  </r>
  <r>
    <s v="PU062-JBA-08162021"/>
    <s v="Down"/>
    <x v="1"/>
    <s v="Pumpkinseed"/>
    <s v="Lepomis"/>
    <s v="gibbosus"/>
    <s v="U"/>
    <x v="0"/>
    <n v="8"/>
    <n v="11.81"/>
    <x v="35"/>
    <s v="356-02-5"/>
    <x v="35"/>
    <n v="0.21149999999999999"/>
  </r>
  <r>
    <s v="PU062-JBA-08162021"/>
    <s v="Down"/>
    <x v="1"/>
    <s v="Pumpkinseed"/>
    <s v="Lepomis"/>
    <s v="gibbosus"/>
    <s v="U"/>
    <x v="0"/>
    <n v="8"/>
    <n v="11.81"/>
    <x v="36"/>
    <s v="914637-49-3"/>
    <x v="36"/>
    <n v="0.106"/>
  </r>
  <r>
    <s v="PU062-JBA-08162021"/>
    <s v="Down"/>
    <x v="1"/>
    <s v="Pumpkinseed"/>
    <s v="Lepomis"/>
    <s v="gibbosus"/>
    <s v="U"/>
    <x v="0"/>
    <n v="8"/>
    <n v="11.81"/>
    <x v="37"/>
    <s v="812-70-4"/>
    <x v="37"/>
    <n v="2.38"/>
  </r>
  <r>
    <s v="PU062-JBA-08162021"/>
    <s v="Down"/>
    <x v="1"/>
    <s v="Pumpkinseed"/>
    <s v="Lepomis"/>
    <s v="gibbosus"/>
    <s v="U"/>
    <x v="0"/>
    <n v="8"/>
    <n v="11.81"/>
    <x v="38"/>
    <s v="53826-12-3"/>
    <x v="38"/>
    <n v="0.21149999999999999"/>
  </r>
  <r>
    <s v="PU062-JBA-08162021"/>
    <s v="Down"/>
    <x v="1"/>
    <s v="Pumpkinseed"/>
    <s v="Lepomis"/>
    <s v="gibbosus"/>
    <s v="U"/>
    <x v="0"/>
    <n v="8"/>
    <n v="11.81"/>
    <x v="39"/>
    <s v="27854-31-5"/>
    <x v="39"/>
    <n v="0.106"/>
  </r>
  <r>
    <s v="PU062-JBA-08162021"/>
    <s v="Down"/>
    <x v="1"/>
    <s v="Pumpkinseed"/>
    <s v="Lepomis"/>
    <s v="gibbosus"/>
    <s v="U"/>
    <x v="0"/>
    <n v="8"/>
    <n v="11.81"/>
    <x v="40"/>
    <s v="53826-13-4"/>
    <x v="40"/>
    <n v="0.21149999999999999"/>
  </r>
  <r>
    <s v="PU062-JBA-08162021"/>
    <s v="Down"/>
    <x v="1"/>
    <s v="Pumpkinseed"/>
    <s v="Lepomis"/>
    <s v="gibbosus"/>
    <s v="U"/>
    <x v="0"/>
    <n v="8"/>
    <n v="11.81"/>
    <x v="41"/>
    <s v="161094-75-3"/>
    <x v="41"/>
    <n v="8.3000000000000004E-2"/>
  </r>
  <r>
    <s v="PU062-JBA-08162021"/>
    <s v="Down"/>
    <x v="1"/>
    <s v="Pumpkinseed"/>
    <s v="Lepomis"/>
    <s v="gibbosus"/>
    <s v="U"/>
    <x v="0"/>
    <n v="8"/>
    <n v="11.81"/>
    <x v="42"/>
    <s v="70887-84-2"/>
    <x v="42"/>
    <n v="6.4000000000000001E-2"/>
  </r>
  <r>
    <s v="PU062-JBA-08162021"/>
    <s v="Down"/>
    <x v="1"/>
    <s v="Pumpkinseed"/>
    <s v="Lepomis"/>
    <s v="gibbosus"/>
    <s v="U"/>
    <x v="0"/>
    <n v="8"/>
    <n v="11.81"/>
    <x v="43"/>
    <s v="919005-14-4"/>
    <x v="43"/>
    <n v="9.35E-2"/>
  </r>
  <r>
    <s v="PU062-JBA-08162021"/>
    <s v="Down"/>
    <x v="1"/>
    <s v="Pumpkinseed"/>
    <s v="Lepomis"/>
    <s v="gibbosus"/>
    <s v="U"/>
    <x v="0"/>
    <n v="8"/>
    <n v="11.81"/>
    <x v="44"/>
    <s v="756426-58-1"/>
    <x v="44"/>
    <n v="0.21149999999999999"/>
  </r>
  <r>
    <s v="PU062-JBA-08162021"/>
    <s v="Down"/>
    <x v="1"/>
    <s v="Pumpkinseed"/>
    <s v="Lepomis"/>
    <s v="gibbosus"/>
    <s v="U"/>
    <x v="0"/>
    <n v="8"/>
    <n v="11.81"/>
    <x v="45"/>
    <s v="763051-92-9"/>
    <x v="45"/>
    <n v="0.21149999999999999"/>
  </r>
  <r>
    <s v="PU062-JBA-08162021"/>
    <s v="Down"/>
    <x v="1"/>
    <s v="Pumpkinseed"/>
    <s v="Lepomis"/>
    <s v="gibbosus"/>
    <s v="U"/>
    <x v="0"/>
    <n v="8"/>
    <n v="11.81"/>
    <x v="46"/>
    <s v="13252-13-6"/>
    <x v="46"/>
    <n v="0.152"/>
  </r>
  <r>
    <s v="PU062-JBA-08162021"/>
    <s v="Down"/>
    <x v="1"/>
    <s v="Pumpkinseed"/>
    <s v="Lepomis"/>
    <s v="gibbosus"/>
    <s v="U"/>
    <x v="0"/>
    <n v="8"/>
    <n v="11.81"/>
    <x v="47"/>
    <s v="57677-95-9"/>
    <x v="47"/>
    <n v="0.21149999999999999"/>
  </r>
  <r>
    <s v="PU062-JBA-08162021"/>
    <s v="Down"/>
    <x v="1"/>
    <s v="Pumpkinseed"/>
    <s v="Lepomis"/>
    <s v="gibbosus"/>
    <s v="U"/>
    <x v="0"/>
    <n v="8"/>
    <n v="11.81"/>
    <x v="48"/>
    <s v="678-41-1"/>
    <x v="48"/>
    <n v="0.21149999999999999"/>
  </r>
  <r>
    <s v="PU062-JBA-08162021"/>
    <s v="Down"/>
    <x v="1"/>
    <s v="Pumpkinseed"/>
    <s v="Lepomis"/>
    <s v="gibbosus"/>
    <s v="U"/>
    <x v="0"/>
    <n v="8"/>
    <n v="11.81"/>
    <x v="49"/>
    <s v="2965-52-8"/>
    <x v="49"/>
    <n v="0.21149999999999999"/>
  </r>
  <r>
    <s v="PU063-JBA-08162021"/>
    <s v="Down"/>
    <x v="1"/>
    <s v="Pumpkinseed"/>
    <s v="Lepomis"/>
    <s v="gibbosus"/>
    <s v="U"/>
    <x v="0"/>
    <n v="8"/>
    <n v="11.81"/>
    <x v="0"/>
    <s v="375-22-4"/>
    <x v="0"/>
    <n v="0.2215"/>
  </r>
  <r>
    <s v="PU063-JBA-08162021"/>
    <s v="Down"/>
    <x v="1"/>
    <s v="Pumpkinseed"/>
    <s v="Lepomis"/>
    <s v="gibbosus"/>
    <s v="U"/>
    <x v="0"/>
    <n v="8"/>
    <n v="11.81"/>
    <x v="1"/>
    <s v="2706-90-3"/>
    <x v="1"/>
    <n v="7.8E-2"/>
  </r>
  <r>
    <s v="PU063-JBA-08162021"/>
    <s v="Down"/>
    <x v="1"/>
    <s v="Pumpkinseed"/>
    <s v="Lepomis"/>
    <s v="gibbosus"/>
    <s v="U"/>
    <x v="0"/>
    <n v="8"/>
    <n v="11.81"/>
    <x v="2"/>
    <s v="307-24-4"/>
    <x v="2"/>
    <n v="0.1195"/>
  </r>
  <r>
    <s v="PU063-JBA-08162021"/>
    <s v="Down"/>
    <x v="1"/>
    <s v="Pumpkinseed"/>
    <s v="Lepomis"/>
    <s v="gibbosus"/>
    <s v="U"/>
    <x v="0"/>
    <n v="8"/>
    <n v="11.81"/>
    <x v="3"/>
    <s v="375-85-9"/>
    <x v="3"/>
    <n v="0.1105"/>
  </r>
  <r>
    <s v="PU063-JBA-08162021"/>
    <s v="Down"/>
    <x v="1"/>
    <s v="Pumpkinseed"/>
    <s v="Lepomis"/>
    <s v="gibbosus"/>
    <s v="U"/>
    <x v="0"/>
    <n v="8"/>
    <n v="11.81"/>
    <x v="4"/>
    <s v="335-67-1"/>
    <x v="4"/>
    <n v="4.4249999999999998E-2"/>
  </r>
  <r>
    <s v="PU063-JBA-08162021"/>
    <s v="Down"/>
    <x v="1"/>
    <s v="Pumpkinseed"/>
    <s v="Lepomis"/>
    <s v="gibbosus"/>
    <s v="U"/>
    <x v="0"/>
    <n v="8"/>
    <n v="11.81"/>
    <x v="5"/>
    <s v="375-95-1"/>
    <x v="5"/>
    <n v="0.78200000000000003"/>
  </r>
  <r>
    <s v="PU063-JBA-08162021"/>
    <s v="Down"/>
    <x v="1"/>
    <s v="Pumpkinseed"/>
    <s v="Lepomis"/>
    <s v="gibbosus"/>
    <s v="U"/>
    <x v="0"/>
    <n v="8"/>
    <n v="11.81"/>
    <x v="6"/>
    <s v="335-76-2"/>
    <x v="6"/>
    <n v="8.01"/>
  </r>
  <r>
    <s v="PU063-JBA-08162021"/>
    <s v="Down"/>
    <x v="1"/>
    <s v="Pumpkinseed"/>
    <s v="Lepomis"/>
    <s v="gibbosus"/>
    <s v="U"/>
    <x v="0"/>
    <n v="8"/>
    <n v="11.81"/>
    <x v="7"/>
    <s v="2058-94-8"/>
    <x v="7"/>
    <n v="14.3"/>
  </r>
  <r>
    <s v="PU063-JBA-08162021"/>
    <s v="Down"/>
    <x v="1"/>
    <s v="Pumpkinseed"/>
    <s v="Lepomis"/>
    <s v="gibbosus"/>
    <s v="U"/>
    <x v="0"/>
    <n v="8"/>
    <n v="11.81"/>
    <x v="8"/>
    <s v="307-55-1"/>
    <x v="8"/>
    <n v="52.5"/>
  </r>
  <r>
    <s v="PU063-JBA-08162021"/>
    <s v="Down"/>
    <x v="1"/>
    <s v="Pumpkinseed"/>
    <s v="Lepomis"/>
    <s v="gibbosus"/>
    <s v="U"/>
    <x v="0"/>
    <n v="8"/>
    <n v="11.81"/>
    <x v="9"/>
    <s v="72629-94-8"/>
    <x v="9"/>
    <n v="11.6"/>
  </r>
  <r>
    <s v="PU063-JBA-08162021"/>
    <s v="Down"/>
    <x v="1"/>
    <s v="Pumpkinseed"/>
    <s v="Lepomis"/>
    <s v="gibbosus"/>
    <s v="U"/>
    <x v="0"/>
    <n v="8"/>
    <n v="11.81"/>
    <x v="10"/>
    <s v="376-06-7"/>
    <x v="10"/>
    <n v="23.2"/>
  </r>
  <r>
    <s v="PU063-JBA-08162021"/>
    <s v="Down"/>
    <x v="1"/>
    <s v="Pumpkinseed"/>
    <s v="Lepomis"/>
    <s v="gibbosus"/>
    <s v="U"/>
    <x v="0"/>
    <n v="8"/>
    <n v="11.81"/>
    <x v="11"/>
    <s v="67905-19-5"/>
    <x v="11"/>
    <n v="0.98099999999999998"/>
  </r>
  <r>
    <s v="PU063-JBA-08162021"/>
    <s v="Down"/>
    <x v="1"/>
    <s v="Pumpkinseed"/>
    <s v="Lepomis"/>
    <s v="gibbosus"/>
    <s v="U"/>
    <x v="0"/>
    <n v="8"/>
    <n v="11.81"/>
    <x v="12"/>
    <s v="423-41-6"/>
    <x v="12"/>
    <n v="0.1105"/>
  </r>
  <r>
    <s v="PU063-JBA-08162021"/>
    <s v="Down"/>
    <x v="1"/>
    <s v="Pumpkinseed"/>
    <s v="Lepomis"/>
    <s v="gibbosus"/>
    <s v="U"/>
    <x v="0"/>
    <n v="8"/>
    <n v="11.81"/>
    <x v="13"/>
    <s v="375-73-5"/>
    <x v="13"/>
    <n v="0.2215"/>
  </r>
  <r>
    <s v="PU063-JBA-08162021"/>
    <s v="Down"/>
    <x v="1"/>
    <s v="Pumpkinseed"/>
    <s v="Lepomis"/>
    <s v="gibbosus"/>
    <s v="U"/>
    <x v="0"/>
    <n v="8"/>
    <n v="11.81"/>
    <x v="14"/>
    <s v="2706-91-4"/>
    <x v="14"/>
    <n v="0.11749999999999999"/>
  </r>
  <r>
    <s v="PU063-JBA-08162021"/>
    <s v="Down"/>
    <x v="1"/>
    <s v="Pumpkinseed"/>
    <s v="Lepomis"/>
    <s v="gibbosus"/>
    <s v="U"/>
    <x v="0"/>
    <n v="8"/>
    <n v="11.81"/>
    <x v="15"/>
    <s v="355-46-4"/>
    <x v="15"/>
    <n v="13"/>
  </r>
  <r>
    <s v="PU063-JBA-08162021"/>
    <s v="Down"/>
    <x v="1"/>
    <s v="Pumpkinseed"/>
    <s v="Lepomis"/>
    <s v="gibbosus"/>
    <s v="U"/>
    <x v="0"/>
    <n v="8"/>
    <n v="11.81"/>
    <x v="16"/>
    <s v="375-92-8"/>
    <x v="16"/>
    <n v="0.63500000000000001"/>
  </r>
  <r>
    <s v="PU063-JBA-08162021"/>
    <s v="Down"/>
    <x v="1"/>
    <s v="Pumpkinseed"/>
    <s v="Lepomis"/>
    <s v="gibbosus"/>
    <s v="U"/>
    <x v="0"/>
    <n v="8"/>
    <n v="11.81"/>
    <x v="17"/>
    <s v="1763-23-1"/>
    <x v="17"/>
    <n v="671"/>
  </r>
  <r>
    <s v="PU063-JBA-08162021"/>
    <s v="Down"/>
    <x v="1"/>
    <s v="Pumpkinseed"/>
    <s v="Lepomis"/>
    <s v="gibbosus"/>
    <s v="U"/>
    <x v="0"/>
    <n v="8"/>
    <n v="11.81"/>
    <x v="18"/>
    <s v="68259-12-1"/>
    <x v="18"/>
    <n v="0.76900000000000002"/>
  </r>
  <r>
    <s v="PU063-JBA-08162021"/>
    <s v="Down"/>
    <x v="1"/>
    <s v="Pumpkinseed"/>
    <s v="Lepomis"/>
    <s v="gibbosus"/>
    <s v="U"/>
    <x v="0"/>
    <n v="8"/>
    <n v="11.81"/>
    <x v="19"/>
    <s v="335-77-3"/>
    <x v="19"/>
    <n v="0.99299999999999999"/>
  </r>
  <r>
    <s v="PU063-JBA-08162021"/>
    <s v="Down"/>
    <x v="1"/>
    <s v="Pumpkinseed"/>
    <s v="Lepomis"/>
    <s v="gibbosus"/>
    <s v="U"/>
    <x v="0"/>
    <n v="8"/>
    <n v="11.81"/>
    <x v="20"/>
    <s v="79780-39-5"/>
    <x v="20"/>
    <n v="0.23699999999999999"/>
  </r>
  <r>
    <s v="PU063-JBA-08162021"/>
    <s v="Down"/>
    <x v="1"/>
    <s v="Pumpkinseed"/>
    <s v="Lepomis"/>
    <s v="gibbosus"/>
    <s v="U"/>
    <x v="0"/>
    <n v="8"/>
    <n v="11.81"/>
    <x v="21"/>
    <s v="777011-38-8"/>
    <x v="21"/>
    <n v="0.13450000000000001"/>
  </r>
  <r>
    <s v="PU063-JBA-08162021"/>
    <s v="Down"/>
    <x v="1"/>
    <s v="Pumpkinseed"/>
    <s v="Lepomis"/>
    <s v="gibbosus"/>
    <s v="U"/>
    <x v="0"/>
    <n v="8"/>
    <n v="11.81"/>
    <x v="22"/>
    <s v="646-83-3"/>
    <x v="22"/>
    <n v="8.8499999999999995E-2"/>
  </r>
  <r>
    <s v="PU063-JBA-08162021"/>
    <s v="Down"/>
    <x v="1"/>
    <s v="Pumpkinseed"/>
    <s v="Lepomis"/>
    <s v="gibbosus"/>
    <s v="U"/>
    <x v="0"/>
    <n v="8"/>
    <n v="11.81"/>
    <x v="23"/>
    <s v="30334-69-1"/>
    <x v="23"/>
    <n v="29.7"/>
  </r>
  <r>
    <s v="PU063-JBA-08162021"/>
    <s v="Down"/>
    <x v="1"/>
    <s v="Pumpkinseed"/>
    <s v="Lepomis"/>
    <s v="gibbosus"/>
    <s v="U"/>
    <x v="0"/>
    <n v="8"/>
    <n v="11.81"/>
    <x v="24"/>
    <s v="41997-13-1"/>
    <x v="24"/>
    <n v="32.1"/>
  </r>
  <r>
    <s v="PU063-JBA-08162021"/>
    <s v="Down"/>
    <x v="1"/>
    <s v="Pumpkinseed"/>
    <s v="Lepomis"/>
    <s v="gibbosus"/>
    <s v="U"/>
    <x v="0"/>
    <n v="8"/>
    <n v="11.81"/>
    <x v="25"/>
    <s v="754-91-6"/>
    <x v="25"/>
    <n v="12.3"/>
  </r>
  <r>
    <s v="PU063-JBA-08162021"/>
    <s v="Down"/>
    <x v="1"/>
    <s v="Pumpkinseed"/>
    <s v="Lepomis"/>
    <s v="gibbosus"/>
    <s v="U"/>
    <x v="0"/>
    <n v="8"/>
    <n v="11.81"/>
    <x v="26"/>
    <s v="31506-32-8"/>
    <x v="26"/>
    <n v="8.5000000000000006E-2"/>
  </r>
  <r>
    <s v="PU063-JBA-08162021"/>
    <s v="Down"/>
    <x v="1"/>
    <s v="Pumpkinseed"/>
    <s v="Lepomis"/>
    <s v="gibbosus"/>
    <s v="U"/>
    <x v="0"/>
    <n v="8"/>
    <n v="11.81"/>
    <x v="27"/>
    <s v="4151-50-2"/>
    <x v="27"/>
    <n v="0.2215"/>
  </r>
  <r>
    <s v="PU063-JBA-08162021"/>
    <s v="Down"/>
    <x v="1"/>
    <s v="Pumpkinseed"/>
    <s v="Lepomis"/>
    <s v="gibbosus"/>
    <s v="U"/>
    <x v="0"/>
    <n v="8"/>
    <n v="11.81"/>
    <x v="28"/>
    <s v="2806-24-8"/>
    <x v="28"/>
    <n v="0.2215"/>
  </r>
  <r>
    <s v="PU063-JBA-08162021"/>
    <s v="Down"/>
    <x v="1"/>
    <s v="Pumpkinseed"/>
    <s v="Lepomis"/>
    <s v="gibbosus"/>
    <s v="U"/>
    <x v="0"/>
    <n v="8"/>
    <n v="11.81"/>
    <x v="29"/>
    <s v="2355-31-9"/>
    <x v="29"/>
    <n v="0.1115"/>
  </r>
  <r>
    <s v="PU063-JBA-08162021"/>
    <s v="Down"/>
    <x v="1"/>
    <s v="Pumpkinseed"/>
    <s v="Lepomis"/>
    <s v="gibbosus"/>
    <s v="U"/>
    <x v="0"/>
    <n v="8"/>
    <n v="11.81"/>
    <x v="30"/>
    <s v="2991-50-6"/>
    <x v="30"/>
    <n v="0.1105"/>
  </r>
  <r>
    <s v="PU063-JBA-08162021"/>
    <s v="Down"/>
    <x v="1"/>
    <s v="Pumpkinseed"/>
    <s v="Lepomis"/>
    <s v="gibbosus"/>
    <s v="U"/>
    <x v="0"/>
    <n v="8"/>
    <n v="11.81"/>
    <x v="31"/>
    <s v="757124-72-4"/>
    <x v="31"/>
    <n v="0.1105"/>
  </r>
  <r>
    <s v="PU063-JBA-08162021"/>
    <s v="Down"/>
    <x v="1"/>
    <s v="Pumpkinseed"/>
    <s v="Lepomis"/>
    <s v="gibbosus"/>
    <s v="U"/>
    <x v="0"/>
    <n v="8"/>
    <n v="11.81"/>
    <x v="32"/>
    <s v="27619-97-2"/>
    <x v="32"/>
    <n v="0.1105"/>
  </r>
  <r>
    <s v="PU063-JBA-08162021"/>
    <s v="Down"/>
    <x v="1"/>
    <s v="Pumpkinseed"/>
    <s v="Lepomis"/>
    <s v="gibbosus"/>
    <s v="U"/>
    <x v="0"/>
    <n v="8"/>
    <n v="11.81"/>
    <x v="33"/>
    <s v="39108-34-4"/>
    <x v="33"/>
    <n v="3.54"/>
  </r>
  <r>
    <s v="PU063-JBA-08162021"/>
    <s v="Down"/>
    <x v="1"/>
    <s v="Pumpkinseed"/>
    <s v="Lepomis"/>
    <s v="gibbosus"/>
    <s v="U"/>
    <x v="0"/>
    <n v="8"/>
    <n v="11.81"/>
    <x v="34"/>
    <s v="120226-60-0"/>
    <x v="34"/>
    <n v="0.2215"/>
  </r>
  <r>
    <s v="PU063-JBA-08162021"/>
    <s v="Down"/>
    <x v="1"/>
    <s v="Pumpkinseed"/>
    <s v="Lepomis"/>
    <s v="gibbosus"/>
    <s v="U"/>
    <x v="0"/>
    <n v="8"/>
    <n v="11.81"/>
    <x v="35"/>
    <s v="356-02-5"/>
    <x v="35"/>
    <n v="0.2215"/>
  </r>
  <r>
    <s v="PU063-JBA-08162021"/>
    <s v="Down"/>
    <x v="1"/>
    <s v="Pumpkinseed"/>
    <s v="Lepomis"/>
    <s v="gibbosus"/>
    <s v="U"/>
    <x v="0"/>
    <n v="8"/>
    <n v="11.81"/>
    <x v="36"/>
    <s v="914637-49-3"/>
    <x v="36"/>
    <n v="0.2215"/>
  </r>
  <r>
    <s v="PU063-JBA-08162021"/>
    <s v="Down"/>
    <x v="1"/>
    <s v="Pumpkinseed"/>
    <s v="Lepomis"/>
    <s v="gibbosus"/>
    <s v="U"/>
    <x v="0"/>
    <n v="8"/>
    <n v="11.81"/>
    <x v="37"/>
    <s v="812-70-4"/>
    <x v="37"/>
    <n v="0.2215"/>
  </r>
  <r>
    <s v="PU063-JBA-08162021"/>
    <s v="Down"/>
    <x v="1"/>
    <s v="Pumpkinseed"/>
    <s v="Lepomis"/>
    <s v="gibbosus"/>
    <s v="U"/>
    <x v="0"/>
    <n v="8"/>
    <n v="11.81"/>
    <x v="38"/>
    <s v="53826-12-3"/>
    <x v="38"/>
    <n v="0.2215"/>
  </r>
  <r>
    <s v="PU063-JBA-08162021"/>
    <s v="Down"/>
    <x v="1"/>
    <s v="Pumpkinseed"/>
    <s v="Lepomis"/>
    <s v="gibbosus"/>
    <s v="U"/>
    <x v="0"/>
    <n v="8"/>
    <n v="11.81"/>
    <x v="39"/>
    <s v="27854-31-5"/>
    <x v="39"/>
    <n v="0.1105"/>
  </r>
  <r>
    <s v="PU063-JBA-08162021"/>
    <s v="Down"/>
    <x v="1"/>
    <s v="Pumpkinseed"/>
    <s v="Lepomis"/>
    <s v="gibbosus"/>
    <s v="U"/>
    <x v="0"/>
    <n v="8"/>
    <n v="11.81"/>
    <x v="40"/>
    <s v="53826-13-4"/>
    <x v="40"/>
    <n v="0.2215"/>
  </r>
  <r>
    <s v="PU063-JBA-08162021"/>
    <s v="Down"/>
    <x v="1"/>
    <s v="Pumpkinseed"/>
    <s v="Lepomis"/>
    <s v="gibbosus"/>
    <s v="U"/>
    <x v="0"/>
    <n v="8"/>
    <n v="11.81"/>
    <x v="41"/>
    <s v="161094-75-3"/>
    <x v="41"/>
    <n v="8.6999999999999994E-2"/>
  </r>
  <r>
    <s v="PU063-JBA-08162021"/>
    <s v="Down"/>
    <x v="1"/>
    <s v="Pumpkinseed"/>
    <s v="Lepomis"/>
    <s v="gibbosus"/>
    <s v="U"/>
    <x v="0"/>
    <n v="8"/>
    <n v="11.81"/>
    <x v="42"/>
    <s v="70887-84-2"/>
    <x v="42"/>
    <n v="6.7000000000000004E-2"/>
  </r>
  <r>
    <s v="PU063-JBA-08162021"/>
    <s v="Down"/>
    <x v="1"/>
    <s v="Pumpkinseed"/>
    <s v="Lepomis"/>
    <s v="gibbosus"/>
    <s v="U"/>
    <x v="0"/>
    <n v="8"/>
    <n v="11.81"/>
    <x v="43"/>
    <s v="919005-14-4"/>
    <x v="43"/>
    <n v="9.7500000000000003E-2"/>
  </r>
  <r>
    <s v="PU063-JBA-08162021"/>
    <s v="Down"/>
    <x v="1"/>
    <s v="Pumpkinseed"/>
    <s v="Lepomis"/>
    <s v="gibbosus"/>
    <s v="U"/>
    <x v="0"/>
    <n v="8"/>
    <n v="11.81"/>
    <x v="44"/>
    <s v="756426-58-1"/>
    <x v="44"/>
    <n v="0.2215"/>
  </r>
  <r>
    <s v="PU063-JBA-08162021"/>
    <s v="Down"/>
    <x v="1"/>
    <s v="Pumpkinseed"/>
    <s v="Lepomis"/>
    <s v="gibbosus"/>
    <s v="U"/>
    <x v="0"/>
    <n v="8"/>
    <n v="11.81"/>
    <x v="45"/>
    <s v="763051-92-9"/>
    <x v="45"/>
    <n v="0.2215"/>
  </r>
  <r>
    <s v="PU063-JBA-08162021"/>
    <s v="Down"/>
    <x v="1"/>
    <s v="Pumpkinseed"/>
    <s v="Lepomis"/>
    <s v="gibbosus"/>
    <s v="U"/>
    <x v="0"/>
    <n v="8"/>
    <n v="11.81"/>
    <x v="46"/>
    <s v="13252-13-6"/>
    <x v="46"/>
    <n v="0.159"/>
  </r>
  <r>
    <s v="PU063-JBA-08162021"/>
    <s v="Down"/>
    <x v="1"/>
    <s v="Pumpkinseed"/>
    <s v="Lepomis"/>
    <s v="gibbosus"/>
    <s v="U"/>
    <x v="0"/>
    <n v="8"/>
    <n v="11.81"/>
    <x v="47"/>
    <s v="57677-95-9"/>
    <x v="47"/>
    <n v="0.2215"/>
  </r>
  <r>
    <s v="PU063-JBA-08162021"/>
    <s v="Down"/>
    <x v="1"/>
    <s v="Pumpkinseed"/>
    <s v="Lepomis"/>
    <s v="gibbosus"/>
    <s v="U"/>
    <x v="0"/>
    <n v="8"/>
    <n v="11.81"/>
    <x v="48"/>
    <s v="678-41-1"/>
    <x v="48"/>
    <n v="0.2215"/>
  </r>
  <r>
    <s v="PU063-JBA-08162021"/>
    <s v="Down"/>
    <x v="1"/>
    <s v="Pumpkinseed"/>
    <s v="Lepomis"/>
    <s v="gibbosus"/>
    <s v="U"/>
    <x v="0"/>
    <n v="8"/>
    <n v="11.81"/>
    <x v="49"/>
    <s v="2965-52-8"/>
    <x v="49"/>
    <n v="0.2215"/>
  </r>
  <r>
    <s v="PU064-LIV-08162021"/>
    <s v="Down"/>
    <x v="1"/>
    <s v="Pumpkinseed"/>
    <s v="Lepomis"/>
    <s v="gibbosus"/>
    <s v="U"/>
    <x v="2"/>
    <n v="8"/>
    <n v="11.81"/>
    <x v="0"/>
    <s v="375-22-4"/>
    <x v="0"/>
    <n v="0.32100000000000001"/>
  </r>
  <r>
    <s v="PU064-LIV-08162021"/>
    <s v="Down"/>
    <x v="1"/>
    <s v="Pumpkinseed"/>
    <s v="Lepomis"/>
    <s v="gibbosus"/>
    <s v="U"/>
    <x v="2"/>
    <n v="8"/>
    <n v="11.81"/>
    <x v="1"/>
    <s v="2706-90-3"/>
    <x v="1"/>
    <n v="0.1135"/>
  </r>
  <r>
    <s v="PU064-LIV-08162021"/>
    <s v="Down"/>
    <x v="1"/>
    <s v="Pumpkinseed"/>
    <s v="Lepomis"/>
    <s v="gibbosus"/>
    <s v="U"/>
    <x v="2"/>
    <n v="8"/>
    <n v="11.81"/>
    <x v="2"/>
    <s v="307-24-4"/>
    <x v="2"/>
    <n v="0.17349999999999999"/>
  </r>
  <r>
    <s v="PU064-LIV-08162021"/>
    <s v="Down"/>
    <x v="1"/>
    <s v="Pumpkinseed"/>
    <s v="Lepomis"/>
    <s v="gibbosus"/>
    <s v="U"/>
    <x v="2"/>
    <n v="8"/>
    <n v="11.81"/>
    <x v="3"/>
    <s v="375-85-9"/>
    <x v="3"/>
    <n v="0.1605"/>
  </r>
  <r>
    <s v="PU064-LIV-08162021"/>
    <s v="Down"/>
    <x v="1"/>
    <s v="Pumpkinseed"/>
    <s v="Lepomis"/>
    <s v="gibbosus"/>
    <s v="U"/>
    <x v="2"/>
    <n v="8"/>
    <n v="11.81"/>
    <x v="4"/>
    <s v="335-67-1"/>
    <x v="4"/>
    <n v="6.4000000000000001E-2"/>
  </r>
  <r>
    <s v="PU064-LIV-08162021"/>
    <s v="Down"/>
    <x v="1"/>
    <s v="Pumpkinseed"/>
    <s v="Lepomis"/>
    <s v="gibbosus"/>
    <s v="U"/>
    <x v="2"/>
    <n v="8"/>
    <n v="11.81"/>
    <x v="5"/>
    <s v="375-95-1"/>
    <x v="5"/>
    <n v="0.1605"/>
  </r>
  <r>
    <s v="PU064-LIV-08162021"/>
    <s v="Down"/>
    <x v="1"/>
    <s v="Pumpkinseed"/>
    <s v="Lepomis"/>
    <s v="gibbosus"/>
    <s v="U"/>
    <x v="2"/>
    <n v="8"/>
    <n v="11.81"/>
    <x v="6"/>
    <s v="335-76-2"/>
    <x v="6"/>
    <n v="35.299999999999997"/>
  </r>
  <r>
    <s v="PU064-LIV-08162021"/>
    <s v="Down"/>
    <x v="1"/>
    <s v="Pumpkinseed"/>
    <s v="Lepomis"/>
    <s v="gibbosus"/>
    <s v="U"/>
    <x v="2"/>
    <n v="8"/>
    <n v="11.81"/>
    <x v="7"/>
    <s v="2058-94-8"/>
    <x v="7"/>
    <n v="39.9"/>
  </r>
  <r>
    <s v="PU064-LIV-08162021"/>
    <s v="Down"/>
    <x v="1"/>
    <s v="Pumpkinseed"/>
    <s v="Lepomis"/>
    <s v="gibbosus"/>
    <s v="U"/>
    <x v="2"/>
    <n v="8"/>
    <n v="11.81"/>
    <x v="8"/>
    <s v="307-55-1"/>
    <x v="8"/>
    <n v="43.3"/>
  </r>
  <r>
    <s v="PU064-LIV-08162021"/>
    <s v="Down"/>
    <x v="1"/>
    <s v="Pumpkinseed"/>
    <s v="Lepomis"/>
    <s v="gibbosus"/>
    <s v="U"/>
    <x v="2"/>
    <n v="8"/>
    <n v="11.81"/>
    <x v="9"/>
    <s v="72629-94-8"/>
    <x v="9"/>
    <n v="35.6"/>
  </r>
  <r>
    <s v="PU064-LIV-08162021"/>
    <s v="Down"/>
    <x v="1"/>
    <s v="Pumpkinseed"/>
    <s v="Lepomis"/>
    <s v="gibbosus"/>
    <s v="U"/>
    <x v="2"/>
    <n v="8"/>
    <n v="11.81"/>
    <x v="10"/>
    <s v="376-06-7"/>
    <x v="10"/>
    <n v="38.1"/>
  </r>
  <r>
    <s v="PU064-LIV-08162021"/>
    <s v="Down"/>
    <x v="1"/>
    <s v="Pumpkinseed"/>
    <s v="Lepomis"/>
    <s v="gibbosus"/>
    <s v="U"/>
    <x v="2"/>
    <n v="8"/>
    <n v="11.81"/>
    <x v="11"/>
    <s v="67905-19-5"/>
    <x v="11"/>
    <n v="0.1915"/>
  </r>
  <r>
    <s v="PU064-LIV-08162021"/>
    <s v="Down"/>
    <x v="1"/>
    <s v="Pumpkinseed"/>
    <s v="Lepomis"/>
    <s v="gibbosus"/>
    <s v="U"/>
    <x v="2"/>
    <n v="8"/>
    <n v="11.81"/>
    <x v="12"/>
    <s v="423-41-6"/>
    <x v="12"/>
    <n v="0.1605"/>
  </r>
  <r>
    <s v="PU064-LIV-08162021"/>
    <s v="Down"/>
    <x v="1"/>
    <s v="Pumpkinseed"/>
    <s v="Lepomis"/>
    <s v="gibbosus"/>
    <s v="U"/>
    <x v="2"/>
    <n v="8"/>
    <n v="11.81"/>
    <x v="13"/>
    <s v="375-73-5"/>
    <x v="13"/>
    <n v="0.32100000000000001"/>
  </r>
  <r>
    <s v="PU064-LIV-08162021"/>
    <s v="Down"/>
    <x v="1"/>
    <s v="Pumpkinseed"/>
    <s v="Lepomis"/>
    <s v="gibbosus"/>
    <s v="U"/>
    <x v="2"/>
    <n v="8"/>
    <n v="11.81"/>
    <x v="14"/>
    <s v="2706-91-4"/>
    <x v="14"/>
    <n v="0.36199999999999999"/>
  </r>
  <r>
    <s v="PU064-LIV-08162021"/>
    <s v="Down"/>
    <x v="1"/>
    <s v="Pumpkinseed"/>
    <s v="Lepomis"/>
    <s v="gibbosus"/>
    <s v="U"/>
    <x v="2"/>
    <n v="8"/>
    <n v="11.81"/>
    <x v="15"/>
    <s v="355-46-4"/>
    <x v="15"/>
    <n v="8.5500000000000007E-2"/>
  </r>
  <r>
    <s v="PU064-LIV-08162021"/>
    <s v="Down"/>
    <x v="1"/>
    <s v="Pumpkinseed"/>
    <s v="Lepomis"/>
    <s v="gibbosus"/>
    <s v="U"/>
    <x v="2"/>
    <n v="8"/>
    <n v="11.81"/>
    <x v="16"/>
    <s v="375-92-8"/>
    <x v="16"/>
    <n v="9.4500000000000001E-2"/>
  </r>
  <r>
    <s v="PU064-LIV-08162021"/>
    <s v="Down"/>
    <x v="1"/>
    <s v="Pumpkinseed"/>
    <s v="Lepomis"/>
    <s v="gibbosus"/>
    <s v="U"/>
    <x v="2"/>
    <n v="8"/>
    <n v="11.81"/>
    <x v="17"/>
    <s v="1763-23-1"/>
    <x v="17"/>
    <n v="4870"/>
  </r>
  <r>
    <s v="PU064-LIV-08162021"/>
    <s v="Down"/>
    <x v="1"/>
    <s v="Pumpkinseed"/>
    <s v="Lepomis"/>
    <s v="gibbosus"/>
    <s v="U"/>
    <x v="2"/>
    <n v="8"/>
    <n v="11.81"/>
    <x v="18"/>
    <s v="68259-12-1"/>
    <x v="18"/>
    <n v="1.55"/>
  </r>
  <r>
    <s v="PU064-LIV-08162021"/>
    <s v="Down"/>
    <x v="1"/>
    <s v="Pumpkinseed"/>
    <s v="Lepomis"/>
    <s v="gibbosus"/>
    <s v="U"/>
    <x v="2"/>
    <n v="8"/>
    <n v="11.81"/>
    <x v="19"/>
    <s v="335-77-3"/>
    <x v="19"/>
    <n v="1.1499999999999999"/>
  </r>
  <r>
    <s v="PU064-LIV-08162021"/>
    <s v="Down"/>
    <x v="1"/>
    <s v="Pumpkinseed"/>
    <s v="Lepomis"/>
    <s v="gibbosus"/>
    <s v="U"/>
    <x v="2"/>
    <n v="8"/>
    <n v="11.81"/>
    <x v="20"/>
    <s v="79780-39-5"/>
    <x v="20"/>
    <n v="1.2"/>
  </r>
  <r>
    <s v="PU064-LIV-08162021"/>
    <s v="Down"/>
    <x v="1"/>
    <s v="Pumpkinseed"/>
    <s v="Lepomis"/>
    <s v="gibbosus"/>
    <s v="U"/>
    <x v="2"/>
    <n v="8"/>
    <n v="11.81"/>
    <x v="21"/>
    <s v="777011-38-8"/>
    <x v="21"/>
    <n v="0.19500000000000001"/>
  </r>
  <r>
    <s v="PU064-LIV-08162021"/>
    <s v="Down"/>
    <x v="1"/>
    <s v="Pumpkinseed"/>
    <s v="Lepomis"/>
    <s v="gibbosus"/>
    <s v="U"/>
    <x v="2"/>
    <n v="8"/>
    <n v="11.81"/>
    <x v="22"/>
    <s v="646-83-3"/>
    <x v="22"/>
    <n v="6.4000000000000001E-2"/>
  </r>
  <r>
    <s v="PU064-LIV-08162021"/>
    <s v="Down"/>
    <x v="1"/>
    <s v="Pumpkinseed"/>
    <s v="Lepomis"/>
    <s v="gibbosus"/>
    <s v="U"/>
    <x v="2"/>
    <n v="8"/>
    <n v="11.81"/>
    <x v="23"/>
    <s v="30334-69-1"/>
    <x v="23"/>
    <n v="741"/>
  </r>
  <r>
    <s v="PU064-LIV-08162021"/>
    <s v="Down"/>
    <x v="1"/>
    <s v="Pumpkinseed"/>
    <s v="Lepomis"/>
    <s v="gibbosus"/>
    <s v="U"/>
    <x v="2"/>
    <n v="8"/>
    <n v="11.81"/>
    <x v="24"/>
    <s v="41997-13-1"/>
    <x v="24"/>
    <n v="75.8"/>
  </r>
  <r>
    <s v="PU064-LIV-08162021"/>
    <s v="Down"/>
    <x v="1"/>
    <s v="Pumpkinseed"/>
    <s v="Lepomis"/>
    <s v="gibbosus"/>
    <s v="U"/>
    <x v="2"/>
    <n v="8"/>
    <n v="11.81"/>
    <x v="25"/>
    <s v="754-91-6"/>
    <x v="25"/>
    <n v="68.900000000000006"/>
  </r>
  <r>
    <s v="PU064-LIV-08162021"/>
    <s v="Down"/>
    <x v="1"/>
    <s v="Pumpkinseed"/>
    <s v="Lepomis"/>
    <s v="gibbosus"/>
    <s v="U"/>
    <x v="2"/>
    <n v="8"/>
    <n v="11.81"/>
    <x v="26"/>
    <s v="31506-32-8"/>
    <x v="26"/>
    <n v="0.1235"/>
  </r>
  <r>
    <s v="PU064-LIV-08162021"/>
    <s v="Down"/>
    <x v="1"/>
    <s v="Pumpkinseed"/>
    <s v="Lepomis"/>
    <s v="gibbosus"/>
    <s v="U"/>
    <x v="2"/>
    <n v="8"/>
    <n v="11.81"/>
    <x v="27"/>
    <s v="4151-50-2"/>
    <x v="27"/>
    <n v="0.32100000000000001"/>
  </r>
  <r>
    <s v="PU064-LIV-08162021"/>
    <s v="Down"/>
    <x v="1"/>
    <s v="Pumpkinseed"/>
    <s v="Lepomis"/>
    <s v="gibbosus"/>
    <s v="U"/>
    <x v="2"/>
    <n v="8"/>
    <n v="11.81"/>
    <x v="28"/>
    <s v="2806-24-8"/>
    <x v="28"/>
    <n v="0.32100000000000001"/>
  </r>
  <r>
    <s v="PU064-LIV-08162021"/>
    <s v="Down"/>
    <x v="1"/>
    <s v="Pumpkinseed"/>
    <s v="Lepomis"/>
    <s v="gibbosus"/>
    <s v="U"/>
    <x v="2"/>
    <n v="8"/>
    <n v="11.81"/>
    <x v="29"/>
    <s v="2355-31-9"/>
    <x v="29"/>
    <n v="0.1615"/>
  </r>
  <r>
    <s v="PU064-LIV-08162021"/>
    <s v="Down"/>
    <x v="1"/>
    <s v="Pumpkinseed"/>
    <s v="Lepomis"/>
    <s v="gibbosus"/>
    <s v="U"/>
    <x v="2"/>
    <n v="8"/>
    <n v="11.81"/>
    <x v="30"/>
    <s v="2991-50-6"/>
    <x v="30"/>
    <n v="0.1605"/>
  </r>
  <r>
    <s v="PU064-LIV-08162021"/>
    <s v="Down"/>
    <x v="1"/>
    <s v="Pumpkinseed"/>
    <s v="Lepomis"/>
    <s v="gibbosus"/>
    <s v="U"/>
    <x v="2"/>
    <n v="8"/>
    <n v="11.81"/>
    <x v="31"/>
    <s v="757124-72-4"/>
    <x v="31"/>
    <n v="0.1605"/>
  </r>
  <r>
    <s v="PU064-LIV-08162021"/>
    <s v="Down"/>
    <x v="1"/>
    <s v="Pumpkinseed"/>
    <s v="Lepomis"/>
    <s v="gibbosus"/>
    <s v="U"/>
    <x v="2"/>
    <n v="8"/>
    <n v="11.81"/>
    <x v="32"/>
    <s v="27619-97-2"/>
    <x v="32"/>
    <n v="0.1605"/>
  </r>
  <r>
    <s v="PU064-LIV-08162021"/>
    <s v="Down"/>
    <x v="1"/>
    <s v="Pumpkinseed"/>
    <s v="Lepomis"/>
    <s v="gibbosus"/>
    <s v="U"/>
    <x v="2"/>
    <n v="8"/>
    <n v="11.81"/>
    <x v="33"/>
    <s v="39108-34-4"/>
    <x v="33"/>
    <n v="15.6"/>
  </r>
  <r>
    <s v="PU064-LIV-08162021"/>
    <s v="Down"/>
    <x v="1"/>
    <s v="Pumpkinseed"/>
    <s v="Lepomis"/>
    <s v="gibbosus"/>
    <s v="U"/>
    <x v="2"/>
    <n v="8"/>
    <n v="11.81"/>
    <x v="34"/>
    <s v="120226-60-0"/>
    <x v="34"/>
    <n v="1.38"/>
  </r>
  <r>
    <s v="PU064-LIV-08162021"/>
    <s v="Down"/>
    <x v="1"/>
    <s v="Pumpkinseed"/>
    <s v="Lepomis"/>
    <s v="gibbosus"/>
    <s v="U"/>
    <x v="2"/>
    <n v="8"/>
    <n v="11.81"/>
    <x v="35"/>
    <s v="356-02-5"/>
    <x v="35"/>
    <n v="0.32100000000000001"/>
  </r>
  <r>
    <s v="PU064-LIV-08162021"/>
    <s v="Down"/>
    <x v="1"/>
    <s v="Pumpkinseed"/>
    <s v="Lepomis"/>
    <s v="gibbosus"/>
    <s v="U"/>
    <x v="2"/>
    <n v="8"/>
    <n v="11.81"/>
    <x v="36"/>
    <s v="914637-49-3"/>
    <x v="36"/>
    <n v="3.96"/>
  </r>
  <r>
    <s v="PU064-LIV-08162021"/>
    <s v="Down"/>
    <x v="1"/>
    <s v="Pumpkinseed"/>
    <s v="Lepomis"/>
    <s v="gibbosus"/>
    <s v="U"/>
    <x v="2"/>
    <n v="8"/>
    <n v="11.81"/>
    <x v="37"/>
    <s v="812-70-4"/>
    <x v="37"/>
    <n v="0.32100000000000001"/>
  </r>
  <r>
    <s v="PU064-LIV-08162021"/>
    <s v="Down"/>
    <x v="1"/>
    <s v="Pumpkinseed"/>
    <s v="Lepomis"/>
    <s v="gibbosus"/>
    <s v="U"/>
    <x v="2"/>
    <n v="8"/>
    <n v="11.81"/>
    <x v="38"/>
    <s v="53826-12-3"/>
    <x v="38"/>
    <n v="0.32100000000000001"/>
  </r>
  <r>
    <s v="PU064-LIV-08162021"/>
    <s v="Down"/>
    <x v="1"/>
    <s v="Pumpkinseed"/>
    <s v="Lepomis"/>
    <s v="gibbosus"/>
    <s v="U"/>
    <x v="2"/>
    <n v="8"/>
    <n v="11.81"/>
    <x v="39"/>
    <s v="27854-31-5"/>
    <x v="39"/>
    <n v="0.1605"/>
  </r>
  <r>
    <s v="PU064-LIV-08162021"/>
    <s v="Down"/>
    <x v="1"/>
    <s v="Pumpkinseed"/>
    <s v="Lepomis"/>
    <s v="gibbosus"/>
    <s v="U"/>
    <x v="2"/>
    <n v="8"/>
    <n v="11.81"/>
    <x v="40"/>
    <s v="53826-13-4"/>
    <x v="40"/>
    <n v="0.32100000000000001"/>
  </r>
  <r>
    <s v="PU064-LIV-08162021"/>
    <s v="Down"/>
    <x v="1"/>
    <s v="Pumpkinseed"/>
    <s v="Lepomis"/>
    <s v="gibbosus"/>
    <s v="U"/>
    <x v="2"/>
    <n v="8"/>
    <n v="11.81"/>
    <x v="41"/>
    <s v="161094-75-3"/>
    <x v="41"/>
    <n v="0.126"/>
  </r>
  <r>
    <s v="PU064-LIV-08162021"/>
    <s v="Down"/>
    <x v="1"/>
    <s v="Pumpkinseed"/>
    <s v="Lepomis"/>
    <s v="gibbosus"/>
    <s v="U"/>
    <x v="2"/>
    <n v="8"/>
    <n v="11.81"/>
    <x v="42"/>
    <s v="70887-84-2"/>
    <x v="42"/>
    <n v="9.7000000000000003E-2"/>
  </r>
  <r>
    <s v="PU064-LIV-08162021"/>
    <s v="Down"/>
    <x v="1"/>
    <s v="Pumpkinseed"/>
    <s v="Lepomis"/>
    <s v="gibbosus"/>
    <s v="U"/>
    <x v="2"/>
    <n v="8"/>
    <n v="11.81"/>
    <x v="43"/>
    <s v="919005-14-4"/>
    <x v="43"/>
    <n v="0.14149999999999999"/>
  </r>
  <r>
    <s v="PU064-LIV-08162021"/>
    <s v="Down"/>
    <x v="1"/>
    <s v="Pumpkinseed"/>
    <s v="Lepomis"/>
    <s v="gibbosus"/>
    <s v="U"/>
    <x v="2"/>
    <n v="8"/>
    <n v="11.81"/>
    <x v="44"/>
    <s v="756426-58-1"/>
    <x v="44"/>
    <n v="0.32100000000000001"/>
  </r>
  <r>
    <s v="PU064-LIV-08162021"/>
    <s v="Down"/>
    <x v="1"/>
    <s v="Pumpkinseed"/>
    <s v="Lepomis"/>
    <s v="gibbosus"/>
    <s v="U"/>
    <x v="2"/>
    <n v="8"/>
    <n v="11.81"/>
    <x v="45"/>
    <s v="763051-92-9"/>
    <x v="45"/>
    <n v="0.32100000000000001"/>
  </r>
  <r>
    <s v="PU064-LIV-08162021"/>
    <s v="Down"/>
    <x v="1"/>
    <s v="Pumpkinseed"/>
    <s v="Lepomis"/>
    <s v="gibbosus"/>
    <s v="U"/>
    <x v="2"/>
    <n v="8"/>
    <n v="11.81"/>
    <x v="46"/>
    <s v="13252-13-6"/>
    <x v="46"/>
    <n v="0.23050000000000001"/>
  </r>
  <r>
    <s v="PU064-LIV-08162021"/>
    <s v="Down"/>
    <x v="1"/>
    <s v="Pumpkinseed"/>
    <s v="Lepomis"/>
    <s v="gibbosus"/>
    <s v="U"/>
    <x v="2"/>
    <n v="8"/>
    <n v="11.81"/>
    <x v="47"/>
    <s v="57677-95-9"/>
    <x v="47"/>
    <n v="0.32100000000000001"/>
  </r>
  <r>
    <s v="PU064-LIV-08162021"/>
    <s v="Down"/>
    <x v="1"/>
    <s v="Pumpkinseed"/>
    <s v="Lepomis"/>
    <s v="gibbosus"/>
    <s v="U"/>
    <x v="2"/>
    <n v="8"/>
    <n v="11.81"/>
    <x v="48"/>
    <s v="678-41-1"/>
    <x v="48"/>
    <n v="0.32100000000000001"/>
  </r>
  <r>
    <s v="PU064-LIV-08162021"/>
    <s v="Down"/>
    <x v="1"/>
    <s v="Pumpkinseed"/>
    <s v="Lepomis"/>
    <s v="gibbosus"/>
    <s v="U"/>
    <x v="2"/>
    <n v="8"/>
    <n v="11.81"/>
    <x v="49"/>
    <s v="2965-52-8"/>
    <x v="49"/>
    <n v="0.32100000000000001"/>
  </r>
  <r>
    <s v="PU064-MU-08162021"/>
    <s v="Down"/>
    <x v="1"/>
    <s v="Pumpkinseed"/>
    <s v="Lepomis"/>
    <s v="gibbosus"/>
    <s v="U"/>
    <x v="1"/>
    <n v="8"/>
    <n v="11.81"/>
    <x v="0"/>
    <s v="375-22-4"/>
    <x v="0"/>
    <n v="0.22"/>
  </r>
  <r>
    <s v="PU064-MU-08162021"/>
    <s v="Down"/>
    <x v="1"/>
    <s v="Pumpkinseed"/>
    <s v="Lepomis"/>
    <s v="gibbosus"/>
    <s v="U"/>
    <x v="1"/>
    <n v="8"/>
    <n v="11.81"/>
    <x v="1"/>
    <s v="2706-90-3"/>
    <x v="1"/>
    <n v="7.7499999999999999E-2"/>
  </r>
  <r>
    <s v="PU064-MU-08162021"/>
    <s v="Down"/>
    <x v="1"/>
    <s v="Pumpkinseed"/>
    <s v="Lepomis"/>
    <s v="gibbosus"/>
    <s v="U"/>
    <x v="1"/>
    <n v="8"/>
    <n v="11.81"/>
    <x v="2"/>
    <s v="307-24-4"/>
    <x v="2"/>
    <n v="0.11899999999999999"/>
  </r>
  <r>
    <s v="PU064-MU-08162021"/>
    <s v="Down"/>
    <x v="1"/>
    <s v="Pumpkinseed"/>
    <s v="Lepomis"/>
    <s v="gibbosus"/>
    <s v="U"/>
    <x v="1"/>
    <n v="8"/>
    <n v="11.81"/>
    <x v="3"/>
    <s v="375-85-9"/>
    <x v="3"/>
    <n v="0.22"/>
  </r>
  <r>
    <s v="PU064-MU-08162021"/>
    <s v="Down"/>
    <x v="1"/>
    <s v="Pumpkinseed"/>
    <s v="Lepomis"/>
    <s v="gibbosus"/>
    <s v="U"/>
    <x v="1"/>
    <n v="8"/>
    <n v="11.81"/>
    <x v="4"/>
    <s v="335-67-1"/>
    <x v="4"/>
    <n v="0.51700000000000002"/>
  </r>
  <r>
    <s v="PU064-MU-08162021"/>
    <s v="Down"/>
    <x v="1"/>
    <s v="Pumpkinseed"/>
    <s v="Lepomis"/>
    <s v="gibbosus"/>
    <s v="U"/>
    <x v="1"/>
    <n v="8"/>
    <n v="11.81"/>
    <x v="5"/>
    <s v="375-95-1"/>
    <x v="5"/>
    <n v="0.11"/>
  </r>
  <r>
    <s v="PU064-MU-08162021"/>
    <s v="Down"/>
    <x v="1"/>
    <s v="Pumpkinseed"/>
    <s v="Lepomis"/>
    <s v="gibbosus"/>
    <s v="U"/>
    <x v="1"/>
    <n v="8"/>
    <n v="11.81"/>
    <x v="6"/>
    <s v="335-76-2"/>
    <x v="6"/>
    <n v="1.81"/>
  </r>
  <r>
    <s v="PU064-MU-08162021"/>
    <s v="Down"/>
    <x v="1"/>
    <s v="Pumpkinseed"/>
    <s v="Lepomis"/>
    <s v="gibbosus"/>
    <s v="U"/>
    <x v="1"/>
    <n v="8"/>
    <n v="11.81"/>
    <x v="7"/>
    <s v="2058-94-8"/>
    <x v="7"/>
    <n v="3.1"/>
  </r>
  <r>
    <s v="PU064-MU-08162021"/>
    <s v="Down"/>
    <x v="1"/>
    <s v="Pumpkinseed"/>
    <s v="Lepomis"/>
    <s v="gibbosus"/>
    <s v="U"/>
    <x v="1"/>
    <n v="8"/>
    <n v="11.81"/>
    <x v="8"/>
    <s v="307-55-1"/>
    <x v="8"/>
    <n v="6.18"/>
  </r>
  <r>
    <s v="PU064-MU-08162021"/>
    <s v="Down"/>
    <x v="1"/>
    <s v="Pumpkinseed"/>
    <s v="Lepomis"/>
    <s v="gibbosus"/>
    <s v="U"/>
    <x v="1"/>
    <n v="8"/>
    <n v="11.81"/>
    <x v="9"/>
    <s v="72629-94-8"/>
    <x v="9"/>
    <n v="3.76"/>
  </r>
  <r>
    <s v="PU064-MU-08162021"/>
    <s v="Down"/>
    <x v="1"/>
    <s v="Pumpkinseed"/>
    <s v="Lepomis"/>
    <s v="gibbosus"/>
    <s v="U"/>
    <x v="1"/>
    <n v="8"/>
    <n v="11.81"/>
    <x v="10"/>
    <s v="376-06-7"/>
    <x v="10"/>
    <n v="2.99"/>
  </r>
  <r>
    <s v="PU064-MU-08162021"/>
    <s v="Down"/>
    <x v="1"/>
    <s v="Pumpkinseed"/>
    <s v="Lepomis"/>
    <s v="gibbosus"/>
    <s v="U"/>
    <x v="1"/>
    <n v="8"/>
    <n v="11.81"/>
    <x v="11"/>
    <s v="67905-19-5"/>
    <x v="11"/>
    <n v="0.13100000000000001"/>
  </r>
  <r>
    <s v="PU064-MU-08162021"/>
    <s v="Down"/>
    <x v="1"/>
    <s v="Pumpkinseed"/>
    <s v="Lepomis"/>
    <s v="gibbosus"/>
    <s v="U"/>
    <x v="1"/>
    <n v="8"/>
    <n v="11.81"/>
    <x v="12"/>
    <s v="423-41-6"/>
    <x v="12"/>
    <n v="0.11"/>
  </r>
  <r>
    <s v="PU064-MU-08162021"/>
    <s v="Down"/>
    <x v="1"/>
    <s v="Pumpkinseed"/>
    <s v="Lepomis"/>
    <s v="gibbosus"/>
    <s v="U"/>
    <x v="1"/>
    <n v="8"/>
    <n v="11.81"/>
    <x v="13"/>
    <s v="375-73-5"/>
    <x v="13"/>
    <n v="0.22"/>
  </r>
  <r>
    <s v="PU064-MU-08162021"/>
    <s v="Down"/>
    <x v="1"/>
    <s v="Pumpkinseed"/>
    <s v="Lepomis"/>
    <s v="gibbosus"/>
    <s v="U"/>
    <x v="1"/>
    <n v="8"/>
    <n v="11.81"/>
    <x v="14"/>
    <s v="2706-91-4"/>
    <x v="14"/>
    <n v="0.11650000000000001"/>
  </r>
  <r>
    <s v="PU064-MU-08162021"/>
    <s v="Down"/>
    <x v="1"/>
    <s v="Pumpkinseed"/>
    <s v="Lepomis"/>
    <s v="gibbosus"/>
    <s v="U"/>
    <x v="1"/>
    <n v="8"/>
    <n v="11.81"/>
    <x v="15"/>
    <s v="355-46-4"/>
    <x v="15"/>
    <n v="4.3600000000000003"/>
  </r>
  <r>
    <s v="PU064-MU-08162021"/>
    <s v="Down"/>
    <x v="1"/>
    <s v="Pumpkinseed"/>
    <s v="Lepomis"/>
    <s v="gibbosus"/>
    <s v="U"/>
    <x v="1"/>
    <n v="8"/>
    <n v="11.81"/>
    <x v="16"/>
    <s v="375-92-8"/>
    <x v="16"/>
    <n v="1.08"/>
  </r>
  <r>
    <s v="PU064-MU-08162021"/>
    <s v="Down"/>
    <x v="1"/>
    <s v="Pumpkinseed"/>
    <s v="Lepomis"/>
    <s v="gibbosus"/>
    <s v="U"/>
    <x v="1"/>
    <n v="8"/>
    <n v="11.81"/>
    <x v="17"/>
    <s v="1763-23-1"/>
    <x v="17"/>
    <n v="364"/>
  </r>
  <r>
    <s v="PU064-MU-08162021"/>
    <s v="Down"/>
    <x v="1"/>
    <s v="Pumpkinseed"/>
    <s v="Lepomis"/>
    <s v="gibbosus"/>
    <s v="U"/>
    <x v="1"/>
    <n v="8"/>
    <n v="11.81"/>
    <x v="18"/>
    <s v="68259-12-1"/>
    <x v="18"/>
    <n v="1.49"/>
  </r>
  <r>
    <s v="PU064-MU-08162021"/>
    <s v="Down"/>
    <x v="1"/>
    <s v="Pumpkinseed"/>
    <s v="Lepomis"/>
    <s v="gibbosus"/>
    <s v="U"/>
    <x v="1"/>
    <n v="8"/>
    <n v="11.81"/>
    <x v="19"/>
    <s v="335-77-3"/>
    <x v="19"/>
    <n v="1.08"/>
  </r>
  <r>
    <s v="PU064-MU-08162021"/>
    <s v="Down"/>
    <x v="1"/>
    <s v="Pumpkinseed"/>
    <s v="Lepomis"/>
    <s v="gibbosus"/>
    <s v="U"/>
    <x v="1"/>
    <n v="8"/>
    <n v="11.81"/>
    <x v="20"/>
    <s v="79780-39-5"/>
    <x v="20"/>
    <n v="0.51200000000000001"/>
  </r>
  <r>
    <s v="PU064-MU-08162021"/>
    <s v="Down"/>
    <x v="1"/>
    <s v="Pumpkinseed"/>
    <s v="Lepomis"/>
    <s v="gibbosus"/>
    <s v="U"/>
    <x v="1"/>
    <n v="8"/>
    <n v="11.81"/>
    <x v="21"/>
    <s v="777011-38-8"/>
    <x v="21"/>
    <n v="0.13350000000000001"/>
  </r>
  <r>
    <s v="PU064-MU-08162021"/>
    <s v="Down"/>
    <x v="1"/>
    <s v="Pumpkinseed"/>
    <s v="Lepomis"/>
    <s v="gibbosus"/>
    <s v="U"/>
    <x v="1"/>
    <n v="8"/>
    <n v="11.81"/>
    <x v="22"/>
    <s v="646-83-3"/>
    <x v="22"/>
    <n v="8.7999999999999995E-2"/>
  </r>
  <r>
    <s v="PU064-MU-08162021"/>
    <s v="Down"/>
    <x v="1"/>
    <s v="Pumpkinseed"/>
    <s v="Lepomis"/>
    <s v="gibbosus"/>
    <s v="U"/>
    <x v="1"/>
    <n v="8"/>
    <n v="11.81"/>
    <x v="23"/>
    <s v="30334-69-1"/>
    <x v="23"/>
    <n v="16.600000000000001"/>
  </r>
  <r>
    <s v="PU064-MU-08162021"/>
    <s v="Down"/>
    <x v="1"/>
    <s v="Pumpkinseed"/>
    <s v="Lepomis"/>
    <s v="gibbosus"/>
    <s v="U"/>
    <x v="1"/>
    <n v="8"/>
    <n v="11.81"/>
    <x v="24"/>
    <s v="41997-13-1"/>
    <x v="24"/>
    <n v="27.3"/>
  </r>
  <r>
    <s v="PU064-MU-08162021"/>
    <s v="Down"/>
    <x v="1"/>
    <s v="Pumpkinseed"/>
    <s v="Lepomis"/>
    <s v="gibbosus"/>
    <s v="U"/>
    <x v="1"/>
    <n v="8"/>
    <n v="11.81"/>
    <x v="25"/>
    <s v="754-91-6"/>
    <x v="25"/>
    <n v="5.44"/>
  </r>
  <r>
    <s v="PU064-MU-08162021"/>
    <s v="Down"/>
    <x v="1"/>
    <s v="Pumpkinseed"/>
    <s v="Lepomis"/>
    <s v="gibbosus"/>
    <s v="U"/>
    <x v="1"/>
    <n v="8"/>
    <n v="11.81"/>
    <x v="26"/>
    <s v="31506-32-8"/>
    <x v="26"/>
    <n v="8.4500000000000006E-2"/>
  </r>
  <r>
    <s v="PU064-MU-08162021"/>
    <s v="Down"/>
    <x v="1"/>
    <s v="Pumpkinseed"/>
    <s v="Lepomis"/>
    <s v="gibbosus"/>
    <s v="U"/>
    <x v="1"/>
    <n v="8"/>
    <n v="11.81"/>
    <x v="27"/>
    <s v="4151-50-2"/>
    <x v="27"/>
    <n v="0.22"/>
  </r>
  <r>
    <s v="PU064-MU-08162021"/>
    <s v="Down"/>
    <x v="1"/>
    <s v="Pumpkinseed"/>
    <s v="Lepomis"/>
    <s v="gibbosus"/>
    <s v="U"/>
    <x v="1"/>
    <n v="8"/>
    <n v="11.81"/>
    <x v="28"/>
    <s v="2806-24-8"/>
    <x v="28"/>
    <n v="0.22"/>
  </r>
  <r>
    <s v="PU064-MU-08162021"/>
    <s v="Down"/>
    <x v="1"/>
    <s v="Pumpkinseed"/>
    <s v="Lepomis"/>
    <s v="gibbosus"/>
    <s v="U"/>
    <x v="1"/>
    <n v="8"/>
    <n v="11.81"/>
    <x v="29"/>
    <s v="2355-31-9"/>
    <x v="29"/>
    <n v="0.1105"/>
  </r>
  <r>
    <s v="PU064-MU-08162021"/>
    <s v="Down"/>
    <x v="1"/>
    <s v="Pumpkinseed"/>
    <s v="Lepomis"/>
    <s v="gibbosus"/>
    <s v="U"/>
    <x v="1"/>
    <n v="8"/>
    <n v="11.81"/>
    <x v="30"/>
    <s v="2991-50-6"/>
    <x v="30"/>
    <n v="0.11"/>
  </r>
  <r>
    <s v="PU064-MU-08162021"/>
    <s v="Down"/>
    <x v="1"/>
    <s v="Pumpkinseed"/>
    <s v="Lepomis"/>
    <s v="gibbosus"/>
    <s v="U"/>
    <x v="1"/>
    <n v="8"/>
    <n v="11.81"/>
    <x v="31"/>
    <s v="757124-72-4"/>
    <x v="31"/>
    <n v="0.11"/>
  </r>
  <r>
    <s v="PU064-MU-08162021"/>
    <s v="Down"/>
    <x v="1"/>
    <s v="Pumpkinseed"/>
    <s v="Lepomis"/>
    <s v="gibbosus"/>
    <s v="U"/>
    <x v="1"/>
    <n v="8"/>
    <n v="11.81"/>
    <x v="32"/>
    <s v="27619-97-2"/>
    <x v="32"/>
    <n v="0.11"/>
  </r>
  <r>
    <s v="PU064-MU-08162021"/>
    <s v="Down"/>
    <x v="1"/>
    <s v="Pumpkinseed"/>
    <s v="Lepomis"/>
    <s v="gibbosus"/>
    <s v="U"/>
    <x v="1"/>
    <n v="8"/>
    <n v="11.81"/>
    <x v="33"/>
    <s v="39108-34-4"/>
    <x v="33"/>
    <n v="0.72499999999999998"/>
  </r>
  <r>
    <s v="PU064-MU-08162021"/>
    <s v="Down"/>
    <x v="1"/>
    <s v="Pumpkinseed"/>
    <s v="Lepomis"/>
    <s v="gibbosus"/>
    <s v="U"/>
    <x v="1"/>
    <n v="8"/>
    <n v="11.81"/>
    <x v="34"/>
    <s v="120226-60-0"/>
    <x v="34"/>
    <n v="0.44"/>
  </r>
  <r>
    <s v="PU064-MU-08162021"/>
    <s v="Down"/>
    <x v="1"/>
    <s v="Pumpkinseed"/>
    <s v="Lepomis"/>
    <s v="gibbosus"/>
    <s v="U"/>
    <x v="1"/>
    <n v="8"/>
    <n v="11.81"/>
    <x v="35"/>
    <s v="356-02-5"/>
    <x v="35"/>
    <n v="0.22"/>
  </r>
  <r>
    <s v="PU064-MU-08162021"/>
    <s v="Down"/>
    <x v="1"/>
    <s v="Pumpkinseed"/>
    <s v="Lepomis"/>
    <s v="gibbosus"/>
    <s v="U"/>
    <x v="1"/>
    <n v="8"/>
    <n v="11.81"/>
    <x v="36"/>
    <s v="914637-49-3"/>
    <x v="36"/>
    <n v="0.22"/>
  </r>
  <r>
    <s v="PU064-MU-08162021"/>
    <s v="Down"/>
    <x v="1"/>
    <s v="Pumpkinseed"/>
    <s v="Lepomis"/>
    <s v="gibbosus"/>
    <s v="U"/>
    <x v="1"/>
    <n v="8"/>
    <n v="11.81"/>
    <x v="37"/>
    <s v="812-70-4"/>
    <x v="37"/>
    <n v="1.74"/>
  </r>
  <r>
    <s v="PU064-MU-08162021"/>
    <s v="Down"/>
    <x v="1"/>
    <s v="Pumpkinseed"/>
    <s v="Lepomis"/>
    <s v="gibbosus"/>
    <s v="U"/>
    <x v="1"/>
    <n v="8"/>
    <n v="11.81"/>
    <x v="38"/>
    <s v="53826-12-3"/>
    <x v="38"/>
    <n v="0.22"/>
  </r>
  <r>
    <s v="PU064-MU-08162021"/>
    <s v="Down"/>
    <x v="1"/>
    <s v="Pumpkinseed"/>
    <s v="Lepomis"/>
    <s v="gibbosus"/>
    <s v="U"/>
    <x v="1"/>
    <n v="8"/>
    <n v="11.81"/>
    <x v="39"/>
    <s v="27854-31-5"/>
    <x v="39"/>
    <n v="0.11"/>
  </r>
  <r>
    <s v="PU064-MU-08162021"/>
    <s v="Down"/>
    <x v="1"/>
    <s v="Pumpkinseed"/>
    <s v="Lepomis"/>
    <s v="gibbosus"/>
    <s v="U"/>
    <x v="1"/>
    <n v="8"/>
    <n v="11.81"/>
    <x v="40"/>
    <s v="53826-13-4"/>
    <x v="40"/>
    <n v="0.22"/>
  </r>
  <r>
    <s v="PU064-MU-08162021"/>
    <s v="Down"/>
    <x v="1"/>
    <s v="Pumpkinseed"/>
    <s v="Lepomis"/>
    <s v="gibbosus"/>
    <s v="U"/>
    <x v="1"/>
    <n v="8"/>
    <n v="11.81"/>
    <x v="41"/>
    <s v="161094-75-3"/>
    <x v="41"/>
    <n v="8.6499999999999994E-2"/>
  </r>
  <r>
    <s v="PU064-MU-08162021"/>
    <s v="Down"/>
    <x v="1"/>
    <s v="Pumpkinseed"/>
    <s v="Lepomis"/>
    <s v="gibbosus"/>
    <s v="U"/>
    <x v="1"/>
    <n v="8"/>
    <n v="11.81"/>
    <x v="42"/>
    <s v="70887-84-2"/>
    <x v="42"/>
    <n v="6.6500000000000004E-2"/>
  </r>
  <r>
    <s v="PU064-MU-08162021"/>
    <s v="Down"/>
    <x v="1"/>
    <s v="Pumpkinseed"/>
    <s v="Lepomis"/>
    <s v="gibbosus"/>
    <s v="U"/>
    <x v="1"/>
    <n v="8"/>
    <n v="11.81"/>
    <x v="43"/>
    <s v="919005-14-4"/>
    <x v="43"/>
    <n v="9.7000000000000003E-2"/>
  </r>
  <r>
    <s v="PU064-MU-08162021"/>
    <s v="Down"/>
    <x v="1"/>
    <s v="Pumpkinseed"/>
    <s v="Lepomis"/>
    <s v="gibbosus"/>
    <s v="U"/>
    <x v="1"/>
    <n v="8"/>
    <n v="11.81"/>
    <x v="44"/>
    <s v="756426-58-1"/>
    <x v="44"/>
    <n v="0.22"/>
  </r>
  <r>
    <s v="PU064-MU-08162021"/>
    <s v="Down"/>
    <x v="1"/>
    <s v="Pumpkinseed"/>
    <s v="Lepomis"/>
    <s v="gibbosus"/>
    <s v="U"/>
    <x v="1"/>
    <n v="8"/>
    <n v="11.81"/>
    <x v="45"/>
    <s v="763051-92-9"/>
    <x v="45"/>
    <n v="0.22"/>
  </r>
  <r>
    <s v="PU064-MU-08162021"/>
    <s v="Down"/>
    <x v="1"/>
    <s v="Pumpkinseed"/>
    <s v="Lepomis"/>
    <s v="gibbosus"/>
    <s v="U"/>
    <x v="1"/>
    <n v="8"/>
    <n v="11.81"/>
    <x v="46"/>
    <s v="13252-13-6"/>
    <x v="46"/>
    <n v="0.158"/>
  </r>
  <r>
    <s v="PU064-MU-08162021"/>
    <s v="Down"/>
    <x v="1"/>
    <s v="Pumpkinseed"/>
    <s v="Lepomis"/>
    <s v="gibbosus"/>
    <s v="U"/>
    <x v="1"/>
    <n v="8"/>
    <n v="11.81"/>
    <x v="47"/>
    <s v="57677-95-9"/>
    <x v="47"/>
    <n v="0.22"/>
  </r>
  <r>
    <s v="PU064-MU-08162021"/>
    <s v="Down"/>
    <x v="1"/>
    <s v="Pumpkinseed"/>
    <s v="Lepomis"/>
    <s v="gibbosus"/>
    <s v="U"/>
    <x v="1"/>
    <n v="8"/>
    <n v="11.81"/>
    <x v="48"/>
    <s v="678-41-1"/>
    <x v="48"/>
    <n v="0.22"/>
  </r>
  <r>
    <s v="PU064-MU-08162021"/>
    <s v="Down"/>
    <x v="1"/>
    <s v="Pumpkinseed"/>
    <s v="Lepomis"/>
    <s v="gibbosus"/>
    <s v="U"/>
    <x v="1"/>
    <n v="8"/>
    <n v="11.81"/>
    <x v="49"/>
    <s v="2965-52-8"/>
    <x v="49"/>
    <n v="0.22"/>
  </r>
  <r>
    <s v="PU065-JBA-08162021"/>
    <s v="Down"/>
    <x v="1"/>
    <s v="Pumpkinseed"/>
    <s v="Lepomis"/>
    <s v="gibbosus"/>
    <s v="U"/>
    <x v="0"/>
    <n v="8"/>
    <n v="11.81"/>
    <x v="0"/>
    <s v="375-22-4"/>
    <x v="0"/>
    <n v="0.109"/>
  </r>
  <r>
    <s v="PU065-JBA-08162021"/>
    <s v="Down"/>
    <x v="1"/>
    <s v="Pumpkinseed"/>
    <s v="Lepomis"/>
    <s v="gibbosus"/>
    <s v="U"/>
    <x v="0"/>
    <n v="8"/>
    <n v="11.81"/>
    <x v="1"/>
    <s v="2706-90-3"/>
    <x v="1"/>
    <n v="7.6999999999999999E-2"/>
  </r>
  <r>
    <s v="PU065-JBA-08162021"/>
    <s v="Down"/>
    <x v="1"/>
    <s v="Pumpkinseed"/>
    <s v="Lepomis"/>
    <s v="gibbosus"/>
    <s v="U"/>
    <x v="0"/>
    <n v="8"/>
    <n v="11.81"/>
    <x v="2"/>
    <s v="307-24-4"/>
    <x v="2"/>
    <n v="5.8999999999999997E-2"/>
  </r>
  <r>
    <s v="PU065-JBA-08162021"/>
    <s v="Down"/>
    <x v="1"/>
    <s v="Pumpkinseed"/>
    <s v="Lepomis"/>
    <s v="gibbosus"/>
    <s v="U"/>
    <x v="0"/>
    <n v="8"/>
    <n v="11.81"/>
    <x v="3"/>
    <s v="375-85-9"/>
    <x v="3"/>
    <n v="0.218"/>
  </r>
  <r>
    <s v="PU065-JBA-08162021"/>
    <s v="Down"/>
    <x v="1"/>
    <s v="Pumpkinseed"/>
    <s v="Lepomis"/>
    <s v="gibbosus"/>
    <s v="U"/>
    <x v="0"/>
    <n v="8"/>
    <n v="11.81"/>
    <x v="4"/>
    <s v="335-67-1"/>
    <x v="4"/>
    <n v="0.53900000000000003"/>
  </r>
  <r>
    <s v="PU065-JBA-08162021"/>
    <s v="Down"/>
    <x v="1"/>
    <s v="Pumpkinseed"/>
    <s v="Lepomis"/>
    <s v="gibbosus"/>
    <s v="U"/>
    <x v="0"/>
    <n v="8"/>
    <n v="11.81"/>
    <x v="5"/>
    <s v="375-95-1"/>
    <x v="5"/>
    <n v="0.109"/>
  </r>
  <r>
    <s v="PU065-JBA-08162021"/>
    <s v="Down"/>
    <x v="1"/>
    <s v="Pumpkinseed"/>
    <s v="Lepomis"/>
    <s v="gibbosus"/>
    <s v="U"/>
    <x v="0"/>
    <n v="8"/>
    <n v="11.81"/>
    <x v="6"/>
    <s v="335-76-2"/>
    <x v="6"/>
    <n v="2.11"/>
  </r>
  <r>
    <s v="PU065-JBA-08162021"/>
    <s v="Down"/>
    <x v="1"/>
    <s v="Pumpkinseed"/>
    <s v="Lepomis"/>
    <s v="gibbosus"/>
    <s v="U"/>
    <x v="0"/>
    <n v="8"/>
    <n v="11.81"/>
    <x v="7"/>
    <s v="2058-94-8"/>
    <x v="7"/>
    <n v="4.5999999999999996"/>
  </r>
  <r>
    <s v="PU065-JBA-08162021"/>
    <s v="Down"/>
    <x v="1"/>
    <s v="Pumpkinseed"/>
    <s v="Lepomis"/>
    <s v="gibbosus"/>
    <s v="U"/>
    <x v="0"/>
    <n v="8"/>
    <n v="11.81"/>
    <x v="8"/>
    <s v="307-55-1"/>
    <x v="8"/>
    <n v="8.48"/>
  </r>
  <r>
    <s v="PU065-JBA-08162021"/>
    <s v="Down"/>
    <x v="1"/>
    <s v="Pumpkinseed"/>
    <s v="Lepomis"/>
    <s v="gibbosus"/>
    <s v="U"/>
    <x v="0"/>
    <n v="8"/>
    <n v="11.81"/>
    <x v="9"/>
    <s v="72629-94-8"/>
    <x v="9"/>
    <n v="2.58"/>
  </r>
  <r>
    <s v="PU065-JBA-08162021"/>
    <s v="Down"/>
    <x v="1"/>
    <s v="Pumpkinseed"/>
    <s v="Lepomis"/>
    <s v="gibbosus"/>
    <s v="U"/>
    <x v="0"/>
    <n v="8"/>
    <n v="11.81"/>
    <x v="10"/>
    <s v="376-06-7"/>
    <x v="10"/>
    <n v="9.73"/>
  </r>
  <r>
    <s v="PU065-JBA-08162021"/>
    <s v="Down"/>
    <x v="1"/>
    <s v="Pumpkinseed"/>
    <s v="Lepomis"/>
    <s v="gibbosus"/>
    <s v="U"/>
    <x v="0"/>
    <n v="8"/>
    <n v="11.81"/>
    <x v="11"/>
    <s v="67905-19-5"/>
    <x v="11"/>
    <n v="0.13"/>
  </r>
  <r>
    <s v="PU065-JBA-08162021"/>
    <s v="Down"/>
    <x v="1"/>
    <s v="Pumpkinseed"/>
    <s v="Lepomis"/>
    <s v="gibbosus"/>
    <s v="U"/>
    <x v="0"/>
    <n v="8"/>
    <n v="11.81"/>
    <x v="12"/>
    <s v="423-41-6"/>
    <x v="12"/>
    <n v="0.109"/>
  </r>
  <r>
    <s v="PU065-JBA-08162021"/>
    <s v="Down"/>
    <x v="1"/>
    <s v="Pumpkinseed"/>
    <s v="Lepomis"/>
    <s v="gibbosus"/>
    <s v="U"/>
    <x v="0"/>
    <n v="8"/>
    <n v="11.81"/>
    <x v="13"/>
    <s v="375-73-5"/>
    <x v="13"/>
    <n v="0.109"/>
  </r>
  <r>
    <s v="PU065-JBA-08162021"/>
    <s v="Down"/>
    <x v="1"/>
    <s v="Pumpkinseed"/>
    <s v="Lepomis"/>
    <s v="gibbosus"/>
    <s v="U"/>
    <x v="0"/>
    <n v="8"/>
    <n v="11.81"/>
    <x v="14"/>
    <s v="2706-91-4"/>
    <x v="14"/>
    <n v="0.11550000000000001"/>
  </r>
  <r>
    <s v="PU065-JBA-08162021"/>
    <s v="Down"/>
    <x v="1"/>
    <s v="Pumpkinseed"/>
    <s v="Lepomis"/>
    <s v="gibbosus"/>
    <s v="U"/>
    <x v="0"/>
    <n v="8"/>
    <n v="11.81"/>
    <x v="15"/>
    <s v="355-46-4"/>
    <x v="15"/>
    <n v="14.1"/>
  </r>
  <r>
    <s v="PU065-JBA-08162021"/>
    <s v="Down"/>
    <x v="1"/>
    <s v="Pumpkinseed"/>
    <s v="Lepomis"/>
    <s v="gibbosus"/>
    <s v="U"/>
    <x v="0"/>
    <n v="8"/>
    <n v="11.81"/>
    <x v="16"/>
    <s v="375-92-8"/>
    <x v="16"/>
    <n v="1.07"/>
  </r>
  <r>
    <s v="PU065-JBA-08162021"/>
    <s v="Down"/>
    <x v="1"/>
    <s v="Pumpkinseed"/>
    <s v="Lepomis"/>
    <s v="gibbosus"/>
    <s v="U"/>
    <x v="0"/>
    <n v="8"/>
    <n v="11.81"/>
    <x v="17"/>
    <s v="1763-23-1"/>
    <x v="17"/>
    <n v="503"/>
  </r>
  <r>
    <s v="PU065-JBA-08162021"/>
    <s v="Down"/>
    <x v="1"/>
    <s v="Pumpkinseed"/>
    <s v="Lepomis"/>
    <s v="gibbosus"/>
    <s v="U"/>
    <x v="0"/>
    <n v="8"/>
    <n v="11.81"/>
    <x v="18"/>
    <s v="68259-12-1"/>
    <x v="18"/>
    <n v="2.36"/>
  </r>
  <r>
    <s v="PU065-JBA-08162021"/>
    <s v="Down"/>
    <x v="1"/>
    <s v="Pumpkinseed"/>
    <s v="Lepomis"/>
    <s v="gibbosus"/>
    <s v="U"/>
    <x v="0"/>
    <n v="8"/>
    <n v="11.81"/>
    <x v="19"/>
    <s v="335-77-3"/>
    <x v="19"/>
    <n v="2.0499999999999998"/>
  </r>
  <r>
    <s v="PU065-JBA-08162021"/>
    <s v="Down"/>
    <x v="1"/>
    <s v="Pumpkinseed"/>
    <s v="Lepomis"/>
    <s v="gibbosus"/>
    <s v="U"/>
    <x v="0"/>
    <n v="8"/>
    <n v="11.81"/>
    <x v="20"/>
    <s v="79780-39-5"/>
    <x v="20"/>
    <n v="0.79300000000000004"/>
  </r>
  <r>
    <s v="PU065-JBA-08162021"/>
    <s v="Down"/>
    <x v="1"/>
    <s v="Pumpkinseed"/>
    <s v="Lepomis"/>
    <s v="gibbosus"/>
    <s v="U"/>
    <x v="0"/>
    <n v="8"/>
    <n v="11.81"/>
    <x v="21"/>
    <s v="777011-38-8"/>
    <x v="21"/>
    <n v="0.28199999999999997"/>
  </r>
  <r>
    <s v="PU065-JBA-08162021"/>
    <s v="Down"/>
    <x v="1"/>
    <s v="Pumpkinseed"/>
    <s v="Lepomis"/>
    <s v="gibbosus"/>
    <s v="U"/>
    <x v="0"/>
    <n v="8"/>
    <n v="11.81"/>
    <x v="22"/>
    <s v="646-83-3"/>
    <x v="22"/>
    <n v="8.6999999999999994E-2"/>
  </r>
  <r>
    <s v="PU065-JBA-08162021"/>
    <s v="Down"/>
    <x v="1"/>
    <s v="Pumpkinseed"/>
    <s v="Lepomis"/>
    <s v="gibbosus"/>
    <s v="U"/>
    <x v="0"/>
    <n v="8"/>
    <n v="11.81"/>
    <x v="23"/>
    <s v="30334-69-1"/>
    <x v="23"/>
    <n v="28.3"/>
  </r>
  <r>
    <s v="PU065-JBA-08162021"/>
    <s v="Down"/>
    <x v="1"/>
    <s v="Pumpkinseed"/>
    <s v="Lepomis"/>
    <s v="gibbosus"/>
    <s v="U"/>
    <x v="0"/>
    <n v="8"/>
    <n v="11.81"/>
    <x v="24"/>
    <s v="41997-13-1"/>
    <x v="24"/>
    <n v="64.8"/>
  </r>
  <r>
    <s v="PU065-JBA-08162021"/>
    <s v="Down"/>
    <x v="1"/>
    <s v="Pumpkinseed"/>
    <s v="Lepomis"/>
    <s v="gibbosus"/>
    <s v="U"/>
    <x v="0"/>
    <n v="8"/>
    <n v="11.81"/>
    <x v="25"/>
    <s v="754-91-6"/>
    <x v="25"/>
    <n v="9.56"/>
  </r>
  <r>
    <s v="PU065-JBA-08162021"/>
    <s v="Down"/>
    <x v="1"/>
    <s v="Pumpkinseed"/>
    <s v="Lepomis"/>
    <s v="gibbosus"/>
    <s v="U"/>
    <x v="0"/>
    <n v="8"/>
    <n v="11.81"/>
    <x v="26"/>
    <s v="31506-32-8"/>
    <x v="26"/>
    <n v="8.4000000000000005E-2"/>
  </r>
  <r>
    <s v="PU065-JBA-08162021"/>
    <s v="Down"/>
    <x v="1"/>
    <s v="Pumpkinseed"/>
    <s v="Lepomis"/>
    <s v="gibbosus"/>
    <s v="U"/>
    <x v="0"/>
    <n v="8"/>
    <n v="11.81"/>
    <x v="27"/>
    <s v="4151-50-2"/>
    <x v="27"/>
    <n v="0.218"/>
  </r>
  <r>
    <s v="PU065-JBA-08162021"/>
    <s v="Down"/>
    <x v="1"/>
    <s v="Pumpkinseed"/>
    <s v="Lepomis"/>
    <s v="gibbosus"/>
    <s v="U"/>
    <x v="0"/>
    <n v="8"/>
    <n v="11.81"/>
    <x v="28"/>
    <s v="2806-24-8"/>
    <x v="28"/>
    <n v="0.218"/>
  </r>
  <r>
    <s v="PU065-JBA-08162021"/>
    <s v="Down"/>
    <x v="1"/>
    <s v="Pumpkinseed"/>
    <s v="Lepomis"/>
    <s v="gibbosus"/>
    <s v="U"/>
    <x v="0"/>
    <n v="8"/>
    <n v="11.81"/>
    <x v="29"/>
    <s v="2355-31-9"/>
    <x v="29"/>
    <n v="0.1095"/>
  </r>
  <r>
    <s v="PU065-JBA-08162021"/>
    <s v="Down"/>
    <x v="1"/>
    <s v="Pumpkinseed"/>
    <s v="Lepomis"/>
    <s v="gibbosus"/>
    <s v="U"/>
    <x v="0"/>
    <n v="8"/>
    <n v="11.81"/>
    <x v="30"/>
    <s v="2991-50-6"/>
    <x v="30"/>
    <n v="0.109"/>
  </r>
  <r>
    <s v="PU065-JBA-08162021"/>
    <s v="Down"/>
    <x v="1"/>
    <s v="Pumpkinseed"/>
    <s v="Lepomis"/>
    <s v="gibbosus"/>
    <s v="U"/>
    <x v="0"/>
    <n v="8"/>
    <n v="11.81"/>
    <x v="31"/>
    <s v="757124-72-4"/>
    <x v="31"/>
    <n v="0.109"/>
  </r>
  <r>
    <s v="PU065-JBA-08162021"/>
    <s v="Down"/>
    <x v="1"/>
    <s v="Pumpkinseed"/>
    <s v="Lepomis"/>
    <s v="gibbosus"/>
    <s v="U"/>
    <x v="0"/>
    <n v="8"/>
    <n v="11.81"/>
    <x v="32"/>
    <s v="27619-97-2"/>
    <x v="32"/>
    <n v="0.504"/>
  </r>
  <r>
    <s v="PU065-JBA-08162021"/>
    <s v="Down"/>
    <x v="1"/>
    <s v="Pumpkinseed"/>
    <s v="Lepomis"/>
    <s v="gibbosus"/>
    <s v="U"/>
    <x v="0"/>
    <n v="8"/>
    <n v="11.81"/>
    <x v="33"/>
    <s v="39108-34-4"/>
    <x v="33"/>
    <n v="2.7"/>
  </r>
  <r>
    <s v="PU065-JBA-08162021"/>
    <s v="Down"/>
    <x v="1"/>
    <s v="Pumpkinseed"/>
    <s v="Lepomis"/>
    <s v="gibbosus"/>
    <s v="U"/>
    <x v="0"/>
    <n v="8"/>
    <n v="11.81"/>
    <x v="34"/>
    <s v="120226-60-0"/>
    <x v="34"/>
    <n v="0.436"/>
  </r>
  <r>
    <s v="PU065-JBA-08162021"/>
    <s v="Down"/>
    <x v="1"/>
    <s v="Pumpkinseed"/>
    <s v="Lepomis"/>
    <s v="gibbosus"/>
    <s v="U"/>
    <x v="0"/>
    <n v="8"/>
    <n v="11.81"/>
    <x v="35"/>
    <s v="356-02-5"/>
    <x v="35"/>
    <n v="0.218"/>
  </r>
  <r>
    <s v="PU065-JBA-08162021"/>
    <s v="Down"/>
    <x v="1"/>
    <s v="Pumpkinseed"/>
    <s v="Lepomis"/>
    <s v="gibbosus"/>
    <s v="U"/>
    <x v="0"/>
    <n v="8"/>
    <n v="11.81"/>
    <x v="36"/>
    <s v="914637-49-3"/>
    <x v="36"/>
    <n v="0.109"/>
  </r>
  <r>
    <s v="PU065-JBA-08162021"/>
    <s v="Down"/>
    <x v="1"/>
    <s v="Pumpkinseed"/>
    <s v="Lepomis"/>
    <s v="gibbosus"/>
    <s v="U"/>
    <x v="0"/>
    <n v="8"/>
    <n v="11.81"/>
    <x v="37"/>
    <s v="812-70-4"/>
    <x v="37"/>
    <n v="2.25"/>
  </r>
  <r>
    <s v="PU065-JBA-08162021"/>
    <s v="Down"/>
    <x v="1"/>
    <s v="Pumpkinseed"/>
    <s v="Lepomis"/>
    <s v="gibbosus"/>
    <s v="U"/>
    <x v="0"/>
    <n v="8"/>
    <n v="11.81"/>
    <x v="38"/>
    <s v="53826-12-3"/>
    <x v="38"/>
    <n v="0.218"/>
  </r>
  <r>
    <s v="PU065-JBA-08162021"/>
    <s v="Down"/>
    <x v="1"/>
    <s v="Pumpkinseed"/>
    <s v="Lepomis"/>
    <s v="gibbosus"/>
    <s v="U"/>
    <x v="0"/>
    <n v="8"/>
    <n v="11.81"/>
    <x v="39"/>
    <s v="27854-31-5"/>
    <x v="39"/>
    <n v="0.109"/>
  </r>
  <r>
    <s v="PU065-JBA-08162021"/>
    <s v="Down"/>
    <x v="1"/>
    <s v="Pumpkinseed"/>
    <s v="Lepomis"/>
    <s v="gibbosus"/>
    <s v="U"/>
    <x v="0"/>
    <n v="8"/>
    <n v="11.81"/>
    <x v="40"/>
    <s v="53826-13-4"/>
    <x v="40"/>
    <n v="0.218"/>
  </r>
  <r>
    <s v="PU065-JBA-08162021"/>
    <s v="Down"/>
    <x v="1"/>
    <s v="Pumpkinseed"/>
    <s v="Lepomis"/>
    <s v="gibbosus"/>
    <s v="U"/>
    <x v="0"/>
    <n v="8"/>
    <n v="11.81"/>
    <x v="41"/>
    <s v="161094-75-3"/>
    <x v="41"/>
    <n v="8.5500000000000007E-2"/>
  </r>
  <r>
    <s v="PU065-JBA-08162021"/>
    <s v="Down"/>
    <x v="1"/>
    <s v="Pumpkinseed"/>
    <s v="Lepomis"/>
    <s v="gibbosus"/>
    <s v="U"/>
    <x v="0"/>
    <n v="8"/>
    <n v="11.81"/>
    <x v="42"/>
    <s v="70887-84-2"/>
    <x v="42"/>
    <n v="6.6000000000000003E-2"/>
  </r>
  <r>
    <s v="PU065-JBA-08162021"/>
    <s v="Down"/>
    <x v="1"/>
    <s v="Pumpkinseed"/>
    <s v="Lepomis"/>
    <s v="gibbosus"/>
    <s v="U"/>
    <x v="0"/>
    <n v="8"/>
    <n v="11.81"/>
    <x v="43"/>
    <s v="919005-14-4"/>
    <x v="43"/>
    <n v="9.6000000000000002E-2"/>
  </r>
  <r>
    <s v="PU065-JBA-08162021"/>
    <s v="Down"/>
    <x v="1"/>
    <s v="Pumpkinseed"/>
    <s v="Lepomis"/>
    <s v="gibbosus"/>
    <s v="U"/>
    <x v="0"/>
    <n v="8"/>
    <n v="11.81"/>
    <x v="44"/>
    <s v="756426-58-1"/>
    <x v="44"/>
    <n v="0.218"/>
  </r>
  <r>
    <s v="PU065-JBA-08162021"/>
    <s v="Down"/>
    <x v="1"/>
    <s v="Pumpkinseed"/>
    <s v="Lepomis"/>
    <s v="gibbosus"/>
    <s v="U"/>
    <x v="0"/>
    <n v="8"/>
    <n v="11.81"/>
    <x v="45"/>
    <s v="763051-92-9"/>
    <x v="45"/>
    <n v="0.218"/>
  </r>
  <r>
    <s v="PU065-JBA-08162021"/>
    <s v="Down"/>
    <x v="1"/>
    <s v="Pumpkinseed"/>
    <s v="Lepomis"/>
    <s v="gibbosus"/>
    <s v="U"/>
    <x v="0"/>
    <n v="8"/>
    <n v="11.81"/>
    <x v="46"/>
    <s v="13252-13-6"/>
    <x v="46"/>
    <n v="0.1565"/>
  </r>
  <r>
    <s v="PU065-JBA-08162021"/>
    <s v="Down"/>
    <x v="1"/>
    <s v="Pumpkinseed"/>
    <s v="Lepomis"/>
    <s v="gibbosus"/>
    <s v="U"/>
    <x v="0"/>
    <n v="8"/>
    <n v="11.81"/>
    <x v="47"/>
    <s v="57677-95-9"/>
    <x v="47"/>
    <n v="0.218"/>
  </r>
  <r>
    <s v="PU065-JBA-08162021"/>
    <s v="Down"/>
    <x v="1"/>
    <s v="Pumpkinseed"/>
    <s v="Lepomis"/>
    <s v="gibbosus"/>
    <s v="U"/>
    <x v="0"/>
    <n v="8"/>
    <n v="11.81"/>
    <x v="48"/>
    <s v="678-41-1"/>
    <x v="48"/>
    <n v="0.218"/>
  </r>
  <r>
    <s v="PU065-JBA-08162021"/>
    <s v="Down"/>
    <x v="1"/>
    <s v="Pumpkinseed"/>
    <s v="Lepomis"/>
    <s v="gibbosus"/>
    <s v="U"/>
    <x v="0"/>
    <n v="8"/>
    <n v="11.81"/>
    <x v="49"/>
    <s v="2965-52-8"/>
    <x v="49"/>
    <n v="0.218"/>
  </r>
  <r>
    <s v="PU066-JBA-08162021"/>
    <s v="Down"/>
    <x v="1"/>
    <s v="Pumpkinseed"/>
    <s v="Lepomis"/>
    <s v="gibbosus"/>
    <s v="U"/>
    <x v="0"/>
    <n v="8"/>
    <n v="11.81"/>
    <x v="0"/>
    <s v="375-22-4"/>
    <x v="0"/>
    <n v="0.2135"/>
  </r>
  <r>
    <s v="PU066-JBA-08162021"/>
    <s v="Down"/>
    <x v="1"/>
    <s v="Pumpkinseed"/>
    <s v="Lepomis"/>
    <s v="gibbosus"/>
    <s v="U"/>
    <x v="0"/>
    <n v="8"/>
    <n v="11.81"/>
    <x v="1"/>
    <s v="2706-90-3"/>
    <x v="1"/>
    <n v="0.2135"/>
  </r>
  <r>
    <s v="PU066-JBA-08162021"/>
    <s v="Down"/>
    <x v="1"/>
    <s v="Pumpkinseed"/>
    <s v="Lepomis"/>
    <s v="gibbosus"/>
    <s v="U"/>
    <x v="0"/>
    <n v="8"/>
    <n v="11.81"/>
    <x v="2"/>
    <s v="307-24-4"/>
    <x v="2"/>
    <n v="0.11550000000000001"/>
  </r>
  <r>
    <s v="PU066-JBA-08162021"/>
    <s v="Down"/>
    <x v="1"/>
    <s v="Pumpkinseed"/>
    <s v="Lepomis"/>
    <s v="gibbosus"/>
    <s v="U"/>
    <x v="0"/>
    <n v="8"/>
    <n v="11.81"/>
    <x v="3"/>
    <s v="375-85-9"/>
    <x v="3"/>
    <n v="0.2135"/>
  </r>
  <r>
    <s v="PU066-JBA-08162021"/>
    <s v="Down"/>
    <x v="1"/>
    <s v="Pumpkinseed"/>
    <s v="Lepomis"/>
    <s v="gibbosus"/>
    <s v="U"/>
    <x v="0"/>
    <n v="8"/>
    <n v="11.81"/>
    <x v="4"/>
    <s v="335-67-1"/>
    <x v="4"/>
    <n v="0.29699999999999999"/>
  </r>
  <r>
    <s v="PU066-JBA-08162021"/>
    <s v="Down"/>
    <x v="1"/>
    <s v="Pumpkinseed"/>
    <s v="Lepomis"/>
    <s v="gibbosus"/>
    <s v="U"/>
    <x v="0"/>
    <n v="8"/>
    <n v="11.81"/>
    <x v="5"/>
    <s v="375-95-1"/>
    <x v="5"/>
    <n v="0.14799999999999999"/>
  </r>
  <r>
    <s v="PU066-JBA-08162021"/>
    <s v="Down"/>
    <x v="1"/>
    <s v="Pumpkinseed"/>
    <s v="Lepomis"/>
    <s v="gibbosus"/>
    <s v="U"/>
    <x v="0"/>
    <n v="8"/>
    <n v="11.81"/>
    <x v="6"/>
    <s v="335-76-2"/>
    <x v="6"/>
    <n v="3.35"/>
  </r>
  <r>
    <s v="PU066-JBA-08162021"/>
    <s v="Down"/>
    <x v="1"/>
    <s v="Pumpkinseed"/>
    <s v="Lepomis"/>
    <s v="gibbosus"/>
    <s v="U"/>
    <x v="0"/>
    <n v="8"/>
    <n v="11.81"/>
    <x v="7"/>
    <s v="2058-94-8"/>
    <x v="7"/>
    <n v="5.5"/>
  </r>
  <r>
    <s v="PU066-JBA-08162021"/>
    <s v="Down"/>
    <x v="1"/>
    <s v="Pumpkinseed"/>
    <s v="Lepomis"/>
    <s v="gibbosus"/>
    <s v="U"/>
    <x v="0"/>
    <n v="8"/>
    <n v="11.81"/>
    <x v="8"/>
    <s v="307-55-1"/>
    <x v="8"/>
    <n v="21.5"/>
  </r>
  <r>
    <s v="PU066-JBA-08162021"/>
    <s v="Down"/>
    <x v="1"/>
    <s v="Pumpkinseed"/>
    <s v="Lepomis"/>
    <s v="gibbosus"/>
    <s v="U"/>
    <x v="0"/>
    <n v="8"/>
    <n v="11.81"/>
    <x v="9"/>
    <s v="72629-94-8"/>
    <x v="9"/>
    <n v="5.17"/>
  </r>
  <r>
    <s v="PU066-JBA-08162021"/>
    <s v="Down"/>
    <x v="1"/>
    <s v="Pumpkinseed"/>
    <s v="Lepomis"/>
    <s v="gibbosus"/>
    <s v="U"/>
    <x v="0"/>
    <n v="8"/>
    <n v="11.81"/>
    <x v="10"/>
    <s v="376-06-7"/>
    <x v="10"/>
    <n v="20.8"/>
  </r>
  <r>
    <s v="PU066-JBA-08162021"/>
    <s v="Down"/>
    <x v="1"/>
    <s v="Pumpkinseed"/>
    <s v="Lepomis"/>
    <s v="gibbosus"/>
    <s v="U"/>
    <x v="0"/>
    <n v="8"/>
    <n v="11.81"/>
    <x v="11"/>
    <s v="67905-19-5"/>
    <x v="11"/>
    <n v="0.2545"/>
  </r>
  <r>
    <s v="PU066-JBA-08162021"/>
    <s v="Down"/>
    <x v="1"/>
    <s v="Pumpkinseed"/>
    <s v="Lepomis"/>
    <s v="gibbosus"/>
    <s v="U"/>
    <x v="0"/>
    <n v="8"/>
    <n v="11.81"/>
    <x v="12"/>
    <s v="423-41-6"/>
    <x v="12"/>
    <n v="0.42699999999999999"/>
  </r>
  <r>
    <s v="PU066-JBA-08162021"/>
    <s v="Down"/>
    <x v="1"/>
    <s v="Pumpkinseed"/>
    <s v="Lepomis"/>
    <s v="gibbosus"/>
    <s v="U"/>
    <x v="0"/>
    <n v="8"/>
    <n v="11.81"/>
    <x v="13"/>
    <s v="375-73-5"/>
    <x v="13"/>
    <n v="0.14549999999999999"/>
  </r>
  <r>
    <s v="PU066-JBA-08162021"/>
    <s v="Down"/>
    <x v="1"/>
    <s v="Pumpkinseed"/>
    <s v="Lepomis"/>
    <s v="gibbosus"/>
    <s v="U"/>
    <x v="0"/>
    <n v="8"/>
    <n v="11.81"/>
    <x v="14"/>
    <s v="2706-91-4"/>
    <x v="14"/>
    <n v="0.113"/>
  </r>
  <r>
    <s v="PU066-JBA-08162021"/>
    <s v="Down"/>
    <x v="1"/>
    <s v="Pumpkinseed"/>
    <s v="Lepomis"/>
    <s v="gibbosus"/>
    <s v="U"/>
    <x v="0"/>
    <n v="8"/>
    <n v="11.81"/>
    <x v="15"/>
    <s v="355-46-4"/>
    <x v="15"/>
    <n v="8.3800000000000008"/>
  </r>
  <r>
    <s v="PU066-JBA-08162021"/>
    <s v="Down"/>
    <x v="1"/>
    <s v="Pumpkinseed"/>
    <s v="Lepomis"/>
    <s v="gibbosus"/>
    <s v="U"/>
    <x v="0"/>
    <n v="8"/>
    <n v="11.81"/>
    <x v="16"/>
    <s v="375-92-8"/>
    <x v="16"/>
    <n v="1.58"/>
  </r>
  <r>
    <s v="PU066-JBA-08162021"/>
    <s v="Down"/>
    <x v="1"/>
    <s v="Pumpkinseed"/>
    <s v="Lepomis"/>
    <s v="gibbosus"/>
    <s v="U"/>
    <x v="0"/>
    <n v="8"/>
    <n v="11.81"/>
    <x v="17"/>
    <s v="1763-23-1"/>
    <x v="17"/>
    <n v="511"/>
  </r>
  <r>
    <s v="PU066-JBA-08162021"/>
    <s v="Down"/>
    <x v="1"/>
    <s v="Pumpkinseed"/>
    <s v="Lepomis"/>
    <s v="gibbosus"/>
    <s v="U"/>
    <x v="0"/>
    <n v="8"/>
    <n v="11.81"/>
    <x v="18"/>
    <s v="68259-12-1"/>
    <x v="18"/>
    <n v="1.1100000000000001"/>
  </r>
  <r>
    <s v="PU066-JBA-08162021"/>
    <s v="Down"/>
    <x v="1"/>
    <s v="Pumpkinseed"/>
    <s v="Lepomis"/>
    <s v="gibbosus"/>
    <s v="U"/>
    <x v="0"/>
    <n v="8"/>
    <n v="11.81"/>
    <x v="19"/>
    <s v="335-77-3"/>
    <x v="19"/>
    <n v="1.37"/>
  </r>
  <r>
    <s v="PU066-JBA-08162021"/>
    <s v="Down"/>
    <x v="1"/>
    <s v="Pumpkinseed"/>
    <s v="Lepomis"/>
    <s v="gibbosus"/>
    <s v="U"/>
    <x v="0"/>
    <n v="8"/>
    <n v="11.81"/>
    <x v="20"/>
    <s v="79780-39-5"/>
    <x v="20"/>
    <n v="0.22850000000000001"/>
  </r>
  <r>
    <s v="PU066-JBA-08162021"/>
    <s v="Down"/>
    <x v="1"/>
    <s v="Pumpkinseed"/>
    <s v="Lepomis"/>
    <s v="gibbosus"/>
    <s v="U"/>
    <x v="0"/>
    <n v="8"/>
    <n v="11.81"/>
    <x v="21"/>
    <s v="777011-38-8"/>
    <x v="21"/>
    <n v="0.13"/>
  </r>
  <r>
    <s v="PU066-JBA-08162021"/>
    <s v="Down"/>
    <x v="1"/>
    <s v="Pumpkinseed"/>
    <s v="Lepomis"/>
    <s v="gibbosus"/>
    <s v="U"/>
    <x v="0"/>
    <n v="8"/>
    <n v="11.81"/>
    <x v="22"/>
    <s v="646-83-3"/>
    <x v="22"/>
    <n v="8.5500000000000007E-2"/>
  </r>
  <r>
    <s v="PU066-JBA-08162021"/>
    <s v="Down"/>
    <x v="1"/>
    <s v="Pumpkinseed"/>
    <s v="Lepomis"/>
    <s v="gibbosus"/>
    <s v="U"/>
    <x v="0"/>
    <n v="8"/>
    <n v="11.81"/>
    <x v="23"/>
    <s v="30334-69-1"/>
    <x v="23"/>
    <n v="34.6"/>
  </r>
  <r>
    <s v="PU066-JBA-08162021"/>
    <s v="Down"/>
    <x v="1"/>
    <s v="Pumpkinseed"/>
    <s v="Lepomis"/>
    <s v="gibbosus"/>
    <s v="U"/>
    <x v="0"/>
    <n v="8"/>
    <n v="11.81"/>
    <x v="24"/>
    <s v="41997-13-1"/>
    <x v="24"/>
    <n v="66.3"/>
  </r>
  <r>
    <s v="PU066-JBA-08162021"/>
    <s v="Down"/>
    <x v="1"/>
    <s v="Pumpkinseed"/>
    <s v="Lepomis"/>
    <s v="gibbosus"/>
    <s v="U"/>
    <x v="0"/>
    <n v="8"/>
    <n v="11.81"/>
    <x v="25"/>
    <s v="754-91-6"/>
    <x v="25"/>
    <n v="6.82"/>
  </r>
  <r>
    <s v="PU066-JBA-08162021"/>
    <s v="Down"/>
    <x v="1"/>
    <s v="Pumpkinseed"/>
    <s v="Lepomis"/>
    <s v="gibbosus"/>
    <s v="U"/>
    <x v="0"/>
    <n v="8"/>
    <n v="11.81"/>
    <x v="26"/>
    <s v="31506-32-8"/>
    <x v="26"/>
    <n v="0.16450000000000001"/>
  </r>
  <r>
    <s v="PU066-JBA-08162021"/>
    <s v="Down"/>
    <x v="1"/>
    <s v="Pumpkinseed"/>
    <s v="Lepomis"/>
    <s v="gibbosus"/>
    <s v="U"/>
    <x v="0"/>
    <n v="8"/>
    <n v="11.81"/>
    <x v="27"/>
    <s v="4151-50-2"/>
    <x v="27"/>
    <n v="0.42699999999999999"/>
  </r>
  <r>
    <s v="PU066-JBA-08162021"/>
    <s v="Down"/>
    <x v="1"/>
    <s v="Pumpkinseed"/>
    <s v="Lepomis"/>
    <s v="gibbosus"/>
    <s v="U"/>
    <x v="0"/>
    <n v="8"/>
    <n v="11.81"/>
    <x v="28"/>
    <s v="2806-24-8"/>
    <x v="28"/>
    <n v="0.42699999999999999"/>
  </r>
  <r>
    <s v="PU066-JBA-08162021"/>
    <s v="Down"/>
    <x v="1"/>
    <s v="Pumpkinseed"/>
    <s v="Lepomis"/>
    <s v="gibbosus"/>
    <s v="U"/>
    <x v="0"/>
    <n v="8"/>
    <n v="11.81"/>
    <x v="29"/>
    <s v="2355-31-9"/>
    <x v="29"/>
    <n v="0.215"/>
  </r>
  <r>
    <s v="PU066-JBA-08162021"/>
    <s v="Down"/>
    <x v="1"/>
    <s v="Pumpkinseed"/>
    <s v="Lepomis"/>
    <s v="gibbosus"/>
    <s v="U"/>
    <x v="0"/>
    <n v="8"/>
    <n v="11.81"/>
    <x v="30"/>
    <s v="2991-50-6"/>
    <x v="30"/>
    <n v="0.2135"/>
  </r>
  <r>
    <s v="PU066-JBA-08162021"/>
    <s v="Down"/>
    <x v="1"/>
    <s v="Pumpkinseed"/>
    <s v="Lepomis"/>
    <s v="gibbosus"/>
    <s v="U"/>
    <x v="0"/>
    <n v="8"/>
    <n v="11.81"/>
    <x v="31"/>
    <s v="757124-72-4"/>
    <x v="31"/>
    <n v="0.2135"/>
  </r>
  <r>
    <s v="PU066-JBA-08162021"/>
    <s v="Down"/>
    <x v="1"/>
    <s v="Pumpkinseed"/>
    <s v="Lepomis"/>
    <s v="gibbosus"/>
    <s v="U"/>
    <x v="0"/>
    <n v="8"/>
    <n v="11.81"/>
    <x v="32"/>
    <s v="27619-97-2"/>
    <x v="32"/>
    <n v="0.2135"/>
  </r>
  <r>
    <s v="PU066-JBA-08162021"/>
    <s v="Down"/>
    <x v="1"/>
    <s v="Pumpkinseed"/>
    <s v="Lepomis"/>
    <s v="gibbosus"/>
    <s v="U"/>
    <x v="0"/>
    <n v="8"/>
    <n v="11.81"/>
    <x v="33"/>
    <s v="39108-34-4"/>
    <x v="33"/>
    <n v="1.45"/>
  </r>
  <r>
    <s v="PU066-JBA-08162021"/>
    <s v="Down"/>
    <x v="1"/>
    <s v="Pumpkinseed"/>
    <s v="Lepomis"/>
    <s v="gibbosus"/>
    <s v="U"/>
    <x v="0"/>
    <n v="8"/>
    <n v="11.81"/>
    <x v="34"/>
    <s v="120226-60-0"/>
    <x v="34"/>
    <n v="0.42699999999999999"/>
  </r>
  <r>
    <s v="PU066-JBA-08162021"/>
    <s v="Down"/>
    <x v="1"/>
    <s v="Pumpkinseed"/>
    <s v="Lepomis"/>
    <s v="gibbosus"/>
    <s v="U"/>
    <x v="0"/>
    <n v="8"/>
    <n v="11.81"/>
    <x v="35"/>
    <s v="356-02-5"/>
    <x v="35"/>
    <n v="0.2465"/>
  </r>
  <r>
    <s v="PU066-JBA-08162021"/>
    <s v="Down"/>
    <x v="1"/>
    <s v="Pumpkinseed"/>
    <s v="Lepomis"/>
    <s v="gibbosus"/>
    <s v="U"/>
    <x v="0"/>
    <n v="8"/>
    <n v="11.81"/>
    <x v="36"/>
    <s v="914637-49-3"/>
    <x v="36"/>
    <n v="3.52"/>
  </r>
  <r>
    <s v="PU066-JBA-08162021"/>
    <s v="Down"/>
    <x v="1"/>
    <s v="Pumpkinseed"/>
    <s v="Lepomis"/>
    <s v="gibbosus"/>
    <s v="U"/>
    <x v="0"/>
    <n v="8"/>
    <n v="11.81"/>
    <x v="37"/>
    <s v="812-70-4"/>
    <x v="37"/>
    <n v="6.91"/>
  </r>
  <r>
    <s v="PU066-JBA-08162021"/>
    <s v="Down"/>
    <x v="1"/>
    <s v="Pumpkinseed"/>
    <s v="Lepomis"/>
    <s v="gibbosus"/>
    <s v="U"/>
    <x v="0"/>
    <n v="8"/>
    <n v="11.81"/>
    <x v="38"/>
    <s v="53826-12-3"/>
    <x v="38"/>
    <n v="0.42699999999999999"/>
  </r>
  <r>
    <s v="PU066-JBA-08162021"/>
    <s v="Down"/>
    <x v="1"/>
    <s v="Pumpkinseed"/>
    <s v="Lepomis"/>
    <s v="gibbosus"/>
    <s v="U"/>
    <x v="0"/>
    <n v="8"/>
    <n v="11.81"/>
    <x v="39"/>
    <s v="27854-31-5"/>
    <x v="39"/>
    <n v="0.42699999999999999"/>
  </r>
  <r>
    <s v="PU066-JBA-08162021"/>
    <s v="Down"/>
    <x v="1"/>
    <s v="Pumpkinseed"/>
    <s v="Lepomis"/>
    <s v="gibbosus"/>
    <s v="U"/>
    <x v="0"/>
    <n v="8"/>
    <n v="11.81"/>
    <x v="40"/>
    <s v="53826-13-4"/>
    <x v="40"/>
    <n v="0.42699999999999999"/>
  </r>
  <r>
    <s v="PU066-JBA-08162021"/>
    <s v="Down"/>
    <x v="1"/>
    <s v="Pumpkinseed"/>
    <s v="Lepomis"/>
    <s v="gibbosus"/>
    <s v="U"/>
    <x v="0"/>
    <n v="8"/>
    <n v="11.81"/>
    <x v="41"/>
    <s v="161094-75-3"/>
    <x v="41"/>
    <n v="0.42699999999999999"/>
  </r>
  <r>
    <s v="PU066-JBA-08162021"/>
    <s v="Down"/>
    <x v="1"/>
    <s v="Pumpkinseed"/>
    <s v="Lepomis"/>
    <s v="gibbosus"/>
    <s v="U"/>
    <x v="0"/>
    <n v="8"/>
    <n v="11.81"/>
    <x v="42"/>
    <s v="70887-84-2"/>
    <x v="42"/>
    <n v="0.42699999999999999"/>
  </r>
  <r>
    <s v="PU066-JBA-08162021"/>
    <s v="Down"/>
    <x v="1"/>
    <s v="Pumpkinseed"/>
    <s v="Lepomis"/>
    <s v="gibbosus"/>
    <s v="U"/>
    <x v="0"/>
    <n v="8"/>
    <n v="11.81"/>
    <x v="43"/>
    <s v="919005-14-4"/>
    <x v="43"/>
    <n v="0.2135"/>
  </r>
  <r>
    <s v="PU066-JBA-08162021"/>
    <s v="Down"/>
    <x v="1"/>
    <s v="Pumpkinseed"/>
    <s v="Lepomis"/>
    <s v="gibbosus"/>
    <s v="U"/>
    <x v="0"/>
    <n v="8"/>
    <n v="11.81"/>
    <x v="44"/>
    <s v="756426-58-1"/>
    <x v="44"/>
    <n v="0.42699999999999999"/>
  </r>
  <r>
    <s v="PU066-JBA-08162021"/>
    <s v="Down"/>
    <x v="1"/>
    <s v="Pumpkinseed"/>
    <s v="Lepomis"/>
    <s v="gibbosus"/>
    <s v="U"/>
    <x v="0"/>
    <n v="8"/>
    <n v="11.81"/>
    <x v="45"/>
    <s v="763051-92-9"/>
    <x v="45"/>
    <n v="0.42699999999999999"/>
  </r>
  <r>
    <s v="PU066-JBA-08162021"/>
    <s v="Down"/>
    <x v="1"/>
    <s v="Pumpkinseed"/>
    <s v="Lepomis"/>
    <s v="gibbosus"/>
    <s v="U"/>
    <x v="0"/>
    <n v="8"/>
    <n v="11.81"/>
    <x v="46"/>
    <s v="13252-13-6"/>
    <x v="46"/>
    <n v="0.30649999999999999"/>
  </r>
  <r>
    <s v="PU066-JBA-08162021"/>
    <s v="Down"/>
    <x v="1"/>
    <s v="Pumpkinseed"/>
    <s v="Lepomis"/>
    <s v="gibbosus"/>
    <s v="U"/>
    <x v="0"/>
    <n v="8"/>
    <n v="11.81"/>
    <x v="47"/>
    <s v="57677-95-9"/>
    <x v="47"/>
    <n v="0.42699999999999999"/>
  </r>
  <r>
    <s v="PU066-JBA-08162021"/>
    <s v="Down"/>
    <x v="1"/>
    <s v="Pumpkinseed"/>
    <s v="Lepomis"/>
    <s v="gibbosus"/>
    <s v="U"/>
    <x v="0"/>
    <n v="8"/>
    <n v="11.81"/>
    <x v="48"/>
    <s v="678-41-1"/>
    <x v="48"/>
    <n v="0.42699999999999999"/>
  </r>
  <r>
    <s v="PU066-JBA-08162021"/>
    <s v="Down"/>
    <x v="1"/>
    <s v="Pumpkinseed"/>
    <s v="Lepomis"/>
    <s v="gibbosus"/>
    <s v="U"/>
    <x v="0"/>
    <n v="8"/>
    <n v="11.81"/>
    <x v="49"/>
    <s v="2965-52-8"/>
    <x v="49"/>
    <n v="0.42699999999999999"/>
  </r>
  <r>
    <s v="PU067-JBA-08162021"/>
    <s v="Down"/>
    <x v="1"/>
    <s v="Pumpkinseed"/>
    <s v="Lepomis"/>
    <s v="gibbosus"/>
    <s v="U"/>
    <x v="0"/>
    <n v="8"/>
    <n v="11.81"/>
    <x v="0"/>
    <s v="375-22-4"/>
    <x v="0"/>
    <n v="0.2165"/>
  </r>
  <r>
    <s v="PU067-JBA-08162021"/>
    <s v="Down"/>
    <x v="1"/>
    <s v="Pumpkinseed"/>
    <s v="Lepomis"/>
    <s v="gibbosus"/>
    <s v="U"/>
    <x v="0"/>
    <n v="8"/>
    <n v="11.81"/>
    <x v="1"/>
    <s v="2706-90-3"/>
    <x v="1"/>
    <n v="0.2165"/>
  </r>
  <r>
    <s v="PU067-JBA-08162021"/>
    <s v="Down"/>
    <x v="1"/>
    <s v="Pumpkinseed"/>
    <s v="Lepomis"/>
    <s v="gibbosus"/>
    <s v="U"/>
    <x v="0"/>
    <n v="8"/>
    <n v="11.81"/>
    <x v="2"/>
    <s v="307-24-4"/>
    <x v="2"/>
    <n v="0.11700000000000001"/>
  </r>
  <r>
    <s v="PU067-JBA-08162021"/>
    <s v="Down"/>
    <x v="1"/>
    <s v="Pumpkinseed"/>
    <s v="Lepomis"/>
    <s v="gibbosus"/>
    <s v="U"/>
    <x v="0"/>
    <n v="8"/>
    <n v="11.81"/>
    <x v="3"/>
    <s v="375-85-9"/>
    <x v="3"/>
    <n v="0.79800000000000004"/>
  </r>
  <r>
    <s v="PU067-JBA-08162021"/>
    <s v="Down"/>
    <x v="1"/>
    <s v="Pumpkinseed"/>
    <s v="Lepomis"/>
    <s v="gibbosus"/>
    <s v="U"/>
    <x v="0"/>
    <n v="8"/>
    <n v="11.81"/>
    <x v="4"/>
    <s v="335-67-1"/>
    <x v="4"/>
    <n v="0.93799999999999994"/>
  </r>
  <r>
    <s v="PU067-JBA-08162021"/>
    <s v="Down"/>
    <x v="1"/>
    <s v="Pumpkinseed"/>
    <s v="Lepomis"/>
    <s v="gibbosus"/>
    <s v="U"/>
    <x v="0"/>
    <n v="8"/>
    <n v="11.81"/>
    <x v="5"/>
    <s v="375-95-1"/>
    <x v="5"/>
    <n v="0.15"/>
  </r>
  <r>
    <s v="PU067-JBA-08162021"/>
    <s v="Down"/>
    <x v="1"/>
    <s v="Pumpkinseed"/>
    <s v="Lepomis"/>
    <s v="gibbosus"/>
    <s v="U"/>
    <x v="0"/>
    <n v="8"/>
    <n v="11.81"/>
    <x v="6"/>
    <s v="335-76-2"/>
    <x v="6"/>
    <n v="4.6500000000000004"/>
  </r>
  <r>
    <s v="PU067-JBA-08162021"/>
    <s v="Down"/>
    <x v="1"/>
    <s v="Pumpkinseed"/>
    <s v="Lepomis"/>
    <s v="gibbosus"/>
    <s v="U"/>
    <x v="0"/>
    <n v="8"/>
    <n v="11.81"/>
    <x v="7"/>
    <s v="2058-94-8"/>
    <x v="7"/>
    <n v="7.11"/>
  </r>
  <r>
    <s v="PU067-JBA-08162021"/>
    <s v="Down"/>
    <x v="1"/>
    <s v="Pumpkinseed"/>
    <s v="Lepomis"/>
    <s v="gibbosus"/>
    <s v="U"/>
    <x v="0"/>
    <n v="8"/>
    <n v="11.81"/>
    <x v="8"/>
    <s v="307-55-1"/>
    <x v="8"/>
    <n v="7.12"/>
  </r>
  <r>
    <s v="PU067-JBA-08162021"/>
    <s v="Down"/>
    <x v="1"/>
    <s v="Pumpkinseed"/>
    <s v="Lepomis"/>
    <s v="gibbosus"/>
    <s v="U"/>
    <x v="0"/>
    <n v="8"/>
    <n v="11.81"/>
    <x v="9"/>
    <s v="72629-94-8"/>
    <x v="9"/>
    <n v="1.28"/>
  </r>
  <r>
    <s v="PU067-JBA-08162021"/>
    <s v="Down"/>
    <x v="1"/>
    <s v="Pumpkinseed"/>
    <s v="Lepomis"/>
    <s v="gibbosus"/>
    <s v="U"/>
    <x v="0"/>
    <n v="8"/>
    <n v="11.81"/>
    <x v="10"/>
    <s v="376-06-7"/>
    <x v="10"/>
    <n v="4.12"/>
  </r>
  <r>
    <s v="PU067-JBA-08162021"/>
    <s v="Down"/>
    <x v="1"/>
    <s v="Pumpkinseed"/>
    <s v="Lepomis"/>
    <s v="gibbosus"/>
    <s v="U"/>
    <x v="0"/>
    <n v="8"/>
    <n v="11.81"/>
    <x v="11"/>
    <s v="67905-19-5"/>
    <x v="11"/>
    <n v="0.25800000000000001"/>
  </r>
  <r>
    <s v="PU067-JBA-08162021"/>
    <s v="Down"/>
    <x v="1"/>
    <s v="Pumpkinseed"/>
    <s v="Lepomis"/>
    <s v="gibbosus"/>
    <s v="U"/>
    <x v="0"/>
    <n v="8"/>
    <n v="11.81"/>
    <x v="12"/>
    <s v="423-41-6"/>
    <x v="12"/>
    <n v="0.433"/>
  </r>
  <r>
    <s v="PU067-JBA-08162021"/>
    <s v="Down"/>
    <x v="1"/>
    <s v="Pumpkinseed"/>
    <s v="Lepomis"/>
    <s v="gibbosus"/>
    <s v="U"/>
    <x v="0"/>
    <n v="8"/>
    <n v="11.81"/>
    <x v="13"/>
    <s v="375-73-5"/>
    <x v="13"/>
    <n v="0.14749999999999999"/>
  </r>
  <r>
    <s v="PU067-JBA-08162021"/>
    <s v="Down"/>
    <x v="1"/>
    <s v="Pumpkinseed"/>
    <s v="Lepomis"/>
    <s v="gibbosus"/>
    <s v="U"/>
    <x v="0"/>
    <n v="8"/>
    <n v="11.81"/>
    <x v="14"/>
    <s v="2706-91-4"/>
    <x v="14"/>
    <n v="0.1145"/>
  </r>
  <r>
    <s v="PU067-JBA-08162021"/>
    <s v="Down"/>
    <x v="1"/>
    <s v="Pumpkinseed"/>
    <s v="Lepomis"/>
    <s v="gibbosus"/>
    <s v="U"/>
    <x v="0"/>
    <n v="8"/>
    <n v="11.81"/>
    <x v="15"/>
    <s v="355-46-4"/>
    <x v="15"/>
    <n v="11.1"/>
  </r>
  <r>
    <s v="PU067-JBA-08162021"/>
    <s v="Down"/>
    <x v="1"/>
    <s v="Pumpkinseed"/>
    <s v="Lepomis"/>
    <s v="gibbosus"/>
    <s v="U"/>
    <x v="0"/>
    <n v="8"/>
    <n v="11.81"/>
    <x v="16"/>
    <s v="375-92-8"/>
    <x v="16"/>
    <n v="2.74"/>
  </r>
  <r>
    <s v="PU067-JBA-08162021"/>
    <s v="Down"/>
    <x v="1"/>
    <s v="Pumpkinseed"/>
    <s v="Lepomis"/>
    <s v="gibbosus"/>
    <s v="U"/>
    <x v="0"/>
    <n v="8"/>
    <n v="11.81"/>
    <x v="17"/>
    <s v="1763-23-1"/>
    <x v="17"/>
    <n v="553"/>
  </r>
  <r>
    <s v="PU067-JBA-08162021"/>
    <s v="Down"/>
    <x v="1"/>
    <s v="Pumpkinseed"/>
    <s v="Lepomis"/>
    <s v="gibbosus"/>
    <s v="U"/>
    <x v="0"/>
    <n v="8"/>
    <n v="11.81"/>
    <x v="18"/>
    <s v="68259-12-1"/>
    <x v="18"/>
    <n v="1.32"/>
  </r>
  <r>
    <s v="PU067-JBA-08162021"/>
    <s v="Down"/>
    <x v="1"/>
    <s v="Pumpkinseed"/>
    <s v="Lepomis"/>
    <s v="gibbosus"/>
    <s v="U"/>
    <x v="0"/>
    <n v="8"/>
    <n v="11.81"/>
    <x v="19"/>
    <s v="335-77-3"/>
    <x v="19"/>
    <n v="1.18"/>
  </r>
  <r>
    <s v="PU067-JBA-08162021"/>
    <s v="Down"/>
    <x v="1"/>
    <s v="Pumpkinseed"/>
    <s v="Lepomis"/>
    <s v="gibbosus"/>
    <s v="U"/>
    <x v="0"/>
    <n v="8"/>
    <n v="11.81"/>
    <x v="20"/>
    <s v="79780-39-5"/>
    <x v="20"/>
    <n v="0.23150000000000001"/>
  </r>
  <r>
    <s v="PU067-JBA-08162021"/>
    <s v="Down"/>
    <x v="1"/>
    <s v="Pumpkinseed"/>
    <s v="Lepomis"/>
    <s v="gibbosus"/>
    <s v="U"/>
    <x v="0"/>
    <n v="8"/>
    <n v="11.81"/>
    <x v="21"/>
    <s v="777011-38-8"/>
    <x v="21"/>
    <n v="0.13150000000000001"/>
  </r>
  <r>
    <s v="PU067-JBA-08162021"/>
    <s v="Down"/>
    <x v="1"/>
    <s v="Pumpkinseed"/>
    <s v="Lepomis"/>
    <s v="gibbosus"/>
    <s v="U"/>
    <x v="0"/>
    <n v="8"/>
    <n v="11.81"/>
    <x v="22"/>
    <s v="646-83-3"/>
    <x v="22"/>
    <n v="0.22600000000000001"/>
  </r>
  <r>
    <s v="PU067-JBA-08162021"/>
    <s v="Down"/>
    <x v="1"/>
    <s v="Pumpkinseed"/>
    <s v="Lepomis"/>
    <s v="gibbosus"/>
    <s v="U"/>
    <x v="0"/>
    <n v="8"/>
    <n v="11.81"/>
    <x v="23"/>
    <s v="30334-69-1"/>
    <x v="23"/>
    <n v="29.8"/>
  </r>
  <r>
    <s v="PU067-JBA-08162021"/>
    <s v="Down"/>
    <x v="1"/>
    <s v="Pumpkinseed"/>
    <s v="Lepomis"/>
    <s v="gibbosus"/>
    <s v="U"/>
    <x v="0"/>
    <n v="8"/>
    <n v="11.81"/>
    <x v="24"/>
    <s v="41997-13-1"/>
    <x v="24"/>
    <n v="141"/>
  </r>
  <r>
    <s v="PU067-JBA-08162021"/>
    <s v="Down"/>
    <x v="1"/>
    <s v="Pumpkinseed"/>
    <s v="Lepomis"/>
    <s v="gibbosus"/>
    <s v="U"/>
    <x v="0"/>
    <n v="8"/>
    <n v="11.81"/>
    <x v="25"/>
    <s v="754-91-6"/>
    <x v="25"/>
    <n v="16.399999999999999"/>
  </r>
  <r>
    <s v="PU067-JBA-08162021"/>
    <s v="Down"/>
    <x v="1"/>
    <s v="Pumpkinseed"/>
    <s v="Lepomis"/>
    <s v="gibbosus"/>
    <s v="U"/>
    <x v="0"/>
    <n v="8"/>
    <n v="11.81"/>
    <x v="26"/>
    <s v="31506-32-8"/>
    <x v="26"/>
    <n v="0.16650000000000001"/>
  </r>
  <r>
    <s v="PU067-JBA-08162021"/>
    <s v="Down"/>
    <x v="1"/>
    <s v="Pumpkinseed"/>
    <s v="Lepomis"/>
    <s v="gibbosus"/>
    <s v="U"/>
    <x v="0"/>
    <n v="8"/>
    <n v="11.81"/>
    <x v="27"/>
    <s v="4151-50-2"/>
    <x v="27"/>
    <n v="0.433"/>
  </r>
  <r>
    <s v="PU067-JBA-08162021"/>
    <s v="Down"/>
    <x v="1"/>
    <s v="Pumpkinseed"/>
    <s v="Lepomis"/>
    <s v="gibbosus"/>
    <s v="U"/>
    <x v="0"/>
    <n v="8"/>
    <n v="11.81"/>
    <x v="28"/>
    <s v="2806-24-8"/>
    <x v="28"/>
    <n v="0.433"/>
  </r>
  <r>
    <s v="PU067-JBA-08162021"/>
    <s v="Down"/>
    <x v="1"/>
    <s v="Pumpkinseed"/>
    <s v="Lepomis"/>
    <s v="gibbosus"/>
    <s v="U"/>
    <x v="0"/>
    <n v="8"/>
    <n v="11.81"/>
    <x v="29"/>
    <s v="2355-31-9"/>
    <x v="29"/>
    <n v="0.2175"/>
  </r>
  <r>
    <s v="PU067-JBA-08162021"/>
    <s v="Down"/>
    <x v="1"/>
    <s v="Pumpkinseed"/>
    <s v="Lepomis"/>
    <s v="gibbosus"/>
    <s v="U"/>
    <x v="0"/>
    <n v="8"/>
    <n v="11.81"/>
    <x v="30"/>
    <s v="2991-50-6"/>
    <x v="30"/>
    <n v="0.2165"/>
  </r>
  <r>
    <s v="PU067-JBA-08162021"/>
    <s v="Down"/>
    <x v="1"/>
    <s v="Pumpkinseed"/>
    <s v="Lepomis"/>
    <s v="gibbosus"/>
    <s v="U"/>
    <x v="0"/>
    <n v="8"/>
    <n v="11.81"/>
    <x v="31"/>
    <s v="757124-72-4"/>
    <x v="31"/>
    <n v="0.2165"/>
  </r>
  <r>
    <s v="PU067-JBA-08162021"/>
    <s v="Down"/>
    <x v="1"/>
    <s v="Pumpkinseed"/>
    <s v="Lepomis"/>
    <s v="gibbosus"/>
    <s v="U"/>
    <x v="0"/>
    <n v="8"/>
    <n v="11.81"/>
    <x v="32"/>
    <s v="27619-97-2"/>
    <x v="32"/>
    <n v="0.64800000000000002"/>
  </r>
  <r>
    <s v="PU067-JBA-08162021"/>
    <s v="Down"/>
    <x v="1"/>
    <s v="Pumpkinseed"/>
    <s v="Lepomis"/>
    <s v="gibbosus"/>
    <s v="U"/>
    <x v="0"/>
    <n v="8"/>
    <n v="11.81"/>
    <x v="33"/>
    <s v="39108-34-4"/>
    <x v="33"/>
    <n v="6.41"/>
  </r>
  <r>
    <s v="PU067-JBA-08162021"/>
    <s v="Down"/>
    <x v="1"/>
    <s v="Pumpkinseed"/>
    <s v="Lepomis"/>
    <s v="gibbosus"/>
    <s v="U"/>
    <x v="0"/>
    <n v="8"/>
    <n v="11.81"/>
    <x v="34"/>
    <s v="120226-60-0"/>
    <x v="34"/>
    <n v="0.433"/>
  </r>
  <r>
    <s v="PU067-JBA-08162021"/>
    <s v="Down"/>
    <x v="1"/>
    <s v="Pumpkinseed"/>
    <s v="Lepomis"/>
    <s v="gibbosus"/>
    <s v="U"/>
    <x v="0"/>
    <n v="8"/>
    <n v="11.81"/>
    <x v="35"/>
    <s v="356-02-5"/>
    <x v="35"/>
    <n v="0.2495"/>
  </r>
  <r>
    <s v="PU067-JBA-08162021"/>
    <s v="Down"/>
    <x v="1"/>
    <s v="Pumpkinseed"/>
    <s v="Lepomis"/>
    <s v="gibbosus"/>
    <s v="U"/>
    <x v="0"/>
    <n v="8"/>
    <n v="11.81"/>
    <x v="36"/>
    <s v="914637-49-3"/>
    <x v="36"/>
    <n v="0.2165"/>
  </r>
  <r>
    <s v="PU067-JBA-08162021"/>
    <s v="Down"/>
    <x v="1"/>
    <s v="Pumpkinseed"/>
    <s v="Lepomis"/>
    <s v="gibbosus"/>
    <s v="U"/>
    <x v="0"/>
    <n v="8"/>
    <n v="11.81"/>
    <x v="37"/>
    <s v="812-70-4"/>
    <x v="37"/>
    <n v="0.76600000000000001"/>
  </r>
  <r>
    <s v="PU067-JBA-08162021"/>
    <s v="Down"/>
    <x v="1"/>
    <s v="Pumpkinseed"/>
    <s v="Lepomis"/>
    <s v="gibbosus"/>
    <s v="U"/>
    <x v="0"/>
    <n v="8"/>
    <n v="11.81"/>
    <x v="38"/>
    <s v="53826-12-3"/>
    <x v="38"/>
    <n v="0.433"/>
  </r>
  <r>
    <s v="PU067-JBA-08162021"/>
    <s v="Down"/>
    <x v="1"/>
    <s v="Pumpkinseed"/>
    <s v="Lepomis"/>
    <s v="gibbosus"/>
    <s v="U"/>
    <x v="0"/>
    <n v="8"/>
    <n v="11.81"/>
    <x v="39"/>
    <s v="27854-31-5"/>
    <x v="39"/>
    <n v="0.433"/>
  </r>
  <r>
    <s v="PU067-JBA-08162021"/>
    <s v="Down"/>
    <x v="1"/>
    <s v="Pumpkinseed"/>
    <s v="Lepomis"/>
    <s v="gibbosus"/>
    <s v="U"/>
    <x v="0"/>
    <n v="8"/>
    <n v="11.81"/>
    <x v="40"/>
    <s v="53826-13-4"/>
    <x v="40"/>
    <n v="0.433"/>
  </r>
  <r>
    <s v="PU067-JBA-08162021"/>
    <s v="Down"/>
    <x v="1"/>
    <s v="Pumpkinseed"/>
    <s v="Lepomis"/>
    <s v="gibbosus"/>
    <s v="U"/>
    <x v="0"/>
    <n v="8"/>
    <n v="11.81"/>
    <x v="41"/>
    <s v="161094-75-3"/>
    <x v="41"/>
    <n v="0.433"/>
  </r>
  <r>
    <s v="PU067-JBA-08162021"/>
    <s v="Down"/>
    <x v="1"/>
    <s v="Pumpkinseed"/>
    <s v="Lepomis"/>
    <s v="gibbosus"/>
    <s v="U"/>
    <x v="0"/>
    <n v="8"/>
    <n v="11.81"/>
    <x v="42"/>
    <s v="70887-84-2"/>
    <x v="42"/>
    <n v="0.433"/>
  </r>
  <r>
    <s v="PU067-JBA-08162021"/>
    <s v="Down"/>
    <x v="1"/>
    <s v="Pumpkinseed"/>
    <s v="Lepomis"/>
    <s v="gibbosus"/>
    <s v="U"/>
    <x v="0"/>
    <n v="8"/>
    <n v="11.81"/>
    <x v="43"/>
    <s v="919005-14-4"/>
    <x v="43"/>
    <n v="0.71399999999999997"/>
  </r>
  <r>
    <s v="PU067-JBA-08162021"/>
    <s v="Down"/>
    <x v="1"/>
    <s v="Pumpkinseed"/>
    <s v="Lepomis"/>
    <s v="gibbosus"/>
    <s v="U"/>
    <x v="0"/>
    <n v="8"/>
    <n v="11.81"/>
    <x v="44"/>
    <s v="756426-58-1"/>
    <x v="44"/>
    <n v="0.433"/>
  </r>
  <r>
    <s v="PU067-JBA-08162021"/>
    <s v="Down"/>
    <x v="1"/>
    <s v="Pumpkinseed"/>
    <s v="Lepomis"/>
    <s v="gibbosus"/>
    <s v="U"/>
    <x v="0"/>
    <n v="8"/>
    <n v="11.81"/>
    <x v="45"/>
    <s v="763051-92-9"/>
    <x v="45"/>
    <n v="0.433"/>
  </r>
  <r>
    <s v="PU067-JBA-08162021"/>
    <s v="Down"/>
    <x v="1"/>
    <s v="Pumpkinseed"/>
    <s v="Lepomis"/>
    <s v="gibbosus"/>
    <s v="U"/>
    <x v="0"/>
    <n v="8"/>
    <n v="11.81"/>
    <x v="46"/>
    <s v="13252-13-6"/>
    <x v="46"/>
    <n v="0.3105"/>
  </r>
  <r>
    <s v="PU067-JBA-08162021"/>
    <s v="Down"/>
    <x v="1"/>
    <s v="Pumpkinseed"/>
    <s v="Lepomis"/>
    <s v="gibbosus"/>
    <s v="U"/>
    <x v="0"/>
    <n v="8"/>
    <n v="11.81"/>
    <x v="47"/>
    <s v="57677-95-9"/>
    <x v="47"/>
    <n v="0.433"/>
  </r>
  <r>
    <s v="PU067-JBA-08162021"/>
    <s v="Down"/>
    <x v="1"/>
    <s v="Pumpkinseed"/>
    <s v="Lepomis"/>
    <s v="gibbosus"/>
    <s v="U"/>
    <x v="0"/>
    <n v="8"/>
    <n v="11.81"/>
    <x v="48"/>
    <s v="678-41-1"/>
    <x v="48"/>
    <n v="0.433"/>
  </r>
  <r>
    <s v="PU067-JBA-08162021"/>
    <s v="Down"/>
    <x v="1"/>
    <s v="Pumpkinseed"/>
    <s v="Lepomis"/>
    <s v="gibbosus"/>
    <s v="U"/>
    <x v="0"/>
    <n v="8"/>
    <n v="11.81"/>
    <x v="49"/>
    <s v="2965-52-8"/>
    <x v="49"/>
    <n v="0.433"/>
  </r>
  <r>
    <s v="PU068-JBA-08162021"/>
    <s v="Down"/>
    <x v="1"/>
    <s v="Pumpkinseed"/>
    <s v="Lepomis"/>
    <s v="gibbosus"/>
    <s v="U"/>
    <x v="0"/>
    <n v="8"/>
    <n v="11.81"/>
    <x v="0"/>
    <s v="375-22-4"/>
    <x v="0"/>
    <n v="0.22450000000000001"/>
  </r>
  <r>
    <s v="PU068-JBA-08162021"/>
    <s v="Down"/>
    <x v="1"/>
    <s v="Pumpkinseed"/>
    <s v="Lepomis"/>
    <s v="gibbosus"/>
    <s v="U"/>
    <x v="0"/>
    <n v="8"/>
    <n v="11.81"/>
    <x v="1"/>
    <s v="2706-90-3"/>
    <x v="1"/>
    <n v="0.22450000000000001"/>
  </r>
  <r>
    <s v="PU068-JBA-08162021"/>
    <s v="Down"/>
    <x v="1"/>
    <s v="Pumpkinseed"/>
    <s v="Lepomis"/>
    <s v="gibbosus"/>
    <s v="U"/>
    <x v="0"/>
    <n v="8"/>
    <n v="11.81"/>
    <x v="2"/>
    <s v="307-24-4"/>
    <x v="2"/>
    <n v="0.1215"/>
  </r>
  <r>
    <s v="PU068-JBA-08162021"/>
    <s v="Down"/>
    <x v="1"/>
    <s v="Pumpkinseed"/>
    <s v="Lepomis"/>
    <s v="gibbosus"/>
    <s v="U"/>
    <x v="0"/>
    <n v="8"/>
    <n v="11.81"/>
    <x v="3"/>
    <s v="375-85-9"/>
    <x v="3"/>
    <n v="0.22450000000000001"/>
  </r>
  <r>
    <s v="PU068-JBA-08162021"/>
    <s v="Down"/>
    <x v="1"/>
    <s v="Pumpkinseed"/>
    <s v="Lepomis"/>
    <s v="gibbosus"/>
    <s v="U"/>
    <x v="0"/>
    <n v="8"/>
    <n v="11.81"/>
    <x v="4"/>
    <s v="335-67-1"/>
    <x v="4"/>
    <n v="0.49399999999999999"/>
  </r>
  <r>
    <s v="PU068-JBA-08162021"/>
    <s v="Down"/>
    <x v="1"/>
    <s v="Pumpkinseed"/>
    <s v="Lepomis"/>
    <s v="gibbosus"/>
    <s v="U"/>
    <x v="0"/>
    <n v="8"/>
    <n v="11.81"/>
    <x v="5"/>
    <s v="375-95-1"/>
    <x v="5"/>
    <n v="0.1555"/>
  </r>
  <r>
    <s v="PU068-JBA-08162021"/>
    <s v="Down"/>
    <x v="1"/>
    <s v="Pumpkinseed"/>
    <s v="Lepomis"/>
    <s v="gibbosus"/>
    <s v="U"/>
    <x v="0"/>
    <n v="8"/>
    <n v="11.81"/>
    <x v="6"/>
    <s v="335-76-2"/>
    <x v="6"/>
    <n v="3.6"/>
  </r>
  <r>
    <s v="PU068-JBA-08162021"/>
    <s v="Down"/>
    <x v="1"/>
    <s v="Pumpkinseed"/>
    <s v="Lepomis"/>
    <s v="gibbosus"/>
    <s v="U"/>
    <x v="0"/>
    <n v="8"/>
    <n v="11.81"/>
    <x v="7"/>
    <s v="2058-94-8"/>
    <x v="7"/>
    <n v="5.05"/>
  </r>
  <r>
    <s v="PU068-JBA-08162021"/>
    <s v="Down"/>
    <x v="1"/>
    <s v="Pumpkinseed"/>
    <s v="Lepomis"/>
    <s v="gibbosus"/>
    <s v="U"/>
    <x v="0"/>
    <n v="8"/>
    <n v="11.81"/>
    <x v="8"/>
    <s v="307-55-1"/>
    <x v="8"/>
    <n v="12.2"/>
  </r>
  <r>
    <s v="PU068-JBA-08162021"/>
    <s v="Down"/>
    <x v="1"/>
    <s v="Pumpkinseed"/>
    <s v="Lepomis"/>
    <s v="gibbosus"/>
    <s v="U"/>
    <x v="0"/>
    <n v="8"/>
    <n v="11.81"/>
    <x v="9"/>
    <s v="72629-94-8"/>
    <x v="9"/>
    <n v="2.4700000000000002"/>
  </r>
  <r>
    <s v="PU068-JBA-08162021"/>
    <s v="Down"/>
    <x v="1"/>
    <s v="Pumpkinseed"/>
    <s v="Lepomis"/>
    <s v="gibbosus"/>
    <s v="U"/>
    <x v="0"/>
    <n v="8"/>
    <n v="11.81"/>
    <x v="10"/>
    <s v="376-06-7"/>
    <x v="10"/>
    <n v="9.02"/>
  </r>
  <r>
    <s v="PU068-JBA-08162021"/>
    <s v="Down"/>
    <x v="1"/>
    <s v="Pumpkinseed"/>
    <s v="Lepomis"/>
    <s v="gibbosus"/>
    <s v="U"/>
    <x v="0"/>
    <n v="8"/>
    <n v="11.81"/>
    <x v="11"/>
    <s v="67905-19-5"/>
    <x v="11"/>
    <n v="0.26800000000000002"/>
  </r>
  <r>
    <s v="PU068-JBA-08162021"/>
    <s v="Down"/>
    <x v="1"/>
    <s v="Pumpkinseed"/>
    <s v="Lepomis"/>
    <s v="gibbosus"/>
    <s v="U"/>
    <x v="0"/>
    <n v="8"/>
    <n v="11.81"/>
    <x v="12"/>
    <s v="423-41-6"/>
    <x v="12"/>
    <n v="0.44950000000000001"/>
  </r>
  <r>
    <s v="PU068-JBA-08162021"/>
    <s v="Down"/>
    <x v="1"/>
    <s v="Pumpkinseed"/>
    <s v="Lepomis"/>
    <s v="gibbosus"/>
    <s v="U"/>
    <x v="0"/>
    <n v="8"/>
    <n v="11.81"/>
    <x v="13"/>
    <s v="375-73-5"/>
    <x v="13"/>
    <n v="0.153"/>
  </r>
  <r>
    <s v="PU068-JBA-08162021"/>
    <s v="Down"/>
    <x v="1"/>
    <s v="Pumpkinseed"/>
    <s v="Lepomis"/>
    <s v="gibbosus"/>
    <s v="U"/>
    <x v="0"/>
    <n v="8"/>
    <n v="11.81"/>
    <x v="14"/>
    <s v="2706-91-4"/>
    <x v="14"/>
    <n v="0.11899999999999999"/>
  </r>
  <r>
    <s v="PU068-JBA-08162021"/>
    <s v="Down"/>
    <x v="1"/>
    <s v="Pumpkinseed"/>
    <s v="Lepomis"/>
    <s v="gibbosus"/>
    <s v="U"/>
    <x v="0"/>
    <n v="8"/>
    <n v="11.81"/>
    <x v="15"/>
    <s v="355-46-4"/>
    <x v="15"/>
    <n v="5.91"/>
  </r>
  <r>
    <s v="PU068-JBA-08162021"/>
    <s v="Down"/>
    <x v="1"/>
    <s v="Pumpkinseed"/>
    <s v="Lepomis"/>
    <s v="gibbosus"/>
    <s v="U"/>
    <x v="0"/>
    <n v="8"/>
    <n v="11.81"/>
    <x v="16"/>
    <s v="375-92-8"/>
    <x v="16"/>
    <n v="1.35"/>
  </r>
  <r>
    <s v="PU068-JBA-08162021"/>
    <s v="Down"/>
    <x v="1"/>
    <s v="Pumpkinseed"/>
    <s v="Lepomis"/>
    <s v="gibbosus"/>
    <s v="U"/>
    <x v="0"/>
    <n v="8"/>
    <n v="11.81"/>
    <x v="17"/>
    <s v="1763-23-1"/>
    <x v="17"/>
    <n v="484"/>
  </r>
  <r>
    <s v="PU068-JBA-08162021"/>
    <s v="Down"/>
    <x v="1"/>
    <s v="Pumpkinseed"/>
    <s v="Lepomis"/>
    <s v="gibbosus"/>
    <s v="U"/>
    <x v="0"/>
    <n v="8"/>
    <n v="11.81"/>
    <x v="18"/>
    <s v="68259-12-1"/>
    <x v="18"/>
    <n v="1.31"/>
  </r>
  <r>
    <s v="PU068-JBA-08162021"/>
    <s v="Down"/>
    <x v="1"/>
    <s v="Pumpkinseed"/>
    <s v="Lepomis"/>
    <s v="gibbosus"/>
    <s v="U"/>
    <x v="0"/>
    <n v="8"/>
    <n v="11.81"/>
    <x v="19"/>
    <s v="335-77-3"/>
    <x v="19"/>
    <n v="1.1100000000000001"/>
  </r>
  <r>
    <s v="PU068-JBA-08162021"/>
    <s v="Down"/>
    <x v="1"/>
    <s v="Pumpkinseed"/>
    <s v="Lepomis"/>
    <s v="gibbosus"/>
    <s v="U"/>
    <x v="0"/>
    <n v="8"/>
    <n v="11.81"/>
    <x v="20"/>
    <s v="79780-39-5"/>
    <x v="20"/>
    <n v="0.24049999999999999"/>
  </r>
  <r>
    <s v="PU068-JBA-08162021"/>
    <s v="Down"/>
    <x v="1"/>
    <s v="Pumpkinseed"/>
    <s v="Lepomis"/>
    <s v="gibbosus"/>
    <s v="U"/>
    <x v="0"/>
    <n v="8"/>
    <n v="11.81"/>
    <x v="21"/>
    <s v="777011-38-8"/>
    <x v="21"/>
    <n v="0.13650000000000001"/>
  </r>
  <r>
    <s v="PU068-JBA-08162021"/>
    <s v="Down"/>
    <x v="1"/>
    <s v="Pumpkinseed"/>
    <s v="Lepomis"/>
    <s v="gibbosus"/>
    <s v="U"/>
    <x v="0"/>
    <n v="8"/>
    <n v="11.81"/>
    <x v="22"/>
    <s v="646-83-3"/>
    <x v="22"/>
    <n v="0.18"/>
  </r>
  <r>
    <s v="PU068-JBA-08162021"/>
    <s v="Down"/>
    <x v="1"/>
    <s v="Pumpkinseed"/>
    <s v="Lepomis"/>
    <s v="gibbosus"/>
    <s v="U"/>
    <x v="0"/>
    <n v="8"/>
    <n v="11.81"/>
    <x v="23"/>
    <s v="30334-69-1"/>
    <x v="23"/>
    <n v="40.700000000000003"/>
  </r>
  <r>
    <s v="PU068-JBA-08162021"/>
    <s v="Down"/>
    <x v="1"/>
    <s v="Pumpkinseed"/>
    <s v="Lepomis"/>
    <s v="gibbosus"/>
    <s v="U"/>
    <x v="0"/>
    <n v="8"/>
    <n v="11.81"/>
    <x v="24"/>
    <s v="41997-13-1"/>
    <x v="24"/>
    <n v="110"/>
  </r>
  <r>
    <s v="PU068-JBA-08162021"/>
    <s v="Down"/>
    <x v="1"/>
    <s v="Pumpkinseed"/>
    <s v="Lepomis"/>
    <s v="gibbosus"/>
    <s v="U"/>
    <x v="0"/>
    <n v="8"/>
    <n v="11.81"/>
    <x v="25"/>
    <s v="754-91-6"/>
    <x v="25"/>
    <n v="14.3"/>
  </r>
  <r>
    <s v="PU068-JBA-08162021"/>
    <s v="Down"/>
    <x v="1"/>
    <s v="Pumpkinseed"/>
    <s v="Lepomis"/>
    <s v="gibbosus"/>
    <s v="U"/>
    <x v="0"/>
    <n v="8"/>
    <n v="11.81"/>
    <x v="26"/>
    <s v="31506-32-8"/>
    <x v="26"/>
    <n v="0.17299999999999999"/>
  </r>
  <r>
    <s v="PU068-JBA-08162021"/>
    <s v="Down"/>
    <x v="1"/>
    <s v="Pumpkinseed"/>
    <s v="Lepomis"/>
    <s v="gibbosus"/>
    <s v="U"/>
    <x v="0"/>
    <n v="8"/>
    <n v="11.81"/>
    <x v="27"/>
    <s v="4151-50-2"/>
    <x v="27"/>
    <n v="0.44950000000000001"/>
  </r>
  <r>
    <s v="PU068-JBA-08162021"/>
    <s v="Down"/>
    <x v="1"/>
    <s v="Pumpkinseed"/>
    <s v="Lepomis"/>
    <s v="gibbosus"/>
    <s v="U"/>
    <x v="0"/>
    <n v="8"/>
    <n v="11.81"/>
    <x v="28"/>
    <s v="2806-24-8"/>
    <x v="28"/>
    <n v="0.44950000000000001"/>
  </r>
  <r>
    <s v="PU068-JBA-08162021"/>
    <s v="Down"/>
    <x v="1"/>
    <s v="Pumpkinseed"/>
    <s v="Lepomis"/>
    <s v="gibbosus"/>
    <s v="U"/>
    <x v="0"/>
    <n v="8"/>
    <n v="11.81"/>
    <x v="29"/>
    <s v="2355-31-9"/>
    <x v="29"/>
    <n v="0.22600000000000001"/>
  </r>
  <r>
    <s v="PU068-JBA-08162021"/>
    <s v="Down"/>
    <x v="1"/>
    <s v="Pumpkinseed"/>
    <s v="Lepomis"/>
    <s v="gibbosus"/>
    <s v="U"/>
    <x v="0"/>
    <n v="8"/>
    <n v="11.81"/>
    <x v="30"/>
    <s v="2991-50-6"/>
    <x v="30"/>
    <n v="0.22450000000000001"/>
  </r>
  <r>
    <s v="PU068-JBA-08162021"/>
    <s v="Down"/>
    <x v="1"/>
    <s v="Pumpkinseed"/>
    <s v="Lepomis"/>
    <s v="gibbosus"/>
    <s v="U"/>
    <x v="0"/>
    <n v="8"/>
    <n v="11.81"/>
    <x v="31"/>
    <s v="757124-72-4"/>
    <x v="31"/>
    <n v="0.22450000000000001"/>
  </r>
  <r>
    <s v="PU068-JBA-08162021"/>
    <s v="Down"/>
    <x v="1"/>
    <s v="Pumpkinseed"/>
    <s v="Lepomis"/>
    <s v="gibbosus"/>
    <s v="U"/>
    <x v="0"/>
    <n v="8"/>
    <n v="11.81"/>
    <x v="32"/>
    <s v="27619-97-2"/>
    <x v="32"/>
    <n v="0.22450000000000001"/>
  </r>
  <r>
    <s v="PU068-JBA-08162021"/>
    <s v="Down"/>
    <x v="1"/>
    <s v="Pumpkinseed"/>
    <s v="Lepomis"/>
    <s v="gibbosus"/>
    <s v="U"/>
    <x v="0"/>
    <n v="8"/>
    <n v="11.81"/>
    <x v="33"/>
    <s v="39108-34-4"/>
    <x v="33"/>
    <n v="3.1"/>
  </r>
  <r>
    <s v="PU068-JBA-08162021"/>
    <s v="Down"/>
    <x v="1"/>
    <s v="Pumpkinseed"/>
    <s v="Lepomis"/>
    <s v="gibbosus"/>
    <s v="U"/>
    <x v="0"/>
    <n v="8"/>
    <n v="11.81"/>
    <x v="34"/>
    <s v="120226-60-0"/>
    <x v="34"/>
    <n v="0.44950000000000001"/>
  </r>
  <r>
    <s v="PU068-JBA-08162021"/>
    <s v="Down"/>
    <x v="1"/>
    <s v="Pumpkinseed"/>
    <s v="Lepomis"/>
    <s v="gibbosus"/>
    <s v="U"/>
    <x v="0"/>
    <n v="8"/>
    <n v="11.81"/>
    <x v="35"/>
    <s v="356-02-5"/>
    <x v="35"/>
    <n v="0.25900000000000001"/>
  </r>
  <r>
    <s v="PU068-JBA-08162021"/>
    <s v="Down"/>
    <x v="1"/>
    <s v="Pumpkinseed"/>
    <s v="Lepomis"/>
    <s v="gibbosus"/>
    <s v="U"/>
    <x v="0"/>
    <n v="8"/>
    <n v="11.81"/>
    <x v="36"/>
    <s v="914637-49-3"/>
    <x v="36"/>
    <n v="0.57199999999999995"/>
  </r>
  <r>
    <s v="PU068-JBA-08162021"/>
    <s v="Down"/>
    <x v="1"/>
    <s v="Pumpkinseed"/>
    <s v="Lepomis"/>
    <s v="gibbosus"/>
    <s v="U"/>
    <x v="0"/>
    <n v="8"/>
    <n v="11.81"/>
    <x v="37"/>
    <s v="812-70-4"/>
    <x v="37"/>
    <n v="2.33"/>
  </r>
  <r>
    <s v="PU068-JBA-08162021"/>
    <s v="Down"/>
    <x v="1"/>
    <s v="Pumpkinseed"/>
    <s v="Lepomis"/>
    <s v="gibbosus"/>
    <s v="U"/>
    <x v="0"/>
    <n v="8"/>
    <n v="11.81"/>
    <x v="38"/>
    <s v="53826-12-3"/>
    <x v="38"/>
    <n v="0.44950000000000001"/>
  </r>
  <r>
    <s v="PU068-JBA-08162021"/>
    <s v="Down"/>
    <x v="1"/>
    <s v="Pumpkinseed"/>
    <s v="Lepomis"/>
    <s v="gibbosus"/>
    <s v="U"/>
    <x v="0"/>
    <n v="8"/>
    <n v="11.81"/>
    <x v="39"/>
    <s v="27854-31-5"/>
    <x v="39"/>
    <n v="0.44950000000000001"/>
  </r>
  <r>
    <s v="PU068-JBA-08162021"/>
    <s v="Down"/>
    <x v="1"/>
    <s v="Pumpkinseed"/>
    <s v="Lepomis"/>
    <s v="gibbosus"/>
    <s v="U"/>
    <x v="0"/>
    <n v="8"/>
    <n v="11.81"/>
    <x v="40"/>
    <s v="53826-13-4"/>
    <x v="40"/>
    <n v="0.44950000000000001"/>
  </r>
  <r>
    <s v="PU068-JBA-08162021"/>
    <s v="Down"/>
    <x v="1"/>
    <s v="Pumpkinseed"/>
    <s v="Lepomis"/>
    <s v="gibbosus"/>
    <s v="U"/>
    <x v="0"/>
    <n v="8"/>
    <n v="11.81"/>
    <x v="41"/>
    <s v="161094-75-3"/>
    <x v="41"/>
    <n v="0.44950000000000001"/>
  </r>
  <r>
    <s v="PU068-JBA-08162021"/>
    <s v="Down"/>
    <x v="1"/>
    <s v="Pumpkinseed"/>
    <s v="Lepomis"/>
    <s v="gibbosus"/>
    <s v="U"/>
    <x v="0"/>
    <n v="8"/>
    <n v="11.81"/>
    <x v="42"/>
    <s v="70887-84-2"/>
    <x v="42"/>
    <n v="0.44950000000000001"/>
  </r>
  <r>
    <s v="PU068-JBA-08162021"/>
    <s v="Down"/>
    <x v="1"/>
    <s v="Pumpkinseed"/>
    <s v="Lepomis"/>
    <s v="gibbosus"/>
    <s v="U"/>
    <x v="0"/>
    <n v="8"/>
    <n v="11.81"/>
    <x v="43"/>
    <s v="919005-14-4"/>
    <x v="43"/>
    <n v="0.22450000000000001"/>
  </r>
  <r>
    <s v="PU068-JBA-08162021"/>
    <s v="Down"/>
    <x v="1"/>
    <s v="Pumpkinseed"/>
    <s v="Lepomis"/>
    <s v="gibbosus"/>
    <s v="U"/>
    <x v="0"/>
    <n v="8"/>
    <n v="11.81"/>
    <x v="44"/>
    <s v="756426-58-1"/>
    <x v="44"/>
    <n v="0.44950000000000001"/>
  </r>
  <r>
    <s v="PU068-JBA-08162021"/>
    <s v="Down"/>
    <x v="1"/>
    <s v="Pumpkinseed"/>
    <s v="Lepomis"/>
    <s v="gibbosus"/>
    <s v="U"/>
    <x v="0"/>
    <n v="8"/>
    <n v="11.81"/>
    <x v="45"/>
    <s v="763051-92-9"/>
    <x v="45"/>
    <n v="0.44950000000000001"/>
  </r>
  <r>
    <s v="PU068-JBA-08162021"/>
    <s v="Down"/>
    <x v="1"/>
    <s v="Pumpkinseed"/>
    <s v="Lepomis"/>
    <s v="gibbosus"/>
    <s v="U"/>
    <x v="0"/>
    <n v="8"/>
    <n v="11.81"/>
    <x v="46"/>
    <s v="13252-13-6"/>
    <x v="46"/>
    <n v="0.32250000000000001"/>
  </r>
  <r>
    <s v="PU068-JBA-08162021"/>
    <s v="Down"/>
    <x v="1"/>
    <s v="Pumpkinseed"/>
    <s v="Lepomis"/>
    <s v="gibbosus"/>
    <s v="U"/>
    <x v="0"/>
    <n v="8"/>
    <n v="11.81"/>
    <x v="47"/>
    <s v="57677-95-9"/>
    <x v="47"/>
    <n v="0.44950000000000001"/>
  </r>
  <r>
    <s v="PU068-JBA-08162021"/>
    <s v="Down"/>
    <x v="1"/>
    <s v="Pumpkinseed"/>
    <s v="Lepomis"/>
    <s v="gibbosus"/>
    <s v="U"/>
    <x v="0"/>
    <n v="8"/>
    <n v="11.81"/>
    <x v="48"/>
    <s v="678-41-1"/>
    <x v="48"/>
    <n v="0.44950000000000001"/>
  </r>
  <r>
    <s v="PU068-JBA-08162021"/>
    <s v="Down"/>
    <x v="1"/>
    <s v="Pumpkinseed"/>
    <s v="Lepomis"/>
    <s v="gibbosus"/>
    <s v="U"/>
    <x v="0"/>
    <n v="8"/>
    <n v="11.81"/>
    <x v="49"/>
    <s v="2965-52-8"/>
    <x v="49"/>
    <n v="0.44950000000000001"/>
  </r>
  <r>
    <s v="PU069-JBA-08162021"/>
    <s v="Down"/>
    <x v="1"/>
    <s v="Pumpkinseed"/>
    <s v="Lepomis"/>
    <s v="gibbosus"/>
    <s v="U"/>
    <x v="0"/>
    <n v="8"/>
    <n v="11.81"/>
    <x v="0"/>
    <s v="375-22-4"/>
    <x v="0"/>
    <n v="0.2175"/>
  </r>
  <r>
    <s v="PU069-JBA-08162021"/>
    <s v="Down"/>
    <x v="1"/>
    <s v="Pumpkinseed"/>
    <s v="Lepomis"/>
    <s v="gibbosus"/>
    <s v="U"/>
    <x v="0"/>
    <n v="8"/>
    <n v="11.81"/>
    <x v="1"/>
    <s v="2706-90-3"/>
    <x v="1"/>
    <n v="0.2175"/>
  </r>
  <r>
    <s v="PU069-JBA-08162021"/>
    <s v="Down"/>
    <x v="1"/>
    <s v="Pumpkinseed"/>
    <s v="Lepomis"/>
    <s v="gibbosus"/>
    <s v="U"/>
    <x v="0"/>
    <n v="8"/>
    <n v="11.81"/>
    <x v="2"/>
    <s v="307-24-4"/>
    <x v="2"/>
    <n v="0.11749999999999999"/>
  </r>
  <r>
    <s v="PU069-JBA-08162021"/>
    <s v="Down"/>
    <x v="1"/>
    <s v="Pumpkinseed"/>
    <s v="Lepomis"/>
    <s v="gibbosus"/>
    <s v="U"/>
    <x v="0"/>
    <n v="8"/>
    <n v="11.81"/>
    <x v="3"/>
    <s v="375-85-9"/>
    <x v="3"/>
    <n v="0.2175"/>
  </r>
  <r>
    <s v="PU069-JBA-08162021"/>
    <s v="Down"/>
    <x v="1"/>
    <s v="Pumpkinseed"/>
    <s v="Lepomis"/>
    <s v="gibbosus"/>
    <s v="U"/>
    <x v="0"/>
    <n v="8"/>
    <n v="11.81"/>
    <x v="4"/>
    <s v="335-67-1"/>
    <x v="4"/>
    <n v="0.50800000000000001"/>
  </r>
  <r>
    <s v="PU069-JBA-08162021"/>
    <s v="Down"/>
    <x v="1"/>
    <s v="Pumpkinseed"/>
    <s v="Lepomis"/>
    <s v="gibbosus"/>
    <s v="U"/>
    <x v="0"/>
    <n v="8"/>
    <n v="11.81"/>
    <x v="5"/>
    <s v="375-95-1"/>
    <x v="5"/>
    <n v="0.15049999999999999"/>
  </r>
  <r>
    <s v="PU069-JBA-08162021"/>
    <s v="Down"/>
    <x v="1"/>
    <s v="Pumpkinseed"/>
    <s v="Lepomis"/>
    <s v="gibbosus"/>
    <s v="U"/>
    <x v="0"/>
    <n v="8"/>
    <n v="11.81"/>
    <x v="6"/>
    <s v="335-76-2"/>
    <x v="6"/>
    <n v="2.79"/>
  </r>
  <r>
    <s v="PU069-JBA-08162021"/>
    <s v="Down"/>
    <x v="1"/>
    <s v="Pumpkinseed"/>
    <s v="Lepomis"/>
    <s v="gibbosus"/>
    <s v="U"/>
    <x v="0"/>
    <n v="8"/>
    <n v="11.81"/>
    <x v="7"/>
    <s v="2058-94-8"/>
    <x v="7"/>
    <n v="5.35"/>
  </r>
  <r>
    <s v="PU069-JBA-08162021"/>
    <s v="Down"/>
    <x v="1"/>
    <s v="Pumpkinseed"/>
    <s v="Lepomis"/>
    <s v="gibbosus"/>
    <s v="U"/>
    <x v="0"/>
    <n v="8"/>
    <n v="11.81"/>
    <x v="8"/>
    <s v="307-55-1"/>
    <x v="8"/>
    <n v="16.8"/>
  </r>
  <r>
    <s v="PU069-JBA-08162021"/>
    <s v="Down"/>
    <x v="1"/>
    <s v="Pumpkinseed"/>
    <s v="Lepomis"/>
    <s v="gibbosus"/>
    <s v="U"/>
    <x v="0"/>
    <n v="8"/>
    <n v="11.81"/>
    <x v="9"/>
    <s v="72629-94-8"/>
    <x v="9"/>
    <n v="5.69"/>
  </r>
  <r>
    <s v="PU069-JBA-08162021"/>
    <s v="Down"/>
    <x v="1"/>
    <s v="Pumpkinseed"/>
    <s v="Lepomis"/>
    <s v="gibbosus"/>
    <s v="U"/>
    <x v="0"/>
    <n v="8"/>
    <n v="11.81"/>
    <x v="10"/>
    <s v="376-06-7"/>
    <x v="10"/>
    <n v="15.4"/>
  </r>
  <r>
    <s v="PU069-JBA-08162021"/>
    <s v="Down"/>
    <x v="1"/>
    <s v="Pumpkinseed"/>
    <s v="Lepomis"/>
    <s v="gibbosus"/>
    <s v="U"/>
    <x v="0"/>
    <n v="8"/>
    <n v="11.81"/>
    <x v="11"/>
    <s v="67905-19-5"/>
    <x v="11"/>
    <n v="0.25900000000000001"/>
  </r>
  <r>
    <s v="PU069-JBA-08162021"/>
    <s v="Down"/>
    <x v="1"/>
    <s v="Pumpkinseed"/>
    <s v="Lepomis"/>
    <s v="gibbosus"/>
    <s v="U"/>
    <x v="0"/>
    <n v="8"/>
    <n v="11.81"/>
    <x v="12"/>
    <s v="423-41-6"/>
    <x v="12"/>
    <n v="0.4345"/>
  </r>
  <r>
    <s v="PU069-JBA-08162021"/>
    <s v="Down"/>
    <x v="1"/>
    <s v="Pumpkinseed"/>
    <s v="Lepomis"/>
    <s v="gibbosus"/>
    <s v="U"/>
    <x v="0"/>
    <n v="8"/>
    <n v="11.81"/>
    <x v="13"/>
    <s v="375-73-5"/>
    <x v="13"/>
    <n v="0.14799999999999999"/>
  </r>
  <r>
    <s v="PU069-JBA-08162021"/>
    <s v="Down"/>
    <x v="1"/>
    <s v="Pumpkinseed"/>
    <s v="Lepomis"/>
    <s v="gibbosus"/>
    <s v="U"/>
    <x v="0"/>
    <n v="8"/>
    <n v="11.81"/>
    <x v="14"/>
    <s v="2706-91-4"/>
    <x v="14"/>
    <n v="0.115"/>
  </r>
  <r>
    <s v="PU069-JBA-08162021"/>
    <s v="Down"/>
    <x v="1"/>
    <s v="Pumpkinseed"/>
    <s v="Lepomis"/>
    <s v="gibbosus"/>
    <s v="U"/>
    <x v="0"/>
    <n v="8"/>
    <n v="11.81"/>
    <x v="15"/>
    <s v="355-46-4"/>
    <x v="15"/>
    <n v="5.99"/>
  </r>
  <r>
    <s v="PU069-JBA-08162021"/>
    <s v="Down"/>
    <x v="1"/>
    <s v="Pumpkinseed"/>
    <s v="Lepomis"/>
    <s v="gibbosus"/>
    <s v="U"/>
    <x v="0"/>
    <n v="8"/>
    <n v="11.81"/>
    <x v="16"/>
    <s v="375-92-8"/>
    <x v="16"/>
    <n v="1.79"/>
  </r>
  <r>
    <s v="PU069-JBA-08162021"/>
    <s v="Down"/>
    <x v="1"/>
    <s v="Pumpkinseed"/>
    <s v="Lepomis"/>
    <s v="gibbosus"/>
    <s v="U"/>
    <x v="0"/>
    <n v="8"/>
    <n v="11.81"/>
    <x v="17"/>
    <s v="1763-23-1"/>
    <x v="17"/>
    <n v="553"/>
  </r>
  <r>
    <s v="PU069-JBA-08162021"/>
    <s v="Down"/>
    <x v="1"/>
    <s v="Pumpkinseed"/>
    <s v="Lepomis"/>
    <s v="gibbosus"/>
    <s v="U"/>
    <x v="0"/>
    <n v="8"/>
    <n v="11.81"/>
    <x v="18"/>
    <s v="68259-12-1"/>
    <x v="18"/>
    <n v="1.06"/>
  </r>
  <r>
    <s v="PU069-JBA-08162021"/>
    <s v="Down"/>
    <x v="1"/>
    <s v="Pumpkinseed"/>
    <s v="Lepomis"/>
    <s v="gibbosus"/>
    <s v="U"/>
    <x v="0"/>
    <n v="8"/>
    <n v="11.81"/>
    <x v="19"/>
    <s v="335-77-3"/>
    <x v="19"/>
    <n v="0.93899999999999995"/>
  </r>
  <r>
    <s v="PU069-JBA-08162021"/>
    <s v="Down"/>
    <x v="1"/>
    <s v="Pumpkinseed"/>
    <s v="Lepomis"/>
    <s v="gibbosus"/>
    <s v="U"/>
    <x v="0"/>
    <n v="8"/>
    <n v="11.81"/>
    <x v="20"/>
    <s v="79780-39-5"/>
    <x v="20"/>
    <n v="0.23250000000000001"/>
  </r>
  <r>
    <s v="PU069-JBA-08162021"/>
    <s v="Down"/>
    <x v="1"/>
    <s v="Pumpkinseed"/>
    <s v="Lepomis"/>
    <s v="gibbosus"/>
    <s v="U"/>
    <x v="0"/>
    <n v="8"/>
    <n v="11.81"/>
    <x v="21"/>
    <s v="777011-38-8"/>
    <x v="21"/>
    <n v="0.13200000000000001"/>
  </r>
  <r>
    <s v="PU069-JBA-08162021"/>
    <s v="Down"/>
    <x v="1"/>
    <s v="Pumpkinseed"/>
    <s v="Lepomis"/>
    <s v="gibbosus"/>
    <s v="U"/>
    <x v="0"/>
    <n v="8"/>
    <n v="11.81"/>
    <x v="22"/>
    <s v="646-83-3"/>
    <x v="22"/>
    <n v="0.215"/>
  </r>
  <r>
    <s v="PU069-JBA-08162021"/>
    <s v="Down"/>
    <x v="1"/>
    <s v="Pumpkinseed"/>
    <s v="Lepomis"/>
    <s v="gibbosus"/>
    <s v="U"/>
    <x v="0"/>
    <n v="8"/>
    <n v="11.81"/>
    <x v="23"/>
    <s v="30334-69-1"/>
    <x v="23"/>
    <n v="42.5"/>
  </r>
  <r>
    <s v="PU069-JBA-08162021"/>
    <s v="Down"/>
    <x v="1"/>
    <s v="Pumpkinseed"/>
    <s v="Lepomis"/>
    <s v="gibbosus"/>
    <s v="U"/>
    <x v="0"/>
    <n v="8"/>
    <n v="11.81"/>
    <x v="24"/>
    <s v="41997-13-1"/>
    <x v="24"/>
    <n v="120"/>
  </r>
  <r>
    <s v="PU069-JBA-08162021"/>
    <s v="Down"/>
    <x v="1"/>
    <s v="Pumpkinseed"/>
    <s v="Lepomis"/>
    <s v="gibbosus"/>
    <s v="U"/>
    <x v="0"/>
    <n v="8"/>
    <n v="11.81"/>
    <x v="25"/>
    <s v="754-91-6"/>
    <x v="25"/>
    <n v="11.5"/>
  </r>
  <r>
    <s v="PU069-JBA-08162021"/>
    <s v="Down"/>
    <x v="1"/>
    <s v="Pumpkinseed"/>
    <s v="Lepomis"/>
    <s v="gibbosus"/>
    <s v="U"/>
    <x v="0"/>
    <n v="8"/>
    <n v="11.81"/>
    <x v="26"/>
    <s v="31506-32-8"/>
    <x v="26"/>
    <n v="0.16750000000000001"/>
  </r>
  <r>
    <s v="PU069-JBA-08162021"/>
    <s v="Down"/>
    <x v="1"/>
    <s v="Pumpkinseed"/>
    <s v="Lepomis"/>
    <s v="gibbosus"/>
    <s v="U"/>
    <x v="0"/>
    <n v="8"/>
    <n v="11.81"/>
    <x v="27"/>
    <s v="4151-50-2"/>
    <x v="27"/>
    <n v="0.4345"/>
  </r>
  <r>
    <s v="PU069-JBA-08162021"/>
    <s v="Down"/>
    <x v="1"/>
    <s v="Pumpkinseed"/>
    <s v="Lepomis"/>
    <s v="gibbosus"/>
    <s v="U"/>
    <x v="0"/>
    <n v="8"/>
    <n v="11.81"/>
    <x v="28"/>
    <s v="2806-24-8"/>
    <x v="28"/>
    <n v="0.4345"/>
  </r>
  <r>
    <s v="PU069-JBA-08162021"/>
    <s v="Down"/>
    <x v="1"/>
    <s v="Pumpkinseed"/>
    <s v="Lepomis"/>
    <s v="gibbosus"/>
    <s v="U"/>
    <x v="0"/>
    <n v="8"/>
    <n v="11.81"/>
    <x v="29"/>
    <s v="2355-31-9"/>
    <x v="29"/>
    <n v="0.2185"/>
  </r>
  <r>
    <s v="PU069-JBA-08162021"/>
    <s v="Down"/>
    <x v="1"/>
    <s v="Pumpkinseed"/>
    <s v="Lepomis"/>
    <s v="gibbosus"/>
    <s v="U"/>
    <x v="0"/>
    <n v="8"/>
    <n v="11.81"/>
    <x v="30"/>
    <s v="2991-50-6"/>
    <x v="30"/>
    <n v="0.2175"/>
  </r>
  <r>
    <s v="PU069-JBA-08162021"/>
    <s v="Down"/>
    <x v="1"/>
    <s v="Pumpkinseed"/>
    <s v="Lepomis"/>
    <s v="gibbosus"/>
    <s v="U"/>
    <x v="0"/>
    <n v="8"/>
    <n v="11.81"/>
    <x v="31"/>
    <s v="757124-72-4"/>
    <x v="31"/>
    <n v="0.2175"/>
  </r>
  <r>
    <s v="PU069-JBA-08162021"/>
    <s v="Down"/>
    <x v="1"/>
    <s v="Pumpkinseed"/>
    <s v="Lepomis"/>
    <s v="gibbosus"/>
    <s v="U"/>
    <x v="0"/>
    <n v="8"/>
    <n v="11.81"/>
    <x v="32"/>
    <s v="27619-97-2"/>
    <x v="32"/>
    <n v="0.2175"/>
  </r>
  <r>
    <s v="PU069-JBA-08162021"/>
    <s v="Down"/>
    <x v="1"/>
    <s v="Pumpkinseed"/>
    <s v="Lepomis"/>
    <s v="gibbosus"/>
    <s v="U"/>
    <x v="0"/>
    <n v="8"/>
    <n v="11.81"/>
    <x v="33"/>
    <s v="39108-34-4"/>
    <x v="33"/>
    <n v="1.75"/>
  </r>
  <r>
    <s v="PU069-JBA-08162021"/>
    <s v="Down"/>
    <x v="1"/>
    <s v="Pumpkinseed"/>
    <s v="Lepomis"/>
    <s v="gibbosus"/>
    <s v="U"/>
    <x v="0"/>
    <n v="8"/>
    <n v="11.81"/>
    <x v="34"/>
    <s v="120226-60-0"/>
    <x v="34"/>
    <n v="0.4345"/>
  </r>
  <r>
    <s v="PU069-JBA-08162021"/>
    <s v="Down"/>
    <x v="1"/>
    <s v="Pumpkinseed"/>
    <s v="Lepomis"/>
    <s v="gibbosus"/>
    <s v="U"/>
    <x v="0"/>
    <n v="8"/>
    <n v="11.81"/>
    <x v="35"/>
    <s v="356-02-5"/>
    <x v="35"/>
    <n v="0.2505"/>
  </r>
  <r>
    <s v="PU069-JBA-08162021"/>
    <s v="Down"/>
    <x v="1"/>
    <s v="Pumpkinseed"/>
    <s v="Lepomis"/>
    <s v="gibbosus"/>
    <s v="U"/>
    <x v="0"/>
    <n v="8"/>
    <n v="11.81"/>
    <x v="36"/>
    <s v="914637-49-3"/>
    <x v="36"/>
    <n v="0.79300000000000004"/>
  </r>
  <r>
    <s v="PU069-JBA-08162021"/>
    <s v="Down"/>
    <x v="1"/>
    <s v="Pumpkinseed"/>
    <s v="Lepomis"/>
    <s v="gibbosus"/>
    <s v="U"/>
    <x v="0"/>
    <n v="8"/>
    <n v="11.81"/>
    <x v="37"/>
    <s v="812-70-4"/>
    <x v="37"/>
    <n v="5.57"/>
  </r>
  <r>
    <s v="PU069-JBA-08162021"/>
    <s v="Down"/>
    <x v="1"/>
    <s v="Pumpkinseed"/>
    <s v="Lepomis"/>
    <s v="gibbosus"/>
    <s v="U"/>
    <x v="0"/>
    <n v="8"/>
    <n v="11.81"/>
    <x v="38"/>
    <s v="53826-12-3"/>
    <x v="38"/>
    <n v="0.4345"/>
  </r>
  <r>
    <s v="PU069-JBA-08162021"/>
    <s v="Down"/>
    <x v="1"/>
    <s v="Pumpkinseed"/>
    <s v="Lepomis"/>
    <s v="gibbosus"/>
    <s v="U"/>
    <x v="0"/>
    <n v="8"/>
    <n v="11.81"/>
    <x v="39"/>
    <s v="27854-31-5"/>
    <x v="39"/>
    <n v="0.4345"/>
  </r>
  <r>
    <s v="PU069-JBA-08162021"/>
    <s v="Down"/>
    <x v="1"/>
    <s v="Pumpkinseed"/>
    <s v="Lepomis"/>
    <s v="gibbosus"/>
    <s v="U"/>
    <x v="0"/>
    <n v="8"/>
    <n v="11.81"/>
    <x v="40"/>
    <s v="53826-13-4"/>
    <x v="40"/>
    <n v="0.4345"/>
  </r>
  <r>
    <s v="PU069-JBA-08162021"/>
    <s v="Down"/>
    <x v="1"/>
    <s v="Pumpkinseed"/>
    <s v="Lepomis"/>
    <s v="gibbosus"/>
    <s v="U"/>
    <x v="0"/>
    <n v="8"/>
    <n v="11.81"/>
    <x v="41"/>
    <s v="161094-75-3"/>
    <x v="41"/>
    <n v="0.4345"/>
  </r>
  <r>
    <s v="PU069-JBA-08162021"/>
    <s v="Down"/>
    <x v="1"/>
    <s v="Pumpkinseed"/>
    <s v="Lepomis"/>
    <s v="gibbosus"/>
    <s v="U"/>
    <x v="0"/>
    <n v="8"/>
    <n v="11.81"/>
    <x v="42"/>
    <s v="70887-84-2"/>
    <x v="42"/>
    <n v="0.4345"/>
  </r>
  <r>
    <s v="PU069-JBA-08162021"/>
    <s v="Down"/>
    <x v="1"/>
    <s v="Pumpkinseed"/>
    <s v="Lepomis"/>
    <s v="gibbosus"/>
    <s v="U"/>
    <x v="0"/>
    <n v="8"/>
    <n v="11.81"/>
    <x v="43"/>
    <s v="919005-14-4"/>
    <x v="43"/>
    <n v="0.2175"/>
  </r>
  <r>
    <s v="PU069-JBA-08162021"/>
    <s v="Down"/>
    <x v="1"/>
    <s v="Pumpkinseed"/>
    <s v="Lepomis"/>
    <s v="gibbosus"/>
    <s v="U"/>
    <x v="0"/>
    <n v="8"/>
    <n v="11.81"/>
    <x v="44"/>
    <s v="756426-58-1"/>
    <x v="44"/>
    <n v="0.4345"/>
  </r>
  <r>
    <s v="PU069-JBA-08162021"/>
    <s v="Down"/>
    <x v="1"/>
    <s v="Pumpkinseed"/>
    <s v="Lepomis"/>
    <s v="gibbosus"/>
    <s v="U"/>
    <x v="0"/>
    <n v="8"/>
    <n v="11.81"/>
    <x v="45"/>
    <s v="763051-92-9"/>
    <x v="45"/>
    <n v="0.4345"/>
  </r>
  <r>
    <s v="PU069-JBA-08162021"/>
    <s v="Down"/>
    <x v="1"/>
    <s v="Pumpkinseed"/>
    <s v="Lepomis"/>
    <s v="gibbosus"/>
    <s v="U"/>
    <x v="0"/>
    <n v="8"/>
    <n v="11.81"/>
    <x v="46"/>
    <s v="13252-13-6"/>
    <x v="46"/>
    <n v="0.312"/>
  </r>
  <r>
    <s v="PU069-JBA-08162021"/>
    <s v="Down"/>
    <x v="1"/>
    <s v="Pumpkinseed"/>
    <s v="Lepomis"/>
    <s v="gibbosus"/>
    <s v="U"/>
    <x v="0"/>
    <n v="8"/>
    <n v="11.81"/>
    <x v="47"/>
    <s v="57677-95-9"/>
    <x v="47"/>
    <n v="0.4345"/>
  </r>
  <r>
    <s v="PU069-JBA-08162021"/>
    <s v="Down"/>
    <x v="1"/>
    <s v="Pumpkinseed"/>
    <s v="Lepomis"/>
    <s v="gibbosus"/>
    <s v="U"/>
    <x v="0"/>
    <n v="8"/>
    <n v="11.81"/>
    <x v="48"/>
    <s v="678-41-1"/>
    <x v="48"/>
    <n v="0.4345"/>
  </r>
  <r>
    <s v="PU069-JBA-08162021"/>
    <s v="Down"/>
    <x v="1"/>
    <s v="Pumpkinseed"/>
    <s v="Lepomis"/>
    <s v="gibbosus"/>
    <s v="U"/>
    <x v="0"/>
    <n v="8"/>
    <n v="11.81"/>
    <x v="49"/>
    <s v="2965-52-8"/>
    <x v="49"/>
    <n v="0.4345"/>
  </r>
  <r>
    <s v="PU070-JBA-08162021"/>
    <s v="Down"/>
    <x v="1"/>
    <s v="Pumpkinseed"/>
    <s v="Lepomis"/>
    <s v="gibbosus"/>
    <s v="U"/>
    <x v="0"/>
    <n v="8"/>
    <n v="11.81"/>
    <x v="0"/>
    <s v="375-22-4"/>
    <x v="0"/>
    <n v="0.23350000000000001"/>
  </r>
  <r>
    <s v="PU070-JBA-08162021"/>
    <s v="Down"/>
    <x v="1"/>
    <s v="Pumpkinseed"/>
    <s v="Lepomis"/>
    <s v="gibbosus"/>
    <s v="U"/>
    <x v="0"/>
    <n v="8"/>
    <n v="11.81"/>
    <x v="1"/>
    <s v="2706-90-3"/>
    <x v="1"/>
    <n v="0.23350000000000001"/>
  </r>
  <r>
    <s v="PU070-JBA-08162021"/>
    <s v="Down"/>
    <x v="1"/>
    <s v="Pumpkinseed"/>
    <s v="Lepomis"/>
    <s v="gibbosus"/>
    <s v="U"/>
    <x v="0"/>
    <n v="8"/>
    <n v="11.81"/>
    <x v="2"/>
    <s v="307-24-4"/>
    <x v="2"/>
    <n v="0.126"/>
  </r>
  <r>
    <s v="PU070-JBA-08162021"/>
    <s v="Down"/>
    <x v="1"/>
    <s v="Pumpkinseed"/>
    <s v="Lepomis"/>
    <s v="gibbosus"/>
    <s v="U"/>
    <x v="0"/>
    <n v="8"/>
    <n v="11.81"/>
    <x v="3"/>
    <s v="375-85-9"/>
    <x v="3"/>
    <n v="0.23350000000000001"/>
  </r>
  <r>
    <s v="PU070-JBA-08162021"/>
    <s v="Down"/>
    <x v="1"/>
    <s v="Pumpkinseed"/>
    <s v="Lepomis"/>
    <s v="gibbosus"/>
    <s v="U"/>
    <x v="0"/>
    <n v="8"/>
    <n v="11.81"/>
    <x v="4"/>
    <s v="335-67-1"/>
    <x v="4"/>
    <n v="0.89400000000000002"/>
  </r>
  <r>
    <s v="PU070-JBA-08162021"/>
    <s v="Down"/>
    <x v="1"/>
    <s v="Pumpkinseed"/>
    <s v="Lepomis"/>
    <s v="gibbosus"/>
    <s v="U"/>
    <x v="0"/>
    <n v="8"/>
    <n v="11.81"/>
    <x v="5"/>
    <s v="375-95-1"/>
    <x v="5"/>
    <n v="0.45900000000000002"/>
  </r>
  <r>
    <s v="PU070-JBA-08162021"/>
    <s v="Down"/>
    <x v="1"/>
    <s v="Pumpkinseed"/>
    <s v="Lepomis"/>
    <s v="gibbosus"/>
    <s v="U"/>
    <x v="0"/>
    <n v="8"/>
    <n v="11.81"/>
    <x v="6"/>
    <s v="335-76-2"/>
    <x v="6"/>
    <n v="3.35"/>
  </r>
  <r>
    <s v="PU070-JBA-08162021"/>
    <s v="Down"/>
    <x v="1"/>
    <s v="Pumpkinseed"/>
    <s v="Lepomis"/>
    <s v="gibbosus"/>
    <s v="U"/>
    <x v="0"/>
    <n v="8"/>
    <n v="11.81"/>
    <x v="7"/>
    <s v="2058-94-8"/>
    <x v="7"/>
    <n v="4.8600000000000003"/>
  </r>
  <r>
    <s v="PU070-JBA-08162021"/>
    <s v="Down"/>
    <x v="1"/>
    <s v="Pumpkinseed"/>
    <s v="Lepomis"/>
    <s v="gibbosus"/>
    <s v="U"/>
    <x v="0"/>
    <n v="8"/>
    <n v="11.81"/>
    <x v="8"/>
    <s v="307-55-1"/>
    <x v="8"/>
    <n v="6.46"/>
  </r>
  <r>
    <s v="PU070-JBA-08162021"/>
    <s v="Down"/>
    <x v="1"/>
    <s v="Pumpkinseed"/>
    <s v="Lepomis"/>
    <s v="gibbosus"/>
    <s v="U"/>
    <x v="0"/>
    <n v="8"/>
    <n v="11.81"/>
    <x v="9"/>
    <s v="72629-94-8"/>
    <x v="9"/>
    <n v="2.81"/>
  </r>
  <r>
    <s v="PU070-JBA-08162021"/>
    <s v="Down"/>
    <x v="1"/>
    <s v="Pumpkinseed"/>
    <s v="Lepomis"/>
    <s v="gibbosus"/>
    <s v="U"/>
    <x v="0"/>
    <n v="8"/>
    <n v="11.81"/>
    <x v="10"/>
    <s v="376-06-7"/>
    <x v="10"/>
    <n v="6.67"/>
  </r>
  <r>
    <s v="PU070-JBA-08162021"/>
    <s v="Down"/>
    <x v="1"/>
    <s v="Pumpkinseed"/>
    <s v="Lepomis"/>
    <s v="gibbosus"/>
    <s v="U"/>
    <x v="0"/>
    <n v="8"/>
    <n v="11.81"/>
    <x v="11"/>
    <s v="67905-19-5"/>
    <x v="11"/>
    <n v="0.27800000000000002"/>
  </r>
  <r>
    <s v="PU070-JBA-08162021"/>
    <s v="Down"/>
    <x v="1"/>
    <s v="Pumpkinseed"/>
    <s v="Lepomis"/>
    <s v="gibbosus"/>
    <s v="U"/>
    <x v="0"/>
    <n v="8"/>
    <n v="11.81"/>
    <x v="12"/>
    <s v="423-41-6"/>
    <x v="12"/>
    <n v="0.46700000000000003"/>
  </r>
  <r>
    <s v="PU070-JBA-08162021"/>
    <s v="Down"/>
    <x v="1"/>
    <s v="Pumpkinseed"/>
    <s v="Lepomis"/>
    <s v="gibbosus"/>
    <s v="U"/>
    <x v="0"/>
    <n v="8"/>
    <n v="11.81"/>
    <x v="13"/>
    <s v="375-73-5"/>
    <x v="13"/>
    <n v="0.159"/>
  </r>
  <r>
    <s v="PU070-JBA-08162021"/>
    <s v="Down"/>
    <x v="1"/>
    <s v="Pumpkinseed"/>
    <s v="Lepomis"/>
    <s v="gibbosus"/>
    <s v="U"/>
    <x v="0"/>
    <n v="8"/>
    <n v="11.81"/>
    <x v="14"/>
    <s v="2706-91-4"/>
    <x v="14"/>
    <n v="0.25"/>
  </r>
  <r>
    <s v="PU070-JBA-08162021"/>
    <s v="Down"/>
    <x v="1"/>
    <s v="Pumpkinseed"/>
    <s v="Lepomis"/>
    <s v="gibbosus"/>
    <s v="U"/>
    <x v="0"/>
    <n v="8"/>
    <n v="11.81"/>
    <x v="15"/>
    <s v="355-46-4"/>
    <x v="15"/>
    <n v="23.3"/>
  </r>
  <r>
    <s v="PU070-JBA-08162021"/>
    <s v="Down"/>
    <x v="1"/>
    <s v="Pumpkinseed"/>
    <s v="Lepomis"/>
    <s v="gibbosus"/>
    <s v="U"/>
    <x v="0"/>
    <n v="8"/>
    <n v="11.81"/>
    <x v="16"/>
    <s v="375-92-8"/>
    <x v="16"/>
    <n v="3.07"/>
  </r>
  <r>
    <s v="PU070-JBA-08162021"/>
    <s v="Down"/>
    <x v="1"/>
    <s v="Pumpkinseed"/>
    <s v="Lepomis"/>
    <s v="gibbosus"/>
    <s v="U"/>
    <x v="0"/>
    <n v="8"/>
    <n v="11.81"/>
    <x v="17"/>
    <s v="1763-23-1"/>
    <x v="17"/>
    <n v="528"/>
  </r>
  <r>
    <s v="PU070-JBA-08162021"/>
    <s v="Down"/>
    <x v="1"/>
    <s v="Pumpkinseed"/>
    <s v="Lepomis"/>
    <s v="gibbosus"/>
    <s v="U"/>
    <x v="0"/>
    <n v="8"/>
    <n v="11.81"/>
    <x v="18"/>
    <s v="68259-12-1"/>
    <x v="18"/>
    <n v="1.39"/>
  </r>
  <r>
    <s v="PU070-JBA-08162021"/>
    <s v="Down"/>
    <x v="1"/>
    <s v="Pumpkinseed"/>
    <s v="Lepomis"/>
    <s v="gibbosus"/>
    <s v="U"/>
    <x v="0"/>
    <n v="8"/>
    <n v="11.81"/>
    <x v="19"/>
    <s v="335-77-3"/>
    <x v="19"/>
    <n v="1.31"/>
  </r>
  <r>
    <s v="PU070-JBA-08162021"/>
    <s v="Down"/>
    <x v="1"/>
    <s v="Pumpkinseed"/>
    <s v="Lepomis"/>
    <s v="gibbosus"/>
    <s v="U"/>
    <x v="0"/>
    <n v="8"/>
    <n v="11.81"/>
    <x v="20"/>
    <s v="79780-39-5"/>
    <x v="20"/>
    <n v="0.2495"/>
  </r>
  <r>
    <s v="PU070-JBA-08162021"/>
    <s v="Down"/>
    <x v="1"/>
    <s v="Pumpkinseed"/>
    <s v="Lepomis"/>
    <s v="gibbosus"/>
    <s v="U"/>
    <x v="0"/>
    <n v="8"/>
    <n v="11.81"/>
    <x v="21"/>
    <s v="777011-38-8"/>
    <x v="21"/>
    <n v="0.14199999999999999"/>
  </r>
  <r>
    <s v="PU070-JBA-08162021"/>
    <s v="Down"/>
    <x v="1"/>
    <s v="Pumpkinseed"/>
    <s v="Lepomis"/>
    <s v="gibbosus"/>
    <s v="U"/>
    <x v="0"/>
    <n v="8"/>
    <n v="11.81"/>
    <x v="22"/>
    <s v="646-83-3"/>
    <x v="22"/>
    <n v="0.255"/>
  </r>
  <r>
    <s v="PU070-JBA-08162021"/>
    <s v="Down"/>
    <x v="1"/>
    <s v="Pumpkinseed"/>
    <s v="Lepomis"/>
    <s v="gibbosus"/>
    <s v="U"/>
    <x v="0"/>
    <n v="8"/>
    <n v="11.81"/>
    <x v="23"/>
    <s v="30334-69-1"/>
    <x v="23"/>
    <n v="19.100000000000001"/>
  </r>
  <r>
    <s v="PU070-JBA-08162021"/>
    <s v="Down"/>
    <x v="1"/>
    <s v="Pumpkinseed"/>
    <s v="Lepomis"/>
    <s v="gibbosus"/>
    <s v="U"/>
    <x v="0"/>
    <n v="8"/>
    <n v="11.81"/>
    <x v="24"/>
    <s v="41997-13-1"/>
    <x v="24"/>
    <n v="88.8"/>
  </r>
  <r>
    <s v="PU070-JBA-08162021"/>
    <s v="Down"/>
    <x v="1"/>
    <s v="Pumpkinseed"/>
    <s v="Lepomis"/>
    <s v="gibbosus"/>
    <s v="U"/>
    <x v="0"/>
    <n v="8"/>
    <n v="11.81"/>
    <x v="25"/>
    <s v="754-91-6"/>
    <x v="25"/>
    <n v="9.36"/>
  </r>
  <r>
    <s v="PU070-JBA-08162021"/>
    <s v="Down"/>
    <x v="1"/>
    <s v="Pumpkinseed"/>
    <s v="Lepomis"/>
    <s v="gibbosus"/>
    <s v="U"/>
    <x v="0"/>
    <n v="8"/>
    <n v="11.81"/>
    <x v="26"/>
    <s v="31506-32-8"/>
    <x v="26"/>
    <n v="0.18"/>
  </r>
  <r>
    <s v="PU070-JBA-08162021"/>
    <s v="Down"/>
    <x v="1"/>
    <s v="Pumpkinseed"/>
    <s v="Lepomis"/>
    <s v="gibbosus"/>
    <s v="U"/>
    <x v="0"/>
    <n v="8"/>
    <n v="11.81"/>
    <x v="27"/>
    <s v="4151-50-2"/>
    <x v="27"/>
    <n v="0.46700000000000003"/>
  </r>
  <r>
    <s v="PU070-JBA-08162021"/>
    <s v="Down"/>
    <x v="1"/>
    <s v="Pumpkinseed"/>
    <s v="Lepomis"/>
    <s v="gibbosus"/>
    <s v="U"/>
    <x v="0"/>
    <n v="8"/>
    <n v="11.81"/>
    <x v="28"/>
    <s v="2806-24-8"/>
    <x v="28"/>
    <n v="0.46700000000000003"/>
  </r>
  <r>
    <s v="PU070-JBA-08162021"/>
    <s v="Down"/>
    <x v="1"/>
    <s v="Pumpkinseed"/>
    <s v="Lepomis"/>
    <s v="gibbosus"/>
    <s v="U"/>
    <x v="0"/>
    <n v="8"/>
    <n v="11.81"/>
    <x v="29"/>
    <s v="2355-31-9"/>
    <x v="29"/>
    <n v="0.23499999999999999"/>
  </r>
  <r>
    <s v="PU070-JBA-08162021"/>
    <s v="Down"/>
    <x v="1"/>
    <s v="Pumpkinseed"/>
    <s v="Lepomis"/>
    <s v="gibbosus"/>
    <s v="U"/>
    <x v="0"/>
    <n v="8"/>
    <n v="11.81"/>
    <x v="30"/>
    <s v="2991-50-6"/>
    <x v="30"/>
    <n v="0.23350000000000001"/>
  </r>
  <r>
    <s v="PU070-JBA-08162021"/>
    <s v="Down"/>
    <x v="1"/>
    <s v="Pumpkinseed"/>
    <s v="Lepomis"/>
    <s v="gibbosus"/>
    <s v="U"/>
    <x v="0"/>
    <n v="8"/>
    <n v="11.81"/>
    <x v="31"/>
    <s v="757124-72-4"/>
    <x v="31"/>
    <n v="0.23350000000000001"/>
  </r>
  <r>
    <s v="PU070-JBA-08162021"/>
    <s v="Down"/>
    <x v="1"/>
    <s v="Pumpkinseed"/>
    <s v="Lepomis"/>
    <s v="gibbosus"/>
    <s v="U"/>
    <x v="0"/>
    <n v="8"/>
    <n v="11.81"/>
    <x v="32"/>
    <s v="27619-97-2"/>
    <x v="32"/>
    <n v="1.69"/>
  </r>
  <r>
    <s v="PU070-JBA-08162021"/>
    <s v="Down"/>
    <x v="1"/>
    <s v="Pumpkinseed"/>
    <s v="Lepomis"/>
    <s v="gibbosus"/>
    <s v="U"/>
    <x v="0"/>
    <n v="8"/>
    <n v="11.81"/>
    <x v="33"/>
    <s v="39108-34-4"/>
    <x v="33"/>
    <n v="3.86"/>
  </r>
  <r>
    <s v="PU070-JBA-08162021"/>
    <s v="Down"/>
    <x v="1"/>
    <s v="Pumpkinseed"/>
    <s v="Lepomis"/>
    <s v="gibbosus"/>
    <s v="U"/>
    <x v="0"/>
    <n v="8"/>
    <n v="11.81"/>
    <x v="34"/>
    <s v="120226-60-0"/>
    <x v="34"/>
    <n v="0.46700000000000003"/>
  </r>
  <r>
    <s v="PU070-JBA-08162021"/>
    <s v="Down"/>
    <x v="1"/>
    <s v="Pumpkinseed"/>
    <s v="Lepomis"/>
    <s v="gibbosus"/>
    <s v="U"/>
    <x v="0"/>
    <n v="8"/>
    <n v="11.81"/>
    <x v="35"/>
    <s v="356-02-5"/>
    <x v="35"/>
    <n v="0.26950000000000002"/>
  </r>
  <r>
    <s v="PU070-JBA-08162021"/>
    <s v="Down"/>
    <x v="1"/>
    <s v="Pumpkinseed"/>
    <s v="Lepomis"/>
    <s v="gibbosus"/>
    <s v="U"/>
    <x v="0"/>
    <n v="8"/>
    <n v="11.81"/>
    <x v="36"/>
    <s v="914637-49-3"/>
    <x v="36"/>
    <n v="0.23350000000000001"/>
  </r>
  <r>
    <s v="PU070-JBA-08162021"/>
    <s v="Down"/>
    <x v="1"/>
    <s v="Pumpkinseed"/>
    <s v="Lepomis"/>
    <s v="gibbosus"/>
    <s v="U"/>
    <x v="0"/>
    <n v="8"/>
    <n v="11.81"/>
    <x v="37"/>
    <s v="812-70-4"/>
    <x v="37"/>
    <n v="0.53700000000000003"/>
  </r>
  <r>
    <s v="PU070-JBA-08162021"/>
    <s v="Down"/>
    <x v="1"/>
    <s v="Pumpkinseed"/>
    <s v="Lepomis"/>
    <s v="gibbosus"/>
    <s v="U"/>
    <x v="0"/>
    <n v="8"/>
    <n v="11.81"/>
    <x v="38"/>
    <s v="53826-12-3"/>
    <x v="38"/>
    <n v="0.46700000000000003"/>
  </r>
  <r>
    <s v="PU070-JBA-08162021"/>
    <s v="Down"/>
    <x v="1"/>
    <s v="Pumpkinseed"/>
    <s v="Lepomis"/>
    <s v="gibbosus"/>
    <s v="U"/>
    <x v="0"/>
    <n v="8"/>
    <n v="11.81"/>
    <x v="39"/>
    <s v="27854-31-5"/>
    <x v="39"/>
    <n v="0.46700000000000003"/>
  </r>
  <r>
    <s v="PU070-JBA-08162021"/>
    <s v="Down"/>
    <x v="1"/>
    <s v="Pumpkinseed"/>
    <s v="Lepomis"/>
    <s v="gibbosus"/>
    <s v="U"/>
    <x v="0"/>
    <n v="8"/>
    <n v="11.81"/>
    <x v="40"/>
    <s v="53826-13-4"/>
    <x v="40"/>
    <n v="0.46700000000000003"/>
  </r>
  <r>
    <s v="PU070-JBA-08162021"/>
    <s v="Down"/>
    <x v="1"/>
    <s v="Pumpkinseed"/>
    <s v="Lepomis"/>
    <s v="gibbosus"/>
    <s v="U"/>
    <x v="0"/>
    <n v="8"/>
    <n v="11.81"/>
    <x v="41"/>
    <s v="161094-75-3"/>
    <x v="41"/>
    <n v="0.46700000000000003"/>
  </r>
  <r>
    <s v="PU070-JBA-08162021"/>
    <s v="Down"/>
    <x v="1"/>
    <s v="Pumpkinseed"/>
    <s v="Lepomis"/>
    <s v="gibbosus"/>
    <s v="U"/>
    <x v="0"/>
    <n v="8"/>
    <n v="11.81"/>
    <x v="42"/>
    <s v="70887-84-2"/>
    <x v="42"/>
    <n v="0.46700000000000003"/>
  </r>
  <r>
    <s v="PU070-JBA-08162021"/>
    <s v="Down"/>
    <x v="1"/>
    <s v="Pumpkinseed"/>
    <s v="Lepomis"/>
    <s v="gibbosus"/>
    <s v="U"/>
    <x v="0"/>
    <n v="8"/>
    <n v="11.81"/>
    <x v="43"/>
    <s v="919005-14-4"/>
    <x v="43"/>
    <n v="0.23350000000000001"/>
  </r>
  <r>
    <s v="PU070-JBA-08162021"/>
    <s v="Down"/>
    <x v="1"/>
    <s v="Pumpkinseed"/>
    <s v="Lepomis"/>
    <s v="gibbosus"/>
    <s v="U"/>
    <x v="0"/>
    <n v="8"/>
    <n v="11.81"/>
    <x v="44"/>
    <s v="756426-58-1"/>
    <x v="44"/>
    <n v="0.46700000000000003"/>
  </r>
  <r>
    <s v="PU070-JBA-08162021"/>
    <s v="Down"/>
    <x v="1"/>
    <s v="Pumpkinseed"/>
    <s v="Lepomis"/>
    <s v="gibbosus"/>
    <s v="U"/>
    <x v="0"/>
    <n v="8"/>
    <n v="11.81"/>
    <x v="45"/>
    <s v="763051-92-9"/>
    <x v="45"/>
    <n v="0.46700000000000003"/>
  </r>
  <r>
    <s v="PU070-JBA-08162021"/>
    <s v="Down"/>
    <x v="1"/>
    <s v="Pumpkinseed"/>
    <s v="Lepomis"/>
    <s v="gibbosus"/>
    <s v="U"/>
    <x v="0"/>
    <n v="8"/>
    <n v="11.81"/>
    <x v="46"/>
    <s v="13252-13-6"/>
    <x v="46"/>
    <n v="0.33500000000000002"/>
  </r>
  <r>
    <s v="PU070-JBA-08162021"/>
    <s v="Down"/>
    <x v="1"/>
    <s v="Pumpkinseed"/>
    <s v="Lepomis"/>
    <s v="gibbosus"/>
    <s v="U"/>
    <x v="0"/>
    <n v="8"/>
    <n v="11.81"/>
    <x v="47"/>
    <s v="57677-95-9"/>
    <x v="47"/>
    <n v="0.46700000000000003"/>
  </r>
  <r>
    <s v="PU070-JBA-08162021"/>
    <s v="Down"/>
    <x v="1"/>
    <s v="Pumpkinseed"/>
    <s v="Lepomis"/>
    <s v="gibbosus"/>
    <s v="U"/>
    <x v="0"/>
    <n v="8"/>
    <n v="11.81"/>
    <x v="48"/>
    <s v="678-41-1"/>
    <x v="48"/>
    <n v="0.46700000000000003"/>
  </r>
  <r>
    <s v="PU070-JBA-08162021"/>
    <s v="Down"/>
    <x v="1"/>
    <s v="Pumpkinseed"/>
    <s v="Lepomis"/>
    <s v="gibbosus"/>
    <s v="U"/>
    <x v="0"/>
    <n v="8"/>
    <n v="11.81"/>
    <x v="49"/>
    <s v="2965-52-8"/>
    <x v="49"/>
    <n v="0.46700000000000003"/>
  </r>
  <r>
    <s v="PU071-JBA-08162021"/>
    <s v="Down"/>
    <x v="1"/>
    <s v="Pumpkinseed"/>
    <s v="Lepomis"/>
    <s v="gibbosus"/>
    <s v="U"/>
    <x v="0"/>
    <n v="8"/>
    <n v="11.81"/>
    <x v="0"/>
    <s v="375-22-4"/>
    <x v="0"/>
    <n v="0.20899999999999999"/>
  </r>
  <r>
    <s v="PU071-JBA-08162021"/>
    <s v="Down"/>
    <x v="1"/>
    <s v="Pumpkinseed"/>
    <s v="Lepomis"/>
    <s v="gibbosus"/>
    <s v="U"/>
    <x v="0"/>
    <n v="8"/>
    <n v="11.81"/>
    <x v="1"/>
    <s v="2706-90-3"/>
    <x v="1"/>
    <n v="0.20899999999999999"/>
  </r>
  <r>
    <s v="PU071-JBA-08162021"/>
    <s v="Down"/>
    <x v="1"/>
    <s v="Pumpkinseed"/>
    <s v="Lepomis"/>
    <s v="gibbosus"/>
    <s v="U"/>
    <x v="0"/>
    <n v="8"/>
    <n v="11.81"/>
    <x v="2"/>
    <s v="307-24-4"/>
    <x v="2"/>
    <n v="0.113"/>
  </r>
  <r>
    <s v="PU071-JBA-08162021"/>
    <s v="Down"/>
    <x v="1"/>
    <s v="Pumpkinseed"/>
    <s v="Lepomis"/>
    <s v="gibbosus"/>
    <s v="U"/>
    <x v="0"/>
    <n v="8"/>
    <n v="11.81"/>
    <x v="3"/>
    <s v="375-85-9"/>
    <x v="3"/>
    <n v="0.20899999999999999"/>
  </r>
  <r>
    <s v="PU071-JBA-08162021"/>
    <s v="Down"/>
    <x v="1"/>
    <s v="Pumpkinseed"/>
    <s v="Lepomis"/>
    <s v="gibbosus"/>
    <s v="U"/>
    <x v="0"/>
    <n v="8"/>
    <n v="11.81"/>
    <x v="4"/>
    <s v="335-67-1"/>
    <x v="4"/>
    <n v="2.2000000000000002"/>
  </r>
  <r>
    <s v="PU071-JBA-08162021"/>
    <s v="Down"/>
    <x v="1"/>
    <s v="Pumpkinseed"/>
    <s v="Lepomis"/>
    <s v="gibbosus"/>
    <s v="U"/>
    <x v="0"/>
    <n v="8"/>
    <n v="11.81"/>
    <x v="5"/>
    <s v="375-95-1"/>
    <x v="5"/>
    <n v="1.22"/>
  </r>
  <r>
    <s v="PU071-JBA-08162021"/>
    <s v="Down"/>
    <x v="1"/>
    <s v="Pumpkinseed"/>
    <s v="Lepomis"/>
    <s v="gibbosus"/>
    <s v="U"/>
    <x v="0"/>
    <n v="8"/>
    <n v="11.81"/>
    <x v="6"/>
    <s v="335-76-2"/>
    <x v="6"/>
    <n v="3.75"/>
  </r>
  <r>
    <s v="PU071-JBA-08162021"/>
    <s v="Down"/>
    <x v="1"/>
    <s v="Pumpkinseed"/>
    <s v="Lepomis"/>
    <s v="gibbosus"/>
    <s v="U"/>
    <x v="0"/>
    <n v="8"/>
    <n v="11.81"/>
    <x v="7"/>
    <s v="2058-94-8"/>
    <x v="7"/>
    <n v="3.74"/>
  </r>
  <r>
    <s v="PU071-JBA-08162021"/>
    <s v="Down"/>
    <x v="1"/>
    <s v="Pumpkinseed"/>
    <s v="Lepomis"/>
    <s v="gibbosus"/>
    <s v="U"/>
    <x v="0"/>
    <n v="8"/>
    <n v="11.81"/>
    <x v="8"/>
    <s v="307-55-1"/>
    <x v="8"/>
    <n v="6.78"/>
  </r>
  <r>
    <s v="PU071-JBA-08162021"/>
    <s v="Down"/>
    <x v="1"/>
    <s v="Pumpkinseed"/>
    <s v="Lepomis"/>
    <s v="gibbosus"/>
    <s v="U"/>
    <x v="0"/>
    <n v="8"/>
    <n v="11.81"/>
    <x v="9"/>
    <s v="72629-94-8"/>
    <x v="9"/>
    <n v="1.72"/>
  </r>
  <r>
    <s v="PU071-JBA-08162021"/>
    <s v="Down"/>
    <x v="1"/>
    <s v="Pumpkinseed"/>
    <s v="Lepomis"/>
    <s v="gibbosus"/>
    <s v="U"/>
    <x v="0"/>
    <n v="8"/>
    <n v="11.81"/>
    <x v="10"/>
    <s v="376-06-7"/>
    <x v="10"/>
    <n v="6.29"/>
  </r>
  <r>
    <s v="PU071-JBA-08162021"/>
    <s v="Down"/>
    <x v="1"/>
    <s v="Pumpkinseed"/>
    <s v="Lepomis"/>
    <s v="gibbosus"/>
    <s v="U"/>
    <x v="0"/>
    <n v="8"/>
    <n v="11.81"/>
    <x v="11"/>
    <s v="67905-19-5"/>
    <x v="11"/>
    <n v="0.2495"/>
  </r>
  <r>
    <s v="PU071-JBA-08162021"/>
    <s v="Down"/>
    <x v="1"/>
    <s v="Pumpkinseed"/>
    <s v="Lepomis"/>
    <s v="gibbosus"/>
    <s v="U"/>
    <x v="0"/>
    <n v="8"/>
    <n v="11.81"/>
    <x v="12"/>
    <s v="423-41-6"/>
    <x v="12"/>
    <n v="0.41849999999999998"/>
  </r>
  <r>
    <s v="PU071-JBA-08162021"/>
    <s v="Down"/>
    <x v="1"/>
    <s v="Pumpkinseed"/>
    <s v="Lepomis"/>
    <s v="gibbosus"/>
    <s v="U"/>
    <x v="0"/>
    <n v="8"/>
    <n v="11.81"/>
    <x v="13"/>
    <s v="375-73-5"/>
    <x v="13"/>
    <n v="0.14249999999999999"/>
  </r>
  <r>
    <s v="PU071-JBA-08162021"/>
    <s v="Down"/>
    <x v="1"/>
    <s v="Pumpkinseed"/>
    <s v="Lepomis"/>
    <s v="gibbosus"/>
    <s v="U"/>
    <x v="0"/>
    <n v="8"/>
    <n v="11.81"/>
    <x v="14"/>
    <s v="2706-91-4"/>
    <x v="14"/>
    <n v="0.22700000000000001"/>
  </r>
  <r>
    <s v="PU071-JBA-08162021"/>
    <s v="Down"/>
    <x v="1"/>
    <s v="Pumpkinseed"/>
    <s v="Lepomis"/>
    <s v="gibbosus"/>
    <s v="U"/>
    <x v="0"/>
    <n v="8"/>
    <n v="11.81"/>
    <x v="15"/>
    <s v="355-46-4"/>
    <x v="15"/>
    <n v="23.4"/>
  </r>
  <r>
    <s v="PU071-JBA-08162021"/>
    <s v="Down"/>
    <x v="1"/>
    <s v="Pumpkinseed"/>
    <s v="Lepomis"/>
    <s v="gibbosus"/>
    <s v="U"/>
    <x v="0"/>
    <n v="8"/>
    <n v="11.81"/>
    <x v="16"/>
    <s v="375-92-8"/>
    <x v="16"/>
    <n v="2.82"/>
  </r>
  <r>
    <s v="PU071-JBA-08162021"/>
    <s v="Down"/>
    <x v="1"/>
    <s v="Pumpkinseed"/>
    <s v="Lepomis"/>
    <s v="gibbosus"/>
    <s v="U"/>
    <x v="0"/>
    <n v="8"/>
    <n v="11.81"/>
    <x v="17"/>
    <s v="1763-23-1"/>
    <x v="17"/>
    <n v="368"/>
  </r>
  <r>
    <s v="PU071-JBA-08162021"/>
    <s v="Down"/>
    <x v="1"/>
    <s v="Pumpkinseed"/>
    <s v="Lepomis"/>
    <s v="gibbosus"/>
    <s v="U"/>
    <x v="0"/>
    <n v="8"/>
    <n v="11.81"/>
    <x v="18"/>
    <s v="68259-12-1"/>
    <x v="18"/>
    <n v="1.08"/>
  </r>
  <r>
    <s v="PU071-JBA-08162021"/>
    <s v="Down"/>
    <x v="1"/>
    <s v="Pumpkinseed"/>
    <s v="Lepomis"/>
    <s v="gibbosus"/>
    <s v="U"/>
    <x v="0"/>
    <n v="8"/>
    <n v="11.81"/>
    <x v="19"/>
    <s v="335-77-3"/>
    <x v="19"/>
    <n v="0.88500000000000001"/>
  </r>
  <r>
    <s v="PU071-JBA-08162021"/>
    <s v="Down"/>
    <x v="1"/>
    <s v="Pumpkinseed"/>
    <s v="Lepomis"/>
    <s v="gibbosus"/>
    <s v="U"/>
    <x v="0"/>
    <n v="8"/>
    <n v="11.81"/>
    <x v="20"/>
    <s v="79780-39-5"/>
    <x v="20"/>
    <n v="0.2235"/>
  </r>
  <r>
    <s v="PU071-JBA-08162021"/>
    <s v="Down"/>
    <x v="1"/>
    <s v="Pumpkinseed"/>
    <s v="Lepomis"/>
    <s v="gibbosus"/>
    <s v="U"/>
    <x v="0"/>
    <n v="8"/>
    <n v="11.81"/>
    <x v="21"/>
    <s v="777011-38-8"/>
    <x v="21"/>
    <n v="0.127"/>
  </r>
  <r>
    <s v="PU071-JBA-08162021"/>
    <s v="Down"/>
    <x v="1"/>
    <s v="Pumpkinseed"/>
    <s v="Lepomis"/>
    <s v="gibbosus"/>
    <s v="U"/>
    <x v="0"/>
    <n v="8"/>
    <n v="11.81"/>
    <x v="22"/>
    <s v="646-83-3"/>
    <x v="22"/>
    <n v="0.249"/>
  </r>
  <r>
    <s v="PU071-JBA-08162021"/>
    <s v="Down"/>
    <x v="1"/>
    <s v="Pumpkinseed"/>
    <s v="Lepomis"/>
    <s v="gibbosus"/>
    <s v="U"/>
    <x v="0"/>
    <n v="8"/>
    <n v="11.81"/>
    <x v="23"/>
    <s v="30334-69-1"/>
    <x v="23"/>
    <n v="31.5"/>
  </r>
  <r>
    <s v="PU071-JBA-08162021"/>
    <s v="Down"/>
    <x v="1"/>
    <s v="Pumpkinseed"/>
    <s v="Lepomis"/>
    <s v="gibbosus"/>
    <s v="U"/>
    <x v="0"/>
    <n v="8"/>
    <n v="11.81"/>
    <x v="24"/>
    <s v="41997-13-1"/>
    <x v="24"/>
    <n v="100"/>
  </r>
  <r>
    <s v="PU071-JBA-08162021"/>
    <s v="Down"/>
    <x v="1"/>
    <s v="Pumpkinseed"/>
    <s v="Lepomis"/>
    <s v="gibbosus"/>
    <s v="U"/>
    <x v="0"/>
    <n v="8"/>
    <n v="11.81"/>
    <x v="25"/>
    <s v="754-91-6"/>
    <x v="25"/>
    <n v="10.5"/>
  </r>
  <r>
    <s v="PU071-JBA-08162021"/>
    <s v="Down"/>
    <x v="1"/>
    <s v="Pumpkinseed"/>
    <s v="Lepomis"/>
    <s v="gibbosus"/>
    <s v="U"/>
    <x v="0"/>
    <n v="8"/>
    <n v="11.81"/>
    <x v="26"/>
    <s v="31506-32-8"/>
    <x v="26"/>
    <n v="0.161"/>
  </r>
  <r>
    <s v="PU071-JBA-08162021"/>
    <s v="Down"/>
    <x v="1"/>
    <s v="Pumpkinseed"/>
    <s v="Lepomis"/>
    <s v="gibbosus"/>
    <s v="U"/>
    <x v="0"/>
    <n v="8"/>
    <n v="11.81"/>
    <x v="27"/>
    <s v="4151-50-2"/>
    <x v="27"/>
    <n v="0.41849999999999998"/>
  </r>
  <r>
    <s v="PU071-JBA-08162021"/>
    <s v="Down"/>
    <x v="1"/>
    <s v="Pumpkinseed"/>
    <s v="Lepomis"/>
    <s v="gibbosus"/>
    <s v="U"/>
    <x v="0"/>
    <n v="8"/>
    <n v="11.81"/>
    <x v="28"/>
    <s v="2806-24-8"/>
    <x v="28"/>
    <n v="0.41849999999999998"/>
  </r>
  <r>
    <s v="PU071-JBA-08162021"/>
    <s v="Down"/>
    <x v="1"/>
    <s v="Pumpkinseed"/>
    <s v="Lepomis"/>
    <s v="gibbosus"/>
    <s v="U"/>
    <x v="0"/>
    <n v="8"/>
    <n v="11.81"/>
    <x v="29"/>
    <s v="2355-31-9"/>
    <x v="29"/>
    <n v="0.21049999999999999"/>
  </r>
  <r>
    <s v="PU071-JBA-08162021"/>
    <s v="Down"/>
    <x v="1"/>
    <s v="Pumpkinseed"/>
    <s v="Lepomis"/>
    <s v="gibbosus"/>
    <s v="U"/>
    <x v="0"/>
    <n v="8"/>
    <n v="11.81"/>
    <x v="30"/>
    <s v="2991-50-6"/>
    <x v="30"/>
    <n v="0.20899999999999999"/>
  </r>
  <r>
    <s v="PU071-JBA-08162021"/>
    <s v="Down"/>
    <x v="1"/>
    <s v="Pumpkinseed"/>
    <s v="Lepomis"/>
    <s v="gibbosus"/>
    <s v="U"/>
    <x v="0"/>
    <n v="8"/>
    <n v="11.81"/>
    <x v="31"/>
    <s v="757124-72-4"/>
    <x v="31"/>
    <n v="0.20899999999999999"/>
  </r>
  <r>
    <s v="PU071-JBA-08162021"/>
    <s v="Down"/>
    <x v="1"/>
    <s v="Pumpkinseed"/>
    <s v="Lepomis"/>
    <s v="gibbosus"/>
    <s v="U"/>
    <x v="0"/>
    <n v="8"/>
    <n v="11.81"/>
    <x v="32"/>
    <s v="27619-97-2"/>
    <x v="32"/>
    <n v="0.74099999999999999"/>
  </r>
  <r>
    <s v="PU071-JBA-08162021"/>
    <s v="Down"/>
    <x v="1"/>
    <s v="Pumpkinseed"/>
    <s v="Lepomis"/>
    <s v="gibbosus"/>
    <s v="U"/>
    <x v="0"/>
    <n v="8"/>
    <n v="11.81"/>
    <x v="33"/>
    <s v="39108-34-4"/>
    <x v="33"/>
    <n v="3.42"/>
  </r>
  <r>
    <s v="PU071-JBA-08162021"/>
    <s v="Down"/>
    <x v="1"/>
    <s v="Pumpkinseed"/>
    <s v="Lepomis"/>
    <s v="gibbosus"/>
    <s v="U"/>
    <x v="0"/>
    <n v="8"/>
    <n v="11.81"/>
    <x v="34"/>
    <s v="120226-60-0"/>
    <x v="34"/>
    <n v="0.41849999999999998"/>
  </r>
  <r>
    <s v="PU071-JBA-08162021"/>
    <s v="Down"/>
    <x v="1"/>
    <s v="Pumpkinseed"/>
    <s v="Lepomis"/>
    <s v="gibbosus"/>
    <s v="U"/>
    <x v="0"/>
    <n v="8"/>
    <n v="11.81"/>
    <x v="35"/>
    <s v="356-02-5"/>
    <x v="35"/>
    <n v="0.24149999999999999"/>
  </r>
  <r>
    <s v="PU071-JBA-08162021"/>
    <s v="Down"/>
    <x v="1"/>
    <s v="Pumpkinseed"/>
    <s v="Lepomis"/>
    <s v="gibbosus"/>
    <s v="U"/>
    <x v="0"/>
    <n v="8"/>
    <n v="11.81"/>
    <x v="36"/>
    <s v="914637-49-3"/>
    <x v="36"/>
    <n v="0.20899999999999999"/>
  </r>
  <r>
    <s v="PU071-JBA-08162021"/>
    <s v="Down"/>
    <x v="1"/>
    <s v="Pumpkinseed"/>
    <s v="Lepomis"/>
    <s v="gibbosus"/>
    <s v="U"/>
    <x v="0"/>
    <n v="8"/>
    <n v="11.81"/>
    <x v="37"/>
    <s v="812-70-4"/>
    <x v="37"/>
    <n v="1.78"/>
  </r>
  <r>
    <s v="PU071-JBA-08162021"/>
    <s v="Down"/>
    <x v="1"/>
    <s v="Pumpkinseed"/>
    <s v="Lepomis"/>
    <s v="gibbosus"/>
    <s v="U"/>
    <x v="0"/>
    <n v="8"/>
    <n v="11.81"/>
    <x v="38"/>
    <s v="53826-12-3"/>
    <x v="38"/>
    <n v="0.41849999999999998"/>
  </r>
  <r>
    <s v="PU071-JBA-08162021"/>
    <s v="Down"/>
    <x v="1"/>
    <s v="Pumpkinseed"/>
    <s v="Lepomis"/>
    <s v="gibbosus"/>
    <s v="U"/>
    <x v="0"/>
    <n v="8"/>
    <n v="11.81"/>
    <x v="39"/>
    <s v="27854-31-5"/>
    <x v="39"/>
    <n v="0.41849999999999998"/>
  </r>
  <r>
    <s v="PU071-JBA-08162021"/>
    <s v="Down"/>
    <x v="1"/>
    <s v="Pumpkinseed"/>
    <s v="Lepomis"/>
    <s v="gibbosus"/>
    <s v="U"/>
    <x v="0"/>
    <n v="8"/>
    <n v="11.81"/>
    <x v="40"/>
    <s v="53826-13-4"/>
    <x v="40"/>
    <n v="0.41849999999999998"/>
  </r>
  <r>
    <s v="PU071-JBA-08162021"/>
    <s v="Down"/>
    <x v="1"/>
    <s v="Pumpkinseed"/>
    <s v="Lepomis"/>
    <s v="gibbosus"/>
    <s v="U"/>
    <x v="0"/>
    <n v="8"/>
    <n v="11.81"/>
    <x v="41"/>
    <s v="161094-75-3"/>
    <x v="41"/>
    <n v="0.41849999999999998"/>
  </r>
  <r>
    <s v="PU071-JBA-08162021"/>
    <s v="Down"/>
    <x v="1"/>
    <s v="Pumpkinseed"/>
    <s v="Lepomis"/>
    <s v="gibbosus"/>
    <s v="U"/>
    <x v="0"/>
    <n v="8"/>
    <n v="11.81"/>
    <x v="42"/>
    <s v="70887-84-2"/>
    <x v="42"/>
    <n v="0.41849999999999998"/>
  </r>
  <r>
    <s v="PU071-JBA-08162021"/>
    <s v="Down"/>
    <x v="1"/>
    <s v="Pumpkinseed"/>
    <s v="Lepomis"/>
    <s v="gibbosus"/>
    <s v="U"/>
    <x v="0"/>
    <n v="8"/>
    <n v="11.81"/>
    <x v="43"/>
    <s v="919005-14-4"/>
    <x v="43"/>
    <n v="0.20899999999999999"/>
  </r>
  <r>
    <s v="PU071-JBA-08162021"/>
    <s v="Down"/>
    <x v="1"/>
    <s v="Pumpkinseed"/>
    <s v="Lepomis"/>
    <s v="gibbosus"/>
    <s v="U"/>
    <x v="0"/>
    <n v="8"/>
    <n v="11.81"/>
    <x v="44"/>
    <s v="756426-58-1"/>
    <x v="44"/>
    <n v="0.41849999999999998"/>
  </r>
  <r>
    <s v="PU071-JBA-08162021"/>
    <s v="Down"/>
    <x v="1"/>
    <s v="Pumpkinseed"/>
    <s v="Lepomis"/>
    <s v="gibbosus"/>
    <s v="U"/>
    <x v="0"/>
    <n v="8"/>
    <n v="11.81"/>
    <x v="45"/>
    <s v="763051-92-9"/>
    <x v="45"/>
    <n v="0.41849999999999998"/>
  </r>
  <r>
    <s v="PU071-JBA-08162021"/>
    <s v="Down"/>
    <x v="1"/>
    <s v="Pumpkinseed"/>
    <s v="Lepomis"/>
    <s v="gibbosus"/>
    <s v="U"/>
    <x v="0"/>
    <n v="8"/>
    <n v="11.81"/>
    <x v="46"/>
    <s v="13252-13-6"/>
    <x v="46"/>
    <n v="0.3"/>
  </r>
  <r>
    <s v="PU071-JBA-08162021"/>
    <s v="Down"/>
    <x v="1"/>
    <s v="Pumpkinseed"/>
    <s v="Lepomis"/>
    <s v="gibbosus"/>
    <s v="U"/>
    <x v="0"/>
    <n v="8"/>
    <n v="11.81"/>
    <x v="47"/>
    <s v="57677-95-9"/>
    <x v="47"/>
    <n v="0.41849999999999998"/>
  </r>
  <r>
    <s v="PU071-JBA-08162021"/>
    <s v="Down"/>
    <x v="1"/>
    <s v="Pumpkinseed"/>
    <s v="Lepomis"/>
    <s v="gibbosus"/>
    <s v="U"/>
    <x v="0"/>
    <n v="8"/>
    <n v="11.81"/>
    <x v="48"/>
    <s v="678-41-1"/>
    <x v="48"/>
    <n v="0.41849999999999998"/>
  </r>
  <r>
    <s v="PU071-JBA-08162021"/>
    <s v="Down"/>
    <x v="1"/>
    <s v="Pumpkinseed"/>
    <s v="Lepomis"/>
    <s v="gibbosus"/>
    <s v="U"/>
    <x v="0"/>
    <n v="8"/>
    <n v="11.81"/>
    <x v="49"/>
    <s v="2965-52-8"/>
    <x v="49"/>
    <n v="0.41849999999999998"/>
  </r>
  <r>
    <s v="PU072-JBA-08162021"/>
    <s v="Down"/>
    <x v="1"/>
    <s v="Pumpkinseed"/>
    <s v="Lepomis"/>
    <s v="gibbosus"/>
    <s v="U"/>
    <x v="0"/>
    <n v="8"/>
    <n v="11.81"/>
    <x v="0"/>
    <s v="375-22-4"/>
    <x v="0"/>
    <n v="0.2135"/>
  </r>
  <r>
    <s v="PU072-JBA-08162021"/>
    <s v="Down"/>
    <x v="1"/>
    <s v="Pumpkinseed"/>
    <s v="Lepomis"/>
    <s v="gibbosus"/>
    <s v="U"/>
    <x v="0"/>
    <n v="8"/>
    <n v="11.81"/>
    <x v="1"/>
    <s v="2706-90-3"/>
    <x v="1"/>
    <n v="0.2135"/>
  </r>
  <r>
    <s v="PU072-JBA-08162021"/>
    <s v="Down"/>
    <x v="1"/>
    <s v="Pumpkinseed"/>
    <s v="Lepomis"/>
    <s v="gibbosus"/>
    <s v="U"/>
    <x v="0"/>
    <n v="8"/>
    <n v="11.81"/>
    <x v="2"/>
    <s v="307-24-4"/>
    <x v="2"/>
    <n v="0.115"/>
  </r>
  <r>
    <s v="PU072-JBA-08162021"/>
    <s v="Down"/>
    <x v="1"/>
    <s v="Pumpkinseed"/>
    <s v="Lepomis"/>
    <s v="gibbosus"/>
    <s v="U"/>
    <x v="0"/>
    <n v="8"/>
    <n v="11.81"/>
    <x v="3"/>
    <s v="375-85-9"/>
    <x v="3"/>
    <n v="0.2135"/>
  </r>
  <r>
    <s v="PU072-JBA-08162021"/>
    <s v="Down"/>
    <x v="1"/>
    <s v="Pumpkinseed"/>
    <s v="Lepomis"/>
    <s v="gibbosus"/>
    <s v="U"/>
    <x v="0"/>
    <n v="8"/>
    <n v="11.81"/>
    <x v="4"/>
    <s v="335-67-1"/>
    <x v="4"/>
    <n v="0.41299999999999998"/>
  </r>
  <r>
    <s v="PU072-JBA-08162021"/>
    <s v="Down"/>
    <x v="1"/>
    <s v="Pumpkinseed"/>
    <s v="Lepomis"/>
    <s v="gibbosus"/>
    <s v="U"/>
    <x v="0"/>
    <n v="8"/>
    <n v="11.81"/>
    <x v="5"/>
    <s v="375-95-1"/>
    <x v="5"/>
    <n v="0.14749999999999999"/>
  </r>
  <r>
    <s v="PU072-JBA-08162021"/>
    <s v="Down"/>
    <x v="1"/>
    <s v="Pumpkinseed"/>
    <s v="Lepomis"/>
    <s v="gibbosus"/>
    <s v="U"/>
    <x v="0"/>
    <n v="8"/>
    <n v="11.81"/>
    <x v="6"/>
    <s v="335-76-2"/>
    <x v="6"/>
    <n v="3"/>
  </r>
  <r>
    <s v="PU072-JBA-08162021"/>
    <s v="Down"/>
    <x v="1"/>
    <s v="Pumpkinseed"/>
    <s v="Lepomis"/>
    <s v="gibbosus"/>
    <s v="U"/>
    <x v="0"/>
    <n v="8"/>
    <n v="11.81"/>
    <x v="7"/>
    <s v="2058-94-8"/>
    <x v="7"/>
    <n v="5.83"/>
  </r>
  <r>
    <s v="PU072-JBA-08162021"/>
    <s v="Down"/>
    <x v="1"/>
    <s v="Pumpkinseed"/>
    <s v="Lepomis"/>
    <s v="gibbosus"/>
    <s v="U"/>
    <x v="0"/>
    <n v="8"/>
    <n v="11.81"/>
    <x v="8"/>
    <s v="307-55-1"/>
    <x v="8"/>
    <n v="17.2"/>
  </r>
  <r>
    <s v="PU072-JBA-08162021"/>
    <s v="Down"/>
    <x v="1"/>
    <s v="Pumpkinseed"/>
    <s v="Lepomis"/>
    <s v="gibbosus"/>
    <s v="U"/>
    <x v="0"/>
    <n v="8"/>
    <n v="11.81"/>
    <x v="9"/>
    <s v="72629-94-8"/>
    <x v="9"/>
    <n v="5.87"/>
  </r>
  <r>
    <s v="PU072-JBA-08162021"/>
    <s v="Down"/>
    <x v="1"/>
    <s v="Pumpkinseed"/>
    <s v="Lepomis"/>
    <s v="gibbosus"/>
    <s v="U"/>
    <x v="0"/>
    <n v="8"/>
    <n v="11.81"/>
    <x v="10"/>
    <s v="376-06-7"/>
    <x v="10"/>
    <n v="29.1"/>
  </r>
  <r>
    <s v="PU072-JBA-08162021"/>
    <s v="Down"/>
    <x v="1"/>
    <s v="Pumpkinseed"/>
    <s v="Lepomis"/>
    <s v="gibbosus"/>
    <s v="U"/>
    <x v="0"/>
    <n v="8"/>
    <n v="11.81"/>
    <x v="11"/>
    <s v="67905-19-5"/>
    <x v="11"/>
    <n v="0.254"/>
  </r>
  <r>
    <s v="PU072-JBA-08162021"/>
    <s v="Down"/>
    <x v="1"/>
    <s v="Pumpkinseed"/>
    <s v="Lepomis"/>
    <s v="gibbosus"/>
    <s v="U"/>
    <x v="0"/>
    <n v="8"/>
    <n v="11.81"/>
    <x v="12"/>
    <s v="423-41-6"/>
    <x v="12"/>
    <n v="0.42649999999999999"/>
  </r>
  <r>
    <s v="PU072-JBA-08162021"/>
    <s v="Down"/>
    <x v="1"/>
    <s v="Pumpkinseed"/>
    <s v="Lepomis"/>
    <s v="gibbosus"/>
    <s v="U"/>
    <x v="0"/>
    <n v="8"/>
    <n v="11.81"/>
    <x v="13"/>
    <s v="375-73-5"/>
    <x v="13"/>
    <n v="0.14499999999999999"/>
  </r>
  <r>
    <s v="PU072-JBA-08162021"/>
    <s v="Down"/>
    <x v="1"/>
    <s v="Pumpkinseed"/>
    <s v="Lepomis"/>
    <s v="gibbosus"/>
    <s v="U"/>
    <x v="0"/>
    <n v="8"/>
    <n v="11.81"/>
    <x v="14"/>
    <s v="2706-91-4"/>
    <x v="14"/>
    <n v="0.113"/>
  </r>
  <r>
    <s v="PU072-JBA-08162021"/>
    <s v="Down"/>
    <x v="1"/>
    <s v="Pumpkinseed"/>
    <s v="Lepomis"/>
    <s v="gibbosus"/>
    <s v="U"/>
    <x v="0"/>
    <n v="8"/>
    <n v="11.81"/>
    <x v="15"/>
    <s v="355-46-4"/>
    <x v="15"/>
    <n v="7.25"/>
  </r>
  <r>
    <s v="PU072-JBA-08162021"/>
    <s v="Down"/>
    <x v="1"/>
    <s v="Pumpkinseed"/>
    <s v="Lepomis"/>
    <s v="gibbosus"/>
    <s v="U"/>
    <x v="0"/>
    <n v="8"/>
    <n v="11.81"/>
    <x v="16"/>
    <s v="375-92-8"/>
    <x v="16"/>
    <n v="0.90100000000000002"/>
  </r>
  <r>
    <s v="PU072-JBA-08162021"/>
    <s v="Down"/>
    <x v="1"/>
    <s v="Pumpkinseed"/>
    <s v="Lepomis"/>
    <s v="gibbosus"/>
    <s v="U"/>
    <x v="0"/>
    <n v="8"/>
    <n v="11.81"/>
    <x v="17"/>
    <s v="1763-23-1"/>
    <x v="17"/>
    <n v="657"/>
  </r>
  <r>
    <s v="PU072-JBA-08162021"/>
    <s v="Down"/>
    <x v="1"/>
    <s v="Pumpkinseed"/>
    <s v="Lepomis"/>
    <s v="gibbosus"/>
    <s v="U"/>
    <x v="0"/>
    <n v="8"/>
    <n v="11.81"/>
    <x v="18"/>
    <s v="68259-12-1"/>
    <x v="18"/>
    <n v="0.75800000000000001"/>
  </r>
  <r>
    <s v="PU072-JBA-08162021"/>
    <s v="Down"/>
    <x v="1"/>
    <s v="Pumpkinseed"/>
    <s v="Lepomis"/>
    <s v="gibbosus"/>
    <s v="U"/>
    <x v="0"/>
    <n v="8"/>
    <n v="11.81"/>
    <x v="19"/>
    <s v="335-77-3"/>
    <x v="19"/>
    <n v="0.81799999999999995"/>
  </r>
  <r>
    <s v="PU072-JBA-08162021"/>
    <s v="Down"/>
    <x v="1"/>
    <s v="Pumpkinseed"/>
    <s v="Lepomis"/>
    <s v="gibbosus"/>
    <s v="U"/>
    <x v="0"/>
    <n v="8"/>
    <n v="11.81"/>
    <x v="20"/>
    <s v="79780-39-5"/>
    <x v="20"/>
    <n v="0.22800000000000001"/>
  </r>
  <r>
    <s v="PU072-JBA-08162021"/>
    <s v="Down"/>
    <x v="1"/>
    <s v="Pumpkinseed"/>
    <s v="Lepomis"/>
    <s v="gibbosus"/>
    <s v="U"/>
    <x v="0"/>
    <n v="8"/>
    <n v="11.81"/>
    <x v="21"/>
    <s v="777011-38-8"/>
    <x v="21"/>
    <n v="0.1295"/>
  </r>
  <r>
    <s v="PU072-JBA-08162021"/>
    <s v="Down"/>
    <x v="1"/>
    <s v="Pumpkinseed"/>
    <s v="Lepomis"/>
    <s v="gibbosus"/>
    <s v="U"/>
    <x v="0"/>
    <n v="8"/>
    <n v="11.81"/>
    <x v="22"/>
    <s v="646-83-3"/>
    <x v="22"/>
    <n v="0.17100000000000001"/>
  </r>
  <r>
    <s v="PU072-JBA-08162021"/>
    <s v="Down"/>
    <x v="1"/>
    <s v="Pumpkinseed"/>
    <s v="Lepomis"/>
    <s v="gibbosus"/>
    <s v="U"/>
    <x v="0"/>
    <n v="8"/>
    <n v="11.81"/>
    <x v="23"/>
    <s v="30334-69-1"/>
    <x v="23"/>
    <n v="81.900000000000006"/>
  </r>
  <r>
    <s v="PU072-JBA-08162021"/>
    <s v="Down"/>
    <x v="1"/>
    <s v="Pumpkinseed"/>
    <s v="Lepomis"/>
    <s v="gibbosus"/>
    <s v="U"/>
    <x v="0"/>
    <n v="8"/>
    <n v="11.81"/>
    <x v="24"/>
    <s v="41997-13-1"/>
    <x v="24"/>
    <n v="47.9"/>
  </r>
  <r>
    <s v="PU072-JBA-08162021"/>
    <s v="Down"/>
    <x v="1"/>
    <s v="Pumpkinseed"/>
    <s v="Lepomis"/>
    <s v="gibbosus"/>
    <s v="U"/>
    <x v="0"/>
    <n v="8"/>
    <n v="11.81"/>
    <x v="25"/>
    <s v="754-91-6"/>
    <x v="25"/>
    <n v="7.64"/>
  </r>
  <r>
    <s v="PU072-JBA-08162021"/>
    <s v="Down"/>
    <x v="1"/>
    <s v="Pumpkinseed"/>
    <s v="Lepomis"/>
    <s v="gibbosus"/>
    <s v="U"/>
    <x v="0"/>
    <n v="8"/>
    <n v="11.81"/>
    <x v="26"/>
    <s v="31506-32-8"/>
    <x v="26"/>
    <n v="0.16450000000000001"/>
  </r>
  <r>
    <s v="PU072-JBA-08162021"/>
    <s v="Down"/>
    <x v="1"/>
    <s v="Pumpkinseed"/>
    <s v="Lepomis"/>
    <s v="gibbosus"/>
    <s v="U"/>
    <x v="0"/>
    <n v="8"/>
    <n v="11.81"/>
    <x v="27"/>
    <s v="4151-50-2"/>
    <x v="27"/>
    <n v="0.42649999999999999"/>
  </r>
  <r>
    <s v="PU072-JBA-08162021"/>
    <s v="Down"/>
    <x v="1"/>
    <s v="Pumpkinseed"/>
    <s v="Lepomis"/>
    <s v="gibbosus"/>
    <s v="U"/>
    <x v="0"/>
    <n v="8"/>
    <n v="11.81"/>
    <x v="28"/>
    <s v="2806-24-8"/>
    <x v="28"/>
    <n v="0.42649999999999999"/>
  </r>
  <r>
    <s v="PU072-JBA-08162021"/>
    <s v="Down"/>
    <x v="1"/>
    <s v="Pumpkinseed"/>
    <s v="Lepomis"/>
    <s v="gibbosus"/>
    <s v="U"/>
    <x v="0"/>
    <n v="8"/>
    <n v="11.81"/>
    <x v="29"/>
    <s v="2355-31-9"/>
    <x v="29"/>
    <n v="0.2145"/>
  </r>
  <r>
    <s v="PU072-JBA-08162021"/>
    <s v="Down"/>
    <x v="1"/>
    <s v="Pumpkinseed"/>
    <s v="Lepomis"/>
    <s v="gibbosus"/>
    <s v="U"/>
    <x v="0"/>
    <n v="8"/>
    <n v="11.81"/>
    <x v="30"/>
    <s v="2991-50-6"/>
    <x v="30"/>
    <n v="0.2135"/>
  </r>
  <r>
    <s v="PU072-JBA-08162021"/>
    <s v="Down"/>
    <x v="1"/>
    <s v="Pumpkinseed"/>
    <s v="Lepomis"/>
    <s v="gibbosus"/>
    <s v="U"/>
    <x v="0"/>
    <n v="8"/>
    <n v="11.81"/>
    <x v="31"/>
    <s v="757124-72-4"/>
    <x v="31"/>
    <n v="0.2135"/>
  </r>
  <r>
    <s v="PU072-JBA-08162021"/>
    <s v="Down"/>
    <x v="1"/>
    <s v="Pumpkinseed"/>
    <s v="Lepomis"/>
    <s v="gibbosus"/>
    <s v="U"/>
    <x v="0"/>
    <n v="8"/>
    <n v="11.81"/>
    <x v="32"/>
    <s v="27619-97-2"/>
    <x v="32"/>
    <n v="0.2135"/>
  </r>
  <r>
    <s v="PU072-JBA-08162021"/>
    <s v="Down"/>
    <x v="1"/>
    <s v="Pumpkinseed"/>
    <s v="Lepomis"/>
    <s v="gibbosus"/>
    <s v="U"/>
    <x v="0"/>
    <n v="8"/>
    <n v="11.81"/>
    <x v="33"/>
    <s v="39108-34-4"/>
    <x v="33"/>
    <n v="2.44"/>
  </r>
  <r>
    <s v="PU072-JBA-08162021"/>
    <s v="Down"/>
    <x v="1"/>
    <s v="Pumpkinseed"/>
    <s v="Lepomis"/>
    <s v="gibbosus"/>
    <s v="U"/>
    <x v="0"/>
    <n v="8"/>
    <n v="11.81"/>
    <x v="34"/>
    <s v="120226-60-0"/>
    <x v="34"/>
    <n v="0.42649999999999999"/>
  </r>
  <r>
    <s v="PU072-JBA-08162021"/>
    <s v="Down"/>
    <x v="1"/>
    <s v="Pumpkinseed"/>
    <s v="Lepomis"/>
    <s v="gibbosus"/>
    <s v="U"/>
    <x v="0"/>
    <n v="8"/>
    <n v="11.81"/>
    <x v="35"/>
    <s v="356-02-5"/>
    <x v="35"/>
    <n v="0.246"/>
  </r>
  <r>
    <s v="PU072-JBA-08162021"/>
    <s v="Down"/>
    <x v="1"/>
    <s v="Pumpkinseed"/>
    <s v="Lepomis"/>
    <s v="gibbosus"/>
    <s v="U"/>
    <x v="0"/>
    <n v="8"/>
    <n v="11.81"/>
    <x v="36"/>
    <s v="914637-49-3"/>
    <x v="36"/>
    <n v="3.59"/>
  </r>
  <r>
    <s v="PU072-JBA-08162021"/>
    <s v="Down"/>
    <x v="1"/>
    <s v="Pumpkinseed"/>
    <s v="Lepomis"/>
    <s v="gibbosus"/>
    <s v="U"/>
    <x v="0"/>
    <n v="8"/>
    <n v="11.81"/>
    <x v="37"/>
    <s v="812-70-4"/>
    <x v="37"/>
    <n v="96.1"/>
  </r>
  <r>
    <s v="PU072-JBA-08162021"/>
    <s v="Down"/>
    <x v="1"/>
    <s v="Pumpkinseed"/>
    <s v="Lepomis"/>
    <s v="gibbosus"/>
    <s v="U"/>
    <x v="0"/>
    <n v="8"/>
    <n v="11.81"/>
    <x v="38"/>
    <s v="53826-12-3"/>
    <x v="38"/>
    <n v="0.42649999999999999"/>
  </r>
  <r>
    <s v="PU072-JBA-08162021"/>
    <s v="Down"/>
    <x v="1"/>
    <s v="Pumpkinseed"/>
    <s v="Lepomis"/>
    <s v="gibbosus"/>
    <s v="U"/>
    <x v="0"/>
    <n v="8"/>
    <n v="11.81"/>
    <x v="39"/>
    <s v="27854-31-5"/>
    <x v="39"/>
    <n v="0.42649999999999999"/>
  </r>
  <r>
    <s v="PU072-JBA-08162021"/>
    <s v="Down"/>
    <x v="1"/>
    <s v="Pumpkinseed"/>
    <s v="Lepomis"/>
    <s v="gibbosus"/>
    <s v="U"/>
    <x v="0"/>
    <n v="8"/>
    <n v="11.81"/>
    <x v="40"/>
    <s v="53826-13-4"/>
    <x v="40"/>
    <n v="0.42649999999999999"/>
  </r>
  <r>
    <s v="PU072-JBA-08162021"/>
    <s v="Down"/>
    <x v="1"/>
    <s v="Pumpkinseed"/>
    <s v="Lepomis"/>
    <s v="gibbosus"/>
    <s v="U"/>
    <x v="0"/>
    <n v="8"/>
    <n v="11.81"/>
    <x v="41"/>
    <s v="161094-75-3"/>
    <x v="41"/>
    <n v="0.42649999999999999"/>
  </r>
  <r>
    <s v="PU072-JBA-08162021"/>
    <s v="Down"/>
    <x v="1"/>
    <s v="Pumpkinseed"/>
    <s v="Lepomis"/>
    <s v="gibbosus"/>
    <s v="U"/>
    <x v="0"/>
    <n v="8"/>
    <n v="11.81"/>
    <x v="42"/>
    <s v="70887-84-2"/>
    <x v="42"/>
    <n v="0.42649999999999999"/>
  </r>
  <r>
    <s v="PU072-JBA-08162021"/>
    <s v="Down"/>
    <x v="1"/>
    <s v="Pumpkinseed"/>
    <s v="Lepomis"/>
    <s v="gibbosus"/>
    <s v="U"/>
    <x v="0"/>
    <n v="8"/>
    <n v="11.81"/>
    <x v="43"/>
    <s v="919005-14-4"/>
    <x v="43"/>
    <n v="0.2135"/>
  </r>
  <r>
    <s v="PU072-JBA-08162021"/>
    <s v="Down"/>
    <x v="1"/>
    <s v="Pumpkinseed"/>
    <s v="Lepomis"/>
    <s v="gibbosus"/>
    <s v="U"/>
    <x v="0"/>
    <n v="8"/>
    <n v="11.81"/>
    <x v="44"/>
    <s v="756426-58-1"/>
    <x v="44"/>
    <n v="0.42649999999999999"/>
  </r>
  <r>
    <s v="PU072-JBA-08162021"/>
    <s v="Down"/>
    <x v="1"/>
    <s v="Pumpkinseed"/>
    <s v="Lepomis"/>
    <s v="gibbosus"/>
    <s v="U"/>
    <x v="0"/>
    <n v="8"/>
    <n v="11.81"/>
    <x v="45"/>
    <s v="763051-92-9"/>
    <x v="45"/>
    <n v="0.42649999999999999"/>
  </r>
  <r>
    <s v="PU072-JBA-08162021"/>
    <s v="Down"/>
    <x v="1"/>
    <s v="Pumpkinseed"/>
    <s v="Lepomis"/>
    <s v="gibbosus"/>
    <s v="U"/>
    <x v="0"/>
    <n v="8"/>
    <n v="11.81"/>
    <x v="46"/>
    <s v="13252-13-6"/>
    <x v="46"/>
    <n v="0.30599999999999999"/>
  </r>
  <r>
    <s v="PU072-JBA-08162021"/>
    <s v="Down"/>
    <x v="1"/>
    <s v="Pumpkinseed"/>
    <s v="Lepomis"/>
    <s v="gibbosus"/>
    <s v="U"/>
    <x v="0"/>
    <n v="8"/>
    <n v="11.81"/>
    <x v="47"/>
    <s v="57677-95-9"/>
    <x v="47"/>
    <n v="0.42649999999999999"/>
  </r>
  <r>
    <s v="PU072-JBA-08162021"/>
    <s v="Down"/>
    <x v="1"/>
    <s v="Pumpkinseed"/>
    <s v="Lepomis"/>
    <s v="gibbosus"/>
    <s v="U"/>
    <x v="0"/>
    <n v="8"/>
    <n v="11.81"/>
    <x v="48"/>
    <s v="678-41-1"/>
    <x v="48"/>
    <n v="0.42649999999999999"/>
  </r>
  <r>
    <s v="PU072-JBA-08162021"/>
    <s v="Down"/>
    <x v="1"/>
    <s v="Pumpkinseed"/>
    <s v="Lepomis"/>
    <s v="gibbosus"/>
    <s v="U"/>
    <x v="0"/>
    <n v="8"/>
    <n v="11.81"/>
    <x v="49"/>
    <s v="2965-52-8"/>
    <x v="49"/>
    <n v="0.42649999999999999"/>
  </r>
  <r>
    <s v="PU073-JBA-08162021"/>
    <s v="Down"/>
    <x v="1"/>
    <s v="Pumpkinseed"/>
    <s v="Lepomis"/>
    <s v="gibbosus"/>
    <s v="U"/>
    <x v="0"/>
    <n v="8"/>
    <n v="11.81"/>
    <x v="0"/>
    <s v="375-22-4"/>
    <x v="0"/>
    <n v="0.2145"/>
  </r>
  <r>
    <s v="PU073-JBA-08162021"/>
    <s v="Down"/>
    <x v="1"/>
    <s v="Pumpkinseed"/>
    <s v="Lepomis"/>
    <s v="gibbosus"/>
    <s v="U"/>
    <x v="0"/>
    <n v="8"/>
    <n v="11.81"/>
    <x v="1"/>
    <s v="2706-90-3"/>
    <x v="1"/>
    <n v="0.2145"/>
  </r>
  <r>
    <s v="PU073-JBA-08162021"/>
    <s v="Down"/>
    <x v="1"/>
    <s v="Pumpkinseed"/>
    <s v="Lepomis"/>
    <s v="gibbosus"/>
    <s v="U"/>
    <x v="0"/>
    <n v="8"/>
    <n v="11.81"/>
    <x v="2"/>
    <s v="307-24-4"/>
    <x v="2"/>
    <n v="0.11550000000000001"/>
  </r>
  <r>
    <s v="PU073-JBA-08162021"/>
    <s v="Down"/>
    <x v="1"/>
    <s v="Pumpkinseed"/>
    <s v="Lepomis"/>
    <s v="gibbosus"/>
    <s v="U"/>
    <x v="0"/>
    <n v="8"/>
    <n v="11.81"/>
    <x v="3"/>
    <s v="375-85-9"/>
    <x v="3"/>
    <n v="0.2145"/>
  </r>
  <r>
    <s v="PU073-JBA-08162021"/>
    <s v="Down"/>
    <x v="1"/>
    <s v="Pumpkinseed"/>
    <s v="Lepomis"/>
    <s v="gibbosus"/>
    <s v="U"/>
    <x v="0"/>
    <n v="8"/>
    <n v="11.81"/>
    <x v="4"/>
    <s v="335-67-1"/>
    <x v="4"/>
    <n v="0.38800000000000001"/>
  </r>
  <r>
    <s v="PU073-JBA-08162021"/>
    <s v="Down"/>
    <x v="1"/>
    <s v="Pumpkinseed"/>
    <s v="Lepomis"/>
    <s v="gibbosus"/>
    <s v="U"/>
    <x v="0"/>
    <n v="8"/>
    <n v="11.81"/>
    <x v="5"/>
    <s v="375-95-1"/>
    <x v="5"/>
    <n v="0.36299999999999999"/>
  </r>
  <r>
    <s v="PU073-JBA-08162021"/>
    <s v="Down"/>
    <x v="1"/>
    <s v="Pumpkinseed"/>
    <s v="Lepomis"/>
    <s v="gibbosus"/>
    <s v="U"/>
    <x v="0"/>
    <n v="8"/>
    <n v="11.81"/>
    <x v="6"/>
    <s v="335-76-2"/>
    <x v="6"/>
    <n v="4.2"/>
  </r>
  <r>
    <s v="PU073-JBA-08162021"/>
    <s v="Down"/>
    <x v="1"/>
    <s v="Pumpkinseed"/>
    <s v="Lepomis"/>
    <s v="gibbosus"/>
    <s v="U"/>
    <x v="0"/>
    <n v="8"/>
    <n v="11.81"/>
    <x v="7"/>
    <s v="2058-94-8"/>
    <x v="7"/>
    <n v="6.71"/>
  </r>
  <r>
    <s v="PU073-JBA-08162021"/>
    <s v="Down"/>
    <x v="1"/>
    <s v="Pumpkinseed"/>
    <s v="Lepomis"/>
    <s v="gibbosus"/>
    <s v="U"/>
    <x v="0"/>
    <n v="8"/>
    <n v="11.81"/>
    <x v="8"/>
    <s v="307-55-1"/>
    <x v="8"/>
    <n v="15.5"/>
  </r>
  <r>
    <s v="PU073-JBA-08162021"/>
    <s v="Down"/>
    <x v="1"/>
    <s v="Pumpkinseed"/>
    <s v="Lepomis"/>
    <s v="gibbosus"/>
    <s v="U"/>
    <x v="0"/>
    <n v="8"/>
    <n v="11.81"/>
    <x v="9"/>
    <s v="72629-94-8"/>
    <x v="9"/>
    <n v="3.89"/>
  </r>
  <r>
    <s v="PU073-JBA-08162021"/>
    <s v="Down"/>
    <x v="1"/>
    <s v="Pumpkinseed"/>
    <s v="Lepomis"/>
    <s v="gibbosus"/>
    <s v="U"/>
    <x v="0"/>
    <n v="8"/>
    <n v="11.81"/>
    <x v="10"/>
    <s v="376-06-7"/>
    <x v="10"/>
    <n v="19.899999999999999"/>
  </r>
  <r>
    <s v="PU073-JBA-08162021"/>
    <s v="Down"/>
    <x v="1"/>
    <s v="Pumpkinseed"/>
    <s v="Lepomis"/>
    <s v="gibbosus"/>
    <s v="U"/>
    <x v="0"/>
    <n v="8"/>
    <n v="11.81"/>
    <x v="11"/>
    <s v="67905-19-5"/>
    <x v="11"/>
    <n v="0.2555"/>
  </r>
  <r>
    <s v="PU073-JBA-08162021"/>
    <s v="Down"/>
    <x v="1"/>
    <s v="Pumpkinseed"/>
    <s v="Lepomis"/>
    <s v="gibbosus"/>
    <s v="U"/>
    <x v="0"/>
    <n v="8"/>
    <n v="11.81"/>
    <x v="12"/>
    <s v="423-41-6"/>
    <x v="12"/>
    <n v="0.42849999999999999"/>
  </r>
  <r>
    <s v="PU073-JBA-08162021"/>
    <s v="Down"/>
    <x v="1"/>
    <s v="Pumpkinseed"/>
    <s v="Lepomis"/>
    <s v="gibbosus"/>
    <s v="U"/>
    <x v="0"/>
    <n v="8"/>
    <n v="11.81"/>
    <x v="13"/>
    <s v="375-73-5"/>
    <x v="13"/>
    <n v="0.14599999999999999"/>
  </r>
  <r>
    <s v="PU073-JBA-08162021"/>
    <s v="Down"/>
    <x v="1"/>
    <s v="Pumpkinseed"/>
    <s v="Lepomis"/>
    <s v="gibbosus"/>
    <s v="U"/>
    <x v="0"/>
    <n v="8"/>
    <n v="11.81"/>
    <x v="14"/>
    <s v="2706-91-4"/>
    <x v="14"/>
    <n v="0.1135"/>
  </r>
  <r>
    <s v="PU073-JBA-08162021"/>
    <s v="Down"/>
    <x v="1"/>
    <s v="Pumpkinseed"/>
    <s v="Lepomis"/>
    <s v="gibbosus"/>
    <s v="U"/>
    <x v="0"/>
    <n v="8"/>
    <n v="11.81"/>
    <x v="15"/>
    <s v="355-46-4"/>
    <x v="15"/>
    <n v="5.37"/>
  </r>
  <r>
    <s v="PU073-JBA-08162021"/>
    <s v="Down"/>
    <x v="1"/>
    <s v="Pumpkinseed"/>
    <s v="Lepomis"/>
    <s v="gibbosus"/>
    <s v="U"/>
    <x v="0"/>
    <n v="8"/>
    <n v="11.81"/>
    <x v="16"/>
    <s v="375-92-8"/>
    <x v="16"/>
    <n v="1.03"/>
  </r>
  <r>
    <s v="PU073-JBA-08162021"/>
    <s v="Down"/>
    <x v="1"/>
    <s v="Pumpkinseed"/>
    <s v="Lepomis"/>
    <s v="gibbosus"/>
    <s v="U"/>
    <x v="0"/>
    <n v="8"/>
    <n v="11.81"/>
    <x v="17"/>
    <s v="1763-23-1"/>
    <x v="17"/>
    <n v="570"/>
  </r>
  <r>
    <s v="PU073-JBA-08162021"/>
    <s v="Down"/>
    <x v="1"/>
    <s v="Pumpkinseed"/>
    <s v="Lepomis"/>
    <s v="gibbosus"/>
    <s v="U"/>
    <x v="0"/>
    <n v="8"/>
    <n v="11.81"/>
    <x v="18"/>
    <s v="68259-12-1"/>
    <x v="18"/>
    <n v="1.24"/>
  </r>
  <r>
    <s v="PU073-JBA-08162021"/>
    <s v="Down"/>
    <x v="1"/>
    <s v="Pumpkinseed"/>
    <s v="Lepomis"/>
    <s v="gibbosus"/>
    <s v="U"/>
    <x v="0"/>
    <n v="8"/>
    <n v="11.81"/>
    <x v="19"/>
    <s v="335-77-3"/>
    <x v="19"/>
    <n v="1.35"/>
  </r>
  <r>
    <s v="PU073-JBA-08162021"/>
    <s v="Down"/>
    <x v="1"/>
    <s v="Pumpkinseed"/>
    <s v="Lepomis"/>
    <s v="gibbosus"/>
    <s v="U"/>
    <x v="0"/>
    <n v="8"/>
    <n v="11.81"/>
    <x v="20"/>
    <s v="79780-39-5"/>
    <x v="20"/>
    <n v="0.22900000000000001"/>
  </r>
  <r>
    <s v="PU073-JBA-08162021"/>
    <s v="Down"/>
    <x v="1"/>
    <s v="Pumpkinseed"/>
    <s v="Lepomis"/>
    <s v="gibbosus"/>
    <s v="U"/>
    <x v="0"/>
    <n v="8"/>
    <n v="11.81"/>
    <x v="21"/>
    <s v="777011-38-8"/>
    <x v="21"/>
    <n v="0.13"/>
  </r>
  <r>
    <s v="PU073-JBA-08162021"/>
    <s v="Down"/>
    <x v="1"/>
    <s v="Pumpkinseed"/>
    <s v="Lepomis"/>
    <s v="gibbosus"/>
    <s v="U"/>
    <x v="0"/>
    <n v="8"/>
    <n v="11.81"/>
    <x v="22"/>
    <s v="646-83-3"/>
    <x v="22"/>
    <n v="0.249"/>
  </r>
  <r>
    <s v="PU073-JBA-08162021"/>
    <s v="Down"/>
    <x v="1"/>
    <s v="Pumpkinseed"/>
    <s v="Lepomis"/>
    <s v="gibbosus"/>
    <s v="U"/>
    <x v="0"/>
    <n v="8"/>
    <n v="11.81"/>
    <x v="23"/>
    <s v="30334-69-1"/>
    <x v="23"/>
    <n v="52.9"/>
  </r>
  <r>
    <s v="PU073-JBA-08162021"/>
    <s v="Down"/>
    <x v="1"/>
    <s v="Pumpkinseed"/>
    <s v="Lepomis"/>
    <s v="gibbosus"/>
    <s v="U"/>
    <x v="0"/>
    <n v="8"/>
    <n v="11.81"/>
    <x v="24"/>
    <s v="41997-13-1"/>
    <x v="24"/>
    <n v="58.7"/>
  </r>
  <r>
    <s v="PU073-JBA-08162021"/>
    <s v="Down"/>
    <x v="1"/>
    <s v="Pumpkinseed"/>
    <s v="Lepomis"/>
    <s v="gibbosus"/>
    <s v="U"/>
    <x v="0"/>
    <n v="8"/>
    <n v="11.81"/>
    <x v="25"/>
    <s v="754-91-6"/>
    <x v="25"/>
    <n v="13"/>
  </r>
  <r>
    <s v="PU073-JBA-08162021"/>
    <s v="Down"/>
    <x v="1"/>
    <s v="Pumpkinseed"/>
    <s v="Lepomis"/>
    <s v="gibbosus"/>
    <s v="U"/>
    <x v="0"/>
    <n v="8"/>
    <n v="11.81"/>
    <x v="26"/>
    <s v="31506-32-8"/>
    <x v="26"/>
    <n v="0.16500000000000001"/>
  </r>
  <r>
    <s v="PU073-JBA-08162021"/>
    <s v="Down"/>
    <x v="1"/>
    <s v="Pumpkinseed"/>
    <s v="Lepomis"/>
    <s v="gibbosus"/>
    <s v="U"/>
    <x v="0"/>
    <n v="8"/>
    <n v="11.81"/>
    <x v="27"/>
    <s v="4151-50-2"/>
    <x v="27"/>
    <n v="0.42849999999999999"/>
  </r>
  <r>
    <s v="PU073-JBA-08162021"/>
    <s v="Down"/>
    <x v="1"/>
    <s v="Pumpkinseed"/>
    <s v="Lepomis"/>
    <s v="gibbosus"/>
    <s v="U"/>
    <x v="0"/>
    <n v="8"/>
    <n v="11.81"/>
    <x v="28"/>
    <s v="2806-24-8"/>
    <x v="28"/>
    <n v="0.42849999999999999"/>
  </r>
  <r>
    <s v="PU073-JBA-08162021"/>
    <s v="Down"/>
    <x v="1"/>
    <s v="Pumpkinseed"/>
    <s v="Lepomis"/>
    <s v="gibbosus"/>
    <s v="U"/>
    <x v="0"/>
    <n v="8"/>
    <n v="11.81"/>
    <x v="29"/>
    <s v="2355-31-9"/>
    <x v="29"/>
    <n v="0.2155"/>
  </r>
  <r>
    <s v="PU073-JBA-08162021"/>
    <s v="Down"/>
    <x v="1"/>
    <s v="Pumpkinseed"/>
    <s v="Lepomis"/>
    <s v="gibbosus"/>
    <s v="U"/>
    <x v="0"/>
    <n v="8"/>
    <n v="11.81"/>
    <x v="30"/>
    <s v="2991-50-6"/>
    <x v="30"/>
    <n v="0.2145"/>
  </r>
  <r>
    <s v="PU073-JBA-08162021"/>
    <s v="Down"/>
    <x v="1"/>
    <s v="Pumpkinseed"/>
    <s v="Lepomis"/>
    <s v="gibbosus"/>
    <s v="U"/>
    <x v="0"/>
    <n v="8"/>
    <n v="11.81"/>
    <x v="31"/>
    <s v="757124-72-4"/>
    <x v="31"/>
    <n v="0.2145"/>
  </r>
  <r>
    <s v="PU073-JBA-08162021"/>
    <s v="Down"/>
    <x v="1"/>
    <s v="Pumpkinseed"/>
    <s v="Lepomis"/>
    <s v="gibbosus"/>
    <s v="U"/>
    <x v="0"/>
    <n v="8"/>
    <n v="11.81"/>
    <x v="32"/>
    <s v="27619-97-2"/>
    <x v="32"/>
    <n v="0.2145"/>
  </r>
  <r>
    <s v="PU073-JBA-08162021"/>
    <s v="Down"/>
    <x v="1"/>
    <s v="Pumpkinseed"/>
    <s v="Lepomis"/>
    <s v="gibbosus"/>
    <s v="U"/>
    <x v="0"/>
    <n v="8"/>
    <n v="11.81"/>
    <x v="33"/>
    <s v="39108-34-4"/>
    <x v="33"/>
    <n v="2.4700000000000002"/>
  </r>
  <r>
    <s v="PU073-JBA-08162021"/>
    <s v="Down"/>
    <x v="1"/>
    <s v="Pumpkinseed"/>
    <s v="Lepomis"/>
    <s v="gibbosus"/>
    <s v="U"/>
    <x v="0"/>
    <n v="8"/>
    <n v="11.81"/>
    <x v="34"/>
    <s v="120226-60-0"/>
    <x v="34"/>
    <n v="0.42849999999999999"/>
  </r>
  <r>
    <s v="PU073-JBA-08162021"/>
    <s v="Down"/>
    <x v="1"/>
    <s v="Pumpkinseed"/>
    <s v="Lepomis"/>
    <s v="gibbosus"/>
    <s v="U"/>
    <x v="0"/>
    <n v="8"/>
    <n v="11.81"/>
    <x v="35"/>
    <s v="356-02-5"/>
    <x v="35"/>
    <n v="0.247"/>
  </r>
  <r>
    <s v="PU073-JBA-08162021"/>
    <s v="Down"/>
    <x v="1"/>
    <s v="Pumpkinseed"/>
    <s v="Lepomis"/>
    <s v="gibbosus"/>
    <s v="U"/>
    <x v="0"/>
    <n v="8"/>
    <n v="11.81"/>
    <x v="36"/>
    <s v="914637-49-3"/>
    <x v="36"/>
    <n v="0.49299999999999999"/>
  </r>
  <r>
    <s v="PU073-JBA-08162021"/>
    <s v="Down"/>
    <x v="1"/>
    <s v="Pumpkinseed"/>
    <s v="Lepomis"/>
    <s v="gibbosus"/>
    <s v="U"/>
    <x v="0"/>
    <n v="8"/>
    <n v="11.81"/>
    <x v="37"/>
    <s v="812-70-4"/>
    <x v="37"/>
    <n v="7.36"/>
  </r>
  <r>
    <s v="PU073-JBA-08162021"/>
    <s v="Down"/>
    <x v="1"/>
    <s v="Pumpkinseed"/>
    <s v="Lepomis"/>
    <s v="gibbosus"/>
    <s v="U"/>
    <x v="0"/>
    <n v="8"/>
    <n v="11.81"/>
    <x v="38"/>
    <s v="53826-12-3"/>
    <x v="38"/>
    <n v="0.42849999999999999"/>
  </r>
  <r>
    <s v="PU073-JBA-08162021"/>
    <s v="Down"/>
    <x v="1"/>
    <s v="Pumpkinseed"/>
    <s v="Lepomis"/>
    <s v="gibbosus"/>
    <s v="U"/>
    <x v="0"/>
    <n v="8"/>
    <n v="11.81"/>
    <x v="39"/>
    <s v="27854-31-5"/>
    <x v="39"/>
    <n v="0.42849999999999999"/>
  </r>
  <r>
    <s v="PU073-JBA-08162021"/>
    <s v="Down"/>
    <x v="1"/>
    <s v="Pumpkinseed"/>
    <s v="Lepomis"/>
    <s v="gibbosus"/>
    <s v="U"/>
    <x v="0"/>
    <n v="8"/>
    <n v="11.81"/>
    <x v="40"/>
    <s v="53826-13-4"/>
    <x v="40"/>
    <n v="0.42849999999999999"/>
  </r>
  <r>
    <s v="PU073-JBA-08162021"/>
    <s v="Down"/>
    <x v="1"/>
    <s v="Pumpkinseed"/>
    <s v="Lepomis"/>
    <s v="gibbosus"/>
    <s v="U"/>
    <x v="0"/>
    <n v="8"/>
    <n v="11.81"/>
    <x v="41"/>
    <s v="161094-75-3"/>
    <x v="41"/>
    <n v="0.42849999999999999"/>
  </r>
  <r>
    <s v="PU073-JBA-08162021"/>
    <s v="Down"/>
    <x v="1"/>
    <s v="Pumpkinseed"/>
    <s v="Lepomis"/>
    <s v="gibbosus"/>
    <s v="U"/>
    <x v="0"/>
    <n v="8"/>
    <n v="11.81"/>
    <x v="42"/>
    <s v="70887-84-2"/>
    <x v="42"/>
    <n v="0.42849999999999999"/>
  </r>
  <r>
    <s v="PU073-JBA-08162021"/>
    <s v="Down"/>
    <x v="1"/>
    <s v="Pumpkinseed"/>
    <s v="Lepomis"/>
    <s v="gibbosus"/>
    <s v="U"/>
    <x v="0"/>
    <n v="8"/>
    <n v="11.81"/>
    <x v="43"/>
    <s v="919005-14-4"/>
    <x v="43"/>
    <n v="0.2145"/>
  </r>
  <r>
    <s v="PU073-JBA-08162021"/>
    <s v="Down"/>
    <x v="1"/>
    <s v="Pumpkinseed"/>
    <s v="Lepomis"/>
    <s v="gibbosus"/>
    <s v="U"/>
    <x v="0"/>
    <n v="8"/>
    <n v="11.81"/>
    <x v="44"/>
    <s v="756426-58-1"/>
    <x v="44"/>
    <n v="0.42849999999999999"/>
  </r>
  <r>
    <s v="PU073-JBA-08162021"/>
    <s v="Down"/>
    <x v="1"/>
    <s v="Pumpkinseed"/>
    <s v="Lepomis"/>
    <s v="gibbosus"/>
    <s v="U"/>
    <x v="0"/>
    <n v="8"/>
    <n v="11.81"/>
    <x v="45"/>
    <s v="763051-92-9"/>
    <x v="45"/>
    <n v="0.42849999999999999"/>
  </r>
  <r>
    <s v="PU073-JBA-08162021"/>
    <s v="Down"/>
    <x v="1"/>
    <s v="Pumpkinseed"/>
    <s v="Lepomis"/>
    <s v="gibbosus"/>
    <s v="U"/>
    <x v="0"/>
    <n v="8"/>
    <n v="11.81"/>
    <x v="46"/>
    <s v="13252-13-6"/>
    <x v="46"/>
    <n v="0.3075"/>
  </r>
  <r>
    <s v="PU073-JBA-08162021"/>
    <s v="Down"/>
    <x v="1"/>
    <s v="Pumpkinseed"/>
    <s v="Lepomis"/>
    <s v="gibbosus"/>
    <s v="U"/>
    <x v="0"/>
    <n v="8"/>
    <n v="11.81"/>
    <x v="47"/>
    <s v="57677-95-9"/>
    <x v="47"/>
    <n v="0.42849999999999999"/>
  </r>
  <r>
    <s v="PU073-JBA-08162021"/>
    <s v="Down"/>
    <x v="1"/>
    <s v="Pumpkinseed"/>
    <s v="Lepomis"/>
    <s v="gibbosus"/>
    <s v="U"/>
    <x v="0"/>
    <n v="8"/>
    <n v="11.81"/>
    <x v="48"/>
    <s v="678-41-1"/>
    <x v="48"/>
    <n v="0.42849999999999999"/>
  </r>
  <r>
    <s v="PU073-JBA-08162021"/>
    <s v="Down"/>
    <x v="1"/>
    <s v="Pumpkinseed"/>
    <s v="Lepomis"/>
    <s v="gibbosus"/>
    <s v="U"/>
    <x v="0"/>
    <n v="8"/>
    <n v="11.81"/>
    <x v="49"/>
    <s v="2965-52-8"/>
    <x v="49"/>
    <n v="0.42849999999999999"/>
  </r>
  <r>
    <s v="EMM008-JBA-08162021"/>
    <s v="Down"/>
    <x v="1"/>
    <s v="Eastern Mudminnow"/>
    <s v="Umbra"/>
    <s v="gibbosus"/>
    <s v="U"/>
    <x v="0"/>
    <n v="8"/>
    <n v="11.81"/>
    <x v="0"/>
    <s v="375-22-4"/>
    <x v="0"/>
    <n v="0.22750000000000001"/>
  </r>
  <r>
    <s v="EMM008-JBA-08162021"/>
    <s v="Down"/>
    <x v="1"/>
    <s v="Eastern Mudminnow"/>
    <s v="Umbra"/>
    <s v="gibbosus"/>
    <s v="U"/>
    <x v="0"/>
    <n v="8"/>
    <n v="11.81"/>
    <x v="1"/>
    <s v="2706-90-3"/>
    <x v="1"/>
    <n v="0.22750000000000001"/>
  </r>
  <r>
    <s v="EMM008-JBA-08162021"/>
    <s v="Down"/>
    <x v="1"/>
    <s v="Eastern Mudminnow"/>
    <s v="Umbra"/>
    <s v="gibbosus"/>
    <s v="U"/>
    <x v="0"/>
    <n v="8"/>
    <n v="11.81"/>
    <x v="2"/>
    <s v="307-24-4"/>
    <x v="2"/>
    <n v="0.1225"/>
  </r>
  <r>
    <s v="EMM008-JBA-08162021"/>
    <s v="Down"/>
    <x v="1"/>
    <s v="Eastern Mudminnow"/>
    <s v="Umbra"/>
    <s v="gibbosus"/>
    <s v="U"/>
    <x v="0"/>
    <n v="8"/>
    <n v="11.81"/>
    <x v="3"/>
    <s v="375-85-9"/>
    <x v="3"/>
    <n v="0.22750000000000001"/>
  </r>
  <r>
    <s v="EMM008-JBA-08162021"/>
    <s v="Down"/>
    <x v="1"/>
    <s v="Eastern Mudminnow"/>
    <s v="Umbra"/>
    <s v="gibbosus"/>
    <s v="U"/>
    <x v="0"/>
    <n v="8"/>
    <n v="11.81"/>
    <x v="4"/>
    <s v="335-67-1"/>
    <x v="4"/>
    <n v="3.73"/>
  </r>
  <r>
    <s v="EMM008-JBA-08162021"/>
    <s v="Down"/>
    <x v="1"/>
    <s v="Eastern Mudminnow"/>
    <s v="Umbra"/>
    <s v="gibbosus"/>
    <s v="U"/>
    <x v="0"/>
    <n v="8"/>
    <n v="11.81"/>
    <x v="5"/>
    <s v="375-95-1"/>
    <x v="5"/>
    <n v="1.83"/>
  </r>
  <r>
    <s v="EMM008-JBA-08162021"/>
    <s v="Down"/>
    <x v="1"/>
    <s v="Eastern Mudminnow"/>
    <s v="Umbra"/>
    <s v="gibbosus"/>
    <s v="U"/>
    <x v="0"/>
    <n v="8"/>
    <n v="11.81"/>
    <x v="6"/>
    <s v="335-76-2"/>
    <x v="6"/>
    <n v="1.61"/>
  </r>
  <r>
    <s v="EMM008-JBA-08162021"/>
    <s v="Down"/>
    <x v="1"/>
    <s v="Eastern Mudminnow"/>
    <s v="Umbra"/>
    <s v="gibbosus"/>
    <s v="U"/>
    <x v="0"/>
    <n v="8"/>
    <n v="11.81"/>
    <x v="7"/>
    <s v="2058-94-8"/>
    <x v="7"/>
    <n v="3.22"/>
  </r>
  <r>
    <s v="EMM008-JBA-08162021"/>
    <s v="Down"/>
    <x v="1"/>
    <s v="Eastern Mudminnow"/>
    <s v="Umbra"/>
    <s v="gibbosus"/>
    <s v="U"/>
    <x v="0"/>
    <n v="8"/>
    <n v="11.81"/>
    <x v="8"/>
    <s v="307-55-1"/>
    <x v="8"/>
    <n v="4.1100000000000003"/>
  </r>
  <r>
    <s v="EMM008-JBA-08162021"/>
    <s v="Down"/>
    <x v="1"/>
    <s v="Eastern Mudminnow"/>
    <s v="Umbra"/>
    <s v="gibbosus"/>
    <s v="U"/>
    <x v="0"/>
    <n v="8"/>
    <n v="11.81"/>
    <x v="9"/>
    <s v="72629-94-8"/>
    <x v="9"/>
    <n v="2.54"/>
  </r>
  <r>
    <s v="EMM008-JBA-08162021"/>
    <s v="Down"/>
    <x v="1"/>
    <s v="Eastern Mudminnow"/>
    <s v="Umbra"/>
    <s v="gibbosus"/>
    <s v="U"/>
    <x v="0"/>
    <n v="8"/>
    <n v="11.81"/>
    <x v="10"/>
    <s v="376-06-7"/>
    <x v="10"/>
    <n v="9.8000000000000007"/>
  </r>
  <r>
    <s v="EMM008-JBA-08162021"/>
    <s v="Down"/>
    <x v="1"/>
    <s v="Eastern Mudminnow"/>
    <s v="Umbra"/>
    <s v="gibbosus"/>
    <s v="U"/>
    <x v="0"/>
    <n v="8"/>
    <n v="11.81"/>
    <x v="11"/>
    <s v="67905-19-5"/>
    <x v="11"/>
    <n v="0.27100000000000002"/>
  </r>
  <r>
    <s v="EMM008-JBA-08162021"/>
    <s v="Down"/>
    <x v="1"/>
    <s v="Eastern Mudminnow"/>
    <s v="Umbra"/>
    <s v="gibbosus"/>
    <s v="U"/>
    <x v="0"/>
    <n v="8"/>
    <n v="11.81"/>
    <x v="12"/>
    <s v="423-41-6"/>
    <x v="12"/>
    <n v="0.45500000000000002"/>
  </r>
  <r>
    <s v="EMM008-JBA-08162021"/>
    <s v="Down"/>
    <x v="1"/>
    <s v="Eastern Mudminnow"/>
    <s v="Umbra"/>
    <s v="gibbosus"/>
    <s v="U"/>
    <x v="0"/>
    <n v="8"/>
    <n v="11.81"/>
    <x v="13"/>
    <s v="375-73-5"/>
    <x v="13"/>
    <n v="0.155"/>
  </r>
  <r>
    <s v="EMM008-JBA-08162021"/>
    <s v="Down"/>
    <x v="1"/>
    <s v="Eastern Mudminnow"/>
    <s v="Umbra"/>
    <s v="gibbosus"/>
    <s v="U"/>
    <x v="0"/>
    <n v="8"/>
    <n v="11.81"/>
    <x v="14"/>
    <s v="2706-91-4"/>
    <x v="14"/>
    <n v="0.40500000000000003"/>
  </r>
  <r>
    <s v="EMM008-JBA-08162021"/>
    <s v="Down"/>
    <x v="1"/>
    <s v="Eastern Mudminnow"/>
    <s v="Umbra"/>
    <s v="gibbosus"/>
    <s v="U"/>
    <x v="0"/>
    <n v="8"/>
    <n v="11.81"/>
    <x v="15"/>
    <s v="355-46-4"/>
    <x v="15"/>
    <n v="56.2"/>
  </r>
  <r>
    <s v="EMM008-JBA-08162021"/>
    <s v="Down"/>
    <x v="1"/>
    <s v="Eastern Mudminnow"/>
    <s v="Umbra"/>
    <s v="gibbosus"/>
    <s v="U"/>
    <x v="0"/>
    <n v="8"/>
    <n v="11.81"/>
    <x v="16"/>
    <s v="375-92-8"/>
    <x v="16"/>
    <n v="3.03"/>
  </r>
  <r>
    <s v="EMM008-JBA-08162021"/>
    <s v="Down"/>
    <x v="1"/>
    <s v="Eastern Mudminnow"/>
    <s v="Umbra"/>
    <s v="gibbosus"/>
    <s v="U"/>
    <x v="0"/>
    <n v="8"/>
    <n v="11.81"/>
    <x v="17"/>
    <s v="1763-23-1"/>
    <x v="17"/>
    <n v="368"/>
  </r>
  <r>
    <s v="EMM008-JBA-08162021"/>
    <s v="Down"/>
    <x v="1"/>
    <s v="Eastern Mudminnow"/>
    <s v="Umbra"/>
    <s v="gibbosus"/>
    <s v="U"/>
    <x v="0"/>
    <n v="8"/>
    <n v="11.81"/>
    <x v="18"/>
    <s v="68259-12-1"/>
    <x v="18"/>
    <n v="0.88500000000000001"/>
  </r>
  <r>
    <s v="EMM008-JBA-08162021"/>
    <s v="Down"/>
    <x v="1"/>
    <s v="Eastern Mudminnow"/>
    <s v="Umbra"/>
    <s v="gibbosus"/>
    <s v="U"/>
    <x v="0"/>
    <n v="8"/>
    <n v="11.81"/>
    <x v="19"/>
    <s v="335-77-3"/>
    <x v="19"/>
    <n v="1.34"/>
  </r>
  <r>
    <s v="EMM008-JBA-08162021"/>
    <s v="Down"/>
    <x v="1"/>
    <s v="Eastern Mudminnow"/>
    <s v="Umbra"/>
    <s v="gibbosus"/>
    <s v="U"/>
    <x v="0"/>
    <n v="8"/>
    <n v="11.81"/>
    <x v="20"/>
    <s v="79780-39-5"/>
    <x v="20"/>
    <n v="0.61599999999999999"/>
  </r>
  <r>
    <s v="EMM008-JBA-08162021"/>
    <s v="Down"/>
    <x v="1"/>
    <s v="Eastern Mudminnow"/>
    <s v="Umbra"/>
    <s v="gibbosus"/>
    <s v="U"/>
    <x v="0"/>
    <n v="8"/>
    <n v="11.81"/>
    <x v="21"/>
    <s v="777011-38-8"/>
    <x v="21"/>
    <n v="0.13800000000000001"/>
  </r>
  <r>
    <s v="EMM008-JBA-08162021"/>
    <s v="Down"/>
    <x v="1"/>
    <s v="Eastern Mudminnow"/>
    <s v="Umbra"/>
    <s v="gibbosus"/>
    <s v="U"/>
    <x v="0"/>
    <n v="8"/>
    <n v="11.81"/>
    <x v="22"/>
    <s v="646-83-3"/>
    <x v="22"/>
    <n v="9.0999999999999998E-2"/>
  </r>
  <r>
    <s v="EMM008-JBA-08162021"/>
    <s v="Down"/>
    <x v="1"/>
    <s v="Eastern Mudminnow"/>
    <s v="Umbra"/>
    <s v="gibbosus"/>
    <s v="U"/>
    <x v="0"/>
    <n v="8"/>
    <n v="11.81"/>
    <x v="23"/>
    <s v="30334-69-1"/>
    <x v="23"/>
    <n v="8.01"/>
  </r>
  <r>
    <s v="EMM008-JBA-08162021"/>
    <s v="Down"/>
    <x v="1"/>
    <s v="Eastern Mudminnow"/>
    <s v="Umbra"/>
    <s v="gibbosus"/>
    <s v="U"/>
    <x v="0"/>
    <n v="8"/>
    <n v="11.81"/>
    <x v="24"/>
    <s v="41997-13-1"/>
    <x v="24"/>
    <n v="110"/>
  </r>
  <r>
    <s v="EMM008-JBA-08162021"/>
    <s v="Down"/>
    <x v="1"/>
    <s v="Eastern Mudminnow"/>
    <s v="Umbra"/>
    <s v="gibbosus"/>
    <s v="U"/>
    <x v="0"/>
    <n v="8"/>
    <n v="11.81"/>
    <x v="25"/>
    <s v="754-91-6"/>
    <x v="25"/>
    <n v="6.25"/>
  </r>
  <r>
    <s v="EMM008-JBA-08162021"/>
    <s v="Down"/>
    <x v="1"/>
    <s v="Eastern Mudminnow"/>
    <s v="Umbra"/>
    <s v="gibbosus"/>
    <s v="U"/>
    <x v="0"/>
    <n v="8"/>
    <n v="11.81"/>
    <x v="26"/>
    <s v="31506-32-8"/>
    <x v="26"/>
    <n v="0.17499999999999999"/>
  </r>
  <r>
    <s v="EMM008-JBA-08162021"/>
    <s v="Down"/>
    <x v="1"/>
    <s v="Eastern Mudminnow"/>
    <s v="Umbra"/>
    <s v="gibbosus"/>
    <s v="U"/>
    <x v="0"/>
    <n v="8"/>
    <n v="11.81"/>
    <x v="27"/>
    <s v="4151-50-2"/>
    <x v="27"/>
    <n v="0.45500000000000002"/>
  </r>
  <r>
    <s v="EMM008-JBA-08162021"/>
    <s v="Down"/>
    <x v="1"/>
    <s v="Eastern Mudminnow"/>
    <s v="Umbra"/>
    <s v="gibbosus"/>
    <s v="U"/>
    <x v="0"/>
    <n v="8"/>
    <n v="11.81"/>
    <x v="28"/>
    <s v="2806-24-8"/>
    <x v="28"/>
    <n v="0.45500000000000002"/>
  </r>
  <r>
    <s v="EMM008-JBA-08162021"/>
    <s v="Down"/>
    <x v="1"/>
    <s v="Eastern Mudminnow"/>
    <s v="Umbra"/>
    <s v="gibbosus"/>
    <s v="U"/>
    <x v="0"/>
    <n v="8"/>
    <n v="11.81"/>
    <x v="29"/>
    <s v="2355-31-9"/>
    <x v="29"/>
    <n v="0.22900000000000001"/>
  </r>
  <r>
    <s v="EMM008-JBA-08162021"/>
    <s v="Down"/>
    <x v="1"/>
    <s v="Eastern Mudminnow"/>
    <s v="Umbra"/>
    <s v="gibbosus"/>
    <s v="U"/>
    <x v="0"/>
    <n v="8"/>
    <n v="11.81"/>
    <x v="30"/>
    <s v="2991-50-6"/>
    <x v="30"/>
    <n v="0.22750000000000001"/>
  </r>
  <r>
    <s v="EMM008-JBA-08162021"/>
    <s v="Down"/>
    <x v="1"/>
    <s v="Eastern Mudminnow"/>
    <s v="Umbra"/>
    <s v="gibbosus"/>
    <s v="U"/>
    <x v="0"/>
    <n v="8"/>
    <n v="11.81"/>
    <x v="31"/>
    <s v="757124-72-4"/>
    <x v="31"/>
    <n v="0.22750000000000001"/>
  </r>
  <r>
    <s v="EMM008-JBA-08162021"/>
    <s v="Down"/>
    <x v="1"/>
    <s v="Eastern Mudminnow"/>
    <s v="Umbra"/>
    <s v="gibbosus"/>
    <s v="U"/>
    <x v="0"/>
    <n v="8"/>
    <n v="11.81"/>
    <x v="32"/>
    <s v="27619-97-2"/>
    <x v="32"/>
    <n v="3.65"/>
  </r>
  <r>
    <s v="EMM008-JBA-08162021"/>
    <s v="Down"/>
    <x v="1"/>
    <s v="Eastern Mudminnow"/>
    <s v="Umbra"/>
    <s v="gibbosus"/>
    <s v="U"/>
    <x v="0"/>
    <n v="8"/>
    <n v="11.81"/>
    <x v="33"/>
    <s v="39108-34-4"/>
    <x v="33"/>
    <n v="1.96"/>
  </r>
  <r>
    <s v="EMM008-JBA-08162021"/>
    <s v="Down"/>
    <x v="1"/>
    <s v="Eastern Mudminnow"/>
    <s v="Umbra"/>
    <s v="gibbosus"/>
    <s v="U"/>
    <x v="0"/>
    <n v="8"/>
    <n v="11.81"/>
    <x v="34"/>
    <s v="120226-60-0"/>
    <x v="34"/>
    <n v="0.45500000000000002"/>
  </r>
  <r>
    <s v="EMM008-JBA-08162021"/>
    <s v="Down"/>
    <x v="1"/>
    <s v="Eastern Mudminnow"/>
    <s v="Umbra"/>
    <s v="gibbosus"/>
    <s v="U"/>
    <x v="0"/>
    <n v="8"/>
    <n v="11.81"/>
    <x v="35"/>
    <s v="356-02-5"/>
    <x v="35"/>
    <n v="0.26250000000000001"/>
  </r>
  <r>
    <s v="EMM008-JBA-08162021"/>
    <s v="Down"/>
    <x v="1"/>
    <s v="Eastern Mudminnow"/>
    <s v="Umbra"/>
    <s v="gibbosus"/>
    <s v="U"/>
    <x v="0"/>
    <n v="8"/>
    <n v="11.81"/>
    <x v="36"/>
    <s v="914637-49-3"/>
    <x v="36"/>
    <n v="13.1"/>
  </r>
  <r>
    <s v="EMM008-JBA-08162021"/>
    <s v="Down"/>
    <x v="1"/>
    <s v="Eastern Mudminnow"/>
    <s v="Umbra"/>
    <s v="gibbosus"/>
    <s v="U"/>
    <x v="0"/>
    <n v="8"/>
    <n v="11.81"/>
    <x v="37"/>
    <s v="812-70-4"/>
    <x v="37"/>
    <n v="403"/>
  </r>
  <r>
    <s v="EMM008-JBA-08162021"/>
    <s v="Down"/>
    <x v="1"/>
    <s v="Eastern Mudminnow"/>
    <s v="Umbra"/>
    <s v="gibbosus"/>
    <s v="U"/>
    <x v="0"/>
    <n v="8"/>
    <n v="11.81"/>
    <x v="38"/>
    <s v="53826-12-3"/>
    <x v="38"/>
    <n v="0.45500000000000002"/>
  </r>
  <r>
    <s v="EMM008-JBA-08162021"/>
    <s v="Down"/>
    <x v="1"/>
    <s v="Eastern Mudminnow"/>
    <s v="Umbra"/>
    <s v="gibbosus"/>
    <s v="U"/>
    <x v="0"/>
    <n v="8"/>
    <n v="11.81"/>
    <x v="39"/>
    <s v="27854-31-5"/>
    <x v="39"/>
    <n v="0.45500000000000002"/>
  </r>
  <r>
    <s v="EMM008-JBA-08162021"/>
    <s v="Down"/>
    <x v="1"/>
    <s v="Eastern Mudminnow"/>
    <s v="Umbra"/>
    <s v="gibbosus"/>
    <s v="U"/>
    <x v="0"/>
    <n v="8"/>
    <n v="11.81"/>
    <x v="40"/>
    <s v="53826-13-4"/>
    <x v="40"/>
    <n v="0.45500000000000002"/>
  </r>
  <r>
    <s v="EMM008-JBA-08162021"/>
    <s v="Down"/>
    <x v="1"/>
    <s v="Eastern Mudminnow"/>
    <s v="Umbra"/>
    <s v="gibbosus"/>
    <s v="U"/>
    <x v="0"/>
    <n v="8"/>
    <n v="11.81"/>
    <x v="41"/>
    <s v="161094-75-3"/>
    <x v="41"/>
    <n v="0.45500000000000002"/>
  </r>
  <r>
    <s v="EMM008-JBA-08162021"/>
    <s v="Down"/>
    <x v="1"/>
    <s v="Eastern Mudminnow"/>
    <s v="Umbra"/>
    <s v="gibbosus"/>
    <s v="U"/>
    <x v="0"/>
    <n v="8"/>
    <n v="11.81"/>
    <x v="42"/>
    <s v="70887-84-2"/>
    <x v="42"/>
    <n v="0.45500000000000002"/>
  </r>
  <r>
    <s v="EMM008-JBA-08162021"/>
    <s v="Down"/>
    <x v="1"/>
    <s v="Eastern Mudminnow"/>
    <s v="Umbra"/>
    <s v="gibbosus"/>
    <s v="U"/>
    <x v="0"/>
    <n v="8"/>
    <n v="11.81"/>
    <x v="43"/>
    <s v="919005-14-4"/>
    <x v="43"/>
    <n v="0.22750000000000001"/>
  </r>
  <r>
    <s v="EMM008-JBA-08162021"/>
    <s v="Down"/>
    <x v="1"/>
    <s v="Eastern Mudminnow"/>
    <s v="Umbra"/>
    <s v="gibbosus"/>
    <s v="U"/>
    <x v="0"/>
    <n v="8"/>
    <n v="11.81"/>
    <x v="44"/>
    <s v="756426-58-1"/>
    <x v="44"/>
    <n v="0.45500000000000002"/>
  </r>
  <r>
    <s v="EMM008-JBA-08162021"/>
    <s v="Down"/>
    <x v="1"/>
    <s v="Eastern Mudminnow"/>
    <s v="Umbra"/>
    <s v="gibbosus"/>
    <s v="U"/>
    <x v="0"/>
    <n v="8"/>
    <n v="11.81"/>
    <x v="45"/>
    <s v="763051-92-9"/>
    <x v="45"/>
    <n v="0.45500000000000002"/>
  </r>
  <r>
    <s v="EMM008-JBA-08162021"/>
    <s v="Down"/>
    <x v="1"/>
    <s v="Eastern Mudminnow"/>
    <s v="Umbra"/>
    <s v="gibbosus"/>
    <s v="U"/>
    <x v="0"/>
    <n v="8"/>
    <n v="11.81"/>
    <x v="46"/>
    <s v="13252-13-6"/>
    <x v="46"/>
    <n v="0.32650000000000001"/>
  </r>
  <r>
    <s v="EMM008-JBA-08162021"/>
    <s v="Down"/>
    <x v="1"/>
    <s v="Eastern Mudminnow"/>
    <s v="Umbra"/>
    <s v="gibbosus"/>
    <s v="U"/>
    <x v="0"/>
    <n v="8"/>
    <n v="11.81"/>
    <x v="47"/>
    <s v="57677-95-9"/>
    <x v="47"/>
    <n v="0.45500000000000002"/>
  </r>
  <r>
    <s v="EMM008-JBA-08162021"/>
    <s v="Down"/>
    <x v="1"/>
    <s v="Eastern Mudminnow"/>
    <s v="Umbra"/>
    <s v="gibbosus"/>
    <s v="U"/>
    <x v="0"/>
    <n v="8"/>
    <n v="11.81"/>
    <x v="48"/>
    <s v="678-41-1"/>
    <x v="48"/>
    <n v="0.45500000000000002"/>
  </r>
  <r>
    <s v="EMM008-JBA-08162021"/>
    <s v="Down"/>
    <x v="1"/>
    <s v="Eastern Mudminnow"/>
    <s v="Umbra"/>
    <s v="gibbosus"/>
    <s v="U"/>
    <x v="0"/>
    <n v="8"/>
    <n v="11.81"/>
    <x v="49"/>
    <s v="2965-52-8"/>
    <x v="49"/>
    <n v="0.45500000000000002"/>
  </r>
  <r>
    <s v="ESM004-JBA-08162021"/>
    <s v="Down"/>
    <x v="1"/>
    <s v="Fallfish"/>
    <s v="Semotilus"/>
    <s v="gibbosus"/>
    <s v="U"/>
    <x v="0"/>
    <n v="8"/>
    <n v="11.81"/>
    <x v="0"/>
    <s v="375-22-4"/>
    <x v="0"/>
    <n v="0.222"/>
  </r>
  <r>
    <s v="ESM004-JBA-08162021"/>
    <s v="Down"/>
    <x v="1"/>
    <s v="Fallfish"/>
    <s v="Semotilus"/>
    <s v="gibbosus"/>
    <s v="U"/>
    <x v="0"/>
    <n v="8"/>
    <n v="11.81"/>
    <x v="1"/>
    <s v="2706-90-3"/>
    <x v="1"/>
    <n v="0.222"/>
  </r>
  <r>
    <s v="ESM004-JBA-08162021"/>
    <s v="Down"/>
    <x v="1"/>
    <s v="Fallfish"/>
    <s v="Semotilus"/>
    <s v="gibbosus"/>
    <s v="U"/>
    <x v="0"/>
    <n v="8"/>
    <n v="11.81"/>
    <x v="2"/>
    <s v="307-24-4"/>
    <x v="2"/>
    <n v="0.12"/>
  </r>
  <r>
    <s v="ESM004-JBA-08162021"/>
    <s v="Down"/>
    <x v="1"/>
    <s v="Fallfish"/>
    <s v="Semotilus"/>
    <s v="gibbosus"/>
    <s v="U"/>
    <x v="0"/>
    <n v="8"/>
    <n v="11.81"/>
    <x v="3"/>
    <s v="375-85-9"/>
    <x v="3"/>
    <n v="0.222"/>
  </r>
  <r>
    <s v="ESM004-JBA-08162021"/>
    <s v="Down"/>
    <x v="1"/>
    <s v="Fallfish"/>
    <s v="Semotilus"/>
    <s v="gibbosus"/>
    <s v="U"/>
    <x v="0"/>
    <n v="8"/>
    <n v="11.81"/>
    <x v="4"/>
    <s v="335-67-1"/>
    <x v="4"/>
    <n v="2.14"/>
  </r>
  <r>
    <s v="ESM004-JBA-08162021"/>
    <s v="Down"/>
    <x v="1"/>
    <s v="Fallfish"/>
    <s v="Semotilus"/>
    <s v="gibbosus"/>
    <s v="U"/>
    <x v="0"/>
    <n v="8"/>
    <n v="11.81"/>
    <x v="5"/>
    <s v="375-95-1"/>
    <x v="5"/>
    <n v="2.46"/>
  </r>
  <r>
    <s v="ESM004-JBA-08162021"/>
    <s v="Down"/>
    <x v="1"/>
    <s v="Fallfish"/>
    <s v="Semotilus"/>
    <s v="gibbosus"/>
    <s v="U"/>
    <x v="0"/>
    <n v="8"/>
    <n v="11.81"/>
    <x v="6"/>
    <s v="335-76-2"/>
    <x v="6"/>
    <n v="7.9"/>
  </r>
  <r>
    <s v="ESM004-JBA-08162021"/>
    <s v="Down"/>
    <x v="1"/>
    <s v="Fallfish"/>
    <s v="Semotilus"/>
    <s v="gibbosus"/>
    <s v="U"/>
    <x v="0"/>
    <n v="8"/>
    <n v="11.81"/>
    <x v="7"/>
    <s v="2058-94-8"/>
    <x v="7"/>
    <n v="7.86"/>
  </r>
  <r>
    <s v="ESM004-JBA-08162021"/>
    <s v="Down"/>
    <x v="1"/>
    <s v="Fallfish"/>
    <s v="Semotilus"/>
    <s v="gibbosus"/>
    <s v="U"/>
    <x v="0"/>
    <n v="8"/>
    <n v="11.81"/>
    <x v="8"/>
    <s v="307-55-1"/>
    <x v="8"/>
    <n v="6.2"/>
  </r>
  <r>
    <s v="ESM004-JBA-08162021"/>
    <s v="Down"/>
    <x v="1"/>
    <s v="Fallfish"/>
    <s v="Semotilus"/>
    <s v="gibbosus"/>
    <s v="U"/>
    <x v="0"/>
    <n v="8"/>
    <n v="11.81"/>
    <x v="9"/>
    <s v="72629-94-8"/>
    <x v="9"/>
    <n v="0.501"/>
  </r>
  <r>
    <s v="ESM004-JBA-08162021"/>
    <s v="Down"/>
    <x v="1"/>
    <s v="Fallfish"/>
    <s v="Semotilus"/>
    <s v="gibbosus"/>
    <s v="U"/>
    <x v="0"/>
    <n v="8"/>
    <n v="11.81"/>
    <x v="10"/>
    <s v="376-06-7"/>
    <x v="10"/>
    <n v="3.44"/>
  </r>
  <r>
    <s v="ESM004-JBA-08162021"/>
    <s v="Down"/>
    <x v="1"/>
    <s v="Fallfish"/>
    <s v="Semotilus"/>
    <s v="gibbosus"/>
    <s v="U"/>
    <x v="0"/>
    <n v="8"/>
    <n v="11.81"/>
    <x v="11"/>
    <s v="67905-19-5"/>
    <x v="11"/>
    <n v="0.26450000000000001"/>
  </r>
  <r>
    <s v="ESM004-JBA-08162021"/>
    <s v="Down"/>
    <x v="1"/>
    <s v="Fallfish"/>
    <s v="Semotilus"/>
    <s v="gibbosus"/>
    <s v="U"/>
    <x v="0"/>
    <n v="8"/>
    <n v="11.81"/>
    <x v="12"/>
    <s v="423-41-6"/>
    <x v="12"/>
    <n v="0.44400000000000001"/>
  </r>
  <r>
    <s v="ESM004-JBA-08162021"/>
    <s v="Down"/>
    <x v="1"/>
    <s v="Fallfish"/>
    <s v="Semotilus"/>
    <s v="gibbosus"/>
    <s v="U"/>
    <x v="0"/>
    <n v="8"/>
    <n v="11.81"/>
    <x v="13"/>
    <s v="375-73-5"/>
    <x v="13"/>
    <n v="0.151"/>
  </r>
  <r>
    <s v="ESM004-JBA-08162021"/>
    <s v="Down"/>
    <x v="1"/>
    <s v="Fallfish"/>
    <s v="Semotilus"/>
    <s v="gibbosus"/>
    <s v="U"/>
    <x v="0"/>
    <n v="8"/>
    <n v="11.81"/>
    <x v="14"/>
    <s v="2706-91-4"/>
    <x v="14"/>
    <n v="0.11749999999999999"/>
  </r>
  <r>
    <s v="ESM004-JBA-08162021"/>
    <s v="Down"/>
    <x v="1"/>
    <s v="Fallfish"/>
    <s v="Semotilus"/>
    <s v="gibbosus"/>
    <s v="U"/>
    <x v="0"/>
    <n v="8"/>
    <n v="11.81"/>
    <x v="15"/>
    <s v="355-46-4"/>
    <x v="15"/>
    <n v="16.5"/>
  </r>
  <r>
    <s v="ESM004-JBA-08162021"/>
    <s v="Down"/>
    <x v="1"/>
    <s v="Fallfish"/>
    <s v="Semotilus"/>
    <s v="gibbosus"/>
    <s v="U"/>
    <x v="0"/>
    <n v="8"/>
    <n v="11.81"/>
    <x v="16"/>
    <s v="375-92-8"/>
    <x v="16"/>
    <n v="6.59"/>
  </r>
  <r>
    <s v="ESM004-JBA-08162021"/>
    <s v="Down"/>
    <x v="1"/>
    <s v="Fallfish"/>
    <s v="Semotilus"/>
    <s v="gibbosus"/>
    <s v="U"/>
    <x v="0"/>
    <n v="8"/>
    <n v="11.81"/>
    <x v="17"/>
    <s v="1763-23-1"/>
    <x v="17"/>
    <n v="556"/>
  </r>
  <r>
    <s v="ESM004-JBA-08162021"/>
    <s v="Down"/>
    <x v="1"/>
    <s v="Fallfish"/>
    <s v="Semotilus"/>
    <s v="gibbosus"/>
    <s v="U"/>
    <x v="0"/>
    <n v="8"/>
    <n v="11.81"/>
    <x v="18"/>
    <s v="68259-12-1"/>
    <x v="18"/>
    <n v="1.06"/>
  </r>
  <r>
    <s v="ESM004-JBA-08162021"/>
    <s v="Down"/>
    <x v="1"/>
    <s v="Fallfish"/>
    <s v="Semotilus"/>
    <s v="gibbosus"/>
    <s v="U"/>
    <x v="0"/>
    <n v="8"/>
    <n v="11.81"/>
    <x v="19"/>
    <s v="335-77-3"/>
    <x v="19"/>
    <n v="1.93"/>
  </r>
  <r>
    <s v="ESM004-JBA-08162021"/>
    <s v="Down"/>
    <x v="1"/>
    <s v="Fallfish"/>
    <s v="Semotilus"/>
    <s v="gibbosus"/>
    <s v="U"/>
    <x v="0"/>
    <n v="8"/>
    <n v="11.81"/>
    <x v="20"/>
    <s v="79780-39-5"/>
    <x v="20"/>
    <n v="0.23749999999999999"/>
  </r>
  <r>
    <s v="ESM004-JBA-08162021"/>
    <s v="Down"/>
    <x v="1"/>
    <s v="Fallfish"/>
    <s v="Semotilus"/>
    <s v="gibbosus"/>
    <s v="U"/>
    <x v="0"/>
    <n v="8"/>
    <n v="11.81"/>
    <x v="21"/>
    <s v="777011-38-8"/>
    <x v="21"/>
    <n v="0.13500000000000001"/>
  </r>
  <r>
    <s v="ESM004-JBA-08162021"/>
    <s v="Down"/>
    <x v="1"/>
    <s v="Fallfish"/>
    <s v="Semotilus"/>
    <s v="gibbosus"/>
    <s v="U"/>
    <x v="0"/>
    <n v="8"/>
    <n v="11.81"/>
    <x v="22"/>
    <s v="646-83-3"/>
    <x v="22"/>
    <n v="0.46300000000000002"/>
  </r>
  <r>
    <s v="ESM004-JBA-08162021"/>
    <s v="Down"/>
    <x v="1"/>
    <s v="Fallfish"/>
    <s v="Semotilus"/>
    <s v="gibbosus"/>
    <s v="U"/>
    <x v="0"/>
    <n v="8"/>
    <n v="11.81"/>
    <x v="23"/>
    <s v="30334-69-1"/>
    <x v="23"/>
    <n v="43.1"/>
  </r>
  <r>
    <s v="ESM004-JBA-08162021"/>
    <s v="Down"/>
    <x v="1"/>
    <s v="Fallfish"/>
    <s v="Semotilus"/>
    <s v="gibbosus"/>
    <s v="U"/>
    <x v="0"/>
    <n v="8"/>
    <n v="11.81"/>
    <x v="24"/>
    <s v="41997-13-1"/>
    <x v="24"/>
    <n v="433"/>
  </r>
  <r>
    <s v="ESM004-JBA-08162021"/>
    <s v="Down"/>
    <x v="1"/>
    <s v="Fallfish"/>
    <s v="Semotilus"/>
    <s v="gibbosus"/>
    <s v="U"/>
    <x v="0"/>
    <n v="8"/>
    <n v="11.81"/>
    <x v="25"/>
    <s v="754-91-6"/>
    <x v="25"/>
    <n v="26"/>
  </r>
  <r>
    <s v="ESM004-JBA-08162021"/>
    <s v="Down"/>
    <x v="1"/>
    <s v="Fallfish"/>
    <s v="Semotilus"/>
    <s v="gibbosus"/>
    <s v="U"/>
    <x v="0"/>
    <n v="8"/>
    <n v="11.81"/>
    <x v="26"/>
    <s v="31506-32-8"/>
    <x v="26"/>
    <n v="0.17100000000000001"/>
  </r>
  <r>
    <s v="ESM004-JBA-08162021"/>
    <s v="Down"/>
    <x v="1"/>
    <s v="Fallfish"/>
    <s v="Semotilus"/>
    <s v="gibbosus"/>
    <s v="U"/>
    <x v="0"/>
    <n v="8"/>
    <n v="11.81"/>
    <x v="27"/>
    <s v="4151-50-2"/>
    <x v="27"/>
    <n v="0.44400000000000001"/>
  </r>
  <r>
    <s v="ESM004-JBA-08162021"/>
    <s v="Down"/>
    <x v="1"/>
    <s v="Fallfish"/>
    <s v="Semotilus"/>
    <s v="gibbosus"/>
    <s v="U"/>
    <x v="0"/>
    <n v="8"/>
    <n v="11.81"/>
    <x v="28"/>
    <s v="2806-24-8"/>
    <x v="28"/>
    <n v="0.44400000000000001"/>
  </r>
  <r>
    <s v="ESM004-JBA-08162021"/>
    <s v="Down"/>
    <x v="1"/>
    <s v="Fallfish"/>
    <s v="Semotilus"/>
    <s v="gibbosus"/>
    <s v="U"/>
    <x v="0"/>
    <n v="8"/>
    <n v="11.81"/>
    <x v="29"/>
    <s v="2355-31-9"/>
    <x v="29"/>
    <n v="0.2235"/>
  </r>
  <r>
    <s v="ESM004-JBA-08162021"/>
    <s v="Down"/>
    <x v="1"/>
    <s v="Fallfish"/>
    <s v="Semotilus"/>
    <s v="gibbosus"/>
    <s v="U"/>
    <x v="0"/>
    <n v="8"/>
    <n v="11.81"/>
    <x v="30"/>
    <s v="2991-50-6"/>
    <x v="30"/>
    <n v="0.222"/>
  </r>
  <r>
    <s v="ESM004-JBA-08162021"/>
    <s v="Down"/>
    <x v="1"/>
    <s v="Fallfish"/>
    <s v="Semotilus"/>
    <s v="gibbosus"/>
    <s v="U"/>
    <x v="0"/>
    <n v="8"/>
    <n v="11.81"/>
    <x v="31"/>
    <s v="757124-72-4"/>
    <x v="31"/>
    <n v="0.222"/>
  </r>
  <r>
    <s v="ESM004-JBA-08162021"/>
    <s v="Down"/>
    <x v="1"/>
    <s v="Fallfish"/>
    <s v="Semotilus"/>
    <s v="gibbosus"/>
    <s v="U"/>
    <x v="0"/>
    <n v="8"/>
    <n v="11.81"/>
    <x v="32"/>
    <s v="27619-97-2"/>
    <x v="32"/>
    <n v="1.5"/>
  </r>
  <r>
    <s v="ESM004-JBA-08162021"/>
    <s v="Down"/>
    <x v="1"/>
    <s v="Fallfish"/>
    <s v="Semotilus"/>
    <s v="gibbosus"/>
    <s v="U"/>
    <x v="0"/>
    <n v="8"/>
    <n v="11.81"/>
    <x v="33"/>
    <s v="39108-34-4"/>
    <x v="33"/>
    <n v="17.399999999999999"/>
  </r>
  <r>
    <s v="ESM004-JBA-08162021"/>
    <s v="Down"/>
    <x v="1"/>
    <s v="Fallfish"/>
    <s v="Semotilus"/>
    <s v="gibbosus"/>
    <s v="U"/>
    <x v="0"/>
    <n v="8"/>
    <n v="11.81"/>
    <x v="34"/>
    <s v="120226-60-0"/>
    <x v="34"/>
    <n v="0.44400000000000001"/>
  </r>
  <r>
    <s v="ESM004-JBA-08162021"/>
    <s v="Down"/>
    <x v="1"/>
    <s v="Fallfish"/>
    <s v="Semotilus"/>
    <s v="gibbosus"/>
    <s v="U"/>
    <x v="0"/>
    <n v="8"/>
    <n v="11.81"/>
    <x v="35"/>
    <s v="356-02-5"/>
    <x v="35"/>
    <n v="0.25600000000000001"/>
  </r>
  <r>
    <s v="ESM004-JBA-08162021"/>
    <s v="Down"/>
    <x v="1"/>
    <s v="Fallfish"/>
    <s v="Semotilus"/>
    <s v="gibbosus"/>
    <s v="U"/>
    <x v="0"/>
    <n v="8"/>
    <n v="11.81"/>
    <x v="36"/>
    <s v="914637-49-3"/>
    <x v="36"/>
    <n v="7.86"/>
  </r>
  <r>
    <s v="ESM004-JBA-08162021"/>
    <s v="Down"/>
    <x v="1"/>
    <s v="Fallfish"/>
    <s v="Semotilus"/>
    <s v="gibbosus"/>
    <s v="U"/>
    <x v="0"/>
    <n v="8"/>
    <n v="11.81"/>
    <x v="37"/>
    <s v="812-70-4"/>
    <x v="37"/>
    <n v="3.8"/>
  </r>
  <r>
    <s v="ESM004-JBA-08162021"/>
    <s v="Down"/>
    <x v="1"/>
    <s v="Fallfish"/>
    <s v="Semotilus"/>
    <s v="gibbosus"/>
    <s v="U"/>
    <x v="0"/>
    <n v="8"/>
    <n v="11.81"/>
    <x v="38"/>
    <s v="53826-12-3"/>
    <x v="38"/>
    <n v="0.44400000000000001"/>
  </r>
  <r>
    <s v="ESM004-JBA-08162021"/>
    <s v="Down"/>
    <x v="1"/>
    <s v="Fallfish"/>
    <s v="Semotilus"/>
    <s v="gibbosus"/>
    <s v="U"/>
    <x v="0"/>
    <n v="8"/>
    <n v="11.81"/>
    <x v="39"/>
    <s v="27854-31-5"/>
    <x v="39"/>
    <n v="0.44400000000000001"/>
  </r>
  <r>
    <s v="ESM004-JBA-08162021"/>
    <s v="Down"/>
    <x v="1"/>
    <s v="Fallfish"/>
    <s v="Semotilus"/>
    <s v="gibbosus"/>
    <s v="U"/>
    <x v="0"/>
    <n v="8"/>
    <n v="11.81"/>
    <x v="40"/>
    <s v="53826-13-4"/>
    <x v="40"/>
    <n v="0.44400000000000001"/>
  </r>
  <r>
    <s v="ESM004-JBA-08162021"/>
    <s v="Down"/>
    <x v="1"/>
    <s v="Fallfish"/>
    <s v="Semotilus"/>
    <s v="gibbosus"/>
    <s v="U"/>
    <x v="0"/>
    <n v="8"/>
    <n v="11.81"/>
    <x v="41"/>
    <s v="161094-75-3"/>
    <x v="41"/>
    <n v="0.44400000000000001"/>
  </r>
  <r>
    <s v="ESM004-JBA-08162021"/>
    <s v="Down"/>
    <x v="1"/>
    <s v="Fallfish"/>
    <s v="Semotilus"/>
    <s v="gibbosus"/>
    <s v="U"/>
    <x v="0"/>
    <n v="8"/>
    <n v="11.81"/>
    <x v="42"/>
    <s v="70887-84-2"/>
    <x v="42"/>
    <n v="0.44400000000000001"/>
  </r>
  <r>
    <s v="ESM004-JBA-08162021"/>
    <s v="Down"/>
    <x v="1"/>
    <s v="Fallfish"/>
    <s v="Semotilus"/>
    <s v="gibbosus"/>
    <s v="U"/>
    <x v="0"/>
    <n v="8"/>
    <n v="11.81"/>
    <x v="43"/>
    <s v="919005-14-4"/>
    <x v="43"/>
    <n v="0.222"/>
  </r>
  <r>
    <s v="ESM004-JBA-08162021"/>
    <s v="Down"/>
    <x v="1"/>
    <s v="Fallfish"/>
    <s v="Semotilus"/>
    <s v="gibbosus"/>
    <s v="U"/>
    <x v="0"/>
    <n v="8"/>
    <n v="11.81"/>
    <x v="44"/>
    <s v="756426-58-1"/>
    <x v="44"/>
    <n v="0.44400000000000001"/>
  </r>
  <r>
    <s v="ESM004-JBA-08162021"/>
    <s v="Down"/>
    <x v="1"/>
    <s v="Fallfish"/>
    <s v="Semotilus"/>
    <s v="gibbosus"/>
    <s v="U"/>
    <x v="0"/>
    <n v="8"/>
    <n v="11.81"/>
    <x v="45"/>
    <s v="763051-92-9"/>
    <x v="45"/>
    <n v="0.44400000000000001"/>
  </r>
  <r>
    <s v="ESM004-JBA-08162021"/>
    <s v="Down"/>
    <x v="1"/>
    <s v="Fallfish"/>
    <s v="Semotilus"/>
    <s v="gibbosus"/>
    <s v="U"/>
    <x v="0"/>
    <n v="8"/>
    <n v="11.81"/>
    <x v="46"/>
    <s v="13252-13-6"/>
    <x v="46"/>
    <n v="0.31850000000000001"/>
  </r>
  <r>
    <s v="ESM004-JBA-08162021"/>
    <s v="Down"/>
    <x v="1"/>
    <s v="Fallfish"/>
    <s v="Semotilus"/>
    <s v="gibbosus"/>
    <s v="U"/>
    <x v="0"/>
    <n v="8"/>
    <n v="11.81"/>
    <x v="47"/>
    <s v="57677-95-9"/>
    <x v="47"/>
    <n v="0.44400000000000001"/>
  </r>
  <r>
    <s v="ESM004-JBA-08162021"/>
    <s v="Down"/>
    <x v="1"/>
    <s v="Fallfish"/>
    <s v="Semotilus"/>
    <s v="gibbosus"/>
    <s v="U"/>
    <x v="0"/>
    <n v="8"/>
    <n v="11.81"/>
    <x v="48"/>
    <s v="678-41-1"/>
    <x v="48"/>
    <n v="0.44400000000000001"/>
  </r>
  <r>
    <s v="ESM004-JBA-08162021"/>
    <s v="Down"/>
    <x v="1"/>
    <s v="Fallfish"/>
    <s v="Semotilus"/>
    <s v="gibbosus"/>
    <s v="U"/>
    <x v="0"/>
    <n v="8"/>
    <n v="11.81"/>
    <x v="49"/>
    <s v="2965-52-8"/>
    <x v="49"/>
    <n v="0.44400000000000001"/>
  </r>
  <r>
    <s v="GC021-JBA-08162021"/>
    <s v="Down"/>
    <x v="1"/>
    <s v="Swallowtail Shiner"/>
    <s v="Notropis"/>
    <s v="gibbosus"/>
    <s v="U"/>
    <x v="0"/>
    <n v="8"/>
    <n v="11.81"/>
    <x v="0"/>
    <s v="375-22-4"/>
    <x v="0"/>
    <n v="0.248"/>
  </r>
  <r>
    <s v="GC021-JBA-08162021"/>
    <s v="Down"/>
    <x v="1"/>
    <s v="Swallowtail Shiner"/>
    <s v="Notropis"/>
    <s v="gibbosus"/>
    <s v="U"/>
    <x v="0"/>
    <n v="8"/>
    <n v="11.81"/>
    <x v="1"/>
    <s v="2706-90-3"/>
    <x v="1"/>
    <n v="0.248"/>
  </r>
  <r>
    <s v="GC021-JBA-08162021"/>
    <s v="Down"/>
    <x v="1"/>
    <s v="Swallowtail Shiner"/>
    <s v="Notropis"/>
    <s v="gibbosus"/>
    <s v="U"/>
    <x v="0"/>
    <n v="8"/>
    <n v="11.81"/>
    <x v="2"/>
    <s v="307-24-4"/>
    <x v="2"/>
    <n v="0.13400000000000001"/>
  </r>
  <r>
    <s v="GC021-JBA-08162021"/>
    <s v="Down"/>
    <x v="1"/>
    <s v="Swallowtail Shiner"/>
    <s v="Notropis"/>
    <s v="gibbosus"/>
    <s v="U"/>
    <x v="0"/>
    <n v="8"/>
    <n v="11.81"/>
    <x v="3"/>
    <s v="375-85-9"/>
    <x v="3"/>
    <n v="0.82799999999999996"/>
  </r>
  <r>
    <s v="GC021-JBA-08162021"/>
    <s v="Down"/>
    <x v="1"/>
    <s v="Swallowtail Shiner"/>
    <s v="Notropis"/>
    <s v="gibbosus"/>
    <s v="U"/>
    <x v="0"/>
    <n v="8"/>
    <n v="11.81"/>
    <x v="4"/>
    <s v="335-67-1"/>
    <x v="4"/>
    <n v="2.02"/>
  </r>
  <r>
    <s v="GC021-JBA-08162021"/>
    <s v="Down"/>
    <x v="1"/>
    <s v="Swallowtail Shiner"/>
    <s v="Notropis"/>
    <s v="gibbosus"/>
    <s v="U"/>
    <x v="0"/>
    <n v="8"/>
    <n v="11.81"/>
    <x v="5"/>
    <s v="375-95-1"/>
    <x v="5"/>
    <n v="5.75"/>
  </r>
  <r>
    <s v="GC021-JBA-08162021"/>
    <s v="Down"/>
    <x v="1"/>
    <s v="Swallowtail Shiner"/>
    <s v="Notropis"/>
    <s v="gibbosus"/>
    <s v="U"/>
    <x v="0"/>
    <n v="8"/>
    <n v="11.81"/>
    <x v="6"/>
    <s v="335-76-2"/>
    <x v="6"/>
    <n v="3.47"/>
  </r>
  <r>
    <s v="GC021-JBA-08162021"/>
    <s v="Down"/>
    <x v="1"/>
    <s v="Swallowtail Shiner"/>
    <s v="Notropis"/>
    <s v="gibbosus"/>
    <s v="U"/>
    <x v="0"/>
    <n v="8"/>
    <n v="11.81"/>
    <x v="7"/>
    <s v="2058-94-8"/>
    <x v="7"/>
    <n v="3.83"/>
  </r>
  <r>
    <s v="GC021-JBA-08162021"/>
    <s v="Down"/>
    <x v="1"/>
    <s v="Swallowtail Shiner"/>
    <s v="Notropis"/>
    <s v="gibbosus"/>
    <s v="U"/>
    <x v="0"/>
    <n v="8"/>
    <n v="11.81"/>
    <x v="8"/>
    <s v="307-55-1"/>
    <x v="8"/>
    <n v="5.12"/>
  </r>
  <r>
    <s v="GC021-JBA-08162021"/>
    <s v="Down"/>
    <x v="1"/>
    <s v="Swallowtail Shiner"/>
    <s v="Notropis"/>
    <s v="gibbosus"/>
    <s v="U"/>
    <x v="0"/>
    <n v="8"/>
    <n v="11.81"/>
    <x v="9"/>
    <s v="72629-94-8"/>
    <x v="9"/>
    <n v="1.6"/>
  </r>
  <r>
    <s v="GC021-JBA-08162021"/>
    <s v="Down"/>
    <x v="1"/>
    <s v="Swallowtail Shiner"/>
    <s v="Notropis"/>
    <s v="gibbosus"/>
    <s v="U"/>
    <x v="0"/>
    <n v="8"/>
    <n v="11.81"/>
    <x v="10"/>
    <s v="376-06-7"/>
    <x v="10"/>
    <n v="2.5099999999999998"/>
  </r>
  <r>
    <s v="GC021-JBA-08162021"/>
    <s v="Down"/>
    <x v="1"/>
    <s v="Swallowtail Shiner"/>
    <s v="Notropis"/>
    <s v="gibbosus"/>
    <s v="U"/>
    <x v="0"/>
    <n v="8"/>
    <n v="11.81"/>
    <x v="11"/>
    <s v="67905-19-5"/>
    <x v="11"/>
    <n v="0.29549999999999998"/>
  </r>
  <r>
    <s v="GC021-JBA-08162021"/>
    <s v="Down"/>
    <x v="1"/>
    <s v="Swallowtail Shiner"/>
    <s v="Notropis"/>
    <s v="gibbosus"/>
    <s v="U"/>
    <x v="0"/>
    <n v="8"/>
    <n v="11.81"/>
    <x v="12"/>
    <s v="423-41-6"/>
    <x v="12"/>
    <n v="0.496"/>
  </r>
  <r>
    <s v="GC021-JBA-08162021"/>
    <s v="Down"/>
    <x v="1"/>
    <s v="Swallowtail Shiner"/>
    <s v="Notropis"/>
    <s v="gibbosus"/>
    <s v="U"/>
    <x v="0"/>
    <n v="8"/>
    <n v="11.81"/>
    <x v="13"/>
    <s v="375-73-5"/>
    <x v="13"/>
    <n v="0.16850000000000001"/>
  </r>
  <r>
    <s v="GC021-JBA-08162021"/>
    <s v="Down"/>
    <x v="1"/>
    <s v="Swallowtail Shiner"/>
    <s v="Notropis"/>
    <s v="gibbosus"/>
    <s v="U"/>
    <x v="0"/>
    <n v="8"/>
    <n v="11.81"/>
    <x v="14"/>
    <s v="2706-91-4"/>
    <x v="14"/>
    <n v="0.313"/>
  </r>
  <r>
    <s v="GC021-JBA-08162021"/>
    <s v="Down"/>
    <x v="1"/>
    <s v="Swallowtail Shiner"/>
    <s v="Notropis"/>
    <s v="gibbosus"/>
    <s v="U"/>
    <x v="0"/>
    <n v="8"/>
    <n v="11.81"/>
    <x v="15"/>
    <s v="355-46-4"/>
    <x v="15"/>
    <n v="30.1"/>
  </r>
  <r>
    <s v="GC021-JBA-08162021"/>
    <s v="Down"/>
    <x v="1"/>
    <s v="Swallowtail Shiner"/>
    <s v="Notropis"/>
    <s v="gibbosus"/>
    <s v="U"/>
    <x v="0"/>
    <n v="8"/>
    <n v="11.81"/>
    <x v="16"/>
    <s v="375-92-8"/>
    <x v="16"/>
    <n v="2.41"/>
  </r>
  <r>
    <s v="GC021-JBA-08162021"/>
    <s v="Down"/>
    <x v="1"/>
    <s v="Swallowtail Shiner"/>
    <s v="Notropis"/>
    <s v="gibbosus"/>
    <s v="U"/>
    <x v="0"/>
    <n v="8"/>
    <n v="11.81"/>
    <x v="17"/>
    <s v="1763-23-1"/>
    <x v="17"/>
    <n v="345"/>
  </r>
  <r>
    <s v="GC021-JBA-08162021"/>
    <s v="Down"/>
    <x v="1"/>
    <s v="Swallowtail Shiner"/>
    <s v="Notropis"/>
    <s v="gibbosus"/>
    <s v="U"/>
    <x v="0"/>
    <n v="8"/>
    <n v="11.81"/>
    <x v="18"/>
    <s v="68259-12-1"/>
    <x v="18"/>
    <n v="0.248"/>
  </r>
  <r>
    <s v="GC021-JBA-08162021"/>
    <s v="Down"/>
    <x v="1"/>
    <s v="Swallowtail Shiner"/>
    <s v="Notropis"/>
    <s v="gibbosus"/>
    <s v="U"/>
    <x v="0"/>
    <n v="8"/>
    <n v="11.81"/>
    <x v="19"/>
    <s v="335-77-3"/>
    <x v="19"/>
    <n v="0.248"/>
  </r>
  <r>
    <s v="GC021-JBA-08162021"/>
    <s v="Down"/>
    <x v="1"/>
    <s v="Swallowtail Shiner"/>
    <s v="Notropis"/>
    <s v="gibbosus"/>
    <s v="U"/>
    <x v="0"/>
    <n v="8"/>
    <n v="11.81"/>
    <x v="20"/>
    <s v="79780-39-5"/>
    <x v="20"/>
    <n v="0.26500000000000001"/>
  </r>
  <r>
    <s v="GC021-JBA-08162021"/>
    <s v="Down"/>
    <x v="1"/>
    <s v="Swallowtail Shiner"/>
    <s v="Notropis"/>
    <s v="gibbosus"/>
    <s v="U"/>
    <x v="0"/>
    <n v="8"/>
    <n v="11.81"/>
    <x v="21"/>
    <s v="777011-38-8"/>
    <x v="21"/>
    <n v="0.15049999999999999"/>
  </r>
  <r>
    <s v="GC021-JBA-08162021"/>
    <s v="Down"/>
    <x v="1"/>
    <s v="Swallowtail Shiner"/>
    <s v="Notropis"/>
    <s v="gibbosus"/>
    <s v="U"/>
    <x v="0"/>
    <n v="8"/>
    <n v="11.81"/>
    <x v="22"/>
    <s v="646-83-3"/>
    <x v="22"/>
    <n v="9.9000000000000005E-2"/>
  </r>
  <r>
    <s v="GC021-JBA-08162021"/>
    <s v="Down"/>
    <x v="1"/>
    <s v="Swallowtail Shiner"/>
    <s v="Notropis"/>
    <s v="gibbosus"/>
    <s v="U"/>
    <x v="0"/>
    <n v="8"/>
    <n v="11.81"/>
    <x v="23"/>
    <s v="30334-69-1"/>
    <x v="23"/>
    <n v="70.3"/>
  </r>
  <r>
    <s v="GC021-JBA-08162021"/>
    <s v="Down"/>
    <x v="1"/>
    <s v="Swallowtail Shiner"/>
    <s v="Notropis"/>
    <s v="gibbosus"/>
    <s v="U"/>
    <x v="0"/>
    <n v="8"/>
    <n v="11.81"/>
    <x v="24"/>
    <s v="41997-13-1"/>
    <x v="24"/>
    <n v="362"/>
  </r>
  <r>
    <s v="GC021-JBA-08162021"/>
    <s v="Down"/>
    <x v="1"/>
    <s v="Swallowtail Shiner"/>
    <s v="Notropis"/>
    <s v="gibbosus"/>
    <s v="U"/>
    <x v="0"/>
    <n v="8"/>
    <n v="11.81"/>
    <x v="25"/>
    <s v="754-91-6"/>
    <x v="25"/>
    <n v="14.1"/>
  </r>
  <r>
    <s v="GC021-JBA-08162021"/>
    <s v="Down"/>
    <x v="1"/>
    <s v="Swallowtail Shiner"/>
    <s v="Notropis"/>
    <s v="gibbosus"/>
    <s v="U"/>
    <x v="0"/>
    <n v="8"/>
    <n v="11.81"/>
    <x v="26"/>
    <s v="31506-32-8"/>
    <x v="26"/>
    <n v="0.191"/>
  </r>
  <r>
    <s v="GC021-JBA-08162021"/>
    <s v="Down"/>
    <x v="1"/>
    <s v="Swallowtail Shiner"/>
    <s v="Notropis"/>
    <s v="gibbosus"/>
    <s v="U"/>
    <x v="0"/>
    <n v="8"/>
    <n v="11.81"/>
    <x v="27"/>
    <s v="4151-50-2"/>
    <x v="27"/>
    <n v="0.496"/>
  </r>
  <r>
    <s v="GC021-JBA-08162021"/>
    <s v="Down"/>
    <x v="1"/>
    <s v="Swallowtail Shiner"/>
    <s v="Notropis"/>
    <s v="gibbosus"/>
    <s v="U"/>
    <x v="0"/>
    <n v="8"/>
    <n v="11.81"/>
    <x v="28"/>
    <s v="2806-24-8"/>
    <x v="28"/>
    <n v="0.496"/>
  </r>
  <r>
    <s v="GC021-JBA-08162021"/>
    <s v="Down"/>
    <x v="1"/>
    <s v="Swallowtail Shiner"/>
    <s v="Notropis"/>
    <s v="gibbosus"/>
    <s v="U"/>
    <x v="0"/>
    <n v="8"/>
    <n v="11.81"/>
    <x v="29"/>
    <s v="2355-31-9"/>
    <x v="29"/>
    <n v="0.2495"/>
  </r>
  <r>
    <s v="GC021-JBA-08162021"/>
    <s v="Down"/>
    <x v="1"/>
    <s v="Swallowtail Shiner"/>
    <s v="Notropis"/>
    <s v="gibbosus"/>
    <s v="U"/>
    <x v="0"/>
    <n v="8"/>
    <n v="11.81"/>
    <x v="30"/>
    <s v="2991-50-6"/>
    <x v="30"/>
    <n v="0.248"/>
  </r>
  <r>
    <s v="GC021-JBA-08162021"/>
    <s v="Down"/>
    <x v="1"/>
    <s v="Swallowtail Shiner"/>
    <s v="Notropis"/>
    <s v="gibbosus"/>
    <s v="U"/>
    <x v="0"/>
    <n v="8"/>
    <n v="11.81"/>
    <x v="31"/>
    <s v="757124-72-4"/>
    <x v="31"/>
    <n v="0.248"/>
  </r>
  <r>
    <s v="GC021-JBA-08162021"/>
    <s v="Down"/>
    <x v="1"/>
    <s v="Swallowtail Shiner"/>
    <s v="Notropis"/>
    <s v="gibbosus"/>
    <s v="U"/>
    <x v="0"/>
    <n v="8"/>
    <n v="11.81"/>
    <x v="32"/>
    <s v="27619-97-2"/>
    <x v="32"/>
    <n v="0.248"/>
  </r>
  <r>
    <s v="GC021-JBA-08162021"/>
    <s v="Down"/>
    <x v="1"/>
    <s v="Swallowtail Shiner"/>
    <s v="Notropis"/>
    <s v="gibbosus"/>
    <s v="U"/>
    <x v="0"/>
    <n v="8"/>
    <n v="11.81"/>
    <x v="33"/>
    <s v="39108-34-4"/>
    <x v="33"/>
    <n v="8.08"/>
  </r>
  <r>
    <s v="GC021-JBA-08162021"/>
    <s v="Down"/>
    <x v="1"/>
    <s v="Swallowtail Shiner"/>
    <s v="Notropis"/>
    <s v="gibbosus"/>
    <s v="U"/>
    <x v="0"/>
    <n v="8"/>
    <n v="11.81"/>
    <x v="34"/>
    <s v="120226-60-0"/>
    <x v="34"/>
    <n v="0.496"/>
  </r>
  <r>
    <s v="GC021-JBA-08162021"/>
    <s v="Down"/>
    <x v="1"/>
    <s v="Swallowtail Shiner"/>
    <s v="Notropis"/>
    <s v="gibbosus"/>
    <s v="U"/>
    <x v="0"/>
    <n v="8"/>
    <n v="11.81"/>
    <x v="35"/>
    <s v="356-02-5"/>
    <x v="35"/>
    <n v="0.28599999999999998"/>
  </r>
  <r>
    <s v="GC021-JBA-08162021"/>
    <s v="Down"/>
    <x v="1"/>
    <s v="Swallowtail Shiner"/>
    <s v="Notropis"/>
    <s v="gibbosus"/>
    <s v="U"/>
    <x v="0"/>
    <n v="8"/>
    <n v="11.81"/>
    <x v="36"/>
    <s v="914637-49-3"/>
    <x v="36"/>
    <n v="0.248"/>
  </r>
  <r>
    <s v="GC021-JBA-08162021"/>
    <s v="Down"/>
    <x v="1"/>
    <s v="Swallowtail Shiner"/>
    <s v="Notropis"/>
    <s v="gibbosus"/>
    <s v="U"/>
    <x v="0"/>
    <n v="8"/>
    <n v="11.81"/>
    <x v="37"/>
    <s v="812-70-4"/>
    <x v="37"/>
    <n v="2.87"/>
  </r>
  <r>
    <s v="GC021-JBA-08162021"/>
    <s v="Down"/>
    <x v="1"/>
    <s v="Swallowtail Shiner"/>
    <s v="Notropis"/>
    <s v="gibbosus"/>
    <s v="U"/>
    <x v="0"/>
    <n v="8"/>
    <n v="11.81"/>
    <x v="38"/>
    <s v="53826-12-3"/>
    <x v="38"/>
    <n v="0.496"/>
  </r>
  <r>
    <s v="GC021-JBA-08162021"/>
    <s v="Down"/>
    <x v="1"/>
    <s v="Swallowtail Shiner"/>
    <s v="Notropis"/>
    <s v="gibbosus"/>
    <s v="U"/>
    <x v="0"/>
    <n v="8"/>
    <n v="11.81"/>
    <x v="39"/>
    <s v="27854-31-5"/>
    <x v="39"/>
    <n v="0.496"/>
  </r>
  <r>
    <s v="GC021-JBA-08162021"/>
    <s v="Down"/>
    <x v="1"/>
    <s v="Swallowtail Shiner"/>
    <s v="Notropis"/>
    <s v="gibbosus"/>
    <s v="U"/>
    <x v="0"/>
    <n v="8"/>
    <n v="11.81"/>
    <x v="40"/>
    <s v="53826-13-4"/>
    <x v="40"/>
    <n v="0.496"/>
  </r>
  <r>
    <s v="GC021-JBA-08162021"/>
    <s v="Down"/>
    <x v="1"/>
    <s v="Swallowtail Shiner"/>
    <s v="Notropis"/>
    <s v="gibbosus"/>
    <s v="U"/>
    <x v="0"/>
    <n v="8"/>
    <n v="11.81"/>
    <x v="41"/>
    <s v="161094-75-3"/>
    <x v="41"/>
    <n v="0.496"/>
  </r>
  <r>
    <s v="GC021-JBA-08162021"/>
    <s v="Down"/>
    <x v="1"/>
    <s v="Swallowtail Shiner"/>
    <s v="Notropis"/>
    <s v="gibbosus"/>
    <s v="U"/>
    <x v="0"/>
    <n v="8"/>
    <n v="11.81"/>
    <x v="42"/>
    <s v="70887-84-2"/>
    <x v="42"/>
    <n v="0.496"/>
  </r>
  <r>
    <s v="GC021-JBA-08162021"/>
    <s v="Down"/>
    <x v="1"/>
    <s v="Swallowtail Shiner"/>
    <s v="Notropis"/>
    <s v="gibbosus"/>
    <s v="U"/>
    <x v="0"/>
    <n v="8"/>
    <n v="11.81"/>
    <x v="43"/>
    <s v="919005-14-4"/>
    <x v="43"/>
    <n v="0.248"/>
  </r>
  <r>
    <s v="GC021-JBA-08162021"/>
    <s v="Down"/>
    <x v="1"/>
    <s v="Swallowtail Shiner"/>
    <s v="Notropis"/>
    <s v="gibbosus"/>
    <s v="U"/>
    <x v="0"/>
    <n v="8"/>
    <n v="11.81"/>
    <x v="44"/>
    <s v="756426-58-1"/>
    <x v="44"/>
    <n v="0.496"/>
  </r>
  <r>
    <s v="GC021-JBA-08162021"/>
    <s v="Down"/>
    <x v="1"/>
    <s v="Swallowtail Shiner"/>
    <s v="Notropis"/>
    <s v="gibbosus"/>
    <s v="U"/>
    <x v="0"/>
    <n v="8"/>
    <n v="11.81"/>
    <x v="45"/>
    <s v="763051-92-9"/>
    <x v="45"/>
    <n v="0.496"/>
  </r>
  <r>
    <s v="GC021-JBA-08162021"/>
    <s v="Down"/>
    <x v="1"/>
    <s v="Swallowtail Shiner"/>
    <s v="Notropis"/>
    <s v="gibbosus"/>
    <s v="U"/>
    <x v="0"/>
    <n v="8"/>
    <n v="11.81"/>
    <x v="46"/>
    <s v="13252-13-6"/>
    <x v="46"/>
    <n v="0.35599999999999998"/>
  </r>
  <r>
    <s v="GC021-JBA-08162021"/>
    <s v="Down"/>
    <x v="1"/>
    <s v="Swallowtail Shiner"/>
    <s v="Notropis"/>
    <s v="gibbosus"/>
    <s v="U"/>
    <x v="0"/>
    <n v="8"/>
    <n v="11.81"/>
    <x v="47"/>
    <s v="57677-95-9"/>
    <x v="47"/>
    <n v="0.496"/>
  </r>
  <r>
    <s v="GC021-JBA-08162021"/>
    <s v="Down"/>
    <x v="1"/>
    <s v="Swallowtail Shiner"/>
    <s v="Notropis"/>
    <s v="gibbosus"/>
    <s v="U"/>
    <x v="0"/>
    <n v="8"/>
    <n v="11.81"/>
    <x v="48"/>
    <s v="678-41-1"/>
    <x v="48"/>
    <n v="0.496"/>
  </r>
  <r>
    <s v="GC021-JBA-08162021"/>
    <s v="Down"/>
    <x v="1"/>
    <s v="Swallowtail Shiner"/>
    <s v="Notropis"/>
    <s v="gibbosus"/>
    <s v="U"/>
    <x v="0"/>
    <n v="8"/>
    <n v="11.81"/>
    <x v="49"/>
    <s v="2965-52-8"/>
    <x v="49"/>
    <n v="0.496"/>
  </r>
  <r>
    <s v="GC022-JBA-08162021"/>
    <s v="Down"/>
    <x v="1"/>
    <s v="Swallowtail Shiner"/>
    <s v="Notropis"/>
    <s v="gibbosus"/>
    <s v="U"/>
    <x v="0"/>
    <n v="8"/>
    <n v="11.81"/>
    <x v="0"/>
    <s v="375-22-4"/>
    <x v="0"/>
    <n v="0.21299999999999999"/>
  </r>
  <r>
    <s v="GC022-JBA-08162021"/>
    <s v="Down"/>
    <x v="1"/>
    <s v="Swallowtail Shiner"/>
    <s v="Notropis"/>
    <s v="gibbosus"/>
    <s v="U"/>
    <x v="0"/>
    <n v="8"/>
    <n v="11.81"/>
    <x v="1"/>
    <s v="2706-90-3"/>
    <x v="1"/>
    <n v="0.21299999999999999"/>
  </r>
  <r>
    <s v="GC022-JBA-08162021"/>
    <s v="Down"/>
    <x v="1"/>
    <s v="Swallowtail Shiner"/>
    <s v="Notropis"/>
    <s v="gibbosus"/>
    <s v="U"/>
    <x v="0"/>
    <n v="8"/>
    <n v="11.81"/>
    <x v="2"/>
    <s v="307-24-4"/>
    <x v="2"/>
    <n v="0.115"/>
  </r>
  <r>
    <s v="GC022-JBA-08162021"/>
    <s v="Down"/>
    <x v="1"/>
    <s v="Swallowtail Shiner"/>
    <s v="Notropis"/>
    <s v="gibbosus"/>
    <s v="U"/>
    <x v="0"/>
    <n v="8"/>
    <n v="11.81"/>
    <x v="3"/>
    <s v="375-85-9"/>
    <x v="3"/>
    <n v="0.21299999999999999"/>
  </r>
  <r>
    <s v="GC022-JBA-08162021"/>
    <s v="Down"/>
    <x v="1"/>
    <s v="Swallowtail Shiner"/>
    <s v="Notropis"/>
    <s v="gibbosus"/>
    <s v="U"/>
    <x v="0"/>
    <n v="8"/>
    <n v="11.81"/>
    <x v="4"/>
    <s v="335-67-1"/>
    <x v="4"/>
    <n v="1.1000000000000001"/>
  </r>
  <r>
    <s v="GC022-JBA-08162021"/>
    <s v="Down"/>
    <x v="1"/>
    <s v="Swallowtail Shiner"/>
    <s v="Notropis"/>
    <s v="gibbosus"/>
    <s v="U"/>
    <x v="0"/>
    <n v="8"/>
    <n v="11.81"/>
    <x v="5"/>
    <s v="375-95-1"/>
    <x v="5"/>
    <n v="1.65"/>
  </r>
  <r>
    <s v="GC022-JBA-08162021"/>
    <s v="Down"/>
    <x v="1"/>
    <s v="Swallowtail Shiner"/>
    <s v="Notropis"/>
    <s v="gibbosus"/>
    <s v="U"/>
    <x v="0"/>
    <n v="8"/>
    <n v="11.81"/>
    <x v="6"/>
    <s v="335-76-2"/>
    <x v="6"/>
    <n v="7.61"/>
  </r>
  <r>
    <s v="GC022-JBA-08162021"/>
    <s v="Down"/>
    <x v="1"/>
    <s v="Swallowtail Shiner"/>
    <s v="Notropis"/>
    <s v="gibbosus"/>
    <s v="U"/>
    <x v="0"/>
    <n v="8"/>
    <n v="11.81"/>
    <x v="7"/>
    <s v="2058-94-8"/>
    <x v="7"/>
    <n v="9.1300000000000008"/>
  </r>
  <r>
    <s v="GC022-JBA-08162021"/>
    <s v="Down"/>
    <x v="1"/>
    <s v="Swallowtail Shiner"/>
    <s v="Notropis"/>
    <s v="gibbosus"/>
    <s v="U"/>
    <x v="0"/>
    <n v="8"/>
    <n v="11.81"/>
    <x v="8"/>
    <s v="307-55-1"/>
    <x v="8"/>
    <n v="8.59"/>
  </r>
  <r>
    <s v="GC022-JBA-08162021"/>
    <s v="Down"/>
    <x v="1"/>
    <s v="Swallowtail Shiner"/>
    <s v="Notropis"/>
    <s v="gibbosus"/>
    <s v="U"/>
    <x v="0"/>
    <n v="8"/>
    <n v="11.81"/>
    <x v="9"/>
    <s v="72629-94-8"/>
    <x v="9"/>
    <n v="5.04"/>
  </r>
  <r>
    <s v="GC022-JBA-08162021"/>
    <s v="Down"/>
    <x v="1"/>
    <s v="Swallowtail Shiner"/>
    <s v="Notropis"/>
    <s v="gibbosus"/>
    <s v="U"/>
    <x v="0"/>
    <n v="8"/>
    <n v="11.81"/>
    <x v="10"/>
    <s v="376-06-7"/>
    <x v="10"/>
    <n v="4.66"/>
  </r>
  <r>
    <s v="GC022-JBA-08162021"/>
    <s v="Down"/>
    <x v="1"/>
    <s v="Swallowtail Shiner"/>
    <s v="Notropis"/>
    <s v="gibbosus"/>
    <s v="U"/>
    <x v="0"/>
    <n v="8"/>
    <n v="11.81"/>
    <x v="11"/>
    <s v="67905-19-5"/>
    <x v="11"/>
    <n v="0.254"/>
  </r>
  <r>
    <s v="GC022-JBA-08162021"/>
    <s v="Down"/>
    <x v="1"/>
    <s v="Swallowtail Shiner"/>
    <s v="Notropis"/>
    <s v="gibbosus"/>
    <s v="U"/>
    <x v="0"/>
    <n v="8"/>
    <n v="11.81"/>
    <x v="12"/>
    <s v="423-41-6"/>
    <x v="12"/>
    <n v="0.42599999999999999"/>
  </r>
  <r>
    <s v="GC022-JBA-08162021"/>
    <s v="Down"/>
    <x v="1"/>
    <s v="Swallowtail Shiner"/>
    <s v="Notropis"/>
    <s v="gibbosus"/>
    <s v="U"/>
    <x v="0"/>
    <n v="8"/>
    <n v="11.81"/>
    <x v="13"/>
    <s v="375-73-5"/>
    <x v="13"/>
    <n v="0.14499999999999999"/>
  </r>
  <r>
    <s v="GC022-JBA-08162021"/>
    <s v="Down"/>
    <x v="1"/>
    <s v="Swallowtail Shiner"/>
    <s v="Notropis"/>
    <s v="gibbosus"/>
    <s v="U"/>
    <x v="0"/>
    <n v="8"/>
    <n v="11.81"/>
    <x v="14"/>
    <s v="2706-91-4"/>
    <x v="14"/>
    <n v="0.22800000000000001"/>
  </r>
  <r>
    <s v="GC022-JBA-08162021"/>
    <s v="Down"/>
    <x v="1"/>
    <s v="Swallowtail Shiner"/>
    <s v="Notropis"/>
    <s v="gibbosus"/>
    <s v="U"/>
    <x v="0"/>
    <n v="8"/>
    <n v="11.81"/>
    <x v="15"/>
    <s v="355-46-4"/>
    <x v="15"/>
    <n v="32.5"/>
  </r>
  <r>
    <s v="GC022-JBA-08162021"/>
    <s v="Down"/>
    <x v="1"/>
    <s v="Swallowtail Shiner"/>
    <s v="Notropis"/>
    <s v="gibbosus"/>
    <s v="U"/>
    <x v="0"/>
    <n v="8"/>
    <n v="11.81"/>
    <x v="16"/>
    <s v="375-92-8"/>
    <x v="16"/>
    <n v="1.74"/>
  </r>
  <r>
    <s v="GC022-JBA-08162021"/>
    <s v="Down"/>
    <x v="1"/>
    <s v="Swallowtail Shiner"/>
    <s v="Notropis"/>
    <s v="gibbosus"/>
    <s v="U"/>
    <x v="0"/>
    <n v="8"/>
    <n v="11.81"/>
    <x v="17"/>
    <s v="1763-23-1"/>
    <x v="17"/>
    <n v="502"/>
  </r>
  <r>
    <s v="GC022-JBA-08162021"/>
    <s v="Down"/>
    <x v="1"/>
    <s v="Swallowtail Shiner"/>
    <s v="Notropis"/>
    <s v="gibbosus"/>
    <s v="U"/>
    <x v="0"/>
    <n v="8"/>
    <n v="11.81"/>
    <x v="18"/>
    <s v="68259-12-1"/>
    <x v="18"/>
    <n v="0.21299999999999999"/>
  </r>
  <r>
    <s v="GC022-JBA-08162021"/>
    <s v="Down"/>
    <x v="1"/>
    <s v="Swallowtail Shiner"/>
    <s v="Notropis"/>
    <s v="gibbosus"/>
    <s v="U"/>
    <x v="0"/>
    <n v="8"/>
    <n v="11.81"/>
    <x v="19"/>
    <s v="335-77-3"/>
    <x v="19"/>
    <n v="0.21299999999999999"/>
  </r>
  <r>
    <s v="GC022-JBA-08162021"/>
    <s v="Down"/>
    <x v="1"/>
    <s v="Swallowtail Shiner"/>
    <s v="Notropis"/>
    <s v="gibbosus"/>
    <s v="U"/>
    <x v="0"/>
    <n v="8"/>
    <n v="11.81"/>
    <x v="20"/>
    <s v="79780-39-5"/>
    <x v="20"/>
    <n v="0.22800000000000001"/>
  </r>
  <r>
    <s v="GC022-JBA-08162021"/>
    <s v="Down"/>
    <x v="1"/>
    <s v="Swallowtail Shiner"/>
    <s v="Notropis"/>
    <s v="gibbosus"/>
    <s v="U"/>
    <x v="0"/>
    <n v="8"/>
    <n v="11.81"/>
    <x v="21"/>
    <s v="777011-38-8"/>
    <x v="21"/>
    <n v="0.1295"/>
  </r>
  <r>
    <s v="GC022-JBA-08162021"/>
    <s v="Down"/>
    <x v="1"/>
    <s v="Swallowtail Shiner"/>
    <s v="Notropis"/>
    <s v="gibbosus"/>
    <s v="U"/>
    <x v="0"/>
    <n v="8"/>
    <n v="11.81"/>
    <x v="22"/>
    <s v="646-83-3"/>
    <x v="22"/>
    <n v="8.5000000000000006E-2"/>
  </r>
  <r>
    <s v="GC022-JBA-08162021"/>
    <s v="Down"/>
    <x v="1"/>
    <s v="Swallowtail Shiner"/>
    <s v="Notropis"/>
    <s v="gibbosus"/>
    <s v="U"/>
    <x v="0"/>
    <n v="8"/>
    <n v="11.81"/>
    <x v="23"/>
    <s v="30334-69-1"/>
    <x v="23"/>
    <n v="470"/>
  </r>
  <r>
    <s v="GC022-JBA-08162021"/>
    <s v="Down"/>
    <x v="1"/>
    <s v="Swallowtail Shiner"/>
    <s v="Notropis"/>
    <s v="gibbosus"/>
    <s v="U"/>
    <x v="0"/>
    <n v="8"/>
    <n v="11.81"/>
    <x v="24"/>
    <s v="41997-13-1"/>
    <x v="24"/>
    <n v="1440"/>
  </r>
  <r>
    <s v="GC022-JBA-08162021"/>
    <s v="Down"/>
    <x v="1"/>
    <s v="Swallowtail Shiner"/>
    <s v="Notropis"/>
    <s v="gibbosus"/>
    <s v="U"/>
    <x v="0"/>
    <n v="8"/>
    <n v="11.81"/>
    <x v="25"/>
    <s v="754-91-6"/>
    <x v="25"/>
    <n v="45.7"/>
  </r>
  <r>
    <s v="GC022-JBA-08162021"/>
    <s v="Down"/>
    <x v="1"/>
    <s v="Swallowtail Shiner"/>
    <s v="Notropis"/>
    <s v="gibbosus"/>
    <s v="U"/>
    <x v="0"/>
    <n v="8"/>
    <n v="11.81"/>
    <x v="26"/>
    <s v="31506-32-8"/>
    <x v="26"/>
    <n v="0.16400000000000001"/>
  </r>
  <r>
    <s v="GC022-JBA-08162021"/>
    <s v="Down"/>
    <x v="1"/>
    <s v="Swallowtail Shiner"/>
    <s v="Notropis"/>
    <s v="gibbosus"/>
    <s v="U"/>
    <x v="0"/>
    <n v="8"/>
    <n v="11.81"/>
    <x v="27"/>
    <s v="4151-50-2"/>
    <x v="27"/>
    <n v="0.42599999999999999"/>
  </r>
  <r>
    <s v="GC022-JBA-08162021"/>
    <s v="Down"/>
    <x v="1"/>
    <s v="Swallowtail Shiner"/>
    <s v="Notropis"/>
    <s v="gibbosus"/>
    <s v="U"/>
    <x v="0"/>
    <n v="8"/>
    <n v="11.81"/>
    <x v="28"/>
    <s v="2806-24-8"/>
    <x v="28"/>
    <n v="0.42599999999999999"/>
  </r>
  <r>
    <s v="GC022-JBA-08162021"/>
    <s v="Down"/>
    <x v="1"/>
    <s v="Swallowtail Shiner"/>
    <s v="Notropis"/>
    <s v="gibbosus"/>
    <s v="U"/>
    <x v="0"/>
    <n v="8"/>
    <n v="11.81"/>
    <x v="29"/>
    <s v="2355-31-9"/>
    <x v="29"/>
    <n v="0.2145"/>
  </r>
  <r>
    <s v="GC022-JBA-08162021"/>
    <s v="Down"/>
    <x v="1"/>
    <s v="Swallowtail Shiner"/>
    <s v="Notropis"/>
    <s v="gibbosus"/>
    <s v="U"/>
    <x v="0"/>
    <n v="8"/>
    <n v="11.81"/>
    <x v="30"/>
    <s v="2991-50-6"/>
    <x v="30"/>
    <n v="0.21299999999999999"/>
  </r>
  <r>
    <s v="GC022-JBA-08162021"/>
    <s v="Down"/>
    <x v="1"/>
    <s v="Swallowtail Shiner"/>
    <s v="Notropis"/>
    <s v="gibbosus"/>
    <s v="U"/>
    <x v="0"/>
    <n v="8"/>
    <n v="11.81"/>
    <x v="31"/>
    <s v="757124-72-4"/>
    <x v="31"/>
    <n v="0.21299999999999999"/>
  </r>
  <r>
    <s v="GC022-JBA-08162021"/>
    <s v="Down"/>
    <x v="1"/>
    <s v="Swallowtail Shiner"/>
    <s v="Notropis"/>
    <s v="gibbosus"/>
    <s v="U"/>
    <x v="0"/>
    <n v="8"/>
    <n v="11.81"/>
    <x v="32"/>
    <s v="27619-97-2"/>
    <x v="32"/>
    <n v="0.71499999999999997"/>
  </r>
  <r>
    <s v="GC022-JBA-08162021"/>
    <s v="Down"/>
    <x v="1"/>
    <s v="Swallowtail Shiner"/>
    <s v="Notropis"/>
    <s v="gibbosus"/>
    <s v="U"/>
    <x v="0"/>
    <n v="8"/>
    <n v="11.81"/>
    <x v="33"/>
    <s v="39108-34-4"/>
    <x v="33"/>
    <n v="9.0399999999999991"/>
  </r>
  <r>
    <s v="GC022-JBA-08162021"/>
    <s v="Down"/>
    <x v="1"/>
    <s v="Swallowtail Shiner"/>
    <s v="Notropis"/>
    <s v="gibbosus"/>
    <s v="U"/>
    <x v="0"/>
    <n v="8"/>
    <n v="11.81"/>
    <x v="34"/>
    <s v="120226-60-0"/>
    <x v="34"/>
    <n v="0.42599999999999999"/>
  </r>
  <r>
    <s v="GC022-JBA-08162021"/>
    <s v="Down"/>
    <x v="1"/>
    <s v="Swallowtail Shiner"/>
    <s v="Notropis"/>
    <s v="gibbosus"/>
    <s v="U"/>
    <x v="0"/>
    <n v="8"/>
    <n v="11.81"/>
    <x v="35"/>
    <s v="356-02-5"/>
    <x v="35"/>
    <n v="0.2455"/>
  </r>
  <r>
    <s v="GC022-JBA-08162021"/>
    <s v="Down"/>
    <x v="1"/>
    <s v="Swallowtail Shiner"/>
    <s v="Notropis"/>
    <s v="gibbosus"/>
    <s v="U"/>
    <x v="0"/>
    <n v="8"/>
    <n v="11.81"/>
    <x v="36"/>
    <s v="914637-49-3"/>
    <x v="36"/>
    <n v="0.68700000000000006"/>
  </r>
  <r>
    <s v="GC022-JBA-08162021"/>
    <s v="Down"/>
    <x v="1"/>
    <s v="Swallowtail Shiner"/>
    <s v="Notropis"/>
    <s v="gibbosus"/>
    <s v="U"/>
    <x v="0"/>
    <n v="8"/>
    <n v="11.81"/>
    <x v="37"/>
    <s v="812-70-4"/>
    <x v="37"/>
    <n v="0.21299999999999999"/>
  </r>
  <r>
    <s v="GC022-JBA-08162021"/>
    <s v="Down"/>
    <x v="1"/>
    <s v="Swallowtail Shiner"/>
    <s v="Notropis"/>
    <s v="gibbosus"/>
    <s v="U"/>
    <x v="0"/>
    <n v="8"/>
    <n v="11.81"/>
    <x v="38"/>
    <s v="53826-12-3"/>
    <x v="38"/>
    <n v="0.42599999999999999"/>
  </r>
  <r>
    <s v="GC022-JBA-08162021"/>
    <s v="Down"/>
    <x v="1"/>
    <s v="Swallowtail Shiner"/>
    <s v="Notropis"/>
    <s v="gibbosus"/>
    <s v="U"/>
    <x v="0"/>
    <n v="8"/>
    <n v="11.81"/>
    <x v="39"/>
    <s v="27854-31-5"/>
    <x v="39"/>
    <n v="0.42599999999999999"/>
  </r>
  <r>
    <s v="GC022-JBA-08162021"/>
    <s v="Down"/>
    <x v="1"/>
    <s v="Swallowtail Shiner"/>
    <s v="Notropis"/>
    <s v="gibbosus"/>
    <s v="U"/>
    <x v="0"/>
    <n v="8"/>
    <n v="11.81"/>
    <x v="40"/>
    <s v="53826-13-4"/>
    <x v="40"/>
    <n v="0.42599999999999999"/>
  </r>
  <r>
    <s v="GC022-JBA-08162021"/>
    <s v="Down"/>
    <x v="1"/>
    <s v="Swallowtail Shiner"/>
    <s v="Notropis"/>
    <s v="gibbosus"/>
    <s v="U"/>
    <x v="0"/>
    <n v="8"/>
    <n v="11.81"/>
    <x v="41"/>
    <s v="161094-75-3"/>
    <x v="41"/>
    <n v="0.42599999999999999"/>
  </r>
  <r>
    <s v="GC022-JBA-08162021"/>
    <s v="Down"/>
    <x v="1"/>
    <s v="Swallowtail Shiner"/>
    <s v="Notropis"/>
    <s v="gibbosus"/>
    <s v="U"/>
    <x v="0"/>
    <n v="8"/>
    <n v="11.81"/>
    <x v="42"/>
    <s v="70887-84-2"/>
    <x v="42"/>
    <n v="0.42599999999999999"/>
  </r>
  <r>
    <s v="GC022-JBA-08162021"/>
    <s v="Down"/>
    <x v="1"/>
    <s v="Swallowtail Shiner"/>
    <s v="Notropis"/>
    <s v="gibbosus"/>
    <s v="U"/>
    <x v="0"/>
    <n v="8"/>
    <n v="11.81"/>
    <x v="43"/>
    <s v="919005-14-4"/>
    <x v="43"/>
    <n v="0.21299999999999999"/>
  </r>
  <r>
    <s v="GC022-JBA-08162021"/>
    <s v="Down"/>
    <x v="1"/>
    <s v="Swallowtail Shiner"/>
    <s v="Notropis"/>
    <s v="gibbosus"/>
    <s v="U"/>
    <x v="0"/>
    <n v="8"/>
    <n v="11.81"/>
    <x v="44"/>
    <s v="756426-58-1"/>
    <x v="44"/>
    <n v="0.42599999999999999"/>
  </r>
  <r>
    <s v="GC022-JBA-08162021"/>
    <s v="Down"/>
    <x v="1"/>
    <s v="Swallowtail Shiner"/>
    <s v="Notropis"/>
    <s v="gibbosus"/>
    <s v="U"/>
    <x v="0"/>
    <n v="8"/>
    <n v="11.81"/>
    <x v="45"/>
    <s v="763051-92-9"/>
    <x v="45"/>
    <n v="0.42599999999999999"/>
  </r>
  <r>
    <s v="GC022-JBA-08162021"/>
    <s v="Down"/>
    <x v="1"/>
    <s v="Swallowtail Shiner"/>
    <s v="Notropis"/>
    <s v="gibbosus"/>
    <s v="U"/>
    <x v="0"/>
    <n v="8"/>
    <n v="11.81"/>
    <x v="46"/>
    <s v="13252-13-6"/>
    <x v="46"/>
    <n v="0.30549999999999999"/>
  </r>
  <r>
    <s v="GC022-JBA-08162021"/>
    <s v="Down"/>
    <x v="1"/>
    <s v="Swallowtail Shiner"/>
    <s v="Notropis"/>
    <s v="gibbosus"/>
    <s v="U"/>
    <x v="0"/>
    <n v="8"/>
    <n v="11.81"/>
    <x v="47"/>
    <s v="57677-95-9"/>
    <x v="47"/>
    <n v="0.42599999999999999"/>
  </r>
  <r>
    <s v="GC022-JBA-08162021"/>
    <s v="Down"/>
    <x v="1"/>
    <s v="Swallowtail Shiner"/>
    <s v="Notropis"/>
    <s v="gibbosus"/>
    <s v="U"/>
    <x v="0"/>
    <n v="8"/>
    <n v="11.81"/>
    <x v="48"/>
    <s v="678-41-1"/>
    <x v="48"/>
    <n v="0.42599999999999999"/>
  </r>
  <r>
    <s v="GC022-JBA-08162021"/>
    <s v="Down"/>
    <x v="1"/>
    <s v="Swallowtail Shiner"/>
    <s v="Notropis"/>
    <s v="gibbosus"/>
    <s v="U"/>
    <x v="0"/>
    <n v="8"/>
    <n v="11.81"/>
    <x v="49"/>
    <s v="2965-52-8"/>
    <x v="49"/>
    <n v="0.42599999999999999"/>
  </r>
  <r>
    <s v="GC023-JBA-08162021"/>
    <s v="Down"/>
    <x v="1"/>
    <s v="Swallowtail Shiner"/>
    <s v="Notropis"/>
    <s v="gibbosus"/>
    <s v="U"/>
    <x v="0"/>
    <n v="8"/>
    <n v="11.81"/>
    <x v="0"/>
    <s v="375-22-4"/>
    <x v="0"/>
    <n v="0.224"/>
  </r>
  <r>
    <s v="GC023-JBA-08162021"/>
    <s v="Down"/>
    <x v="1"/>
    <s v="Swallowtail Shiner"/>
    <s v="Notropis"/>
    <s v="gibbosus"/>
    <s v="U"/>
    <x v="0"/>
    <n v="8"/>
    <n v="11.81"/>
    <x v="1"/>
    <s v="2706-90-3"/>
    <x v="1"/>
    <n v="0.224"/>
  </r>
  <r>
    <s v="GC023-JBA-08162021"/>
    <s v="Down"/>
    <x v="1"/>
    <s v="Swallowtail Shiner"/>
    <s v="Notropis"/>
    <s v="gibbosus"/>
    <s v="U"/>
    <x v="0"/>
    <n v="8"/>
    <n v="11.81"/>
    <x v="2"/>
    <s v="307-24-4"/>
    <x v="2"/>
    <n v="0.121"/>
  </r>
  <r>
    <s v="GC023-JBA-08162021"/>
    <s v="Down"/>
    <x v="1"/>
    <s v="Swallowtail Shiner"/>
    <s v="Notropis"/>
    <s v="gibbosus"/>
    <s v="U"/>
    <x v="0"/>
    <n v="8"/>
    <n v="11.81"/>
    <x v="3"/>
    <s v="375-85-9"/>
    <x v="3"/>
    <n v="0.224"/>
  </r>
  <r>
    <s v="GC023-JBA-08162021"/>
    <s v="Down"/>
    <x v="1"/>
    <s v="Swallowtail Shiner"/>
    <s v="Notropis"/>
    <s v="gibbosus"/>
    <s v="U"/>
    <x v="0"/>
    <n v="8"/>
    <n v="11.81"/>
    <x v="4"/>
    <s v="335-67-1"/>
    <x v="4"/>
    <n v="1.2"/>
  </r>
  <r>
    <s v="GC023-JBA-08162021"/>
    <s v="Down"/>
    <x v="1"/>
    <s v="Swallowtail Shiner"/>
    <s v="Notropis"/>
    <s v="gibbosus"/>
    <s v="U"/>
    <x v="0"/>
    <n v="8"/>
    <n v="11.81"/>
    <x v="5"/>
    <s v="375-95-1"/>
    <x v="5"/>
    <n v="1.03"/>
  </r>
  <r>
    <s v="GC023-JBA-08162021"/>
    <s v="Down"/>
    <x v="1"/>
    <s v="Swallowtail Shiner"/>
    <s v="Notropis"/>
    <s v="gibbosus"/>
    <s v="U"/>
    <x v="0"/>
    <n v="8"/>
    <n v="11.81"/>
    <x v="6"/>
    <s v="335-76-2"/>
    <x v="6"/>
    <n v="3.07"/>
  </r>
  <r>
    <s v="GC023-JBA-08162021"/>
    <s v="Down"/>
    <x v="1"/>
    <s v="Swallowtail Shiner"/>
    <s v="Notropis"/>
    <s v="gibbosus"/>
    <s v="U"/>
    <x v="0"/>
    <n v="8"/>
    <n v="11.81"/>
    <x v="7"/>
    <s v="2058-94-8"/>
    <x v="7"/>
    <n v="2.4"/>
  </r>
  <r>
    <s v="GC023-JBA-08162021"/>
    <s v="Down"/>
    <x v="1"/>
    <s v="Swallowtail Shiner"/>
    <s v="Notropis"/>
    <s v="gibbosus"/>
    <s v="U"/>
    <x v="0"/>
    <n v="8"/>
    <n v="11.81"/>
    <x v="8"/>
    <s v="307-55-1"/>
    <x v="8"/>
    <n v="3.86"/>
  </r>
  <r>
    <s v="GC023-JBA-08162021"/>
    <s v="Down"/>
    <x v="1"/>
    <s v="Swallowtail Shiner"/>
    <s v="Notropis"/>
    <s v="gibbosus"/>
    <s v="U"/>
    <x v="0"/>
    <n v="8"/>
    <n v="11.81"/>
    <x v="9"/>
    <s v="72629-94-8"/>
    <x v="9"/>
    <n v="2.2400000000000002"/>
  </r>
  <r>
    <s v="GC023-JBA-08162021"/>
    <s v="Down"/>
    <x v="1"/>
    <s v="Swallowtail Shiner"/>
    <s v="Notropis"/>
    <s v="gibbosus"/>
    <s v="U"/>
    <x v="0"/>
    <n v="8"/>
    <n v="11.81"/>
    <x v="10"/>
    <s v="376-06-7"/>
    <x v="10"/>
    <n v="1.76"/>
  </r>
  <r>
    <s v="GC023-JBA-08162021"/>
    <s v="Down"/>
    <x v="1"/>
    <s v="Swallowtail Shiner"/>
    <s v="Notropis"/>
    <s v="gibbosus"/>
    <s v="U"/>
    <x v="0"/>
    <n v="8"/>
    <n v="11.81"/>
    <x v="11"/>
    <s v="67905-19-5"/>
    <x v="11"/>
    <n v="0.26700000000000002"/>
  </r>
  <r>
    <s v="GC023-JBA-08162021"/>
    <s v="Down"/>
    <x v="1"/>
    <s v="Swallowtail Shiner"/>
    <s v="Notropis"/>
    <s v="gibbosus"/>
    <s v="U"/>
    <x v="0"/>
    <n v="8"/>
    <n v="11.81"/>
    <x v="12"/>
    <s v="423-41-6"/>
    <x v="12"/>
    <n v="0.44800000000000001"/>
  </r>
  <r>
    <s v="GC023-JBA-08162021"/>
    <s v="Down"/>
    <x v="1"/>
    <s v="Swallowtail Shiner"/>
    <s v="Notropis"/>
    <s v="gibbosus"/>
    <s v="U"/>
    <x v="0"/>
    <n v="8"/>
    <n v="11.81"/>
    <x v="13"/>
    <s v="375-73-5"/>
    <x v="13"/>
    <n v="0.1525"/>
  </r>
  <r>
    <s v="GC023-JBA-08162021"/>
    <s v="Down"/>
    <x v="1"/>
    <s v="Swallowtail Shiner"/>
    <s v="Notropis"/>
    <s v="gibbosus"/>
    <s v="U"/>
    <x v="0"/>
    <n v="8"/>
    <n v="11.81"/>
    <x v="14"/>
    <s v="2706-91-4"/>
    <x v="14"/>
    <n v="0.373"/>
  </r>
  <r>
    <s v="GC023-JBA-08162021"/>
    <s v="Down"/>
    <x v="1"/>
    <s v="Swallowtail Shiner"/>
    <s v="Notropis"/>
    <s v="gibbosus"/>
    <s v="U"/>
    <x v="0"/>
    <n v="8"/>
    <n v="11.81"/>
    <x v="15"/>
    <s v="355-46-4"/>
    <x v="15"/>
    <n v="39.4"/>
  </r>
  <r>
    <s v="GC023-JBA-08162021"/>
    <s v="Down"/>
    <x v="1"/>
    <s v="Swallowtail Shiner"/>
    <s v="Notropis"/>
    <s v="gibbosus"/>
    <s v="U"/>
    <x v="0"/>
    <n v="8"/>
    <n v="11.81"/>
    <x v="16"/>
    <s v="375-92-8"/>
    <x v="16"/>
    <n v="3.02"/>
  </r>
  <r>
    <s v="GC023-JBA-08162021"/>
    <s v="Down"/>
    <x v="1"/>
    <s v="Swallowtail Shiner"/>
    <s v="Notropis"/>
    <s v="gibbosus"/>
    <s v="U"/>
    <x v="0"/>
    <n v="8"/>
    <n v="11.81"/>
    <x v="17"/>
    <s v="1763-23-1"/>
    <x v="17"/>
    <n v="380"/>
  </r>
  <r>
    <s v="GC023-JBA-08162021"/>
    <s v="Down"/>
    <x v="1"/>
    <s v="Swallowtail Shiner"/>
    <s v="Notropis"/>
    <s v="gibbosus"/>
    <s v="U"/>
    <x v="0"/>
    <n v="8"/>
    <n v="11.81"/>
    <x v="18"/>
    <s v="68259-12-1"/>
    <x v="18"/>
    <n v="0.224"/>
  </r>
  <r>
    <s v="GC023-JBA-08162021"/>
    <s v="Down"/>
    <x v="1"/>
    <s v="Swallowtail Shiner"/>
    <s v="Notropis"/>
    <s v="gibbosus"/>
    <s v="U"/>
    <x v="0"/>
    <n v="8"/>
    <n v="11.81"/>
    <x v="19"/>
    <s v="335-77-3"/>
    <x v="19"/>
    <n v="0.224"/>
  </r>
  <r>
    <s v="GC023-JBA-08162021"/>
    <s v="Down"/>
    <x v="1"/>
    <s v="Swallowtail Shiner"/>
    <s v="Notropis"/>
    <s v="gibbosus"/>
    <s v="U"/>
    <x v="0"/>
    <n v="8"/>
    <n v="11.81"/>
    <x v="20"/>
    <s v="79780-39-5"/>
    <x v="20"/>
    <n v="0.23949999999999999"/>
  </r>
  <r>
    <s v="GC023-JBA-08162021"/>
    <s v="Down"/>
    <x v="1"/>
    <s v="Swallowtail Shiner"/>
    <s v="Notropis"/>
    <s v="gibbosus"/>
    <s v="U"/>
    <x v="0"/>
    <n v="8"/>
    <n v="11.81"/>
    <x v="21"/>
    <s v="777011-38-8"/>
    <x v="21"/>
    <n v="0.13600000000000001"/>
  </r>
  <r>
    <s v="GC023-JBA-08162021"/>
    <s v="Down"/>
    <x v="1"/>
    <s v="Swallowtail Shiner"/>
    <s v="Notropis"/>
    <s v="gibbosus"/>
    <s v="U"/>
    <x v="0"/>
    <n v="8"/>
    <n v="11.81"/>
    <x v="22"/>
    <s v="646-83-3"/>
    <x v="22"/>
    <n v="8.9499999999999996E-2"/>
  </r>
  <r>
    <s v="GC023-JBA-08162021"/>
    <s v="Down"/>
    <x v="1"/>
    <s v="Swallowtail Shiner"/>
    <s v="Notropis"/>
    <s v="gibbosus"/>
    <s v="U"/>
    <x v="0"/>
    <n v="8"/>
    <n v="11.81"/>
    <x v="23"/>
    <s v="30334-69-1"/>
    <x v="23"/>
    <n v="76.099999999999994"/>
  </r>
  <r>
    <s v="GC023-JBA-08162021"/>
    <s v="Down"/>
    <x v="1"/>
    <s v="Swallowtail Shiner"/>
    <s v="Notropis"/>
    <s v="gibbosus"/>
    <s v="U"/>
    <x v="0"/>
    <n v="8"/>
    <n v="11.81"/>
    <x v="24"/>
    <s v="41997-13-1"/>
    <x v="24"/>
    <n v="416"/>
  </r>
  <r>
    <s v="GC023-JBA-08162021"/>
    <s v="Down"/>
    <x v="1"/>
    <s v="Swallowtail Shiner"/>
    <s v="Notropis"/>
    <s v="gibbosus"/>
    <s v="U"/>
    <x v="0"/>
    <n v="8"/>
    <n v="11.81"/>
    <x v="25"/>
    <s v="754-91-6"/>
    <x v="25"/>
    <n v="14.2"/>
  </r>
  <r>
    <s v="GC023-JBA-08162021"/>
    <s v="Down"/>
    <x v="1"/>
    <s v="Swallowtail Shiner"/>
    <s v="Notropis"/>
    <s v="gibbosus"/>
    <s v="U"/>
    <x v="0"/>
    <n v="8"/>
    <n v="11.81"/>
    <x v="26"/>
    <s v="31506-32-8"/>
    <x v="26"/>
    <n v="0.17249999999999999"/>
  </r>
  <r>
    <s v="GC023-JBA-08162021"/>
    <s v="Down"/>
    <x v="1"/>
    <s v="Swallowtail Shiner"/>
    <s v="Notropis"/>
    <s v="gibbosus"/>
    <s v="U"/>
    <x v="0"/>
    <n v="8"/>
    <n v="11.81"/>
    <x v="27"/>
    <s v="4151-50-2"/>
    <x v="27"/>
    <n v="0.44800000000000001"/>
  </r>
  <r>
    <s v="GC023-JBA-08162021"/>
    <s v="Down"/>
    <x v="1"/>
    <s v="Swallowtail Shiner"/>
    <s v="Notropis"/>
    <s v="gibbosus"/>
    <s v="U"/>
    <x v="0"/>
    <n v="8"/>
    <n v="11.81"/>
    <x v="28"/>
    <s v="2806-24-8"/>
    <x v="28"/>
    <n v="0.44800000000000001"/>
  </r>
  <r>
    <s v="GC023-JBA-08162021"/>
    <s v="Down"/>
    <x v="1"/>
    <s v="Swallowtail Shiner"/>
    <s v="Notropis"/>
    <s v="gibbosus"/>
    <s v="U"/>
    <x v="0"/>
    <n v="8"/>
    <n v="11.81"/>
    <x v="29"/>
    <s v="2355-31-9"/>
    <x v="29"/>
    <n v="0.22500000000000001"/>
  </r>
  <r>
    <s v="GC023-JBA-08162021"/>
    <s v="Down"/>
    <x v="1"/>
    <s v="Swallowtail Shiner"/>
    <s v="Notropis"/>
    <s v="gibbosus"/>
    <s v="U"/>
    <x v="0"/>
    <n v="8"/>
    <n v="11.81"/>
    <x v="30"/>
    <s v="2991-50-6"/>
    <x v="30"/>
    <n v="0.224"/>
  </r>
  <r>
    <s v="GC023-JBA-08162021"/>
    <s v="Down"/>
    <x v="1"/>
    <s v="Swallowtail Shiner"/>
    <s v="Notropis"/>
    <s v="gibbosus"/>
    <s v="U"/>
    <x v="0"/>
    <n v="8"/>
    <n v="11.81"/>
    <x v="31"/>
    <s v="757124-72-4"/>
    <x v="31"/>
    <n v="0.224"/>
  </r>
  <r>
    <s v="GC023-JBA-08162021"/>
    <s v="Down"/>
    <x v="1"/>
    <s v="Swallowtail Shiner"/>
    <s v="Notropis"/>
    <s v="gibbosus"/>
    <s v="U"/>
    <x v="0"/>
    <n v="8"/>
    <n v="11.81"/>
    <x v="32"/>
    <s v="27619-97-2"/>
    <x v="32"/>
    <n v="0.60099999999999998"/>
  </r>
  <r>
    <s v="GC023-JBA-08162021"/>
    <s v="Down"/>
    <x v="1"/>
    <s v="Swallowtail Shiner"/>
    <s v="Notropis"/>
    <s v="gibbosus"/>
    <s v="U"/>
    <x v="0"/>
    <n v="8"/>
    <n v="11.81"/>
    <x v="33"/>
    <s v="39108-34-4"/>
    <x v="33"/>
    <n v="12"/>
  </r>
  <r>
    <s v="GC023-JBA-08162021"/>
    <s v="Down"/>
    <x v="1"/>
    <s v="Swallowtail Shiner"/>
    <s v="Notropis"/>
    <s v="gibbosus"/>
    <s v="U"/>
    <x v="0"/>
    <n v="8"/>
    <n v="11.81"/>
    <x v="34"/>
    <s v="120226-60-0"/>
    <x v="34"/>
    <n v="0.44800000000000001"/>
  </r>
  <r>
    <s v="GC023-JBA-08162021"/>
    <s v="Down"/>
    <x v="1"/>
    <s v="Swallowtail Shiner"/>
    <s v="Notropis"/>
    <s v="gibbosus"/>
    <s v="U"/>
    <x v="0"/>
    <n v="8"/>
    <n v="11.81"/>
    <x v="35"/>
    <s v="356-02-5"/>
    <x v="35"/>
    <n v="0.25800000000000001"/>
  </r>
  <r>
    <s v="GC023-JBA-08162021"/>
    <s v="Down"/>
    <x v="1"/>
    <s v="Swallowtail Shiner"/>
    <s v="Notropis"/>
    <s v="gibbosus"/>
    <s v="U"/>
    <x v="0"/>
    <n v="8"/>
    <n v="11.81"/>
    <x v="36"/>
    <s v="914637-49-3"/>
    <x v="36"/>
    <n v="2.72"/>
  </r>
  <r>
    <s v="GC023-JBA-08162021"/>
    <s v="Down"/>
    <x v="1"/>
    <s v="Swallowtail Shiner"/>
    <s v="Notropis"/>
    <s v="gibbosus"/>
    <s v="U"/>
    <x v="0"/>
    <n v="8"/>
    <n v="11.81"/>
    <x v="37"/>
    <s v="812-70-4"/>
    <x v="37"/>
    <n v="13.7"/>
  </r>
  <r>
    <s v="GC023-JBA-08162021"/>
    <s v="Down"/>
    <x v="1"/>
    <s v="Swallowtail Shiner"/>
    <s v="Notropis"/>
    <s v="gibbosus"/>
    <s v="U"/>
    <x v="0"/>
    <n v="8"/>
    <n v="11.81"/>
    <x v="38"/>
    <s v="53826-12-3"/>
    <x v="38"/>
    <n v="0.44800000000000001"/>
  </r>
  <r>
    <s v="GC023-JBA-08162021"/>
    <s v="Down"/>
    <x v="1"/>
    <s v="Swallowtail Shiner"/>
    <s v="Notropis"/>
    <s v="gibbosus"/>
    <s v="U"/>
    <x v="0"/>
    <n v="8"/>
    <n v="11.81"/>
    <x v="39"/>
    <s v="27854-31-5"/>
    <x v="39"/>
    <n v="0.44800000000000001"/>
  </r>
  <r>
    <s v="GC023-JBA-08162021"/>
    <s v="Down"/>
    <x v="1"/>
    <s v="Swallowtail Shiner"/>
    <s v="Notropis"/>
    <s v="gibbosus"/>
    <s v="U"/>
    <x v="0"/>
    <n v="8"/>
    <n v="11.81"/>
    <x v="40"/>
    <s v="53826-13-4"/>
    <x v="40"/>
    <n v="0.44800000000000001"/>
  </r>
  <r>
    <s v="GC023-JBA-08162021"/>
    <s v="Down"/>
    <x v="1"/>
    <s v="Swallowtail Shiner"/>
    <s v="Notropis"/>
    <s v="gibbosus"/>
    <s v="U"/>
    <x v="0"/>
    <n v="8"/>
    <n v="11.81"/>
    <x v="41"/>
    <s v="161094-75-3"/>
    <x v="41"/>
    <n v="0.44800000000000001"/>
  </r>
  <r>
    <s v="GC023-JBA-08162021"/>
    <s v="Down"/>
    <x v="1"/>
    <s v="Swallowtail Shiner"/>
    <s v="Notropis"/>
    <s v="gibbosus"/>
    <s v="U"/>
    <x v="0"/>
    <n v="8"/>
    <n v="11.81"/>
    <x v="42"/>
    <s v="70887-84-2"/>
    <x v="42"/>
    <n v="0.44800000000000001"/>
  </r>
  <r>
    <s v="GC023-JBA-08162021"/>
    <s v="Down"/>
    <x v="1"/>
    <s v="Swallowtail Shiner"/>
    <s v="Notropis"/>
    <s v="gibbosus"/>
    <s v="U"/>
    <x v="0"/>
    <n v="8"/>
    <n v="11.81"/>
    <x v="43"/>
    <s v="919005-14-4"/>
    <x v="43"/>
    <n v="0.224"/>
  </r>
  <r>
    <s v="GC023-JBA-08162021"/>
    <s v="Down"/>
    <x v="1"/>
    <s v="Swallowtail Shiner"/>
    <s v="Notropis"/>
    <s v="gibbosus"/>
    <s v="U"/>
    <x v="0"/>
    <n v="8"/>
    <n v="11.81"/>
    <x v="44"/>
    <s v="756426-58-1"/>
    <x v="44"/>
    <n v="0.44800000000000001"/>
  </r>
  <r>
    <s v="GC023-JBA-08162021"/>
    <s v="Down"/>
    <x v="1"/>
    <s v="Swallowtail Shiner"/>
    <s v="Notropis"/>
    <s v="gibbosus"/>
    <s v="U"/>
    <x v="0"/>
    <n v="8"/>
    <n v="11.81"/>
    <x v="45"/>
    <s v="763051-92-9"/>
    <x v="45"/>
    <n v="0.44800000000000001"/>
  </r>
  <r>
    <s v="GC023-JBA-08162021"/>
    <s v="Down"/>
    <x v="1"/>
    <s v="Swallowtail Shiner"/>
    <s v="Notropis"/>
    <s v="gibbosus"/>
    <s v="U"/>
    <x v="0"/>
    <n v="8"/>
    <n v="11.81"/>
    <x v="46"/>
    <s v="13252-13-6"/>
    <x v="46"/>
    <n v="0.32150000000000001"/>
  </r>
  <r>
    <s v="GC023-JBA-08162021"/>
    <s v="Down"/>
    <x v="1"/>
    <s v="Swallowtail Shiner"/>
    <s v="Notropis"/>
    <s v="gibbosus"/>
    <s v="U"/>
    <x v="0"/>
    <n v="8"/>
    <n v="11.81"/>
    <x v="47"/>
    <s v="57677-95-9"/>
    <x v="47"/>
    <n v="0.44800000000000001"/>
  </r>
  <r>
    <s v="GC023-JBA-08162021"/>
    <s v="Down"/>
    <x v="1"/>
    <s v="Swallowtail Shiner"/>
    <s v="Notropis"/>
    <s v="gibbosus"/>
    <s v="U"/>
    <x v="0"/>
    <n v="8"/>
    <n v="11.81"/>
    <x v="48"/>
    <s v="678-41-1"/>
    <x v="48"/>
    <n v="0.44800000000000001"/>
  </r>
  <r>
    <s v="GC023-JBA-08162021"/>
    <s v="Down"/>
    <x v="1"/>
    <s v="Swallowtail Shiner"/>
    <s v="Notropis"/>
    <s v="gibbosus"/>
    <s v="U"/>
    <x v="0"/>
    <n v="8"/>
    <n v="11.81"/>
    <x v="49"/>
    <s v="2965-52-8"/>
    <x v="49"/>
    <n v="0.44800000000000001"/>
  </r>
  <r>
    <s v="GC024-JBA-08162021"/>
    <s v="Down"/>
    <x v="1"/>
    <s v="Swallowtail Shiner"/>
    <s v="Notropis"/>
    <s v="gibbosus"/>
    <s v="U"/>
    <x v="0"/>
    <n v="8"/>
    <n v="11.81"/>
    <x v="0"/>
    <s v="375-22-4"/>
    <x v="0"/>
    <n v="0.248"/>
  </r>
  <r>
    <s v="GC024-JBA-08162021"/>
    <s v="Down"/>
    <x v="1"/>
    <s v="Swallowtail Shiner"/>
    <s v="Notropis"/>
    <s v="gibbosus"/>
    <s v="U"/>
    <x v="0"/>
    <n v="8"/>
    <n v="11.81"/>
    <x v="1"/>
    <s v="2706-90-3"/>
    <x v="1"/>
    <n v="0.248"/>
  </r>
  <r>
    <s v="GC024-JBA-08162021"/>
    <s v="Down"/>
    <x v="1"/>
    <s v="Swallowtail Shiner"/>
    <s v="Notropis"/>
    <s v="gibbosus"/>
    <s v="U"/>
    <x v="0"/>
    <n v="8"/>
    <n v="11.81"/>
    <x v="2"/>
    <s v="307-24-4"/>
    <x v="2"/>
    <n v="0.96499999999999997"/>
  </r>
  <r>
    <s v="GC024-JBA-08162021"/>
    <s v="Down"/>
    <x v="1"/>
    <s v="Swallowtail Shiner"/>
    <s v="Notropis"/>
    <s v="gibbosus"/>
    <s v="U"/>
    <x v="0"/>
    <n v="8"/>
    <n v="11.81"/>
    <x v="3"/>
    <s v="375-85-9"/>
    <x v="3"/>
    <n v="0.248"/>
  </r>
  <r>
    <s v="GC024-JBA-08162021"/>
    <s v="Down"/>
    <x v="1"/>
    <s v="Swallowtail Shiner"/>
    <s v="Notropis"/>
    <s v="gibbosus"/>
    <s v="U"/>
    <x v="0"/>
    <n v="8"/>
    <n v="11.81"/>
    <x v="4"/>
    <s v="335-67-1"/>
    <x v="4"/>
    <n v="2.3199999999999998"/>
  </r>
  <r>
    <s v="GC024-JBA-08162021"/>
    <s v="Down"/>
    <x v="1"/>
    <s v="Swallowtail Shiner"/>
    <s v="Notropis"/>
    <s v="gibbosus"/>
    <s v="U"/>
    <x v="0"/>
    <n v="8"/>
    <n v="11.81"/>
    <x v="5"/>
    <s v="375-95-1"/>
    <x v="5"/>
    <n v="2.19"/>
  </r>
  <r>
    <s v="GC024-JBA-08162021"/>
    <s v="Down"/>
    <x v="1"/>
    <s v="Swallowtail Shiner"/>
    <s v="Notropis"/>
    <s v="gibbosus"/>
    <s v="U"/>
    <x v="0"/>
    <n v="8"/>
    <n v="11.81"/>
    <x v="6"/>
    <s v="335-76-2"/>
    <x v="6"/>
    <n v="2.41"/>
  </r>
  <r>
    <s v="GC024-JBA-08162021"/>
    <s v="Down"/>
    <x v="1"/>
    <s v="Swallowtail Shiner"/>
    <s v="Notropis"/>
    <s v="gibbosus"/>
    <s v="U"/>
    <x v="0"/>
    <n v="8"/>
    <n v="11.81"/>
    <x v="7"/>
    <s v="2058-94-8"/>
    <x v="7"/>
    <n v="3.11"/>
  </r>
  <r>
    <s v="GC024-JBA-08162021"/>
    <s v="Down"/>
    <x v="1"/>
    <s v="Swallowtail Shiner"/>
    <s v="Notropis"/>
    <s v="gibbosus"/>
    <s v="U"/>
    <x v="0"/>
    <n v="8"/>
    <n v="11.81"/>
    <x v="8"/>
    <s v="307-55-1"/>
    <x v="8"/>
    <n v="3.62"/>
  </r>
  <r>
    <s v="GC024-JBA-08162021"/>
    <s v="Down"/>
    <x v="1"/>
    <s v="Swallowtail Shiner"/>
    <s v="Notropis"/>
    <s v="gibbosus"/>
    <s v="U"/>
    <x v="0"/>
    <n v="8"/>
    <n v="11.81"/>
    <x v="9"/>
    <s v="72629-94-8"/>
    <x v="9"/>
    <n v="1.6"/>
  </r>
  <r>
    <s v="GC024-JBA-08162021"/>
    <s v="Down"/>
    <x v="1"/>
    <s v="Swallowtail Shiner"/>
    <s v="Notropis"/>
    <s v="gibbosus"/>
    <s v="U"/>
    <x v="0"/>
    <n v="8"/>
    <n v="11.81"/>
    <x v="10"/>
    <s v="376-06-7"/>
    <x v="10"/>
    <n v="2.2200000000000002"/>
  </r>
  <r>
    <s v="GC024-JBA-08162021"/>
    <s v="Down"/>
    <x v="1"/>
    <s v="Swallowtail Shiner"/>
    <s v="Notropis"/>
    <s v="gibbosus"/>
    <s v="U"/>
    <x v="0"/>
    <n v="8"/>
    <n v="11.81"/>
    <x v="11"/>
    <s v="67905-19-5"/>
    <x v="11"/>
    <n v="0.29599999999999999"/>
  </r>
  <r>
    <s v="GC024-JBA-08162021"/>
    <s v="Down"/>
    <x v="1"/>
    <s v="Swallowtail Shiner"/>
    <s v="Notropis"/>
    <s v="gibbosus"/>
    <s v="U"/>
    <x v="0"/>
    <n v="8"/>
    <n v="11.81"/>
    <x v="12"/>
    <s v="423-41-6"/>
    <x v="12"/>
    <n v="0.4965"/>
  </r>
  <r>
    <s v="GC024-JBA-08162021"/>
    <s v="Down"/>
    <x v="1"/>
    <s v="Swallowtail Shiner"/>
    <s v="Notropis"/>
    <s v="gibbosus"/>
    <s v="U"/>
    <x v="0"/>
    <n v="8"/>
    <n v="11.81"/>
    <x v="13"/>
    <s v="375-73-5"/>
    <x v="13"/>
    <n v="0.16900000000000001"/>
  </r>
  <r>
    <s v="GC024-JBA-08162021"/>
    <s v="Down"/>
    <x v="1"/>
    <s v="Swallowtail Shiner"/>
    <s v="Notropis"/>
    <s v="gibbosus"/>
    <s v="U"/>
    <x v="0"/>
    <n v="8"/>
    <n v="11.81"/>
    <x v="14"/>
    <s v="2706-91-4"/>
    <x v="14"/>
    <n v="0.371"/>
  </r>
  <r>
    <s v="GC024-JBA-08162021"/>
    <s v="Down"/>
    <x v="1"/>
    <s v="Swallowtail Shiner"/>
    <s v="Notropis"/>
    <s v="gibbosus"/>
    <s v="U"/>
    <x v="0"/>
    <n v="8"/>
    <n v="11.81"/>
    <x v="15"/>
    <s v="355-46-4"/>
    <x v="15"/>
    <n v="34.700000000000003"/>
  </r>
  <r>
    <s v="GC024-JBA-08162021"/>
    <s v="Down"/>
    <x v="1"/>
    <s v="Swallowtail Shiner"/>
    <s v="Notropis"/>
    <s v="gibbosus"/>
    <s v="U"/>
    <x v="0"/>
    <n v="8"/>
    <n v="11.81"/>
    <x v="16"/>
    <s v="375-92-8"/>
    <x v="16"/>
    <n v="3.35"/>
  </r>
  <r>
    <s v="GC024-JBA-08162021"/>
    <s v="Down"/>
    <x v="1"/>
    <s v="Swallowtail Shiner"/>
    <s v="Notropis"/>
    <s v="gibbosus"/>
    <s v="U"/>
    <x v="0"/>
    <n v="8"/>
    <n v="11.81"/>
    <x v="17"/>
    <s v="1763-23-1"/>
    <x v="17"/>
    <n v="419"/>
  </r>
  <r>
    <s v="GC024-JBA-08162021"/>
    <s v="Down"/>
    <x v="1"/>
    <s v="Swallowtail Shiner"/>
    <s v="Notropis"/>
    <s v="gibbosus"/>
    <s v="U"/>
    <x v="0"/>
    <n v="8"/>
    <n v="11.81"/>
    <x v="18"/>
    <s v="68259-12-1"/>
    <x v="18"/>
    <n v="0.248"/>
  </r>
  <r>
    <s v="GC024-JBA-08162021"/>
    <s v="Down"/>
    <x v="1"/>
    <s v="Swallowtail Shiner"/>
    <s v="Notropis"/>
    <s v="gibbosus"/>
    <s v="U"/>
    <x v="0"/>
    <n v="8"/>
    <n v="11.81"/>
    <x v="19"/>
    <s v="335-77-3"/>
    <x v="19"/>
    <n v="0.51500000000000001"/>
  </r>
  <r>
    <s v="GC024-JBA-08162021"/>
    <s v="Down"/>
    <x v="1"/>
    <s v="Swallowtail Shiner"/>
    <s v="Notropis"/>
    <s v="gibbosus"/>
    <s v="U"/>
    <x v="0"/>
    <n v="8"/>
    <n v="11.81"/>
    <x v="20"/>
    <s v="79780-39-5"/>
    <x v="20"/>
    <n v="0.26550000000000001"/>
  </r>
  <r>
    <s v="GC024-JBA-08162021"/>
    <s v="Down"/>
    <x v="1"/>
    <s v="Swallowtail Shiner"/>
    <s v="Notropis"/>
    <s v="gibbosus"/>
    <s v="U"/>
    <x v="0"/>
    <n v="8"/>
    <n v="11.81"/>
    <x v="21"/>
    <s v="777011-38-8"/>
    <x v="21"/>
    <n v="0.151"/>
  </r>
  <r>
    <s v="GC024-JBA-08162021"/>
    <s v="Down"/>
    <x v="1"/>
    <s v="Swallowtail Shiner"/>
    <s v="Notropis"/>
    <s v="gibbosus"/>
    <s v="U"/>
    <x v="0"/>
    <n v="8"/>
    <n v="11.81"/>
    <x v="22"/>
    <s v="646-83-3"/>
    <x v="22"/>
    <n v="0.23400000000000001"/>
  </r>
  <r>
    <s v="GC024-JBA-08162021"/>
    <s v="Down"/>
    <x v="1"/>
    <s v="Swallowtail Shiner"/>
    <s v="Notropis"/>
    <s v="gibbosus"/>
    <s v="U"/>
    <x v="0"/>
    <n v="8"/>
    <n v="11.81"/>
    <x v="23"/>
    <s v="30334-69-1"/>
    <x v="23"/>
    <n v="42.1"/>
  </r>
  <r>
    <s v="GC024-JBA-08162021"/>
    <s v="Down"/>
    <x v="1"/>
    <s v="Swallowtail Shiner"/>
    <s v="Notropis"/>
    <s v="gibbosus"/>
    <s v="U"/>
    <x v="0"/>
    <n v="8"/>
    <n v="11.81"/>
    <x v="24"/>
    <s v="41997-13-1"/>
    <x v="24"/>
    <n v="264"/>
  </r>
  <r>
    <s v="GC024-JBA-08162021"/>
    <s v="Down"/>
    <x v="1"/>
    <s v="Swallowtail Shiner"/>
    <s v="Notropis"/>
    <s v="gibbosus"/>
    <s v="U"/>
    <x v="0"/>
    <n v="8"/>
    <n v="11.81"/>
    <x v="25"/>
    <s v="754-91-6"/>
    <x v="25"/>
    <n v="16.3"/>
  </r>
  <r>
    <s v="GC024-JBA-08162021"/>
    <s v="Down"/>
    <x v="1"/>
    <s v="Swallowtail Shiner"/>
    <s v="Notropis"/>
    <s v="gibbosus"/>
    <s v="U"/>
    <x v="0"/>
    <n v="8"/>
    <n v="11.81"/>
    <x v="26"/>
    <s v="31506-32-8"/>
    <x v="26"/>
    <n v="0.191"/>
  </r>
  <r>
    <s v="GC024-JBA-08162021"/>
    <s v="Down"/>
    <x v="1"/>
    <s v="Swallowtail Shiner"/>
    <s v="Notropis"/>
    <s v="gibbosus"/>
    <s v="U"/>
    <x v="0"/>
    <n v="8"/>
    <n v="11.81"/>
    <x v="27"/>
    <s v="4151-50-2"/>
    <x v="27"/>
    <n v="0.4965"/>
  </r>
  <r>
    <s v="GC024-JBA-08162021"/>
    <s v="Down"/>
    <x v="1"/>
    <s v="Swallowtail Shiner"/>
    <s v="Notropis"/>
    <s v="gibbosus"/>
    <s v="U"/>
    <x v="0"/>
    <n v="8"/>
    <n v="11.81"/>
    <x v="28"/>
    <s v="2806-24-8"/>
    <x v="28"/>
    <n v="0.4965"/>
  </r>
  <r>
    <s v="GC024-JBA-08162021"/>
    <s v="Down"/>
    <x v="1"/>
    <s v="Swallowtail Shiner"/>
    <s v="Notropis"/>
    <s v="gibbosus"/>
    <s v="U"/>
    <x v="0"/>
    <n v="8"/>
    <n v="11.81"/>
    <x v="29"/>
    <s v="2355-31-9"/>
    <x v="29"/>
    <n v="0.2495"/>
  </r>
  <r>
    <s v="GC024-JBA-08162021"/>
    <s v="Down"/>
    <x v="1"/>
    <s v="Swallowtail Shiner"/>
    <s v="Notropis"/>
    <s v="gibbosus"/>
    <s v="U"/>
    <x v="0"/>
    <n v="8"/>
    <n v="11.81"/>
    <x v="30"/>
    <s v="2991-50-6"/>
    <x v="30"/>
    <n v="0.248"/>
  </r>
  <r>
    <s v="GC024-JBA-08162021"/>
    <s v="Down"/>
    <x v="1"/>
    <s v="Swallowtail Shiner"/>
    <s v="Notropis"/>
    <s v="gibbosus"/>
    <s v="U"/>
    <x v="0"/>
    <n v="8"/>
    <n v="11.81"/>
    <x v="31"/>
    <s v="757124-72-4"/>
    <x v="31"/>
    <n v="0.248"/>
  </r>
  <r>
    <s v="GC024-JBA-08162021"/>
    <s v="Down"/>
    <x v="1"/>
    <s v="Swallowtail Shiner"/>
    <s v="Notropis"/>
    <s v="gibbosus"/>
    <s v="U"/>
    <x v="0"/>
    <n v="8"/>
    <n v="11.81"/>
    <x v="32"/>
    <s v="27619-97-2"/>
    <x v="32"/>
    <n v="0.86899999999999999"/>
  </r>
  <r>
    <s v="GC024-JBA-08162021"/>
    <s v="Down"/>
    <x v="1"/>
    <s v="Swallowtail Shiner"/>
    <s v="Notropis"/>
    <s v="gibbosus"/>
    <s v="U"/>
    <x v="0"/>
    <n v="8"/>
    <n v="11.81"/>
    <x v="33"/>
    <s v="39108-34-4"/>
    <x v="33"/>
    <n v="11.8"/>
  </r>
  <r>
    <s v="GC024-JBA-08162021"/>
    <s v="Down"/>
    <x v="1"/>
    <s v="Swallowtail Shiner"/>
    <s v="Notropis"/>
    <s v="gibbosus"/>
    <s v="U"/>
    <x v="0"/>
    <n v="8"/>
    <n v="11.81"/>
    <x v="34"/>
    <s v="120226-60-0"/>
    <x v="34"/>
    <n v="0.4965"/>
  </r>
  <r>
    <s v="GC024-JBA-08162021"/>
    <s v="Down"/>
    <x v="1"/>
    <s v="Swallowtail Shiner"/>
    <s v="Notropis"/>
    <s v="gibbosus"/>
    <s v="U"/>
    <x v="0"/>
    <n v="8"/>
    <n v="11.81"/>
    <x v="35"/>
    <s v="356-02-5"/>
    <x v="35"/>
    <n v="0.28649999999999998"/>
  </r>
  <r>
    <s v="GC024-JBA-08162021"/>
    <s v="Down"/>
    <x v="1"/>
    <s v="Swallowtail Shiner"/>
    <s v="Notropis"/>
    <s v="gibbosus"/>
    <s v="U"/>
    <x v="0"/>
    <n v="8"/>
    <n v="11.81"/>
    <x v="36"/>
    <s v="914637-49-3"/>
    <x v="36"/>
    <n v="0.248"/>
  </r>
  <r>
    <s v="GC024-JBA-08162021"/>
    <s v="Down"/>
    <x v="1"/>
    <s v="Swallowtail Shiner"/>
    <s v="Notropis"/>
    <s v="gibbosus"/>
    <s v="U"/>
    <x v="0"/>
    <n v="8"/>
    <n v="11.81"/>
    <x v="37"/>
    <s v="812-70-4"/>
    <x v="37"/>
    <n v="20.100000000000001"/>
  </r>
  <r>
    <s v="GC024-JBA-08162021"/>
    <s v="Down"/>
    <x v="1"/>
    <s v="Swallowtail Shiner"/>
    <s v="Notropis"/>
    <s v="gibbosus"/>
    <s v="U"/>
    <x v="0"/>
    <n v="8"/>
    <n v="11.81"/>
    <x v="38"/>
    <s v="53826-12-3"/>
    <x v="38"/>
    <n v="0.4965"/>
  </r>
  <r>
    <s v="GC024-JBA-08162021"/>
    <s v="Down"/>
    <x v="1"/>
    <s v="Swallowtail Shiner"/>
    <s v="Notropis"/>
    <s v="gibbosus"/>
    <s v="U"/>
    <x v="0"/>
    <n v="8"/>
    <n v="11.81"/>
    <x v="39"/>
    <s v="27854-31-5"/>
    <x v="39"/>
    <n v="0.4965"/>
  </r>
  <r>
    <s v="GC024-JBA-08162021"/>
    <s v="Down"/>
    <x v="1"/>
    <s v="Swallowtail Shiner"/>
    <s v="Notropis"/>
    <s v="gibbosus"/>
    <s v="U"/>
    <x v="0"/>
    <n v="8"/>
    <n v="11.81"/>
    <x v="40"/>
    <s v="53826-13-4"/>
    <x v="40"/>
    <n v="0.4965"/>
  </r>
  <r>
    <s v="GC024-JBA-08162021"/>
    <s v="Down"/>
    <x v="1"/>
    <s v="Swallowtail Shiner"/>
    <s v="Notropis"/>
    <s v="gibbosus"/>
    <s v="U"/>
    <x v="0"/>
    <n v="8"/>
    <n v="11.81"/>
    <x v="41"/>
    <s v="161094-75-3"/>
    <x v="41"/>
    <n v="0.4965"/>
  </r>
  <r>
    <s v="GC024-JBA-08162021"/>
    <s v="Down"/>
    <x v="1"/>
    <s v="Swallowtail Shiner"/>
    <s v="Notropis"/>
    <s v="gibbosus"/>
    <s v="U"/>
    <x v="0"/>
    <n v="8"/>
    <n v="11.81"/>
    <x v="42"/>
    <s v="70887-84-2"/>
    <x v="42"/>
    <n v="0.4965"/>
  </r>
  <r>
    <s v="GC024-JBA-08162021"/>
    <s v="Down"/>
    <x v="1"/>
    <s v="Swallowtail Shiner"/>
    <s v="Notropis"/>
    <s v="gibbosus"/>
    <s v="U"/>
    <x v="0"/>
    <n v="8"/>
    <n v="11.81"/>
    <x v="43"/>
    <s v="919005-14-4"/>
    <x v="43"/>
    <n v="0.248"/>
  </r>
  <r>
    <s v="GC024-JBA-08162021"/>
    <s v="Down"/>
    <x v="1"/>
    <s v="Swallowtail Shiner"/>
    <s v="Notropis"/>
    <s v="gibbosus"/>
    <s v="U"/>
    <x v="0"/>
    <n v="8"/>
    <n v="11.81"/>
    <x v="44"/>
    <s v="756426-58-1"/>
    <x v="44"/>
    <n v="0.4965"/>
  </r>
  <r>
    <s v="GC024-JBA-08162021"/>
    <s v="Down"/>
    <x v="1"/>
    <s v="Swallowtail Shiner"/>
    <s v="Notropis"/>
    <s v="gibbosus"/>
    <s v="U"/>
    <x v="0"/>
    <n v="8"/>
    <n v="11.81"/>
    <x v="45"/>
    <s v="763051-92-9"/>
    <x v="45"/>
    <n v="0.4965"/>
  </r>
  <r>
    <s v="GC024-JBA-08162021"/>
    <s v="Down"/>
    <x v="1"/>
    <s v="Swallowtail Shiner"/>
    <s v="Notropis"/>
    <s v="gibbosus"/>
    <s v="U"/>
    <x v="0"/>
    <n v="8"/>
    <n v="11.81"/>
    <x v="46"/>
    <s v="13252-13-6"/>
    <x v="46"/>
    <n v="0.35599999999999998"/>
  </r>
  <r>
    <s v="GC024-JBA-08162021"/>
    <s v="Down"/>
    <x v="1"/>
    <s v="Swallowtail Shiner"/>
    <s v="Notropis"/>
    <s v="gibbosus"/>
    <s v="U"/>
    <x v="0"/>
    <n v="8"/>
    <n v="11.81"/>
    <x v="47"/>
    <s v="57677-95-9"/>
    <x v="47"/>
    <n v="0.4965"/>
  </r>
  <r>
    <s v="GC024-JBA-08162021"/>
    <s v="Down"/>
    <x v="1"/>
    <s v="Swallowtail Shiner"/>
    <s v="Notropis"/>
    <s v="gibbosus"/>
    <s v="U"/>
    <x v="0"/>
    <n v="8"/>
    <n v="11.81"/>
    <x v="48"/>
    <s v="678-41-1"/>
    <x v="48"/>
    <n v="0.4965"/>
  </r>
  <r>
    <s v="GC024-JBA-08162021"/>
    <s v="Down"/>
    <x v="1"/>
    <s v="Swallowtail Shiner"/>
    <s v="Notropis"/>
    <s v="gibbosus"/>
    <s v="U"/>
    <x v="0"/>
    <n v="8"/>
    <n v="11.81"/>
    <x v="49"/>
    <s v="2965-52-8"/>
    <x v="49"/>
    <n v="0.4965"/>
  </r>
  <r>
    <s v="GC025-JBA-08162021"/>
    <s v="Down"/>
    <x v="1"/>
    <s v="Swallowtail Shiner"/>
    <s v="Notropis"/>
    <s v="gibbosus"/>
    <s v="U"/>
    <x v="0"/>
    <n v="8"/>
    <n v="11.81"/>
    <x v="0"/>
    <s v="375-22-4"/>
    <x v="0"/>
    <n v="0.217"/>
  </r>
  <r>
    <s v="GC025-JBA-08162021"/>
    <s v="Down"/>
    <x v="1"/>
    <s v="Swallowtail Shiner"/>
    <s v="Notropis"/>
    <s v="gibbosus"/>
    <s v="U"/>
    <x v="0"/>
    <n v="8"/>
    <n v="11.81"/>
    <x v="1"/>
    <s v="2706-90-3"/>
    <x v="1"/>
    <n v="0.217"/>
  </r>
  <r>
    <s v="GC025-JBA-08162021"/>
    <s v="Down"/>
    <x v="1"/>
    <s v="Swallowtail Shiner"/>
    <s v="Notropis"/>
    <s v="gibbosus"/>
    <s v="U"/>
    <x v="0"/>
    <n v="8"/>
    <n v="11.81"/>
    <x v="2"/>
    <s v="307-24-4"/>
    <x v="2"/>
    <n v="0.11700000000000001"/>
  </r>
  <r>
    <s v="GC025-JBA-08162021"/>
    <s v="Down"/>
    <x v="1"/>
    <s v="Swallowtail Shiner"/>
    <s v="Notropis"/>
    <s v="gibbosus"/>
    <s v="U"/>
    <x v="0"/>
    <n v="8"/>
    <n v="11.81"/>
    <x v="3"/>
    <s v="375-85-9"/>
    <x v="3"/>
    <n v="0.217"/>
  </r>
  <r>
    <s v="GC025-JBA-08162021"/>
    <s v="Down"/>
    <x v="1"/>
    <s v="Swallowtail Shiner"/>
    <s v="Notropis"/>
    <s v="gibbosus"/>
    <s v="U"/>
    <x v="0"/>
    <n v="8"/>
    <n v="11.81"/>
    <x v="4"/>
    <s v="335-67-1"/>
    <x v="4"/>
    <n v="1.65"/>
  </r>
  <r>
    <s v="GC025-JBA-08162021"/>
    <s v="Down"/>
    <x v="1"/>
    <s v="Swallowtail Shiner"/>
    <s v="Notropis"/>
    <s v="gibbosus"/>
    <s v="U"/>
    <x v="0"/>
    <n v="8"/>
    <n v="11.81"/>
    <x v="5"/>
    <s v="375-95-1"/>
    <x v="5"/>
    <n v="1.67"/>
  </r>
  <r>
    <s v="GC025-JBA-08162021"/>
    <s v="Down"/>
    <x v="1"/>
    <s v="Swallowtail Shiner"/>
    <s v="Notropis"/>
    <s v="gibbosus"/>
    <s v="U"/>
    <x v="0"/>
    <n v="8"/>
    <n v="11.81"/>
    <x v="6"/>
    <s v="335-76-2"/>
    <x v="6"/>
    <n v="2.75"/>
  </r>
  <r>
    <s v="GC025-JBA-08162021"/>
    <s v="Down"/>
    <x v="1"/>
    <s v="Swallowtail Shiner"/>
    <s v="Notropis"/>
    <s v="gibbosus"/>
    <s v="U"/>
    <x v="0"/>
    <n v="8"/>
    <n v="11.81"/>
    <x v="7"/>
    <s v="2058-94-8"/>
    <x v="7"/>
    <n v="3.71"/>
  </r>
  <r>
    <s v="GC025-JBA-08162021"/>
    <s v="Down"/>
    <x v="1"/>
    <s v="Swallowtail Shiner"/>
    <s v="Notropis"/>
    <s v="gibbosus"/>
    <s v="U"/>
    <x v="0"/>
    <n v="8"/>
    <n v="11.81"/>
    <x v="8"/>
    <s v="307-55-1"/>
    <x v="8"/>
    <n v="6.21"/>
  </r>
  <r>
    <s v="GC025-JBA-08162021"/>
    <s v="Down"/>
    <x v="1"/>
    <s v="Swallowtail Shiner"/>
    <s v="Notropis"/>
    <s v="gibbosus"/>
    <s v="U"/>
    <x v="0"/>
    <n v="8"/>
    <n v="11.81"/>
    <x v="9"/>
    <s v="72629-94-8"/>
    <x v="9"/>
    <n v="2.2000000000000002"/>
  </r>
  <r>
    <s v="GC025-JBA-08162021"/>
    <s v="Down"/>
    <x v="1"/>
    <s v="Swallowtail Shiner"/>
    <s v="Notropis"/>
    <s v="gibbosus"/>
    <s v="U"/>
    <x v="0"/>
    <n v="8"/>
    <n v="11.81"/>
    <x v="10"/>
    <s v="376-06-7"/>
    <x v="10"/>
    <n v="4.08"/>
  </r>
  <r>
    <s v="GC025-JBA-08162021"/>
    <s v="Down"/>
    <x v="1"/>
    <s v="Swallowtail Shiner"/>
    <s v="Notropis"/>
    <s v="gibbosus"/>
    <s v="U"/>
    <x v="0"/>
    <n v="8"/>
    <n v="11.81"/>
    <x v="11"/>
    <s v="67905-19-5"/>
    <x v="11"/>
    <n v="0.25850000000000001"/>
  </r>
  <r>
    <s v="GC025-JBA-08162021"/>
    <s v="Down"/>
    <x v="1"/>
    <s v="Swallowtail Shiner"/>
    <s v="Notropis"/>
    <s v="gibbosus"/>
    <s v="U"/>
    <x v="0"/>
    <n v="8"/>
    <n v="11.81"/>
    <x v="12"/>
    <s v="423-41-6"/>
    <x v="12"/>
    <n v="0.4335"/>
  </r>
  <r>
    <s v="GC025-JBA-08162021"/>
    <s v="Down"/>
    <x v="1"/>
    <s v="Swallowtail Shiner"/>
    <s v="Notropis"/>
    <s v="gibbosus"/>
    <s v="U"/>
    <x v="0"/>
    <n v="8"/>
    <n v="11.81"/>
    <x v="13"/>
    <s v="375-73-5"/>
    <x v="13"/>
    <n v="0.14749999999999999"/>
  </r>
  <r>
    <s v="GC025-JBA-08162021"/>
    <s v="Down"/>
    <x v="1"/>
    <s v="Swallowtail Shiner"/>
    <s v="Notropis"/>
    <s v="gibbosus"/>
    <s v="U"/>
    <x v="0"/>
    <n v="8"/>
    <n v="11.81"/>
    <x v="14"/>
    <s v="2706-91-4"/>
    <x v="14"/>
    <n v="0.34300000000000003"/>
  </r>
  <r>
    <s v="GC025-JBA-08162021"/>
    <s v="Down"/>
    <x v="1"/>
    <s v="Swallowtail Shiner"/>
    <s v="Notropis"/>
    <s v="gibbosus"/>
    <s v="U"/>
    <x v="0"/>
    <n v="8"/>
    <n v="11.81"/>
    <x v="15"/>
    <s v="355-46-4"/>
    <x v="15"/>
    <n v="34.1"/>
  </r>
  <r>
    <s v="GC025-JBA-08162021"/>
    <s v="Down"/>
    <x v="1"/>
    <s v="Swallowtail Shiner"/>
    <s v="Notropis"/>
    <s v="gibbosus"/>
    <s v="U"/>
    <x v="0"/>
    <n v="8"/>
    <n v="11.81"/>
    <x v="16"/>
    <s v="375-92-8"/>
    <x v="16"/>
    <n v="2.73"/>
  </r>
  <r>
    <s v="GC025-JBA-08162021"/>
    <s v="Down"/>
    <x v="1"/>
    <s v="Swallowtail Shiner"/>
    <s v="Notropis"/>
    <s v="gibbosus"/>
    <s v="U"/>
    <x v="0"/>
    <n v="8"/>
    <n v="11.81"/>
    <x v="17"/>
    <s v="1763-23-1"/>
    <x v="17"/>
    <n v="330"/>
  </r>
  <r>
    <s v="GC025-JBA-08162021"/>
    <s v="Down"/>
    <x v="1"/>
    <s v="Swallowtail Shiner"/>
    <s v="Notropis"/>
    <s v="gibbosus"/>
    <s v="U"/>
    <x v="0"/>
    <n v="8"/>
    <n v="11.81"/>
    <x v="18"/>
    <s v="68259-12-1"/>
    <x v="18"/>
    <n v="0.217"/>
  </r>
  <r>
    <s v="GC025-JBA-08162021"/>
    <s v="Down"/>
    <x v="1"/>
    <s v="Swallowtail Shiner"/>
    <s v="Notropis"/>
    <s v="gibbosus"/>
    <s v="U"/>
    <x v="0"/>
    <n v="8"/>
    <n v="11.81"/>
    <x v="19"/>
    <s v="335-77-3"/>
    <x v="19"/>
    <n v="0.217"/>
  </r>
  <r>
    <s v="GC025-JBA-08162021"/>
    <s v="Down"/>
    <x v="1"/>
    <s v="Swallowtail Shiner"/>
    <s v="Notropis"/>
    <s v="gibbosus"/>
    <s v="U"/>
    <x v="0"/>
    <n v="8"/>
    <n v="11.81"/>
    <x v="20"/>
    <s v="79780-39-5"/>
    <x v="20"/>
    <n v="0.23200000000000001"/>
  </r>
  <r>
    <s v="GC025-JBA-08162021"/>
    <s v="Down"/>
    <x v="1"/>
    <s v="Swallowtail Shiner"/>
    <s v="Notropis"/>
    <s v="gibbosus"/>
    <s v="U"/>
    <x v="0"/>
    <n v="8"/>
    <n v="11.81"/>
    <x v="21"/>
    <s v="777011-38-8"/>
    <x v="21"/>
    <n v="0.13150000000000001"/>
  </r>
  <r>
    <s v="GC025-JBA-08162021"/>
    <s v="Down"/>
    <x v="1"/>
    <s v="Swallowtail Shiner"/>
    <s v="Notropis"/>
    <s v="gibbosus"/>
    <s v="U"/>
    <x v="0"/>
    <n v="8"/>
    <n v="11.81"/>
    <x v="22"/>
    <s v="646-83-3"/>
    <x v="22"/>
    <n v="8.6499999999999994E-2"/>
  </r>
  <r>
    <s v="GC025-JBA-08162021"/>
    <s v="Down"/>
    <x v="1"/>
    <s v="Swallowtail Shiner"/>
    <s v="Notropis"/>
    <s v="gibbosus"/>
    <s v="U"/>
    <x v="0"/>
    <n v="8"/>
    <n v="11.81"/>
    <x v="23"/>
    <s v="30334-69-1"/>
    <x v="23"/>
    <n v="56.2"/>
  </r>
  <r>
    <s v="GC025-JBA-08162021"/>
    <s v="Down"/>
    <x v="1"/>
    <s v="Swallowtail Shiner"/>
    <s v="Notropis"/>
    <s v="gibbosus"/>
    <s v="U"/>
    <x v="0"/>
    <n v="8"/>
    <n v="11.81"/>
    <x v="24"/>
    <s v="41997-13-1"/>
    <x v="24"/>
    <n v="354"/>
  </r>
  <r>
    <s v="GC025-JBA-08162021"/>
    <s v="Down"/>
    <x v="1"/>
    <s v="Swallowtail Shiner"/>
    <s v="Notropis"/>
    <s v="gibbosus"/>
    <s v="U"/>
    <x v="0"/>
    <n v="8"/>
    <n v="11.81"/>
    <x v="25"/>
    <s v="754-91-6"/>
    <x v="25"/>
    <n v="13.4"/>
  </r>
  <r>
    <s v="GC025-JBA-08162021"/>
    <s v="Down"/>
    <x v="1"/>
    <s v="Swallowtail Shiner"/>
    <s v="Notropis"/>
    <s v="gibbosus"/>
    <s v="U"/>
    <x v="0"/>
    <n v="8"/>
    <n v="11.81"/>
    <x v="26"/>
    <s v="31506-32-8"/>
    <x v="26"/>
    <n v="0.16700000000000001"/>
  </r>
  <r>
    <s v="GC025-JBA-08162021"/>
    <s v="Down"/>
    <x v="1"/>
    <s v="Swallowtail Shiner"/>
    <s v="Notropis"/>
    <s v="gibbosus"/>
    <s v="U"/>
    <x v="0"/>
    <n v="8"/>
    <n v="11.81"/>
    <x v="27"/>
    <s v="4151-50-2"/>
    <x v="27"/>
    <n v="0.4335"/>
  </r>
  <r>
    <s v="GC025-JBA-08162021"/>
    <s v="Down"/>
    <x v="1"/>
    <s v="Swallowtail Shiner"/>
    <s v="Notropis"/>
    <s v="gibbosus"/>
    <s v="U"/>
    <x v="0"/>
    <n v="8"/>
    <n v="11.81"/>
    <x v="28"/>
    <s v="2806-24-8"/>
    <x v="28"/>
    <n v="0.4335"/>
  </r>
  <r>
    <s v="GC025-JBA-08162021"/>
    <s v="Down"/>
    <x v="1"/>
    <s v="Swallowtail Shiner"/>
    <s v="Notropis"/>
    <s v="gibbosus"/>
    <s v="U"/>
    <x v="0"/>
    <n v="8"/>
    <n v="11.81"/>
    <x v="29"/>
    <s v="2355-31-9"/>
    <x v="29"/>
    <n v="0.218"/>
  </r>
  <r>
    <s v="GC025-JBA-08162021"/>
    <s v="Down"/>
    <x v="1"/>
    <s v="Swallowtail Shiner"/>
    <s v="Notropis"/>
    <s v="gibbosus"/>
    <s v="U"/>
    <x v="0"/>
    <n v="8"/>
    <n v="11.81"/>
    <x v="30"/>
    <s v="2991-50-6"/>
    <x v="30"/>
    <n v="0.217"/>
  </r>
  <r>
    <s v="GC025-JBA-08162021"/>
    <s v="Down"/>
    <x v="1"/>
    <s v="Swallowtail Shiner"/>
    <s v="Notropis"/>
    <s v="gibbosus"/>
    <s v="U"/>
    <x v="0"/>
    <n v="8"/>
    <n v="11.81"/>
    <x v="31"/>
    <s v="757124-72-4"/>
    <x v="31"/>
    <n v="0.217"/>
  </r>
  <r>
    <s v="GC025-JBA-08162021"/>
    <s v="Down"/>
    <x v="1"/>
    <s v="Swallowtail Shiner"/>
    <s v="Notropis"/>
    <s v="gibbosus"/>
    <s v="U"/>
    <x v="0"/>
    <n v="8"/>
    <n v="11.81"/>
    <x v="32"/>
    <s v="27619-97-2"/>
    <x v="32"/>
    <n v="0.46400000000000002"/>
  </r>
  <r>
    <s v="GC025-JBA-08162021"/>
    <s v="Down"/>
    <x v="1"/>
    <s v="Swallowtail Shiner"/>
    <s v="Notropis"/>
    <s v="gibbosus"/>
    <s v="U"/>
    <x v="0"/>
    <n v="8"/>
    <n v="11.81"/>
    <x v="33"/>
    <s v="39108-34-4"/>
    <x v="33"/>
    <n v="7.4"/>
  </r>
  <r>
    <s v="GC025-JBA-08162021"/>
    <s v="Down"/>
    <x v="1"/>
    <s v="Swallowtail Shiner"/>
    <s v="Notropis"/>
    <s v="gibbosus"/>
    <s v="U"/>
    <x v="0"/>
    <n v="8"/>
    <n v="11.81"/>
    <x v="34"/>
    <s v="120226-60-0"/>
    <x v="34"/>
    <n v="0.4335"/>
  </r>
  <r>
    <s v="GC025-JBA-08162021"/>
    <s v="Down"/>
    <x v="1"/>
    <s v="Swallowtail Shiner"/>
    <s v="Notropis"/>
    <s v="gibbosus"/>
    <s v="U"/>
    <x v="0"/>
    <n v="8"/>
    <n v="11.81"/>
    <x v="35"/>
    <s v="356-02-5"/>
    <x v="35"/>
    <n v="0.25"/>
  </r>
  <r>
    <s v="GC025-JBA-08162021"/>
    <s v="Down"/>
    <x v="1"/>
    <s v="Swallowtail Shiner"/>
    <s v="Notropis"/>
    <s v="gibbosus"/>
    <s v="U"/>
    <x v="0"/>
    <n v="8"/>
    <n v="11.81"/>
    <x v="36"/>
    <s v="914637-49-3"/>
    <x v="36"/>
    <n v="0.217"/>
  </r>
  <r>
    <s v="GC025-JBA-08162021"/>
    <s v="Down"/>
    <x v="1"/>
    <s v="Swallowtail Shiner"/>
    <s v="Notropis"/>
    <s v="gibbosus"/>
    <s v="U"/>
    <x v="0"/>
    <n v="8"/>
    <n v="11.81"/>
    <x v="37"/>
    <s v="812-70-4"/>
    <x v="37"/>
    <n v="10.7"/>
  </r>
  <r>
    <s v="GC025-JBA-08162021"/>
    <s v="Down"/>
    <x v="1"/>
    <s v="Swallowtail Shiner"/>
    <s v="Notropis"/>
    <s v="gibbosus"/>
    <s v="U"/>
    <x v="0"/>
    <n v="8"/>
    <n v="11.81"/>
    <x v="38"/>
    <s v="53826-12-3"/>
    <x v="38"/>
    <n v="0.4335"/>
  </r>
  <r>
    <s v="GC025-JBA-08162021"/>
    <s v="Down"/>
    <x v="1"/>
    <s v="Swallowtail Shiner"/>
    <s v="Notropis"/>
    <s v="gibbosus"/>
    <s v="U"/>
    <x v="0"/>
    <n v="8"/>
    <n v="11.81"/>
    <x v="39"/>
    <s v="27854-31-5"/>
    <x v="39"/>
    <n v="0.4335"/>
  </r>
  <r>
    <s v="GC025-JBA-08162021"/>
    <s v="Down"/>
    <x v="1"/>
    <s v="Swallowtail Shiner"/>
    <s v="Notropis"/>
    <s v="gibbosus"/>
    <s v="U"/>
    <x v="0"/>
    <n v="8"/>
    <n v="11.81"/>
    <x v="40"/>
    <s v="53826-13-4"/>
    <x v="40"/>
    <n v="0.4335"/>
  </r>
  <r>
    <s v="GC025-JBA-08162021"/>
    <s v="Down"/>
    <x v="1"/>
    <s v="Swallowtail Shiner"/>
    <s v="Notropis"/>
    <s v="gibbosus"/>
    <s v="U"/>
    <x v="0"/>
    <n v="8"/>
    <n v="11.81"/>
    <x v="41"/>
    <s v="161094-75-3"/>
    <x v="41"/>
    <n v="0.4335"/>
  </r>
  <r>
    <s v="GC025-JBA-08162021"/>
    <s v="Down"/>
    <x v="1"/>
    <s v="Swallowtail Shiner"/>
    <s v="Notropis"/>
    <s v="gibbosus"/>
    <s v="U"/>
    <x v="0"/>
    <n v="8"/>
    <n v="11.81"/>
    <x v="42"/>
    <s v="70887-84-2"/>
    <x v="42"/>
    <n v="0.4335"/>
  </r>
  <r>
    <s v="GC025-JBA-08162021"/>
    <s v="Down"/>
    <x v="1"/>
    <s v="Swallowtail Shiner"/>
    <s v="Notropis"/>
    <s v="gibbosus"/>
    <s v="U"/>
    <x v="0"/>
    <n v="8"/>
    <n v="11.81"/>
    <x v="43"/>
    <s v="919005-14-4"/>
    <x v="43"/>
    <n v="0.217"/>
  </r>
  <r>
    <s v="GC025-JBA-08162021"/>
    <s v="Down"/>
    <x v="1"/>
    <s v="Swallowtail Shiner"/>
    <s v="Notropis"/>
    <s v="gibbosus"/>
    <s v="U"/>
    <x v="0"/>
    <n v="8"/>
    <n v="11.81"/>
    <x v="44"/>
    <s v="756426-58-1"/>
    <x v="44"/>
    <n v="0.4335"/>
  </r>
  <r>
    <s v="GC025-JBA-08162021"/>
    <s v="Down"/>
    <x v="1"/>
    <s v="Swallowtail Shiner"/>
    <s v="Notropis"/>
    <s v="gibbosus"/>
    <s v="U"/>
    <x v="0"/>
    <n v="8"/>
    <n v="11.81"/>
    <x v="45"/>
    <s v="763051-92-9"/>
    <x v="45"/>
    <n v="0.4335"/>
  </r>
  <r>
    <s v="GC025-JBA-08162021"/>
    <s v="Down"/>
    <x v="1"/>
    <s v="Swallowtail Shiner"/>
    <s v="Notropis"/>
    <s v="gibbosus"/>
    <s v="U"/>
    <x v="0"/>
    <n v="8"/>
    <n v="11.81"/>
    <x v="46"/>
    <s v="13252-13-6"/>
    <x v="46"/>
    <n v="0.311"/>
  </r>
  <r>
    <s v="GC025-JBA-08162021"/>
    <s v="Down"/>
    <x v="1"/>
    <s v="Swallowtail Shiner"/>
    <s v="Notropis"/>
    <s v="gibbosus"/>
    <s v="U"/>
    <x v="0"/>
    <n v="8"/>
    <n v="11.81"/>
    <x v="47"/>
    <s v="57677-95-9"/>
    <x v="47"/>
    <n v="0.4335"/>
  </r>
  <r>
    <s v="GC025-JBA-08162021"/>
    <s v="Down"/>
    <x v="1"/>
    <s v="Swallowtail Shiner"/>
    <s v="Notropis"/>
    <s v="gibbosus"/>
    <s v="U"/>
    <x v="0"/>
    <n v="8"/>
    <n v="11.81"/>
    <x v="48"/>
    <s v="678-41-1"/>
    <x v="48"/>
    <n v="0.4335"/>
  </r>
  <r>
    <s v="GC025-JBA-08162021"/>
    <s v="Down"/>
    <x v="1"/>
    <s v="Swallowtail Shiner"/>
    <s v="Notropis"/>
    <s v="gibbosus"/>
    <s v="U"/>
    <x v="0"/>
    <n v="8"/>
    <n v="11.81"/>
    <x v="49"/>
    <s v="2965-52-8"/>
    <x v="49"/>
    <n v="0.4335"/>
  </r>
  <r>
    <s v="LMB002-JBA-08162021"/>
    <s v="Down"/>
    <x v="1"/>
    <s v="Large Mouth Bass"/>
    <s v="Micropterus"/>
    <s v="gibbosus"/>
    <s v="U"/>
    <x v="0"/>
    <n v="8"/>
    <n v="11.81"/>
    <x v="0"/>
    <s v="375-22-4"/>
    <x v="0"/>
    <n v="0.223"/>
  </r>
  <r>
    <s v="LMB002-JBA-08162021"/>
    <s v="Down"/>
    <x v="1"/>
    <s v="Large Mouth Bass"/>
    <s v="Micropterus"/>
    <s v="gibbosus"/>
    <s v="U"/>
    <x v="0"/>
    <n v="8"/>
    <n v="11.81"/>
    <x v="1"/>
    <s v="2706-90-3"/>
    <x v="1"/>
    <n v="0.223"/>
  </r>
  <r>
    <s v="LMB002-JBA-08162021"/>
    <s v="Down"/>
    <x v="1"/>
    <s v="Large Mouth Bass"/>
    <s v="Micropterus"/>
    <s v="gibbosus"/>
    <s v="U"/>
    <x v="0"/>
    <n v="8"/>
    <n v="11.81"/>
    <x v="2"/>
    <s v="307-24-4"/>
    <x v="2"/>
    <n v="0.12"/>
  </r>
  <r>
    <s v="LMB002-JBA-08162021"/>
    <s v="Down"/>
    <x v="1"/>
    <s v="Large Mouth Bass"/>
    <s v="Micropterus"/>
    <s v="gibbosus"/>
    <s v="U"/>
    <x v="0"/>
    <n v="8"/>
    <n v="11.81"/>
    <x v="3"/>
    <s v="375-85-9"/>
    <x v="3"/>
    <n v="0.223"/>
  </r>
  <r>
    <s v="LMB002-JBA-08162021"/>
    <s v="Down"/>
    <x v="1"/>
    <s v="Large Mouth Bass"/>
    <s v="Micropterus"/>
    <s v="gibbosus"/>
    <s v="U"/>
    <x v="0"/>
    <n v="8"/>
    <n v="11.81"/>
    <x v="4"/>
    <s v="335-67-1"/>
    <x v="4"/>
    <n v="0.95699999999999996"/>
  </r>
  <r>
    <s v="LMB002-JBA-08162021"/>
    <s v="Down"/>
    <x v="1"/>
    <s v="Large Mouth Bass"/>
    <s v="Micropterus"/>
    <s v="gibbosus"/>
    <s v="U"/>
    <x v="0"/>
    <n v="8"/>
    <n v="11.81"/>
    <x v="5"/>
    <s v="375-95-1"/>
    <x v="5"/>
    <n v="1.8"/>
  </r>
  <r>
    <s v="LMB002-JBA-08162021"/>
    <s v="Down"/>
    <x v="1"/>
    <s v="Large Mouth Bass"/>
    <s v="Micropterus"/>
    <s v="gibbosus"/>
    <s v="U"/>
    <x v="0"/>
    <n v="8"/>
    <n v="11.81"/>
    <x v="6"/>
    <s v="335-76-2"/>
    <x v="6"/>
    <n v="10.1"/>
  </r>
  <r>
    <s v="LMB002-JBA-08162021"/>
    <s v="Down"/>
    <x v="1"/>
    <s v="Large Mouth Bass"/>
    <s v="Micropterus"/>
    <s v="gibbosus"/>
    <s v="U"/>
    <x v="0"/>
    <n v="8"/>
    <n v="11.81"/>
    <x v="7"/>
    <s v="2058-94-8"/>
    <x v="7"/>
    <n v="12.2"/>
  </r>
  <r>
    <s v="LMB002-JBA-08162021"/>
    <s v="Down"/>
    <x v="1"/>
    <s v="Large Mouth Bass"/>
    <s v="Micropterus"/>
    <s v="gibbosus"/>
    <s v="U"/>
    <x v="0"/>
    <n v="8"/>
    <n v="11.81"/>
    <x v="8"/>
    <s v="307-55-1"/>
    <x v="8"/>
    <n v="12.4"/>
  </r>
  <r>
    <s v="LMB002-JBA-08162021"/>
    <s v="Down"/>
    <x v="1"/>
    <s v="Large Mouth Bass"/>
    <s v="Micropterus"/>
    <s v="gibbosus"/>
    <s v="U"/>
    <x v="0"/>
    <n v="8"/>
    <n v="11.81"/>
    <x v="9"/>
    <s v="72629-94-8"/>
    <x v="9"/>
    <n v="4.46"/>
  </r>
  <r>
    <s v="LMB002-JBA-08162021"/>
    <s v="Down"/>
    <x v="1"/>
    <s v="Large Mouth Bass"/>
    <s v="Micropterus"/>
    <s v="gibbosus"/>
    <s v="U"/>
    <x v="0"/>
    <n v="8"/>
    <n v="11.81"/>
    <x v="10"/>
    <s v="376-06-7"/>
    <x v="10"/>
    <n v="5.0999999999999996"/>
  </r>
  <r>
    <s v="LMB002-JBA-08162021"/>
    <s v="Down"/>
    <x v="1"/>
    <s v="Large Mouth Bass"/>
    <s v="Micropterus"/>
    <s v="gibbosus"/>
    <s v="U"/>
    <x v="0"/>
    <n v="8"/>
    <n v="11.81"/>
    <x v="11"/>
    <s v="67905-19-5"/>
    <x v="11"/>
    <n v="0.26550000000000001"/>
  </r>
  <r>
    <s v="LMB002-JBA-08162021"/>
    <s v="Down"/>
    <x v="1"/>
    <s v="Large Mouth Bass"/>
    <s v="Micropterus"/>
    <s v="gibbosus"/>
    <s v="U"/>
    <x v="0"/>
    <n v="8"/>
    <n v="11.81"/>
    <x v="12"/>
    <s v="423-41-6"/>
    <x v="12"/>
    <n v="0.44550000000000001"/>
  </r>
  <r>
    <s v="LMB002-JBA-08162021"/>
    <s v="Down"/>
    <x v="1"/>
    <s v="Large Mouth Bass"/>
    <s v="Micropterus"/>
    <s v="gibbosus"/>
    <s v="U"/>
    <x v="0"/>
    <n v="8"/>
    <n v="11.81"/>
    <x v="13"/>
    <s v="375-73-5"/>
    <x v="13"/>
    <n v="0.1515"/>
  </r>
  <r>
    <s v="LMB002-JBA-08162021"/>
    <s v="Down"/>
    <x v="1"/>
    <s v="Large Mouth Bass"/>
    <s v="Micropterus"/>
    <s v="gibbosus"/>
    <s v="U"/>
    <x v="0"/>
    <n v="8"/>
    <n v="11.81"/>
    <x v="14"/>
    <s v="2706-91-4"/>
    <x v="14"/>
    <n v="0.26400000000000001"/>
  </r>
  <r>
    <s v="LMB002-JBA-08162021"/>
    <s v="Down"/>
    <x v="1"/>
    <s v="Large Mouth Bass"/>
    <s v="Micropterus"/>
    <s v="gibbosus"/>
    <s v="U"/>
    <x v="0"/>
    <n v="8"/>
    <n v="11.81"/>
    <x v="15"/>
    <s v="355-46-4"/>
    <x v="15"/>
    <n v="42.9"/>
  </r>
  <r>
    <s v="LMB002-JBA-08162021"/>
    <s v="Down"/>
    <x v="1"/>
    <s v="Large Mouth Bass"/>
    <s v="Micropterus"/>
    <s v="gibbosus"/>
    <s v="U"/>
    <x v="0"/>
    <n v="8"/>
    <n v="11.81"/>
    <x v="16"/>
    <s v="375-92-8"/>
    <x v="16"/>
    <n v="7.46"/>
  </r>
  <r>
    <s v="LMB002-JBA-08162021"/>
    <s v="Down"/>
    <x v="1"/>
    <s v="Large Mouth Bass"/>
    <s v="Micropterus"/>
    <s v="gibbosus"/>
    <s v="U"/>
    <x v="0"/>
    <n v="8"/>
    <n v="11.81"/>
    <x v="17"/>
    <s v="1763-23-1"/>
    <x v="17"/>
    <n v="1690"/>
  </r>
  <r>
    <s v="LMB002-JBA-08162021"/>
    <s v="Down"/>
    <x v="1"/>
    <s v="Large Mouth Bass"/>
    <s v="Micropterus"/>
    <s v="gibbosus"/>
    <s v="U"/>
    <x v="0"/>
    <n v="8"/>
    <n v="11.81"/>
    <x v="18"/>
    <s v="68259-12-1"/>
    <x v="18"/>
    <n v="2.64"/>
  </r>
  <r>
    <s v="LMB002-JBA-08162021"/>
    <s v="Down"/>
    <x v="1"/>
    <s v="Large Mouth Bass"/>
    <s v="Micropterus"/>
    <s v="gibbosus"/>
    <s v="U"/>
    <x v="0"/>
    <n v="8"/>
    <n v="11.81"/>
    <x v="19"/>
    <s v="335-77-3"/>
    <x v="19"/>
    <n v="1.63"/>
  </r>
  <r>
    <s v="LMB002-JBA-08162021"/>
    <s v="Down"/>
    <x v="1"/>
    <s v="Large Mouth Bass"/>
    <s v="Micropterus"/>
    <s v="gibbosus"/>
    <s v="U"/>
    <x v="0"/>
    <n v="8"/>
    <n v="11.81"/>
    <x v="20"/>
    <s v="79780-39-5"/>
    <x v="20"/>
    <n v="0.23799999999999999"/>
  </r>
  <r>
    <s v="LMB002-JBA-08162021"/>
    <s v="Down"/>
    <x v="1"/>
    <s v="Large Mouth Bass"/>
    <s v="Micropterus"/>
    <s v="gibbosus"/>
    <s v="U"/>
    <x v="0"/>
    <n v="8"/>
    <n v="11.81"/>
    <x v="21"/>
    <s v="777011-38-8"/>
    <x v="21"/>
    <n v="0.48299999999999998"/>
  </r>
  <r>
    <s v="LMB002-JBA-08162021"/>
    <s v="Down"/>
    <x v="1"/>
    <s v="Large Mouth Bass"/>
    <s v="Micropterus"/>
    <s v="gibbosus"/>
    <s v="U"/>
    <x v="0"/>
    <n v="8"/>
    <n v="11.81"/>
    <x v="22"/>
    <s v="646-83-3"/>
    <x v="22"/>
    <n v="0.44700000000000001"/>
  </r>
  <r>
    <s v="LMB002-JBA-08162021"/>
    <s v="Down"/>
    <x v="1"/>
    <s v="Large Mouth Bass"/>
    <s v="Micropterus"/>
    <s v="gibbosus"/>
    <s v="U"/>
    <x v="0"/>
    <n v="8"/>
    <n v="11.81"/>
    <x v="23"/>
    <s v="30334-69-1"/>
    <x v="23"/>
    <n v="70.7"/>
  </r>
  <r>
    <s v="LMB002-JBA-08162021"/>
    <s v="Down"/>
    <x v="1"/>
    <s v="Large Mouth Bass"/>
    <s v="Micropterus"/>
    <s v="gibbosus"/>
    <s v="U"/>
    <x v="0"/>
    <n v="8"/>
    <n v="11.81"/>
    <x v="24"/>
    <s v="41997-13-1"/>
    <x v="24"/>
    <n v="89.3"/>
  </r>
  <r>
    <s v="LMB002-JBA-08162021"/>
    <s v="Down"/>
    <x v="1"/>
    <s v="Large Mouth Bass"/>
    <s v="Micropterus"/>
    <s v="gibbosus"/>
    <s v="U"/>
    <x v="0"/>
    <n v="8"/>
    <n v="11.81"/>
    <x v="25"/>
    <s v="754-91-6"/>
    <x v="25"/>
    <n v="16.8"/>
  </r>
  <r>
    <s v="LMB002-JBA-08162021"/>
    <s v="Down"/>
    <x v="1"/>
    <s v="Large Mouth Bass"/>
    <s v="Micropterus"/>
    <s v="gibbosus"/>
    <s v="U"/>
    <x v="0"/>
    <n v="8"/>
    <n v="11.81"/>
    <x v="26"/>
    <s v="31506-32-8"/>
    <x v="26"/>
    <n v="0.17150000000000001"/>
  </r>
  <r>
    <s v="LMB002-JBA-08162021"/>
    <s v="Down"/>
    <x v="1"/>
    <s v="Large Mouth Bass"/>
    <s v="Micropterus"/>
    <s v="gibbosus"/>
    <s v="U"/>
    <x v="0"/>
    <n v="8"/>
    <n v="11.81"/>
    <x v="27"/>
    <s v="4151-50-2"/>
    <x v="27"/>
    <n v="0.44550000000000001"/>
  </r>
  <r>
    <s v="LMB002-JBA-08162021"/>
    <s v="Down"/>
    <x v="1"/>
    <s v="Large Mouth Bass"/>
    <s v="Micropterus"/>
    <s v="gibbosus"/>
    <s v="U"/>
    <x v="0"/>
    <n v="8"/>
    <n v="11.81"/>
    <x v="28"/>
    <s v="2806-24-8"/>
    <x v="28"/>
    <n v="0.44550000000000001"/>
  </r>
  <r>
    <s v="LMB002-JBA-08162021"/>
    <s v="Down"/>
    <x v="1"/>
    <s v="Large Mouth Bass"/>
    <s v="Micropterus"/>
    <s v="gibbosus"/>
    <s v="U"/>
    <x v="0"/>
    <n v="8"/>
    <n v="11.81"/>
    <x v="29"/>
    <s v="2355-31-9"/>
    <x v="29"/>
    <n v="0.224"/>
  </r>
  <r>
    <s v="LMB002-JBA-08162021"/>
    <s v="Down"/>
    <x v="1"/>
    <s v="Large Mouth Bass"/>
    <s v="Micropterus"/>
    <s v="gibbosus"/>
    <s v="U"/>
    <x v="0"/>
    <n v="8"/>
    <n v="11.81"/>
    <x v="30"/>
    <s v="2991-50-6"/>
    <x v="30"/>
    <n v="0.223"/>
  </r>
  <r>
    <s v="LMB002-JBA-08162021"/>
    <s v="Down"/>
    <x v="1"/>
    <s v="Large Mouth Bass"/>
    <s v="Micropterus"/>
    <s v="gibbosus"/>
    <s v="U"/>
    <x v="0"/>
    <n v="8"/>
    <n v="11.81"/>
    <x v="31"/>
    <s v="757124-72-4"/>
    <x v="31"/>
    <n v="0.223"/>
  </r>
  <r>
    <s v="LMB002-JBA-08162021"/>
    <s v="Down"/>
    <x v="1"/>
    <s v="Large Mouth Bass"/>
    <s v="Micropterus"/>
    <s v="gibbosus"/>
    <s v="U"/>
    <x v="0"/>
    <n v="8"/>
    <n v="11.81"/>
    <x v="32"/>
    <s v="27619-97-2"/>
    <x v="32"/>
    <n v="0.223"/>
  </r>
  <r>
    <s v="LMB002-JBA-08162021"/>
    <s v="Down"/>
    <x v="1"/>
    <s v="Large Mouth Bass"/>
    <s v="Micropterus"/>
    <s v="gibbosus"/>
    <s v="U"/>
    <x v="0"/>
    <n v="8"/>
    <n v="11.81"/>
    <x v="33"/>
    <s v="39108-34-4"/>
    <x v="33"/>
    <n v="7.04"/>
  </r>
  <r>
    <s v="LMB002-JBA-08162021"/>
    <s v="Down"/>
    <x v="1"/>
    <s v="Large Mouth Bass"/>
    <s v="Micropterus"/>
    <s v="gibbosus"/>
    <s v="U"/>
    <x v="0"/>
    <n v="8"/>
    <n v="11.81"/>
    <x v="34"/>
    <s v="120226-60-0"/>
    <x v="34"/>
    <n v="0.44550000000000001"/>
  </r>
  <r>
    <s v="LMB002-JBA-08162021"/>
    <s v="Down"/>
    <x v="1"/>
    <s v="Large Mouth Bass"/>
    <s v="Micropterus"/>
    <s v="gibbosus"/>
    <s v="U"/>
    <x v="0"/>
    <n v="8"/>
    <n v="11.81"/>
    <x v="35"/>
    <s v="356-02-5"/>
    <x v="35"/>
    <n v="0.25700000000000001"/>
  </r>
  <r>
    <s v="LMB002-JBA-08162021"/>
    <s v="Down"/>
    <x v="1"/>
    <s v="Large Mouth Bass"/>
    <s v="Micropterus"/>
    <s v="gibbosus"/>
    <s v="U"/>
    <x v="0"/>
    <n v="8"/>
    <n v="11.81"/>
    <x v="36"/>
    <s v="914637-49-3"/>
    <x v="36"/>
    <n v="0.223"/>
  </r>
  <r>
    <s v="LMB002-JBA-08162021"/>
    <s v="Down"/>
    <x v="1"/>
    <s v="Large Mouth Bass"/>
    <s v="Micropterus"/>
    <s v="gibbosus"/>
    <s v="U"/>
    <x v="0"/>
    <n v="8"/>
    <n v="11.81"/>
    <x v="37"/>
    <s v="812-70-4"/>
    <x v="37"/>
    <n v="2.57"/>
  </r>
  <r>
    <s v="LMB002-JBA-08162021"/>
    <s v="Down"/>
    <x v="1"/>
    <s v="Large Mouth Bass"/>
    <s v="Micropterus"/>
    <s v="gibbosus"/>
    <s v="U"/>
    <x v="0"/>
    <n v="8"/>
    <n v="11.81"/>
    <x v="38"/>
    <s v="53826-12-3"/>
    <x v="38"/>
    <n v="0.44550000000000001"/>
  </r>
  <r>
    <s v="LMB002-JBA-08162021"/>
    <s v="Down"/>
    <x v="1"/>
    <s v="Large Mouth Bass"/>
    <s v="Micropterus"/>
    <s v="gibbosus"/>
    <s v="U"/>
    <x v="0"/>
    <n v="8"/>
    <n v="11.81"/>
    <x v="39"/>
    <s v="27854-31-5"/>
    <x v="39"/>
    <n v="0.44550000000000001"/>
  </r>
  <r>
    <s v="LMB002-JBA-08162021"/>
    <s v="Down"/>
    <x v="1"/>
    <s v="Large Mouth Bass"/>
    <s v="Micropterus"/>
    <s v="gibbosus"/>
    <s v="U"/>
    <x v="0"/>
    <n v="8"/>
    <n v="11.81"/>
    <x v="40"/>
    <s v="53826-13-4"/>
    <x v="40"/>
    <n v="0.44550000000000001"/>
  </r>
  <r>
    <s v="LMB002-JBA-08162021"/>
    <s v="Down"/>
    <x v="1"/>
    <s v="Large Mouth Bass"/>
    <s v="Micropterus"/>
    <s v="gibbosus"/>
    <s v="U"/>
    <x v="0"/>
    <n v="8"/>
    <n v="11.81"/>
    <x v="41"/>
    <s v="161094-75-3"/>
    <x v="41"/>
    <n v="0.44550000000000001"/>
  </r>
  <r>
    <s v="LMB002-JBA-08162021"/>
    <s v="Down"/>
    <x v="1"/>
    <s v="Large Mouth Bass"/>
    <s v="Micropterus"/>
    <s v="gibbosus"/>
    <s v="U"/>
    <x v="0"/>
    <n v="8"/>
    <n v="11.81"/>
    <x v="42"/>
    <s v="70887-84-2"/>
    <x v="42"/>
    <n v="0.44550000000000001"/>
  </r>
  <r>
    <s v="LMB002-JBA-08162021"/>
    <s v="Down"/>
    <x v="1"/>
    <s v="Large Mouth Bass"/>
    <s v="Micropterus"/>
    <s v="gibbosus"/>
    <s v="U"/>
    <x v="0"/>
    <n v="8"/>
    <n v="11.81"/>
    <x v="43"/>
    <s v="919005-14-4"/>
    <x v="43"/>
    <n v="0.89900000000000002"/>
  </r>
  <r>
    <s v="LMB002-JBA-08162021"/>
    <s v="Down"/>
    <x v="1"/>
    <s v="Large Mouth Bass"/>
    <s v="Micropterus"/>
    <s v="gibbosus"/>
    <s v="U"/>
    <x v="0"/>
    <n v="8"/>
    <n v="11.81"/>
    <x v="44"/>
    <s v="756426-58-1"/>
    <x v="44"/>
    <n v="0.44550000000000001"/>
  </r>
  <r>
    <s v="LMB002-JBA-08162021"/>
    <s v="Down"/>
    <x v="1"/>
    <s v="Large Mouth Bass"/>
    <s v="Micropterus"/>
    <s v="gibbosus"/>
    <s v="U"/>
    <x v="0"/>
    <n v="8"/>
    <n v="11.81"/>
    <x v="45"/>
    <s v="763051-92-9"/>
    <x v="45"/>
    <n v="0.44550000000000001"/>
  </r>
  <r>
    <s v="LMB002-JBA-08162021"/>
    <s v="Down"/>
    <x v="1"/>
    <s v="Large Mouth Bass"/>
    <s v="Micropterus"/>
    <s v="gibbosus"/>
    <s v="U"/>
    <x v="0"/>
    <n v="8"/>
    <n v="11.81"/>
    <x v="46"/>
    <s v="13252-13-6"/>
    <x v="46"/>
    <n v="0.31950000000000001"/>
  </r>
  <r>
    <s v="LMB002-JBA-08162021"/>
    <s v="Down"/>
    <x v="1"/>
    <s v="Large Mouth Bass"/>
    <s v="Micropterus"/>
    <s v="gibbosus"/>
    <s v="U"/>
    <x v="0"/>
    <n v="8"/>
    <n v="11.81"/>
    <x v="47"/>
    <s v="57677-95-9"/>
    <x v="47"/>
    <n v="0.44550000000000001"/>
  </r>
  <r>
    <s v="LMB002-JBA-08162021"/>
    <s v="Down"/>
    <x v="1"/>
    <s v="Large Mouth Bass"/>
    <s v="Micropterus"/>
    <s v="gibbosus"/>
    <s v="U"/>
    <x v="0"/>
    <n v="8"/>
    <n v="11.81"/>
    <x v="48"/>
    <s v="678-41-1"/>
    <x v="48"/>
    <n v="0.44550000000000001"/>
  </r>
  <r>
    <s v="LMB002-JBA-08162021"/>
    <s v="Down"/>
    <x v="1"/>
    <s v="Large Mouth Bass"/>
    <s v="Micropterus"/>
    <s v="gibbosus"/>
    <s v="U"/>
    <x v="0"/>
    <n v="8"/>
    <n v="11.81"/>
    <x v="49"/>
    <s v="2965-52-8"/>
    <x v="49"/>
    <n v="0.44550000000000001"/>
  </r>
  <r>
    <s v="CC010-JBA-08162021"/>
    <s v="Down"/>
    <x v="1"/>
    <s v="Dace. Sp"/>
    <s v="Rhinichthys"/>
    <s v="gibbosus"/>
    <s v="U"/>
    <x v="0"/>
    <n v="8"/>
    <n v="11.81"/>
    <x v="0"/>
    <s v="375-22-4"/>
    <x v="0"/>
    <n v="0.23649999999999999"/>
  </r>
  <r>
    <s v="CC010-JBA-08162021"/>
    <s v="Down"/>
    <x v="1"/>
    <s v="Dace. Sp"/>
    <s v="Rhinichthys"/>
    <s v="gibbosus"/>
    <s v="U"/>
    <x v="0"/>
    <n v="8"/>
    <n v="11.81"/>
    <x v="1"/>
    <s v="2706-90-3"/>
    <x v="1"/>
    <n v="0.23649999999999999"/>
  </r>
  <r>
    <s v="CC010-JBA-08162021"/>
    <s v="Down"/>
    <x v="1"/>
    <s v="Dace. Sp"/>
    <s v="Rhinichthys"/>
    <s v="gibbosus"/>
    <s v="U"/>
    <x v="0"/>
    <n v="8"/>
    <n v="11.81"/>
    <x v="2"/>
    <s v="307-24-4"/>
    <x v="2"/>
    <n v="0.1275"/>
  </r>
  <r>
    <s v="CC010-JBA-08162021"/>
    <s v="Down"/>
    <x v="1"/>
    <s v="Dace. Sp"/>
    <s v="Rhinichthys"/>
    <s v="gibbosus"/>
    <s v="U"/>
    <x v="0"/>
    <n v="8"/>
    <n v="11.81"/>
    <x v="3"/>
    <s v="375-85-9"/>
    <x v="3"/>
    <n v="0.23649999999999999"/>
  </r>
  <r>
    <s v="CC010-JBA-08162021"/>
    <s v="Down"/>
    <x v="1"/>
    <s v="Dace. Sp"/>
    <s v="Rhinichthys"/>
    <s v="gibbosus"/>
    <s v="U"/>
    <x v="0"/>
    <n v="8"/>
    <n v="11.81"/>
    <x v="4"/>
    <s v="335-67-1"/>
    <x v="4"/>
    <n v="2.11"/>
  </r>
  <r>
    <s v="CC010-JBA-08162021"/>
    <s v="Down"/>
    <x v="1"/>
    <s v="Dace. Sp"/>
    <s v="Rhinichthys"/>
    <s v="gibbosus"/>
    <s v="U"/>
    <x v="0"/>
    <n v="8"/>
    <n v="11.81"/>
    <x v="5"/>
    <s v="375-95-1"/>
    <x v="5"/>
    <n v="1.44"/>
  </r>
  <r>
    <s v="CC010-JBA-08162021"/>
    <s v="Down"/>
    <x v="1"/>
    <s v="Dace. Sp"/>
    <s v="Rhinichthys"/>
    <s v="gibbosus"/>
    <s v="U"/>
    <x v="0"/>
    <n v="8"/>
    <n v="11.81"/>
    <x v="6"/>
    <s v="335-76-2"/>
    <x v="6"/>
    <n v="5.55"/>
  </r>
  <r>
    <s v="CC010-JBA-08162021"/>
    <s v="Down"/>
    <x v="1"/>
    <s v="Dace. Sp"/>
    <s v="Rhinichthys"/>
    <s v="gibbosus"/>
    <s v="U"/>
    <x v="0"/>
    <n v="8"/>
    <n v="11.81"/>
    <x v="7"/>
    <s v="2058-94-8"/>
    <x v="7"/>
    <n v="8.93"/>
  </r>
  <r>
    <s v="CC010-JBA-08162021"/>
    <s v="Down"/>
    <x v="1"/>
    <s v="Dace. Sp"/>
    <s v="Rhinichthys"/>
    <s v="gibbosus"/>
    <s v="U"/>
    <x v="0"/>
    <n v="8"/>
    <n v="11.81"/>
    <x v="8"/>
    <s v="307-55-1"/>
    <x v="8"/>
    <n v="22.4"/>
  </r>
  <r>
    <s v="CC010-JBA-08162021"/>
    <s v="Down"/>
    <x v="1"/>
    <s v="Dace. Sp"/>
    <s v="Rhinichthys"/>
    <s v="gibbosus"/>
    <s v="U"/>
    <x v="0"/>
    <n v="8"/>
    <n v="11.81"/>
    <x v="9"/>
    <s v="72629-94-8"/>
    <x v="9"/>
    <n v="7.06"/>
  </r>
  <r>
    <s v="CC010-JBA-08162021"/>
    <s v="Down"/>
    <x v="1"/>
    <s v="Dace. Sp"/>
    <s v="Rhinichthys"/>
    <s v="gibbosus"/>
    <s v="U"/>
    <x v="0"/>
    <n v="8"/>
    <n v="11.81"/>
    <x v="10"/>
    <s v="376-06-7"/>
    <x v="10"/>
    <n v="4.9800000000000004"/>
  </r>
  <r>
    <s v="CC010-JBA-08162021"/>
    <s v="Down"/>
    <x v="1"/>
    <s v="Dace. Sp"/>
    <s v="Rhinichthys"/>
    <s v="gibbosus"/>
    <s v="U"/>
    <x v="0"/>
    <n v="8"/>
    <n v="11.81"/>
    <x v="11"/>
    <s v="67905-19-5"/>
    <x v="11"/>
    <n v="0.28199999999999997"/>
  </r>
  <r>
    <s v="CC010-JBA-08162021"/>
    <s v="Down"/>
    <x v="1"/>
    <s v="Dace. Sp"/>
    <s v="Rhinichthys"/>
    <s v="gibbosus"/>
    <s v="U"/>
    <x v="0"/>
    <n v="8"/>
    <n v="11.81"/>
    <x v="12"/>
    <s v="423-41-6"/>
    <x v="12"/>
    <n v="0.47299999999999998"/>
  </r>
  <r>
    <s v="CC010-JBA-08162021"/>
    <s v="Down"/>
    <x v="1"/>
    <s v="Dace. Sp"/>
    <s v="Rhinichthys"/>
    <s v="gibbosus"/>
    <s v="U"/>
    <x v="0"/>
    <n v="8"/>
    <n v="11.81"/>
    <x v="13"/>
    <s v="375-73-5"/>
    <x v="13"/>
    <n v="0.161"/>
  </r>
  <r>
    <s v="CC010-JBA-08162021"/>
    <s v="Down"/>
    <x v="1"/>
    <s v="Dace. Sp"/>
    <s v="Rhinichthys"/>
    <s v="gibbosus"/>
    <s v="U"/>
    <x v="0"/>
    <n v="8"/>
    <n v="11.81"/>
    <x v="14"/>
    <s v="2706-91-4"/>
    <x v="14"/>
    <n v="0.64400000000000002"/>
  </r>
  <r>
    <s v="CC010-JBA-08162021"/>
    <s v="Down"/>
    <x v="1"/>
    <s v="Dace. Sp"/>
    <s v="Rhinichthys"/>
    <s v="gibbosus"/>
    <s v="U"/>
    <x v="0"/>
    <n v="8"/>
    <n v="11.81"/>
    <x v="15"/>
    <s v="355-46-4"/>
    <x v="15"/>
    <n v="56.5"/>
  </r>
  <r>
    <s v="CC010-JBA-08162021"/>
    <s v="Down"/>
    <x v="1"/>
    <s v="Dace. Sp"/>
    <s v="Rhinichthys"/>
    <s v="gibbosus"/>
    <s v="U"/>
    <x v="0"/>
    <n v="8"/>
    <n v="11.81"/>
    <x v="16"/>
    <s v="375-92-8"/>
    <x v="16"/>
    <n v="16.399999999999999"/>
  </r>
  <r>
    <s v="CC010-JBA-08162021"/>
    <s v="Down"/>
    <x v="1"/>
    <s v="Dace. Sp"/>
    <s v="Rhinichthys"/>
    <s v="gibbosus"/>
    <s v="U"/>
    <x v="0"/>
    <n v="8"/>
    <n v="11.81"/>
    <x v="17"/>
    <s v="1763-23-1"/>
    <x v="17"/>
    <n v="917"/>
  </r>
  <r>
    <s v="CC010-JBA-08162021"/>
    <s v="Down"/>
    <x v="1"/>
    <s v="Dace. Sp"/>
    <s v="Rhinichthys"/>
    <s v="gibbosus"/>
    <s v="U"/>
    <x v="0"/>
    <n v="8"/>
    <n v="11.81"/>
    <x v="18"/>
    <s v="68259-12-1"/>
    <x v="18"/>
    <n v="1.96"/>
  </r>
  <r>
    <s v="CC010-JBA-08162021"/>
    <s v="Down"/>
    <x v="1"/>
    <s v="Dace. Sp"/>
    <s v="Rhinichthys"/>
    <s v="gibbosus"/>
    <s v="U"/>
    <x v="0"/>
    <n v="8"/>
    <n v="11.81"/>
    <x v="19"/>
    <s v="335-77-3"/>
    <x v="19"/>
    <n v="3.72"/>
  </r>
  <r>
    <s v="CC010-JBA-08162021"/>
    <s v="Down"/>
    <x v="1"/>
    <s v="Dace. Sp"/>
    <s v="Rhinichthys"/>
    <s v="gibbosus"/>
    <s v="U"/>
    <x v="0"/>
    <n v="8"/>
    <n v="11.81"/>
    <x v="20"/>
    <s v="79780-39-5"/>
    <x v="20"/>
    <n v="2.67"/>
  </r>
  <r>
    <s v="CC010-JBA-08162021"/>
    <s v="Down"/>
    <x v="1"/>
    <s v="Dace. Sp"/>
    <s v="Rhinichthys"/>
    <s v="gibbosus"/>
    <s v="U"/>
    <x v="0"/>
    <n v="8"/>
    <n v="11.81"/>
    <x v="21"/>
    <s v="777011-38-8"/>
    <x v="21"/>
    <n v="0.86299999999999999"/>
  </r>
  <r>
    <s v="CC010-JBA-08162021"/>
    <s v="Down"/>
    <x v="1"/>
    <s v="Dace. Sp"/>
    <s v="Rhinichthys"/>
    <s v="gibbosus"/>
    <s v="U"/>
    <x v="0"/>
    <n v="8"/>
    <n v="11.81"/>
    <x v="22"/>
    <s v="646-83-3"/>
    <x v="22"/>
    <n v="0.57399999999999995"/>
  </r>
  <r>
    <s v="CC010-JBA-08162021"/>
    <s v="Down"/>
    <x v="1"/>
    <s v="Dace. Sp"/>
    <s v="Rhinichthys"/>
    <s v="gibbosus"/>
    <s v="U"/>
    <x v="0"/>
    <n v="8"/>
    <n v="11.81"/>
    <x v="23"/>
    <s v="30334-69-1"/>
    <x v="23"/>
    <n v="15.5"/>
  </r>
  <r>
    <s v="CC010-JBA-08162021"/>
    <s v="Down"/>
    <x v="1"/>
    <s v="Dace. Sp"/>
    <s v="Rhinichthys"/>
    <s v="gibbosus"/>
    <s v="U"/>
    <x v="0"/>
    <n v="8"/>
    <n v="11.81"/>
    <x v="24"/>
    <s v="41997-13-1"/>
    <x v="24"/>
    <n v="80.8"/>
  </r>
  <r>
    <s v="CC010-JBA-08162021"/>
    <s v="Down"/>
    <x v="1"/>
    <s v="Dace. Sp"/>
    <s v="Rhinichthys"/>
    <s v="gibbosus"/>
    <s v="U"/>
    <x v="0"/>
    <n v="8"/>
    <n v="11.81"/>
    <x v="25"/>
    <s v="754-91-6"/>
    <x v="25"/>
    <n v="4.92"/>
  </r>
  <r>
    <s v="CC010-JBA-08162021"/>
    <s v="Down"/>
    <x v="1"/>
    <s v="Dace. Sp"/>
    <s v="Rhinichthys"/>
    <s v="gibbosus"/>
    <s v="U"/>
    <x v="0"/>
    <n v="8"/>
    <n v="11.81"/>
    <x v="26"/>
    <s v="31506-32-8"/>
    <x v="26"/>
    <n v="0.182"/>
  </r>
  <r>
    <s v="CC010-JBA-08162021"/>
    <s v="Down"/>
    <x v="1"/>
    <s v="Dace. Sp"/>
    <s v="Rhinichthys"/>
    <s v="gibbosus"/>
    <s v="U"/>
    <x v="0"/>
    <n v="8"/>
    <n v="11.81"/>
    <x v="27"/>
    <s v="4151-50-2"/>
    <x v="27"/>
    <n v="0.47299999999999998"/>
  </r>
  <r>
    <s v="CC010-JBA-08162021"/>
    <s v="Down"/>
    <x v="1"/>
    <s v="Dace. Sp"/>
    <s v="Rhinichthys"/>
    <s v="gibbosus"/>
    <s v="U"/>
    <x v="0"/>
    <n v="8"/>
    <n v="11.81"/>
    <x v="28"/>
    <s v="2806-24-8"/>
    <x v="28"/>
    <n v="0.47299999999999998"/>
  </r>
  <r>
    <s v="CC010-JBA-08162021"/>
    <s v="Down"/>
    <x v="1"/>
    <s v="Dace. Sp"/>
    <s v="Rhinichthys"/>
    <s v="gibbosus"/>
    <s v="U"/>
    <x v="0"/>
    <n v="8"/>
    <n v="11.81"/>
    <x v="29"/>
    <s v="2355-31-9"/>
    <x v="29"/>
    <n v="0.23799999999999999"/>
  </r>
  <r>
    <s v="CC010-JBA-08162021"/>
    <s v="Down"/>
    <x v="1"/>
    <s v="Dace. Sp"/>
    <s v="Rhinichthys"/>
    <s v="gibbosus"/>
    <s v="U"/>
    <x v="0"/>
    <n v="8"/>
    <n v="11.81"/>
    <x v="30"/>
    <s v="2991-50-6"/>
    <x v="30"/>
    <n v="0.23649999999999999"/>
  </r>
  <r>
    <s v="CC010-JBA-08162021"/>
    <s v="Down"/>
    <x v="1"/>
    <s v="Dace. Sp"/>
    <s v="Rhinichthys"/>
    <s v="gibbosus"/>
    <s v="U"/>
    <x v="0"/>
    <n v="8"/>
    <n v="11.81"/>
    <x v="31"/>
    <s v="757124-72-4"/>
    <x v="31"/>
    <n v="0.23649999999999999"/>
  </r>
  <r>
    <s v="CC010-JBA-08162021"/>
    <s v="Down"/>
    <x v="1"/>
    <s v="Dace. Sp"/>
    <s v="Rhinichthys"/>
    <s v="gibbosus"/>
    <s v="U"/>
    <x v="0"/>
    <n v="8"/>
    <n v="11.81"/>
    <x v="32"/>
    <s v="27619-97-2"/>
    <x v="32"/>
    <n v="0.23649999999999999"/>
  </r>
  <r>
    <s v="CC010-JBA-08162021"/>
    <s v="Down"/>
    <x v="1"/>
    <s v="Dace. Sp"/>
    <s v="Rhinichthys"/>
    <s v="gibbosus"/>
    <s v="U"/>
    <x v="0"/>
    <n v="8"/>
    <n v="11.81"/>
    <x v="33"/>
    <s v="39108-34-4"/>
    <x v="33"/>
    <n v="8.59"/>
  </r>
  <r>
    <s v="CC010-JBA-08162021"/>
    <s v="Down"/>
    <x v="1"/>
    <s v="Dace. Sp"/>
    <s v="Rhinichthys"/>
    <s v="gibbosus"/>
    <s v="U"/>
    <x v="0"/>
    <n v="8"/>
    <n v="11.81"/>
    <x v="34"/>
    <s v="120226-60-0"/>
    <x v="34"/>
    <n v="0.47299999999999998"/>
  </r>
  <r>
    <s v="CC010-JBA-08162021"/>
    <s v="Down"/>
    <x v="1"/>
    <s v="Dace. Sp"/>
    <s v="Rhinichthys"/>
    <s v="gibbosus"/>
    <s v="U"/>
    <x v="0"/>
    <n v="8"/>
    <n v="11.81"/>
    <x v="35"/>
    <s v="356-02-5"/>
    <x v="35"/>
    <n v="0.27300000000000002"/>
  </r>
  <r>
    <s v="CC010-JBA-08162021"/>
    <s v="Down"/>
    <x v="1"/>
    <s v="Dace. Sp"/>
    <s v="Rhinichthys"/>
    <s v="gibbosus"/>
    <s v="U"/>
    <x v="0"/>
    <n v="8"/>
    <n v="11.81"/>
    <x v="36"/>
    <s v="914637-49-3"/>
    <x v="36"/>
    <n v="0.23649999999999999"/>
  </r>
  <r>
    <s v="CC010-JBA-08162021"/>
    <s v="Down"/>
    <x v="1"/>
    <s v="Dace. Sp"/>
    <s v="Rhinichthys"/>
    <s v="gibbosus"/>
    <s v="U"/>
    <x v="0"/>
    <n v="8"/>
    <n v="11.81"/>
    <x v="37"/>
    <s v="812-70-4"/>
    <x v="37"/>
    <n v="0.23649999999999999"/>
  </r>
  <r>
    <s v="CC010-JBA-08162021"/>
    <s v="Down"/>
    <x v="1"/>
    <s v="Dace. Sp"/>
    <s v="Rhinichthys"/>
    <s v="gibbosus"/>
    <s v="U"/>
    <x v="0"/>
    <n v="8"/>
    <n v="11.81"/>
    <x v="38"/>
    <s v="53826-12-3"/>
    <x v="38"/>
    <n v="0.47299999999999998"/>
  </r>
  <r>
    <s v="CC010-JBA-08162021"/>
    <s v="Down"/>
    <x v="1"/>
    <s v="Dace. Sp"/>
    <s v="Rhinichthys"/>
    <s v="gibbosus"/>
    <s v="U"/>
    <x v="0"/>
    <n v="8"/>
    <n v="11.81"/>
    <x v="39"/>
    <s v="27854-31-5"/>
    <x v="39"/>
    <n v="0.47299999999999998"/>
  </r>
  <r>
    <s v="CC010-JBA-08162021"/>
    <s v="Down"/>
    <x v="1"/>
    <s v="Dace. Sp"/>
    <s v="Rhinichthys"/>
    <s v="gibbosus"/>
    <s v="U"/>
    <x v="0"/>
    <n v="8"/>
    <n v="11.81"/>
    <x v="40"/>
    <s v="53826-13-4"/>
    <x v="40"/>
    <n v="0.47299999999999998"/>
  </r>
  <r>
    <s v="CC010-JBA-08162021"/>
    <s v="Down"/>
    <x v="1"/>
    <s v="Dace. Sp"/>
    <s v="Rhinichthys"/>
    <s v="gibbosus"/>
    <s v="U"/>
    <x v="0"/>
    <n v="8"/>
    <n v="11.81"/>
    <x v="41"/>
    <s v="161094-75-3"/>
    <x v="41"/>
    <n v="0.47299999999999998"/>
  </r>
  <r>
    <s v="CC010-JBA-08162021"/>
    <s v="Down"/>
    <x v="1"/>
    <s v="Dace. Sp"/>
    <s v="Rhinichthys"/>
    <s v="gibbosus"/>
    <s v="U"/>
    <x v="0"/>
    <n v="8"/>
    <n v="11.81"/>
    <x v="42"/>
    <s v="70887-84-2"/>
    <x v="42"/>
    <n v="0.47299999999999998"/>
  </r>
  <r>
    <s v="CC010-JBA-08162021"/>
    <s v="Down"/>
    <x v="1"/>
    <s v="Dace. Sp"/>
    <s v="Rhinichthys"/>
    <s v="gibbosus"/>
    <s v="U"/>
    <x v="0"/>
    <n v="8"/>
    <n v="11.81"/>
    <x v="43"/>
    <s v="919005-14-4"/>
    <x v="43"/>
    <n v="0.23649999999999999"/>
  </r>
  <r>
    <s v="CC010-JBA-08162021"/>
    <s v="Down"/>
    <x v="1"/>
    <s v="Dace. Sp"/>
    <s v="Rhinichthys"/>
    <s v="gibbosus"/>
    <s v="U"/>
    <x v="0"/>
    <n v="8"/>
    <n v="11.81"/>
    <x v="44"/>
    <s v="756426-58-1"/>
    <x v="44"/>
    <n v="0.47299999999999998"/>
  </r>
  <r>
    <s v="CC010-JBA-08162021"/>
    <s v="Down"/>
    <x v="1"/>
    <s v="Dace. Sp"/>
    <s v="Rhinichthys"/>
    <s v="gibbosus"/>
    <s v="U"/>
    <x v="0"/>
    <n v="8"/>
    <n v="11.81"/>
    <x v="45"/>
    <s v="763051-92-9"/>
    <x v="45"/>
    <n v="0.47299999999999998"/>
  </r>
  <r>
    <s v="CC010-JBA-08162021"/>
    <s v="Down"/>
    <x v="1"/>
    <s v="Dace. Sp"/>
    <s v="Rhinichthys"/>
    <s v="gibbosus"/>
    <s v="U"/>
    <x v="0"/>
    <n v="8"/>
    <n v="11.81"/>
    <x v="46"/>
    <s v="13252-13-6"/>
    <x v="46"/>
    <n v="0.33950000000000002"/>
  </r>
  <r>
    <s v="CC010-JBA-08162021"/>
    <s v="Down"/>
    <x v="1"/>
    <s v="Dace. Sp"/>
    <s v="Rhinichthys"/>
    <s v="gibbosus"/>
    <s v="U"/>
    <x v="0"/>
    <n v="8"/>
    <n v="11.81"/>
    <x v="47"/>
    <s v="57677-95-9"/>
    <x v="47"/>
    <n v="0.47299999999999998"/>
  </r>
  <r>
    <s v="CC010-JBA-08162021"/>
    <s v="Down"/>
    <x v="1"/>
    <s v="Dace. Sp"/>
    <s v="Rhinichthys"/>
    <s v="gibbosus"/>
    <s v="U"/>
    <x v="0"/>
    <n v="8"/>
    <n v="11.81"/>
    <x v="48"/>
    <s v="678-41-1"/>
    <x v="48"/>
    <n v="0.47299999999999998"/>
  </r>
  <r>
    <s v="CC010-JBA-08162021"/>
    <s v="Down"/>
    <x v="1"/>
    <s v="Dace. Sp"/>
    <s v="Rhinichthys"/>
    <s v="gibbosus"/>
    <s v="U"/>
    <x v="0"/>
    <n v="8"/>
    <n v="11.81"/>
    <x v="49"/>
    <s v="2965-52-8"/>
    <x v="49"/>
    <n v="0.47299999999999998"/>
  </r>
  <r>
    <s v="CC011-JBA-08162021"/>
    <s v="Down"/>
    <x v="1"/>
    <s v="Dace. Sp"/>
    <s v="Rhinichthys"/>
    <s v="gibbosus"/>
    <s v="U"/>
    <x v="0"/>
    <n v="8"/>
    <n v="11.81"/>
    <x v="0"/>
    <s v="375-22-4"/>
    <x v="0"/>
    <n v="0.21099999999999999"/>
  </r>
  <r>
    <s v="CC011-JBA-08162021"/>
    <s v="Down"/>
    <x v="1"/>
    <s v="Dace. Sp"/>
    <s v="Rhinichthys"/>
    <s v="gibbosus"/>
    <s v="U"/>
    <x v="0"/>
    <n v="8"/>
    <n v="11.81"/>
    <x v="1"/>
    <s v="2706-90-3"/>
    <x v="1"/>
    <n v="0.21099999999999999"/>
  </r>
  <r>
    <s v="CC011-JBA-08162021"/>
    <s v="Down"/>
    <x v="1"/>
    <s v="Dace. Sp"/>
    <s v="Rhinichthys"/>
    <s v="gibbosus"/>
    <s v="U"/>
    <x v="0"/>
    <n v="8"/>
    <n v="11.81"/>
    <x v="2"/>
    <s v="307-24-4"/>
    <x v="2"/>
    <n v="0.114"/>
  </r>
  <r>
    <s v="CC011-JBA-08162021"/>
    <s v="Down"/>
    <x v="1"/>
    <s v="Dace. Sp"/>
    <s v="Rhinichthys"/>
    <s v="gibbosus"/>
    <s v="U"/>
    <x v="0"/>
    <n v="8"/>
    <n v="11.81"/>
    <x v="3"/>
    <s v="375-85-9"/>
    <x v="3"/>
    <n v="0.21099999999999999"/>
  </r>
  <r>
    <s v="CC011-JBA-08162021"/>
    <s v="Down"/>
    <x v="1"/>
    <s v="Dace. Sp"/>
    <s v="Rhinichthys"/>
    <s v="gibbosus"/>
    <s v="U"/>
    <x v="0"/>
    <n v="8"/>
    <n v="11.81"/>
    <x v="4"/>
    <s v="335-67-1"/>
    <x v="4"/>
    <n v="1.17"/>
  </r>
  <r>
    <s v="CC011-JBA-08162021"/>
    <s v="Down"/>
    <x v="1"/>
    <s v="Dace. Sp"/>
    <s v="Rhinichthys"/>
    <s v="gibbosus"/>
    <s v="U"/>
    <x v="0"/>
    <n v="8"/>
    <n v="11.81"/>
    <x v="5"/>
    <s v="375-95-1"/>
    <x v="5"/>
    <n v="1.04"/>
  </r>
  <r>
    <s v="CC011-JBA-08162021"/>
    <s v="Down"/>
    <x v="1"/>
    <s v="Dace. Sp"/>
    <s v="Rhinichthys"/>
    <s v="gibbosus"/>
    <s v="U"/>
    <x v="0"/>
    <n v="8"/>
    <n v="11.81"/>
    <x v="6"/>
    <s v="335-76-2"/>
    <x v="6"/>
    <n v="4.87"/>
  </r>
  <r>
    <s v="CC011-JBA-08162021"/>
    <s v="Down"/>
    <x v="1"/>
    <s v="Dace. Sp"/>
    <s v="Rhinichthys"/>
    <s v="gibbosus"/>
    <s v="U"/>
    <x v="0"/>
    <n v="8"/>
    <n v="11.81"/>
    <x v="7"/>
    <s v="2058-94-8"/>
    <x v="7"/>
    <n v="6.42"/>
  </r>
  <r>
    <s v="CC011-JBA-08162021"/>
    <s v="Down"/>
    <x v="1"/>
    <s v="Dace. Sp"/>
    <s v="Rhinichthys"/>
    <s v="gibbosus"/>
    <s v="U"/>
    <x v="0"/>
    <n v="8"/>
    <n v="11.81"/>
    <x v="8"/>
    <s v="307-55-1"/>
    <x v="8"/>
    <n v="7.73"/>
  </r>
  <r>
    <s v="CC011-JBA-08162021"/>
    <s v="Down"/>
    <x v="1"/>
    <s v="Dace. Sp"/>
    <s v="Rhinichthys"/>
    <s v="gibbosus"/>
    <s v="U"/>
    <x v="0"/>
    <n v="8"/>
    <n v="11.81"/>
    <x v="9"/>
    <s v="72629-94-8"/>
    <x v="9"/>
    <n v="3.02"/>
  </r>
  <r>
    <s v="CC011-JBA-08162021"/>
    <s v="Down"/>
    <x v="1"/>
    <s v="Dace. Sp"/>
    <s v="Rhinichthys"/>
    <s v="gibbosus"/>
    <s v="U"/>
    <x v="0"/>
    <n v="8"/>
    <n v="11.81"/>
    <x v="10"/>
    <s v="376-06-7"/>
    <x v="10"/>
    <n v="3.93"/>
  </r>
  <r>
    <s v="CC011-JBA-08162021"/>
    <s v="Down"/>
    <x v="1"/>
    <s v="Dace. Sp"/>
    <s v="Rhinichthys"/>
    <s v="gibbosus"/>
    <s v="U"/>
    <x v="0"/>
    <n v="8"/>
    <n v="11.81"/>
    <x v="11"/>
    <s v="67905-19-5"/>
    <x v="11"/>
    <n v="0.2515"/>
  </r>
  <r>
    <s v="CC011-JBA-08162021"/>
    <s v="Down"/>
    <x v="1"/>
    <s v="Dace. Sp"/>
    <s v="Rhinichthys"/>
    <s v="gibbosus"/>
    <s v="U"/>
    <x v="0"/>
    <n v="8"/>
    <n v="11.81"/>
    <x v="12"/>
    <s v="423-41-6"/>
    <x v="12"/>
    <n v="0.42149999999999999"/>
  </r>
  <r>
    <s v="CC011-JBA-08162021"/>
    <s v="Down"/>
    <x v="1"/>
    <s v="Dace. Sp"/>
    <s v="Rhinichthys"/>
    <s v="gibbosus"/>
    <s v="U"/>
    <x v="0"/>
    <n v="8"/>
    <n v="11.81"/>
    <x v="13"/>
    <s v="375-73-5"/>
    <x v="13"/>
    <n v="0.14349999999999999"/>
  </r>
  <r>
    <s v="CC011-JBA-08162021"/>
    <s v="Down"/>
    <x v="1"/>
    <s v="Dace. Sp"/>
    <s v="Rhinichthys"/>
    <s v="gibbosus"/>
    <s v="U"/>
    <x v="0"/>
    <n v="8"/>
    <n v="11.81"/>
    <x v="14"/>
    <s v="2706-91-4"/>
    <x v="14"/>
    <n v="0.29799999999999999"/>
  </r>
  <r>
    <s v="CC011-JBA-08162021"/>
    <s v="Down"/>
    <x v="1"/>
    <s v="Dace. Sp"/>
    <s v="Rhinichthys"/>
    <s v="gibbosus"/>
    <s v="U"/>
    <x v="0"/>
    <n v="8"/>
    <n v="11.81"/>
    <x v="15"/>
    <s v="355-46-4"/>
    <x v="15"/>
    <n v="27.3"/>
  </r>
  <r>
    <s v="CC011-JBA-08162021"/>
    <s v="Down"/>
    <x v="1"/>
    <s v="Dace. Sp"/>
    <s v="Rhinichthys"/>
    <s v="gibbosus"/>
    <s v="U"/>
    <x v="0"/>
    <n v="8"/>
    <n v="11.81"/>
    <x v="16"/>
    <s v="375-92-8"/>
    <x v="16"/>
    <n v="7.73"/>
  </r>
  <r>
    <s v="CC011-JBA-08162021"/>
    <s v="Down"/>
    <x v="1"/>
    <s v="Dace. Sp"/>
    <s v="Rhinichthys"/>
    <s v="gibbosus"/>
    <s v="U"/>
    <x v="0"/>
    <n v="8"/>
    <n v="11.81"/>
    <x v="17"/>
    <s v="1763-23-1"/>
    <x v="17"/>
    <n v="628"/>
  </r>
  <r>
    <s v="CC011-JBA-08162021"/>
    <s v="Down"/>
    <x v="1"/>
    <s v="Dace. Sp"/>
    <s v="Rhinichthys"/>
    <s v="gibbosus"/>
    <s v="U"/>
    <x v="0"/>
    <n v="8"/>
    <n v="11.81"/>
    <x v="18"/>
    <s v="68259-12-1"/>
    <x v="18"/>
    <n v="0.46800000000000003"/>
  </r>
  <r>
    <s v="CC011-JBA-08162021"/>
    <s v="Down"/>
    <x v="1"/>
    <s v="Dace. Sp"/>
    <s v="Rhinichthys"/>
    <s v="gibbosus"/>
    <s v="U"/>
    <x v="0"/>
    <n v="8"/>
    <n v="11.81"/>
    <x v="19"/>
    <s v="335-77-3"/>
    <x v="19"/>
    <n v="1.26"/>
  </r>
  <r>
    <s v="CC011-JBA-08162021"/>
    <s v="Down"/>
    <x v="1"/>
    <s v="Dace. Sp"/>
    <s v="Rhinichthys"/>
    <s v="gibbosus"/>
    <s v="U"/>
    <x v="0"/>
    <n v="8"/>
    <n v="11.81"/>
    <x v="20"/>
    <s v="79780-39-5"/>
    <x v="20"/>
    <n v="0.50700000000000001"/>
  </r>
  <r>
    <s v="CC011-JBA-08162021"/>
    <s v="Down"/>
    <x v="1"/>
    <s v="Dace. Sp"/>
    <s v="Rhinichthys"/>
    <s v="gibbosus"/>
    <s v="U"/>
    <x v="0"/>
    <n v="8"/>
    <n v="11.81"/>
    <x v="21"/>
    <s v="777011-38-8"/>
    <x v="21"/>
    <n v="0.45100000000000001"/>
  </r>
  <r>
    <s v="CC011-JBA-08162021"/>
    <s v="Down"/>
    <x v="1"/>
    <s v="Dace. Sp"/>
    <s v="Rhinichthys"/>
    <s v="gibbosus"/>
    <s v="U"/>
    <x v="0"/>
    <n v="8"/>
    <n v="11.81"/>
    <x v="22"/>
    <s v="646-83-3"/>
    <x v="22"/>
    <n v="0.29599999999999999"/>
  </r>
  <r>
    <s v="CC011-JBA-08162021"/>
    <s v="Down"/>
    <x v="1"/>
    <s v="Dace. Sp"/>
    <s v="Rhinichthys"/>
    <s v="gibbosus"/>
    <s v="U"/>
    <x v="0"/>
    <n v="8"/>
    <n v="11.81"/>
    <x v="23"/>
    <s v="30334-69-1"/>
    <x v="23"/>
    <n v="50.1"/>
  </r>
  <r>
    <s v="CC011-JBA-08162021"/>
    <s v="Down"/>
    <x v="1"/>
    <s v="Dace. Sp"/>
    <s v="Rhinichthys"/>
    <s v="gibbosus"/>
    <s v="U"/>
    <x v="0"/>
    <n v="8"/>
    <n v="11.81"/>
    <x v="24"/>
    <s v="41997-13-1"/>
    <x v="24"/>
    <n v="417"/>
  </r>
  <r>
    <s v="CC011-JBA-08162021"/>
    <s v="Down"/>
    <x v="1"/>
    <s v="Dace. Sp"/>
    <s v="Rhinichthys"/>
    <s v="gibbosus"/>
    <s v="U"/>
    <x v="0"/>
    <n v="8"/>
    <n v="11.81"/>
    <x v="25"/>
    <s v="754-91-6"/>
    <x v="25"/>
    <n v="18.7"/>
  </r>
  <r>
    <s v="CC011-JBA-08162021"/>
    <s v="Down"/>
    <x v="1"/>
    <s v="Dace. Sp"/>
    <s v="Rhinichthys"/>
    <s v="gibbosus"/>
    <s v="U"/>
    <x v="0"/>
    <n v="8"/>
    <n v="11.81"/>
    <x v="26"/>
    <s v="31506-32-8"/>
    <x v="26"/>
    <n v="0.16250000000000001"/>
  </r>
  <r>
    <s v="CC011-JBA-08162021"/>
    <s v="Down"/>
    <x v="1"/>
    <s v="Dace. Sp"/>
    <s v="Rhinichthys"/>
    <s v="gibbosus"/>
    <s v="U"/>
    <x v="0"/>
    <n v="8"/>
    <n v="11.81"/>
    <x v="27"/>
    <s v="4151-50-2"/>
    <x v="27"/>
    <n v="0.42149999999999999"/>
  </r>
  <r>
    <s v="CC011-JBA-08162021"/>
    <s v="Down"/>
    <x v="1"/>
    <s v="Dace. Sp"/>
    <s v="Rhinichthys"/>
    <s v="gibbosus"/>
    <s v="U"/>
    <x v="0"/>
    <n v="8"/>
    <n v="11.81"/>
    <x v="28"/>
    <s v="2806-24-8"/>
    <x v="28"/>
    <n v="0.42149999999999999"/>
  </r>
  <r>
    <s v="CC011-JBA-08162021"/>
    <s v="Down"/>
    <x v="1"/>
    <s v="Dace. Sp"/>
    <s v="Rhinichthys"/>
    <s v="gibbosus"/>
    <s v="U"/>
    <x v="0"/>
    <n v="8"/>
    <n v="11.81"/>
    <x v="29"/>
    <s v="2355-31-9"/>
    <x v="29"/>
    <n v="0.21199999999999999"/>
  </r>
  <r>
    <s v="CC011-JBA-08162021"/>
    <s v="Down"/>
    <x v="1"/>
    <s v="Dace. Sp"/>
    <s v="Rhinichthys"/>
    <s v="gibbosus"/>
    <s v="U"/>
    <x v="0"/>
    <n v="8"/>
    <n v="11.81"/>
    <x v="30"/>
    <s v="2991-50-6"/>
    <x v="30"/>
    <n v="0.21099999999999999"/>
  </r>
  <r>
    <s v="CC011-JBA-08162021"/>
    <s v="Down"/>
    <x v="1"/>
    <s v="Dace. Sp"/>
    <s v="Rhinichthys"/>
    <s v="gibbosus"/>
    <s v="U"/>
    <x v="0"/>
    <n v="8"/>
    <n v="11.81"/>
    <x v="31"/>
    <s v="757124-72-4"/>
    <x v="31"/>
    <n v="0.21099999999999999"/>
  </r>
  <r>
    <s v="CC011-JBA-08162021"/>
    <s v="Down"/>
    <x v="1"/>
    <s v="Dace. Sp"/>
    <s v="Rhinichthys"/>
    <s v="gibbosus"/>
    <s v="U"/>
    <x v="0"/>
    <n v="8"/>
    <n v="11.81"/>
    <x v="32"/>
    <s v="27619-97-2"/>
    <x v="32"/>
    <n v="0.46"/>
  </r>
  <r>
    <s v="CC011-JBA-08162021"/>
    <s v="Down"/>
    <x v="1"/>
    <s v="Dace. Sp"/>
    <s v="Rhinichthys"/>
    <s v="gibbosus"/>
    <s v="U"/>
    <x v="0"/>
    <n v="8"/>
    <n v="11.81"/>
    <x v="33"/>
    <s v="39108-34-4"/>
    <x v="33"/>
    <n v="16.3"/>
  </r>
  <r>
    <s v="CC011-JBA-08162021"/>
    <s v="Down"/>
    <x v="1"/>
    <s v="Dace. Sp"/>
    <s v="Rhinichthys"/>
    <s v="gibbosus"/>
    <s v="U"/>
    <x v="0"/>
    <n v="8"/>
    <n v="11.81"/>
    <x v="34"/>
    <s v="120226-60-0"/>
    <x v="34"/>
    <n v="0.42149999999999999"/>
  </r>
  <r>
    <s v="CC011-JBA-08162021"/>
    <s v="Down"/>
    <x v="1"/>
    <s v="Dace. Sp"/>
    <s v="Rhinichthys"/>
    <s v="gibbosus"/>
    <s v="U"/>
    <x v="0"/>
    <n v="8"/>
    <n v="11.81"/>
    <x v="35"/>
    <s v="356-02-5"/>
    <x v="35"/>
    <n v="0.24299999999999999"/>
  </r>
  <r>
    <s v="CC011-JBA-08162021"/>
    <s v="Down"/>
    <x v="1"/>
    <s v="Dace. Sp"/>
    <s v="Rhinichthys"/>
    <s v="gibbosus"/>
    <s v="U"/>
    <x v="0"/>
    <n v="8"/>
    <n v="11.81"/>
    <x v="36"/>
    <s v="914637-49-3"/>
    <x v="36"/>
    <n v="0.21099999999999999"/>
  </r>
  <r>
    <s v="CC011-JBA-08162021"/>
    <s v="Down"/>
    <x v="1"/>
    <s v="Dace. Sp"/>
    <s v="Rhinichthys"/>
    <s v="gibbosus"/>
    <s v="U"/>
    <x v="0"/>
    <n v="8"/>
    <n v="11.81"/>
    <x v="37"/>
    <s v="812-70-4"/>
    <x v="37"/>
    <n v="1.18"/>
  </r>
  <r>
    <s v="CC011-JBA-08162021"/>
    <s v="Down"/>
    <x v="1"/>
    <s v="Dace. Sp"/>
    <s v="Rhinichthys"/>
    <s v="gibbosus"/>
    <s v="U"/>
    <x v="0"/>
    <n v="8"/>
    <n v="11.81"/>
    <x v="38"/>
    <s v="53826-12-3"/>
    <x v="38"/>
    <n v="0.42149999999999999"/>
  </r>
  <r>
    <s v="CC011-JBA-08162021"/>
    <s v="Down"/>
    <x v="1"/>
    <s v="Dace. Sp"/>
    <s v="Rhinichthys"/>
    <s v="gibbosus"/>
    <s v="U"/>
    <x v="0"/>
    <n v="8"/>
    <n v="11.81"/>
    <x v="39"/>
    <s v="27854-31-5"/>
    <x v="39"/>
    <n v="0.42149999999999999"/>
  </r>
  <r>
    <s v="CC011-JBA-08162021"/>
    <s v="Down"/>
    <x v="1"/>
    <s v="Dace. Sp"/>
    <s v="Rhinichthys"/>
    <s v="gibbosus"/>
    <s v="U"/>
    <x v="0"/>
    <n v="8"/>
    <n v="11.81"/>
    <x v="40"/>
    <s v="53826-13-4"/>
    <x v="40"/>
    <n v="0.42149999999999999"/>
  </r>
  <r>
    <s v="CC011-JBA-08162021"/>
    <s v="Down"/>
    <x v="1"/>
    <s v="Dace. Sp"/>
    <s v="Rhinichthys"/>
    <s v="gibbosus"/>
    <s v="U"/>
    <x v="0"/>
    <n v="8"/>
    <n v="11.81"/>
    <x v="41"/>
    <s v="161094-75-3"/>
    <x v="41"/>
    <n v="0.42149999999999999"/>
  </r>
  <r>
    <s v="CC011-JBA-08162021"/>
    <s v="Down"/>
    <x v="1"/>
    <s v="Dace. Sp"/>
    <s v="Rhinichthys"/>
    <s v="gibbosus"/>
    <s v="U"/>
    <x v="0"/>
    <n v="8"/>
    <n v="11.81"/>
    <x v="42"/>
    <s v="70887-84-2"/>
    <x v="42"/>
    <n v="0.42149999999999999"/>
  </r>
  <r>
    <s v="CC011-JBA-08162021"/>
    <s v="Down"/>
    <x v="1"/>
    <s v="Dace. Sp"/>
    <s v="Rhinichthys"/>
    <s v="gibbosus"/>
    <s v="U"/>
    <x v="0"/>
    <n v="8"/>
    <n v="11.81"/>
    <x v="43"/>
    <s v="919005-14-4"/>
    <x v="43"/>
    <n v="0.21099999999999999"/>
  </r>
  <r>
    <s v="CC011-JBA-08162021"/>
    <s v="Down"/>
    <x v="1"/>
    <s v="Dace. Sp"/>
    <s v="Rhinichthys"/>
    <s v="gibbosus"/>
    <s v="U"/>
    <x v="0"/>
    <n v="8"/>
    <n v="11.81"/>
    <x v="44"/>
    <s v="756426-58-1"/>
    <x v="44"/>
    <n v="0.42149999999999999"/>
  </r>
  <r>
    <s v="CC011-JBA-08162021"/>
    <s v="Down"/>
    <x v="1"/>
    <s v="Dace. Sp"/>
    <s v="Rhinichthys"/>
    <s v="gibbosus"/>
    <s v="U"/>
    <x v="0"/>
    <n v="8"/>
    <n v="11.81"/>
    <x v="45"/>
    <s v="763051-92-9"/>
    <x v="45"/>
    <n v="0.42149999999999999"/>
  </r>
  <r>
    <s v="CC011-JBA-08162021"/>
    <s v="Down"/>
    <x v="1"/>
    <s v="Dace. Sp"/>
    <s v="Rhinichthys"/>
    <s v="gibbosus"/>
    <s v="U"/>
    <x v="0"/>
    <n v="8"/>
    <n v="11.81"/>
    <x v="46"/>
    <s v="13252-13-6"/>
    <x v="46"/>
    <n v="0.30249999999999999"/>
  </r>
  <r>
    <s v="CC011-JBA-08162021"/>
    <s v="Down"/>
    <x v="1"/>
    <s v="Dace. Sp"/>
    <s v="Rhinichthys"/>
    <s v="gibbosus"/>
    <s v="U"/>
    <x v="0"/>
    <n v="8"/>
    <n v="11.81"/>
    <x v="47"/>
    <s v="57677-95-9"/>
    <x v="47"/>
    <n v="0.42149999999999999"/>
  </r>
  <r>
    <s v="CC011-JBA-08162021"/>
    <s v="Down"/>
    <x v="1"/>
    <s v="Dace. Sp"/>
    <s v="Rhinichthys"/>
    <s v="gibbosus"/>
    <s v="U"/>
    <x v="0"/>
    <n v="8"/>
    <n v="11.81"/>
    <x v="48"/>
    <s v="678-41-1"/>
    <x v="48"/>
    <n v="0.42149999999999999"/>
  </r>
  <r>
    <s v="CC011-JBA-08162021"/>
    <s v="Down"/>
    <x v="1"/>
    <s v="Dace. Sp"/>
    <s v="Rhinichthys"/>
    <s v="gibbosus"/>
    <s v="U"/>
    <x v="0"/>
    <n v="8"/>
    <n v="11.81"/>
    <x v="49"/>
    <s v="2965-52-8"/>
    <x v="49"/>
    <n v="0.42149999999999999"/>
  </r>
  <r>
    <s v="CC012-JBA-08162021"/>
    <s v="Down"/>
    <x v="1"/>
    <s v="Dace. Sp"/>
    <s v="Rhinichthys"/>
    <s v="gibbosus"/>
    <s v="U"/>
    <x v="0"/>
    <n v="8"/>
    <n v="11.81"/>
    <x v="0"/>
    <s v="375-22-4"/>
    <x v="0"/>
    <n v="0.2175"/>
  </r>
  <r>
    <s v="CC012-JBA-08162021"/>
    <s v="Down"/>
    <x v="1"/>
    <s v="Dace. Sp"/>
    <s v="Rhinichthys"/>
    <s v="gibbosus"/>
    <s v="U"/>
    <x v="0"/>
    <n v="8"/>
    <n v="11.81"/>
    <x v="1"/>
    <s v="2706-90-3"/>
    <x v="1"/>
    <n v="0.2175"/>
  </r>
  <r>
    <s v="CC012-JBA-08162021"/>
    <s v="Down"/>
    <x v="1"/>
    <s v="Dace. Sp"/>
    <s v="Rhinichthys"/>
    <s v="gibbosus"/>
    <s v="U"/>
    <x v="0"/>
    <n v="8"/>
    <n v="11.81"/>
    <x v="2"/>
    <s v="307-24-4"/>
    <x v="2"/>
    <n v="0.11749999999999999"/>
  </r>
  <r>
    <s v="CC012-JBA-08162021"/>
    <s v="Down"/>
    <x v="1"/>
    <s v="Dace. Sp"/>
    <s v="Rhinichthys"/>
    <s v="gibbosus"/>
    <s v="U"/>
    <x v="0"/>
    <n v="8"/>
    <n v="11.81"/>
    <x v="3"/>
    <s v="375-85-9"/>
    <x v="3"/>
    <n v="0.2175"/>
  </r>
  <r>
    <s v="CC012-JBA-08162021"/>
    <s v="Down"/>
    <x v="1"/>
    <s v="Dace. Sp"/>
    <s v="Rhinichthys"/>
    <s v="gibbosus"/>
    <s v="U"/>
    <x v="0"/>
    <n v="8"/>
    <n v="11.81"/>
    <x v="4"/>
    <s v="335-67-1"/>
    <x v="4"/>
    <n v="2.08"/>
  </r>
  <r>
    <s v="CC012-JBA-08162021"/>
    <s v="Down"/>
    <x v="1"/>
    <s v="Dace. Sp"/>
    <s v="Rhinichthys"/>
    <s v="gibbosus"/>
    <s v="U"/>
    <x v="0"/>
    <n v="8"/>
    <n v="11.81"/>
    <x v="5"/>
    <s v="375-95-1"/>
    <x v="5"/>
    <n v="2.77"/>
  </r>
  <r>
    <s v="CC012-JBA-08162021"/>
    <s v="Down"/>
    <x v="1"/>
    <s v="Dace. Sp"/>
    <s v="Rhinichthys"/>
    <s v="gibbosus"/>
    <s v="U"/>
    <x v="0"/>
    <n v="8"/>
    <n v="11.81"/>
    <x v="6"/>
    <s v="335-76-2"/>
    <x v="6"/>
    <n v="9.5"/>
  </r>
  <r>
    <s v="CC012-JBA-08162021"/>
    <s v="Down"/>
    <x v="1"/>
    <s v="Dace. Sp"/>
    <s v="Rhinichthys"/>
    <s v="gibbosus"/>
    <s v="U"/>
    <x v="0"/>
    <n v="8"/>
    <n v="11.81"/>
    <x v="7"/>
    <s v="2058-94-8"/>
    <x v="7"/>
    <n v="8.49"/>
  </r>
  <r>
    <s v="CC012-JBA-08162021"/>
    <s v="Down"/>
    <x v="1"/>
    <s v="Dace. Sp"/>
    <s v="Rhinichthys"/>
    <s v="gibbosus"/>
    <s v="U"/>
    <x v="0"/>
    <n v="8"/>
    <n v="11.81"/>
    <x v="8"/>
    <s v="307-55-1"/>
    <x v="8"/>
    <n v="16.100000000000001"/>
  </r>
  <r>
    <s v="CC012-JBA-08162021"/>
    <s v="Down"/>
    <x v="1"/>
    <s v="Dace. Sp"/>
    <s v="Rhinichthys"/>
    <s v="gibbosus"/>
    <s v="U"/>
    <x v="0"/>
    <n v="8"/>
    <n v="11.81"/>
    <x v="9"/>
    <s v="72629-94-8"/>
    <x v="9"/>
    <n v="4.3499999999999996"/>
  </r>
  <r>
    <s v="CC012-JBA-08162021"/>
    <s v="Down"/>
    <x v="1"/>
    <s v="Dace. Sp"/>
    <s v="Rhinichthys"/>
    <s v="gibbosus"/>
    <s v="U"/>
    <x v="0"/>
    <n v="8"/>
    <n v="11.81"/>
    <x v="10"/>
    <s v="376-06-7"/>
    <x v="10"/>
    <n v="10.6"/>
  </r>
  <r>
    <s v="CC012-JBA-08162021"/>
    <s v="Down"/>
    <x v="1"/>
    <s v="Dace. Sp"/>
    <s v="Rhinichthys"/>
    <s v="gibbosus"/>
    <s v="U"/>
    <x v="0"/>
    <n v="8"/>
    <n v="11.81"/>
    <x v="11"/>
    <s v="67905-19-5"/>
    <x v="11"/>
    <n v="0.25950000000000001"/>
  </r>
  <r>
    <s v="CC012-JBA-08162021"/>
    <s v="Down"/>
    <x v="1"/>
    <s v="Dace. Sp"/>
    <s v="Rhinichthys"/>
    <s v="gibbosus"/>
    <s v="U"/>
    <x v="0"/>
    <n v="8"/>
    <n v="11.81"/>
    <x v="12"/>
    <s v="423-41-6"/>
    <x v="12"/>
    <n v="0.4355"/>
  </r>
  <r>
    <s v="CC012-JBA-08162021"/>
    <s v="Down"/>
    <x v="1"/>
    <s v="Dace. Sp"/>
    <s v="Rhinichthys"/>
    <s v="gibbosus"/>
    <s v="U"/>
    <x v="0"/>
    <n v="8"/>
    <n v="11.81"/>
    <x v="13"/>
    <s v="375-73-5"/>
    <x v="13"/>
    <n v="0.14799999999999999"/>
  </r>
  <r>
    <s v="CC012-JBA-08162021"/>
    <s v="Down"/>
    <x v="1"/>
    <s v="Dace. Sp"/>
    <s v="Rhinichthys"/>
    <s v="gibbosus"/>
    <s v="U"/>
    <x v="0"/>
    <n v="8"/>
    <n v="11.81"/>
    <x v="14"/>
    <s v="2706-91-4"/>
    <x v="14"/>
    <n v="0.51900000000000002"/>
  </r>
  <r>
    <s v="CC012-JBA-08162021"/>
    <s v="Down"/>
    <x v="1"/>
    <s v="Dace. Sp"/>
    <s v="Rhinichthys"/>
    <s v="gibbosus"/>
    <s v="U"/>
    <x v="0"/>
    <n v="8"/>
    <n v="11.81"/>
    <x v="15"/>
    <s v="355-46-4"/>
    <x v="15"/>
    <n v="90.1"/>
  </r>
  <r>
    <s v="CC012-JBA-08162021"/>
    <s v="Down"/>
    <x v="1"/>
    <s v="Dace. Sp"/>
    <s v="Rhinichthys"/>
    <s v="gibbosus"/>
    <s v="U"/>
    <x v="0"/>
    <n v="8"/>
    <n v="11.81"/>
    <x v="16"/>
    <s v="375-92-8"/>
    <x v="16"/>
    <n v="0.2175"/>
  </r>
  <r>
    <s v="CC012-JBA-08162021"/>
    <s v="Down"/>
    <x v="1"/>
    <s v="Dace. Sp"/>
    <s v="Rhinichthys"/>
    <s v="gibbosus"/>
    <s v="U"/>
    <x v="0"/>
    <n v="8"/>
    <n v="11.81"/>
    <x v="17"/>
    <s v="1763-23-1"/>
    <x v="17"/>
    <n v="1020"/>
  </r>
  <r>
    <s v="CC012-JBA-08162021"/>
    <s v="Down"/>
    <x v="1"/>
    <s v="Dace. Sp"/>
    <s v="Rhinichthys"/>
    <s v="gibbosus"/>
    <s v="U"/>
    <x v="0"/>
    <n v="8"/>
    <n v="11.81"/>
    <x v="18"/>
    <s v="68259-12-1"/>
    <x v="18"/>
    <n v="1.22"/>
  </r>
  <r>
    <s v="CC012-JBA-08162021"/>
    <s v="Down"/>
    <x v="1"/>
    <s v="Dace. Sp"/>
    <s v="Rhinichthys"/>
    <s v="gibbosus"/>
    <s v="U"/>
    <x v="0"/>
    <n v="8"/>
    <n v="11.81"/>
    <x v="19"/>
    <s v="335-77-3"/>
    <x v="19"/>
    <n v="1.26"/>
  </r>
  <r>
    <s v="CC012-JBA-08162021"/>
    <s v="Down"/>
    <x v="1"/>
    <s v="Dace. Sp"/>
    <s v="Rhinichthys"/>
    <s v="gibbosus"/>
    <s v="U"/>
    <x v="0"/>
    <n v="8"/>
    <n v="11.81"/>
    <x v="20"/>
    <s v="79780-39-5"/>
    <x v="20"/>
    <n v="1.33"/>
  </r>
  <r>
    <s v="CC012-JBA-08162021"/>
    <s v="Down"/>
    <x v="1"/>
    <s v="Dace. Sp"/>
    <s v="Rhinichthys"/>
    <s v="gibbosus"/>
    <s v="U"/>
    <x v="0"/>
    <n v="8"/>
    <n v="11.81"/>
    <x v="21"/>
    <s v="777011-38-8"/>
    <x v="21"/>
    <n v="0.45600000000000002"/>
  </r>
  <r>
    <s v="CC012-JBA-08162021"/>
    <s v="Down"/>
    <x v="1"/>
    <s v="Dace. Sp"/>
    <s v="Rhinichthys"/>
    <s v="gibbosus"/>
    <s v="U"/>
    <x v="0"/>
    <n v="8"/>
    <n v="11.81"/>
    <x v="22"/>
    <s v="646-83-3"/>
    <x v="22"/>
    <n v="0.248"/>
  </r>
  <r>
    <s v="CC012-JBA-08162021"/>
    <s v="Down"/>
    <x v="1"/>
    <s v="Dace. Sp"/>
    <s v="Rhinichthys"/>
    <s v="gibbosus"/>
    <s v="U"/>
    <x v="0"/>
    <n v="8"/>
    <n v="11.81"/>
    <x v="23"/>
    <s v="30334-69-1"/>
    <x v="23"/>
    <n v="54.6"/>
  </r>
  <r>
    <s v="CC012-JBA-08162021"/>
    <s v="Down"/>
    <x v="1"/>
    <s v="Dace. Sp"/>
    <s v="Rhinichthys"/>
    <s v="gibbosus"/>
    <s v="U"/>
    <x v="0"/>
    <n v="8"/>
    <n v="11.81"/>
    <x v="24"/>
    <s v="41997-13-1"/>
    <x v="24"/>
    <n v="157"/>
  </r>
  <r>
    <s v="CC012-JBA-08162021"/>
    <s v="Down"/>
    <x v="1"/>
    <s v="Dace. Sp"/>
    <s v="Rhinichthys"/>
    <s v="gibbosus"/>
    <s v="U"/>
    <x v="0"/>
    <n v="8"/>
    <n v="11.81"/>
    <x v="25"/>
    <s v="754-91-6"/>
    <x v="25"/>
    <n v="8.26"/>
  </r>
  <r>
    <s v="CC012-JBA-08162021"/>
    <s v="Down"/>
    <x v="1"/>
    <s v="Dace. Sp"/>
    <s v="Rhinichthys"/>
    <s v="gibbosus"/>
    <s v="U"/>
    <x v="0"/>
    <n v="8"/>
    <n v="11.81"/>
    <x v="26"/>
    <s v="31506-32-8"/>
    <x v="26"/>
    <n v="0.16750000000000001"/>
  </r>
  <r>
    <s v="CC012-JBA-08162021"/>
    <s v="Down"/>
    <x v="1"/>
    <s v="Dace. Sp"/>
    <s v="Rhinichthys"/>
    <s v="gibbosus"/>
    <s v="U"/>
    <x v="0"/>
    <n v="8"/>
    <n v="11.81"/>
    <x v="27"/>
    <s v="4151-50-2"/>
    <x v="27"/>
    <n v="0.4355"/>
  </r>
  <r>
    <s v="CC012-JBA-08162021"/>
    <s v="Down"/>
    <x v="1"/>
    <s v="Dace. Sp"/>
    <s v="Rhinichthys"/>
    <s v="gibbosus"/>
    <s v="U"/>
    <x v="0"/>
    <n v="8"/>
    <n v="11.81"/>
    <x v="28"/>
    <s v="2806-24-8"/>
    <x v="28"/>
    <n v="0.4355"/>
  </r>
  <r>
    <s v="CC012-JBA-08162021"/>
    <s v="Down"/>
    <x v="1"/>
    <s v="Dace. Sp"/>
    <s v="Rhinichthys"/>
    <s v="gibbosus"/>
    <s v="U"/>
    <x v="0"/>
    <n v="8"/>
    <n v="11.81"/>
    <x v="29"/>
    <s v="2355-31-9"/>
    <x v="29"/>
    <n v="0.219"/>
  </r>
  <r>
    <s v="CC012-JBA-08162021"/>
    <s v="Down"/>
    <x v="1"/>
    <s v="Dace. Sp"/>
    <s v="Rhinichthys"/>
    <s v="gibbosus"/>
    <s v="U"/>
    <x v="0"/>
    <n v="8"/>
    <n v="11.81"/>
    <x v="30"/>
    <s v="2991-50-6"/>
    <x v="30"/>
    <n v="0.2175"/>
  </r>
  <r>
    <s v="CC012-JBA-08162021"/>
    <s v="Down"/>
    <x v="1"/>
    <s v="Dace. Sp"/>
    <s v="Rhinichthys"/>
    <s v="gibbosus"/>
    <s v="U"/>
    <x v="0"/>
    <n v="8"/>
    <n v="11.81"/>
    <x v="31"/>
    <s v="757124-72-4"/>
    <x v="31"/>
    <n v="0.2175"/>
  </r>
  <r>
    <s v="CC012-JBA-08162021"/>
    <s v="Down"/>
    <x v="1"/>
    <s v="Dace. Sp"/>
    <s v="Rhinichthys"/>
    <s v="gibbosus"/>
    <s v="U"/>
    <x v="0"/>
    <n v="8"/>
    <n v="11.81"/>
    <x v="32"/>
    <s v="27619-97-2"/>
    <x v="32"/>
    <n v="0.2175"/>
  </r>
  <r>
    <s v="CC012-JBA-08162021"/>
    <s v="Down"/>
    <x v="1"/>
    <s v="Dace. Sp"/>
    <s v="Rhinichthys"/>
    <s v="gibbosus"/>
    <s v="U"/>
    <x v="0"/>
    <n v="8"/>
    <n v="11.81"/>
    <x v="33"/>
    <s v="39108-34-4"/>
    <x v="33"/>
    <n v="11.1"/>
  </r>
  <r>
    <s v="CC012-JBA-08162021"/>
    <s v="Down"/>
    <x v="1"/>
    <s v="Dace. Sp"/>
    <s v="Rhinichthys"/>
    <s v="gibbosus"/>
    <s v="U"/>
    <x v="0"/>
    <n v="8"/>
    <n v="11.81"/>
    <x v="34"/>
    <s v="120226-60-0"/>
    <x v="34"/>
    <n v="1.56"/>
  </r>
  <r>
    <s v="CC012-JBA-08162021"/>
    <s v="Down"/>
    <x v="1"/>
    <s v="Dace. Sp"/>
    <s v="Rhinichthys"/>
    <s v="gibbosus"/>
    <s v="U"/>
    <x v="0"/>
    <n v="8"/>
    <n v="11.81"/>
    <x v="35"/>
    <s v="356-02-5"/>
    <x v="35"/>
    <n v="0.251"/>
  </r>
  <r>
    <s v="CC012-JBA-08162021"/>
    <s v="Down"/>
    <x v="1"/>
    <s v="Dace. Sp"/>
    <s v="Rhinichthys"/>
    <s v="gibbosus"/>
    <s v="U"/>
    <x v="0"/>
    <n v="8"/>
    <n v="11.81"/>
    <x v="36"/>
    <s v="914637-49-3"/>
    <x v="36"/>
    <n v="0.2175"/>
  </r>
  <r>
    <s v="CC012-JBA-08162021"/>
    <s v="Down"/>
    <x v="1"/>
    <s v="Dace. Sp"/>
    <s v="Rhinichthys"/>
    <s v="gibbosus"/>
    <s v="U"/>
    <x v="0"/>
    <n v="8"/>
    <n v="11.81"/>
    <x v="37"/>
    <s v="812-70-4"/>
    <x v="37"/>
    <n v="3.63"/>
  </r>
  <r>
    <s v="CC012-JBA-08162021"/>
    <s v="Down"/>
    <x v="1"/>
    <s v="Dace. Sp"/>
    <s v="Rhinichthys"/>
    <s v="gibbosus"/>
    <s v="U"/>
    <x v="0"/>
    <n v="8"/>
    <n v="11.81"/>
    <x v="38"/>
    <s v="53826-12-3"/>
    <x v="38"/>
    <n v="0.4355"/>
  </r>
  <r>
    <s v="CC012-JBA-08162021"/>
    <s v="Down"/>
    <x v="1"/>
    <s v="Dace. Sp"/>
    <s v="Rhinichthys"/>
    <s v="gibbosus"/>
    <s v="U"/>
    <x v="0"/>
    <n v="8"/>
    <n v="11.81"/>
    <x v="39"/>
    <s v="27854-31-5"/>
    <x v="39"/>
    <n v="0.4355"/>
  </r>
  <r>
    <s v="CC012-JBA-08162021"/>
    <s v="Down"/>
    <x v="1"/>
    <s v="Dace. Sp"/>
    <s v="Rhinichthys"/>
    <s v="gibbosus"/>
    <s v="U"/>
    <x v="0"/>
    <n v="8"/>
    <n v="11.81"/>
    <x v="40"/>
    <s v="53826-13-4"/>
    <x v="40"/>
    <n v="0.4355"/>
  </r>
  <r>
    <s v="CC012-JBA-08162021"/>
    <s v="Down"/>
    <x v="1"/>
    <s v="Dace. Sp"/>
    <s v="Rhinichthys"/>
    <s v="gibbosus"/>
    <s v="U"/>
    <x v="0"/>
    <n v="8"/>
    <n v="11.81"/>
    <x v="41"/>
    <s v="161094-75-3"/>
    <x v="41"/>
    <n v="0.4355"/>
  </r>
  <r>
    <s v="CC012-JBA-08162021"/>
    <s v="Down"/>
    <x v="1"/>
    <s v="Dace. Sp"/>
    <s v="Rhinichthys"/>
    <s v="gibbosus"/>
    <s v="U"/>
    <x v="0"/>
    <n v="8"/>
    <n v="11.81"/>
    <x v="42"/>
    <s v="70887-84-2"/>
    <x v="42"/>
    <n v="0.4355"/>
  </r>
  <r>
    <s v="CC012-JBA-08162021"/>
    <s v="Down"/>
    <x v="1"/>
    <s v="Dace. Sp"/>
    <s v="Rhinichthys"/>
    <s v="gibbosus"/>
    <s v="U"/>
    <x v="0"/>
    <n v="8"/>
    <n v="11.81"/>
    <x v="43"/>
    <s v="919005-14-4"/>
    <x v="43"/>
    <n v="1.6"/>
  </r>
  <r>
    <s v="CC012-JBA-08162021"/>
    <s v="Down"/>
    <x v="1"/>
    <s v="Dace. Sp"/>
    <s v="Rhinichthys"/>
    <s v="gibbosus"/>
    <s v="U"/>
    <x v="0"/>
    <n v="8"/>
    <n v="11.81"/>
    <x v="44"/>
    <s v="756426-58-1"/>
    <x v="44"/>
    <n v="0.4355"/>
  </r>
  <r>
    <s v="CC012-JBA-08162021"/>
    <s v="Down"/>
    <x v="1"/>
    <s v="Dace. Sp"/>
    <s v="Rhinichthys"/>
    <s v="gibbosus"/>
    <s v="U"/>
    <x v="0"/>
    <n v="8"/>
    <n v="11.81"/>
    <x v="45"/>
    <s v="763051-92-9"/>
    <x v="45"/>
    <n v="0.4355"/>
  </r>
  <r>
    <s v="CC012-JBA-08162021"/>
    <s v="Down"/>
    <x v="1"/>
    <s v="Dace. Sp"/>
    <s v="Rhinichthys"/>
    <s v="gibbosus"/>
    <s v="U"/>
    <x v="0"/>
    <n v="8"/>
    <n v="11.81"/>
    <x v="46"/>
    <s v="13252-13-6"/>
    <x v="46"/>
    <n v="0.3125"/>
  </r>
  <r>
    <s v="CC012-JBA-08162021"/>
    <s v="Down"/>
    <x v="1"/>
    <s v="Dace. Sp"/>
    <s v="Rhinichthys"/>
    <s v="gibbosus"/>
    <s v="U"/>
    <x v="0"/>
    <n v="8"/>
    <n v="11.81"/>
    <x v="47"/>
    <s v="57677-95-9"/>
    <x v="47"/>
    <n v="0.4355"/>
  </r>
  <r>
    <s v="CC012-JBA-08162021"/>
    <s v="Down"/>
    <x v="1"/>
    <s v="Dace. Sp"/>
    <s v="Rhinichthys"/>
    <s v="gibbosus"/>
    <s v="U"/>
    <x v="0"/>
    <n v="8"/>
    <n v="11.81"/>
    <x v="48"/>
    <s v="678-41-1"/>
    <x v="48"/>
    <n v="0.4355"/>
  </r>
  <r>
    <s v="CC012-JBA-08162021"/>
    <s v="Down"/>
    <x v="1"/>
    <s v="Dace. Sp"/>
    <s v="Rhinichthys"/>
    <s v="gibbosus"/>
    <s v="U"/>
    <x v="0"/>
    <n v="8"/>
    <n v="11.81"/>
    <x v="49"/>
    <s v="2965-52-8"/>
    <x v="49"/>
    <n v="0.4355"/>
  </r>
  <r>
    <s v="CC013-JBA-08162021"/>
    <s v="Down"/>
    <x v="1"/>
    <s v="Dace. Sp"/>
    <s v="Rhinichthys"/>
    <s v="gibbosus"/>
    <s v="U"/>
    <x v="0"/>
    <n v="8"/>
    <n v="11.81"/>
    <x v="0"/>
    <s v="375-22-4"/>
    <x v="0"/>
    <n v="0.23400000000000001"/>
  </r>
  <r>
    <s v="CC013-JBA-08162021"/>
    <s v="Down"/>
    <x v="1"/>
    <s v="Dace. Sp"/>
    <s v="Rhinichthys"/>
    <s v="gibbosus"/>
    <s v="U"/>
    <x v="0"/>
    <n v="8"/>
    <n v="11.81"/>
    <x v="1"/>
    <s v="2706-90-3"/>
    <x v="1"/>
    <n v="0.23400000000000001"/>
  </r>
  <r>
    <s v="CC013-JBA-08162021"/>
    <s v="Down"/>
    <x v="1"/>
    <s v="Dace. Sp"/>
    <s v="Rhinichthys"/>
    <s v="gibbosus"/>
    <s v="U"/>
    <x v="0"/>
    <n v="8"/>
    <n v="11.81"/>
    <x v="2"/>
    <s v="307-24-4"/>
    <x v="2"/>
    <n v="0.1265"/>
  </r>
  <r>
    <s v="CC013-JBA-08162021"/>
    <s v="Down"/>
    <x v="1"/>
    <s v="Dace. Sp"/>
    <s v="Rhinichthys"/>
    <s v="gibbosus"/>
    <s v="U"/>
    <x v="0"/>
    <n v="8"/>
    <n v="11.81"/>
    <x v="3"/>
    <s v="375-85-9"/>
    <x v="3"/>
    <n v="0.23400000000000001"/>
  </r>
  <r>
    <s v="CC013-JBA-08162021"/>
    <s v="Down"/>
    <x v="1"/>
    <s v="Dace. Sp"/>
    <s v="Rhinichthys"/>
    <s v="gibbosus"/>
    <s v="U"/>
    <x v="0"/>
    <n v="8"/>
    <n v="11.81"/>
    <x v="4"/>
    <s v="335-67-1"/>
    <x v="4"/>
    <n v="1.68"/>
  </r>
  <r>
    <s v="CC013-JBA-08162021"/>
    <s v="Down"/>
    <x v="1"/>
    <s v="Dace. Sp"/>
    <s v="Rhinichthys"/>
    <s v="gibbosus"/>
    <s v="U"/>
    <x v="0"/>
    <n v="8"/>
    <n v="11.81"/>
    <x v="5"/>
    <s v="375-95-1"/>
    <x v="5"/>
    <n v="1.0900000000000001"/>
  </r>
  <r>
    <s v="CC013-JBA-08162021"/>
    <s v="Down"/>
    <x v="1"/>
    <s v="Dace. Sp"/>
    <s v="Rhinichthys"/>
    <s v="gibbosus"/>
    <s v="U"/>
    <x v="0"/>
    <n v="8"/>
    <n v="11.81"/>
    <x v="6"/>
    <s v="335-76-2"/>
    <x v="6"/>
    <n v="9.57"/>
  </r>
  <r>
    <s v="CC013-JBA-08162021"/>
    <s v="Down"/>
    <x v="1"/>
    <s v="Dace. Sp"/>
    <s v="Rhinichthys"/>
    <s v="gibbosus"/>
    <s v="U"/>
    <x v="0"/>
    <n v="8"/>
    <n v="11.81"/>
    <x v="7"/>
    <s v="2058-94-8"/>
    <x v="7"/>
    <n v="10.1"/>
  </r>
  <r>
    <s v="CC013-JBA-08162021"/>
    <s v="Down"/>
    <x v="1"/>
    <s v="Dace. Sp"/>
    <s v="Rhinichthys"/>
    <s v="gibbosus"/>
    <s v="U"/>
    <x v="0"/>
    <n v="8"/>
    <n v="11.81"/>
    <x v="8"/>
    <s v="307-55-1"/>
    <x v="8"/>
    <n v="15.4"/>
  </r>
  <r>
    <s v="CC013-JBA-08162021"/>
    <s v="Down"/>
    <x v="1"/>
    <s v="Dace. Sp"/>
    <s v="Rhinichthys"/>
    <s v="gibbosus"/>
    <s v="U"/>
    <x v="0"/>
    <n v="8"/>
    <n v="11.81"/>
    <x v="9"/>
    <s v="72629-94-8"/>
    <x v="9"/>
    <n v="5.0599999999999996"/>
  </r>
  <r>
    <s v="CC013-JBA-08162021"/>
    <s v="Down"/>
    <x v="1"/>
    <s v="Dace. Sp"/>
    <s v="Rhinichthys"/>
    <s v="gibbosus"/>
    <s v="U"/>
    <x v="0"/>
    <n v="8"/>
    <n v="11.81"/>
    <x v="10"/>
    <s v="376-06-7"/>
    <x v="10"/>
    <n v="10.7"/>
  </r>
  <r>
    <s v="CC013-JBA-08162021"/>
    <s v="Down"/>
    <x v="1"/>
    <s v="Dace. Sp"/>
    <s v="Rhinichthys"/>
    <s v="gibbosus"/>
    <s v="U"/>
    <x v="0"/>
    <n v="8"/>
    <n v="11.81"/>
    <x v="11"/>
    <s v="67905-19-5"/>
    <x v="11"/>
    <n v="0.27900000000000003"/>
  </r>
  <r>
    <s v="CC013-JBA-08162021"/>
    <s v="Down"/>
    <x v="1"/>
    <s v="Dace. Sp"/>
    <s v="Rhinichthys"/>
    <s v="gibbosus"/>
    <s v="U"/>
    <x v="0"/>
    <n v="8"/>
    <n v="11.81"/>
    <x v="12"/>
    <s v="423-41-6"/>
    <x v="12"/>
    <n v="0.46850000000000003"/>
  </r>
  <r>
    <s v="CC013-JBA-08162021"/>
    <s v="Down"/>
    <x v="1"/>
    <s v="Dace. Sp"/>
    <s v="Rhinichthys"/>
    <s v="gibbosus"/>
    <s v="U"/>
    <x v="0"/>
    <n v="8"/>
    <n v="11.81"/>
    <x v="13"/>
    <s v="375-73-5"/>
    <x v="13"/>
    <n v="0.1595"/>
  </r>
  <r>
    <s v="CC013-JBA-08162021"/>
    <s v="Down"/>
    <x v="1"/>
    <s v="Dace. Sp"/>
    <s v="Rhinichthys"/>
    <s v="gibbosus"/>
    <s v="U"/>
    <x v="0"/>
    <n v="8"/>
    <n v="11.81"/>
    <x v="14"/>
    <s v="2706-91-4"/>
    <x v="14"/>
    <n v="0.503"/>
  </r>
  <r>
    <s v="CC013-JBA-08162021"/>
    <s v="Down"/>
    <x v="1"/>
    <s v="Dace. Sp"/>
    <s v="Rhinichthys"/>
    <s v="gibbosus"/>
    <s v="U"/>
    <x v="0"/>
    <n v="8"/>
    <n v="11.81"/>
    <x v="15"/>
    <s v="355-46-4"/>
    <x v="15"/>
    <n v="30.4"/>
  </r>
  <r>
    <s v="CC013-JBA-08162021"/>
    <s v="Down"/>
    <x v="1"/>
    <s v="Dace. Sp"/>
    <s v="Rhinichthys"/>
    <s v="gibbosus"/>
    <s v="U"/>
    <x v="0"/>
    <n v="8"/>
    <n v="11.81"/>
    <x v="16"/>
    <s v="375-92-8"/>
    <x v="16"/>
    <n v="10.5"/>
  </r>
  <r>
    <s v="CC013-JBA-08162021"/>
    <s v="Down"/>
    <x v="1"/>
    <s v="Dace. Sp"/>
    <s v="Rhinichthys"/>
    <s v="gibbosus"/>
    <s v="U"/>
    <x v="0"/>
    <n v="8"/>
    <n v="11.81"/>
    <x v="17"/>
    <s v="1763-23-1"/>
    <x v="17"/>
    <n v="815"/>
  </r>
  <r>
    <s v="CC013-JBA-08162021"/>
    <s v="Down"/>
    <x v="1"/>
    <s v="Dace. Sp"/>
    <s v="Rhinichthys"/>
    <s v="gibbosus"/>
    <s v="U"/>
    <x v="0"/>
    <n v="8"/>
    <n v="11.81"/>
    <x v="18"/>
    <s v="68259-12-1"/>
    <x v="18"/>
    <n v="1.36"/>
  </r>
  <r>
    <s v="CC013-JBA-08162021"/>
    <s v="Down"/>
    <x v="1"/>
    <s v="Dace. Sp"/>
    <s v="Rhinichthys"/>
    <s v="gibbosus"/>
    <s v="U"/>
    <x v="0"/>
    <n v="8"/>
    <n v="11.81"/>
    <x v="19"/>
    <s v="335-77-3"/>
    <x v="19"/>
    <n v="2.2200000000000002"/>
  </r>
  <r>
    <s v="CC013-JBA-08162021"/>
    <s v="Down"/>
    <x v="1"/>
    <s v="Dace. Sp"/>
    <s v="Rhinichthys"/>
    <s v="gibbosus"/>
    <s v="U"/>
    <x v="0"/>
    <n v="8"/>
    <n v="11.81"/>
    <x v="20"/>
    <s v="79780-39-5"/>
    <x v="20"/>
    <n v="1.1200000000000001"/>
  </r>
  <r>
    <s v="CC013-JBA-08162021"/>
    <s v="Down"/>
    <x v="1"/>
    <s v="Dace. Sp"/>
    <s v="Rhinichthys"/>
    <s v="gibbosus"/>
    <s v="U"/>
    <x v="0"/>
    <n v="8"/>
    <n v="11.81"/>
    <x v="21"/>
    <s v="777011-38-8"/>
    <x v="21"/>
    <n v="1.1399999999999999"/>
  </r>
  <r>
    <s v="CC013-JBA-08162021"/>
    <s v="Down"/>
    <x v="1"/>
    <s v="Dace. Sp"/>
    <s v="Rhinichthys"/>
    <s v="gibbosus"/>
    <s v="U"/>
    <x v="0"/>
    <n v="8"/>
    <n v="11.81"/>
    <x v="22"/>
    <s v="646-83-3"/>
    <x v="22"/>
    <n v="0.61699999999999999"/>
  </r>
  <r>
    <s v="CC013-JBA-08162021"/>
    <s v="Down"/>
    <x v="1"/>
    <s v="Dace. Sp"/>
    <s v="Rhinichthys"/>
    <s v="gibbosus"/>
    <s v="U"/>
    <x v="0"/>
    <n v="8"/>
    <n v="11.81"/>
    <x v="23"/>
    <s v="30334-69-1"/>
    <x v="23"/>
    <n v="58.3"/>
  </r>
  <r>
    <s v="CC013-JBA-08162021"/>
    <s v="Down"/>
    <x v="1"/>
    <s v="Dace. Sp"/>
    <s v="Rhinichthys"/>
    <s v="gibbosus"/>
    <s v="U"/>
    <x v="0"/>
    <n v="8"/>
    <n v="11.81"/>
    <x v="24"/>
    <s v="41997-13-1"/>
    <x v="24"/>
    <n v="287"/>
  </r>
  <r>
    <s v="CC013-JBA-08162021"/>
    <s v="Down"/>
    <x v="1"/>
    <s v="Dace. Sp"/>
    <s v="Rhinichthys"/>
    <s v="gibbosus"/>
    <s v="U"/>
    <x v="0"/>
    <n v="8"/>
    <n v="11.81"/>
    <x v="25"/>
    <s v="754-91-6"/>
    <x v="25"/>
    <n v="13.6"/>
  </r>
  <r>
    <s v="CC013-JBA-08162021"/>
    <s v="Down"/>
    <x v="1"/>
    <s v="Dace. Sp"/>
    <s v="Rhinichthys"/>
    <s v="gibbosus"/>
    <s v="U"/>
    <x v="0"/>
    <n v="8"/>
    <n v="11.81"/>
    <x v="26"/>
    <s v="31506-32-8"/>
    <x v="26"/>
    <n v="0.18049999999999999"/>
  </r>
  <r>
    <s v="CC013-JBA-08162021"/>
    <s v="Down"/>
    <x v="1"/>
    <s v="Dace. Sp"/>
    <s v="Rhinichthys"/>
    <s v="gibbosus"/>
    <s v="U"/>
    <x v="0"/>
    <n v="8"/>
    <n v="11.81"/>
    <x v="27"/>
    <s v="4151-50-2"/>
    <x v="27"/>
    <n v="0.46850000000000003"/>
  </r>
  <r>
    <s v="CC013-JBA-08162021"/>
    <s v="Down"/>
    <x v="1"/>
    <s v="Dace. Sp"/>
    <s v="Rhinichthys"/>
    <s v="gibbosus"/>
    <s v="U"/>
    <x v="0"/>
    <n v="8"/>
    <n v="11.81"/>
    <x v="28"/>
    <s v="2806-24-8"/>
    <x v="28"/>
    <n v="0.46850000000000003"/>
  </r>
  <r>
    <s v="CC013-JBA-08162021"/>
    <s v="Down"/>
    <x v="1"/>
    <s v="Dace. Sp"/>
    <s v="Rhinichthys"/>
    <s v="gibbosus"/>
    <s v="U"/>
    <x v="0"/>
    <n v="8"/>
    <n v="11.81"/>
    <x v="29"/>
    <s v="2355-31-9"/>
    <x v="29"/>
    <n v="0.23549999999999999"/>
  </r>
  <r>
    <s v="CC013-JBA-08162021"/>
    <s v="Down"/>
    <x v="1"/>
    <s v="Dace. Sp"/>
    <s v="Rhinichthys"/>
    <s v="gibbosus"/>
    <s v="U"/>
    <x v="0"/>
    <n v="8"/>
    <n v="11.81"/>
    <x v="30"/>
    <s v="2991-50-6"/>
    <x v="30"/>
    <n v="0.23400000000000001"/>
  </r>
  <r>
    <s v="CC013-JBA-08162021"/>
    <s v="Down"/>
    <x v="1"/>
    <s v="Dace. Sp"/>
    <s v="Rhinichthys"/>
    <s v="gibbosus"/>
    <s v="U"/>
    <x v="0"/>
    <n v="8"/>
    <n v="11.81"/>
    <x v="31"/>
    <s v="757124-72-4"/>
    <x v="31"/>
    <n v="0.23400000000000001"/>
  </r>
  <r>
    <s v="CC013-JBA-08162021"/>
    <s v="Down"/>
    <x v="1"/>
    <s v="Dace. Sp"/>
    <s v="Rhinichthys"/>
    <s v="gibbosus"/>
    <s v="U"/>
    <x v="0"/>
    <n v="8"/>
    <n v="11.81"/>
    <x v="32"/>
    <s v="27619-97-2"/>
    <x v="32"/>
    <n v="0.23400000000000001"/>
  </r>
  <r>
    <s v="CC013-JBA-08162021"/>
    <s v="Down"/>
    <x v="1"/>
    <s v="Dace. Sp"/>
    <s v="Rhinichthys"/>
    <s v="gibbosus"/>
    <s v="U"/>
    <x v="0"/>
    <n v="8"/>
    <n v="11.81"/>
    <x v="33"/>
    <s v="39108-34-4"/>
    <x v="33"/>
    <n v="12.1"/>
  </r>
  <r>
    <s v="CC013-JBA-08162021"/>
    <s v="Down"/>
    <x v="1"/>
    <s v="Dace. Sp"/>
    <s v="Rhinichthys"/>
    <s v="gibbosus"/>
    <s v="U"/>
    <x v="0"/>
    <n v="8"/>
    <n v="11.81"/>
    <x v="34"/>
    <s v="120226-60-0"/>
    <x v="34"/>
    <n v="0.46850000000000003"/>
  </r>
  <r>
    <s v="CC013-JBA-08162021"/>
    <s v="Down"/>
    <x v="1"/>
    <s v="Dace. Sp"/>
    <s v="Rhinichthys"/>
    <s v="gibbosus"/>
    <s v="U"/>
    <x v="0"/>
    <n v="8"/>
    <n v="11.81"/>
    <x v="35"/>
    <s v="356-02-5"/>
    <x v="35"/>
    <n v="0.27"/>
  </r>
  <r>
    <s v="CC013-JBA-08162021"/>
    <s v="Down"/>
    <x v="1"/>
    <s v="Dace. Sp"/>
    <s v="Rhinichthys"/>
    <s v="gibbosus"/>
    <s v="U"/>
    <x v="0"/>
    <n v="8"/>
    <n v="11.81"/>
    <x v="36"/>
    <s v="914637-49-3"/>
    <x v="36"/>
    <n v="20.2"/>
  </r>
  <r>
    <s v="CC013-JBA-08162021"/>
    <s v="Down"/>
    <x v="1"/>
    <s v="Dace. Sp"/>
    <s v="Rhinichthys"/>
    <s v="gibbosus"/>
    <s v="U"/>
    <x v="0"/>
    <n v="8"/>
    <n v="11.81"/>
    <x v="37"/>
    <s v="812-70-4"/>
    <x v="37"/>
    <n v="0.23400000000000001"/>
  </r>
  <r>
    <s v="CC013-JBA-08162021"/>
    <s v="Down"/>
    <x v="1"/>
    <s v="Dace. Sp"/>
    <s v="Rhinichthys"/>
    <s v="gibbosus"/>
    <s v="U"/>
    <x v="0"/>
    <n v="8"/>
    <n v="11.81"/>
    <x v="38"/>
    <s v="53826-12-3"/>
    <x v="38"/>
    <n v="0.46850000000000003"/>
  </r>
  <r>
    <s v="CC013-JBA-08162021"/>
    <s v="Down"/>
    <x v="1"/>
    <s v="Dace. Sp"/>
    <s v="Rhinichthys"/>
    <s v="gibbosus"/>
    <s v="U"/>
    <x v="0"/>
    <n v="8"/>
    <n v="11.81"/>
    <x v="39"/>
    <s v="27854-31-5"/>
    <x v="39"/>
    <n v="0.46850000000000003"/>
  </r>
  <r>
    <s v="CC013-JBA-08162021"/>
    <s v="Down"/>
    <x v="1"/>
    <s v="Dace. Sp"/>
    <s v="Rhinichthys"/>
    <s v="gibbosus"/>
    <s v="U"/>
    <x v="0"/>
    <n v="8"/>
    <n v="11.81"/>
    <x v="40"/>
    <s v="53826-13-4"/>
    <x v="40"/>
    <n v="0.46850000000000003"/>
  </r>
  <r>
    <s v="CC013-JBA-08162021"/>
    <s v="Down"/>
    <x v="1"/>
    <s v="Dace. Sp"/>
    <s v="Rhinichthys"/>
    <s v="gibbosus"/>
    <s v="U"/>
    <x v="0"/>
    <n v="8"/>
    <n v="11.81"/>
    <x v="41"/>
    <s v="161094-75-3"/>
    <x v="41"/>
    <n v="0.46850000000000003"/>
  </r>
  <r>
    <s v="CC013-JBA-08162021"/>
    <s v="Down"/>
    <x v="1"/>
    <s v="Dace. Sp"/>
    <s v="Rhinichthys"/>
    <s v="gibbosus"/>
    <s v="U"/>
    <x v="0"/>
    <n v="8"/>
    <n v="11.81"/>
    <x v="42"/>
    <s v="70887-84-2"/>
    <x v="42"/>
    <n v="0.46850000000000003"/>
  </r>
  <r>
    <s v="CC013-JBA-08162021"/>
    <s v="Down"/>
    <x v="1"/>
    <s v="Dace. Sp"/>
    <s v="Rhinichthys"/>
    <s v="gibbosus"/>
    <s v="U"/>
    <x v="0"/>
    <n v="8"/>
    <n v="11.81"/>
    <x v="43"/>
    <s v="919005-14-4"/>
    <x v="43"/>
    <n v="0.23400000000000001"/>
  </r>
  <r>
    <s v="CC013-JBA-08162021"/>
    <s v="Down"/>
    <x v="1"/>
    <s v="Dace. Sp"/>
    <s v="Rhinichthys"/>
    <s v="gibbosus"/>
    <s v="U"/>
    <x v="0"/>
    <n v="8"/>
    <n v="11.81"/>
    <x v="44"/>
    <s v="756426-58-1"/>
    <x v="44"/>
    <n v="0.46850000000000003"/>
  </r>
  <r>
    <s v="CC013-JBA-08162021"/>
    <s v="Down"/>
    <x v="1"/>
    <s v="Dace. Sp"/>
    <s v="Rhinichthys"/>
    <s v="gibbosus"/>
    <s v="U"/>
    <x v="0"/>
    <n v="8"/>
    <n v="11.81"/>
    <x v="45"/>
    <s v="763051-92-9"/>
    <x v="45"/>
    <n v="0.46850000000000003"/>
  </r>
  <r>
    <s v="CC013-JBA-08162021"/>
    <s v="Down"/>
    <x v="1"/>
    <s v="Dace. Sp"/>
    <s v="Rhinichthys"/>
    <s v="gibbosus"/>
    <s v="U"/>
    <x v="0"/>
    <n v="8"/>
    <n v="11.81"/>
    <x v="46"/>
    <s v="13252-13-6"/>
    <x v="46"/>
    <n v="0.33600000000000002"/>
  </r>
  <r>
    <s v="CC013-JBA-08162021"/>
    <s v="Down"/>
    <x v="1"/>
    <s v="Dace. Sp"/>
    <s v="Rhinichthys"/>
    <s v="gibbosus"/>
    <s v="U"/>
    <x v="0"/>
    <n v="8"/>
    <n v="11.81"/>
    <x v="47"/>
    <s v="57677-95-9"/>
    <x v="47"/>
    <n v="0.46850000000000003"/>
  </r>
  <r>
    <s v="CC013-JBA-08162021"/>
    <s v="Down"/>
    <x v="1"/>
    <s v="Dace. Sp"/>
    <s v="Rhinichthys"/>
    <s v="gibbosus"/>
    <s v="U"/>
    <x v="0"/>
    <n v="8"/>
    <n v="11.81"/>
    <x v="48"/>
    <s v="678-41-1"/>
    <x v="48"/>
    <n v="0.46850000000000003"/>
  </r>
  <r>
    <s v="CC013-JBA-08162021"/>
    <s v="Down"/>
    <x v="1"/>
    <s v="Dace. Sp"/>
    <s v="Rhinichthys"/>
    <s v="gibbosus"/>
    <s v="U"/>
    <x v="0"/>
    <n v="8"/>
    <n v="11.81"/>
    <x v="49"/>
    <s v="2965-52-8"/>
    <x v="49"/>
    <n v="0.46850000000000003"/>
  </r>
  <r>
    <s v="CC014-JBA-08162021"/>
    <s v="Down"/>
    <x v="1"/>
    <s v="Dace. Sp"/>
    <s v="Rhinichthys"/>
    <s v="gibbosus"/>
    <s v="U"/>
    <x v="0"/>
    <n v="8"/>
    <n v="11.81"/>
    <x v="0"/>
    <s v="375-22-4"/>
    <x v="0"/>
    <n v="0.22550000000000001"/>
  </r>
  <r>
    <s v="CC014-JBA-08162021"/>
    <s v="Down"/>
    <x v="1"/>
    <s v="Dace. Sp"/>
    <s v="Rhinichthys"/>
    <s v="gibbosus"/>
    <s v="U"/>
    <x v="0"/>
    <n v="8"/>
    <n v="11.81"/>
    <x v="1"/>
    <s v="2706-90-3"/>
    <x v="1"/>
    <n v="0.22550000000000001"/>
  </r>
  <r>
    <s v="CC014-JBA-08162021"/>
    <s v="Down"/>
    <x v="1"/>
    <s v="Dace. Sp"/>
    <s v="Rhinichthys"/>
    <s v="gibbosus"/>
    <s v="U"/>
    <x v="0"/>
    <n v="8"/>
    <n v="11.81"/>
    <x v="2"/>
    <s v="307-24-4"/>
    <x v="2"/>
    <n v="0.1215"/>
  </r>
  <r>
    <s v="CC014-JBA-08162021"/>
    <s v="Down"/>
    <x v="1"/>
    <s v="Dace. Sp"/>
    <s v="Rhinichthys"/>
    <s v="gibbosus"/>
    <s v="U"/>
    <x v="0"/>
    <n v="8"/>
    <n v="11.81"/>
    <x v="3"/>
    <s v="375-85-9"/>
    <x v="3"/>
    <n v="0.22550000000000001"/>
  </r>
  <r>
    <s v="CC014-JBA-08162021"/>
    <s v="Down"/>
    <x v="1"/>
    <s v="Dace. Sp"/>
    <s v="Rhinichthys"/>
    <s v="gibbosus"/>
    <s v="U"/>
    <x v="0"/>
    <n v="8"/>
    <n v="11.81"/>
    <x v="4"/>
    <s v="335-67-1"/>
    <x v="4"/>
    <n v="1.24"/>
  </r>
  <r>
    <s v="CC014-JBA-08162021"/>
    <s v="Down"/>
    <x v="1"/>
    <s v="Dace. Sp"/>
    <s v="Rhinichthys"/>
    <s v="gibbosus"/>
    <s v="U"/>
    <x v="0"/>
    <n v="8"/>
    <n v="11.81"/>
    <x v="5"/>
    <s v="375-95-1"/>
    <x v="5"/>
    <n v="0.93899999999999995"/>
  </r>
  <r>
    <s v="CC014-JBA-08162021"/>
    <s v="Down"/>
    <x v="1"/>
    <s v="Dace. Sp"/>
    <s v="Rhinichthys"/>
    <s v="gibbosus"/>
    <s v="U"/>
    <x v="0"/>
    <n v="8"/>
    <n v="11.81"/>
    <x v="6"/>
    <s v="335-76-2"/>
    <x v="6"/>
    <n v="4.53"/>
  </r>
  <r>
    <s v="CC014-JBA-08162021"/>
    <s v="Down"/>
    <x v="1"/>
    <s v="Dace. Sp"/>
    <s v="Rhinichthys"/>
    <s v="gibbosus"/>
    <s v="U"/>
    <x v="0"/>
    <n v="8"/>
    <n v="11.81"/>
    <x v="7"/>
    <s v="2058-94-8"/>
    <x v="7"/>
    <n v="7.48"/>
  </r>
  <r>
    <s v="CC014-JBA-08162021"/>
    <s v="Down"/>
    <x v="1"/>
    <s v="Dace. Sp"/>
    <s v="Rhinichthys"/>
    <s v="gibbosus"/>
    <s v="U"/>
    <x v="0"/>
    <n v="8"/>
    <n v="11.81"/>
    <x v="8"/>
    <s v="307-55-1"/>
    <x v="8"/>
    <n v="14.6"/>
  </r>
  <r>
    <s v="CC014-JBA-08162021"/>
    <s v="Down"/>
    <x v="1"/>
    <s v="Dace. Sp"/>
    <s v="Rhinichthys"/>
    <s v="gibbosus"/>
    <s v="U"/>
    <x v="0"/>
    <n v="8"/>
    <n v="11.81"/>
    <x v="9"/>
    <s v="72629-94-8"/>
    <x v="9"/>
    <n v="6.59"/>
  </r>
  <r>
    <s v="CC014-JBA-08162021"/>
    <s v="Down"/>
    <x v="1"/>
    <s v="Dace. Sp"/>
    <s v="Rhinichthys"/>
    <s v="gibbosus"/>
    <s v="U"/>
    <x v="0"/>
    <n v="8"/>
    <n v="11.81"/>
    <x v="10"/>
    <s v="376-06-7"/>
    <x v="10"/>
    <n v="8.85"/>
  </r>
  <r>
    <s v="CC014-JBA-08162021"/>
    <s v="Down"/>
    <x v="1"/>
    <s v="Dace. Sp"/>
    <s v="Rhinichthys"/>
    <s v="gibbosus"/>
    <s v="U"/>
    <x v="0"/>
    <n v="8"/>
    <n v="11.81"/>
    <x v="11"/>
    <s v="67905-19-5"/>
    <x v="11"/>
    <n v="0.26850000000000002"/>
  </r>
  <r>
    <s v="CC014-JBA-08162021"/>
    <s v="Down"/>
    <x v="1"/>
    <s v="Dace. Sp"/>
    <s v="Rhinichthys"/>
    <s v="gibbosus"/>
    <s v="U"/>
    <x v="0"/>
    <n v="8"/>
    <n v="11.81"/>
    <x v="12"/>
    <s v="423-41-6"/>
    <x v="12"/>
    <n v="0.45050000000000001"/>
  </r>
  <r>
    <s v="CC014-JBA-08162021"/>
    <s v="Down"/>
    <x v="1"/>
    <s v="Dace. Sp"/>
    <s v="Rhinichthys"/>
    <s v="gibbosus"/>
    <s v="U"/>
    <x v="0"/>
    <n v="8"/>
    <n v="11.81"/>
    <x v="13"/>
    <s v="375-73-5"/>
    <x v="13"/>
    <n v="0.1535"/>
  </r>
  <r>
    <s v="CC014-JBA-08162021"/>
    <s v="Down"/>
    <x v="1"/>
    <s v="Dace. Sp"/>
    <s v="Rhinichthys"/>
    <s v="gibbosus"/>
    <s v="U"/>
    <x v="0"/>
    <n v="8"/>
    <n v="11.81"/>
    <x v="14"/>
    <s v="2706-91-4"/>
    <x v="14"/>
    <n v="0.61799999999999999"/>
  </r>
  <r>
    <s v="CC014-JBA-08162021"/>
    <s v="Down"/>
    <x v="1"/>
    <s v="Dace. Sp"/>
    <s v="Rhinichthys"/>
    <s v="gibbosus"/>
    <s v="U"/>
    <x v="0"/>
    <n v="8"/>
    <n v="11.81"/>
    <x v="15"/>
    <s v="355-46-4"/>
    <x v="15"/>
    <n v="49.1"/>
  </r>
  <r>
    <s v="CC014-JBA-08162021"/>
    <s v="Down"/>
    <x v="1"/>
    <s v="Dace. Sp"/>
    <s v="Rhinichthys"/>
    <s v="gibbosus"/>
    <s v="U"/>
    <x v="0"/>
    <n v="8"/>
    <n v="11.81"/>
    <x v="16"/>
    <s v="375-92-8"/>
    <x v="16"/>
    <n v="6.1"/>
  </r>
  <r>
    <s v="CC014-JBA-08162021"/>
    <s v="Down"/>
    <x v="1"/>
    <s v="Dace. Sp"/>
    <s v="Rhinichthys"/>
    <s v="gibbosus"/>
    <s v="U"/>
    <x v="0"/>
    <n v="8"/>
    <n v="11.81"/>
    <x v="17"/>
    <s v="1763-23-1"/>
    <x v="17"/>
    <n v="642"/>
  </r>
  <r>
    <s v="CC014-JBA-08162021"/>
    <s v="Down"/>
    <x v="1"/>
    <s v="Dace. Sp"/>
    <s v="Rhinichthys"/>
    <s v="gibbosus"/>
    <s v="U"/>
    <x v="0"/>
    <n v="8"/>
    <n v="11.81"/>
    <x v="18"/>
    <s v="68259-12-1"/>
    <x v="18"/>
    <n v="0.76900000000000002"/>
  </r>
  <r>
    <s v="CC014-JBA-08162021"/>
    <s v="Down"/>
    <x v="1"/>
    <s v="Dace. Sp"/>
    <s v="Rhinichthys"/>
    <s v="gibbosus"/>
    <s v="U"/>
    <x v="0"/>
    <n v="8"/>
    <n v="11.81"/>
    <x v="19"/>
    <s v="335-77-3"/>
    <x v="19"/>
    <n v="1.34"/>
  </r>
  <r>
    <s v="CC014-JBA-08162021"/>
    <s v="Down"/>
    <x v="1"/>
    <s v="Dace. Sp"/>
    <s v="Rhinichthys"/>
    <s v="gibbosus"/>
    <s v="U"/>
    <x v="0"/>
    <n v="8"/>
    <n v="11.81"/>
    <x v="20"/>
    <s v="79780-39-5"/>
    <x v="20"/>
    <n v="0.51200000000000001"/>
  </r>
  <r>
    <s v="CC014-JBA-08162021"/>
    <s v="Down"/>
    <x v="1"/>
    <s v="Dace. Sp"/>
    <s v="Rhinichthys"/>
    <s v="gibbosus"/>
    <s v="U"/>
    <x v="0"/>
    <n v="8"/>
    <n v="11.81"/>
    <x v="21"/>
    <s v="777011-38-8"/>
    <x v="21"/>
    <n v="0.13700000000000001"/>
  </r>
  <r>
    <s v="CC014-JBA-08162021"/>
    <s v="Down"/>
    <x v="1"/>
    <s v="Dace. Sp"/>
    <s v="Rhinichthys"/>
    <s v="gibbosus"/>
    <s v="U"/>
    <x v="0"/>
    <n v="8"/>
    <n v="11.81"/>
    <x v="22"/>
    <s v="646-83-3"/>
    <x v="22"/>
    <n v="0.27700000000000002"/>
  </r>
  <r>
    <s v="CC014-JBA-08162021"/>
    <s v="Down"/>
    <x v="1"/>
    <s v="Dace. Sp"/>
    <s v="Rhinichthys"/>
    <s v="gibbosus"/>
    <s v="U"/>
    <x v="0"/>
    <n v="8"/>
    <n v="11.81"/>
    <x v="23"/>
    <s v="30334-69-1"/>
    <x v="23"/>
    <n v="67.8"/>
  </r>
  <r>
    <s v="CC014-JBA-08162021"/>
    <s v="Down"/>
    <x v="1"/>
    <s v="Dace. Sp"/>
    <s v="Rhinichthys"/>
    <s v="gibbosus"/>
    <s v="U"/>
    <x v="0"/>
    <n v="8"/>
    <n v="11.81"/>
    <x v="24"/>
    <s v="41997-13-1"/>
    <x v="24"/>
    <n v="122"/>
  </r>
  <r>
    <s v="CC014-JBA-08162021"/>
    <s v="Down"/>
    <x v="1"/>
    <s v="Dace. Sp"/>
    <s v="Rhinichthys"/>
    <s v="gibbosus"/>
    <s v="U"/>
    <x v="0"/>
    <n v="8"/>
    <n v="11.81"/>
    <x v="25"/>
    <s v="754-91-6"/>
    <x v="25"/>
    <n v="5.67"/>
  </r>
  <r>
    <s v="CC014-JBA-08162021"/>
    <s v="Down"/>
    <x v="1"/>
    <s v="Dace. Sp"/>
    <s v="Rhinichthys"/>
    <s v="gibbosus"/>
    <s v="U"/>
    <x v="0"/>
    <n v="8"/>
    <n v="11.81"/>
    <x v="26"/>
    <s v="31506-32-8"/>
    <x v="26"/>
    <n v="0.17349999999999999"/>
  </r>
  <r>
    <s v="CC014-JBA-08162021"/>
    <s v="Down"/>
    <x v="1"/>
    <s v="Dace. Sp"/>
    <s v="Rhinichthys"/>
    <s v="gibbosus"/>
    <s v="U"/>
    <x v="0"/>
    <n v="8"/>
    <n v="11.81"/>
    <x v="27"/>
    <s v="4151-50-2"/>
    <x v="27"/>
    <n v="0.45050000000000001"/>
  </r>
  <r>
    <s v="CC014-JBA-08162021"/>
    <s v="Down"/>
    <x v="1"/>
    <s v="Dace. Sp"/>
    <s v="Rhinichthys"/>
    <s v="gibbosus"/>
    <s v="U"/>
    <x v="0"/>
    <n v="8"/>
    <n v="11.81"/>
    <x v="28"/>
    <s v="2806-24-8"/>
    <x v="28"/>
    <n v="0.45050000000000001"/>
  </r>
  <r>
    <s v="CC014-JBA-08162021"/>
    <s v="Down"/>
    <x v="1"/>
    <s v="Dace. Sp"/>
    <s v="Rhinichthys"/>
    <s v="gibbosus"/>
    <s v="U"/>
    <x v="0"/>
    <n v="8"/>
    <n v="11.81"/>
    <x v="29"/>
    <s v="2355-31-9"/>
    <x v="29"/>
    <n v="0.22650000000000001"/>
  </r>
  <r>
    <s v="CC014-JBA-08162021"/>
    <s v="Down"/>
    <x v="1"/>
    <s v="Dace. Sp"/>
    <s v="Rhinichthys"/>
    <s v="gibbosus"/>
    <s v="U"/>
    <x v="0"/>
    <n v="8"/>
    <n v="11.81"/>
    <x v="30"/>
    <s v="2991-50-6"/>
    <x v="30"/>
    <n v="0.22550000000000001"/>
  </r>
  <r>
    <s v="CC014-JBA-08162021"/>
    <s v="Down"/>
    <x v="1"/>
    <s v="Dace. Sp"/>
    <s v="Rhinichthys"/>
    <s v="gibbosus"/>
    <s v="U"/>
    <x v="0"/>
    <n v="8"/>
    <n v="11.81"/>
    <x v="31"/>
    <s v="757124-72-4"/>
    <x v="31"/>
    <n v="0.22550000000000001"/>
  </r>
  <r>
    <s v="CC014-JBA-08162021"/>
    <s v="Down"/>
    <x v="1"/>
    <s v="Dace. Sp"/>
    <s v="Rhinichthys"/>
    <s v="gibbosus"/>
    <s v="U"/>
    <x v="0"/>
    <n v="8"/>
    <n v="11.81"/>
    <x v="32"/>
    <s v="27619-97-2"/>
    <x v="32"/>
    <n v="0.22550000000000001"/>
  </r>
  <r>
    <s v="CC014-JBA-08162021"/>
    <s v="Down"/>
    <x v="1"/>
    <s v="Dace. Sp"/>
    <s v="Rhinichthys"/>
    <s v="gibbosus"/>
    <s v="U"/>
    <x v="0"/>
    <n v="8"/>
    <n v="11.81"/>
    <x v="33"/>
    <s v="39108-34-4"/>
    <x v="33"/>
    <n v="7.18"/>
  </r>
  <r>
    <s v="CC014-JBA-08162021"/>
    <s v="Down"/>
    <x v="1"/>
    <s v="Dace. Sp"/>
    <s v="Rhinichthys"/>
    <s v="gibbosus"/>
    <s v="U"/>
    <x v="0"/>
    <n v="8"/>
    <n v="11.81"/>
    <x v="34"/>
    <s v="120226-60-0"/>
    <x v="34"/>
    <n v="0.45050000000000001"/>
  </r>
  <r>
    <s v="CC014-JBA-08162021"/>
    <s v="Down"/>
    <x v="1"/>
    <s v="Dace. Sp"/>
    <s v="Rhinichthys"/>
    <s v="gibbosus"/>
    <s v="U"/>
    <x v="0"/>
    <n v="8"/>
    <n v="11.81"/>
    <x v="35"/>
    <s v="356-02-5"/>
    <x v="35"/>
    <n v="0.26"/>
  </r>
  <r>
    <s v="CC014-JBA-08162021"/>
    <s v="Down"/>
    <x v="1"/>
    <s v="Dace. Sp"/>
    <s v="Rhinichthys"/>
    <s v="gibbosus"/>
    <s v="U"/>
    <x v="0"/>
    <n v="8"/>
    <n v="11.81"/>
    <x v="36"/>
    <s v="914637-49-3"/>
    <x v="36"/>
    <n v="0.22550000000000001"/>
  </r>
  <r>
    <s v="CC014-JBA-08162021"/>
    <s v="Down"/>
    <x v="1"/>
    <s v="Dace. Sp"/>
    <s v="Rhinichthys"/>
    <s v="gibbosus"/>
    <s v="U"/>
    <x v="0"/>
    <n v="8"/>
    <n v="11.81"/>
    <x v="37"/>
    <s v="812-70-4"/>
    <x v="37"/>
    <n v="0.22550000000000001"/>
  </r>
  <r>
    <s v="CC014-JBA-08162021"/>
    <s v="Down"/>
    <x v="1"/>
    <s v="Dace. Sp"/>
    <s v="Rhinichthys"/>
    <s v="gibbosus"/>
    <s v="U"/>
    <x v="0"/>
    <n v="8"/>
    <n v="11.81"/>
    <x v="38"/>
    <s v="53826-12-3"/>
    <x v="38"/>
    <n v="0.45050000000000001"/>
  </r>
  <r>
    <s v="CC014-JBA-08162021"/>
    <s v="Down"/>
    <x v="1"/>
    <s v="Dace. Sp"/>
    <s v="Rhinichthys"/>
    <s v="gibbosus"/>
    <s v="U"/>
    <x v="0"/>
    <n v="8"/>
    <n v="11.81"/>
    <x v="39"/>
    <s v="27854-31-5"/>
    <x v="39"/>
    <n v="0.45050000000000001"/>
  </r>
  <r>
    <s v="CC014-JBA-08162021"/>
    <s v="Down"/>
    <x v="1"/>
    <s v="Dace. Sp"/>
    <s v="Rhinichthys"/>
    <s v="gibbosus"/>
    <s v="U"/>
    <x v="0"/>
    <n v="8"/>
    <n v="11.81"/>
    <x v="40"/>
    <s v="53826-13-4"/>
    <x v="40"/>
    <n v="0.45050000000000001"/>
  </r>
  <r>
    <s v="CC014-JBA-08162021"/>
    <s v="Down"/>
    <x v="1"/>
    <s v="Dace. Sp"/>
    <s v="Rhinichthys"/>
    <s v="gibbosus"/>
    <s v="U"/>
    <x v="0"/>
    <n v="8"/>
    <n v="11.81"/>
    <x v="41"/>
    <s v="161094-75-3"/>
    <x v="41"/>
    <n v="0.45050000000000001"/>
  </r>
  <r>
    <s v="CC014-JBA-08162021"/>
    <s v="Down"/>
    <x v="1"/>
    <s v="Dace. Sp"/>
    <s v="Rhinichthys"/>
    <s v="gibbosus"/>
    <s v="U"/>
    <x v="0"/>
    <n v="8"/>
    <n v="11.81"/>
    <x v="42"/>
    <s v="70887-84-2"/>
    <x v="42"/>
    <n v="0.45050000000000001"/>
  </r>
  <r>
    <s v="CC014-JBA-08162021"/>
    <s v="Down"/>
    <x v="1"/>
    <s v="Dace. Sp"/>
    <s v="Rhinichthys"/>
    <s v="gibbosus"/>
    <s v="U"/>
    <x v="0"/>
    <n v="8"/>
    <n v="11.81"/>
    <x v="43"/>
    <s v="919005-14-4"/>
    <x v="43"/>
    <n v="0.22550000000000001"/>
  </r>
  <r>
    <s v="CC014-JBA-08162021"/>
    <s v="Down"/>
    <x v="1"/>
    <s v="Dace. Sp"/>
    <s v="Rhinichthys"/>
    <s v="gibbosus"/>
    <s v="U"/>
    <x v="0"/>
    <n v="8"/>
    <n v="11.81"/>
    <x v="44"/>
    <s v="756426-58-1"/>
    <x v="44"/>
    <n v="0.45050000000000001"/>
  </r>
  <r>
    <s v="CC014-JBA-08162021"/>
    <s v="Down"/>
    <x v="1"/>
    <s v="Dace. Sp"/>
    <s v="Rhinichthys"/>
    <s v="gibbosus"/>
    <s v="U"/>
    <x v="0"/>
    <n v="8"/>
    <n v="11.81"/>
    <x v="45"/>
    <s v="763051-92-9"/>
    <x v="45"/>
    <n v="0.45050000000000001"/>
  </r>
  <r>
    <s v="CC014-JBA-08162021"/>
    <s v="Down"/>
    <x v="1"/>
    <s v="Dace. Sp"/>
    <s v="Rhinichthys"/>
    <s v="gibbosus"/>
    <s v="U"/>
    <x v="0"/>
    <n v="8"/>
    <n v="11.81"/>
    <x v="46"/>
    <s v="13252-13-6"/>
    <x v="46"/>
    <n v="0.32350000000000001"/>
  </r>
  <r>
    <s v="CC014-JBA-08162021"/>
    <s v="Down"/>
    <x v="1"/>
    <s v="Dace. Sp"/>
    <s v="Rhinichthys"/>
    <s v="gibbosus"/>
    <s v="U"/>
    <x v="0"/>
    <n v="8"/>
    <n v="11.81"/>
    <x v="47"/>
    <s v="57677-95-9"/>
    <x v="47"/>
    <n v="0.45050000000000001"/>
  </r>
  <r>
    <s v="CC014-JBA-08162021"/>
    <s v="Down"/>
    <x v="1"/>
    <s v="Dace. Sp"/>
    <s v="Rhinichthys"/>
    <s v="gibbosus"/>
    <s v="U"/>
    <x v="0"/>
    <n v="8"/>
    <n v="11.81"/>
    <x v="48"/>
    <s v="678-41-1"/>
    <x v="48"/>
    <n v="0.45050000000000001"/>
  </r>
  <r>
    <s v="CC014-JBA-08162021"/>
    <s v="Down"/>
    <x v="1"/>
    <s v="Dace. Sp"/>
    <s v="Rhinichthys"/>
    <s v="gibbosus"/>
    <s v="U"/>
    <x v="0"/>
    <n v="8"/>
    <n v="11.81"/>
    <x v="49"/>
    <s v="2965-52-8"/>
    <x v="49"/>
    <n v="0.45050000000000001"/>
  </r>
  <r>
    <s v="CC015-JBA-08162021"/>
    <s v="Down"/>
    <x v="1"/>
    <s v="Dace. Sp"/>
    <s v="Rhinichthys"/>
    <s v="gibbosus"/>
    <s v="U"/>
    <x v="0"/>
    <n v="8"/>
    <n v="11.81"/>
    <x v="0"/>
    <s v="375-22-4"/>
    <x v="0"/>
    <n v="0.223"/>
  </r>
  <r>
    <s v="CC015-JBA-08162021"/>
    <s v="Down"/>
    <x v="1"/>
    <s v="Dace. Sp"/>
    <s v="Rhinichthys"/>
    <s v="gibbosus"/>
    <s v="U"/>
    <x v="0"/>
    <n v="8"/>
    <n v="11.81"/>
    <x v="1"/>
    <s v="2706-90-3"/>
    <x v="1"/>
    <n v="0.223"/>
  </r>
  <r>
    <s v="CC015-JBA-08162021"/>
    <s v="Down"/>
    <x v="1"/>
    <s v="Dace. Sp"/>
    <s v="Rhinichthys"/>
    <s v="gibbosus"/>
    <s v="U"/>
    <x v="0"/>
    <n v="8"/>
    <n v="11.81"/>
    <x v="2"/>
    <s v="307-24-4"/>
    <x v="2"/>
    <n v="0.12"/>
  </r>
  <r>
    <s v="CC015-JBA-08162021"/>
    <s v="Down"/>
    <x v="1"/>
    <s v="Dace. Sp"/>
    <s v="Rhinichthys"/>
    <s v="gibbosus"/>
    <s v="U"/>
    <x v="0"/>
    <n v="8"/>
    <n v="11.81"/>
    <x v="3"/>
    <s v="375-85-9"/>
    <x v="3"/>
    <n v="0.223"/>
  </r>
  <r>
    <s v="CC015-JBA-08162021"/>
    <s v="Down"/>
    <x v="1"/>
    <s v="Dace. Sp"/>
    <s v="Rhinichthys"/>
    <s v="gibbosus"/>
    <s v="U"/>
    <x v="0"/>
    <n v="8"/>
    <n v="11.81"/>
    <x v="4"/>
    <s v="335-67-1"/>
    <x v="4"/>
    <n v="2.77"/>
  </r>
  <r>
    <s v="CC015-JBA-08162021"/>
    <s v="Down"/>
    <x v="1"/>
    <s v="Dace. Sp"/>
    <s v="Rhinichthys"/>
    <s v="gibbosus"/>
    <s v="U"/>
    <x v="0"/>
    <n v="8"/>
    <n v="11.81"/>
    <x v="5"/>
    <s v="375-95-1"/>
    <x v="5"/>
    <n v="9.73"/>
  </r>
  <r>
    <s v="CC015-JBA-08162021"/>
    <s v="Down"/>
    <x v="1"/>
    <s v="Dace. Sp"/>
    <s v="Rhinichthys"/>
    <s v="gibbosus"/>
    <s v="U"/>
    <x v="0"/>
    <n v="8"/>
    <n v="11.81"/>
    <x v="6"/>
    <s v="335-76-2"/>
    <x v="6"/>
    <n v="6.19"/>
  </r>
  <r>
    <s v="CC015-JBA-08162021"/>
    <s v="Down"/>
    <x v="1"/>
    <s v="Dace. Sp"/>
    <s v="Rhinichthys"/>
    <s v="gibbosus"/>
    <s v="U"/>
    <x v="0"/>
    <n v="8"/>
    <n v="11.81"/>
    <x v="7"/>
    <s v="2058-94-8"/>
    <x v="7"/>
    <n v="7.76"/>
  </r>
  <r>
    <s v="CC015-JBA-08162021"/>
    <s v="Down"/>
    <x v="1"/>
    <s v="Dace. Sp"/>
    <s v="Rhinichthys"/>
    <s v="gibbosus"/>
    <s v="U"/>
    <x v="0"/>
    <n v="8"/>
    <n v="11.81"/>
    <x v="8"/>
    <s v="307-55-1"/>
    <x v="8"/>
    <n v="8.93"/>
  </r>
  <r>
    <s v="CC015-JBA-08162021"/>
    <s v="Down"/>
    <x v="1"/>
    <s v="Dace. Sp"/>
    <s v="Rhinichthys"/>
    <s v="gibbosus"/>
    <s v="U"/>
    <x v="0"/>
    <n v="8"/>
    <n v="11.81"/>
    <x v="9"/>
    <s v="72629-94-8"/>
    <x v="9"/>
    <n v="2.41"/>
  </r>
  <r>
    <s v="CC015-JBA-08162021"/>
    <s v="Down"/>
    <x v="1"/>
    <s v="Dace. Sp"/>
    <s v="Rhinichthys"/>
    <s v="gibbosus"/>
    <s v="U"/>
    <x v="0"/>
    <n v="8"/>
    <n v="11.81"/>
    <x v="10"/>
    <s v="376-06-7"/>
    <x v="10"/>
    <n v="6.22"/>
  </r>
  <r>
    <s v="CC015-JBA-08162021"/>
    <s v="Down"/>
    <x v="1"/>
    <s v="Dace. Sp"/>
    <s v="Rhinichthys"/>
    <s v="gibbosus"/>
    <s v="U"/>
    <x v="0"/>
    <n v="8"/>
    <n v="11.81"/>
    <x v="11"/>
    <s v="67905-19-5"/>
    <x v="11"/>
    <n v="0.26550000000000001"/>
  </r>
  <r>
    <s v="CC015-JBA-08162021"/>
    <s v="Down"/>
    <x v="1"/>
    <s v="Dace. Sp"/>
    <s v="Rhinichthys"/>
    <s v="gibbosus"/>
    <s v="U"/>
    <x v="0"/>
    <n v="8"/>
    <n v="11.81"/>
    <x v="12"/>
    <s v="423-41-6"/>
    <x v="12"/>
    <n v="0.44550000000000001"/>
  </r>
  <r>
    <s v="CC015-JBA-08162021"/>
    <s v="Down"/>
    <x v="1"/>
    <s v="Dace. Sp"/>
    <s v="Rhinichthys"/>
    <s v="gibbosus"/>
    <s v="U"/>
    <x v="0"/>
    <n v="8"/>
    <n v="11.81"/>
    <x v="13"/>
    <s v="375-73-5"/>
    <x v="13"/>
    <n v="0.1515"/>
  </r>
  <r>
    <s v="CC015-JBA-08162021"/>
    <s v="Down"/>
    <x v="1"/>
    <s v="Dace. Sp"/>
    <s v="Rhinichthys"/>
    <s v="gibbosus"/>
    <s v="U"/>
    <x v="0"/>
    <n v="8"/>
    <n v="11.81"/>
    <x v="14"/>
    <s v="2706-91-4"/>
    <x v="14"/>
    <n v="0.26100000000000001"/>
  </r>
  <r>
    <s v="CC015-JBA-08162021"/>
    <s v="Down"/>
    <x v="1"/>
    <s v="Dace. Sp"/>
    <s v="Rhinichthys"/>
    <s v="gibbosus"/>
    <s v="U"/>
    <x v="0"/>
    <n v="8"/>
    <n v="11.81"/>
    <x v="15"/>
    <s v="355-46-4"/>
    <x v="15"/>
    <n v="29"/>
  </r>
  <r>
    <s v="CC015-JBA-08162021"/>
    <s v="Down"/>
    <x v="1"/>
    <s v="Dace. Sp"/>
    <s v="Rhinichthys"/>
    <s v="gibbosus"/>
    <s v="U"/>
    <x v="0"/>
    <n v="8"/>
    <n v="11.81"/>
    <x v="16"/>
    <s v="375-92-8"/>
    <x v="16"/>
    <n v="12.8"/>
  </r>
  <r>
    <s v="CC015-JBA-08162021"/>
    <s v="Down"/>
    <x v="1"/>
    <s v="Dace. Sp"/>
    <s v="Rhinichthys"/>
    <s v="gibbosus"/>
    <s v="U"/>
    <x v="0"/>
    <n v="8"/>
    <n v="11.81"/>
    <x v="17"/>
    <s v="1763-23-1"/>
    <x v="17"/>
    <n v="930"/>
  </r>
  <r>
    <s v="CC015-JBA-08162021"/>
    <s v="Down"/>
    <x v="1"/>
    <s v="Dace. Sp"/>
    <s v="Rhinichthys"/>
    <s v="gibbosus"/>
    <s v="U"/>
    <x v="0"/>
    <n v="8"/>
    <n v="11.81"/>
    <x v="18"/>
    <s v="68259-12-1"/>
    <x v="18"/>
    <n v="1.24"/>
  </r>
  <r>
    <s v="CC015-JBA-08162021"/>
    <s v="Down"/>
    <x v="1"/>
    <s v="Dace. Sp"/>
    <s v="Rhinichthys"/>
    <s v="gibbosus"/>
    <s v="U"/>
    <x v="0"/>
    <n v="8"/>
    <n v="11.81"/>
    <x v="19"/>
    <s v="335-77-3"/>
    <x v="19"/>
    <n v="2.25"/>
  </r>
  <r>
    <s v="CC015-JBA-08162021"/>
    <s v="Down"/>
    <x v="1"/>
    <s v="Dace. Sp"/>
    <s v="Rhinichthys"/>
    <s v="gibbosus"/>
    <s v="U"/>
    <x v="0"/>
    <n v="8"/>
    <n v="11.81"/>
    <x v="20"/>
    <s v="79780-39-5"/>
    <x v="20"/>
    <n v="0.626"/>
  </r>
  <r>
    <s v="CC015-JBA-08162021"/>
    <s v="Down"/>
    <x v="1"/>
    <s v="Dace. Sp"/>
    <s v="Rhinichthys"/>
    <s v="gibbosus"/>
    <s v="U"/>
    <x v="0"/>
    <n v="8"/>
    <n v="11.81"/>
    <x v="21"/>
    <s v="777011-38-8"/>
    <x v="21"/>
    <n v="1.43"/>
  </r>
  <r>
    <s v="CC015-JBA-08162021"/>
    <s v="Down"/>
    <x v="1"/>
    <s v="Dace. Sp"/>
    <s v="Rhinichthys"/>
    <s v="gibbosus"/>
    <s v="U"/>
    <x v="0"/>
    <n v="8"/>
    <n v="11.81"/>
    <x v="22"/>
    <s v="646-83-3"/>
    <x v="22"/>
    <n v="0.64300000000000002"/>
  </r>
  <r>
    <s v="CC015-JBA-08162021"/>
    <s v="Down"/>
    <x v="1"/>
    <s v="Dace. Sp"/>
    <s v="Rhinichthys"/>
    <s v="gibbosus"/>
    <s v="U"/>
    <x v="0"/>
    <n v="8"/>
    <n v="11.81"/>
    <x v="23"/>
    <s v="30334-69-1"/>
    <x v="23"/>
    <n v="38.200000000000003"/>
  </r>
  <r>
    <s v="CC015-JBA-08162021"/>
    <s v="Down"/>
    <x v="1"/>
    <s v="Dace. Sp"/>
    <s v="Rhinichthys"/>
    <s v="gibbosus"/>
    <s v="U"/>
    <x v="0"/>
    <n v="8"/>
    <n v="11.81"/>
    <x v="24"/>
    <s v="41997-13-1"/>
    <x v="24"/>
    <n v="401"/>
  </r>
  <r>
    <s v="CC015-JBA-08162021"/>
    <s v="Down"/>
    <x v="1"/>
    <s v="Dace. Sp"/>
    <s v="Rhinichthys"/>
    <s v="gibbosus"/>
    <s v="U"/>
    <x v="0"/>
    <n v="8"/>
    <n v="11.81"/>
    <x v="25"/>
    <s v="754-91-6"/>
    <x v="25"/>
    <n v="22.2"/>
  </r>
  <r>
    <s v="CC015-JBA-08162021"/>
    <s v="Down"/>
    <x v="1"/>
    <s v="Dace. Sp"/>
    <s v="Rhinichthys"/>
    <s v="gibbosus"/>
    <s v="U"/>
    <x v="0"/>
    <n v="8"/>
    <n v="11.81"/>
    <x v="26"/>
    <s v="31506-32-8"/>
    <x v="26"/>
    <n v="0.17150000000000001"/>
  </r>
  <r>
    <s v="CC015-JBA-08162021"/>
    <s v="Down"/>
    <x v="1"/>
    <s v="Dace. Sp"/>
    <s v="Rhinichthys"/>
    <s v="gibbosus"/>
    <s v="U"/>
    <x v="0"/>
    <n v="8"/>
    <n v="11.81"/>
    <x v="27"/>
    <s v="4151-50-2"/>
    <x v="27"/>
    <n v="0.44550000000000001"/>
  </r>
  <r>
    <s v="CC015-JBA-08162021"/>
    <s v="Down"/>
    <x v="1"/>
    <s v="Dace. Sp"/>
    <s v="Rhinichthys"/>
    <s v="gibbosus"/>
    <s v="U"/>
    <x v="0"/>
    <n v="8"/>
    <n v="11.81"/>
    <x v="28"/>
    <s v="2806-24-8"/>
    <x v="28"/>
    <n v="0.44550000000000001"/>
  </r>
  <r>
    <s v="CC015-JBA-08162021"/>
    <s v="Down"/>
    <x v="1"/>
    <s v="Dace. Sp"/>
    <s v="Rhinichthys"/>
    <s v="gibbosus"/>
    <s v="U"/>
    <x v="0"/>
    <n v="8"/>
    <n v="11.81"/>
    <x v="29"/>
    <s v="2355-31-9"/>
    <x v="29"/>
    <n v="0.224"/>
  </r>
  <r>
    <s v="CC015-JBA-08162021"/>
    <s v="Down"/>
    <x v="1"/>
    <s v="Dace. Sp"/>
    <s v="Rhinichthys"/>
    <s v="gibbosus"/>
    <s v="U"/>
    <x v="0"/>
    <n v="8"/>
    <n v="11.81"/>
    <x v="30"/>
    <s v="2991-50-6"/>
    <x v="30"/>
    <n v="0.223"/>
  </r>
  <r>
    <s v="CC015-JBA-08162021"/>
    <s v="Down"/>
    <x v="1"/>
    <s v="Dace. Sp"/>
    <s v="Rhinichthys"/>
    <s v="gibbosus"/>
    <s v="U"/>
    <x v="0"/>
    <n v="8"/>
    <n v="11.81"/>
    <x v="31"/>
    <s v="757124-72-4"/>
    <x v="31"/>
    <n v="0.223"/>
  </r>
  <r>
    <s v="CC015-JBA-08162021"/>
    <s v="Down"/>
    <x v="1"/>
    <s v="Dace. Sp"/>
    <s v="Rhinichthys"/>
    <s v="gibbosus"/>
    <s v="U"/>
    <x v="0"/>
    <n v="8"/>
    <n v="11.81"/>
    <x v="32"/>
    <s v="27619-97-2"/>
    <x v="32"/>
    <n v="2.0499999999999998"/>
  </r>
  <r>
    <s v="CC015-JBA-08162021"/>
    <s v="Down"/>
    <x v="1"/>
    <s v="Dace. Sp"/>
    <s v="Rhinichthys"/>
    <s v="gibbosus"/>
    <s v="U"/>
    <x v="0"/>
    <n v="8"/>
    <n v="11.81"/>
    <x v="33"/>
    <s v="39108-34-4"/>
    <x v="33"/>
    <n v="24.7"/>
  </r>
  <r>
    <s v="CC015-JBA-08162021"/>
    <s v="Down"/>
    <x v="1"/>
    <s v="Dace. Sp"/>
    <s v="Rhinichthys"/>
    <s v="gibbosus"/>
    <s v="U"/>
    <x v="0"/>
    <n v="8"/>
    <n v="11.81"/>
    <x v="34"/>
    <s v="120226-60-0"/>
    <x v="34"/>
    <n v="0.44550000000000001"/>
  </r>
  <r>
    <s v="CC015-JBA-08162021"/>
    <s v="Down"/>
    <x v="1"/>
    <s v="Dace. Sp"/>
    <s v="Rhinichthys"/>
    <s v="gibbosus"/>
    <s v="U"/>
    <x v="0"/>
    <n v="8"/>
    <n v="11.81"/>
    <x v="35"/>
    <s v="356-02-5"/>
    <x v="35"/>
    <n v="0.25700000000000001"/>
  </r>
  <r>
    <s v="CC015-JBA-08162021"/>
    <s v="Down"/>
    <x v="1"/>
    <s v="Dace. Sp"/>
    <s v="Rhinichthys"/>
    <s v="gibbosus"/>
    <s v="U"/>
    <x v="0"/>
    <n v="8"/>
    <n v="11.81"/>
    <x v="36"/>
    <s v="914637-49-3"/>
    <x v="36"/>
    <n v="0.56599999999999995"/>
  </r>
  <r>
    <s v="CC015-JBA-08162021"/>
    <s v="Down"/>
    <x v="1"/>
    <s v="Dace. Sp"/>
    <s v="Rhinichthys"/>
    <s v="gibbosus"/>
    <s v="U"/>
    <x v="0"/>
    <n v="8"/>
    <n v="11.81"/>
    <x v="37"/>
    <s v="812-70-4"/>
    <x v="37"/>
    <n v="5.09"/>
  </r>
  <r>
    <s v="CC015-JBA-08162021"/>
    <s v="Down"/>
    <x v="1"/>
    <s v="Dace. Sp"/>
    <s v="Rhinichthys"/>
    <s v="gibbosus"/>
    <s v="U"/>
    <x v="0"/>
    <n v="8"/>
    <n v="11.81"/>
    <x v="38"/>
    <s v="53826-12-3"/>
    <x v="38"/>
    <n v="0.44550000000000001"/>
  </r>
  <r>
    <s v="CC015-JBA-08162021"/>
    <s v="Down"/>
    <x v="1"/>
    <s v="Dace. Sp"/>
    <s v="Rhinichthys"/>
    <s v="gibbosus"/>
    <s v="U"/>
    <x v="0"/>
    <n v="8"/>
    <n v="11.81"/>
    <x v="39"/>
    <s v="27854-31-5"/>
    <x v="39"/>
    <n v="0.44550000000000001"/>
  </r>
  <r>
    <s v="CC015-JBA-08162021"/>
    <s v="Down"/>
    <x v="1"/>
    <s v="Dace. Sp"/>
    <s v="Rhinichthys"/>
    <s v="gibbosus"/>
    <s v="U"/>
    <x v="0"/>
    <n v="8"/>
    <n v="11.81"/>
    <x v="40"/>
    <s v="53826-13-4"/>
    <x v="40"/>
    <n v="0.44550000000000001"/>
  </r>
  <r>
    <s v="CC015-JBA-08162021"/>
    <s v="Down"/>
    <x v="1"/>
    <s v="Dace. Sp"/>
    <s v="Rhinichthys"/>
    <s v="gibbosus"/>
    <s v="U"/>
    <x v="0"/>
    <n v="8"/>
    <n v="11.81"/>
    <x v="41"/>
    <s v="161094-75-3"/>
    <x v="41"/>
    <n v="0.44550000000000001"/>
  </r>
  <r>
    <s v="CC015-JBA-08162021"/>
    <s v="Down"/>
    <x v="1"/>
    <s v="Dace. Sp"/>
    <s v="Rhinichthys"/>
    <s v="gibbosus"/>
    <s v="U"/>
    <x v="0"/>
    <n v="8"/>
    <n v="11.81"/>
    <x v="42"/>
    <s v="70887-84-2"/>
    <x v="42"/>
    <n v="0.44550000000000001"/>
  </r>
  <r>
    <s v="CC015-JBA-08162021"/>
    <s v="Down"/>
    <x v="1"/>
    <s v="Dace. Sp"/>
    <s v="Rhinichthys"/>
    <s v="gibbosus"/>
    <s v="U"/>
    <x v="0"/>
    <n v="8"/>
    <n v="11.81"/>
    <x v="43"/>
    <s v="919005-14-4"/>
    <x v="43"/>
    <n v="0.223"/>
  </r>
  <r>
    <s v="CC015-JBA-08162021"/>
    <s v="Down"/>
    <x v="1"/>
    <s v="Dace. Sp"/>
    <s v="Rhinichthys"/>
    <s v="gibbosus"/>
    <s v="U"/>
    <x v="0"/>
    <n v="8"/>
    <n v="11.81"/>
    <x v="44"/>
    <s v="756426-58-1"/>
    <x v="44"/>
    <n v="0.44550000000000001"/>
  </r>
  <r>
    <s v="CC015-JBA-08162021"/>
    <s v="Down"/>
    <x v="1"/>
    <s v="Dace. Sp"/>
    <s v="Rhinichthys"/>
    <s v="gibbosus"/>
    <s v="U"/>
    <x v="0"/>
    <n v="8"/>
    <n v="11.81"/>
    <x v="45"/>
    <s v="763051-92-9"/>
    <x v="45"/>
    <n v="0.44550000000000001"/>
  </r>
  <r>
    <s v="CC015-JBA-08162021"/>
    <s v="Down"/>
    <x v="1"/>
    <s v="Dace. Sp"/>
    <s v="Rhinichthys"/>
    <s v="gibbosus"/>
    <s v="U"/>
    <x v="0"/>
    <n v="8"/>
    <n v="11.81"/>
    <x v="46"/>
    <s v="13252-13-6"/>
    <x v="46"/>
    <n v="0.31950000000000001"/>
  </r>
  <r>
    <s v="CC015-JBA-08162021"/>
    <s v="Down"/>
    <x v="1"/>
    <s v="Dace. Sp"/>
    <s v="Rhinichthys"/>
    <s v="gibbosus"/>
    <s v="U"/>
    <x v="0"/>
    <n v="8"/>
    <n v="11.81"/>
    <x v="47"/>
    <s v="57677-95-9"/>
    <x v="47"/>
    <n v="0.44550000000000001"/>
  </r>
  <r>
    <s v="CC015-JBA-08162021"/>
    <s v="Down"/>
    <x v="1"/>
    <s v="Dace. Sp"/>
    <s v="Rhinichthys"/>
    <s v="gibbosus"/>
    <s v="U"/>
    <x v="0"/>
    <n v="8"/>
    <n v="11.81"/>
    <x v="48"/>
    <s v="678-41-1"/>
    <x v="48"/>
    <n v="0.44550000000000001"/>
  </r>
  <r>
    <s v="CC015-JBA-08162021"/>
    <s v="Down"/>
    <x v="1"/>
    <s v="Dace. Sp"/>
    <s v="Rhinichthys"/>
    <s v="gibbosus"/>
    <s v="U"/>
    <x v="0"/>
    <n v="8"/>
    <n v="11.81"/>
    <x v="49"/>
    <s v="2965-52-8"/>
    <x v="49"/>
    <n v="0.44550000000000001"/>
  </r>
  <r>
    <s v="CC016-JBA-08162021"/>
    <s v="Down"/>
    <x v="1"/>
    <s v="Dace. Sp"/>
    <s v="Rhinichthys"/>
    <s v="gibbosus"/>
    <s v="U"/>
    <x v="0"/>
    <n v="8"/>
    <n v="11.81"/>
    <x v="0"/>
    <s v="375-22-4"/>
    <x v="0"/>
    <n v="0.21"/>
  </r>
  <r>
    <s v="CC016-JBA-08162021"/>
    <s v="Down"/>
    <x v="1"/>
    <s v="Dace. Sp"/>
    <s v="Rhinichthys"/>
    <s v="gibbosus"/>
    <s v="U"/>
    <x v="0"/>
    <n v="8"/>
    <n v="11.81"/>
    <x v="1"/>
    <s v="2706-90-3"/>
    <x v="1"/>
    <n v="0.21"/>
  </r>
  <r>
    <s v="CC016-JBA-08162021"/>
    <s v="Down"/>
    <x v="1"/>
    <s v="Dace. Sp"/>
    <s v="Rhinichthys"/>
    <s v="gibbosus"/>
    <s v="U"/>
    <x v="0"/>
    <n v="8"/>
    <n v="11.81"/>
    <x v="2"/>
    <s v="307-24-4"/>
    <x v="2"/>
    <n v="0.1135"/>
  </r>
  <r>
    <s v="CC016-JBA-08162021"/>
    <s v="Down"/>
    <x v="1"/>
    <s v="Dace. Sp"/>
    <s v="Rhinichthys"/>
    <s v="gibbosus"/>
    <s v="U"/>
    <x v="0"/>
    <n v="8"/>
    <n v="11.81"/>
    <x v="3"/>
    <s v="375-85-9"/>
    <x v="3"/>
    <n v="0.21"/>
  </r>
  <r>
    <s v="CC016-JBA-08162021"/>
    <s v="Down"/>
    <x v="1"/>
    <s v="Dace. Sp"/>
    <s v="Rhinichthys"/>
    <s v="gibbosus"/>
    <s v="U"/>
    <x v="0"/>
    <n v="8"/>
    <n v="11.81"/>
    <x v="4"/>
    <s v="335-67-1"/>
    <x v="4"/>
    <n v="2.17"/>
  </r>
  <r>
    <s v="CC016-JBA-08162021"/>
    <s v="Down"/>
    <x v="1"/>
    <s v="Dace. Sp"/>
    <s v="Rhinichthys"/>
    <s v="gibbosus"/>
    <s v="U"/>
    <x v="0"/>
    <n v="8"/>
    <n v="11.81"/>
    <x v="5"/>
    <s v="375-95-1"/>
    <x v="5"/>
    <n v="2.16"/>
  </r>
  <r>
    <s v="CC016-JBA-08162021"/>
    <s v="Down"/>
    <x v="1"/>
    <s v="Dace. Sp"/>
    <s v="Rhinichthys"/>
    <s v="gibbosus"/>
    <s v="U"/>
    <x v="0"/>
    <n v="8"/>
    <n v="11.81"/>
    <x v="6"/>
    <s v="335-76-2"/>
    <x v="6"/>
    <n v="7.48"/>
  </r>
  <r>
    <s v="CC016-JBA-08162021"/>
    <s v="Down"/>
    <x v="1"/>
    <s v="Dace. Sp"/>
    <s v="Rhinichthys"/>
    <s v="gibbosus"/>
    <s v="U"/>
    <x v="0"/>
    <n v="8"/>
    <n v="11.81"/>
    <x v="7"/>
    <s v="2058-94-8"/>
    <x v="7"/>
    <n v="10.1"/>
  </r>
  <r>
    <s v="CC016-JBA-08162021"/>
    <s v="Down"/>
    <x v="1"/>
    <s v="Dace. Sp"/>
    <s v="Rhinichthys"/>
    <s v="gibbosus"/>
    <s v="U"/>
    <x v="0"/>
    <n v="8"/>
    <n v="11.81"/>
    <x v="8"/>
    <s v="307-55-1"/>
    <x v="8"/>
    <n v="18.600000000000001"/>
  </r>
  <r>
    <s v="CC016-JBA-08162021"/>
    <s v="Down"/>
    <x v="1"/>
    <s v="Dace. Sp"/>
    <s v="Rhinichthys"/>
    <s v="gibbosus"/>
    <s v="U"/>
    <x v="0"/>
    <n v="8"/>
    <n v="11.81"/>
    <x v="9"/>
    <s v="72629-94-8"/>
    <x v="9"/>
    <n v="7.22"/>
  </r>
  <r>
    <s v="CC016-JBA-08162021"/>
    <s v="Down"/>
    <x v="1"/>
    <s v="Dace. Sp"/>
    <s v="Rhinichthys"/>
    <s v="gibbosus"/>
    <s v="U"/>
    <x v="0"/>
    <n v="8"/>
    <n v="11.81"/>
    <x v="10"/>
    <s v="376-06-7"/>
    <x v="10"/>
    <n v="7.3"/>
  </r>
  <r>
    <s v="CC016-JBA-08162021"/>
    <s v="Down"/>
    <x v="1"/>
    <s v="Dace. Sp"/>
    <s v="Rhinichthys"/>
    <s v="gibbosus"/>
    <s v="U"/>
    <x v="0"/>
    <n v="8"/>
    <n v="11.81"/>
    <x v="11"/>
    <s v="67905-19-5"/>
    <x v="11"/>
    <n v="0.25"/>
  </r>
  <r>
    <s v="CC016-JBA-08162021"/>
    <s v="Down"/>
    <x v="1"/>
    <s v="Dace. Sp"/>
    <s v="Rhinichthys"/>
    <s v="gibbosus"/>
    <s v="U"/>
    <x v="0"/>
    <n v="8"/>
    <n v="11.81"/>
    <x v="12"/>
    <s v="423-41-6"/>
    <x v="12"/>
    <n v="0.42"/>
  </r>
  <r>
    <s v="CC016-JBA-08162021"/>
    <s v="Down"/>
    <x v="1"/>
    <s v="Dace. Sp"/>
    <s v="Rhinichthys"/>
    <s v="gibbosus"/>
    <s v="U"/>
    <x v="0"/>
    <n v="8"/>
    <n v="11.81"/>
    <x v="13"/>
    <s v="375-73-5"/>
    <x v="13"/>
    <n v="0.14299999999999999"/>
  </r>
  <r>
    <s v="CC016-JBA-08162021"/>
    <s v="Down"/>
    <x v="1"/>
    <s v="Dace. Sp"/>
    <s v="Rhinichthys"/>
    <s v="gibbosus"/>
    <s v="U"/>
    <x v="0"/>
    <n v="8"/>
    <n v="11.81"/>
    <x v="14"/>
    <s v="2706-91-4"/>
    <x v="14"/>
    <n v="0.33400000000000002"/>
  </r>
  <r>
    <s v="CC016-JBA-08162021"/>
    <s v="Down"/>
    <x v="1"/>
    <s v="Dace. Sp"/>
    <s v="Rhinichthys"/>
    <s v="gibbosus"/>
    <s v="U"/>
    <x v="0"/>
    <n v="8"/>
    <n v="11.81"/>
    <x v="15"/>
    <s v="355-46-4"/>
    <x v="15"/>
    <n v="19.899999999999999"/>
  </r>
  <r>
    <s v="CC016-JBA-08162021"/>
    <s v="Down"/>
    <x v="1"/>
    <s v="Dace. Sp"/>
    <s v="Rhinichthys"/>
    <s v="gibbosus"/>
    <s v="U"/>
    <x v="0"/>
    <n v="8"/>
    <n v="11.81"/>
    <x v="16"/>
    <s v="375-92-8"/>
    <x v="16"/>
    <n v="5.1100000000000003"/>
  </r>
  <r>
    <s v="CC016-JBA-08162021"/>
    <s v="Down"/>
    <x v="1"/>
    <s v="Dace. Sp"/>
    <s v="Rhinichthys"/>
    <s v="gibbosus"/>
    <s v="U"/>
    <x v="0"/>
    <n v="8"/>
    <n v="11.81"/>
    <x v="17"/>
    <s v="1763-23-1"/>
    <x v="17"/>
    <n v="934"/>
  </r>
  <r>
    <s v="CC016-JBA-08162021"/>
    <s v="Down"/>
    <x v="1"/>
    <s v="Dace. Sp"/>
    <s v="Rhinichthys"/>
    <s v="gibbosus"/>
    <s v="U"/>
    <x v="0"/>
    <n v="8"/>
    <n v="11.81"/>
    <x v="18"/>
    <s v="68259-12-1"/>
    <x v="18"/>
    <n v="0.99"/>
  </r>
  <r>
    <s v="CC016-JBA-08162021"/>
    <s v="Down"/>
    <x v="1"/>
    <s v="Dace. Sp"/>
    <s v="Rhinichthys"/>
    <s v="gibbosus"/>
    <s v="U"/>
    <x v="0"/>
    <n v="8"/>
    <n v="11.81"/>
    <x v="19"/>
    <s v="335-77-3"/>
    <x v="19"/>
    <n v="1.68"/>
  </r>
  <r>
    <s v="CC016-JBA-08162021"/>
    <s v="Down"/>
    <x v="1"/>
    <s v="Dace. Sp"/>
    <s v="Rhinichthys"/>
    <s v="gibbosus"/>
    <s v="U"/>
    <x v="0"/>
    <n v="8"/>
    <n v="11.81"/>
    <x v="20"/>
    <s v="79780-39-5"/>
    <x v="20"/>
    <n v="0.52300000000000002"/>
  </r>
  <r>
    <s v="CC016-JBA-08162021"/>
    <s v="Down"/>
    <x v="1"/>
    <s v="Dace. Sp"/>
    <s v="Rhinichthys"/>
    <s v="gibbosus"/>
    <s v="U"/>
    <x v="0"/>
    <n v="8"/>
    <n v="11.81"/>
    <x v="21"/>
    <s v="777011-38-8"/>
    <x v="21"/>
    <n v="1.2"/>
  </r>
  <r>
    <s v="CC016-JBA-08162021"/>
    <s v="Down"/>
    <x v="1"/>
    <s v="Dace. Sp"/>
    <s v="Rhinichthys"/>
    <s v="gibbosus"/>
    <s v="U"/>
    <x v="0"/>
    <n v="8"/>
    <n v="11.81"/>
    <x v="22"/>
    <s v="646-83-3"/>
    <x v="22"/>
    <n v="0.433"/>
  </r>
  <r>
    <s v="CC016-JBA-08162021"/>
    <s v="Down"/>
    <x v="1"/>
    <s v="Dace. Sp"/>
    <s v="Rhinichthys"/>
    <s v="gibbosus"/>
    <s v="U"/>
    <x v="0"/>
    <n v="8"/>
    <n v="11.81"/>
    <x v="23"/>
    <s v="30334-69-1"/>
    <x v="23"/>
    <n v="30.6"/>
  </r>
  <r>
    <s v="CC016-JBA-08162021"/>
    <s v="Down"/>
    <x v="1"/>
    <s v="Dace. Sp"/>
    <s v="Rhinichthys"/>
    <s v="gibbosus"/>
    <s v="U"/>
    <x v="0"/>
    <n v="8"/>
    <n v="11.81"/>
    <x v="24"/>
    <s v="41997-13-1"/>
    <x v="24"/>
    <n v="160"/>
  </r>
  <r>
    <s v="CC016-JBA-08162021"/>
    <s v="Down"/>
    <x v="1"/>
    <s v="Dace. Sp"/>
    <s v="Rhinichthys"/>
    <s v="gibbosus"/>
    <s v="U"/>
    <x v="0"/>
    <n v="8"/>
    <n v="11.81"/>
    <x v="25"/>
    <s v="754-91-6"/>
    <x v="25"/>
    <n v="13.7"/>
  </r>
  <r>
    <s v="CC016-JBA-08162021"/>
    <s v="Down"/>
    <x v="1"/>
    <s v="Dace. Sp"/>
    <s v="Rhinichthys"/>
    <s v="gibbosus"/>
    <s v="U"/>
    <x v="0"/>
    <n v="8"/>
    <n v="11.81"/>
    <x v="26"/>
    <s v="31506-32-8"/>
    <x v="26"/>
    <n v="0.1615"/>
  </r>
  <r>
    <s v="CC016-JBA-08162021"/>
    <s v="Down"/>
    <x v="1"/>
    <s v="Dace. Sp"/>
    <s v="Rhinichthys"/>
    <s v="gibbosus"/>
    <s v="U"/>
    <x v="0"/>
    <n v="8"/>
    <n v="11.81"/>
    <x v="27"/>
    <s v="4151-50-2"/>
    <x v="27"/>
    <n v="0.42"/>
  </r>
  <r>
    <s v="CC016-JBA-08162021"/>
    <s v="Down"/>
    <x v="1"/>
    <s v="Dace. Sp"/>
    <s v="Rhinichthys"/>
    <s v="gibbosus"/>
    <s v="U"/>
    <x v="0"/>
    <n v="8"/>
    <n v="11.81"/>
    <x v="28"/>
    <s v="2806-24-8"/>
    <x v="28"/>
    <n v="0.42"/>
  </r>
  <r>
    <s v="CC016-JBA-08162021"/>
    <s v="Down"/>
    <x v="1"/>
    <s v="Dace. Sp"/>
    <s v="Rhinichthys"/>
    <s v="gibbosus"/>
    <s v="U"/>
    <x v="0"/>
    <n v="8"/>
    <n v="11.81"/>
    <x v="29"/>
    <s v="2355-31-9"/>
    <x v="29"/>
    <n v="0.21099999999999999"/>
  </r>
  <r>
    <s v="CC016-JBA-08162021"/>
    <s v="Down"/>
    <x v="1"/>
    <s v="Dace. Sp"/>
    <s v="Rhinichthys"/>
    <s v="gibbosus"/>
    <s v="U"/>
    <x v="0"/>
    <n v="8"/>
    <n v="11.81"/>
    <x v="30"/>
    <s v="2991-50-6"/>
    <x v="30"/>
    <n v="0.21"/>
  </r>
  <r>
    <s v="CC016-JBA-08162021"/>
    <s v="Down"/>
    <x v="1"/>
    <s v="Dace. Sp"/>
    <s v="Rhinichthys"/>
    <s v="gibbosus"/>
    <s v="U"/>
    <x v="0"/>
    <n v="8"/>
    <n v="11.81"/>
    <x v="31"/>
    <s v="757124-72-4"/>
    <x v="31"/>
    <n v="0.21"/>
  </r>
  <r>
    <s v="CC016-JBA-08162021"/>
    <s v="Down"/>
    <x v="1"/>
    <s v="Dace. Sp"/>
    <s v="Rhinichthys"/>
    <s v="gibbosus"/>
    <s v="U"/>
    <x v="0"/>
    <n v="8"/>
    <n v="11.81"/>
    <x v="32"/>
    <s v="27619-97-2"/>
    <x v="32"/>
    <n v="1.3"/>
  </r>
  <r>
    <s v="CC016-JBA-08162021"/>
    <s v="Down"/>
    <x v="1"/>
    <s v="Dace. Sp"/>
    <s v="Rhinichthys"/>
    <s v="gibbosus"/>
    <s v="U"/>
    <x v="0"/>
    <n v="8"/>
    <n v="11.81"/>
    <x v="33"/>
    <s v="39108-34-4"/>
    <x v="33"/>
    <n v="23.2"/>
  </r>
  <r>
    <s v="CC016-JBA-08162021"/>
    <s v="Down"/>
    <x v="1"/>
    <s v="Dace. Sp"/>
    <s v="Rhinichthys"/>
    <s v="gibbosus"/>
    <s v="U"/>
    <x v="0"/>
    <n v="8"/>
    <n v="11.81"/>
    <x v="34"/>
    <s v="120226-60-0"/>
    <x v="34"/>
    <n v="0.42"/>
  </r>
  <r>
    <s v="CC016-JBA-08162021"/>
    <s v="Down"/>
    <x v="1"/>
    <s v="Dace. Sp"/>
    <s v="Rhinichthys"/>
    <s v="gibbosus"/>
    <s v="U"/>
    <x v="0"/>
    <n v="8"/>
    <n v="11.81"/>
    <x v="35"/>
    <s v="356-02-5"/>
    <x v="35"/>
    <n v="0.24199999999999999"/>
  </r>
  <r>
    <s v="CC016-JBA-08162021"/>
    <s v="Down"/>
    <x v="1"/>
    <s v="Dace. Sp"/>
    <s v="Rhinichthys"/>
    <s v="gibbosus"/>
    <s v="U"/>
    <x v="0"/>
    <n v="8"/>
    <n v="11.81"/>
    <x v="36"/>
    <s v="914637-49-3"/>
    <x v="36"/>
    <n v="0.21"/>
  </r>
  <r>
    <s v="CC016-JBA-08162021"/>
    <s v="Down"/>
    <x v="1"/>
    <s v="Dace. Sp"/>
    <s v="Rhinichthys"/>
    <s v="gibbosus"/>
    <s v="U"/>
    <x v="0"/>
    <n v="8"/>
    <n v="11.81"/>
    <x v="37"/>
    <s v="812-70-4"/>
    <x v="37"/>
    <n v="4.1900000000000004"/>
  </r>
  <r>
    <s v="CC016-JBA-08162021"/>
    <s v="Down"/>
    <x v="1"/>
    <s v="Dace. Sp"/>
    <s v="Rhinichthys"/>
    <s v="gibbosus"/>
    <s v="U"/>
    <x v="0"/>
    <n v="8"/>
    <n v="11.81"/>
    <x v="38"/>
    <s v="53826-12-3"/>
    <x v="38"/>
    <n v="0.42"/>
  </r>
  <r>
    <s v="CC016-JBA-08162021"/>
    <s v="Down"/>
    <x v="1"/>
    <s v="Dace. Sp"/>
    <s v="Rhinichthys"/>
    <s v="gibbosus"/>
    <s v="U"/>
    <x v="0"/>
    <n v="8"/>
    <n v="11.81"/>
    <x v="39"/>
    <s v="27854-31-5"/>
    <x v="39"/>
    <n v="0.42"/>
  </r>
  <r>
    <s v="CC016-JBA-08162021"/>
    <s v="Down"/>
    <x v="1"/>
    <s v="Dace. Sp"/>
    <s v="Rhinichthys"/>
    <s v="gibbosus"/>
    <s v="U"/>
    <x v="0"/>
    <n v="8"/>
    <n v="11.81"/>
    <x v="40"/>
    <s v="53826-13-4"/>
    <x v="40"/>
    <n v="0.42"/>
  </r>
  <r>
    <s v="CC016-JBA-08162021"/>
    <s v="Down"/>
    <x v="1"/>
    <s v="Dace. Sp"/>
    <s v="Rhinichthys"/>
    <s v="gibbosus"/>
    <s v="U"/>
    <x v="0"/>
    <n v="8"/>
    <n v="11.81"/>
    <x v="41"/>
    <s v="161094-75-3"/>
    <x v="41"/>
    <n v="0.42"/>
  </r>
  <r>
    <s v="CC016-JBA-08162021"/>
    <s v="Down"/>
    <x v="1"/>
    <s v="Dace. Sp"/>
    <s v="Rhinichthys"/>
    <s v="gibbosus"/>
    <s v="U"/>
    <x v="0"/>
    <n v="8"/>
    <n v="11.81"/>
    <x v="42"/>
    <s v="70887-84-2"/>
    <x v="42"/>
    <n v="0.42"/>
  </r>
  <r>
    <s v="CC016-JBA-08162021"/>
    <s v="Down"/>
    <x v="1"/>
    <s v="Dace. Sp"/>
    <s v="Rhinichthys"/>
    <s v="gibbosus"/>
    <s v="U"/>
    <x v="0"/>
    <n v="8"/>
    <n v="11.81"/>
    <x v="43"/>
    <s v="919005-14-4"/>
    <x v="43"/>
    <n v="0.21"/>
  </r>
  <r>
    <s v="CC016-JBA-08162021"/>
    <s v="Down"/>
    <x v="1"/>
    <s v="Dace. Sp"/>
    <s v="Rhinichthys"/>
    <s v="gibbosus"/>
    <s v="U"/>
    <x v="0"/>
    <n v="8"/>
    <n v="11.81"/>
    <x v="44"/>
    <s v="756426-58-1"/>
    <x v="44"/>
    <n v="0.42"/>
  </r>
  <r>
    <s v="CC016-JBA-08162021"/>
    <s v="Down"/>
    <x v="1"/>
    <s v="Dace. Sp"/>
    <s v="Rhinichthys"/>
    <s v="gibbosus"/>
    <s v="U"/>
    <x v="0"/>
    <n v="8"/>
    <n v="11.81"/>
    <x v="45"/>
    <s v="763051-92-9"/>
    <x v="45"/>
    <n v="0.42"/>
  </r>
  <r>
    <s v="CC016-JBA-08162021"/>
    <s v="Down"/>
    <x v="1"/>
    <s v="Dace. Sp"/>
    <s v="Rhinichthys"/>
    <s v="gibbosus"/>
    <s v="U"/>
    <x v="0"/>
    <n v="8"/>
    <n v="11.81"/>
    <x v="46"/>
    <s v="13252-13-6"/>
    <x v="46"/>
    <n v="0.30099999999999999"/>
  </r>
  <r>
    <s v="CC016-JBA-08162021"/>
    <s v="Down"/>
    <x v="1"/>
    <s v="Dace. Sp"/>
    <s v="Rhinichthys"/>
    <s v="gibbosus"/>
    <s v="U"/>
    <x v="0"/>
    <n v="8"/>
    <n v="11.81"/>
    <x v="47"/>
    <s v="57677-95-9"/>
    <x v="47"/>
    <n v="0.42"/>
  </r>
  <r>
    <s v="CC016-JBA-08162021"/>
    <s v="Down"/>
    <x v="1"/>
    <s v="Dace. Sp"/>
    <s v="Rhinichthys"/>
    <s v="gibbosus"/>
    <s v="U"/>
    <x v="0"/>
    <n v="8"/>
    <n v="11.81"/>
    <x v="48"/>
    <s v="678-41-1"/>
    <x v="48"/>
    <n v="0.42"/>
  </r>
  <r>
    <s v="CC016-JBA-08162021"/>
    <s v="Down"/>
    <x v="1"/>
    <s v="Dace. Sp"/>
    <s v="Rhinichthys"/>
    <s v="gibbosus"/>
    <s v="U"/>
    <x v="0"/>
    <n v="8"/>
    <n v="11.81"/>
    <x v="49"/>
    <s v="2965-52-8"/>
    <x v="49"/>
    <n v="0.42"/>
  </r>
  <r>
    <s v="CC017-JBA-08162021"/>
    <s v="Down"/>
    <x v="1"/>
    <s v="Dace. Sp"/>
    <s v="Rhinichthys"/>
    <s v="gibbosus"/>
    <s v="U"/>
    <x v="0"/>
    <n v="8"/>
    <n v="11.81"/>
    <x v="0"/>
    <s v="375-22-4"/>
    <x v="0"/>
    <n v="0.23200000000000001"/>
  </r>
  <r>
    <s v="CC017-JBA-08162021"/>
    <s v="Down"/>
    <x v="1"/>
    <s v="Dace. Sp"/>
    <s v="Rhinichthys"/>
    <s v="gibbosus"/>
    <s v="U"/>
    <x v="0"/>
    <n v="8"/>
    <n v="11.81"/>
    <x v="1"/>
    <s v="2706-90-3"/>
    <x v="1"/>
    <n v="0.23200000000000001"/>
  </r>
  <r>
    <s v="CC017-JBA-08162021"/>
    <s v="Down"/>
    <x v="1"/>
    <s v="Dace. Sp"/>
    <s v="Rhinichthys"/>
    <s v="gibbosus"/>
    <s v="U"/>
    <x v="0"/>
    <n v="8"/>
    <n v="11.81"/>
    <x v="2"/>
    <s v="307-24-4"/>
    <x v="2"/>
    <n v="0.1255"/>
  </r>
  <r>
    <s v="CC017-JBA-08162021"/>
    <s v="Down"/>
    <x v="1"/>
    <s v="Dace. Sp"/>
    <s v="Rhinichthys"/>
    <s v="gibbosus"/>
    <s v="U"/>
    <x v="0"/>
    <n v="8"/>
    <n v="11.81"/>
    <x v="3"/>
    <s v="375-85-9"/>
    <x v="3"/>
    <n v="0.23200000000000001"/>
  </r>
  <r>
    <s v="CC017-JBA-08162021"/>
    <s v="Down"/>
    <x v="1"/>
    <s v="Dace. Sp"/>
    <s v="Rhinichthys"/>
    <s v="gibbosus"/>
    <s v="U"/>
    <x v="0"/>
    <n v="8"/>
    <n v="11.81"/>
    <x v="4"/>
    <s v="335-67-1"/>
    <x v="4"/>
    <n v="2.42"/>
  </r>
  <r>
    <s v="CC017-JBA-08162021"/>
    <s v="Down"/>
    <x v="1"/>
    <s v="Dace. Sp"/>
    <s v="Rhinichthys"/>
    <s v="gibbosus"/>
    <s v="U"/>
    <x v="0"/>
    <n v="8"/>
    <n v="11.81"/>
    <x v="5"/>
    <s v="375-95-1"/>
    <x v="5"/>
    <n v="2.0099999999999998"/>
  </r>
  <r>
    <s v="CC017-JBA-08162021"/>
    <s v="Down"/>
    <x v="1"/>
    <s v="Dace. Sp"/>
    <s v="Rhinichthys"/>
    <s v="gibbosus"/>
    <s v="U"/>
    <x v="0"/>
    <n v="8"/>
    <n v="11.81"/>
    <x v="6"/>
    <s v="335-76-2"/>
    <x v="6"/>
    <n v="5.28"/>
  </r>
  <r>
    <s v="CC017-JBA-08162021"/>
    <s v="Down"/>
    <x v="1"/>
    <s v="Dace. Sp"/>
    <s v="Rhinichthys"/>
    <s v="gibbosus"/>
    <s v="U"/>
    <x v="0"/>
    <n v="8"/>
    <n v="11.81"/>
    <x v="7"/>
    <s v="2058-94-8"/>
    <x v="7"/>
    <n v="8.9600000000000009"/>
  </r>
  <r>
    <s v="CC017-JBA-08162021"/>
    <s v="Down"/>
    <x v="1"/>
    <s v="Dace. Sp"/>
    <s v="Rhinichthys"/>
    <s v="gibbosus"/>
    <s v="U"/>
    <x v="0"/>
    <n v="8"/>
    <n v="11.81"/>
    <x v="8"/>
    <s v="307-55-1"/>
    <x v="8"/>
    <n v="10.1"/>
  </r>
  <r>
    <s v="CC017-JBA-08162021"/>
    <s v="Down"/>
    <x v="1"/>
    <s v="Dace. Sp"/>
    <s v="Rhinichthys"/>
    <s v="gibbosus"/>
    <s v="U"/>
    <x v="0"/>
    <n v="8"/>
    <n v="11.81"/>
    <x v="9"/>
    <s v="72629-94-8"/>
    <x v="9"/>
    <n v="2.76"/>
  </r>
  <r>
    <s v="CC017-JBA-08162021"/>
    <s v="Down"/>
    <x v="1"/>
    <s v="Dace. Sp"/>
    <s v="Rhinichthys"/>
    <s v="gibbosus"/>
    <s v="U"/>
    <x v="0"/>
    <n v="8"/>
    <n v="11.81"/>
    <x v="10"/>
    <s v="376-06-7"/>
    <x v="10"/>
    <n v="3.5"/>
  </r>
  <r>
    <s v="CC017-JBA-08162021"/>
    <s v="Down"/>
    <x v="1"/>
    <s v="Dace. Sp"/>
    <s v="Rhinichthys"/>
    <s v="gibbosus"/>
    <s v="U"/>
    <x v="0"/>
    <n v="8"/>
    <n v="11.81"/>
    <x v="11"/>
    <s v="67905-19-5"/>
    <x v="11"/>
    <n v="0.27650000000000002"/>
  </r>
  <r>
    <s v="CC017-JBA-08162021"/>
    <s v="Down"/>
    <x v="1"/>
    <s v="Dace. Sp"/>
    <s v="Rhinichthys"/>
    <s v="gibbosus"/>
    <s v="U"/>
    <x v="0"/>
    <n v="8"/>
    <n v="11.81"/>
    <x v="12"/>
    <s v="423-41-6"/>
    <x v="12"/>
    <n v="0.46450000000000002"/>
  </r>
  <r>
    <s v="CC017-JBA-08162021"/>
    <s v="Down"/>
    <x v="1"/>
    <s v="Dace. Sp"/>
    <s v="Rhinichthys"/>
    <s v="gibbosus"/>
    <s v="U"/>
    <x v="0"/>
    <n v="8"/>
    <n v="11.81"/>
    <x v="13"/>
    <s v="375-73-5"/>
    <x v="13"/>
    <n v="0.158"/>
  </r>
  <r>
    <s v="CC017-JBA-08162021"/>
    <s v="Down"/>
    <x v="1"/>
    <s v="Dace. Sp"/>
    <s v="Rhinichthys"/>
    <s v="gibbosus"/>
    <s v="U"/>
    <x v="0"/>
    <n v="8"/>
    <n v="11.81"/>
    <x v="14"/>
    <s v="2706-91-4"/>
    <x v="14"/>
    <n v="0.123"/>
  </r>
  <r>
    <s v="CC017-JBA-08162021"/>
    <s v="Down"/>
    <x v="1"/>
    <s v="Dace. Sp"/>
    <s v="Rhinichthys"/>
    <s v="gibbosus"/>
    <s v="U"/>
    <x v="0"/>
    <n v="8"/>
    <n v="11.81"/>
    <x v="15"/>
    <s v="355-46-4"/>
    <x v="15"/>
    <n v="30.1"/>
  </r>
  <r>
    <s v="CC017-JBA-08162021"/>
    <s v="Down"/>
    <x v="1"/>
    <s v="Dace. Sp"/>
    <s v="Rhinichthys"/>
    <s v="gibbosus"/>
    <s v="U"/>
    <x v="0"/>
    <n v="8"/>
    <n v="11.81"/>
    <x v="16"/>
    <s v="375-92-8"/>
    <x v="16"/>
    <n v="13.8"/>
  </r>
  <r>
    <s v="CC017-JBA-08162021"/>
    <s v="Down"/>
    <x v="1"/>
    <s v="Dace. Sp"/>
    <s v="Rhinichthys"/>
    <s v="gibbosus"/>
    <s v="U"/>
    <x v="0"/>
    <n v="8"/>
    <n v="11.81"/>
    <x v="17"/>
    <s v="1763-23-1"/>
    <x v="17"/>
    <n v="682"/>
  </r>
  <r>
    <s v="CC017-JBA-08162021"/>
    <s v="Down"/>
    <x v="1"/>
    <s v="Dace. Sp"/>
    <s v="Rhinichthys"/>
    <s v="gibbosus"/>
    <s v="U"/>
    <x v="0"/>
    <n v="8"/>
    <n v="11.81"/>
    <x v="18"/>
    <s v="68259-12-1"/>
    <x v="18"/>
    <n v="1.33"/>
  </r>
  <r>
    <s v="CC017-JBA-08162021"/>
    <s v="Down"/>
    <x v="1"/>
    <s v="Dace. Sp"/>
    <s v="Rhinichthys"/>
    <s v="gibbosus"/>
    <s v="U"/>
    <x v="0"/>
    <n v="8"/>
    <n v="11.81"/>
    <x v="19"/>
    <s v="335-77-3"/>
    <x v="19"/>
    <n v="2.84"/>
  </r>
  <r>
    <s v="CC017-JBA-08162021"/>
    <s v="Down"/>
    <x v="1"/>
    <s v="Dace. Sp"/>
    <s v="Rhinichthys"/>
    <s v="gibbosus"/>
    <s v="U"/>
    <x v="0"/>
    <n v="8"/>
    <n v="11.81"/>
    <x v="20"/>
    <s v="79780-39-5"/>
    <x v="20"/>
    <n v="0.95499999999999996"/>
  </r>
  <r>
    <s v="CC017-JBA-08162021"/>
    <s v="Down"/>
    <x v="1"/>
    <s v="Dace. Sp"/>
    <s v="Rhinichthys"/>
    <s v="gibbosus"/>
    <s v="U"/>
    <x v="0"/>
    <n v="8"/>
    <n v="11.81"/>
    <x v="21"/>
    <s v="777011-38-8"/>
    <x v="21"/>
    <n v="0.77100000000000002"/>
  </r>
  <r>
    <s v="CC017-JBA-08162021"/>
    <s v="Down"/>
    <x v="1"/>
    <s v="Dace. Sp"/>
    <s v="Rhinichthys"/>
    <s v="gibbosus"/>
    <s v="U"/>
    <x v="0"/>
    <n v="8"/>
    <n v="11.81"/>
    <x v="22"/>
    <s v="646-83-3"/>
    <x v="22"/>
    <n v="0.56699999999999995"/>
  </r>
  <r>
    <s v="CC017-JBA-08162021"/>
    <s v="Down"/>
    <x v="1"/>
    <s v="Dace. Sp"/>
    <s v="Rhinichthys"/>
    <s v="gibbosus"/>
    <s v="U"/>
    <x v="0"/>
    <n v="8"/>
    <n v="11.81"/>
    <x v="23"/>
    <s v="30334-69-1"/>
    <x v="23"/>
    <n v="35.200000000000003"/>
  </r>
  <r>
    <s v="CC017-JBA-08162021"/>
    <s v="Down"/>
    <x v="1"/>
    <s v="Dace. Sp"/>
    <s v="Rhinichthys"/>
    <s v="gibbosus"/>
    <s v="U"/>
    <x v="0"/>
    <n v="8"/>
    <n v="11.81"/>
    <x v="24"/>
    <s v="41997-13-1"/>
    <x v="24"/>
    <n v="257"/>
  </r>
  <r>
    <s v="CC017-JBA-08162021"/>
    <s v="Down"/>
    <x v="1"/>
    <s v="Dace. Sp"/>
    <s v="Rhinichthys"/>
    <s v="gibbosus"/>
    <s v="U"/>
    <x v="0"/>
    <n v="8"/>
    <n v="11.81"/>
    <x v="25"/>
    <s v="754-91-6"/>
    <x v="25"/>
    <n v="17.5"/>
  </r>
  <r>
    <s v="CC017-JBA-08162021"/>
    <s v="Down"/>
    <x v="1"/>
    <s v="Dace. Sp"/>
    <s v="Rhinichthys"/>
    <s v="gibbosus"/>
    <s v="U"/>
    <x v="0"/>
    <n v="8"/>
    <n v="11.81"/>
    <x v="26"/>
    <s v="31506-32-8"/>
    <x v="26"/>
    <n v="0.17899999999999999"/>
  </r>
  <r>
    <s v="CC017-JBA-08162021"/>
    <s v="Down"/>
    <x v="1"/>
    <s v="Dace. Sp"/>
    <s v="Rhinichthys"/>
    <s v="gibbosus"/>
    <s v="U"/>
    <x v="0"/>
    <n v="8"/>
    <n v="11.81"/>
    <x v="27"/>
    <s v="4151-50-2"/>
    <x v="27"/>
    <n v="0.46450000000000002"/>
  </r>
  <r>
    <s v="CC017-JBA-08162021"/>
    <s v="Down"/>
    <x v="1"/>
    <s v="Dace. Sp"/>
    <s v="Rhinichthys"/>
    <s v="gibbosus"/>
    <s v="U"/>
    <x v="0"/>
    <n v="8"/>
    <n v="11.81"/>
    <x v="28"/>
    <s v="2806-24-8"/>
    <x v="28"/>
    <n v="0.46450000000000002"/>
  </r>
  <r>
    <s v="CC017-JBA-08162021"/>
    <s v="Down"/>
    <x v="1"/>
    <s v="Dace. Sp"/>
    <s v="Rhinichthys"/>
    <s v="gibbosus"/>
    <s v="U"/>
    <x v="0"/>
    <n v="8"/>
    <n v="11.81"/>
    <x v="29"/>
    <s v="2355-31-9"/>
    <x v="29"/>
    <n v="0.23350000000000001"/>
  </r>
  <r>
    <s v="CC017-JBA-08162021"/>
    <s v="Down"/>
    <x v="1"/>
    <s v="Dace. Sp"/>
    <s v="Rhinichthys"/>
    <s v="gibbosus"/>
    <s v="U"/>
    <x v="0"/>
    <n v="8"/>
    <n v="11.81"/>
    <x v="30"/>
    <s v="2991-50-6"/>
    <x v="30"/>
    <n v="0.23200000000000001"/>
  </r>
  <r>
    <s v="CC017-JBA-08162021"/>
    <s v="Down"/>
    <x v="1"/>
    <s v="Dace. Sp"/>
    <s v="Rhinichthys"/>
    <s v="gibbosus"/>
    <s v="U"/>
    <x v="0"/>
    <n v="8"/>
    <n v="11.81"/>
    <x v="31"/>
    <s v="757124-72-4"/>
    <x v="31"/>
    <n v="0.23200000000000001"/>
  </r>
  <r>
    <s v="CC017-JBA-08162021"/>
    <s v="Down"/>
    <x v="1"/>
    <s v="Dace. Sp"/>
    <s v="Rhinichthys"/>
    <s v="gibbosus"/>
    <s v="U"/>
    <x v="0"/>
    <n v="8"/>
    <n v="11.81"/>
    <x v="32"/>
    <s v="27619-97-2"/>
    <x v="32"/>
    <n v="1.44"/>
  </r>
  <r>
    <s v="CC017-JBA-08162021"/>
    <s v="Down"/>
    <x v="1"/>
    <s v="Dace. Sp"/>
    <s v="Rhinichthys"/>
    <s v="gibbosus"/>
    <s v="U"/>
    <x v="0"/>
    <n v="8"/>
    <n v="11.81"/>
    <x v="33"/>
    <s v="39108-34-4"/>
    <x v="33"/>
    <n v="19"/>
  </r>
  <r>
    <s v="CC017-JBA-08162021"/>
    <s v="Down"/>
    <x v="1"/>
    <s v="Dace. Sp"/>
    <s v="Rhinichthys"/>
    <s v="gibbosus"/>
    <s v="U"/>
    <x v="0"/>
    <n v="8"/>
    <n v="11.81"/>
    <x v="34"/>
    <s v="120226-60-0"/>
    <x v="34"/>
    <n v="0.46450000000000002"/>
  </r>
  <r>
    <s v="CC017-JBA-08162021"/>
    <s v="Down"/>
    <x v="1"/>
    <s v="Dace. Sp"/>
    <s v="Rhinichthys"/>
    <s v="gibbosus"/>
    <s v="U"/>
    <x v="0"/>
    <n v="8"/>
    <n v="11.81"/>
    <x v="35"/>
    <s v="356-02-5"/>
    <x v="35"/>
    <n v="0.26800000000000002"/>
  </r>
  <r>
    <s v="CC017-JBA-08162021"/>
    <s v="Down"/>
    <x v="1"/>
    <s v="Dace. Sp"/>
    <s v="Rhinichthys"/>
    <s v="gibbosus"/>
    <s v="U"/>
    <x v="0"/>
    <n v="8"/>
    <n v="11.81"/>
    <x v="36"/>
    <s v="914637-49-3"/>
    <x v="36"/>
    <n v="0.23200000000000001"/>
  </r>
  <r>
    <s v="CC017-JBA-08162021"/>
    <s v="Down"/>
    <x v="1"/>
    <s v="Dace. Sp"/>
    <s v="Rhinichthys"/>
    <s v="gibbosus"/>
    <s v="U"/>
    <x v="0"/>
    <n v="8"/>
    <n v="11.81"/>
    <x v="37"/>
    <s v="812-70-4"/>
    <x v="37"/>
    <n v="11.2"/>
  </r>
  <r>
    <s v="CC017-JBA-08162021"/>
    <s v="Down"/>
    <x v="1"/>
    <s v="Dace. Sp"/>
    <s v="Rhinichthys"/>
    <s v="gibbosus"/>
    <s v="U"/>
    <x v="0"/>
    <n v="8"/>
    <n v="11.81"/>
    <x v="38"/>
    <s v="53826-12-3"/>
    <x v="38"/>
    <n v="0.46450000000000002"/>
  </r>
  <r>
    <s v="CC017-JBA-08162021"/>
    <s v="Down"/>
    <x v="1"/>
    <s v="Dace. Sp"/>
    <s v="Rhinichthys"/>
    <s v="gibbosus"/>
    <s v="U"/>
    <x v="0"/>
    <n v="8"/>
    <n v="11.81"/>
    <x v="39"/>
    <s v="27854-31-5"/>
    <x v="39"/>
    <n v="0.46450000000000002"/>
  </r>
  <r>
    <s v="CC017-JBA-08162021"/>
    <s v="Down"/>
    <x v="1"/>
    <s v="Dace. Sp"/>
    <s v="Rhinichthys"/>
    <s v="gibbosus"/>
    <s v="U"/>
    <x v="0"/>
    <n v="8"/>
    <n v="11.81"/>
    <x v="40"/>
    <s v="53826-13-4"/>
    <x v="40"/>
    <n v="0.46450000000000002"/>
  </r>
  <r>
    <s v="CC017-JBA-08162021"/>
    <s v="Down"/>
    <x v="1"/>
    <s v="Dace. Sp"/>
    <s v="Rhinichthys"/>
    <s v="gibbosus"/>
    <s v="U"/>
    <x v="0"/>
    <n v="8"/>
    <n v="11.81"/>
    <x v="41"/>
    <s v="161094-75-3"/>
    <x v="41"/>
    <n v="0.46450000000000002"/>
  </r>
  <r>
    <s v="CC017-JBA-08162021"/>
    <s v="Down"/>
    <x v="1"/>
    <s v="Dace. Sp"/>
    <s v="Rhinichthys"/>
    <s v="gibbosus"/>
    <s v="U"/>
    <x v="0"/>
    <n v="8"/>
    <n v="11.81"/>
    <x v="42"/>
    <s v="70887-84-2"/>
    <x v="42"/>
    <n v="0.46450000000000002"/>
  </r>
  <r>
    <s v="CC017-JBA-08162021"/>
    <s v="Down"/>
    <x v="1"/>
    <s v="Dace. Sp"/>
    <s v="Rhinichthys"/>
    <s v="gibbosus"/>
    <s v="U"/>
    <x v="0"/>
    <n v="8"/>
    <n v="11.81"/>
    <x v="43"/>
    <s v="919005-14-4"/>
    <x v="43"/>
    <n v="0.23200000000000001"/>
  </r>
  <r>
    <s v="CC017-JBA-08162021"/>
    <s v="Down"/>
    <x v="1"/>
    <s v="Dace. Sp"/>
    <s v="Rhinichthys"/>
    <s v="gibbosus"/>
    <s v="U"/>
    <x v="0"/>
    <n v="8"/>
    <n v="11.81"/>
    <x v="44"/>
    <s v="756426-58-1"/>
    <x v="44"/>
    <n v="0.46450000000000002"/>
  </r>
  <r>
    <s v="CC017-JBA-08162021"/>
    <s v="Down"/>
    <x v="1"/>
    <s v="Dace. Sp"/>
    <s v="Rhinichthys"/>
    <s v="gibbosus"/>
    <s v="U"/>
    <x v="0"/>
    <n v="8"/>
    <n v="11.81"/>
    <x v="45"/>
    <s v="763051-92-9"/>
    <x v="45"/>
    <n v="0.46450000000000002"/>
  </r>
  <r>
    <s v="CC017-JBA-08162021"/>
    <s v="Down"/>
    <x v="1"/>
    <s v="Dace. Sp"/>
    <s v="Rhinichthys"/>
    <s v="gibbosus"/>
    <s v="U"/>
    <x v="0"/>
    <n v="8"/>
    <n v="11.81"/>
    <x v="46"/>
    <s v="13252-13-6"/>
    <x v="46"/>
    <n v="0.33300000000000002"/>
  </r>
  <r>
    <s v="CC017-JBA-08162021"/>
    <s v="Down"/>
    <x v="1"/>
    <s v="Dace. Sp"/>
    <s v="Rhinichthys"/>
    <s v="gibbosus"/>
    <s v="U"/>
    <x v="0"/>
    <n v="8"/>
    <n v="11.81"/>
    <x v="47"/>
    <s v="57677-95-9"/>
    <x v="47"/>
    <n v="0.46450000000000002"/>
  </r>
  <r>
    <s v="CC017-JBA-08162021"/>
    <s v="Down"/>
    <x v="1"/>
    <s v="Dace. Sp"/>
    <s v="Rhinichthys"/>
    <s v="gibbosus"/>
    <s v="U"/>
    <x v="0"/>
    <n v="8"/>
    <n v="11.81"/>
    <x v="48"/>
    <s v="678-41-1"/>
    <x v="48"/>
    <n v="0.46450000000000002"/>
  </r>
  <r>
    <s v="CC017-JBA-08162021"/>
    <s v="Down"/>
    <x v="1"/>
    <s v="Dace. Sp"/>
    <s v="Rhinichthys"/>
    <s v="gibbosus"/>
    <s v="U"/>
    <x v="0"/>
    <n v="8"/>
    <n v="11.81"/>
    <x v="49"/>
    <s v="2965-52-8"/>
    <x v="49"/>
    <n v="0.46450000000000002"/>
  </r>
  <r>
    <s v="SS007-JBA-08162021"/>
    <s v="Down"/>
    <x v="1"/>
    <s v="Dace. Sp"/>
    <s v="Clinostomus"/>
    <s v="gibbosus"/>
    <s v="U"/>
    <x v="0"/>
    <n v="8"/>
    <n v="11.81"/>
    <x v="0"/>
    <s v="375-22-4"/>
    <x v="0"/>
    <n v="0.2155"/>
  </r>
  <r>
    <s v="SS007-JBA-08162021"/>
    <s v="Down"/>
    <x v="1"/>
    <s v="Dace. Sp"/>
    <s v="Clinostomus"/>
    <s v="gibbosus"/>
    <s v="U"/>
    <x v="0"/>
    <n v="8"/>
    <n v="11.81"/>
    <x v="1"/>
    <s v="2706-90-3"/>
    <x v="1"/>
    <n v="0.2155"/>
  </r>
  <r>
    <s v="SS007-JBA-08162021"/>
    <s v="Down"/>
    <x v="1"/>
    <s v="Dace. Sp"/>
    <s v="Clinostomus"/>
    <s v="gibbosus"/>
    <s v="U"/>
    <x v="0"/>
    <n v="8"/>
    <n v="11.81"/>
    <x v="2"/>
    <s v="307-24-4"/>
    <x v="2"/>
    <n v="0.11600000000000001"/>
  </r>
  <r>
    <s v="SS007-JBA-08162021"/>
    <s v="Down"/>
    <x v="1"/>
    <s v="Dace. Sp"/>
    <s v="Clinostomus"/>
    <s v="gibbosus"/>
    <s v="U"/>
    <x v="0"/>
    <n v="8"/>
    <n v="11.81"/>
    <x v="3"/>
    <s v="375-85-9"/>
    <x v="3"/>
    <n v="0.2155"/>
  </r>
  <r>
    <s v="SS007-JBA-08162021"/>
    <s v="Down"/>
    <x v="1"/>
    <s v="Dace. Sp"/>
    <s v="Clinostomus"/>
    <s v="gibbosus"/>
    <s v="U"/>
    <x v="0"/>
    <n v="8"/>
    <n v="11.81"/>
    <x v="4"/>
    <s v="335-67-1"/>
    <x v="4"/>
    <n v="2.09"/>
  </r>
  <r>
    <s v="SS007-JBA-08162021"/>
    <s v="Down"/>
    <x v="1"/>
    <s v="Dace. Sp"/>
    <s v="Clinostomus"/>
    <s v="gibbosus"/>
    <s v="U"/>
    <x v="0"/>
    <n v="8"/>
    <n v="11.81"/>
    <x v="5"/>
    <s v="375-95-1"/>
    <x v="5"/>
    <n v="3.62"/>
  </r>
  <r>
    <s v="SS007-JBA-08162021"/>
    <s v="Down"/>
    <x v="1"/>
    <s v="Dace. Sp"/>
    <s v="Clinostomus"/>
    <s v="gibbosus"/>
    <s v="U"/>
    <x v="0"/>
    <n v="8"/>
    <n v="11.81"/>
    <x v="6"/>
    <s v="335-76-2"/>
    <x v="6"/>
    <n v="5.03"/>
  </r>
  <r>
    <s v="SS007-JBA-08162021"/>
    <s v="Down"/>
    <x v="1"/>
    <s v="Dace. Sp"/>
    <s v="Clinostomus"/>
    <s v="gibbosus"/>
    <s v="U"/>
    <x v="0"/>
    <n v="8"/>
    <n v="11.81"/>
    <x v="7"/>
    <s v="2058-94-8"/>
    <x v="7"/>
    <n v="8.4600000000000009"/>
  </r>
  <r>
    <s v="SS007-JBA-08162021"/>
    <s v="Down"/>
    <x v="1"/>
    <s v="Dace. Sp"/>
    <s v="Clinostomus"/>
    <s v="gibbosus"/>
    <s v="U"/>
    <x v="0"/>
    <n v="8"/>
    <n v="11.81"/>
    <x v="8"/>
    <s v="307-55-1"/>
    <x v="8"/>
    <n v="9.19"/>
  </r>
  <r>
    <s v="SS007-JBA-08162021"/>
    <s v="Down"/>
    <x v="1"/>
    <s v="Dace. Sp"/>
    <s v="Clinostomus"/>
    <s v="gibbosus"/>
    <s v="U"/>
    <x v="0"/>
    <n v="8"/>
    <n v="11.81"/>
    <x v="9"/>
    <s v="72629-94-8"/>
    <x v="9"/>
    <n v="2.59"/>
  </r>
  <r>
    <s v="SS007-JBA-08162021"/>
    <s v="Down"/>
    <x v="1"/>
    <s v="Dace. Sp"/>
    <s v="Clinostomus"/>
    <s v="gibbosus"/>
    <s v="U"/>
    <x v="0"/>
    <n v="8"/>
    <n v="11.81"/>
    <x v="10"/>
    <s v="376-06-7"/>
    <x v="10"/>
    <n v="5.59"/>
  </r>
  <r>
    <s v="SS007-JBA-08162021"/>
    <s v="Down"/>
    <x v="1"/>
    <s v="Dace. Sp"/>
    <s v="Clinostomus"/>
    <s v="gibbosus"/>
    <s v="U"/>
    <x v="0"/>
    <n v="8"/>
    <n v="11.81"/>
    <x v="11"/>
    <s v="67905-19-5"/>
    <x v="11"/>
    <n v="0.25650000000000001"/>
  </r>
  <r>
    <s v="SS007-JBA-08162021"/>
    <s v="Down"/>
    <x v="1"/>
    <s v="Dace. Sp"/>
    <s v="Clinostomus"/>
    <s v="gibbosus"/>
    <s v="U"/>
    <x v="0"/>
    <n v="8"/>
    <n v="11.81"/>
    <x v="12"/>
    <s v="423-41-6"/>
    <x v="12"/>
    <n v="0.43099999999999999"/>
  </r>
  <r>
    <s v="SS007-JBA-08162021"/>
    <s v="Down"/>
    <x v="1"/>
    <s v="Dace. Sp"/>
    <s v="Clinostomus"/>
    <s v="gibbosus"/>
    <s v="U"/>
    <x v="0"/>
    <n v="8"/>
    <n v="11.81"/>
    <x v="13"/>
    <s v="375-73-5"/>
    <x v="13"/>
    <n v="0.14649999999999999"/>
  </r>
  <r>
    <s v="SS007-JBA-08162021"/>
    <s v="Down"/>
    <x v="1"/>
    <s v="Dace. Sp"/>
    <s v="Clinostomus"/>
    <s v="gibbosus"/>
    <s v="U"/>
    <x v="0"/>
    <n v="8"/>
    <n v="11.81"/>
    <x v="14"/>
    <s v="2706-91-4"/>
    <x v="14"/>
    <n v="0.114"/>
  </r>
  <r>
    <s v="SS007-JBA-08162021"/>
    <s v="Down"/>
    <x v="1"/>
    <s v="Dace. Sp"/>
    <s v="Clinostomus"/>
    <s v="gibbosus"/>
    <s v="U"/>
    <x v="0"/>
    <n v="8"/>
    <n v="11.81"/>
    <x v="15"/>
    <s v="355-46-4"/>
    <x v="15"/>
    <n v="42"/>
  </r>
  <r>
    <s v="SS007-JBA-08162021"/>
    <s v="Down"/>
    <x v="1"/>
    <s v="Dace. Sp"/>
    <s v="Clinostomus"/>
    <s v="gibbosus"/>
    <s v="U"/>
    <x v="0"/>
    <n v="8"/>
    <n v="11.81"/>
    <x v="16"/>
    <s v="375-92-8"/>
    <x v="16"/>
    <n v="3.64"/>
  </r>
  <r>
    <s v="SS007-JBA-08162021"/>
    <s v="Down"/>
    <x v="1"/>
    <s v="Dace. Sp"/>
    <s v="Clinostomus"/>
    <s v="gibbosus"/>
    <s v="U"/>
    <x v="0"/>
    <n v="8"/>
    <n v="11.81"/>
    <x v="17"/>
    <s v="1763-23-1"/>
    <x v="17"/>
    <n v="707"/>
  </r>
  <r>
    <s v="SS007-JBA-08162021"/>
    <s v="Down"/>
    <x v="1"/>
    <s v="Dace. Sp"/>
    <s v="Clinostomus"/>
    <s v="gibbosus"/>
    <s v="U"/>
    <x v="0"/>
    <n v="8"/>
    <n v="11.81"/>
    <x v="18"/>
    <s v="68259-12-1"/>
    <x v="18"/>
    <n v="0.65700000000000003"/>
  </r>
  <r>
    <s v="SS007-JBA-08162021"/>
    <s v="Down"/>
    <x v="1"/>
    <s v="Dace. Sp"/>
    <s v="Clinostomus"/>
    <s v="gibbosus"/>
    <s v="U"/>
    <x v="0"/>
    <n v="8"/>
    <n v="11.81"/>
    <x v="19"/>
    <s v="335-77-3"/>
    <x v="19"/>
    <n v="1.01"/>
  </r>
  <r>
    <s v="SS007-JBA-08162021"/>
    <s v="Down"/>
    <x v="1"/>
    <s v="Dace. Sp"/>
    <s v="Clinostomus"/>
    <s v="gibbosus"/>
    <s v="U"/>
    <x v="0"/>
    <n v="8"/>
    <n v="11.81"/>
    <x v="20"/>
    <s v="79780-39-5"/>
    <x v="20"/>
    <n v="0.51"/>
  </r>
  <r>
    <s v="SS007-JBA-08162021"/>
    <s v="Down"/>
    <x v="1"/>
    <s v="Dace. Sp"/>
    <s v="Clinostomus"/>
    <s v="gibbosus"/>
    <s v="U"/>
    <x v="0"/>
    <n v="8"/>
    <n v="11.81"/>
    <x v="21"/>
    <s v="777011-38-8"/>
    <x v="21"/>
    <n v="0.13100000000000001"/>
  </r>
  <r>
    <s v="SS007-JBA-08162021"/>
    <s v="Down"/>
    <x v="1"/>
    <s v="Dace. Sp"/>
    <s v="Clinostomus"/>
    <s v="gibbosus"/>
    <s v="U"/>
    <x v="0"/>
    <n v="8"/>
    <n v="11.81"/>
    <x v="22"/>
    <s v="646-83-3"/>
    <x v="22"/>
    <n v="0.23100000000000001"/>
  </r>
  <r>
    <s v="SS007-JBA-08162021"/>
    <s v="Down"/>
    <x v="1"/>
    <s v="Dace. Sp"/>
    <s v="Clinostomus"/>
    <s v="gibbosus"/>
    <s v="U"/>
    <x v="0"/>
    <n v="8"/>
    <n v="11.81"/>
    <x v="23"/>
    <s v="30334-69-1"/>
    <x v="23"/>
    <n v="17.8"/>
  </r>
  <r>
    <s v="SS007-JBA-08162021"/>
    <s v="Down"/>
    <x v="1"/>
    <s v="Dace. Sp"/>
    <s v="Clinostomus"/>
    <s v="gibbosus"/>
    <s v="U"/>
    <x v="0"/>
    <n v="8"/>
    <n v="11.81"/>
    <x v="24"/>
    <s v="41997-13-1"/>
    <x v="24"/>
    <n v="57.3"/>
  </r>
  <r>
    <s v="SS007-JBA-08162021"/>
    <s v="Down"/>
    <x v="1"/>
    <s v="Dace. Sp"/>
    <s v="Clinostomus"/>
    <s v="gibbosus"/>
    <s v="U"/>
    <x v="0"/>
    <n v="8"/>
    <n v="11.81"/>
    <x v="25"/>
    <s v="754-91-6"/>
    <x v="25"/>
    <n v="7.14"/>
  </r>
  <r>
    <s v="SS007-JBA-08162021"/>
    <s v="Down"/>
    <x v="1"/>
    <s v="Dace. Sp"/>
    <s v="Clinostomus"/>
    <s v="gibbosus"/>
    <s v="U"/>
    <x v="0"/>
    <n v="8"/>
    <n v="11.81"/>
    <x v="26"/>
    <s v="31506-32-8"/>
    <x v="26"/>
    <n v="0.16600000000000001"/>
  </r>
  <r>
    <s v="SS007-JBA-08162021"/>
    <s v="Down"/>
    <x v="1"/>
    <s v="Dace. Sp"/>
    <s v="Clinostomus"/>
    <s v="gibbosus"/>
    <s v="U"/>
    <x v="0"/>
    <n v="8"/>
    <n v="11.81"/>
    <x v="27"/>
    <s v="4151-50-2"/>
    <x v="27"/>
    <n v="0.43099999999999999"/>
  </r>
  <r>
    <s v="SS007-JBA-08162021"/>
    <s v="Down"/>
    <x v="1"/>
    <s v="Dace. Sp"/>
    <s v="Clinostomus"/>
    <s v="gibbosus"/>
    <s v="U"/>
    <x v="0"/>
    <n v="8"/>
    <n v="11.81"/>
    <x v="28"/>
    <s v="2806-24-8"/>
    <x v="28"/>
    <n v="0.43099999999999999"/>
  </r>
  <r>
    <s v="SS007-JBA-08162021"/>
    <s v="Down"/>
    <x v="1"/>
    <s v="Dace. Sp"/>
    <s v="Clinostomus"/>
    <s v="gibbosus"/>
    <s v="U"/>
    <x v="0"/>
    <n v="8"/>
    <n v="11.81"/>
    <x v="29"/>
    <s v="2355-31-9"/>
    <x v="29"/>
    <n v="0.2165"/>
  </r>
  <r>
    <s v="SS007-JBA-08162021"/>
    <s v="Down"/>
    <x v="1"/>
    <s v="Dace. Sp"/>
    <s v="Clinostomus"/>
    <s v="gibbosus"/>
    <s v="U"/>
    <x v="0"/>
    <n v="8"/>
    <n v="11.81"/>
    <x v="30"/>
    <s v="2991-50-6"/>
    <x v="30"/>
    <n v="0.2155"/>
  </r>
  <r>
    <s v="SS007-JBA-08162021"/>
    <s v="Down"/>
    <x v="1"/>
    <s v="Dace. Sp"/>
    <s v="Clinostomus"/>
    <s v="gibbosus"/>
    <s v="U"/>
    <x v="0"/>
    <n v="8"/>
    <n v="11.81"/>
    <x v="31"/>
    <s v="757124-72-4"/>
    <x v="31"/>
    <n v="0.2155"/>
  </r>
  <r>
    <s v="SS007-JBA-08162021"/>
    <s v="Down"/>
    <x v="1"/>
    <s v="Dace. Sp"/>
    <s v="Clinostomus"/>
    <s v="gibbosus"/>
    <s v="U"/>
    <x v="0"/>
    <n v="8"/>
    <n v="11.81"/>
    <x v="32"/>
    <s v="27619-97-2"/>
    <x v="32"/>
    <n v="0.51500000000000001"/>
  </r>
  <r>
    <s v="SS007-JBA-08162021"/>
    <s v="Down"/>
    <x v="1"/>
    <s v="Dace. Sp"/>
    <s v="Clinostomus"/>
    <s v="gibbosus"/>
    <s v="U"/>
    <x v="0"/>
    <n v="8"/>
    <n v="11.81"/>
    <x v="33"/>
    <s v="39108-34-4"/>
    <x v="33"/>
    <n v="14.5"/>
  </r>
  <r>
    <s v="SS007-JBA-08162021"/>
    <s v="Down"/>
    <x v="1"/>
    <s v="Dace. Sp"/>
    <s v="Clinostomus"/>
    <s v="gibbosus"/>
    <s v="U"/>
    <x v="0"/>
    <n v="8"/>
    <n v="11.81"/>
    <x v="34"/>
    <s v="120226-60-0"/>
    <x v="34"/>
    <n v="1.04"/>
  </r>
  <r>
    <s v="SS007-JBA-08162021"/>
    <s v="Down"/>
    <x v="1"/>
    <s v="Dace. Sp"/>
    <s v="Clinostomus"/>
    <s v="gibbosus"/>
    <s v="U"/>
    <x v="0"/>
    <n v="8"/>
    <n v="11.81"/>
    <x v="35"/>
    <s v="356-02-5"/>
    <x v="35"/>
    <n v="0.2485"/>
  </r>
  <r>
    <s v="SS007-JBA-08162021"/>
    <s v="Down"/>
    <x v="1"/>
    <s v="Dace. Sp"/>
    <s v="Clinostomus"/>
    <s v="gibbosus"/>
    <s v="U"/>
    <x v="0"/>
    <n v="8"/>
    <n v="11.81"/>
    <x v="36"/>
    <s v="914637-49-3"/>
    <x v="36"/>
    <n v="0.2155"/>
  </r>
  <r>
    <s v="SS007-JBA-08162021"/>
    <s v="Down"/>
    <x v="1"/>
    <s v="Dace. Sp"/>
    <s v="Clinostomus"/>
    <s v="gibbosus"/>
    <s v="U"/>
    <x v="0"/>
    <n v="8"/>
    <n v="11.81"/>
    <x v="37"/>
    <s v="812-70-4"/>
    <x v="37"/>
    <n v="10.6"/>
  </r>
  <r>
    <s v="SS007-JBA-08162021"/>
    <s v="Down"/>
    <x v="1"/>
    <s v="Dace. Sp"/>
    <s v="Clinostomus"/>
    <s v="gibbosus"/>
    <s v="U"/>
    <x v="0"/>
    <n v="8"/>
    <n v="11.81"/>
    <x v="38"/>
    <s v="53826-12-3"/>
    <x v="38"/>
    <n v="0.43099999999999999"/>
  </r>
  <r>
    <s v="SS007-JBA-08162021"/>
    <s v="Down"/>
    <x v="1"/>
    <s v="Dace. Sp"/>
    <s v="Clinostomus"/>
    <s v="gibbosus"/>
    <s v="U"/>
    <x v="0"/>
    <n v="8"/>
    <n v="11.81"/>
    <x v="39"/>
    <s v="27854-31-5"/>
    <x v="39"/>
    <n v="0.43099999999999999"/>
  </r>
  <r>
    <s v="SS007-JBA-08162021"/>
    <s v="Down"/>
    <x v="1"/>
    <s v="Dace. Sp"/>
    <s v="Clinostomus"/>
    <s v="gibbosus"/>
    <s v="U"/>
    <x v="0"/>
    <n v="8"/>
    <n v="11.81"/>
    <x v="40"/>
    <s v="53826-13-4"/>
    <x v="40"/>
    <n v="0.43099999999999999"/>
  </r>
  <r>
    <s v="SS007-JBA-08162021"/>
    <s v="Down"/>
    <x v="1"/>
    <s v="Dace. Sp"/>
    <s v="Clinostomus"/>
    <s v="gibbosus"/>
    <s v="U"/>
    <x v="0"/>
    <n v="8"/>
    <n v="11.81"/>
    <x v="41"/>
    <s v="161094-75-3"/>
    <x v="41"/>
    <n v="0.43099999999999999"/>
  </r>
  <r>
    <s v="SS007-JBA-08162021"/>
    <s v="Down"/>
    <x v="1"/>
    <s v="Dace. Sp"/>
    <s v="Clinostomus"/>
    <s v="gibbosus"/>
    <s v="U"/>
    <x v="0"/>
    <n v="8"/>
    <n v="11.81"/>
    <x v="42"/>
    <s v="70887-84-2"/>
    <x v="42"/>
    <n v="0.43099999999999999"/>
  </r>
  <r>
    <s v="SS007-JBA-08162021"/>
    <s v="Down"/>
    <x v="1"/>
    <s v="Dace. Sp"/>
    <s v="Clinostomus"/>
    <s v="gibbosus"/>
    <s v="U"/>
    <x v="0"/>
    <n v="8"/>
    <n v="11.81"/>
    <x v="43"/>
    <s v="919005-14-4"/>
    <x v="43"/>
    <n v="0.2155"/>
  </r>
  <r>
    <s v="SS007-JBA-08162021"/>
    <s v="Down"/>
    <x v="1"/>
    <s v="Dace. Sp"/>
    <s v="Clinostomus"/>
    <s v="gibbosus"/>
    <s v="U"/>
    <x v="0"/>
    <n v="8"/>
    <n v="11.81"/>
    <x v="44"/>
    <s v="756426-58-1"/>
    <x v="44"/>
    <n v="0.43099999999999999"/>
  </r>
  <r>
    <s v="SS007-JBA-08162021"/>
    <s v="Down"/>
    <x v="1"/>
    <s v="Dace. Sp"/>
    <s v="Clinostomus"/>
    <s v="gibbosus"/>
    <s v="U"/>
    <x v="0"/>
    <n v="8"/>
    <n v="11.81"/>
    <x v="45"/>
    <s v="763051-92-9"/>
    <x v="45"/>
    <n v="0.43099999999999999"/>
  </r>
  <r>
    <s v="SS007-JBA-08162021"/>
    <s v="Down"/>
    <x v="1"/>
    <s v="Dace. Sp"/>
    <s v="Clinostomus"/>
    <s v="gibbosus"/>
    <s v="U"/>
    <x v="0"/>
    <n v="8"/>
    <n v="11.81"/>
    <x v="46"/>
    <s v="13252-13-6"/>
    <x v="46"/>
    <n v="0.309"/>
  </r>
  <r>
    <s v="SS007-JBA-08162021"/>
    <s v="Down"/>
    <x v="1"/>
    <s v="Dace. Sp"/>
    <s v="Clinostomus"/>
    <s v="gibbosus"/>
    <s v="U"/>
    <x v="0"/>
    <n v="8"/>
    <n v="11.81"/>
    <x v="47"/>
    <s v="57677-95-9"/>
    <x v="47"/>
    <n v="0.43099999999999999"/>
  </r>
  <r>
    <s v="SS007-JBA-08162021"/>
    <s v="Down"/>
    <x v="1"/>
    <s v="Dace. Sp"/>
    <s v="Clinostomus"/>
    <s v="gibbosus"/>
    <s v="U"/>
    <x v="0"/>
    <n v="8"/>
    <n v="11.81"/>
    <x v="48"/>
    <s v="678-41-1"/>
    <x v="48"/>
    <n v="0.43099999999999999"/>
  </r>
  <r>
    <s v="SS007-JBA-08162021"/>
    <s v="Down"/>
    <x v="1"/>
    <s v="Dace. Sp"/>
    <s v="Clinostomus"/>
    <s v="gibbosus"/>
    <s v="U"/>
    <x v="0"/>
    <n v="8"/>
    <n v="11.81"/>
    <x v="49"/>
    <s v="2965-52-8"/>
    <x v="49"/>
    <n v="0.43099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1C7E8-5022-4AE6-AB55-C7B2B609EE56}" name="PivotTable1" cacheId="865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AY8" firstHeaderRow="1" firstDataRow="3" firstDataCol="1"/>
  <pivotFields count="16">
    <pivotField showAll="0" defaultSubtotal="0"/>
    <pivotField showAll="0" defaultSubtotal="0"/>
    <pivotField numFmtId="164" showAll="0" defaultSubtotal="0">
      <items count="2">
        <item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3">
        <item x="0"/>
        <item x="1"/>
        <item x="2"/>
      </items>
    </pivotField>
    <pivotField showAll="0" defaultSubtotal="0"/>
    <pivotField showAll="0" defaultSubtotal="0"/>
    <pivotField axis="axisCol" showAll="0" defaultSubtotal="0">
      <items count="50">
        <item x="40"/>
        <item x="34"/>
        <item x="45"/>
        <item x="35"/>
        <item x="31"/>
        <item x="36"/>
        <item x="47"/>
        <item x="38"/>
        <item x="32"/>
        <item x="41"/>
        <item x="37"/>
        <item x="48"/>
        <item x="39"/>
        <item x="33"/>
        <item x="42"/>
        <item x="44"/>
        <item x="43"/>
        <item x="21"/>
        <item x="49"/>
        <item x="23"/>
        <item x="24"/>
        <item x="25"/>
        <item x="28"/>
        <item x="46"/>
        <item x="27"/>
        <item x="30"/>
        <item x="26"/>
        <item x="29"/>
        <item x="0"/>
        <item x="13"/>
        <item x="6"/>
        <item x="8"/>
        <item x="20"/>
        <item x="19"/>
        <item x="22"/>
        <item x="3"/>
        <item x="16"/>
        <item x="2"/>
        <item x="11"/>
        <item x="15"/>
        <item x="5"/>
        <item x="18"/>
        <item x="4"/>
        <item x="17"/>
        <item x="1"/>
        <item x="14"/>
        <item x="12"/>
        <item x="10"/>
        <item x="9"/>
        <item x="7"/>
      </items>
    </pivotField>
    <pivotField showAll="0" defaultSubtotal="0"/>
    <pivotField axis="axisCol" showAll="0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31"/>
        <item x="32"/>
        <item x="33"/>
        <item x="34"/>
        <item x="29"/>
        <item x="30"/>
        <item x="25"/>
        <item x="28"/>
        <item x="26"/>
        <item x="27"/>
        <item x="46"/>
        <item x="43"/>
        <item x="44"/>
        <item x="45"/>
        <item x="35"/>
        <item x="36"/>
        <item x="37"/>
        <item x="38"/>
        <item x="39"/>
        <item x="40"/>
        <item x="41"/>
        <item x="42"/>
        <item x="47"/>
        <item x="23"/>
        <item x="24"/>
        <item x="12"/>
        <item x="21"/>
        <item x="22"/>
        <item x="48"/>
        <item x="49"/>
      </items>
    </pivotField>
    <pivotField dataField="1"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3">
    <i>
      <x/>
    </i>
    <i>
      <x v="1"/>
    </i>
    <i>
      <x v="2"/>
    </i>
  </rowItems>
  <colFields count="2">
    <field x="12"/>
    <field x="10"/>
  </colFields>
  <colItems count="50">
    <i>
      <x/>
      <x v="28"/>
    </i>
    <i>
      <x v="1"/>
      <x v="44"/>
    </i>
    <i>
      <x v="2"/>
      <x v="37"/>
    </i>
    <i>
      <x v="3"/>
      <x v="35"/>
    </i>
    <i>
      <x v="4"/>
      <x v="42"/>
    </i>
    <i>
      <x v="5"/>
      <x v="40"/>
    </i>
    <i>
      <x v="6"/>
      <x v="30"/>
    </i>
    <i>
      <x v="7"/>
      <x v="49"/>
    </i>
    <i>
      <x v="8"/>
      <x v="31"/>
    </i>
    <i>
      <x v="9"/>
      <x v="48"/>
    </i>
    <i>
      <x v="10"/>
      <x v="47"/>
    </i>
    <i>
      <x v="11"/>
      <x v="38"/>
    </i>
    <i>
      <x v="12"/>
      <x v="29"/>
    </i>
    <i>
      <x v="13"/>
      <x v="45"/>
    </i>
    <i>
      <x v="14"/>
      <x v="39"/>
    </i>
    <i>
      <x v="15"/>
      <x v="36"/>
    </i>
    <i>
      <x v="16"/>
      <x v="43"/>
    </i>
    <i>
      <x v="17"/>
      <x v="41"/>
    </i>
    <i>
      <x v="18"/>
      <x v="33"/>
    </i>
    <i>
      <x v="19"/>
      <x v="32"/>
    </i>
    <i>
      <x v="20"/>
      <x v="4"/>
    </i>
    <i>
      <x v="21"/>
      <x v="8"/>
    </i>
    <i>
      <x v="22"/>
      <x v="13"/>
    </i>
    <i>
      <x v="23"/>
      <x v="1"/>
    </i>
    <i>
      <x v="24"/>
      <x v="27"/>
    </i>
    <i>
      <x v="25"/>
      <x v="25"/>
    </i>
    <i>
      <x v="26"/>
      <x v="21"/>
    </i>
    <i>
      <x v="27"/>
      <x v="22"/>
    </i>
    <i>
      <x v="28"/>
      <x v="26"/>
    </i>
    <i>
      <x v="29"/>
      <x v="24"/>
    </i>
    <i>
      <x v="30"/>
      <x v="23"/>
    </i>
    <i>
      <x v="31"/>
      <x v="16"/>
    </i>
    <i>
      <x v="32"/>
      <x v="15"/>
    </i>
    <i>
      <x v="33"/>
      <x v="2"/>
    </i>
    <i>
      <x v="34"/>
      <x v="3"/>
    </i>
    <i>
      <x v="35"/>
      <x v="5"/>
    </i>
    <i>
      <x v="36"/>
      <x v="10"/>
    </i>
    <i>
      <x v="37"/>
      <x v="7"/>
    </i>
    <i>
      <x v="38"/>
      <x v="12"/>
    </i>
    <i>
      <x v="39"/>
      <x/>
    </i>
    <i>
      <x v="40"/>
      <x v="9"/>
    </i>
    <i>
      <x v="41"/>
      <x v="14"/>
    </i>
    <i>
      <x v="42"/>
      <x v="6"/>
    </i>
    <i>
      <x v="43"/>
      <x v="19"/>
    </i>
    <i>
      <x v="44"/>
      <x v="20"/>
    </i>
    <i>
      <x v="45"/>
      <x v="46"/>
    </i>
    <i>
      <x v="46"/>
      <x v="17"/>
    </i>
    <i>
      <x v="47"/>
      <x v="34"/>
    </i>
    <i>
      <x v="48"/>
      <x v="11"/>
    </i>
    <i>
      <x v="49"/>
      <x v="18"/>
    </i>
  </colItems>
  <dataFields count="1">
    <dataField name="Average of Result" fld="13" subtotal="average" baseField="15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521BCD-CF46-4D13-8601-79DF97400D09}" autoFormatId="16" applyNumberFormats="0" applyBorderFormats="0" applyFontFormats="0" applyPatternFormats="0" applyAlignmentFormats="0" applyWidthHeightFormats="0">
  <queryTableRefresh nextId="114" unboundColumnsRight="51">
    <queryTableFields count="113">
      <queryTableField id="1" name="Sample ID" tableColumnId="1"/>
      <queryTableField id="2" name="Location" tableColumnId="2"/>
      <queryTableField id="3" name="Sample Date" tableColumnId="3"/>
      <queryTableField id="4" name="Common Name" tableColumnId="4"/>
      <queryTableField id="5" name="Genus" tableColumnId="5"/>
      <queryTableField id="6" name="Species" tableColumnId="6"/>
      <queryTableField id="7" name="Sex" tableColumnId="7"/>
      <queryTableField id="8" name="Tissue" tableColumnId="8"/>
      <queryTableField id="9" name="Length" tableColumnId="9"/>
      <queryTableField id="61" dataBound="0" tableColumnId="61"/>
      <queryTableField id="10" name="Weight" tableColumnId="10"/>
      <queryTableField id="62" dataBound="0" tableColumnId="62"/>
      <queryTableField id="11" name="PFBA" tableColumnId="11"/>
      <queryTableField id="12" name="PFPeA" tableColumnId="12"/>
      <queryTableField id="13" name="PFHxA" tableColumnId="13"/>
      <queryTableField id="14" name="PFHpA" tableColumnId="14"/>
      <queryTableField id="15" name="PFOA" tableColumnId="15"/>
      <queryTableField id="16" name="PFNA" tableColumnId="16"/>
      <queryTableField id="17" name="PFDA" tableColumnId="17"/>
      <queryTableField id="18" name="PFUnA" tableColumnId="18"/>
      <queryTableField id="19" name="PFDoA" tableColumnId="19"/>
      <queryTableField id="20" name="PFTrDA" tableColumnId="20"/>
      <queryTableField id="21" name="PFTeDA" tableColumnId="21"/>
      <queryTableField id="22" name="PFHxDA" tableColumnId="22"/>
      <queryTableField id="23" name="PFPrS" tableColumnId="23"/>
      <queryTableField id="24" name="PFBS" tableColumnId="24"/>
      <queryTableField id="25" name="PFPeS" tableColumnId="25"/>
      <queryTableField id="26" name="PFHxS" tableColumnId="26"/>
      <queryTableField id="27" name="PFHpS" tableColumnId="27"/>
      <queryTableField id="28" name="PFOS" tableColumnId="28"/>
      <queryTableField id="29" name="PFNS" tableColumnId="29"/>
      <queryTableField id="30" name="PFDS" tableColumnId="30"/>
      <queryTableField id="31" name="PFDoS" tableColumnId="31"/>
      <queryTableField id="32" name="Cl-PFOS" tableColumnId="32"/>
      <queryTableField id="33" name="PFEtCHxS" tableColumnId="33"/>
      <queryTableField id="34" name="FBSA" tableColumnId="34"/>
      <queryTableField id="35" name="FHxSA" tableColumnId="35"/>
      <queryTableField id="36" name="FOSA" tableColumnId="36"/>
      <queryTableField id="37" name="N-MeFOSA" tableColumnId="37"/>
      <queryTableField id="38" name="N-EtFOSA" tableColumnId="38"/>
      <queryTableField id="39" name="FOSAA" tableColumnId="39"/>
      <queryTableField id="40" name="N-MeFOSAA" tableColumnId="40"/>
      <queryTableField id="41" name="N-EtFOSAA" tableColumnId="41"/>
      <queryTableField id="42" name="4:2 FTS" tableColumnId="42"/>
      <queryTableField id="43" name="6:2 FTS" tableColumnId="43"/>
      <queryTableField id="44" name="8:2 FTS" tableColumnId="44"/>
      <queryTableField id="45" name="10:2 FTS" tableColumnId="45"/>
      <queryTableField id="46" name="3:3 FTCA" tableColumnId="46"/>
      <queryTableField id="47" name="5:3 FTCA" tableColumnId="47"/>
      <queryTableField id="48" name="7:3 FTCA" tableColumnId="48"/>
      <queryTableField id="49" name="6:2 FTCA" tableColumnId="49"/>
      <queryTableField id="50" name="8:2 FTCA" tableColumnId="50"/>
      <queryTableField id="51" name="10:2 FTCA" tableColumnId="51"/>
      <queryTableField id="52" name="6:2 FTUCA" tableColumnId="52"/>
      <queryTableField id="53" name="8:2 FTUCA" tableColumnId="53"/>
      <queryTableField id="54" name="ADONA" tableColumnId="54"/>
      <queryTableField id="55" name="9Cl-PF3ONS" tableColumnId="55"/>
      <queryTableField id="56" name="11Cl-PF3OUdS" tableColumnId="56"/>
      <queryTableField id="57" name="HFPO-DA" tableColumnId="57"/>
      <queryTableField id="58" name="6:2 diPAP" tableColumnId="58"/>
      <queryTableField id="59" name="8:2 diPAP" tableColumnId="59"/>
      <queryTableField id="60" name="diSAmPAP" tableColumnId="60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  <queryTableField id="71" dataBound="0" tableColumnId="71"/>
      <queryTableField id="72" dataBound="0" tableColumnId="72"/>
      <queryTableField id="73" dataBound="0" tableColumnId="73"/>
      <queryTableField id="74" dataBound="0" tableColumnId="74"/>
      <queryTableField id="75" dataBound="0" tableColumnId="75"/>
      <queryTableField id="76" dataBound="0" tableColumnId="76"/>
      <queryTableField id="77" dataBound="0" tableColumnId="77"/>
      <queryTableField id="78" dataBound="0" tableColumnId="78"/>
      <queryTableField id="79" dataBound="0" tableColumnId="79"/>
      <queryTableField id="80" dataBound="0" tableColumnId="80"/>
      <queryTableField id="81" dataBound="0" tableColumnId="81"/>
      <queryTableField id="82" dataBound="0" tableColumnId="82"/>
      <queryTableField id="83" dataBound="0" tableColumnId="83"/>
      <queryTableField id="84" dataBound="0" tableColumnId="84"/>
      <queryTableField id="85" dataBound="0" tableColumnId="85"/>
      <queryTableField id="86" dataBound="0" tableColumnId="86"/>
      <queryTableField id="87" dataBound="0" tableColumnId="87"/>
      <queryTableField id="88" dataBound="0" tableColumnId="88"/>
      <queryTableField id="89" dataBound="0" tableColumnId="89"/>
      <queryTableField id="90" dataBound="0" tableColumnId="90"/>
      <queryTableField id="91" dataBound="0" tableColumnId="91"/>
      <queryTableField id="92" dataBound="0" tableColumnId="92"/>
      <queryTableField id="93" dataBound="0" tableColumnId="93"/>
      <queryTableField id="94" dataBound="0" tableColumnId="94"/>
      <queryTableField id="95" dataBound="0" tableColumnId="95"/>
      <queryTableField id="96" dataBound="0" tableColumnId="96"/>
      <queryTableField id="97" dataBound="0" tableColumnId="97"/>
      <queryTableField id="98" dataBound="0" tableColumnId="98"/>
      <queryTableField id="99" dataBound="0" tableColumnId="99"/>
      <queryTableField id="100" dataBound="0" tableColumnId="100"/>
      <queryTableField id="101" dataBound="0" tableColumnId="101"/>
      <queryTableField id="102" dataBound="0" tableColumnId="102"/>
      <queryTableField id="103" dataBound="0" tableColumnId="103"/>
      <queryTableField id="104" dataBound="0" tableColumnId="104"/>
      <queryTableField id="105" dataBound="0" tableColumnId="105"/>
      <queryTableField id="106" dataBound="0" tableColumnId="106"/>
      <queryTableField id="107" dataBound="0" tableColumnId="107"/>
      <queryTableField id="108" dataBound="0" tableColumnId="108"/>
      <queryTableField id="109" dataBound="0" tableColumnId="109"/>
      <queryTableField id="110" dataBound="0" tableColumnId="110"/>
      <queryTableField id="111" dataBound="0" tableColumnId="111"/>
      <queryTableField id="112" dataBound="0" tableColumnId="112"/>
      <queryTableField id="113" dataBound="0" tableColumnId="1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6C4944-9DC4-45AF-8CC5-610C12EB9C19}" name="Table1_1" displayName="Table1_1" ref="A1:DI166" tableType="queryTable" totalsRowShown="0">
  <autoFilter ref="A1:DI166" xr:uid="{C26C4944-9DC4-45AF-8CC5-610C12EB9C19}"/>
  <tableColumns count="113">
    <tableColumn id="1" xr3:uid="{6906FCA9-894B-475F-9419-BBF6AE073987}" uniqueName="1" name="Sample ID" queryTableFieldId="1" dataDxfId="10"/>
    <tableColumn id="2" xr3:uid="{E5FCD7BD-BA34-4AE8-AC08-C66E83AEA3CF}" uniqueName="2" name="Location" queryTableFieldId="2" dataDxfId="9"/>
    <tableColumn id="3" xr3:uid="{043148AA-469D-47FB-BB9D-D12D44933704}" uniqueName="3" name="Sample Date" queryTableFieldId="3" dataDxfId="8"/>
    <tableColumn id="4" xr3:uid="{3F51ED9F-3EB4-45C2-B04D-DB084DAA957A}" uniqueName="4" name="Common Name" queryTableFieldId="4" dataDxfId="7"/>
    <tableColumn id="5" xr3:uid="{255002FF-0D46-46FB-B421-45FF39EABF01}" uniqueName="5" name="Genus" queryTableFieldId="5" dataDxfId="6"/>
    <tableColumn id="6" xr3:uid="{CB84E055-5F05-40EF-8A4A-3ECF408492D8}" uniqueName="6" name="Species" queryTableFieldId="6" dataDxfId="5"/>
    <tableColumn id="7" xr3:uid="{EF4B7397-E0A3-42FF-A46D-EC6C7A3DD9DF}" uniqueName="7" name="Sex" queryTableFieldId="7" dataDxfId="4"/>
    <tableColumn id="8" xr3:uid="{ACE94A00-E746-4A58-AD23-C971848BF669}" uniqueName="8" name="Tissue" queryTableFieldId="8" dataDxfId="3"/>
    <tableColumn id="9" xr3:uid="{C11B07AB-C8E2-4E04-92F8-700CE140F379}" uniqueName="9" name="Length" queryTableFieldId="9"/>
    <tableColumn id="61" xr3:uid="{5B339C32-3051-4131-9028-8653C4F6812F}" uniqueName="61" name="log_Length" queryTableFieldId="61">
      <calculatedColumnFormula>LOG(Table1_1[[#This Row],[Length]])</calculatedColumnFormula>
    </tableColumn>
    <tableColumn id="10" xr3:uid="{6F7DF19F-958B-4172-9AD4-BBD1676E25F5}" uniqueName="10" name="Weight" queryTableFieldId="10"/>
    <tableColumn id="62" xr3:uid="{2CB4250D-C52C-44A6-AABD-94E4586608B3}" uniqueName="62" name="log_Weight" queryTableFieldId="62">
      <calculatedColumnFormula>LOG(Table1_1[[#This Row],[Weight]])</calculatedColumnFormula>
    </tableColumn>
    <tableColumn id="11" xr3:uid="{38E21C30-439E-4AB8-86F7-5348FDAF59D1}" uniqueName="11" name="PFBA" queryTableFieldId="11"/>
    <tableColumn id="12" xr3:uid="{1E40C513-A352-41A0-92E5-6BFD22A76D8B}" uniqueName="12" name="PFPeA" queryTableFieldId="12"/>
    <tableColumn id="13" xr3:uid="{810A52ED-B70A-40DD-93C2-167B9332F0F4}" uniqueName="13" name="PFHxA" queryTableFieldId="13"/>
    <tableColumn id="14" xr3:uid="{8B19B9C4-EE7A-4811-8914-A4C20AA01884}" uniqueName="14" name="PFHpA" queryTableFieldId="14"/>
    <tableColumn id="15" xr3:uid="{75E2AA21-03C7-413D-A0E7-08C8C7D8D8B4}" uniqueName="15" name="PFOA" queryTableFieldId="15"/>
    <tableColumn id="16" xr3:uid="{D3E05740-1550-41B6-81B0-63273BC09A12}" uniqueName="16" name="PFNA" queryTableFieldId="16"/>
    <tableColumn id="17" xr3:uid="{A62F6F1F-8D1E-44D5-9A8B-355DB09CFAA0}" uniqueName="17" name="PFDA" queryTableFieldId="17"/>
    <tableColumn id="18" xr3:uid="{A0AB442E-E235-4CB7-8F59-E86611404D64}" uniqueName="18" name="PFUnA" queryTableFieldId="18"/>
    <tableColumn id="19" xr3:uid="{23131E29-062F-4B8A-825D-4AB72840C90C}" uniqueName="19" name="PFDoA" queryTableFieldId="19"/>
    <tableColumn id="20" xr3:uid="{660F6A0C-EFAB-4E6C-83CA-AC9241278E2E}" uniqueName="20" name="PFTrDA" queryTableFieldId="20"/>
    <tableColumn id="21" xr3:uid="{AD67676B-EB38-489F-95D6-FFF53186F0E5}" uniqueName="21" name="PFTeDA" queryTableFieldId="21"/>
    <tableColumn id="22" xr3:uid="{9DBC0F07-62C5-4BCF-B5CB-FF80C4F93FAA}" uniqueName="22" name="PFHxDA" queryTableFieldId="22"/>
    <tableColumn id="23" xr3:uid="{F5EA216E-9FD0-4DBA-A58A-6FD95E8954F4}" uniqueName="23" name="PFPrS" queryTableFieldId="23"/>
    <tableColumn id="24" xr3:uid="{1F7B515B-BD9C-4DF9-A45F-786CA0090ECF}" uniqueName="24" name="PFBS" queryTableFieldId="24"/>
    <tableColumn id="25" xr3:uid="{D817A3EC-A247-4586-A136-37A39CEBF41B}" uniqueName="25" name="PFPeS" queryTableFieldId="25"/>
    <tableColumn id="26" xr3:uid="{F26511E8-E855-4D24-A960-B341AB5257AD}" uniqueName="26" name="PFHxS" queryTableFieldId="26"/>
    <tableColumn id="27" xr3:uid="{56DE71BE-0069-4C64-9A17-AE2BE0D4A730}" uniqueName="27" name="PFHpS" queryTableFieldId="27"/>
    <tableColumn id="28" xr3:uid="{00A0FFC4-99CB-4049-9789-21FAD7DDEEDE}" uniqueName="28" name="PFOS" queryTableFieldId="28"/>
    <tableColumn id="29" xr3:uid="{ACD50D6D-CB07-4F4F-BEF8-FD59A8858A1D}" uniqueName="29" name="PFNS" queryTableFieldId="29"/>
    <tableColumn id="30" xr3:uid="{0DB34C98-D11E-4E62-A3E0-10FD58E3D5D6}" uniqueName="30" name="PFDS" queryTableFieldId="30"/>
    <tableColumn id="31" xr3:uid="{C246F1F8-F485-46E8-AC2F-E452557B5FE7}" uniqueName="31" name="PFDoS" queryTableFieldId="31"/>
    <tableColumn id="32" xr3:uid="{E365522B-A0FA-4306-96A9-4A42BA3DBE15}" uniqueName="32" name="Cl-PFOS" queryTableFieldId="32"/>
    <tableColumn id="33" xr3:uid="{E5847A44-7CB7-4C18-8C7D-7799133E7422}" uniqueName="33" name="PFEtCHxS" queryTableFieldId="33"/>
    <tableColumn id="34" xr3:uid="{7F19EAD3-F1C7-498F-B5CC-D81DF65C7B05}" uniqueName="34" name="FBSA" queryTableFieldId="34"/>
    <tableColumn id="35" xr3:uid="{B0BF1163-02E9-4E15-9ACA-8D61535326FC}" uniqueName="35" name="FHxSA" queryTableFieldId="35"/>
    <tableColumn id="36" xr3:uid="{182EC287-9845-46EA-8551-E6B17ED902E3}" uniqueName="36" name="FOSA" queryTableFieldId="36"/>
    <tableColumn id="37" xr3:uid="{73D2D544-3BAE-47BB-9BEF-784B17742F6A}" uniqueName="37" name="N-MeFOSA" queryTableFieldId="37"/>
    <tableColumn id="38" xr3:uid="{06B1AE0A-66BC-411D-9F05-E5C2FAEA7AB2}" uniqueName="38" name="N-EtFOSA" queryTableFieldId="38"/>
    <tableColumn id="39" xr3:uid="{E0E1C7B8-2131-4F7D-A283-89AE3529DBE4}" uniqueName="39" name="FOSAA" queryTableFieldId="39"/>
    <tableColumn id="40" xr3:uid="{D4E719DE-1D0F-4E44-A98C-3FD5B638606D}" uniqueName="40" name="N-MeFOSAA" queryTableFieldId="40"/>
    <tableColumn id="41" xr3:uid="{7F748377-1BA2-46D5-A96B-86099185BE9D}" uniqueName="41" name="N-EtFOSAA" queryTableFieldId="41"/>
    <tableColumn id="42" xr3:uid="{36F612FA-DA30-4456-993D-52DC0B66A7A2}" uniqueName="42" name="4:2 FTS" queryTableFieldId="42"/>
    <tableColumn id="43" xr3:uid="{DEBC04CB-049D-4E66-A7F0-33EEAFB60A7F}" uniqueName="43" name="6:2 FTS" queryTableFieldId="43"/>
    <tableColumn id="44" xr3:uid="{601631F0-418E-48C8-9F5D-48E1B0895599}" uniqueName="44" name="8:2 FTS" queryTableFieldId="44"/>
    <tableColumn id="45" xr3:uid="{872D94E4-0A1D-42B2-8C44-638CD7B611EA}" uniqueName="45" name="10:2 FTS" queryTableFieldId="45"/>
    <tableColumn id="46" xr3:uid="{A1C05704-78E7-4C4B-85C7-DDC99D042282}" uniqueName="46" name="3:3 FTCA" queryTableFieldId="46"/>
    <tableColumn id="47" xr3:uid="{92BE4272-2E6C-4F7C-B106-BE164257C325}" uniqueName="47" name="5:3 FTCA" queryTableFieldId="47"/>
    <tableColumn id="48" xr3:uid="{6541F7B8-2355-48DB-B76C-2D41C21547A9}" uniqueName="48" name="7:3 FTCA" queryTableFieldId="48"/>
    <tableColumn id="49" xr3:uid="{92F77885-F510-4C02-9349-58DD353E97F4}" uniqueName="49" name="6:2 FTCA" queryTableFieldId="49"/>
    <tableColumn id="50" xr3:uid="{FB537052-68C2-4E91-94B4-9B88DAA9BD41}" uniqueName="50" name="8:2 FTCA" queryTableFieldId="50"/>
    <tableColumn id="51" xr3:uid="{B14496DC-B6D5-4E3B-9E18-76218D9B1C58}" uniqueName="51" name="10:2 FTCA" queryTableFieldId="51"/>
    <tableColumn id="52" xr3:uid="{EB655545-46D0-4540-86A5-F9FE417DB2D2}" uniqueName="52" name="6:2 FTUCA" queryTableFieldId="52"/>
    <tableColumn id="53" xr3:uid="{8A40436D-4EC2-4BE9-B326-0DC927CAFD8E}" uniqueName="53" name="8:2 FTUCA" queryTableFieldId="53"/>
    <tableColumn id="54" xr3:uid="{BC20ED5C-9811-48DE-A8A8-E22A9822E9D8}" uniqueName="54" name="ADONA" queryTableFieldId="54"/>
    <tableColumn id="55" xr3:uid="{0A8053B6-F4F9-431B-B71E-A5BCF38AB893}" uniqueName="55" name="9Cl-PF3ONS" queryTableFieldId="55"/>
    <tableColumn id="56" xr3:uid="{B7A8C647-66A0-4678-8044-663C871C67EE}" uniqueName="56" name="11Cl-PF3OUdS" queryTableFieldId="56"/>
    <tableColumn id="57" xr3:uid="{29CC640C-5878-4C50-892D-5DFC296D5F9F}" uniqueName="57" name="HFPO-DA" queryTableFieldId="57"/>
    <tableColumn id="58" xr3:uid="{0C9B857F-29A3-4542-BC90-65A629CB2D99}" uniqueName="58" name="6:2 diPAP" queryTableFieldId="58"/>
    <tableColumn id="59" xr3:uid="{8AFA7890-6ECE-4FE6-9B12-C8B44B4D3649}" uniqueName="59" name="8:2 diPAP" queryTableFieldId="59"/>
    <tableColumn id="60" xr3:uid="{4C149810-D6E7-4D18-B58B-BA0E2A3F1F58}" uniqueName="60" name="diSAmPAP" queryTableFieldId="60"/>
    <tableColumn id="63" xr3:uid="{7B5B83BA-DC82-4A24-AA3C-5023831E81D3}" uniqueName="63" name="SumPFAS" queryTableFieldId="63">
      <calculatedColumnFormula>SUM(Table1_1[[#This Row],[PFBA]:[diSAmPAP]])</calculatedColumnFormula>
    </tableColumn>
    <tableColumn id="64" xr3:uid="{EACAF903-CDC7-4CC2-83F0-98F9F02A8747}" uniqueName="64" name="log_PFBA" queryTableFieldId="64">
      <calculatedColumnFormula>LOG(Table1_1[[#This Row],[PFBA]])</calculatedColumnFormula>
    </tableColumn>
    <tableColumn id="65" xr3:uid="{669AD16C-9CC0-4920-B80D-F4BDFE50076E}" uniqueName="65" name="log_PFPeA" queryTableFieldId="65">
      <calculatedColumnFormula>LOG(Table1_1[[#This Row],[PFPeA]])</calculatedColumnFormula>
    </tableColumn>
    <tableColumn id="66" xr3:uid="{A1FADEF3-83E3-458D-A987-42A59C5C4C33}" uniqueName="66" name="log_PFHxA" queryTableFieldId="66">
      <calculatedColumnFormula>LOG(Table1_1[[#This Row],[PFHxA]])</calculatedColumnFormula>
    </tableColumn>
    <tableColumn id="67" xr3:uid="{ECCD6676-632D-4635-BA0A-B7EEBB89E026}" uniqueName="67" name="log_PFHpA" queryTableFieldId="67">
      <calculatedColumnFormula>LOG(Table1_1[[#This Row],[PFHpA]])</calculatedColumnFormula>
    </tableColumn>
    <tableColumn id="68" xr3:uid="{41ABA927-A8EA-4A0D-B3B2-5F8D033084C8}" uniqueName="68" name="log_PFOA" queryTableFieldId="68">
      <calculatedColumnFormula>LOG(Table1_1[[#This Row],[PFOA]])</calculatedColumnFormula>
    </tableColumn>
    <tableColumn id="69" xr3:uid="{85231889-CA42-44D6-B8B3-F81D122B540C}" uniqueName="69" name="log_PFNA" queryTableFieldId="69">
      <calculatedColumnFormula>LOG(Table1_1[[#This Row],[PFNA]])</calculatedColumnFormula>
    </tableColumn>
    <tableColumn id="70" xr3:uid="{52186B14-4EAE-4CE8-96A4-488E210B3A21}" uniqueName="70" name="log_PFDA" queryTableFieldId="70">
      <calculatedColumnFormula>LOG(Table1_1[[#This Row],[PFDA]])</calculatedColumnFormula>
    </tableColumn>
    <tableColumn id="71" xr3:uid="{CB495177-B7A3-4CE1-BAA7-709469F1E0B9}" uniqueName="71" name="log_PFUnA" queryTableFieldId="71">
      <calculatedColumnFormula>LOG(Table1_1[[#This Row],[PFUnA]])</calculatedColumnFormula>
    </tableColumn>
    <tableColumn id="72" xr3:uid="{457149B6-9B3B-492D-8B12-4EF364E3525E}" uniqueName="72" name="log_PFDoA" queryTableFieldId="72">
      <calculatedColumnFormula>LOG(Table1_1[[#This Row],[PFDoA]])</calculatedColumnFormula>
    </tableColumn>
    <tableColumn id="73" xr3:uid="{2F16A7FB-67EB-4A3D-9BA7-88F630731549}" uniqueName="73" name="log_PFTrDA" queryTableFieldId="73">
      <calculatedColumnFormula>LOG(Table1_1[[#This Row],[PFTrDA]])</calculatedColumnFormula>
    </tableColumn>
    <tableColumn id="74" xr3:uid="{113DD2ED-6E60-43A9-ABD7-D0CC696AF0DA}" uniqueName="74" name="log_PFTeDA" queryTableFieldId="74">
      <calculatedColumnFormula>LOG(Table1_1[[#This Row],[PFTeDA]])</calculatedColumnFormula>
    </tableColumn>
    <tableColumn id="75" xr3:uid="{D9559943-E107-4C1C-BCD0-43EEA415F851}" uniqueName="75" name="log_PFHxDA" queryTableFieldId="75">
      <calculatedColumnFormula>LOG(Table1_1[[#This Row],[PFHxDA]])</calculatedColumnFormula>
    </tableColumn>
    <tableColumn id="76" xr3:uid="{2EBB9EFF-5A09-4F5D-8965-1DFD21968441}" uniqueName="76" name="log_PFPrS" queryTableFieldId="76">
      <calculatedColumnFormula>LOG(Table1_1[[#This Row],[PFPrS]])</calculatedColumnFormula>
    </tableColumn>
    <tableColumn id="77" xr3:uid="{5D0CF28F-DCB8-41E5-BEE4-477B03BBC177}" uniqueName="77" name="log_PFBS" queryTableFieldId="77">
      <calculatedColumnFormula>LOG(Table1_1[[#This Row],[PFBS]])</calculatedColumnFormula>
    </tableColumn>
    <tableColumn id="78" xr3:uid="{4E1E1A8A-0D5B-4354-A3F0-D4F653D8E30B}" uniqueName="78" name="log_PFPeS" queryTableFieldId="78">
      <calculatedColumnFormula>LOG(Table1_1[[#This Row],[PFPeS]])</calculatedColumnFormula>
    </tableColumn>
    <tableColumn id="79" xr3:uid="{8FEF76DD-1AA4-45DE-BED3-FB20BD345D6B}" uniqueName="79" name="log_PFHxS" queryTableFieldId="79">
      <calculatedColumnFormula>LOG(Table1_1[[#This Row],[PFHxS]])</calculatedColumnFormula>
    </tableColumn>
    <tableColumn id="80" xr3:uid="{9F5B5810-DB74-4706-A078-5BB049B76D5D}" uniqueName="80" name="log_PFHpS" queryTableFieldId="80">
      <calculatedColumnFormula>LOG(Table1_1[[#This Row],[PFHpS]])</calculatedColumnFormula>
    </tableColumn>
    <tableColumn id="81" xr3:uid="{50073828-52AD-4F6D-8198-A4C62EF4BFE8}" uniqueName="81" name="log_PFOS" queryTableFieldId="81">
      <calculatedColumnFormula>LOG(Table1_1[[#This Row],[PFOS]])</calculatedColumnFormula>
    </tableColumn>
    <tableColumn id="82" xr3:uid="{C234C300-D94D-44B4-B7A3-8485EC8C8A42}" uniqueName="82" name="log_PFNS" queryTableFieldId="82">
      <calculatedColumnFormula>LOG(Table1_1[[#This Row],[PFNS]])</calculatedColumnFormula>
    </tableColumn>
    <tableColumn id="83" xr3:uid="{71C85C3F-E9E7-4D1C-93D8-607907A11E87}" uniqueName="83" name="log_PFDS" queryTableFieldId="83">
      <calculatedColumnFormula>LOG(Table1_1[[#This Row],[PFDS]])</calculatedColumnFormula>
    </tableColumn>
    <tableColumn id="84" xr3:uid="{BE589985-1E0A-4E17-8E36-A09AB1AE9EB8}" uniqueName="84" name="log_PFDoS" queryTableFieldId="84">
      <calculatedColumnFormula>LOG(Table1_1[[#This Row],[PFDoS]])</calculatedColumnFormula>
    </tableColumn>
    <tableColumn id="85" xr3:uid="{F397E71A-76AC-4C47-8D01-7171C7EAFB02}" uniqueName="85" name="log_Cl-PFOS" queryTableFieldId="85">
      <calculatedColumnFormula>LOG(Table1_1[[#This Row],[Cl-PFOS]])</calculatedColumnFormula>
    </tableColumn>
    <tableColumn id="86" xr3:uid="{59C6B734-C42E-401B-8F73-9DBA53FADD4C}" uniqueName="86" name="log_PFEtCHxS" queryTableFieldId="86">
      <calculatedColumnFormula>LOG(Table1_1[[#This Row],[PFEtCHxS]])</calculatedColumnFormula>
    </tableColumn>
    <tableColumn id="87" xr3:uid="{DBC63E0C-8FB8-4C45-BFF0-F00A36911A27}" uniqueName="87" name="log_FBSA" queryTableFieldId="87">
      <calculatedColumnFormula>LOG(Table1_1[[#This Row],[FBSA]])</calculatedColumnFormula>
    </tableColumn>
    <tableColumn id="88" xr3:uid="{21CF0E05-DB7E-4A17-A47E-0B6D02B06E55}" uniqueName="88" name="log_FHxSA" queryTableFieldId="88">
      <calculatedColumnFormula>LOG(Table1_1[[#This Row],[FHxSA]])</calculatedColumnFormula>
    </tableColumn>
    <tableColumn id="89" xr3:uid="{CE26FA7A-8B68-44D0-AA66-BF94A477FE87}" uniqueName="89" name="log_FOSA" queryTableFieldId="89">
      <calculatedColumnFormula>LOG(Table1_1[[#This Row],[FOSA]])</calculatedColumnFormula>
    </tableColumn>
    <tableColumn id="90" xr3:uid="{4ECB1076-041D-4382-97F4-3680018C5B4C}" uniqueName="90" name="log_N-MeFOSA" queryTableFieldId="90">
      <calculatedColumnFormula>LOG(Table1_1[[#This Row],[N-MeFOSA]])</calculatedColumnFormula>
    </tableColumn>
    <tableColumn id="91" xr3:uid="{B27F4A03-786F-402E-8DD3-31D534DDAA5A}" uniqueName="91" name="log_N-EtFOSA" queryTableFieldId="91">
      <calculatedColumnFormula>LOG(Table1_1[[#This Row],[N-EtFOSA]])</calculatedColumnFormula>
    </tableColumn>
    <tableColumn id="92" xr3:uid="{0EE33059-05C5-41CE-9FE7-92B9125DA828}" uniqueName="92" name="log_FOSAA" queryTableFieldId="92">
      <calculatedColumnFormula>LOG(Table1_1[[#This Row],[FOSAA]])</calculatedColumnFormula>
    </tableColumn>
    <tableColumn id="93" xr3:uid="{B4906370-5993-4F99-82DC-CBB164D40876}" uniqueName="93" name="log_N-MeFOSAA" queryTableFieldId="93">
      <calculatedColumnFormula>LOG(Table1_1[[#This Row],[N-MeFOSAA]])</calculatedColumnFormula>
    </tableColumn>
    <tableColumn id="94" xr3:uid="{FAF49793-4119-4B97-8BEE-A6FF79BD4B1F}" uniqueName="94" name="log_N-EtFOSAA" queryTableFieldId="94">
      <calculatedColumnFormula>LOG(Table1_1[[#This Row],[N-EtFOSAA]])</calculatedColumnFormula>
    </tableColumn>
    <tableColumn id="95" xr3:uid="{3791690D-CA11-4CBA-A209-9328337A5545}" uniqueName="95" name="log_4:2 FTS" queryTableFieldId="95">
      <calculatedColumnFormula>LOG(Table1_1[[#This Row],[4:2 FTS]])</calculatedColumnFormula>
    </tableColumn>
    <tableColumn id="96" xr3:uid="{9E5F036E-B489-4C07-A94F-8B81BF04A4F2}" uniqueName="96" name="log_6:2 FTS" queryTableFieldId="96">
      <calculatedColumnFormula>LOG(Table1_1[[#This Row],[6:2 FTS]])</calculatedColumnFormula>
    </tableColumn>
    <tableColumn id="97" xr3:uid="{4802A0B9-FC54-4A42-B271-BE00AB475080}" uniqueName="97" name="log_8:2 FTS" queryTableFieldId="97">
      <calculatedColumnFormula>LOG(Table1_1[[#This Row],[8:2 FTS]])</calculatedColumnFormula>
    </tableColumn>
    <tableColumn id="98" xr3:uid="{5E7DEC1B-BF37-4DFC-8BEF-5475CF555B4A}" uniqueName="98" name="log_10:2 FTS" queryTableFieldId="98">
      <calculatedColumnFormula>LOG(Table1_1[[#This Row],[10:2 FTS]])</calculatedColumnFormula>
    </tableColumn>
    <tableColumn id="99" xr3:uid="{0488A1C3-2FB3-46CC-BEBF-27967E78C7C3}" uniqueName="99" name="log_3:3 FTCA" queryTableFieldId="99">
      <calculatedColumnFormula>LOG(Table1_1[[#This Row],[3:3 FTCA]])</calculatedColumnFormula>
    </tableColumn>
    <tableColumn id="100" xr3:uid="{DA9F8FB3-3252-4580-81A3-7A7F72E3818F}" uniqueName="100" name="log_5:3 FTCA" queryTableFieldId="100">
      <calculatedColumnFormula>LOG(Table1_1[[#This Row],[5:3 FTCA]])</calculatedColumnFormula>
    </tableColumn>
    <tableColumn id="101" xr3:uid="{25C09976-EB46-4B3C-ADD9-E1F907FBD138}" uniqueName="101" name="log_7:3 FTCA" queryTableFieldId="101">
      <calculatedColumnFormula>LOG(Table1_1[[#This Row],[7:3 FTCA]])</calculatedColumnFormula>
    </tableColumn>
    <tableColumn id="102" xr3:uid="{6B5D3FCB-F2C3-44CC-A4C3-93AED50AF6BA}" uniqueName="102" name="log_6:2 FTCA" queryTableFieldId="102">
      <calculatedColumnFormula>LOG(Table1_1[[#This Row],[6:2 FTCA]])</calculatedColumnFormula>
    </tableColumn>
    <tableColumn id="103" xr3:uid="{5E2A6A49-C591-4C4F-AF91-2770B180E30C}" uniqueName="103" name="log_8:2 FTCA" queryTableFieldId="103">
      <calculatedColumnFormula>LOG(Table1_1[[#This Row],[8:2 FTCA]])</calculatedColumnFormula>
    </tableColumn>
    <tableColumn id="104" xr3:uid="{029B7B56-8A02-49F3-BC25-7E2FC6A4425E}" uniqueName="104" name="log_10:2 FTCA" queryTableFieldId="104">
      <calculatedColumnFormula>LOG(Table1_1[[#This Row],[10:2 FTCA]])</calculatedColumnFormula>
    </tableColumn>
    <tableColumn id="105" xr3:uid="{A6533792-79AA-4168-8F0D-02AA0D4562E4}" uniqueName="105" name="log_6:2 FTUCA" queryTableFieldId="105">
      <calculatedColumnFormula>LOG(Table1_1[[#This Row],[6:2 FTUCA]])</calculatedColumnFormula>
    </tableColumn>
    <tableColumn id="106" xr3:uid="{7D4D3C2A-AD60-496C-A1D1-4440C2CC325E}" uniqueName="106" name="log_8:2 FTUCA" queryTableFieldId="106">
      <calculatedColumnFormula>LOG(Table1_1[[#This Row],[8:2 FTUCA]])</calculatedColumnFormula>
    </tableColumn>
    <tableColumn id="107" xr3:uid="{14D35135-C7F9-43CE-AF88-B476296CE99F}" uniqueName="107" name="log_ADONA" queryTableFieldId="107">
      <calculatedColumnFormula>LOG(Table1_1[[#This Row],[ADONA]])</calculatedColumnFormula>
    </tableColumn>
    <tableColumn id="108" xr3:uid="{85BF16FA-D2A5-4E72-BE0B-30273DE96D1C}" uniqueName="108" name="log_9Cl-PF3ONS" queryTableFieldId="108">
      <calculatedColumnFormula>LOG(Table1_1[[#This Row],[9Cl-PF3ONS]])</calculatedColumnFormula>
    </tableColumn>
    <tableColumn id="109" xr3:uid="{472FCC18-8DEE-4F8C-ABCB-B38B638CD06A}" uniqueName="109" name="log_11Cl-PF3OUdS" queryTableFieldId="109">
      <calculatedColumnFormula>LOG(Table1_1[[#This Row],[11Cl-PF3OUdS]])</calculatedColumnFormula>
    </tableColumn>
    <tableColumn id="110" xr3:uid="{89E6C937-BD90-4675-BB0B-DB441BA0B743}" uniqueName="110" name="log_HFPO-DA" queryTableFieldId="110">
      <calculatedColumnFormula>LOG(Table1_1[[#This Row],[HFPO-DA]])</calculatedColumnFormula>
    </tableColumn>
    <tableColumn id="111" xr3:uid="{74C7BE88-8B23-47A2-BCBF-1E4D04C1337F}" uniqueName="111" name="log_6:2 diPAP" queryTableFieldId="111">
      <calculatedColumnFormula>LOG(Table1_1[[#This Row],[6:2 diPAP]])</calculatedColumnFormula>
    </tableColumn>
    <tableColumn id="112" xr3:uid="{FDBCA793-1727-43CB-B167-7137392192BC}" uniqueName="112" name="log_8:2 diPAP" queryTableFieldId="112">
      <calculatedColumnFormula>LOG(Table1_1[[#This Row],[8:2 diPAP]])</calculatedColumnFormula>
    </tableColumn>
    <tableColumn id="113" xr3:uid="{9430655F-8F58-4A02-87B7-B057856B0F02}" uniqueName="113" name="log_diSAmPAP" queryTableFieldId="113">
      <calculatedColumnFormula>LOG(Table1_1[[#This Row],[diSAmPAP]])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467BF4-3676-4BEC-8FAE-7E8A0C925567}" name="Table1" displayName="Table1" ref="A1:N8301" totalsRowShown="0" headerRowDxfId="2">
  <autoFilter ref="A1:N8301" xr:uid="{F211A0D3-9783-4314-A479-9ACF4CECE11D}"/>
  <tableColumns count="14">
    <tableColumn id="1" xr3:uid="{B86F6FEF-2808-4929-9FF0-39B0EB729122}" name="Sample ID"/>
    <tableColumn id="2" xr3:uid="{3B907ECA-D281-4E3C-8F91-D1296CAAAA5B}" name="Location">
      <calculatedColumnFormula>_xlfn.XLOOKUP(A2,'[1]Tissue Data'!$A:$A,'[1]Tissue Data'!$C:$C)</calculatedColumnFormula>
    </tableColumn>
    <tableColumn id="3" xr3:uid="{535B92F5-9E3C-4219-B6DF-8AEE57264547}" name="Sample Date" dataDxfId="1">
      <calculatedColumnFormula>_xlfn.XLOOKUP(A2,'[1]Tissue Data'!$A:$A,'[1]Tissue Data'!$D:$D)</calculatedColumnFormula>
    </tableColumn>
    <tableColumn id="4" xr3:uid="{0AD57188-B747-4268-B4DF-8F7F377FD5BD}" name="Common Name" dataDxfId="0"/>
    <tableColumn id="5" xr3:uid="{09BF70AF-F66B-41AB-BD8B-A28D7A284E7F}" name="Genus">
      <calculatedColumnFormula>_xlfn.XLOOKUP(A2,'[1]Tissue Data'!$A:$A,'[1]Tissue Data'!$H:$H)</calculatedColumnFormula>
    </tableColumn>
    <tableColumn id="6" xr3:uid="{3BDC86FD-87F1-41B1-9B26-1F261A86CE1B}" name="Species">
      <calculatedColumnFormula>_xlfn.XLOOKUP(A2,'[1]Tissue Data'!$A:$A,'[1]Tissue Data'!$I:$I)</calculatedColumnFormula>
    </tableColumn>
    <tableColumn id="7" xr3:uid="{E602C645-CFAE-4B92-9ABA-F9DDE1D03998}" name="Sex">
      <calculatedColumnFormula>_xlfn.XLOOKUP(A2,'[1]Tissue Data'!$A:$A,'[1]Tissue Data'!J:J)</calculatedColumnFormula>
    </tableColumn>
    <tableColumn id="8" xr3:uid="{3E364B32-689E-45BB-A679-BDB4BFF93D51}" name="Tissue">
      <calculatedColumnFormula>_xlfn.XLOOKUP(A2,'[1]Tissue Data'!$A:$A,'[1]Tissue Data'!K:K)</calculatedColumnFormula>
    </tableColumn>
    <tableColumn id="9" xr3:uid="{9927807F-62FE-479F-A239-BC03F464AC28}" name="Length">
      <calculatedColumnFormula>_xlfn.XLOOKUP(A2,'[1]Tissue Data'!$A:$A,'[1]Tissue Data'!L:L)</calculatedColumnFormula>
    </tableColumn>
    <tableColumn id="10" xr3:uid="{E84C93F9-2B20-4F44-8563-D9EE943BE4EA}" name="Weight">
      <calculatedColumnFormula>_xlfn.XLOOKUP(A2,'[1]Tissue Data'!$A:$A,'[1]Tissue Data'!M:M)</calculatedColumnFormula>
    </tableColumn>
    <tableColumn id="11" xr3:uid="{0A559186-3AE4-4EA2-88B7-602425ED4EBB}" name="Analyte"/>
    <tableColumn id="12" xr3:uid="{B0E336DE-F09C-4757-9CE3-5BE8EE9F9026}" name="CAS_rn">
      <calculatedColumnFormula>_xlfn.XLOOKUP(K2,[2]analyte_order!$B:$B,[2]analyte_order!$C:$C)</calculatedColumnFormula>
    </tableColumn>
    <tableColumn id="13" xr3:uid="{0FB4E27F-D6CC-43C2-AF6D-7BEEA72C2A75}" name="Order">
      <calculatedColumnFormula>_xlfn.XLOOKUP(L2,[2]analyte_order!$C:$C,[2]analyte_order!$E:$E)</calculatedColumnFormula>
    </tableColumn>
    <tableColumn id="14" xr3:uid="{58C3B47B-87CC-4AA0-95C4-DCF2D49770A9}" name="Resu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3DA41-BD2F-43EC-95FA-095996ECD766}">
  <dimension ref="A1:DI169"/>
  <sheetViews>
    <sheetView tabSelected="1" topLeftCell="AA1" workbookViewId="0">
      <selection activeCell="AK169" sqref="AK169"/>
    </sheetView>
  </sheetViews>
  <sheetFormatPr defaultRowHeight="15.6"/>
  <cols>
    <col min="1" max="1" width="21.75" bestFit="1" customWidth="1"/>
    <col min="2" max="2" width="9.75" bestFit="1" customWidth="1"/>
    <col min="3" max="3" width="13.25" bestFit="1" customWidth="1"/>
    <col min="4" max="4" width="17.375" bestFit="1" customWidth="1"/>
    <col min="5" max="5" width="10.75" bestFit="1" customWidth="1"/>
    <col min="6" max="6" width="10.125" bestFit="1" customWidth="1"/>
    <col min="7" max="7" width="5.75" bestFit="1" customWidth="1"/>
    <col min="8" max="8" width="10.75" bestFit="1" customWidth="1"/>
    <col min="9" max="9" width="8.125" bestFit="1" customWidth="1"/>
    <col min="10" max="10" width="11.875" bestFit="1" customWidth="1"/>
    <col min="11" max="11" width="8.5" bestFit="1" customWidth="1"/>
    <col min="12" max="12" width="12" bestFit="1" customWidth="1"/>
    <col min="13" max="18" width="11.875" bestFit="1" customWidth="1"/>
    <col min="19" max="19" width="7.875" bestFit="1" customWidth="1"/>
    <col min="20" max="20" width="8.75" bestFit="1" customWidth="1"/>
    <col min="21" max="21" width="11.875" bestFit="1" customWidth="1"/>
    <col min="22" max="22" width="9.75" bestFit="1" customWidth="1"/>
    <col min="23" max="23" width="10" bestFit="1" customWidth="1"/>
    <col min="24" max="27" width="11.875" bestFit="1" customWidth="1"/>
    <col min="28" max="28" width="8.5" bestFit="1" customWidth="1"/>
    <col min="29" max="29" width="11.875" bestFit="1" customWidth="1"/>
    <col min="30" max="30" width="7.625" bestFit="1" customWidth="1"/>
    <col min="31" max="35" width="11.875" bestFit="1" customWidth="1"/>
    <col min="36" max="36" width="7.75" bestFit="1" customWidth="1"/>
    <col min="37" max="37" width="8.75" bestFit="1" customWidth="1"/>
    <col min="38" max="38" width="7.875" bestFit="1" customWidth="1"/>
    <col min="39" max="39" width="12.625" bestFit="1" customWidth="1"/>
    <col min="40" max="41" width="11.875" bestFit="1" customWidth="1"/>
    <col min="42" max="42" width="14" bestFit="1" customWidth="1"/>
    <col min="43" max="43" width="13.125" bestFit="1" customWidth="1"/>
    <col min="44" max="52" width="11.875" bestFit="1" customWidth="1"/>
    <col min="53" max="53" width="12" bestFit="1" customWidth="1"/>
    <col min="54" max="55" width="12.25" bestFit="1" customWidth="1"/>
    <col min="56" max="56" width="11.875" bestFit="1" customWidth="1"/>
    <col min="57" max="57" width="13.625" bestFit="1" customWidth="1"/>
    <col min="58" max="58" width="15.625" bestFit="1" customWidth="1"/>
    <col min="59" max="61" width="11.875" bestFit="1" customWidth="1"/>
    <col min="62" max="62" width="12" bestFit="1" customWidth="1"/>
    <col min="63" max="63" width="11.875" bestFit="1" customWidth="1"/>
    <col min="64" max="72" width="12.625" bestFit="1" customWidth="1"/>
    <col min="73" max="73" width="13.25" bestFit="1" customWidth="1"/>
    <col min="74" max="74" width="13.5" bestFit="1" customWidth="1"/>
    <col min="75" max="75" width="13.75" bestFit="1" customWidth="1"/>
    <col min="76" max="80" width="12.625" bestFit="1" customWidth="1"/>
    <col min="81" max="81" width="11.875" bestFit="1" customWidth="1"/>
    <col min="82" max="84" width="12.625" bestFit="1" customWidth="1"/>
    <col min="85" max="85" width="13.75" bestFit="1" customWidth="1"/>
    <col min="86" max="86" width="15.125" bestFit="1" customWidth="1"/>
    <col min="87" max="87" width="11.875" bestFit="1" customWidth="1"/>
    <col min="88" max="88" width="12.25" bestFit="1" customWidth="1"/>
    <col min="89" max="89" width="11.875" bestFit="1" customWidth="1"/>
    <col min="90" max="90" width="16.25" bestFit="1" customWidth="1"/>
    <col min="91" max="91" width="15.25" bestFit="1" customWidth="1"/>
    <col min="92" max="92" width="12.75" bestFit="1" customWidth="1"/>
    <col min="93" max="93" width="17.625" bestFit="1" customWidth="1"/>
    <col min="94" max="94" width="16.75" bestFit="1" customWidth="1"/>
    <col min="95" max="97" width="12.875" bestFit="1" customWidth="1"/>
    <col min="98" max="98" width="13.875" bestFit="1" customWidth="1"/>
    <col min="99" max="103" width="14.5" bestFit="1" customWidth="1"/>
    <col min="104" max="104" width="15.625" bestFit="1" customWidth="1"/>
    <col min="105" max="106" width="15.875" bestFit="1" customWidth="1"/>
    <col min="107" max="107" width="13.375" bestFit="1" customWidth="1"/>
    <col min="108" max="108" width="17.25" bestFit="1" customWidth="1"/>
    <col min="109" max="109" width="19.25" bestFit="1" customWidth="1"/>
    <col min="110" max="110" width="15" bestFit="1" customWidth="1"/>
    <col min="111" max="112" width="14.75" bestFit="1" customWidth="1"/>
    <col min="113" max="113" width="15.625" bestFit="1" customWidth="1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</row>
    <row r="2" spans="1:113">
      <c r="A2" t="s">
        <v>113</v>
      </c>
      <c r="B2" t="s">
        <v>114</v>
      </c>
      <c r="C2" s="3">
        <v>44314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>
        <v>9</v>
      </c>
      <c r="J2">
        <f>LOG(Table1_1[[#This Row],[Length]])</f>
        <v>0.95424250943932487</v>
      </c>
      <c r="K2">
        <v>6.75</v>
      </c>
      <c r="L2">
        <f>LOG(Table1_1[[#This Row],[Weight]])</f>
        <v>0.82930377283102497</v>
      </c>
      <c r="M2">
        <v>0.217</v>
      </c>
      <c r="N2">
        <v>4.6350000000000002E-2</v>
      </c>
      <c r="O2">
        <v>0.11700000000000001</v>
      </c>
      <c r="P2">
        <v>8.6999999999999994E-2</v>
      </c>
      <c r="Q2">
        <v>1.83</v>
      </c>
      <c r="R2">
        <v>4.3899999999999997</v>
      </c>
      <c r="S2">
        <v>6.11</v>
      </c>
      <c r="T2">
        <v>7.39</v>
      </c>
      <c r="U2">
        <v>7.73</v>
      </c>
      <c r="V2">
        <v>2.4900000000000002</v>
      </c>
      <c r="W2">
        <v>5.78</v>
      </c>
      <c r="X2">
        <v>7.85E-2</v>
      </c>
      <c r="Y2">
        <v>0.05</v>
      </c>
      <c r="Z2">
        <v>0.14749999999999999</v>
      </c>
      <c r="AA2">
        <v>0.77900000000000003</v>
      </c>
      <c r="AB2">
        <v>35.1</v>
      </c>
      <c r="AC2">
        <v>5.23</v>
      </c>
      <c r="AD2">
        <v>1670</v>
      </c>
      <c r="AE2">
        <v>3.25</v>
      </c>
      <c r="AF2">
        <v>4.49</v>
      </c>
      <c r="AG2">
        <v>2.91</v>
      </c>
      <c r="AH2">
        <v>0.48199999999999998</v>
      </c>
      <c r="AI2">
        <v>0.48699999999999999</v>
      </c>
      <c r="AJ2">
        <v>25.3</v>
      </c>
      <c r="AK2">
        <v>105</v>
      </c>
      <c r="AL2">
        <v>48</v>
      </c>
      <c r="AM2">
        <v>5.0500000000000003E-2</v>
      </c>
      <c r="AN2">
        <v>7.6499999999999999E-2</v>
      </c>
      <c r="AO2">
        <v>5.1999999999999998E-2</v>
      </c>
      <c r="AP2">
        <v>0.82</v>
      </c>
      <c r="AQ2">
        <v>5.7000000000000002E-2</v>
      </c>
      <c r="AR2">
        <v>5.3999999999999999E-2</v>
      </c>
      <c r="AS2">
        <v>0.82199999999999995</v>
      </c>
      <c r="AT2">
        <v>6.73</v>
      </c>
      <c r="AU2">
        <v>0.59099999999999997</v>
      </c>
      <c r="AV2">
        <v>7.5999999999999998E-2</v>
      </c>
      <c r="AW2">
        <v>12.4</v>
      </c>
      <c r="AX2">
        <v>9.48</v>
      </c>
      <c r="AY2">
        <v>6.6000000000000003E-2</v>
      </c>
      <c r="AZ2">
        <v>6.6000000000000003E-2</v>
      </c>
      <c r="BA2">
        <v>1.82</v>
      </c>
      <c r="BB2">
        <v>5.1499999999999997E-2</v>
      </c>
      <c r="BC2">
        <v>3.9699999999999999E-2</v>
      </c>
      <c r="BD2">
        <v>6.6000000000000003E-2</v>
      </c>
      <c r="BE2">
        <v>6.6000000000000003E-2</v>
      </c>
      <c r="BF2">
        <v>6.6000000000000003E-2</v>
      </c>
      <c r="BG2">
        <v>9.4E-2</v>
      </c>
      <c r="BH2">
        <v>7.0000000000000007E-2</v>
      </c>
      <c r="BI2">
        <v>8.6999999999999994E-2</v>
      </c>
      <c r="BJ2">
        <v>0.11550000000000001</v>
      </c>
      <c r="BK2">
        <f>SUM(Table1_1[[#This Row],[PFBA]:[diSAmPAP]])</f>
        <v>1971.3080500000001</v>
      </c>
      <c r="BL2">
        <f>LOG(Table1_1[[#This Row],[PFBA]])</f>
        <v>-0.66354026615147055</v>
      </c>
      <c r="BM2">
        <f>LOG(Table1_1[[#This Row],[PFPeA]])</f>
        <v>-1.333950261519484</v>
      </c>
      <c r="BN2">
        <f>LOG(Table1_1[[#This Row],[PFHxA]])</f>
        <v>-0.9318141382538383</v>
      </c>
      <c r="BO2">
        <f>LOG(Table1_1[[#This Row],[PFHpA]])</f>
        <v>-1.0604807473813815</v>
      </c>
      <c r="BP2">
        <f>LOG(Table1_1[[#This Row],[PFOA]])</f>
        <v>0.26245108973042947</v>
      </c>
      <c r="BQ2">
        <f>LOG(Table1_1[[#This Row],[PFNA]])</f>
        <v>0.64246452024212131</v>
      </c>
      <c r="BR2">
        <f>LOG(Table1_1[[#This Row],[PFDA]])</f>
        <v>0.78604121024255424</v>
      </c>
      <c r="BS2">
        <f>LOG(Table1_1[[#This Row],[PFUnA]])</f>
        <v>0.86864443839482575</v>
      </c>
      <c r="BT2">
        <f>LOG(Table1_1[[#This Row],[PFDoA]])</f>
        <v>0.88817949391832496</v>
      </c>
      <c r="BU2">
        <f>LOG(Table1_1[[#This Row],[PFTrDA]])</f>
        <v>0.3961993470957364</v>
      </c>
      <c r="BV2">
        <f>LOG(Table1_1[[#This Row],[PFTeDA]])</f>
        <v>0.76192783842052902</v>
      </c>
      <c r="BW2">
        <f>LOG(Table1_1[[#This Row],[PFHxDA]])</f>
        <v>-1.1051303432547475</v>
      </c>
      <c r="BX2">
        <f>LOG(Table1_1[[#This Row],[PFPrS]])</f>
        <v>-1.3010299956639813</v>
      </c>
      <c r="BY2">
        <f>LOG(Table1_1[[#This Row],[PFBS]])</f>
        <v>-0.83120797968581828</v>
      </c>
      <c r="BZ2">
        <f>LOG(Table1_1[[#This Row],[PFPeS]])</f>
        <v>-0.10846254232743553</v>
      </c>
      <c r="CA2">
        <f>LOG(Table1_1[[#This Row],[PFHxS]])</f>
        <v>1.5453071164658241</v>
      </c>
      <c r="CB2">
        <f>LOG(Table1_1[[#This Row],[PFHpS]])</f>
        <v>0.71850168886727428</v>
      </c>
      <c r="CC2">
        <f>LOG(Table1_1[[#This Row],[PFOS]])</f>
        <v>3.2227164711475833</v>
      </c>
      <c r="CD2">
        <f>LOG(Table1_1[[#This Row],[PFNS]])</f>
        <v>0.51188336097887432</v>
      </c>
      <c r="CE2">
        <f>LOG(Table1_1[[#This Row],[PFDS]])</f>
        <v>0.65224634100332324</v>
      </c>
      <c r="CF2">
        <f>LOG(Table1_1[[#This Row],[PFDoS]])</f>
        <v>0.46389298898590731</v>
      </c>
      <c r="CG2">
        <f>LOG(Table1_1[[#This Row],[Cl-PFOS]])</f>
        <v>-0.31695296176115045</v>
      </c>
      <c r="CH2">
        <f>LOG(Table1_1[[#This Row],[PFEtCHxS]])</f>
        <v>-0.3124710387853657</v>
      </c>
      <c r="CI2">
        <f>LOG(Table1_1[[#This Row],[FBSA]])</f>
        <v>1.403120521175818</v>
      </c>
      <c r="CJ2">
        <f>LOG(Table1_1[[#This Row],[FHxSA]])</f>
        <v>2.0211892990699383</v>
      </c>
      <c r="CK2">
        <f>LOG(Table1_1[[#This Row],[FOSA]])</f>
        <v>1.6812412373755872</v>
      </c>
      <c r="CL2">
        <f>LOG(Table1_1[[#This Row],[N-MeFOSA]])</f>
        <v>-1.2967086218813386</v>
      </c>
      <c r="CM2">
        <f>LOG(Table1_1[[#This Row],[N-EtFOSA]])</f>
        <v>-1.1163385648463824</v>
      </c>
      <c r="CN2">
        <f>LOG(Table1_1[[#This Row],[FOSAA]])</f>
        <v>-1.2839966563652008</v>
      </c>
      <c r="CO2">
        <f>LOG(Table1_1[[#This Row],[N-MeFOSAA]])</f>
        <v>-8.6186147616283335E-2</v>
      </c>
      <c r="CP2">
        <f>LOG(Table1_1[[#This Row],[N-EtFOSAA]])</f>
        <v>-1.2441251443275085</v>
      </c>
      <c r="CQ2">
        <f>LOG(Table1_1[[#This Row],[4:2 FTS]])</f>
        <v>-1.2676062401770316</v>
      </c>
      <c r="CR2">
        <f>LOG(Table1_1[[#This Row],[6:2 FTS]])</f>
        <v>-8.5128182459949631E-2</v>
      </c>
      <c r="CS2">
        <f>LOG(Table1_1[[#This Row],[8:2 FTS]])</f>
        <v>0.82801506422397686</v>
      </c>
      <c r="CT2">
        <f>LOG(Table1_1[[#This Row],[10:2 FTS]])</f>
        <v>-0.22841251911874466</v>
      </c>
      <c r="CU2">
        <f>LOG(Table1_1[[#This Row],[3:3 FTCA]])</f>
        <v>-1.1191864077192086</v>
      </c>
      <c r="CV2">
        <f>LOG(Table1_1[[#This Row],[5:3 FTCA]])</f>
        <v>1.0934216851622351</v>
      </c>
      <c r="CW2">
        <f>LOG(Table1_1[[#This Row],[7:3 FTCA]])</f>
        <v>0.97680833733806627</v>
      </c>
      <c r="CX2">
        <f>LOG(Table1_1[[#This Row],[6:2 FTCA]])</f>
        <v>-1.1804560644581312</v>
      </c>
      <c r="CY2">
        <f>LOG(Table1_1[[#This Row],[8:2 FTCA]])</f>
        <v>-1.1804560644581312</v>
      </c>
      <c r="CZ2">
        <f>LOG(Table1_1[[#This Row],[10:2 FTCA]])</f>
        <v>0.26007138798507479</v>
      </c>
      <c r="DA2">
        <f>LOG(Table1_1[[#This Row],[6:2 FTUCA]])</f>
        <v>-1.288192770958809</v>
      </c>
      <c r="DB2">
        <f>LOG(Table1_1[[#This Row],[8:2 FTUCA]])</f>
        <v>-1.401209493236885</v>
      </c>
      <c r="DC2">
        <f>LOG(Table1_1[[#This Row],[ADONA]])</f>
        <v>-1.1804560644581312</v>
      </c>
      <c r="DD2">
        <f>LOG(Table1_1[[#This Row],[9Cl-PF3ONS]])</f>
        <v>-1.1804560644581312</v>
      </c>
      <c r="DE2">
        <f>LOG(Table1_1[[#This Row],[11Cl-PF3OUdS]])</f>
        <v>-1.1804560644581312</v>
      </c>
      <c r="DF2">
        <f>LOG(Table1_1[[#This Row],[HFPO-DA]])</f>
        <v>-1.0268721464003014</v>
      </c>
      <c r="DG2">
        <f>LOG(Table1_1[[#This Row],[6:2 diPAP]])</f>
        <v>-1.1549019599857431</v>
      </c>
      <c r="DH2">
        <f>LOG(Table1_1[[#This Row],[8:2 diPAP]])</f>
        <v>-1.0604807473813815</v>
      </c>
      <c r="DI2">
        <f>LOG(Table1_1[[#This Row],[diSAmPAP]])</f>
        <v>-0.93741801577183692</v>
      </c>
    </row>
    <row r="3" spans="1:113">
      <c r="A3" t="s">
        <v>120</v>
      </c>
      <c r="B3" t="s">
        <v>121</v>
      </c>
      <c r="C3" s="3">
        <v>44314</v>
      </c>
      <c r="D3" t="s">
        <v>122</v>
      </c>
      <c r="E3" t="s">
        <v>123</v>
      </c>
      <c r="F3" t="s">
        <v>124</v>
      </c>
      <c r="G3" t="s">
        <v>118</v>
      </c>
      <c r="H3" t="s">
        <v>119</v>
      </c>
      <c r="I3">
        <v>8</v>
      </c>
      <c r="J3">
        <f>LOG(Table1_1[[#This Row],[Length]])</f>
        <v>0.90308998699194354</v>
      </c>
      <c r="K3">
        <v>4.25</v>
      </c>
      <c r="L3">
        <f>LOG(Table1_1[[#This Row],[Weight]])</f>
        <v>0.62838893005031149</v>
      </c>
      <c r="M3">
        <v>8.6638428956488253E-2</v>
      </c>
      <c r="N3">
        <v>4.9367975003586799E-2</v>
      </c>
      <c r="O3">
        <v>0.116895007286624</v>
      </c>
      <c r="P3">
        <v>8.6638428956488253E-2</v>
      </c>
      <c r="Q3">
        <v>0.54600000000000004</v>
      </c>
      <c r="R3">
        <v>0.51200000000000001</v>
      </c>
      <c r="S3">
        <v>4.59</v>
      </c>
      <c r="T3">
        <v>5.93</v>
      </c>
      <c r="U3">
        <v>5.5789180082496413E-2</v>
      </c>
      <c r="V3">
        <v>1.98</v>
      </c>
      <c r="W3">
        <v>3.19</v>
      </c>
      <c r="X3">
        <v>8.327433957675752E-2</v>
      </c>
      <c r="Y3">
        <v>5.3309631983500722E-2</v>
      </c>
      <c r="Z3">
        <v>0.42199999999999999</v>
      </c>
      <c r="AA3">
        <v>0.11469735353510783</v>
      </c>
      <c r="AB3">
        <v>11.6</v>
      </c>
      <c r="AC3">
        <v>2.77</v>
      </c>
      <c r="AD3">
        <v>872</v>
      </c>
      <c r="AE3">
        <v>1.1499999999999999</v>
      </c>
      <c r="AF3">
        <v>0.91500000000000004</v>
      </c>
      <c r="AG3">
        <v>0.23162139910613211</v>
      </c>
      <c r="AH3">
        <v>0.1316220093097035</v>
      </c>
      <c r="AI3">
        <v>0.35099999999999998</v>
      </c>
      <c r="AJ3">
        <v>22.6</v>
      </c>
      <c r="AK3">
        <v>158</v>
      </c>
      <c r="AL3">
        <v>42.7</v>
      </c>
      <c r="AM3">
        <v>5.3828785911047346E-2</v>
      </c>
      <c r="AN3">
        <v>8.1538562743902449E-2</v>
      </c>
      <c r="AO3">
        <v>5.5076152790530838E-2</v>
      </c>
      <c r="AP3">
        <v>13.3</v>
      </c>
      <c r="AQ3">
        <v>0.18800332566610511</v>
      </c>
      <c r="AR3">
        <v>5.7392664662840744E-2</v>
      </c>
      <c r="AS3">
        <v>0.13076698994909031</v>
      </c>
      <c r="AT3">
        <v>2.5</v>
      </c>
      <c r="AU3">
        <v>7.9338086083213771E-2</v>
      </c>
      <c r="AV3">
        <v>8.0597424479913915E-2</v>
      </c>
      <c r="AW3">
        <v>0.45100000000000001</v>
      </c>
      <c r="AX3">
        <v>2.82</v>
      </c>
      <c r="AY3">
        <v>2.97</v>
      </c>
      <c r="AZ3">
        <v>0.193</v>
      </c>
      <c r="BA3">
        <v>0.1042635768185079</v>
      </c>
      <c r="BB3">
        <v>5.4863833041606892E-2</v>
      </c>
      <c r="BC3">
        <v>4.2224412302367294E-2</v>
      </c>
      <c r="BD3">
        <v>6.9872738452365427E-2</v>
      </c>
      <c r="BE3">
        <v>4.8499131660688664E-2</v>
      </c>
      <c r="BF3">
        <v>5.505905727761836E-2</v>
      </c>
      <c r="BG3">
        <v>0.10026937559182211</v>
      </c>
      <c r="BH3">
        <v>7.4381551883070302E-2</v>
      </c>
      <c r="BI3">
        <v>9.2638255383787657E-2</v>
      </c>
      <c r="BJ3">
        <v>0.12297601967616312</v>
      </c>
      <c r="BK3">
        <f>SUM(Table1_1[[#This Row],[PFBA]:[diSAmPAP]])</f>
        <v>1153.9914436981715</v>
      </c>
      <c r="BL3">
        <f>LOG(Table1_1[[#This Row],[PFBA]])</f>
        <v>-1.0622894315179403</v>
      </c>
      <c r="BM3">
        <f>LOG(Table1_1[[#This Row],[PFPeA]])</f>
        <v>-1.3065546864892921</v>
      </c>
      <c r="BN3">
        <f>LOG(Table1_1[[#This Row],[PFHxA]])</f>
        <v>-0.93220403763348636</v>
      </c>
      <c r="BO3">
        <f>LOG(Table1_1[[#This Row],[PFHpA]])</f>
        <v>-1.0622894315179403</v>
      </c>
      <c r="BP3">
        <f>LOG(Table1_1[[#This Row],[PFOA]])</f>
        <v>-0.26280735729526272</v>
      </c>
      <c r="BQ3">
        <f>LOG(Table1_1[[#This Row],[PFNA]])</f>
        <v>-0.29073003902416922</v>
      </c>
      <c r="BR3">
        <f>LOG(Table1_1[[#This Row],[PFDA]])</f>
        <v>0.66181268553726125</v>
      </c>
      <c r="BS3">
        <f>LOG(Table1_1[[#This Row],[PFUnA]])</f>
        <v>0.77305469336426258</v>
      </c>
      <c r="BT3">
        <f>LOG(Table1_1[[#This Row],[PFDoA]])</f>
        <v>-1.2534500212435842</v>
      </c>
      <c r="BU3">
        <f>LOG(Table1_1[[#This Row],[PFTrDA]])</f>
        <v>0.2966651902615311</v>
      </c>
      <c r="BV3">
        <f>LOG(Table1_1[[#This Row],[PFTeDA]])</f>
        <v>0.50379068305718111</v>
      </c>
      <c r="BW3">
        <f>LOG(Table1_1[[#This Row],[PFHxDA]])</f>
        <v>-1.0794888028794425</v>
      </c>
      <c r="BX3">
        <f>LOG(Table1_1[[#This Row],[PFPrS]])</f>
        <v>-1.2731943155633227</v>
      </c>
      <c r="BY3">
        <f>LOG(Table1_1[[#This Row],[PFBS]])</f>
        <v>-0.37468754903832613</v>
      </c>
      <c r="BZ3">
        <f>LOG(Table1_1[[#This Row],[PFPeS]])</f>
        <v>-0.94044660265983782</v>
      </c>
      <c r="CA3">
        <f>LOG(Table1_1[[#This Row],[PFHxS]])</f>
        <v>1.0644579892269184</v>
      </c>
      <c r="CB3">
        <f>LOG(Table1_1[[#This Row],[PFHpS]])</f>
        <v>0.44247976906444858</v>
      </c>
      <c r="CC3">
        <f>LOG(Table1_1[[#This Row],[PFOS]])</f>
        <v>2.9405164849325671</v>
      </c>
      <c r="CD3">
        <f>LOG(Table1_1[[#This Row],[PFNS]])</f>
        <v>6.069784035361165E-2</v>
      </c>
      <c r="CE3">
        <f>LOG(Table1_1[[#This Row],[PFDS]])</f>
        <v>-3.8578905933551705E-2</v>
      </c>
      <c r="CF3">
        <f>LOG(Table1_1[[#This Row],[PFDoS]])</f>
        <v>-0.63522131936432646</v>
      </c>
      <c r="CG3">
        <f>LOG(Table1_1[[#This Row],[Cl-PFOS]])</f>
        <v>-0.88067148365108194</v>
      </c>
      <c r="CH3">
        <f>LOG(Table1_1[[#This Row],[PFEtCHxS]])</f>
        <v>-0.45469288353417592</v>
      </c>
      <c r="CI3">
        <f>LOG(Table1_1[[#This Row],[FBSA]])</f>
        <v>1.354108439147401</v>
      </c>
      <c r="CJ3">
        <f>LOG(Table1_1[[#This Row],[FHxSA]])</f>
        <v>2.1986570869544226</v>
      </c>
      <c r="CK3">
        <f>LOG(Table1_1[[#This Row],[FOSA]])</f>
        <v>1.6304278750250238</v>
      </c>
      <c r="CL3">
        <f>LOG(Table1_1[[#This Row],[N-MeFOSA]])</f>
        <v>-1.2689854154300646</v>
      </c>
      <c r="CM3">
        <f>LOG(Table1_1[[#This Row],[N-EtFOSA]])</f>
        <v>-1.0886369479966098</v>
      </c>
      <c r="CN3">
        <f>LOG(Table1_1[[#This Row],[FOSAA]])</f>
        <v>-1.2590364039306805</v>
      </c>
      <c r="CO3">
        <f>LOG(Table1_1[[#This Row],[N-MeFOSAA]])</f>
        <v>1.1238516409670858</v>
      </c>
      <c r="CP3">
        <f>LOG(Table1_1[[#This Row],[N-EtFOSAA]])</f>
        <v>-0.7258344682593868</v>
      </c>
      <c r="CQ3">
        <f>LOG(Table1_1[[#This Row],[4:2 FTS]])</f>
        <v>-1.2411436110867633</v>
      </c>
      <c r="CR3">
        <f>LOG(Table1_1[[#This Row],[6:2 FTS]])</f>
        <v>-0.88350187292508087</v>
      </c>
      <c r="CS3">
        <f>LOG(Table1_1[[#This Row],[8:2 FTS]])</f>
        <v>0.3979400086720376</v>
      </c>
      <c r="CT3">
        <f>LOG(Table1_1[[#This Row],[10:2 FTS]])</f>
        <v>-1.1005182804628866</v>
      </c>
      <c r="CU3">
        <f>LOG(Table1_1[[#This Row],[3:3 FTCA]])</f>
        <v>-1.0936788360116936</v>
      </c>
      <c r="CV3">
        <f>LOG(Table1_1[[#This Row],[5:3 FTCA]])</f>
        <v>-0.34582345812203946</v>
      </c>
      <c r="CW3">
        <f>LOG(Table1_1[[#This Row],[7:3 FTCA]])</f>
        <v>0.45024910831936105</v>
      </c>
      <c r="CX3">
        <f>LOG(Table1_1[[#This Row],[6:2 FTCA]])</f>
        <v>0.47275644931721239</v>
      </c>
      <c r="CY3">
        <f>LOG(Table1_1[[#This Row],[8:2 FTCA]])</f>
        <v>-0.71444269099222624</v>
      </c>
      <c r="CZ3">
        <f>LOG(Table1_1[[#This Row],[10:2 FTCA]])</f>
        <v>-0.98186738044587429</v>
      </c>
      <c r="DA3">
        <f>LOG(Table1_1[[#This Row],[6:2 FTUCA]])</f>
        <v>-1.2607138538465699</v>
      </c>
      <c r="DB3">
        <f>LOG(Table1_1[[#This Row],[8:2 FTUCA]])</f>
        <v>-1.3744363864133216</v>
      </c>
      <c r="DC3">
        <f>LOG(Table1_1[[#This Row],[ADONA]])</f>
        <v>-1.1556922355427723</v>
      </c>
      <c r="DD3">
        <f>LOG(Table1_1[[#This Row],[9Cl-PF3ONS]])</f>
        <v>-1.3142660370337629</v>
      </c>
      <c r="DE3">
        <f>LOG(Table1_1[[#This Row],[11Cl-PF3OUdS]])</f>
        <v>-1.2591712288786372</v>
      </c>
      <c r="DF3">
        <f>LOG(Table1_1[[#This Row],[HFPO-DA]])</f>
        <v>-0.99883168953521706</v>
      </c>
      <c r="DG3">
        <f>LOG(Table1_1[[#This Row],[6:2 diPAP]])</f>
        <v>-1.1285347648420219</v>
      </c>
      <c r="DH3">
        <f>LOG(Table1_1[[#This Row],[8:2 diPAP]])</f>
        <v>-1.0332096324198399</v>
      </c>
      <c r="DI3">
        <f>LOG(Table1_1[[#This Row],[diSAmPAP]])</f>
        <v>-0.91017956772862274</v>
      </c>
    </row>
    <row r="4" spans="1:113">
      <c r="A4" t="s">
        <v>125</v>
      </c>
      <c r="B4" t="s">
        <v>114</v>
      </c>
      <c r="C4" s="3">
        <v>44314</v>
      </c>
      <c r="D4" t="s">
        <v>122</v>
      </c>
      <c r="E4" t="s">
        <v>123</v>
      </c>
      <c r="F4" t="s">
        <v>124</v>
      </c>
      <c r="G4" t="s">
        <v>118</v>
      </c>
      <c r="H4" t="s">
        <v>119</v>
      </c>
      <c r="I4">
        <v>8</v>
      </c>
      <c r="J4">
        <f>LOG(Table1_1[[#This Row],[Length]])</f>
        <v>0.90308998699194354</v>
      </c>
      <c r="K4">
        <v>5.25</v>
      </c>
      <c r="L4">
        <f>LOG(Table1_1[[#This Row],[Weight]])</f>
        <v>0.72015930340595691</v>
      </c>
      <c r="M4">
        <v>2.8199999999999999E-2</v>
      </c>
      <c r="N4">
        <v>4.9700000000000001E-2</v>
      </c>
      <c r="O4">
        <v>0.1255</v>
      </c>
      <c r="P4">
        <v>2.8199999999999999E-2</v>
      </c>
      <c r="Q4">
        <v>0.65</v>
      </c>
      <c r="R4">
        <v>0.67200000000000004</v>
      </c>
      <c r="S4">
        <v>6.92</v>
      </c>
      <c r="T4">
        <v>7.31</v>
      </c>
      <c r="U4">
        <v>10.7</v>
      </c>
      <c r="V4">
        <v>4.09</v>
      </c>
      <c r="W4">
        <v>4.2300000000000004</v>
      </c>
      <c r="X4">
        <v>8.4000000000000005E-2</v>
      </c>
      <c r="Y4">
        <v>5.3499999999999999E-2</v>
      </c>
      <c r="Z4">
        <v>0.158</v>
      </c>
      <c r="AA4">
        <v>0.123</v>
      </c>
      <c r="AB4">
        <v>17.600000000000001</v>
      </c>
      <c r="AC4">
        <v>4.1900000000000004</v>
      </c>
      <c r="AD4">
        <v>1050</v>
      </c>
      <c r="AE4">
        <v>1.25</v>
      </c>
      <c r="AF4">
        <v>7.88</v>
      </c>
      <c r="AG4">
        <v>0.2485</v>
      </c>
      <c r="AH4">
        <v>0.14099999999999999</v>
      </c>
      <c r="AI4">
        <v>0.373</v>
      </c>
      <c r="AJ4">
        <v>24.1</v>
      </c>
      <c r="AK4">
        <v>91</v>
      </c>
      <c r="AL4">
        <v>38.299999999999997</v>
      </c>
      <c r="AM4">
        <v>5.3999999999999999E-2</v>
      </c>
      <c r="AN4">
        <v>8.2000000000000003E-2</v>
      </c>
      <c r="AO4">
        <v>5.5500000000000001E-2</v>
      </c>
      <c r="AP4">
        <v>0.23350000000000001</v>
      </c>
      <c r="AQ4">
        <v>6.0999999999999999E-2</v>
      </c>
      <c r="AR4">
        <v>5.7500000000000002E-2</v>
      </c>
      <c r="AS4">
        <v>0.41</v>
      </c>
      <c r="AT4">
        <v>3.64</v>
      </c>
      <c r="AU4">
        <v>0.08</v>
      </c>
      <c r="AV4">
        <v>8.1000000000000003E-2</v>
      </c>
      <c r="AW4">
        <v>1.44</v>
      </c>
      <c r="AX4">
        <v>18</v>
      </c>
      <c r="AY4">
        <v>4.5150000000000003E-2</v>
      </c>
      <c r="AZ4">
        <v>2.8199999999999999E-2</v>
      </c>
      <c r="BA4">
        <v>0.105</v>
      </c>
      <c r="BB4">
        <v>5.5500000000000001E-2</v>
      </c>
      <c r="BC4">
        <v>4.2599999999999999E-2</v>
      </c>
      <c r="BD4">
        <v>7.0499999999999993E-2</v>
      </c>
      <c r="BE4">
        <v>4.8800000000000003E-2</v>
      </c>
      <c r="BF4">
        <v>5.5500000000000001E-2</v>
      </c>
      <c r="BG4">
        <v>0.10100000000000001</v>
      </c>
      <c r="BH4">
        <v>7.4999999999999997E-2</v>
      </c>
      <c r="BI4">
        <v>9.35E-2</v>
      </c>
      <c r="BJ4">
        <v>0.124</v>
      </c>
      <c r="BK4">
        <f>SUM(Table1_1[[#This Row],[PFBA]:[diSAmPAP]])</f>
        <v>1295.34385</v>
      </c>
      <c r="BL4">
        <f>LOG(Table1_1[[#This Row],[PFBA]])</f>
        <v>-1.5497508916806388</v>
      </c>
      <c r="BM4">
        <f>LOG(Table1_1[[#This Row],[PFPeA]])</f>
        <v>-1.3036436112666678</v>
      </c>
      <c r="BN4">
        <f>LOG(Table1_1[[#This Row],[PFHxA]])</f>
        <v>-0.90135627418294306</v>
      </c>
      <c r="BO4">
        <f>LOG(Table1_1[[#This Row],[PFHpA]])</f>
        <v>-1.5497508916806388</v>
      </c>
      <c r="BP4">
        <f>LOG(Table1_1[[#This Row],[PFOA]])</f>
        <v>-0.18708664335714442</v>
      </c>
      <c r="BQ4">
        <f>LOG(Table1_1[[#This Row],[PFNA]])</f>
        <v>-0.17263072694617473</v>
      </c>
      <c r="BR4">
        <f>LOG(Table1_1[[#This Row],[PFDA]])</f>
        <v>0.84010609445675777</v>
      </c>
      <c r="BS4">
        <f>LOG(Table1_1[[#This Row],[PFUnA]])</f>
        <v>0.86391737695786042</v>
      </c>
      <c r="BT4">
        <f>LOG(Table1_1[[#This Row],[PFDoA]])</f>
        <v>1.0293837776852097</v>
      </c>
      <c r="BU4">
        <f>LOG(Table1_1[[#This Row],[PFTrDA]])</f>
        <v>0.61172330800734176</v>
      </c>
      <c r="BV4">
        <f>LOG(Table1_1[[#This Row],[PFTeDA]])</f>
        <v>0.6263403673750424</v>
      </c>
      <c r="BW4">
        <f>LOG(Table1_1[[#This Row],[PFHxDA]])</f>
        <v>-1.0757207139381184</v>
      </c>
      <c r="BX4">
        <f>LOG(Table1_1[[#This Row],[PFPrS]])</f>
        <v>-1.2716462179787715</v>
      </c>
      <c r="BY4">
        <f>LOG(Table1_1[[#This Row],[PFBS]])</f>
        <v>-0.80134291304557737</v>
      </c>
      <c r="BZ4">
        <f>LOG(Table1_1[[#This Row],[PFPeS]])</f>
        <v>-0.91009488856060206</v>
      </c>
      <c r="CA4">
        <f>LOG(Table1_1[[#This Row],[PFHxS]])</f>
        <v>1.2455126678141499</v>
      </c>
      <c r="CB4">
        <f>LOG(Table1_1[[#This Row],[PFHpS]])</f>
        <v>0.62221402296629535</v>
      </c>
      <c r="CC4">
        <f>LOG(Table1_1[[#This Row],[PFOS]])</f>
        <v>3.0211892990699383</v>
      </c>
      <c r="CD4">
        <f>LOG(Table1_1[[#This Row],[PFNS]])</f>
        <v>9.691001300805642E-2</v>
      </c>
      <c r="CE4">
        <f>LOG(Table1_1[[#This Row],[PFDS]])</f>
        <v>0.8965262174895553</v>
      </c>
      <c r="CF4">
        <f>LOG(Table1_1[[#This Row],[PFDoS]])</f>
        <v>-0.60467360693064909</v>
      </c>
      <c r="CG4">
        <f>LOG(Table1_1[[#This Row],[Cl-PFOS]])</f>
        <v>-0.8507808873446201</v>
      </c>
      <c r="CH4">
        <f>LOG(Table1_1[[#This Row],[PFEtCHxS]])</f>
        <v>-0.42829116819131241</v>
      </c>
      <c r="CI4">
        <f>LOG(Table1_1[[#This Row],[FBSA]])</f>
        <v>1.3820170425748683</v>
      </c>
      <c r="CJ4">
        <f>LOG(Table1_1[[#This Row],[FHxSA]])</f>
        <v>1.9590413923210936</v>
      </c>
      <c r="CK4">
        <f>LOG(Table1_1[[#This Row],[FOSA]])</f>
        <v>1.5831987739686226</v>
      </c>
      <c r="CL4">
        <f>LOG(Table1_1[[#This Row],[N-MeFOSA]])</f>
        <v>-1.2676062401770316</v>
      </c>
      <c r="CM4">
        <f>LOG(Table1_1[[#This Row],[N-EtFOSA]])</f>
        <v>-1.0861861476162833</v>
      </c>
      <c r="CN4">
        <f>LOG(Table1_1[[#This Row],[FOSAA]])</f>
        <v>-1.2557070168773237</v>
      </c>
      <c r="CO4">
        <f>LOG(Table1_1[[#This Row],[N-MeFOSAA]])</f>
        <v>-0.63171311509786898</v>
      </c>
      <c r="CP4">
        <f>LOG(Table1_1[[#This Row],[N-EtFOSAA]])</f>
        <v>-1.2146701649892331</v>
      </c>
      <c r="CQ4">
        <f>LOG(Table1_1[[#This Row],[4:2 FTS]])</f>
        <v>-1.2403321553103694</v>
      </c>
      <c r="CR4">
        <f>LOG(Table1_1[[#This Row],[6:2 FTS]])</f>
        <v>-0.38721614328026455</v>
      </c>
      <c r="CS4">
        <f>LOG(Table1_1[[#This Row],[8:2 FTS]])</f>
        <v>0.56110138364905604</v>
      </c>
      <c r="CT4">
        <f>LOG(Table1_1[[#This Row],[10:2 FTS]])</f>
        <v>-1.0969100130080565</v>
      </c>
      <c r="CU4">
        <f>LOG(Table1_1[[#This Row],[3:3 FTCA]])</f>
        <v>-1.0915149811213503</v>
      </c>
      <c r="CV4">
        <f>LOG(Table1_1[[#This Row],[5:3 FTCA]])</f>
        <v>0.15836249209524964</v>
      </c>
      <c r="CW4">
        <f>LOG(Table1_1[[#This Row],[7:3 FTCA]])</f>
        <v>1.255272505103306</v>
      </c>
      <c r="CX4">
        <f>LOG(Table1_1[[#This Row],[6:2 FTCA]])</f>
        <v>-1.3453422453504753</v>
      </c>
      <c r="CY4">
        <f>LOG(Table1_1[[#This Row],[8:2 FTCA]])</f>
        <v>-1.5497508916806388</v>
      </c>
      <c r="CZ4">
        <f>LOG(Table1_1[[#This Row],[10:2 FTCA]])</f>
        <v>-0.97881070093006195</v>
      </c>
      <c r="DA4">
        <f>LOG(Table1_1[[#This Row],[6:2 FTUCA]])</f>
        <v>-1.2557070168773237</v>
      </c>
      <c r="DB4">
        <f>LOG(Table1_1[[#This Row],[8:2 FTUCA]])</f>
        <v>-1.3705904008972811</v>
      </c>
      <c r="DC4">
        <f>LOG(Table1_1[[#This Row],[ADONA]])</f>
        <v>-1.1518108830086013</v>
      </c>
      <c r="DD4">
        <f>LOG(Table1_1[[#This Row],[9Cl-PF3ONS]])</f>
        <v>-1.3115801779972893</v>
      </c>
      <c r="DE4">
        <f>LOG(Table1_1[[#This Row],[11Cl-PF3OUdS]])</f>
        <v>-1.2557070168773237</v>
      </c>
      <c r="DF4">
        <f>LOG(Table1_1[[#This Row],[HFPO-DA]])</f>
        <v>-0.99567862621735737</v>
      </c>
      <c r="DG4">
        <f>LOG(Table1_1[[#This Row],[6:2 diPAP]])</f>
        <v>-1.1249387366082999</v>
      </c>
      <c r="DH4">
        <f>LOG(Table1_1[[#This Row],[8:2 diPAP]])</f>
        <v>-1.0291883891274822</v>
      </c>
      <c r="DI4">
        <f>LOG(Table1_1[[#This Row],[diSAmPAP]])</f>
        <v>-0.90657831483776496</v>
      </c>
    </row>
    <row r="5" spans="1:113">
      <c r="A5" t="s">
        <v>126</v>
      </c>
      <c r="B5" t="s">
        <v>114</v>
      </c>
      <c r="C5" s="3">
        <v>44314</v>
      </c>
      <c r="D5" t="s">
        <v>122</v>
      </c>
      <c r="E5" t="s">
        <v>123</v>
      </c>
      <c r="F5" t="s">
        <v>124</v>
      </c>
      <c r="G5" t="s">
        <v>118</v>
      </c>
      <c r="H5" t="s">
        <v>119</v>
      </c>
      <c r="I5">
        <v>8</v>
      </c>
      <c r="J5">
        <f>LOG(Table1_1[[#This Row],[Length]])</f>
        <v>0.90308998699194354</v>
      </c>
      <c r="K5">
        <v>4.95</v>
      </c>
      <c r="L5">
        <f>LOG(Table1_1[[#This Row],[Weight]])</f>
        <v>0.69460519893356876</v>
      </c>
      <c r="M5">
        <v>2.6800000000000001E-2</v>
      </c>
      <c r="N5">
        <v>4.7399999999999998E-2</v>
      </c>
      <c r="O5">
        <v>0.1195</v>
      </c>
      <c r="P5">
        <v>2.6800000000000001E-2</v>
      </c>
      <c r="Q5">
        <v>0.65400000000000003</v>
      </c>
      <c r="R5">
        <v>0.72699999999999998</v>
      </c>
      <c r="S5">
        <v>4.91</v>
      </c>
      <c r="T5">
        <v>7.36</v>
      </c>
      <c r="U5">
        <v>6.69</v>
      </c>
      <c r="V5">
        <v>3.11</v>
      </c>
      <c r="W5">
        <v>2.7</v>
      </c>
      <c r="X5">
        <v>0.08</v>
      </c>
      <c r="Y5">
        <v>5.0999999999999997E-2</v>
      </c>
      <c r="Z5">
        <v>0.15049999999999999</v>
      </c>
      <c r="AA5">
        <v>0.11700000000000001</v>
      </c>
      <c r="AB5">
        <v>15</v>
      </c>
      <c r="AC5">
        <v>4.28</v>
      </c>
      <c r="AD5">
        <v>700</v>
      </c>
      <c r="AE5">
        <v>0.74199999999999999</v>
      </c>
      <c r="AF5">
        <v>3.59</v>
      </c>
      <c r="AG5">
        <v>0.23649999999999999</v>
      </c>
      <c r="AH5">
        <v>0.13450000000000001</v>
      </c>
      <c r="AI5">
        <v>0.441</v>
      </c>
      <c r="AJ5">
        <v>22.7</v>
      </c>
      <c r="AK5">
        <v>68.7</v>
      </c>
      <c r="AL5">
        <v>34.4</v>
      </c>
      <c r="AM5">
        <v>5.1499999999999997E-2</v>
      </c>
      <c r="AN5">
        <v>7.85E-2</v>
      </c>
      <c r="AO5">
        <v>5.2999999999999999E-2</v>
      </c>
      <c r="AP5">
        <v>0.2225</v>
      </c>
      <c r="AQ5">
        <v>5.8000000000000003E-2</v>
      </c>
      <c r="AR5">
        <v>5.5E-2</v>
      </c>
      <c r="AS5">
        <v>0.46100000000000002</v>
      </c>
      <c r="AT5">
        <v>4.5199999999999996</v>
      </c>
      <c r="AU5">
        <v>0.2515</v>
      </c>
      <c r="AV5">
        <v>7.7499999999999999E-2</v>
      </c>
      <c r="AW5">
        <v>5.0500000000000003E-2</v>
      </c>
      <c r="AX5">
        <v>0.99299999999999999</v>
      </c>
      <c r="AY5">
        <v>4.3049999999999998E-2</v>
      </c>
      <c r="AZ5">
        <v>2.6800000000000001E-2</v>
      </c>
      <c r="BA5">
        <v>0.1</v>
      </c>
      <c r="BB5">
        <v>5.2499999999999998E-2</v>
      </c>
      <c r="BC5">
        <v>4.0599999999999997E-2</v>
      </c>
      <c r="BD5">
        <v>6.7000000000000004E-2</v>
      </c>
      <c r="BE5">
        <v>4.65E-2</v>
      </c>
      <c r="BF5">
        <v>5.2999999999999999E-2</v>
      </c>
      <c r="BG5">
        <v>9.6000000000000002E-2</v>
      </c>
      <c r="BH5">
        <v>7.1499999999999994E-2</v>
      </c>
      <c r="BI5">
        <v>8.8999999999999996E-2</v>
      </c>
      <c r="BJ5">
        <v>0.11799999999999999</v>
      </c>
      <c r="BK5">
        <f>SUM(Table1_1[[#This Row],[PFBA]:[diSAmPAP]])</f>
        <v>884.6699500000002</v>
      </c>
      <c r="BL5">
        <f>LOG(Table1_1[[#This Row],[PFBA]])</f>
        <v>-1.5718652059712113</v>
      </c>
      <c r="BM5">
        <f>LOG(Table1_1[[#This Row],[PFPeA]])</f>
        <v>-1.324221658325915</v>
      </c>
      <c r="BN5">
        <f>LOG(Table1_1[[#This Row],[PFHxA]])</f>
        <v>-0.92263209471584351</v>
      </c>
      <c r="BO5">
        <f>LOG(Table1_1[[#This Row],[PFHpA]])</f>
        <v>-1.5718652059712113</v>
      </c>
      <c r="BP5">
        <f>LOG(Table1_1[[#This Row],[PFOA]])</f>
        <v>-0.18442225167573273</v>
      </c>
      <c r="BQ5">
        <f>LOG(Table1_1[[#This Row],[PFNA]])</f>
        <v>-0.13846558914096219</v>
      </c>
      <c r="BR5">
        <f>LOG(Table1_1[[#This Row],[PFDA]])</f>
        <v>0.69108149212296843</v>
      </c>
      <c r="BS5">
        <f>LOG(Table1_1[[#This Row],[PFUnA]])</f>
        <v>0.86687781433749889</v>
      </c>
      <c r="BT5">
        <f>LOG(Table1_1[[#This Row],[PFDoA]])</f>
        <v>0.82542611776782315</v>
      </c>
      <c r="BU5">
        <f>LOG(Table1_1[[#This Row],[PFTrDA]])</f>
        <v>0.4927603890268375</v>
      </c>
      <c r="BV5">
        <f>LOG(Table1_1[[#This Row],[PFTeDA]])</f>
        <v>0.43136376415898736</v>
      </c>
      <c r="BW5">
        <f>LOG(Table1_1[[#This Row],[PFHxDA]])</f>
        <v>-1.0969100130080565</v>
      </c>
      <c r="BX5">
        <f>LOG(Table1_1[[#This Row],[PFPrS]])</f>
        <v>-1.2924298239020637</v>
      </c>
      <c r="BY5">
        <f>LOG(Table1_1[[#This Row],[PFBS]])</f>
        <v>-0.8224635000701378</v>
      </c>
      <c r="BZ5">
        <f>LOG(Table1_1[[#This Row],[PFPeS]])</f>
        <v>-0.9318141382538383</v>
      </c>
      <c r="CA5">
        <f>LOG(Table1_1[[#This Row],[PFHxS]])</f>
        <v>1.1760912590556813</v>
      </c>
      <c r="CB5">
        <f>LOG(Table1_1[[#This Row],[PFHpS]])</f>
        <v>0.63144376901317201</v>
      </c>
      <c r="CC5">
        <f>LOG(Table1_1[[#This Row],[PFOS]])</f>
        <v>2.8450980400142569</v>
      </c>
      <c r="CD5">
        <f>LOG(Table1_1[[#This Row],[PFNS]])</f>
        <v>-0.12959609472097294</v>
      </c>
      <c r="CE5">
        <f>LOG(Table1_1[[#This Row],[PFDS]])</f>
        <v>0.55509444857831913</v>
      </c>
      <c r="CF5">
        <f>LOG(Table1_1[[#This Row],[PFDoS]])</f>
        <v>-0.62616885492616969</v>
      </c>
      <c r="CG5">
        <f>LOG(Table1_1[[#This Row],[Cl-PFOS]])</f>
        <v>-0.87127771566157319</v>
      </c>
      <c r="CH5">
        <f>LOG(Table1_1[[#This Row],[PFEtCHxS]])</f>
        <v>-0.35556141053216145</v>
      </c>
      <c r="CI5">
        <f>LOG(Table1_1[[#This Row],[FBSA]])</f>
        <v>1.3560258571931227</v>
      </c>
      <c r="CJ5">
        <f>LOG(Table1_1[[#This Row],[FHxSA]])</f>
        <v>1.8369567370595505</v>
      </c>
      <c r="CK5">
        <f>LOG(Table1_1[[#This Row],[FOSA]])</f>
        <v>1.5365584425715302</v>
      </c>
      <c r="CL5">
        <f>LOG(Table1_1[[#This Row],[N-MeFOSA]])</f>
        <v>-1.288192770958809</v>
      </c>
      <c r="CM5">
        <f>LOG(Table1_1[[#This Row],[N-EtFOSA]])</f>
        <v>-1.1051303432547475</v>
      </c>
      <c r="CN5">
        <f>LOG(Table1_1[[#This Row],[FOSAA]])</f>
        <v>-1.2757241303992111</v>
      </c>
      <c r="CO5">
        <f>LOG(Table1_1[[#This Row],[N-MeFOSAA]])</f>
        <v>-0.6526699846830496</v>
      </c>
      <c r="CP5">
        <f>LOG(Table1_1[[#This Row],[N-EtFOSAA]])</f>
        <v>-1.2365720064370627</v>
      </c>
      <c r="CQ5">
        <f>LOG(Table1_1[[#This Row],[4:2 FTS]])</f>
        <v>-1.2596373105057561</v>
      </c>
      <c r="CR5">
        <f>LOG(Table1_1[[#This Row],[6:2 FTS]])</f>
        <v>-0.33629907461035186</v>
      </c>
      <c r="CS5">
        <f>LOG(Table1_1[[#This Row],[8:2 FTS]])</f>
        <v>0.65513843481138212</v>
      </c>
      <c r="CT5">
        <f>LOG(Table1_1[[#This Row],[10:2 FTS]])</f>
        <v>-0.59946201060805382</v>
      </c>
      <c r="CU5">
        <f>LOG(Table1_1[[#This Row],[3:3 FTCA]])</f>
        <v>-1.1106982974936896</v>
      </c>
      <c r="CV5">
        <f>LOG(Table1_1[[#This Row],[5:3 FTCA]])</f>
        <v>-1.2967086218813386</v>
      </c>
      <c r="CW5">
        <f>LOG(Table1_1[[#This Row],[7:3 FTCA]])</f>
        <v>-3.0507515046188267E-3</v>
      </c>
      <c r="CX5">
        <f>LOG(Table1_1[[#This Row],[6:2 FTCA]])</f>
        <v>-1.3660268442103265</v>
      </c>
      <c r="CY5">
        <f>LOG(Table1_1[[#This Row],[8:2 FTCA]])</f>
        <v>-1.5718652059712113</v>
      </c>
      <c r="CZ5">
        <f>LOG(Table1_1[[#This Row],[10:2 FTCA]])</f>
        <v>-1</v>
      </c>
      <c r="DA5">
        <f>LOG(Table1_1[[#This Row],[6:2 FTUCA]])</f>
        <v>-1.2798406965940432</v>
      </c>
      <c r="DB5">
        <f>LOG(Table1_1[[#This Row],[8:2 FTUCA]])</f>
        <v>-1.391473966422806</v>
      </c>
      <c r="DC5">
        <f>LOG(Table1_1[[#This Row],[ADONA]])</f>
        <v>-1.1739251972991736</v>
      </c>
      <c r="DD5">
        <f>LOG(Table1_1[[#This Row],[9Cl-PF3ONS]])</f>
        <v>-1.332547047110046</v>
      </c>
      <c r="DE5">
        <f>LOG(Table1_1[[#This Row],[11Cl-PF3OUdS]])</f>
        <v>-1.2757241303992111</v>
      </c>
      <c r="DF5">
        <f>LOG(Table1_1[[#This Row],[HFPO-DA]])</f>
        <v>-1.0177287669604316</v>
      </c>
      <c r="DG5">
        <f>LOG(Table1_1[[#This Row],[6:2 diPAP]])</f>
        <v>-1.1456939581989194</v>
      </c>
      <c r="DH5">
        <f>LOG(Table1_1[[#This Row],[8:2 diPAP]])</f>
        <v>-1.0506099933550872</v>
      </c>
      <c r="DI5">
        <f>LOG(Table1_1[[#This Row],[diSAmPAP]])</f>
        <v>-0.92811799269387463</v>
      </c>
    </row>
    <row r="6" spans="1:113">
      <c r="A6" t="s">
        <v>127</v>
      </c>
      <c r="B6" t="s">
        <v>114</v>
      </c>
      <c r="C6" s="3">
        <v>44314</v>
      </c>
      <c r="D6" t="s">
        <v>122</v>
      </c>
      <c r="E6" t="s">
        <v>123</v>
      </c>
      <c r="F6" t="s">
        <v>124</v>
      </c>
      <c r="G6" t="s">
        <v>118</v>
      </c>
      <c r="H6" t="s">
        <v>119</v>
      </c>
      <c r="I6">
        <v>8</v>
      </c>
      <c r="J6">
        <f>LOG(Table1_1[[#This Row],[Length]])</f>
        <v>0.90308998699194354</v>
      </c>
      <c r="K6">
        <v>5.85</v>
      </c>
      <c r="L6">
        <f>LOG(Table1_1[[#This Row],[Weight]])</f>
        <v>0.76715586608218045</v>
      </c>
      <c r="M6">
        <v>2.9100000000000001E-2</v>
      </c>
      <c r="N6">
        <v>5.1499999999999997E-2</v>
      </c>
      <c r="O6">
        <v>3.925E-2</v>
      </c>
      <c r="P6">
        <v>9.6000000000000002E-2</v>
      </c>
      <c r="Q6">
        <v>0.48299999999999998</v>
      </c>
      <c r="R6">
        <v>0.73599999999999999</v>
      </c>
      <c r="S6">
        <v>4.12</v>
      </c>
      <c r="T6">
        <v>8.18</v>
      </c>
      <c r="U6">
        <v>5.33</v>
      </c>
      <c r="V6">
        <v>1.64</v>
      </c>
      <c r="W6">
        <v>2.8</v>
      </c>
      <c r="X6">
        <v>8.6499999999999994E-2</v>
      </c>
      <c r="Y6">
        <v>5.5500000000000001E-2</v>
      </c>
      <c r="Z6">
        <v>0.16300000000000001</v>
      </c>
      <c r="AA6">
        <v>0.127</v>
      </c>
      <c r="AB6">
        <v>15.6</v>
      </c>
      <c r="AC6">
        <v>2.31</v>
      </c>
      <c r="AD6">
        <v>618</v>
      </c>
      <c r="AE6">
        <v>0.55200000000000005</v>
      </c>
      <c r="AF6">
        <v>2.02</v>
      </c>
      <c r="AG6">
        <v>0.25650000000000001</v>
      </c>
      <c r="AH6">
        <v>0.14549999999999999</v>
      </c>
      <c r="AI6">
        <v>0.29299999999999998</v>
      </c>
      <c r="AJ6">
        <v>38.4</v>
      </c>
      <c r="AK6">
        <v>117</v>
      </c>
      <c r="AL6">
        <v>28.2</v>
      </c>
      <c r="AM6">
        <v>5.6000000000000001E-2</v>
      </c>
      <c r="AN6">
        <v>8.5000000000000006E-2</v>
      </c>
      <c r="AO6">
        <v>5.7500000000000002E-2</v>
      </c>
      <c r="AP6">
        <v>7.2999999999999995E-2</v>
      </c>
      <c r="AQ6">
        <v>6.3E-2</v>
      </c>
      <c r="AR6">
        <v>5.9499999999999997E-2</v>
      </c>
      <c r="AS6">
        <v>0.14499999999999999</v>
      </c>
      <c r="AT6">
        <v>3.14</v>
      </c>
      <c r="AU6">
        <v>8.2500000000000004E-2</v>
      </c>
      <c r="AV6">
        <v>8.4000000000000005E-2</v>
      </c>
      <c r="AW6">
        <v>0.18099999999999999</v>
      </c>
      <c r="AX6">
        <v>5.33</v>
      </c>
      <c r="AY6">
        <v>4.6649999999999997E-2</v>
      </c>
      <c r="AZ6">
        <v>2.9100000000000001E-2</v>
      </c>
      <c r="BA6">
        <v>0.1085</v>
      </c>
      <c r="BB6">
        <v>5.7000000000000002E-2</v>
      </c>
      <c r="BC6">
        <v>4.3950000000000003E-2</v>
      </c>
      <c r="BD6">
        <v>7.2499999999999995E-2</v>
      </c>
      <c r="BE6">
        <v>5.0500000000000003E-2</v>
      </c>
      <c r="BF6">
        <v>5.7500000000000002E-2</v>
      </c>
      <c r="BG6">
        <v>0.104</v>
      </c>
      <c r="BH6">
        <v>7.7499999999999999E-2</v>
      </c>
      <c r="BI6">
        <v>9.6500000000000002E-2</v>
      </c>
      <c r="BJ6">
        <v>0.128</v>
      </c>
      <c r="BK6">
        <f>SUM(Table1_1[[#This Row],[PFBA]:[diSAmPAP]])</f>
        <v>856.94205000000011</v>
      </c>
      <c r="BL6">
        <f>LOG(Table1_1[[#This Row],[PFBA]])</f>
        <v>-1.5361070110140926</v>
      </c>
      <c r="BM6">
        <f>LOG(Table1_1[[#This Row],[PFPeA]])</f>
        <v>-1.288192770958809</v>
      </c>
      <c r="BN6">
        <f>LOG(Table1_1[[#This Row],[PFHxA]])</f>
        <v>-1.4061603389187287</v>
      </c>
      <c r="BO6">
        <f>LOG(Table1_1[[#This Row],[PFHpA]])</f>
        <v>-1.0177287669604316</v>
      </c>
      <c r="BP6">
        <f>LOG(Table1_1[[#This Row],[PFOA]])</f>
        <v>-0.31605286924848786</v>
      </c>
      <c r="BQ6">
        <f>LOG(Table1_1[[#This Row],[PFNA]])</f>
        <v>-0.13312218566250114</v>
      </c>
      <c r="BR6">
        <f>LOG(Table1_1[[#This Row],[PFDA]])</f>
        <v>0.61489721603313463</v>
      </c>
      <c r="BS6">
        <f>LOG(Table1_1[[#This Row],[PFUnA]])</f>
        <v>0.91275330367132301</v>
      </c>
      <c r="BT6">
        <f>LOG(Table1_1[[#This Row],[PFDoA]])</f>
        <v>0.72672720902657229</v>
      </c>
      <c r="BU6">
        <f>LOG(Table1_1[[#This Row],[PFTrDA]])</f>
        <v>0.21484384804769785</v>
      </c>
      <c r="BV6">
        <f>LOG(Table1_1[[#This Row],[PFTeDA]])</f>
        <v>0.44715803134221921</v>
      </c>
      <c r="BW6">
        <f>LOG(Table1_1[[#This Row],[PFHxDA]])</f>
        <v>-1.0629838925351858</v>
      </c>
      <c r="BX6">
        <f>LOG(Table1_1[[#This Row],[PFPrS]])</f>
        <v>-1.2557070168773237</v>
      </c>
      <c r="BY6">
        <f>LOG(Table1_1[[#This Row],[PFBS]])</f>
        <v>-0.78781239559604221</v>
      </c>
      <c r="BZ6">
        <f>LOG(Table1_1[[#This Row],[PFPeS]])</f>
        <v>-0.89619627904404309</v>
      </c>
      <c r="CA6">
        <f>LOG(Table1_1[[#This Row],[PFHxS]])</f>
        <v>1.1931245983544616</v>
      </c>
      <c r="CB6">
        <f>LOG(Table1_1[[#This Row],[PFHpS]])</f>
        <v>0.36361197989214433</v>
      </c>
      <c r="CC6">
        <f>LOG(Table1_1[[#This Row],[PFOS]])</f>
        <v>2.7909884750888159</v>
      </c>
      <c r="CD6">
        <f>LOG(Table1_1[[#This Row],[PFNS]])</f>
        <v>-0.25806092227080107</v>
      </c>
      <c r="CE6">
        <f>LOG(Table1_1[[#This Row],[PFDS]])</f>
        <v>0.30535136944662378</v>
      </c>
      <c r="CF6">
        <f>LOG(Table1_1[[#This Row],[PFDoS]])</f>
        <v>-0.59091263055216492</v>
      </c>
      <c r="CG6">
        <f>LOG(Table1_1[[#This Row],[Cl-PFOS]])</f>
        <v>-0.83713700667807389</v>
      </c>
      <c r="CH6">
        <f>LOG(Table1_1[[#This Row],[PFEtCHxS]])</f>
        <v>-0.53313237964589055</v>
      </c>
      <c r="CI6">
        <f>LOG(Table1_1[[#This Row],[FBSA]])</f>
        <v>1.5843312243675307</v>
      </c>
      <c r="CJ6">
        <f>LOG(Table1_1[[#This Row],[FHxSA]])</f>
        <v>2.0681858617461617</v>
      </c>
      <c r="CK6">
        <f>LOG(Table1_1[[#This Row],[FOSA]])</f>
        <v>1.4502491083193612</v>
      </c>
      <c r="CL6">
        <f>LOG(Table1_1[[#This Row],[N-MeFOSA]])</f>
        <v>-1.2518119729937995</v>
      </c>
      <c r="CM6">
        <f>LOG(Table1_1[[#This Row],[N-EtFOSA]])</f>
        <v>-1.0705810742857071</v>
      </c>
      <c r="CN6">
        <f>LOG(Table1_1[[#This Row],[FOSAA]])</f>
        <v>-1.2403321553103694</v>
      </c>
      <c r="CO6">
        <f>LOG(Table1_1[[#This Row],[N-MeFOSAA]])</f>
        <v>-1.1366771398795441</v>
      </c>
      <c r="CP6">
        <f>LOG(Table1_1[[#This Row],[N-EtFOSAA]])</f>
        <v>-1.2006594505464183</v>
      </c>
      <c r="CQ6">
        <f>LOG(Table1_1[[#This Row],[4:2 FTS]])</f>
        <v>-1.2254830342714504</v>
      </c>
      <c r="CR6">
        <f>LOG(Table1_1[[#This Row],[6:2 FTS]])</f>
        <v>-0.83863199776502517</v>
      </c>
      <c r="CS6">
        <f>LOG(Table1_1[[#This Row],[8:2 FTS]])</f>
        <v>0.49692964807321494</v>
      </c>
      <c r="CT6">
        <f>LOG(Table1_1[[#This Row],[10:2 FTS]])</f>
        <v>-1.083546051450075</v>
      </c>
      <c r="CU6">
        <f>LOG(Table1_1[[#This Row],[3:3 FTCA]])</f>
        <v>-1.0757207139381184</v>
      </c>
      <c r="CV6">
        <f>LOG(Table1_1[[#This Row],[5:3 FTCA]])</f>
        <v>-0.74232142513081545</v>
      </c>
      <c r="CW6">
        <f>LOG(Table1_1[[#This Row],[7:3 FTCA]])</f>
        <v>0.72672720902657229</v>
      </c>
      <c r="CX6">
        <f>LOG(Table1_1[[#This Row],[6:2 FTCA]])</f>
        <v>-1.3311483519174814</v>
      </c>
      <c r="CY6">
        <f>LOG(Table1_1[[#This Row],[8:2 FTCA]])</f>
        <v>-1.5361070110140926</v>
      </c>
      <c r="CZ6">
        <f>LOG(Table1_1[[#This Row],[10:2 FTCA]])</f>
        <v>-0.96457026181545169</v>
      </c>
      <c r="DA6">
        <f>LOG(Table1_1[[#This Row],[6:2 FTUCA]])</f>
        <v>-1.2441251443275085</v>
      </c>
      <c r="DB6">
        <f>LOG(Table1_1[[#This Row],[8:2 FTUCA]])</f>
        <v>-1.3570411205902093</v>
      </c>
      <c r="DC6">
        <f>LOG(Table1_1[[#This Row],[ADONA]])</f>
        <v>-1.1396619934290064</v>
      </c>
      <c r="DD6">
        <f>LOG(Table1_1[[#This Row],[9Cl-PF3ONS]])</f>
        <v>-1.2967086218813386</v>
      </c>
      <c r="DE6">
        <f>LOG(Table1_1[[#This Row],[11Cl-PF3OUdS]])</f>
        <v>-1.2403321553103694</v>
      </c>
      <c r="DF6">
        <f>LOG(Table1_1[[#This Row],[HFPO-DA]])</f>
        <v>-0.98296666070121963</v>
      </c>
      <c r="DG6">
        <f>LOG(Table1_1[[#This Row],[6:2 diPAP]])</f>
        <v>-1.1106982974936896</v>
      </c>
      <c r="DH6">
        <f>LOG(Table1_1[[#This Row],[8:2 diPAP]])</f>
        <v>-1.0154726866562074</v>
      </c>
      <c r="DI6">
        <f>LOG(Table1_1[[#This Row],[diSAmPAP]])</f>
        <v>-0.89279003035213167</v>
      </c>
    </row>
    <row r="7" spans="1:113">
      <c r="A7" t="s">
        <v>128</v>
      </c>
      <c r="B7" t="s">
        <v>114</v>
      </c>
      <c r="C7" s="3">
        <v>44314</v>
      </c>
      <c r="D7" t="s">
        <v>122</v>
      </c>
      <c r="E7" t="s">
        <v>123</v>
      </c>
      <c r="F7" t="s">
        <v>124</v>
      </c>
      <c r="G7" t="s">
        <v>118</v>
      </c>
      <c r="H7" t="s">
        <v>119</v>
      </c>
      <c r="I7">
        <v>8</v>
      </c>
      <c r="J7">
        <f>LOG(Table1_1[[#This Row],[Length]])</f>
        <v>0.90308998699194354</v>
      </c>
      <c r="K7">
        <v>5.4</v>
      </c>
      <c r="L7">
        <f>LOG(Table1_1[[#This Row],[Weight]])</f>
        <v>0.7323937598229685</v>
      </c>
      <c r="M7">
        <v>0.22</v>
      </c>
      <c r="N7">
        <v>4.7100000000000003E-2</v>
      </c>
      <c r="O7">
        <v>0.11849999999999999</v>
      </c>
      <c r="P7">
        <v>8.7999999999999995E-2</v>
      </c>
      <c r="Q7">
        <v>0.64600000000000002</v>
      </c>
      <c r="R7">
        <v>0.64400000000000002</v>
      </c>
      <c r="S7">
        <v>2.15</v>
      </c>
      <c r="T7">
        <v>2.11</v>
      </c>
      <c r="U7">
        <v>3.05</v>
      </c>
      <c r="V7">
        <v>1.1200000000000001</v>
      </c>
      <c r="W7">
        <v>1.75</v>
      </c>
      <c r="X7">
        <v>7.9500000000000001E-2</v>
      </c>
      <c r="Y7">
        <v>5.0999999999999997E-2</v>
      </c>
      <c r="Z7">
        <v>0.15</v>
      </c>
      <c r="AA7">
        <v>0.11650000000000001</v>
      </c>
      <c r="AB7">
        <v>11.5</v>
      </c>
      <c r="AC7">
        <v>2.86</v>
      </c>
      <c r="AD7">
        <v>513</v>
      </c>
      <c r="AE7">
        <v>0.96899999999999997</v>
      </c>
      <c r="AF7">
        <v>0.65100000000000002</v>
      </c>
      <c r="AG7">
        <v>0.23549999999999999</v>
      </c>
      <c r="AH7">
        <v>0.13350000000000001</v>
      </c>
      <c r="AI7">
        <v>0.26700000000000002</v>
      </c>
      <c r="AJ7">
        <v>10.3</v>
      </c>
      <c r="AK7">
        <v>113</v>
      </c>
      <c r="AL7">
        <v>32.4</v>
      </c>
      <c r="AM7">
        <v>5.1499999999999997E-2</v>
      </c>
      <c r="AN7">
        <v>7.8E-2</v>
      </c>
      <c r="AO7">
        <v>5.2499999999999998E-2</v>
      </c>
      <c r="AP7">
        <v>0.2215</v>
      </c>
      <c r="AQ7">
        <v>0.191</v>
      </c>
      <c r="AR7">
        <v>5.45E-2</v>
      </c>
      <c r="AS7">
        <v>1.48</v>
      </c>
      <c r="AT7">
        <v>2.19</v>
      </c>
      <c r="AU7">
        <v>0.25</v>
      </c>
      <c r="AV7">
        <v>7.6999999999999999E-2</v>
      </c>
      <c r="AW7">
        <v>0.76700000000000002</v>
      </c>
      <c r="AX7">
        <v>2.5499999999999998</v>
      </c>
      <c r="AY7">
        <v>0.22</v>
      </c>
      <c r="AZ7">
        <v>1.34</v>
      </c>
      <c r="BA7">
        <v>0.32850000000000001</v>
      </c>
      <c r="BB7">
        <v>5.2499999999999998E-2</v>
      </c>
      <c r="BC7">
        <v>4.0300000000000002E-2</v>
      </c>
      <c r="BD7">
        <v>6.6500000000000004E-2</v>
      </c>
      <c r="BE7">
        <v>6.6500000000000004E-2</v>
      </c>
      <c r="BF7">
        <v>6.6500000000000004E-2</v>
      </c>
      <c r="BG7">
        <v>9.5500000000000002E-2</v>
      </c>
      <c r="BH7">
        <v>7.0999999999999994E-2</v>
      </c>
      <c r="BI7">
        <v>8.8499999999999995E-2</v>
      </c>
      <c r="BJ7">
        <v>0.11749999999999999</v>
      </c>
      <c r="BK7">
        <f>SUM(Table1_1[[#This Row],[PFBA]:[diSAmPAP]])</f>
        <v>708.17290000000014</v>
      </c>
      <c r="BL7">
        <f>LOG(Table1_1[[#This Row],[PFBA]])</f>
        <v>-0.65757731917779372</v>
      </c>
      <c r="BM7">
        <f>LOG(Table1_1[[#This Row],[PFPeA]])</f>
        <v>-1.3269790928711038</v>
      </c>
      <c r="BN7">
        <f>LOG(Table1_1[[#This Row],[PFHxA]])</f>
        <v>-0.92628164965387738</v>
      </c>
      <c r="BO7">
        <f>LOG(Table1_1[[#This Row],[PFHpA]])</f>
        <v>-1.0555173278498313</v>
      </c>
      <c r="BP7">
        <f>LOG(Table1_1[[#This Row],[PFOA]])</f>
        <v>-0.18976748200491589</v>
      </c>
      <c r="BQ7">
        <f>LOG(Table1_1[[#This Row],[PFNA]])</f>
        <v>-0.19111413264018789</v>
      </c>
      <c r="BR7">
        <f>LOG(Table1_1[[#This Row],[PFDA]])</f>
        <v>0.33243845991560533</v>
      </c>
      <c r="BS7">
        <f>LOG(Table1_1[[#This Row],[PFUnA]])</f>
        <v>0.32428245529769262</v>
      </c>
      <c r="BT7">
        <f>LOG(Table1_1[[#This Row],[PFDoA]])</f>
        <v>0.48429983934678583</v>
      </c>
      <c r="BU7">
        <f>LOG(Table1_1[[#This Row],[PFTrDA]])</f>
        <v>4.9218022670181653E-2</v>
      </c>
      <c r="BV7">
        <f>LOG(Table1_1[[#This Row],[PFTeDA]])</f>
        <v>0.24303804868629444</v>
      </c>
      <c r="BW7">
        <f>LOG(Table1_1[[#This Row],[PFHxDA]])</f>
        <v>-1.0996328713435297</v>
      </c>
      <c r="BX7">
        <f>LOG(Table1_1[[#This Row],[PFPrS]])</f>
        <v>-1.2924298239020637</v>
      </c>
      <c r="BY7">
        <f>LOG(Table1_1[[#This Row],[PFBS]])</f>
        <v>-0.82390874094431876</v>
      </c>
      <c r="BZ7">
        <f>LOG(Table1_1[[#This Row],[PFPeS]])</f>
        <v>-0.93367407463796215</v>
      </c>
      <c r="CA7">
        <f>LOG(Table1_1[[#This Row],[PFHxS]])</f>
        <v>1.0606978403536116</v>
      </c>
      <c r="CB7">
        <f>LOG(Table1_1[[#This Row],[PFHpS]])</f>
        <v>0.456366033129043</v>
      </c>
      <c r="CC7">
        <f>LOG(Table1_1[[#This Row],[PFOS]])</f>
        <v>2.7101173651118162</v>
      </c>
      <c r="CD7">
        <f>LOG(Table1_1[[#This Row],[PFNS]])</f>
        <v>-1.3676222949234686E-2</v>
      </c>
      <c r="CE7">
        <f>LOG(Table1_1[[#This Row],[PFDS]])</f>
        <v>-0.18641901143180803</v>
      </c>
      <c r="CF7">
        <f>LOG(Table1_1[[#This Row],[PFDoS]])</f>
        <v>-0.62800908853508508</v>
      </c>
      <c r="CG7">
        <f>LOG(Table1_1[[#This Row],[Cl-PFOS]])</f>
        <v>-0.87451873429940596</v>
      </c>
      <c r="CH7">
        <f>LOG(Table1_1[[#This Row],[PFEtCHxS]])</f>
        <v>-0.57348873863542471</v>
      </c>
      <c r="CI7">
        <f>LOG(Table1_1[[#This Row],[FBSA]])</f>
        <v>1.0128372247051722</v>
      </c>
      <c r="CJ7">
        <f>LOG(Table1_1[[#This Row],[FHxSA]])</f>
        <v>2.0530784434834195</v>
      </c>
      <c r="CK7">
        <f>LOG(Table1_1[[#This Row],[FOSA]])</f>
        <v>1.510545010206612</v>
      </c>
      <c r="CL7">
        <f>LOG(Table1_1[[#This Row],[N-MeFOSA]])</f>
        <v>-1.288192770958809</v>
      </c>
      <c r="CM7">
        <f>LOG(Table1_1[[#This Row],[N-EtFOSA]])</f>
        <v>-1.1079053973095196</v>
      </c>
      <c r="CN7">
        <f>LOG(Table1_1[[#This Row],[FOSAA]])</f>
        <v>-1.2798406965940432</v>
      </c>
      <c r="CO7">
        <f>LOG(Table1_1[[#This Row],[N-MeFOSAA]])</f>
        <v>-0.65462626944091162</v>
      </c>
      <c r="CP7">
        <f>LOG(Table1_1[[#This Row],[N-EtFOSAA]])</f>
        <v>-0.71896663275227246</v>
      </c>
      <c r="CQ7">
        <f>LOG(Table1_1[[#This Row],[4:2 FTS]])</f>
        <v>-1.2636034977233577</v>
      </c>
      <c r="CR7">
        <f>LOG(Table1_1[[#This Row],[6:2 FTS]])</f>
        <v>0.17026171539495738</v>
      </c>
      <c r="CS7">
        <f>LOG(Table1_1[[#This Row],[8:2 FTS]])</f>
        <v>0.34044411484011833</v>
      </c>
      <c r="CT7">
        <f>LOG(Table1_1[[#This Row],[10:2 FTS]])</f>
        <v>-0.6020599913279624</v>
      </c>
      <c r="CU7">
        <f>LOG(Table1_1[[#This Row],[3:3 FTCA]])</f>
        <v>-1.1135092748275182</v>
      </c>
      <c r="CV7">
        <f>LOG(Table1_1[[#This Row],[5:3 FTCA]])</f>
        <v>-0.11520463605101904</v>
      </c>
      <c r="CW7">
        <f>LOG(Table1_1[[#This Row],[7:3 FTCA]])</f>
        <v>0.40654018043395512</v>
      </c>
      <c r="CX7">
        <f>LOG(Table1_1[[#This Row],[6:2 FTCA]])</f>
        <v>-0.65757731917779372</v>
      </c>
      <c r="CY7">
        <f>LOG(Table1_1[[#This Row],[8:2 FTCA]])</f>
        <v>0.12710479836480765</v>
      </c>
      <c r="CZ7">
        <f>LOG(Table1_1[[#This Row],[10:2 FTCA]])</f>
        <v>-0.48346462610420038</v>
      </c>
      <c r="DA7">
        <f>LOG(Table1_1[[#This Row],[6:2 FTUCA]])</f>
        <v>-1.2798406965940432</v>
      </c>
      <c r="DB7">
        <f>LOG(Table1_1[[#This Row],[8:2 FTUCA]])</f>
        <v>-1.3946949538588904</v>
      </c>
      <c r="DC7">
        <f>LOG(Table1_1[[#This Row],[ADONA]])</f>
        <v>-1.1771783546968955</v>
      </c>
      <c r="DD7">
        <f>LOG(Table1_1[[#This Row],[9Cl-PF3ONS]])</f>
        <v>-1.1771783546968955</v>
      </c>
      <c r="DE7">
        <f>LOG(Table1_1[[#This Row],[11Cl-PF3OUdS]])</f>
        <v>-1.1771783546968955</v>
      </c>
      <c r="DF7">
        <f>LOG(Table1_1[[#This Row],[HFPO-DA]])</f>
        <v>-1.0199966284162536</v>
      </c>
      <c r="DG7">
        <f>LOG(Table1_1[[#This Row],[6:2 diPAP]])</f>
        <v>-1.1487416512809248</v>
      </c>
      <c r="DH7">
        <f>LOG(Table1_1[[#This Row],[8:2 diPAP]])</f>
        <v>-1.0530567293021746</v>
      </c>
      <c r="DI7">
        <f>LOG(Table1_1[[#This Row],[diSAmPAP]])</f>
        <v>-0.92996213339224498</v>
      </c>
    </row>
    <row r="8" spans="1:113">
      <c r="A8" t="s">
        <v>129</v>
      </c>
      <c r="B8" t="s">
        <v>114</v>
      </c>
      <c r="C8" s="3">
        <v>44314</v>
      </c>
      <c r="D8" t="s">
        <v>122</v>
      </c>
      <c r="E8" t="s">
        <v>123</v>
      </c>
      <c r="F8" t="s">
        <v>124</v>
      </c>
      <c r="G8" t="s">
        <v>118</v>
      </c>
      <c r="H8" t="s">
        <v>119</v>
      </c>
      <c r="I8">
        <v>7</v>
      </c>
      <c r="J8">
        <f>LOG(Table1_1[[#This Row],[Length]])</f>
        <v>0.84509804001425681</v>
      </c>
      <c r="K8">
        <v>4.5999999999999996</v>
      </c>
      <c r="L8">
        <f>LOG(Table1_1[[#This Row],[Weight]])</f>
        <v>0.66275783168157409</v>
      </c>
      <c r="M8">
        <v>6.9500000000000006E-2</v>
      </c>
      <c r="N8">
        <v>0.16250000000000001</v>
      </c>
      <c r="O8">
        <v>3.7749999999999999E-2</v>
      </c>
      <c r="P8">
        <v>9.1999999999999998E-2</v>
      </c>
      <c r="Q8">
        <v>0.60299999999999998</v>
      </c>
      <c r="R8">
        <v>1.1200000000000001</v>
      </c>
      <c r="S8">
        <v>3.86</v>
      </c>
      <c r="T8">
        <v>4.93</v>
      </c>
      <c r="U8">
        <v>9.4700000000000006</v>
      </c>
      <c r="V8">
        <v>3.72</v>
      </c>
      <c r="W8">
        <v>4.1500000000000004</v>
      </c>
      <c r="X8">
        <v>8.3000000000000004E-2</v>
      </c>
      <c r="Y8">
        <v>5.2999999999999999E-2</v>
      </c>
      <c r="Z8">
        <v>0.1565</v>
      </c>
      <c r="AA8">
        <v>0.122</v>
      </c>
      <c r="AB8">
        <v>14.8</v>
      </c>
      <c r="AC8">
        <v>4.5999999999999996</v>
      </c>
      <c r="AD8">
        <v>1070</v>
      </c>
      <c r="AE8">
        <v>1.22</v>
      </c>
      <c r="AF8">
        <v>0.84299999999999997</v>
      </c>
      <c r="AG8">
        <v>0.246</v>
      </c>
      <c r="AH8">
        <v>0.14000000000000001</v>
      </c>
      <c r="AI8">
        <v>0.47699999999999998</v>
      </c>
      <c r="AJ8">
        <v>22</v>
      </c>
      <c r="AK8">
        <v>150</v>
      </c>
      <c r="AL8">
        <v>48.4</v>
      </c>
      <c r="AM8">
        <v>5.3999999999999999E-2</v>
      </c>
      <c r="AN8">
        <v>8.1500000000000003E-2</v>
      </c>
      <c r="AO8">
        <v>5.5E-2</v>
      </c>
      <c r="AP8">
        <v>0.23150000000000001</v>
      </c>
      <c r="AQ8">
        <v>0.2</v>
      </c>
      <c r="AR8">
        <v>5.7500000000000002E-2</v>
      </c>
      <c r="AS8">
        <v>0.371</v>
      </c>
      <c r="AT8">
        <v>4.1399999999999997</v>
      </c>
      <c r="AU8">
        <v>0.26150000000000001</v>
      </c>
      <c r="AV8">
        <v>8.0500000000000002E-2</v>
      </c>
      <c r="AW8">
        <v>0.23</v>
      </c>
      <c r="AX8">
        <v>1.81</v>
      </c>
      <c r="AY8">
        <v>0.23</v>
      </c>
      <c r="AZ8">
        <v>1.1299999999999999</v>
      </c>
      <c r="BA8">
        <v>0.34350000000000003</v>
      </c>
      <c r="BB8">
        <v>5.5E-2</v>
      </c>
      <c r="BC8">
        <v>4.2099999999999999E-2</v>
      </c>
      <c r="BD8">
        <v>6.9500000000000006E-2</v>
      </c>
      <c r="BE8">
        <v>6.9500000000000006E-2</v>
      </c>
      <c r="BF8">
        <v>6.9500000000000006E-2</v>
      </c>
      <c r="BG8">
        <v>0.1</v>
      </c>
      <c r="BH8">
        <v>7.3999999999999996E-2</v>
      </c>
      <c r="BI8">
        <v>9.2499999999999999E-2</v>
      </c>
      <c r="BJ8">
        <v>0.1225</v>
      </c>
      <c r="BK8">
        <f>SUM(Table1_1[[#This Row],[PFBA]:[diSAmPAP]])</f>
        <v>1351.3258500000011</v>
      </c>
      <c r="BL8">
        <f>LOG(Table1_1[[#This Row],[PFBA]])</f>
        <v>-1.1580151954098861</v>
      </c>
      <c r="BM8">
        <f>LOG(Table1_1[[#This Row],[PFPeA]])</f>
        <v>-0.78914663468510682</v>
      </c>
      <c r="BN8">
        <f>LOG(Table1_1[[#This Row],[PFHxA]])</f>
        <v>-1.423083044034793</v>
      </c>
      <c r="BO8">
        <f>LOG(Table1_1[[#This Row],[PFHpA]])</f>
        <v>-1.0362121726544447</v>
      </c>
      <c r="BP8">
        <f>LOG(Table1_1[[#This Row],[PFOA]])</f>
        <v>-0.21968268785984871</v>
      </c>
      <c r="BQ8">
        <f>LOG(Table1_1[[#This Row],[PFNA]])</f>
        <v>4.9218022670181653E-2</v>
      </c>
      <c r="BR8">
        <f>LOG(Table1_1[[#This Row],[PFDA]])</f>
        <v>0.58658730467175491</v>
      </c>
      <c r="BS8">
        <f>LOG(Table1_1[[#This Row],[PFUnA]])</f>
        <v>0.69284691927722997</v>
      </c>
      <c r="BT8">
        <f>LOG(Table1_1[[#This Row],[PFDoA]])</f>
        <v>0.97634997900327347</v>
      </c>
      <c r="BU8">
        <f>LOG(Table1_1[[#This Row],[PFTrDA]])</f>
        <v>0.57054293988189753</v>
      </c>
      <c r="BV8">
        <f>LOG(Table1_1[[#This Row],[PFTeDA]])</f>
        <v>0.61804809671209271</v>
      </c>
      <c r="BW8">
        <f>LOG(Table1_1[[#This Row],[PFHxDA]])</f>
        <v>-1.080921907623926</v>
      </c>
      <c r="BX8">
        <f>LOG(Table1_1[[#This Row],[PFPrS]])</f>
        <v>-1.2757241303992111</v>
      </c>
      <c r="BY8">
        <f>LOG(Table1_1[[#This Row],[PFBS]])</f>
        <v>-0.8054856581175327</v>
      </c>
      <c r="BZ8">
        <f>LOG(Table1_1[[#This Row],[PFPeS]])</f>
        <v>-0.91364016932525183</v>
      </c>
      <c r="CA8">
        <f>LOG(Table1_1[[#This Row],[PFHxS]])</f>
        <v>1.1702617153949575</v>
      </c>
      <c r="CB8">
        <f>LOG(Table1_1[[#This Row],[PFHpS]])</f>
        <v>0.66275783168157409</v>
      </c>
      <c r="CC8">
        <f>LOG(Table1_1[[#This Row],[PFOS]])</f>
        <v>3.0293837776852097</v>
      </c>
      <c r="CD8">
        <f>LOG(Table1_1[[#This Row],[PFNS]])</f>
        <v>8.6359830674748214E-2</v>
      </c>
      <c r="CE8">
        <f>LOG(Table1_1[[#This Row],[PFDS]])</f>
        <v>-7.4172425375257686E-2</v>
      </c>
      <c r="CF8">
        <f>LOG(Table1_1[[#This Row],[PFDoS]])</f>
        <v>-0.60906489289662091</v>
      </c>
      <c r="CG8">
        <f>LOG(Table1_1[[#This Row],[Cl-PFOS]])</f>
        <v>-0.85387196432176193</v>
      </c>
      <c r="CH8">
        <f>LOG(Table1_1[[#This Row],[PFEtCHxS]])</f>
        <v>-0.32148162095988608</v>
      </c>
      <c r="CI8">
        <f>LOG(Table1_1[[#This Row],[FBSA]])</f>
        <v>1.3424226808222062</v>
      </c>
      <c r="CJ8">
        <f>LOG(Table1_1[[#This Row],[FHxSA]])</f>
        <v>2.1760912590556813</v>
      </c>
      <c r="CK8">
        <f>LOG(Table1_1[[#This Row],[FOSA]])</f>
        <v>1.6848453616444126</v>
      </c>
      <c r="CL8">
        <f>LOG(Table1_1[[#This Row],[N-MeFOSA]])</f>
        <v>-1.2676062401770316</v>
      </c>
      <c r="CM8">
        <f>LOG(Table1_1[[#This Row],[N-EtFOSA]])</f>
        <v>-1.0888423912600234</v>
      </c>
      <c r="CN8">
        <f>LOG(Table1_1[[#This Row],[FOSAA]])</f>
        <v>-1.2596373105057561</v>
      </c>
      <c r="CO8">
        <f>LOG(Table1_1[[#This Row],[N-MeFOSAA]])</f>
        <v>-0.63544900464602805</v>
      </c>
      <c r="CP8">
        <f>LOG(Table1_1[[#This Row],[N-EtFOSAA]])</f>
        <v>-0.69897000433601875</v>
      </c>
      <c r="CQ8">
        <f>LOG(Table1_1[[#This Row],[4:2 FTS]])</f>
        <v>-1.2403321553103694</v>
      </c>
      <c r="CR8">
        <f>LOG(Table1_1[[#This Row],[6:2 FTS]])</f>
        <v>-0.43062609038495414</v>
      </c>
      <c r="CS8">
        <f>LOG(Table1_1[[#This Row],[8:2 FTS]])</f>
        <v>0.61700034112089897</v>
      </c>
      <c r="CT8">
        <f>LOG(Table1_1[[#This Row],[10:2 FTS]])</f>
        <v>-0.58252830679670697</v>
      </c>
      <c r="CU8">
        <f>LOG(Table1_1[[#This Row],[3:3 FTCA]])</f>
        <v>-1.0942041196321315</v>
      </c>
      <c r="CV8">
        <f>LOG(Table1_1[[#This Row],[5:3 FTCA]])</f>
        <v>-0.63827216398240705</v>
      </c>
      <c r="CW8">
        <f>LOG(Table1_1[[#This Row],[7:3 FTCA]])</f>
        <v>0.2576785748691845</v>
      </c>
      <c r="CX8">
        <f>LOG(Table1_1[[#This Row],[6:2 FTCA]])</f>
        <v>-0.63827216398240705</v>
      </c>
      <c r="CY8">
        <f>LOG(Table1_1[[#This Row],[8:2 FTCA]])</f>
        <v>5.3078443483419682E-2</v>
      </c>
      <c r="CZ8">
        <f>LOG(Table1_1[[#This Row],[10:2 FTCA]])</f>
        <v>-0.46407325860443072</v>
      </c>
      <c r="DA8">
        <f>LOG(Table1_1[[#This Row],[6:2 FTUCA]])</f>
        <v>-1.2596373105057561</v>
      </c>
      <c r="DB8">
        <f>LOG(Table1_1[[#This Row],[8:2 FTUCA]])</f>
        <v>-1.3757179041643317</v>
      </c>
      <c r="DC8">
        <f>LOG(Table1_1[[#This Row],[ADONA]])</f>
        <v>-1.1580151954098861</v>
      </c>
      <c r="DD8">
        <f>LOG(Table1_1[[#This Row],[9Cl-PF3ONS]])</f>
        <v>-1.1580151954098861</v>
      </c>
      <c r="DE8">
        <f>LOG(Table1_1[[#This Row],[11Cl-PF3OUdS]])</f>
        <v>-1.1580151954098861</v>
      </c>
      <c r="DF8">
        <f>LOG(Table1_1[[#This Row],[HFPO-DA]])</f>
        <v>-1</v>
      </c>
      <c r="DG8">
        <f>LOG(Table1_1[[#This Row],[6:2 diPAP]])</f>
        <v>-1.1307682802690238</v>
      </c>
      <c r="DH8">
        <f>LOG(Table1_1[[#This Row],[8:2 diPAP]])</f>
        <v>-1.0338582672609673</v>
      </c>
      <c r="DI8">
        <f>LOG(Table1_1[[#This Row],[diSAmPAP]])</f>
        <v>-0.91186391129944877</v>
      </c>
    </row>
    <row r="9" spans="1:113">
      <c r="A9" t="s">
        <v>130</v>
      </c>
      <c r="B9" t="s">
        <v>121</v>
      </c>
      <c r="C9" s="3">
        <v>44314</v>
      </c>
      <c r="D9" t="s">
        <v>131</v>
      </c>
      <c r="E9" t="s">
        <v>132</v>
      </c>
      <c r="F9" t="s">
        <v>133</v>
      </c>
      <c r="G9" t="s">
        <v>118</v>
      </c>
      <c r="H9" t="s">
        <v>119</v>
      </c>
      <c r="I9">
        <v>5</v>
      </c>
      <c r="J9">
        <f>LOG(Table1_1[[#This Row],[Length]])</f>
        <v>0.69897000433601886</v>
      </c>
      <c r="K9">
        <v>3.6</v>
      </c>
      <c r="L9">
        <f>LOG(Table1_1[[#This Row],[Weight]])</f>
        <v>0.55630250076728727</v>
      </c>
      <c r="M9">
        <v>2.8338245295851279E-2</v>
      </c>
      <c r="N9">
        <v>5.0055351214152118E-2</v>
      </c>
      <c r="O9">
        <v>3.8234758296602243E-2</v>
      </c>
      <c r="P9">
        <v>8.9003164556962014E-2</v>
      </c>
      <c r="Q9">
        <v>0.91</v>
      </c>
      <c r="R9">
        <v>3.36</v>
      </c>
      <c r="S9">
        <v>8.33</v>
      </c>
      <c r="T9">
        <v>11.1</v>
      </c>
      <c r="U9">
        <v>5.6565962099438906E-2</v>
      </c>
      <c r="V9">
        <v>3.22</v>
      </c>
      <c r="W9">
        <v>8.85</v>
      </c>
      <c r="X9">
        <v>8.4433811885910204E-2</v>
      </c>
      <c r="Y9">
        <v>5.4051889951683287E-2</v>
      </c>
      <c r="Z9">
        <v>0.15144095813167519</v>
      </c>
      <c r="AA9">
        <v>0.34599999999999997</v>
      </c>
      <c r="AB9">
        <v>41.1</v>
      </c>
      <c r="AC9">
        <v>3.11</v>
      </c>
      <c r="AD9">
        <v>1540</v>
      </c>
      <c r="AE9">
        <v>1.0900000000000001</v>
      </c>
      <c r="AF9">
        <v>2.23</v>
      </c>
      <c r="AG9">
        <v>1.37</v>
      </c>
      <c r="AH9">
        <v>0.42099999999999999</v>
      </c>
      <c r="AI9">
        <v>0.19900000000000001</v>
      </c>
      <c r="AJ9">
        <v>16.600000000000001</v>
      </c>
      <c r="AK9">
        <v>53.5</v>
      </c>
      <c r="AL9">
        <v>13.3</v>
      </c>
      <c r="AM9">
        <v>5.457827233167082E-2</v>
      </c>
      <c r="AN9">
        <v>8.2673866921758099E-2</v>
      </c>
      <c r="AO9">
        <v>5.584300695448878E-2</v>
      </c>
      <c r="AP9">
        <v>7.1274252386221953E-2</v>
      </c>
      <c r="AQ9">
        <v>6.1493316803304242E-2</v>
      </c>
      <c r="AR9">
        <v>5.8191772836658349E-2</v>
      </c>
      <c r="AS9">
        <v>0.32800000000000001</v>
      </c>
      <c r="AT9">
        <v>6.98</v>
      </c>
      <c r="AU9">
        <v>0.54400000000000004</v>
      </c>
      <c r="AV9">
        <v>8.1719624696072315E-2</v>
      </c>
      <c r="AW9">
        <v>3.91</v>
      </c>
      <c r="AX9">
        <v>5.19</v>
      </c>
      <c r="AY9">
        <v>4.5459274989557354E-2</v>
      </c>
      <c r="AZ9">
        <v>2.8338245295851279E-2</v>
      </c>
      <c r="BA9">
        <v>0.10571529328709477</v>
      </c>
      <c r="BB9">
        <v>5.5627730966334159E-2</v>
      </c>
      <c r="BC9">
        <v>4.2812324942487531E-2</v>
      </c>
      <c r="BD9">
        <v>7.0845613239628194E-2</v>
      </c>
      <c r="BE9">
        <v>4.9174410509663341E-2</v>
      </c>
      <c r="BF9">
        <v>5.5825673411783044E-2</v>
      </c>
      <c r="BG9">
        <v>0.10166547870168328</v>
      </c>
      <c r="BH9">
        <v>7.5417205244700747E-2</v>
      </c>
      <c r="BI9">
        <v>9.3928106404301742E-2</v>
      </c>
      <c r="BJ9">
        <v>0.12468827930174561</v>
      </c>
      <c r="BK9">
        <f>SUM(Table1_1[[#This Row],[PFBA]:[diSAmPAP]])</f>
        <v>1727.8553958906577</v>
      </c>
      <c r="BL9">
        <f>LOG(Table1_1[[#This Row],[PFBA]])</f>
        <v>-1.5476270447703511</v>
      </c>
      <c r="BM9">
        <f>LOG(Table1_1[[#This Row],[PFPeA]])</f>
        <v>-1.3005494870448329</v>
      </c>
      <c r="BN9">
        <f>LOG(Table1_1[[#This Row],[PFHxA]])</f>
        <v>-1.4175416508858971</v>
      </c>
      <c r="BO9">
        <f>LOG(Table1_1[[#This Row],[PFHpA]])</f>
        <v>-1.050594551498985</v>
      </c>
      <c r="BP9">
        <f>LOG(Table1_1[[#This Row],[PFOA]])</f>
        <v>-4.0958607678906384E-2</v>
      </c>
      <c r="BQ9">
        <f>LOG(Table1_1[[#This Row],[PFNA]])</f>
        <v>0.52633927738984398</v>
      </c>
      <c r="BR9">
        <f>LOG(Table1_1[[#This Row],[PFDA]])</f>
        <v>0.92064500140678762</v>
      </c>
      <c r="BS9">
        <f>LOG(Table1_1[[#This Row],[PFUnA]])</f>
        <v>1.0453229787866574</v>
      </c>
      <c r="BT9">
        <f>LOG(Table1_1[[#This Row],[PFDoA]])</f>
        <v>-1.247444821799125</v>
      </c>
      <c r="BU9">
        <f>LOG(Table1_1[[#This Row],[PFTrDA]])</f>
        <v>0.50785587169583091</v>
      </c>
      <c r="BV9">
        <f>LOG(Table1_1[[#This Row],[PFTeDA]])</f>
        <v>0.94694327069782547</v>
      </c>
      <c r="BW9">
        <f>LOG(Table1_1[[#This Row],[PFHxDA]])</f>
        <v>-1.0734836034349835</v>
      </c>
      <c r="BX9">
        <f>LOG(Table1_1[[#This Row],[PFPrS]])</f>
        <v>-1.2671891161188635</v>
      </c>
      <c r="BY9">
        <f>LOG(Table1_1[[#This Row],[PFBS]])</f>
        <v>-0.81975665135551723</v>
      </c>
      <c r="BZ9">
        <f>LOG(Table1_1[[#This Row],[PFPeS]])</f>
        <v>-0.46092390120722343</v>
      </c>
      <c r="CA9">
        <f>LOG(Table1_1[[#This Row],[PFHxS]])</f>
        <v>1.6138418218760693</v>
      </c>
      <c r="CB9">
        <f>LOG(Table1_1[[#This Row],[PFHpS]])</f>
        <v>0.4927603890268375</v>
      </c>
      <c r="CC9">
        <f>LOG(Table1_1[[#This Row],[PFOS]])</f>
        <v>3.1875207208364631</v>
      </c>
      <c r="CD9">
        <f>LOG(Table1_1[[#This Row],[PFNS]])</f>
        <v>3.7426497940623665E-2</v>
      </c>
      <c r="CE9">
        <f>LOG(Table1_1[[#This Row],[PFDS]])</f>
        <v>0.34830486304816066</v>
      </c>
      <c r="CF9">
        <f>LOG(Table1_1[[#This Row],[PFDoS]])</f>
        <v>0.13672056715640679</v>
      </c>
      <c r="CG9">
        <f>LOG(Table1_1[[#This Row],[Cl-PFOS]])</f>
        <v>-0.37571790416433171</v>
      </c>
      <c r="CH9">
        <f>LOG(Table1_1[[#This Row],[PFEtCHxS]])</f>
        <v>-0.70114692359029329</v>
      </c>
      <c r="CI9">
        <f>LOG(Table1_1[[#This Row],[FBSA]])</f>
        <v>1.2201080880400552</v>
      </c>
      <c r="CJ9">
        <f>LOG(Table1_1[[#This Row],[FHxSA]])</f>
        <v>1.7283537820212285</v>
      </c>
      <c r="CK9">
        <f>LOG(Table1_1[[#This Row],[FOSA]])</f>
        <v>1.1238516409670858</v>
      </c>
      <c r="CL9">
        <f>LOG(Table1_1[[#This Row],[N-MeFOSA]])</f>
        <v>-1.2629802159856054</v>
      </c>
      <c r="CM9">
        <f>LOG(Table1_1[[#This Row],[N-EtFOSA]])</f>
        <v>-1.0826317485521506</v>
      </c>
      <c r="CN9">
        <f>LOG(Table1_1[[#This Row],[FOSAA]])</f>
        <v>-1.2530312044862213</v>
      </c>
      <c r="CO9">
        <f>LOG(Table1_1[[#This Row],[N-MeFOSAA]])</f>
        <v>-1.1470673294199931</v>
      </c>
      <c r="CP9">
        <f>LOG(Table1_1[[#This Row],[N-EtFOSAA]])</f>
        <v>-1.2111720815117974</v>
      </c>
      <c r="CQ9">
        <f>LOG(Table1_1[[#This Row],[4:2 FTS]])</f>
        <v>-1.2351384116423041</v>
      </c>
      <c r="CR9">
        <f>LOG(Table1_1[[#This Row],[6:2 FTS]])</f>
        <v>-0.4841261562883209</v>
      </c>
      <c r="CS9">
        <f>LOG(Table1_1[[#This Row],[8:2 FTS]])</f>
        <v>0.84385542262316116</v>
      </c>
      <c r="CT9">
        <f>LOG(Table1_1[[#This Row],[10:2 FTS]])</f>
        <v>-0.26440110030182007</v>
      </c>
      <c r="CU9">
        <f>LOG(Table1_1[[#This Row],[3:3 FTCA]])</f>
        <v>-1.0876736365672346</v>
      </c>
      <c r="CV9">
        <f>LOG(Table1_1[[#This Row],[5:3 FTCA]])</f>
        <v>0.59217675739586684</v>
      </c>
      <c r="CW9">
        <f>LOG(Table1_1[[#This Row],[7:3 FTCA]])</f>
        <v>0.71516735784845786</v>
      </c>
      <c r="CX9">
        <f>LOG(Table1_1[[#This Row],[6:2 FTCA]])</f>
        <v>-1.3423774949318883</v>
      </c>
      <c r="CY9">
        <f>LOG(Table1_1[[#This Row],[8:2 FTCA]])</f>
        <v>-1.5476270447703511</v>
      </c>
      <c r="CZ9">
        <f>LOG(Table1_1[[#This Row],[10:2 FTCA]])</f>
        <v>-0.9758621810014152</v>
      </c>
      <c r="DA9">
        <f>LOG(Table1_1[[#This Row],[6:2 FTUCA]])</f>
        <v>-1.2547086544021109</v>
      </c>
      <c r="DB9">
        <f>LOG(Table1_1[[#This Row],[8:2 FTUCA]])</f>
        <v>-1.3684311869688626</v>
      </c>
      <c r="DC9">
        <f>LOG(Table1_1[[#This Row],[ADONA]])</f>
        <v>-1.1496870360983134</v>
      </c>
      <c r="DD9">
        <f>LOG(Table1_1[[#This Row],[9Cl-PF3ONS]])</f>
        <v>-1.3082608375893037</v>
      </c>
      <c r="DE9">
        <f>LOG(Table1_1[[#This Row],[11Cl-PF3OUdS]])</f>
        <v>-1.253166029434178</v>
      </c>
      <c r="DF9">
        <f>LOG(Table1_1[[#This Row],[HFPO-DA]])</f>
        <v>-0.99282649009075796</v>
      </c>
      <c r="DG9">
        <f>LOG(Table1_1[[#This Row],[6:2 diPAP]])</f>
        <v>-1.1225295653975629</v>
      </c>
      <c r="DH9">
        <f>LOG(Table1_1[[#This Row],[8:2 diPAP]])</f>
        <v>-1.0272044329753807</v>
      </c>
      <c r="DI9">
        <f>LOG(Table1_1[[#This Row],[diSAmPAP]])</f>
        <v>-0.90417436828416353</v>
      </c>
    </row>
    <row r="10" spans="1:113">
      <c r="A10" t="s">
        <v>134</v>
      </c>
      <c r="B10" t="s">
        <v>121</v>
      </c>
      <c r="C10" s="3">
        <v>44314</v>
      </c>
      <c r="D10" t="s">
        <v>131</v>
      </c>
      <c r="E10" t="s">
        <v>132</v>
      </c>
      <c r="F10" t="s">
        <v>133</v>
      </c>
      <c r="G10" t="s">
        <v>118</v>
      </c>
      <c r="H10" t="s">
        <v>119</v>
      </c>
      <c r="I10">
        <v>8</v>
      </c>
      <c r="J10">
        <f>LOG(Table1_1[[#This Row],[Length]])</f>
        <v>0.90308998699194354</v>
      </c>
      <c r="K10">
        <v>5.45</v>
      </c>
      <c r="L10">
        <f>LOG(Table1_1[[#This Row],[Weight]])</f>
        <v>0.73639650227664244</v>
      </c>
      <c r="M10">
        <v>2.6970655926352127E-2</v>
      </c>
      <c r="N10">
        <v>4.7639705309038764E-2</v>
      </c>
      <c r="O10">
        <v>3.638956822057951E-2</v>
      </c>
      <c r="P10">
        <v>2.6970655926352127E-2</v>
      </c>
      <c r="Q10">
        <v>0.95899999999999996</v>
      </c>
      <c r="R10">
        <v>2.82</v>
      </c>
      <c r="S10">
        <v>6.63</v>
      </c>
      <c r="T10">
        <v>17.8</v>
      </c>
      <c r="U10">
        <v>0.18139031739786954</v>
      </c>
      <c r="V10">
        <v>3.22</v>
      </c>
      <c r="W10">
        <v>7.99</v>
      </c>
      <c r="X10">
        <v>8.0359078875593348E-2</v>
      </c>
      <c r="Y10">
        <v>5.1443373110660592E-2</v>
      </c>
      <c r="Z10">
        <v>4.5891199433840971E-2</v>
      </c>
      <c r="AA10">
        <v>0.53900000000000003</v>
      </c>
      <c r="AB10">
        <v>45</v>
      </c>
      <c r="AC10">
        <v>11.9</v>
      </c>
      <c r="AD10">
        <v>1550</v>
      </c>
      <c r="AE10">
        <v>2.31</v>
      </c>
      <c r="AF10">
        <v>7.07</v>
      </c>
      <c r="AG10">
        <v>4.0599999999999996</v>
      </c>
      <c r="AH10">
        <v>0.63900000000000001</v>
      </c>
      <c r="AI10">
        <v>1.1599999999999999</v>
      </c>
      <c r="AJ10">
        <v>15.5</v>
      </c>
      <c r="AK10">
        <v>67.2</v>
      </c>
      <c r="AL10">
        <v>10.7</v>
      </c>
      <c r="AM10">
        <v>5.1944352543512658E-2</v>
      </c>
      <c r="AN10">
        <v>7.8684067964299845E-2</v>
      </c>
      <c r="AO10">
        <v>5.3148051713805378E-2</v>
      </c>
      <c r="AP10">
        <v>6.7834593054291931E-2</v>
      </c>
      <c r="AQ10">
        <v>5.8525680470233377E-2</v>
      </c>
      <c r="AR10">
        <v>5.5383467343749992E-2</v>
      </c>
      <c r="AS10">
        <v>4.0707934514982197E-2</v>
      </c>
      <c r="AT10">
        <v>5.67</v>
      </c>
      <c r="AU10">
        <v>0.88</v>
      </c>
      <c r="AV10">
        <v>7.7775876985265016E-2</v>
      </c>
      <c r="AW10">
        <v>1.79</v>
      </c>
      <c r="AX10">
        <v>1.66</v>
      </c>
      <c r="AY10">
        <v>2.77</v>
      </c>
      <c r="AZ10">
        <v>0.59</v>
      </c>
      <c r="BA10">
        <v>0.10061352675979034</v>
      </c>
      <c r="BB10">
        <v>5.2943164835838601E-2</v>
      </c>
      <c r="BC10">
        <v>4.0746223817889636E-2</v>
      </c>
      <c r="BD10">
        <v>6.7426639815880318E-2</v>
      </c>
      <c r="BE10">
        <v>4.680127835690269E-2</v>
      </c>
      <c r="BF10">
        <v>5.313155467909414E-2</v>
      </c>
      <c r="BG10">
        <v>9.6759154175731818E-2</v>
      </c>
      <c r="BH10">
        <v>7.1777609105518184E-2</v>
      </c>
      <c r="BI10">
        <v>8.9395183547765031E-2</v>
      </c>
      <c r="BJ10">
        <v>0.11867088607594935</v>
      </c>
      <c r="BK10">
        <f>SUM(Table1_1[[#This Row],[PFBA]:[diSAmPAP]])</f>
        <v>1770.5763237999613</v>
      </c>
      <c r="BL10">
        <f>LOG(Table1_1[[#This Row],[PFBA]])</f>
        <v>-1.5691084913768725</v>
      </c>
      <c r="BM10">
        <f>LOG(Table1_1[[#This Row],[PFPeA]])</f>
        <v>-1.3220309336513543</v>
      </c>
      <c r="BN10">
        <f>LOG(Table1_1[[#This Row],[PFHxA]])</f>
        <v>-1.4390230974924185</v>
      </c>
      <c r="BO10">
        <f>LOG(Table1_1[[#This Row],[PFHpA]])</f>
        <v>-1.5691084913768725</v>
      </c>
      <c r="BP10">
        <f>LOG(Table1_1[[#This Row],[PFOA]])</f>
        <v>-1.8181392829336417E-2</v>
      </c>
      <c r="BQ10">
        <f>LOG(Table1_1[[#This Row],[PFNA]])</f>
        <v>0.45024910831936105</v>
      </c>
      <c r="BR10">
        <f>LOG(Table1_1[[#This Row],[PFDA]])</f>
        <v>0.8215135284047731</v>
      </c>
      <c r="BS10">
        <f>LOG(Table1_1[[#This Row],[PFUnA]])</f>
        <v>1.2504200023088941</v>
      </c>
      <c r="BT10">
        <f>LOG(Table1_1[[#This Row],[PFDoA]])</f>
        <v>-0.74138589926549203</v>
      </c>
      <c r="BU10">
        <f>LOG(Table1_1[[#This Row],[PFTrDA]])</f>
        <v>0.50785587169583091</v>
      </c>
      <c r="BV10">
        <f>LOG(Table1_1[[#This Row],[PFTeDA]])</f>
        <v>0.90254677931399141</v>
      </c>
      <c r="BW10">
        <f>LOG(Table1_1[[#This Row],[PFHxDA]])</f>
        <v>-1.0949650500415049</v>
      </c>
      <c r="BX10">
        <f>LOG(Table1_1[[#This Row],[PFPrS]])</f>
        <v>-1.2886705627253852</v>
      </c>
      <c r="BY10">
        <f>LOG(Table1_1[[#This Row],[PFBS]])</f>
        <v>-1.3382705912334047</v>
      </c>
      <c r="BZ10">
        <f>LOG(Table1_1[[#This Row],[PFPeS]])</f>
        <v>-0.26841123481326129</v>
      </c>
      <c r="CA10">
        <f>LOG(Table1_1[[#This Row],[PFHxS]])</f>
        <v>1.6532125137753437</v>
      </c>
      <c r="CB10">
        <f>LOG(Table1_1[[#This Row],[PFHpS]])</f>
        <v>1.0755469613925308</v>
      </c>
      <c r="CC10">
        <f>LOG(Table1_1[[#This Row],[PFOS]])</f>
        <v>3.1903316981702914</v>
      </c>
      <c r="CD10">
        <f>LOG(Table1_1[[#This Row],[PFNS]])</f>
        <v>0.36361197989214433</v>
      </c>
      <c r="CE10">
        <f>LOG(Table1_1[[#This Row],[PFDS]])</f>
        <v>0.84941941379689945</v>
      </c>
      <c r="CF10">
        <f>LOG(Table1_1[[#This Row],[PFDoS]])</f>
        <v>0.60852603357719404</v>
      </c>
      <c r="CG10">
        <f>LOG(Table1_1[[#This Row],[Cl-PFOS]])</f>
        <v>-0.19449914184159983</v>
      </c>
      <c r="CH10">
        <f>LOG(Table1_1[[#This Row],[PFEtCHxS]])</f>
        <v>6.445798922691845E-2</v>
      </c>
      <c r="CI10">
        <f>LOG(Table1_1[[#This Row],[FBSA]])</f>
        <v>1.1903316981702914</v>
      </c>
      <c r="CJ10">
        <f>LOG(Table1_1[[#This Row],[FHxSA]])</f>
        <v>1.8273692730538253</v>
      </c>
      <c r="CK10">
        <f>LOG(Table1_1[[#This Row],[FOSA]])</f>
        <v>1.0293837776852097</v>
      </c>
      <c r="CL10">
        <f>LOG(Table1_1[[#This Row],[N-MeFOSA]])</f>
        <v>-1.2844616625921268</v>
      </c>
      <c r="CM10">
        <f>LOG(Table1_1[[#This Row],[N-EtFOSA]])</f>
        <v>-1.104113195158672</v>
      </c>
      <c r="CN10">
        <f>LOG(Table1_1[[#This Row],[FOSAA]])</f>
        <v>-1.2745126510927427</v>
      </c>
      <c r="CO10">
        <f>LOG(Table1_1[[#This Row],[N-MeFOSAA]])</f>
        <v>-1.1685487760265145</v>
      </c>
      <c r="CP10">
        <f>LOG(Table1_1[[#This Row],[N-EtFOSAA]])</f>
        <v>-1.2326535281183191</v>
      </c>
      <c r="CQ10">
        <f>LOG(Table1_1[[#This Row],[4:2 FTS]])</f>
        <v>-1.2566198582488255</v>
      </c>
      <c r="CR10">
        <f>LOG(Table1_1[[#This Row],[6:2 FTS]])</f>
        <v>-1.3903209327840131</v>
      </c>
      <c r="CS10">
        <f>LOG(Table1_1[[#This Row],[8:2 FTS]])</f>
        <v>0.75358305889290655</v>
      </c>
      <c r="CT10">
        <f>LOG(Table1_1[[#This Row],[10:2 FTS]])</f>
        <v>-5.551732784983137E-2</v>
      </c>
      <c r="CU10">
        <f>LOG(Table1_1[[#This Row],[3:3 FTCA]])</f>
        <v>-1.109155083173756</v>
      </c>
      <c r="CV10">
        <f>LOG(Table1_1[[#This Row],[5:3 FTCA]])</f>
        <v>0.2528530309798932</v>
      </c>
      <c r="CW10">
        <f>LOG(Table1_1[[#This Row],[7:3 FTCA]])</f>
        <v>0.22010808804005508</v>
      </c>
      <c r="CX10">
        <f>LOG(Table1_1[[#This Row],[6:2 FTCA]])</f>
        <v>0.44247976906444858</v>
      </c>
      <c r="CY10">
        <f>LOG(Table1_1[[#This Row],[8:2 FTCA]])</f>
        <v>-0.22914798835785583</v>
      </c>
      <c r="CZ10">
        <f>LOG(Table1_1[[#This Row],[10:2 FTCA]])</f>
        <v>-0.99734362760793671</v>
      </c>
      <c r="DA10">
        <f>LOG(Table1_1[[#This Row],[6:2 FTUCA]])</f>
        <v>-1.2761901010086323</v>
      </c>
      <c r="DB10">
        <f>LOG(Table1_1[[#This Row],[8:2 FTUCA]])</f>
        <v>-1.389912633575384</v>
      </c>
      <c r="DC10">
        <f>LOG(Table1_1[[#This Row],[ADONA]])</f>
        <v>-1.1711684827048348</v>
      </c>
      <c r="DD10">
        <f>LOG(Table1_1[[#This Row],[9Cl-PF3ONS]])</f>
        <v>-1.3297422841958253</v>
      </c>
      <c r="DE10">
        <f>LOG(Table1_1[[#This Row],[11Cl-PF3OUdS]])</f>
        <v>-1.2746474760406996</v>
      </c>
      <c r="DF10">
        <f>LOG(Table1_1[[#This Row],[HFPO-DA]])</f>
        <v>-1.0143079366972794</v>
      </c>
      <c r="DG10">
        <f>LOG(Table1_1[[#This Row],[6:2 diPAP]])</f>
        <v>-1.1440110120040843</v>
      </c>
      <c r="DH10">
        <f>LOG(Table1_1[[#This Row],[8:2 diPAP]])</f>
        <v>-1.0486858795819021</v>
      </c>
      <c r="DI10">
        <f>LOG(Table1_1[[#This Row],[diSAmPAP]])</f>
        <v>-0.92565581489068505</v>
      </c>
    </row>
    <row r="11" spans="1:113">
      <c r="A11" t="s">
        <v>135</v>
      </c>
      <c r="B11" t="s">
        <v>121</v>
      </c>
      <c r="C11" s="3">
        <v>44314</v>
      </c>
      <c r="D11" t="s">
        <v>131</v>
      </c>
      <c r="E11" t="s">
        <v>132</v>
      </c>
      <c r="F11" t="s">
        <v>133</v>
      </c>
      <c r="G11" t="s">
        <v>118</v>
      </c>
      <c r="H11" t="s">
        <v>119</v>
      </c>
      <c r="I11">
        <v>8</v>
      </c>
      <c r="J11">
        <f>LOG(Table1_1[[#This Row],[Length]])</f>
        <v>0.90308998699194354</v>
      </c>
      <c r="K11">
        <v>8.15</v>
      </c>
      <c r="L11">
        <f>LOG(Table1_1[[#This Row],[Weight]])</f>
        <v>0.91115760873997664</v>
      </c>
      <c r="M11">
        <v>2.7537083272139815E-2</v>
      </c>
      <c r="N11">
        <v>4.8640216082895801E-2</v>
      </c>
      <c r="O11">
        <v>3.715380794088248E-2</v>
      </c>
      <c r="P11">
        <v>9.0397750100441931E-2</v>
      </c>
      <c r="Q11">
        <v>0.68600000000000005</v>
      </c>
      <c r="R11">
        <v>0.98699999999999999</v>
      </c>
      <c r="S11">
        <v>4.8499999999999996</v>
      </c>
      <c r="T11">
        <v>8.7100000000000009</v>
      </c>
      <c r="U11">
        <v>0.18044291919530933</v>
      </c>
      <c r="V11">
        <v>5.87</v>
      </c>
      <c r="W11">
        <v>5.2</v>
      </c>
      <c r="X11">
        <v>8.204674935278676E-2</v>
      </c>
      <c r="Y11">
        <v>5.2523767053210824E-2</v>
      </c>
      <c r="Z11">
        <v>0.15381387792562271</v>
      </c>
      <c r="AA11">
        <v>0.51100000000000001</v>
      </c>
      <c r="AB11">
        <v>45.8</v>
      </c>
      <c r="AC11">
        <v>3.31</v>
      </c>
      <c r="AD11">
        <v>1120</v>
      </c>
      <c r="AE11">
        <v>1.1100000000000001</v>
      </c>
      <c r="AF11">
        <v>2.2999999999999998</v>
      </c>
      <c r="AG11">
        <v>1.1000000000000001</v>
      </c>
      <c r="AH11">
        <v>0.33200000000000002</v>
      </c>
      <c r="AI11">
        <v>0.254</v>
      </c>
      <c r="AJ11">
        <v>11.3</v>
      </c>
      <c r="AK11">
        <v>36.9</v>
      </c>
      <c r="AL11">
        <v>7.13</v>
      </c>
      <c r="AM11">
        <v>5.3035267863489506E-2</v>
      </c>
      <c r="AN11">
        <v>8.0336560506361065E-2</v>
      </c>
      <c r="AO11">
        <v>5.4264246660945072E-2</v>
      </c>
      <c r="AP11">
        <v>6.9259229095819871E-2</v>
      </c>
      <c r="AQ11">
        <v>5.975481430886511E-2</v>
      </c>
      <c r="AR11">
        <v>5.6546609630452348E-2</v>
      </c>
      <c r="AS11">
        <v>4.1562866903826733E-2</v>
      </c>
      <c r="AT11">
        <v>4.59</v>
      </c>
      <c r="AU11">
        <v>0.2566088233427079</v>
      </c>
      <c r="AV11">
        <v>7.9409296049575931E-2</v>
      </c>
      <c r="AW11">
        <v>5.1952510831987077E-2</v>
      </c>
      <c r="AX11">
        <v>2.23</v>
      </c>
      <c r="AY11">
        <v>4.4174077392922055E-2</v>
      </c>
      <c r="AZ11">
        <v>2.7537083272139815E-2</v>
      </c>
      <c r="BA11">
        <v>0.10272657336379241</v>
      </c>
      <c r="BB11">
        <v>5.4055056827544433E-2</v>
      </c>
      <c r="BC11">
        <v>4.1601960343951944E-2</v>
      </c>
      <c r="BD11">
        <v>6.8842708180349543E-2</v>
      </c>
      <c r="BE11">
        <v>4.778418081027868E-2</v>
      </c>
      <c r="BF11">
        <v>5.4247403161853801E-2</v>
      </c>
      <c r="BG11">
        <v>9.8791252728695489E-2</v>
      </c>
      <c r="BH11">
        <v>7.3285054854099349E-2</v>
      </c>
      <c r="BI11">
        <v>9.1272626820981417E-2</v>
      </c>
      <c r="BJ11">
        <v>0.12116316639741519</v>
      </c>
      <c r="BK11">
        <f>SUM(Table1_1[[#This Row],[PFBA]:[diSAmPAP]])</f>
        <v>1265.4707675402713</v>
      </c>
      <c r="BL11">
        <f>LOG(Table1_1[[#This Row],[PFBA]])</f>
        <v>-1.5600820621146054</v>
      </c>
      <c r="BM11">
        <f>LOG(Table1_1[[#This Row],[PFPeA]])</f>
        <v>-1.3130045043890872</v>
      </c>
      <c r="BN11">
        <f>LOG(Table1_1[[#This Row],[PFHxA]])</f>
        <v>-1.4299966682301515</v>
      </c>
      <c r="BO11">
        <f>LOG(Table1_1[[#This Row],[PFHpA]])</f>
        <v>-1.0438423784972308</v>
      </c>
      <c r="BP11">
        <f>LOG(Table1_1[[#This Row],[PFOA]])</f>
        <v>-0.16367588429324828</v>
      </c>
      <c r="BQ11">
        <f>LOG(Table1_1[[#This Row],[PFNA]])</f>
        <v>-5.6828473303632727E-3</v>
      </c>
      <c r="BR11">
        <f>LOG(Table1_1[[#This Row],[PFDA]])</f>
        <v>0.68574173860226362</v>
      </c>
      <c r="BS11">
        <f>LOG(Table1_1[[#This Row],[PFUnA]])</f>
        <v>0.94001815500766328</v>
      </c>
      <c r="BT11">
        <f>LOG(Table1_1[[#This Row],[PFDoA]])</f>
        <v>-0.74366015552600484</v>
      </c>
      <c r="BU11">
        <f>LOG(Table1_1[[#This Row],[PFTrDA]])</f>
        <v>0.76863810124761445</v>
      </c>
      <c r="BV11">
        <f>LOG(Table1_1[[#This Row],[PFTeDA]])</f>
        <v>0.71600334363479923</v>
      </c>
      <c r="BW11">
        <f>LOG(Table1_1[[#This Row],[PFHxDA]])</f>
        <v>-1.0859386207792379</v>
      </c>
      <c r="BX11">
        <f>LOG(Table1_1[[#This Row],[PFPrS]])</f>
        <v>-1.2796441334631179</v>
      </c>
      <c r="BY11">
        <f>LOG(Table1_1[[#This Row],[PFBS]])</f>
        <v>-0.81300447835376299</v>
      </c>
      <c r="BZ11">
        <f>LOG(Table1_1[[#This Row],[PFPeS]])</f>
        <v>-0.29157909986528724</v>
      </c>
      <c r="CA11">
        <f>LOG(Table1_1[[#This Row],[PFHxS]])</f>
        <v>1.6608654780038692</v>
      </c>
      <c r="CB11">
        <f>LOG(Table1_1[[#This Row],[PFHpS]])</f>
        <v>0.51982799377571876</v>
      </c>
      <c r="CC11">
        <f>LOG(Table1_1[[#This Row],[PFOS]])</f>
        <v>3.0492180226701815</v>
      </c>
      <c r="CD11">
        <f>LOG(Table1_1[[#This Row],[PFNS]])</f>
        <v>4.5322978786657475E-2</v>
      </c>
      <c r="CE11">
        <f>LOG(Table1_1[[#This Row],[PFDS]])</f>
        <v>0.36172783601759284</v>
      </c>
      <c r="CF11">
        <f>LOG(Table1_1[[#This Row],[PFDoS]])</f>
        <v>4.1392685158225077E-2</v>
      </c>
      <c r="CG11">
        <f>LOG(Table1_1[[#This Row],[Cl-PFOS]])</f>
        <v>-0.4788619162959637</v>
      </c>
      <c r="CH11">
        <f>LOG(Table1_1[[#This Row],[PFEtCHxS]])</f>
        <v>-0.59516628338006194</v>
      </c>
      <c r="CI11">
        <f>LOG(Table1_1[[#This Row],[FBSA]])</f>
        <v>1.0530784434834197</v>
      </c>
      <c r="CJ11">
        <f>LOG(Table1_1[[#This Row],[FHxSA]])</f>
        <v>1.5670263661590604</v>
      </c>
      <c r="CK11">
        <f>LOG(Table1_1[[#This Row],[FOSA]])</f>
        <v>0.85308952985186559</v>
      </c>
      <c r="CL11">
        <f>LOG(Table1_1[[#This Row],[N-MeFOSA]])</f>
        <v>-1.2754352333298598</v>
      </c>
      <c r="CM11">
        <f>LOG(Table1_1[[#This Row],[N-EtFOSA]])</f>
        <v>-1.095086765896405</v>
      </c>
      <c r="CN11">
        <f>LOG(Table1_1[[#This Row],[FOSAA]])</f>
        <v>-1.2654862218304757</v>
      </c>
      <c r="CO11">
        <f>LOG(Table1_1[[#This Row],[N-MeFOSAA]])</f>
        <v>-1.1595223467642475</v>
      </c>
      <c r="CP11">
        <f>LOG(Table1_1[[#This Row],[N-EtFOSAA]])</f>
        <v>-1.2236270988560518</v>
      </c>
      <c r="CQ11">
        <f>LOG(Table1_1[[#This Row],[4:2 FTS]])</f>
        <v>-1.2475934289865585</v>
      </c>
      <c r="CR11">
        <f>LOG(Table1_1[[#This Row],[6:2 FTS]])</f>
        <v>-1.3812945035217461</v>
      </c>
      <c r="CS11">
        <f>LOG(Table1_1[[#This Row],[8:2 FTS]])</f>
        <v>0.66181268553726125</v>
      </c>
      <c r="CT11">
        <f>LOG(Table1_1[[#This Row],[10:2 FTS]])</f>
        <v>-0.59072841474530724</v>
      </c>
      <c r="CU11">
        <f>LOG(Table1_1[[#This Row],[3:3 FTCA]])</f>
        <v>-1.100128653911489</v>
      </c>
      <c r="CV11">
        <f>LOG(Table1_1[[#This Row],[5:3 FTCA]])</f>
        <v>-1.2843934584219838</v>
      </c>
      <c r="CW11">
        <f>LOG(Table1_1[[#This Row],[7:3 FTCA]])</f>
        <v>0.34830486304816066</v>
      </c>
      <c r="CX11">
        <f>LOG(Table1_1[[#This Row],[6:2 FTCA]])</f>
        <v>-1.3548325122761427</v>
      </c>
      <c r="CY11">
        <f>LOG(Table1_1[[#This Row],[8:2 FTCA]])</f>
        <v>-1.5600820621146054</v>
      </c>
      <c r="CZ11">
        <f>LOG(Table1_1[[#This Row],[10:2 FTCA]])</f>
        <v>-0.98831719834566956</v>
      </c>
      <c r="DA11">
        <f>LOG(Table1_1[[#This Row],[6:2 FTUCA]])</f>
        <v>-1.2671636717463652</v>
      </c>
      <c r="DB11">
        <f>LOG(Table1_1[[#This Row],[8:2 FTUCA]])</f>
        <v>-1.3808862043131169</v>
      </c>
      <c r="DC11">
        <f>LOG(Table1_1[[#This Row],[ADONA]])</f>
        <v>-1.1621420534425677</v>
      </c>
      <c r="DD11">
        <f>LOG(Table1_1[[#This Row],[9Cl-PF3ONS]])</f>
        <v>-1.3207158549335583</v>
      </c>
      <c r="DE11">
        <f>LOG(Table1_1[[#This Row],[11Cl-PF3OUdS]])</f>
        <v>-1.2656210467784326</v>
      </c>
      <c r="DF11">
        <f>LOG(Table1_1[[#This Row],[HFPO-DA]])</f>
        <v>-1.0052815074350123</v>
      </c>
      <c r="DG11">
        <f>LOG(Table1_1[[#This Row],[6:2 diPAP]])</f>
        <v>-1.1349845827418172</v>
      </c>
      <c r="DH11">
        <f>LOG(Table1_1[[#This Row],[8:2 diPAP]])</f>
        <v>-1.039659450319635</v>
      </c>
      <c r="DI11">
        <f>LOG(Table1_1[[#This Row],[diSAmPAP]])</f>
        <v>-0.91662938562841789</v>
      </c>
    </row>
    <row r="12" spans="1:113">
      <c r="A12" t="s">
        <v>136</v>
      </c>
      <c r="B12" t="s">
        <v>121</v>
      </c>
      <c r="C12" s="3">
        <v>44314</v>
      </c>
      <c r="D12" t="s">
        <v>131</v>
      </c>
      <c r="E12" t="s">
        <v>132</v>
      </c>
      <c r="F12" t="s">
        <v>133</v>
      </c>
      <c r="G12" t="s">
        <v>118</v>
      </c>
      <c r="H12" t="s">
        <v>119</v>
      </c>
      <c r="I12">
        <v>8</v>
      </c>
      <c r="J12">
        <f>LOG(Table1_1[[#This Row],[Length]])</f>
        <v>0.90308998699194354</v>
      </c>
      <c r="K12">
        <v>6.8</v>
      </c>
      <c r="L12">
        <f>LOG(Table1_1[[#This Row],[Weight]])</f>
        <v>0.83250891270623628</v>
      </c>
      <c r="M12">
        <v>2.7393257606194526E-2</v>
      </c>
      <c r="N12">
        <v>4.8386169152772197E-2</v>
      </c>
      <c r="O12">
        <v>3.6959754303585779E-2</v>
      </c>
      <c r="P12">
        <v>9.5826235093696754E-2</v>
      </c>
      <c r="Q12">
        <v>0.61499999999999999</v>
      </c>
      <c r="R12">
        <v>0.86</v>
      </c>
      <c r="S12">
        <v>4.62</v>
      </c>
      <c r="T12">
        <v>6.64</v>
      </c>
      <c r="U12">
        <v>5.4679672483427075E-2</v>
      </c>
      <c r="V12">
        <v>3.03</v>
      </c>
      <c r="W12">
        <v>4.4800000000000004</v>
      </c>
      <c r="X12">
        <v>8.1618220730212937E-2</v>
      </c>
      <c r="Y12">
        <v>5.2249436409702692E-2</v>
      </c>
      <c r="Z12">
        <v>4.6610266038067491E-2</v>
      </c>
      <c r="AA12">
        <v>0.40100000000000002</v>
      </c>
      <c r="AB12">
        <v>40.4</v>
      </c>
      <c r="AC12">
        <v>3.01</v>
      </c>
      <c r="AD12">
        <v>1050</v>
      </c>
      <c r="AE12">
        <v>1.1100000000000001</v>
      </c>
      <c r="AF12">
        <v>2.9</v>
      </c>
      <c r="AG12">
        <v>2.35</v>
      </c>
      <c r="AH12">
        <v>0.41899999999999998</v>
      </c>
      <c r="AI12">
        <v>0.39300000000000002</v>
      </c>
      <c r="AJ12">
        <v>9.7100000000000009</v>
      </c>
      <c r="AK12">
        <v>48.5</v>
      </c>
      <c r="AL12">
        <v>6.39</v>
      </c>
      <c r="AM12">
        <v>5.2758265660907994E-2</v>
      </c>
      <c r="AN12">
        <v>7.9916964167838472E-2</v>
      </c>
      <c r="AO12">
        <v>5.3980825525311367E-2</v>
      </c>
      <c r="AP12">
        <v>6.8897489450080354E-2</v>
      </c>
      <c r="AQ12">
        <v>5.9442716042085161E-2</v>
      </c>
      <c r="AR12">
        <v>5.6251267756126953E-2</v>
      </c>
      <c r="AS12">
        <v>4.1345784834823228E-2</v>
      </c>
      <c r="AT12">
        <v>4.6399999999999997</v>
      </c>
      <c r="AU12">
        <v>0.27201846733390117</v>
      </c>
      <c r="AV12">
        <v>7.8994542795801523E-2</v>
      </c>
      <c r="AW12">
        <v>5.1681163848935313E-2</v>
      </c>
      <c r="AX12">
        <v>6.08</v>
      </c>
      <c r="AY12">
        <v>0.15372127408947506</v>
      </c>
      <c r="AZ12">
        <v>2.7393257606194526E-2</v>
      </c>
      <c r="BA12">
        <v>0.102190034410908</v>
      </c>
      <c r="BB12">
        <v>5.3772728286460431E-2</v>
      </c>
      <c r="BC12">
        <v>4.138467409064886E-2</v>
      </c>
      <c r="BD12">
        <v>6.848314401548633E-2</v>
      </c>
      <c r="BE12">
        <v>4.753460493621936E-2</v>
      </c>
      <c r="BF12">
        <v>5.396406999949778E-2</v>
      </c>
      <c r="BG12">
        <v>9.8275267881177186E-2</v>
      </c>
      <c r="BH12">
        <v>7.2902288396444345E-2</v>
      </c>
      <c r="BI12">
        <v>9.0795911614604263E-2</v>
      </c>
      <c r="BJ12">
        <v>0.1205303334672559</v>
      </c>
      <c r="BK12">
        <f>SUM(Table1_1[[#This Row],[PFBA]:[diSAmPAP]])</f>
        <v>1198.7379580880281</v>
      </c>
      <c r="BL12">
        <f>LOG(Table1_1[[#This Row],[PFBA]])</f>
        <v>-1.5623563183751183</v>
      </c>
      <c r="BM12">
        <f>LOG(Table1_1[[#This Row],[PFPeA]])</f>
        <v>-1.3152787606496001</v>
      </c>
      <c r="BN12">
        <f>LOG(Table1_1[[#This Row],[PFHxA]])</f>
        <v>-1.4322709244906644</v>
      </c>
      <c r="BO12">
        <f>LOG(Table1_1[[#This Row],[PFHpA]])</f>
        <v>-1.0185155744642145</v>
      </c>
      <c r="BP12">
        <f>LOG(Table1_1[[#This Row],[PFOA]])</f>
        <v>-0.21112488422458328</v>
      </c>
      <c r="BQ12">
        <f>LOG(Table1_1[[#This Row],[PFNA]])</f>
        <v>-6.5501548756432285E-2</v>
      </c>
      <c r="BR12">
        <f>LOG(Table1_1[[#This Row],[PFDA]])</f>
        <v>0.66464197555612547</v>
      </c>
      <c r="BS12">
        <f>LOG(Table1_1[[#This Row],[PFUnA]])</f>
        <v>0.8221680793680175</v>
      </c>
      <c r="BT12">
        <f>LOG(Table1_1[[#This Row],[PFDoA]])</f>
        <v>-1.2621740954038922</v>
      </c>
      <c r="BU12">
        <f>LOG(Table1_1[[#This Row],[PFTrDA]])</f>
        <v>0.48144262850230496</v>
      </c>
      <c r="BV12">
        <f>LOG(Table1_1[[#This Row],[PFTeDA]])</f>
        <v>0.651278013998144</v>
      </c>
      <c r="BW12">
        <f>LOG(Table1_1[[#This Row],[PFHxDA]])</f>
        <v>-1.0882128770397508</v>
      </c>
      <c r="BX12">
        <f>LOG(Table1_1[[#This Row],[PFPrS]])</f>
        <v>-1.2819183897236308</v>
      </c>
      <c r="BY12">
        <f>LOG(Table1_1[[#This Row],[PFBS]])</f>
        <v>-1.3315184182316504</v>
      </c>
      <c r="BZ12">
        <f>LOG(Table1_1[[#This Row],[PFPeS]])</f>
        <v>-0.39685562737981767</v>
      </c>
      <c r="CA12">
        <f>LOG(Table1_1[[#This Row],[PFHxS]])</f>
        <v>1.6063813651106049</v>
      </c>
      <c r="CB12">
        <f>LOG(Table1_1[[#This Row],[PFHpS]])</f>
        <v>0.47856649559384334</v>
      </c>
      <c r="CC12">
        <f>LOG(Table1_1[[#This Row],[PFOS]])</f>
        <v>3.0211892990699383</v>
      </c>
      <c r="CD12">
        <f>LOG(Table1_1[[#This Row],[PFNS]])</f>
        <v>4.5322978786657475E-2</v>
      </c>
      <c r="CE12">
        <f>LOG(Table1_1[[#This Row],[PFDS]])</f>
        <v>0.46239799789895608</v>
      </c>
      <c r="CF12">
        <f>LOG(Table1_1[[#This Row],[PFDoS]])</f>
        <v>0.37106786227173627</v>
      </c>
      <c r="CG12">
        <f>LOG(Table1_1[[#This Row],[Cl-PFOS]])</f>
        <v>-0.3777859770337047</v>
      </c>
      <c r="CH12">
        <f>LOG(Table1_1[[#This Row],[PFEtCHxS]])</f>
        <v>-0.40560744962457329</v>
      </c>
      <c r="CI12">
        <f>LOG(Table1_1[[#This Row],[FBSA]])</f>
        <v>0.98721922990800492</v>
      </c>
      <c r="CJ12">
        <f>LOG(Table1_1[[#This Row],[FHxSA]])</f>
        <v>1.6857417386022637</v>
      </c>
      <c r="CK12">
        <f>LOG(Table1_1[[#This Row],[FOSA]])</f>
        <v>0.80550085815840011</v>
      </c>
      <c r="CL12">
        <f>LOG(Table1_1[[#This Row],[N-MeFOSA]])</f>
        <v>-1.2777094895903727</v>
      </c>
      <c r="CM12">
        <f>LOG(Table1_1[[#This Row],[N-EtFOSA]])</f>
        <v>-1.0973610221569181</v>
      </c>
      <c r="CN12">
        <f>LOG(Table1_1[[#This Row],[FOSAA]])</f>
        <v>-1.2677604780909886</v>
      </c>
      <c r="CO12">
        <f>LOG(Table1_1[[#This Row],[N-MeFOSAA]])</f>
        <v>-1.1617966030247604</v>
      </c>
      <c r="CP12">
        <f>LOG(Table1_1[[#This Row],[N-EtFOSAA]])</f>
        <v>-1.225901355116565</v>
      </c>
      <c r="CQ12">
        <f>LOG(Table1_1[[#This Row],[4:2 FTS]])</f>
        <v>-1.2498676852470714</v>
      </c>
      <c r="CR12">
        <f>LOG(Table1_1[[#This Row],[6:2 FTS]])</f>
        <v>-1.3835687597822588</v>
      </c>
      <c r="CS12">
        <f>LOG(Table1_1[[#This Row],[8:2 FTS]])</f>
        <v>0.66651798055488087</v>
      </c>
      <c r="CT12">
        <f>LOG(Table1_1[[#This Row],[10:2 FTS]])</f>
        <v>-0.565401610712291</v>
      </c>
      <c r="CU12">
        <f>LOG(Table1_1[[#This Row],[3:3 FTCA]])</f>
        <v>-1.1024029101720019</v>
      </c>
      <c r="CV12">
        <f>LOG(Table1_1[[#This Row],[5:3 FTCA]])</f>
        <v>-1.2866677146824967</v>
      </c>
      <c r="CW12">
        <f>LOG(Table1_1[[#This Row],[7:3 FTCA]])</f>
        <v>0.78390357927273491</v>
      </c>
      <c r="CX12">
        <f>LOG(Table1_1[[#This Row],[6:2 FTCA]])</f>
        <v>-0.8132660246257517</v>
      </c>
      <c r="CY12">
        <f>LOG(Table1_1[[#This Row],[8:2 FTCA]])</f>
        <v>-1.5623563183751183</v>
      </c>
      <c r="CZ12">
        <f>LOG(Table1_1[[#This Row],[10:2 FTCA]])</f>
        <v>-0.99059145460618248</v>
      </c>
      <c r="DA12">
        <f>LOG(Table1_1[[#This Row],[6:2 FTUCA]])</f>
        <v>-1.2694379280068779</v>
      </c>
      <c r="DB12">
        <f>LOG(Table1_1[[#This Row],[8:2 FTUCA]])</f>
        <v>-1.3831604605736296</v>
      </c>
      <c r="DC12">
        <f>LOG(Table1_1[[#This Row],[ADONA]])</f>
        <v>-1.1644163097030806</v>
      </c>
      <c r="DD12">
        <f>LOG(Table1_1[[#This Row],[9Cl-PF3ONS]])</f>
        <v>-1.3229901111940712</v>
      </c>
      <c r="DE12">
        <f>LOG(Table1_1[[#This Row],[11Cl-PF3OUdS]])</f>
        <v>-1.2678953030389455</v>
      </c>
      <c r="DF12">
        <f>LOG(Table1_1[[#This Row],[HFPO-DA]])</f>
        <v>-1.0075557636955252</v>
      </c>
      <c r="DG12">
        <f>LOG(Table1_1[[#This Row],[6:2 diPAP]])</f>
        <v>-1.1372588390023302</v>
      </c>
      <c r="DH12">
        <f>LOG(Table1_1[[#This Row],[8:2 diPAP]])</f>
        <v>-1.0419337065801479</v>
      </c>
      <c r="DI12">
        <f>LOG(Table1_1[[#This Row],[diSAmPAP]])</f>
        <v>-0.91890364188893081</v>
      </c>
    </row>
    <row r="13" spans="1:113">
      <c r="A13" t="s">
        <v>137</v>
      </c>
      <c r="B13" t="s">
        <v>121</v>
      </c>
      <c r="C13" s="3">
        <v>44314</v>
      </c>
      <c r="D13" t="s">
        <v>131</v>
      </c>
      <c r="E13" t="s">
        <v>132</v>
      </c>
      <c r="F13" t="s">
        <v>133</v>
      </c>
      <c r="G13" t="s">
        <v>118</v>
      </c>
      <c r="H13" t="s">
        <v>119</v>
      </c>
      <c r="I13">
        <v>8</v>
      </c>
      <c r="J13">
        <f>LOG(Table1_1[[#This Row],[Length]])</f>
        <v>0.90308998699194354</v>
      </c>
      <c r="K13">
        <v>6.15</v>
      </c>
      <c r="L13">
        <f>LOG(Table1_1[[#This Row],[Weight]])</f>
        <v>0.7888751157754168</v>
      </c>
      <c r="M13">
        <v>2.9038253058695989E-2</v>
      </c>
      <c r="N13">
        <v>5.1291812189629478E-2</v>
      </c>
      <c r="O13">
        <v>3.9179228475990209E-2</v>
      </c>
      <c r="P13">
        <v>2.9038253058695989E-2</v>
      </c>
      <c r="Q13">
        <v>0.94299999999999995</v>
      </c>
      <c r="R13">
        <v>7.36</v>
      </c>
      <c r="S13">
        <v>32</v>
      </c>
      <c r="T13">
        <v>24.6</v>
      </c>
      <c r="U13">
        <v>5.7963247364246163E-2</v>
      </c>
      <c r="V13">
        <v>9.15</v>
      </c>
      <c r="W13">
        <v>7.83</v>
      </c>
      <c r="X13">
        <v>8.6519485262989776E-2</v>
      </c>
      <c r="Y13">
        <v>5.5387072923232541E-2</v>
      </c>
      <c r="Z13">
        <v>0.15810148344285566</v>
      </c>
      <c r="AA13">
        <v>0.57499999999999996</v>
      </c>
      <c r="AB13">
        <v>80.099999999999994</v>
      </c>
      <c r="AC13">
        <v>18.100000000000001</v>
      </c>
      <c r="AD13">
        <v>4420</v>
      </c>
      <c r="AE13">
        <v>5.97</v>
      </c>
      <c r="AF13">
        <v>7.82</v>
      </c>
      <c r="AG13">
        <v>3.79</v>
      </c>
      <c r="AH13">
        <v>1.77</v>
      </c>
      <c r="AI13">
        <v>0.38800000000000001</v>
      </c>
      <c r="AJ13">
        <v>25</v>
      </c>
      <c r="AK13">
        <v>101</v>
      </c>
      <c r="AL13">
        <v>11.4</v>
      </c>
      <c r="AM13">
        <v>5.5926457934412262E-2</v>
      </c>
      <c r="AN13">
        <v>8.4716066360200168E-2</v>
      </c>
      <c r="AO13">
        <v>5.7222433872444627E-2</v>
      </c>
      <c r="AP13">
        <v>7.3034859983496597E-2</v>
      </c>
      <c r="AQ13">
        <v>6.3012316962840709E-2</v>
      </c>
      <c r="AR13">
        <v>5.9629218673339E-2</v>
      </c>
      <c r="AS13">
        <v>0.14024442407507226</v>
      </c>
      <c r="AT13">
        <v>29.5</v>
      </c>
      <c r="AU13">
        <v>4.08</v>
      </c>
      <c r="AV13">
        <v>8.3738252563351795E-2</v>
      </c>
      <c r="AW13">
        <v>3.68</v>
      </c>
      <c r="AX13">
        <v>18</v>
      </c>
      <c r="AY13">
        <v>3.12</v>
      </c>
      <c r="AZ13">
        <v>2.9038253058695989E-2</v>
      </c>
      <c r="BA13">
        <v>0.10832665913490205</v>
      </c>
      <c r="BB13">
        <v>5.7001840163969336E-2</v>
      </c>
      <c r="BC13">
        <v>4.3869869596092417E-2</v>
      </c>
      <c r="BD13">
        <v>7.2595632646739974E-2</v>
      </c>
      <c r="BE13">
        <v>5.0389110598913968E-2</v>
      </c>
      <c r="BF13">
        <v>5.7204672158752121E-2</v>
      </c>
      <c r="BG13">
        <v>0.10417680654014055</v>
      </c>
      <c r="BH13">
        <v>7.7280151541205294E-2</v>
      </c>
      <c r="BI13">
        <v>9.6248306647678875E-2</v>
      </c>
      <c r="BJ13">
        <v>0.12776831345826234</v>
      </c>
      <c r="BK13">
        <f>SUM(Table1_1[[#This Row],[PFBA]:[diSAmPAP]])</f>
        <v>4818.1239424817468</v>
      </c>
      <c r="BL13">
        <f>LOG(Table1_1[[#This Row],[PFBA]])</f>
        <v>-1.5370295143421018</v>
      </c>
      <c r="BM13">
        <f>LOG(Table1_1[[#This Row],[PFPeA]])</f>
        <v>-1.2899519566165838</v>
      </c>
      <c r="BN13">
        <f>LOG(Table1_1[[#This Row],[PFHxA]])</f>
        <v>-1.4069441204576481</v>
      </c>
      <c r="BO13">
        <f>LOG(Table1_1[[#This Row],[PFHpA]])</f>
        <v>-1.5370295143421018</v>
      </c>
      <c r="BP13">
        <f>LOG(Table1_1[[#This Row],[PFOA]])</f>
        <v>-2.548830726267165E-2</v>
      </c>
      <c r="BQ13">
        <f>LOG(Table1_1[[#This Row],[PFNA]])</f>
        <v>0.86687781433749889</v>
      </c>
      <c r="BR13">
        <f>LOG(Table1_1[[#This Row],[PFDA]])</f>
        <v>1.505149978319906</v>
      </c>
      <c r="BS13">
        <f>LOG(Table1_1[[#This Row],[PFUnA]])</f>
        <v>1.3909351071033791</v>
      </c>
      <c r="BT13">
        <f>LOG(Table1_1[[#This Row],[PFDoA]])</f>
        <v>-1.2368472913708759</v>
      </c>
      <c r="BU13">
        <f>LOG(Table1_1[[#This Row],[PFTrDA]])</f>
        <v>0.96142109406644827</v>
      </c>
      <c r="BV13">
        <f>LOG(Table1_1[[#This Row],[PFTeDA]])</f>
        <v>0.89376176205794344</v>
      </c>
      <c r="BW13">
        <f>LOG(Table1_1[[#This Row],[PFHxDA]])</f>
        <v>-1.0628860730067344</v>
      </c>
      <c r="BX13">
        <f>LOG(Table1_1[[#This Row],[PFPrS]])</f>
        <v>-1.2565915856906145</v>
      </c>
      <c r="BY13">
        <f>LOG(Table1_1[[#This Row],[PFBS]])</f>
        <v>-0.80106405512772794</v>
      </c>
      <c r="BZ13">
        <f>LOG(Table1_1[[#This Row],[PFPeS]])</f>
        <v>-0.24033215531036956</v>
      </c>
      <c r="CA13">
        <f>LOG(Table1_1[[#This Row],[PFHxS]])</f>
        <v>1.9036325160842376</v>
      </c>
      <c r="CB13">
        <f>LOG(Table1_1[[#This Row],[PFHpS]])</f>
        <v>1.2576785748691846</v>
      </c>
      <c r="CC13">
        <f>LOG(Table1_1[[#This Row],[PFOS]])</f>
        <v>3.6454222693490919</v>
      </c>
      <c r="CD13">
        <f>LOG(Table1_1[[#This Row],[PFNS]])</f>
        <v>0.77597433112936909</v>
      </c>
      <c r="CE13">
        <f>LOG(Table1_1[[#This Row],[PFDS]])</f>
        <v>0.89320675305984798</v>
      </c>
      <c r="CF13">
        <f>LOG(Table1_1[[#This Row],[PFDoS]])</f>
        <v>0.57863920996807239</v>
      </c>
      <c r="CG13">
        <f>LOG(Table1_1[[#This Row],[Cl-PFOS]])</f>
        <v>0.24797326636180664</v>
      </c>
      <c r="CH13">
        <f>LOG(Table1_1[[#This Row],[PFEtCHxS]])</f>
        <v>-0.41116827440579273</v>
      </c>
      <c r="CI13">
        <f>LOG(Table1_1[[#This Row],[FBSA]])</f>
        <v>1.3979400086720377</v>
      </c>
      <c r="CJ13">
        <f>LOG(Table1_1[[#This Row],[FHxSA]])</f>
        <v>2.0043213737826426</v>
      </c>
      <c r="CK13">
        <f>LOG(Table1_1[[#This Row],[FOSA]])</f>
        <v>1.0569048513364727</v>
      </c>
      <c r="CL13">
        <f>LOG(Table1_1[[#This Row],[N-MeFOSA]])</f>
        <v>-1.2523826855573563</v>
      </c>
      <c r="CM13">
        <f>LOG(Table1_1[[#This Row],[N-EtFOSA]])</f>
        <v>-1.0720342181239015</v>
      </c>
      <c r="CN13">
        <f>LOG(Table1_1[[#This Row],[FOSAA]])</f>
        <v>-1.2424336740579722</v>
      </c>
      <c r="CO13">
        <f>LOG(Table1_1[[#This Row],[N-MeFOSAA]])</f>
        <v>-1.1364697989917441</v>
      </c>
      <c r="CP13">
        <f>LOG(Table1_1[[#This Row],[N-EtFOSAA]])</f>
        <v>-1.2005745510835484</v>
      </c>
      <c r="CQ13">
        <f>LOG(Table1_1[[#This Row],[4:2 FTS]])</f>
        <v>-1.224540881214055</v>
      </c>
      <c r="CR13">
        <f>LOG(Table1_1[[#This Row],[6:2 FTS]])</f>
        <v>-0.85311439667833644</v>
      </c>
      <c r="CS13">
        <f>LOG(Table1_1[[#This Row],[8:2 FTS]])</f>
        <v>1.469822015978163</v>
      </c>
      <c r="CT13">
        <f>LOG(Table1_1[[#This Row],[10:2 FTS]])</f>
        <v>0.61066016308987991</v>
      </c>
      <c r="CU13">
        <f>LOG(Table1_1[[#This Row],[3:3 FTCA]])</f>
        <v>-1.0770761061389853</v>
      </c>
      <c r="CV13">
        <f>LOG(Table1_1[[#This Row],[5:3 FTCA]])</f>
        <v>0.56584781867351763</v>
      </c>
      <c r="CW13">
        <f>LOG(Table1_1[[#This Row],[7:3 FTCA]])</f>
        <v>1.255272505103306</v>
      </c>
      <c r="CX13">
        <f>LOG(Table1_1[[#This Row],[6:2 FTCA]])</f>
        <v>0.49415459401844281</v>
      </c>
      <c r="CY13">
        <f>LOG(Table1_1[[#This Row],[8:2 FTCA]])</f>
        <v>-1.5370295143421018</v>
      </c>
      <c r="CZ13">
        <f>LOG(Table1_1[[#This Row],[10:2 FTCA]])</f>
        <v>-0.96526465057316613</v>
      </c>
      <c r="DA13">
        <f>LOG(Table1_1[[#This Row],[6:2 FTUCA]])</f>
        <v>-1.2441111239738616</v>
      </c>
      <c r="DB13">
        <f>LOG(Table1_1[[#This Row],[8:2 FTUCA]])</f>
        <v>-1.3578336565406135</v>
      </c>
      <c r="DC13">
        <f>LOG(Table1_1[[#This Row],[ADONA]])</f>
        <v>-1.1390895056700643</v>
      </c>
      <c r="DD13">
        <f>LOG(Table1_1[[#This Row],[9Cl-PF3ONS]])</f>
        <v>-1.2976633071610546</v>
      </c>
      <c r="DE13">
        <f>LOG(Table1_1[[#This Row],[11Cl-PF3OUdS]])</f>
        <v>-1.2425684990059291</v>
      </c>
      <c r="DF13">
        <f>LOG(Table1_1[[#This Row],[HFPO-DA]])</f>
        <v>-0.98222895966250889</v>
      </c>
      <c r="DG13">
        <f>LOG(Table1_1[[#This Row],[6:2 diPAP]])</f>
        <v>-1.1119320349693136</v>
      </c>
      <c r="DH13">
        <f>LOG(Table1_1[[#This Row],[8:2 diPAP]])</f>
        <v>-1.0166069025471316</v>
      </c>
      <c r="DI13">
        <f>LOG(Table1_1[[#This Row],[diSAmPAP]])</f>
        <v>-0.89357683785591446</v>
      </c>
    </row>
    <row r="14" spans="1:113">
      <c r="A14" t="s">
        <v>138</v>
      </c>
      <c r="B14" t="s">
        <v>114</v>
      </c>
      <c r="C14" s="3">
        <v>44314</v>
      </c>
      <c r="D14" t="s">
        <v>139</v>
      </c>
      <c r="E14" t="s">
        <v>140</v>
      </c>
      <c r="F14" t="s">
        <v>141</v>
      </c>
      <c r="G14" t="s">
        <v>118</v>
      </c>
      <c r="H14" t="s">
        <v>119</v>
      </c>
      <c r="I14">
        <v>10</v>
      </c>
      <c r="J14">
        <f>LOG(Table1_1[[#This Row],[Length]])</f>
        <v>1</v>
      </c>
      <c r="K14">
        <v>7.65</v>
      </c>
      <c r="L14">
        <f>LOG(Table1_1[[#This Row],[Weight]])</f>
        <v>0.88366143515361761</v>
      </c>
      <c r="M14">
        <v>6.1499999999999999E-2</v>
      </c>
      <c r="N14">
        <v>4.335E-2</v>
      </c>
      <c r="O14">
        <v>3.3050000000000003E-2</v>
      </c>
      <c r="P14">
        <v>2.4549999999999999E-2</v>
      </c>
      <c r="Q14">
        <v>1.0900000000000001</v>
      </c>
      <c r="R14">
        <v>0.93700000000000006</v>
      </c>
      <c r="S14">
        <v>7.54</v>
      </c>
      <c r="T14">
        <v>9.56</v>
      </c>
      <c r="U14">
        <v>13.5</v>
      </c>
      <c r="V14">
        <v>4.3099999999999996</v>
      </c>
      <c r="W14">
        <v>6.1</v>
      </c>
      <c r="X14">
        <v>7.2999999999999995E-2</v>
      </c>
      <c r="Y14">
        <v>4.6800000000000001E-2</v>
      </c>
      <c r="Z14">
        <v>4.165E-2</v>
      </c>
      <c r="AA14">
        <v>0.53400000000000003</v>
      </c>
      <c r="AB14">
        <v>29.4</v>
      </c>
      <c r="AC14">
        <v>9.36</v>
      </c>
      <c r="AD14">
        <v>2820</v>
      </c>
      <c r="AE14">
        <v>2.96</v>
      </c>
      <c r="AF14">
        <v>5.99</v>
      </c>
      <c r="AG14">
        <v>2.6</v>
      </c>
      <c r="AH14">
        <v>1.28</v>
      </c>
      <c r="AI14">
        <v>0.64900000000000002</v>
      </c>
      <c r="AJ14">
        <v>49</v>
      </c>
      <c r="AK14">
        <v>278</v>
      </c>
      <c r="AL14">
        <v>30.3</v>
      </c>
      <c r="AM14">
        <v>4.725E-2</v>
      </c>
      <c r="AN14">
        <v>7.1499999999999994E-2</v>
      </c>
      <c r="AO14">
        <v>4.8349999999999997E-2</v>
      </c>
      <c r="AP14">
        <v>2.14</v>
      </c>
      <c r="AQ14">
        <v>5.2999999999999999E-2</v>
      </c>
      <c r="AR14">
        <v>5.0500000000000003E-2</v>
      </c>
      <c r="AS14">
        <v>0.122</v>
      </c>
      <c r="AT14">
        <v>5.42</v>
      </c>
      <c r="AU14">
        <v>0.95699999999999996</v>
      </c>
      <c r="AV14">
        <v>7.0999999999999994E-2</v>
      </c>
      <c r="AW14">
        <v>6.1499999999999999E-2</v>
      </c>
      <c r="AX14">
        <v>5.0199999999999996</v>
      </c>
      <c r="AY14">
        <v>6.1499999999999999E-2</v>
      </c>
      <c r="AZ14">
        <v>1.38</v>
      </c>
      <c r="BA14">
        <v>9.1499999999999998E-2</v>
      </c>
      <c r="BB14">
        <v>4.82E-2</v>
      </c>
      <c r="BC14">
        <v>3.7100000000000001E-2</v>
      </c>
      <c r="BD14">
        <v>6.1499999999999999E-2</v>
      </c>
      <c r="BE14">
        <v>6.1499999999999999E-2</v>
      </c>
      <c r="BF14">
        <v>6.1499999999999999E-2</v>
      </c>
      <c r="BG14">
        <v>8.7999999999999995E-2</v>
      </c>
      <c r="BH14">
        <v>6.5500000000000003E-2</v>
      </c>
      <c r="BI14">
        <v>8.1500000000000003E-2</v>
      </c>
      <c r="BJ14">
        <v>0.108</v>
      </c>
      <c r="BK14">
        <f>SUM(Table1_1[[#This Row],[PFBA]:[diSAmPAP]])</f>
        <v>3289.641799999999</v>
      </c>
      <c r="BL14">
        <f>LOG(Table1_1[[#This Row],[PFBA]])</f>
        <v>-1.2111248842245832</v>
      </c>
      <c r="BM14">
        <f>LOG(Table1_1[[#This Row],[PFPeA]])</f>
        <v>-1.3630108981877709</v>
      </c>
      <c r="BN14">
        <f>LOG(Table1_1[[#This Row],[PFHxA]])</f>
        <v>-1.4808285361783409</v>
      </c>
      <c r="BO14">
        <f>LOG(Table1_1[[#This Row],[PFHpA]])</f>
        <v>-1.6099485035410128</v>
      </c>
      <c r="BP14">
        <f>LOG(Table1_1[[#This Row],[PFOA]])</f>
        <v>3.7426497940623665E-2</v>
      </c>
      <c r="BQ14">
        <f>LOG(Table1_1[[#This Row],[PFNA]])</f>
        <v>-2.8260409112221711E-2</v>
      </c>
      <c r="BR14">
        <f>LOG(Table1_1[[#This Row],[PFDA]])</f>
        <v>0.87737134586977406</v>
      </c>
      <c r="BS14">
        <f>LOG(Table1_1[[#This Row],[PFUnA]])</f>
        <v>0.98045789227610014</v>
      </c>
      <c r="BT14">
        <f>LOG(Table1_1[[#This Row],[PFDoA]])</f>
        <v>1.1303337684950061</v>
      </c>
      <c r="BU14">
        <f>LOG(Table1_1[[#This Row],[PFTrDA]])</f>
        <v>0.63447727016073152</v>
      </c>
      <c r="BV14">
        <f>LOG(Table1_1[[#This Row],[PFTeDA]])</f>
        <v>0.78532983501076703</v>
      </c>
      <c r="BW14">
        <f>LOG(Table1_1[[#This Row],[PFHxDA]])</f>
        <v>-1.1366771398795441</v>
      </c>
      <c r="BX14">
        <f>LOG(Table1_1[[#This Row],[PFPrS]])</f>
        <v>-1.329754146925876</v>
      </c>
      <c r="BY14">
        <f>LOG(Table1_1[[#This Row],[PFBS]])</f>
        <v>-1.3803849942571935</v>
      </c>
      <c r="BZ14">
        <f>LOG(Table1_1[[#This Row],[PFPeS]])</f>
        <v>-0.27245874297144357</v>
      </c>
      <c r="CA14">
        <f>LOG(Table1_1[[#This Row],[PFHxS]])</f>
        <v>1.4683473304121573</v>
      </c>
      <c r="CB14">
        <f>LOG(Table1_1[[#This Row],[PFHpS]])</f>
        <v>0.97127584873810524</v>
      </c>
      <c r="CC14">
        <f>LOG(Table1_1[[#This Row],[PFOS]])</f>
        <v>3.4502491083193609</v>
      </c>
      <c r="CD14">
        <f>LOG(Table1_1[[#This Row],[PFNS]])</f>
        <v>0.47129171105893858</v>
      </c>
      <c r="CE14">
        <f>LOG(Table1_1[[#This Row],[PFDS]])</f>
        <v>0.77742682238931138</v>
      </c>
      <c r="CF14">
        <f>LOG(Table1_1[[#This Row],[PFDoS]])</f>
        <v>0.41497334797081797</v>
      </c>
      <c r="CG14">
        <f>LOG(Table1_1[[#This Row],[Cl-PFOS]])</f>
        <v>0.10720996964786837</v>
      </c>
      <c r="CH14">
        <f>LOG(Table1_1[[#This Row],[PFEtCHxS]])</f>
        <v>-0.18775530319963074</v>
      </c>
      <c r="CI14">
        <f>LOG(Table1_1[[#This Row],[FBSA]])</f>
        <v>1.6901960800285136</v>
      </c>
      <c r="CJ14">
        <f>LOG(Table1_1[[#This Row],[FHxSA]])</f>
        <v>2.4440447959180762</v>
      </c>
      <c r="CK14">
        <f>LOG(Table1_1[[#This Row],[FOSA]])</f>
        <v>1.481442628502305</v>
      </c>
      <c r="CL14">
        <f>LOG(Table1_1[[#This Row],[N-MeFOSA]])</f>
        <v>-1.3255981871547182</v>
      </c>
      <c r="CM14">
        <f>LOG(Table1_1[[#This Row],[N-EtFOSA]])</f>
        <v>-1.1456939581989194</v>
      </c>
      <c r="CN14">
        <f>LOG(Table1_1[[#This Row],[FOSAA]])</f>
        <v>-1.3156035215809796</v>
      </c>
      <c r="CO14">
        <f>LOG(Table1_1[[#This Row],[N-MeFOSAA]])</f>
        <v>0.33041377334919086</v>
      </c>
      <c r="CP14">
        <f>LOG(Table1_1[[#This Row],[N-EtFOSAA]])</f>
        <v>-1.2757241303992111</v>
      </c>
      <c r="CQ14">
        <f>LOG(Table1_1[[#This Row],[4:2 FTS]])</f>
        <v>-1.2967086218813386</v>
      </c>
      <c r="CR14">
        <f>LOG(Table1_1[[#This Row],[6:2 FTS]])</f>
        <v>-0.91364016932525183</v>
      </c>
      <c r="CS14">
        <f>LOG(Table1_1[[#This Row],[8:2 FTS]])</f>
        <v>0.73399928653838686</v>
      </c>
      <c r="CT14">
        <f>LOG(Table1_1[[#This Row],[10:2 FTS]])</f>
        <v>-1.9088062223156451E-2</v>
      </c>
      <c r="CU14">
        <f>LOG(Table1_1[[#This Row],[3:3 FTCA]])</f>
        <v>-1.1487416512809248</v>
      </c>
      <c r="CV14">
        <f>LOG(Table1_1[[#This Row],[5:3 FTCA]])</f>
        <v>-1.2111248842245832</v>
      </c>
      <c r="CW14">
        <f>LOG(Table1_1[[#This Row],[7:3 FTCA]])</f>
        <v>0.70070371714501933</v>
      </c>
      <c r="CX14">
        <f>LOG(Table1_1[[#This Row],[6:2 FTCA]])</f>
        <v>-1.2111248842245832</v>
      </c>
      <c r="CY14">
        <f>LOG(Table1_1[[#This Row],[8:2 FTCA]])</f>
        <v>0.13987908640123647</v>
      </c>
      <c r="CZ14">
        <f>LOG(Table1_1[[#This Row],[10:2 FTCA]])</f>
        <v>-1.0385789059335517</v>
      </c>
      <c r="DA14">
        <f>LOG(Table1_1[[#This Row],[6:2 FTUCA]])</f>
        <v>-1.3169529617611504</v>
      </c>
      <c r="DB14">
        <f>LOG(Table1_1[[#This Row],[8:2 FTUCA]])</f>
        <v>-1.4306260903849541</v>
      </c>
      <c r="DC14">
        <f>LOG(Table1_1[[#This Row],[ADONA]])</f>
        <v>-1.2111248842245832</v>
      </c>
      <c r="DD14">
        <f>LOG(Table1_1[[#This Row],[9Cl-PF3ONS]])</f>
        <v>-1.2111248842245832</v>
      </c>
      <c r="DE14">
        <f>LOG(Table1_1[[#This Row],[11Cl-PF3OUdS]])</f>
        <v>-1.2111248842245832</v>
      </c>
      <c r="DF14">
        <f>LOG(Table1_1[[#This Row],[HFPO-DA]])</f>
        <v>-1.0555173278498313</v>
      </c>
      <c r="DG14">
        <f>LOG(Table1_1[[#This Row],[6:2 diPAP]])</f>
        <v>-1.1837587000082168</v>
      </c>
      <c r="DH14">
        <f>LOG(Table1_1[[#This Row],[8:2 diPAP]])</f>
        <v>-1.0888423912600234</v>
      </c>
      <c r="DI14">
        <f>LOG(Table1_1[[#This Row],[diSAmPAP]])</f>
        <v>-0.96657624451305035</v>
      </c>
    </row>
    <row r="15" spans="1:113">
      <c r="A15" t="s">
        <v>142</v>
      </c>
      <c r="B15" t="s">
        <v>114</v>
      </c>
      <c r="C15" s="3">
        <v>44393</v>
      </c>
      <c r="D15" t="s">
        <v>131</v>
      </c>
      <c r="E15" t="s">
        <v>132</v>
      </c>
      <c r="F15" t="s">
        <v>133</v>
      </c>
      <c r="G15" t="s">
        <v>118</v>
      </c>
      <c r="H15" t="s">
        <v>119</v>
      </c>
      <c r="I15">
        <v>12</v>
      </c>
      <c r="J15">
        <f>LOG(Table1_1[[#This Row],[Length]])</f>
        <v>1.0791812460476249</v>
      </c>
      <c r="K15">
        <v>23.18</v>
      </c>
      <c r="L15">
        <f>LOG(Table1_1[[#This Row],[Weight]])</f>
        <v>1.3651134316275773</v>
      </c>
      <c r="M15">
        <v>0.2465</v>
      </c>
      <c r="N15">
        <v>8.6999999999999994E-2</v>
      </c>
      <c r="O15">
        <v>0.13300000000000001</v>
      </c>
      <c r="P15">
        <v>0.2465</v>
      </c>
      <c r="Q15">
        <v>1.76</v>
      </c>
      <c r="R15">
        <v>0.1235</v>
      </c>
      <c r="S15">
        <v>5.53</v>
      </c>
      <c r="T15">
        <v>10.4</v>
      </c>
      <c r="U15">
        <v>16.3</v>
      </c>
      <c r="V15">
        <v>8.3699999999999992</v>
      </c>
      <c r="W15">
        <v>13.7</v>
      </c>
      <c r="X15">
        <v>0.14699999999999999</v>
      </c>
      <c r="Y15">
        <v>0.1235</v>
      </c>
      <c r="Z15">
        <v>0.2465</v>
      </c>
      <c r="AA15">
        <v>0.96799999999999997</v>
      </c>
      <c r="AB15">
        <v>72.7</v>
      </c>
      <c r="AC15">
        <v>7.03</v>
      </c>
      <c r="AD15">
        <v>623</v>
      </c>
      <c r="AE15">
        <v>0.62</v>
      </c>
      <c r="AF15">
        <v>2.2200000000000002</v>
      </c>
      <c r="AG15">
        <v>0.876</v>
      </c>
      <c r="AH15">
        <v>0.15</v>
      </c>
      <c r="AI15">
        <v>0.375</v>
      </c>
      <c r="AJ15">
        <v>56.5</v>
      </c>
      <c r="AK15">
        <v>121</v>
      </c>
      <c r="AL15">
        <v>6.5</v>
      </c>
      <c r="AM15">
        <v>9.5000000000000001E-2</v>
      </c>
      <c r="AN15">
        <v>0.2465</v>
      </c>
      <c r="AO15">
        <v>0.2465</v>
      </c>
      <c r="AP15">
        <v>0.124</v>
      </c>
      <c r="AQ15">
        <v>0.1235</v>
      </c>
      <c r="AR15">
        <v>0.1235</v>
      </c>
      <c r="AS15">
        <v>0.2465</v>
      </c>
      <c r="AT15">
        <v>6.36</v>
      </c>
      <c r="AU15">
        <v>1.08</v>
      </c>
      <c r="AV15">
        <v>0.2465</v>
      </c>
      <c r="AW15">
        <v>0.1235</v>
      </c>
      <c r="AX15">
        <v>0.2465</v>
      </c>
      <c r="AY15">
        <v>0.2465</v>
      </c>
      <c r="AZ15">
        <v>0.1235</v>
      </c>
      <c r="BA15">
        <v>0.2465</v>
      </c>
      <c r="BB15">
        <v>9.7000000000000003E-2</v>
      </c>
      <c r="BC15">
        <v>7.4499999999999997E-2</v>
      </c>
      <c r="BD15">
        <v>0.109</v>
      </c>
      <c r="BE15">
        <v>0.2465</v>
      </c>
      <c r="BF15">
        <v>0.2465</v>
      </c>
      <c r="BG15">
        <v>0.17699999999999999</v>
      </c>
      <c r="BH15">
        <v>0.2465</v>
      </c>
      <c r="BI15">
        <v>0.2465</v>
      </c>
      <c r="BJ15">
        <v>0.2465</v>
      </c>
      <c r="BK15">
        <f>SUM(Table1_1[[#This Row],[PFBA]:[diSAmPAP]])</f>
        <v>960.92099999999982</v>
      </c>
      <c r="BL15">
        <f>LOG(Table1_1[[#This Row],[PFBA]])</f>
        <v>-0.60818307638675118</v>
      </c>
      <c r="BM15">
        <f>LOG(Table1_1[[#This Row],[PFPeA]])</f>
        <v>-1.0604807473813815</v>
      </c>
      <c r="BN15">
        <f>LOG(Table1_1[[#This Row],[PFHxA]])</f>
        <v>-0.87614835903291421</v>
      </c>
      <c r="BO15">
        <f>LOG(Table1_1[[#This Row],[PFHpA]])</f>
        <v>-0.60818307638675118</v>
      </c>
      <c r="BP15">
        <f>LOG(Table1_1[[#This Row],[PFOA]])</f>
        <v>0.24551266781414982</v>
      </c>
      <c r="BQ15">
        <f>LOG(Table1_1[[#This Row],[PFNA]])</f>
        <v>-0.90833304240431545</v>
      </c>
      <c r="BR15">
        <f>LOG(Table1_1[[#This Row],[PFDA]])</f>
        <v>0.74272513130469831</v>
      </c>
      <c r="BS15">
        <f>LOG(Table1_1[[#This Row],[PFUnA]])</f>
        <v>1.0170333392987803</v>
      </c>
      <c r="BT15">
        <f>LOG(Table1_1[[#This Row],[PFDoA]])</f>
        <v>1.2121876044039579</v>
      </c>
      <c r="BU15">
        <f>LOG(Table1_1[[#This Row],[PFTrDA]])</f>
        <v>0.92272545799326</v>
      </c>
      <c r="BV15">
        <f>LOG(Table1_1[[#This Row],[PFTeDA]])</f>
        <v>1.1367205671564067</v>
      </c>
      <c r="BW15">
        <f>LOG(Table1_1[[#This Row],[PFHxDA]])</f>
        <v>-0.83268266525182388</v>
      </c>
      <c r="BX15">
        <f>LOG(Table1_1[[#This Row],[PFPrS]])</f>
        <v>-0.90833304240431545</v>
      </c>
      <c r="BY15">
        <f>LOG(Table1_1[[#This Row],[PFBS]])</f>
        <v>-0.60818307638675118</v>
      </c>
      <c r="BZ15">
        <f>LOG(Table1_1[[#This Row],[PFPeS]])</f>
        <v>-1.4124642691606345E-2</v>
      </c>
      <c r="CA15">
        <f>LOG(Table1_1[[#This Row],[PFHxS]])</f>
        <v>1.8615344108590379</v>
      </c>
      <c r="CB15">
        <f>LOG(Table1_1[[#This Row],[PFHpS]])</f>
        <v>0.84695532501982396</v>
      </c>
      <c r="CC15">
        <f>LOG(Table1_1[[#This Row],[PFOS]])</f>
        <v>2.7944880466591697</v>
      </c>
      <c r="CD15">
        <f>LOG(Table1_1[[#This Row],[PFNS]])</f>
        <v>-0.20760831050174613</v>
      </c>
      <c r="CE15">
        <f>LOG(Table1_1[[#This Row],[PFDS]])</f>
        <v>0.34635297445063867</v>
      </c>
      <c r="CF15">
        <f>LOG(Table1_1[[#This Row],[PFDoS]])</f>
        <v>-5.7495893831919269E-2</v>
      </c>
      <c r="CG15">
        <f>LOG(Table1_1[[#This Row],[Cl-PFOS]])</f>
        <v>-0.82390874094431876</v>
      </c>
      <c r="CH15">
        <f>LOG(Table1_1[[#This Row],[PFEtCHxS]])</f>
        <v>-0.42596873227228116</v>
      </c>
      <c r="CI15">
        <f>LOG(Table1_1[[#This Row],[FBSA]])</f>
        <v>1.7520484478194385</v>
      </c>
      <c r="CJ15">
        <f>LOG(Table1_1[[#This Row],[FHxSA]])</f>
        <v>2.0827853703164503</v>
      </c>
      <c r="CK15">
        <f>LOG(Table1_1[[#This Row],[FOSA]])</f>
        <v>0.81291335664285558</v>
      </c>
      <c r="CL15">
        <f>LOG(Table1_1[[#This Row],[N-MeFOSA]])</f>
        <v>-1.0222763947111522</v>
      </c>
      <c r="CM15">
        <f>LOG(Table1_1[[#This Row],[N-EtFOSA]])</f>
        <v>-0.60818307638675118</v>
      </c>
      <c r="CN15">
        <f>LOG(Table1_1[[#This Row],[FOSAA]])</f>
        <v>-0.60818307638675118</v>
      </c>
      <c r="CO15">
        <f>LOG(Table1_1[[#This Row],[N-MeFOSAA]])</f>
        <v>-0.90657831483776496</v>
      </c>
      <c r="CP15">
        <f>LOG(Table1_1[[#This Row],[N-EtFOSAA]])</f>
        <v>-0.90833304240431545</v>
      </c>
      <c r="CQ15">
        <f>LOG(Table1_1[[#This Row],[4:2 FTS]])</f>
        <v>-0.90833304240431545</v>
      </c>
      <c r="CR15">
        <f>LOG(Table1_1[[#This Row],[6:2 FTS]])</f>
        <v>-0.60818307638675118</v>
      </c>
      <c r="CS15">
        <f>LOG(Table1_1[[#This Row],[8:2 FTS]])</f>
        <v>0.80345711564841393</v>
      </c>
      <c r="CT15">
        <f>LOG(Table1_1[[#This Row],[10:2 FTS]])</f>
        <v>3.342375548694973E-2</v>
      </c>
      <c r="CU15">
        <f>LOG(Table1_1[[#This Row],[3:3 FTCA]])</f>
        <v>-0.60818307638675118</v>
      </c>
      <c r="CV15">
        <f>LOG(Table1_1[[#This Row],[5:3 FTCA]])</f>
        <v>-0.90833304240431545</v>
      </c>
      <c r="CW15">
        <f>LOG(Table1_1[[#This Row],[7:3 FTCA]])</f>
        <v>-0.60818307638675118</v>
      </c>
      <c r="CX15">
        <f>LOG(Table1_1[[#This Row],[6:2 FTCA]])</f>
        <v>-0.60818307638675118</v>
      </c>
      <c r="CY15">
        <f>LOG(Table1_1[[#This Row],[8:2 FTCA]])</f>
        <v>-0.90833304240431545</v>
      </c>
      <c r="CZ15">
        <f>LOG(Table1_1[[#This Row],[10:2 FTCA]])</f>
        <v>-0.60818307638675118</v>
      </c>
      <c r="DA15">
        <f>LOG(Table1_1[[#This Row],[6:2 FTUCA]])</f>
        <v>-1.0132282657337552</v>
      </c>
      <c r="DB15">
        <f>LOG(Table1_1[[#This Row],[8:2 FTUCA]])</f>
        <v>-1.1278437272517072</v>
      </c>
      <c r="DC15">
        <f>LOG(Table1_1[[#This Row],[ADONA]])</f>
        <v>-0.96257350205937642</v>
      </c>
      <c r="DD15">
        <f>LOG(Table1_1[[#This Row],[9Cl-PF3ONS]])</f>
        <v>-0.60818307638675118</v>
      </c>
      <c r="DE15">
        <f>LOG(Table1_1[[#This Row],[11Cl-PF3OUdS]])</f>
        <v>-0.60818307638675118</v>
      </c>
      <c r="DF15">
        <f>LOG(Table1_1[[#This Row],[HFPO-DA]])</f>
        <v>-0.75202673363819339</v>
      </c>
      <c r="DG15">
        <f>LOG(Table1_1[[#This Row],[6:2 diPAP]])</f>
        <v>-0.60818307638675118</v>
      </c>
      <c r="DH15">
        <f>LOG(Table1_1[[#This Row],[8:2 diPAP]])</f>
        <v>-0.60818307638675118</v>
      </c>
      <c r="DI15">
        <f>LOG(Table1_1[[#This Row],[diSAmPAP]])</f>
        <v>-0.60818307638675118</v>
      </c>
    </row>
    <row r="16" spans="1:113">
      <c r="A16" t="s">
        <v>143</v>
      </c>
      <c r="B16" t="s">
        <v>114</v>
      </c>
      <c r="C16" s="3">
        <v>44393</v>
      </c>
      <c r="D16" t="s">
        <v>131</v>
      </c>
      <c r="E16" t="s">
        <v>132</v>
      </c>
      <c r="F16" t="s">
        <v>133</v>
      </c>
      <c r="G16" t="s">
        <v>118</v>
      </c>
      <c r="H16" t="s">
        <v>119</v>
      </c>
      <c r="I16">
        <v>9</v>
      </c>
      <c r="J16">
        <f>LOG(Table1_1[[#This Row],[Length]])</f>
        <v>0.95424250943932487</v>
      </c>
      <c r="K16">
        <v>10.02</v>
      </c>
      <c r="L16">
        <f>LOG(Table1_1[[#This Row],[Weight]])</f>
        <v>1.0008677215312269</v>
      </c>
      <c r="M16">
        <v>0.108</v>
      </c>
      <c r="N16">
        <v>7.5999999999999998E-2</v>
      </c>
      <c r="O16">
        <v>0.28599999999999998</v>
      </c>
      <c r="P16">
        <v>0.108</v>
      </c>
      <c r="Q16">
        <v>1.37</v>
      </c>
      <c r="R16">
        <v>0.7</v>
      </c>
      <c r="S16">
        <v>4.7300000000000004</v>
      </c>
      <c r="T16">
        <v>8.6300000000000008</v>
      </c>
      <c r="U16">
        <v>7.29</v>
      </c>
      <c r="V16">
        <v>1.54</v>
      </c>
      <c r="W16">
        <v>4.05</v>
      </c>
      <c r="X16">
        <v>0.1285</v>
      </c>
      <c r="Y16">
        <v>0.108</v>
      </c>
      <c r="Z16">
        <v>0.216</v>
      </c>
      <c r="AA16">
        <v>0.247</v>
      </c>
      <c r="AB16">
        <v>68</v>
      </c>
      <c r="AC16">
        <v>6.12</v>
      </c>
      <c r="AD16">
        <v>560</v>
      </c>
      <c r="AE16">
        <v>0.627</v>
      </c>
      <c r="AF16">
        <v>1.01</v>
      </c>
      <c r="AG16">
        <v>0.73699999999999999</v>
      </c>
      <c r="AH16">
        <v>0.35899999999999999</v>
      </c>
      <c r="AI16">
        <v>0.246</v>
      </c>
      <c r="AJ16">
        <v>28.3</v>
      </c>
      <c r="AK16">
        <v>98.8</v>
      </c>
      <c r="AL16">
        <v>5.0599999999999996</v>
      </c>
      <c r="AM16">
        <v>8.3000000000000004E-2</v>
      </c>
      <c r="AN16">
        <v>0.216</v>
      </c>
      <c r="AO16">
        <v>0.216</v>
      </c>
      <c r="AP16">
        <v>0.1085</v>
      </c>
      <c r="AQ16">
        <v>0.108</v>
      </c>
      <c r="AR16">
        <v>0.108</v>
      </c>
      <c r="AS16">
        <v>0.216</v>
      </c>
      <c r="AT16">
        <v>8.64</v>
      </c>
      <c r="AU16">
        <v>0.432</v>
      </c>
      <c r="AV16">
        <v>0.216</v>
      </c>
      <c r="AW16">
        <v>0.108</v>
      </c>
      <c r="AX16">
        <v>0.216</v>
      </c>
      <c r="AY16">
        <v>0.216</v>
      </c>
      <c r="AZ16">
        <v>0.108</v>
      </c>
      <c r="BA16">
        <v>0.216</v>
      </c>
      <c r="BB16">
        <v>8.5000000000000006E-2</v>
      </c>
      <c r="BC16">
        <v>6.5000000000000002E-2</v>
      </c>
      <c r="BD16">
        <v>9.5000000000000001E-2</v>
      </c>
      <c r="BE16">
        <v>0.216</v>
      </c>
      <c r="BF16">
        <v>0.216</v>
      </c>
      <c r="BG16">
        <v>0.155</v>
      </c>
      <c r="BH16">
        <v>0.216</v>
      </c>
      <c r="BI16">
        <v>0.216</v>
      </c>
      <c r="BJ16">
        <v>0.216</v>
      </c>
      <c r="BK16">
        <f>SUM(Table1_1[[#This Row],[PFBA]:[diSAmPAP]])</f>
        <v>811.53399999999976</v>
      </c>
      <c r="BL16">
        <f>LOG(Table1_1[[#This Row],[PFBA]])</f>
        <v>-0.96657624451305035</v>
      </c>
      <c r="BM16">
        <f>LOG(Table1_1[[#This Row],[PFPeA]])</f>
        <v>-1.1191864077192086</v>
      </c>
      <c r="BN16">
        <f>LOG(Table1_1[[#This Row],[PFHxA]])</f>
        <v>-0.543633966870957</v>
      </c>
      <c r="BO16">
        <f>LOG(Table1_1[[#This Row],[PFHpA]])</f>
        <v>-0.96657624451305035</v>
      </c>
      <c r="BP16">
        <f>LOG(Table1_1[[#This Row],[PFOA]])</f>
        <v>0.13672056715640679</v>
      </c>
      <c r="BQ16">
        <f>LOG(Table1_1[[#This Row],[PFNA]])</f>
        <v>-0.15490195998574319</v>
      </c>
      <c r="BR16">
        <f>LOG(Table1_1[[#This Row],[PFDA]])</f>
        <v>0.67486114073781156</v>
      </c>
      <c r="BS16">
        <f>LOG(Table1_1[[#This Row],[PFUnA]])</f>
        <v>0.93601079571520962</v>
      </c>
      <c r="BT16">
        <f>LOG(Table1_1[[#This Row],[PFDoA]])</f>
        <v>0.86272752831797461</v>
      </c>
      <c r="BU16">
        <f>LOG(Table1_1[[#This Row],[PFTrDA]])</f>
        <v>0.18752072083646307</v>
      </c>
      <c r="BV16">
        <f>LOG(Table1_1[[#This Row],[PFTeDA]])</f>
        <v>0.60745502321466849</v>
      </c>
      <c r="BW16">
        <f>LOG(Table1_1[[#This Row],[PFHxDA]])</f>
        <v>-0.89109687233268664</v>
      </c>
      <c r="BX16">
        <f>LOG(Table1_1[[#This Row],[PFPrS]])</f>
        <v>-0.96657624451305035</v>
      </c>
      <c r="BY16">
        <f>LOG(Table1_1[[#This Row],[PFBS]])</f>
        <v>-0.6655462488490691</v>
      </c>
      <c r="BZ16">
        <f>LOG(Table1_1[[#This Row],[PFPeS]])</f>
        <v>-0.60730304674033431</v>
      </c>
      <c r="CA16">
        <f>LOG(Table1_1[[#This Row],[PFHxS]])</f>
        <v>1.8325089127062364</v>
      </c>
      <c r="CB16">
        <f>LOG(Table1_1[[#This Row],[PFHpS]])</f>
        <v>0.78675142214556115</v>
      </c>
      <c r="CC16">
        <f>LOG(Table1_1[[#This Row],[PFOS]])</f>
        <v>2.7481880270062002</v>
      </c>
      <c r="CD16">
        <f>LOG(Table1_1[[#This Row],[PFNS]])</f>
        <v>-0.20273245916928356</v>
      </c>
      <c r="CE16">
        <f>LOG(Table1_1[[#This Row],[PFDS]])</f>
        <v>4.3213737826425782E-3</v>
      </c>
      <c r="CF16">
        <f>LOG(Table1_1[[#This Row],[PFDoS]])</f>
        <v>-0.13253251214094852</v>
      </c>
      <c r="CG16">
        <f>LOG(Table1_1[[#This Row],[Cl-PFOS]])</f>
        <v>-0.44490555142168087</v>
      </c>
      <c r="CH16">
        <f>LOG(Table1_1[[#This Row],[PFEtCHxS]])</f>
        <v>-0.60906489289662091</v>
      </c>
      <c r="CI16">
        <f>LOG(Table1_1[[#This Row],[FBSA]])</f>
        <v>1.4517864355242902</v>
      </c>
      <c r="CJ16">
        <f>LOG(Table1_1[[#This Row],[FHxSA]])</f>
        <v>1.9947569445876281</v>
      </c>
      <c r="CK16">
        <f>LOG(Table1_1[[#This Row],[FOSA]])</f>
        <v>0.70415051683979912</v>
      </c>
      <c r="CL16">
        <f>LOG(Table1_1[[#This Row],[N-MeFOSA]])</f>
        <v>-1.080921907623926</v>
      </c>
      <c r="CM16">
        <f>LOG(Table1_1[[#This Row],[N-EtFOSA]])</f>
        <v>-0.6655462488490691</v>
      </c>
      <c r="CN16">
        <f>LOG(Table1_1[[#This Row],[FOSAA]])</f>
        <v>-0.6655462488490691</v>
      </c>
      <c r="CO16">
        <f>LOG(Table1_1[[#This Row],[N-MeFOSAA]])</f>
        <v>-0.96457026181545169</v>
      </c>
      <c r="CP16">
        <f>LOG(Table1_1[[#This Row],[N-EtFOSAA]])</f>
        <v>-0.96657624451305035</v>
      </c>
      <c r="CQ16">
        <f>LOG(Table1_1[[#This Row],[4:2 FTS]])</f>
        <v>-0.96657624451305035</v>
      </c>
      <c r="CR16">
        <f>LOG(Table1_1[[#This Row],[6:2 FTS]])</f>
        <v>-0.6655462488490691</v>
      </c>
      <c r="CS16">
        <f>LOG(Table1_1[[#This Row],[8:2 FTS]])</f>
        <v>0.9365137424788933</v>
      </c>
      <c r="CT16">
        <f>LOG(Table1_1[[#This Row],[10:2 FTS]])</f>
        <v>-0.3645162531850879</v>
      </c>
      <c r="CU16">
        <f>LOG(Table1_1[[#This Row],[3:3 FTCA]])</f>
        <v>-0.6655462488490691</v>
      </c>
      <c r="CV16">
        <f>LOG(Table1_1[[#This Row],[5:3 FTCA]])</f>
        <v>-0.96657624451305035</v>
      </c>
      <c r="CW16">
        <f>LOG(Table1_1[[#This Row],[7:3 FTCA]])</f>
        <v>-0.6655462488490691</v>
      </c>
      <c r="CX16">
        <f>LOG(Table1_1[[#This Row],[6:2 FTCA]])</f>
        <v>-0.6655462488490691</v>
      </c>
      <c r="CY16">
        <f>LOG(Table1_1[[#This Row],[8:2 FTCA]])</f>
        <v>-0.96657624451305035</v>
      </c>
      <c r="CZ16">
        <f>LOG(Table1_1[[#This Row],[10:2 FTCA]])</f>
        <v>-0.6655462488490691</v>
      </c>
      <c r="DA16">
        <f>LOG(Table1_1[[#This Row],[6:2 FTUCA]])</f>
        <v>-1.0705810742857071</v>
      </c>
      <c r="DB16">
        <f>LOG(Table1_1[[#This Row],[8:2 FTUCA]])</f>
        <v>-1.1870866433571443</v>
      </c>
      <c r="DC16">
        <f>LOG(Table1_1[[#This Row],[ADONA]])</f>
        <v>-1.0222763947111522</v>
      </c>
      <c r="DD16">
        <f>LOG(Table1_1[[#This Row],[9Cl-PF3ONS]])</f>
        <v>-0.6655462488490691</v>
      </c>
      <c r="DE16">
        <f>LOG(Table1_1[[#This Row],[11Cl-PF3OUdS]])</f>
        <v>-0.6655462488490691</v>
      </c>
      <c r="DF16">
        <f>LOG(Table1_1[[#This Row],[HFPO-DA]])</f>
        <v>-0.8096683018297085</v>
      </c>
      <c r="DG16">
        <f>LOG(Table1_1[[#This Row],[6:2 diPAP]])</f>
        <v>-0.6655462488490691</v>
      </c>
      <c r="DH16">
        <f>LOG(Table1_1[[#This Row],[8:2 diPAP]])</f>
        <v>-0.6655462488490691</v>
      </c>
      <c r="DI16">
        <f>LOG(Table1_1[[#This Row],[diSAmPAP]])</f>
        <v>-0.6655462488490691</v>
      </c>
    </row>
    <row r="17" spans="1:113">
      <c r="A17" t="s">
        <v>144</v>
      </c>
      <c r="B17" t="s">
        <v>121</v>
      </c>
      <c r="C17" s="3">
        <v>44393</v>
      </c>
      <c r="D17" t="s">
        <v>131</v>
      </c>
      <c r="E17" t="s">
        <v>145</v>
      </c>
      <c r="F17" t="s">
        <v>146</v>
      </c>
      <c r="G17" t="s">
        <v>118</v>
      </c>
      <c r="H17" t="s">
        <v>119</v>
      </c>
      <c r="I17">
        <v>8</v>
      </c>
      <c r="J17">
        <f>LOG(Table1_1[[#This Row],[Length]])</f>
        <v>0.90308998699194354</v>
      </c>
      <c r="K17">
        <v>7.6</v>
      </c>
      <c r="L17">
        <f>LOG(Table1_1[[#This Row],[Weight]])</f>
        <v>0.88081359228079137</v>
      </c>
      <c r="M17">
        <v>0.23649999999999999</v>
      </c>
      <c r="N17">
        <v>0.23649999999999999</v>
      </c>
      <c r="O17">
        <v>0.1275</v>
      </c>
      <c r="P17">
        <v>0.23649999999999999</v>
      </c>
      <c r="Q17">
        <v>2.11</v>
      </c>
      <c r="R17">
        <v>1.44</v>
      </c>
      <c r="S17">
        <v>5.55</v>
      </c>
      <c r="T17">
        <v>8.93</v>
      </c>
      <c r="U17">
        <v>22.4</v>
      </c>
      <c r="V17">
        <v>7.06</v>
      </c>
      <c r="W17">
        <v>4.9800000000000004</v>
      </c>
      <c r="X17">
        <v>0.28199999999999997</v>
      </c>
      <c r="Y17">
        <v>0.47299999999999998</v>
      </c>
      <c r="Z17">
        <v>0.161</v>
      </c>
      <c r="AA17">
        <v>0.64400000000000002</v>
      </c>
      <c r="AB17">
        <v>56.5</v>
      </c>
      <c r="AC17">
        <v>16.399999999999999</v>
      </c>
      <c r="AD17">
        <v>917</v>
      </c>
      <c r="AE17">
        <v>1.96</v>
      </c>
      <c r="AF17">
        <v>3.72</v>
      </c>
      <c r="AG17">
        <v>2.67</v>
      </c>
      <c r="AH17">
        <v>0.86299999999999999</v>
      </c>
      <c r="AI17">
        <v>0.57399999999999995</v>
      </c>
      <c r="AJ17">
        <v>15.5</v>
      </c>
      <c r="AK17">
        <v>80.8</v>
      </c>
      <c r="AL17">
        <v>4.92</v>
      </c>
      <c r="AM17">
        <v>0.182</v>
      </c>
      <c r="AN17">
        <v>0.47299999999999998</v>
      </c>
      <c r="AO17">
        <v>0.47299999999999998</v>
      </c>
      <c r="AP17">
        <v>0.23799999999999999</v>
      </c>
      <c r="AQ17">
        <v>0.23649999999999999</v>
      </c>
      <c r="AR17">
        <v>0.23649999999999999</v>
      </c>
      <c r="AS17">
        <v>0.23649999999999999</v>
      </c>
      <c r="AT17">
        <v>8.59</v>
      </c>
      <c r="AU17">
        <v>0.47299999999999998</v>
      </c>
      <c r="AV17">
        <v>0.27300000000000002</v>
      </c>
      <c r="AW17">
        <v>0.23649999999999999</v>
      </c>
      <c r="AX17">
        <v>0.23649999999999999</v>
      </c>
      <c r="AY17">
        <v>0.47299999999999998</v>
      </c>
      <c r="AZ17">
        <v>0.47299999999999998</v>
      </c>
      <c r="BA17">
        <v>0.47299999999999998</v>
      </c>
      <c r="BB17">
        <v>0.47299999999999998</v>
      </c>
      <c r="BC17">
        <v>0.47299999999999998</v>
      </c>
      <c r="BD17">
        <v>0.23649999999999999</v>
      </c>
      <c r="BE17">
        <v>0.47299999999999998</v>
      </c>
      <c r="BF17">
        <v>0.47299999999999998</v>
      </c>
      <c r="BG17">
        <v>0.33950000000000002</v>
      </c>
      <c r="BH17">
        <v>0.47299999999999998</v>
      </c>
      <c r="BI17">
        <v>0.47299999999999998</v>
      </c>
      <c r="BJ17">
        <v>0.47299999999999998</v>
      </c>
      <c r="BK17">
        <f>SUM(Table1_1[[#This Row],[PFBA]:[diSAmPAP]])</f>
        <v>1172.9644999999996</v>
      </c>
      <c r="BL17">
        <f>LOG(Table1_1[[#This Row],[PFBA]])</f>
        <v>-0.62616885492616969</v>
      </c>
      <c r="BM17">
        <f>LOG(Table1_1[[#This Row],[PFPeA]])</f>
        <v>-0.62616885492616969</v>
      </c>
      <c r="BN17">
        <f>LOG(Table1_1[[#This Row],[PFHxA]])</f>
        <v>-0.89448981523002602</v>
      </c>
      <c r="BO17">
        <f>LOG(Table1_1[[#This Row],[PFHpA]])</f>
        <v>-0.62616885492616969</v>
      </c>
      <c r="BP17">
        <f>LOG(Table1_1[[#This Row],[PFOA]])</f>
        <v>0.32428245529769262</v>
      </c>
      <c r="BQ17">
        <f>LOG(Table1_1[[#This Row],[PFNA]])</f>
        <v>0.15836249209524964</v>
      </c>
      <c r="BR17">
        <f>LOG(Table1_1[[#This Row],[PFDA]])</f>
        <v>0.74429298312267622</v>
      </c>
      <c r="BS17">
        <f>LOG(Table1_1[[#This Row],[PFUnA]])</f>
        <v>0.95085145888854639</v>
      </c>
      <c r="BT17">
        <f>LOG(Table1_1[[#This Row],[PFDoA]])</f>
        <v>1.3502480183341627</v>
      </c>
      <c r="BU17">
        <f>LOG(Table1_1[[#This Row],[PFTrDA]])</f>
        <v>0.84880470105180372</v>
      </c>
      <c r="BV17">
        <f>LOG(Table1_1[[#This Row],[PFTeDA]])</f>
        <v>0.6972293427597176</v>
      </c>
      <c r="BW17">
        <f>LOG(Table1_1[[#This Row],[PFHxDA]])</f>
        <v>-0.54975089168063895</v>
      </c>
      <c r="BX17">
        <f>LOG(Table1_1[[#This Row],[PFPrS]])</f>
        <v>-0.32513885926218844</v>
      </c>
      <c r="BY17">
        <f>LOG(Table1_1[[#This Row],[PFBS]])</f>
        <v>-0.79317412396815024</v>
      </c>
      <c r="BZ17">
        <f>LOG(Table1_1[[#This Row],[PFPeS]])</f>
        <v>-0.19111413264018789</v>
      </c>
      <c r="CA17">
        <f>LOG(Table1_1[[#This Row],[PFHxS]])</f>
        <v>1.7520484478194385</v>
      </c>
      <c r="CB17">
        <f>LOG(Table1_1[[#This Row],[PFHpS]])</f>
        <v>1.2148438480476977</v>
      </c>
      <c r="CC17">
        <f>LOG(Table1_1[[#This Row],[PFOS]])</f>
        <v>2.9623693356700209</v>
      </c>
      <c r="CD17">
        <f>LOG(Table1_1[[#This Row],[PFNS]])</f>
        <v>0.29225607135647602</v>
      </c>
      <c r="CE17">
        <f>LOG(Table1_1[[#This Row],[PFDS]])</f>
        <v>0.57054293988189753</v>
      </c>
      <c r="CF17">
        <f>LOG(Table1_1[[#This Row],[PFDoS]])</f>
        <v>0.42651126136457523</v>
      </c>
      <c r="CG17">
        <f>LOG(Table1_1[[#This Row],[Cl-PFOS]])</f>
        <v>-6.3989204284790407E-2</v>
      </c>
      <c r="CH17">
        <f>LOG(Table1_1[[#This Row],[PFEtCHxS]])</f>
        <v>-0.24108810760202651</v>
      </c>
      <c r="CI17">
        <f>LOG(Table1_1[[#This Row],[FBSA]])</f>
        <v>1.1903316981702914</v>
      </c>
      <c r="CJ17">
        <f>LOG(Table1_1[[#This Row],[FHxSA]])</f>
        <v>1.9074113607745862</v>
      </c>
      <c r="CK17">
        <f>LOG(Table1_1[[#This Row],[FOSA]])</f>
        <v>0.69196510276736034</v>
      </c>
      <c r="CL17">
        <f>LOG(Table1_1[[#This Row],[N-MeFOSA]])</f>
        <v>-0.73992861201492521</v>
      </c>
      <c r="CM17">
        <f>LOG(Table1_1[[#This Row],[N-EtFOSA]])</f>
        <v>-0.32513885926218844</v>
      </c>
      <c r="CN17">
        <f>LOG(Table1_1[[#This Row],[FOSAA]])</f>
        <v>-0.32513885926218844</v>
      </c>
      <c r="CO17">
        <f>LOG(Table1_1[[#This Row],[N-MeFOSAA]])</f>
        <v>-0.62342304294348805</v>
      </c>
      <c r="CP17">
        <f>LOG(Table1_1[[#This Row],[N-EtFOSAA]])</f>
        <v>-0.62616885492616969</v>
      </c>
      <c r="CQ17">
        <f>LOG(Table1_1[[#This Row],[4:2 FTS]])</f>
        <v>-0.62616885492616969</v>
      </c>
      <c r="CR17">
        <f>LOG(Table1_1[[#This Row],[6:2 FTS]])</f>
        <v>-0.62616885492616969</v>
      </c>
      <c r="CS17">
        <f>LOG(Table1_1[[#This Row],[8:2 FTS]])</f>
        <v>0.93399316383124231</v>
      </c>
      <c r="CT17">
        <f>LOG(Table1_1[[#This Row],[10:2 FTS]])</f>
        <v>-0.32513885926218844</v>
      </c>
      <c r="CU17">
        <f>LOG(Table1_1[[#This Row],[3:3 FTCA]])</f>
        <v>-0.56383735295924398</v>
      </c>
      <c r="CV17">
        <f>LOG(Table1_1[[#This Row],[5:3 FTCA]])</f>
        <v>-0.62616885492616969</v>
      </c>
      <c r="CW17">
        <f>LOG(Table1_1[[#This Row],[7:3 FTCA]])</f>
        <v>-0.62616885492616969</v>
      </c>
      <c r="CX17">
        <f>LOG(Table1_1[[#This Row],[6:2 FTCA]])</f>
        <v>-0.32513885926218844</v>
      </c>
      <c r="CY17">
        <f>LOG(Table1_1[[#This Row],[8:2 FTCA]])</f>
        <v>-0.32513885926218844</v>
      </c>
      <c r="CZ17">
        <f>LOG(Table1_1[[#This Row],[10:2 FTCA]])</f>
        <v>-0.32513885926218844</v>
      </c>
      <c r="DA17">
        <f>LOG(Table1_1[[#This Row],[6:2 FTUCA]])</f>
        <v>-0.32513885926218844</v>
      </c>
      <c r="DB17">
        <f>LOG(Table1_1[[#This Row],[8:2 FTUCA]])</f>
        <v>-0.32513885926218844</v>
      </c>
      <c r="DC17">
        <f>LOG(Table1_1[[#This Row],[ADONA]])</f>
        <v>-0.62616885492616969</v>
      </c>
      <c r="DD17">
        <f>LOG(Table1_1[[#This Row],[9Cl-PF3ONS]])</f>
        <v>-0.32513885926218844</v>
      </c>
      <c r="DE17">
        <f>LOG(Table1_1[[#This Row],[11Cl-PF3OUdS]])</f>
        <v>-0.32513885926218844</v>
      </c>
      <c r="DF17">
        <f>LOG(Table1_1[[#This Row],[HFPO-DA]])</f>
        <v>-0.46916022138347946</v>
      </c>
      <c r="DG17">
        <f>LOG(Table1_1[[#This Row],[6:2 diPAP]])</f>
        <v>-0.32513885926218844</v>
      </c>
      <c r="DH17">
        <f>LOG(Table1_1[[#This Row],[8:2 diPAP]])</f>
        <v>-0.32513885926218844</v>
      </c>
      <c r="DI17">
        <f>LOG(Table1_1[[#This Row],[diSAmPAP]])</f>
        <v>-0.32513885926218844</v>
      </c>
    </row>
    <row r="18" spans="1:113">
      <c r="A18" t="s">
        <v>147</v>
      </c>
      <c r="B18" t="s">
        <v>121</v>
      </c>
      <c r="C18" s="3">
        <v>44393</v>
      </c>
      <c r="D18" t="s">
        <v>131</v>
      </c>
      <c r="E18" t="s">
        <v>145</v>
      </c>
      <c r="F18" t="s">
        <v>146</v>
      </c>
      <c r="G18" t="s">
        <v>118</v>
      </c>
      <c r="H18" t="s">
        <v>119</v>
      </c>
      <c r="I18">
        <v>8</v>
      </c>
      <c r="J18">
        <f>LOG(Table1_1[[#This Row],[Length]])</f>
        <v>0.90308998699194354</v>
      </c>
      <c r="K18">
        <v>4.16</v>
      </c>
      <c r="L18">
        <f>LOG(Table1_1[[#This Row],[Weight]])</f>
        <v>0.61909333062674277</v>
      </c>
      <c r="M18">
        <v>0.21099999999999999</v>
      </c>
      <c r="N18">
        <v>0.21099999999999999</v>
      </c>
      <c r="O18">
        <v>0.114</v>
      </c>
      <c r="P18">
        <v>0.21099999999999999</v>
      </c>
      <c r="Q18">
        <v>1.17</v>
      </c>
      <c r="R18">
        <v>1.04</v>
      </c>
      <c r="S18">
        <v>4.87</v>
      </c>
      <c r="T18">
        <v>6.42</v>
      </c>
      <c r="U18">
        <v>7.73</v>
      </c>
      <c r="V18">
        <v>3.02</v>
      </c>
      <c r="W18">
        <v>3.93</v>
      </c>
      <c r="X18">
        <v>0.2515</v>
      </c>
      <c r="Y18">
        <v>0.42149999999999999</v>
      </c>
      <c r="Z18">
        <v>0.14349999999999999</v>
      </c>
      <c r="AA18">
        <v>0.29799999999999999</v>
      </c>
      <c r="AB18">
        <v>27.3</v>
      </c>
      <c r="AC18">
        <v>7.73</v>
      </c>
      <c r="AD18">
        <v>628</v>
      </c>
      <c r="AE18">
        <v>0.46800000000000003</v>
      </c>
      <c r="AF18">
        <v>1.26</v>
      </c>
      <c r="AG18">
        <v>0.50700000000000001</v>
      </c>
      <c r="AH18">
        <v>0.45100000000000001</v>
      </c>
      <c r="AI18">
        <v>0.29599999999999999</v>
      </c>
      <c r="AJ18">
        <v>50.1</v>
      </c>
      <c r="AK18">
        <v>417</v>
      </c>
      <c r="AL18">
        <v>18.7</v>
      </c>
      <c r="AM18">
        <v>0.16250000000000001</v>
      </c>
      <c r="AN18">
        <v>0.42149999999999999</v>
      </c>
      <c r="AO18">
        <v>0.42149999999999999</v>
      </c>
      <c r="AP18">
        <v>0.21199999999999999</v>
      </c>
      <c r="AQ18">
        <v>0.21099999999999999</v>
      </c>
      <c r="AR18">
        <v>0.21099999999999999</v>
      </c>
      <c r="AS18">
        <v>0.46</v>
      </c>
      <c r="AT18">
        <v>16.3</v>
      </c>
      <c r="AU18">
        <v>0.42149999999999999</v>
      </c>
      <c r="AV18">
        <v>0.24299999999999999</v>
      </c>
      <c r="AW18">
        <v>0.21099999999999999</v>
      </c>
      <c r="AX18">
        <v>1.18</v>
      </c>
      <c r="AY18">
        <v>0.42149999999999999</v>
      </c>
      <c r="AZ18">
        <v>0.42149999999999999</v>
      </c>
      <c r="BA18">
        <v>0.42149999999999999</v>
      </c>
      <c r="BB18">
        <v>0.42149999999999999</v>
      </c>
      <c r="BC18">
        <v>0.42149999999999999</v>
      </c>
      <c r="BD18">
        <v>0.21099999999999999</v>
      </c>
      <c r="BE18">
        <v>0.42149999999999999</v>
      </c>
      <c r="BF18">
        <v>0.42149999999999999</v>
      </c>
      <c r="BG18">
        <v>0.30249999999999999</v>
      </c>
      <c r="BH18">
        <v>0.42149999999999999</v>
      </c>
      <c r="BI18">
        <v>0.42149999999999999</v>
      </c>
      <c r="BJ18">
        <v>0.42149999999999999</v>
      </c>
      <c r="BK18">
        <f>SUM(Table1_1[[#This Row],[PFBA]:[diSAmPAP]])</f>
        <v>1207.0369999999989</v>
      </c>
      <c r="BL18">
        <f>LOG(Table1_1[[#This Row],[PFBA]])</f>
        <v>-0.67571754470230738</v>
      </c>
      <c r="BM18">
        <f>LOG(Table1_1[[#This Row],[PFPeA]])</f>
        <v>-0.67571754470230738</v>
      </c>
      <c r="BN18">
        <f>LOG(Table1_1[[#This Row],[PFHxA]])</f>
        <v>-0.94309514866352739</v>
      </c>
      <c r="BO18">
        <f>LOG(Table1_1[[#This Row],[PFHpA]])</f>
        <v>-0.67571754470230738</v>
      </c>
      <c r="BP18">
        <f>LOG(Table1_1[[#This Row],[PFOA]])</f>
        <v>6.8185861746161619E-2</v>
      </c>
      <c r="BQ18">
        <f>LOG(Table1_1[[#This Row],[PFNA]])</f>
        <v>1.703333929878037E-2</v>
      </c>
      <c r="BR18">
        <f>LOG(Table1_1[[#This Row],[PFDA]])</f>
        <v>0.68752896121463436</v>
      </c>
      <c r="BS18">
        <f>LOG(Table1_1[[#This Row],[PFUnA]])</f>
        <v>0.80753502806885324</v>
      </c>
      <c r="BT18">
        <f>LOG(Table1_1[[#This Row],[PFDoA]])</f>
        <v>0.88817949391832496</v>
      </c>
      <c r="BU18">
        <f>LOG(Table1_1[[#This Row],[PFTrDA]])</f>
        <v>0.48000694295715063</v>
      </c>
      <c r="BV18">
        <f>LOG(Table1_1[[#This Row],[PFTeDA]])</f>
        <v>0.59439255037542671</v>
      </c>
      <c r="BW18">
        <f>LOG(Table1_1[[#This Row],[PFHxDA]])</f>
        <v>-0.59946201060805382</v>
      </c>
      <c r="BX18">
        <f>LOG(Table1_1[[#This Row],[PFPrS]])</f>
        <v>-0.3752024210392389</v>
      </c>
      <c r="BY18">
        <f>LOG(Table1_1[[#This Row],[PFBS]])</f>
        <v>-0.84314809892998888</v>
      </c>
      <c r="BZ18">
        <f>LOG(Table1_1[[#This Row],[PFPeS]])</f>
        <v>-0.52578373592374483</v>
      </c>
      <c r="CA18">
        <f>LOG(Table1_1[[#This Row],[PFHxS]])</f>
        <v>1.436162647040756</v>
      </c>
      <c r="CB18">
        <f>LOG(Table1_1[[#This Row],[PFHpS]])</f>
        <v>0.88817949391832496</v>
      </c>
      <c r="CC18">
        <f>LOG(Table1_1[[#This Row],[PFOS]])</f>
        <v>2.7979596437371961</v>
      </c>
      <c r="CD18">
        <f>LOG(Table1_1[[#This Row],[PFNS]])</f>
        <v>-0.32975414692587596</v>
      </c>
      <c r="CE18">
        <f>LOG(Table1_1[[#This Row],[PFDS]])</f>
        <v>0.10037054511756291</v>
      </c>
      <c r="CF18">
        <f>LOG(Table1_1[[#This Row],[PFDoS]])</f>
        <v>-0.29499204066666401</v>
      </c>
      <c r="CG18">
        <f>LOG(Table1_1[[#This Row],[Cl-PFOS]])</f>
        <v>-0.34582345812203946</v>
      </c>
      <c r="CH18">
        <f>LOG(Table1_1[[#This Row],[PFEtCHxS]])</f>
        <v>-0.52870828894106148</v>
      </c>
      <c r="CI18">
        <f>LOG(Table1_1[[#This Row],[FBSA]])</f>
        <v>1.6998377258672457</v>
      </c>
      <c r="CJ18">
        <f>LOG(Table1_1[[#This Row],[FHxSA]])</f>
        <v>2.6201360549737576</v>
      </c>
      <c r="CK18">
        <f>LOG(Table1_1[[#This Row],[FOSA]])</f>
        <v>1.271841606536499</v>
      </c>
      <c r="CL18">
        <f>LOG(Table1_1[[#This Row],[N-MeFOSA]])</f>
        <v>-0.78914663468510682</v>
      </c>
      <c r="CM18">
        <f>LOG(Table1_1[[#This Row],[N-EtFOSA]])</f>
        <v>-0.3752024210392389</v>
      </c>
      <c r="CN18">
        <f>LOG(Table1_1[[#This Row],[FOSAA]])</f>
        <v>-0.3752024210392389</v>
      </c>
      <c r="CO18">
        <f>LOG(Table1_1[[#This Row],[N-MeFOSAA]])</f>
        <v>-0.67366413907124856</v>
      </c>
      <c r="CP18">
        <f>LOG(Table1_1[[#This Row],[N-EtFOSAA]])</f>
        <v>-0.67571754470230738</v>
      </c>
      <c r="CQ18">
        <f>LOG(Table1_1[[#This Row],[4:2 FTS]])</f>
        <v>-0.67571754470230738</v>
      </c>
      <c r="CR18">
        <f>LOG(Table1_1[[#This Row],[6:2 FTS]])</f>
        <v>-0.33724216831842591</v>
      </c>
      <c r="CS18">
        <f>LOG(Table1_1[[#This Row],[8:2 FTS]])</f>
        <v>1.2121876044039579</v>
      </c>
      <c r="CT18">
        <f>LOG(Table1_1[[#This Row],[10:2 FTS]])</f>
        <v>-0.3752024210392389</v>
      </c>
      <c r="CU18">
        <f>LOG(Table1_1[[#This Row],[3:3 FTCA]])</f>
        <v>-0.61439372640168788</v>
      </c>
      <c r="CV18">
        <f>LOG(Table1_1[[#This Row],[5:3 FTCA]])</f>
        <v>-0.67571754470230738</v>
      </c>
      <c r="CW18">
        <f>LOG(Table1_1[[#This Row],[7:3 FTCA]])</f>
        <v>7.1882007306125359E-2</v>
      </c>
      <c r="CX18">
        <f>LOG(Table1_1[[#This Row],[6:2 FTCA]])</f>
        <v>-0.3752024210392389</v>
      </c>
      <c r="CY18">
        <f>LOG(Table1_1[[#This Row],[8:2 FTCA]])</f>
        <v>-0.3752024210392389</v>
      </c>
      <c r="CZ18">
        <f>LOG(Table1_1[[#This Row],[10:2 FTCA]])</f>
        <v>-0.3752024210392389</v>
      </c>
      <c r="DA18">
        <f>LOG(Table1_1[[#This Row],[6:2 FTUCA]])</f>
        <v>-0.3752024210392389</v>
      </c>
      <c r="DB18">
        <f>LOG(Table1_1[[#This Row],[8:2 FTUCA]])</f>
        <v>-0.3752024210392389</v>
      </c>
      <c r="DC18">
        <f>LOG(Table1_1[[#This Row],[ADONA]])</f>
        <v>-0.67571754470230738</v>
      </c>
      <c r="DD18">
        <f>LOG(Table1_1[[#This Row],[9Cl-PF3ONS]])</f>
        <v>-0.3752024210392389</v>
      </c>
      <c r="DE18">
        <f>LOG(Table1_1[[#This Row],[11Cl-PF3OUdS]])</f>
        <v>-0.3752024210392389</v>
      </c>
      <c r="DF18">
        <f>LOG(Table1_1[[#This Row],[HFPO-DA]])</f>
        <v>-0.51927462101151234</v>
      </c>
      <c r="DG18">
        <f>LOG(Table1_1[[#This Row],[6:2 diPAP]])</f>
        <v>-0.3752024210392389</v>
      </c>
      <c r="DH18">
        <f>LOG(Table1_1[[#This Row],[8:2 diPAP]])</f>
        <v>-0.3752024210392389</v>
      </c>
      <c r="DI18">
        <f>LOG(Table1_1[[#This Row],[diSAmPAP]])</f>
        <v>-0.3752024210392389</v>
      </c>
    </row>
    <row r="19" spans="1:113">
      <c r="A19" t="s">
        <v>148</v>
      </c>
      <c r="B19" t="s">
        <v>121</v>
      </c>
      <c r="C19" s="3">
        <v>44393</v>
      </c>
      <c r="D19" t="s">
        <v>131</v>
      </c>
      <c r="E19" t="s">
        <v>145</v>
      </c>
      <c r="F19" t="s">
        <v>146</v>
      </c>
      <c r="G19" t="s">
        <v>118</v>
      </c>
      <c r="H19" t="s">
        <v>119</v>
      </c>
      <c r="I19">
        <v>8</v>
      </c>
      <c r="J19">
        <f>LOG(Table1_1[[#This Row],[Length]])</f>
        <v>0.90308998699194354</v>
      </c>
      <c r="K19">
        <v>6.17</v>
      </c>
      <c r="L19">
        <f>LOG(Table1_1[[#This Row],[Weight]])</f>
        <v>0.79028516403324167</v>
      </c>
      <c r="M19">
        <v>0.2175</v>
      </c>
      <c r="N19">
        <v>0.2175</v>
      </c>
      <c r="O19">
        <v>0.11749999999999999</v>
      </c>
      <c r="P19">
        <v>0.2175</v>
      </c>
      <c r="Q19">
        <v>2.08</v>
      </c>
      <c r="R19">
        <v>2.77</v>
      </c>
      <c r="S19">
        <v>9.5</v>
      </c>
      <c r="T19">
        <v>8.49</v>
      </c>
      <c r="U19">
        <v>16.100000000000001</v>
      </c>
      <c r="V19">
        <v>4.3499999999999996</v>
      </c>
      <c r="W19">
        <v>10.6</v>
      </c>
      <c r="X19">
        <v>0.25950000000000001</v>
      </c>
      <c r="Y19">
        <v>0.4355</v>
      </c>
      <c r="Z19">
        <v>0.14799999999999999</v>
      </c>
      <c r="AA19">
        <v>0.51900000000000002</v>
      </c>
      <c r="AB19">
        <v>90.1</v>
      </c>
      <c r="AC19">
        <v>0.2175</v>
      </c>
      <c r="AD19">
        <v>1020</v>
      </c>
      <c r="AE19">
        <v>1.22</v>
      </c>
      <c r="AF19">
        <v>1.26</v>
      </c>
      <c r="AG19">
        <v>1.33</v>
      </c>
      <c r="AH19">
        <v>0.45600000000000002</v>
      </c>
      <c r="AI19">
        <v>0.248</v>
      </c>
      <c r="AJ19">
        <v>54.6</v>
      </c>
      <c r="AK19">
        <v>157</v>
      </c>
      <c r="AL19">
        <v>8.26</v>
      </c>
      <c r="AM19">
        <v>0.16750000000000001</v>
      </c>
      <c r="AN19">
        <v>0.4355</v>
      </c>
      <c r="AO19">
        <v>0.4355</v>
      </c>
      <c r="AP19">
        <v>0.219</v>
      </c>
      <c r="AQ19">
        <v>0.2175</v>
      </c>
      <c r="AR19">
        <v>0.2175</v>
      </c>
      <c r="AS19">
        <v>0.2175</v>
      </c>
      <c r="AT19">
        <v>11.1</v>
      </c>
      <c r="AU19">
        <v>1.56</v>
      </c>
      <c r="AV19">
        <v>0.251</v>
      </c>
      <c r="AW19">
        <v>0.2175</v>
      </c>
      <c r="AX19">
        <v>3.63</v>
      </c>
      <c r="AY19">
        <v>0.4355</v>
      </c>
      <c r="AZ19">
        <v>0.4355</v>
      </c>
      <c r="BA19">
        <v>0.4355</v>
      </c>
      <c r="BB19">
        <v>0.4355</v>
      </c>
      <c r="BC19">
        <v>0.4355</v>
      </c>
      <c r="BD19">
        <v>1.6</v>
      </c>
      <c r="BE19">
        <v>0.4355</v>
      </c>
      <c r="BF19">
        <v>0.4355</v>
      </c>
      <c r="BG19">
        <v>0.3125</v>
      </c>
      <c r="BH19">
        <v>0.4355</v>
      </c>
      <c r="BI19">
        <v>0.4355</v>
      </c>
      <c r="BJ19">
        <v>0.4355</v>
      </c>
      <c r="BK19">
        <f>SUM(Table1_1[[#This Row],[PFBA]:[diSAmPAP]])</f>
        <v>1415.6495000000002</v>
      </c>
      <c r="BL19">
        <f>LOG(Table1_1[[#This Row],[PFBA]])</f>
        <v>-0.66254073870934382</v>
      </c>
      <c r="BM19">
        <f>LOG(Table1_1[[#This Row],[PFPeA]])</f>
        <v>-0.66254073870934382</v>
      </c>
      <c r="BN19">
        <f>LOG(Table1_1[[#This Row],[PFHxA]])</f>
        <v>-0.92996213339224498</v>
      </c>
      <c r="BO19">
        <f>LOG(Table1_1[[#This Row],[PFHpA]])</f>
        <v>-0.66254073870934382</v>
      </c>
      <c r="BP19">
        <f>LOG(Table1_1[[#This Row],[PFOA]])</f>
        <v>0.31806333496276157</v>
      </c>
      <c r="BQ19">
        <f>LOG(Table1_1[[#This Row],[PFNA]])</f>
        <v>0.44247976906444858</v>
      </c>
      <c r="BR19">
        <f>LOG(Table1_1[[#This Row],[PFDA]])</f>
        <v>0.97772360528884772</v>
      </c>
      <c r="BS19">
        <f>LOG(Table1_1[[#This Row],[PFUnA]])</f>
        <v>0.9289076902439527</v>
      </c>
      <c r="BT19">
        <f>LOG(Table1_1[[#This Row],[PFDoA]])</f>
        <v>1.2068258760318498</v>
      </c>
      <c r="BU19">
        <f>LOG(Table1_1[[#This Row],[PFTrDA]])</f>
        <v>0.63848925695463732</v>
      </c>
      <c r="BV19">
        <f>LOG(Table1_1[[#This Row],[PFTeDA]])</f>
        <v>1.0253058652647702</v>
      </c>
      <c r="BW19">
        <f>LOG(Table1_1[[#This Row],[PFHxDA]])</f>
        <v>-0.58586263781552328</v>
      </c>
      <c r="BX19">
        <f>LOG(Table1_1[[#This Row],[PFPrS]])</f>
        <v>-0.36101184065631797</v>
      </c>
      <c r="BY19">
        <f>LOG(Table1_1[[#This Row],[PFBS]])</f>
        <v>-0.82973828460504262</v>
      </c>
      <c r="BZ19">
        <f>LOG(Table1_1[[#This Row],[PFPeS]])</f>
        <v>-0.28483264215154214</v>
      </c>
      <c r="CA19">
        <f>LOG(Table1_1[[#This Row],[PFHxS]])</f>
        <v>1.954724790979063</v>
      </c>
      <c r="CB19">
        <f>LOG(Table1_1[[#This Row],[PFHpS]])</f>
        <v>-0.66254073870934382</v>
      </c>
      <c r="CC19">
        <f>LOG(Table1_1[[#This Row],[PFOS]])</f>
        <v>3.0086001717619175</v>
      </c>
      <c r="CD19">
        <f>LOG(Table1_1[[#This Row],[PFNS]])</f>
        <v>8.6359830674748214E-2</v>
      </c>
      <c r="CE19">
        <f>LOG(Table1_1[[#This Row],[PFDS]])</f>
        <v>0.10037054511756291</v>
      </c>
      <c r="CF19">
        <f>LOG(Table1_1[[#This Row],[PFDoS]])</f>
        <v>0.12385164096708581</v>
      </c>
      <c r="CG19">
        <f>LOG(Table1_1[[#This Row],[Cl-PFOS]])</f>
        <v>-0.341035157335565</v>
      </c>
      <c r="CH19">
        <f>LOG(Table1_1[[#This Row],[PFEtCHxS]])</f>
        <v>-0.60554831917378371</v>
      </c>
      <c r="CI19">
        <f>LOG(Table1_1[[#This Row],[FBSA]])</f>
        <v>1.7371926427047373</v>
      </c>
      <c r="CJ19">
        <f>LOG(Table1_1[[#This Row],[FHxSA]])</f>
        <v>2.1958996524092336</v>
      </c>
      <c r="CK19">
        <f>LOG(Table1_1[[#This Row],[FOSA]])</f>
        <v>0.91698004732038219</v>
      </c>
      <c r="CL19">
        <f>LOG(Table1_1[[#This Row],[N-MeFOSA]])</f>
        <v>-0.77598518862713595</v>
      </c>
      <c r="CM19">
        <f>LOG(Table1_1[[#This Row],[N-EtFOSA]])</f>
        <v>-0.36101184065631797</v>
      </c>
      <c r="CN19">
        <f>LOG(Table1_1[[#This Row],[FOSAA]])</f>
        <v>-0.36101184065631797</v>
      </c>
      <c r="CO19">
        <f>LOG(Table1_1[[#This Row],[N-MeFOSAA]])</f>
        <v>-0.65955588515988162</v>
      </c>
      <c r="CP19">
        <f>LOG(Table1_1[[#This Row],[N-EtFOSAA]])</f>
        <v>-0.66254073870934382</v>
      </c>
      <c r="CQ19">
        <f>LOG(Table1_1[[#This Row],[4:2 FTS]])</f>
        <v>-0.66254073870934382</v>
      </c>
      <c r="CR19">
        <f>LOG(Table1_1[[#This Row],[6:2 FTS]])</f>
        <v>-0.66254073870934382</v>
      </c>
      <c r="CS19">
        <f>LOG(Table1_1[[#This Row],[8:2 FTS]])</f>
        <v>1.0453229787866574</v>
      </c>
      <c r="CT19">
        <f>LOG(Table1_1[[#This Row],[10:2 FTS]])</f>
        <v>0.19312459835446161</v>
      </c>
      <c r="CU19">
        <f>LOG(Table1_1[[#This Row],[3:3 FTCA]])</f>
        <v>-0.60032627851896181</v>
      </c>
      <c r="CV19">
        <f>LOG(Table1_1[[#This Row],[5:3 FTCA]])</f>
        <v>-0.66254073870934382</v>
      </c>
      <c r="CW19">
        <f>LOG(Table1_1[[#This Row],[7:3 FTCA]])</f>
        <v>0.55990662503611255</v>
      </c>
      <c r="CX19">
        <f>LOG(Table1_1[[#This Row],[6:2 FTCA]])</f>
        <v>-0.36101184065631797</v>
      </c>
      <c r="CY19">
        <f>LOG(Table1_1[[#This Row],[8:2 FTCA]])</f>
        <v>-0.36101184065631797</v>
      </c>
      <c r="CZ19">
        <f>LOG(Table1_1[[#This Row],[10:2 FTCA]])</f>
        <v>-0.36101184065631797</v>
      </c>
      <c r="DA19">
        <f>LOG(Table1_1[[#This Row],[6:2 FTUCA]])</f>
        <v>-0.36101184065631797</v>
      </c>
      <c r="DB19">
        <f>LOG(Table1_1[[#This Row],[8:2 FTUCA]])</f>
        <v>-0.36101184065631797</v>
      </c>
      <c r="DC19">
        <f>LOG(Table1_1[[#This Row],[ADONA]])</f>
        <v>0.20411998265592479</v>
      </c>
      <c r="DD19">
        <f>LOG(Table1_1[[#This Row],[9Cl-PF3ONS]])</f>
        <v>-0.36101184065631797</v>
      </c>
      <c r="DE19">
        <f>LOG(Table1_1[[#This Row],[11Cl-PF3OUdS]])</f>
        <v>-0.36101184065631797</v>
      </c>
      <c r="DF19">
        <f>LOG(Table1_1[[#This Row],[HFPO-DA]])</f>
        <v>-0.50514997831990593</v>
      </c>
      <c r="DG19">
        <f>LOG(Table1_1[[#This Row],[6:2 diPAP]])</f>
        <v>-0.36101184065631797</v>
      </c>
      <c r="DH19">
        <f>LOG(Table1_1[[#This Row],[8:2 diPAP]])</f>
        <v>-0.36101184065631797</v>
      </c>
      <c r="DI19">
        <f>LOG(Table1_1[[#This Row],[diSAmPAP]])</f>
        <v>-0.36101184065631797</v>
      </c>
    </row>
    <row r="20" spans="1:113">
      <c r="A20" t="s">
        <v>149</v>
      </c>
      <c r="B20" t="s">
        <v>121</v>
      </c>
      <c r="C20" s="3">
        <v>44393</v>
      </c>
      <c r="D20" t="s">
        <v>131</v>
      </c>
      <c r="E20" t="s">
        <v>145</v>
      </c>
      <c r="F20" t="s">
        <v>146</v>
      </c>
      <c r="G20" t="s">
        <v>118</v>
      </c>
      <c r="H20" t="s">
        <v>119</v>
      </c>
      <c r="I20">
        <v>11</v>
      </c>
      <c r="J20">
        <f>LOG(Table1_1[[#This Row],[Length]])</f>
        <v>1.0413926851582251</v>
      </c>
      <c r="K20">
        <v>14.56</v>
      </c>
      <c r="L20">
        <f>LOG(Table1_1[[#This Row],[Weight]])</f>
        <v>1.1631613749770184</v>
      </c>
      <c r="M20">
        <v>0.23400000000000001</v>
      </c>
      <c r="N20">
        <v>0.23400000000000001</v>
      </c>
      <c r="O20">
        <v>0.1265</v>
      </c>
      <c r="P20">
        <v>0.23400000000000001</v>
      </c>
      <c r="Q20">
        <v>1.68</v>
      </c>
      <c r="R20">
        <v>1.0900000000000001</v>
      </c>
      <c r="S20">
        <v>9.57</v>
      </c>
      <c r="T20">
        <v>10.1</v>
      </c>
      <c r="U20">
        <v>15.4</v>
      </c>
      <c r="V20">
        <v>5.0599999999999996</v>
      </c>
      <c r="W20">
        <v>10.7</v>
      </c>
      <c r="X20">
        <v>0.27900000000000003</v>
      </c>
      <c r="Y20">
        <v>0.46850000000000003</v>
      </c>
      <c r="Z20">
        <v>0.1595</v>
      </c>
      <c r="AA20">
        <v>0.503</v>
      </c>
      <c r="AB20">
        <v>30.4</v>
      </c>
      <c r="AC20">
        <v>10.5</v>
      </c>
      <c r="AD20">
        <v>815</v>
      </c>
      <c r="AE20">
        <v>1.36</v>
      </c>
      <c r="AF20">
        <v>2.2200000000000002</v>
      </c>
      <c r="AG20">
        <v>1.1200000000000001</v>
      </c>
      <c r="AH20">
        <v>1.1399999999999999</v>
      </c>
      <c r="AI20">
        <v>0.61699999999999999</v>
      </c>
      <c r="AJ20">
        <v>58.3</v>
      </c>
      <c r="AK20">
        <v>287</v>
      </c>
      <c r="AL20">
        <v>13.6</v>
      </c>
      <c r="AM20">
        <v>0.18049999999999999</v>
      </c>
      <c r="AN20">
        <v>0.46850000000000003</v>
      </c>
      <c r="AO20">
        <v>0.46850000000000003</v>
      </c>
      <c r="AP20">
        <v>0.23549999999999999</v>
      </c>
      <c r="AQ20">
        <v>0.23400000000000001</v>
      </c>
      <c r="AR20">
        <v>0.23400000000000001</v>
      </c>
      <c r="AS20">
        <v>0.23400000000000001</v>
      </c>
      <c r="AT20">
        <v>12.1</v>
      </c>
      <c r="AU20">
        <v>0.46850000000000003</v>
      </c>
      <c r="AV20">
        <v>0.27</v>
      </c>
      <c r="AW20">
        <v>20.2</v>
      </c>
      <c r="AX20">
        <v>0.23400000000000001</v>
      </c>
      <c r="AY20">
        <v>0.46850000000000003</v>
      </c>
      <c r="AZ20">
        <v>0.46850000000000003</v>
      </c>
      <c r="BA20">
        <v>0.46850000000000003</v>
      </c>
      <c r="BB20">
        <v>0.46850000000000003</v>
      </c>
      <c r="BC20">
        <v>0.46850000000000003</v>
      </c>
      <c r="BD20">
        <v>0.23400000000000001</v>
      </c>
      <c r="BE20">
        <v>0.46850000000000003</v>
      </c>
      <c r="BF20">
        <v>0.46850000000000003</v>
      </c>
      <c r="BG20">
        <v>0.33600000000000002</v>
      </c>
      <c r="BH20">
        <v>0.46850000000000003</v>
      </c>
      <c r="BI20">
        <v>0.46850000000000003</v>
      </c>
      <c r="BJ20">
        <v>0.46850000000000003</v>
      </c>
      <c r="BK20">
        <f>SUM(Table1_1[[#This Row],[PFBA]:[diSAmPAP]])</f>
        <v>1317.6779999999987</v>
      </c>
      <c r="BL20">
        <f>LOG(Table1_1[[#This Row],[PFBA]])</f>
        <v>-0.63078414258985716</v>
      </c>
      <c r="BM20">
        <f>LOG(Table1_1[[#This Row],[PFPeA]])</f>
        <v>-0.63078414258985716</v>
      </c>
      <c r="BN20">
        <f>LOG(Table1_1[[#This Row],[PFHxA]])</f>
        <v>-0.89790947448816327</v>
      </c>
      <c r="BO20">
        <f>LOG(Table1_1[[#This Row],[PFHpA]])</f>
        <v>-0.63078414258985716</v>
      </c>
      <c r="BP20">
        <f>LOG(Table1_1[[#This Row],[PFOA]])</f>
        <v>0.22530928172586284</v>
      </c>
      <c r="BQ20">
        <f>LOG(Table1_1[[#This Row],[PFNA]])</f>
        <v>3.7426497940623665E-2</v>
      </c>
      <c r="BR20">
        <f>LOG(Table1_1[[#This Row],[PFDA]])</f>
        <v>0.9809119377768436</v>
      </c>
      <c r="BS20">
        <f>LOG(Table1_1[[#This Row],[PFUnA]])</f>
        <v>1.0043213737826426</v>
      </c>
      <c r="BT20">
        <f>LOG(Table1_1[[#This Row],[PFDoA]])</f>
        <v>1.1875207208364631</v>
      </c>
      <c r="BU20">
        <f>LOG(Table1_1[[#This Row],[PFTrDA]])</f>
        <v>0.70415051683979912</v>
      </c>
      <c r="BV20">
        <f>LOG(Table1_1[[#This Row],[PFTeDA]])</f>
        <v>1.0293837776852097</v>
      </c>
      <c r="BW20">
        <f>LOG(Table1_1[[#This Row],[PFHxDA]])</f>
        <v>-0.55439579672640238</v>
      </c>
      <c r="BX20">
        <f>LOG(Table1_1[[#This Row],[PFPrS]])</f>
        <v>-0.32929040477620292</v>
      </c>
      <c r="BY20">
        <f>LOG(Table1_1[[#This Row],[PFBS]])</f>
        <v>-0.79723931260680003</v>
      </c>
      <c r="BZ20">
        <f>LOG(Table1_1[[#This Row],[PFPeS]])</f>
        <v>-0.29843201494407262</v>
      </c>
      <c r="CA20">
        <f>LOG(Table1_1[[#This Row],[PFHxS]])</f>
        <v>1.4828735836087537</v>
      </c>
      <c r="CB20">
        <f>LOG(Table1_1[[#This Row],[PFHpS]])</f>
        <v>1.0211892990699381</v>
      </c>
      <c r="CC20">
        <f>LOG(Table1_1[[#This Row],[PFOS]])</f>
        <v>2.9111576087399764</v>
      </c>
      <c r="CD20">
        <f>LOG(Table1_1[[#This Row],[PFNS]])</f>
        <v>0.13353890837021754</v>
      </c>
      <c r="CE20">
        <f>LOG(Table1_1[[#This Row],[PFDS]])</f>
        <v>0.34635297445063867</v>
      </c>
      <c r="CF20">
        <f>LOG(Table1_1[[#This Row],[PFDoS]])</f>
        <v>4.9218022670181653E-2</v>
      </c>
      <c r="CG20">
        <f>LOG(Table1_1[[#This Row],[Cl-PFOS]])</f>
        <v>5.6904851336472557E-2</v>
      </c>
      <c r="CH20">
        <f>LOG(Table1_1[[#This Row],[PFEtCHxS]])</f>
        <v>-0.20971483596675833</v>
      </c>
      <c r="CI20">
        <f>LOG(Table1_1[[#This Row],[FBSA]])</f>
        <v>1.7656685547590141</v>
      </c>
      <c r="CJ20">
        <f>LOG(Table1_1[[#This Row],[FHxSA]])</f>
        <v>2.4578818967339924</v>
      </c>
      <c r="CK20">
        <f>LOG(Table1_1[[#This Row],[FOSA]])</f>
        <v>1.1335389083702174</v>
      </c>
      <c r="CL20">
        <f>LOG(Table1_1[[#This Row],[N-MeFOSA]])</f>
        <v>-0.74352279375832331</v>
      </c>
      <c r="CM20">
        <f>LOG(Table1_1[[#This Row],[N-EtFOSA]])</f>
        <v>-0.32929040477620292</v>
      </c>
      <c r="CN20">
        <f>LOG(Table1_1[[#This Row],[FOSAA]])</f>
        <v>-0.32929040477620292</v>
      </c>
      <c r="CO20">
        <f>LOG(Table1_1[[#This Row],[N-MeFOSAA]])</f>
        <v>-0.62800908853508508</v>
      </c>
      <c r="CP20">
        <f>LOG(Table1_1[[#This Row],[N-EtFOSAA]])</f>
        <v>-0.63078414258985716</v>
      </c>
      <c r="CQ20">
        <f>LOG(Table1_1[[#This Row],[4:2 FTS]])</f>
        <v>-0.63078414258985716</v>
      </c>
      <c r="CR20">
        <f>LOG(Table1_1[[#This Row],[6:2 FTS]])</f>
        <v>-0.63078414258985716</v>
      </c>
      <c r="CS20">
        <f>LOG(Table1_1[[#This Row],[8:2 FTS]])</f>
        <v>1.0827853703164501</v>
      </c>
      <c r="CT20">
        <f>LOG(Table1_1[[#This Row],[10:2 FTS]])</f>
        <v>-0.32929040477620292</v>
      </c>
      <c r="CU20">
        <f>LOG(Table1_1[[#This Row],[3:3 FTCA]])</f>
        <v>-0.56863623584101264</v>
      </c>
      <c r="CV20">
        <f>LOG(Table1_1[[#This Row],[5:3 FTCA]])</f>
        <v>1.3053513694466237</v>
      </c>
      <c r="CW20">
        <f>LOG(Table1_1[[#This Row],[7:3 FTCA]])</f>
        <v>-0.63078414258985716</v>
      </c>
      <c r="CX20">
        <f>LOG(Table1_1[[#This Row],[6:2 FTCA]])</f>
        <v>-0.32929040477620292</v>
      </c>
      <c r="CY20">
        <f>LOG(Table1_1[[#This Row],[8:2 FTCA]])</f>
        <v>-0.32929040477620292</v>
      </c>
      <c r="CZ20">
        <f>LOG(Table1_1[[#This Row],[10:2 FTCA]])</f>
        <v>-0.32929040477620292</v>
      </c>
      <c r="DA20">
        <f>LOG(Table1_1[[#This Row],[6:2 FTUCA]])</f>
        <v>-0.32929040477620292</v>
      </c>
      <c r="DB20">
        <f>LOG(Table1_1[[#This Row],[8:2 FTUCA]])</f>
        <v>-0.32929040477620292</v>
      </c>
      <c r="DC20">
        <f>LOG(Table1_1[[#This Row],[ADONA]])</f>
        <v>-0.63078414258985716</v>
      </c>
      <c r="DD20">
        <f>LOG(Table1_1[[#This Row],[9Cl-PF3ONS]])</f>
        <v>-0.32929040477620292</v>
      </c>
      <c r="DE20">
        <f>LOG(Table1_1[[#This Row],[11Cl-PF3OUdS]])</f>
        <v>-0.32929040477620292</v>
      </c>
      <c r="DF20">
        <f>LOG(Table1_1[[#This Row],[HFPO-DA]])</f>
        <v>-0.4736607226101559</v>
      </c>
      <c r="DG20">
        <f>LOG(Table1_1[[#This Row],[6:2 diPAP]])</f>
        <v>-0.32929040477620292</v>
      </c>
      <c r="DH20">
        <f>LOG(Table1_1[[#This Row],[8:2 diPAP]])</f>
        <v>-0.32929040477620292</v>
      </c>
      <c r="DI20">
        <f>LOG(Table1_1[[#This Row],[diSAmPAP]])</f>
        <v>-0.32929040477620292</v>
      </c>
    </row>
    <row r="21" spans="1:113">
      <c r="A21" t="s">
        <v>150</v>
      </c>
      <c r="B21" t="s">
        <v>121</v>
      </c>
      <c r="C21" s="3">
        <v>44393</v>
      </c>
      <c r="D21" t="s">
        <v>131</v>
      </c>
      <c r="E21" t="s">
        <v>145</v>
      </c>
      <c r="F21" t="s">
        <v>146</v>
      </c>
      <c r="G21" t="s">
        <v>118</v>
      </c>
      <c r="H21" t="s">
        <v>119</v>
      </c>
      <c r="I21">
        <v>10</v>
      </c>
      <c r="J21">
        <f>LOG(Table1_1[[#This Row],[Length]])</f>
        <v>1</v>
      </c>
      <c r="K21">
        <v>9.0500000000000007</v>
      </c>
      <c r="L21">
        <f>LOG(Table1_1[[#This Row],[Weight]])</f>
        <v>0.9566485792052033</v>
      </c>
      <c r="M21">
        <v>0.22550000000000001</v>
      </c>
      <c r="N21">
        <v>0.22550000000000001</v>
      </c>
      <c r="O21">
        <v>0.1215</v>
      </c>
      <c r="P21">
        <v>0.22550000000000001</v>
      </c>
      <c r="Q21">
        <v>1.24</v>
      </c>
      <c r="R21">
        <v>0.93899999999999995</v>
      </c>
      <c r="S21">
        <v>4.53</v>
      </c>
      <c r="T21">
        <v>7.48</v>
      </c>
      <c r="U21">
        <v>14.6</v>
      </c>
      <c r="V21">
        <v>6.59</v>
      </c>
      <c r="W21">
        <v>8.85</v>
      </c>
      <c r="X21">
        <v>0.26850000000000002</v>
      </c>
      <c r="Y21">
        <v>0.45050000000000001</v>
      </c>
      <c r="Z21">
        <v>0.1535</v>
      </c>
      <c r="AA21">
        <v>0.61799999999999999</v>
      </c>
      <c r="AB21">
        <v>49.1</v>
      </c>
      <c r="AC21">
        <v>6.1</v>
      </c>
      <c r="AD21">
        <v>642</v>
      </c>
      <c r="AE21">
        <v>0.76900000000000002</v>
      </c>
      <c r="AF21">
        <v>1.34</v>
      </c>
      <c r="AG21">
        <v>0.51200000000000001</v>
      </c>
      <c r="AH21">
        <v>0.13700000000000001</v>
      </c>
      <c r="AI21">
        <v>0.27700000000000002</v>
      </c>
      <c r="AJ21">
        <v>67.8</v>
      </c>
      <c r="AK21">
        <v>122</v>
      </c>
      <c r="AL21">
        <v>5.67</v>
      </c>
      <c r="AM21">
        <v>0.17349999999999999</v>
      </c>
      <c r="AN21">
        <v>0.45050000000000001</v>
      </c>
      <c r="AO21">
        <v>0.45050000000000001</v>
      </c>
      <c r="AP21">
        <v>0.22650000000000001</v>
      </c>
      <c r="AQ21">
        <v>0.22550000000000001</v>
      </c>
      <c r="AR21">
        <v>0.22550000000000001</v>
      </c>
      <c r="AS21">
        <v>0.22550000000000001</v>
      </c>
      <c r="AT21">
        <v>7.18</v>
      </c>
      <c r="AU21">
        <v>0.45050000000000001</v>
      </c>
      <c r="AV21">
        <v>0.26</v>
      </c>
      <c r="AW21">
        <v>0.22550000000000001</v>
      </c>
      <c r="AX21">
        <v>0.22550000000000001</v>
      </c>
      <c r="AY21">
        <v>0.45050000000000001</v>
      </c>
      <c r="AZ21">
        <v>0.45050000000000001</v>
      </c>
      <c r="BA21">
        <v>0.45050000000000001</v>
      </c>
      <c r="BB21">
        <v>0.45050000000000001</v>
      </c>
      <c r="BC21">
        <v>0.45050000000000001</v>
      </c>
      <c r="BD21">
        <v>0.22550000000000001</v>
      </c>
      <c r="BE21">
        <v>0.45050000000000001</v>
      </c>
      <c r="BF21">
        <v>0.45050000000000001</v>
      </c>
      <c r="BG21">
        <v>0.32350000000000001</v>
      </c>
      <c r="BH21">
        <v>0.45050000000000001</v>
      </c>
      <c r="BI21">
        <v>0.45050000000000001</v>
      </c>
      <c r="BJ21">
        <v>0.45050000000000001</v>
      </c>
      <c r="BK21">
        <f>SUM(Table1_1[[#This Row],[PFBA]:[diSAmPAP]])</f>
        <v>957.59550000000024</v>
      </c>
      <c r="BL21">
        <f>LOG(Table1_1[[#This Row],[PFBA]])</f>
        <v>-0.64685345378602066</v>
      </c>
      <c r="BM21">
        <f>LOG(Table1_1[[#This Row],[PFPeA]])</f>
        <v>-0.64685345378602066</v>
      </c>
      <c r="BN21">
        <f>LOG(Table1_1[[#This Row],[PFHxA]])</f>
        <v>-0.91542372206566902</v>
      </c>
      <c r="BO21">
        <f>LOG(Table1_1[[#This Row],[PFHpA]])</f>
        <v>-0.64685345378602066</v>
      </c>
      <c r="BP21">
        <f>LOG(Table1_1[[#This Row],[PFOA]])</f>
        <v>9.3421685162235063E-2</v>
      </c>
      <c r="BQ21">
        <f>LOG(Table1_1[[#This Row],[PFNA]])</f>
        <v>-2.7334407733889104E-2</v>
      </c>
      <c r="BR21">
        <f>LOG(Table1_1[[#This Row],[PFDA]])</f>
        <v>0.65609820201283187</v>
      </c>
      <c r="BS21">
        <f>LOG(Table1_1[[#This Row],[PFUnA]])</f>
        <v>0.87390159786446142</v>
      </c>
      <c r="BT21">
        <f>LOG(Table1_1[[#This Row],[PFDoA]])</f>
        <v>1.1643528557844371</v>
      </c>
      <c r="BU21">
        <f>LOG(Table1_1[[#This Row],[PFTrDA]])</f>
        <v>0.81888541459400987</v>
      </c>
      <c r="BV21">
        <f>LOG(Table1_1[[#This Row],[PFTeDA]])</f>
        <v>0.94694327069782547</v>
      </c>
      <c r="BW21">
        <f>LOG(Table1_1[[#This Row],[PFHxDA]])</f>
        <v>-0.57105570996442556</v>
      </c>
      <c r="BX21">
        <f>LOG(Table1_1[[#This Row],[PFPrS]])</f>
        <v>-0.34630520468491821</v>
      </c>
      <c r="BY21">
        <f>LOG(Table1_1[[#This Row],[PFBS]])</f>
        <v>-0.81389162018679473</v>
      </c>
      <c r="BZ21">
        <f>LOG(Table1_1[[#This Row],[PFPeS]])</f>
        <v>-0.20901152491118416</v>
      </c>
      <c r="CA21">
        <f>LOG(Table1_1[[#This Row],[PFHxS]])</f>
        <v>1.6910814921229684</v>
      </c>
      <c r="CB21">
        <f>LOG(Table1_1[[#This Row],[PFHpS]])</f>
        <v>0.78532983501076703</v>
      </c>
      <c r="CC21">
        <f>LOG(Table1_1[[#This Row],[PFOS]])</f>
        <v>2.8075350280688531</v>
      </c>
      <c r="CD21">
        <f>LOG(Table1_1[[#This Row],[PFNS]])</f>
        <v>-0.11407366019856895</v>
      </c>
      <c r="CE21">
        <f>LOG(Table1_1[[#This Row],[PFDS]])</f>
        <v>0.12710479836480765</v>
      </c>
      <c r="CF21">
        <f>LOG(Table1_1[[#This Row],[PFDoS]])</f>
        <v>-0.29073003902416922</v>
      </c>
      <c r="CG21">
        <f>LOG(Table1_1[[#This Row],[Cl-PFOS]])</f>
        <v>-0.86327943284359321</v>
      </c>
      <c r="CH21">
        <f>LOG(Table1_1[[#This Row],[PFEtCHxS]])</f>
        <v>-0.55752023093555136</v>
      </c>
      <c r="CI21">
        <f>LOG(Table1_1[[#This Row],[FBSA]])</f>
        <v>1.8312296938670634</v>
      </c>
      <c r="CJ21">
        <f>LOG(Table1_1[[#This Row],[FHxSA]])</f>
        <v>2.0863598306747484</v>
      </c>
      <c r="CK21">
        <f>LOG(Table1_1[[#This Row],[FOSA]])</f>
        <v>0.75358305889290655</v>
      </c>
      <c r="CL21">
        <f>LOG(Table1_1[[#This Row],[N-MeFOSA]])</f>
        <v>-0.76070052087310747</v>
      </c>
      <c r="CM21">
        <f>LOG(Table1_1[[#This Row],[N-EtFOSA]])</f>
        <v>-0.34630520468491821</v>
      </c>
      <c r="CN21">
        <f>LOG(Table1_1[[#This Row],[FOSAA]])</f>
        <v>-0.34630520468491821</v>
      </c>
      <c r="CO21">
        <f>LOG(Table1_1[[#This Row],[N-MeFOSAA]])</f>
        <v>-0.64493179365114928</v>
      </c>
      <c r="CP21">
        <f>LOG(Table1_1[[#This Row],[N-EtFOSAA]])</f>
        <v>-0.64685345378602066</v>
      </c>
      <c r="CQ21">
        <f>LOG(Table1_1[[#This Row],[4:2 FTS]])</f>
        <v>-0.64685345378602066</v>
      </c>
      <c r="CR21">
        <f>LOG(Table1_1[[#This Row],[6:2 FTS]])</f>
        <v>-0.64685345378602066</v>
      </c>
      <c r="CS21">
        <f>LOG(Table1_1[[#This Row],[8:2 FTS]])</f>
        <v>0.85612444424230028</v>
      </c>
      <c r="CT21">
        <f>LOG(Table1_1[[#This Row],[10:2 FTS]])</f>
        <v>-0.34630520468491821</v>
      </c>
      <c r="CU21">
        <f>LOG(Table1_1[[#This Row],[3:3 FTCA]])</f>
        <v>-0.58502665202918203</v>
      </c>
      <c r="CV21">
        <f>LOG(Table1_1[[#This Row],[5:3 FTCA]])</f>
        <v>-0.64685345378602066</v>
      </c>
      <c r="CW21">
        <f>LOG(Table1_1[[#This Row],[7:3 FTCA]])</f>
        <v>-0.64685345378602066</v>
      </c>
      <c r="CX21">
        <f>LOG(Table1_1[[#This Row],[6:2 FTCA]])</f>
        <v>-0.34630520468491821</v>
      </c>
      <c r="CY21">
        <f>LOG(Table1_1[[#This Row],[8:2 FTCA]])</f>
        <v>-0.34630520468491821</v>
      </c>
      <c r="CZ21">
        <f>LOG(Table1_1[[#This Row],[10:2 FTCA]])</f>
        <v>-0.34630520468491821</v>
      </c>
      <c r="DA21">
        <f>LOG(Table1_1[[#This Row],[6:2 FTUCA]])</f>
        <v>-0.34630520468491821</v>
      </c>
      <c r="DB21">
        <f>LOG(Table1_1[[#This Row],[8:2 FTUCA]])</f>
        <v>-0.34630520468491821</v>
      </c>
      <c r="DC21">
        <f>LOG(Table1_1[[#This Row],[ADONA]])</f>
        <v>-0.64685345378602066</v>
      </c>
      <c r="DD21">
        <f>LOG(Table1_1[[#This Row],[9Cl-PF3ONS]])</f>
        <v>-0.34630520468491821</v>
      </c>
      <c r="DE21">
        <f>LOG(Table1_1[[#This Row],[11Cl-PF3OUdS]])</f>
        <v>-0.34630520468491821</v>
      </c>
      <c r="DF21">
        <f>LOG(Table1_1[[#This Row],[HFPO-DA]])</f>
        <v>-0.49012571499528079</v>
      </c>
      <c r="DG21">
        <f>LOG(Table1_1[[#This Row],[6:2 diPAP]])</f>
        <v>-0.34630520468491821</v>
      </c>
      <c r="DH21">
        <f>LOG(Table1_1[[#This Row],[8:2 diPAP]])</f>
        <v>-0.34630520468491821</v>
      </c>
      <c r="DI21">
        <f>LOG(Table1_1[[#This Row],[diSAmPAP]])</f>
        <v>-0.34630520468491821</v>
      </c>
    </row>
    <row r="22" spans="1:113">
      <c r="A22" t="s">
        <v>151</v>
      </c>
      <c r="B22" t="s">
        <v>121</v>
      </c>
      <c r="C22" s="3">
        <v>44393</v>
      </c>
      <c r="D22" t="s">
        <v>131</v>
      </c>
      <c r="E22" t="s">
        <v>145</v>
      </c>
      <c r="F22" t="s">
        <v>146</v>
      </c>
      <c r="G22" t="s">
        <v>118</v>
      </c>
      <c r="H22" t="s">
        <v>119</v>
      </c>
      <c r="I22">
        <v>6</v>
      </c>
      <c r="J22">
        <f>LOG(Table1_1[[#This Row],[Length]])</f>
        <v>0.77815125038364363</v>
      </c>
      <c r="K22">
        <v>2.0299999999999998</v>
      </c>
      <c r="L22">
        <f>LOG(Table1_1[[#This Row],[Weight]])</f>
        <v>0.30749603791321289</v>
      </c>
      <c r="M22">
        <v>0.223</v>
      </c>
      <c r="N22">
        <v>0.223</v>
      </c>
      <c r="O22">
        <v>0.12</v>
      </c>
      <c r="P22">
        <v>0.223</v>
      </c>
      <c r="Q22">
        <v>2.77</v>
      </c>
      <c r="R22">
        <v>9.73</v>
      </c>
      <c r="S22">
        <v>6.19</v>
      </c>
      <c r="T22">
        <v>7.76</v>
      </c>
      <c r="U22">
        <v>8.93</v>
      </c>
      <c r="V22">
        <v>2.41</v>
      </c>
      <c r="W22">
        <v>6.22</v>
      </c>
      <c r="X22">
        <v>0.26550000000000001</v>
      </c>
      <c r="Y22">
        <v>0.44550000000000001</v>
      </c>
      <c r="Z22">
        <v>0.1515</v>
      </c>
      <c r="AA22">
        <v>0.26100000000000001</v>
      </c>
      <c r="AB22">
        <v>29</v>
      </c>
      <c r="AC22">
        <v>12.8</v>
      </c>
      <c r="AD22">
        <v>930</v>
      </c>
      <c r="AE22">
        <v>1.24</v>
      </c>
      <c r="AF22">
        <v>2.25</v>
      </c>
      <c r="AG22">
        <v>0.626</v>
      </c>
      <c r="AH22">
        <v>1.43</v>
      </c>
      <c r="AI22">
        <v>0.64300000000000002</v>
      </c>
      <c r="AJ22">
        <v>38.200000000000003</v>
      </c>
      <c r="AK22">
        <v>401</v>
      </c>
      <c r="AL22">
        <v>22.2</v>
      </c>
      <c r="AM22">
        <v>0.17150000000000001</v>
      </c>
      <c r="AN22">
        <v>0.44550000000000001</v>
      </c>
      <c r="AO22">
        <v>0.44550000000000001</v>
      </c>
      <c r="AP22">
        <v>0.224</v>
      </c>
      <c r="AQ22">
        <v>0.223</v>
      </c>
      <c r="AR22">
        <v>0.223</v>
      </c>
      <c r="AS22">
        <v>2.0499999999999998</v>
      </c>
      <c r="AT22">
        <v>24.7</v>
      </c>
      <c r="AU22">
        <v>0.44550000000000001</v>
      </c>
      <c r="AV22">
        <v>0.25700000000000001</v>
      </c>
      <c r="AW22">
        <v>0.56599999999999995</v>
      </c>
      <c r="AX22">
        <v>5.09</v>
      </c>
      <c r="AY22">
        <v>0.44550000000000001</v>
      </c>
      <c r="AZ22">
        <v>0.44550000000000001</v>
      </c>
      <c r="BA22">
        <v>0.44550000000000001</v>
      </c>
      <c r="BB22">
        <v>0.44550000000000001</v>
      </c>
      <c r="BC22">
        <v>0.44550000000000001</v>
      </c>
      <c r="BD22">
        <v>0.223</v>
      </c>
      <c r="BE22">
        <v>0.44550000000000001</v>
      </c>
      <c r="BF22">
        <v>0.44550000000000001</v>
      </c>
      <c r="BG22">
        <v>0.31950000000000001</v>
      </c>
      <c r="BH22">
        <v>0.44550000000000001</v>
      </c>
      <c r="BI22">
        <v>0.44550000000000001</v>
      </c>
      <c r="BJ22">
        <v>0.44550000000000001</v>
      </c>
      <c r="BK22">
        <f>SUM(Table1_1[[#This Row],[PFBA]:[diSAmPAP]])</f>
        <v>1525.1500000000003</v>
      </c>
      <c r="BL22">
        <f>LOG(Table1_1[[#This Row],[PFBA]])</f>
        <v>-0.65169513695183934</v>
      </c>
      <c r="BM22">
        <f>LOG(Table1_1[[#This Row],[PFPeA]])</f>
        <v>-0.65169513695183934</v>
      </c>
      <c r="BN22">
        <f>LOG(Table1_1[[#This Row],[PFHxA]])</f>
        <v>-0.92081875395237522</v>
      </c>
      <c r="BO22">
        <f>LOG(Table1_1[[#This Row],[PFHpA]])</f>
        <v>-0.65169513695183934</v>
      </c>
      <c r="BP22">
        <f>LOG(Table1_1[[#This Row],[PFOA]])</f>
        <v>0.44247976906444858</v>
      </c>
      <c r="BQ22">
        <f>LOG(Table1_1[[#This Row],[PFNA]])</f>
        <v>0.98811284026835189</v>
      </c>
      <c r="BR22">
        <f>LOG(Table1_1[[#This Row],[PFDA]])</f>
        <v>0.79169064902011799</v>
      </c>
      <c r="BS22">
        <f>LOG(Table1_1[[#This Row],[PFUnA]])</f>
        <v>0.88986172125818841</v>
      </c>
      <c r="BT22">
        <f>LOG(Table1_1[[#This Row],[PFDoA]])</f>
        <v>0.95085145888854639</v>
      </c>
      <c r="BU22">
        <f>LOG(Table1_1[[#This Row],[PFTrDA]])</f>
        <v>0.3820170425748684</v>
      </c>
      <c r="BV22">
        <f>LOG(Table1_1[[#This Row],[PFTeDA]])</f>
        <v>0.79379038469081864</v>
      </c>
      <c r="BW22">
        <f>LOG(Table1_1[[#This Row],[PFHxDA]])</f>
        <v>-0.57593547458251215</v>
      </c>
      <c r="BX22">
        <f>LOG(Table1_1[[#This Row],[PFPrS]])</f>
        <v>-0.35115229162710637</v>
      </c>
      <c r="BY22">
        <f>LOG(Table1_1[[#This Row],[PFBS]])</f>
        <v>-0.81958736716167624</v>
      </c>
      <c r="BZ22">
        <f>LOG(Table1_1[[#This Row],[PFPeS]])</f>
        <v>-0.58335949266171905</v>
      </c>
      <c r="CA22">
        <f>LOG(Table1_1[[#This Row],[PFHxS]])</f>
        <v>1.4623979978989561</v>
      </c>
      <c r="CB22">
        <f>LOG(Table1_1[[#This Row],[PFHpS]])</f>
        <v>1.1072099696478683</v>
      </c>
      <c r="CC22">
        <f>LOG(Table1_1[[#This Row],[PFOS]])</f>
        <v>2.9684829485539352</v>
      </c>
      <c r="CD22">
        <f>LOG(Table1_1[[#This Row],[PFNS]])</f>
        <v>9.3421685162235063E-2</v>
      </c>
      <c r="CE22">
        <f>LOG(Table1_1[[#This Row],[PFDS]])</f>
        <v>0.35218251811136247</v>
      </c>
      <c r="CF22">
        <f>LOG(Table1_1[[#This Row],[PFDoS]])</f>
        <v>-0.20342566678957033</v>
      </c>
      <c r="CG22">
        <f>LOG(Table1_1[[#This Row],[Cl-PFOS]])</f>
        <v>0.1553360374650618</v>
      </c>
      <c r="CH22">
        <f>LOG(Table1_1[[#This Row],[PFEtCHxS]])</f>
        <v>-0.19178902707577791</v>
      </c>
      <c r="CI22">
        <f>LOG(Table1_1[[#This Row],[FBSA]])</f>
        <v>1.5820633629117087</v>
      </c>
      <c r="CJ22">
        <f>LOG(Table1_1[[#This Row],[FHxSA]])</f>
        <v>2.6031443726201822</v>
      </c>
      <c r="CK22">
        <f>LOG(Table1_1[[#This Row],[FOSA]])</f>
        <v>1.3463529744506386</v>
      </c>
      <c r="CL22">
        <f>LOG(Table1_1[[#This Row],[N-MeFOSA]])</f>
        <v>-0.7657358756212107</v>
      </c>
      <c r="CM22">
        <f>LOG(Table1_1[[#This Row],[N-EtFOSA]])</f>
        <v>-0.35115229162710637</v>
      </c>
      <c r="CN22">
        <f>LOG(Table1_1[[#This Row],[FOSAA]])</f>
        <v>-0.35115229162710637</v>
      </c>
      <c r="CO22">
        <f>LOG(Table1_1[[#This Row],[N-MeFOSAA]])</f>
        <v>-0.64975198166583714</v>
      </c>
      <c r="CP22">
        <f>LOG(Table1_1[[#This Row],[N-EtFOSAA]])</f>
        <v>-0.65169513695183934</v>
      </c>
      <c r="CQ22">
        <f>LOG(Table1_1[[#This Row],[4:2 FTS]])</f>
        <v>-0.65169513695183934</v>
      </c>
      <c r="CR22">
        <f>LOG(Table1_1[[#This Row],[6:2 FTS]])</f>
        <v>0.31175386105575426</v>
      </c>
      <c r="CS22">
        <f>LOG(Table1_1[[#This Row],[8:2 FTS]])</f>
        <v>1.3926969532596658</v>
      </c>
      <c r="CT22">
        <f>LOG(Table1_1[[#This Row],[10:2 FTS]])</f>
        <v>-0.35115229162710637</v>
      </c>
      <c r="CU22">
        <f>LOG(Table1_1[[#This Row],[3:3 FTCA]])</f>
        <v>-0.5900668766687055</v>
      </c>
      <c r="CV22">
        <f>LOG(Table1_1[[#This Row],[5:3 FTCA]])</f>
        <v>-0.24718356881172862</v>
      </c>
      <c r="CW22">
        <f>LOG(Table1_1[[#This Row],[7:3 FTCA]])</f>
        <v>0.70671778233675875</v>
      </c>
      <c r="CX22">
        <f>LOG(Table1_1[[#This Row],[6:2 FTCA]])</f>
        <v>-0.35115229162710637</v>
      </c>
      <c r="CY22">
        <f>LOG(Table1_1[[#This Row],[8:2 FTCA]])</f>
        <v>-0.35115229162710637</v>
      </c>
      <c r="CZ22">
        <f>LOG(Table1_1[[#This Row],[10:2 FTCA]])</f>
        <v>-0.35115229162710637</v>
      </c>
      <c r="DA22">
        <f>LOG(Table1_1[[#This Row],[6:2 FTUCA]])</f>
        <v>-0.35115229162710637</v>
      </c>
      <c r="DB22">
        <f>LOG(Table1_1[[#This Row],[8:2 FTUCA]])</f>
        <v>-0.35115229162710637</v>
      </c>
      <c r="DC22">
        <f>LOG(Table1_1[[#This Row],[ADONA]])</f>
        <v>-0.65169513695183934</v>
      </c>
      <c r="DD22">
        <f>LOG(Table1_1[[#This Row],[9Cl-PF3ONS]])</f>
        <v>-0.35115229162710637</v>
      </c>
      <c r="DE22">
        <f>LOG(Table1_1[[#This Row],[11Cl-PF3OUdS]])</f>
        <v>-0.35115229162710637</v>
      </c>
      <c r="DF22">
        <f>LOG(Table1_1[[#This Row],[HFPO-DA]])</f>
        <v>-0.49552913750558103</v>
      </c>
      <c r="DG22">
        <f>LOG(Table1_1[[#This Row],[6:2 diPAP]])</f>
        <v>-0.35115229162710637</v>
      </c>
      <c r="DH22">
        <f>LOG(Table1_1[[#This Row],[8:2 diPAP]])</f>
        <v>-0.35115229162710637</v>
      </c>
      <c r="DI22">
        <f>LOG(Table1_1[[#This Row],[diSAmPAP]])</f>
        <v>-0.35115229162710637</v>
      </c>
    </row>
    <row r="23" spans="1:113">
      <c r="A23" t="s">
        <v>152</v>
      </c>
      <c r="B23" t="s">
        <v>121</v>
      </c>
      <c r="C23" s="3">
        <v>44393</v>
      </c>
      <c r="D23" t="s">
        <v>131</v>
      </c>
      <c r="E23" t="s">
        <v>145</v>
      </c>
      <c r="F23" t="s">
        <v>146</v>
      </c>
      <c r="G23" t="s">
        <v>118</v>
      </c>
      <c r="H23" t="s">
        <v>119</v>
      </c>
      <c r="I23">
        <v>5</v>
      </c>
      <c r="J23">
        <f>LOG(Table1_1[[#This Row],[Length]])</f>
        <v>0.69897000433601886</v>
      </c>
      <c r="K23">
        <v>1.63</v>
      </c>
      <c r="L23">
        <f>LOG(Table1_1[[#This Row],[Weight]])</f>
        <v>0.21218760440395779</v>
      </c>
      <c r="M23">
        <v>0.21</v>
      </c>
      <c r="N23">
        <v>0.21</v>
      </c>
      <c r="O23">
        <v>0.1135</v>
      </c>
      <c r="P23">
        <v>0.21</v>
      </c>
      <c r="Q23">
        <v>2.17</v>
      </c>
      <c r="R23">
        <v>2.16</v>
      </c>
      <c r="S23">
        <v>7.48</v>
      </c>
      <c r="T23">
        <v>10.1</v>
      </c>
      <c r="U23">
        <v>18.600000000000001</v>
      </c>
      <c r="V23">
        <v>7.22</v>
      </c>
      <c r="W23">
        <v>7.3</v>
      </c>
      <c r="X23">
        <v>0.25</v>
      </c>
      <c r="Y23">
        <v>0.42</v>
      </c>
      <c r="Z23">
        <v>0.14299999999999999</v>
      </c>
      <c r="AA23">
        <v>0.33400000000000002</v>
      </c>
      <c r="AB23">
        <v>19.899999999999999</v>
      </c>
      <c r="AC23">
        <v>5.1100000000000003</v>
      </c>
      <c r="AD23">
        <v>934</v>
      </c>
      <c r="AE23">
        <v>0.99</v>
      </c>
      <c r="AF23">
        <v>1.68</v>
      </c>
      <c r="AG23">
        <v>0.52300000000000002</v>
      </c>
      <c r="AH23">
        <v>1.2</v>
      </c>
      <c r="AI23">
        <v>0.433</v>
      </c>
      <c r="AJ23">
        <v>30.6</v>
      </c>
      <c r="AK23">
        <v>160</v>
      </c>
      <c r="AL23">
        <v>13.7</v>
      </c>
      <c r="AM23">
        <v>0.1615</v>
      </c>
      <c r="AN23">
        <v>0.42</v>
      </c>
      <c r="AO23">
        <v>0.42</v>
      </c>
      <c r="AP23">
        <v>0.21099999999999999</v>
      </c>
      <c r="AQ23">
        <v>0.21</v>
      </c>
      <c r="AR23">
        <v>0.21</v>
      </c>
      <c r="AS23">
        <v>1.3</v>
      </c>
      <c r="AT23">
        <v>23.2</v>
      </c>
      <c r="AU23">
        <v>0.42</v>
      </c>
      <c r="AV23">
        <v>0.24199999999999999</v>
      </c>
      <c r="AW23">
        <v>0.21</v>
      </c>
      <c r="AX23">
        <v>4.1900000000000004</v>
      </c>
      <c r="AY23">
        <v>0.42</v>
      </c>
      <c r="AZ23">
        <v>0.42</v>
      </c>
      <c r="BA23">
        <v>0.42</v>
      </c>
      <c r="BB23">
        <v>0.42</v>
      </c>
      <c r="BC23">
        <v>0.42</v>
      </c>
      <c r="BD23">
        <v>0.21</v>
      </c>
      <c r="BE23">
        <v>0.42</v>
      </c>
      <c r="BF23">
        <v>0.42</v>
      </c>
      <c r="BG23">
        <v>0.30099999999999999</v>
      </c>
      <c r="BH23">
        <v>0.42</v>
      </c>
      <c r="BI23">
        <v>0.42</v>
      </c>
      <c r="BJ23">
        <v>0.42</v>
      </c>
      <c r="BK23">
        <f>SUM(Table1_1[[#This Row],[PFBA]:[diSAmPAP]])</f>
        <v>1260.9620000000011</v>
      </c>
      <c r="BL23">
        <f>LOG(Table1_1[[#This Row],[PFBA]])</f>
        <v>-0.6777807052660807</v>
      </c>
      <c r="BM23">
        <f>LOG(Table1_1[[#This Row],[PFPeA]])</f>
        <v>-0.6777807052660807</v>
      </c>
      <c r="BN23">
        <f>LOG(Table1_1[[#This Row],[PFHxA]])</f>
        <v>-0.94500413847085851</v>
      </c>
      <c r="BO23">
        <f>LOG(Table1_1[[#This Row],[PFHpA]])</f>
        <v>-0.6777807052660807</v>
      </c>
      <c r="BP23">
        <f>LOG(Table1_1[[#This Row],[PFOA]])</f>
        <v>0.33645973384852951</v>
      </c>
      <c r="BQ23">
        <f>LOG(Table1_1[[#This Row],[PFNA]])</f>
        <v>0.3344537511509309</v>
      </c>
      <c r="BR23">
        <f>LOG(Table1_1[[#This Row],[PFDA]])</f>
        <v>0.87390159786446142</v>
      </c>
      <c r="BS23">
        <f>LOG(Table1_1[[#This Row],[PFUnA]])</f>
        <v>1.0043213737826426</v>
      </c>
      <c r="BT23">
        <f>LOG(Table1_1[[#This Row],[PFDoA]])</f>
        <v>1.2695129442179163</v>
      </c>
      <c r="BU23">
        <f>LOG(Table1_1[[#This Row],[PFTrDA]])</f>
        <v>0.85853719756963909</v>
      </c>
      <c r="BV23">
        <f>LOG(Table1_1[[#This Row],[PFTeDA]])</f>
        <v>0.86332286012045589</v>
      </c>
      <c r="BW23">
        <f>LOG(Table1_1[[#This Row],[PFHxDA]])</f>
        <v>-0.6020599913279624</v>
      </c>
      <c r="BX23">
        <f>LOG(Table1_1[[#This Row],[PFPrS]])</f>
        <v>-0.37675070960209955</v>
      </c>
      <c r="BY23">
        <f>LOG(Table1_1[[#This Row],[PFBS]])</f>
        <v>-0.84466396253493825</v>
      </c>
      <c r="BZ23">
        <f>LOG(Table1_1[[#This Row],[PFPeS]])</f>
        <v>-0.4762535331884355</v>
      </c>
      <c r="CA23">
        <f>LOG(Table1_1[[#This Row],[PFHxS]])</f>
        <v>1.2988530764097066</v>
      </c>
      <c r="CB23">
        <f>LOG(Table1_1[[#This Row],[PFHpS]])</f>
        <v>0.70842090013471271</v>
      </c>
      <c r="CC23">
        <f>LOG(Table1_1[[#This Row],[PFOS]])</f>
        <v>2.9703468762300935</v>
      </c>
      <c r="CD23">
        <f>LOG(Table1_1[[#This Row],[PFNS]])</f>
        <v>-4.3648054024500883E-3</v>
      </c>
      <c r="CE23">
        <f>LOG(Table1_1[[#This Row],[PFDS]])</f>
        <v>0.22530928172586284</v>
      </c>
      <c r="CF23">
        <f>LOG(Table1_1[[#This Row],[PFDoS]])</f>
        <v>-0.28149831113272572</v>
      </c>
      <c r="CG23">
        <f>LOG(Table1_1[[#This Row],[Cl-PFOS]])</f>
        <v>7.9181246047624818E-2</v>
      </c>
      <c r="CH23">
        <f>LOG(Table1_1[[#This Row],[PFEtCHxS]])</f>
        <v>-0.36351210364663455</v>
      </c>
      <c r="CI23">
        <f>LOG(Table1_1[[#This Row],[FBSA]])</f>
        <v>1.4857214264815801</v>
      </c>
      <c r="CJ23">
        <f>LOG(Table1_1[[#This Row],[FHxSA]])</f>
        <v>2.2041199826559246</v>
      </c>
      <c r="CK23">
        <f>LOG(Table1_1[[#This Row],[FOSA]])</f>
        <v>1.1367205671564067</v>
      </c>
      <c r="CL23">
        <f>LOG(Table1_1[[#This Row],[N-MeFOSA]])</f>
        <v>-0.79182747333287828</v>
      </c>
      <c r="CM23">
        <f>LOG(Table1_1[[#This Row],[N-EtFOSA]])</f>
        <v>-0.37675070960209955</v>
      </c>
      <c r="CN23">
        <f>LOG(Table1_1[[#This Row],[FOSAA]])</f>
        <v>-0.37675070960209955</v>
      </c>
      <c r="CO23">
        <f>LOG(Table1_1[[#This Row],[N-MeFOSAA]])</f>
        <v>-0.67571754470230738</v>
      </c>
      <c r="CP23">
        <f>LOG(Table1_1[[#This Row],[N-EtFOSAA]])</f>
        <v>-0.6777807052660807</v>
      </c>
      <c r="CQ23">
        <f>LOG(Table1_1[[#This Row],[4:2 FTS]])</f>
        <v>-0.6777807052660807</v>
      </c>
      <c r="CR23">
        <f>LOG(Table1_1[[#This Row],[6:2 FTS]])</f>
        <v>0.11394335230683679</v>
      </c>
      <c r="CS23">
        <f>LOG(Table1_1[[#This Row],[8:2 FTS]])</f>
        <v>1.3654879848908996</v>
      </c>
      <c r="CT23">
        <f>LOG(Table1_1[[#This Row],[10:2 FTS]])</f>
        <v>-0.37675070960209955</v>
      </c>
      <c r="CU23">
        <f>LOG(Table1_1[[#This Row],[3:3 FTCA]])</f>
        <v>-0.61618463401956869</v>
      </c>
      <c r="CV23">
        <f>LOG(Table1_1[[#This Row],[5:3 FTCA]])</f>
        <v>-0.6777807052660807</v>
      </c>
      <c r="CW23">
        <f>LOG(Table1_1[[#This Row],[7:3 FTCA]])</f>
        <v>0.62221402296629535</v>
      </c>
      <c r="CX23">
        <f>LOG(Table1_1[[#This Row],[6:2 FTCA]])</f>
        <v>-0.37675070960209955</v>
      </c>
      <c r="CY23">
        <f>LOG(Table1_1[[#This Row],[8:2 FTCA]])</f>
        <v>-0.37675070960209955</v>
      </c>
      <c r="CZ23">
        <f>LOG(Table1_1[[#This Row],[10:2 FTCA]])</f>
        <v>-0.37675070960209955</v>
      </c>
      <c r="DA23">
        <f>LOG(Table1_1[[#This Row],[6:2 FTUCA]])</f>
        <v>-0.37675070960209955</v>
      </c>
      <c r="DB23">
        <f>LOG(Table1_1[[#This Row],[8:2 FTUCA]])</f>
        <v>-0.37675070960209955</v>
      </c>
      <c r="DC23">
        <f>LOG(Table1_1[[#This Row],[ADONA]])</f>
        <v>-0.6777807052660807</v>
      </c>
      <c r="DD23">
        <f>LOG(Table1_1[[#This Row],[9Cl-PF3ONS]])</f>
        <v>-0.37675070960209955</v>
      </c>
      <c r="DE23">
        <f>LOG(Table1_1[[#This Row],[11Cl-PF3OUdS]])</f>
        <v>-0.37675070960209955</v>
      </c>
      <c r="DF23">
        <f>LOG(Table1_1[[#This Row],[HFPO-DA]])</f>
        <v>-0.52143350440615666</v>
      </c>
      <c r="DG23">
        <f>LOG(Table1_1[[#This Row],[6:2 diPAP]])</f>
        <v>-0.37675070960209955</v>
      </c>
      <c r="DH23">
        <f>LOG(Table1_1[[#This Row],[8:2 diPAP]])</f>
        <v>-0.37675070960209955</v>
      </c>
      <c r="DI23">
        <f>LOG(Table1_1[[#This Row],[diSAmPAP]])</f>
        <v>-0.37675070960209955</v>
      </c>
    </row>
    <row r="24" spans="1:113">
      <c r="A24" t="s">
        <v>153</v>
      </c>
      <c r="B24" t="s">
        <v>121</v>
      </c>
      <c r="C24" s="3">
        <v>44393</v>
      </c>
      <c r="D24" t="s">
        <v>131</v>
      </c>
      <c r="E24" t="s">
        <v>145</v>
      </c>
      <c r="F24" t="s">
        <v>146</v>
      </c>
      <c r="G24" t="s">
        <v>118</v>
      </c>
      <c r="H24" t="s">
        <v>119</v>
      </c>
      <c r="I24">
        <v>4</v>
      </c>
      <c r="J24">
        <f>LOG(Table1_1[[#This Row],[Length]])</f>
        <v>0.6020599913279624</v>
      </c>
      <c r="K24">
        <v>1.63</v>
      </c>
      <c r="L24">
        <f>LOG(Table1_1[[#This Row],[Weight]])</f>
        <v>0.21218760440395779</v>
      </c>
      <c r="M24">
        <v>0.23200000000000001</v>
      </c>
      <c r="N24">
        <v>0.23200000000000001</v>
      </c>
      <c r="O24">
        <v>0.1255</v>
      </c>
      <c r="P24">
        <v>0.23200000000000001</v>
      </c>
      <c r="Q24">
        <v>2.42</v>
      </c>
      <c r="R24">
        <v>2.0099999999999998</v>
      </c>
      <c r="S24">
        <v>5.28</v>
      </c>
      <c r="T24">
        <v>8.9600000000000009</v>
      </c>
      <c r="U24">
        <v>10.1</v>
      </c>
      <c r="V24">
        <v>2.76</v>
      </c>
      <c r="W24">
        <v>3.5</v>
      </c>
      <c r="X24">
        <v>0.27650000000000002</v>
      </c>
      <c r="Y24">
        <v>0.46450000000000002</v>
      </c>
      <c r="Z24">
        <v>0.158</v>
      </c>
      <c r="AA24">
        <v>0.123</v>
      </c>
      <c r="AB24">
        <v>30.1</v>
      </c>
      <c r="AC24">
        <v>13.8</v>
      </c>
      <c r="AD24">
        <v>682</v>
      </c>
      <c r="AE24">
        <v>1.33</v>
      </c>
      <c r="AF24">
        <v>2.84</v>
      </c>
      <c r="AG24">
        <v>0.95499999999999996</v>
      </c>
      <c r="AH24">
        <v>0.77100000000000002</v>
      </c>
      <c r="AI24">
        <v>0.56699999999999995</v>
      </c>
      <c r="AJ24">
        <v>35.200000000000003</v>
      </c>
      <c r="AK24">
        <v>257</v>
      </c>
      <c r="AL24">
        <v>17.5</v>
      </c>
      <c r="AM24">
        <v>0.17899999999999999</v>
      </c>
      <c r="AN24">
        <v>0.46450000000000002</v>
      </c>
      <c r="AO24">
        <v>0.46450000000000002</v>
      </c>
      <c r="AP24">
        <v>0.23350000000000001</v>
      </c>
      <c r="AQ24">
        <v>0.23200000000000001</v>
      </c>
      <c r="AR24">
        <v>0.23200000000000001</v>
      </c>
      <c r="AS24">
        <v>1.44</v>
      </c>
      <c r="AT24">
        <v>19</v>
      </c>
      <c r="AU24">
        <v>0.46450000000000002</v>
      </c>
      <c r="AV24">
        <v>0.26800000000000002</v>
      </c>
      <c r="AW24">
        <v>0.23200000000000001</v>
      </c>
      <c r="AX24">
        <v>11.2</v>
      </c>
      <c r="AY24">
        <v>0.46450000000000002</v>
      </c>
      <c r="AZ24">
        <v>0.46450000000000002</v>
      </c>
      <c r="BA24">
        <v>0.46450000000000002</v>
      </c>
      <c r="BB24">
        <v>0.46450000000000002</v>
      </c>
      <c r="BC24">
        <v>0.46450000000000002</v>
      </c>
      <c r="BD24">
        <v>0.23200000000000001</v>
      </c>
      <c r="BE24">
        <v>0.46450000000000002</v>
      </c>
      <c r="BF24">
        <v>0.46450000000000002</v>
      </c>
      <c r="BG24">
        <v>0.33300000000000002</v>
      </c>
      <c r="BH24">
        <v>0.46450000000000002</v>
      </c>
      <c r="BI24">
        <v>0.46450000000000002</v>
      </c>
      <c r="BJ24">
        <v>0.46450000000000002</v>
      </c>
      <c r="BK24">
        <f>SUM(Table1_1[[#This Row],[PFBA]:[diSAmPAP]])</f>
        <v>1118.5565000000011</v>
      </c>
      <c r="BL24">
        <f>LOG(Table1_1[[#This Row],[PFBA]])</f>
        <v>-0.63451201510910027</v>
      </c>
      <c r="BM24">
        <f>LOG(Table1_1[[#This Row],[PFPeA]])</f>
        <v>-0.63451201510910027</v>
      </c>
      <c r="BN24">
        <f>LOG(Table1_1[[#This Row],[PFHxA]])</f>
        <v>-0.90135627418294306</v>
      </c>
      <c r="BO24">
        <f>LOG(Table1_1[[#This Row],[PFHpA]])</f>
        <v>-0.63451201510910027</v>
      </c>
      <c r="BP24">
        <f>LOG(Table1_1[[#This Row],[PFOA]])</f>
        <v>0.38381536598043126</v>
      </c>
      <c r="BQ24">
        <f>LOG(Table1_1[[#This Row],[PFNA]])</f>
        <v>0.30319605742048883</v>
      </c>
      <c r="BR24">
        <f>LOG(Table1_1[[#This Row],[PFDA]])</f>
        <v>0.72263392253381231</v>
      </c>
      <c r="BS24">
        <f>LOG(Table1_1[[#This Row],[PFUnA]])</f>
        <v>0.95230800966212525</v>
      </c>
      <c r="BT24">
        <f>LOG(Table1_1[[#This Row],[PFDoA]])</f>
        <v>1.0043213737826426</v>
      </c>
      <c r="BU24">
        <f>LOG(Table1_1[[#This Row],[PFTrDA]])</f>
        <v>0.44090908206521767</v>
      </c>
      <c r="BV24">
        <f>LOG(Table1_1[[#This Row],[PFTeDA]])</f>
        <v>0.54406804435027567</v>
      </c>
      <c r="BW24">
        <f>LOG(Table1_1[[#This Row],[PFHxDA]])</f>
        <v>-0.55830486435928295</v>
      </c>
      <c r="BX24">
        <f>LOG(Table1_1[[#This Row],[PFPrS]])</f>
        <v>-0.33301428167033942</v>
      </c>
      <c r="BY24">
        <f>LOG(Table1_1[[#This Row],[PFBS]])</f>
        <v>-0.80134291304557737</v>
      </c>
      <c r="BZ24">
        <f>LOG(Table1_1[[#This Row],[PFPeS]])</f>
        <v>-0.91009488856060206</v>
      </c>
      <c r="CA24">
        <f>LOG(Table1_1[[#This Row],[PFHxS]])</f>
        <v>1.4785664955938433</v>
      </c>
      <c r="CB24">
        <f>LOG(Table1_1[[#This Row],[PFHpS]])</f>
        <v>1.1398790864012365</v>
      </c>
      <c r="CC24">
        <f>LOG(Table1_1[[#This Row],[PFOS]])</f>
        <v>2.8337843746564788</v>
      </c>
      <c r="CD24">
        <f>LOG(Table1_1[[#This Row],[PFNS]])</f>
        <v>0.12385164096708581</v>
      </c>
      <c r="CE24">
        <f>LOG(Table1_1[[#This Row],[PFDS]])</f>
        <v>0.45331834004703764</v>
      </c>
      <c r="CF24">
        <f>LOG(Table1_1[[#This Row],[PFDoS]])</f>
        <v>-1.9996628416253676E-2</v>
      </c>
      <c r="CG24">
        <f>LOG(Table1_1[[#This Row],[Cl-PFOS]])</f>
        <v>-0.11294562194904302</v>
      </c>
      <c r="CH24">
        <f>LOG(Table1_1[[#This Row],[PFEtCHxS]])</f>
        <v>-0.24641694110709347</v>
      </c>
      <c r="CI24">
        <f>LOG(Table1_1[[#This Row],[FBSA]])</f>
        <v>1.546542663478131</v>
      </c>
      <c r="CJ24">
        <f>LOG(Table1_1[[#This Row],[FHxSA]])</f>
        <v>2.4099331233312946</v>
      </c>
      <c r="CK24">
        <f>LOG(Table1_1[[#This Row],[FOSA]])</f>
        <v>1.2430380486862944</v>
      </c>
      <c r="CL24">
        <f>LOG(Table1_1[[#This Row],[N-MeFOSA]])</f>
        <v>-0.7471469690201068</v>
      </c>
      <c r="CM24">
        <f>LOG(Table1_1[[#This Row],[N-EtFOSA]])</f>
        <v>-0.33301428167033942</v>
      </c>
      <c r="CN24">
        <f>LOG(Table1_1[[#This Row],[FOSAA]])</f>
        <v>-0.33301428167033942</v>
      </c>
      <c r="CO24">
        <f>LOG(Table1_1[[#This Row],[N-MeFOSAA]])</f>
        <v>-0.63171311509786898</v>
      </c>
      <c r="CP24">
        <f>LOG(Table1_1[[#This Row],[N-EtFOSAA]])</f>
        <v>-0.63451201510910027</v>
      </c>
      <c r="CQ24">
        <f>LOG(Table1_1[[#This Row],[4:2 FTS]])</f>
        <v>-0.63451201510910027</v>
      </c>
      <c r="CR24">
        <f>LOG(Table1_1[[#This Row],[6:2 FTS]])</f>
        <v>0.15836249209524964</v>
      </c>
      <c r="CS24">
        <f>LOG(Table1_1[[#This Row],[8:2 FTS]])</f>
        <v>1.2787536009528289</v>
      </c>
      <c r="CT24">
        <f>LOG(Table1_1[[#This Row],[10:2 FTS]])</f>
        <v>-0.33301428167033942</v>
      </c>
      <c r="CU24">
        <f>LOG(Table1_1[[#This Row],[3:3 FTCA]])</f>
        <v>-0.57186520597121115</v>
      </c>
      <c r="CV24">
        <f>LOG(Table1_1[[#This Row],[5:3 FTCA]])</f>
        <v>-0.63451201510910027</v>
      </c>
      <c r="CW24">
        <f>LOG(Table1_1[[#This Row],[7:3 FTCA]])</f>
        <v>1.0492180226701815</v>
      </c>
      <c r="CX24">
        <f>LOG(Table1_1[[#This Row],[6:2 FTCA]])</f>
        <v>-0.33301428167033942</v>
      </c>
      <c r="CY24">
        <f>LOG(Table1_1[[#This Row],[8:2 FTCA]])</f>
        <v>-0.33301428167033942</v>
      </c>
      <c r="CZ24">
        <f>LOG(Table1_1[[#This Row],[10:2 FTCA]])</f>
        <v>-0.33301428167033942</v>
      </c>
      <c r="DA24">
        <f>LOG(Table1_1[[#This Row],[6:2 FTUCA]])</f>
        <v>-0.33301428167033942</v>
      </c>
      <c r="DB24">
        <f>LOG(Table1_1[[#This Row],[8:2 FTUCA]])</f>
        <v>-0.33301428167033942</v>
      </c>
      <c r="DC24">
        <f>LOG(Table1_1[[#This Row],[ADONA]])</f>
        <v>-0.63451201510910027</v>
      </c>
      <c r="DD24">
        <f>LOG(Table1_1[[#This Row],[9Cl-PF3ONS]])</f>
        <v>-0.33301428167033942</v>
      </c>
      <c r="DE24">
        <f>LOG(Table1_1[[#This Row],[11Cl-PF3OUdS]])</f>
        <v>-0.33301428167033942</v>
      </c>
      <c r="DF24">
        <f>LOG(Table1_1[[#This Row],[HFPO-DA]])</f>
        <v>-0.47755576649368009</v>
      </c>
      <c r="DG24">
        <f>LOG(Table1_1[[#This Row],[6:2 diPAP]])</f>
        <v>-0.33301428167033942</v>
      </c>
      <c r="DH24">
        <f>LOG(Table1_1[[#This Row],[8:2 diPAP]])</f>
        <v>-0.33301428167033942</v>
      </c>
      <c r="DI24">
        <f>LOG(Table1_1[[#This Row],[diSAmPAP]])</f>
        <v>-0.33301428167033942</v>
      </c>
    </row>
    <row r="25" spans="1:113">
      <c r="A25" t="s">
        <v>154</v>
      </c>
      <c r="B25" t="s">
        <v>114</v>
      </c>
      <c r="C25" s="3">
        <v>44314</v>
      </c>
      <c r="D25" t="s">
        <v>139</v>
      </c>
      <c r="E25" t="s">
        <v>140</v>
      </c>
      <c r="F25" t="s">
        <v>141</v>
      </c>
      <c r="G25" t="s">
        <v>118</v>
      </c>
      <c r="H25" t="s">
        <v>119</v>
      </c>
      <c r="I25">
        <v>12</v>
      </c>
      <c r="J25">
        <f>LOG(Table1_1[[#This Row],[Length]])</f>
        <v>1.0791812460476249</v>
      </c>
      <c r="K25">
        <v>22.23</v>
      </c>
      <c r="L25">
        <f>LOG(Table1_1[[#This Row],[Weight]])</f>
        <v>1.3469394626989906</v>
      </c>
      <c r="M25">
        <v>0.23699999999999999</v>
      </c>
      <c r="N25">
        <v>5.0999999999999997E-2</v>
      </c>
      <c r="O25">
        <v>0.58199999999999996</v>
      </c>
      <c r="P25">
        <v>9.5000000000000001E-2</v>
      </c>
      <c r="Q25">
        <v>8.6199999999999992</v>
      </c>
      <c r="R25">
        <v>4.4000000000000004</v>
      </c>
      <c r="S25">
        <v>8.83</v>
      </c>
      <c r="T25">
        <v>8.81</v>
      </c>
      <c r="U25">
        <v>11.6</v>
      </c>
      <c r="V25">
        <v>5.54</v>
      </c>
      <c r="W25">
        <v>4.3099999999999996</v>
      </c>
      <c r="X25">
        <v>8.5500000000000007E-2</v>
      </c>
      <c r="Y25">
        <v>5.5E-2</v>
      </c>
      <c r="Z25">
        <v>3.48</v>
      </c>
      <c r="AA25">
        <v>4.72</v>
      </c>
      <c r="AB25">
        <v>66.599999999999994</v>
      </c>
      <c r="AC25">
        <v>19.399999999999999</v>
      </c>
      <c r="AD25">
        <v>1050</v>
      </c>
      <c r="AE25">
        <v>1.92</v>
      </c>
      <c r="AF25">
        <v>3.03</v>
      </c>
      <c r="AG25">
        <v>0.79700000000000004</v>
      </c>
      <c r="AH25">
        <v>0.72099999999999997</v>
      </c>
      <c r="AI25">
        <v>0.59099999999999997</v>
      </c>
      <c r="AJ25">
        <v>37.299999999999997</v>
      </c>
      <c r="AK25">
        <v>241</v>
      </c>
      <c r="AL25">
        <v>30.4</v>
      </c>
      <c r="AM25">
        <v>5.5500000000000001E-2</v>
      </c>
      <c r="AN25">
        <v>8.4000000000000005E-2</v>
      </c>
      <c r="AO25">
        <v>0.187</v>
      </c>
      <c r="AP25">
        <v>0.23849999999999999</v>
      </c>
      <c r="AQ25">
        <v>6.25E-2</v>
      </c>
      <c r="AR25">
        <v>5.8999999999999997E-2</v>
      </c>
      <c r="AS25">
        <v>7.98</v>
      </c>
      <c r="AT25">
        <v>12.4</v>
      </c>
      <c r="AU25">
        <v>0.26950000000000002</v>
      </c>
      <c r="AV25">
        <v>8.3000000000000004E-2</v>
      </c>
      <c r="AW25">
        <v>7.1999999999999995E-2</v>
      </c>
      <c r="AX25">
        <v>9</v>
      </c>
      <c r="AY25">
        <v>7.1999999999999995E-2</v>
      </c>
      <c r="AZ25">
        <v>6.6</v>
      </c>
      <c r="BA25">
        <v>0.93700000000000006</v>
      </c>
      <c r="BB25">
        <v>5.6500000000000002E-2</v>
      </c>
      <c r="BC25">
        <v>4.3499999999999997E-2</v>
      </c>
      <c r="BD25">
        <v>7.1999999999999995E-2</v>
      </c>
      <c r="BE25">
        <v>7.1999999999999995E-2</v>
      </c>
      <c r="BF25">
        <v>7.1999999999999995E-2</v>
      </c>
      <c r="BG25">
        <v>0.10299999999999999</v>
      </c>
      <c r="BH25">
        <v>7.6499999999999999E-2</v>
      </c>
      <c r="BI25">
        <v>9.5500000000000002E-2</v>
      </c>
      <c r="BJ25">
        <v>0.1265</v>
      </c>
      <c r="BK25">
        <f>SUM(Table1_1[[#This Row],[PFBA]:[diSAmPAP]])</f>
        <v>1551.9919999999993</v>
      </c>
      <c r="BL25">
        <f>LOG(Table1_1[[#This Row],[PFBA]])</f>
        <v>-0.62525165398989613</v>
      </c>
      <c r="BM25">
        <f>LOG(Table1_1[[#This Row],[PFPeA]])</f>
        <v>-1.2924298239020637</v>
      </c>
      <c r="BN25">
        <f>LOG(Table1_1[[#This Row],[PFHxA]])</f>
        <v>-0.23507701535011155</v>
      </c>
      <c r="BO25">
        <f>LOG(Table1_1[[#This Row],[PFHpA]])</f>
        <v>-1.0222763947111522</v>
      </c>
      <c r="BP25">
        <f>LOG(Table1_1[[#This Row],[PFOA]])</f>
        <v>0.93550726582471277</v>
      </c>
      <c r="BQ25">
        <f>LOG(Table1_1[[#This Row],[PFNA]])</f>
        <v>0.64345267648618742</v>
      </c>
      <c r="BR25">
        <f>LOG(Table1_1[[#This Row],[PFDA]])</f>
        <v>0.94596070357756856</v>
      </c>
      <c r="BS25">
        <f>LOG(Table1_1[[#This Row],[PFUnA]])</f>
        <v>0.94497590841204793</v>
      </c>
      <c r="BT25">
        <f>LOG(Table1_1[[#This Row],[PFDoA]])</f>
        <v>1.0644579892269184</v>
      </c>
      <c r="BU25">
        <f>LOG(Table1_1[[#This Row],[PFTrDA]])</f>
        <v>0.74350976472842978</v>
      </c>
      <c r="BV25">
        <f>LOG(Table1_1[[#This Row],[PFTeDA]])</f>
        <v>0.63447727016073152</v>
      </c>
      <c r="BW25">
        <f>LOG(Table1_1[[#This Row],[PFHxDA]])</f>
        <v>-1.0680338852718274</v>
      </c>
      <c r="BX25">
        <f>LOG(Table1_1[[#This Row],[PFPrS]])</f>
        <v>-1.2596373105057561</v>
      </c>
      <c r="BY25">
        <f>LOG(Table1_1[[#This Row],[PFBS]])</f>
        <v>0.54157924394658097</v>
      </c>
      <c r="BZ25">
        <f>LOG(Table1_1[[#This Row],[PFPeS]])</f>
        <v>0.67394199863408777</v>
      </c>
      <c r="CA25">
        <f>LOG(Table1_1[[#This Row],[PFHxS]])</f>
        <v>1.823474229170301</v>
      </c>
      <c r="CB25">
        <f>LOG(Table1_1[[#This Row],[PFHpS]])</f>
        <v>1.287801729930226</v>
      </c>
      <c r="CC25">
        <f>LOG(Table1_1[[#This Row],[PFOS]])</f>
        <v>3.0211892990699383</v>
      </c>
      <c r="CD25">
        <f>LOG(Table1_1[[#This Row],[PFNS]])</f>
        <v>0.28330122870354957</v>
      </c>
      <c r="CE25">
        <f>LOG(Table1_1[[#This Row],[PFDS]])</f>
        <v>0.48144262850230496</v>
      </c>
      <c r="CF25">
        <f>LOG(Table1_1[[#This Row],[PFDoS]])</f>
        <v>-9.8541678603887628E-2</v>
      </c>
      <c r="CG25">
        <f>LOG(Table1_1[[#This Row],[Cl-PFOS]])</f>
        <v>-0.14206473528057098</v>
      </c>
      <c r="CH25">
        <f>LOG(Table1_1[[#This Row],[PFEtCHxS]])</f>
        <v>-0.22841251911874466</v>
      </c>
      <c r="CI25">
        <f>LOG(Table1_1[[#This Row],[FBSA]])</f>
        <v>1.5717088318086876</v>
      </c>
      <c r="CJ25">
        <f>LOG(Table1_1[[#This Row],[FHxSA]])</f>
        <v>2.3820170425748683</v>
      </c>
      <c r="CK25">
        <f>LOG(Table1_1[[#This Row],[FOSA]])</f>
        <v>1.4828735836087537</v>
      </c>
      <c r="CL25">
        <f>LOG(Table1_1[[#This Row],[N-MeFOSA]])</f>
        <v>-1.2557070168773237</v>
      </c>
      <c r="CM25">
        <f>LOG(Table1_1[[#This Row],[N-EtFOSA]])</f>
        <v>-1.0757207139381184</v>
      </c>
      <c r="CN25">
        <f>LOG(Table1_1[[#This Row],[FOSAA]])</f>
        <v>-0.72815839346350109</v>
      </c>
      <c r="CO25">
        <f>LOG(Table1_1[[#This Row],[N-MeFOSAA]])</f>
        <v>-0.62251161662386734</v>
      </c>
      <c r="CP25">
        <f>LOG(Table1_1[[#This Row],[N-EtFOSAA]])</f>
        <v>-1.2041199826559248</v>
      </c>
      <c r="CQ25">
        <f>LOG(Table1_1[[#This Row],[4:2 FTS]])</f>
        <v>-1.2291479883578558</v>
      </c>
      <c r="CR25">
        <f>LOG(Table1_1[[#This Row],[6:2 FTS]])</f>
        <v>0.90200289135072942</v>
      </c>
      <c r="CS25">
        <f>LOG(Table1_1[[#This Row],[8:2 FTS]])</f>
        <v>1.0934216851622351</v>
      </c>
      <c r="CT25">
        <f>LOG(Table1_1[[#This Row],[10:2 FTS]])</f>
        <v>-0.56944123047724249</v>
      </c>
      <c r="CU25">
        <f>LOG(Table1_1[[#This Row],[3:3 FTCA]])</f>
        <v>-1.080921907623926</v>
      </c>
      <c r="CV25">
        <f>LOG(Table1_1[[#This Row],[5:3 FTCA]])</f>
        <v>-1.1426675035687315</v>
      </c>
      <c r="CW25">
        <f>LOG(Table1_1[[#This Row],[7:3 FTCA]])</f>
        <v>0.95424250943932487</v>
      </c>
      <c r="CX25">
        <f>LOG(Table1_1[[#This Row],[6:2 FTCA]])</f>
        <v>-1.1426675035687315</v>
      </c>
      <c r="CY25">
        <f>LOG(Table1_1[[#This Row],[8:2 FTCA]])</f>
        <v>0.81954393554186866</v>
      </c>
      <c r="CZ25">
        <f>LOG(Table1_1[[#This Row],[10:2 FTCA]])</f>
        <v>-2.8260409112221711E-2</v>
      </c>
      <c r="DA25">
        <f>LOG(Table1_1[[#This Row],[6:2 FTUCA]])</f>
        <v>-1.2479515521805615</v>
      </c>
      <c r="DB25">
        <f>LOG(Table1_1[[#This Row],[8:2 FTUCA]])</f>
        <v>-1.3615107430453628</v>
      </c>
      <c r="DC25">
        <f>LOG(Table1_1[[#This Row],[ADONA]])</f>
        <v>-1.1426675035687315</v>
      </c>
      <c r="DD25">
        <f>LOG(Table1_1[[#This Row],[9Cl-PF3ONS]])</f>
        <v>-1.1426675035687315</v>
      </c>
      <c r="DE25">
        <f>LOG(Table1_1[[#This Row],[11Cl-PF3OUdS]])</f>
        <v>-1.1426675035687315</v>
      </c>
      <c r="DF25">
        <f>LOG(Table1_1[[#This Row],[HFPO-DA]])</f>
        <v>-0.98716277529482777</v>
      </c>
      <c r="DG25">
        <f>LOG(Table1_1[[#This Row],[6:2 diPAP]])</f>
        <v>-1.1163385648463824</v>
      </c>
      <c r="DH25">
        <f>LOG(Table1_1[[#This Row],[8:2 diPAP]])</f>
        <v>-1.0199966284162536</v>
      </c>
      <c r="DI25">
        <f>LOG(Table1_1[[#This Row],[diSAmPAP]])</f>
        <v>-0.89790947448816327</v>
      </c>
    </row>
    <row r="26" spans="1:113">
      <c r="A26" t="s">
        <v>155</v>
      </c>
      <c r="B26" t="s">
        <v>114</v>
      </c>
      <c r="C26" s="3">
        <v>44314</v>
      </c>
      <c r="D26" t="s">
        <v>131</v>
      </c>
      <c r="E26" t="s">
        <v>132</v>
      </c>
      <c r="F26" t="s">
        <v>133</v>
      </c>
      <c r="G26" t="s">
        <v>118</v>
      </c>
      <c r="H26" t="s">
        <v>119</v>
      </c>
      <c r="I26">
        <v>11</v>
      </c>
      <c r="J26">
        <f>LOG(Table1_1[[#This Row],[Length]])</f>
        <v>1.0413926851582251</v>
      </c>
      <c r="K26">
        <v>13.86</v>
      </c>
      <c r="L26">
        <f>LOG(Table1_1[[#This Row],[Weight]])</f>
        <v>1.1417632302757879</v>
      </c>
      <c r="M26">
        <v>0.2455</v>
      </c>
      <c r="N26">
        <v>5.2499999999999998E-2</v>
      </c>
      <c r="O26">
        <v>4.0149999999999998E-2</v>
      </c>
      <c r="P26">
        <v>2.9850000000000002E-2</v>
      </c>
      <c r="Q26">
        <v>6.35</v>
      </c>
      <c r="R26">
        <v>4.1500000000000004</v>
      </c>
      <c r="S26">
        <v>10.4</v>
      </c>
      <c r="T26">
        <v>12.1</v>
      </c>
      <c r="U26">
        <v>16.7</v>
      </c>
      <c r="V26">
        <v>3.67</v>
      </c>
      <c r="W26">
        <v>6.35</v>
      </c>
      <c r="X26">
        <v>8.8999999999999996E-2</v>
      </c>
      <c r="Y26">
        <v>5.7000000000000002E-2</v>
      </c>
      <c r="Z26">
        <v>0.41099999999999998</v>
      </c>
      <c r="AA26">
        <v>2.34</v>
      </c>
      <c r="AB26">
        <v>91.5</v>
      </c>
      <c r="AC26">
        <v>15.6</v>
      </c>
      <c r="AD26">
        <v>1950</v>
      </c>
      <c r="AE26">
        <v>0.874</v>
      </c>
      <c r="AF26">
        <v>3.38</v>
      </c>
      <c r="AG26">
        <v>1.04</v>
      </c>
      <c r="AH26">
        <v>0.57299999999999995</v>
      </c>
      <c r="AI26">
        <v>0.58799999999999997</v>
      </c>
      <c r="AJ26">
        <v>36.700000000000003</v>
      </c>
      <c r="AK26">
        <v>225</v>
      </c>
      <c r="AL26">
        <v>50.5</v>
      </c>
      <c r="AM26">
        <v>5.7500000000000002E-2</v>
      </c>
      <c r="AN26">
        <v>8.6999999999999994E-2</v>
      </c>
      <c r="AO26">
        <v>5.8500000000000003E-2</v>
      </c>
      <c r="AP26">
        <v>1.1100000000000001</v>
      </c>
      <c r="AQ26">
        <v>6.4500000000000002E-2</v>
      </c>
      <c r="AR26">
        <v>6.0999999999999999E-2</v>
      </c>
      <c r="AS26">
        <v>3.18</v>
      </c>
      <c r="AT26">
        <v>16.3</v>
      </c>
      <c r="AU26">
        <v>1.1499999999999999</v>
      </c>
      <c r="AV26">
        <v>8.5999999999999993E-2</v>
      </c>
      <c r="AW26">
        <v>7.4499999999999997E-2</v>
      </c>
      <c r="AX26">
        <v>9.5399999999999991</v>
      </c>
      <c r="AY26">
        <v>7.4499999999999997E-2</v>
      </c>
      <c r="AZ26">
        <v>5.66</v>
      </c>
      <c r="BA26">
        <v>0.111</v>
      </c>
      <c r="BB26">
        <v>5.8500000000000003E-2</v>
      </c>
      <c r="BC26">
        <v>4.4999999999999998E-2</v>
      </c>
      <c r="BD26">
        <v>7.4499999999999997E-2</v>
      </c>
      <c r="BE26">
        <v>7.4499999999999997E-2</v>
      </c>
      <c r="BF26">
        <v>7.4499999999999997E-2</v>
      </c>
      <c r="BG26">
        <v>0.107</v>
      </c>
      <c r="BH26">
        <v>7.9000000000000001E-2</v>
      </c>
      <c r="BI26">
        <v>9.9000000000000005E-2</v>
      </c>
      <c r="BJ26">
        <v>0.13100000000000001</v>
      </c>
      <c r="BK26">
        <f>SUM(Table1_1[[#This Row],[PFBA]:[diSAmPAP]])</f>
        <v>2477.0975000000008</v>
      </c>
      <c r="BL26">
        <f>LOG(Table1_1[[#This Row],[PFBA]])</f>
        <v>-0.60994850354101271</v>
      </c>
      <c r="BM26">
        <f>LOG(Table1_1[[#This Row],[PFPeA]])</f>
        <v>-1.2798406965940432</v>
      </c>
      <c r="BN26">
        <f>LOG(Table1_1[[#This Row],[PFHxA]])</f>
        <v>-1.3963144503853002</v>
      </c>
      <c r="BO26">
        <f>LOG(Table1_1[[#This Row],[PFHpA]])</f>
        <v>-1.5250556645346121</v>
      </c>
      <c r="BP26">
        <f>LOG(Table1_1[[#This Row],[PFOA]])</f>
        <v>0.80277372529197566</v>
      </c>
      <c r="BQ26">
        <f>LOG(Table1_1[[#This Row],[PFNA]])</f>
        <v>0.61804809671209271</v>
      </c>
      <c r="BR26">
        <f>LOG(Table1_1[[#This Row],[PFDA]])</f>
        <v>1.0170333392987803</v>
      </c>
      <c r="BS26">
        <f>LOG(Table1_1[[#This Row],[PFUnA]])</f>
        <v>1.0827853703164501</v>
      </c>
      <c r="BT26">
        <f>LOG(Table1_1[[#This Row],[PFDoA]])</f>
        <v>1.2227164711475833</v>
      </c>
      <c r="BU26">
        <f>LOG(Table1_1[[#This Row],[PFTrDA]])</f>
        <v>0.56466606425208932</v>
      </c>
      <c r="BV26">
        <f>LOG(Table1_1[[#This Row],[PFTeDA]])</f>
        <v>0.80277372529197566</v>
      </c>
      <c r="BW26">
        <f>LOG(Table1_1[[#This Row],[PFHxDA]])</f>
        <v>-1.0506099933550872</v>
      </c>
      <c r="BX26">
        <f>LOG(Table1_1[[#This Row],[PFPrS]])</f>
        <v>-1.2441251443275085</v>
      </c>
      <c r="BY26">
        <f>LOG(Table1_1[[#This Row],[PFBS]])</f>
        <v>-0.38615817812393083</v>
      </c>
      <c r="BZ26">
        <f>LOG(Table1_1[[#This Row],[PFPeS]])</f>
        <v>0.36921585741014279</v>
      </c>
      <c r="CA26">
        <f>LOG(Table1_1[[#This Row],[PFHxS]])</f>
        <v>1.9614210940664483</v>
      </c>
      <c r="CB26">
        <f>LOG(Table1_1[[#This Row],[PFHpS]])</f>
        <v>1.1931245983544616</v>
      </c>
      <c r="CC26">
        <f>LOG(Table1_1[[#This Row],[PFOS]])</f>
        <v>3.2900346113625178</v>
      </c>
      <c r="CD26">
        <f>LOG(Table1_1[[#This Row],[PFNS]])</f>
        <v>-5.8488567365596968E-2</v>
      </c>
      <c r="CE26">
        <f>LOG(Table1_1[[#This Row],[PFDS]])</f>
        <v>0.52891670027765469</v>
      </c>
      <c r="CF26">
        <f>LOG(Table1_1[[#This Row],[PFDoS]])</f>
        <v>1.703333929878037E-2</v>
      </c>
      <c r="CG26">
        <f>LOG(Table1_1[[#This Row],[Cl-PFOS]])</f>
        <v>-0.24184537803261005</v>
      </c>
      <c r="CH26">
        <f>LOG(Table1_1[[#This Row],[PFEtCHxS]])</f>
        <v>-0.23062267392386154</v>
      </c>
      <c r="CI26">
        <f>LOG(Table1_1[[#This Row],[FBSA]])</f>
        <v>1.5646660642520893</v>
      </c>
      <c r="CJ26">
        <f>LOG(Table1_1[[#This Row],[FHxSA]])</f>
        <v>2.3521825181113627</v>
      </c>
      <c r="CK26">
        <f>LOG(Table1_1[[#This Row],[FOSA]])</f>
        <v>1.7032913781186614</v>
      </c>
      <c r="CL26">
        <f>LOG(Table1_1[[#This Row],[N-MeFOSA]])</f>
        <v>-1.2403321553103694</v>
      </c>
      <c r="CM26">
        <f>LOG(Table1_1[[#This Row],[N-EtFOSA]])</f>
        <v>-1.0604807473813815</v>
      </c>
      <c r="CN26">
        <f>LOG(Table1_1[[#This Row],[FOSAA]])</f>
        <v>-1.2328441339178196</v>
      </c>
      <c r="CO26">
        <f>LOG(Table1_1[[#This Row],[N-MeFOSAA]])</f>
        <v>4.5322978786657475E-2</v>
      </c>
      <c r="CP26">
        <f>LOG(Table1_1[[#This Row],[N-EtFOSAA]])</f>
        <v>-1.1904402853647322</v>
      </c>
      <c r="CQ26">
        <f>LOG(Table1_1[[#This Row],[4:2 FTS]])</f>
        <v>-1.2146701649892331</v>
      </c>
      <c r="CR26">
        <f>LOG(Table1_1[[#This Row],[6:2 FTS]])</f>
        <v>0.50242711998443268</v>
      </c>
      <c r="CS26">
        <f>LOG(Table1_1[[#This Row],[8:2 FTS]])</f>
        <v>1.2121876044039579</v>
      </c>
      <c r="CT26">
        <f>LOG(Table1_1[[#This Row],[10:2 FTS]])</f>
        <v>6.069784035361165E-2</v>
      </c>
      <c r="CU26">
        <f>LOG(Table1_1[[#This Row],[3:3 FTCA]])</f>
        <v>-1.0655015487564323</v>
      </c>
      <c r="CV26">
        <f>LOG(Table1_1[[#This Row],[5:3 FTCA]])</f>
        <v>-1.1278437272517072</v>
      </c>
      <c r="CW26">
        <f>LOG(Table1_1[[#This Row],[7:3 FTCA]])</f>
        <v>0.97954837470409506</v>
      </c>
      <c r="CX26">
        <f>LOG(Table1_1[[#This Row],[6:2 FTCA]])</f>
        <v>-1.1278437272517072</v>
      </c>
      <c r="CY26">
        <f>LOG(Table1_1[[#This Row],[8:2 FTCA]])</f>
        <v>0.75281643118827146</v>
      </c>
      <c r="CZ26">
        <f>LOG(Table1_1[[#This Row],[10:2 FTCA]])</f>
        <v>-0.95467702121334252</v>
      </c>
      <c r="DA26">
        <f>LOG(Table1_1[[#This Row],[6:2 FTUCA]])</f>
        <v>-1.2328441339178196</v>
      </c>
      <c r="DB26">
        <f>LOG(Table1_1[[#This Row],[8:2 FTUCA]])</f>
        <v>-1.3467874862246563</v>
      </c>
      <c r="DC26">
        <f>LOG(Table1_1[[#This Row],[ADONA]])</f>
        <v>-1.1278437272517072</v>
      </c>
      <c r="DD26">
        <f>LOG(Table1_1[[#This Row],[9Cl-PF3ONS]])</f>
        <v>-1.1278437272517072</v>
      </c>
      <c r="DE26">
        <f>LOG(Table1_1[[#This Row],[11Cl-PF3OUdS]])</f>
        <v>-1.1278437272517072</v>
      </c>
      <c r="DF26">
        <f>LOG(Table1_1[[#This Row],[HFPO-DA]])</f>
        <v>-0.97061622231479039</v>
      </c>
      <c r="DG26">
        <f>LOG(Table1_1[[#This Row],[6:2 diPAP]])</f>
        <v>-1.1023729087095586</v>
      </c>
      <c r="DH26">
        <f>LOG(Table1_1[[#This Row],[8:2 diPAP]])</f>
        <v>-1.0043648054024501</v>
      </c>
      <c r="DI26">
        <f>LOG(Table1_1[[#This Row],[diSAmPAP]])</f>
        <v>-0.88272870434423567</v>
      </c>
    </row>
    <row r="27" spans="1:113">
      <c r="A27" t="s">
        <v>156</v>
      </c>
      <c r="B27" t="s">
        <v>121</v>
      </c>
      <c r="C27" s="3">
        <v>44314</v>
      </c>
      <c r="D27" t="s">
        <v>122</v>
      </c>
      <c r="E27" t="s">
        <v>123</v>
      </c>
      <c r="F27" t="s">
        <v>157</v>
      </c>
      <c r="G27" t="s">
        <v>118</v>
      </c>
      <c r="H27" t="s">
        <v>119</v>
      </c>
      <c r="I27">
        <v>6</v>
      </c>
      <c r="J27">
        <f>LOG(Table1_1[[#This Row],[Length]])</f>
        <v>0.77815125038364363</v>
      </c>
      <c r="K27">
        <v>2.5</v>
      </c>
      <c r="L27">
        <f>LOG(Table1_1[[#This Row],[Weight]])</f>
        <v>0.3979400086720376</v>
      </c>
      <c r="M27">
        <v>9.7402597402597393E-2</v>
      </c>
      <c r="N27">
        <v>5.0034555472060663E-2</v>
      </c>
      <c r="O27">
        <v>0.61099999999999999</v>
      </c>
      <c r="P27">
        <v>0.245</v>
      </c>
      <c r="Q27">
        <v>5.4</v>
      </c>
      <c r="R27">
        <v>2.71</v>
      </c>
      <c r="S27">
        <v>1.84</v>
      </c>
      <c r="T27">
        <v>1.94</v>
      </c>
      <c r="U27">
        <v>5.654246149200249E-2</v>
      </c>
      <c r="V27">
        <v>0.59299999999999997</v>
      </c>
      <c r="W27">
        <v>0.83299999999999996</v>
      </c>
      <c r="X27">
        <v>8.4398733443082671E-2</v>
      </c>
      <c r="Y27">
        <v>5.4029433827897801E-2</v>
      </c>
      <c r="Z27">
        <v>0.16573278881249998</v>
      </c>
      <c r="AA27">
        <v>1.02</v>
      </c>
      <c r="AB27">
        <v>60.4</v>
      </c>
      <c r="AC27">
        <v>1.88</v>
      </c>
      <c r="AD27">
        <v>351</v>
      </c>
      <c r="AE27">
        <v>0.39700000000000002</v>
      </c>
      <c r="AF27">
        <v>0.19941993044999998</v>
      </c>
      <c r="AG27">
        <v>0.26039860323750003</v>
      </c>
      <c r="AH27">
        <v>0.14797504682999998</v>
      </c>
      <c r="AI27">
        <v>0.25</v>
      </c>
      <c r="AJ27">
        <v>20.3</v>
      </c>
      <c r="AK27">
        <v>72.099999999999994</v>
      </c>
      <c r="AL27">
        <v>40.700000000000003</v>
      </c>
      <c r="AM27">
        <v>5.4555597519734107E-2</v>
      </c>
      <c r="AN27">
        <v>8.2639519656730373E-2</v>
      </c>
      <c r="AO27">
        <v>5.5819806702326551E-2</v>
      </c>
      <c r="AP27">
        <v>17.600000000000001</v>
      </c>
      <c r="AQ27">
        <v>6.1467769102098044E-2</v>
      </c>
      <c r="AR27">
        <v>5.816759677814707E-2</v>
      </c>
      <c r="AS27">
        <v>2.35</v>
      </c>
      <c r="AT27">
        <v>1.84</v>
      </c>
      <c r="AU27">
        <v>8.040933153302865E-2</v>
      </c>
      <c r="AV27">
        <v>8.168567387567513E-2</v>
      </c>
      <c r="AW27">
        <v>0.18376345259999999</v>
      </c>
      <c r="AX27">
        <v>2.59</v>
      </c>
      <c r="AY27">
        <v>3.47</v>
      </c>
      <c r="AZ27">
        <v>2.8326472032329946E-2</v>
      </c>
      <c r="BA27">
        <v>0.10567137334804738</v>
      </c>
      <c r="BB27">
        <v>5.560462015164104E-2</v>
      </c>
      <c r="BC27">
        <v>4.2794538351319071E-2</v>
      </c>
      <c r="BD27">
        <v>7.0816180080824881E-2</v>
      </c>
      <c r="BE27">
        <v>4.9153980758724562E-2</v>
      </c>
      <c r="BF27">
        <v>5.5802480360926464E-2</v>
      </c>
      <c r="BG27">
        <v>0.10162324127804322</v>
      </c>
      <c r="BH27">
        <v>7.5385872795492317E-2</v>
      </c>
      <c r="BI27">
        <v>9.3889083510074786E-2</v>
      </c>
      <c r="BJ27">
        <v>0.12463647694225174</v>
      </c>
      <c r="BK27">
        <f>SUM(Table1_1[[#This Row],[PFBA]:[diSAmPAP]])</f>
        <v>592.64714721834514</v>
      </c>
      <c r="BL27">
        <f>LOG(Table1_1[[#This Row],[PFBA]])</f>
        <v>-1.011429461780782</v>
      </c>
      <c r="BM27">
        <f>LOG(Table1_1[[#This Row],[PFPeA]])</f>
        <v>-1.3007299543160369</v>
      </c>
      <c r="BN27">
        <f>LOG(Table1_1[[#This Row],[PFHxA]])</f>
        <v>-0.21395878975744578</v>
      </c>
      <c r="BO27">
        <f>LOG(Table1_1[[#This Row],[PFHpA]])</f>
        <v>-0.61083391563546752</v>
      </c>
      <c r="BP27">
        <f>LOG(Table1_1[[#This Row],[PFOA]])</f>
        <v>0.7323937598229685</v>
      </c>
      <c r="BQ27">
        <f>LOG(Table1_1[[#This Row],[PFNA]])</f>
        <v>0.43296929087440572</v>
      </c>
      <c r="BR27">
        <f>LOG(Table1_1[[#This Row],[PFDA]])</f>
        <v>0.26481782300953649</v>
      </c>
      <c r="BS27">
        <f>LOG(Table1_1[[#This Row],[PFUnA]])</f>
        <v>0.28780172993022601</v>
      </c>
      <c r="BT27">
        <f>LOG(Table1_1[[#This Row],[PFDoA]])</f>
        <v>-1.247625289070329</v>
      </c>
      <c r="BU27">
        <f>LOG(Table1_1[[#This Row],[PFTrDA]])</f>
        <v>-0.22694530663573742</v>
      </c>
      <c r="BV27">
        <f>LOG(Table1_1[[#This Row],[PFTeDA]])</f>
        <v>-7.9354998593212434E-2</v>
      </c>
      <c r="BW27">
        <f>LOG(Table1_1[[#This Row],[PFHxDA]])</f>
        <v>-1.0736640707061875</v>
      </c>
      <c r="BX27">
        <f>LOG(Table1_1[[#This Row],[PFPrS]])</f>
        <v>-1.2673695833900676</v>
      </c>
      <c r="BY27">
        <f>LOG(Table1_1[[#This Row],[PFBS]])</f>
        <v>-0.78059156163731414</v>
      </c>
      <c r="BZ27">
        <f>LOG(Table1_1[[#This Row],[PFPeS]])</f>
        <v>8.6001717619175692E-3</v>
      </c>
      <c r="CA27">
        <f>LOG(Table1_1[[#This Row],[PFHxS]])</f>
        <v>1.7810369386211318</v>
      </c>
      <c r="CB27">
        <f>LOG(Table1_1[[#This Row],[PFHpS]])</f>
        <v>0.27415784926367981</v>
      </c>
      <c r="CC27">
        <f>LOG(Table1_1[[#This Row],[PFOS]])</f>
        <v>2.5453071164658239</v>
      </c>
      <c r="CD27">
        <f>LOG(Table1_1[[#This Row],[PFNS]])</f>
        <v>-0.40120949323688493</v>
      </c>
      <c r="CE27">
        <f>LOG(Table1_1[[#This Row],[PFDS]])</f>
        <v>-0.70023143954538258</v>
      </c>
      <c r="CF27">
        <f>LOG(Table1_1[[#This Row],[PFDoS]])</f>
        <v>-0.58436134962716813</v>
      </c>
      <c r="CG27">
        <f>LOG(Table1_1[[#This Row],[Cl-PFOS]])</f>
        <v>-0.82981151391392349</v>
      </c>
      <c r="CH27">
        <f>LOG(Table1_1[[#This Row],[PFEtCHxS]])</f>
        <v>-0.6020599913279624</v>
      </c>
      <c r="CI27">
        <f>LOG(Table1_1[[#This Row],[FBSA]])</f>
        <v>1.307496037913213</v>
      </c>
      <c r="CJ27">
        <f>LOG(Table1_1[[#This Row],[FHxSA]])</f>
        <v>1.8579352647194289</v>
      </c>
      <c r="CK27">
        <f>LOG(Table1_1[[#This Row],[FOSA]])</f>
        <v>1.6095944092252201</v>
      </c>
      <c r="CL27">
        <f>LOG(Table1_1[[#This Row],[N-MeFOSA]])</f>
        <v>-1.2631606832568094</v>
      </c>
      <c r="CM27">
        <f>LOG(Table1_1[[#This Row],[N-EtFOSA]])</f>
        <v>-1.0828122158233546</v>
      </c>
      <c r="CN27">
        <f>LOG(Table1_1[[#This Row],[FOSAA]])</f>
        <v>-1.2532116717574253</v>
      </c>
      <c r="CO27">
        <f>LOG(Table1_1[[#This Row],[N-MeFOSAA]])</f>
        <v>1.2455126678141499</v>
      </c>
      <c r="CP27">
        <f>LOG(Table1_1[[#This Row],[N-EtFOSAA]])</f>
        <v>-1.2113525487830017</v>
      </c>
      <c r="CQ27">
        <f>LOG(Table1_1[[#This Row],[4:2 FTS]])</f>
        <v>-1.2353188789135081</v>
      </c>
      <c r="CR27">
        <f>LOG(Table1_1[[#This Row],[6:2 FTS]])</f>
        <v>0.37106786227173627</v>
      </c>
      <c r="CS27">
        <f>LOG(Table1_1[[#This Row],[8:2 FTS]])</f>
        <v>0.26481782300953649</v>
      </c>
      <c r="CT27">
        <f>LOG(Table1_1[[#This Row],[10:2 FTS]])</f>
        <v>-1.0946935482896316</v>
      </c>
      <c r="CU27">
        <f>LOG(Table1_1[[#This Row],[3:3 FTCA]])</f>
        <v>-1.0878541038384384</v>
      </c>
      <c r="CV27">
        <f>LOG(Table1_1[[#This Row],[5:3 FTCA]])</f>
        <v>-0.73574085808816025</v>
      </c>
      <c r="CW27">
        <f>LOG(Table1_1[[#This Row],[7:3 FTCA]])</f>
        <v>0.4132997640812518</v>
      </c>
      <c r="CX27">
        <f>LOG(Table1_1[[#This Row],[6:2 FTCA]])</f>
        <v>0.54032947479087379</v>
      </c>
      <c r="CY27">
        <f>LOG(Table1_1[[#This Row],[8:2 FTCA]])</f>
        <v>-1.5478075120415551</v>
      </c>
      <c r="CZ27">
        <f>LOG(Table1_1[[#This Row],[10:2 FTCA]])</f>
        <v>-0.97604264827261922</v>
      </c>
      <c r="DA27">
        <f>LOG(Table1_1[[#This Row],[6:2 FTUCA]])</f>
        <v>-1.2548891216733149</v>
      </c>
      <c r="DB27">
        <f>LOG(Table1_1[[#This Row],[8:2 FTUCA]])</f>
        <v>-1.3686116542400666</v>
      </c>
      <c r="DC27">
        <f>LOG(Table1_1[[#This Row],[ADONA]])</f>
        <v>-1.1498675033695174</v>
      </c>
      <c r="DD27">
        <f>LOG(Table1_1[[#This Row],[9Cl-PF3ONS]])</f>
        <v>-1.3084413048605077</v>
      </c>
      <c r="DE27">
        <f>LOG(Table1_1[[#This Row],[11Cl-PF3OUdS]])</f>
        <v>-1.2533464967053822</v>
      </c>
      <c r="DF27">
        <f>LOG(Table1_1[[#This Row],[HFPO-DA]])</f>
        <v>-0.99300695736196198</v>
      </c>
      <c r="DG27">
        <f>LOG(Table1_1[[#This Row],[6:2 diPAP]])</f>
        <v>-1.1227100326687669</v>
      </c>
      <c r="DH27">
        <f>LOG(Table1_1[[#This Row],[8:2 diPAP]])</f>
        <v>-1.0273849002465847</v>
      </c>
      <c r="DI27">
        <f>LOG(Table1_1[[#This Row],[diSAmPAP]])</f>
        <v>-0.90435483555536766</v>
      </c>
    </row>
    <row r="28" spans="1:113">
      <c r="A28" t="s">
        <v>158</v>
      </c>
      <c r="B28" t="s">
        <v>121</v>
      </c>
      <c r="C28" s="3">
        <v>44314</v>
      </c>
      <c r="D28" t="s">
        <v>122</v>
      </c>
      <c r="E28" t="s">
        <v>123</v>
      </c>
      <c r="F28" t="s">
        <v>157</v>
      </c>
      <c r="G28" t="s">
        <v>118</v>
      </c>
      <c r="H28" t="s">
        <v>119</v>
      </c>
      <c r="I28">
        <v>7</v>
      </c>
      <c r="J28">
        <f>LOG(Table1_1[[#This Row],[Length]])</f>
        <v>0.84509804001425681</v>
      </c>
      <c r="K28">
        <v>3</v>
      </c>
      <c r="L28">
        <f>LOG(Table1_1[[#This Row],[Weight]])</f>
        <v>0.47712125471966244</v>
      </c>
      <c r="M28">
        <v>9.5928373481134074E-2</v>
      </c>
      <c r="N28">
        <v>0.16944339269670644</v>
      </c>
      <c r="O28">
        <v>1.37</v>
      </c>
      <c r="P28">
        <v>0.48699999999999999</v>
      </c>
      <c r="Q28">
        <v>5.74</v>
      </c>
      <c r="R28">
        <v>2.16</v>
      </c>
      <c r="S28">
        <v>3.45</v>
      </c>
      <c r="T28">
        <v>3.41</v>
      </c>
      <c r="U28">
        <v>5.8916755329545448E-2</v>
      </c>
      <c r="V28">
        <v>0.90700000000000003</v>
      </c>
      <c r="W28">
        <v>1.19</v>
      </c>
      <c r="X28">
        <v>8.7942749522727265E-2</v>
      </c>
      <c r="Y28">
        <v>5.6298202261363631E-2</v>
      </c>
      <c r="Z28">
        <v>1.29</v>
      </c>
      <c r="AA28">
        <v>1.84</v>
      </c>
      <c r="AB28">
        <v>79.099999999999994</v>
      </c>
      <c r="AC28">
        <v>3.32</v>
      </c>
      <c r="AD28">
        <v>551</v>
      </c>
      <c r="AE28">
        <v>0.88300000000000001</v>
      </c>
      <c r="AF28">
        <v>0.65700000000000003</v>
      </c>
      <c r="AG28">
        <v>0.25645737517741424</v>
      </c>
      <c r="AH28">
        <v>0.14573539039748454</v>
      </c>
      <c r="AI28">
        <v>0.501</v>
      </c>
      <c r="AJ28">
        <v>11.7</v>
      </c>
      <c r="AK28">
        <v>41</v>
      </c>
      <c r="AL28">
        <v>47</v>
      </c>
      <c r="AM28">
        <v>5.6846460272727273E-2</v>
      </c>
      <c r="AN28">
        <v>8.6109663988636356E-2</v>
      </c>
      <c r="AO28">
        <v>5.8163755295454547E-2</v>
      </c>
      <c r="AP28">
        <v>15.2</v>
      </c>
      <c r="AQ28">
        <v>0.20816228384347685</v>
      </c>
      <c r="AR28">
        <v>6.0610132227272719E-2</v>
      </c>
      <c r="AS28">
        <v>1.66</v>
      </c>
      <c r="AT28">
        <v>1.87</v>
      </c>
      <c r="AU28">
        <v>8.3785827272727265E-2</v>
      </c>
      <c r="AV28">
        <v>8.5115764943181821E-2</v>
      </c>
      <c r="AW28">
        <v>0.56899999999999995</v>
      </c>
      <c r="AX28">
        <v>5.62</v>
      </c>
      <c r="AY28">
        <v>4.0599999999999996</v>
      </c>
      <c r="AZ28">
        <v>2.9515938606847696E-2</v>
      </c>
      <c r="BA28">
        <v>0.110108656125</v>
      </c>
      <c r="BB28">
        <v>5.7939532772727266E-2</v>
      </c>
      <c r="BC28">
        <v>4.4591538446590903E-2</v>
      </c>
      <c r="BD28">
        <v>7.3789846517119242E-2</v>
      </c>
      <c r="BE28">
        <v>5.1218022374999998E-2</v>
      </c>
      <c r="BF28">
        <v>5.8145701397727262E-2</v>
      </c>
      <c r="BG28">
        <v>0.10589053755681818</v>
      </c>
      <c r="BH28">
        <v>7.8551426761363632E-2</v>
      </c>
      <c r="BI28">
        <v>9.7831612124999995E-2</v>
      </c>
      <c r="BJ28">
        <v>0.12987012987012986</v>
      </c>
      <c r="BK28">
        <f>SUM(Table1_1[[#This Row],[PFBA]:[diSAmPAP]])</f>
        <v>788.33096906926426</v>
      </c>
      <c r="BL28">
        <f>LOG(Table1_1[[#This Row],[PFBA]])</f>
        <v>-1.0180529191718148</v>
      </c>
      <c r="BM28">
        <f>LOG(Table1_1[[#This Row],[PFPeA]])</f>
        <v>-0.77097536144629664</v>
      </c>
      <c r="BN28">
        <f>LOG(Table1_1[[#This Row],[PFHxA]])</f>
        <v>0.13672056715640679</v>
      </c>
      <c r="BO28">
        <f>LOG(Table1_1[[#This Row],[PFHpA]])</f>
        <v>-0.3124710387853657</v>
      </c>
      <c r="BP28">
        <f>LOG(Table1_1[[#This Row],[PFOA]])</f>
        <v>0.75891189239797352</v>
      </c>
      <c r="BQ28">
        <f>LOG(Table1_1[[#This Row],[PFNA]])</f>
        <v>0.3344537511509309</v>
      </c>
      <c r="BR28">
        <f>LOG(Table1_1[[#This Row],[PFDA]])</f>
        <v>0.53781909507327419</v>
      </c>
      <c r="BS28">
        <f>LOG(Table1_1[[#This Row],[PFUnA]])</f>
        <v>0.53275437899249778</v>
      </c>
      <c r="BT28">
        <f>LOG(Table1_1[[#This Row],[PFDoA]])</f>
        <v>-1.2297611786874434</v>
      </c>
      <c r="BU28">
        <f>LOG(Table1_1[[#This Row],[PFTrDA]])</f>
        <v>-4.2392712939904729E-2</v>
      </c>
      <c r="BV28">
        <f>LOG(Table1_1[[#This Row],[PFTeDA]])</f>
        <v>7.554696139253074E-2</v>
      </c>
      <c r="BW28">
        <f>LOG(Table1_1[[#This Row],[PFHxDA]])</f>
        <v>-1.0557999603233017</v>
      </c>
      <c r="BX28">
        <f>LOG(Table1_1[[#This Row],[PFPrS]])</f>
        <v>-1.249505473007182</v>
      </c>
      <c r="BY28">
        <f>LOG(Table1_1[[#This Row],[PFBS]])</f>
        <v>0.11058971029924898</v>
      </c>
      <c r="BZ28">
        <f>LOG(Table1_1[[#This Row],[PFPeS]])</f>
        <v>0.26481782300953649</v>
      </c>
      <c r="CA28">
        <f>LOG(Table1_1[[#This Row],[PFHxS]])</f>
        <v>1.8981764834976764</v>
      </c>
      <c r="CB28">
        <f>LOG(Table1_1[[#This Row],[PFHpS]])</f>
        <v>0.52113808370403625</v>
      </c>
      <c r="CC28">
        <f>LOG(Table1_1[[#This Row],[PFOS]])</f>
        <v>2.7411515988517849</v>
      </c>
      <c r="CD28">
        <f>LOG(Table1_1[[#This Row],[PFNS]])</f>
        <v>-5.403929642243141E-2</v>
      </c>
      <c r="CE28">
        <f>LOG(Table1_1[[#This Row],[PFDS]])</f>
        <v>-0.18243463044021921</v>
      </c>
      <c r="CF28">
        <f>LOG(Table1_1[[#This Row],[PFDoS]])</f>
        <v>-0.590984807018201</v>
      </c>
      <c r="CG28">
        <f>LOG(Table1_1[[#This Row],[Cl-PFOS]])</f>
        <v>-0.83643497130495637</v>
      </c>
      <c r="CH28">
        <f>LOG(Table1_1[[#This Row],[PFEtCHxS]])</f>
        <v>-0.30016227413275426</v>
      </c>
      <c r="CI28">
        <f>LOG(Table1_1[[#This Row],[FBSA]])</f>
        <v>1.0681858617461617</v>
      </c>
      <c r="CJ28">
        <f>LOG(Table1_1[[#This Row],[FHxSA]])</f>
        <v>1.6127838567197355</v>
      </c>
      <c r="CK28">
        <f>LOG(Table1_1[[#This Row],[FOSA]])</f>
        <v>1.6720978579357175</v>
      </c>
      <c r="CL28">
        <f>LOG(Table1_1[[#This Row],[N-MeFOSA]])</f>
        <v>-1.2452965728739238</v>
      </c>
      <c r="CM28">
        <f>LOG(Table1_1[[#This Row],[N-EtFOSA]])</f>
        <v>-1.064948105440469</v>
      </c>
      <c r="CN28">
        <f>LOG(Table1_1[[#This Row],[FOSAA]])</f>
        <v>-1.2353475613745397</v>
      </c>
      <c r="CO28">
        <f>LOG(Table1_1[[#This Row],[N-MeFOSAA]])</f>
        <v>1.1818435879447726</v>
      </c>
      <c r="CP28">
        <f>LOG(Table1_1[[#This Row],[N-EtFOSAA]])</f>
        <v>-0.68159795591326133</v>
      </c>
      <c r="CQ28">
        <f>LOG(Table1_1[[#This Row],[4:2 FTS]])</f>
        <v>-1.2174547685306225</v>
      </c>
      <c r="CR28">
        <f>LOG(Table1_1[[#This Row],[6:2 FTS]])</f>
        <v>0.22010808804005508</v>
      </c>
      <c r="CS28">
        <f>LOG(Table1_1[[#This Row],[8:2 FTS]])</f>
        <v>0.27184160653649897</v>
      </c>
      <c r="CT28">
        <f>LOG(Table1_1[[#This Row],[10:2 FTS]])</f>
        <v>-1.0768294379067458</v>
      </c>
      <c r="CU28">
        <f>LOG(Table1_1[[#This Row],[3:3 FTCA]])</f>
        <v>-1.0699899934555528</v>
      </c>
      <c r="CV28">
        <f>LOG(Table1_1[[#This Row],[5:3 FTCA]])</f>
        <v>-0.24488773360492885</v>
      </c>
      <c r="CW28">
        <f>LOG(Table1_1[[#This Row],[7:3 FTCA]])</f>
        <v>0.74973631556906106</v>
      </c>
      <c r="CX28">
        <f>LOG(Table1_1[[#This Row],[6:2 FTCA]])</f>
        <v>0.60852603357719404</v>
      </c>
      <c r="CY28">
        <f>LOG(Table1_1[[#This Row],[8:2 FTCA]])</f>
        <v>-1.5299434016586693</v>
      </c>
      <c r="CZ28">
        <f>LOG(Table1_1[[#This Row],[10:2 FTCA]])</f>
        <v>-0.95817853788973362</v>
      </c>
      <c r="DA28">
        <f>LOG(Table1_1[[#This Row],[6:2 FTUCA]])</f>
        <v>-1.2370250112904291</v>
      </c>
      <c r="DB28">
        <f>LOG(Table1_1[[#This Row],[8:2 FTUCA]])</f>
        <v>-1.350747543857181</v>
      </c>
      <c r="DC28">
        <f>LOG(Table1_1[[#This Row],[ADONA]])</f>
        <v>-1.1320033929866318</v>
      </c>
      <c r="DD28">
        <f>LOG(Table1_1[[#This Row],[9Cl-PF3ONS]])</f>
        <v>-1.2905771944776221</v>
      </c>
      <c r="DE28">
        <f>LOG(Table1_1[[#This Row],[11Cl-PF3OUdS]])</f>
        <v>-1.2354823863224966</v>
      </c>
      <c r="DF28">
        <f>LOG(Table1_1[[#This Row],[HFPO-DA]])</f>
        <v>-0.97514284697907638</v>
      </c>
      <c r="DG28">
        <f>LOG(Table1_1[[#This Row],[6:2 diPAP]])</f>
        <v>-1.1048459222858813</v>
      </c>
      <c r="DH28">
        <f>LOG(Table1_1[[#This Row],[8:2 diPAP]])</f>
        <v>-1.0095207898636991</v>
      </c>
      <c r="DI28">
        <f>LOG(Table1_1[[#This Row],[diSAmPAP]])</f>
        <v>-0.88649072517248195</v>
      </c>
    </row>
    <row r="29" spans="1:113">
      <c r="A29" t="s">
        <v>159</v>
      </c>
      <c r="B29" t="s">
        <v>121</v>
      </c>
      <c r="C29" s="3">
        <v>44314</v>
      </c>
      <c r="D29" t="s">
        <v>122</v>
      </c>
      <c r="E29" t="s">
        <v>123</v>
      </c>
      <c r="F29" t="s">
        <v>157</v>
      </c>
      <c r="G29" t="s">
        <v>118</v>
      </c>
      <c r="H29" t="s">
        <v>119</v>
      </c>
      <c r="I29">
        <v>8</v>
      </c>
      <c r="J29">
        <f>LOG(Table1_1[[#This Row],[Length]])</f>
        <v>0.90308998699194354</v>
      </c>
      <c r="K29">
        <v>3.25</v>
      </c>
      <c r="L29">
        <f>LOG(Table1_1[[#This Row],[Weight]])</f>
        <v>0.51188336097887432</v>
      </c>
      <c r="M29">
        <v>9.3071354705274043E-2</v>
      </c>
      <c r="N29">
        <v>0.16439688834338159</v>
      </c>
      <c r="O29">
        <v>0.91400000000000003</v>
      </c>
      <c r="P29">
        <v>0.32</v>
      </c>
      <c r="Q29">
        <v>4.96</v>
      </c>
      <c r="R29">
        <v>2.79</v>
      </c>
      <c r="S29">
        <v>2.93</v>
      </c>
      <c r="T29">
        <v>2.87</v>
      </c>
      <c r="U29">
        <v>5.80250286980388E-2</v>
      </c>
      <c r="V29">
        <v>0.55000000000000004</v>
      </c>
      <c r="W29">
        <v>1.23</v>
      </c>
      <c r="X29">
        <v>8.6611703857386479E-2</v>
      </c>
      <c r="Y29">
        <v>5.5446108387870389E-2</v>
      </c>
      <c r="Z29">
        <v>0.44600000000000001</v>
      </c>
      <c r="AA29">
        <v>1.22</v>
      </c>
      <c r="AB29">
        <v>79.5</v>
      </c>
      <c r="AC29">
        <v>3.57</v>
      </c>
      <c r="AD29">
        <v>506</v>
      </c>
      <c r="AE29">
        <v>1.1100000000000001</v>
      </c>
      <c r="AF29">
        <v>0.67900000000000005</v>
      </c>
      <c r="AG29">
        <v>0.24881934787119964</v>
      </c>
      <c r="AH29">
        <v>0.14139497752938987</v>
      </c>
      <c r="AI29">
        <v>0.501</v>
      </c>
      <c r="AJ29">
        <v>9.1199999999999992</v>
      </c>
      <c r="AK29">
        <v>46.2</v>
      </c>
      <c r="AL29">
        <v>53.2</v>
      </c>
      <c r="AM29">
        <v>5.5986068313792367E-2</v>
      </c>
      <c r="AN29">
        <v>8.4806362743018532E-2</v>
      </c>
      <c r="AO29">
        <v>5.7283425594755917E-2</v>
      </c>
      <c r="AP29">
        <v>13</v>
      </c>
      <c r="AQ29">
        <v>0.20196262120160285</v>
      </c>
      <c r="AR29">
        <v>5.9692775717331059E-2</v>
      </c>
      <c r="AS29">
        <v>2.34</v>
      </c>
      <c r="AT29">
        <v>3.27</v>
      </c>
      <c r="AU29">
        <v>8.2517698145384774E-2</v>
      </c>
      <c r="AV29">
        <v>8.3827506722980172E-2</v>
      </c>
      <c r="AW29">
        <v>0.17559196504901756</v>
      </c>
      <c r="AX29">
        <v>40.5</v>
      </c>
      <c r="AY29">
        <v>4.28</v>
      </c>
      <c r="AZ29">
        <v>2.61</v>
      </c>
      <c r="BA29">
        <v>1.41</v>
      </c>
      <c r="BB29">
        <v>5.7062596761884452E-2</v>
      </c>
      <c r="BC29">
        <v>4.3916629209816663E-2</v>
      </c>
      <c r="BD29">
        <v>7.2673010212980366E-2</v>
      </c>
      <c r="BE29">
        <v>5.0442818881368576E-2</v>
      </c>
      <c r="BF29">
        <v>5.7265644949371142E-2</v>
      </c>
      <c r="BG29">
        <v>0.3339001314563082</v>
      </c>
      <c r="BH29">
        <v>7.7362522199424424E-2</v>
      </c>
      <c r="BI29">
        <v>9.6350894908868043E-2</v>
      </c>
      <c r="BJ29">
        <v>0.12790449797484543</v>
      </c>
      <c r="BK29">
        <f>SUM(Table1_1[[#This Row],[PFBA]:[diSAmPAP]])</f>
        <v>788.08631257943512</v>
      </c>
      <c r="BL29">
        <f>LOG(Table1_1[[#This Row],[PFBA]])</f>
        <v>-1.0311839646436769</v>
      </c>
      <c r="BM29">
        <f>LOG(Table1_1[[#This Row],[PFPeA]])</f>
        <v>-0.78410640691815869</v>
      </c>
      <c r="BN29">
        <f>LOG(Table1_1[[#This Row],[PFHxA]])</f>
        <v>-3.9053804266168564E-2</v>
      </c>
      <c r="BO29">
        <f>LOG(Table1_1[[#This Row],[PFHpA]])</f>
        <v>-0.49485002168009401</v>
      </c>
      <c r="BP29">
        <f>LOG(Table1_1[[#This Row],[PFOA]])</f>
        <v>0.69548167649019743</v>
      </c>
      <c r="BQ29">
        <f>LOG(Table1_1[[#This Row],[PFNA]])</f>
        <v>0.44560420327359757</v>
      </c>
      <c r="BR29">
        <f>LOG(Table1_1[[#This Row],[PFDA]])</f>
        <v>0.4668676203541095</v>
      </c>
      <c r="BS29">
        <f>LOG(Table1_1[[#This Row],[PFUnA]])</f>
        <v>0.45788189673399232</v>
      </c>
      <c r="BT29">
        <f>LOG(Table1_1[[#This Row],[PFDoA]])</f>
        <v>-1.2363846360784763</v>
      </c>
      <c r="BU29">
        <f>LOG(Table1_1[[#This Row],[PFTrDA]])</f>
        <v>-0.25963731050575611</v>
      </c>
      <c r="BV29">
        <f>LOG(Table1_1[[#This Row],[PFTeDA]])</f>
        <v>8.9905111439397931E-2</v>
      </c>
      <c r="BW29">
        <f>LOG(Table1_1[[#This Row],[PFHxDA]])</f>
        <v>-1.0624234177143346</v>
      </c>
      <c r="BX29">
        <f>LOG(Table1_1[[#This Row],[PFPrS]])</f>
        <v>-1.2561289303982148</v>
      </c>
      <c r="BY29">
        <f>LOG(Table1_1[[#This Row],[PFBS]])</f>
        <v>-0.35066514128785814</v>
      </c>
      <c r="BZ29">
        <f>LOG(Table1_1[[#This Row],[PFPeS]])</f>
        <v>8.6359830674748214E-2</v>
      </c>
      <c r="CA29">
        <f>LOG(Table1_1[[#This Row],[PFHxS]])</f>
        <v>1.9003671286564703</v>
      </c>
      <c r="CB29">
        <f>LOG(Table1_1[[#This Row],[PFHpS]])</f>
        <v>0.55266821611219319</v>
      </c>
      <c r="CC29">
        <f>LOG(Table1_1[[#This Row],[PFOS]])</f>
        <v>2.7041505168397992</v>
      </c>
      <c r="CD29">
        <f>LOG(Table1_1[[#This Row],[PFNS]])</f>
        <v>4.5322978786657475E-2</v>
      </c>
      <c r="CE29">
        <f>LOG(Table1_1[[#This Row],[PFDS]])</f>
        <v>-0.16813022571949829</v>
      </c>
      <c r="CF29">
        <f>LOG(Table1_1[[#This Row],[PFDoS]])</f>
        <v>-0.60411585249006305</v>
      </c>
      <c r="CG29">
        <f>LOG(Table1_1[[#This Row],[Cl-PFOS]])</f>
        <v>-0.84956601677681842</v>
      </c>
      <c r="CH29">
        <f>LOG(Table1_1[[#This Row],[PFEtCHxS]])</f>
        <v>-0.30016227413275426</v>
      </c>
      <c r="CI29">
        <f>LOG(Table1_1[[#This Row],[FBSA]])</f>
        <v>0.95999483832841614</v>
      </c>
      <c r="CJ29">
        <f>LOG(Table1_1[[#This Row],[FHxSA]])</f>
        <v>1.6646419755561255</v>
      </c>
      <c r="CK29">
        <f>LOG(Table1_1[[#This Row],[FOSA]])</f>
        <v>1.7259116322950483</v>
      </c>
      <c r="CL29">
        <f>LOG(Table1_1[[#This Row],[N-MeFOSA]])</f>
        <v>-1.2519200302649567</v>
      </c>
      <c r="CM29">
        <f>LOG(Table1_1[[#This Row],[N-EtFOSA]])</f>
        <v>-1.0715715628315019</v>
      </c>
      <c r="CN29">
        <f>LOG(Table1_1[[#This Row],[FOSAA]])</f>
        <v>-1.2419710187655726</v>
      </c>
      <c r="CO29">
        <f>LOG(Table1_1[[#This Row],[N-MeFOSAA]])</f>
        <v>1.1139433523068367</v>
      </c>
      <c r="CP29">
        <f>LOG(Table1_1[[#This Row],[N-EtFOSAA]])</f>
        <v>-0.6947290013851235</v>
      </c>
      <c r="CQ29">
        <f>LOG(Table1_1[[#This Row],[4:2 FTS]])</f>
        <v>-1.2240782259216554</v>
      </c>
      <c r="CR29">
        <f>LOG(Table1_1[[#This Row],[6:2 FTS]])</f>
        <v>0.36921585741014279</v>
      </c>
      <c r="CS29">
        <f>LOG(Table1_1[[#This Row],[8:2 FTS]])</f>
        <v>0.51454775266028607</v>
      </c>
      <c r="CT29">
        <f>LOG(Table1_1[[#This Row],[10:2 FTS]])</f>
        <v>-1.0834528952977787</v>
      </c>
      <c r="CU29">
        <f>LOG(Table1_1[[#This Row],[3:3 FTCA]])</f>
        <v>-1.0766134508465857</v>
      </c>
      <c r="CV29">
        <f>LOG(Table1_1[[#This Row],[5:3 FTCA]])</f>
        <v>-0.75549536095105529</v>
      </c>
      <c r="CW29">
        <f>LOG(Table1_1[[#This Row],[7:3 FTCA]])</f>
        <v>1.6074550232146685</v>
      </c>
      <c r="CX29">
        <f>LOG(Table1_1[[#This Row],[6:2 FTCA]])</f>
        <v>0.63144376901317201</v>
      </c>
      <c r="CY29">
        <f>LOG(Table1_1[[#This Row],[8:2 FTCA]])</f>
        <v>0.41664050733828095</v>
      </c>
      <c r="CZ29">
        <f>LOG(Table1_1[[#This Row],[10:2 FTCA]])</f>
        <v>0.14921911265537988</v>
      </c>
      <c r="DA29">
        <f>LOG(Table1_1[[#This Row],[6:2 FTUCA]])</f>
        <v>-1.2436484686814619</v>
      </c>
      <c r="DB29">
        <f>LOG(Table1_1[[#This Row],[8:2 FTUCA]])</f>
        <v>-1.3573710012482139</v>
      </c>
      <c r="DC29">
        <f>LOG(Table1_1[[#This Row],[ADONA]])</f>
        <v>-1.1386268503776646</v>
      </c>
      <c r="DD29">
        <f>LOG(Table1_1[[#This Row],[9Cl-PF3ONS]])</f>
        <v>-1.297200651868655</v>
      </c>
      <c r="DE29">
        <f>LOG(Table1_1[[#This Row],[11Cl-PF3OUdS]])</f>
        <v>-1.2421058437135293</v>
      </c>
      <c r="DF29">
        <f>LOG(Table1_1[[#This Row],[HFPO-DA]])</f>
        <v>-0.47638340996408379</v>
      </c>
      <c r="DG29">
        <f>LOG(Table1_1[[#This Row],[6:2 diPAP]])</f>
        <v>-1.1114693796769142</v>
      </c>
      <c r="DH29">
        <f>LOG(Table1_1[[#This Row],[8:2 diPAP]])</f>
        <v>-1.016144247254732</v>
      </c>
      <c r="DI29">
        <f>LOG(Table1_1[[#This Row],[diSAmPAP]])</f>
        <v>-0.89311418256351482</v>
      </c>
    </row>
    <row r="30" spans="1:113">
      <c r="A30" t="s">
        <v>160</v>
      </c>
      <c r="B30" t="s">
        <v>121</v>
      </c>
      <c r="C30" s="3">
        <v>44314</v>
      </c>
      <c r="D30" t="s">
        <v>122</v>
      </c>
      <c r="E30" t="s">
        <v>123</v>
      </c>
      <c r="F30" t="s">
        <v>157</v>
      </c>
      <c r="G30" t="s">
        <v>118</v>
      </c>
      <c r="H30" t="s">
        <v>119</v>
      </c>
      <c r="I30">
        <v>6</v>
      </c>
      <c r="J30">
        <f>LOG(Table1_1[[#This Row],[Length]])</f>
        <v>0.77815125038364363</v>
      </c>
      <c r="K30">
        <v>2.35</v>
      </c>
      <c r="L30">
        <f>LOG(Table1_1[[#This Row],[Weight]])</f>
        <v>0.37106786227173627</v>
      </c>
      <c r="M30">
        <v>8.8845014807502468E-2</v>
      </c>
      <c r="N30">
        <v>0.1569316791984699</v>
      </c>
      <c r="O30">
        <v>0.753</v>
      </c>
      <c r="P30">
        <v>0.29099999999999998</v>
      </c>
      <c r="Q30">
        <v>3.78</v>
      </c>
      <c r="R30">
        <v>2.63</v>
      </c>
      <c r="S30">
        <v>2.94</v>
      </c>
      <c r="T30">
        <v>2.99</v>
      </c>
      <c r="U30">
        <v>5.6296878929162353E-2</v>
      </c>
      <c r="V30">
        <v>0.52400000000000002</v>
      </c>
      <c r="W30">
        <v>0.52400000000000002</v>
      </c>
      <c r="X30">
        <v>8.403216190175801E-2</v>
      </c>
      <c r="Y30">
        <v>5.3794766173216144E-2</v>
      </c>
      <c r="Z30">
        <v>0.1511718626483218</v>
      </c>
      <c r="AA30">
        <v>0.99299999999999999</v>
      </c>
      <c r="AB30">
        <v>51.5</v>
      </c>
      <c r="AC30">
        <v>4.3499999999999996</v>
      </c>
      <c r="AD30">
        <v>561</v>
      </c>
      <c r="AE30">
        <v>0.97199999999999998</v>
      </c>
      <c r="AF30">
        <v>0.53700000000000003</v>
      </c>
      <c r="AG30">
        <v>0.23752054234101683</v>
      </c>
      <c r="AH30">
        <v>0.13497427766132281</v>
      </c>
      <c r="AI30">
        <v>0.374</v>
      </c>
      <c r="AJ30">
        <v>28.6</v>
      </c>
      <c r="AK30">
        <v>178</v>
      </c>
      <c r="AL30">
        <v>54.7</v>
      </c>
      <c r="AM30">
        <v>5.431864456256464E-2</v>
      </c>
      <c r="AN30">
        <v>8.2280588961220272E-2</v>
      </c>
      <c r="AO30">
        <v>5.557736286763186E-2</v>
      </c>
      <c r="AP30">
        <v>12.5</v>
      </c>
      <c r="AQ30">
        <v>0.19279156436520234</v>
      </c>
      <c r="AR30">
        <v>5.7914955716649431E-2</v>
      </c>
      <c r="AS30">
        <v>0.999</v>
      </c>
      <c r="AT30">
        <v>2.72</v>
      </c>
      <c r="AU30">
        <v>8.0060087280248202E-2</v>
      </c>
      <c r="AV30">
        <v>8.1330886047052728E-2</v>
      </c>
      <c r="AW30">
        <v>0.16761839111786772</v>
      </c>
      <c r="AX30">
        <v>3.07</v>
      </c>
      <c r="AY30">
        <v>3.53</v>
      </c>
      <c r="AZ30">
        <v>8.8845014807502468E-2</v>
      </c>
      <c r="BA30">
        <v>0.10521240771406414</v>
      </c>
      <c r="BB30">
        <v>5.5363110943123066E-2</v>
      </c>
      <c r="BC30">
        <v>4.2608667553929683E-2</v>
      </c>
      <c r="BD30">
        <v>7.0508602049450045E-2</v>
      </c>
      <c r="BE30">
        <v>4.8940488805067218E-2</v>
      </c>
      <c r="BF30">
        <v>5.5560111780248195E-2</v>
      </c>
      <c r="BG30">
        <v>0.1011818580170631</v>
      </c>
      <c r="BH30">
        <v>7.5058447081178897E-2</v>
      </c>
      <c r="BI30">
        <v>9.3481292247673209E-2</v>
      </c>
      <c r="BJ30">
        <v>0.12409513960703206</v>
      </c>
      <c r="BK30">
        <f>SUM(Table1_1[[#This Row],[PFBA]:[diSAmPAP]])</f>
        <v>920.87331480518583</v>
      </c>
      <c r="BL30">
        <f>LOG(Table1_1[[#This Row],[PFBA]])</f>
        <v>-1.0513669359209556</v>
      </c>
      <c r="BM30">
        <f>LOG(Table1_1[[#This Row],[PFPeA]])</f>
        <v>-0.80428937819543744</v>
      </c>
      <c r="BN30">
        <f>LOG(Table1_1[[#This Row],[PFHxA]])</f>
        <v>-0.12320502379929942</v>
      </c>
      <c r="BO30">
        <f>LOG(Table1_1[[#This Row],[PFHpA]])</f>
        <v>-0.53610701101409275</v>
      </c>
      <c r="BP30">
        <f>LOG(Table1_1[[#This Row],[PFOA]])</f>
        <v>0.57749179983722532</v>
      </c>
      <c r="BQ30">
        <f>LOG(Table1_1[[#This Row],[PFNA]])</f>
        <v>0.41995574848975786</v>
      </c>
      <c r="BR30">
        <f>LOG(Table1_1[[#This Row],[PFDA]])</f>
        <v>0.46834733041215726</v>
      </c>
      <c r="BS30">
        <f>LOG(Table1_1[[#This Row],[PFUnA]])</f>
        <v>0.47567118832442967</v>
      </c>
      <c r="BT30">
        <f>LOG(Table1_1[[#This Row],[PFDoA]])</f>
        <v>-1.2495156815503383</v>
      </c>
      <c r="BU30">
        <f>LOG(Table1_1[[#This Row],[PFTrDA]])</f>
        <v>-0.28066871301627333</v>
      </c>
      <c r="BV30">
        <f>LOG(Table1_1[[#This Row],[PFTeDA]])</f>
        <v>-0.28066871301627333</v>
      </c>
      <c r="BW30">
        <f>LOG(Table1_1[[#This Row],[PFHxDA]])</f>
        <v>-1.0755544631861969</v>
      </c>
      <c r="BX30">
        <f>LOG(Table1_1[[#This Row],[PFPrS]])</f>
        <v>-1.2692599758700769</v>
      </c>
      <c r="BY30">
        <f>LOG(Table1_1[[#This Row],[PFBS]])</f>
        <v>-0.82052903577748781</v>
      </c>
      <c r="BZ30">
        <f>LOG(Table1_1[[#This Row],[PFPeS]])</f>
        <v>-3.0507515046188267E-3</v>
      </c>
      <c r="CA30">
        <f>LOG(Table1_1[[#This Row],[PFHxS]])</f>
        <v>1.711807229041191</v>
      </c>
      <c r="CB30">
        <f>LOG(Table1_1[[#This Row],[PFHpS]])</f>
        <v>0.63848925695463732</v>
      </c>
      <c r="CC30">
        <f>LOG(Table1_1[[#This Row],[PFOS]])</f>
        <v>2.7489628612561616</v>
      </c>
      <c r="CD30">
        <f>LOG(Table1_1[[#This Row],[PFNS]])</f>
        <v>-1.2333735073725434E-2</v>
      </c>
      <c r="CE30">
        <f>LOG(Table1_1[[#This Row],[PFDS]])</f>
        <v>-0.27002571430044436</v>
      </c>
      <c r="CF30">
        <f>LOG(Table1_1[[#This Row],[PFDoS]])</f>
        <v>-0.6242988237673418</v>
      </c>
      <c r="CG30">
        <f>LOG(Table1_1[[#This Row],[Cl-PFOS]])</f>
        <v>-0.86974898805409717</v>
      </c>
      <c r="CH30">
        <f>LOG(Table1_1[[#This Row],[PFEtCHxS]])</f>
        <v>-0.42712839779951983</v>
      </c>
      <c r="CI30">
        <f>LOG(Table1_1[[#This Row],[FBSA]])</f>
        <v>1.4563660331290431</v>
      </c>
      <c r="CJ30">
        <f>LOG(Table1_1[[#This Row],[FHxSA]])</f>
        <v>2.2504200023088941</v>
      </c>
      <c r="CK30">
        <f>LOG(Table1_1[[#This Row],[FOSA]])</f>
        <v>1.7379873263334309</v>
      </c>
      <c r="CL30">
        <f>LOG(Table1_1[[#This Row],[N-MeFOSA]])</f>
        <v>-1.2650510757368187</v>
      </c>
      <c r="CM30">
        <f>LOG(Table1_1[[#This Row],[N-EtFOSA]])</f>
        <v>-1.084702608303364</v>
      </c>
      <c r="CN30">
        <f>LOG(Table1_1[[#This Row],[FOSAA]])</f>
        <v>-1.2551020642374344</v>
      </c>
      <c r="CO30">
        <f>LOG(Table1_1[[#This Row],[N-MeFOSAA]])</f>
        <v>1.0969100130080565</v>
      </c>
      <c r="CP30">
        <f>LOG(Table1_1[[#This Row],[N-EtFOSAA]])</f>
        <v>-0.71491197266240225</v>
      </c>
      <c r="CQ30">
        <f>LOG(Table1_1[[#This Row],[4:2 FTS]])</f>
        <v>-1.2372092713935174</v>
      </c>
      <c r="CR30">
        <f>LOG(Table1_1[[#This Row],[6:2 FTS]])</f>
        <v>-4.3451177401769168E-4</v>
      </c>
      <c r="CS30">
        <f>LOG(Table1_1[[#This Row],[8:2 FTS]])</f>
        <v>0.43456890403419873</v>
      </c>
      <c r="CT30">
        <f>LOG(Table1_1[[#This Row],[10:2 FTS]])</f>
        <v>-1.0965839407696407</v>
      </c>
      <c r="CU30">
        <f>LOG(Table1_1[[#This Row],[3:3 FTCA]])</f>
        <v>-1.0897444963184479</v>
      </c>
      <c r="CV30">
        <f>LOG(Table1_1[[#This Row],[5:3 FTCA]])</f>
        <v>-0.77567833222833393</v>
      </c>
      <c r="CW30">
        <f>LOG(Table1_1[[#This Row],[7:3 FTCA]])</f>
        <v>0.48713837547718647</v>
      </c>
      <c r="CX30">
        <f>LOG(Table1_1[[#This Row],[6:2 FTCA]])</f>
        <v>0.54777470538782258</v>
      </c>
      <c r="CY30">
        <f>LOG(Table1_1[[#This Row],[8:2 FTCA]])</f>
        <v>-1.0513669359209556</v>
      </c>
      <c r="CZ30">
        <f>LOG(Table1_1[[#This Row],[10:2 FTCA]])</f>
        <v>-0.97793304075262844</v>
      </c>
      <c r="DA30">
        <f>LOG(Table1_1[[#This Row],[6:2 FTUCA]])</f>
        <v>-1.256779514153324</v>
      </c>
      <c r="DB30">
        <f>LOG(Table1_1[[#This Row],[8:2 FTUCA]])</f>
        <v>-1.3705020467200757</v>
      </c>
      <c r="DC30">
        <f>LOG(Table1_1[[#This Row],[ADONA]])</f>
        <v>-1.1517578958495267</v>
      </c>
      <c r="DD30">
        <f>LOG(Table1_1[[#This Row],[9Cl-PF3ONS]])</f>
        <v>-1.310331697340517</v>
      </c>
      <c r="DE30">
        <f>LOG(Table1_1[[#This Row],[11Cl-PF3OUdS]])</f>
        <v>-1.2552368891853913</v>
      </c>
      <c r="DF30">
        <f>LOG(Table1_1[[#This Row],[HFPO-DA]])</f>
        <v>-0.9948973498419712</v>
      </c>
      <c r="DG30">
        <f>LOG(Table1_1[[#This Row],[6:2 diPAP]])</f>
        <v>-1.1246004251487762</v>
      </c>
      <c r="DH30">
        <f>LOG(Table1_1[[#This Row],[8:2 diPAP]])</f>
        <v>-1.029275292726594</v>
      </c>
      <c r="DI30">
        <f>LOG(Table1_1[[#This Row],[diSAmPAP]])</f>
        <v>-0.90624522803537688</v>
      </c>
    </row>
    <row r="31" spans="1:113">
      <c r="A31" t="s">
        <v>161</v>
      </c>
      <c r="B31" t="s">
        <v>114</v>
      </c>
      <c r="C31" s="3">
        <v>44314</v>
      </c>
      <c r="D31" t="s">
        <v>122</v>
      </c>
      <c r="E31" t="s">
        <v>123</v>
      </c>
      <c r="F31" t="s">
        <v>157</v>
      </c>
      <c r="G31" t="s">
        <v>118</v>
      </c>
      <c r="H31" t="s">
        <v>119</v>
      </c>
      <c r="I31">
        <v>7</v>
      </c>
      <c r="J31">
        <f>LOG(Table1_1[[#This Row],[Length]])</f>
        <v>0.84509804001425681</v>
      </c>
      <c r="K31">
        <v>3.15</v>
      </c>
      <c r="L31">
        <f>LOG(Table1_1[[#This Row],[Weight]])</f>
        <v>0.49831055378960049</v>
      </c>
      <c r="M31">
        <v>0.23949999999999999</v>
      </c>
      <c r="N31">
        <v>0.16900000000000001</v>
      </c>
      <c r="O31">
        <v>0.97499999999999998</v>
      </c>
      <c r="P31">
        <v>0.217</v>
      </c>
      <c r="Q31">
        <v>3.89</v>
      </c>
      <c r="R31">
        <v>2.61</v>
      </c>
      <c r="S31">
        <v>3.33</v>
      </c>
      <c r="T31">
        <v>2.99</v>
      </c>
      <c r="U31">
        <v>4.0599999999999996</v>
      </c>
      <c r="V31">
        <v>0.98</v>
      </c>
      <c r="W31">
        <v>2.09</v>
      </c>
      <c r="X31">
        <v>8.6499999999999994E-2</v>
      </c>
      <c r="Y31">
        <v>5.5500000000000001E-2</v>
      </c>
      <c r="Z31">
        <v>0.16300000000000001</v>
      </c>
      <c r="AA31">
        <v>0.90800000000000003</v>
      </c>
      <c r="AB31">
        <v>49.7</v>
      </c>
      <c r="AC31">
        <v>3.73</v>
      </c>
      <c r="AD31">
        <v>653</v>
      </c>
      <c r="AE31">
        <v>0.81200000000000006</v>
      </c>
      <c r="AF31">
        <v>0.56999999999999995</v>
      </c>
      <c r="AG31">
        <v>0.25600000000000001</v>
      </c>
      <c r="AH31">
        <v>0.14549999999999999</v>
      </c>
      <c r="AI31">
        <v>0.35199999999999998</v>
      </c>
      <c r="AJ31">
        <v>17.2</v>
      </c>
      <c r="AK31">
        <v>118</v>
      </c>
      <c r="AL31">
        <v>32</v>
      </c>
      <c r="AM31">
        <v>5.6000000000000001E-2</v>
      </c>
      <c r="AN31">
        <v>8.4500000000000006E-2</v>
      </c>
      <c r="AO31">
        <v>5.7000000000000002E-2</v>
      </c>
      <c r="AP31">
        <v>0.24099999999999999</v>
      </c>
      <c r="AQ31">
        <v>6.3E-2</v>
      </c>
      <c r="AR31">
        <v>5.9499999999999997E-2</v>
      </c>
      <c r="AS31">
        <v>1.99</v>
      </c>
      <c r="AT31">
        <v>3.99</v>
      </c>
      <c r="AU31">
        <v>8.2500000000000004E-2</v>
      </c>
      <c r="AV31">
        <v>8.3500000000000005E-2</v>
      </c>
      <c r="AW31">
        <v>0.56899999999999995</v>
      </c>
      <c r="AX31">
        <v>4.46</v>
      </c>
      <c r="AY31">
        <v>0.23949999999999999</v>
      </c>
      <c r="AZ31">
        <v>0.73499999999999999</v>
      </c>
      <c r="BA31">
        <v>0.35699999999999998</v>
      </c>
      <c r="BB31">
        <v>5.7000000000000002E-2</v>
      </c>
      <c r="BC31">
        <v>4.3799999999999999E-2</v>
      </c>
      <c r="BD31">
        <v>7.2499999999999995E-2</v>
      </c>
      <c r="BE31">
        <v>7.2499999999999995E-2</v>
      </c>
      <c r="BF31">
        <v>7.2499999999999995E-2</v>
      </c>
      <c r="BG31">
        <v>0.104</v>
      </c>
      <c r="BH31">
        <v>7.7499999999999999E-2</v>
      </c>
      <c r="BI31">
        <v>9.6000000000000002E-2</v>
      </c>
      <c r="BJ31">
        <v>0.1275</v>
      </c>
      <c r="BK31">
        <f>SUM(Table1_1[[#This Row],[PFBA]:[diSAmPAP]])</f>
        <v>912.3198000000001</v>
      </c>
      <c r="BL31">
        <f>LOG(Table1_1[[#This Row],[PFBA]])</f>
        <v>-0.62069448224941803</v>
      </c>
      <c r="BM31">
        <f>LOG(Table1_1[[#This Row],[PFPeA]])</f>
        <v>-0.77211329538632645</v>
      </c>
      <c r="BN31">
        <f>LOG(Table1_1[[#This Row],[PFHxA]])</f>
        <v>-1.0995384301463193E-2</v>
      </c>
      <c r="BO31">
        <f>LOG(Table1_1[[#This Row],[PFHpA]])</f>
        <v>-0.66354026615147055</v>
      </c>
      <c r="BP31">
        <f>LOG(Table1_1[[#This Row],[PFOA]])</f>
        <v>0.58994960132570773</v>
      </c>
      <c r="BQ31">
        <f>LOG(Table1_1[[#This Row],[PFNA]])</f>
        <v>0.41664050733828095</v>
      </c>
      <c r="BR31">
        <f>LOG(Table1_1[[#This Row],[PFDA]])</f>
        <v>0.52244423350631986</v>
      </c>
      <c r="BS31">
        <f>LOG(Table1_1[[#This Row],[PFUnA]])</f>
        <v>0.47567118832442967</v>
      </c>
      <c r="BT31">
        <f>LOG(Table1_1[[#This Row],[PFDoA]])</f>
        <v>0.60852603357719404</v>
      </c>
      <c r="BU31">
        <f>LOG(Table1_1[[#This Row],[PFTrDA]])</f>
        <v>-8.7739243075051505E-3</v>
      </c>
      <c r="BV31">
        <f>LOG(Table1_1[[#This Row],[PFTeDA]])</f>
        <v>0.32014628611105395</v>
      </c>
      <c r="BW31">
        <f>LOG(Table1_1[[#This Row],[PFHxDA]])</f>
        <v>-1.0629838925351858</v>
      </c>
      <c r="BX31">
        <f>LOG(Table1_1[[#This Row],[PFPrS]])</f>
        <v>-1.2557070168773237</v>
      </c>
      <c r="BY31">
        <f>LOG(Table1_1[[#This Row],[PFBS]])</f>
        <v>-0.78781239559604221</v>
      </c>
      <c r="BZ31">
        <f>LOG(Table1_1[[#This Row],[PFPeS]])</f>
        <v>-4.1914151478914877E-2</v>
      </c>
      <c r="CA31">
        <f>LOG(Table1_1[[#This Row],[PFHxS]])</f>
        <v>1.6963563887333322</v>
      </c>
      <c r="CB31">
        <f>LOG(Table1_1[[#This Row],[PFHpS]])</f>
        <v>0.57170883180868759</v>
      </c>
      <c r="CC31">
        <f>LOG(Table1_1[[#This Row],[PFOS]])</f>
        <v>2.8149131812750738</v>
      </c>
      <c r="CD31">
        <f>LOG(Table1_1[[#This Row],[PFNS]])</f>
        <v>-9.0443970758824668E-2</v>
      </c>
      <c r="CE31">
        <f>LOG(Table1_1[[#This Row],[PFDS]])</f>
        <v>-0.24412514432750865</v>
      </c>
      <c r="CF31">
        <f>LOG(Table1_1[[#This Row],[PFDoS]])</f>
        <v>-0.59176003468815042</v>
      </c>
      <c r="CG31">
        <f>LOG(Table1_1[[#This Row],[Cl-PFOS]])</f>
        <v>-0.83713700667807389</v>
      </c>
      <c r="CH31">
        <f>LOG(Table1_1[[#This Row],[PFEtCHxS]])</f>
        <v>-0.45345733652186898</v>
      </c>
      <c r="CI31">
        <f>LOG(Table1_1[[#This Row],[FBSA]])</f>
        <v>1.2355284469075489</v>
      </c>
      <c r="CJ31">
        <f>LOG(Table1_1[[#This Row],[FHxSA]])</f>
        <v>2.0718820073061255</v>
      </c>
      <c r="CK31">
        <f>LOG(Table1_1[[#This Row],[FOSA]])</f>
        <v>1.505149978319906</v>
      </c>
      <c r="CL31">
        <f>LOG(Table1_1[[#This Row],[N-MeFOSA]])</f>
        <v>-1.2518119729937995</v>
      </c>
      <c r="CM31">
        <f>LOG(Table1_1[[#This Row],[N-EtFOSA]])</f>
        <v>-1.0731432910503076</v>
      </c>
      <c r="CN31">
        <f>LOG(Table1_1[[#This Row],[FOSAA]])</f>
        <v>-1.2441251443275085</v>
      </c>
      <c r="CO31">
        <f>LOG(Table1_1[[#This Row],[N-MeFOSAA]])</f>
        <v>-0.61798295742513165</v>
      </c>
      <c r="CP31">
        <f>LOG(Table1_1[[#This Row],[N-EtFOSAA]])</f>
        <v>-1.2006594505464183</v>
      </c>
      <c r="CQ31">
        <f>LOG(Table1_1[[#This Row],[4:2 FTS]])</f>
        <v>-1.2254830342714504</v>
      </c>
      <c r="CR31">
        <f>LOG(Table1_1[[#This Row],[6:2 FTS]])</f>
        <v>0.29885307640970665</v>
      </c>
      <c r="CS31">
        <f>LOG(Table1_1[[#This Row],[8:2 FTS]])</f>
        <v>0.60097289568674828</v>
      </c>
      <c r="CT31">
        <f>LOG(Table1_1[[#This Row],[10:2 FTS]])</f>
        <v>-1.083546051450075</v>
      </c>
      <c r="CU31">
        <f>LOG(Table1_1[[#This Row],[3:3 FTCA]])</f>
        <v>-1.0783135245163979</v>
      </c>
      <c r="CV31">
        <f>LOG(Table1_1[[#This Row],[5:3 FTCA]])</f>
        <v>-0.24488773360492885</v>
      </c>
      <c r="CW31">
        <f>LOG(Table1_1[[#This Row],[7:3 FTCA]])</f>
        <v>0.64933485871214192</v>
      </c>
      <c r="CX31">
        <f>LOG(Table1_1[[#This Row],[6:2 FTCA]])</f>
        <v>-0.62069448224941803</v>
      </c>
      <c r="CY31">
        <f>LOG(Table1_1[[#This Row],[8:2 FTCA]])</f>
        <v>-0.13371266091580511</v>
      </c>
      <c r="CZ31">
        <f>LOG(Table1_1[[#This Row],[10:2 FTCA]])</f>
        <v>-0.44733178388780681</v>
      </c>
      <c r="DA31">
        <f>LOG(Table1_1[[#This Row],[6:2 FTUCA]])</f>
        <v>-1.2441251443275085</v>
      </c>
      <c r="DB31">
        <f>LOG(Table1_1[[#This Row],[8:2 FTUCA]])</f>
        <v>-1.3585258894959005</v>
      </c>
      <c r="DC31">
        <f>LOG(Table1_1[[#This Row],[ADONA]])</f>
        <v>-1.1396619934290064</v>
      </c>
      <c r="DD31">
        <f>LOG(Table1_1[[#This Row],[9Cl-PF3ONS]])</f>
        <v>-1.1396619934290064</v>
      </c>
      <c r="DE31">
        <f>LOG(Table1_1[[#This Row],[11Cl-PF3OUdS]])</f>
        <v>-1.1396619934290064</v>
      </c>
      <c r="DF31">
        <f>LOG(Table1_1[[#This Row],[HFPO-DA]])</f>
        <v>-0.98296666070121963</v>
      </c>
      <c r="DG31">
        <f>LOG(Table1_1[[#This Row],[6:2 diPAP]])</f>
        <v>-1.1106982974936896</v>
      </c>
      <c r="DH31">
        <f>LOG(Table1_1[[#This Row],[8:2 diPAP]])</f>
        <v>-1.0177287669604316</v>
      </c>
      <c r="DI31">
        <f>LOG(Table1_1[[#This Row],[diSAmPAP]])</f>
        <v>-0.89448981523002602</v>
      </c>
    </row>
    <row r="32" spans="1:113">
      <c r="A32" t="s">
        <v>162</v>
      </c>
      <c r="B32" t="s">
        <v>114</v>
      </c>
      <c r="C32" s="3">
        <v>44314</v>
      </c>
      <c r="D32" t="s">
        <v>122</v>
      </c>
      <c r="E32" t="s">
        <v>123</v>
      </c>
      <c r="F32" t="s">
        <v>157</v>
      </c>
      <c r="G32" t="s">
        <v>118</v>
      </c>
      <c r="H32" t="s">
        <v>119</v>
      </c>
      <c r="I32">
        <v>6</v>
      </c>
      <c r="J32">
        <f>LOG(Table1_1[[#This Row],[Length]])</f>
        <v>0.77815125038364363</v>
      </c>
      <c r="K32">
        <v>2.6</v>
      </c>
      <c r="L32">
        <f>LOG(Table1_1[[#This Row],[Weight]])</f>
        <v>0.41497334797081797</v>
      </c>
      <c r="M32">
        <v>0.2215</v>
      </c>
      <c r="N32">
        <v>0.1565</v>
      </c>
      <c r="O32">
        <v>0.751</v>
      </c>
      <c r="P32">
        <v>0.30199999999999999</v>
      </c>
      <c r="Q32">
        <v>4.8499999999999996</v>
      </c>
      <c r="R32">
        <v>2.86</v>
      </c>
      <c r="S32">
        <v>3.13</v>
      </c>
      <c r="T32">
        <v>3.22</v>
      </c>
      <c r="U32">
        <v>6.8</v>
      </c>
      <c r="V32">
        <v>2.48</v>
      </c>
      <c r="W32">
        <v>1.39</v>
      </c>
      <c r="X32">
        <v>0.08</v>
      </c>
      <c r="Y32">
        <v>5.0999999999999997E-2</v>
      </c>
      <c r="Z32">
        <v>0.151</v>
      </c>
      <c r="AA32">
        <v>0.58699999999999997</v>
      </c>
      <c r="AB32">
        <v>45.1</v>
      </c>
      <c r="AC32">
        <v>3.21</v>
      </c>
      <c r="AD32">
        <v>710</v>
      </c>
      <c r="AE32">
        <v>0.64300000000000002</v>
      </c>
      <c r="AF32">
        <v>0.67200000000000004</v>
      </c>
      <c r="AG32">
        <v>0.23699999999999999</v>
      </c>
      <c r="AH32">
        <v>0.13450000000000001</v>
      </c>
      <c r="AI32">
        <v>0.3</v>
      </c>
      <c r="AJ32">
        <v>24.7</v>
      </c>
      <c r="AK32">
        <v>127</v>
      </c>
      <c r="AL32">
        <v>25.8</v>
      </c>
      <c r="AM32">
        <v>5.1499999999999997E-2</v>
      </c>
      <c r="AN32">
        <v>7.85E-2</v>
      </c>
      <c r="AO32">
        <v>5.2999999999999999E-2</v>
      </c>
      <c r="AP32">
        <v>0.223</v>
      </c>
      <c r="AQ32">
        <v>5.8500000000000003E-2</v>
      </c>
      <c r="AR32">
        <v>5.5E-2</v>
      </c>
      <c r="AS32">
        <v>2.2599999999999998</v>
      </c>
      <c r="AT32">
        <v>3.42</v>
      </c>
      <c r="AU32">
        <v>0.2515</v>
      </c>
      <c r="AV32">
        <v>0.2555</v>
      </c>
      <c r="AW32">
        <v>0.2215</v>
      </c>
      <c r="AX32">
        <v>5.18</v>
      </c>
      <c r="AY32">
        <v>6.7000000000000004E-2</v>
      </c>
      <c r="AZ32">
        <v>0.61799999999999999</v>
      </c>
      <c r="BA32">
        <v>0.33050000000000002</v>
      </c>
      <c r="BB32">
        <v>5.2499999999999998E-2</v>
      </c>
      <c r="BC32">
        <v>4.0599999999999997E-2</v>
      </c>
      <c r="BD32">
        <v>6.7000000000000004E-2</v>
      </c>
      <c r="BE32">
        <v>6.7000000000000004E-2</v>
      </c>
      <c r="BF32">
        <v>6.7000000000000004E-2</v>
      </c>
      <c r="BG32">
        <v>9.6500000000000002E-2</v>
      </c>
      <c r="BH32">
        <v>7.1499999999999994E-2</v>
      </c>
      <c r="BI32">
        <v>8.8999999999999996E-2</v>
      </c>
      <c r="BJ32">
        <v>0.11799999999999999</v>
      </c>
      <c r="BK32">
        <f>SUM(Table1_1[[#This Row],[PFBA]:[diSAmPAP]])</f>
        <v>978.6191</v>
      </c>
      <c r="BL32">
        <f>LOG(Table1_1[[#This Row],[PFBA]])</f>
        <v>-0.65462626944091162</v>
      </c>
      <c r="BM32">
        <f>LOG(Table1_1[[#This Row],[PFPeA]])</f>
        <v>-0.8054856581175327</v>
      </c>
      <c r="BN32">
        <f>LOG(Table1_1[[#This Row],[PFHxA]])</f>
        <v>-0.12436006299583161</v>
      </c>
      <c r="BO32">
        <f>LOG(Table1_1[[#This Row],[PFHpA]])</f>
        <v>-0.51999305704284937</v>
      </c>
      <c r="BP32">
        <f>LOG(Table1_1[[#This Row],[PFOA]])</f>
        <v>0.68574173860226362</v>
      </c>
      <c r="BQ32">
        <f>LOG(Table1_1[[#This Row],[PFNA]])</f>
        <v>0.456366033129043</v>
      </c>
      <c r="BR32">
        <f>LOG(Table1_1[[#This Row],[PFDA]])</f>
        <v>0.49554433754644844</v>
      </c>
      <c r="BS32">
        <f>LOG(Table1_1[[#This Row],[PFUnA]])</f>
        <v>0.50785587169583091</v>
      </c>
      <c r="BT32">
        <f>LOG(Table1_1[[#This Row],[PFDoA]])</f>
        <v>0.83250891270623628</v>
      </c>
      <c r="BU32">
        <f>LOG(Table1_1[[#This Row],[PFTrDA]])</f>
        <v>0.39445168082621629</v>
      </c>
      <c r="BV32">
        <f>LOG(Table1_1[[#This Row],[PFTeDA]])</f>
        <v>0.14301480025409505</v>
      </c>
      <c r="BW32">
        <f>LOG(Table1_1[[#This Row],[PFHxDA]])</f>
        <v>-1.0969100130080565</v>
      </c>
      <c r="BX32">
        <f>LOG(Table1_1[[#This Row],[PFPrS]])</f>
        <v>-1.2924298239020637</v>
      </c>
      <c r="BY32">
        <f>LOG(Table1_1[[#This Row],[PFBS]])</f>
        <v>-0.82102305270683062</v>
      </c>
      <c r="BZ32">
        <f>LOG(Table1_1[[#This Row],[PFPeS]])</f>
        <v>-0.23136189875238555</v>
      </c>
      <c r="CA32">
        <f>LOG(Table1_1[[#This Row],[PFHxS]])</f>
        <v>1.6541765418779606</v>
      </c>
      <c r="CB32">
        <f>LOG(Table1_1[[#This Row],[PFHpS]])</f>
        <v>0.5065050324048721</v>
      </c>
      <c r="CC32">
        <f>LOG(Table1_1[[#This Row],[PFOS]])</f>
        <v>2.8512583487190755</v>
      </c>
      <c r="CD32">
        <f>LOG(Table1_1[[#This Row],[PFNS]])</f>
        <v>-0.19178902707577791</v>
      </c>
      <c r="CE32">
        <f>LOG(Table1_1[[#This Row],[PFDS]])</f>
        <v>-0.17263072694617473</v>
      </c>
      <c r="CF32">
        <f>LOG(Table1_1[[#This Row],[PFDoS]])</f>
        <v>-0.62525165398989613</v>
      </c>
      <c r="CG32">
        <f>LOG(Table1_1[[#This Row],[Cl-PFOS]])</f>
        <v>-0.87127771566157319</v>
      </c>
      <c r="CH32">
        <f>LOG(Table1_1[[#This Row],[PFEtCHxS]])</f>
        <v>-0.52287874528033762</v>
      </c>
      <c r="CI32">
        <f>LOG(Table1_1[[#This Row],[FBSA]])</f>
        <v>1.3926969532596658</v>
      </c>
      <c r="CJ32">
        <f>LOG(Table1_1[[#This Row],[FHxSA]])</f>
        <v>2.1038037209559568</v>
      </c>
      <c r="CK32">
        <f>LOG(Table1_1[[#This Row],[FOSA]])</f>
        <v>1.4116197059632303</v>
      </c>
      <c r="CL32">
        <f>LOG(Table1_1[[#This Row],[N-MeFOSA]])</f>
        <v>-1.288192770958809</v>
      </c>
      <c r="CM32">
        <f>LOG(Table1_1[[#This Row],[N-EtFOSA]])</f>
        <v>-1.1051303432547475</v>
      </c>
      <c r="CN32">
        <f>LOG(Table1_1[[#This Row],[FOSAA]])</f>
        <v>-1.2757241303992111</v>
      </c>
      <c r="CO32">
        <f>LOG(Table1_1[[#This Row],[N-MeFOSAA]])</f>
        <v>-0.65169513695183934</v>
      </c>
      <c r="CP32">
        <f>LOG(Table1_1[[#This Row],[N-EtFOSAA]])</f>
        <v>-1.2328441339178196</v>
      </c>
      <c r="CQ32">
        <f>LOG(Table1_1[[#This Row],[4:2 FTS]])</f>
        <v>-1.2596373105057561</v>
      </c>
      <c r="CR32">
        <f>LOG(Table1_1[[#This Row],[6:2 FTS]])</f>
        <v>0.35410843914740087</v>
      </c>
      <c r="CS32">
        <f>LOG(Table1_1[[#This Row],[8:2 FTS]])</f>
        <v>0.53402610605613499</v>
      </c>
      <c r="CT32">
        <f>LOG(Table1_1[[#This Row],[10:2 FTS]])</f>
        <v>-0.59946201060805382</v>
      </c>
      <c r="CU32">
        <f>LOG(Table1_1[[#This Row],[3:3 FTCA]])</f>
        <v>-0.59260909552926844</v>
      </c>
      <c r="CV32">
        <f>LOG(Table1_1[[#This Row],[5:3 FTCA]])</f>
        <v>-0.65462626944091162</v>
      </c>
      <c r="CW32">
        <f>LOG(Table1_1[[#This Row],[7:3 FTCA]])</f>
        <v>0.71432975974523305</v>
      </c>
      <c r="CX32">
        <f>LOG(Table1_1[[#This Row],[6:2 FTCA]])</f>
        <v>-1.1739251972991736</v>
      </c>
      <c r="CY32">
        <f>LOG(Table1_1[[#This Row],[8:2 FTCA]])</f>
        <v>-0.20901152491118416</v>
      </c>
      <c r="CZ32">
        <f>LOG(Table1_1[[#This Row],[10:2 FTCA]])</f>
        <v>-0.48082853617834093</v>
      </c>
      <c r="DA32">
        <f>LOG(Table1_1[[#This Row],[6:2 FTUCA]])</f>
        <v>-1.2798406965940432</v>
      </c>
      <c r="DB32">
        <f>LOG(Table1_1[[#This Row],[8:2 FTUCA]])</f>
        <v>-1.391473966422806</v>
      </c>
      <c r="DC32">
        <f>LOG(Table1_1[[#This Row],[ADONA]])</f>
        <v>-1.1739251972991736</v>
      </c>
      <c r="DD32">
        <f>LOG(Table1_1[[#This Row],[9Cl-PF3ONS]])</f>
        <v>-1.1739251972991736</v>
      </c>
      <c r="DE32">
        <f>LOG(Table1_1[[#This Row],[11Cl-PF3OUdS]])</f>
        <v>-1.1739251972991736</v>
      </c>
      <c r="DF32">
        <f>LOG(Table1_1[[#This Row],[HFPO-DA]])</f>
        <v>-1.0154726866562074</v>
      </c>
      <c r="DG32">
        <f>LOG(Table1_1[[#This Row],[6:2 diPAP]])</f>
        <v>-1.1456939581989194</v>
      </c>
      <c r="DH32">
        <f>LOG(Table1_1[[#This Row],[8:2 diPAP]])</f>
        <v>-1.0506099933550872</v>
      </c>
      <c r="DI32">
        <f>LOG(Table1_1[[#This Row],[diSAmPAP]])</f>
        <v>-0.92811799269387463</v>
      </c>
    </row>
    <row r="33" spans="1:113">
      <c r="A33" t="s">
        <v>163</v>
      </c>
      <c r="B33" t="s">
        <v>114</v>
      </c>
      <c r="C33" s="3">
        <v>44393</v>
      </c>
      <c r="D33" t="s">
        <v>122</v>
      </c>
      <c r="E33" t="s">
        <v>123</v>
      </c>
      <c r="F33" t="s">
        <v>157</v>
      </c>
      <c r="G33" t="s">
        <v>118</v>
      </c>
      <c r="H33" t="s">
        <v>119</v>
      </c>
      <c r="I33">
        <v>4</v>
      </c>
      <c r="J33">
        <f>LOG(Table1_1[[#This Row],[Length]])</f>
        <v>0.6020599913279624</v>
      </c>
      <c r="K33">
        <v>1.34</v>
      </c>
      <c r="L33">
        <f>LOG(Table1_1[[#This Row],[Weight]])</f>
        <v>0.12710479836480765</v>
      </c>
      <c r="M33">
        <v>0.254</v>
      </c>
      <c r="N33">
        <v>8.9499999999999996E-2</v>
      </c>
      <c r="O33">
        <v>0.13700000000000001</v>
      </c>
      <c r="P33">
        <v>0.254</v>
      </c>
      <c r="Q33">
        <v>3.7</v>
      </c>
      <c r="R33">
        <v>2.69</v>
      </c>
      <c r="S33">
        <v>3.97</v>
      </c>
      <c r="T33">
        <v>4.79</v>
      </c>
      <c r="U33">
        <v>4.51</v>
      </c>
      <c r="V33">
        <v>1.28</v>
      </c>
      <c r="W33">
        <v>0.90500000000000003</v>
      </c>
      <c r="X33">
        <v>0.1515</v>
      </c>
      <c r="Y33">
        <v>0.127</v>
      </c>
      <c r="Z33">
        <v>0.254</v>
      </c>
      <c r="AA33">
        <v>0.32400000000000001</v>
      </c>
      <c r="AB33">
        <v>44.4</v>
      </c>
      <c r="AC33">
        <v>5.91</v>
      </c>
      <c r="AD33">
        <v>662</v>
      </c>
      <c r="AE33">
        <v>1.48</v>
      </c>
      <c r="AF33">
        <v>0.70899999999999996</v>
      </c>
      <c r="AG33">
        <v>0.27200000000000002</v>
      </c>
      <c r="AH33">
        <v>0.1545</v>
      </c>
      <c r="AI33">
        <v>0.47199999999999998</v>
      </c>
      <c r="AJ33">
        <v>12.5</v>
      </c>
      <c r="AK33">
        <v>75.900000000000006</v>
      </c>
      <c r="AL33">
        <v>11.2</v>
      </c>
      <c r="AM33">
        <v>9.8000000000000004E-2</v>
      </c>
      <c r="AN33">
        <v>0.254</v>
      </c>
      <c r="AO33">
        <v>0.254</v>
      </c>
      <c r="AP33">
        <v>0.128</v>
      </c>
      <c r="AQ33">
        <v>0.127</v>
      </c>
      <c r="AR33">
        <v>0.127</v>
      </c>
      <c r="AS33">
        <v>2.2400000000000002</v>
      </c>
      <c r="AT33">
        <v>9.48</v>
      </c>
      <c r="AU33">
        <v>0.51</v>
      </c>
      <c r="AV33">
        <v>0.254</v>
      </c>
      <c r="AW33">
        <v>0.254</v>
      </c>
      <c r="AX33">
        <v>7.93</v>
      </c>
      <c r="AY33">
        <v>0.254</v>
      </c>
      <c r="AZ33">
        <v>0.127</v>
      </c>
      <c r="BA33">
        <v>0.254</v>
      </c>
      <c r="BB33">
        <v>0.1</v>
      </c>
      <c r="BC33">
        <v>7.6999999999999999E-2</v>
      </c>
      <c r="BD33">
        <v>0.112</v>
      </c>
      <c r="BE33">
        <v>0.254</v>
      </c>
      <c r="BF33">
        <v>0.254</v>
      </c>
      <c r="BG33">
        <v>0.1825</v>
      </c>
      <c r="BH33">
        <v>0.254</v>
      </c>
      <c r="BI33">
        <v>0.254</v>
      </c>
      <c r="BJ33">
        <v>0.254</v>
      </c>
      <c r="BK33">
        <f>SUM(Table1_1[[#This Row],[PFBA]:[diSAmPAP]])</f>
        <v>862.46600000000001</v>
      </c>
      <c r="BL33">
        <f>LOG(Table1_1[[#This Row],[PFBA]])</f>
        <v>-0.59516628338006194</v>
      </c>
      <c r="BM33">
        <f>LOG(Table1_1[[#This Row],[PFPeA]])</f>
        <v>-1.0481769646840879</v>
      </c>
      <c r="BN33">
        <f>LOG(Table1_1[[#This Row],[PFHxA]])</f>
        <v>-0.86327943284359321</v>
      </c>
      <c r="BO33">
        <f>LOG(Table1_1[[#This Row],[PFHpA]])</f>
        <v>-0.59516628338006194</v>
      </c>
      <c r="BP33">
        <f>LOG(Table1_1[[#This Row],[PFOA]])</f>
        <v>0.56820172406699498</v>
      </c>
      <c r="BQ33">
        <f>LOG(Table1_1[[#This Row],[PFNA]])</f>
        <v>0.42975228000240795</v>
      </c>
      <c r="BR33">
        <f>LOG(Table1_1[[#This Row],[PFDA]])</f>
        <v>0.59879050676311507</v>
      </c>
      <c r="BS33">
        <f>LOG(Table1_1[[#This Row],[PFUnA]])</f>
        <v>0.68033551341456322</v>
      </c>
      <c r="BT33">
        <f>LOG(Table1_1[[#This Row],[PFDoA]])</f>
        <v>0.65417654187796048</v>
      </c>
      <c r="BU33">
        <f>LOG(Table1_1[[#This Row],[PFTrDA]])</f>
        <v>0.10720996964786837</v>
      </c>
      <c r="BV33">
        <f>LOG(Table1_1[[#This Row],[PFTeDA]])</f>
        <v>-4.3351420794796675E-2</v>
      </c>
      <c r="BW33">
        <f>LOG(Table1_1[[#This Row],[PFHxDA]])</f>
        <v>-0.81958736716167624</v>
      </c>
      <c r="BX33">
        <f>LOG(Table1_1[[#This Row],[PFPrS]])</f>
        <v>-0.89619627904404309</v>
      </c>
      <c r="BY33">
        <f>LOG(Table1_1[[#This Row],[PFBS]])</f>
        <v>-0.59516628338006194</v>
      </c>
      <c r="BZ33">
        <f>LOG(Table1_1[[#This Row],[PFPeS]])</f>
        <v>-0.48945498979338786</v>
      </c>
      <c r="CA33">
        <f>LOG(Table1_1[[#This Row],[PFHxS]])</f>
        <v>1.6473829701146199</v>
      </c>
      <c r="CB33">
        <f>LOG(Table1_1[[#This Row],[PFHpS]])</f>
        <v>0.77158748088125539</v>
      </c>
      <c r="CC33">
        <f>LOG(Table1_1[[#This Row],[PFOS]])</f>
        <v>2.8208579894397001</v>
      </c>
      <c r="CD33">
        <f>LOG(Table1_1[[#This Row],[PFNS]])</f>
        <v>0.17026171539495738</v>
      </c>
      <c r="CE33">
        <f>LOG(Table1_1[[#This Row],[PFDS]])</f>
        <v>-0.14935376481693349</v>
      </c>
      <c r="CF33">
        <f>LOG(Table1_1[[#This Row],[PFDoS]])</f>
        <v>-0.56543109596580121</v>
      </c>
      <c r="CG33">
        <f>LOG(Table1_1[[#This Row],[Cl-PFOS]])</f>
        <v>-0.81107151623914653</v>
      </c>
      <c r="CH33">
        <f>LOG(Table1_1[[#This Row],[PFEtCHxS]])</f>
        <v>-0.32605800136591223</v>
      </c>
      <c r="CI33">
        <f>LOG(Table1_1[[#This Row],[FBSA]])</f>
        <v>1.0969100130080565</v>
      </c>
      <c r="CJ33">
        <f>LOG(Table1_1[[#This Row],[FHxSA]])</f>
        <v>1.8802417758954804</v>
      </c>
      <c r="CK33">
        <f>LOG(Table1_1[[#This Row],[FOSA]])</f>
        <v>1.0492180226701815</v>
      </c>
      <c r="CL33">
        <f>LOG(Table1_1[[#This Row],[N-MeFOSA]])</f>
        <v>-1.0087739243075051</v>
      </c>
      <c r="CM33">
        <f>LOG(Table1_1[[#This Row],[N-EtFOSA]])</f>
        <v>-0.59516628338006194</v>
      </c>
      <c r="CN33">
        <f>LOG(Table1_1[[#This Row],[FOSAA]])</f>
        <v>-0.59516628338006194</v>
      </c>
      <c r="CO33">
        <f>LOG(Table1_1[[#This Row],[N-MeFOSAA]])</f>
        <v>-0.89279003035213167</v>
      </c>
      <c r="CP33">
        <f>LOG(Table1_1[[#This Row],[N-EtFOSAA]])</f>
        <v>-0.89619627904404309</v>
      </c>
      <c r="CQ33">
        <f>LOG(Table1_1[[#This Row],[4:2 FTS]])</f>
        <v>-0.89619627904404309</v>
      </c>
      <c r="CR33">
        <f>LOG(Table1_1[[#This Row],[6:2 FTS]])</f>
        <v>0.35024801833416286</v>
      </c>
      <c r="CS33">
        <f>LOG(Table1_1[[#This Row],[8:2 FTS]])</f>
        <v>0.97680833733806627</v>
      </c>
      <c r="CT33">
        <f>LOG(Table1_1[[#This Row],[10:2 FTS]])</f>
        <v>-0.29242982390206362</v>
      </c>
      <c r="CU33">
        <f>LOG(Table1_1[[#This Row],[3:3 FTCA]])</f>
        <v>-0.59516628338006194</v>
      </c>
      <c r="CV33">
        <f>LOG(Table1_1[[#This Row],[5:3 FTCA]])</f>
        <v>-0.59516628338006194</v>
      </c>
      <c r="CW33">
        <f>LOG(Table1_1[[#This Row],[7:3 FTCA]])</f>
        <v>0.89927318731760375</v>
      </c>
      <c r="CX33">
        <f>LOG(Table1_1[[#This Row],[6:2 FTCA]])</f>
        <v>-0.59516628338006194</v>
      </c>
      <c r="CY33">
        <f>LOG(Table1_1[[#This Row],[8:2 FTCA]])</f>
        <v>-0.89619627904404309</v>
      </c>
      <c r="CZ33">
        <f>LOG(Table1_1[[#This Row],[10:2 FTCA]])</f>
        <v>-0.59516628338006194</v>
      </c>
      <c r="DA33">
        <f>LOG(Table1_1[[#This Row],[6:2 FTUCA]])</f>
        <v>-1</v>
      </c>
      <c r="DB33">
        <f>LOG(Table1_1[[#This Row],[8:2 FTUCA]])</f>
        <v>-1.1135092748275182</v>
      </c>
      <c r="DC33">
        <f>LOG(Table1_1[[#This Row],[ADONA]])</f>
        <v>-0.9507819773298184</v>
      </c>
      <c r="DD33">
        <f>LOG(Table1_1[[#This Row],[9Cl-PF3ONS]])</f>
        <v>-0.59516628338006194</v>
      </c>
      <c r="DE33">
        <f>LOG(Table1_1[[#This Row],[11Cl-PF3OUdS]])</f>
        <v>-0.59516628338006194</v>
      </c>
      <c r="DF33">
        <f>LOG(Table1_1[[#This Row],[HFPO-DA]])</f>
        <v>-0.7387371312075065</v>
      </c>
      <c r="DG33">
        <f>LOG(Table1_1[[#This Row],[6:2 diPAP]])</f>
        <v>-0.59516628338006194</v>
      </c>
      <c r="DH33">
        <f>LOG(Table1_1[[#This Row],[8:2 diPAP]])</f>
        <v>-0.59516628338006194</v>
      </c>
      <c r="DI33">
        <f>LOG(Table1_1[[#This Row],[diSAmPAP]])</f>
        <v>-0.59516628338006194</v>
      </c>
    </row>
    <row r="34" spans="1:113">
      <c r="A34" t="s">
        <v>164</v>
      </c>
      <c r="B34" t="s">
        <v>121</v>
      </c>
      <c r="C34" s="3">
        <v>44314</v>
      </c>
      <c r="D34" t="s">
        <v>165</v>
      </c>
      <c r="E34" t="s">
        <v>166</v>
      </c>
      <c r="F34" t="s">
        <v>167</v>
      </c>
      <c r="G34" t="s">
        <v>118</v>
      </c>
      <c r="H34" t="s">
        <v>119</v>
      </c>
      <c r="I34">
        <v>6</v>
      </c>
      <c r="J34">
        <f>LOG(Table1_1[[#This Row],[Length]])</f>
        <v>0.77815125038364363</v>
      </c>
      <c r="K34">
        <v>2.25</v>
      </c>
      <c r="L34">
        <f>LOG(Table1_1[[#This Row],[Weight]])</f>
        <v>0.35218251811136247</v>
      </c>
      <c r="M34">
        <v>9.3477357706688816E-2</v>
      </c>
      <c r="N34">
        <v>5.2752157258541398E-2</v>
      </c>
      <c r="O34">
        <v>4.0294712422963203E-2</v>
      </c>
      <c r="P34">
        <v>9.3477357706688816E-2</v>
      </c>
      <c r="Q34">
        <v>3.26</v>
      </c>
      <c r="R34">
        <v>1.44</v>
      </c>
      <c r="S34">
        <v>3.18</v>
      </c>
      <c r="T34">
        <v>6.01</v>
      </c>
      <c r="U34">
        <v>5.961353693002628E-2</v>
      </c>
      <c r="V34">
        <v>1.95</v>
      </c>
      <c r="W34">
        <v>5.05</v>
      </c>
      <c r="X34">
        <v>8.8982808321287785E-2</v>
      </c>
      <c r="Y34">
        <v>5.6964015428712218E-2</v>
      </c>
      <c r="Z34">
        <v>0.67800000000000005</v>
      </c>
      <c r="AA34">
        <v>0.12375115377261114</v>
      </c>
      <c r="AB34">
        <v>26.2</v>
      </c>
      <c r="AC34">
        <v>1.43</v>
      </c>
      <c r="AD34">
        <v>595</v>
      </c>
      <c r="AE34">
        <v>0.872</v>
      </c>
      <c r="AF34">
        <v>0.98399999999999999</v>
      </c>
      <c r="AG34">
        <v>0.627</v>
      </c>
      <c r="AH34">
        <v>0.14201178154437058</v>
      </c>
      <c r="AI34">
        <v>0.20399999999999999</v>
      </c>
      <c r="AJ34">
        <v>18.8</v>
      </c>
      <c r="AK34">
        <v>99.3</v>
      </c>
      <c r="AL34">
        <v>13.4</v>
      </c>
      <c r="AM34">
        <v>5.7518757437582127E-2</v>
      </c>
      <c r="AN34">
        <v>8.7128043720433632E-2</v>
      </c>
      <c r="AO34">
        <v>5.8851631507884361E-2</v>
      </c>
      <c r="AP34">
        <v>0.82699999999999996</v>
      </c>
      <c r="AQ34">
        <v>6.4806360152759521E-2</v>
      </c>
      <c r="AR34">
        <v>6.1326940624178705E-2</v>
      </c>
      <c r="AS34">
        <v>0.48899999999999999</v>
      </c>
      <c r="AT34">
        <v>1.43</v>
      </c>
      <c r="AU34">
        <v>0.26535079405899453</v>
      </c>
      <c r="AV34">
        <v>8.6122390284165573E-2</v>
      </c>
      <c r="AW34">
        <v>0.35599999999999998</v>
      </c>
      <c r="AX34">
        <v>5.36</v>
      </c>
      <c r="AY34">
        <v>1.81</v>
      </c>
      <c r="AZ34">
        <v>2.9865010154103457E-2</v>
      </c>
      <c r="BA34">
        <v>0.11141086099375822</v>
      </c>
      <c r="BB34">
        <v>5.8624757207621558E-2</v>
      </c>
      <c r="BC34">
        <v>4.511890223899475E-2</v>
      </c>
      <c r="BD34">
        <v>7.4662525385258638E-2</v>
      </c>
      <c r="BE34">
        <v>5.1823754571287781E-2</v>
      </c>
      <c r="BF34">
        <v>5.8833364094940874E-2</v>
      </c>
      <c r="BG34">
        <v>0.1071428566606439</v>
      </c>
      <c r="BH34">
        <v>7.9480418667871228E-2</v>
      </c>
      <c r="BI34">
        <v>9.898862199244414E-2</v>
      </c>
      <c r="BJ34">
        <v>0.13140604467805517</v>
      </c>
      <c r="BK34">
        <f>SUM(Table1_1[[#This Row],[PFBA]:[diSAmPAP]])</f>
        <v>790.93678691552282</v>
      </c>
      <c r="BL34">
        <f>LOG(Table1_1[[#This Row],[PFBA]])</f>
        <v>-1.0292935721636676</v>
      </c>
      <c r="BM34">
        <f>LOG(Table1_1[[#This Row],[PFPeA]])</f>
        <v>-1.2777597755312422</v>
      </c>
      <c r="BN34">
        <f>LOG(Table1_1[[#This Row],[PFHxA]])</f>
        <v>-1.3947519393723065</v>
      </c>
      <c r="BO34">
        <f>LOG(Table1_1[[#This Row],[PFHpA]])</f>
        <v>-1.0292935721636676</v>
      </c>
      <c r="BP34">
        <f>LOG(Table1_1[[#This Row],[PFOA]])</f>
        <v>0.51321760006793893</v>
      </c>
      <c r="BQ34">
        <f>LOG(Table1_1[[#This Row],[PFNA]])</f>
        <v>0.15836249209524964</v>
      </c>
      <c r="BR34">
        <f>LOG(Table1_1[[#This Row],[PFDA]])</f>
        <v>0.50242711998443268</v>
      </c>
      <c r="BS34">
        <f>LOG(Table1_1[[#This Row],[PFUnA]])</f>
        <v>0.77887447200273952</v>
      </c>
      <c r="BT34">
        <f>LOG(Table1_1[[#This Row],[PFDoA]])</f>
        <v>-1.2246551102855343</v>
      </c>
      <c r="BU34">
        <f>LOG(Table1_1[[#This Row],[PFTrDA]])</f>
        <v>0.29003461136251801</v>
      </c>
      <c r="BV34">
        <f>LOG(Table1_1[[#This Row],[PFTeDA]])</f>
        <v>0.70329137811866138</v>
      </c>
      <c r="BW34">
        <f>LOG(Table1_1[[#This Row],[PFHxDA]])</f>
        <v>-1.0506938919213926</v>
      </c>
      <c r="BX34">
        <f>LOG(Table1_1[[#This Row],[PFPrS]])</f>
        <v>-1.2443994046052729</v>
      </c>
      <c r="BY34">
        <f>LOG(Table1_1[[#This Row],[PFBS]])</f>
        <v>-0.16877030613293661</v>
      </c>
      <c r="BZ34">
        <f>LOG(Table1_1[[#This Row],[PFPeS]])</f>
        <v>-0.90745074330556519</v>
      </c>
      <c r="CA34">
        <f>LOG(Table1_1[[#This Row],[PFHxS]])</f>
        <v>1.4183012913197455</v>
      </c>
      <c r="CB34">
        <f>LOG(Table1_1[[#This Row],[PFHpS]])</f>
        <v>0.1553360374650618</v>
      </c>
      <c r="CC34">
        <f>LOG(Table1_1[[#This Row],[PFOS]])</f>
        <v>2.7745169657285498</v>
      </c>
      <c r="CD34">
        <f>LOG(Table1_1[[#This Row],[PFNS]])</f>
        <v>-5.9483515067432782E-2</v>
      </c>
      <c r="CE34">
        <f>LOG(Table1_1[[#This Row],[PFDS]])</f>
        <v>-7.0049015686584892E-3</v>
      </c>
      <c r="CF34">
        <f>LOG(Table1_1[[#This Row],[PFDoS]])</f>
        <v>-0.20273245916928356</v>
      </c>
      <c r="CG34">
        <f>LOG(Table1_1[[#This Row],[Cl-PFOS]])</f>
        <v>-0.8476756242968092</v>
      </c>
      <c r="CH34">
        <f>LOG(Table1_1[[#This Row],[PFEtCHxS]])</f>
        <v>-0.69036983257410123</v>
      </c>
      <c r="CI34">
        <f>LOG(Table1_1[[#This Row],[FBSA]])</f>
        <v>1.2741578492636798</v>
      </c>
      <c r="CJ34">
        <f>LOG(Table1_1[[#This Row],[FHxSA]])</f>
        <v>1.9969492484953812</v>
      </c>
      <c r="CK34">
        <f>LOG(Table1_1[[#This Row],[FOSA]])</f>
        <v>1.1271047983648077</v>
      </c>
      <c r="CL34">
        <f>LOG(Table1_1[[#This Row],[N-MeFOSA]])</f>
        <v>-1.2401905044720147</v>
      </c>
      <c r="CM34">
        <f>LOG(Table1_1[[#This Row],[N-EtFOSA]])</f>
        <v>-1.0598420370385599</v>
      </c>
      <c r="CN34">
        <f>LOG(Table1_1[[#This Row],[FOSAA]])</f>
        <v>-1.2302414929726306</v>
      </c>
      <c r="CO34">
        <f>LOG(Table1_1[[#This Row],[N-MeFOSAA]])</f>
        <v>-8.2494490447453356E-2</v>
      </c>
      <c r="CP34">
        <f>LOG(Table1_1[[#This Row],[N-EtFOSAA]])</f>
        <v>-1.1883823699982068</v>
      </c>
      <c r="CQ34">
        <f>LOG(Table1_1[[#This Row],[4:2 FTS]])</f>
        <v>-1.2123487001287134</v>
      </c>
      <c r="CR34">
        <f>LOG(Table1_1[[#This Row],[6:2 FTS]])</f>
        <v>-0.31069114087637978</v>
      </c>
      <c r="CS34">
        <f>LOG(Table1_1[[#This Row],[8:2 FTS]])</f>
        <v>0.1553360374650618</v>
      </c>
      <c r="CT34">
        <f>LOG(Table1_1[[#This Row],[10:2 FTS]])</f>
        <v>-0.57617960841174409</v>
      </c>
      <c r="CU34">
        <f>LOG(Table1_1[[#This Row],[3:3 FTCA]])</f>
        <v>-1.0648839250536437</v>
      </c>
      <c r="CV34">
        <f>LOG(Table1_1[[#This Row],[5:3 FTCA]])</f>
        <v>-0.44855000202712486</v>
      </c>
      <c r="CW34">
        <f>LOG(Table1_1[[#This Row],[7:3 FTCA]])</f>
        <v>0.7291647896927701</v>
      </c>
      <c r="CX34">
        <f>LOG(Table1_1[[#This Row],[6:2 FTCA]])</f>
        <v>0.2576785748691845</v>
      </c>
      <c r="CY34">
        <f>LOG(Table1_1[[#This Row],[8:2 FTCA]])</f>
        <v>-1.5248373332567602</v>
      </c>
      <c r="CZ34">
        <f>LOG(Table1_1[[#This Row],[10:2 FTCA]])</f>
        <v>-0.95307246948782454</v>
      </c>
      <c r="DA34">
        <f>LOG(Table1_1[[#This Row],[6:2 FTUCA]])</f>
        <v>-1.23191894288852</v>
      </c>
      <c r="DB34">
        <f>LOG(Table1_1[[#This Row],[8:2 FTUCA]])</f>
        <v>-1.3456414754552717</v>
      </c>
      <c r="DC34">
        <f>LOG(Table1_1[[#This Row],[ADONA]])</f>
        <v>-1.1268973245847227</v>
      </c>
      <c r="DD34">
        <f>LOG(Table1_1[[#This Row],[9Cl-PF3ONS]])</f>
        <v>-1.285471126075713</v>
      </c>
      <c r="DE34">
        <f>LOG(Table1_1[[#This Row],[11Cl-PF3OUdS]])</f>
        <v>-1.2303763179205873</v>
      </c>
      <c r="DF34">
        <f>LOG(Table1_1[[#This Row],[HFPO-DA]])</f>
        <v>-0.9700367785771673</v>
      </c>
      <c r="DG34">
        <f>LOG(Table1_1[[#This Row],[6:2 diPAP]])</f>
        <v>-1.0997398538839722</v>
      </c>
      <c r="DH34">
        <f>LOG(Table1_1[[#This Row],[8:2 diPAP]])</f>
        <v>-1.00441472146179</v>
      </c>
      <c r="DI34">
        <f>LOG(Table1_1[[#This Row],[diSAmPAP]])</f>
        <v>-0.88138465677057287</v>
      </c>
    </row>
    <row r="35" spans="1:113">
      <c r="A35" t="s">
        <v>168</v>
      </c>
      <c r="B35" t="s">
        <v>114</v>
      </c>
      <c r="C35" s="3">
        <v>44314</v>
      </c>
      <c r="D35" t="s">
        <v>165</v>
      </c>
      <c r="E35" t="s">
        <v>166</v>
      </c>
      <c r="F35" t="s">
        <v>167</v>
      </c>
      <c r="G35" t="s">
        <v>118</v>
      </c>
      <c r="H35" t="s">
        <v>119</v>
      </c>
      <c r="I35">
        <v>6</v>
      </c>
      <c r="J35">
        <f>LOG(Table1_1[[#This Row],[Length]])</f>
        <v>0.77815125038364363</v>
      </c>
      <c r="K35">
        <v>2.75</v>
      </c>
      <c r="L35">
        <f>LOG(Table1_1[[#This Row],[Weight]])</f>
        <v>0.43933269383026263</v>
      </c>
      <c r="M35">
        <v>0.222</v>
      </c>
      <c r="N35">
        <v>4.7600000000000003E-2</v>
      </c>
      <c r="O35">
        <v>3.635E-2</v>
      </c>
      <c r="P35">
        <v>2.6950000000000002E-2</v>
      </c>
      <c r="Q35">
        <v>4.42</v>
      </c>
      <c r="R35">
        <v>3.55</v>
      </c>
      <c r="S35">
        <v>3.9</v>
      </c>
      <c r="T35">
        <v>5.13</v>
      </c>
      <c r="U35">
        <v>8.14</v>
      </c>
      <c r="V35">
        <v>2.17</v>
      </c>
      <c r="W35">
        <v>7.17</v>
      </c>
      <c r="X35">
        <v>0.08</v>
      </c>
      <c r="Y35">
        <v>5.1499999999999997E-2</v>
      </c>
      <c r="Z35">
        <v>0.151</v>
      </c>
      <c r="AA35">
        <v>0.11749999999999999</v>
      </c>
      <c r="AB35">
        <v>21.3</v>
      </c>
      <c r="AC35">
        <v>2.67</v>
      </c>
      <c r="AD35">
        <v>922</v>
      </c>
      <c r="AE35">
        <v>1.56</v>
      </c>
      <c r="AF35">
        <v>2.4700000000000002</v>
      </c>
      <c r="AG35">
        <v>1.1200000000000001</v>
      </c>
      <c r="AH35">
        <v>0.13500000000000001</v>
      </c>
      <c r="AI35">
        <v>0.29699999999999999</v>
      </c>
      <c r="AJ35">
        <v>21.5</v>
      </c>
      <c r="AK35">
        <v>145</v>
      </c>
      <c r="AL35">
        <v>18.399999999999999</v>
      </c>
      <c r="AM35">
        <v>5.1999999999999998E-2</v>
      </c>
      <c r="AN35">
        <v>7.85E-2</v>
      </c>
      <c r="AO35">
        <v>5.2999999999999999E-2</v>
      </c>
      <c r="AP35">
        <v>0.70099999999999996</v>
      </c>
      <c r="AQ35">
        <v>5.8500000000000003E-2</v>
      </c>
      <c r="AR35">
        <v>5.5500000000000001E-2</v>
      </c>
      <c r="AS35">
        <v>0.69399999999999995</v>
      </c>
      <c r="AT35">
        <v>1.26</v>
      </c>
      <c r="AU35">
        <v>0.252</v>
      </c>
      <c r="AV35">
        <v>7.7499999999999999E-2</v>
      </c>
      <c r="AW35">
        <v>11.5</v>
      </c>
      <c r="AX35">
        <v>28.6</v>
      </c>
      <c r="AY35">
        <v>1.92</v>
      </c>
      <c r="AZ35">
        <v>3.61</v>
      </c>
      <c r="BA35">
        <v>0.72699999999999998</v>
      </c>
      <c r="BB35">
        <v>5.2999999999999999E-2</v>
      </c>
      <c r="BC35">
        <v>4.0599999999999997E-2</v>
      </c>
      <c r="BD35">
        <v>0.222</v>
      </c>
      <c r="BE35">
        <v>6.7500000000000004E-2</v>
      </c>
      <c r="BF35">
        <v>6.7500000000000004E-2</v>
      </c>
      <c r="BG35">
        <v>9.6500000000000002E-2</v>
      </c>
      <c r="BH35">
        <v>7.1499999999999994E-2</v>
      </c>
      <c r="BI35">
        <v>8.8999999999999996E-2</v>
      </c>
      <c r="BJ35">
        <v>0.11849999999999999</v>
      </c>
      <c r="BK35">
        <f>SUM(Table1_1[[#This Row],[PFBA]:[diSAmPAP]])</f>
        <v>1222.1300000000008</v>
      </c>
      <c r="BL35">
        <f>LOG(Table1_1[[#This Row],[PFBA]])</f>
        <v>-0.65364702554936138</v>
      </c>
      <c r="BM35">
        <f>LOG(Table1_1[[#This Row],[PFPeA]])</f>
        <v>-1.3223930472795069</v>
      </c>
      <c r="BN35">
        <f>LOG(Table1_1[[#This Row],[PFHxA]])</f>
        <v>-1.4394955848049433</v>
      </c>
      <c r="BO35">
        <f>LOG(Table1_1[[#This Row],[PFHpA]])</f>
        <v>-1.5694412304772425</v>
      </c>
      <c r="BP35">
        <f>LOG(Table1_1[[#This Row],[PFOA]])</f>
        <v>0.64542226934909186</v>
      </c>
      <c r="BQ35">
        <f>LOG(Table1_1[[#This Row],[PFNA]])</f>
        <v>0.5502283530550941</v>
      </c>
      <c r="BR35">
        <f>LOG(Table1_1[[#This Row],[PFDA]])</f>
        <v>0.59106460702649921</v>
      </c>
      <c r="BS35">
        <f>LOG(Table1_1[[#This Row],[PFUnA]])</f>
        <v>0.71011736511181622</v>
      </c>
      <c r="BT35">
        <f>LOG(Table1_1[[#This Row],[PFDoA]])</f>
        <v>0.91062440488920127</v>
      </c>
      <c r="BU35">
        <f>LOG(Table1_1[[#This Row],[PFTrDA]])</f>
        <v>0.33645973384852951</v>
      </c>
      <c r="BV35">
        <f>LOG(Table1_1[[#This Row],[PFTeDA]])</f>
        <v>0.85551915566780012</v>
      </c>
      <c r="BW35">
        <f>LOG(Table1_1[[#This Row],[PFHxDA]])</f>
        <v>-1.0969100130080565</v>
      </c>
      <c r="BX35">
        <f>LOG(Table1_1[[#This Row],[PFPrS]])</f>
        <v>-1.288192770958809</v>
      </c>
      <c r="BY35">
        <f>LOG(Table1_1[[#This Row],[PFBS]])</f>
        <v>-0.82102305270683062</v>
      </c>
      <c r="BZ35">
        <f>LOG(Table1_1[[#This Row],[PFPeS]])</f>
        <v>-0.92996213339224498</v>
      </c>
      <c r="CA35">
        <f>LOG(Table1_1[[#This Row],[PFHxS]])</f>
        <v>1.3283796034387378</v>
      </c>
      <c r="CB35">
        <f>LOG(Table1_1[[#This Row],[PFHpS]])</f>
        <v>0.42651126136457523</v>
      </c>
      <c r="CC35">
        <f>LOG(Table1_1[[#This Row],[PFOS]])</f>
        <v>2.9647309210536292</v>
      </c>
      <c r="CD35">
        <f>LOG(Table1_1[[#This Row],[PFNS]])</f>
        <v>0.19312459835446161</v>
      </c>
      <c r="CE35">
        <f>LOG(Table1_1[[#This Row],[PFDS]])</f>
        <v>0.39269695325966575</v>
      </c>
      <c r="CF35">
        <f>LOG(Table1_1[[#This Row],[PFDoS]])</f>
        <v>4.9218022670181653E-2</v>
      </c>
      <c r="CG35">
        <f>LOG(Table1_1[[#This Row],[Cl-PFOS]])</f>
        <v>-0.86966623150499389</v>
      </c>
      <c r="CH35">
        <f>LOG(Table1_1[[#This Row],[PFEtCHxS]])</f>
        <v>-0.52724355068278772</v>
      </c>
      <c r="CI35">
        <f>LOG(Table1_1[[#This Row],[FBSA]])</f>
        <v>1.3324384599156054</v>
      </c>
      <c r="CJ35">
        <f>LOG(Table1_1[[#This Row],[FHxSA]])</f>
        <v>2.1613680022349748</v>
      </c>
      <c r="CK35">
        <f>LOG(Table1_1[[#This Row],[FOSA]])</f>
        <v>1.2648178230095364</v>
      </c>
      <c r="CL35">
        <f>LOG(Table1_1[[#This Row],[N-MeFOSA]])</f>
        <v>-1.2839966563652008</v>
      </c>
      <c r="CM35">
        <f>LOG(Table1_1[[#This Row],[N-EtFOSA]])</f>
        <v>-1.1051303432547475</v>
      </c>
      <c r="CN35">
        <f>LOG(Table1_1[[#This Row],[FOSAA]])</f>
        <v>-1.2757241303992111</v>
      </c>
      <c r="CO35">
        <f>LOG(Table1_1[[#This Row],[N-MeFOSAA]])</f>
        <v>-0.15428198203334137</v>
      </c>
      <c r="CP35">
        <f>LOG(Table1_1[[#This Row],[N-EtFOSAA]])</f>
        <v>-1.2328441339178196</v>
      </c>
      <c r="CQ35">
        <f>LOG(Table1_1[[#This Row],[4:2 FTS]])</f>
        <v>-1.2557070168773237</v>
      </c>
      <c r="CR35">
        <f>LOG(Table1_1[[#This Row],[6:2 FTS]])</f>
        <v>-0.15864052954514513</v>
      </c>
      <c r="CS35">
        <f>LOG(Table1_1[[#This Row],[8:2 FTS]])</f>
        <v>0.10037054511756291</v>
      </c>
      <c r="CT35">
        <f>LOG(Table1_1[[#This Row],[10:2 FTS]])</f>
        <v>-0.59859945921845592</v>
      </c>
      <c r="CU35">
        <f>LOG(Table1_1[[#This Row],[3:3 FTCA]])</f>
        <v>-1.1106982974936896</v>
      </c>
      <c r="CV35">
        <f>LOG(Table1_1[[#This Row],[5:3 FTCA]])</f>
        <v>1.0606978403536116</v>
      </c>
      <c r="CW35">
        <f>LOG(Table1_1[[#This Row],[7:3 FTCA]])</f>
        <v>1.4563660331290431</v>
      </c>
      <c r="CX35">
        <f>LOG(Table1_1[[#This Row],[6:2 FTCA]])</f>
        <v>0.28330122870354957</v>
      </c>
      <c r="CY35">
        <f>LOG(Table1_1[[#This Row],[8:2 FTCA]])</f>
        <v>0.55750720190565795</v>
      </c>
      <c r="CZ35">
        <f>LOG(Table1_1[[#This Row],[10:2 FTCA]])</f>
        <v>-0.13846558914096219</v>
      </c>
      <c r="DA35">
        <f>LOG(Table1_1[[#This Row],[6:2 FTUCA]])</f>
        <v>-1.2757241303992111</v>
      </c>
      <c r="DB35">
        <f>LOG(Table1_1[[#This Row],[8:2 FTUCA]])</f>
        <v>-1.391473966422806</v>
      </c>
      <c r="DC35">
        <f>LOG(Table1_1[[#This Row],[ADONA]])</f>
        <v>-0.65364702554936138</v>
      </c>
      <c r="DD35">
        <f>LOG(Table1_1[[#This Row],[9Cl-PF3ONS]])</f>
        <v>-1.1706962271689751</v>
      </c>
      <c r="DE35">
        <f>LOG(Table1_1[[#This Row],[11Cl-PF3OUdS]])</f>
        <v>-1.1706962271689751</v>
      </c>
      <c r="DF35">
        <f>LOG(Table1_1[[#This Row],[HFPO-DA]])</f>
        <v>-1.0154726866562074</v>
      </c>
      <c r="DG35">
        <f>LOG(Table1_1[[#This Row],[6:2 diPAP]])</f>
        <v>-1.1456939581989194</v>
      </c>
      <c r="DH35">
        <f>LOG(Table1_1[[#This Row],[8:2 diPAP]])</f>
        <v>-1.0506099933550872</v>
      </c>
      <c r="DI35">
        <f>LOG(Table1_1[[#This Row],[diSAmPAP]])</f>
        <v>-0.92628164965387738</v>
      </c>
    </row>
    <row r="36" spans="1:113">
      <c r="A36" t="s">
        <v>169</v>
      </c>
      <c r="B36" t="s">
        <v>114</v>
      </c>
      <c r="C36" s="3">
        <v>44314</v>
      </c>
      <c r="D36" t="s">
        <v>165</v>
      </c>
      <c r="E36" t="s">
        <v>166</v>
      </c>
      <c r="F36" t="s">
        <v>167</v>
      </c>
      <c r="G36" t="s">
        <v>118</v>
      </c>
      <c r="H36" t="s">
        <v>119</v>
      </c>
      <c r="I36">
        <v>6</v>
      </c>
      <c r="J36">
        <f>LOG(Table1_1[[#This Row],[Length]])</f>
        <v>0.77815125038364363</v>
      </c>
      <c r="K36">
        <v>2.15</v>
      </c>
      <c r="L36">
        <f>LOG(Table1_1[[#This Row],[Weight]])</f>
        <v>0.33243845991560533</v>
      </c>
      <c r="M36">
        <v>6.9000000000000006E-2</v>
      </c>
      <c r="N36">
        <v>4.8649999999999999E-2</v>
      </c>
      <c r="O36">
        <v>3.7249999999999998E-2</v>
      </c>
      <c r="P36">
        <v>2.76E-2</v>
      </c>
      <c r="Q36">
        <v>2.85</v>
      </c>
      <c r="R36">
        <v>3.93</v>
      </c>
      <c r="S36">
        <v>7.19</v>
      </c>
      <c r="T36">
        <v>7.17</v>
      </c>
      <c r="U36">
        <v>9.75</v>
      </c>
      <c r="V36">
        <v>2.48</v>
      </c>
      <c r="W36">
        <v>4.34</v>
      </c>
      <c r="X36">
        <v>8.2000000000000003E-2</v>
      </c>
      <c r="Y36">
        <v>5.2499999999999998E-2</v>
      </c>
      <c r="Z36">
        <v>4.6949999999999999E-2</v>
      </c>
      <c r="AA36">
        <v>0.35899999999999999</v>
      </c>
      <c r="AB36">
        <v>23.4</v>
      </c>
      <c r="AC36">
        <v>13.8</v>
      </c>
      <c r="AD36">
        <v>2790</v>
      </c>
      <c r="AE36">
        <v>5.57</v>
      </c>
      <c r="AF36">
        <v>4.0999999999999996</v>
      </c>
      <c r="AG36">
        <v>1.1599999999999999</v>
      </c>
      <c r="AH36">
        <v>1.02</v>
      </c>
      <c r="AI36">
        <v>0.63900000000000001</v>
      </c>
      <c r="AJ36">
        <v>12.8</v>
      </c>
      <c r="AK36">
        <v>177</v>
      </c>
      <c r="AL36">
        <v>10.199999999999999</v>
      </c>
      <c r="AM36">
        <v>5.2999999999999999E-2</v>
      </c>
      <c r="AN36">
        <v>8.0500000000000002E-2</v>
      </c>
      <c r="AO36">
        <v>5.45E-2</v>
      </c>
      <c r="AP36">
        <v>0.49199999999999999</v>
      </c>
      <c r="AQ36">
        <v>0.06</v>
      </c>
      <c r="AR36">
        <v>5.6500000000000002E-2</v>
      </c>
      <c r="AS36">
        <v>1.04</v>
      </c>
      <c r="AT36">
        <v>1.06</v>
      </c>
      <c r="AU36">
        <v>0.25850000000000001</v>
      </c>
      <c r="AV36">
        <v>7.9500000000000001E-2</v>
      </c>
      <c r="AW36">
        <v>2.89</v>
      </c>
      <c r="AX36">
        <v>47.3</v>
      </c>
      <c r="AY36">
        <v>0.92200000000000004</v>
      </c>
      <c r="AZ36">
        <v>7.26</v>
      </c>
      <c r="BA36">
        <v>0.10299999999999999</v>
      </c>
      <c r="BB36">
        <v>5.3999999999999999E-2</v>
      </c>
      <c r="BC36">
        <v>4.165E-2</v>
      </c>
      <c r="BD36">
        <v>6.9000000000000006E-2</v>
      </c>
      <c r="BE36">
        <v>6.9000000000000006E-2</v>
      </c>
      <c r="BF36">
        <v>6.9000000000000006E-2</v>
      </c>
      <c r="BG36">
        <v>9.9000000000000005E-2</v>
      </c>
      <c r="BH36">
        <v>7.3499999999999996E-2</v>
      </c>
      <c r="BI36">
        <v>9.1499999999999998E-2</v>
      </c>
      <c r="BJ36">
        <v>0.1215</v>
      </c>
      <c r="BK36">
        <f>SUM(Table1_1[[#This Row],[PFBA]:[diSAmPAP]])</f>
        <v>3140.519600000001</v>
      </c>
      <c r="BL36">
        <f>LOG(Table1_1[[#This Row],[PFBA]])</f>
        <v>-1.1611509092627446</v>
      </c>
      <c r="BM36">
        <f>LOG(Table1_1[[#This Row],[PFPeA]])</f>
        <v>-1.3129171553956294</v>
      </c>
      <c r="BN36">
        <f>LOG(Table1_1[[#This Row],[PFHxA]])</f>
        <v>-1.4288737229156883</v>
      </c>
      <c r="BO36">
        <f>LOG(Table1_1[[#This Row],[PFHpA]])</f>
        <v>-1.5590909179347823</v>
      </c>
      <c r="BP36">
        <f>LOG(Table1_1[[#This Row],[PFOA]])</f>
        <v>0.45484486000851021</v>
      </c>
      <c r="BQ36">
        <f>LOG(Table1_1[[#This Row],[PFNA]])</f>
        <v>0.59439255037542671</v>
      </c>
      <c r="BR36">
        <f>LOG(Table1_1[[#This Row],[PFDA]])</f>
        <v>0.85672889038288258</v>
      </c>
      <c r="BS36">
        <f>LOG(Table1_1[[#This Row],[PFUnA]])</f>
        <v>0.85551915566780012</v>
      </c>
      <c r="BT36">
        <f>LOG(Table1_1[[#This Row],[PFDoA]])</f>
        <v>0.98900461569853682</v>
      </c>
      <c r="BU36">
        <f>LOG(Table1_1[[#This Row],[PFTrDA]])</f>
        <v>0.39445168082621629</v>
      </c>
      <c r="BV36">
        <f>LOG(Table1_1[[#This Row],[PFTeDA]])</f>
        <v>0.63748972951251071</v>
      </c>
      <c r="BW36">
        <f>LOG(Table1_1[[#This Row],[PFHxDA]])</f>
        <v>-1.0861861476162833</v>
      </c>
      <c r="BX36">
        <f>LOG(Table1_1[[#This Row],[PFPrS]])</f>
        <v>-1.2798406965940432</v>
      </c>
      <c r="BY36">
        <f>LOG(Table1_1[[#This Row],[PFBS]])</f>
        <v>-1.3283644033978703</v>
      </c>
      <c r="BZ36">
        <f>LOG(Table1_1[[#This Row],[PFPeS]])</f>
        <v>-0.44490555142168087</v>
      </c>
      <c r="CA36">
        <f>LOG(Table1_1[[#This Row],[PFHxS]])</f>
        <v>1.3692158574101427</v>
      </c>
      <c r="CB36">
        <f>LOG(Table1_1[[#This Row],[PFHpS]])</f>
        <v>1.1398790864012365</v>
      </c>
      <c r="CC36">
        <f>LOG(Table1_1[[#This Row],[PFOS]])</f>
        <v>3.4456042032735974</v>
      </c>
      <c r="CD36">
        <f>LOG(Table1_1[[#This Row],[PFNS]])</f>
        <v>0.74585519517372889</v>
      </c>
      <c r="CE36">
        <f>LOG(Table1_1[[#This Row],[PFDS]])</f>
        <v>0.61278385671973545</v>
      </c>
      <c r="CF36">
        <f>LOG(Table1_1[[#This Row],[PFDoS]])</f>
        <v>6.445798922691845E-2</v>
      </c>
      <c r="CG36">
        <f>LOG(Table1_1[[#This Row],[Cl-PFOS]])</f>
        <v>8.6001717619175692E-3</v>
      </c>
      <c r="CH36">
        <f>LOG(Table1_1[[#This Row],[PFEtCHxS]])</f>
        <v>-0.19449914184159983</v>
      </c>
      <c r="CI36">
        <f>LOG(Table1_1[[#This Row],[FBSA]])</f>
        <v>1.1072099696478683</v>
      </c>
      <c r="CJ36">
        <f>LOG(Table1_1[[#This Row],[FHxSA]])</f>
        <v>2.2479732663618068</v>
      </c>
      <c r="CK36">
        <f>LOG(Table1_1[[#This Row],[FOSA]])</f>
        <v>1.0086001717619175</v>
      </c>
      <c r="CL36">
        <f>LOG(Table1_1[[#This Row],[N-MeFOSA]])</f>
        <v>-1.2757241303992111</v>
      </c>
      <c r="CM36">
        <f>LOG(Table1_1[[#This Row],[N-EtFOSA]])</f>
        <v>-1.0942041196321315</v>
      </c>
      <c r="CN36">
        <f>LOG(Table1_1[[#This Row],[FOSAA]])</f>
        <v>-1.2636034977233577</v>
      </c>
      <c r="CO36">
        <f>LOG(Table1_1[[#This Row],[N-MeFOSAA]])</f>
        <v>-0.30803489723263966</v>
      </c>
      <c r="CP36">
        <f>LOG(Table1_1[[#This Row],[N-EtFOSAA]])</f>
        <v>-1.2218487496163564</v>
      </c>
      <c r="CQ36">
        <f>LOG(Table1_1[[#This Row],[4:2 FTS]])</f>
        <v>-1.2479515521805615</v>
      </c>
      <c r="CR36">
        <f>LOG(Table1_1[[#This Row],[6:2 FTS]])</f>
        <v>1.703333929878037E-2</v>
      </c>
      <c r="CS36">
        <f>LOG(Table1_1[[#This Row],[8:2 FTS]])</f>
        <v>2.5305865264770262E-2</v>
      </c>
      <c r="CT36">
        <f>LOG(Table1_1[[#This Row],[10:2 FTS]])</f>
        <v>-0.5875394525700387</v>
      </c>
      <c r="CU36">
        <f>LOG(Table1_1[[#This Row],[3:3 FTCA]])</f>
        <v>-1.0996328713435297</v>
      </c>
      <c r="CV36">
        <f>LOG(Table1_1[[#This Row],[5:3 FTCA]])</f>
        <v>0.46089784275654788</v>
      </c>
      <c r="CW36">
        <f>LOG(Table1_1[[#This Row],[7:3 FTCA]])</f>
        <v>1.6748611407378116</v>
      </c>
      <c r="CX36">
        <f>LOG(Table1_1[[#This Row],[6:2 FTCA]])</f>
        <v>-3.5269078946370637E-2</v>
      </c>
      <c r="CY36">
        <f>LOG(Table1_1[[#This Row],[8:2 FTCA]])</f>
        <v>0.86093662070009369</v>
      </c>
      <c r="CZ36">
        <f>LOG(Table1_1[[#This Row],[10:2 FTCA]])</f>
        <v>-0.98716277529482777</v>
      </c>
      <c r="DA36">
        <f>LOG(Table1_1[[#This Row],[6:2 FTUCA]])</f>
        <v>-1.2676062401770316</v>
      </c>
      <c r="DB36">
        <f>LOG(Table1_1[[#This Row],[8:2 FTUCA]])</f>
        <v>-1.3803849942571935</v>
      </c>
      <c r="DC36">
        <f>LOG(Table1_1[[#This Row],[ADONA]])</f>
        <v>-1.1611509092627446</v>
      </c>
      <c r="DD36">
        <f>LOG(Table1_1[[#This Row],[9Cl-PF3ONS]])</f>
        <v>-1.1611509092627446</v>
      </c>
      <c r="DE36">
        <f>LOG(Table1_1[[#This Row],[11Cl-PF3OUdS]])</f>
        <v>-1.1611509092627446</v>
      </c>
      <c r="DF36">
        <f>LOG(Table1_1[[#This Row],[HFPO-DA]])</f>
        <v>-1.0043648054024501</v>
      </c>
      <c r="DG36">
        <f>LOG(Table1_1[[#This Row],[6:2 diPAP]])</f>
        <v>-1.133712660915805</v>
      </c>
      <c r="DH36">
        <f>LOG(Table1_1[[#This Row],[8:2 diPAP]])</f>
        <v>-1.0385789059335517</v>
      </c>
      <c r="DI36">
        <f>LOG(Table1_1[[#This Row],[diSAmPAP]])</f>
        <v>-0.91542372206566902</v>
      </c>
    </row>
    <row r="37" spans="1:113">
      <c r="A37" t="s">
        <v>170</v>
      </c>
      <c r="B37" t="s">
        <v>114</v>
      </c>
      <c r="C37" s="3">
        <v>44314</v>
      </c>
      <c r="D37" t="s">
        <v>165</v>
      </c>
      <c r="E37" t="s">
        <v>166</v>
      </c>
      <c r="F37" t="s">
        <v>167</v>
      </c>
      <c r="G37" t="s">
        <v>118</v>
      </c>
      <c r="H37" t="s">
        <v>119</v>
      </c>
      <c r="I37">
        <v>6</v>
      </c>
      <c r="J37">
        <f>LOG(Table1_1[[#This Row],[Length]])</f>
        <v>0.77815125038364363</v>
      </c>
      <c r="K37">
        <v>4.05</v>
      </c>
      <c r="L37">
        <f>LOG(Table1_1[[#This Row],[Weight]])</f>
        <v>0.60745502321466849</v>
      </c>
      <c r="M37">
        <v>6.9000000000000006E-2</v>
      </c>
      <c r="N37">
        <v>4.8800000000000003E-2</v>
      </c>
      <c r="O37">
        <v>3.7249999999999998E-2</v>
      </c>
      <c r="P37">
        <v>2.76E-2</v>
      </c>
      <c r="Q37">
        <v>5.32</v>
      </c>
      <c r="R37">
        <v>2.2000000000000002</v>
      </c>
      <c r="S37">
        <v>3.4</v>
      </c>
      <c r="T37">
        <v>5.74</v>
      </c>
      <c r="U37">
        <v>9.51</v>
      </c>
      <c r="V37">
        <v>10.199999999999999</v>
      </c>
      <c r="W37">
        <v>7.78</v>
      </c>
      <c r="X37">
        <v>8.2500000000000004E-2</v>
      </c>
      <c r="Y37">
        <v>5.2499999999999998E-2</v>
      </c>
      <c r="Z37">
        <v>0.155</v>
      </c>
      <c r="AA37">
        <v>0.53300000000000003</v>
      </c>
      <c r="AB37">
        <v>45.3</v>
      </c>
      <c r="AC37">
        <v>3.29</v>
      </c>
      <c r="AD37">
        <v>1200</v>
      </c>
      <c r="AE37">
        <v>1.49</v>
      </c>
      <c r="AF37">
        <v>3.14</v>
      </c>
      <c r="AG37">
        <v>1.3</v>
      </c>
      <c r="AH37">
        <v>0.13850000000000001</v>
      </c>
      <c r="AI37">
        <v>0.27100000000000002</v>
      </c>
      <c r="AJ37">
        <v>18</v>
      </c>
      <c r="AK37">
        <v>69.8</v>
      </c>
      <c r="AL37">
        <v>15.3</v>
      </c>
      <c r="AM37">
        <v>5.2999999999999999E-2</v>
      </c>
      <c r="AN37">
        <v>8.0500000000000002E-2</v>
      </c>
      <c r="AO37">
        <v>5.45E-2</v>
      </c>
      <c r="AP37">
        <v>0.54500000000000004</v>
      </c>
      <c r="AQ37">
        <v>0.06</v>
      </c>
      <c r="AR37">
        <v>5.6500000000000002E-2</v>
      </c>
      <c r="AS37">
        <v>1.1200000000000001</v>
      </c>
      <c r="AT37">
        <v>1.3</v>
      </c>
      <c r="AU37">
        <v>0.25900000000000001</v>
      </c>
      <c r="AV37">
        <v>7.9500000000000001E-2</v>
      </c>
      <c r="AW37">
        <v>3.07</v>
      </c>
      <c r="AX37">
        <v>5.5500000000000001E-2</v>
      </c>
      <c r="AY37">
        <v>0.747</v>
      </c>
      <c r="AZ37">
        <v>6.9000000000000006E-2</v>
      </c>
      <c r="BA37">
        <v>0.10299999999999999</v>
      </c>
      <c r="BB37">
        <v>5.3999999999999999E-2</v>
      </c>
      <c r="BC37">
        <v>4.165E-2</v>
      </c>
      <c r="BD37">
        <v>6.9000000000000006E-2</v>
      </c>
      <c r="BE37">
        <v>6.9000000000000006E-2</v>
      </c>
      <c r="BF37">
        <v>6.9000000000000006E-2</v>
      </c>
      <c r="BG37">
        <v>9.9000000000000005E-2</v>
      </c>
      <c r="BH37">
        <v>7.3499999999999996E-2</v>
      </c>
      <c r="BI37">
        <v>9.1499999999999998E-2</v>
      </c>
      <c r="BJ37">
        <v>0.1215</v>
      </c>
      <c r="BK37">
        <f>SUM(Table1_1[[#This Row],[PFBA]:[diSAmPAP]])</f>
        <v>1411.5257999999997</v>
      </c>
      <c r="BL37">
        <f>LOG(Table1_1[[#This Row],[PFBA]])</f>
        <v>-1.1611509092627446</v>
      </c>
      <c r="BM37">
        <f>LOG(Table1_1[[#This Row],[PFPeA]])</f>
        <v>-1.3115801779972893</v>
      </c>
      <c r="BN37">
        <f>LOG(Table1_1[[#This Row],[PFHxA]])</f>
        <v>-1.4288737229156883</v>
      </c>
      <c r="BO37">
        <f>LOG(Table1_1[[#This Row],[PFHpA]])</f>
        <v>-1.5590909179347823</v>
      </c>
      <c r="BP37">
        <f>LOG(Table1_1[[#This Row],[PFOA]])</f>
        <v>0.72591163229504818</v>
      </c>
      <c r="BQ37">
        <f>LOG(Table1_1[[#This Row],[PFNA]])</f>
        <v>0.34242268082220628</v>
      </c>
      <c r="BR37">
        <f>LOG(Table1_1[[#This Row],[PFDA]])</f>
        <v>0.53147891704225514</v>
      </c>
      <c r="BS37">
        <f>LOG(Table1_1[[#This Row],[PFUnA]])</f>
        <v>0.75891189239797352</v>
      </c>
      <c r="BT37">
        <f>LOG(Table1_1[[#This Row],[PFDoA]])</f>
        <v>0.97818051693741392</v>
      </c>
      <c r="BU37">
        <f>LOG(Table1_1[[#This Row],[PFTrDA]])</f>
        <v>1.0086001717619175</v>
      </c>
      <c r="BV37">
        <f>LOG(Table1_1[[#This Row],[PFTeDA]])</f>
        <v>0.89097959698968898</v>
      </c>
      <c r="BW37">
        <f>LOG(Table1_1[[#This Row],[PFHxDA]])</f>
        <v>-1.083546051450075</v>
      </c>
      <c r="BX37">
        <f>LOG(Table1_1[[#This Row],[PFPrS]])</f>
        <v>-1.2798406965940432</v>
      </c>
      <c r="BY37">
        <f>LOG(Table1_1[[#This Row],[PFBS]])</f>
        <v>-0.8096683018297085</v>
      </c>
      <c r="BZ37">
        <f>LOG(Table1_1[[#This Row],[PFPeS]])</f>
        <v>-0.27327279097342771</v>
      </c>
      <c r="CA37">
        <f>LOG(Table1_1[[#This Row],[PFHxS]])</f>
        <v>1.6560982020128319</v>
      </c>
      <c r="CB37">
        <f>LOG(Table1_1[[#This Row],[PFHpS]])</f>
        <v>0.51719589794997434</v>
      </c>
      <c r="CC37">
        <f>LOG(Table1_1[[#This Row],[PFOS]])</f>
        <v>3.0791812460476247</v>
      </c>
      <c r="CD37">
        <f>LOG(Table1_1[[#This Row],[PFNS]])</f>
        <v>0.17318626841227402</v>
      </c>
      <c r="CE37">
        <f>LOG(Table1_1[[#This Row],[PFDS]])</f>
        <v>0.49692964807321494</v>
      </c>
      <c r="CF37">
        <f>LOG(Table1_1[[#This Row],[PFDoS]])</f>
        <v>0.11394335230683679</v>
      </c>
      <c r="CG37">
        <f>LOG(Table1_1[[#This Row],[Cl-PFOS]])</f>
        <v>-0.85855022659953262</v>
      </c>
      <c r="CH37">
        <f>LOG(Table1_1[[#This Row],[PFEtCHxS]])</f>
        <v>-0.56703070912559428</v>
      </c>
      <c r="CI37">
        <f>LOG(Table1_1[[#This Row],[FBSA]])</f>
        <v>1.255272505103306</v>
      </c>
      <c r="CJ37">
        <f>LOG(Table1_1[[#This Row],[FHxSA]])</f>
        <v>1.8438554226231612</v>
      </c>
      <c r="CK37">
        <f>LOG(Table1_1[[#This Row],[FOSA]])</f>
        <v>1.1846914308175989</v>
      </c>
      <c r="CL37">
        <f>LOG(Table1_1[[#This Row],[N-MeFOSA]])</f>
        <v>-1.2757241303992111</v>
      </c>
      <c r="CM37">
        <f>LOG(Table1_1[[#This Row],[N-EtFOSA]])</f>
        <v>-1.0942041196321315</v>
      </c>
      <c r="CN37">
        <f>LOG(Table1_1[[#This Row],[FOSAA]])</f>
        <v>-1.2636034977233577</v>
      </c>
      <c r="CO37">
        <f>LOG(Table1_1[[#This Row],[N-MeFOSAA]])</f>
        <v>-0.2636034977233575</v>
      </c>
      <c r="CP37">
        <f>LOG(Table1_1[[#This Row],[N-EtFOSAA]])</f>
        <v>-1.2218487496163564</v>
      </c>
      <c r="CQ37">
        <f>LOG(Table1_1[[#This Row],[4:2 FTS]])</f>
        <v>-1.2479515521805615</v>
      </c>
      <c r="CR37">
        <f>LOG(Table1_1[[#This Row],[6:2 FTS]])</f>
        <v>4.9218022670181653E-2</v>
      </c>
      <c r="CS37">
        <f>LOG(Table1_1[[#This Row],[8:2 FTS]])</f>
        <v>0.11394335230683679</v>
      </c>
      <c r="CT37">
        <f>LOG(Table1_1[[#This Row],[10:2 FTS]])</f>
        <v>-0.5867002359187482</v>
      </c>
      <c r="CU37">
        <f>LOG(Table1_1[[#This Row],[3:3 FTCA]])</f>
        <v>-1.0996328713435297</v>
      </c>
      <c r="CV37">
        <f>LOG(Table1_1[[#This Row],[5:3 FTCA]])</f>
        <v>0.48713837547718647</v>
      </c>
      <c r="CW37">
        <f>LOG(Table1_1[[#This Row],[7:3 FTCA]])</f>
        <v>-1.2557070168773237</v>
      </c>
      <c r="CX37">
        <f>LOG(Table1_1[[#This Row],[6:2 FTCA]])</f>
        <v>-0.12667939818460122</v>
      </c>
      <c r="CY37">
        <f>LOG(Table1_1[[#This Row],[8:2 FTCA]])</f>
        <v>-1.1611509092627446</v>
      </c>
      <c r="CZ37">
        <f>LOG(Table1_1[[#This Row],[10:2 FTCA]])</f>
        <v>-0.98716277529482777</v>
      </c>
      <c r="DA37">
        <f>LOG(Table1_1[[#This Row],[6:2 FTUCA]])</f>
        <v>-1.2676062401770316</v>
      </c>
      <c r="DB37">
        <f>LOG(Table1_1[[#This Row],[8:2 FTUCA]])</f>
        <v>-1.3803849942571935</v>
      </c>
      <c r="DC37">
        <f>LOG(Table1_1[[#This Row],[ADONA]])</f>
        <v>-1.1611509092627446</v>
      </c>
      <c r="DD37">
        <f>LOG(Table1_1[[#This Row],[9Cl-PF3ONS]])</f>
        <v>-1.1611509092627446</v>
      </c>
      <c r="DE37">
        <f>LOG(Table1_1[[#This Row],[11Cl-PF3OUdS]])</f>
        <v>-1.1611509092627446</v>
      </c>
      <c r="DF37">
        <f>LOG(Table1_1[[#This Row],[HFPO-DA]])</f>
        <v>-1.0043648054024501</v>
      </c>
      <c r="DG37">
        <f>LOG(Table1_1[[#This Row],[6:2 diPAP]])</f>
        <v>-1.133712660915805</v>
      </c>
      <c r="DH37">
        <f>LOG(Table1_1[[#This Row],[8:2 diPAP]])</f>
        <v>-1.0385789059335517</v>
      </c>
      <c r="DI37">
        <f>LOG(Table1_1[[#This Row],[diSAmPAP]])</f>
        <v>-0.91542372206566902</v>
      </c>
    </row>
    <row r="38" spans="1:113">
      <c r="A38" t="s">
        <v>171</v>
      </c>
      <c r="B38" t="s">
        <v>114</v>
      </c>
      <c r="C38" s="3">
        <v>44314</v>
      </c>
      <c r="D38" t="s">
        <v>165</v>
      </c>
      <c r="E38" t="s">
        <v>166</v>
      </c>
      <c r="F38" t="s">
        <v>167</v>
      </c>
      <c r="G38" t="s">
        <v>118</v>
      </c>
      <c r="H38" t="s">
        <v>119</v>
      </c>
      <c r="I38">
        <v>7</v>
      </c>
      <c r="J38">
        <f>LOG(Table1_1[[#This Row],[Length]])</f>
        <v>0.84509804001425681</v>
      </c>
      <c r="K38">
        <v>3.9</v>
      </c>
      <c r="L38">
        <f>LOG(Table1_1[[#This Row],[Weight]])</f>
        <v>0.59106460702649921</v>
      </c>
      <c r="M38">
        <v>6.3500000000000001E-2</v>
      </c>
      <c r="N38">
        <v>4.4999999999999998E-2</v>
      </c>
      <c r="O38">
        <v>0.1135</v>
      </c>
      <c r="P38">
        <v>0.191</v>
      </c>
      <c r="Q38">
        <v>3.36</v>
      </c>
      <c r="R38">
        <v>1.7</v>
      </c>
      <c r="S38">
        <v>3.26</v>
      </c>
      <c r="T38">
        <v>4.62</v>
      </c>
      <c r="U38">
        <v>8.18</v>
      </c>
      <c r="V38">
        <v>3.78</v>
      </c>
      <c r="W38">
        <v>6.75</v>
      </c>
      <c r="X38">
        <v>7.5999999999999998E-2</v>
      </c>
      <c r="Y38">
        <v>4.8649999999999999E-2</v>
      </c>
      <c r="Z38">
        <v>0.14299999999999999</v>
      </c>
      <c r="AA38">
        <v>0.80800000000000005</v>
      </c>
      <c r="AB38">
        <v>35.5</v>
      </c>
      <c r="AC38">
        <v>2.91</v>
      </c>
      <c r="AD38">
        <v>960</v>
      </c>
      <c r="AE38">
        <v>1.99</v>
      </c>
      <c r="AF38">
        <v>3.21</v>
      </c>
      <c r="AG38">
        <v>2.0299999999999998</v>
      </c>
      <c r="AH38">
        <v>0.1275</v>
      </c>
      <c r="AI38">
        <v>0.23200000000000001</v>
      </c>
      <c r="AJ38">
        <v>17.3</v>
      </c>
      <c r="AK38">
        <v>102</v>
      </c>
      <c r="AL38">
        <v>24</v>
      </c>
      <c r="AM38">
        <v>4.9099999999999998E-2</v>
      </c>
      <c r="AN38">
        <v>7.3999999999999996E-2</v>
      </c>
      <c r="AO38">
        <v>0.05</v>
      </c>
      <c r="AP38">
        <v>0.51500000000000001</v>
      </c>
      <c r="AQ38">
        <v>5.5500000000000001E-2</v>
      </c>
      <c r="AR38">
        <v>5.2499999999999998E-2</v>
      </c>
      <c r="AS38">
        <v>0.74199999999999999</v>
      </c>
      <c r="AT38">
        <v>1.58</v>
      </c>
      <c r="AU38">
        <v>0.23849999999999999</v>
      </c>
      <c r="AV38">
        <v>7.3499999999999996E-2</v>
      </c>
      <c r="AW38">
        <v>8.7200000000000006</v>
      </c>
      <c r="AX38">
        <v>49</v>
      </c>
      <c r="AY38">
        <v>6.3500000000000001E-2</v>
      </c>
      <c r="AZ38">
        <v>6.3500000000000001E-2</v>
      </c>
      <c r="BA38">
        <v>0.3135</v>
      </c>
      <c r="BB38">
        <v>0.05</v>
      </c>
      <c r="BC38">
        <v>3.85E-2</v>
      </c>
      <c r="BD38">
        <v>6.3500000000000001E-2</v>
      </c>
      <c r="BE38">
        <v>6.3500000000000001E-2</v>
      </c>
      <c r="BF38">
        <v>6.3500000000000001E-2</v>
      </c>
      <c r="BG38">
        <v>9.1499999999999998E-2</v>
      </c>
      <c r="BH38">
        <v>6.7500000000000004E-2</v>
      </c>
      <c r="BI38">
        <v>8.4500000000000006E-2</v>
      </c>
      <c r="BJ38">
        <v>0.112</v>
      </c>
      <c r="BK38">
        <f>SUM(Table1_1[[#This Row],[PFBA]:[diSAmPAP]])</f>
        <v>1244.6632499999998</v>
      </c>
      <c r="BL38">
        <f>LOG(Table1_1[[#This Row],[PFBA]])</f>
        <v>-1.1972262747080242</v>
      </c>
      <c r="BM38">
        <f>LOG(Table1_1[[#This Row],[PFPeA]])</f>
        <v>-1.3467874862246563</v>
      </c>
      <c r="BN38">
        <f>LOG(Table1_1[[#This Row],[PFHxA]])</f>
        <v>-0.94500413847085851</v>
      </c>
      <c r="BO38">
        <f>LOG(Table1_1[[#This Row],[PFHpA]])</f>
        <v>-0.71896663275227246</v>
      </c>
      <c r="BP38">
        <f>LOG(Table1_1[[#This Row],[PFOA]])</f>
        <v>0.52633927738984398</v>
      </c>
      <c r="BQ38">
        <f>LOG(Table1_1[[#This Row],[PFNA]])</f>
        <v>0.23044892137827391</v>
      </c>
      <c r="BR38">
        <f>LOG(Table1_1[[#This Row],[PFDA]])</f>
        <v>0.51321760006793893</v>
      </c>
      <c r="BS38">
        <f>LOG(Table1_1[[#This Row],[PFUnA]])</f>
        <v>0.66464197555612547</v>
      </c>
      <c r="BT38">
        <f>LOG(Table1_1[[#This Row],[PFDoA]])</f>
        <v>0.91275330367132301</v>
      </c>
      <c r="BU38">
        <f>LOG(Table1_1[[#This Row],[PFTrDA]])</f>
        <v>0.57749179983722532</v>
      </c>
      <c r="BV38">
        <f>LOG(Table1_1[[#This Row],[PFTeDA]])</f>
        <v>0.82930377283102497</v>
      </c>
      <c r="BW38">
        <f>LOG(Table1_1[[#This Row],[PFHxDA]])</f>
        <v>-1.1191864077192086</v>
      </c>
      <c r="BX38">
        <f>LOG(Table1_1[[#This Row],[PFPrS]])</f>
        <v>-1.3129171553956294</v>
      </c>
      <c r="BY38">
        <f>LOG(Table1_1[[#This Row],[PFBS]])</f>
        <v>-0.84466396253493825</v>
      </c>
      <c r="BZ38">
        <f>LOG(Table1_1[[#This Row],[PFPeS]])</f>
        <v>-9.2588639225413813E-2</v>
      </c>
      <c r="CA38">
        <f>LOG(Table1_1[[#This Row],[PFHxS]])</f>
        <v>1.550228353055094</v>
      </c>
      <c r="CB38">
        <f>LOG(Table1_1[[#This Row],[PFHpS]])</f>
        <v>0.46389298898590731</v>
      </c>
      <c r="CC38">
        <f>LOG(Table1_1[[#This Row],[PFOS]])</f>
        <v>2.9822712330395684</v>
      </c>
      <c r="CD38">
        <f>LOG(Table1_1[[#This Row],[PFNS]])</f>
        <v>0.29885307640970665</v>
      </c>
      <c r="CE38">
        <f>LOG(Table1_1[[#This Row],[PFDS]])</f>
        <v>0.5065050324048721</v>
      </c>
      <c r="CF38">
        <f>LOG(Table1_1[[#This Row],[PFDoS]])</f>
        <v>0.30749603791321289</v>
      </c>
      <c r="CG38">
        <f>LOG(Table1_1[[#This Row],[Cl-PFOS]])</f>
        <v>-0.89448981523002602</v>
      </c>
      <c r="CH38">
        <f>LOG(Table1_1[[#This Row],[PFEtCHxS]])</f>
        <v>-0.63451201510910027</v>
      </c>
      <c r="CI38">
        <f>LOG(Table1_1[[#This Row],[FBSA]])</f>
        <v>1.2380461031287955</v>
      </c>
      <c r="CJ38">
        <f>LOG(Table1_1[[#This Row],[FHxSA]])</f>
        <v>2.0086001717619175</v>
      </c>
      <c r="CK38">
        <f>LOG(Table1_1[[#This Row],[FOSA]])</f>
        <v>1.3802112417116059</v>
      </c>
      <c r="CL38">
        <f>LOG(Table1_1[[#This Row],[N-MeFOSA]])</f>
        <v>-1.3089185078770316</v>
      </c>
      <c r="CM38">
        <f>LOG(Table1_1[[#This Row],[N-EtFOSA]])</f>
        <v>-1.1307682802690238</v>
      </c>
      <c r="CN38">
        <f>LOG(Table1_1[[#This Row],[FOSAA]])</f>
        <v>-1.3010299956639813</v>
      </c>
      <c r="CO38">
        <f>LOG(Table1_1[[#This Row],[N-MeFOSAA]])</f>
        <v>-0.28819277095880896</v>
      </c>
      <c r="CP38">
        <f>LOG(Table1_1[[#This Row],[N-EtFOSAA]])</f>
        <v>-1.2557070168773237</v>
      </c>
      <c r="CQ38">
        <f>LOG(Table1_1[[#This Row],[4:2 FTS]])</f>
        <v>-1.2798406965940432</v>
      </c>
      <c r="CR38">
        <f>LOG(Table1_1[[#This Row],[6:2 FTS]])</f>
        <v>-0.12959609472097294</v>
      </c>
      <c r="CS38">
        <f>LOG(Table1_1[[#This Row],[8:2 FTS]])</f>
        <v>0.19865708695442263</v>
      </c>
      <c r="CT38">
        <f>LOG(Table1_1[[#This Row],[10:2 FTS]])</f>
        <v>-0.62251161662386734</v>
      </c>
      <c r="CU38">
        <f>LOG(Table1_1[[#This Row],[3:3 FTCA]])</f>
        <v>-1.133712660915805</v>
      </c>
      <c r="CV38">
        <f>LOG(Table1_1[[#This Row],[5:3 FTCA]])</f>
        <v>0.94051648493256723</v>
      </c>
      <c r="CW38">
        <f>LOG(Table1_1[[#This Row],[7:3 FTCA]])</f>
        <v>1.6901960800285136</v>
      </c>
      <c r="CX38">
        <f>LOG(Table1_1[[#This Row],[6:2 FTCA]])</f>
        <v>-1.1972262747080242</v>
      </c>
      <c r="CY38">
        <f>LOG(Table1_1[[#This Row],[8:2 FTCA]])</f>
        <v>-1.1972262747080242</v>
      </c>
      <c r="CZ38">
        <f>LOG(Table1_1[[#This Row],[10:2 FTCA]])</f>
        <v>-0.50376245483326476</v>
      </c>
      <c r="DA38">
        <f>LOG(Table1_1[[#This Row],[6:2 FTUCA]])</f>
        <v>-1.3010299956639813</v>
      </c>
      <c r="DB38">
        <f>LOG(Table1_1[[#This Row],[8:2 FTUCA]])</f>
        <v>-1.4145392704914994</v>
      </c>
      <c r="DC38">
        <f>LOG(Table1_1[[#This Row],[ADONA]])</f>
        <v>-1.1972262747080242</v>
      </c>
      <c r="DD38">
        <f>LOG(Table1_1[[#This Row],[9Cl-PF3ONS]])</f>
        <v>-1.1972262747080242</v>
      </c>
      <c r="DE38">
        <f>LOG(Table1_1[[#This Row],[11Cl-PF3OUdS]])</f>
        <v>-1.1972262747080242</v>
      </c>
      <c r="DF38">
        <f>LOG(Table1_1[[#This Row],[HFPO-DA]])</f>
        <v>-1.0385789059335517</v>
      </c>
      <c r="DG38">
        <f>LOG(Table1_1[[#This Row],[6:2 diPAP]])</f>
        <v>-1.1706962271689751</v>
      </c>
      <c r="DH38">
        <f>LOG(Table1_1[[#This Row],[8:2 diPAP]])</f>
        <v>-1.0731432910503076</v>
      </c>
      <c r="DI38">
        <f>LOG(Table1_1[[#This Row],[diSAmPAP]])</f>
        <v>-0.9507819773298184</v>
      </c>
    </row>
    <row r="39" spans="1:113">
      <c r="A39" t="s">
        <v>172</v>
      </c>
      <c r="B39" t="s">
        <v>114</v>
      </c>
      <c r="C39" s="3">
        <v>44393</v>
      </c>
      <c r="D39" t="s">
        <v>165</v>
      </c>
      <c r="E39" t="s">
        <v>166</v>
      </c>
      <c r="F39" t="s">
        <v>167</v>
      </c>
      <c r="G39" t="s">
        <v>118</v>
      </c>
      <c r="H39" t="s">
        <v>119</v>
      </c>
      <c r="I39">
        <v>6</v>
      </c>
      <c r="J39">
        <f>LOG(Table1_1[[#This Row],[Length]])</f>
        <v>0.77815125038364363</v>
      </c>
      <c r="K39">
        <v>2.62</v>
      </c>
      <c r="L39">
        <f>LOG(Table1_1[[#This Row],[Weight]])</f>
        <v>0.41830129131974547</v>
      </c>
      <c r="M39">
        <v>0.24</v>
      </c>
      <c r="N39">
        <v>8.4500000000000006E-2</v>
      </c>
      <c r="O39">
        <v>0.1295</v>
      </c>
      <c r="P39">
        <v>0.24</v>
      </c>
      <c r="Q39">
        <v>16.3</v>
      </c>
      <c r="R39">
        <v>5.29</v>
      </c>
      <c r="S39">
        <v>4.58</v>
      </c>
      <c r="T39">
        <v>6.89</v>
      </c>
      <c r="U39">
        <v>11</v>
      </c>
      <c r="V39">
        <v>1.85</v>
      </c>
      <c r="W39">
        <v>9.92</v>
      </c>
      <c r="X39">
        <v>0.14299999999999999</v>
      </c>
      <c r="Y39">
        <v>0.24</v>
      </c>
      <c r="Z39">
        <v>0.24</v>
      </c>
      <c r="AA39">
        <v>0.77100000000000002</v>
      </c>
      <c r="AB39">
        <v>108</v>
      </c>
      <c r="AC39">
        <v>4.5999999999999996</v>
      </c>
      <c r="AD39">
        <v>792</v>
      </c>
      <c r="AE39">
        <v>0.99299999999999999</v>
      </c>
      <c r="AF39">
        <v>0.89</v>
      </c>
      <c r="AG39">
        <v>0.25650000000000001</v>
      </c>
      <c r="AH39">
        <v>0.14599999999999999</v>
      </c>
      <c r="AI39">
        <v>0.36</v>
      </c>
      <c r="AJ39">
        <v>43.1</v>
      </c>
      <c r="AK39">
        <v>247</v>
      </c>
      <c r="AL39">
        <v>14.1</v>
      </c>
      <c r="AM39">
        <v>9.2499999999999999E-2</v>
      </c>
      <c r="AN39">
        <v>0.24</v>
      </c>
      <c r="AO39">
        <v>0.24</v>
      </c>
      <c r="AP39">
        <v>0.1205</v>
      </c>
      <c r="AQ39">
        <v>0.12</v>
      </c>
      <c r="AR39">
        <v>0.12</v>
      </c>
      <c r="AS39">
        <v>3.21</v>
      </c>
      <c r="AT39">
        <v>2.7</v>
      </c>
      <c r="AU39">
        <v>0.48</v>
      </c>
      <c r="AV39">
        <v>0.24</v>
      </c>
      <c r="AW39">
        <v>10.3</v>
      </c>
      <c r="AX39">
        <v>6.56</v>
      </c>
      <c r="AY39">
        <v>0.24</v>
      </c>
      <c r="AZ39">
        <v>0.12</v>
      </c>
      <c r="BA39">
        <v>0.24</v>
      </c>
      <c r="BB39">
        <v>9.4E-2</v>
      </c>
      <c r="BC39">
        <v>7.2499999999999995E-2</v>
      </c>
      <c r="BD39">
        <v>0.106</v>
      </c>
      <c r="BE39">
        <v>0.24</v>
      </c>
      <c r="BF39">
        <v>0.24</v>
      </c>
      <c r="BG39">
        <v>0.17199999999999999</v>
      </c>
      <c r="BH39">
        <v>0.24</v>
      </c>
      <c r="BI39">
        <v>0.24</v>
      </c>
      <c r="BJ39">
        <v>0.24</v>
      </c>
      <c r="BK39">
        <f>SUM(Table1_1[[#This Row],[PFBA]:[diSAmPAP]])</f>
        <v>1296.0309999999997</v>
      </c>
      <c r="BL39">
        <f>LOG(Table1_1[[#This Row],[PFBA]])</f>
        <v>-0.61978875828839397</v>
      </c>
      <c r="BM39">
        <f>LOG(Table1_1[[#This Row],[PFPeA]])</f>
        <v>-1.0731432910503076</v>
      </c>
      <c r="BN39">
        <f>LOG(Table1_1[[#This Row],[PFHxA]])</f>
        <v>-0.88773023158272935</v>
      </c>
      <c r="BO39">
        <f>LOG(Table1_1[[#This Row],[PFHpA]])</f>
        <v>-0.61978875828839397</v>
      </c>
      <c r="BP39">
        <f>LOG(Table1_1[[#This Row],[PFOA]])</f>
        <v>1.2121876044039579</v>
      </c>
      <c r="BQ39">
        <f>LOG(Table1_1[[#This Row],[PFNA]])</f>
        <v>0.72345567203518579</v>
      </c>
      <c r="BR39">
        <f>LOG(Table1_1[[#This Row],[PFDA]])</f>
        <v>0.66086547800386919</v>
      </c>
      <c r="BS39">
        <f>LOG(Table1_1[[#This Row],[PFUnA]])</f>
        <v>0.83821922190762577</v>
      </c>
      <c r="BT39">
        <f>LOG(Table1_1[[#This Row],[PFDoA]])</f>
        <v>1.0413926851582251</v>
      </c>
      <c r="BU39">
        <f>LOG(Table1_1[[#This Row],[PFTrDA]])</f>
        <v>0.26717172840301384</v>
      </c>
      <c r="BV39">
        <f>LOG(Table1_1[[#This Row],[PFTeDA]])</f>
        <v>0.99651167215417868</v>
      </c>
      <c r="BW39">
        <f>LOG(Table1_1[[#This Row],[PFHxDA]])</f>
        <v>-0.84466396253493825</v>
      </c>
      <c r="BX39">
        <f>LOG(Table1_1[[#This Row],[PFPrS]])</f>
        <v>-0.61978875828839397</v>
      </c>
      <c r="BY39">
        <f>LOG(Table1_1[[#This Row],[PFBS]])</f>
        <v>-0.61978875828839397</v>
      </c>
      <c r="BZ39">
        <f>LOG(Table1_1[[#This Row],[PFPeS]])</f>
        <v>-0.11294562194904302</v>
      </c>
      <c r="CA39">
        <f>LOG(Table1_1[[#This Row],[PFHxS]])</f>
        <v>2.0334237554869499</v>
      </c>
      <c r="CB39">
        <f>LOG(Table1_1[[#This Row],[PFHpS]])</f>
        <v>0.66275783168157409</v>
      </c>
      <c r="CC39">
        <f>LOG(Table1_1[[#This Row],[PFOS]])</f>
        <v>2.8987251815894934</v>
      </c>
      <c r="CD39">
        <f>LOG(Table1_1[[#This Row],[PFNS]])</f>
        <v>-3.0507515046188267E-3</v>
      </c>
      <c r="CE39">
        <f>LOG(Table1_1[[#This Row],[PFDS]])</f>
        <v>-5.0609993355087209E-2</v>
      </c>
      <c r="CF39">
        <f>LOG(Table1_1[[#This Row],[PFDoS]])</f>
        <v>-0.59091263055216492</v>
      </c>
      <c r="CG39">
        <f>LOG(Table1_1[[#This Row],[Cl-PFOS]])</f>
        <v>-0.83564714421556296</v>
      </c>
      <c r="CH39">
        <f>LOG(Table1_1[[#This Row],[PFEtCHxS]])</f>
        <v>-0.44369749923271273</v>
      </c>
      <c r="CI39">
        <f>LOG(Table1_1[[#This Row],[FBSA]])</f>
        <v>1.6344772701607315</v>
      </c>
      <c r="CJ39">
        <f>LOG(Table1_1[[#This Row],[FHxSA]])</f>
        <v>2.3926969532596658</v>
      </c>
      <c r="CK39">
        <f>LOG(Table1_1[[#This Row],[FOSA]])</f>
        <v>1.1492191126553799</v>
      </c>
      <c r="CL39">
        <f>LOG(Table1_1[[#This Row],[N-MeFOSA]])</f>
        <v>-1.0338582672609673</v>
      </c>
      <c r="CM39">
        <f>LOG(Table1_1[[#This Row],[N-EtFOSA]])</f>
        <v>-0.61978875828839397</v>
      </c>
      <c r="CN39">
        <f>LOG(Table1_1[[#This Row],[FOSAA]])</f>
        <v>-0.61978875828839397</v>
      </c>
      <c r="CO39">
        <f>LOG(Table1_1[[#This Row],[N-MeFOSAA]])</f>
        <v>-0.91901295308911279</v>
      </c>
      <c r="CP39">
        <f>LOG(Table1_1[[#This Row],[N-EtFOSAA]])</f>
        <v>-0.92081875395237522</v>
      </c>
      <c r="CQ39">
        <f>LOG(Table1_1[[#This Row],[4:2 FTS]])</f>
        <v>-0.92081875395237522</v>
      </c>
      <c r="CR39">
        <f>LOG(Table1_1[[#This Row],[6:2 FTS]])</f>
        <v>0.5065050324048721</v>
      </c>
      <c r="CS39">
        <f>LOG(Table1_1[[#This Row],[8:2 FTS]])</f>
        <v>0.43136376415898736</v>
      </c>
      <c r="CT39">
        <f>LOG(Table1_1[[#This Row],[10:2 FTS]])</f>
        <v>-0.31875876262441277</v>
      </c>
      <c r="CU39">
        <f>LOG(Table1_1[[#This Row],[3:3 FTCA]])</f>
        <v>-0.61978875828839397</v>
      </c>
      <c r="CV39">
        <f>LOG(Table1_1[[#This Row],[5:3 FTCA]])</f>
        <v>1.0128372247051722</v>
      </c>
      <c r="CW39">
        <f>LOG(Table1_1[[#This Row],[7:3 FTCA]])</f>
        <v>0.81690383937566025</v>
      </c>
      <c r="CX39">
        <f>LOG(Table1_1[[#This Row],[6:2 FTCA]])</f>
        <v>-0.61978875828839397</v>
      </c>
      <c r="CY39">
        <f>LOG(Table1_1[[#This Row],[8:2 FTCA]])</f>
        <v>-0.92081875395237522</v>
      </c>
      <c r="CZ39">
        <f>LOG(Table1_1[[#This Row],[10:2 FTCA]])</f>
        <v>-0.61978875828839397</v>
      </c>
      <c r="DA39">
        <f>LOG(Table1_1[[#This Row],[6:2 FTUCA]])</f>
        <v>-1.0268721464003014</v>
      </c>
      <c r="DB39">
        <f>LOG(Table1_1[[#This Row],[8:2 FTUCA]])</f>
        <v>-1.1396619934290064</v>
      </c>
      <c r="DC39">
        <f>LOG(Table1_1[[#This Row],[ADONA]])</f>
        <v>-0.97469413473522981</v>
      </c>
      <c r="DD39">
        <f>LOG(Table1_1[[#This Row],[9Cl-PF3ONS]])</f>
        <v>-0.61978875828839397</v>
      </c>
      <c r="DE39">
        <f>LOG(Table1_1[[#This Row],[11Cl-PF3OUdS]])</f>
        <v>-0.61978875828839397</v>
      </c>
      <c r="DF39">
        <f>LOG(Table1_1[[#This Row],[HFPO-DA]])</f>
        <v>-0.76447155309245107</v>
      </c>
      <c r="DG39">
        <f>LOG(Table1_1[[#This Row],[6:2 diPAP]])</f>
        <v>-0.61978875828839397</v>
      </c>
      <c r="DH39">
        <f>LOG(Table1_1[[#This Row],[8:2 diPAP]])</f>
        <v>-0.61978875828839397</v>
      </c>
      <c r="DI39">
        <f>LOG(Table1_1[[#This Row],[diSAmPAP]])</f>
        <v>-0.61978875828839397</v>
      </c>
    </row>
    <row r="40" spans="1:113">
      <c r="A40" t="s">
        <v>173</v>
      </c>
      <c r="B40" t="s">
        <v>114</v>
      </c>
      <c r="C40" s="3">
        <v>44393</v>
      </c>
      <c r="D40" t="s">
        <v>165</v>
      </c>
      <c r="E40" t="s">
        <v>166</v>
      </c>
      <c r="F40" t="s">
        <v>167</v>
      </c>
      <c r="G40" t="s">
        <v>118</v>
      </c>
      <c r="H40" t="s">
        <v>119</v>
      </c>
      <c r="I40">
        <v>6</v>
      </c>
      <c r="J40">
        <f>LOG(Table1_1[[#This Row],[Length]])</f>
        <v>0.77815125038364363</v>
      </c>
      <c r="K40">
        <v>1.95</v>
      </c>
      <c r="L40">
        <f>LOG(Table1_1[[#This Row],[Weight]])</f>
        <v>0.29003461136251801</v>
      </c>
      <c r="M40">
        <v>0.224</v>
      </c>
      <c r="N40">
        <v>0.158</v>
      </c>
      <c r="O40">
        <v>0.121</v>
      </c>
      <c r="P40">
        <v>0.224</v>
      </c>
      <c r="Q40">
        <v>17.3</v>
      </c>
      <c r="R40">
        <v>1.97</v>
      </c>
      <c r="S40">
        <v>5.78</v>
      </c>
      <c r="T40">
        <v>45.7</v>
      </c>
      <c r="U40">
        <v>4.34</v>
      </c>
      <c r="V40">
        <v>108</v>
      </c>
      <c r="W40">
        <v>4.43</v>
      </c>
      <c r="X40">
        <v>0.13350000000000001</v>
      </c>
      <c r="Y40">
        <v>0.112</v>
      </c>
      <c r="Z40">
        <v>0.224</v>
      </c>
      <c r="AA40">
        <v>0.67</v>
      </c>
      <c r="AB40">
        <v>298</v>
      </c>
      <c r="AC40">
        <v>11.3</v>
      </c>
      <c r="AD40">
        <v>3680</v>
      </c>
      <c r="AE40">
        <v>1.56</v>
      </c>
      <c r="AF40">
        <v>1.95</v>
      </c>
      <c r="AG40">
        <v>0.23949999999999999</v>
      </c>
      <c r="AH40">
        <v>0.13600000000000001</v>
      </c>
      <c r="AI40">
        <v>0.44700000000000001</v>
      </c>
      <c r="AJ40">
        <v>40.700000000000003</v>
      </c>
      <c r="AK40">
        <v>555</v>
      </c>
      <c r="AL40">
        <v>83.5</v>
      </c>
      <c r="AM40">
        <v>8.5999999999999993E-2</v>
      </c>
      <c r="AN40">
        <v>0.224</v>
      </c>
      <c r="AO40">
        <v>0.44800000000000001</v>
      </c>
      <c r="AP40">
        <v>0.1125</v>
      </c>
      <c r="AQ40">
        <v>0.112</v>
      </c>
      <c r="AR40">
        <v>0.112</v>
      </c>
      <c r="AS40">
        <v>0.224</v>
      </c>
      <c r="AT40">
        <v>0.66100000000000003</v>
      </c>
      <c r="AU40">
        <v>0.224</v>
      </c>
      <c r="AV40">
        <v>0.224</v>
      </c>
      <c r="AW40">
        <v>0.224</v>
      </c>
      <c r="AX40">
        <v>9.61</v>
      </c>
      <c r="AY40">
        <v>0.224</v>
      </c>
      <c r="AZ40">
        <v>0.112</v>
      </c>
      <c r="BA40">
        <v>0.224</v>
      </c>
      <c r="BB40">
        <v>8.7999999999999995E-2</v>
      </c>
      <c r="BC40">
        <v>6.7500000000000004E-2</v>
      </c>
      <c r="BD40">
        <v>0.19750000000000001</v>
      </c>
      <c r="BE40">
        <v>0.224</v>
      </c>
      <c r="BF40">
        <v>0.224</v>
      </c>
      <c r="BG40">
        <v>0.1605</v>
      </c>
      <c r="BH40">
        <v>0.224</v>
      </c>
      <c r="BI40">
        <v>0.224</v>
      </c>
      <c r="BJ40">
        <v>0.224</v>
      </c>
      <c r="BK40">
        <f>SUM(Table1_1[[#This Row],[PFBA]:[diSAmPAP]])</f>
        <v>4876.6740000000027</v>
      </c>
      <c r="BL40">
        <f>LOG(Table1_1[[#This Row],[PFBA]])</f>
        <v>-0.64975198166583714</v>
      </c>
      <c r="BM40">
        <f>LOG(Table1_1[[#This Row],[PFPeA]])</f>
        <v>-0.80134291304557737</v>
      </c>
      <c r="BN40">
        <f>LOG(Table1_1[[#This Row],[PFHxA]])</f>
        <v>-0.91721462968354994</v>
      </c>
      <c r="BO40">
        <f>LOG(Table1_1[[#This Row],[PFHpA]])</f>
        <v>-0.64975198166583714</v>
      </c>
      <c r="BP40">
        <f>LOG(Table1_1[[#This Row],[PFOA]])</f>
        <v>1.2380461031287955</v>
      </c>
      <c r="BQ40">
        <f>LOG(Table1_1[[#This Row],[PFNA]])</f>
        <v>0.2944662261615929</v>
      </c>
      <c r="BR40">
        <f>LOG(Table1_1[[#This Row],[PFDA]])</f>
        <v>0.76192783842052902</v>
      </c>
      <c r="BS40">
        <f>LOG(Table1_1[[#This Row],[PFUnA]])</f>
        <v>1.6599162000698502</v>
      </c>
      <c r="BT40">
        <f>LOG(Table1_1[[#This Row],[PFDoA]])</f>
        <v>0.63748972951251071</v>
      </c>
      <c r="BU40">
        <f>LOG(Table1_1[[#This Row],[PFTrDA]])</f>
        <v>2.0334237554869499</v>
      </c>
      <c r="BV40">
        <f>LOG(Table1_1[[#This Row],[PFTeDA]])</f>
        <v>0.64640372622306952</v>
      </c>
      <c r="BW40">
        <f>LOG(Table1_1[[#This Row],[PFHxDA]])</f>
        <v>-0.87451873429940596</v>
      </c>
      <c r="BX40">
        <f>LOG(Table1_1[[#This Row],[PFPrS]])</f>
        <v>-0.9507819773298184</v>
      </c>
      <c r="BY40">
        <f>LOG(Table1_1[[#This Row],[PFBS]])</f>
        <v>-0.64975198166583714</v>
      </c>
      <c r="BZ40">
        <f>LOG(Table1_1[[#This Row],[PFPeS]])</f>
        <v>-0.17392519729917355</v>
      </c>
      <c r="CA40">
        <f>LOG(Table1_1[[#This Row],[PFHxS]])</f>
        <v>2.4742162640762553</v>
      </c>
      <c r="CB40">
        <f>LOG(Table1_1[[#This Row],[PFHpS]])</f>
        <v>1.0530784434834197</v>
      </c>
      <c r="CC40">
        <f>LOG(Table1_1[[#This Row],[PFOS]])</f>
        <v>3.5658478186735176</v>
      </c>
      <c r="CD40">
        <f>LOG(Table1_1[[#This Row],[PFNS]])</f>
        <v>0.19312459835446161</v>
      </c>
      <c r="CE40">
        <f>LOG(Table1_1[[#This Row],[PFDS]])</f>
        <v>0.29003461136251801</v>
      </c>
      <c r="CF40">
        <f>LOG(Table1_1[[#This Row],[PFDoS]])</f>
        <v>-0.62069448224941803</v>
      </c>
      <c r="CG40">
        <f>LOG(Table1_1[[#This Row],[Cl-PFOS]])</f>
        <v>-0.86646109162978246</v>
      </c>
      <c r="CH40">
        <f>LOG(Table1_1[[#This Row],[PFEtCHxS]])</f>
        <v>-0.34969247686806354</v>
      </c>
      <c r="CI40">
        <f>LOG(Table1_1[[#This Row],[FBSA]])</f>
        <v>1.6095944092252201</v>
      </c>
      <c r="CJ40">
        <f>LOG(Table1_1[[#This Row],[FHxSA]])</f>
        <v>2.7442929831226763</v>
      </c>
      <c r="CK40">
        <f>LOG(Table1_1[[#This Row],[FOSA]])</f>
        <v>1.9216864754836021</v>
      </c>
      <c r="CL40">
        <f>LOG(Table1_1[[#This Row],[N-MeFOSA]])</f>
        <v>-1.0655015487564323</v>
      </c>
      <c r="CM40">
        <f>LOG(Table1_1[[#This Row],[N-EtFOSA]])</f>
        <v>-0.64975198166583714</v>
      </c>
      <c r="CN40">
        <f>LOG(Table1_1[[#This Row],[FOSAA]])</f>
        <v>-0.348721986001856</v>
      </c>
      <c r="CO40">
        <f>LOG(Table1_1[[#This Row],[N-MeFOSAA]])</f>
        <v>-0.94884747755261867</v>
      </c>
      <c r="CP40">
        <f>LOG(Table1_1[[#This Row],[N-EtFOSAA]])</f>
        <v>-0.9507819773298184</v>
      </c>
      <c r="CQ40">
        <f>LOG(Table1_1[[#This Row],[4:2 FTS]])</f>
        <v>-0.9507819773298184</v>
      </c>
      <c r="CR40">
        <f>LOG(Table1_1[[#This Row],[6:2 FTS]])</f>
        <v>-0.64975198166583714</v>
      </c>
      <c r="CS40">
        <f>LOG(Table1_1[[#This Row],[8:2 FTS]])</f>
        <v>-0.17979854051435976</v>
      </c>
      <c r="CT40">
        <f>LOG(Table1_1[[#This Row],[10:2 FTS]])</f>
        <v>-0.64975198166583714</v>
      </c>
      <c r="CU40">
        <f>LOG(Table1_1[[#This Row],[3:3 FTCA]])</f>
        <v>-0.64975198166583714</v>
      </c>
      <c r="CV40">
        <f>LOG(Table1_1[[#This Row],[5:3 FTCA]])</f>
        <v>-0.64975198166583714</v>
      </c>
      <c r="CW40">
        <f>LOG(Table1_1[[#This Row],[7:3 FTCA]])</f>
        <v>0.98272338766854528</v>
      </c>
      <c r="CX40">
        <f>LOG(Table1_1[[#This Row],[6:2 FTCA]])</f>
        <v>-0.64975198166583714</v>
      </c>
      <c r="CY40">
        <f>LOG(Table1_1[[#This Row],[8:2 FTCA]])</f>
        <v>-0.9507819773298184</v>
      </c>
      <c r="CZ40">
        <f>LOG(Table1_1[[#This Row],[10:2 FTCA]])</f>
        <v>-0.64975198166583714</v>
      </c>
      <c r="DA40">
        <f>LOG(Table1_1[[#This Row],[6:2 FTUCA]])</f>
        <v>-1.0555173278498313</v>
      </c>
      <c r="DB40">
        <f>LOG(Table1_1[[#This Row],[8:2 FTUCA]])</f>
        <v>-1.1706962271689751</v>
      </c>
      <c r="DC40">
        <f>LOG(Table1_1[[#This Row],[ADONA]])</f>
        <v>-0.7044329000375209</v>
      </c>
      <c r="DD40">
        <f>LOG(Table1_1[[#This Row],[9Cl-PF3ONS]])</f>
        <v>-0.64975198166583714</v>
      </c>
      <c r="DE40">
        <f>LOG(Table1_1[[#This Row],[11Cl-PF3OUdS]])</f>
        <v>-0.64975198166583714</v>
      </c>
      <c r="DF40">
        <f>LOG(Table1_1[[#This Row],[HFPO-DA]])</f>
        <v>-0.79452496325910915</v>
      </c>
      <c r="DG40">
        <f>LOG(Table1_1[[#This Row],[6:2 diPAP]])</f>
        <v>-0.64975198166583714</v>
      </c>
      <c r="DH40">
        <f>LOG(Table1_1[[#This Row],[8:2 diPAP]])</f>
        <v>-0.64975198166583714</v>
      </c>
      <c r="DI40">
        <f>LOG(Table1_1[[#This Row],[diSAmPAP]])</f>
        <v>-0.64975198166583714</v>
      </c>
    </row>
    <row r="41" spans="1:113">
      <c r="A41" t="s">
        <v>174</v>
      </c>
      <c r="B41" t="s">
        <v>121</v>
      </c>
      <c r="C41" s="3">
        <v>44393</v>
      </c>
      <c r="D41" t="s">
        <v>165</v>
      </c>
      <c r="E41" t="s">
        <v>166</v>
      </c>
      <c r="F41" t="s">
        <v>167</v>
      </c>
      <c r="G41" t="s">
        <v>118</v>
      </c>
      <c r="H41" t="s">
        <v>119</v>
      </c>
      <c r="I41">
        <v>8</v>
      </c>
      <c r="J41">
        <f>LOG(Table1_1[[#This Row],[Length]])</f>
        <v>0.90308998699194354</v>
      </c>
      <c r="K41">
        <v>6.98</v>
      </c>
      <c r="L41">
        <f>LOG(Table1_1[[#This Row],[Weight]])</f>
        <v>0.84385542262316116</v>
      </c>
      <c r="M41">
        <v>0.22750000000000001</v>
      </c>
      <c r="N41">
        <v>0.22750000000000001</v>
      </c>
      <c r="O41">
        <v>0.1225</v>
      </c>
      <c r="P41">
        <v>0.22750000000000001</v>
      </c>
      <c r="Q41">
        <v>3.73</v>
      </c>
      <c r="R41">
        <v>1.83</v>
      </c>
      <c r="S41">
        <v>1.61</v>
      </c>
      <c r="T41">
        <v>3.22</v>
      </c>
      <c r="U41">
        <v>4.1100000000000003</v>
      </c>
      <c r="V41">
        <v>2.54</v>
      </c>
      <c r="W41">
        <v>9.8000000000000007</v>
      </c>
      <c r="X41">
        <v>0.27100000000000002</v>
      </c>
      <c r="Y41">
        <v>0.45500000000000002</v>
      </c>
      <c r="Z41">
        <v>0.155</v>
      </c>
      <c r="AA41">
        <v>0.40500000000000003</v>
      </c>
      <c r="AB41">
        <v>56.2</v>
      </c>
      <c r="AC41">
        <v>3.03</v>
      </c>
      <c r="AD41">
        <v>368</v>
      </c>
      <c r="AE41">
        <v>0.88500000000000001</v>
      </c>
      <c r="AF41">
        <v>1.34</v>
      </c>
      <c r="AG41">
        <v>0.61599999999999999</v>
      </c>
      <c r="AH41">
        <v>0.13800000000000001</v>
      </c>
      <c r="AI41">
        <v>9.0999999999999998E-2</v>
      </c>
      <c r="AJ41">
        <v>8.01</v>
      </c>
      <c r="AK41">
        <v>110</v>
      </c>
      <c r="AL41">
        <v>6.25</v>
      </c>
      <c r="AM41">
        <v>0.17499999999999999</v>
      </c>
      <c r="AN41">
        <v>0.45500000000000002</v>
      </c>
      <c r="AO41">
        <v>0.45500000000000002</v>
      </c>
      <c r="AP41">
        <v>0.22900000000000001</v>
      </c>
      <c r="AQ41">
        <v>0.22750000000000001</v>
      </c>
      <c r="AR41">
        <v>0.22750000000000001</v>
      </c>
      <c r="AS41">
        <v>3.65</v>
      </c>
      <c r="AT41">
        <v>1.96</v>
      </c>
      <c r="AU41">
        <v>0.45500000000000002</v>
      </c>
      <c r="AV41">
        <v>0.26250000000000001</v>
      </c>
      <c r="AW41">
        <v>13.1</v>
      </c>
      <c r="AX41">
        <v>403</v>
      </c>
      <c r="AY41">
        <v>0.45500000000000002</v>
      </c>
      <c r="AZ41">
        <v>0.45500000000000002</v>
      </c>
      <c r="BA41">
        <v>0.45500000000000002</v>
      </c>
      <c r="BB41">
        <v>0.45500000000000002</v>
      </c>
      <c r="BC41">
        <v>0.45500000000000002</v>
      </c>
      <c r="BD41">
        <v>0.22750000000000001</v>
      </c>
      <c r="BE41">
        <v>0.45500000000000002</v>
      </c>
      <c r="BF41">
        <v>0.45500000000000002</v>
      </c>
      <c r="BG41">
        <v>0.32650000000000001</v>
      </c>
      <c r="BH41">
        <v>0.45500000000000002</v>
      </c>
      <c r="BI41">
        <v>0.45500000000000002</v>
      </c>
      <c r="BJ41">
        <v>0.45500000000000002</v>
      </c>
      <c r="BK41">
        <f>SUM(Table1_1[[#This Row],[PFBA]:[diSAmPAP]])</f>
        <v>1012.7915000000005</v>
      </c>
      <c r="BL41">
        <f>LOG(Table1_1[[#This Row],[PFBA]])</f>
        <v>-0.64301859900686875</v>
      </c>
      <c r="BM41">
        <f>LOG(Table1_1[[#This Row],[PFPeA]])</f>
        <v>-0.64301859900686875</v>
      </c>
      <c r="BN41">
        <f>LOG(Table1_1[[#This Row],[PFHxA]])</f>
        <v>-0.91186391129944877</v>
      </c>
      <c r="BO41">
        <f>LOG(Table1_1[[#This Row],[PFHpA]])</f>
        <v>-0.64301859900686875</v>
      </c>
      <c r="BP41">
        <f>LOG(Table1_1[[#This Row],[PFOA]])</f>
        <v>0.57170883180868759</v>
      </c>
      <c r="BQ41">
        <f>LOG(Table1_1[[#This Row],[PFNA]])</f>
        <v>0.26245108973042947</v>
      </c>
      <c r="BR41">
        <f>LOG(Table1_1[[#This Row],[PFDA]])</f>
        <v>0.20682587603184974</v>
      </c>
      <c r="BS41">
        <f>LOG(Table1_1[[#This Row],[PFUnA]])</f>
        <v>0.50785587169583091</v>
      </c>
      <c r="BT41">
        <f>LOG(Table1_1[[#This Row],[PFDoA]])</f>
        <v>0.61384182187606928</v>
      </c>
      <c r="BU41">
        <f>LOG(Table1_1[[#This Row],[PFTrDA]])</f>
        <v>0.40483371661993806</v>
      </c>
      <c r="BV41">
        <f>LOG(Table1_1[[#This Row],[PFTeDA]])</f>
        <v>0.99122607569249488</v>
      </c>
      <c r="BW41">
        <f>LOG(Table1_1[[#This Row],[PFHxDA]])</f>
        <v>-0.56703070912559428</v>
      </c>
      <c r="BX41">
        <f>LOG(Table1_1[[#This Row],[PFPrS]])</f>
        <v>-0.34198860334288755</v>
      </c>
      <c r="BY41">
        <f>LOG(Table1_1[[#This Row],[PFBS]])</f>
        <v>-0.8096683018297085</v>
      </c>
      <c r="BZ41">
        <f>LOG(Table1_1[[#This Row],[PFPeS]])</f>
        <v>-0.3925449767853314</v>
      </c>
      <c r="CA41">
        <f>LOG(Table1_1[[#This Row],[PFHxS]])</f>
        <v>1.7497363155690611</v>
      </c>
      <c r="CB41">
        <f>LOG(Table1_1[[#This Row],[PFHpS]])</f>
        <v>0.48144262850230496</v>
      </c>
      <c r="CC41">
        <f>LOG(Table1_1[[#This Row],[PFOS]])</f>
        <v>2.5658478186735176</v>
      </c>
      <c r="CD41">
        <f>LOG(Table1_1[[#This Row],[PFNS]])</f>
        <v>-5.305672930217456E-2</v>
      </c>
      <c r="CE41">
        <f>LOG(Table1_1[[#This Row],[PFDS]])</f>
        <v>0.12710479836480765</v>
      </c>
      <c r="CF41">
        <f>LOG(Table1_1[[#This Row],[PFDoS]])</f>
        <v>-0.21041928783557454</v>
      </c>
      <c r="CG41">
        <f>LOG(Table1_1[[#This Row],[Cl-PFOS]])</f>
        <v>-0.86012091359876341</v>
      </c>
      <c r="CH41">
        <f>LOG(Table1_1[[#This Row],[PFEtCHxS]])</f>
        <v>-1.0409586076789064</v>
      </c>
      <c r="CI41">
        <f>LOG(Table1_1[[#This Row],[FBSA]])</f>
        <v>0.90363251608423767</v>
      </c>
      <c r="CJ41">
        <f>LOG(Table1_1[[#This Row],[FHxSA]])</f>
        <v>2.0413926851582249</v>
      </c>
      <c r="CK41">
        <f>LOG(Table1_1[[#This Row],[FOSA]])</f>
        <v>0.79588001734407521</v>
      </c>
      <c r="CL41">
        <f>LOG(Table1_1[[#This Row],[N-MeFOSA]])</f>
        <v>-0.75696195131370558</v>
      </c>
      <c r="CM41">
        <f>LOG(Table1_1[[#This Row],[N-EtFOSA]])</f>
        <v>-0.34198860334288755</v>
      </c>
      <c r="CN41">
        <f>LOG(Table1_1[[#This Row],[FOSAA]])</f>
        <v>-0.34198860334288755</v>
      </c>
      <c r="CO41">
        <f>LOG(Table1_1[[#This Row],[N-MeFOSAA]])</f>
        <v>-0.64016451766011195</v>
      </c>
      <c r="CP41">
        <f>LOG(Table1_1[[#This Row],[N-EtFOSAA]])</f>
        <v>-0.64301859900686875</v>
      </c>
      <c r="CQ41">
        <f>LOG(Table1_1[[#This Row],[4:2 FTS]])</f>
        <v>-0.64301859900686875</v>
      </c>
      <c r="CR41">
        <f>LOG(Table1_1[[#This Row],[6:2 FTS]])</f>
        <v>0.56229286445647475</v>
      </c>
      <c r="CS41">
        <f>LOG(Table1_1[[#This Row],[8:2 FTS]])</f>
        <v>0.29225607135647602</v>
      </c>
      <c r="CT41">
        <f>LOG(Table1_1[[#This Row],[10:2 FTS]])</f>
        <v>-0.34198860334288755</v>
      </c>
      <c r="CU41">
        <f>LOG(Table1_1[[#This Row],[3:3 FTCA]])</f>
        <v>-0.58087069225802435</v>
      </c>
      <c r="CV41">
        <f>LOG(Table1_1[[#This Row],[5:3 FTCA]])</f>
        <v>1.1172712956557642</v>
      </c>
      <c r="CW41">
        <f>LOG(Table1_1[[#This Row],[7:3 FTCA]])</f>
        <v>2.6053050461411096</v>
      </c>
      <c r="CX41">
        <f>LOG(Table1_1[[#This Row],[6:2 FTCA]])</f>
        <v>-0.34198860334288755</v>
      </c>
      <c r="CY41">
        <f>LOG(Table1_1[[#This Row],[8:2 FTCA]])</f>
        <v>-0.34198860334288755</v>
      </c>
      <c r="CZ41">
        <f>LOG(Table1_1[[#This Row],[10:2 FTCA]])</f>
        <v>-0.34198860334288755</v>
      </c>
      <c r="DA41">
        <f>LOG(Table1_1[[#This Row],[6:2 FTUCA]])</f>
        <v>-0.34198860334288755</v>
      </c>
      <c r="DB41">
        <f>LOG(Table1_1[[#This Row],[8:2 FTUCA]])</f>
        <v>-0.34198860334288755</v>
      </c>
      <c r="DC41">
        <f>LOG(Table1_1[[#This Row],[ADONA]])</f>
        <v>-0.64301859900686875</v>
      </c>
      <c r="DD41">
        <f>LOG(Table1_1[[#This Row],[9Cl-PF3ONS]])</f>
        <v>-0.34198860334288755</v>
      </c>
      <c r="DE41">
        <f>LOG(Table1_1[[#This Row],[11Cl-PF3OUdS]])</f>
        <v>-0.34198860334288755</v>
      </c>
      <c r="DF41">
        <f>LOG(Table1_1[[#This Row],[HFPO-DA]])</f>
        <v>-0.48611681438890725</v>
      </c>
      <c r="DG41">
        <f>LOG(Table1_1[[#This Row],[6:2 diPAP]])</f>
        <v>-0.34198860334288755</v>
      </c>
      <c r="DH41">
        <f>LOG(Table1_1[[#This Row],[8:2 diPAP]])</f>
        <v>-0.34198860334288755</v>
      </c>
      <c r="DI41">
        <f>LOG(Table1_1[[#This Row],[diSAmPAP]])</f>
        <v>-0.34198860334288755</v>
      </c>
    </row>
    <row r="42" spans="1:113">
      <c r="A42" t="s">
        <v>175</v>
      </c>
      <c r="B42" t="s">
        <v>114</v>
      </c>
      <c r="C42" s="3">
        <v>44393</v>
      </c>
      <c r="D42" t="s">
        <v>176</v>
      </c>
      <c r="E42" t="s">
        <v>177</v>
      </c>
      <c r="F42" t="s">
        <v>178</v>
      </c>
      <c r="G42" t="s">
        <v>118</v>
      </c>
      <c r="H42" t="s">
        <v>119</v>
      </c>
      <c r="I42">
        <v>8</v>
      </c>
      <c r="J42">
        <f>LOG(Table1_1[[#This Row],[Length]])</f>
        <v>0.90308998699194354</v>
      </c>
      <c r="K42">
        <v>4.83</v>
      </c>
      <c r="L42">
        <f>LOG(Table1_1[[#This Row],[Weight]])</f>
        <v>0.68394713075151214</v>
      </c>
      <c r="M42">
        <v>0.21299999999999999</v>
      </c>
      <c r="N42">
        <v>7.4999999999999997E-2</v>
      </c>
      <c r="O42">
        <v>0.3</v>
      </c>
      <c r="P42">
        <v>0.21299999999999999</v>
      </c>
      <c r="Q42">
        <v>1.69</v>
      </c>
      <c r="R42">
        <v>0.1065</v>
      </c>
      <c r="S42">
        <v>8.9600000000000009</v>
      </c>
      <c r="T42">
        <v>12.1</v>
      </c>
      <c r="U42">
        <v>16.7</v>
      </c>
      <c r="V42">
        <v>15.7</v>
      </c>
      <c r="W42">
        <v>9.16</v>
      </c>
      <c r="X42">
        <v>0.127</v>
      </c>
      <c r="Y42">
        <v>0.1065</v>
      </c>
      <c r="Z42">
        <v>0.1065</v>
      </c>
      <c r="AA42">
        <v>1.04</v>
      </c>
      <c r="AB42">
        <v>29.3</v>
      </c>
      <c r="AC42">
        <v>9.82</v>
      </c>
      <c r="AD42">
        <v>738</v>
      </c>
      <c r="AE42">
        <v>1.1599999999999999</v>
      </c>
      <c r="AF42">
        <v>2.46</v>
      </c>
      <c r="AG42">
        <v>0.49</v>
      </c>
      <c r="AH42">
        <v>6.4500000000000002E-2</v>
      </c>
      <c r="AI42">
        <v>0.41499999999999998</v>
      </c>
      <c r="AJ42">
        <v>75.8</v>
      </c>
      <c r="AK42">
        <v>211</v>
      </c>
      <c r="AL42">
        <v>18.5</v>
      </c>
      <c r="AM42">
        <v>8.2000000000000003E-2</v>
      </c>
      <c r="AN42">
        <v>0.21299999999999999</v>
      </c>
      <c r="AO42">
        <v>0.21299999999999999</v>
      </c>
      <c r="AP42">
        <v>0.107</v>
      </c>
      <c r="AQ42">
        <v>0.1065</v>
      </c>
      <c r="AR42">
        <v>0.1065</v>
      </c>
      <c r="AS42">
        <v>0.66800000000000004</v>
      </c>
      <c r="AT42">
        <v>21.9</v>
      </c>
      <c r="AU42">
        <v>1.36</v>
      </c>
      <c r="AV42">
        <v>0.21299999999999999</v>
      </c>
      <c r="AW42">
        <v>0.1065</v>
      </c>
      <c r="AX42">
        <v>0.21299999999999999</v>
      </c>
      <c r="AY42">
        <v>0.21299999999999999</v>
      </c>
      <c r="AZ42">
        <v>0.1065</v>
      </c>
      <c r="BA42">
        <v>0.21299999999999999</v>
      </c>
      <c r="BB42">
        <v>8.3500000000000005E-2</v>
      </c>
      <c r="BC42">
        <v>6.4500000000000002E-2</v>
      </c>
      <c r="BD42">
        <v>9.4E-2</v>
      </c>
      <c r="BE42">
        <v>0.21299999999999999</v>
      </c>
      <c r="BF42">
        <v>0.21299999999999999</v>
      </c>
      <c r="BG42">
        <v>0.1525</v>
      </c>
      <c r="BH42">
        <v>0.21299999999999999</v>
      </c>
      <c r="BI42">
        <v>0.21299999999999999</v>
      </c>
      <c r="BJ42">
        <v>0.21299999999999999</v>
      </c>
      <c r="BK42">
        <f>SUM(Table1_1[[#This Row],[PFBA]:[diSAmPAP]])</f>
        <v>1180.8874999999998</v>
      </c>
      <c r="BL42">
        <f>LOG(Table1_1[[#This Row],[PFBA]])</f>
        <v>-0.67162039656126227</v>
      </c>
      <c r="BM42">
        <f>LOG(Table1_1[[#This Row],[PFPeA]])</f>
        <v>-1.1249387366082999</v>
      </c>
      <c r="BN42">
        <f>LOG(Table1_1[[#This Row],[PFHxA]])</f>
        <v>-0.52287874528033762</v>
      </c>
      <c r="BO42">
        <f>LOG(Table1_1[[#This Row],[PFHpA]])</f>
        <v>-0.67162039656126227</v>
      </c>
      <c r="BP42">
        <f>LOG(Table1_1[[#This Row],[PFOA]])</f>
        <v>0.22788670461367352</v>
      </c>
      <c r="BQ42">
        <f>LOG(Table1_1[[#This Row],[PFNA]])</f>
        <v>-0.97265039222524352</v>
      </c>
      <c r="BR42">
        <f>LOG(Table1_1[[#This Row],[PFDA]])</f>
        <v>0.95230800966212525</v>
      </c>
      <c r="BS42">
        <f>LOG(Table1_1[[#This Row],[PFUnA]])</f>
        <v>1.0827853703164501</v>
      </c>
      <c r="BT42">
        <f>LOG(Table1_1[[#This Row],[PFDoA]])</f>
        <v>1.2227164711475833</v>
      </c>
      <c r="BU42">
        <f>LOG(Table1_1[[#This Row],[PFTrDA]])</f>
        <v>1.1958996524092338</v>
      </c>
      <c r="BV42">
        <f>LOG(Table1_1[[#This Row],[PFTeDA]])</f>
        <v>0.96189547366785044</v>
      </c>
      <c r="BW42">
        <f>LOG(Table1_1[[#This Row],[PFHxDA]])</f>
        <v>-0.89619627904404309</v>
      </c>
      <c r="BX42">
        <f>LOG(Table1_1[[#This Row],[PFPrS]])</f>
        <v>-0.97265039222524352</v>
      </c>
      <c r="BY42">
        <f>LOG(Table1_1[[#This Row],[PFBS]])</f>
        <v>-0.97265039222524352</v>
      </c>
      <c r="BZ42">
        <f>LOG(Table1_1[[#This Row],[PFPeS]])</f>
        <v>1.703333929878037E-2</v>
      </c>
      <c r="CA42">
        <f>LOG(Table1_1[[#This Row],[PFHxS]])</f>
        <v>1.4668676203541096</v>
      </c>
      <c r="CB42">
        <f>LOG(Table1_1[[#This Row],[PFHpS]])</f>
        <v>0.99211148778694969</v>
      </c>
      <c r="CC42">
        <f>LOG(Table1_1[[#This Row],[PFOS]])</f>
        <v>2.8680563618230415</v>
      </c>
      <c r="CD42">
        <f>LOG(Table1_1[[#This Row],[PFNS]])</f>
        <v>6.445798922691845E-2</v>
      </c>
      <c r="CE42">
        <f>LOG(Table1_1[[#This Row],[PFDS]])</f>
        <v>0.39093510710337914</v>
      </c>
      <c r="CF42">
        <f>LOG(Table1_1[[#This Row],[PFDoS]])</f>
        <v>-0.30980391997148632</v>
      </c>
      <c r="CG42">
        <f>LOG(Table1_1[[#This Row],[Cl-PFOS]])</f>
        <v>-1.1904402853647322</v>
      </c>
      <c r="CH42">
        <f>LOG(Table1_1[[#This Row],[PFEtCHxS]])</f>
        <v>-0.38195190328790729</v>
      </c>
      <c r="CI42">
        <f>LOG(Table1_1[[#This Row],[FBSA]])</f>
        <v>1.8796692056320534</v>
      </c>
      <c r="CJ42">
        <f>LOG(Table1_1[[#This Row],[FHxSA]])</f>
        <v>2.3242824552976926</v>
      </c>
      <c r="CK42">
        <f>LOG(Table1_1[[#This Row],[FOSA]])</f>
        <v>1.2671717284030137</v>
      </c>
      <c r="CL42">
        <f>LOG(Table1_1[[#This Row],[N-MeFOSA]])</f>
        <v>-1.0861861476162833</v>
      </c>
      <c r="CM42">
        <f>LOG(Table1_1[[#This Row],[N-EtFOSA]])</f>
        <v>-0.67162039656126227</v>
      </c>
      <c r="CN42">
        <f>LOG(Table1_1[[#This Row],[FOSAA]])</f>
        <v>-0.67162039656126227</v>
      </c>
      <c r="CO42">
        <f>LOG(Table1_1[[#This Row],[N-MeFOSAA]])</f>
        <v>-0.97061622231479039</v>
      </c>
      <c r="CP42">
        <f>LOG(Table1_1[[#This Row],[N-EtFOSAA]])</f>
        <v>-0.97265039222524352</v>
      </c>
      <c r="CQ42">
        <f>LOG(Table1_1[[#This Row],[4:2 FTS]])</f>
        <v>-0.97265039222524352</v>
      </c>
      <c r="CR42">
        <f>LOG(Table1_1[[#This Row],[6:2 FTS]])</f>
        <v>-0.1752235375244543</v>
      </c>
      <c r="CS42">
        <f>LOG(Table1_1[[#This Row],[8:2 FTS]])</f>
        <v>1.3404441148401183</v>
      </c>
      <c r="CT42">
        <f>LOG(Table1_1[[#This Row],[10:2 FTS]])</f>
        <v>0.13353890837021754</v>
      </c>
      <c r="CU42">
        <f>LOG(Table1_1[[#This Row],[3:3 FTCA]])</f>
        <v>-0.67162039656126227</v>
      </c>
      <c r="CV42">
        <f>LOG(Table1_1[[#This Row],[5:3 FTCA]])</f>
        <v>-0.97265039222524352</v>
      </c>
      <c r="CW42">
        <f>LOG(Table1_1[[#This Row],[7:3 FTCA]])</f>
        <v>-0.67162039656126227</v>
      </c>
      <c r="CX42">
        <f>LOG(Table1_1[[#This Row],[6:2 FTCA]])</f>
        <v>-0.67162039656126227</v>
      </c>
      <c r="CY42">
        <f>LOG(Table1_1[[#This Row],[8:2 FTCA]])</f>
        <v>-0.97265039222524352</v>
      </c>
      <c r="CZ42">
        <f>LOG(Table1_1[[#This Row],[10:2 FTCA]])</f>
        <v>-0.67162039656126227</v>
      </c>
      <c r="DA42">
        <f>LOG(Table1_1[[#This Row],[6:2 FTUCA]])</f>
        <v>-1.0783135245163979</v>
      </c>
      <c r="DB42">
        <f>LOG(Table1_1[[#This Row],[8:2 FTUCA]])</f>
        <v>-1.1904402853647322</v>
      </c>
      <c r="DC42">
        <f>LOG(Table1_1[[#This Row],[ADONA]])</f>
        <v>-1.0268721464003014</v>
      </c>
      <c r="DD42">
        <f>LOG(Table1_1[[#This Row],[9Cl-PF3ONS]])</f>
        <v>-0.67162039656126227</v>
      </c>
      <c r="DE42">
        <f>LOG(Table1_1[[#This Row],[11Cl-PF3OUdS]])</f>
        <v>-0.67162039656126227</v>
      </c>
      <c r="DF42">
        <f>LOG(Table1_1[[#This Row],[HFPO-DA]])</f>
        <v>-0.81673015631719537</v>
      </c>
      <c r="DG42">
        <f>LOG(Table1_1[[#This Row],[6:2 diPAP]])</f>
        <v>-0.67162039656126227</v>
      </c>
      <c r="DH42">
        <f>LOG(Table1_1[[#This Row],[8:2 diPAP]])</f>
        <v>-0.67162039656126227</v>
      </c>
      <c r="DI42">
        <f>LOG(Table1_1[[#This Row],[diSAmPAP]])</f>
        <v>-0.67162039656126227</v>
      </c>
    </row>
    <row r="43" spans="1:113">
      <c r="A43" t="s">
        <v>179</v>
      </c>
      <c r="B43" t="s">
        <v>114</v>
      </c>
      <c r="C43" s="3">
        <v>44393</v>
      </c>
      <c r="D43" t="s">
        <v>176</v>
      </c>
      <c r="E43" t="s">
        <v>177</v>
      </c>
      <c r="F43" t="s">
        <v>178</v>
      </c>
      <c r="G43" t="s">
        <v>118</v>
      </c>
      <c r="H43" t="s">
        <v>119</v>
      </c>
      <c r="I43">
        <v>8</v>
      </c>
      <c r="J43">
        <f>LOG(Table1_1[[#This Row],[Length]])</f>
        <v>0.90308998699194354</v>
      </c>
      <c r="K43">
        <v>3.57</v>
      </c>
      <c r="L43">
        <f>LOG(Table1_1[[#This Row],[Weight]])</f>
        <v>0.55266821611219319</v>
      </c>
      <c r="M43">
        <v>0.22</v>
      </c>
      <c r="N43">
        <v>7.7499999999999999E-2</v>
      </c>
      <c r="O43">
        <v>0.11899999999999999</v>
      </c>
      <c r="P43">
        <v>0.11</v>
      </c>
      <c r="Q43">
        <v>1.81</v>
      </c>
      <c r="R43">
        <v>0.11</v>
      </c>
      <c r="S43">
        <v>13</v>
      </c>
      <c r="T43">
        <v>15.8</v>
      </c>
      <c r="U43">
        <v>16.100000000000001</v>
      </c>
      <c r="V43">
        <v>4.07</v>
      </c>
      <c r="W43">
        <v>7.32</v>
      </c>
      <c r="X43">
        <v>0.13100000000000001</v>
      </c>
      <c r="Y43">
        <v>0.11</v>
      </c>
      <c r="Z43">
        <v>0.22</v>
      </c>
      <c r="AA43">
        <v>0.11650000000000001</v>
      </c>
      <c r="AB43">
        <v>13.8</v>
      </c>
      <c r="AC43">
        <v>3.15</v>
      </c>
      <c r="AD43">
        <v>844</v>
      </c>
      <c r="AE43">
        <v>0.22</v>
      </c>
      <c r="AF43">
        <v>0.88700000000000001</v>
      </c>
      <c r="AG43">
        <v>0.23549999999999999</v>
      </c>
      <c r="AH43">
        <v>0.13350000000000001</v>
      </c>
      <c r="AI43">
        <v>0.182</v>
      </c>
      <c r="AJ43">
        <v>139</v>
      </c>
      <c r="AK43">
        <v>1180</v>
      </c>
      <c r="AL43">
        <v>26.6</v>
      </c>
      <c r="AM43">
        <v>8.4500000000000006E-2</v>
      </c>
      <c r="AN43">
        <v>0.22</v>
      </c>
      <c r="AO43">
        <v>0.22</v>
      </c>
      <c r="AP43">
        <v>0.1105</v>
      </c>
      <c r="AQ43">
        <v>0.11</v>
      </c>
      <c r="AR43">
        <v>0.11</v>
      </c>
      <c r="AS43">
        <v>1.08</v>
      </c>
      <c r="AT43">
        <v>32.9</v>
      </c>
      <c r="AU43">
        <v>3.37</v>
      </c>
      <c r="AV43">
        <v>0.22</v>
      </c>
      <c r="AW43">
        <v>5.45</v>
      </c>
      <c r="AX43">
        <v>0.22</v>
      </c>
      <c r="AY43">
        <v>0.22</v>
      </c>
      <c r="AZ43">
        <v>0.11</v>
      </c>
      <c r="BA43">
        <v>0.22</v>
      </c>
      <c r="BB43">
        <v>8.6499999999999994E-2</v>
      </c>
      <c r="BC43">
        <v>6.6500000000000004E-2</v>
      </c>
      <c r="BD43">
        <v>9.7000000000000003E-2</v>
      </c>
      <c r="BE43">
        <v>0.22</v>
      </c>
      <c r="BF43">
        <v>0.22</v>
      </c>
      <c r="BG43">
        <v>0.158</v>
      </c>
      <c r="BH43">
        <v>0.22</v>
      </c>
      <c r="BI43">
        <v>0.22</v>
      </c>
      <c r="BJ43">
        <v>0.22</v>
      </c>
      <c r="BK43">
        <f>SUM(Table1_1[[#This Row],[PFBA]:[diSAmPAP]])</f>
        <v>2313.6749999999975</v>
      </c>
      <c r="BL43">
        <f>LOG(Table1_1[[#This Row],[PFBA]])</f>
        <v>-0.65757731917779372</v>
      </c>
      <c r="BM43">
        <f>LOG(Table1_1[[#This Row],[PFPeA]])</f>
        <v>-1.1106982974936896</v>
      </c>
      <c r="BN43">
        <f>LOG(Table1_1[[#This Row],[PFHxA]])</f>
        <v>-0.9244530386074693</v>
      </c>
      <c r="BO43">
        <f>LOG(Table1_1[[#This Row],[PFHpA]])</f>
        <v>-0.95860731484177497</v>
      </c>
      <c r="BP43">
        <f>LOG(Table1_1[[#This Row],[PFOA]])</f>
        <v>0.2576785748691845</v>
      </c>
      <c r="BQ43">
        <f>LOG(Table1_1[[#This Row],[PFNA]])</f>
        <v>-0.95860731484177497</v>
      </c>
      <c r="BR43">
        <f>LOG(Table1_1[[#This Row],[PFDA]])</f>
        <v>1.1139433523068367</v>
      </c>
      <c r="BS43">
        <f>LOG(Table1_1[[#This Row],[PFUnA]])</f>
        <v>1.1986570869544226</v>
      </c>
      <c r="BT43">
        <f>LOG(Table1_1[[#This Row],[PFDoA]])</f>
        <v>1.2068258760318498</v>
      </c>
      <c r="BU43">
        <f>LOG(Table1_1[[#This Row],[PFTrDA]])</f>
        <v>0.60959440922522001</v>
      </c>
      <c r="BV43">
        <f>LOG(Table1_1[[#This Row],[PFTeDA]])</f>
        <v>0.86451108105839192</v>
      </c>
      <c r="BW43">
        <f>LOG(Table1_1[[#This Row],[PFHxDA]])</f>
        <v>-0.88272870434423567</v>
      </c>
      <c r="BX43">
        <f>LOG(Table1_1[[#This Row],[PFPrS]])</f>
        <v>-0.95860731484177497</v>
      </c>
      <c r="BY43">
        <f>LOG(Table1_1[[#This Row],[PFBS]])</f>
        <v>-0.65757731917779372</v>
      </c>
      <c r="BZ43">
        <f>LOG(Table1_1[[#This Row],[PFPeS]])</f>
        <v>-0.93367407463796215</v>
      </c>
      <c r="CA43">
        <f>LOG(Table1_1[[#This Row],[PFHxS]])</f>
        <v>1.1398790864012365</v>
      </c>
      <c r="CB43">
        <f>LOG(Table1_1[[#This Row],[PFHpS]])</f>
        <v>0.49831055378960049</v>
      </c>
      <c r="CC43">
        <f>LOG(Table1_1[[#This Row],[PFOS]])</f>
        <v>2.9263424466256551</v>
      </c>
      <c r="CD43">
        <f>LOG(Table1_1[[#This Row],[PFNS]])</f>
        <v>-0.65757731917779372</v>
      </c>
      <c r="CE43">
        <f>LOG(Table1_1[[#This Row],[PFDS]])</f>
        <v>-5.2076380168273602E-2</v>
      </c>
      <c r="CF43">
        <f>LOG(Table1_1[[#This Row],[PFDoS]])</f>
        <v>-0.62800908853508508</v>
      </c>
      <c r="CG43">
        <f>LOG(Table1_1[[#This Row],[Cl-PFOS]])</f>
        <v>-0.87451873429940596</v>
      </c>
      <c r="CH43">
        <f>LOG(Table1_1[[#This Row],[PFEtCHxS]])</f>
        <v>-0.73992861201492521</v>
      </c>
      <c r="CI43">
        <f>LOG(Table1_1[[#This Row],[FBSA]])</f>
        <v>2.143014800254095</v>
      </c>
      <c r="CJ43">
        <f>LOG(Table1_1[[#This Row],[FHxSA]])</f>
        <v>3.0718820073061255</v>
      </c>
      <c r="CK43">
        <f>LOG(Table1_1[[#This Row],[FOSA]])</f>
        <v>1.424881636631067</v>
      </c>
      <c r="CL43">
        <f>LOG(Table1_1[[#This Row],[N-MeFOSA]])</f>
        <v>-1.0731432910503076</v>
      </c>
      <c r="CM43">
        <f>LOG(Table1_1[[#This Row],[N-EtFOSA]])</f>
        <v>-0.65757731917779372</v>
      </c>
      <c r="CN43">
        <f>LOG(Table1_1[[#This Row],[FOSAA]])</f>
        <v>-0.65757731917779372</v>
      </c>
      <c r="CO43">
        <f>LOG(Table1_1[[#This Row],[N-MeFOSAA]])</f>
        <v>-0.95663772197887054</v>
      </c>
      <c r="CP43">
        <f>LOG(Table1_1[[#This Row],[N-EtFOSAA]])</f>
        <v>-0.95860731484177497</v>
      </c>
      <c r="CQ43">
        <f>LOG(Table1_1[[#This Row],[4:2 FTS]])</f>
        <v>-0.95860731484177497</v>
      </c>
      <c r="CR43">
        <f>LOG(Table1_1[[#This Row],[6:2 FTS]])</f>
        <v>3.342375548694973E-2</v>
      </c>
      <c r="CS43">
        <f>LOG(Table1_1[[#This Row],[8:2 FTS]])</f>
        <v>1.5171958979499742</v>
      </c>
      <c r="CT43">
        <f>LOG(Table1_1[[#This Row],[10:2 FTS]])</f>
        <v>0.52762990087133865</v>
      </c>
      <c r="CU43">
        <f>LOG(Table1_1[[#This Row],[3:3 FTCA]])</f>
        <v>-0.65757731917779372</v>
      </c>
      <c r="CV43">
        <f>LOG(Table1_1[[#This Row],[5:3 FTCA]])</f>
        <v>0.73639650227664244</v>
      </c>
      <c r="CW43">
        <f>LOG(Table1_1[[#This Row],[7:3 FTCA]])</f>
        <v>-0.65757731917779372</v>
      </c>
      <c r="CX43">
        <f>LOG(Table1_1[[#This Row],[6:2 FTCA]])</f>
        <v>-0.65757731917779372</v>
      </c>
      <c r="CY43">
        <f>LOG(Table1_1[[#This Row],[8:2 FTCA]])</f>
        <v>-0.95860731484177497</v>
      </c>
      <c r="CZ43">
        <f>LOG(Table1_1[[#This Row],[10:2 FTCA]])</f>
        <v>-0.65757731917779372</v>
      </c>
      <c r="DA43">
        <f>LOG(Table1_1[[#This Row],[6:2 FTUCA]])</f>
        <v>-1.0629838925351858</v>
      </c>
      <c r="DB43">
        <f>LOG(Table1_1[[#This Row],[8:2 FTUCA]])</f>
        <v>-1.1771783546968955</v>
      </c>
      <c r="DC43">
        <f>LOG(Table1_1[[#This Row],[ADONA]])</f>
        <v>-1.0132282657337552</v>
      </c>
      <c r="DD43">
        <f>LOG(Table1_1[[#This Row],[9Cl-PF3ONS]])</f>
        <v>-0.65757731917779372</v>
      </c>
      <c r="DE43">
        <f>LOG(Table1_1[[#This Row],[11Cl-PF3OUdS]])</f>
        <v>-0.65757731917779372</v>
      </c>
      <c r="DF43">
        <f>LOG(Table1_1[[#This Row],[HFPO-DA]])</f>
        <v>-0.80134291304557737</v>
      </c>
      <c r="DG43">
        <f>LOG(Table1_1[[#This Row],[6:2 diPAP]])</f>
        <v>-0.65757731917779372</v>
      </c>
      <c r="DH43">
        <f>LOG(Table1_1[[#This Row],[8:2 diPAP]])</f>
        <v>-0.65757731917779372</v>
      </c>
      <c r="DI43">
        <f>LOG(Table1_1[[#This Row],[diSAmPAP]])</f>
        <v>-0.65757731917779372</v>
      </c>
    </row>
    <row r="44" spans="1:113">
      <c r="A44" t="s">
        <v>180</v>
      </c>
      <c r="B44" t="s">
        <v>114</v>
      </c>
      <c r="C44" s="3">
        <v>44393</v>
      </c>
      <c r="D44" t="s">
        <v>176</v>
      </c>
      <c r="E44" t="s">
        <v>177</v>
      </c>
      <c r="F44" t="s">
        <v>178</v>
      </c>
      <c r="G44" t="s">
        <v>118</v>
      </c>
      <c r="H44" t="s">
        <v>119</v>
      </c>
      <c r="I44">
        <v>8</v>
      </c>
      <c r="J44">
        <f>LOG(Table1_1[[#This Row],[Length]])</f>
        <v>0.90308998699194354</v>
      </c>
      <c r="K44">
        <v>4.43</v>
      </c>
      <c r="L44">
        <f>LOG(Table1_1[[#This Row],[Weight]])</f>
        <v>0.64640372622306952</v>
      </c>
      <c r="M44">
        <v>0.246</v>
      </c>
      <c r="N44">
        <v>8.6999999999999994E-2</v>
      </c>
      <c r="O44">
        <v>6.6500000000000004E-2</v>
      </c>
      <c r="P44">
        <v>0.123</v>
      </c>
      <c r="Q44">
        <v>2.1</v>
      </c>
      <c r="R44">
        <v>0.123</v>
      </c>
      <c r="S44">
        <v>4.62</v>
      </c>
      <c r="T44">
        <v>6.6</v>
      </c>
      <c r="U44">
        <v>8</v>
      </c>
      <c r="V44">
        <v>2.06</v>
      </c>
      <c r="W44">
        <v>6.09</v>
      </c>
      <c r="X44">
        <v>0.14649999999999999</v>
      </c>
      <c r="Y44">
        <v>0.123</v>
      </c>
      <c r="Z44">
        <v>0.246</v>
      </c>
      <c r="AA44">
        <v>0.1305</v>
      </c>
      <c r="AB44">
        <v>17.5</v>
      </c>
      <c r="AC44">
        <v>3.58</v>
      </c>
      <c r="AD44">
        <v>779</v>
      </c>
      <c r="AE44">
        <v>0.246</v>
      </c>
      <c r="AF44">
        <v>0.629</v>
      </c>
      <c r="AG44">
        <v>0.26350000000000001</v>
      </c>
      <c r="AH44">
        <v>0.14949999999999999</v>
      </c>
      <c r="AI44">
        <v>0.23300000000000001</v>
      </c>
      <c r="AJ44">
        <v>192</v>
      </c>
      <c r="AK44">
        <v>1340</v>
      </c>
      <c r="AL44">
        <v>26.1</v>
      </c>
      <c r="AM44">
        <v>9.5000000000000001E-2</v>
      </c>
      <c r="AN44">
        <v>0.246</v>
      </c>
      <c r="AO44">
        <v>0.246</v>
      </c>
      <c r="AP44">
        <v>0.124</v>
      </c>
      <c r="AQ44">
        <v>0.123</v>
      </c>
      <c r="AR44">
        <v>0.123</v>
      </c>
      <c r="AS44">
        <v>0.83799999999999997</v>
      </c>
      <c r="AT44">
        <v>19.100000000000001</v>
      </c>
      <c r="AU44">
        <v>1.36</v>
      </c>
      <c r="AV44">
        <v>0.246</v>
      </c>
      <c r="AW44">
        <v>0.69299999999999995</v>
      </c>
      <c r="AX44">
        <v>0.246</v>
      </c>
      <c r="AY44">
        <v>0.246</v>
      </c>
      <c r="AZ44">
        <v>0.123</v>
      </c>
      <c r="BA44">
        <v>0.246</v>
      </c>
      <c r="BB44">
        <v>9.6500000000000002E-2</v>
      </c>
      <c r="BC44">
        <v>7.4499999999999997E-2</v>
      </c>
      <c r="BD44">
        <v>0.1085</v>
      </c>
      <c r="BE44">
        <v>0.246</v>
      </c>
      <c r="BF44">
        <v>0.246</v>
      </c>
      <c r="BG44">
        <v>0.17649999999999999</v>
      </c>
      <c r="BH44">
        <v>0.246</v>
      </c>
      <c r="BI44">
        <v>0.246</v>
      </c>
      <c r="BJ44">
        <v>0.246</v>
      </c>
      <c r="BK44">
        <f>SUM(Table1_1[[#This Row],[PFBA]:[diSAmPAP]])</f>
        <v>2416.2035000000014</v>
      </c>
      <c r="BL44">
        <f>LOG(Table1_1[[#This Row],[PFBA]])</f>
        <v>-0.60906489289662091</v>
      </c>
      <c r="BM44">
        <f>LOG(Table1_1[[#This Row],[PFPeA]])</f>
        <v>-1.0604807473813815</v>
      </c>
      <c r="BN44">
        <f>LOG(Table1_1[[#This Row],[PFHxA]])</f>
        <v>-1.1771783546968955</v>
      </c>
      <c r="BO44">
        <f>LOG(Table1_1[[#This Row],[PFHpA]])</f>
        <v>-0.91009488856060206</v>
      </c>
      <c r="BP44">
        <f>LOG(Table1_1[[#This Row],[PFOA]])</f>
        <v>0.3222192947339193</v>
      </c>
      <c r="BQ44">
        <f>LOG(Table1_1[[#This Row],[PFNA]])</f>
        <v>-0.91009488856060206</v>
      </c>
      <c r="BR44">
        <f>LOG(Table1_1[[#This Row],[PFDA]])</f>
        <v>0.66464197555612547</v>
      </c>
      <c r="BS44">
        <f>LOG(Table1_1[[#This Row],[PFUnA]])</f>
        <v>0.81954393554186866</v>
      </c>
      <c r="BT44">
        <f>LOG(Table1_1[[#This Row],[PFDoA]])</f>
        <v>0.90308998699194354</v>
      </c>
      <c r="BU44">
        <f>LOG(Table1_1[[#This Row],[PFTrDA]])</f>
        <v>0.31386722036915343</v>
      </c>
      <c r="BV44">
        <f>LOG(Table1_1[[#This Row],[PFTeDA]])</f>
        <v>0.78461729263287538</v>
      </c>
      <c r="BW44">
        <f>LOG(Table1_1[[#This Row],[PFHxDA]])</f>
        <v>-0.83416237530987181</v>
      </c>
      <c r="BX44">
        <f>LOG(Table1_1[[#This Row],[PFPrS]])</f>
        <v>-0.91009488856060206</v>
      </c>
      <c r="BY44">
        <f>LOG(Table1_1[[#This Row],[PFBS]])</f>
        <v>-0.60906489289662091</v>
      </c>
      <c r="BZ44">
        <f>LOG(Table1_1[[#This Row],[PFPeS]])</f>
        <v>-0.88438948832570019</v>
      </c>
      <c r="CA44">
        <f>LOG(Table1_1[[#This Row],[PFHxS]])</f>
        <v>1.2430380486862944</v>
      </c>
      <c r="CB44">
        <f>LOG(Table1_1[[#This Row],[PFHpS]])</f>
        <v>0.55388302664387434</v>
      </c>
      <c r="CC44">
        <f>LOG(Table1_1[[#This Row],[PFOS]])</f>
        <v>2.8915374576725643</v>
      </c>
      <c r="CD44">
        <f>LOG(Table1_1[[#This Row],[PFNS]])</f>
        <v>-0.60906489289662091</v>
      </c>
      <c r="CE44">
        <f>LOG(Table1_1[[#This Row],[PFDS]])</f>
        <v>-0.20134935455473107</v>
      </c>
      <c r="CF44">
        <f>LOG(Table1_1[[#This Row],[PFDoS]])</f>
        <v>-0.57921938045143462</v>
      </c>
      <c r="CG44">
        <f>LOG(Table1_1[[#This Row],[Cl-PFOS]])</f>
        <v>-0.82535880733955158</v>
      </c>
      <c r="CH44">
        <f>LOG(Table1_1[[#This Row],[PFEtCHxS]])</f>
        <v>-0.63264407897398101</v>
      </c>
      <c r="CI44">
        <f>LOG(Table1_1[[#This Row],[FBSA]])</f>
        <v>2.2833012287035497</v>
      </c>
      <c r="CJ44">
        <f>LOG(Table1_1[[#This Row],[FHxSA]])</f>
        <v>3.1271047983648077</v>
      </c>
      <c r="CK44">
        <f>LOG(Table1_1[[#This Row],[FOSA]])</f>
        <v>1.4166405073382811</v>
      </c>
      <c r="CL44">
        <f>LOG(Table1_1[[#This Row],[N-MeFOSA]])</f>
        <v>-1.0222763947111522</v>
      </c>
      <c r="CM44">
        <f>LOG(Table1_1[[#This Row],[N-EtFOSA]])</f>
        <v>-0.60906489289662091</v>
      </c>
      <c r="CN44">
        <f>LOG(Table1_1[[#This Row],[FOSAA]])</f>
        <v>-0.60906489289662091</v>
      </c>
      <c r="CO44">
        <f>LOG(Table1_1[[#This Row],[N-MeFOSAA]])</f>
        <v>-0.90657831483776496</v>
      </c>
      <c r="CP44">
        <f>LOG(Table1_1[[#This Row],[N-EtFOSAA]])</f>
        <v>-0.91009488856060206</v>
      </c>
      <c r="CQ44">
        <f>LOG(Table1_1[[#This Row],[4:2 FTS]])</f>
        <v>-0.91009488856060206</v>
      </c>
      <c r="CR44">
        <f>LOG(Table1_1[[#This Row],[6:2 FTS]])</f>
        <v>-7.6755981369723517E-2</v>
      </c>
      <c r="CS44">
        <f>LOG(Table1_1[[#This Row],[8:2 FTS]])</f>
        <v>1.2810333672477277</v>
      </c>
      <c r="CT44">
        <f>LOG(Table1_1[[#This Row],[10:2 FTS]])</f>
        <v>0.13353890837021754</v>
      </c>
      <c r="CU44">
        <f>LOG(Table1_1[[#This Row],[3:3 FTCA]])</f>
        <v>-0.60906489289662091</v>
      </c>
      <c r="CV44">
        <f>LOG(Table1_1[[#This Row],[5:3 FTCA]])</f>
        <v>-0.15926676538819329</v>
      </c>
      <c r="CW44">
        <f>LOG(Table1_1[[#This Row],[7:3 FTCA]])</f>
        <v>-0.60906489289662091</v>
      </c>
      <c r="CX44">
        <f>LOG(Table1_1[[#This Row],[6:2 FTCA]])</f>
        <v>-0.60906489289662091</v>
      </c>
      <c r="CY44">
        <f>LOG(Table1_1[[#This Row],[8:2 FTCA]])</f>
        <v>-0.91009488856060206</v>
      </c>
      <c r="CZ44">
        <f>LOG(Table1_1[[#This Row],[10:2 FTCA]])</f>
        <v>-0.60906489289662091</v>
      </c>
      <c r="DA44">
        <f>LOG(Table1_1[[#This Row],[6:2 FTUCA]])</f>
        <v>-1.0154726866562074</v>
      </c>
      <c r="DB44">
        <f>LOG(Table1_1[[#This Row],[8:2 FTUCA]])</f>
        <v>-1.1278437272517072</v>
      </c>
      <c r="DC44">
        <f>LOG(Table1_1[[#This Row],[ADONA]])</f>
        <v>-0.96457026181545169</v>
      </c>
      <c r="DD44">
        <f>LOG(Table1_1[[#This Row],[9Cl-PF3ONS]])</f>
        <v>-0.60906489289662091</v>
      </c>
      <c r="DE44">
        <f>LOG(Table1_1[[#This Row],[11Cl-PF3OUdS]])</f>
        <v>-0.60906489289662091</v>
      </c>
      <c r="DF44">
        <f>LOG(Table1_1[[#This Row],[HFPO-DA]])</f>
        <v>-0.75325529027615867</v>
      </c>
      <c r="DG44">
        <f>LOG(Table1_1[[#This Row],[6:2 diPAP]])</f>
        <v>-0.60906489289662091</v>
      </c>
      <c r="DH44">
        <f>LOG(Table1_1[[#This Row],[8:2 diPAP]])</f>
        <v>-0.60906489289662091</v>
      </c>
      <c r="DI44">
        <f>LOG(Table1_1[[#This Row],[diSAmPAP]])</f>
        <v>-0.60906489289662091</v>
      </c>
    </row>
    <row r="45" spans="1:113">
      <c r="A45" t="s">
        <v>181</v>
      </c>
      <c r="B45" t="s">
        <v>121</v>
      </c>
      <c r="C45" s="3">
        <v>44393</v>
      </c>
      <c r="D45" t="s">
        <v>176</v>
      </c>
      <c r="E45" t="s">
        <v>177</v>
      </c>
      <c r="F45" t="s">
        <v>178</v>
      </c>
      <c r="G45" t="s">
        <v>118</v>
      </c>
      <c r="H45" t="s">
        <v>119</v>
      </c>
      <c r="I45">
        <v>8</v>
      </c>
      <c r="J45">
        <f>LOG(Table1_1[[#This Row],[Length]])</f>
        <v>0.90308998699194354</v>
      </c>
      <c r="K45">
        <v>5.37</v>
      </c>
      <c r="L45">
        <f>LOG(Table1_1[[#This Row],[Weight]])</f>
        <v>0.72997428569955558</v>
      </c>
      <c r="M45">
        <v>0.222</v>
      </c>
      <c r="N45">
        <v>0.222</v>
      </c>
      <c r="O45">
        <v>0.12</v>
      </c>
      <c r="P45">
        <v>0.222</v>
      </c>
      <c r="Q45">
        <v>2.14</v>
      </c>
      <c r="R45">
        <v>2.46</v>
      </c>
      <c r="S45">
        <v>7.9</v>
      </c>
      <c r="T45">
        <v>7.86</v>
      </c>
      <c r="U45">
        <v>6.2</v>
      </c>
      <c r="V45">
        <v>0.501</v>
      </c>
      <c r="W45">
        <v>3.44</v>
      </c>
      <c r="X45">
        <v>0.26450000000000001</v>
      </c>
      <c r="Y45">
        <v>0.44400000000000001</v>
      </c>
      <c r="Z45">
        <v>0.151</v>
      </c>
      <c r="AA45">
        <v>0.11749999999999999</v>
      </c>
      <c r="AB45">
        <v>16.5</v>
      </c>
      <c r="AC45">
        <v>6.59</v>
      </c>
      <c r="AD45">
        <v>556</v>
      </c>
      <c r="AE45">
        <v>1.06</v>
      </c>
      <c r="AF45">
        <v>1.93</v>
      </c>
      <c r="AG45">
        <v>0.23749999999999999</v>
      </c>
      <c r="AH45">
        <v>0.13500000000000001</v>
      </c>
      <c r="AI45">
        <v>0.46300000000000002</v>
      </c>
      <c r="AJ45">
        <v>43.1</v>
      </c>
      <c r="AK45">
        <v>433</v>
      </c>
      <c r="AL45">
        <v>26</v>
      </c>
      <c r="AM45">
        <v>0.17100000000000001</v>
      </c>
      <c r="AN45">
        <v>0.44400000000000001</v>
      </c>
      <c r="AO45">
        <v>0.44400000000000001</v>
      </c>
      <c r="AP45">
        <v>0.2235</v>
      </c>
      <c r="AQ45">
        <v>0.222</v>
      </c>
      <c r="AR45">
        <v>0.222</v>
      </c>
      <c r="AS45">
        <v>1.5</v>
      </c>
      <c r="AT45">
        <v>17.399999999999999</v>
      </c>
      <c r="AU45">
        <v>0.44400000000000001</v>
      </c>
      <c r="AV45">
        <v>0.25600000000000001</v>
      </c>
      <c r="AW45">
        <v>7.86</v>
      </c>
      <c r="AX45">
        <v>3.8</v>
      </c>
      <c r="AY45">
        <v>0.44400000000000001</v>
      </c>
      <c r="AZ45">
        <v>0.44400000000000001</v>
      </c>
      <c r="BA45">
        <v>0.44400000000000001</v>
      </c>
      <c r="BB45">
        <v>0.44400000000000001</v>
      </c>
      <c r="BC45">
        <v>0.44400000000000001</v>
      </c>
      <c r="BD45">
        <v>0.222</v>
      </c>
      <c r="BE45">
        <v>0.44400000000000001</v>
      </c>
      <c r="BF45">
        <v>0.44400000000000001</v>
      </c>
      <c r="BG45">
        <v>0.31850000000000001</v>
      </c>
      <c r="BH45">
        <v>0.44400000000000001</v>
      </c>
      <c r="BI45">
        <v>0.44400000000000001</v>
      </c>
      <c r="BJ45">
        <v>0.44400000000000001</v>
      </c>
      <c r="BK45">
        <f>SUM(Table1_1[[#This Row],[PFBA]:[diSAmPAP]])</f>
        <v>1155.2464999999995</v>
      </c>
      <c r="BL45">
        <f>LOG(Table1_1[[#This Row],[PFBA]])</f>
        <v>-0.65364702554936138</v>
      </c>
      <c r="BM45">
        <f>LOG(Table1_1[[#This Row],[PFPeA]])</f>
        <v>-0.65364702554936138</v>
      </c>
      <c r="BN45">
        <f>LOG(Table1_1[[#This Row],[PFHxA]])</f>
        <v>-0.92081875395237522</v>
      </c>
      <c r="BO45">
        <f>LOG(Table1_1[[#This Row],[PFHpA]])</f>
        <v>-0.65364702554936138</v>
      </c>
      <c r="BP45">
        <f>LOG(Table1_1[[#This Row],[PFOA]])</f>
        <v>0.33041377334919086</v>
      </c>
      <c r="BQ45">
        <f>LOG(Table1_1[[#This Row],[PFNA]])</f>
        <v>0.39093510710337914</v>
      </c>
      <c r="BR45">
        <f>LOG(Table1_1[[#This Row],[PFDA]])</f>
        <v>0.89762709129044149</v>
      </c>
      <c r="BS45">
        <f>LOG(Table1_1[[#This Row],[PFUnA]])</f>
        <v>0.89542254603940796</v>
      </c>
      <c r="BT45">
        <f>LOG(Table1_1[[#This Row],[PFDoA]])</f>
        <v>0.79239168949825389</v>
      </c>
      <c r="BU45">
        <f>LOG(Table1_1[[#This Row],[PFTrDA]])</f>
        <v>-0.30016227413275426</v>
      </c>
      <c r="BV45">
        <f>LOG(Table1_1[[#This Row],[PFTeDA]])</f>
        <v>0.53655844257153007</v>
      </c>
      <c r="BW45">
        <f>LOG(Table1_1[[#This Row],[PFHxDA]])</f>
        <v>-0.57757432362879546</v>
      </c>
      <c r="BX45">
        <f>LOG(Table1_1[[#This Row],[PFPrS]])</f>
        <v>-0.35261702988538018</v>
      </c>
      <c r="BY45">
        <f>LOG(Table1_1[[#This Row],[PFBS]])</f>
        <v>-0.82102305270683062</v>
      </c>
      <c r="BZ45">
        <f>LOG(Table1_1[[#This Row],[PFPeS]])</f>
        <v>-0.92996213339224498</v>
      </c>
      <c r="CA45">
        <f>LOG(Table1_1[[#This Row],[PFHxS]])</f>
        <v>1.2174839442139063</v>
      </c>
      <c r="CB45">
        <f>LOG(Table1_1[[#This Row],[PFHpS]])</f>
        <v>0.81888541459400987</v>
      </c>
      <c r="CC45">
        <f>LOG(Table1_1[[#This Row],[PFOS]])</f>
        <v>2.7450747915820575</v>
      </c>
      <c r="CD45">
        <f>LOG(Table1_1[[#This Row],[PFNS]])</f>
        <v>2.5305865264770262E-2</v>
      </c>
      <c r="CE45">
        <f>LOG(Table1_1[[#This Row],[PFDS]])</f>
        <v>0.28555730900777376</v>
      </c>
      <c r="CF45">
        <f>LOG(Table1_1[[#This Row],[PFDoS]])</f>
        <v>-0.62433638603911468</v>
      </c>
      <c r="CG45">
        <f>LOG(Table1_1[[#This Row],[Cl-PFOS]])</f>
        <v>-0.86966623150499389</v>
      </c>
      <c r="CH45">
        <f>LOG(Table1_1[[#This Row],[PFEtCHxS]])</f>
        <v>-0.33441900898204685</v>
      </c>
      <c r="CI45">
        <f>LOG(Table1_1[[#This Row],[FBSA]])</f>
        <v>1.6344772701607315</v>
      </c>
      <c r="CJ45">
        <f>LOG(Table1_1[[#This Row],[FHxSA]])</f>
        <v>2.6364878963533656</v>
      </c>
      <c r="CK45">
        <f>LOG(Table1_1[[#This Row],[FOSA]])</f>
        <v>1.414973347970818</v>
      </c>
      <c r="CL45">
        <f>LOG(Table1_1[[#This Row],[N-MeFOSA]])</f>
        <v>-0.76700388960784616</v>
      </c>
      <c r="CM45">
        <f>LOG(Table1_1[[#This Row],[N-EtFOSA]])</f>
        <v>-0.35261702988538018</v>
      </c>
      <c r="CN45">
        <f>LOG(Table1_1[[#This Row],[FOSAA]])</f>
        <v>-0.35261702988538018</v>
      </c>
      <c r="CO45">
        <f>LOG(Table1_1[[#This Row],[N-MeFOSAA]])</f>
        <v>-0.65072247253204474</v>
      </c>
      <c r="CP45">
        <f>LOG(Table1_1[[#This Row],[N-EtFOSAA]])</f>
        <v>-0.65364702554936138</v>
      </c>
      <c r="CQ45">
        <f>LOG(Table1_1[[#This Row],[4:2 FTS]])</f>
        <v>-0.65364702554936138</v>
      </c>
      <c r="CR45">
        <f>LOG(Table1_1[[#This Row],[6:2 FTS]])</f>
        <v>0.17609125905568124</v>
      </c>
      <c r="CS45">
        <f>LOG(Table1_1[[#This Row],[8:2 FTS]])</f>
        <v>1.2405492482825997</v>
      </c>
      <c r="CT45">
        <f>LOG(Table1_1[[#This Row],[10:2 FTS]])</f>
        <v>-0.35261702988538018</v>
      </c>
      <c r="CU45">
        <f>LOG(Table1_1[[#This Row],[3:3 FTCA]])</f>
        <v>-0.59176003468815042</v>
      </c>
      <c r="CV45">
        <f>LOG(Table1_1[[#This Row],[5:3 FTCA]])</f>
        <v>0.89542254603940796</v>
      </c>
      <c r="CW45">
        <f>LOG(Table1_1[[#This Row],[7:3 FTCA]])</f>
        <v>0.57978359661681012</v>
      </c>
      <c r="CX45">
        <f>LOG(Table1_1[[#This Row],[6:2 FTCA]])</f>
        <v>-0.35261702988538018</v>
      </c>
      <c r="CY45">
        <f>LOG(Table1_1[[#This Row],[8:2 FTCA]])</f>
        <v>-0.35261702988538018</v>
      </c>
      <c r="CZ45">
        <f>LOG(Table1_1[[#This Row],[10:2 FTCA]])</f>
        <v>-0.35261702988538018</v>
      </c>
      <c r="DA45">
        <f>LOG(Table1_1[[#This Row],[6:2 FTUCA]])</f>
        <v>-0.35261702988538018</v>
      </c>
      <c r="DB45">
        <f>LOG(Table1_1[[#This Row],[8:2 FTUCA]])</f>
        <v>-0.35261702988538018</v>
      </c>
      <c r="DC45">
        <f>LOG(Table1_1[[#This Row],[ADONA]])</f>
        <v>-0.65364702554936138</v>
      </c>
      <c r="DD45">
        <f>LOG(Table1_1[[#This Row],[9Cl-PF3ONS]])</f>
        <v>-0.35261702988538018</v>
      </c>
      <c r="DE45">
        <f>LOG(Table1_1[[#This Row],[11Cl-PF3OUdS]])</f>
        <v>-0.35261702988538018</v>
      </c>
      <c r="DF45">
        <f>LOG(Table1_1[[#This Row],[HFPO-DA]])</f>
        <v>-0.49689056332863074</v>
      </c>
      <c r="DG45">
        <f>LOG(Table1_1[[#This Row],[6:2 diPAP]])</f>
        <v>-0.35261702988538018</v>
      </c>
      <c r="DH45">
        <f>LOG(Table1_1[[#This Row],[8:2 diPAP]])</f>
        <v>-0.35261702988538018</v>
      </c>
      <c r="DI45">
        <f>LOG(Table1_1[[#This Row],[diSAmPAP]])</f>
        <v>-0.35261702988538018</v>
      </c>
    </row>
    <row r="46" spans="1:113">
      <c r="A46" t="s">
        <v>182</v>
      </c>
      <c r="B46" t="s">
        <v>121</v>
      </c>
      <c r="C46" s="3">
        <v>44314</v>
      </c>
      <c r="D46" t="s">
        <v>183</v>
      </c>
      <c r="E46" t="s">
        <v>184</v>
      </c>
      <c r="F46" t="s">
        <v>185</v>
      </c>
      <c r="G46" t="s">
        <v>118</v>
      </c>
      <c r="H46" t="s">
        <v>119</v>
      </c>
      <c r="I46">
        <v>6</v>
      </c>
      <c r="J46">
        <f>LOG(Table1_1[[#This Row],[Length]])</f>
        <v>0.77815125038364363</v>
      </c>
      <c r="K46">
        <v>2.8</v>
      </c>
      <c r="L46">
        <f>LOG(Table1_1[[#This Row],[Weight]])</f>
        <v>0.44715803134221921</v>
      </c>
      <c r="M46">
        <v>2.7464982147761604E-2</v>
      </c>
      <c r="N46">
        <v>4.8512860028700908E-2</v>
      </c>
      <c r="O46">
        <v>0.36299999999999999</v>
      </c>
      <c r="P46">
        <v>2.7464982147761604E-2</v>
      </c>
      <c r="Q46">
        <v>3.4</v>
      </c>
      <c r="R46">
        <v>16.100000000000001</v>
      </c>
      <c r="S46">
        <v>32.1</v>
      </c>
      <c r="T46">
        <v>19.7</v>
      </c>
      <c r="U46">
        <v>38.1</v>
      </c>
      <c r="V46">
        <v>8.3000000000000007</v>
      </c>
      <c r="W46">
        <v>5.26</v>
      </c>
      <c r="X46">
        <v>8.1831924027190348E-2</v>
      </c>
      <c r="Y46">
        <v>5.2386242587613291E-2</v>
      </c>
      <c r="Z46">
        <v>0.15693492197453368</v>
      </c>
      <c r="AA46">
        <v>2.11</v>
      </c>
      <c r="AB46">
        <v>143</v>
      </c>
      <c r="AC46">
        <v>24.9</v>
      </c>
      <c r="AD46">
        <v>4620</v>
      </c>
      <c r="AE46">
        <v>9.9600000000000009</v>
      </c>
      <c r="AF46">
        <v>4.79</v>
      </c>
      <c r="AG46">
        <v>2.46</v>
      </c>
      <c r="AH46">
        <v>4.1100000000000003</v>
      </c>
      <c r="AI46">
        <v>0.41399999999999998</v>
      </c>
      <c r="AJ46">
        <v>73.3</v>
      </c>
      <c r="AK46">
        <v>609</v>
      </c>
      <c r="AL46">
        <v>25.2</v>
      </c>
      <c r="AM46">
        <v>5.2896404120845918E-2</v>
      </c>
      <c r="AN46">
        <v>8.0126213016616307E-2</v>
      </c>
      <c r="AO46">
        <v>0.18175130420875177</v>
      </c>
      <c r="AP46">
        <v>6.907788569637463E-2</v>
      </c>
      <c r="AQ46">
        <v>5.9598356587613296E-2</v>
      </c>
      <c r="AR46">
        <v>5.6398552042296067E-2</v>
      </c>
      <c r="AS46">
        <v>1.06</v>
      </c>
      <c r="AT46">
        <v>38.6</v>
      </c>
      <c r="AU46">
        <v>1.54</v>
      </c>
      <c r="AV46">
        <v>7.9201376442598198E-2</v>
      </c>
      <c r="AW46">
        <v>24.4</v>
      </c>
      <c r="AX46">
        <v>41.8</v>
      </c>
      <c r="AY46">
        <v>4.4058415156042294E-2</v>
      </c>
      <c r="AZ46">
        <v>2.7464982147761604E-2</v>
      </c>
      <c r="BA46">
        <v>0.10245760146978854</v>
      </c>
      <c r="BB46">
        <v>5.3913522942598185E-2</v>
      </c>
      <c r="BC46">
        <v>4.1493032753927489E-2</v>
      </c>
      <c r="BD46">
        <v>6.8662455369404019E-2</v>
      </c>
      <c r="BE46">
        <v>4.7659066137462243E-2</v>
      </c>
      <c r="BF46">
        <v>5.4105365651057398E-2</v>
      </c>
      <c r="BG46">
        <v>9.8532584796072506E-2</v>
      </c>
      <c r="BH46">
        <v>7.3093170521148026E-2</v>
      </c>
      <c r="BI46">
        <v>9.1033645119335344E-2</v>
      </c>
      <c r="BJ46">
        <v>0.12084592145015104</v>
      </c>
      <c r="BK46">
        <f>SUM(Table1_1[[#This Row],[PFBA]:[diSAmPAP]])</f>
        <v>5751.7639657685422</v>
      </c>
      <c r="BL46">
        <f>LOG(Table1_1[[#This Row],[PFBA]])</f>
        <v>-1.5612206789339438</v>
      </c>
      <c r="BM46">
        <f>LOG(Table1_1[[#This Row],[PFPeA]])</f>
        <v>-1.3141431212084258</v>
      </c>
      <c r="BN46">
        <f>LOG(Table1_1[[#This Row],[PFHxA]])</f>
        <v>-0.44009337496388751</v>
      </c>
      <c r="BO46">
        <f>LOG(Table1_1[[#This Row],[PFHpA]])</f>
        <v>-1.5612206789339438</v>
      </c>
      <c r="BP46">
        <f>LOG(Table1_1[[#This Row],[PFOA]])</f>
        <v>0.53147891704225514</v>
      </c>
      <c r="BQ46">
        <f>LOG(Table1_1[[#This Row],[PFNA]])</f>
        <v>1.2068258760318498</v>
      </c>
      <c r="BR46">
        <f>LOG(Table1_1[[#This Row],[PFDA]])</f>
        <v>1.5065050324048721</v>
      </c>
      <c r="BS46">
        <f>LOG(Table1_1[[#This Row],[PFUnA]])</f>
        <v>1.2944662261615929</v>
      </c>
      <c r="BT46">
        <f>LOG(Table1_1[[#This Row],[PFDoA]])</f>
        <v>1.5809249756756194</v>
      </c>
      <c r="BU46">
        <f>LOG(Table1_1[[#This Row],[PFTrDA]])</f>
        <v>0.91907809237607396</v>
      </c>
      <c r="BV46">
        <f>LOG(Table1_1[[#This Row],[PFTeDA]])</f>
        <v>0.72098574415373906</v>
      </c>
      <c r="BW46">
        <f>LOG(Table1_1[[#This Row],[PFHxDA]])</f>
        <v>-1.0870772375985762</v>
      </c>
      <c r="BX46">
        <f>LOG(Table1_1[[#This Row],[PFPrS]])</f>
        <v>-1.2807827502824565</v>
      </c>
      <c r="BY46">
        <f>LOG(Table1_1[[#This Row],[PFBS]])</f>
        <v>-0.80428040419345492</v>
      </c>
      <c r="BZ46">
        <f>LOG(Table1_1[[#This Row],[PFPeS]])</f>
        <v>0.32428245529769262</v>
      </c>
      <c r="CA46">
        <f>LOG(Table1_1[[#This Row],[PFHxS]])</f>
        <v>2.1553360374650619</v>
      </c>
      <c r="CB46">
        <f>LOG(Table1_1[[#This Row],[PFHpS]])</f>
        <v>1.3961993470957363</v>
      </c>
      <c r="CC46">
        <f>LOG(Table1_1[[#This Row],[PFOS]])</f>
        <v>3.6646419755561257</v>
      </c>
      <c r="CD46">
        <f>LOG(Table1_1[[#This Row],[PFNS]])</f>
        <v>0.99825933842369874</v>
      </c>
      <c r="CE46">
        <f>LOG(Table1_1[[#This Row],[PFDS]])</f>
        <v>0.68033551341456322</v>
      </c>
      <c r="CF46">
        <f>LOG(Table1_1[[#This Row],[PFDoS]])</f>
        <v>0.39093510710337914</v>
      </c>
      <c r="CG46">
        <f>LOG(Table1_1[[#This Row],[Cl-PFOS]])</f>
        <v>0.61384182187606928</v>
      </c>
      <c r="CH46">
        <f>LOG(Table1_1[[#This Row],[PFEtCHxS]])</f>
        <v>-0.38299965887910109</v>
      </c>
      <c r="CI46">
        <f>LOG(Table1_1[[#This Row],[FBSA]])</f>
        <v>1.865103974641128</v>
      </c>
      <c r="CJ46">
        <f>LOG(Table1_1[[#This Row],[FHxSA]])</f>
        <v>2.7846172926328752</v>
      </c>
      <c r="CK46">
        <f>LOG(Table1_1[[#This Row],[FOSA]])</f>
        <v>1.4014005407815442</v>
      </c>
      <c r="CL46">
        <f>LOG(Table1_1[[#This Row],[N-MeFOSA]])</f>
        <v>-1.2765738501491983</v>
      </c>
      <c r="CM46">
        <f>LOG(Table1_1[[#This Row],[N-EtFOSA]])</f>
        <v>-1.0962253827157435</v>
      </c>
      <c r="CN46">
        <f>LOG(Table1_1[[#This Row],[FOSAA]])</f>
        <v>-0.74052246405279298</v>
      </c>
      <c r="CO46">
        <f>LOG(Table1_1[[#This Row],[N-MeFOSAA]])</f>
        <v>-1.1606609635835858</v>
      </c>
      <c r="CP46">
        <f>LOG(Table1_1[[#This Row],[N-EtFOSAA]])</f>
        <v>-1.2247657156753904</v>
      </c>
      <c r="CQ46">
        <f>LOG(Table1_1[[#This Row],[4:2 FTS]])</f>
        <v>-1.248732045805897</v>
      </c>
      <c r="CR46">
        <f>LOG(Table1_1[[#This Row],[6:2 FTS]])</f>
        <v>2.5305865264770262E-2</v>
      </c>
      <c r="CS46">
        <f>LOG(Table1_1[[#This Row],[8:2 FTS]])</f>
        <v>1.5865873046717549</v>
      </c>
      <c r="CT46">
        <f>LOG(Table1_1[[#This Row],[10:2 FTS]])</f>
        <v>0.18752072083646307</v>
      </c>
      <c r="CU46">
        <f>LOG(Table1_1[[#This Row],[3:3 FTCA]])</f>
        <v>-1.1012672707308273</v>
      </c>
      <c r="CV46">
        <f>LOG(Table1_1[[#This Row],[5:3 FTCA]])</f>
        <v>1.3873898263387294</v>
      </c>
      <c r="CW46">
        <f>LOG(Table1_1[[#This Row],[7:3 FTCA]])</f>
        <v>1.6211762817750353</v>
      </c>
      <c r="CX46">
        <f>LOG(Table1_1[[#This Row],[6:2 FTCA]])</f>
        <v>-1.355971129095481</v>
      </c>
      <c r="CY46">
        <f>LOG(Table1_1[[#This Row],[8:2 FTCA]])</f>
        <v>-1.5612206789339438</v>
      </c>
      <c r="CZ46">
        <f>LOG(Table1_1[[#This Row],[10:2 FTCA]])</f>
        <v>-0.98945581516500802</v>
      </c>
      <c r="DA46">
        <f>LOG(Table1_1[[#This Row],[6:2 FTUCA]])</f>
        <v>-1.2683022885657036</v>
      </c>
      <c r="DB46">
        <f>LOG(Table1_1[[#This Row],[8:2 FTUCA]])</f>
        <v>-1.3820248211324553</v>
      </c>
      <c r="DC46">
        <f>LOG(Table1_1[[#This Row],[ADONA]])</f>
        <v>-1.1632806702619061</v>
      </c>
      <c r="DD46">
        <f>LOG(Table1_1[[#This Row],[9Cl-PF3ONS]])</f>
        <v>-1.3218544717528966</v>
      </c>
      <c r="DE46">
        <f>LOG(Table1_1[[#This Row],[11Cl-PF3OUdS]])</f>
        <v>-1.2667596635977709</v>
      </c>
      <c r="DF46">
        <f>LOG(Table1_1[[#This Row],[HFPO-DA]])</f>
        <v>-1.0064201242543509</v>
      </c>
      <c r="DG46">
        <f>LOG(Table1_1[[#This Row],[6:2 diPAP]])</f>
        <v>-1.1361231995611558</v>
      </c>
      <c r="DH46">
        <f>LOG(Table1_1[[#This Row],[8:2 diPAP]])</f>
        <v>-1.0407980671389736</v>
      </c>
      <c r="DI46">
        <f>LOG(Table1_1[[#This Row],[diSAmPAP]])</f>
        <v>-0.91776800244775647</v>
      </c>
    </row>
    <row r="47" spans="1:113">
      <c r="A47" t="s">
        <v>186</v>
      </c>
      <c r="B47" t="s">
        <v>114</v>
      </c>
      <c r="C47" s="3">
        <v>44314</v>
      </c>
      <c r="D47" t="s">
        <v>183</v>
      </c>
      <c r="E47" t="s">
        <v>184</v>
      </c>
      <c r="F47" t="s">
        <v>185</v>
      </c>
      <c r="G47" t="s">
        <v>118</v>
      </c>
      <c r="H47" t="s">
        <v>119</v>
      </c>
      <c r="I47">
        <v>6</v>
      </c>
      <c r="J47">
        <f>LOG(Table1_1[[#This Row],[Length]])</f>
        <v>0.77815125038364363</v>
      </c>
      <c r="K47">
        <v>2.4500000000000002</v>
      </c>
      <c r="L47">
        <f>LOG(Table1_1[[#This Row],[Weight]])</f>
        <v>0.38916608436453248</v>
      </c>
      <c r="M47">
        <v>2.76E-2</v>
      </c>
      <c r="N47">
        <v>4.8649999999999999E-2</v>
      </c>
      <c r="O47">
        <v>3.7100000000000001E-2</v>
      </c>
      <c r="P47">
        <v>2.76E-2</v>
      </c>
      <c r="Q47">
        <v>1.77</v>
      </c>
      <c r="R47">
        <v>3.88</v>
      </c>
      <c r="S47">
        <v>14.2</v>
      </c>
      <c r="T47">
        <v>15.8</v>
      </c>
      <c r="U47">
        <v>16.8</v>
      </c>
      <c r="V47">
        <v>8.85</v>
      </c>
      <c r="W47">
        <v>10.3</v>
      </c>
      <c r="X47">
        <v>8.2000000000000003E-2</v>
      </c>
      <c r="Y47">
        <v>5.2499999999999998E-2</v>
      </c>
      <c r="Z47">
        <v>0.1545</v>
      </c>
      <c r="AA47">
        <v>1.1200000000000001</v>
      </c>
      <c r="AB47">
        <v>73.2</v>
      </c>
      <c r="AC47">
        <v>5.0599999999999996</v>
      </c>
      <c r="AD47">
        <v>1390</v>
      </c>
      <c r="AE47">
        <v>1.85</v>
      </c>
      <c r="AF47">
        <v>8.3800000000000008</v>
      </c>
      <c r="AG47">
        <v>0.79300000000000004</v>
      </c>
      <c r="AH47">
        <v>0.34</v>
      </c>
      <c r="AI47">
        <v>9.0999999999999998E-2</v>
      </c>
      <c r="AJ47">
        <v>145</v>
      </c>
      <c r="AK47">
        <v>470</v>
      </c>
      <c r="AL47">
        <v>30.3</v>
      </c>
      <c r="AM47">
        <v>5.2999999999999999E-2</v>
      </c>
      <c r="AN47">
        <v>8.0500000000000002E-2</v>
      </c>
      <c r="AO47">
        <v>5.3999999999999999E-2</v>
      </c>
      <c r="AP47">
        <v>0.22850000000000001</v>
      </c>
      <c r="AQ47">
        <v>0.06</v>
      </c>
      <c r="AR47">
        <v>5.6500000000000002E-2</v>
      </c>
      <c r="AS47">
        <v>0.13700000000000001</v>
      </c>
      <c r="AT47">
        <v>21</v>
      </c>
      <c r="AU47">
        <v>0.25800000000000001</v>
      </c>
      <c r="AV47">
        <v>7.9500000000000001E-2</v>
      </c>
      <c r="AW47">
        <v>1.99</v>
      </c>
      <c r="AX47">
        <v>4.43</v>
      </c>
      <c r="AY47">
        <v>4.4249999999999998E-2</v>
      </c>
      <c r="AZ47">
        <v>2.76E-2</v>
      </c>
      <c r="BA47">
        <v>0.10249999999999999</v>
      </c>
      <c r="BB47">
        <v>5.3999999999999999E-2</v>
      </c>
      <c r="BC47">
        <v>4.165E-2</v>
      </c>
      <c r="BD47">
        <v>6.9000000000000006E-2</v>
      </c>
      <c r="BE47">
        <v>4.7899999999999998E-2</v>
      </c>
      <c r="BF47">
        <v>5.3999999999999999E-2</v>
      </c>
      <c r="BG47">
        <v>9.9000000000000005E-2</v>
      </c>
      <c r="BH47">
        <v>7.3499999999999996E-2</v>
      </c>
      <c r="BI47">
        <v>9.1499999999999998E-2</v>
      </c>
      <c r="BJ47">
        <v>0.121</v>
      </c>
      <c r="BK47">
        <f>SUM(Table1_1[[#This Row],[PFBA]:[diSAmPAP]])</f>
        <v>2227.4168500000001</v>
      </c>
      <c r="BL47">
        <f>LOG(Table1_1[[#This Row],[PFBA]])</f>
        <v>-1.5590909179347823</v>
      </c>
      <c r="BM47">
        <f>LOG(Table1_1[[#This Row],[PFPeA]])</f>
        <v>-1.3129171553956294</v>
      </c>
      <c r="BN47">
        <f>LOG(Table1_1[[#This Row],[PFHxA]])</f>
        <v>-1.4306260903849541</v>
      </c>
      <c r="BO47">
        <f>LOG(Table1_1[[#This Row],[PFHpA]])</f>
        <v>-1.5590909179347823</v>
      </c>
      <c r="BP47">
        <f>LOG(Table1_1[[#This Row],[PFOA]])</f>
        <v>0.24797326636180664</v>
      </c>
      <c r="BQ47">
        <f>LOG(Table1_1[[#This Row],[PFNA]])</f>
        <v>0.58883172559420727</v>
      </c>
      <c r="BR47">
        <f>LOG(Table1_1[[#This Row],[PFDA]])</f>
        <v>1.1522883443830565</v>
      </c>
      <c r="BS47">
        <f>LOG(Table1_1[[#This Row],[PFUnA]])</f>
        <v>1.1986570869544226</v>
      </c>
      <c r="BT47">
        <f>LOG(Table1_1[[#This Row],[PFDoA]])</f>
        <v>1.2253092817258628</v>
      </c>
      <c r="BU47">
        <f>LOG(Table1_1[[#This Row],[PFTrDA]])</f>
        <v>0.94694327069782547</v>
      </c>
      <c r="BV47">
        <f>LOG(Table1_1[[#This Row],[PFTeDA]])</f>
        <v>1.0128372247051722</v>
      </c>
      <c r="BW47">
        <f>LOG(Table1_1[[#This Row],[PFHxDA]])</f>
        <v>-1.0861861476162833</v>
      </c>
      <c r="BX47">
        <f>LOG(Table1_1[[#This Row],[PFPrS]])</f>
        <v>-1.2798406965940432</v>
      </c>
      <c r="BY47">
        <f>LOG(Table1_1[[#This Row],[PFBS]])</f>
        <v>-0.81107151623914653</v>
      </c>
      <c r="BZ47">
        <f>LOG(Table1_1[[#This Row],[PFPeS]])</f>
        <v>4.9218022670181653E-2</v>
      </c>
      <c r="CA47">
        <f>LOG(Table1_1[[#This Row],[PFHxS]])</f>
        <v>1.8645110810583918</v>
      </c>
      <c r="CB47">
        <f>LOG(Table1_1[[#This Row],[PFHpS]])</f>
        <v>0.70415051683979912</v>
      </c>
      <c r="CC47">
        <f>LOG(Table1_1[[#This Row],[PFOS]])</f>
        <v>3.143014800254095</v>
      </c>
      <c r="CD47">
        <f>LOG(Table1_1[[#This Row],[PFNS]])</f>
        <v>0.26717172840301384</v>
      </c>
      <c r="CE47">
        <f>LOG(Table1_1[[#This Row],[PFDS]])</f>
        <v>0.9232440186302765</v>
      </c>
      <c r="CF47">
        <f>LOG(Table1_1[[#This Row],[PFDoS]])</f>
        <v>-0.10072681268239618</v>
      </c>
      <c r="CG47">
        <f>LOG(Table1_1[[#This Row],[Cl-PFOS]])</f>
        <v>-0.46852108295774486</v>
      </c>
      <c r="CH47">
        <f>LOG(Table1_1[[#This Row],[PFEtCHxS]])</f>
        <v>-1.0409586076789064</v>
      </c>
      <c r="CI47">
        <f>LOG(Table1_1[[#This Row],[FBSA]])</f>
        <v>2.1613680022349748</v>
      </c>
      <c r="CJ47">
        <f>LOG(Table1_1[[#This Row],[FHxSA]])</f>
        <v>2.6720978579357175</v>
      </c>
      <c r="CK47">
        <f>LOG(Table1_1[[#This Row],[FOSA]])</f>
        <v>1.481442628502305</v>
      </c>
      <c r="CL47">
        <f>LOG(Table1_1[[#This Row],[N-MeFOSA]])</f>
        <v>-1.2757241303992111</v>
      </c>
      <c r="CM47">
        <f>LOG(Table1_1[[#This Row],[N-EtFOSA]])</f>
        <v>-1.0942041196321315</v>
      </c>
      <c r="CN47">
        <f>LOG(Table1_1[[#This Row],[FOSAA]])</f>
        <v>-1.2676062401770316</v>
      </c>
      <c r="CO47">
        <f>LOG(Table1_1[[#This Row],[N-MeFOSAA]])</f>
        <v>-0.64111379559413095</v>
      </c>
      <c r="CP47">
        <f>LOG(Table1_1[[#This Row],[N-EtFOSAA]])</f>
        <v>-1.2218487496163564</v>
      </c>
      <c r="CQ47">
        <f>LOG(Table1_1[[#This Row],[4:2 FTS]])</f>
        <v>-1.2479515521805615</v>
      </c>
      <c r="CR47">
        <f>LOG(Table1_1[[#This Row],[6:2 FTS]])</f>
        <v>-0.86327943284359321</v>
      </c>
      <c r="CS47">
        <f>LOG(Table1_1[[#This Row],[8:2 FTS]])</f>
        <v>1.3222192947339193</v>
      </c>
      <c r="CT47">
        <f>LOG(Table1_1[[#This Row],[10:2 FTS]])</f>
        <v>-0.58838029403676984</v>
      </c>
      <c r="CU47">
        <f>LOG(Table1_1[[#This Row],[3:3 FTCA]])</f>
        <v>-1.0996328713435297</v>
      </c>
      <c r="CV47">
        <f>LOG(Table1_1[[#This Row],[5:3 FTCA]])</f>
        <v>0.29885307640970665</v>
      </c>
      <c r="CW47">
        <f>LOG(Table1_1[[#This Row],[7:3 FTCA]])</f>
        <v>0.64640372622306952</v>
      </c>
      <c r="CX47">
        <f>LOG(Table1_1[[#This Row],[6:2 FTCA]])</f>
        <v>-1.3540867249661557</v>
      </c>
      <c r="CY47">
        <f>LOG(Table1_1[[#This Row],[8:2 FTCA]])</f>
        <v>-1.5590909179347823</v>
      </c>
      <c r="CZ47">
        <f>LOG(Table1_1[[#This Row],[10:2 FTCA]])</f>
        <v>-0.98927613460822694</v>
      </c>
      <c r="DA47">
        <f>LOG(Table1_1[[#This Row],[6:2 FTUCA]])</f>
        <v>-1.2676062401770316</v>
      </c>
      <c r="DB47">
        <f>LOG(Table1_1[[#This Row],[8:2 FTUCA]])</f>
        <v>-1.3803849942571935</v>
      </c>
      <c r="DC47">
        <f>LOG(Table1_1[[#This Row],[ADONA]])</f>
        <v>-1.1611509092627446</v>
      </c>
      <c r="DD47">
        <f>LOG(Table1_1[[#This Row],[9Cl-PF3ONS]])</f>
        <v>-1.3196644865854368</v>
      </c>
      <c r="DE47">
        <f>LOG(Table1_1[[#This Row],[11Cl-PF3OUdS]])</f>
        <v>-1.2676062401770316</v>
      </c>
      <c r="DF47">
        <f>LOG(Table1_1[[#This Row],[HFPO-DA]])</f>
        <v>-1.0043648054024501</v>
      </c>
      <c r="DG47">
        <f>LOG(Table1_1[[#This Row],[6:2 diPAP]])</f>
        <v>-1.133712660915805</v>
      </c>
      <c r="DH47">
        <f>LOG(Table1_1[[#This Row],[8:2 diPAP]])</f>
        <v>-1.0385789059335517</v>
      </c>
      <c r="DI47">
        <f>LOG(Table1_1[[#This Row],[diSAmPAP]])</f>
        <v>-0.91721462968354994</v>
      </c>
    </row>
    <row r="48" spans="1:113">
      <c r="A48" t="s">
        <v>187</v>
      </c>
      <c r="B48" t="s">
        <v>114</v>
      </c>
      <c r="C48" s="3">
        <v>44314</v>
      </c>
      <c r="D48" t="s">
        <v>183</v>
      </c>
      <c r="E48" t="s">
        <v>184</v>
      </c>
      <c r="F48" t="s">
        <v>185</v>
      </c>
      <c r="G48" t="s">
        <v>118</v>
      </c>
      <c r="H48" t="s">
        <v>119</v>
      </c>
      <c r="I48">
        <v>6</v>
      </c>
      <c r="J48">
        <f>LOG(Table1_1[[#This Row],[Length]])</f>
        <v>0.77815125038364363</v>
      </c>
      <c r="K48">
        <v>1.95</v>
      </c>
      <c r="L48">
        <f>LOG(Table1_1[[#This Row],[Weight]])</f>
        <v>0.29003461136251801</v>
      </c>
      <c r="M48">
        <v>9.4E-2</v>
      </c>
      <c r="N48">
        <v>5.0500000000000003E-2</v>
      </c>
      <c r="O48">
        <v>0.1265</v>
      </c>
      <c r="P48">
        <v>2.8500000000000001E-2</v>
      </c>
      <c r="Q48">
        <v>1.51</v>
      </c>
      <c r="R48">
        <v>4.92</v>
      </c>
      <c r="S48">
        <v>10.8</v>
      </c>
      <c r="T48">
        <v>19.5</v>
      </c>
      <c r="U48">
        <v>20.3</v>
      </c>
      <c r="V48">
        <v>5.87</v>
      </c>
      <c r="W48">
        <v>9.0299999999999994</v>
      </c>
      <c r="X48">
        <v>8.4500000000000006E-2</v>
      </c>
      <c r="Y48">
        <v>5.3999999999999999E-2</v>
      </c>
      <c r="Z48">
        <v>0.1595</v>
      </c>
      <c r="AA48">
        <v>0.98599999999999999</v>
      </c>
      <c r="AB48">
        <v>46.5</v>
      </c>
      <c r="AC48">
        <v>6.04</v>
      </c>
      <c r="AD48">
        <v>959</v>
      </c>
      <c r="AE48">
        <v>0.73299999999999998</v>
      </c>
      <c r="AF48">
        <v>3.85</v>
      </c>
      <c r="AG48">
        <v>0.55600000000000005</v>
      </c>
      <c r="AH48">
        <v>0.374</v>
      </c>
      <c r="AI48">
        <v>0.23599999999999999</v>
      </c>
      <c r="AJ48">
        <v>59.1</v>
      </c>
      <c r="AK48">
        <v>236</v>
      </c>
      <c r="AL48">
        <v>17.8</v>
      </c>
      <c r="AM48">
        <v>5.5E-2</v>
      </c>
      <c r="AN48">
        <v>8.3000000000000004E-2</v>
      </c>
      <c r="AO48">
        <v>5.6000000000000001E-2</v>
      </c>
      <c r="AP48">
        <v>1.02</v>
      </c>
      <c r="AQ48">
        <v>6.1499999999999999E-2</v>
      </c>
      <c r="AR48">
        <v>5.8500000000000003E-2</v>
      </c>
      <c r="AS48">
        <v>0.42099999999999999</v>
      </c>
      <c r="AT48">
        <v>19.3</v>
      </c>
      <c r="AU48">
        <v>0.26650000000000001</v>
      </c>
      <c r="AV48">
        <v>8.2000000000000003E-2</v>
      </c>
      <c r="AW48">
        <v>4.75</v>
      </c>
      <c r="AX48">
        <v>8.18</v>
      </c>
      <c r="AY48">
        <v>4.5600000000000002E-2</v>
      </c>
      <c r="AZ48">
        <v>2.8500000000000001E-2</v>
      </c>
      <c r="BA48">
        <v>0.106</v>
      </c>
      <c r="BB48">
        <v>5.6000000000000001E-2</v>
      </c>
      <c r="BC48">
        <v>4.3049999999999998E-2</v>
      </c>
      <c r="BD48">
        <v>7.0999999999999994E-2</v>
      </c>
      <c r="BE48">
        <v>4.9399999999999999E-2</v>
      </c>
      <c r="BF48">
        <v>5.6000000000000001E-2</v>
      </c>
      <c r="BG48">
        <v>0.10199999999999999</v>
      </c>
      <c r="BH48">
        <v>7.5999999999999998E-2</v>
      </c>
      <c r="BI48">
        <v>9.4E-2</v>
      </c>
      <c r="BJ48">
        <v>0.125</v>
      </c>
      <c r="BK48">
        <f>SUM(Table1_1[[#This Row],[PFBA]:[diSAmPAP]])</f>
        <v>1438.8885500000004</v>
      </c>
      <c r="BL48">
        <f>LOG(Table1_1[[#This Row],[PFBA]])</f>
        <v>-1.0268721464003014</v>
      </c>
      <c r="BM48">
        <f>LOG(Table1_1[[#This Row],[PFPeA]])</f>
        <v>-1.2967086218813386</v>
      </c>
      <c r="BN48">
        <f>LOG(Table1_1[[#This Row],[PFHxA]])</f>
        <v>-0.89790947448816327</v>
      </c>
      <c r="BO48">
        <f>LOG(Table1_1[[#This Row],[PFHpA]])</f>
        <v>-1.5451551399914898</v>
      </c>
      <c r="BP48">
        <f>LOG(Table1_1[[#This Row],[PFOA]])</f>
        <v>0.17897694729316943</v>
      </c>
      <c r="BQ48">
        <f>LOG(Table1_1[[#This Row],[PFNA]])</f>
        <v>0.69196510276736034</v>
      </c>
      <c r="BR48">
        <f>LOG(Table1_1[[#This Row],[PFDA]])</f>
        <v>1.0334237554869496</v>
      </c>
      <c r="BS48">
        <f>LOG(Table1_1[[#This Row],[PFUnA]])</f>
        <v>1.2900346113625181</v>
      </c>
      <c r="BT48">
        <f>LOG(Table1_1[[#This Row],[PFDoA]])</f>
        <v>1.307496037913213</v>
      </c>
      <c r="BU48">
        <f>LOG(Table1_1[[#This Row],[PFTrDA]])</f>
        <v>0.76863810124761445</v>
      </c>
      <c r="BV48">
        <f>LOG(Table1_1[[#This Row],[PFTeDA]])</f>
        <v>0.95568775031350572</v>
      </c>
      <c r="BW48">
        <f>LOG(Table1_1[[#This Row],[PFHxDA]])</f>
        <v>-1.0731432910503076</v>
      </c>
      <c r="BX48">
        <f>LOG(Table1_1[[#This Row],[PFPrS]])</f>
        <v>-1.2676062401770316</v>
      </c>
      <c r="BY48">
        <f>LOG(Table1_1[[#This Row],[PFBS]])</f>
        <v>-0.79723931260680003</v>
      </c>
      <c r="BZ48">
        <f>LOG(Table1_1[[#This Row],[PFPeS]])</f>
        <v>-6.1230850587887945E-3</v>
      </c>
      <c r="CA48">
        <f>LOG(Table1_1[[#This Row],[PFHxS]])</f>
        <v>1.667452952889954</v>
      </c>
      <c r="CB48">
        <f>LOG(Table1_1[[#This Row],[PFHpS]])</f>
        <v>0.78103693862113188</v>
      </c>
      <c r="CC48">
        <f>LOG(Table1_1[[#This Row],[PFOS]])</f>
        <v>2.9818186071706636</v>
      </c>
      <c r="CD48">
        <f>LOG(Table1_1[[#This Row],[PFNS]])</f>
        <v>-0.13489602535887207</v>
      </c>
      <c r="CE48">
        <f>LOG(Table1_1[[#This Row],[PFDS]])</f>
        <v>0.5854607295085007</v>
      </c>
      <c r="CF48">
        <f>LOG(Table1_1[[#This Row],[PFDoS]])</f>
        <v>-0.25492520841794247</v>
      </c>
      <c r="CG48">
        <f>LOG(Table1_1[[#This Row],[Cl-PFOS]])</f>
        <v>-0.42712839779951983</v>
      </c>
      <c r="CH48">
        <f>LOG(Table1_1[[#This Row],[PFEtCHxS]])</f>
        <v>-0.62708799702989348</v>
      </c>
      <c r="CI48">
        <f>LOG(Table1_1[[#This Row],[FBSA]])</f>
        <v>1.7715874808812553</v>
      </c>
      <c r="CJ48">
        <f>LOG(Table1_1[[#This Row],[FHxSA]])</f>
        <v>2.3729120029701067</v>
      </c>
      <c r="CK48">
        <f>LOG(Table1_1[[#This Row],[FOSA]])</f>
        <v>1.2504200023088941</v>
      </c>
      <c r="CL48">
        <f>LOG(Table1_1[[#This Row],[N-MeFOSA]])</f>
        <v>-1.2596373105057561</v>
      </c>
      <c r="CM48">
        <f>LOG(Table1_1[[#This Row],[N-EtFOSA]])</f>
        <v>-1.080921907623926</v>
      </c>
      <c r="CN48">
        <f>LOG(Table1_1[[#This Row],[FOSAA]])</f>
        <v>-1.2518119729937995</v>
      </c>
      <c r="CO48">
        <f>LOG(Table1_1[[#This Row],[N-MeFOSAA]])</f>
        <v>8.6001717619175692E-3</v>
      </c>
      <c r="CP48">
        <f>LOG(Table1_1[[#This Row],[N-EtFOSAA]])</f>
        <v>-1.2111248842245832</v>
      </c>
      <c r="CQ48">
        <f>LOG(Table1_1[[#This Row],[4:2 FTS]])</f>
        <v>-1.2328441339178196</v>
      </c>
      <c r="CR48">
        <f>LOG(Table1_1[[#This Row],[6:2 FTS]])</f>
        <v>-0.37571790416433171</v>
      </c>
      <c r="CS48">
        <f>LOG(Table1_1[[#This Row],[8:2 FTS]])</f>
        <v>1.2855573090077739</v>
      </c>
      <c r="CT48">
        <f>LOG(Table1_1[[#This Row],[10:2 FTS]])</f>
        <v>-0.57430278663740886</v>
      </c>
      <c r="CU48">
        <f>LOG(Table1_1[[#This Row],[3:3 FTCA]])</f>
        <v>-1.0861861476162833</v>
      </c>
      <c r="CV48">
        <f>LOG(Table1_1[[#This Row],[5:3 FTCA]])</f>
        <v>0.67669360962486658</v>
      </c>
      <c r="CW48">
        <f>LOG(Table1_1[[#This Row],[7:3 FTCA]])</f>
        <v>0.91275330367132301</v>
      </c>
      <c r="CX48">
        <f>LOG(Table1_1[[#This Row],[6:2 FTCA]])</f>
        <v>-1.341035157335565</v>
      </c>
      <c r="CY48">
        <f>LOG(Table1_1[[#This Row],[8:2 FTCA]])</f>
        <v>-1.5451551399914898</v>
      </c>
      <c r="CZ48">
        <f>LOG(Table1_1[[#This Row],[10:2 FTCA]])</f>
        <v>-0.97469413473522981</v>
      </c>
      <c r="DA48">
        <f>LOG(Table1_1[[#This Row],[6:2 FTUCA]])</f>
        <v>-1.2518119729937995</v>
      </c>
      <c r="DB48">
        <f>LOG(Table1_1[[#This Row],[8:2 FTUCA]])</f>
        <v>-1.3660268442103265</v>
      </c>
      <c r="DC48">
        <f>LOG(Table1_1[[#This Row],[ADONA]])</f>
        <v>-1.1487416512809248</v>
      </c>
      <c r="DD48">
        <f>LOG(Table1_1[[#This Row],[9Cl-PF3ONS]])</f>
        <v>-1.3062730510763532</v>
      </c>
      <c r="DE48">
        <f>LOG(Table1_1[[#This Row],[11Cl-PF3OUdS]])</f>
        <v>-1.2518119729937995</v>
      </c>
      <c r="DF48">
        <f>LOG(Table1_1[[#This Row],[HFPO-DA]])</f>
        <v>-0.99139982823808248</v>
      </c>
      <c r="DG48">
        <f>LOG(Table1_1[[#This Row],[6:2 diPAP]])</f>
        <v>-1.1191864077192086</v>
      </c>
      <c r="DH48">
        <f>LOG(Table1_1[[#This Row],[8:2 diPAP]])</f>
        <v>-1.0268721464003014</v>
      </c>
      <c r="DI48">
        <f>LOG(Table1_1[[#This Row],[diSAmPAP]])</f>
        <v>-0.90308998699194354</v>
      </c>
    </row>
    <row r="49" spans="1:113">
      <c r="A49" t="s">
        <v>188</v>
      </c>
      <c r="B49" t="s">
        <v>114</v>
      </c>
      <c r="C49" s="3">
        <v>44314</v>
      </c>
      <c r="D49" t="s">
        <v>183</v>
      </c>
      <c r="E49" t="s">
        <v>184</v>
      </c>
      <c r="F49" t="s">
        <v>185</v>
      </c>
      <c r="G49" t="s">
        <v>118</v>
      </c>
      <c r="H49" t="s">
        <v>119</v>
      </c>
      <c r="I49">
        <v>6</v>
      </c>
      <c r="J49">
        <f>LOG(Table1_1[[#This Row],[Length]])</f>
        <v>0.77815125038364363</v>
      </c>
      <c r="K49">
        <v>2.4</v>
      </c>
      <c r="L49">
        <f>LOG(Table1_1[[#This Row],[Weight]])</f>
        <v>0.38021124171160603</v>
      </c>
      <c r="M49">
        <v>2.5149999999999999E-2</v>
      </c>
      <c r="N49">
        <v>4.4400000000000002E-2</v>
      </c>
      <c r="O49">
        <v>0.38500000000000001</v>
      </c>
      <c r="P49">
        <v>8.3000000000000004E-2</v>
      </c>
      <c r="Q49">
        <v>3.23</v>
      </c>
      <c r="R49">
        <v>13.1</v>
      </c>
      <c r="S49">
        <v>13.6</v>
      </c>
      <c r="T49">
        <v>24.3</v>
      </c>
      <c r="U49">
        <v>17.100000000000001</v>
      </c>
      <c r="V49">
        <v>4.58</v>
      </c>
      <c r="W49">
        <v>9.73</v>
      </c>
      <c r="X49">
        <v>7.4999999999999997E-2</v>
      </c>
      <c r="Y49">
        <v>4.7899999999999998E-2</v>
      </c>
      <c r="Z49">
        <v>0.14099999999999999</v>
      </c>
      <c r="AA49">
        <v>1.71</v>
      </c>
      <c r="AB49">
        <v>56.3</v>
      </c>
      <c r="AC49">
        <v>8.73</v>
      </c>
      <c r="AD49">
        <v>1640</v>
      </c>
      <c r="AE49">
        <v>1.78</v>
      </c>
      <c r="AF49">
        <v>10.6</v>
      </c>
      <c r="AG49">
        <v>1.1599999999999999</v>
      </c>
      <c r="AH49">
        <v>0.63200000000000001</v>
      </c>
      <c r="AI49">
        <v>0.27</v>
      </c>
      <c r="AJ49">
        <v>97.6</v>
      </c>
      <c r="AK49">
        <v>382</v>
      </c>
      <c r="AL49">
        <v>30.3</v>
      </c>
      <c r="AM49">
        <v>4.8349999999999997E-2</v>
      </c>
      <c r="AN49">
        <v>7.3499999999999996E-2</v>
      </c>
      <c r="AO49">
        <v>4.9549999999999997E-2</v>
      </c>
      <c r="AP49">
        <v>1.19</v>
      </c>
      <c r="AQ49">
        <v>5.45E-2</v>
      </c>
      <c r="AR49">
        <v>5.1499999999999997E-2</v>
      </c>
      <c r="AS49">
        <v>0.376</v>
      </c>
      <c r="AT49">
        <v>30.7</v>
      </c>
      <c r="AU49">
        <v>0.86599999999999999</v>
      </c>
      <c r="AV49">
        <v>7.2499999999999995E-2</v>
      </c>
      <c r="AW49">
        <v>2.88</v>
      </c>
      <c r="AX49">
        <v>22.2</v>
      </c>
      <c r="AY49">
        <v>4.0300000000000002E-2</v>
      </c>
      <c r="AZ49">
        <v>2.5149999999999999E-2</v>
      </c>
      <c r="BA49">
        <v>9.4E-2</v>
      </c>
      <c r="BB49">
        <v>4.9250000000000002E-2</v>
      </c>
      <c r="BC49">
        <v>3.7900000000000003E-2</v>
      </c>
      <c r="BD49">
        <v>6.3E-2</v>
      </c>
      <c r="BE49">
        <v>4.3650000000000001E-2</v>
      </c>
      <c r="BF49">
        <v>4.9549999999999997E-2</v>
      </c>
      <c r="BG49">
        <v>0.09</v>
      </c>
      <c r="BH49">
        <v>6.7000000000000004E-2</v>
      </c>
      <c r="BI49">
        <v>8.3500000000000005E-2</v>
      </c>
      <c r="BJ49">
        <v>0.1105</v>
      </c>
      <c r="BK49">
        <f>SUM(Table1_1[[#This Row],[PFBA]:[diSAmPAP]])</f>
        <v>2376.8391500000012</v>
      </c>
      <c r="BL49">
        <f>LOG(Table1_1[[#This Row],[PFBA]])</f>
        <v>-1.5994620106080539</v>
      </c>
      <c r="BM49">
        <f>LOG(Table1_1[[#This Row],[PFPeA]])</f>
        <v>-1.3526170298853801</v>
      </c>
      <c r="BN49">
        <f>LOG(Table1_1[[#This Row],[PFHxA]])</f>
        <v>-0.4145392704914993</v>
      </c>
      <c r="BO49">
        <f>LOG(Table1_1[[#This Row],[PFHpA]])</f>
        <v>-1.080921907623926</v>
      </c>
      <c r="BP49">
        <f>LOG(Table1_1[[#This Row],[PFOA]])</f>
        <v>0.50920252233110286</v>
      </c>
      <c r="BQ49">
        <f>LOG(Table1_1[[#This Row],[PFNA]])</f>
        <v>1.1172712956557642</v>
      </c>
      <c r="BR49">
        <f>LOG(Table1_1[[#This Row],[PFDA]])</f>
        <v>1.1335389083702174</v>
      </c>
      <c r="BS49">
        <f>LOG(Table1_1[[#This Row],[PFUnA]])</f>
        <v>1.3856062735983121</v>
      </c>
      <c r="BT49">
        <f>LOG(Table1_1[[#This Row],[PFDoA]])</f>
        <v>1.2329961103921538</v>
      </c>
      <c r="BU49">
        <f>LOG(Table1_1[[#This Row],[PFTrDA]])</f>
        <v>0.66086547800386919</v>
      </c>
      <c r="BV49">
        <f>LOG(Table1_1[[#This Row],[PFTeDA]])</f>
        <v>0.98811284026835189</v>
      </c>
      <c r="BW49">
        <f>LOG(Table1_1[[#This Row],[PFHxDA]])</f>
        <v>-1.1249387366082999</v>
      </c>
      <c r="BX49">
        <f>LOG(Table1_1[[#This Row],[PFPrS]])</f>
        <v>-1.3196644865854368</v>
      </c>
      <c r="BY49">
        <f>LOG(Table1_1[[#This Row],[PFBS]])</f>
        <v>-0.8507808873446201</v>
      </c>
      <c r="BZ49">
        <f>LOG(Table1_1[[#This Row],[PFPeS]])</f>
        <v>0.23299611039215382</v>
      </c>
      <c r="CA49">
        <f>LOG(Table1_1[[#This Row],[PFHxS]])</f>
        <v>1.7505083948513462</v>
      </c>
      <c r="CB49">
        <f>LOG(Table1_1[[#This Row],[PFHpS]])</f>
        <v>0.94101424370556974</v>
      </c>
      <c r="CC49">
        <f>LOG(Table1_1[[#This Row],[PFOS]])</f>
        <v>3.214843848047698</v>
      </c>
      <c r="CD49">
        <f>LOG(Table1_1[[#This Row],[PFNS]])</f>
        <v>0.250420002308894</v>
      </c>
      <c r="CE49">
        <f>LOG(Table1_1[[#This Row],[PFDS]])</f>
        <v>1.0253058652647702</v>
      </c>
      <c r="CF49">
        <f>LOG(Table1_1[[#This Row],[PFDoS]])</f>
        <v>6.445798922691845E-2</v>
      </c>
      <c r="CG49">
        <f>LOG(Table1_1[[#This Row],[Cl-PFOS]])</f>
        <v>-0.19928292171761497</v>
      </c>
      <c r="CH49">
        <f>LOG(Table1_1[[#This Row],[PFEtCHxS]])</f>
        <v>-0.56863623584101264</v>
      </c>
      <c r="CI49">
        <f>LOG(Table1_1[[#This Row],[FBSA]])</f>
        <v>1.9894498176666917</v>
      </c>
      <c r="CJ49">
        <f>LOG(Table1_1[[#This Row],[FHxSA]])</f>
        <v>2.5820633629117089</v>
      </c>
      <c r="CK49">
        <f>LOG(Table1_1[[#This Row],[FOSA]])</f>
        <v>1.481442628502305</v>
      </c>
      <c r="CL49">
        <f>LOG(Table1_1[[#This Row],[N-MeFOSA]])</f>
        <v>-1.3156035215809796</v>
      </c>
      <c r="CM49">
        <f>LOG(Table1_1[[#This Row],[N-EtFOSA]])</f>
        <v>-1.133712660915805</v>
      </c>
      <c r="CN49">
        <f>LOG(Table1_1[[#This Row],[FOSAA]])</f>
        <v>-1.304956341178706</v>
      </c>
      <c r="CO49">
        <f>LOG(Table1_1[[#This Row],[N-MeFOSAA]])</f>
        <v>7.554696139253074E-2</v>
      </c>
      <c r="CP49">
        <f>LOG(Table1_1[[#This Row],[N-EtFOSAA]])</f>
        <v>-1.2636034977233577</v>
      </c>
      <c r="CQ49">
        <f>LOG(Table1_1[[#This Row],[4:2 FTS]])</f>
        <v>-1.288192770958809</v>
      </c>
      <c r="CR49">
        <f>LOG(Table1_1[[#This Row],[6:2 FTS]])</f>
        <v>-0.42481215507233894</v>
      </c>
      <c r="CS49">
        <f>LOG(Table1_1[[#This Row],[8:2 FTS]])</f>
        <v>1.4871383754771865</v>
      </c>
      <c r="CT49">
        <f>LOG(Table1_1[[#This Row],[10:2 FTS]])</f>
        <v>-6.2482107982653363E-2</v>
      </c>
      <c r="CU49">
        <f>LOG(Table1_1[[#This Row],[3:3 FTCA]])</f>
        <v>-1.1396619934290064</v>
      </c>
      <c r="CV49">
        <f>LOG(Table1_1[[#This Row],[5:3 FTCA]])</f>
        <v>0.45939248775923086</v>
      </c>
      <c r="CW49">
        <f>LOG(Table1_1[[#This Row],[7:3 FTCA]])</f>
        <v>1.3463529744506386</v>
      </c>
      <c r="CX49">
        <f>LOG(Table1_1[[#This Row],[6:2 FTCA]])</f>
        <v>-1.3946949538588904</v>
      </c>
      <c r="CY49">
        <f>LOG(Table1_1[[#This Row],[8:2 FTCA]])</f>
        <v>-1.5994620106080539</v>
      </c>
      <c r="CZ49">
        <f>LOG(Table1_1[[#This Row],[10:2 FTCA]])</f>
        <v>-1.0268721464003014</v>
      </c>
      <c r="DA49">
        <f>LOG(Table1_1[[#This Row],[6:2 FTUCA]])</f>
        <v>-1.3075937651663694</v>
      </c>
      <c r="DB49">
        <f>LOG(Table1_1[[#This Row],[8:2 FTUCA]])</f>
        <v>-1.4213607900319276</v>
      </c>
      <c r="DC49">
        <f>LOG(Table1_1[[#This Row],[ADONA]])</f>
        <v>-1.2006594505464183</v>
      </c>
      <c r="DD49">
        <f>LOG(Table1_1[[#This Row],[9Cl-PF3ONS]])</f>
        <v>-1.3600157519584115</v>
      </c>
      <c r="DE49">
        <f>LOG(Table1_1[[#This Row],[11Cl-PF3OUdS]])</f>
        <v>-1.304956341178706</v>
      </c>
      <c r="DF49">
        <f>LOG(Table1_1[[#This Row],[HFPO-DA]])</f>
        <v>-1.0457574905606752</v>
      </c>
      <c r="DG49">
        <f>LOG(Table1_1[[#This Row],[6:2 diPAP]])</f>
        <v>-1.1739251972991736</v>
      </c>
      <c r="DH49">
        <f>LOG(Table1_1[[#This Row],[8:2 diPAP]])</f>
        <v>-1.0783135245163979</v>
      </c>
      <c r="DI49">
        <f>LOG(Table1_1[[#This Row],[diSAmPAP]])</f>
        <v>-0.95663772197887054</v>
      </c>
    </row>
    <row r="50" spans="1:113">
      <c r="A50" t="s">
        <v>189</v>
      </c>
      <c r="B50" t="s">
        <v>114</v>
      </c>
      <c r="C50" s="3">
        <v>44314</v>
      </c>
      <c r="D50" t="s">
        <v>183</v>
      </c>
      <c r="E50" t="s">
        <v>184</v>
      </c>
      <c r="F50" t="s">
        <v>185</v>
      </c>
      <c r="G50" t="s">
        <v>118</v>
      </c>
      <c r="H50" t="s">
        <v>119</v>
      </c>
      <c r="I50">
        <v>6</v>
      </c>
      <c r="J50">
        <f>LOG(Table1_1[[#This Row],[Length]])</f>
        <v>0.77815125038364363</v>
      </c>
      <c r="K50">
        <v>2.75</v>
      </c>
      <c r="L50">
        <f>LOG(Table1_1[[#This Row],[Weight]])</f>
        <v>0.43933269383026263</v>
      </c>
      <c r="M50">
        <v>9.1499999999999998E-2</v>
      </c>
      <c r="N50">
        <v>0.16200000000000001</v>
      </c>
      <c r="O50">
        <v>0.65800000000000003</v>
      </c>
      <c r="P50">
        <v>9.1499999999999998E-2</v>
      </c>
      <c r="Q50">
        <v>8.3000000000000007</v>
      </c>
      <c r="R50">
        <v>11.4</v>
      </c>
      <c r="S50">
        <v>15.1</v>
      </c>
      <c r="T50">
        <v>19.899999999999999</v>
      </c>
      <c r="U50">
        <v>26.8</v>
      </c>
      <c r="V50">
        <v>13.9</v>
      </c>
      <c r="W50">
        <v>12.6</v>
      </c>
      <c r="X50">
        <v>8.2500000000000004E-2</v>
      </c>
      <c r="Y50">
        <v>5.2999999999999999E-2</v>
      </c>
      <c r="Z50">
        <v>0.156</v>
      </c>
      <c r="AA50">
        <v>1.38</v>
      </c>
      <c r="AB50">
        <v>106</v>
      </c>
      <c r="AC50">
        <v>4.47</v>
      </c>
      <c r="AD50">
        <v>1360</v>
      </c>
      <c r="AE50">
        <v>0.48899999999999999</v>
      </c>
      <c r="AF50">
        <v>8.85</v>
      </c>
      <c r="AG50">
        <v>0.245</v>
      </c>
      <c r="AH50">
        <v>0.13900000000000001</v>
      </c>
      <c r="AI50">
        <v>0.19800000000000001</v>
      </c>
      <c r="AJ50">
        <v>574</v>
      </c>
      <c r="AK50">
        <v>1060</v>
      </c>
      <c r="AL50">
        <v>45.6</v>
      </c>
      <c r="AM50">
        <v>5.3499999999999999E-2</v>
      </c>
      <c r="AN50">
        <v>8.1000000000000003E-2</v>
      </c>
      <c r="AO50">
        <v>5.45E-2</v>
      </c>
      <c r="AP50">
        <v>0.95</v>
      </c>
      <c r="AQ50">
        <v>6.0499999999999998E-2</v>
      </c>
      <c r="AR50">
        <v>5.7000000000000002E-2</v>
      </c>
      <c r="AS50">
        <v>1.02</v>
      </c>
      <c r="AT50">
        <v>26</v>
      </c>
      <c r="AU50">
        <v>0.26</v>
      </c>
      <c r="AV50">
        <v>0.08</v>
      </c>
      <c r="AW50">
        <v>0.54700000000000004</v>
      </c>
      <c r="AX50">
        <v>8.65</v>
      </c>
      <c r="AY50">
        <v>4.4549999999999999E-2</v>
      </c>
      <c r="AZ50">
        <v>2.775E-2</v>
      </c>
      <c r="BA50">
        <v>0.10349999999999999</v>
      </c>
      <c r="BB50">
        <v>5.45E-2</v>
      </c>
      <c r="BC50">
        <v>4.1950000000000001E-2</v>
      </c>
      <c r="BD50">
        <v>6.9500000000000006E-2</v>
      </c>
      <c r="BE50">
        <v>4.82E-2</v>
      </c>
      <c r="BF50">
        <v>5.45E-2</v>
      </c>
      <c r="BG50">
        <v>9.9500000000000005E-2</v>
      </c>
      <c r="BH50">
        <v>7.3999999999999996E-2</v>
      </c>
      <c r="BI50">
        <v>9.1999999999999998E-2</v>
      </c>
      <c r="BJ50">
        <v>0.122</v>
      </c>
      <c r="BK50">
        <f>SUM(Table1_1[[#This Row],[PFBA]:[diSAmPAP]])</f>
        <v>3309.3109500000005</v>
      </c>
      <c r="BL50">
        <f>LOG(Table1_1[[#This Row],[PFBA]])</f>
        <v>-1.0385789059335517</v>
      </c>
      <c r="BM50">
        <f>LOG(Table1_1[[#This Row],[PFPeA]])</f>
        <v>-0.790484985457369</v>
      </c>
      <c r="BN50">
        <f>LOG(Table1_1[[#This Row],[PFHxA]])</f>
        <v>-0.18177410638604449</v>
      </c>
      <c r="BO50">
        <f>LOG(Table1_1[[#This Row],[PFHpA]])</f>
        <v>-1.0385789059335517</v>
      </c>
      <c r="BP50">
        <f>LOG(Table1_1[[#This Row],[PFOA]])</f>
        <v>0.91907809237607396</v>
      </c>
      <c r="BQ50">
        <f>LOG(Table1_1[[#This Row],[PFNA]])</f>
        <v>1.0569048513364727</v>
      </c>
      <c r="BR50">
        <f>LOG(Table1_1[[#This Row],[PFDA]])</f>
        <v>1.1789769472931695</v>
      </c>
      <c r="BS50">
        <f>LOG(Table1_1[[#This Row],[PFUnA]])</f>
        <v>1.2988530764097066</v>
      </c>
      <c r="BT50">
        <f>LOG(Table1_1[[#This Row],[PFDoA]])</f>
        <v>1.4281347940287887</v>
      </c>
      <c r="BU50">
        <f>LOG(Table1_1[[#This Row],[PFTrDA]])</f>
        <v>1.1430148002540952</v>
      </c>
      <c r="BV50">
        <f>LOG(Table1_1[[#This Row],[PFTeDA]])</f>
        <v>1.1003705451175629</v>
      </c>
      <c r="BW50">
        <f>LOG(Table1_1[[#This Row],[PFHxDA]])</f>
        <v>-1.083546051450075</v>
      </c>
      <c r="BX50">
        <f>LOG(Table1_1[[#This Row],[PFPrS]])</f>
        <v>-1.2757241303992111</v>
      </c>
      <c r="BY50">
        <f>LOG(Table1_1[[#This Row],[PFBS]])</f>
        <v>-0.80687540164553839</v>
      </c>
      <c r="BZ50">
        <f>LOG(Table1_1[[#This Row],[PFPeS]])</f>
        <v>0.13987908640123647</v>
      </c>
      <c r="CA50">
        <f>LOG(Table1_1[[#This Row],[PFHxS]])</f>
        <v>2.0253058652647704</v>
      </c>
      <c r="CB50">
        <f>LOG(Table1_1[[#This Row],[PFHpS]])</f>
        <v>0.6503075231319364</v>
      </c>
      <c r="CC50">
        <f>LOG(Table1_1[[#This Row],[PFOS]])</f>
        <v>3.1335389083702174</v>
      </c>
      <c r="CD50">
        <f>LOG(Table1_1[[#This Row],[PFNS]])</f>
        <v>-0.31069114087637978</v>
      </c>
      <c r="CE50">
        <f>LOG(Table1_1[[#This Row],[PFDS]])</f>
        <v>0.94694327069782547</v>
      </c>
      <c r="CF50">
        <f>LOG(Table1_1[[#This Row],[PFDoS]])</f>
        <v>-0.61083391563546752</v>
      </c>
      <c r="CG50">
        <f>LOG(Table1_1[[#This Row],[Cl-PFOS]])</f>
        <v>-0.85698519974590492</v>
      </c>
      <c r="CH50">
        <f>LOG(Table1_1[[#This Row],[PFEtCHxS]])</f>
        <v>-0.70333480973846885</v>
      </c>
      <c r="CI50">
        <f>LOG(Table1_1[[#This Row],[FBSA]])</f>
        <v>2.7589118923979736</v>
      </c>
      <c r="CJ50">
        <f>LOG(Table1_1[[#This Row],[FHxSA]])</f>
        <v>3.0253058652647704</v>
      </c>
      <c r="CK50">
        <f>LOG(Table1_1[[#This Row],[FOSA]])</f>
        <v>1.658964842664435</v>
      </c>
      <c r="CL50">
        <f>LOG(Table1_1[[#This Row],[N-MeFOSA]])</f>
        <v>-1.2716462179787715</v>
      </c>
      <c r="CM50">
        <f>LOG(Table1_1[[#This Row],[N-EtFOSA]])</f>
        <v>-1.0915149811213503</v>
      </c>
      <c r="CN50">
        <f>LOG(Table1_1[[#This Row],[FOSAA]])</f>
        <v>-1.2636034977233577</v>
      </c>
      <c r="CO50">
        <f>LOG(Table1_1[[#This Row],[N-MeFOSAA]])</f>
        <v>-2.2276394711152253E-2</v>
      </c>
      <c r="CP50">
        <f>LOG(Table1_1[[#This Row],[N-EtFOSAA]])</f>
        <v>-1.2182446253475312</v>
      </c>
      <c r="CQ50">
        <f>LOG(Table1_1[[#This Row],[4:2 FTS]])</f>
        <v>-1.2441251443275085</v>
      </c>
      <c r="CR50">
        <f>LOG(Table1_1[[#This Row],[6:2 FTS]])</f>
        <v>8.6001717619175692E-3</v>
      </c>
      <c r="CS50">
        <f>LOG(Table1_1[[#This Row],[8:2 FTS]])</f>
        <v>1.414973347970818</v>
      </c>
      <c r="CT50">
        <f>LOG(Table1_1[[#This Row],[10:2 FTS]])</f>
        <v>-0.58502665202918203</v>
      </c>
      <c r="CU50">
        <f>LOG(Table1_1[[#This Row],[3:3 FTCA]])</f>
        <v>-1.0969100130080565</v>
      </c>
      <c r="CV50">
        <f>LOG(Table1_1[[#This Row],[5:3 FTCA]])</f>
        <v>-0.26201267366656922</v>
      </c>
      <c r="CW50">
        <f>LOG(Table1_1[[#This Row],[7:3 FTCA]])</f>
        <v>0.93701610746481423</v>
      </c>
      <c r="CX50">
        <f>LOG(Table1_1[[#This Row],[6:2 FTCA]])</f>
        <v>-1.3511522916271064</v>
      </c>
      <c r="CY50">
        <f>LOG(Table1_1[[#This Row],[8:2 FTCA]])</f>
        <v>-1.5567370125413049</v>
      </c>
      <c r="CZ50">
        <f>LOG(Table1_1[[#This Row],[10:2 FTCA]])</f>
        <v>-0.98505965020706343</v>
      </c>
      <c r="DA50">
        <f>LOG(Table1_1[[#This Row],[6:2 FTUCA]])</f>
        <v>-1.2636034977233577</v>
      </c>
      <c r="DB50">
        <f>LOG(Table1_1[[#This Row],[8:2 FTUCA]])</f>
        <v>-1.3772680348352808</v>
      </c>
      <c r="DC50">
        <f>LOG(Table1_1[[#This Row],[ADONA]])</f>
        <v>-1.1580151954098861</v>
      </c>
      <c r="DD50">
        <f>LOG(Table1_1[[#This Row],[9Cl-PF3ONS]])</f>
        <v>-1.3169529617611504</v>
      </c>
      <c r="DE50">
        <f>LOG(Table1_1[[#This Row],[11Cl-PF3OUdS]])</f>
        <v>-1.2636034977233577</v>
      </c>
      <c r="DF50">
        <f>LOG(Table1_1[[#This Row],[HFPO-DA]])</f>
        <v>-1.0021769192542744</v>
      </c>
      <c r="DG50">
        <f>LOG(Table1_1[[#This Row],[6:2 diPAP]])</f>
        <v>-1.1307682802690238</v>
      </c>
      <c r="DH50">
        <f>LOG(Table1_1[[#This Row],[8:2 diPAP]])</f>
        <v>-1.0362121726544447</v>
      </c>
      <c r="DI50">
        <f>LOG(Table1_1[[#This Row],[diSAmPAP]])</f>
        <v>-0.91364016932525183</v>
      </c>
    </row>
    <row r="51" spans="1:113">
      <c r="A51" t="s">
        <v>190</v>
      </c>
      <c r="B51" t="s">
        <v>114</v>
      </c>
      <c r="C51" s="3">
        <v>44314</v>
      </c>
      <c r="D51" t="s">
        <v>183</v>
      </c>
      <c r="E51" t="s">
        <v>184</v>
      </c>
      <c r="F51" t="s">
        <v>185</v>
      </c>
      <c r="G51" t="s">
        <v>118</v>
      </c>
      <c r="H51" t="s">
        <v>119</v>
      </c>
      <c r="I51">
        <v>6</v>
      </c>
      <c r="J51">
        <f>LOG(Table1_1[[#This Row],[Length]])</f>
        <v>0.77815125038364363</v>
      </c>
      <c r="K51">
        <v>2.25</v>
      </c>
      <c r="L51">
        <f>LOG(Table1_1[[#This Row],[Weight]])</f>
        <v>0.35218251811136247</v>
      </c>
      <c r="M51">
        <v>9.6000000000000002E-2</v>
      </c>
      <c r="N51">
        <v>5.1499999999999997E-2</v>
      </c>
      <c r="O51">
        <v>0.13</v>
      </c>
      <c r="P51">
        <v>9.6000000000000002E-2</v>
      </c>
      <c r="Q51">
        <v>2.0499999999999998</v>
      </c>
      <c r="R51">
        <v>5.24</v>
      </c>
      <c r="S51">
        <v>14</v>
      </c>
      <c r="T51">
        <v>9.8800000000000008</v>
      </c>
      <c r="U51">
        <v>9.6999999999999993</v>
      </c>
      <c r="V51">
        <v>4.0599999999999996</v>
      </c>
      <c r="W51">
        <v>4.1500000000000004</v>
      </c>
      <c r="X51">
        <v>8.6999999999999994E-2</v>
      </c>
      <c r="Y51">
        <v>5.5500000000000001E-2</v>
      </c>
      <c r="Z51">
        <v>0.16350000000000001</v>
      </c>
      <c r="AA51">
        <v>0.375</v>
      </c>
      <c r="AB51">
        <v>40.9</v>
      </c>
      <c r="AC51">
        <v>2.0299999999999998</v>
      </c>
      <c r="AD51">
        <v>749</v>
      </c>
      <c r="AE51">
        <v>0.13700000000000001</v>
      </c>
      <c r="AF51">
        <v>3.87</v>
      </c>
      <c r="AG51">
        <v>0.25700000000000001</v>
      </c>
      <c r="AH51">
        <v>0.14599999999999999</v>
      </c>
      <c r="AI51">
        <v>9.6000000000000002E-2</v>
      </c>
      <c r="AJ51">
        <v>244</v>
      </c>
      <c r="AK51">
        <v>623</v>
      </c>
      <c r="AL51">
        <v>21.6</v>
      </c>
      <c r="AM51">
        <v>5.6000000000000001E-2</v>
      </c>
      <c r="AN51">
        <v>8.5000000000000006E-2</v>
      </c>
      <c r="AO51">
        <v>5.7500000000000002E-2</v>
      </c>
      <c r="AP51">
        <v>1.2</v>
      </c>
      <c r="AQ51">
        <v>6.3E-2</v>
      </c>
      <c r="AR51">
        <v>0.06</v>
      </c>
      <c r="AS51">
        <v>0.46200000000000002</v>
      </c>
      <c r="AT51">
        <v>21.7</v>
      </c>
      <c r="AU51">
        <v>0.76600000000000001</v>
      </c>
      <c r="AV51">
        <v>8.4000000000000005E-2</v>
      </c>
      <c r="AW51">
        <v>2.1</v>
      </c>
      <c r="AX51">
        <v>5.99</v>
      </c>
      <c r="AY51">
        <v>4.6800000000000001E-2</v>
      </c>
      <c r="AZ51">
        <v>2.9100000000000001E-2</v>
      </c>
      <c r="BA51">
        <v>0.109</v>
      </c>
      <c r="BB51">
        <v>5.7500000000000002E-2</v>
      </c>
      <c r="BC51">
        <v>4.41E-2</v>
      </c>
      <c r="BD51">
        <v>7.2999999999999995E-2</v>
      </c>
      <c r="BE51">
        <v>5.0500000000000003E-2</v>
      </c>
      <c r="BF51">
        <v>5.7500000000000002E-2</v>
      </c>
      <c r="BG51">
        <v>0.1045</v>
      </c>
      <c r="BH51">
        <v>7.7499999999999999E-2</v>
      </c>
      <c r="BI51">
        <v>9.6500000000000002E-2</v>
      </c>
      <c r="BJ51">
        <v>0.128</v>
      </c>
      <c r="BK51">
        <f>SUM(Table1_1[[#This Row],[PFBA]:[diSAmPAP]])</f>
        <v>1768.6679999999999</v>
      </c>
      <c r="BL51">
        <f>LOG(Table1_1[[#This Row],[PFBA]])</f>
        <v>-1.0177287669604316</v>
      </c>
      <c r="BM51">
        <f>LOG(Table1_1[[#This Row],[PFPeA]])</f>
        <v>-1.288192770958809</v>
      </c>
      <c r="BN51">
        <f>LOG(Table1_1[[#This Row],[PFHxA]])</f>
        <v>-0.88605664769316317</v>
      </c>
      <c r="BO51">
        <f>LOG(Table1_1[[#This Row],[PFHpA]])</f>
        <v>-1.0177287669604316</v>
      </c>
      <c r="BP51">
        <f>LOG(Table1_1[[#This Row],[PFOA]])</f>
        <v>0.31175386105575426</v>
      </c>
      <c r="BQ51">
        <f>LOG(Table1_1[[#This Row],[PFNA]])</f>
        <v>0.71933128698372661</v>
      </c>
      <c r="BR51">
        <f>LOG(Table1_1[[#This Row],[PFDA]])</f>
        <v>1.146128035678238</v>
      </c>
      <c r="BS51">
        <f>LOG(Table1_1[[#This Row],[PFUnA]])</f>
        <v>0.9947569445876282</v>
      </c>
      <c r="BT51">
        <f>LOG(Table1_1[[#This Row],[PFDoA]])</f>
        <v>0.98677173426624487</v>
      </c>
      <c r="BU51">
        <f>LOG(Table1_1[[#This Row],[PFTrDA]])</f>
        <v>0.60852603357719404</v>
      </c>
      <c r="BV51">
        <f>LOG(Table1_1[[#This Row],[PFTeDA]])</f>
        <v>0.61804809671209271</v>
      </c>
      <c r="BW51">
        <f>LOG(Table1_1[[#This Row],[PFHxDA]])</f>
        <v>-1.0604807473813815</v>
      </c>
      <c r="BX51">
        <f>LOG(Table1_1[[#This Row],[PFPrS]])</f>
        <v>-1.2557070168773237</v>
      </c>
      <c r="BY51">
        <f>LOG(Table1_1[[#This Row],[PFBS]])</f>
        <v>-0.78648224300369507</v>
      </c>
      <c r="BZ51">
        <f>LOG(Table1_1[[#This Row],[PFPeS]])</f>
        <v>-0.42596873227228116</v>
      </c>
      <c r="CA51">
        <f>LOG(Table1_1[[#This Row],[PFHxS]])</f>
        <v>1.6117233080073419</v>
      </c>
      <c r="CB51">
        <f>LOG(Table1_1[[#This Row],[PFHpS]])</f>
        <v>0.30749603791321289</v>
      </c>
      <c r="CC51">
        <f>LOG(Table1_1[[#This Row],[PFOS]])</f>
        <v>2.8744818176994666</v>
      </c>
      <c r="CD51">
        <f>LOG(Table1_1[[#This Row],[PFNS]])</f>
        <v>-0.86327943284359321</v>
      </c>
      <c r="CE51">
        <f>LOG(Table1_1[[#This Row],[PFDS]])</f>
        <v>0.5877109650189114</v>
      </c>
      <c r="CF51">
        <f>LOG(Table1_1[[#This Row],[PFDoS]])</f>
        <v>-0.5900668766687055</v>
      </c>
      <c r="CG51">
        <f>LOG(Table1_1[[#This Row],[Cl-PFOS]])</f>
        <v>-0.83564714421556296</v>
      </c>
      <c r="CH51">
        <f>LOG(Table1_1[[#This Row],[PFEtCHxS]])</f>
        <v>-1.0177287669604316</v>
      </c>
      <c r="CI51">
        <f>LOG(Table1_1[[#This Row],[FBSA]])</f>
        <v>2.3873898263387292</v>
      </c>
      <c r="CJ51">
        <f>LOG(Table1_1[[#This Row],[FHxSA]])</f>
        <v>2.7944880466591697</v>
      </c>
      <c r="CK51">
        <f>LOG(Table1_1[[#This Row],[FOSA]])</f>
        <v>1.3344537511509309</v>
      </c>
      <c r="CL51">
        <f>LOG(Table1_1[[#This Row],[N-MeFOSA]])</f>
        <v>-1.2518119729937995</v>
      </c>
      <c r="CM51">
        <f>LOG(Table1_1[[#This Row],[N-EtFOSA]])</f>
        <v>-1.0705810742857071</v>
      </c>
      <c r="CN51">
        <f>LOG(Table1_1[[#This Row],[FOSAA]])</f>
        <v>-1.2403321553103694</v>
      </c>
      <c r="CO51">
        <f>LOG(Table1_1[[#This Row],[N-MeFOSAA]])</f>
        <v>7.9181246047624818E-2</v>
      </c>
      <c r="CP51">
        <f>LOG(Table1_1[[#This Row],[N-EtFOSAA]])</f>
        <v>-1.2006594505464183</v>
      </c>
      <c r="CQ51">
        <f>LOG(Table1_1[[#This Row],[4:2 FTS]])</f>
        <v>-1.2218487496163564</v>
      </c>
      <c r="CR51">
        <f>LOG(Table1_1[[#This Row],[6:2 FTS]])</f>
        <v>-0.33535802444387447</v>
      </c>
      <c r="CS51">
        <f>LOG(Table1_1[[#This Row],[8:2 FTS]])</f>
        <v>1.3364597338485296</v>
      </c>
      <c r="CT51">
        <f>LOG(Table1_1[[#This Row],[10:2 FTS]])</f>
        <v>-0.11577123036739606</v>
      </c>
      <c r="CU51">
        <f>LOG(Table1_1[[#This Row],[3:3 FTCA]])</f>
        <v>-1.0757207139381184</v>
      </c>
      <c r="CV51">
        <f>LOG(Table1_1[[#This Row],[5:3 FTCA]])</f>
        <v>0.3222192947339193</v>
      </c>
      <c r="CW51">
        <f>LOG(Table1_1[[#This Row],[7:3 FTCA]])</f>
        <v>0.77742682238931138</v>
      </c>
      <c r="CX51">
        <f>LOG(Table1_1[[#This Row],[6:2 FTCA]])</f>
        <v>-1.329754146925876</v>
      </c>
      <c r="CY51">
        <f>LOG(Table1_1[[#This Row],[8:2 FTCA]])</f>
        <v>-1.5361070110140926</v>
      </c>
      <c r="CZ51">
        <f>LOG(Table1_1[[#This Row],[10:2 FTCA]])</f>
        <v>-0.96257350205937642</v>
      </c>
      <c r="DA51">
        <f>LOG(Table1_1[[#This Row],[6:2 FTUCA]])</f>
        <v>-1.2403321553103694</v>
      </c>
      <c r="DB51">
        <f>LOG(Table1_1[[#This Row],[8:2 FTUCA]])</f>
        <v>-1.3555614105321614</v>
      </c>
      <c r="DC51">
        <f>LOG(Table1_1[[#This Row],[ADONA]])</f>
        <v>-1.1366771398795441</v>
      </c>
      <c r="DD51">
        <f>LOG(Table1_1[[#This Row],[9Cl-PF3ONS]])</f>
        <v>-1.2967086218813386</v>
      </c>
      <c r="DE51">
        <f>LOG(Table1_1[[#This Row],[11Cl-PF3OUdS]])</f>
        <v>-1.2403321553103694</v>
      </c>
      <c r="DF51">
        <f>LOG(Table1_1[[#This Row],[HFPO-DA]])</f>
        <v>-0.98088370955292725</v>
      </c>
      <c r="DG51">
        <f>LOG(Table1_1[[#This Row],[6:2 diPAP]])</f>
        <v>-1.1106982974936896</v>
      </c>
      <c r="DH51">
        <f>LOG(Table1_1[[#This Row],[8:2 diPAP]])</f>
        <v>-1.0154726866562074</v>
      </c>
      <c r="DI51">
        <f>LOG(Table1_1[[#This Row],[diSAmPAP]])</f>
        <v>-0.89279003035213167</v>
      </c>
    </row>
    <row r="52" spans="1:113">
      <c r="A52" t="s">
        <v>191</v>
      </c>
      <c r="B52" t="s">
        <v>114</v>
      </c>
      <c r="C52" s="3">
        <v>44314</v>
      </c>
      <c r="D52" t="s">
        <v>183</v>
      </c>
      <c r="E52" t="s">
        <v>184</v>
      </c>
      <c r="F52" t="s">
        <v>185</v>
      </c>
      <c r="G52" t="s">
        <v>118</v>
      </c>
      <c r="H52" t="s">
        <v>119</v>
      </c>
      <c r="I52">
        <v>6</v>
      </c>
      <c r="J52">
        <f>LOG(Table1_1[[#This Row],[Length]])</f>
        <v>0.77815125038364363</v>
      </c>
      <c r="K52">
        <v>2.1</v>
      </c>
      <c r="L52">
        <f>LOG(Table1_1[[#This Row],[Weight]])</f>
        <v>0.3222192947339193</v>
      </c>
      <c r="M52">
        <v>3.0300000000000001E-2</v>
      </c>
      <c r="N52">
        <v>5.3499999999999999E-2</v>
      </c>
      <c r="O52">
        <v>0.13450000000000001</v>
      </c>
      <c r="P52">
        <v>0.1</v>
      </c>
      <c r="Q52">
        <v>1.97</v>
      </c>
      <c r="R52">
        <v>3.26</v>
      </c>
      <c r="S52">
        <v>12.1</v>
      </c>
      <c r="T52">
        <v>22.3</v>
      </c>
      <c r="U52">
        <v>21.6</v>
      </c>
      <c r="V52">
        <v>10.9</v>
      </c>
      <c r="W52">
        <v>9.75</v>
      </c>
      <c r="X52">
        <v>0.09</v>
      </c>
      <c r="Y52">
        <v>5.7500000000000002E-2</v>
      </c>
      <c r="Z52">
        <v>0.17</v>
      </c>
      <c r="AA52">
        <v>0.90700000000000003</v>
      </c>
      <c r="AB52">
        <v>36.4</v>
      </c>
      <c r="AC52">
        <v>6.21</v>
      </c>
      <c r="AD52">
        <v>1180</v>
      </c>
      <c r="AE52">
        <v>0.876</v>
      </c>
      <c r="AF52">
        <v>8.85</v>
      </c>
      <c r="AG52">
        <v>1.3</v>
      </c>
      <c r="AH52">
        <v>0.434</v>
      </c>
      <c r="AI52">
        <v>0.21099999999999999</v>
      </c>
      <c r="AJ52">
        <v>168</v>
      </c>
      <c r="AK52">
        <v>438</v>
      </c>
      <c r="AL52">
        <v>25.7</v>
      </c>
      <c r="AM52">
        <v>5.8000000000000003E-2</v>
      </c>
      <c r="AN52">
        <v>8.7999999999999995E-2</v>
      </c>
      <c r="AO52">
        <v>5.9499999999999997E-2</v>
      </c>
      <c r="AP52">
        <v>1.31</v>
      </c>
      <c r="AQ52">
        <v>6.5500000000000003E-2</v>
      </c>
      <c r="AR52">
        <v>6.2E-2</v>
      </c>
      <c r="AS52">
        <v>0.74</v>
      </c>
      <c r="AT52">
        <v>21.1</v>
      </c>
      <c r="AU52">
        <v>8.5999999999999993E-2</v>
      </c>
      <c r="AV52">
        <v>8.6999999999999994E-2</v>
      </c>
      <c r="AW52">
        <v>1.83</v>
      </c>
      <c r="AX52">
        <v>2.7</v>
      </c>
      <c r="AY52">
        <v>4.8500000000000001E-2</v>
      </c>
      <c r="AZ52">
        <v>3.0300000000000001E-2</v>
      </c>
      <c r="BA52">
        <v>0.1125</v>
      </c>
      <c r="BB52">
        <v>5.9499999999999997E-2</v>
      </c>
      <c r="BC52">
        <v>4.5600000000000002E-2</v>
      </c>
      <c r="BD52">
        <v>7.5499999999999998E-2</v>
      </c>
      <c r="BE52">
        <v>5.2499999999999998E-2</v>
      </c>
      <c r="BF52">
        <v>5.9499999999999997E-2</v>
      </c>
      <c r="BG52">
        <v>0.1085</v>
      </c>
      <c r="BH52">
        <v>8.0500000000000002E-2</v>
      </c>
      <c r="BI52">
        <v>0.1</v>
      </c>
      <c r="BJ52">
        <v>0.13300000000000001</v>
      </c>
      <c r="BK52">
        <f>SUM(Table1_1[[#This Row],[PFBA]:[diSAmPAP]])</f>
        <v>1978.4956999999995</v>
      </c>
      <c r="BL52">
        <f>LOG(Table1_1[[#This Row],[PFBA]])</f>
        <v>-1.518557371497695</v>
      </c>
      <c r="BM52">
        <f>LOG(Table1_1[[#This Row],[PFPeA]])</f>
        <v>-1.2716462179787715</v>
      </c>
      <c r="BN52">
        <f>LOG(Table1_1[[#This Row],[PFHxA]])</f>
        <v>-0.87127771566157319</v>
      </c>
      <c r="BO52">
        <f>LOG(Table1_1[[#This Row],[PFHpA]])</f>
        <v>-1</v>
      </c>
      <c r="BP52">
        <f>LOG(Table1_1[[#This Row],[PFOA]])</f>
        <v>0.2944662261615929</v>
      </c>
      <c r="BQ52">
        <f>LOG(Table1_1[[#This Row],[PFNA]])</f>
        <v>0.51321760006793893</v>
      </c>
      <c r="BR52">
        <f>LOG(Table1_1[[#This Row],[PFDA]])</f>
        <v>1.0827853703164501</v>
      </c>
      <c r="BS52">
        <f>LOG(Table1_1[[#This Row],[PFUnA]])</f>
        <v>1.3483048630481607</v>
      </c>
      <c r="BT52">
        <f>LOG(Table1_1[[#This Row],[PFDoA]])</f>
        <v>1.3344537511509309</v>
      </c>
      <c r="BU52">
        <f>LOG(Table1_1[[#This Row],[PFTrDA]])</f>
        <v>1.0374264979406236</v>
      </c>
      <c r="BV52">
        <f>LOG(Table1_1[[#This Row],[PFTeDA]])</f>
        <v>0.98900461569853682</v>
      </c>
      <c r="BW52">
        <f>LOG(Table1_1[[#This Row],[PFHxDA]])</f>
        <v>-1.0457574905606752</v>
      </c>
      <c r="BX52">
        <f>LOG(Table1_1[[#This Row],[PFPrS]])</f>
        <v>-1.2403321553103694</v>
      </c>
      <c r="BY52">
        <f>LOG(Table1_1[[#This Row],[PFBS]])</f>
        <v>-0.769551078621726</v>
      </c>
      <c r="BZ52">
        <f>LOG(Table1_1[[#This Row],[PFPeS]])</f>
        <v>-4.2392712939904729E-2</v>
      </c>
      <c r="CA52">
        <f>LOG(Table1_1[[#This Row],[PFHxS]])</f>
        <v>1.5611013836490559</v>
      </c>
      <c r="CB52">
        <f>LOG(Table1_1[[#This Row],[PFHpS]])</f>
        <v>0.7930916001765802</v>
      </c>
      <c r="CC52">
        <f>LOG(Table1_1[[#This Row],[PFOS]])</f>
        <v>3.0718820073061255</v>
      </c>
      <c r="CD52">
        <f>LOG(Table1_1[[#This Row],[PFNS]])</f>
        <v>-5.7495893831919269E-2</v>
      </c>
      <c r="CE52">
        <f>LOG(Table1_1[[#This Row],[PFDS]])</f>
        <v>0.94694327069782547</v>
      </c>
      <c r="CF52">
        <f>LOG(Table1_1[[#This Row],[PFDoS]])</f>
        <v>0.11394335230683679</v>
      </c>
      <c r="CG52">
        <f>LOG(Table1_1[[#This Row],[Cl-PFOS]])</f>
        <v>-0.36251027048748929</v>
      </c>
      <c r="CH52">
        <f>LOG(Table1_1[[#This Row],[PFEtCHxS]])</f>
        <v>-0.67571754470230738</v>
      </c>
      <c r="CI52">
        <f>LOG(Table1_1[[#This Row],[FBSA]])</f>
        <v>2.2253092817258628</v>
      </c>
      <c r="CJ52">
        <f>LOG(Table1_1[[#This Row],[FHxSA]])</f>
        <v>2.6414741105040997</v>
      </c>
      <c r="CK52">
        <f>LOG(Table1_1[[#This Row],[FOSA]])</f>
        <v>1.4099331233312946</v>
      </c>
      <c r="CL52">
        <f>LOG(Table1_1[[#This Row],[N-MeFOSA]])</f>
        <v>-1.2365720064370627</v>
      </c>
      <c r="CM52">
        <f>LOG(Table1_1[[#This Row],[N-EtFOSA]])</f>
        <v>-1.0555173278498313</v>
      </c>
      <c r="CN52">
        <f>LOG(Table1_1[[#This Row],[FOSAA]])</f>
        <v>-1.2254830342714504</v>
      </c>
      <c r="CO52">
        <f>LOG(Table1_1[[#This Row],[N-MeFOSAA]])</f>
        <v>0.11727129565576427</v>
      </c>
      <c r="CP52">
        <f>LOG(Table1_1[[#This Row],[N-EtFOSAA]])</f>
        <v>-1.1837587000082168</v>
      </c>
      <c r="CQ52">
        <f>LOG(Table1_1[[#This Row],[4:2 FTS]])</f>
        <v>-1.2076083105017461</v>
      </c>
      <c r="CR52">
        <f>LOG(Table1_1[[#This Row],[6:2 FTS]])</f>
        <v>-0.13076828026902382</v>
      </c>
      <c r="CS52">
        <f>LOG(Table1_1[[#This Row],[8:2 FTS]])</f>
        <v>1.3242824552976926</v>
      </c>
      <c r="CT52">
        <f>LOG(Table1_1[[#This Row],[10:2 FTS]])</f>
        <v>-1.0655015487564323</v>
      </c>
      <c r="CU52">
        <f>LOG(Table1_1[[#This Row],[3:3 FTCA]])</f>
        <v>-1.0604807473813815</v>
      </c>
      <c r="CV52">
        <f>LOG(Table1_1[[#This Row],[5:3 FTCA]])</f>
        <v>0.26245108973042947</v>
      </c>
      <c r="CW52">
        <f>LOG(Table1_1[[#This Row],[7:3 FTCA]])</f>
        <v>0.43136376415898736</v>
      </c>
      <c r="CX52">
        <f>LOG(Table1_1[[#This Row],[6:2 FTCA]])</f>
        <v>-1.3142582613977363</v>
      </c>
      <c r="CY52">
        <f>LOG(Table1_1[[#This Row],[8:2 FTCA]])</f>
        <v>-1.518557371497695</v>
      </c>
      <c r="CZ52">
        <f>LOG(Table1_1[[#This Row],[10:2 FTCA]])</f>
        <v>-0.94884747755261867</v>
      </c>
      <c r="DA52">
        <f>LOG(Table1_1[[#This Row],[6:2 FTUCA]])</f>
        <v>-1.2254830342714504</v>
      </c>
      <c r="DB52">
        <f>LOG(Table1_1[[#This Row],[8:2 FTUCA]])</f>
        <v>-1.341035157335565</v>
      </c>
      <c r="DC52">
        <f>LOG(Table1_1[[#This Row],[ADONA]])</f>
        <v>-1.1220530483708118</v>
      </c>
      <c r="DD52">
        <f>LOG(Table1_1[[#This Row],[9Cl-PF3ONS]])</f>
        <v>-1.2798406965940432</v>
      </c>
      <c r="DE52">
        <f>LOG(Table1_1[[#This Row],[11Cl-PF3OUdS]])</f>
        <v>-1.2254830342714504</v>
      </c>
      <c r="DF52">
        <f>LOG(Table1_1[[#This Row],[HFPO-DA]])</f>
        <v>-0.96457026181545169</v>
      </c>
      <c r="DG52">
        <f>LOG(Table1_1[[#This Row],[6:2 diPAP]])</f>
        <v>-1.0942041196321315</v>
      </c>
      <c r="DH52">
        <f>LOG(Table1_1[[#This Row],[8:2 diPAP]])</f>
        <v>-1</v>
      </c>
      <c r="DI52">
        <f>LOG(Table1_1[[#This Row],[diSAmPAP]])</f>
        <v>-0.87614835903291421</v>
      </c>
    </row>
    <row r="53" spans="1:113">
      <c r="A53" t="s">
        <v>192</v>
      </c>
      <c r="B53" t="s">
        <v>114</v>
      </c>
      <c r="C53" s="3">
        <v>44314</v>
      </c>
      <c r="D53" t="s">
        <v>183</v>
      </c>
      <c r="E53" t="s">
        <v>184</v>
      </c>
      <c r="F53" t="s">
        <v>185</v>
      </c>
      <c r="G53" t="s">
        <v>118</v>
      </c>
      <c r="H53" t="s">
        <v>119</v>
      </c>
      <c r="I53">
        <v>5</v>
      </c>
      <c r="J53">
        <f>LOG(Table1_1[[#This Row],[Length]])</f>
        <v>0.69897000433601886</v>
      </c>
      <c r="K53">
        <v>1.9</v>
      </c>
      <c r="L53">
        <f>LOG(Table1_1[[#This Row],[Weight]])</f>
        <v>0.27875360095282892</v>
      </c>
      <c r="M53">
        <v>2.76E-2</v>
      </c>
      <c r="N53">
        <v>4.8649999999999999E-2</v>
      </c>
      <c r="O53">
        <v>0.1225</v>
      </c>
      <c r="P53">
        <v>2.76E-2</v>
      </c>
      <c r="Q53">
        <v>1.91</v>
      </c>
      <c r="R53">
        <v>5.81</v>
      </c>
      <c r="S53">
        <v>13.4</v>
      </c>
      <c r="T53">
        <v>30.2</v>
      </c>
      <c r="U53">
        <v>27.9</v>
      </c>
      <c r="V53">
        <v>7.43</v>
      </c>
      <c r="W53">
        <v>11.4</v>
      </c>
      <c r="X53">
        <v>8.2000000000000003E-2</v>
      </c>
      <c r="Y53">
        <v>5.2499999999999998E-2</v>
      </c>
      <c r="Z53">
        <v>0.155</v>
      </c>
      <c r="AA53">
        <v>0.36799999999999999</v>
      </c>
      <c r="AB53">
        <v>50.7</v>
      </c>
      <c r="AC53">
        <v>5.42</v>
      </c>
      <c r="AD53">
        <v>1050</v>
      </c>
      <c r="AE53">
        <v>0.47099999999999997</v>
      </c>
      <c r="AF53">
        <v>3.15</v>
      </c>
      <c r="AG53">
        <v>0.24299999999999999</v>
      </c>
      <c r="AH53">
        <v>0.13800000000000001</v>
      </c>
      <c r="AI53">
        <v>0.19700000000000001</v>
      </c>
      <c r="AJ53">
        <v>39.6</v>
      </c>
      <c r="AK53">
        <v>171</v>
      </c>
      <c r="AL53">
        <v>18.5</v>
      </c>
      <c r="AM53">
        <v>5.2999999999999999E-2</v>
      </c>
      <c r="AN53">
        <v>8.0500000000000002E-2</v>
      </c>
      <c r="AO53">
        <v>5.45E-2</v>
      </c>
      <c r="AP53">
        <v>0.22900000000000001</v>
      </c>
      <c r="AQ53">
        <v>0.06</v>
      </c>
      <c r="AR53">
        <v>5.6500000000000002E-2</v>
      </c>
      <c r="AS53">
        <v>0.81799999999999995</v>
      </c>
      <c r="AT53">
        <v>24.4</v>
      </c>
      <c r="AU53">
        <v>7.8E-2</v>
      </c>
      <c r="AV53">
        <v>7.9500000000000001E-2</v>
      </c>
      <c r="AW53">
        <v>5.1999999999999998E-2</v>
      </c>
      <c r="AX53">
        <v>13.1</v>
      </c>
      <c r="AY53">
        <v>4.4249999999999998E-2</v>
      </c>
      <c r="AZ53">
        <v>2.76E-2</v>
      </c>
      <c r="BA53">
        <v>0.10299999999999999</v>
      </c>
      <c r="BB53">
        <v>5.3999999999999999E-2</v>
      </c>
      <c r="BC53">
        <v>4.165E-2</v>
      </c>
      <c r="BD53">
        <v>6.9000000000000006E-2</v>
      </c>
      <c r="BE53">
        <v>4.7899999999999998E-2</v>
      </c>
      <c r="BF53">
        <v>5.3999999999999999E-2</v>
      </c>
      <c r="BG53">
        <v>9.9000000000000005E-2</v>
      </c>
      <c r="BH53">
        <v>7.3499999999999996E-2</v>
      </c>
      <c r="BI53">
        <v>9.1499999999999998E-2</v>
      </c>
      <c r="BJ53">
        <v>0.121</v>
      </c>
      <c r="BK53">
        <f>SUM(Table1_1[[#This Row],[PFBA]:[diSAmPAP]])</f>
        <v>1478.2402499999996</v>
      </c>
      <c r="BL53">
        <f>LOG(Table1_1[[#This Row],[PFBA]])</f>
        <v>-1.5590909179347823</v>
      </c>
      <c r="BM53">
        <f>LOG(Table1_1[[#This Row],[PFPeA]])</f>
        <v>-1.3129171553956294</v>
      </c>
      <c r="BN53">
        <f>LOG(Table1_1[[#This Row],[PFHxA]])</f>
        <v>-0.91186391129944877</v>
      </c>
      <c r="BO53">
        <f>LOG(Table1_1[[#This Row],[PFHpA]])</f>
        <v>-1.5590909179347823</v>
      </c>
      <c r="BP53">
        <f>LOG(Table1_1[[#This Row],[PFOA]])</f>
        <v>0.28103336724772754</v>
      </c>
      <c r="BQ53">
        <f>LOG(Table1_1[[#This Row],[PFNA]])</f>
        <v>0.76417613239033066</v>
      </c>
      <c r="BR53">
        <f>LOG(Table1_1[[#This Row],[PFDA]])</f>
        <v>1.1271047983648077</v>
      </c>
      <c r="BS53">
        <f>LOG(Table1_1[[#This Row],[PFUnA]])</f>
        <v>1.4800069429571505</v>
      </c>
      <c r="BT53">
        <f>LOG(Table1_1[[#This Row],[PFDoA]])</f>
        <v>1.4456042032735976</v>
      </c>
      <c r="BU53">
        <f>LOG(Table1_1[[#This Row],[PFTrDA]])</f>
        <v>0.87098881376057524</v>
      </c>
      <c r="BV53">
        <f>LOG(Table1_1[[#This Row],[PFTeDA]])</f>
        <v>1.0569048513364727</v>
      </c>
      <c r="BW53">
        <f>LOG(Table1_1[[#This Row],[PFHxDA]])</f>
        <v>-1.0861861476162833</v>
      </c>
      <c r="BX53">
        <f>LOG(Table1_1[[#This Row],[PFPrS]])</f>
        <v>-1.2798406965940432</v>
      </c>
      <c r="BY53">
        <f>LOG(Table1_1[[#This Row],[PFBS]])</f>
        <v>-0.8096683018297085</v>
      </c>
      <c r="BZ53">
        <f>LOG(Table1_1[[#This Row],[PFPeS]])</f>
        <v>-0.43415218132648237</v>
      </c>
      <c r="CA53">
        <f>LOG(Table1_1[[#This Row],[PFHxS]])</f>
        <v>1.705007959333336</v>
      </c>
      <c r="CB53">
        <f>LOG(Table1_1[[#This Row],[PFHpS]])</f>
        <v>0.73399928653838686</v>
      </c>
      <c r="CC53">
        <f>LOG(Table1_1[[#This Row],[PFOS]])</f>
        <v>3.0211892990699383</v>
      </c>
      <c r="CD53">
        <f>LOG(Table1_1[[#This Row],[PFNS]])</f>
        <v>-0.32697909287110383</v>
      </c>
      <c r="CE53">
        <f>LOG(Table1_1[[#This Row],[PFDS]])</f>
        <v>0.49831055378960049</v>
      </c>
      <c r="CF53">
        <f>LOG(Table1_1[[#This Row],[PFDoS]])</f>
        <v>-0.61439372640168788</v>
      </c>
      <c r="CG53">
        <f>LOG(Table1_1[[#This Row],[Cl-PFOS]])</f>
        <v>-0.86012091359876341</v>
      </c>
      <c r="CH53">
        <f>LOG(Table1_1[[#This Row],[PFEtCHxS]])</f>
        <v>-0.7055337738384071</v>
      </c>
      <c r="CI53">
        <f>LOG(Table1_1[[#This Row],[FBSA]])</f>
        <v>1.5976951859255124</v>
      </c>
      <c r="CJ53">
        <f>LOG(Table1_1[[#This Row],[FHxSA]])</f>
        <v>2.2329961103921536</v>
      </c>
      <c r="CK53">
        <f>LOG(Table1_1[[#This Row],[FOSA]])</f>
        <v>1.2671717284030137</v>
      </c>
      <c r="CL53">
        <f>LOG(Table1_1[[#This Row],[N-MeFOSA]])</f>
        <v>-1.2757241303992111</v>
      </c>
      <c r="CM53">
        <f>LOG(Table1_1[[#This Row],[N-EtFOSA]])</f>
        <v>-1.0942041196321315</v>
      </c>
      <c r="CN53">
        <f>LOG(Table1_1[[#This Row],[FOSAA]])</f>
        <v>-1.2636034977233577</v>
      </c>
      <c r="CO53">
        <f>LOG(Table1_1[[#This Row],[N-MeFOSAA]])</f>
        <v>-0.64016451766011195</v>
      </c>
      <c r="CP53">
        <f>LOG(Table1_1[[#This Row],[N-EtFOSAA]])</f>
        <v>-1.2218487496163564</v>
      </c>
      <c r="CQ53">
        <f>LOG(Table1_1[[#This Row],[4:2 FTS]])</f>
        <v>-1.2479515521805615</v>
      </c>
      <c r="CR53">
        <f>LOG(Table1_1[[#This Row],[6:2 FTS]])</f>
        <v>-8.7246696328677029E-2</v>
      </c>
      <c r="CS53">
        <f>LOG(Table1_1[[#This Row],[8:2 FTS]])</f>
        <v>1.3873898263387294</v>
      </c>
      <c r="CT53">
        <f>LOG(Table1_1[[#This Row],[10:2 FTS]])</f>
        <v>-1.1079053973095196</v>
      </c>
      <c r="CU53">
        <f>LOG(Table1_1[[#This Row],[3:3 FTCA]])</f>
        <v>-1.0996328713435297</v>
      </c>
      <c r="CV53">
        <f>LOG(Table1_1[[#This Row],[5:3 FTCA]])</f>
        <v>-1.2839966563652008</v>
      </c>
      <c r="CW53">
        <f>LOG(Table1_1[[#This Row],[7:3 FTCA]])</f>
        <v>1.1172712956557642</v>
      </c>
      <c r="CX53">
        <f>LOG(Table1_1[[#This Row],[6:2 FTCA]])</f>
        <v>-1.3540867249661557</v>
      </c>
      <c r="CY53">
        <f>LOG(Table1_1[[#This Row],[8:2 FTCA]])</f>
        <v>-1.5590909179347823</v>
      </c>
      <c r="CZ53">
        <f>LOG(Table1_1[[#This Row],[10:2 FTCA]])</f>
        <v>-0.98716277529482777</v>
      </c>
      <c r="DA53">
        <f>LOG(Table1_1[[#This Row],[6:2 FTUCA]])</f>
        <v>-1.2676062401770316</v>
      </c>
      <c r="DB53">
        <f>LOG(Table1_1[[#This Row],[8:2 FTUCA]])</f>
        <v>-1.3803849942571935</v>
      </c>
      <c r="DC53">
        <f>LOG(Table1_1[[#This Row],[ADONA]])</f>
        <v>-1.1611509092627446</v>
      </c>
      <c r="DD53">
        <f>LOG(Table1_1[[#This Row],[9Cl-PF3ONS]])</f>
        <v>-1.3196644865854368</v>
      </c>
      <c r="DE53">
        <f>LOG(Table1_1[[#This Row],[11Cl-PF3OUdS]])</f>
        <v>-1.2676062401770316</v>
      </c>
      <c r="DF53">
        <f>LOG(Table1_1[[#This Row],[HFPO-DA]])</f>
        <v>-1.0043648054024501</v>
      </c>
      <c r="DG53">
        <f>LOG(Table1_1[[#This Row],[6:2 diPAP]])</f>
        <v>-1.133712660915805</v>
      </c>
      <c r="DH53">
        <f>LOG(Table1_1[[#This Row],[8:2 diPAP]])</f>
        <v>-1.0385789059335517</v>
      </c>
      <c r="DI53">
        <f>LOG(Table1_1[[#This Row],[diSAmPAP]])</f>
        <v>-0.91721462968354994</v>
      </c>
    </row>
    <row r="54" spans="1:113">
      <c r="A54" t="s">
        <v>193</v>
      </c>
      <c r="B54" t="s">
        <v>114</v>
      </c>
      <c r="C54" s="3">
        <v>44314</v>
      </c>
      <c r="D54" t="s">
        <v>183</v>
      </c>
      <c r="E54" t="s">
        <v>184</v>
      </c>
      <c r="F54" t="s">
        <v>185</v>
      </c>
      <c r="G54" t="s">
        <v>118</v>
      </c>
      <c r="H54" t="s">
        <v>119</v>
      </c>
      <c r="I54">
        <v>5</v>
      </c>
      <c r="J54">
        <f>LOG(Table1_1[[#This Row],[Length]])</f>
        <v>0.69897000433601886</v>
      </c>
      <c r="K54">
        <v>2.4500000000000002</v>
      </c>
      <c r="L54">
        <f>LOG(Table1_1[[#This Row],[Weight]])</f>
        <v>0.38916608436453248</v>
      </c>
      <c r="M54">
        <v>2.7099999999999999E-2</v>
      </c>
      <c r="N54">
        <v>4.8050000000000002E-2</v>
      </c>
      <c r="O54">
        <v>0.121</v>
      </c>
      <c r="P54">
        <v>8.9499999999999996E-2</v>
      </c>
      <c r="Q54">
        <v>5.32</v>
      </c>
      <c r="R54">
        <v>10</v>
      </c>
      <c r="S54">
        <v>12.2</v>
      </c>
      <c r="T54">
        <v>14.4</v>
      </c>
      <c r="U54">
        <v>19.7</v>
      </c>
      <c r="V54">
        <v>9.83</v>
      </c>
      <c r="W54">
        <v>9.0399999999999991</v>
      </c>
      <c r="X54">
        <v>8.1000000000000003E-2</v>
      </c>
      <c r="Y54">
        <v>5.1999999999999998E-2</v>
      </c>
      <c r="Z54">
        <v>0.1525</v>
      </c>
      <c r="AA54">
        <v>0.628</v>
      </c>
      <c r="AB54">
        <v>69.8</v>
      </c>
      <c r="AC54">
        <v>4.45</v>
      </c>
      <c r="AD54">
        <v>1110</v>
      </c>
      <c r="AE54">
        <v>1.41</v>
      </c>
      <c r="AF54">
        <v>11</v>
      </c>
      <c r="AG54">
        <v>0.81799999999999995</v>
      </c>
      <c r="AH54">
        <v>0.13650000000000001</v>
      </c>
      <c r="AI54">
        <v>0.21099999999999999</v>
      </c>
      <c r="AJ54">
        <v>77</v>
      </c>
      <c r="AK54">
        <v>206</v>
      </c>
      <c r="AL54">
        <v>15.5</v>
      </c>
      <c r="AM54">
        <v>5.2499999999999998E-2</v>
      </c>
      <c r="AN54">
        <v>7.9500000000000001E-2</v>
      </c>
      <c r="AO54">
        <v>0.45</v>
      </c>
      <c r="AP54">
        <v>1.5</v>
      </c>
      <c r="AQ54">
        <v>5.8999999999999997E-2</v>
      </c>
      <c r="AR54">
        <v>5.6000000000000001E-2</v>
      </c>
      <c r="AS54">
        <v>0.44900000000000001</v>
      </c>
      <c r="AT54">
        <v>21.3</v>
      </c>
      <c r="AU54">
        <v>0.255</v>
      </c>
      <c r="AV54">
        <v>7.85E-2</v>
      </c>
      <c r="AW54">
        <v>1.7</v>
      </c>
      <c r="AX54">
        <v>11.6</v>
      </c>
      <c r="AY54">
        <v>4.3650000000000001E-2</v>
      </c>
      <c r="AZ54">
        <v>2.7099999999999999E-2</v>
      </c>
      <c r="BA54">
        <v>0.10150000000000001</v>
      </c>
      <c r="BB54">
        <v>5.3499999999999999E-2</v>
      </c>
      <c r="BC54">
        <v>4.1050000000000003E-2</v>
      </c>
      <c r="BD54">
        <v>6.8000000000000005E-2</v>
      </c>
      <c r="BE54">
        <v>4.7100000000000003E-2</v>
      </c>
      <c r="BF54">
        <v>5.3499999999999999E-2</v>
      </c>
      <c r="BG54">
        <v>9.7500000000000003E-2</v>
      </c>
      <c r="BH54">
        <v>7.2499999999999995E-2</v>
      </c>
      <c r="BI54">
        <v>0.09</v>
      </c>
      <c r="BJ54">
        <v>0.1195</v>
      </c>
      <c r="BK54">
        <f>SUM(Table1_1[[#This Row],[PFBA]:[diSAmPAP]])</f>
        <v>1616.4090500000004</v>
      </c>
      <c r="BL54">
        <f>LOG(Table1_1[[#This Row],[PFBA]])</f>
        <v>-1.5670307091255944</v>
      </c>
      <c r="BM54">
        <f>LOG(Table1_1[[#This Row],[PFPeA]])</f>
        <v>-1.3183066079954358</v>
      </c>
      <c r="BN54">
        <f>LOG(Table1_1[[#This Row],[PFHxA]])</f>
        <v>-0.91721462968354994</v>
      </c>
      <c r="BO54">
        <f>LOG(Table1_1[[#This Row],[PFHpA]])</f>
        <v>-1.0481769646840879</v>
      </c>
      <c r="BP54">
        <f>LOG(Table1_1[[#This Row],[PFOA]])</f>
        <v>0.72591163229504818</v>
      </c>
      <c r="BQ54">
        <f>LOG(Table1_1[[#This Row],[PFNA]])</f>
        <v>1</v>
      </c>
      <c r="BR54">
        <f>LOG(Table1_1[[#This Row],[PFDA]])</f>
        <v>1.0863598306747482</v>
      </c>
      <c r="BS54">
        <f>LOG(Table1_1[[#This Row],[PFUnA]])</f>
        <v>1.1583624920952498</v>
      </c>
      <c r="BT54">
        <f>LOG(Table1_1[[#This Row],[PFDoA]])</f>
        <v>1.2944662261615929</v>
      </c>
      <c r="BU54">
        <f>LOG(Table1_1[[#This Row],[PFTrDA]])</f>
        <v>0.99255351783213563</v>
      </c>
      <c r="BV54">
        <f>LOG(Table1_1[[#This Row],[PFTeDA]])</f>
        <v>0.95616843047536326</v>
      </c>
      <c r="BW54">
        <f>LOG(Table1_1[[#This Row],[PFHxDA]])</f>
        <v>-1.0915149811213503</v>
      </c>
      <c r="BX54">
        <f>LOG(Table1_1[[#This Row],[PFPrS]])</f>
        <v>-1.2839966563652008</v>
      </c>
      <c r="BY54">
        <f>LOG(Table1_1[[#This Row],[PFBS]])</f>
        <v>-0.81673015631719537</v>
      </c>
      <c r="BZ54">
        <f>LOG(Table1_1[[#This Row],[PFPeS]])</f>
        <v>-0.20204035626280387</v>
      </c>
      <c r="CA54">
        <f>LOG(Table1_1[[#This Row],[PFHxS]])</f>
        <v>1.8438554226231612</v>
      </c>
      <c r="CB54">
        <f>LOG(Table1_1[[#This Row],[PFHpS]])</f>
        <v>0.64836001098093166</v>
      </c>
      <c r="CC54">
        <f>LOG(Table1_1[[#This Row],[PFOS]])</f>
        <v>3.0453229787866576</v>
      </c>
      <c r="CD54">
        <f>LOG(Table1_1[[#This Row],[PFNS]])</f>
        <v>0.14921911265537988</v>
      </c>
      <c r="CE54">
        <f>LOG(Table1_1[[#This Row],[PFDS]])</f>
        <v>1.0413926851582251</v>
      </c>
      <c r="CF54">
        <f>LOG(Table1_1[[#This Row],[PFDoS]])</f>
        <v>-8.7246696328677029E-2</v>
      </c>
      <c r="CG54">
        <f>LOG(Table1_1[[#This Row],[Cl-PFOS]])</f>
        <v>-0.86486734862322512</v>
      </c>
      <c r="CH54">
        <f>LOG(Table1_1[[#This Row],[PFEtCHxS]])</f>
        <v>-0.67571754470230738</v>
      </c>
      <c r="CI54">
        <f>LOG(Table1_1[[#This Row],[FBSA]])</f>
        <v>1.8864907251724818</v>
      </c>
      <c r="CJ54">
        <f>LOG(Table1_1[[#This Row],[FHxSA]])</f>
        <v>2.3138672203691533</v>
      </c>
      <c r="CK54">
        <f>LOG(Table1_1[[#This Row],[FOSA]])</f>
        <v>1.1903316981702914</v>
      </c>
      <c r="CL54">
        <f>LOG(Table1_1[[#This Row],[N-MeFOSA]])</f>
        <v>-1.2798406965940432</v>
      </c>
      <c r="CM54">
        <f>LOG(Table1_1[[#This Row],[N-EtFOSA]])</f>
        <v>-1.0996328713435297</v>
      </c>
      <c r="CN54">
        <f>LOG(Table1_1[[#This Row],[FOSAA]])</f>
        <v>-0.34678748622465633</v>
      </c>
      <c r="CO54">
        <f>LOG(Table1_1[[#This Row],[N-MeFOSAA]])</f>
        <v>0.17609125905568124</v>
      </c>
      <c r="CP54">
        <f>LOG(Table1_1[[#This Row],[N-EtFOSAA]])</f>
        <v>-1.2291479883578558</v>
      </c>
      <c r="CQ54">
        <f>LOG(Table1_1[[#This Row],[4:2 FTS]])</f>
        <v>-1.2518119729937995</v>
      </c>
      <c r="CR54">
        <f>LOG(Table1_1[[#This Row],[6:2 FTS]])</f>
        <v>-0.34775365899667682</v>
      </c>
      <c r="CS54">
        <f>LOG(Table1_1[[#This Row],[8:2 FTS]])</f>
        <v>1.3283796034387378</v>
      </c>
      <c r="CT54">
        <f>LOG(Table1_1[[#This Row],[10:2 FTS]])</f>
        <v>-0.59345981956604488</v>
      </c>
      <c r="CU54">
        <f>LOG(Table1_1[[#This Row],[3:3 FTCA]])</f>
        <v>-1.1051303432547475</v>
      </c>
      <c r="CV54">
        <f>LOG(Table1_1[[#This Row],[5:3 FTCA]])</f>
        <v>0.23044892137827391</v>
      </c>
      <c r="CW54">
        <f>LOG(Table1_1[[#This Row],[7:3 FTCA]])</f>
        <v>1.0644579892269184</v>
      </c>
      <c r="CX54">
        <f>LOG(Table1_1[[#This Row],[6:2 FTCA]])</f>
        <v>-1.3600157519584115</v>
      </c>
      <c r="CY54">
        <f>LOG(Table1_1[[#This Row],[8:2 FTCA]])</f>
        <v>-1.5670307091255944</v>
      </c>
      <c r="CZ54">
        <f>LOG(Table1_1[[#This Row],[10:2 FTCA]])</f>
        <v>-0.99353395775076825</v>
      </c>
      <c r="DA54">
        <f>LOG(Table1_1[[#This Row],[6:2 FTUCA]])</f>
        <v>-1.2716462179787715</v>
      </c>
      <c r="DB54">
        <f>LOG(Table1_1[[#This Row],[8:2 FTUCA]])</f>
        <v>-1.3866868385445403</v>
      </c>
      <c r="DC54">
        <f>LOG(Table1_1[[#This Row],[ADONA]])</f>
        <v>-1.1674910872937636</v>
      </c>
      <c r="DD54">
        <f>LOG(Table1_1[[#This Row],[9Cl-PF3ONS]])</f>
        <v>-1.3269790928711038</v>
      </c>
      <c r="DE54">
        <f>LOG(Table1_1[[#This Row],[11Cl-PF3OUdS]])</f>
        <v>-1.2716462179787715</v>
      </c>
      <c r="DF54">
        <f>LOG(Table1_1[[#This Row],[HFPO-DA]])</f>
        <v>-1.0109953843014632</v>
      </c>
      <c r="DG54">
        <f>LOG(Table1_1[[#This Row],[6:2 diPAP]])</f>
        <v>-1.1396619934290064</v>
      </c>
      <c r="DH54">
        <f>LOG(Table1_1[[#This Row],[8:2 diPAP]])</f>
        <v>-1.0457574905606752</v>
      </c>
      <c r="DI54">
        <f>LOG(Table1_1[[#This Row],[diSAmPAP]])</f>
        <v>-0.92263209471584351</v>
      </c>
    </row>
    <row r="55" spans="1:113">
      <c r="A55" t="s">
        <v>194</v>
      </c>
      <c r="B55" t="s">
        <v>114</v>
      </c>
      <c r="C55" s="3">
        <v>44314</v>
      </c>
      <c r="D55" t="s">
        <v>183</v>
      </c>
      <c r="E55" t="s">
        <v>184</v>
      </c>
      <c r="F55" t="s">
        <v>185</v>
      </c>
      <c r="G55" t="s">
        <v>118</v>
      </c>
      <c r="H55" t="s">
        <v>119</v>
      </c>
      <c r="I55">
        <v>6</v>
      </c>
      <c r="J55">
        <f>LOG(Table1_1[[#This Row],[Length]])</f>
        <v>0.77815125038364363</v>
      </c>
      <c r="K55">
        <v>2.4</v>
      </c>
      <c r="L55">
        <f>LOG(Table1_1[[#This Row],[Weight]])</f>
        <v>0.38021124171160603</v>
      </c>
      <c r="M55">
        <v>2.8649999999999998E-2</v>
      </c>
      <c r="N55">
        <v>5.0500000000000003E-2</v>
      </c>
      <c r="O55">
        <v>3.8649999999999997E-2</v>
      </c>
      <c r="P55">
        <v>2.8649999999999998E-2</v>
      </c>
      <c r="Q55">
        <v>2.7</v>
      </c>
      <c r="R55">
        <v>5.69</v>
      </c>
      <c r="S55">
        <v>15.1</v>
      </c>
      <c r="T55">
        <v>24.3</v>
      </c>
      <c r="U55">
        <v>24.4</v>
      </c>
      <c r="V55">
        <v>7.91</v>
      </c>
      <c r="W55">
        <v>9.73</v>
      </c>
      <c r="X55">
        <v>8.5500000000000007E-2</v>
      </c>
      <c r="Y55">
        <v>5.45E-2</v>
      </c>
      <c r="Z55">
        <v>0.73499999999999999</v>
      </c>
      <c r="AA55">
        <v>0.46600000000000003</v>
      </c>
      <c r="AB55">
        <v>62.6</v>
      </c>
      <c r="AC55">
        <v>4.92</v>
      </c>
      <c r="AD55">
        <v>1160</v>
      </c>
      <c r="AE55">
        <v>0.70299999999999996</v>
      </c>
      <c r="AF55">
        <v>12.8</v>
      </c>
      <c r="AG55">
        <v>0.73299999999999998</v>
      </c>
      <c r="AH55">
        <v>0.33600000000000002</v>
      </c>
      <c r="AI55">
        <v>0.20200000000000001</v>
      </c>
      <c r="AJ55">
        <v>45.8</v>
      </c>
      <c r="AK55">
        <v>295</v>
      </c>
      <c r="AL55">
        <v>21.1</v>
      </c>
      <c r="AM55">
        <v>5.5E-2</v>
      </c>
      <c r="AN55">
        <v>8.3500000000000005E-2</v>
      </c>
      <c r="AO55">
        <v>5.6500000000000002E-2</v>
      </c>
      <c r="AP55">
        <v>0.63900000000000001</v>
      </c>
      <c r="AQ55">
        <v>6.2E-2</v>
      </c>
      <c r="AR55">
        <v>5.8999999999999997E-2</v>
      </c>
      <c r="AS55">
        <v>0.42099999999999999</v>
      </c>
      <c r="AT55">
        <v>20.3</v>
      </c>
      <c r="AU55">
        <v>8.1500000000000003E-2</v>
      </c>
      <c r="AV55">
        <v>8.2500000000000004E-2</v>
      </c>
      <c r="AW55">
        <v>2.57</v>
      </c>
      <c r="AX55">
        <v>5.7500000000000002E-2</v>
      </c>
      <c r="AY55">
        <v>4.5900000000000003E-2</v>
      </c>
      <c r="AZ55">
        <v>2.8649999999999998E-2</v>
      </c>
      <c r="BA55">
        <v>0.107</v>
      </c>
      <c r="BB55">
        <v>5.6000000000000001E-2</v>
      </c>
      <c r="BC55">
        <v>4.335E-2</v>
      </c>
      <c r="BD55">
        <v>7.1499999999999994E-2</v>
      </c>
      <c r="BE55">
        <v>4.9700000000000001E-2</v>
      </c>
      <c r="BF55">
        <v>5.6500000000000002E-2</v>
      </c>
      <c r="BG55">
        <v>0.10249999999999999</v>
      </c>
      <c r="BH55">
        <v>7.5999999999999998E-2</v>
      </c>
      <c r="BI55">
        <v>9.5000000000000001E-2</v>
      </c>
      <c r="BJ55">
        <v>0.126</v>
      </c>
      <c r="BK55">
        <f>SUM(Table1_1[[#This Row],[PFBA]:[diSAmPAP]])</f>
        <v>1720.8370499999992</v>
      </c>
      <c r="BL55">
        <f>LOG(Table1_1[[#This Row],[PFBA]])</f>
        <v>-1.5428753736965912</v>
      </c>
      <c r="BM55">
        <f>LOG(Table1_1[[#This Row],[PFPeA]])</f>
        <v>-1.2967086218813386</v>
      </c>
      <c r="BN55">
        <f>LOG(Table1_1[[#This Row],[PFHxA]])</f>
        <v>-1.4128505017456563</v>
      </c>
      <c r="BO55">
        <f>LOG(Table1_1[[#This Row],[PFHpA]])</f>
        <v>-1.5428753736965912</v>
      </c>
      <c r="BP55">
        <f>LOG(Table1_1[[#This Row],[PFOA]])</f>
        <v>0.43136376415898736</v>
      </c>
      <c r="BQ55">
        <f>LOG(Table1_1[[#This Row],[PFNA]])</f>
        <v>0.75511226639507123</v>
      </c>
      <c r="BR55">
        <f>LOG(Table1_1[[#This Row],[PFDA]])</f>
        <v>1.1789769472931695</v>
      </c>
      <c r="BS55">
        <f>LOG(Table1_1[[#This Row],[PFUnA]])</f>
        <v>1.3856062735983121</v>
      </c>
      <c r="BT55">
        <f>LOG(Table1_1[[#This Row],[PFDoA]])</f>
        <v>1.3873898263387294</v>
      </c>
      <c r="BU55">
        <f>LOG(Table1_1[[#This Row],[PFTrDA]])</f>
        <v>0.89817648349767654</v>
      </c>
      <c r="BV55">
        <f>LOG(Table1_1[[#This Row],[PFTeDA]])</f>
        <v>0.98811284026835189</v>
      </c>
      <c r="BW55">
        <f>LOG(Table1_1[[#This Row],[PFHxDA]])</f>
        <v>-1.0680338852718274</v>
      </c>
      <c r="BX55">
        <f>LOG(Table1_1[[#This Row],[PFPrS]])</f>
        <v>-1.2636034977233577</v>
      </c>
      <c r="BY55">
        <f>LOG(Table1_1[[#This Row],[PFBS]])</f>
        <v>-0.13371266091580511</v>
      </c>
      <c r="BZ55">
        <f>LOG(Table1_1[[#This Row],[PFPeS]])</f>
        <v>-0.33161408330999981</v>
      </c>
      <c r="CA55">
        <f>LOG(Table1_1[[#This Row],[PFHxS]])</f>
        <v>1.7965743332104296</v>
      </c>
      <c r="CB55">
        <f>LOG(Table1_1[[#This Row],[PFHpS]])</f>
        <v>0.69196510276736034</v>
      </c>
      <c r="CC55">
        <f>LOG(Table1_1[[#This Row],[PFOS]])</f>
        <v>3.0644579892269186</v>
      </c>
      <c r="CD55">
        <f>LOG(Table1_1[[#This Row],[PFNS]])</f>
        <v>-0.15304467498017607</v>
      </c>
      <c r="CE55">
        <f>LOG(Table1_1[[#This Row],[PFDS]])</f>
        <v>1.1072099696478683</v>
      </c>
      <c r="CF55">
        <f>LOG(Table1_1[[#This Row],[PFDoS]])</f>
        <v>-0.13489602535887207</v>
      </c>
      <c r="CG55">
        <f>LOG(Table1_1[[#This Row],[Cl-PFOS]])</f>
        <v>-0.4736607226101559</v>
      </c>
      <c r="CH55">
        <f>LOG(Table1_1[[#This Row],[PFEtCHxS]])</f>
        <v>-0.69464863055337622</v>
      </c>
      <c r="CI55">
        <f>LOG(Table1_1[[#This Row],[FBSA]])</f>
        <v>1.6608654780038692</v>
      </c>
      <c r="CJ55">
        <f>LOG(Table1_1[[#This Row],[FHxSA]])</f>
        <v>2.469822015978163</v>
      </c>
      <c r="CK55">
        <f>LOG(Table1_1[[#This Row],[FOSA]])</f>
        <v>1.3242824552976926</v>
      </c>
      <c r="CL55">
        <f>LOG(Table1_1[[#This Row],[N-MeFOSA]])</f>
        <v>-1.2596373105057561</v>
      </c>
      <c r="CM55">
        <f>LOG(Table1_1[[#This Row],[N-EtFOSA]])</f>
        <v>-1.0783135245163979</v>
      </c>
      <c r="CN55">
        <f>LOG(Table1_1[[#This Row],[FOSAA]])</f>
        <v>-1.2479515521805615</v>
      </c>
      <c r="CO55">
        <f>LOG(Table1_1[[#This Row],[N-MeFOSAA]])</f>
        <v>-0.19449914184159983</v>
      </c>
      <c r="CP55">
        <f>LOG(Table1_1[[#This Row],[N-EtFOSAA]])</f>
        <v>-1.2076083105017461</v>
      </c>
      <c r="CQ55">
        <f>LOG(Table1_1[[#This Row],[4:2 FTS]])</f>
        <v>-1.2291479883578558</v>
      </c>
      <c r="CR55">
        <f>LOG(Table1_1[[#This Row],[6:2 FTS]])</f>
        <v>-0.37571790416433171</v>
      </c>
      <c r="CS55">
        <f>LOG(Table1_1[[#This Row],[8:2 FTS]])</f>
        <v>1.307496037913213</v>
      </c>
      <c r="CT55">
        <f>LOG(Table1_1[[#This Row],[10:2 FTS]])</f>
        <v>-1.0888423912600234</v>
      </c>
      <c r="CU55">
        <f>LOG(Table1_1[[#This Row],[3:3 FTCA]])</f>
        <v>-1.083546051450075</v>
      </c>
      <c r="CV55">
        <f>LOG(Table1_1[[#This Row],[5:3 FTCA]])</f>
        <v>0.4099331233312945</v>
      </c>
      <c r="CW55">
        <f>LOG(Table1_1[[#This Row],[7:3 FTCA]])</f>
        <v>-1.2403321553103694</v>
      </c>
      <c r="CX55">
        <f>LOG(Table1_1[[#This Row],[6:2 FTCA]])</f>
        <v>-1.3381873144627388</v>
      </c>
      <c r="CY55">
        <f>LOG(Table1_1[[#This Row],[8:2 FTCA]])</f>
        <v>-1.5428753736965912</v>
      </c>
      <c r="CZ55">
        <f>LOG(Table1_1[[#This Row],[10:2 FTCA]])</f>
        <v>-0.97061622231479039</v>
      </c>
      <c r="DA55">
        <f>LOG(Table1_1[[#This Row],[6:2 FTUCA]])</f>
        <v>-1.2518119729937995</v>
      </c>
      <c r="DB55">
        <f>LOG(Table1_1[[#This Row],[8:2 FTUCA]])</f>
        <v>-1.3630108981877709</v>
      </c>
      <c r="DC55">
        <f>LOG(Table1_1[[#This Row],[ADONA]])</f>
        <v>-1.1456939581989194</v>
      </c>
      <c r="DD55">
        <f>LOG(Table1_1[[#This Row],[9Cl-PF3ONS]])</f>
        <v>-1.3036436112666678</v>
      </c>
      <c r="DE55">
        <f>LOG(Table1_1[[#This Row],[11Cl-PF3OUdS]])</f>
        <v>-1.2479515521805615</v>
      </c>
      <c r="DF55">
        <f>LOG(Table1_1[[#This Row],[HFPO-DA]])</f>
        <v>-0.98927613460822694</v>
      </c>
      <c r="DG55">
        <f>LOG(Table1_1[[#This Row],[6:2 diPAP]])</f>
        <v>-1.1191864077192086</v>
      </c>
      <c r="DH55">
        <f>LOG(Table1_1[[#This Row],[8:2 diPAP]])</f>
        <v>-1.0222763947111522</v>
      </c>
      <c r="DI55">
        <f>LOG(Table1_1[[#This Row],[diSAmPAP]])</f>
        <v>-0.89962945488243706</v>
      </c>
    </row>
    <row r="56" spans="1:113">
      <c r="A56" t="s">
        <v>195</v>
      </c>
      <c r="B56" t="s">
        <v>114</v>
      </c>
      <c r="C56" s="3">
        <v>44314</v>
      </c>
      <c r="D56" t="s">
        <v>183</v>
      </c>
      <c r="E56" t="s">
        <v>184</v>
      </c>
      <c r="F56" t="s">
        <v>185</v>
      </c>
      <c r="G56" t="s">
        <v>118</v>
      </c>
      <c r="H56" t="s">
        <v>119</v>
      </c>
      <c r="I56">
        <v>6</v>
      </c>
      <c r="J56">
        <f>LOG(Table1_1[[#This Row],[Length]])</f>
        <v>0.77815125038364363</v>
      </c>
      <c r="K56">
        <v>2.2999999999999998</v>
      </c>
      <c r="L56">
        <f>LOG(Table1_1[[#This Row],[Weight]])</f>
        <v>0.36172783601759284</v>
      </c>
      <c r="M56">
        <v>2.7900000000000001E-2</v>
      </c>
      <c r="N56">
        <v>4.9399999999999999E-2</v>
      </c>
      <c r="O56">
        <v>0.1245</v>
      </c>
      <c r="P56">
        <v>2.7900000000000001E-2</v>
      </c>
      <c r="Q56">
        <v>2.82</v>
      </c>
      <c r="R56">
        <v>9.09</v>
      </c>
      <c r="S56">
        <v>16.100000000000001</v>
      </c>
      <c r="T56">
        <v>24.7</v>
      </c>
      <c r="U56">
        <v>28.5</v>
      </c>
      <c r="V56">
        <v>7.56</v>
      </c>
      <c r="W56">
        <v>10.5</v>
      </c>
      <c r="X56">
        <v>8.3000000000000004E-2</v>
      </c>
      <c r="Y56">
        <v>5.3499999999999999E-2</v>
      </c>
      <c r="Z56">
        <v>4.7600000000000003E-2</v>
      </c>
      <c r="AA56">
        <v>0.76600000000000001</v>
      </c>
      <c r="AB56">
        <v>53.2</v>
      </c>
      <c r="AC56">
        <v>9.8000000000000007</v>
      </c>
      <c r="AD56">
        <v>1700</v>
      </c>
      <c r="AE56">
        <v>1.02</v>
      </c>
      <c r="AF56">
        <v>10.8</v>
      </c>
      <c r="AG56">
        <v>0.98299999999999998</v>
      </c>
      <c r="AH56">
        <v>0.45500000000000002</v>
      </c>
      <c r="AI56">
        <v>0.29799999999999999</v>
      </c>
      <c r="AJ56">
        <v>214</v>
      </c>
      <c r="AK56">
        <v>593</v>
      </c>
      <c r="AL56">
        <v>24.5</v>
      </c>
      <c r="AM56">
        <v>5.3999999999999999E-2</v>
      </c>
      <c r="AN56">
        <v>8.1500000000000003E-2</v>
      </c>
      <c r="AO56">
        <v>5.5E-2</v>
      </c>
      <c r="AP56">
        <v>1.6</v>
      </c>
      <c r="AQ56">
        <v>6.0499999999999998E-2</v>
      </c>
      <c r="AR56">
        <v>5.7500000000000002E-2</v>
      </c>
      <c r="AS56">
        <v>0.13900000000000001</v>
      </c>
      <c r="AT56">
        <v>23.6</v>
      </c>
      <c r="AU56">
        <v>7.9500000000000001E-2</v>
      </c>
      <c r="AV56">
        <v>8.0500000000000002E-2</v>
      </c>
      <c r="AW56">
        <v>0.61399999999999999</v>
      </c>
      <c r="AX56">
        <v>9.51</v>
      </c>
      <c r="AY56">
        <v>4.4850000000000001E-2</v>
      </c>
      <c r="AZ56">
        <v>2.7900000000000001E-2</v>
      </c>
      <c r="BA56">
        <v>0.104</v>
      </c>
      <c r="BB56">
        <v>5.5E-2</v>
      </c>
      <c r="BC56">
        <v>4.2250000000000003E-2</v>
      </c>
      <c r="BD56">
        <v>0.23050000000000001</v>
      </c>
      <c r="BE56">
        <v>4.8500000000000001E-2</v>
      </c>
      <c r="BF56">
        <v>5.5E-2</v>
      </c>
      <c r="BG56">
        <v>0.10050000000000001</v>
      </c>
      <c r="BH56">
        <v>7.4499999999999997E-2</v>
      </c>
      <c r="BI56">
        <v>9.2499999999999999E-2</v>
      </c>
      <c r="BJ56">
        <v>0.123</v>
      </c>
      <c r="BK56">
        <f>SUM(Table1_1[[#This Row],[PFBA]:[diSAmPAP]])</f>
        <v>2745.4357999999997</v>
      </c>
      <c r="BL56">
        <f>LOG(Table1_1[[#This Row],[PFBA]])</f>
        <v>-1.5543957967264024</v>
      </c>
      <c r="BM56">
        <f>LOG(Table1_1[[#This Row],[PFPeA]])</f>
        <v>-1.3062730510763532</v>
      </c>
      <c r="BN56">
        <f>LOG(Table1_1[[#This Row],[PFHxA]])</f>
        <v>-0.90483064856824491</v>
      </c>
      <c r="BO56">
        <f>LOG(Table1_1[[#This Row],[PFHpA]])</f>
        <v>-1.5543957967264024</v>
      </c>
      <c r="BP56">
        <f>LOG(Table1_1[[#This Row],[PFOA]])</f>
        <v>0.45024910831936105</v>
      </c>
      <c r="BQ56">
        <f>LOG(Table1_1[[#This Row],[PFNA]])</f>
        <v>0.95856388322196739</v>
      </c>
      <c r="BR56">
        <f>LOG(Table1_1[[#This Row],[PFDA]])</f>
        <v>1.2068258760318498</v>
      </c>
      <c r="BS56">
        <f>LOG(Table1_1[[#This Row],[PFUnA]])</f>
        <v>1.3926969532596658</v>
      </c>
      <c r="BT56">
        <f>LOG(Table1_1[[#This Row],[PFDoA]])</f>
        <v>1.4548448600085102</v>
      </c>
      <c r="BU56">
        <f>LOG(Table1_1[[#This Row],[PFTrDA]])</f>
        <v>0.87852179550120646</v>
      </c>
      <c r="BV56">
        <f>LOG(Table1_1[[#This Row],[PFTeDA]])</f>
        <v>1.0211892990699381</v>
      </c>
      <c r="BW56">
        <f>LOG(Table1_1[[#This Row],[PFHxDA]])</f>
        <v>-1.080921907623926</v>
      </c>
      <c r="BX56">
        <f>LOG(Table1_1[[#This Row],[PFPrS]])</f>
        <v>-1.2716462179787715</v>
      </c>
      <c r="BY56">
        <f>LOG(Table1_1[[#This Row],[PFBS]])</f>
        <v>-1.3223930472795069</v>
      </c>
      <c r="BZ56">
        <f>LOG(Table1_1[[#This Row],[PFPeS]])</f>
        <v>-0.11577123036739606</v>
      </c>
      <c r="CA56">
        <f>LOG(Table1_1[[#This Row],[PFHxS]])</f>
        <v>1.7259116322950483</v>
      </c>
      <c r="CB56">
        <f>LOG(Table1_1[[#This Row],[PFHpS]])</f>
        <v>0.99122607569249488</v>
      </c>
      <c r="CC56">
        <f>LOG(Table1_1[[#This Row],[PFOS]])</f>
        <v>3.2304489213782741</v>
      </c>
      <c r="CD56">
        <f>LOG(Table1_1[[#This Row],[PFNS]])</f>
        <v>8.6001717619175692E-3</v>
      </c>
      <c r="CE56">
        <f>LOG(Table1_1[[#This Row],[PFDS]])</f>
        <v>1.0334237554869496</v>
      </c>
      <c r="CF56">
        <f>LOG(Table1_1[[#This Row],[PFDoS]])</f>
        <v>-7.4464821678643838E-3</v>
      </c>
      <c r="CG56">
        <f>LOG(Table1_1[[#This Row],[Cl-PFOS]])</f>
        <v>-0.34198860334288755</v>
      </c>
      <c r="CH56">
        <f>LOG(Table1_1[[#This Row],[PFEtCHxS]])</f>
        <v>-0.52578373592374483</v>
      </c>
      <c r="CI56">
        <f>LOG(Table1_1[[#This Row],[FBSA]])</f>
        <v>2.330413773349191</v>
      </c>
      <c r="CJ56">
        <f>LOG(Table1_1[[#This Row],[FHxSA]])</f>
        <v>2.7730546933642626</v>
      </c>
      <c r="CK56">
        <f>LOG(Table1_1[[#This Row],[FOSA]])</f>
        <v>1.3891660843645324</v>
      </c>
      <c r="CL56">
        <f>LOG(Table1_1[[#This Row],[N-MeFOSA]])</f>
        <v>-1.2676062401770316</v>
      </c>
      <c r="CM56">
        <f>LOG(Table1_1[[#This Row],[N-EtFOSA]])</f>
        <v>-1.0888423912600234</v>
      </c>
      <c r="CN56">
        <f>LOG(Table1_1[[#This Row],[FOSAA]])</f>
        <v>-1.2596373105057561</v>
      </c>
      <c r="CO56">
        <f>LOG(Table1_1[[#This Row],[N-MeFOSAA]])</f>
        <v>0.20411998265592479</v>
      </c>
      <c r="CP56">
        <f>LOG(Table1_1[[#This Row],[N-EtFOSAA]])</f>
        <v>-1.2182446253475312</v>
      </c>
      <c r="CQ56">
        <f>LOG(Table1_1[[#This Row],[4:2 FTS]])</f>
        <v>-1.2403321553103694</v>
      </c>
      <c r="CR56">
        <f>LOG(Table1_1[[#This Row],[6:2 FTS]])</f>
        <v>-0.85698519974590492</v>
      </c>
      <c r="CS56">
        <f>LOG(Table1_1[[#This Row],[8:2 FTS]])</f>
        <v>1.3729120029701065</v>
      </c>
      <c r="CT56">
        <f>LOG(Table1_1[[#This Row],[10:2 FTS]])</f>
        <v>-1.0996328713435297</v>
      </c>
      <c r="CU56">
        <f>LOG(Table1_1[[#This Row],[3:3 FTCA]])</f>
        <v>-1.0942041196321315</v>
      </c>
      <c r="CV56">
        <f>LOG(Table1_1[[#This Row],[5:3 FTCA]])</f>
        <v>-0.21183162885883233</v>
      </c>
      <c r="CW56">
        <f>LOG(Table1_1[[#This Row],[7:3 FTCA]])</f>
        <v>0.97818051693741392</v>
      </c>
      <c r="CX56">
        <f>LOG(Table1_1[[#This Row],[6:2 FTCA]])</f>
        <v>-1.3482375526198891</v>
      </c>
      <c r="CY56">
        <f>LOG(Table1_1[[#This Row],[8:2 FTCA]])</f>
        <v>-1.5543957967264024</v>
      </c>
      <c r="CZ56">
        <f>LOG(Table1_1[[#This Row],[10:2 FTCA]])</f>
        <v>-0.98296666070121963</v>
      </c>
      <c r="DA56">
        <f>LOG(Table1_1[[#This Row],[6:2 FTUCA]])</f>
        <v>-1.2596373105057561</v>
      </c>
      <c r="DB56">
        <f>LOG(Table1_1[[#This Row],[8:2 FTUCA]])</f>
        <v>-1.3741732867142888</v>
      </c>
      <c r="DC56">
        <f>LOG(Table1_1[[#This Row],[ADONA]])</f>
        <v>-0.63732907027433305</v>
      </c>
      <c r="DD56">
        <f>LOG(Table1_1[[#This Row],[9Cl-PF3ONS]])</f>
        <v>-1.3142582613977363</v>
      </c>
      <c r="DE56">
        <f>LOG(Table1_1[[#This Row],[11Cl-PF3OUdS]])</f>
        <v>-1.2596373105057561</v>
      </c>
      <c r="DF56">
        <f>LOG(Table1_1[[#This Row],[HFPO-DA]])</f>
        <v>-0.99783393824349231</v>
      </c>
      <c r="DG56">
        <f>LOG(Table1_1[[#This Row],[6:2 diPAP]])</f>
        <v>-1.1278437272517072</v>
      </c>
      <c r="DH56">
        <f>LOG(Table1_1[[#This Row],[8:2 diPAP]])</f>
        <v>-1.0338582672609673</v>
      </c>
      <c r="DI56">
        <f>LOG(Table1_1[[#This Row],[diSAmPAP]])</f>
        <v>-0.91009488856060206</v>
      </c>
    </row>
    <row r="57" spans="1:113">
      <c r="A57" t="s">
        <v>196</v>
      </c>
      <c r="B57" t="s">
        <v>114</v>
      </c>
      <c r="C57" s="3">
        <v>44314</v>
      </c>
      <c r="D57" t="s">
        <v>183</v>
      </c>
      <c r="E57" t="s">
        <v>184</v>
      </c>
      <c r="F57" t="s">
        <v>185</v>
      </c>
      <c r="G57" t="s">
        <v>118</v>
      </c>
      <c r="H57" t="s">
        <v>119</v>
      </c>
      <c r="I57">
        <v>5</v>
      </c>
      <c r="J57">
        <f>LOG(Table1_1[[#This Row],[Length]])</f>
        <v>0.69897000433601886</v>
      </c>
      <c r="K57">
        <v>1.6</v>
      </c>
      <c r="L57">
        <f>LOG(Table1_1[[#This Row],[Weight]])</f>
        <v>0.20411998265592479</v>
      </c>
      <c r="M57">
        <v>2.8799999999999999E-2</v>
      </c>
      <c r="N57">
        <v>5.0999999999999997E-2</v>
      </c>
      <c r="O57">
        <v>0.128</v>
      </c>
      <c r="P57">
        <v>2.8799999999999999E-2</v>
      </c>
      <c r="Q57">
        <v>3.39</v>
      </c>
      <c r="R57">
        <v>5.63</v>
      </c>
      <c r="S57">
        <v>12.3</v>
      </c>
      <c r="T57">
        <v>15.3</v>
      </c>
      <c r="U57">
        <v>22.7</v>
      </c>
      <c r="V57">
        <v>7.92</v>
      </c>
      <c r="W57">
        <v>7.61</v>
      </c>
      <c r="X57">
        <v>8.5999999999999993E-2</v>
      </c>
      <c r="Y57">
        <v>5.5E-2</v>
      </c>
      <c r="Z57">
        <v>0.1615</v>
      </c>
      <c r="AA57">
        <v>1.56</v>
      </c>
      <c r="AB57">
        <v>62.6</v>
      </c>
      <c r="AC57">
        <v>9.42</v>
      </c>
      <c r="AD57">
        <v>1100</v>
      </c>
      <c r="AE57">
        <v>1.93</v>
      </c>
      <c r="AF57">
        <v>4.9000000000000004</v>
      </c>
      <c r="AG57">
        <v>0.755</v>
      </c>
      <c r="AH57">
        <v>0.40500000000000003</v>
      </c>
      <c r="AI57">
        <v>0.192</v>
      </c>
      <c r="AJ57">
        <v>101</v>
      </c>
      <c r="AK57">
        <v>293</v>
      </c>
      <c r="AL57">
        <v>15.9</v>
      </c>
      <c r="AM57">
        <v>5.5500000000000001E-2</v>
      </c>
      <c r="AN57">
        <v>8.4000000000000005E-2</v>
      </c>
      <c r="AO57">
        <v>5.6500000000000002E-2</v>
      </c>
      <c r="AP57">
        <v>1.67</v>
      </c>
      <c r="AQ57">
        <v>6.25E-2</v>
      </c>
      <c r="AR57">
        <v>5.8999999999999997E-2</v>
      </c>
      <c r="AS57">
        <v>4.3499999999999997E-2</v>
      </c>
      <c r="AT57">
        <v>23.3</v>
      </c>
      <c r="AU57">
        <v>0.56599999999999995</v>
      </c>
      <c r="AV57">
        <v>8.3000000000000004E-2</v>
      </c>
      <c r="AW57">
        <v>5.3999999999999999E-2</v>
      </c>
      <c r="AX57">
        <v>32.700000000000003</v>
      </c>
      <c r="AY57">
        <v>4.6199999999999998E-2</v>
      </c>
      <c r="AZ57">
        <v>2.8799999999999999E-2</v>
      </c>
      <c r="BA57">
        <v>0.1075</v>
      </c>
      <c r="BB57">
        <v>5.6500000000000002E-2</v>
      </c>
      <c r="BC57">
        <v>4.3499999999999997E-2</v>
      </c>
      <c r="BD57">
        <v>7.1999999999999995E-2</v>
      </c>
      <c r="BE57">
        <v>4.9849999999999998E-2</v>
      </c>
      <c r="BF57">
        <v>5.6500000000000002E-2</v>
      </c>
      <c r="BG57">
        <v>0.10299999999999999</v>
      </c>
      <c r="BH57">
        <v>7.6499999999999999E-2</v>
      </c>
      <c r="BI57">
        <v>9.5500000000000002E-2</v>
      </c>
      <c r="BJ57">
        <v>0.1265</v>
      </c>
      <c r="BK57">
        <f>SUM(Table1_1[[#This Row],[PFBA]:[diSAmPAP]])</f>
        <v>1726.6474500000004</v>
      </c>
      <c r="BL57">
        <f>LOG(Table1_1[[#This Row],[PFBA]])</f>
        <v>-1.5406075122407692</v>
      </c>
      <c r="BM57">
        <f>LOG(Table1_1[[#This Row],[PFPeA]])</f>
        <v>-1.2924298239020637</v>
      </c>
      <c r="BN57">
        <f>LOG(Table1_1[[#This Row],[PFHxA]])</f>
        <v>-0.89279003035213167</v>
      </c>
      <c r="BO57">
        <f>LOG(Table1_1[[#This Row],[PFHpA]])</f>
        <v>-1.5406075122407692</v>
      </c>
      <c r="BP57">
        <f>LOG(Table1_1[[#This Row],[PFOA]])</f>
        <v>0.53019969820308221</v>
      </c>
      <c r="BQ57">
        <f>LOG(Table1_1[[#This Row],[PFNA]])</f>
        <v>0.75050839485134624</v>
      </c>
      <c r="BR57">
        <f>LOG(Table1_1[[#This Row],[PFDA]])</f>
        <v>1.0899051114393981</v>
      </c>
      <c r="BS57">
        <f>LOG(Table1_1[[#This Row],[PFUnA]])</f>
        <v>1.1846914308175989</v>
      </c>
      <c r="BT57">
        <f>LOG(Table1_1[[#This Row],[PFDoA]])</f>
        <v>1.3560258571931227</v>
      </c>
      <c r="BU57">
        <f>LOG(Table1_1[[#This Row],[PFTrDA]])</f>
        <v>0.89872518158949355</v>
      </c>
      <c r="BV57">
        <f>LOG(Table1_1[[#This Row],[PFTeDA]])</f>
        <v>0.88138465677057287</v>
      </c>
      <c r="BW57">
        <f>LOG(Table1_1[[#This Row],[PFHxDA]])</f>
        <v>-1.0655015487564323</v>
      </c>
      <c r="BX57">
        <f>LOG(Table1_1[[#This Row],[PFPrS]])</f>
        <v>-1.2596373105057561</v>
      </c>
      <c r="BY57">
        <f>LOG(Table1_1[[#This Row],[PFBS]])</f>
        <v>-0.79182747333287828</v>
      </c>
      <c r="BZ57">
        <f>LOG(Table1_1[[#This Row],[PFPeS]])</f>
        <v>0.19312459835446161</v>
      </c>
      <c r="CA57">
        <f>LOG(Table1_1[[#This Row],[PFHxS]])</f>
        <v>1.7965743332104296</v>
      </c>
      <c r="CB57">
        <f>LOG(Table1_1[[#This Row],[PFHpS]])</f>
        <v>0.97405090279287732</v>
      </c>
      <c r="CC57">
        <f>LOG(Table1_1[[#This Row],[PFOS]])</f>
        <v>3.0413926851582249</v>
      </c>
      <c r="CD57">
        <f>LOG(Table1_1[[#This Row],[PFNS]])</f>
        <v>0.28555730900777376</v>
      </c>
      <c r="CE57">
        <f>LOG(Table1_1[[#This Row],[PFDS]])</f>
        <v>0.69019608002851374</v>
      </c>
      <c r="CF57">
        <f>LOG(Table1_1[[#This Row],[PFDoS]])</f>
        <v>-0.12205304837081175</v>
      </c>
      <c r="CG57">
        <f>LOG(Table1_1[[#This Row],[Cl-PFOS]])</f>
        <v>-0.3925449767853314</v>
      </c>
      <c r="CH57">
        <f>LOG(Table1_1[[#This Row],[PFEtCHxS]])</f>
        <v>-0.71669877129645043</v>
      </c>
      <c r="CI57">
        <f>LOG(Table1_1[[#This Row],[FBSA]])</f>
        <v>2.0043213737826426</v>
      </c>
      <c r="CJ57">
        <f>LOG(Table1_1[[#This Row],[FHxSA]])</f>
        <v>2.4668676203541096</v>
      </c>
      <c r="CK57">
        <f>LOG(Table1_1[[#This Row],[FOSA]])</f>
        <v>1.2013971243204515</v>
      </c>
      <c r="CL57">
        <f>LOG(Table1_1[[#This Row],[N-MeFOSA]])</f>
        <v>-1.2557070168773237</v>
      </c>
      <c r="CM57">
        <f>LOG(Table1_1[[#This Row],[N-EtFOSA]])</f>
        <v>-1.0757207139381184</v>
      </c>
      <c r="CN57">
        <f>LOG(Table1_1[[#This Row],[FOSAA]])</f>
        <v>-1.2479515521805615</v>
      </c>
      <c r="CO57">
        <f>LOG(Table1_1[[#This Row],[N-MeFOSAA]])</f>
        <v>0.22271647114758325</v>
      </c>
      <c r="CP57">
        <f>LOG(Table1_1[[#This Row],[N-EtFOSAA]])</f>
        <v>-1.2041199826559248</v>
      </c>
      <c r="CQ57">
        <f>LOG(Table1_1[[#This Row],[4:2 FTS]])</f>
        <v>-1.2291479883578558</v>
      </c>
      <c r="CR57">
        <f>LOG(Table1_1[[#This Row],[6:2 FTS]])</f>
        <v>-1.3615107430453628</v>
      </c>
      <c r="CS57">
        <f>LOG(Table1_1[[#This Row],[8:2 FTS]])</f>
        <v>1.3673559210260189</v>
      </c>
      <c r="CT57">
        <f>LOG(Table1_1[[#This Row],[10:2 FTS]])</f>
        <v>-0.24718356881172862</v>
      </c>
      <c r="CU57">
        <f>LOG(Table1_1[[#This Row],[3:3 FTCA]])</f>
        <v>-1.080921907623926</v>
      </c>
      <c r="CV57">
        <f>LOG(Table1_1[[#This Row],[5:3 FTCA]])</f>
        <v>-1.2676062401770316</v>
      </c>
      <c r="CW57">
        <f>LOG(Table1_1[[#This Row],[7:3 FTCA]])</f>
        <v>1.5145477526602862</v>
      </c>
      <c r="CX57">
        <f>LOG(Table1_1[[#This Row],[6:2 FTCA]])</f>
        <v>-1.3353580244438745</v>
      </c>
      <c r="CY57">
        <f>LOG(Table1_1[[#This Row],[8:2 FTCA]])</f>
        <v>-1.5406075122407692</v>
      </c>
      <c r="CZ57">
        <f>LOG(Table1_1[[#This Row],[10:2 FTCA]])</f>
        <v>-0.96859153574837586</v>
      </c>
      <c r="DA57">
        <f>LOG(Table1_1[[#This Row],[6:2 FTUCA]])</f>
        <v>-1.2479515521805615</v>
      </c>
      <c r="DB57">
        <f>LOG(Table1_1[[#This Row],[8:2 FTUCA]])</f>
        <v>-1.3615107430453628</v>
      </c>
      <c r="DC57">
        <f>LOG(Table1_1[[#This Row],[ADONA]])</f>
        <v>-1.1426675035687315</v>
      </c>
      <c r="DD57">
        <f>LOG(Table1_1[[#This Row],[9Cl-PF3ONS]])</f>
        <v>-1.3023348373523256</v>
      </c>
      <c r="DE57">
        <f>LOG(Table1_1[[#This Row],[11Cl-PF3OUdS]])</f>
        <v>-1.2479515521805615</v>
      </c>
      <c r="DF57">
        <f>LOG(Table1_1[[#This Row],[HFPO-DA]])</f>
        <v>-0.98716277529482777</v>
      </c>
      <c r="DG57">
        <f>LOG(Table1_1[[#This Row],[6:2 diPAP]])</f>
        <v>-1.1163385648463824</v>
      </c>
      <c r="DH57">
        <f>LOG(Table1_1[[#This Row],[8:2 diPAP]])</f>
        <v>-1.0199966284162536</v>
      </c>
      <c r="DI57">
        <f>LOG(Table1_1[[#This Row],[diSAmPAP]])</f>
        <v>-0.89790947448816327</v>
      </c>
    </row>
    <row r="58" spans="1:113">
      <c r="A58" t="s">
        <v>197</v>
      </c>
      <c r="B58" t="s">
        <v>114</v>
      </c>
      <c r="C58" s="3">
        <v>44314</v>
      </c>
      <c r="D58" t="s">
        <v>183</v>
      </c>
      <c r="E58" t="s">
        <v>184</v>
      </c>
      <c r="F58" t="s">
        <v>185</v>
      </c>
      <c r="G58" t="s">
        <v>118</v>
      </c>
      <c r="H58" t="s">
        <v>119</v>
      </c>
      <c r="I58">
        <v>6</v>
      </c>
      <c r="J58">
        <f>LOG(Table1_1[[#This Row],[Length]])</f>
        <v>0.77815125038364363</v>
      </c>
      <c r="K58">
        <v>2.15</v>
      </c>
      <c r="L58">
        <f>LOG(Table1_1[[#This Row],[Weight]])</f>
        <v>0.33243845991560533</v>
      </c>
      <c r="M58">
        <v>2.665E-2</v>
      </c>
      <c r="N58">
        <v>4.7100000000000003E-2</v>
      </c>
      <c r="O58">
        <v>3.6049999999999999E-2</v>
      </c>
      <c r="P58">
        <v>8.7999999999999995E-2</v>
      </c>
      <c r="Q58">
        <v>1.95</v>
      </c>
      <c r="R58">
        <v>10.7</v>
      </c>
      <c r="S58">
        <v>13.9</v>
      </c>
      <c r="T58">
        <v>34.700000000000003</v>
      </c>
      <c r="U58">
        <v>22.3</v>
      </c>
      <c r="V58">
        <v>14.8</v>
      </c>
      <c r="W58">
        <v>11</v>
      </c>
      <c r="X58">
        <v>7.9500000000000001E-2</v>
      </c>
      <c r="Y58">
        <v>5.0999999999999997E-2</v>
      </c>
      <c r="Z58">
        <v>0.15</v>
      </c>
      <c r="AA58">
        <v>0.47099999999999997</v>
      </c>
      <c r="AB58">
        <v>52.1</v>
      </c>
      <c r="AC58">
        <v>7.79</v>
      </c>
      <c r="AD58">
        <v>1380</v>
      </c>
      <c r="AE58">
        <v>1.92</v>
      </c>
      <c r="AF58">
        <v>9.6999999999999993</v>
      </c>
      <c r="AG58">
        <v>1.21</v>
      </c>
      <c r="AH58">
        <v>0.13400000000000001</v>
      </c>
      <c r="AI58">
        <v>0.28899999999999998</v>
      </c>
      <c r="AJ58">
        <v>78.3</v>
      </c>
      <c r="AK58">
        <v>442</v>
      </c>
      <c r="AL58">
        <v>28.2</v>
      </c>
      <c r="AM58">
        <v>5.1499999999999997E-2</v>
      </c>
      <c r="AN58">
        <v>7.8E-2</v>
      </c>
      <c r="AO58">
        <v>5.2499999999999998E-2</v>
      </c>
      <c r="AP58">
        <v>0.2215</v>
      </c>
      <c r="AQ58">
        <v>5.8000000000000003E-2</v>
      </c>
      <c r="AR58">
        <v>5.5E-2</v>
      </c>
      <c r="AS58">
        <v>0.74</v>
      </c>
      <c r="AT58">
        <v>20.7</v>
      </c>
      <c r="AU58">
        <v>0.25</v>
      </c>
      <c r="AV58">
        <v>7.6999999999999999E-2</v>
      </c>
      <c r="AW58">
        <v>5.0500000000000003E-2</v>
      </c>
      <c r="AX58">
        <v>4.93</v>
      </c>
      <c r="AY58">
        <v>4.2900000000000001E-2</v>
      </c>
      <c r="AZ58">
        <v>2.665E-2</v>
      </c>
      <c r="BA58">
        <v>9.9500000000000005E-2</v>
      </c>
      <c r="BB58">
        <v>5.2499999999999998E-2</v>
      </c>
      <c r="BC58">
        <v>4.0300000000000002E-2</v>
      </c>
      <c r="BD58">
        <v>6.6500000000000004E-2</v>
      </c>
      <c r="BE58">
        <v>4.6350000000000002E-2</v>
      </c>
      <c r="BF58">
        <v>5.2499999999999998E-2</v>
      </c>
      <c r="BG58">
        <v>9.6000000000000002E-2</v>
      </c>
      <c r="BH58">
        <v>7.0999999999999994E-2</v>
      </c>
      <c r="BI58">
        <v>8.8499999999999995E-2</v>
      </c>
      <c r="BJ58">
        <v>0.11749999999999999</v>
      </c>
      <c r="BK58">
        <f>SUM(Table1_1[[#This Row],[PFBA]:[diSAmPAP]])</f>
        <v>2140.0064999999977</v>
      </c>
      <c r="BL58">
        <f>LOG(Table1_1[[#This Row],[PFBA]])</f>
        <v>-1.5743027866374089</v>
      </c>
      <c r="BM58">
        <f>LOG(Table1_1[[#This Row],[PFPeA]])</f>
        <v>-1.3269790928711038</v>
      </c>
      <c r="BN58">
        <f>LOG(Table1_1[[#This Row],[PFHxA]])</f>
        <v>-1.4430947309445521</v>
      </c>
      <c r="BO58">
        <f>LOG(Table1_1[[#This Row],[PFHpA]])</f>
        <v>-1.0555173278498313</v>
      </c>
      <c r="BP58">
        <f>LOG(Table1_1[[#This Row],[PFOA]])</f>
        <v>0.29003461136251801</v>
      </c>
      <c r="BQ58">
        <f>LOG(Table1_1[[#This Row],[PFNA]])</f>
        <v>1.0293837776852097</v>
      </c>
      <c r="BR58">
        <f>LOG(Table1_1[[#This Row],[PFDA]])</f>
        <v>1.1430148002540952</v>
      </c>
      <c r="BS58">
        <f>LOG(Table1_1[[#This Row],[PFUnA]])</f>
        <v>1.5403294747908738</v>
      </c>
      <c r="BT58">
        <f>LOG(Table1_1[[#This Row],[PFDoA]])</f>
        <v>1.3483048630481607</v>
      </c>
      <c r="BU58">
        <f>LOG(Table1_1[[#This Row],[PFTrDA]])</f>
        <v>1.1702617153949575</v>
      </c>
      <c r="BV58">
        <f>LOG(Table1_1[[#This Row],[PFTeDA]])</f>
        <v>1.0413926851582251</v>
      </c>
      <c r="BW58">
        <f>LOG(Table1_1[[#This Row],[PFHxDA]])</f>
        <v>-1.0996328713435297</v>
      </c>
      <c r="BX58">
        <f>LOG(Table1_1[[#This Row],[PFPrS]])</f>
        <v>-1.2924298239020637</v>
      </c>
      <c r="BY58">
        <f>LOG(Table1_1[[#This Row],[PFBS]])</f>
        <v>-0.82390874094431876</v>
      </c>
      <c r="BZ58">
        <f>LOG(Table1_1[[#This Row],[PFPeS]])</f>
        <v>-0.32697909287110383</v>
      </c>
      <c r="CA58">
        <f>LOG(Table1_1[[#This Row],[PFHxS]])</f>
        <v>1.7168377232995244</v>
      </c>
      <c r="CB58">
        <f>LOG(Table1_1[[#This Row],[PFHpS]])</f>
        <v>0.89153745767256443</v>
      </c>
      <c r="CC58">
        <f>LOG(Table1_1[[#This Row],[PFOS]])</f>
        <v>3.1398790864012365</v>
      </c>
      <c r="CD58">
        <f>LOG(Table1_1[[#This Row],[PFNS]])</f>
        <v>0.28330122870354957</v>
      </c>
      <c r="CE58">
        <f>LOG(Table1_1[[#This Row],[PFDS]])</f>
        <v>0.98677173426624487</v>
      </c>
      <c r="CF58">
        <f>LOG(Table1_1[[#This Row],[PFDoS]])</f>
        <v>8.2785370316450071E-2</v>
      </c>
      <c r="CG58">
        <f>LOG(Table1_1[[#This Row],[Cl-PFOS]])</f>
        <v>-0.8728952016351923</v>
      </c>
      <c r="CH58">
        <f>LOG(Table1_1[[#This Row],[PFEtCHxS]])</f>
        <v>-0.53910215724345223</v>
      </c>
      <c r="CI58">
        <f>LOG(Table1_1[[#This Row],[FBSA]])</f>
        <v>1.8937617620579434</v>
      </c>
      <c r="CJ58">
        <f>LOG(Table1_1[[#This Row],[FHxSA]])</f>
        <v>2.6454222693490919</v>
      </c>
      <c r="CK58">
        <f>LOG(Table1_1[[#This Row],[FOSA]])</f>
        <v>1.4502491083193612</v>
      </c>
      <c r="CL58">
        <f>LOG(Table1_1[[#This Row],[N-MeFOSA]])</f>
        <v>-1.288192770958809</v>
      </c>
      <c r="CM58">
        <f>LOG(Table1_1[[#This Row],[N-EtFOSA]])</f>
        <v>-1.1079053973095196</v>
      </c>
      <c r="CN58">
        <f>LOG(Table1_1[[#This Row],[FOSAA]])</f>
        <v>-1.2798406965940432</v>
      </c>
      <c r="CO58">
        <f>LOG(Table1_1[[#This Row],[N-MeFOSAA]])</f>
        <v>-0.65462626944091162</v>
      </c>
      <c r="CP58">
        <f>LOG(Table1_1[[#This Row],[N-EtFOSAA]])</f>
        <v>-1.2365720064370627</v>
      </c>
      <c r="CQ58">
        <f>LOG(Table1_1[[#This Row],[4:2 FTS]])</f>
        <v>-1.2596373105057561</v>
      </c>
      <c r="CR58">
        <f>LOG(Table1_1[[#This Row],[6:2 FTS]])</f>
        <v>-0.13076828026902382</v>
      </c>
      <c r="CS58">
        <f>LOG(Table1_1[[#This Row],[8:2 FTS]])</f>
        <v>1.3159703454569178</v>
      </c>
      <c r="CT58">
        <f>LOG(Table1_1[[#This Row],[10:2 FTS]])</f>
        <v>-0.6020599913279624</v>
      </c>
      <c r="CU58">
        <f>LOG(Table1_1[[#This Row],[3:3 FTCA]])</f>
        <v>-1.1135092748275182</v>
      </c>
      <c r="CV58">
        <f>LOG(Table1_1[[#This Row],[5:3 FTCA]])</f>
        <v>-1.2967086218813386</v>
      </c>
      <c r="CW58">
        <f>LOG(Table1_1[[#This Row],[7:3 FTCA]])</f>
        <v>0.69284691927722997</v>
      </c>
      <c r="CX58">
        <f>LOG(Table1_1[[#This Row],[6:2 FTCA]])</f>
        <v>-1.3675427078152758</v>
      </c>
      <c r="CY58">
        <f>LOG(Table1_1[[#This Row],[8:2 FTCA]])</f>
        <v>-1.5743027866374089</v>
      </c>
      <c r="CZ58">
        <f>LOG(Table1_1[[#This Row],[10:2 FTCA]])</f>
        <v>-1.0021769192542744</v>
      </c>
      <c r="DA58">
        <f>LOG(Table1_1[[#This Row],[6:2 FTUCA]])</f>
        <v>-1.2798406965940432</v>
      </c>
      <c r="DB58">
        <f>LOG(Table1_1[[#This Row],[8:2 FTUCA]])</f>
        <v>-1.3946949538588904</v>
      </c>
      <c r="DC58">
        <f>LOG(Table1_1[[#This Row],[ADONA]])</f>
        <v>-1.1771783546968955</v>
      </c>
      <c r="DD58">
        <f>LOG(Table1_1[[#This Row],[9Cl-PF3ONS]])</f>
        <v>-1.333950261519484</v>
      </c>
      <c r="DE58">
        <f>LOG(Table1_1[[#This Row],[11Cl-PF3OUdS]])</f>
        <v>-1.2798406965940432</v>
      </c>
      <c r="DF58">
        <f>LOG(Table1_1[[#This Row],[HFPO-DA]])</f>
        <v>-1.0177287669604316</v>
      </c>
      <c r="DG58">
        <f>LOG(Table1_1[[#This Row],[6:2 diPAP]])</f>
        <v>-1.1487416512809248</v>
      </c>
      <c r="DH58">
        <f>LOG(Table1_1[[#This Row],[8:2 diPAP]])</f>
        <v>-1.0530567293021746</v>
      </c>
      <c r="DI58">
        <f>LOG(Table1_1[[#This Row],[diSAmPAP]])</f>
        <v>-0.92996213339224498</v>
      </c>
    </row>
    <row r="59" spans="1:113">
      <c r="A59" t="s">
        <v>198</v>
      </c>
      <c r="B59" t="s">
        <v>114</v>
      </c>
      <c r="C59" s="3">
        <v>44314</v>
      </c>
      <c r="D59" t="s">
        <v>183</v>
      </c>
      <c r="E59" t="s">
        <v>184</v>
      </c>
      <c r="F59" t="s">
        <v>185</v>
      </c>
      <c r="G59" t="s">
        <v>118</v>
      </c>
      <c r="H59" t="s">
        <v>119</v>
      </c>
      <c r="I59">
        <v>5</v>
      </c>
      <c r="J59">
        <f>LOG(Table1_1[[#This Row],[Length]])</f>
        <v>0.69897000433601886</v>
      </c>
      <c r="K59">
        <v>2.25</v>
      </c>
      <c r="L59">
        <f>LOG(Table1_1[[#This Row],[Weight]])</f>
        <v>0.35218251811136247</v>
      </c>
      <c r="M59">
        <v>2.7400000000000001E-2</v>
      </c>
      <c r="N59">
        <v>4.8349999999999997E-2</v>
      </c>
      <c r="O59">
        <v>3.6949999999999997E-2</v>
      </c>
      <c r="P59">
        <v>2.7400000000000001E-2</v>
      </c>
      <c r="Q59">
        <v>3.28</v>
      </c>
      <c r="R59">
        <v>4.6500000000000004</v>
      </c>
      <c r="S59">
        <v>12.9</v>
      </c>
      <c r="T59">
        <v>19.5</v>
      </c>
      <c r="U59">
        <v>21.2</v>
      </c>
      <c r="V59">
        <v>8.27</v>
      </c>
      <c r="W59">
        <v>8.35</v>
      </c>
      <c r="X59">
        <v>8.1500000000000003E-2</v>
      </c>
      <c r="Y59">
        <v>5.2499999999999998E-2</v>
      </c>
      <c r="Z59">
        <v>4.6649999999999997E-2</v>
      </c>
      <c r="AA59">
        <v>1.45</v>
      </c>
      <c r="AB59">
        <v>61.2</v>
      </c>
      <c r="AC59">
        <v>14.4</v>
      </c>
      <c r="AD59">
        <v>1070</v>
      </c>
      <c r="AE59">
        <v>2.4</v>
      </c>
      <c r="AF59">
        <v>5.49</v>
      </c>
      <c r="AG59">
        <v>1.9</v>
      </c>
      <c r="AH59">
        <v>0.68500000000000005</v>
      </c>
      <c r="AI59">
        <v>0.38600000000000001</v>
      </c>
      <c r="AJ59">
        <v>32.5</v>
      </c>
      <c r="AK59">
        <v>175</v>
      </c>
      <c r="AL59">
        <v>12.8</v>
      </c>
      <c r="AM59">
        <v>5.2499999999999998E-2</v>
      </c>
      <c r="AN59">
        <v>0.08</v>
      </c>
      <c r="AO59">
        <v>5.3999999999999999E-2</v>
      </c>
      <c r="AP59">
        <v>0.73599999999999999</v>
      </c>
      <c r="AQ59">
        <v>5.9499999999999997E-2</v>
      </c>
      <c r="AR59">
        <v>5.6000000000000001E-2</v>
      </c>
      <c r="AS59">
        <v>0.61499999999999999</v>
      </c>
      <c r="AT59">
        <v>26.6</v>
      </c>
      <c r="AU59">
        <v>0.64</v>
      </c>
      <c r="AV59">
        <v>7.9000000000000001E-2</v>
      </c>
      <c r="AW59">
        <v>5.1499999999999997E-2</v>
      </c>
      <c r="AX59">
        <v>6.61</v>
      </c>
      <c r="AY59">
        <v>4.3950000000000003E-2</v>
      </c>
      <c r="AZ59">
        <v>2.7400000000000001E-2</v>
      </c>
      <c r="BA59">
        <v>0.10249999999999999</v>
      </c>
      <c r="BB59">
        <v>5.3999999999999999E-2</v>
      </c>
      <c r="BC59">
        <v>4.1349999999999998E-2</v>
      </c>
      <c r="BD59">
        <v>6.8500000000000005E-2</v>
      </c>
      <c r="BE59">
        <v>4.7600000000000003E-2</v>
      </c>
      <c r="BF59">
        <v>5.3999999999999999E-2</v>
      </c>
      <c r="BG59">
        <v>9.8500000000000004E-2</v>
      </c>
      <c r="BH59">
        <v>7.2999999999999995E-2</v>
      </c>
      <c r="BI59">
        <v>9.0999999999999998E-2</v>
      </c>
      <c r="BJ59">
        <v>0.1205</v>
      </c>
      <c r="BK59">
        <f>SUM(Table1_1[[#This Row],[PFBA]:[diSAmPAP]])</f>
        <v>1493.1375500000004</v>
      </c>
      <c r="BL59">
        <f>LOG(Table1_1[[#This Row],[PFBA]])</f>
        <v>-1.5622494371796121</v>
      </c>
      <c r="BM59">
        <f>LOG(Table1_1[[#This Row],[PFPeA]])</f>
        <v>-1.3156035215809796</v>
      </c>
      <c r="BN59">
        <f>LOG(Table1_1[[#This Row],[PFHxA]])</f>
        <v>-1.4323855572691555</v>
      </c>
      <c r="BO59">
        <f>LOG(Table1_1[[#This Row],[PFHpA]])</f>
        <v>-1.5622494371796121</v>
      </c>
      <c r="BP59">
        <f>LOG(Table1_1[[#This Row],[PFOA]])</f>
        <v>0.5158738437116791</v>
      </c>
      <c r="BQ59">
        <f>LOG(Table1_1[[#This Row],[PFNA]])</f>
        <v>0.66745295288995399</v>
      </c>
      <c r="BR59">
        <f>LOG(Table1_1[[#This Row],[PFDA]])</f>
        <v>1.110589710299249</v>
      </c>
      <c r="BS59">
        <f>LOG(Table1_1[[#This Row],[PFUnA]])</f>
        <v>1.2900346113625181</v>
      </c>
      <c r="BT59">
        <f>LOG(Table1_1[[#This Row],[PFDoA]])</f>
        <v>1.3263358609287514</v>
      </c>
      <c r="BU59">
        <f>LOG(Table1_1[[#This Row],[PFTrDA]])</f>
        <v>0.91750550955254662</v>
      </c>
      <c r="BV59">
        <f>LOG(Table1_1[[#This Row],[PFTeDA]])</f>
        <v>0.92168647548360205</v>
      </c>
      <c r="BW59">
        <f>LOG(Table1_1[[#This Row],[PFHxDA]])</f>
        <v>-1.0888423912600234</v>
      </c>
      <c r="BX59">
        <f>LOG(Table1_1[[#This Row],[PFPrS]])</f>
        <v>-1.2798406965940432</v>
      </c>
      <c r="BY59">
        <f>LOG(Table1_1[[#This Row],[PFBS]])</f>
        <v>-1.3311483519174814</v>
      </c>
      <c r="BZ59">
        <f>LOG(Table1_1[[#This Row],[PFPeS]])</f>
        <v>0.16136800223497488</v>
      </c>
      <c r="CA59">
        <f>LOG(Table1_1[[#This Row],[PFHxS]])</f>
        <v>1.7867514221455612</v>
      </c>
      <c r="CB59">
        <f>LOG(Table1_1[[#This Row],[PFHpS]])</f>
        <v>1.1583624920952498</v>
      </c>
      <c r="CC59">
        <f>LOG(Table1_1[[#This Row],[PFOS]])</f>
        <v>3.0293837776852097</v>
      </c>
      <c r="CD59">
        <f>LOG(Table1_1[[#This Row],[PFNS]])</f>
        <v>0.38021124171160603</v>
      </c>
      <c r="CE59">
        <f>LOG(Table1_1[[#This Row],[PFDS]])</f>
        <v>0.7395723444500919</v>
      </c>
      <c r="CF59">
        <f>LOG(Table1_1[[#This Row],[PFDoS]])</f>
        <v>0.27875360095282892</v>
      </c>
      <c r="CG59">
        <f>LOG(Table1_1[[#This Row],[Cl-PFOS]])</f>
        <v>-0.16430942850757441</v>
      </c>
      <c r="CH59">
        <f>LOG(Table1_1[[#This Row],[PFEtCHxS]])</f>
        <v>-0.41341269532824504</v>
      </c>
      <c r="CI59">
        <f>LOG(Table1_1[[#This Row],[FBSA]])</f>
        <v>1.5118833609788744</v>
      </c>
      <c r="CJ59">
        <f>LOG(Table1_1[[#This Row],[FHxSA]])</f>
        <v>2.2430380486862944</v>
      </c>
      <c r="CK59">
        <f>LOG(Table1_1[[#This Row],[FOSA]])</f>
        <v>1.1072099696478683</v>
      </c>
      <c r="CL59">
        <f>LOG(Table1_1[[#This Row],[N-MeFOSA]])</f>
        <v>-1.2798406965940432</v>
      </c>
      <c r="CM59">
        <f>LOG(Table1_1[[#This Row],[N-EtFOSA]])</f>
        <v>-1.0969100130080565</v>
      </c>
      <c r="CN59">
        <f>LOG(Table1_1[[#This Row],[FOSAA]])</f>
        <v>-1.2676062401770316</v>
      </c>
      <c r="CO59">
        <f>LOG(Table1_1[[#This Row],[N-MeFOSAA]])</f>
        <v>-0.13312218566250114</v>
      </c>
      <c r="CP59">
        <f>LOG(Table1_1[[#This Row],[N-EtFOSAA]])</f>
        <v>-1.2254830342714504</v>
      </c>
      <c r="CQ59">
        <f>LOG(Table1_1[[#This Row],[4:2 FTS]])</f>
        <v>-1.2518119729937995</v>
      </c>
      <c r="CR59">
        <f>LOG(Table1_1[[#This Row],[6:2 FTS]])</f>
        <v>-0.21112488422458328</v>
      </c>
      <c r="CS59">
        <f>LOG(Table1_1[[#This Row],[8:2 FTS]])</f>
        <v>1.424881636631067</v>
      </c>
      <c r="CT59">
        <f>LOG(Table1_1[[#This Row],[10:2 FTS]])</f>
        <v>-0.19382002601611281</v>
      </c>
      <c r="CU59">
        <f>LOG(Table1_1[[#This Row],[3:3 FTCA]])</f>
        <v>-1.1023729087095586</v>
      </c>
      <c r="CV59">
        <f>LOG(Table1_1[[#This Row],[5:3 FTCA]])</f>
        <v>-1.288192770958809</v>
      </c>
      <c r="CW59">
        <f>LOG(Table1_1[[#This Row],[7:3 FTCA]])</f>
        <v>0.82020145948564027</v>
      </c>
      <c r="CX59">
        <f>LOG(Table1_1[[#This Row],[6:2 FTCA]])</f>
        <v>-1.3570411205902093</v>
      </c>
      <c r="CY59">
        <f>LOG(Table1_1[[#This Row],[8:2 FTCA]])</f>
        <v>-1.5622494371796121</v>
      </c>
      <c r="CZ59">
        <f>LOG(Table1_1[[#This Row],[10:2 FTCA]])</f>
        <v>-0.98927613460822694</v>
      </c>
      <c r="DA59">
        <f>LOG(Table1_1[[#This Row],[6:2 FTUCA]])</f>
        <v>-1.2676062401770316</v>
      </c>
      <c r="DB59">
        <f>LOG(Table1_1[[#This Row],[8:2 FTUCA]])</f>
        <v>-1.3835244861114346</v>
      </c>
      <c r="DC59">
        <f>LOG(Table1_1[[#This Row],[ADONA]])</f>
        <v>-1.1643094285075744</v>
      </c>
      <c r="DD59">
        <f>LOG(Table1_1[[#This Row],[9Cl-PF3ONS]])</f>
        <v>-1.3223930472795069</v>
      </c>
      <c r="DE59">
        <f>LOG(Table1_1[[#This Row],[11Cl-PF3OUdS]])</f>
        <v>-1.2676062401770316</v>
      </c>
      <c r="DF59">
        <f>LOG(Table1_1[[#This Row],[HFPO-DA]])</f>
        <v>-1.0065637695023884</v>
      </c>
      <c r="DG59">
        <f>LOG(Table1_1[[#This Row],[6:2 diPAP]])</f>
        <v>-1.1366771398795441</v>
      </c>
      <c r="DH59">
        <f>LOG(Table1_1[[#This Row],[8:2 diPAP]])</f>
        <v>-1.0409586076789064</v>
      </c>
      <c r="DI59">
        <f>LOG(Table1_1[[#This Row],[diSAmPAP]])</f>
        <v>-0.91901295308911279</v>
      </c>
    </row>
    <row r="60" spans="1:113">
      <c r="A60" t="s">
        <v>199</v>
      </c>
      <c r="B60" t="s">
        <v>114</v>
      </c>
      <c r="C60" s="3">
        <v>44314</v>
      </c>
      <c r="D60" t="s">
        <v>183</v>
      </c>
      <c r="E60" t="s">
        <v>184</v>
      </c>
      <c r="F60" t="s">
        <v>185</v>
      </c>
      <c r="G60" t="s">
        <v>118</v>
      </c>
      <c r="H60" t="s">
        <v>119</v>
      </c>
      <c r="I60">
        <v>6</v>
      </c>
      <c r="J60">
        <f>LOG(Table1_1[[#This Row],[Length]])</f>
        <v>0.77815125038364363</v>
      </c>
      <c r="K60">
        <v>2.4500000000000002</v>
      </c>
      <c r="L60">
        <f>LOG(Table1_1[[#This Row],[Weight]])</f>
        <v>0.38916608436453248</v>
      </c>
      <c r="M60">
        <v>2.9100000000000001E-2</v>
      </c>
      <c r="N60">
        <v>5.1499999999999997E-2</v>
      </c>
      <c r="O60">
        <v>0.1295</v>
      </c>
      <c r="P60">
        <v>2.9100000000000001E-2</v>
      </c>
      <c r="Q60">
        <v>4.43</v>
      </c>
      <c r="R60">
        <v>11.4</v>
      </c>
      <c r="S60">
        <v>10.5</v>
      </c>
      <c r="T60">
        <v>22.4</v>
      </c>
      <c r="U60">
        <v>21.6</v>
      </c>
      <c r="V60">
        <v>10</v>
      </c>
      <c r="W60">
        <v>8.08</v>
      </c>
      <c r="X60">
        <v>8.6499999999999994E-2</v>
      </c>
      <c r="Y60">
        <v>5.5500000000000001E-2</v>
      </c>
      <c r="Z60">
        <v>0.16350000000000001</v>
      </c>
      <c r="AA60">
        <v>1.51</v>
      </c>
      <c r="AB60">
        <v>77.900000000000006</v>
      </c>
      <c r="AC60">
        <v>9.41</v>
      </c>
      <c r="AD60">
        <v>1570</v>
      </c>
      <c r="AE60">
        <v>1.19</v>
      </c>
      <c r="AF60">
        <v>8.0500000000000007</v>
      </c>
      <c r="AG60">
        <v>0.69799999999999995</v>
      </c>
      <c r="AH60">
        <v>0.48199999999999998</v>
      </c>
      <c r="AI60">
        <v>0.33300000000000002</v>
      </c>
      <c r="AJ60">
        <v>56.5</v>
      </c>
      <c r="AK60">
        <v>229</v>
      </c>
      <c r="AL60">
        <v>14.2</v>
      </c>
      <c r="AM60">
        <v>5.6000000000000001E-2</v>
      </c>
      <c r="AN60">
        <v>8.5000000000000006E-2</v>
      </c>
      <c r="AO60">
        <v>5.7500000000000002E-2</v>
      </c>
      <c r="AP60">
        <v>0.24149999999999999</v>
      </c>
      <c r="AQ60">
        <v>6.3E-2</v>
      </c>
      <c r="AR60">
        <v>5.9499999999999997E-2</v>
      </c>
      <c r="AS60">
        <v>0.64300000000000002</v>
      </c>
      <c r="AT60">
        <v>19.600000000000001</v>
      </c>
      <c r="AU60">
        <v>8.2500000000000004E-2</v>
      </c>
      <c r="AV60">
        <v>8.4000000000000005E-2</v>
      </c>
      <c r="AW60">
        <v>1.98</v>
      </c>
      <c r="AX60">
        <v>7.85</v>
      </c>
      <c r="AY60">
        <v>4.6649999999999997E-2</v>
      </c>
      <c r="AZ60">
        <v>2.9100000000000001E-2</v>
      </c>
      <c r="BA60">
        <v>0.1085</v>
      </c>
      <c r="BB60">
        <v>5.7000000000000002E-2</v>
      </c>
      <c r="BC60">
        <v>4.3950000000000003E-2</v>
      </c>
      <c r="BD60">
        <v>7.2499999999999995E-2</v>
      </c>
      <c r="BE60">
        <v>5.0500000000000003E-2</v>
      </c>
      <c r="BF60">
        <v>5.7500000000000002E-2</v>
      </c>
      <c r="BG60">
        <v>0.1045</v>
      </c>
      <c r="BH60">
        <v>7.7499999999999999E-2</v>
      </c>
      <c r="BI60">
        <v>9.6500000000000002E-2</v>
      </c>
      <c r="BJ60">
        <v>0.128</v>
      </c>
      <c r="BK60">
        <f>SUM(Table1_1[[#This Row],[PFBA]:[diSAmPAP]])</f>
        <v>2089.9018999999998</v>
      </c>
      <c r="BL60">
        <f>LOG(Table1_1[[#This Row],[PFBA]])</f>
        <v>-1.5361070110140926</v>
      </c>
      <c r="BM60">
        <f>LOG(Table1_1[[#This Row],[PFPeA]])</f>
        <v>-1.288192770958809</v>
      </c>
      <c r="BN60">
        <f>LOG(Table1_1[[#This Row],[PFHxA]])</f>
        <v>-0.88773023158272935</v>
      </c>
      <c r="BO60">
        <f>LOG(Table1_1[[#This Row],[PFHpA]])</f>
        <v>-1.5361070110140926</v>
      </c>
      <c r="BP60">
        <f>LOG(Table1_1[[#This Row],[PFOA]])</f>
        <v>0.64640372622306952</v>
      </c>
      <c r="BQ60">
        <f>LOG(Table1_1[[#This Row],[PFNA]])</f>
        <v>1.0569048513364727</v>
      </c>
      <c r="BR60">
        <f>LOG(Table1_1[[#This Row],[PFDA]])</f>
        <v>1.0211892990699381</v>
      </c>
      <c r="BS60">
        <f>LOG(Table1_1[[#This Row],[PFUnA]])</f>
        <v>1.3502480183341627</v>
      </c>
      <c r="BT60">
        <f>LOG(Table1_1[[#This Row],[PFDoA]])</f>
        <v>1.3344537511509309</v>
      </c>
      <c r="BU60">
        <f>LOG(Table1_1[[#This Row],[PFTrDA]])</f>
        <v>1</v>
      </c>
      <c r="BV60">
        <f>LOG(Table1_1[[#This Row],[PFTeDA]])</f>
        <v>0.90741136077458617</v>
      </c>
      <c r="BW60">
        <f>LOG(Table1_1[[#This Row],[PFHxDA]])</f>
        <v>-1.0629838925351858</v>
      </c>
      <c r="BX60">
        <f>LOG(Table1_1[[#This Row],[PFPrS]])</f>
        <v>-1.2557070168773237</v>
      </c>
      <c r="BY60">
        <f>LOG(Table1_1[[#This Row],[PFBS]])</f>
        <v>-0.78648224300369507</v>
      </c>
      <c r="BZ60">
        <f>LOG(Table1_1[[#This Row],[PFPeS]])</f>
        <v>0.17897694729316943</v>
      </c>
      <c r="CA60">
        <f>LOG(Table1_1[[#This Row],[PFHxS]])</f>
        <v>1.8915374576725645</v>
      </c>
      <c r="CB60">
        <f>LOG(Table1_1[[#This Row],[PFHpS]])</f>
        <v>0.97358962342725697</v>
      </c>
      <c r="CC60">
        <f>LOG(Table1_1[[#This Row],[PFOS]])</f>
        <v>3.1958996524092336</v>
      </c>
      <c r="CD60">
        <f>LOG(Table1_1[[#This Row],[PFNS]])</f>
        <v>7.554696139253074E-2</v>
      </c>
      <c r="CE60">
        <f>LOG(Table1_1[[#This Row],[PFDS]])</f>
        <v>0.90579588036786851</v>
      </c>
      <c r="CF60">
        <f>LOG(Table1_1[[#This Row],[PFDoS]])</f>
        <v>-0.15614457737683893</v>
      </c>
      <c r="CG60">
        <f>LOG(Table1_1[[#This Row],[Cl-PFOS]])</f>
        <v>-0.31695296176115045</v>
      </c>
      <c r="CH60">
        <f>LOG(Table1_1[[#This Row],[PFEtCHxS]])</f>
        <v>-0.47755576649368009</v>
      </c>
      <c r="CI60">
        <f>LOG(Table1_1[[#This Row],[FBSA]])</f>
        <v>1.7520484478194385</v>
      </c>
      <c r="CJ60">
        <f>LOG(Table1_1[[#This Row],[FHxSA]])</f>
        <v>2.3598354823398879</v>
      </c>
      <c r="CK60">
        <f>LOG(Table1_1[[#This Row],[FOSA]])</f>
        <v>1.1522883443830565</v>
      </c>
      <c r="CL60">
        <f>LOG(Table1_1[[#This Row],[N-MeFOSA]])</f>
        <v>-1.2518119729937995</v>
      </c>
      <c r="CM60">
        <f>LOG(Table1_1[[#This Row],[N-EtFOSA]])</f>
        <v>-1.0705810742857071</v>
      </c>
      <c r="CN60">
        <f>LOG(Table1_1[[#This Row],[FOSAA]])</f>
        <v>-1.2403321553103694</v>
      </c>
      <c r="CO60">
        <f>LOG(Table1_1[[#This Row],[N-MeFOSAA]])</f>
        <v>-0.61708286491246911</v>
      </c>
      <c r="CP60">
        <f>LOG(Table1_1[[#This Row],[N-EtFOSAA]])</f>
        <v>-1.2006594505464183</v>
      </c>
      <c r="CQ60">
        <f>LOG(Table1_1[[#This Row],[4:2 FTS]])</f>
        <v>-1.2254830342714504</v>
      </c>
      <c r="CR60">
        <f>LOG(Table1_1[[#This Row],[6:2 FTS]])</f>
        <v>-0.19178902707577791</v>
      </c>
      <c r="CS60">
        <f>LOG(Table1_1[[#This Row],[8:2 FTS]])</f>
        <v>1.2922560713564761</v>
      </c>
      <c r="CT60">
        <f>LOG(Table1_1[[#This Row],[10:2 FTS]])</f>
        <v>-1.083546051450075</v>
      </c>
      <c r="CU60">
        <f>LOG(Table1_1[[#This Row],[3:3 FTCA]])</f>
        <v>-1.0757207139381184</v>
      </c>
      <c r="CV60">
        <f>LOG(Table1_1[[#This Row],[5:3 FTCA]])</f>
        <v>0.2966651902615311</v>
      </c>
      <c r="CW60">
        <f>LOG(Table1_1[[#This Row],[7:3 FTCA]])</f>
        <v>0.89486965674525254</v>
      </c>
      <c r="CX60">
        <f>LOG(Table1_1[[#This Row],[6:2 FTCA]])</f>
        <v>-1.3311483519174814</v>
      </c>
      <c r="CY60">
        <f>LOG(Table1_1[[#This Row],[8:2 FTCA]])</f>
        <v>-1.5361070110140926</v>
      </c>
      <c r="CZ60">
        <f>LOG(Table1_1[[#This Row],[10:2 FTCA]])</f>
        <v>-0.96457026181545169</v>
      </c>
      <c r="DA60">
        <f>LOG(Table1_1[[#This Row],[6:2 FTUCA]])</f>
        <v>-1.2441251443275085</v>
      </c>
      <c r="DB60">
        <f>LOG(Table1_1[[#This Row],[8:2 FTUCA]])</f>
        <v>-1.3570411205902093</v>
      </c>
      <c r="DC60">
        <f>LOG(Table1_1[[#This Row],[ADONA]])</f>
        <v>-1.1396619934290064</v>
      </c>
      <c r="DD60">
        <f>LOG(Table1_1[[#This Row],[9Cl-PF3ONS]])</f>
        <v>-1.2967086218813386</v>
      </c>
      <c r="DE60">
        <f>LOG(Table1_1[[#This Row],[11Cl-PF3OUdS]])</f>
        <v>-1.2403321553103694</v>
      </c>
      <c r="DF60">
        <f>LOG(Table1_1[[#This Row],[HFPO-DA]])</f>
        <v>-0.98088370955292725</v>
      </c>
      <c r="DG60">
        <f>LOG(Table1_1[[#This Row],[6:2 diPAP]])</f>
        <v>-1.1106982974936896</v>
      </c>
      <c r="DH60">
        <f>LOG(Table1_1[[#This Row],[8:2 diPAP]])</f>
        <v>-1.0154726866562074</v>
      </c>
      <c r="DI60">
        <f>LOG(Table1_1[[#This Row],[diSAmPAP]])</f>
        <v>-0.89279003035213167</v>
      </c>
    </row>
    <row r="61" spans="1:113">
      <c r="A61" t="s">
        <v>200</v>
      </c>
      <c r="B61" t="s">
        <v>114</v>
      </c>
      <c r="C61" s="3">
        <v>44314</v>
      </c>
      <c r="D61" t="s">
        <v>183</v>
      </c>
      <c r="E61" t="s">
        <v>184</v>
      </c>
      <c r="F61" t="s">
        <v>185</v>
      </c>
      <c r="G61" t="s">
        <v>118</v>
      </c>
      <c r="H61" t="s">
        <v>119</v>
      </c>
      <c r="I61">
        <v>6</v>
      </c>
      <c r="J61">
        <f>LOG(Table1_1[[#This Row],[Length]])</f>
        <v>0.77815125038364363</v>
      </c>
      <c r="K61">
        <v>2.0499999999999998</v>
      </c>
      <c r="L61">
        <f>LOG(Table1_1[[#This Row],[Weight]])</f>
        <v>0.31175386105575426</v>
      </c>
      <c r="M61">
        <v>2.7900000000000001E-2</v>
      </c>
      <c r="N61">
        <v>4.9099999999999998E-2</v>
      </c>
      <c r="O61">
        <v>3.7600000000000001E-2</v>
      </c>
      <c r="P61">
        <v>2.7900000000000001E-2</v>
      </c>
      <c r="Q61">
        <v>0.89800000000000002</v>
      </c>
      <c r="R61">
        <v>1.04</v>
      </c>
      <c r="S61">
        <v>7.9</v>
      </c>
      <c r="T61">
        <v>11.3</v>
      </c>
      <c r="U61">
        <v>14</v>
      </c>
      <c r="V61">
        <v>7.19</v>
      </c>
      <c r="W61">
        <v>6.03</v>
      </c>
      <c r="X61">
        <v>8.3000000000000004E-2</v>
      </c>
      <c r="Y61">
        <v>5.2999999999999999E-2</v>
      </c>
      <c r="Z61">
        <v>0.156</v>
      </c>
      <c r="AA61">
        <v>0.61499999999999999</v>
      </c>
      <c r="AB61">
        <v>30.7</v>
      </c>
      <c r="AC61">
        <v>3.43</v>
      </c>
      <c r="AD61">
        <v>680</v>
      </c>
      <c r="AE61">
        <v>0.73599999999999999</v>
      </c>
      <c r="AF61">
        <v>1.89</v>
      </c>
      <c r="AG61">
        <v>0.69499999999999995</v>
      </c>
      <c r="AH61">
        <v>0.13950000000000001</v>
      </c>
      <c r="AI61">
        <v>9.1999999999999998E-2</v>
      </c>
      <c r="AJ61">
        <v>183</v>
      </c>
      <c r="AK61">
        <v>718</v>
      </c>
      <c r="AL61">
        <v>20.100000000000001</v>
      </c>
      <c r="AM61">
        <v>5.3499999999999999E-2</v>
      </c>
      <c r="AN61">
        <v>8.1000000000000003E-2</v>
      </c>
      <c r="AO61">
        <v>5.5E-2</v>
      </c>
      <c r="AP61">
        <v>0.68400000000000005</v>
      </c>
      <c r="AQ61">
        <v>6.0499999999999998E-2</v>
      </c>
      <c r="AR61">
        <v>5.7000000000000002E-2</v>
      </c>
      <c r="AS61">
        <v>4.1950000000000001E-2</v>
      </c>
      <c r="AT61">
        <v>9.6999999999999993</v>
      </c>
      <c r="AU61">
        <v>0.26050000000000001</v>
      </c>
      <c r="AV61">
        <v>0.08</v>
      </c>
      <c r="AW61">
        <v>1.95</v>
      </c>
      <c r="AX61">
        <v>3.91</v>
      </c>
      <c r="AY61">
        <v>4.4549999999999999E-2</v>
      </c>
      <c r="AZ61">
        <v>2.7900000000000001E-2</v>
      </c>
      <c r="BA61">
        <v>0.104</v>
      </c>
      <c r="BB61">
        <v>5.45E-2</v>
      </c>
      <c r="BC61">
        <v>4.1950000000000001E-2</v>
      </c>
      <c r="BD61">
        <v>6.9500000000000006E-2</v>
      </c>
      <c r="BE61">
        <v>4.8349999999999997E-2</v>
      </c>
      <c r="BF61">
        <v>5.5E-2</v>
      </c>
      <c r="BG61">
        <v>0.1</v>
      </c>
      <c r="BH61">
        <v>7.3999999999999996E-2</v>
      </c>
      <c r="BI61">
        <v>9.1999999999999998E-2</v>
      </c>
      <c r="BJ61">
        <v>0.1225</v>
      </c>
      <c r="BK61">
        <f>SUM(Table1_1[[#This Row],[PFBA]:[diSAmPAP]])</f>
        <v>1705.9577000000006</v>
      </c>
      <c r="BL61">
        <f>LOG(Table1_1[[#This Row],[PFBA]])</f>
        <v>-1.5543957967264024</v>
      </c>
      <c r="BM61">
        <f>LOG(Table1_1[[#This Row],[PFPeA]])</f>
        <v>-1.3089185078770316</v>
      </c>
      <c r="BN61">
        <f>LOG(Table1_1[[#This Row],[PFHxA]])</f>
        <v>-1.4248121550723389</v>
      </c>
      <c r="BO61">
        <f>LOG(Table1_1[[#This Row],[PFHpA]])</f>
        <v>-1.5543957967264024</v>
      </c>
      <c r="BP61">
        <f>LOG(Table1_1[[#This Row],[PFOA]])</f>
        <v>-4.672366333269562E-2</v>
      </c>
      <c r="BQ61">
        <f>LOG(Table1_1[[#This Row],[PFNA]])</f>
        <v>1.703333929878037E-2</v>
      </c>
      <c r="BR61">
        <f>LOG(Table1_1[[#This Row],[PFDA]])</f>
        <v>0.89762709129044149</v>
      </c>
      <c r="BS61">
        <f>LOG(Table1_1[[#This Row],[PFUnA]])</f>
        <v>1.0530784434834197</v>
      </c>
      <c r="BT61">
        <f>LOG(Table1_1[[#This Row],[PFDoA]])</f>
        <v>1.146128035678238</v>
      </c>
      <c r="BU61">
        <f>LOG(Table1_1[[#This Row],[PFTrDA]])</f>
        <v>0.85672889038288258</v>
      </c>
      <c r="BV61">
        <f>LOG(Table1_1[[#This Row],[PFTeDA]])</f>
        <v>0.78031731214015132</v>
      </c>
      <c r="BW61">
        <f>LOG(Table1_1[[#This Row],[PFHxDA]])</f>
        <v>-1.080921907623926</v>
      </c>
      <c r="BX61">
        <f>LOG(Table1_1[[#This Row],[PFPrS]])</f>
        <v>-1.2757241303992111</v>
      </c>
      <c r="BY61">
        <f>LOG(Table1_1[[#This Row],[PFBS]])</f>
        <v>-0.80687540164553839</v>
      </c>
      <c r="BZ61">
        <f>LOG(Table1_1[[#This Row],[PFPeS]])</f>
        <v>-0.21112488422458328</v>
      </c>
      <c r="CA61">
        <f>LOG(Table1_1[[#This Row],[PFHxS]])</f>
        <v>1.4871383754771865</v>
      </c>
      <c r="CB61">
        <f>LOG(Table1_1[[#This Row],[PFHpS]])</f>
        <v>0.53529412004277055</v>
      </c>
      <c r="CC61">
        <f>LOG(Table1_1[[#This Row],[PFOS]])</f>
        <v>2.8325089127062362</v>
      </c>
      <c r="CD61">
        <f>LOG(Table1_1[[#This Row],[PFNS]])</f>
        <v>-0.13312218566250114</v>
      </c>
      <c r="CE61">
        <f>LOG(Table1_1[[#This Row],[PFDS]])</f>
        <v>0.27646180417324412</v>
      </c>
      <c r="CF61">
        <f>LOG(Table1_1[[#This Row],[PFDoS]])</f>
        <v>-0.15801519540988615</v>
      </c>
      <c r="CG61">
        <f>LOG(Table1_1[[#This Row],[Cl-PFOS]])</f>
        <v>-0.85542579239038363</v>
      </c>
      <c r="CH61">
        <f>LOG(Table1_1[[#This Row],[PFEtCHxS]])</f>
        <v>-1.0362121726544447</v>
      </c>
      <c r="CI61">
        <f>LOG(Table1_1[[#This Row],[FBSA]])</f>
        <v>2.2624510897304293</v>
      </c>
      <c r="CJ61">
        <f>LOG(Table1_1[[#This Row],[FHxSA]])</f>
        <v>2.8561244442423002</v>
      </c>
      <c r="CK61">
        <f>LOG(Table1_1[[#This Row],[FOSA]])</f>
        <v>1.3031960574204888</v>
      </c>
      <c r="CL61">
        <f>LOG(Table1_1[[#This Row],[N-MeFOSA]])</f>
        <v>-1.2716462179787715</v>
      </c>
      <c r="CM61">
        <f>LOG(Table1_1[[#This Row],[N-EtFOSA]])</f>
        <v>-1.0915149811213503</v>
      </c>
      <c r="CN61">
        <f>LOG(Table1_1[[#This Row],[FOSAA]])</f>
        <v>-1.2596373105057561</v>
      </c>
      <c r="CO61">
        <f>LOG(Table1_1[[#This Row],[N-MeFOSAA]])</f>
        <v>-0.16494389827988373</v>
      </c>
      <c r="CP61">
        <f>LOG(Table1_1[[#This Row],[N-EtFOSAA]])</f>
        <v>-1.2182446253475312</v>
      </c>
      <c r="CQ61">
        <f>LOG(Table1_1[[#This Row],[4:2 FTS]])</f>
        <v>-1.2441251443275085</v>
      </c>
      <c r="CR61">
        <f>LOG(Table1_1[[#This Row],[6:2 FTS]])</f>
        <v>-1.3772680348352808</v>
      </c>
      <c r="CS61">
        <f>LOG(Table1_1[[#This Row],[8:2 FTS]])</f>
        <v>0.98677173426624487</v>
      </c>
      <c r="CT61">
        <f>LOG(Table1_1[[#This Row],[10:2 FTS]])</f>
        <v>-0.5841922723644567</v>
      </c>
      <c r="CU61">
        <f>LOG(Table1_1[[#This Row],[3:3 FTCA]])</f>
        <v>-1.0969100130080565</v>
      </c>
      <c r="CV61">
        <f>LOG(Table1_1[[#This Row],[5:3 FTCA]])</f>
        <v>0.29003461136251801</v>
      </c>
      <c r="CW61">
        <f>LOG(Table1_1[[#This Row],[7:3 FTCA]])</f>
        <v>0.59217675739586684</v>
      </c>
      <c r="CX61">
        <f>LOG(Table1_1[[#This Row],[6:2 FTCA]])</f>
        <v>-1.3511522916271064</v>
      </c>
      <c r="CY61">
        <f>LOG(Table1_1[[#This Row],[8:2 FTCA]])</f>
        <v>-1.5543957967264024</v>
      </c>
      <c r="CZ61">
        <f>LOG(Table1_1[[#This Row],[10:2 FTCA]])</f>
        <v>-0.98296666070121963</v>
      </c>
      <c r="DA61">
        <f>LOG(Table1_1[[#This Row],[6:2 FTUCA]])</f>
        <v>-1.2636034977233577</v>
      </c>
      <c r="DB61">
        <f>LOG(Table1_1[[#This Row],[8:2 FTUCA]])</f>
        <v>-1.3772680348352808</v>
      </c>
      <c r="DC61">
        <f>LOG(Table1_1[[#This Row],[ADONA]])</f>
        <v>-1.1580151954098861</v>
      </c>
      <c r="DD61">
        <f>LOG(Table1_1[[#This Row],[9Cl-PF3ONS]])</f>
        <v>-1.3156035215809796</v>
      </c>
      <c r="DE61">
        <f>LOG(Table1_1[[#This Row],[11Cl-PF3OUdS]])</f>
        <v>-1.2596373105057561</v>
      </c>
      <c r="DF61">
        <f>LOG(Table1_1[[#This Row],[HFPO-DA]])</f>
        <v>-1</v>
      </c>
      <c r="DG61">
        <f>LOG(Table1_1[[#This Row],[6:2 diPAP]])</f>
        <v>-1.1307682802690238</v>
      </c>
      <c r="DH61">
        <f>LOG(Table1_1[[#This Row],[8:2 diPAP]])</f>
        <v>-1.0362121726544447</v>
      </c>
      <c r="DI61">
        <f>LOG(Table1_1[[#This Row],[diSAmPAP]])</f>
        <v>-0.91186391129944877</v>
      </c>
    </row>
    <row r="62" spans="1:113">
      <c r="A62" t="s">
        <v>201</v>
      </c>
      <c r="B62" t="s">
        <v>114</v>
      </c>
      <c r="C62" s="3">
        <v>44393</v>
      </c>
      <c r="D62" t="s">
        <v>183</v>
      </c>
      <c r="E62" t="s">
        <v>184</v>
      </c>
      <c r="F62" t="s">
        <v>185</v>
      </c>
      <c r="G62" t="s">
        <v>118</v>
      </c>
      <c r="H62" t="s">
        <v>119</v>
      </c>
      <c r="I62">
        <v>6</v>
      </c>
      <c r="J62">
        <f>LOG(Table1_1[[#This Row],[Length]])</f>
        <v>0.77815125038364363</v>
      </c>
      <c r="K62">
        <v>1.88</v>
      </c>
      <c r="L62">
        <f>LOG(Table1_1[[#This Row],[Weight]])</f>
        <v>0.27415784926367981</v>
      </c>
      <c r="M62">
        <v>0.22600000000000001</v>
      </c>
      <c r="N62">
        <v>0.1595</v>
      </c>
      <c r="O62">
        <v>0.122</v>
      </c>
      <c r="P62">
        <v>9.0499999999999997E-2</v>
      </c>
      <c r="Q62">
        <v>3.05</v>
      </c>
      <c r="R62">
        <v>2.5099999999999998</v>
      </c>
      <c r="S62">
        <v>6.05</v>
      </c>
      <c r="T62">
        <v>6.28</v>
      </c>
      <c r="U62">
        <v>13.1</v>
      </c>
      <c r="V62">
        <v>3.89</v>
      </c>
      <c r="W62">
        <v>16</v>
      </c>
      <c r="X62">
        <v>8.1500000000000003E-2</v>
      </c>
      <c r="Y62">
        <v>6.8500000000000005E-2</v>
      </c>
      <c r="Z62">
        <v>0.1535</v>
      </c>
      <c r="AA62">
        <v>0.22600000000000001</v>
      </c>
      <c r="AB62">
        <v>57.9</v>
      </c>
      <c r="AC62">
        <v>2.25</v>
      </c>
      <c r="AD62">
        <v>630</v>
      </c>
      <c r="AE62">
        <v>0.39800000000000002</v>
      </c>
      <c r="AF62">
        <v>0.65100000000000002</v>
      </c>
      <c r="AG62">
        <v>0.24149999999999999</v>
      </c>
      <c r="AH62">
        <v>0.13750000000000001</v>
      </c>
      <c r="AI62">
        <v>0.22600000000000001</v>
      </c>
      <c r="AJ62">
        <v>122</v>
      </c>
      <c r="AK62">
        <v>515</v>
      </c>
      <c r="AL62">
        <v>23.9</v>
      </c>
      <c r="AM62">
        <v>6.8500000000000005E-2</v>
      </c>
      <c r="AN62">
        <v>0.08</v>
      </c>
      <c r="AO62">
        <v>5.3999999999999999E-2</v>
      </c>
      <c r="AP62">
        <v>6.9000000000000006E-2</v>
      </c>
      <c r="AQ62">
        <v>5.9499999999999997E-2</v>
      </c>
      <c r="AR62">
        <v>6.8500000000000005E-2</v>
      </c>
      <c r="AS62">
        <v>0.73</v>
      </c>
      <c r="AT62">
        <v>13.4</v>
      </c>
      <c r="AU62">
        <v>7.7499999999999999E-2</v>
      </c>
      <c r="AV62">
        <v>7.9000000000000001E-2</v>
      </c>
      <c r="AW62">
        <v>0.43</v>
      </c>
      <c r="AX62">
        <v>14.8</v>
      </c>
      <c r="AY62">
        <v>1.78</v>
      </c>
      <c r="AZ62">
        <v>6.8500000000000005E-2</v>
      </c>
      <c r="BA62">
        <v>0.10199999999999999</v>
      </c>
      <c r="BB62">
        <v>5.3499999999999999E-2</v>
      </c>
      <c r="BC62">
        <v>4.1349999999999998E-2</v>
      </c>
      <c r="BD62">
        <v>0.19950000000000001</v>
      </c>
      <c r="BE62">
        <v>6.8500000000000005E-2</v>
      </c>
      <c r="BF62">
        <v>6.8500000000000005E-2</v>
      </c>
      <c r="BG62">
        <v>9.8000000000000004E-2</v>
      </c>
      <c r="BH62">
        <v>7.2999999999999995E-2</v>
      </c>
      <c r="BI62">
        <v>9.0499999999999997E-2</v>
      </c>
      <c r="BJ62">
        <v>0.1205</v>
      </c>
      <c r="BK62">
        <f>SUM(Table1_1[[#This Row],[PFBA]:[diSAmPAP]])</f>
        <v>1437.3913500000008</v>
      </c>
      <c r="BL62">
        <f>LOG(Table1_1[[#This Row],[PFBA]])</f>
        <v>-0.64589156085259902</v>
      </c>
      <c r="BM62">
        <f>LOG(Table1_1[[#This Row],[PFPeA]])</f>
        <v>-0.79723931260680003</v>
      </c>
      <c r="BN62">
        <f>LOG(Table1_1[[#This Row],[PFHxA]])</f>
        <v>-0.91364016932525183</v>
      </c>
      <c r="BO62">
        <f>LOG(Table1_1[[#This Row],[PFHpA]])</f>
        <v>-1.0433514207947967</v>
      </c>
      <c r="BP62">
        <f>LOG(Table1_1[[#This Row],[PFOA]])</f>
        <v>0.48429983934678583</v>
      </c>
      <c r="BQ62">
        <f>LOG(Table1_1[[#This Row],[PFNA]])</f>
        <v>0.39967372148103808</v>
      </c>
      <c r="BR62">
        <f>LOG(Table1_1[[#This Row],[PFDA]])</f>
        <v>0.78175537465246892</v>
      </c>
      <c r="BS62">
        <f>LOG(Table1_1[[#This Row],[PFUnA]])</f>
        <v>0.79795964373719619</v>
      </c>
      <c r="BT62">
        <f>LOG(Table1_1[[#This Row],[PFDoA]])</f>
        <v>1.1172712956557642</v>
      </c>
      <c r="BU62">
        <f>LOG(Table1_1[[#This Row],[PFTrDA]])</f>
        <v>0.58994960132570773</v>
      </c>
      <c r="BV62">
        <f>LOG(Table1_1[[#This Row],[PFTeDA]])</f>
        <v>1.2041199826559248</v>
      </c>
      <c r="BW62">
        <f>LOG(Table1_1[[#This Row],[PFHxDA]])</f>
        <v>-1.0888423912600234</v>
      </c>
      <c r="BX62">
        <f>LOG(Table1_1[[#This Row],[PFPrS]])</f>
        <v>-1.1643094285075744</v>
      </c>
      <c r="BY62">
        <f>LOG(Table1_1[[#This Row],[PFBS]])</f>
        <v>-0.81389162018679473</v>
      </c>
      <c r="BZ62">
        <f>LOG(Table1_1[[#This Row],[PFPeS]])</f>
        <v>-0.64589156085259902</v>
      </c>
      <c r="CA62">
        <f>LOG(Table1_1[[#This Row],[PFHxS]])</f>
        <v>1.7626785637274363</v>
      </c>
      <c r="CB62">
        <f>LOG(Table1_1[[#This Row],[PFHpS]])</f>
        <v>0.35218251811136247</v>
      </c>
      <c r="CC62">
        <f>LOG(Table1_1[[#This Row],[PFOS]])</f>
        <v>2.7993405494535817</v>
      </c>
      <c r="CD62">
        <f>LOG(Table1_1[[#This Row],[PFNS]])</f>
        <v>-0.40011692792631215</v>
      </c>
      <c r="CE62">
        <f>LOG(Table1_1[[#This Row],[PFDS]])</f>
        <v>-0.18641901143180803</v>
      </c>
      <c r="CF62">
        <f>LOG(Table1_1[[#This Row],[PFDoS]])</f>
        <v>-0.61708286491246911</v>
      </c>
      <c r="CG62">
        <f>LOG(Table1_1[[#This Row],[Cl-PFOS]])</f>
        <v>-0.86169730183371851</v>
      </c>
      <c r="CH62">
        <f>LOG(Table1_1[[#This Row],[PFEtCHxS]])</f>
        <v>-0.64589156085259902</v>
      </c>
      <c r="CI62">
        <f>LOG(Table1_1[[#This Row],[FBSA]])</f>
        <v>2.0863598306747484</v>
      </c>
      <c r="CJ62">
        <f>LOG(Table1_1[[#This Row],[FHxSA]])</f>
        <v>2.7118072290411912</v>
      </c>
      <c r="CK62">
        <f>LOG(Table1_1[[#This Row],[FOSA]])</f>
        <v>1.3783979009481377</v>
      </c>
      <c r="CL62">
        <f>LOG(Table1_1[[#This Row],[N-MeFOSA]])</f>
        <v>-1.1643094285075744</v>
      </c>
      <c r="CM62">
        <f>LOG(Table1_1[[#This Row],[N-EtFOSA]])</f>
        <v>-1.0969100130080565</v>
      </c>
      <c r="CN62">
        <f>LOG(Table1_1[[#This Row],[FOSAA]])</f>
        <v>-1.2676062401770316</v>
      </c>
      <c r="CO62">
        <f>LOG(Table1_1[[#This Row],[N-MeFOSAA]])</f>
        <v>-1.1611509092627446</v>
      </c>
      <c r="CP62">
        <f>LOG(Table1_1[[#This Row],[N-EtFOSAA]])</f>
        <v>-1.2254830342714504</v>
      </c>
      <c r="CQ62">
        <f>LOG(Table1_1[[#This Row],[4:2 FTS]])</f>
        <v>-1.1643094285075744</v>
      </c>
      <c r="CR62">
        <f>LOG(Table1_1[[#This Row],[6:2 FTS]])</f>
        <v>-0.13667713987954411</v>
      </c>
      <c r="CS62">
        <f>LOG(Table1_1[[#This Row],[8:2 FTS]])</f>
        <v>1.1271047983648077</v>
      </c>
      <c r="CT62">
        <f>LOG(Table1_1[[#This Row],[10:2 FTS]])</f>
        <v>-1.1106982974936896</v>
      </c>
      <c r="CU62">
        <f>LOG(Table1_1[[#This Row],[3:3 FTCA]])</f>
        <v>-1.1023729087095586</v>
      </c>
      <c r="CV62">
        <f>LOG(Table1_1[[#This Row],[5:3 FTCA]])</f>
        <v>-0.36653154442041347</v>
      </c>
      <c r="CW62">
        <f>LOG(Table1_1[[#This Row],[7:3 FTCA]])</f>
        <v>1.1702617153949575</v>
      </c>
      <c r="CX62">
        <f>LOG(Table1_1[[#This Row],[6:2 FTCA]])</f>
        <v>0.250420002308894</v>
      </c>
      <c r="CY62">
        <f>LOG(Table1_1[[#This Row],[8:2 FTCA]])</f>
        <v>-1.1643094285075744</v>
      </c>
      <c r="CZ62">
        <f>LOG(Table1_1[[#This Row],[10:2 FTCA]])</f>
        <v>-0.99139982823808248</v>
      </c>
      <c r="DA62">
        <f>LOG(Table1_1[[#This Row],[6:2 FTUCA]])</f>
        <v>-1.2716462179787715</v>
      </c>
      <c r="DB62">
        <f>LOG(Table1_1[[#This Row],[8:2 FTUCA]])</f>
        <v>-1.3835244861114346</v>
      </c>
      <c r="DC62">
        <f>LOG(Table1_1[[#This Row],[ADONA]])</f>
        <v>-0.70005709997723298</v>
      </c>
      <c r="DD62">
        <f>LOG(Table1_1[[#This Row],[9Cl-PF3ONS]])</f>
        <v>-1.1643094285075744</v>
      </c>
      <c r="DE62">
        <f>LOG(Table1_1[[#This Row],[11Cl-PF3OUdS]])</f>
        <v>-1.1643094285075744</v>
      </c>
      <c r="DF62">
        <f>LOG(Table1_1[[#This Row],[HFPO-DA]])</f>
        <v>-1.0087739243075051</v>
      </c>
      <c r="DG62">
        <f>LOG(Table1_1[[#This Row],[6:2 diPAP]])</f>
        <v>-1.1366771398795441</v>
      </c>
      <c r="DH62">
        <f>LOG(Table1_1[[#This Row],[8:2 diPAP]])</f>
        <v>-1.0433514207947967</v>
      </c>
      <c r="DI62">
        <f>LOG(Table1_1[[#This Row],[diSAmPAP]])</f>
        <v>-0.91901295308911279</v>
      </c>
    </row>
    <row r="63" spans="1:113">
      <c r="A63" t="s">
        <v>202</v>
      </c>
      <c r="B63" t="s">
        <v>114</v>
      </c>
      <c r="C63" s="3">
        <v>44393</v>
      </c>
      <c r="D63" t="s">
        <v>183</v>
      </c>
      <c r="E63" t="s">
        <v>184</v>
      </c>
      <c r="F63" t="s">
        <v>185</v>
      </c>
      <c r="G63" t="s">
        <v>118</v>
      </c>
      <c r="H63" t="s">
        <v>119</v>
      </c>
      <c r="I63">
        <v>6</v>
      </c>
      <c r="J63">
        <f>LOG(Table1_1[[#This Row],[Length]])</f>
        <v>0.77815125038364363</v>
      </c>
      <c r="K63">
        <v>1.79</v>
      </c>
      <c r="L63">
        <f>LOG(Table1_1[[#This Row],[Weight]])</f>
        <v>0.2528530309798932</v>
      </c>
      <c r="M63">
        <v>0.22500000000000001</v>
      </c>
      <c r="N63">
        <v>4.82E-2</v>
      </c>
      <c r="O63">
        <v>0.1215</v>
      </c>
      <c r="P63">
        <v>0.09</v>
      </c>
      <c r="Q63">
        <v>2</v>
      </c>
      <c r="R63">
        <v>1.96</v>
      </c>
      <c r="S63">
        <v>6.25</v>
      </c>
      <c r="T63">
        <v>10</v>
      </c>
      <c r="U63">
        <v>12.1</v>
      </c>
      <c r="V63">
        <v>2.82</v>
      </c>
      <c r="W63">
        <v>9.74</v>
      </c>
      <c r="X63">
        <v>8.1500000000000003E-2</v>
      </c>
      <c r="Y63">
        <v>6.8000000000000005E-2</v>
      </c>
      <c r="Z63">
        <v>0.153</v>
      </c>
      <c r="AA63">
        <v>0.22500000000000001</v>
      </c>
      <c r="AB63">
        <v>31.9</v>
      </c>
      <c r="AC63">
        <v>2.2799999999999998</v>
      </c>
      <c r="AD63">
        <v>603</v>
      </c>
      <c r="AE63">
        <v>0.38800000000000001</v>
      </c>
      <c r="AF63">
        <v>0.64200000000000002</v>
      </c>
      <c r="AG63">
        <v>0.24049999999999999</v>
      </c>
      <c r="AH63">
        <v>0.13700000000000001</v>
      </c>
      <c r="AI63">
        <v>0.22500000000000001</v>
      </c>
      <c r="AJ63">
        <v>77.900000000000006</v>
      </c>
      <c r="AK63">
        <v>380</v>
      </c>
      <c r="AL63">
        <v>36.799999999999997</v>
      </c>
      <c r="AM63">
        <v>6.8000000000000005E-2</v>
      </c>
      <c r="AN63">
        <v>7.9500000000000001E-2</v>
      </c>
      <c r="AO63">
        <v>5.3999999999999999E-2</v>
      </c>
      <c r="AP63">
        <v>6.8500000000000005E-2</v>
      </c>
      <c r="AQ63">
        <v>5.8999999999999997E-2</v>
      </c>
      <c r="AR63">
        <v>6.8000000000000005E-2</v>
      </c>
      <c r="AS63">
        <v>0.95899999999999996</v>
      </c>
      <c r="AT63">
        <v>12.4</v>
      </c>
      <c r="AU63">
        <v>0.2555</v>
      </c>
      <c r="AV63">
        <v>7.85E-2</v>
      </c>
      <c r="AW63">
        <v>2.82</v>
      </c>
      <c r="AX63">
        <v>24.8</v>
      </c>
      <c r="AY63">
        <v>6.8000000000000005E-2</v>
      </c>
      <c r="AZ63">
        <v>6.8000000000000005E-2</v>
      </c>
      <c r="BA63">
        <v>0.10199999999999999</v>
      </c>
      <c r="BB63">
        <v>5.3499999999999999E-2</v>
      </c>
      <c r="BC63">
        <v>4.1200000000000001E-2</v>
      </c>
      <c r="BD63">
        <v>0.06</v>
      </c>
      <c r="BE63">
        <v>6.8000000000000005E-2</v>
      </c>
      <c r="BF63">
        <v>6.8000000000000005E-2</v>
      </c>
      <c r="BG63">
        <v>9.8000000000000004E-2</v>
      </c>
      <c r="BH63">
        <v>7.2499999999999995E-2</v>
      </c>
      <c r="BI63">
        <v>9.0499999999999997E-2</v>
      </c>
      <c r="BJ63">
        <v>0.12</v>
      </c>
      <c r="BK63">
        <f>SUM(Table1_1[[#This Row],[PFBA]:[diSAmPAP]])</f>
        <v>1222.0144</v>
      </c>
      <c r="BL63">
        <f>LOG(Table1_1[[#This Row],[PFBA]])</f>
        <v>-0.64781748188863753</v>
      </c>
      <c r="BM63">
        <f>LOG(Table1_1[[#This Row],[PFPeA]])</f>
        <v>-1.3169529617611504</v>
      </c>
      <c r="BN63">
        <f>LOG(Table1_1[[#This Row],[PFHxA]])</f>
        <v>-0.91542372206566902</v>
      </c>
      <c r="BO63">
        <f>LOG(Table1_1[[#This Row],[PFHpA]])</f>
        <v>-1.0457574905606752</v>
      </c>
      <c r="BP63">
        <f>LOG(Table1_1[[#This Row],[PFOA]])</f>
        <v>0.3010299956639812</v>
      </c>
      <c r="BQ63">
        <f>LOG(Table1_1[[#This Row],[PFNA]])</f>
        <v>0.29225607135647602</v>
      </c>
      <c r="BR63">
        <f>LOG(Table1_1[[#This Row],[PFDA]])</f>
        <v>0.79588001734407521</v>
      </c>
      <c r="BS63">
        <f>LOG(Table1_1[[#This Row],[PFUnA]])</f>
        <v>1</v>
      </c>
      <c r="BT63">
        <f>LOG(Table1_1[[#This Row],[PFDoA]])</f>
        <v>1.0827853703164501</v>
      </c>
      <c r="BU63">
        <f>LOG(Table1_1[[#This Row],[PFTrDA]])</f>
        <v>0.45024910831936105</v>
      </c>
      <c r="BV63">
        <f>LOG(Table1_1[[#This Row],[PFTeDA]])</f>
        <v>0.9885589568786155</v>
      </c>
      <c r="BW63">
        <f>LOG(Table1_1[[#This Row],[PFHxDA]])</f>
        <v>-1.0888423912600234</v>
      </c>
      <c r="BX63">
        <f>LOG(Table1_1[[#This Row],[PFPrS]])</f>
        <v>-1.1674910872937636</v>
      </c>
      <c r="BY63">
        <f>LOG(Table1_1[[#This Row],[PFBS]])</f>
        <v>-0.81530856918240124</v>
      </c>
      <c r="BZ63">
        <f>LOG(Table1_1[[#This Row],[PFPeS]])</f>
        <v>-0.64781748188863753</v>
      </c>
      <c r="CA63">
        <f>LOG(Table1_1[[#This Row],[PFHxS]])</f>
        <v>1.503790683057181</v>
      </c>
      <c r="CB63">
        <f>LOG(Table1_1[[#This Row],[PFHpS]])</f>
        <v>0.35793484700045375</v>
      </c>
      <c r="CC63">
        <f>LOG(Table1_1[[#This Row],[PFOS]])</f>
        <v>2.7803173121401512</v>
      </c>
      <c r="CD63">
        <f>LOG(Table1_1[[#This Row],[PFNS]])</f>
        <v>-0.41116827440579273</v>
      </c>
      <c r="CE63">
        <f>LOG(Table1_1[[#This Row],[PFDS]])</f>
        <v>-0.19246497193114673</v>
      </c>
      <c r="CF63">
        <f>LOG(Table1_1[[#This Row],[PFDoS]])</f>
        <v>-0.61888491929014944</v>
      </c>
      <c r="CG63">
        <f>LOG(Table1_1[[#This Row],[Cl-PFOS]])</f>
        <v>-0.86327943284359321</v>
      </c>
      <c r="CH63">
        <f>LOG(Table1_1[[#This Row],[PFEtCHxS]])</f>
        <v>-0.64781748188863753</v>
      </c>
      <c r="CI63">
        <f>LOG(Table1_1[[#This Row],[FBSA]])</f>
        <v>1.8915374576725645</v>
      </c>
      <c r="CJ63">
        <f>LOG(Table1_1[[#This Row],[FHxSA]])</f>
        <v>2.5797835966168101</v>
      </c>
      <c r="CK63">
        <f>LOG(Table1_1[[#This Row],[FOSA]])</f>
        <v>1.5658478186735176</v>
      </c>
      <c r="CL63">
        <f>LOG(Table1_1[[#This Row],[N-MeFOSA]])</f>
        <v>-1.1674910872937636</v>
      </c>
      <c r="CM63">
        <f>LOG(Table1_1[[#This Row],[N-EtFOSA]])</f>
        <v>-1.0996328713435297</v>
      </c>
      <c r="CN63">
        <f>LOG(Table1_1[[#This Row],[FOSAA]])</f>
        <v>-1.2676062401770316</v>
      </c>
      <c r="CO63">
        <f>LOG(Table1_1[[#This Row],[N-MeFOSAA]])</f>
        <v>-1.1643094285075744</v>
      </c>
      <c r="CP63">
        <f>LOG(Table1_1[[#This Row],[N-EtFOSAA]])</f>
        <v>-1.2291479883578558</v>
      </c>
      <c r="CQ63">
        <f>LOG(Table1_1[[#This Row],[4:2 FTS]])</f>
        <v>-1.1674910872937636</v>
      </c>
      <c r="CR63">
        <f>LOG(Table1_1[[#This Row],[6:2 FTS]])</f>
        <v>-1.8181392829336417E-2</v>
      </c>
      <c r="CS63">
        <f>LOG(Table1_1[[#This Row],[8:2 FTS]])</f>
        <v>1.0934216851622351</v>
      </c>
      <c r="CT63">
        <f>LOG(Table1_1[[#This Row],[10:2 FTS]])</f>
        <v>-0.59260909552926844</v>
      </c>
      <c r="CU63">
        <f>LOG(Table1_1[[#This Row],[3:3 FTCA]])</f>
        <v>-1.1051303432547475</v>
      </c>
      <c r="CV63">
        <f>LOG(Table1_1[[#This Row],[5:3 FTCA]])</f>
        <v>0.45024910831936105</v>
      </c>
      <c r="CW63">
        <f>LOG(Table1_1[[#This Row],[7:3 FTCA]])</f>
        <v>1.3944516808262162</v>
      </c>
      <c r="CX63">
        <f>LOG(Table1_1[[#This Row],[6:2 FTCA]])</f>
        <v>-1.1674910872937636</v>
      </c>
      <c r="CY63">
        <f>LOG(Table1_1[[#This Row],[8:2 FTCA]])</f>
        <v>-1.1674910872937636</v>
      </c>
      <c r="CZ63">
        <f>LOG(Table1_1[[#This Row],[10:2 FTCA]])</f>
        <v>-0.99139982823808248</v>
      </c>
      <c r="DA63">
        <f>LOG(Table1_1[[#This Row],[6:2 FTUCA]])</f>
        <v>-1.2716462179787715</v>
      </c>
      <c r="DB63">
        <f>LOG(Table1_1[[#This Row],[8:2 FTUCA]])</f>
        <v>-1.3851027839668655</v>
      </c>
      <c r="DC63">
        <f>LOG(Table1_1[[#This Row],[ADONA]])</f>
        <v>-1.2218487496163564</v>
      </c>
      <c r="DD63">
        <f>LOG(Table1_1[[#This Row],[9Cl-PF3ONS]])</f>
        <v>-1.1674910872937636</v>
      </c>
      <c r="DE63">
        <f>LOG(Table1_1[[#This Row],[11Cl-PF3OUdS]])</f>
        <v>-1.1674910872937636</v>
      </c>
      <c r="DF63">
        <f>LOG(Table1_1[[#This Row],[HFPO-DA]])</f>
        <v>-1.0087739243075051</v>
      </c>
      <c r="DG63">
        <f>LOG(Table1_1[[#This Row],[6:2 diPAP]])</f>
        <v>-1.1396619934290064</v>
      </c>
      <c r="DH63">
        <f>LOG(Table1_1[[#This Row],[8:2 diPAP]])</f>
        <v>-1.0433514207947967</v>
      </c>
      <c r="DI63">
        <f>LOG(Table1_1[[#This Row],[diSAmPAP]])</f>
        <v>-0.92081875395237522</v>
      </c>
    </row>
    <row r="64" spans="1:113">
      <c r="A64" t="s">
        <v>203</v>
      </c>
      <c r="B64" t="s">
        <v>114</v>
      </c>
      <c r="C64" s="3">
        <v>44393</v>
      </c>
      <c r="D64" t="s">
        <v>183</v>
      </c>
      <c r="E64" t="s">
        <v>184</v>
      </c>
      <c r="F64" t="s">
        <v>185</v>
      </c>
      <c r="G64" t="s">
        <v>118</v>
      </c>
      <c r="H64" t="s">
        <v>119</v>
      </c>
      <c r="I64">
        <v>5</v>
      </c>
      <c r="J64">
        <f>LOG(Table1_1[[#This Row],[Length]])</f>
        <v>0.69897000433601886</v>
      </c>
      <c r="K64">
        <v>1.31</v>
      </c>
      <c r="L64">
        <f>LOG(Table1_1[[#This Row],[Weight]])</f>
        <v>0.11727129565576427</v>
      </c>
      <c r="M64">
        <v>7.8E-2</v>
      </c>
      <c r="N64">
        <v>5.5E-2</v>
      </c>
      <c r="O64">
        <v>4.2099999999999999E-2</v>
      </c>
      <c r="P64">
        <v>3.1199999999999999E-2</v>
      </c>
      <c r="Q64">
        <v>8.2899999999999991</v>
      </c>
      <c r="R64">
        <v>8.3000000000000007</v>
      </c>
      <c r="S64">
        <v>9.51</v>
      </c>
      <c r="T64">
        <v>21.7</v>
      </c>
      <c r="U64">
        <v>16</v>
      </c>
      <c r="V64">
        <v>4.9849999999999998E-2</v>
      </c>
      <c r="W64">
        <v>7.16</v>
      </c>
      <c r="X64">
        <v>9.2999999999999999E-2</v>
      </c>
      <c r="Y64">
        <v>7.8E-2</v>
      </c>
      <c r="Z64">
        <v>5.2999999999999999E-2</v>
      </c>
      <c r="AA64">
        <v>0.75800000000000001</v>
      </c>
      <c r="AB64">
        <v>92.1</v>
      </c>
      <c r="AC64">
        <v>11</v>
      </c>
      <c r="AD64">
        <v>1010</v>
      </c>
      <c r="AE64">
        <v>5.03</v>
      </c>
      <c r="AF64">
        <v>8.6</v>
      </c>
      <c r="AG64">
        <v>4.04</v>
      </c>
      <c r="AH64">
        <v>0.1565</v>
      </c>
      <c r="AI64">
        <v>7.8E-2</v>
      </c>
      <c r="AJ64">
        <v>16</v>
      </c>
      <c r="AK64">
        <v>159</v>
      </c>
      <c r="AL64">
        <v>30.3</v>
      </c>
      <c r="AM64">
        <v>7.8E-2</v>
      </c>
      <c r="AN64">
        <v>9.0999999999999998E-2</v>
      </c>
      <c r="AO64">
        <v>6.1499999999999999E-2</v>
      </c>
      <c r="AP64">
        <v>7.85E-2</v>
      </c>
      <c r="AQ64">
        <v>6.7500000000000004E-2</v>
      </c>
      <c r="AR64">
        <v>7.8E-2</v>
      </c>
      <c r="AS64">
        <v>1.26</v>
      </c>
      <c r="AT64">
        <v>23.8</v>
      </c>
      <c r="AU64">
        <v>1.1299999999999999</v>
      </c>
      <c r="AV64">
        <v>0.09</v>
      </c>
      <c r="AW64">
        <v>5.8999999999999997E-2</v>
      </c>
      <c r="AX64">
        <v>19.899999999999999</v>
      </c>
      <c r="AY64">
        <v>7.8E-2</v>
      </c>
      <c r="AZ64">
        <v>7.8E-2</v>
      </c>
      <c r="BA64">
        <v>0.11650000000000001</v>
      </c>
      <c r="BB64">
        <v>6.0999999999999999E-2</v>
      </c>
      <c r="BC64">
        <v>4.7149999999999997E-2</v>
      </c>
      <c r="BD64">
        <v>6.9000000000000006E-2</v>
      </c>
      <c r="BE64">
        <v>7.8E-2</v>
      </c>
      <c r="BF64">
        <v>7.8E-2</v>
      </c>
      <c r="BG64">
        <v>0.112</v>
      </c>
      <c r="BH64">
        <v>8.3000000000000004E-2</v>
      </c>
      <c r="BI64">
        <v>0.10349999999999999</v>
      </c>
      <c r="BJ64">
        <v>0.13750000000000001</v>
      </c>
      <c r="BK64">
        <f>SUM(Table1_1[[#This Row],[PFBA]:[diSAmPAP]])</f>
        <v>1456.2378000000001</v>
      </c>
      <c r="BL64">
        <f>LOG(Table1_1[[#This Row],[PFBA]])</f>
        <v>-1.1079053973095196</v>
      </c>
      <c r="BM64">
        <f>LOG(Table1_1[[#This Row],[PFPeA]])</f>
        <v>-1.2596373105057561</v>
      </c>
      <c r="BN64">
        <f>LOG(Table1_1[[#This Row],[PFHxA]])</f>
        <v>-1.3757179041643317</v>
      </c>
      <c r="BO64">
        <f>LOG(Table1_1[[#This Row],[PFHpA]])</f>
        <v>-1.5058454059815571</v>
      </c>
      <c r="BP64">
        <f>LOG(Table1_1[[#This Row],[PFOA]])</f>
        <v>0.91855453055027347</v>
      </c>
      <c r="BQ64">
        <f>LOG(Table1_1[[#This Row],[PFNA]])</f>
        <v>0.91907809237607396</v>
      </c>
      <c r="BR64">
        <f>LOG(Table1_1[[#This Row],[PFDA]])</f>
        <v>0.97818051693741392</v>
      </c>
      <c r="BS64">
        <f>LOG(Table1_1[[#This Row],[PFUnA]])</f>
        <v>1.3364597338485296</v>
      </c>
      <c r="BT64">
        <f>LOG(Table1_1[[#This Row],[PFDoA]])</f>
        <v>1.2041199826559248</v>
      </c>
      <c r="BU64">
        <f>LOG(Table1_1[[#This Row],[PFTrDA]])</f>
        <v>-1.3023348373523256</v>
      </c>
      <c r="BV64">
        <f>LOG(Table1_1[[#This Row],[PFTeDA]])</f>
        <v>0.8549130223078556</v>
      </c>
      <c r="BW64">
        <f>LOG(Table1_1[[#This Row],[PFHxDA]])</f>
        <v>-1.031517051446065</v>
      </c>
      <c r="BX64">
        <f>LOG(Table1_1[[#This Row],[PFPrS]])</f>
        <v>-1.1079053973095196</v>
      </c>
      <c r="BY64">
        <f>LOG(Table1_1[[#This Row],[PFBS]])</f>
        <v>-1.2757241303992111</v>
      </c>
      <c r="BZ64">
        <f>LOG(Table1_1[[#This Row],[PFPeS]])</f>
        <v>-0.12033079436794646</v>
      </c>
      <c r="CA64">
        <f>LOG(Table1_1[[#This Row],[PFHxS]])</f>
        <v>1.9642596301968489</v>
      </c>
      <c r="CB64">
        <f>LOG(Table1_1[[#This Row],[PFHpS]])</f>
        <v>1.0413926851582251</v>
      </c>
      <c r="CC64">
        <f>LOG(Table1_1[[#This Row],[PFOS]])</f>
        <v>3.0043213737826426</v>
      </c>
      <c r="CD64">
        <f>LOG(Table1_1[[#This Row],[PFNS]])</f>
        <v>0.70156798505592743</v>
      </c>
      <c r="CE64">
        <f>LOG(Table1_1[[#This Row],[PFDS]])</f>
        <v>0.93449845124356767</v>
      </c>
      <c r="CF64">
        <f>LOG(Table1_1[[#This Row],[PFDoS]])</f>
        <v>0.60638136511060492</v>
      </c>
      <c r="CG64">
        <f>LOG(Table1_1[[#This Row],[Cl-PFOS]])</f>
        <v>-0.8054856581175327</v>
      </c>
      <c r="CH64">
        <f>LOG(Table1_1[[#This Row],[PFEtCHxS]])</f>
        <v>-1.1079053973095196</v>
      </c>
      <c r="CI64">
        <f>LOG(Table1_1[[#This Row],[FBSA]])</f>
        <v>1.2041199826559248</v>
      </c>
      <c r="CJ64">
        <f>LOG(Table1_1[[#This Row],[FHxSA]])</f>
        <v>2.2013971243204513</v>
      </c>
      <c r="CK64">
        <f>LOG(Table1_1[[#This Row],[FOSA]])</f>
        <v>1.481442628502305</v>
      </c>
      <c r="CL64">
        <f>LOG(Table1_1[[#This Row],[N-MeFOSA]])</f>
        <v>-1.1079053973095196</v>
      </c>
      <c r="CM64">
        <f>LOG(Table1_1[[#This Row],[N-EtFOSA]])</f>
        <v>-1.0409586076789064</v>
      </c>
      <c r="CN64">
        <f>LOG(Table1_1[[#This Row],[FOSAA]])</f>
        <v>-1.2111248842245832</v>
      </c>
      <c r="CO64">
        <f>LOG(Table1_1[[#This Row],[N-MeFOSAA]])</f>
        <v>-1.1051303432547475</v>
      </c>
      <c r="CP64">
        <f>LOG(Table1_1[[#This Row],[N-EtFOSAA]])</f>
        <v>-1.1706962271689751</v>
      </c>
      <c r="CQ64">
        <f>LOG(Table1_1[[#This Row],[4:2 FTS]])</f>
        <v>-1.1079053973095196</v>
      </c>
      <c r="CR64">
        <f>LOG(Table1_1[[#This Row],[6:2 FTS]])</f>
        <v>0.10037054511756291</v>
      </c>
      <c r="CS64">
        <f>LOG(Table1_1[[#This Row],[8:2 FTS]])</f>
        <v>1.3765769570565121</v>
      </c>
      <c r="CT64">
        <f>LOG(Table1_1[[#This Row],[10:2 FTS]])</f>
        <v>5.3078443483419682E-2</v>
      </c>
      <c r="CU64">
        <f>LOG(Table1_1[[#This Row],[3:3 FTCA]])</f>
        <v>-1.0457574905606752</v>
      </c>
      <c r="CV64">
        <f>LOG(Table1_1[[#This Row],[5:3 FTCA]])</f>
        <v>-1.2291479883578558</v>
      </c>
      <c r="CW64">
        <f>LOG(Table1_1[[#This Row],[7:3 FTCA]])</f>
        <v>1.2988530764097066</v>
      </c>
      <c r="CX64">
        <f>LOG(Table1_1[[#This Row],[6:2 FTCA]])</f>
        <v>-1.1079053973095196</v>
      </c>
      <c r="CY64">
        <f>LOG(Table1_1[[#This Row],[8:2 FTCA]])</f>
        <v>-1.1079053973095196</v>
      </c>
      <c r="CZ64">
        <f>LOG(Table1_1[[#This Row],[10:2 FTCA]])</f>
        <v>-0.93367407463796215</v>
      </c>
      <c r="DA64">
        <f>LOG(Table1_1[[#This Row],[6:2 FTUCA]])</f>
        <v>-1.2146701649892331</v>
      </c>
      <c r="DB64">
        <f>LOG(Table1_1[[#This Row],[8:2 FTUCA]])</f>
        <v>-1.3265183029266527</v>
      </c>
      <c r="DC64">
        <f>LOG(Table1_1[[#This Row],[ADONA]])</f>
        <v>-1.1611509092627446</v>
      </c>
      <c r="DD64">
        <f>LOG(Table1_1[[#This Row],[9Cl-PF3ONS]])</f>
        <v>-1.1079053973095196</v>
      </c>
      <c r="DE64">
        <f>LOG(Table1_1[[#This Row],[11Cl-PF3OUdS]])</f>
        <v>-1.1079053973095196</v>
      </c>
      <c r="DF64">
        <f>LOG(Table1_1[[#This Row],[HFPO-DA]])</f>
        <v>-0.9507819773298184</v>
      </c>
      <c r="DG64">
        <f>LOG(Table1_1[[#This Row],[6:2 diPAP]])</f>
        <v>-1.080921907623926</v>
      </c>
      <c r="DH64">
        <f>LOG(Table1_1[[#This Row],[8:2 diPAP]])</f>
        <v>-0.98505965020706343</v>
      </c>
      <c r="DI64">
        <f>LOG(Table1_1[[#This Row],[diSAmPAP]])</f>
        <v>-0.86169730183371851</v>
      </c>
    </row>
    <row r="65" spans="1:113">
      <c r="A65" t="s">
        <v>204</v>
      </c>
      <c r="B65" t="s">
        <v>121</v>
      </c>
      <c r="C65" s="3">
        <v>44393</v>
      </c>
      <c r="D65" t="s">
        <v>183</v>
      </c>
      <c r="E65" t="s">
        <v>184</v>
      </c>
      <c r="F65" t="s">
        <v>185</v>
      </c>
      <c r="G65" t="s">
        <v>118</v>
      </c>
      <c r="H65" t="s">
        <v>119</v>
      </c>
      <c r="I65">
        <v>5</v>
      </c>
      <c r="J65">
        <f>LOG(Table1_1[[#This Row],[Length]])</f>
        <v>0.69897000433601886</v>
      </c>
      <c r="K65">
        <v>1.65</v>
      </c>
      <c r="L65">
        <f>LOG(Table1_1[[#This Row],[Weight]])</f>
        <v>0.21748394421390627</v>
      </c>
      <c r="M65">
        <v>0.248</v>
      </c>
      <c r="N65">
        <v>0.248</v>
      </c>
      <c r="O65">
        <v>0.13400000000000001</v>
      </c>
      <c r="P65">
        <v>0.82799999999999996</v>
      </c>
      <c r="Q65">
        <v>2.02</v>
      </c>
      <c r="R65">
        <v>5.75</v>
      </c>
      <c r="S65">
        <v>3.47</v>
      </c>
      <c r="T65">
        <v>3.83</v>
      </c>
      <c r="U65">
        <v>5.12</v>
      </c>
      <c r="V65">
        <v>1.6</v>
      </c>
      <c r="W65">
        <v>2.5099999999999998</v>
      </c>
      <c r="X65">
        <v>0.29549999999999998</v>
      </c>
      <c r="Y65">
        <v>0.496</v>
      </c>
      <c r="Z65">
        <v>0.16850000000000001</v>
      </c>
      <c r="AA65">
        <v>0.313</v>
      </c>
      <c r="AB65">
        <v>30.1</v>
      </c>
      <c r="AC65">
        <v>2.41</v>
      </c>
      <c r="AD65">
        <v>345</v>
      </c>
      <c r="AE65">
        <v>0.248</v>
      </c>
      <c r="AF65">
        <v>0.248</v>
      </c>
      <c r="AG65">
        <v>0.26500000000000001</v>
      </c>
      <c r="AH65">
        <v>0.15049999999999999</v>
      </c>
      <c r="AI65">
        <v>9.9000000000000005E-2</v>
      </c>
      <c r="AJ65">
        <v>70.3</v>
      </c>
      <c r="AK65">
        <v>362</v>
      </c>
      <c r="AL65">
        <v>14.1</v>
      </c>
      <c r="AM65">
        <v>0.191</v>
      </c>
      <c r="AN65">
        <v>0.496</v>
      </c>
      <c r="AO65">
        <v>0.496</v>
      </c>
      <c r="AP65">
        <v>0.2495</v>
      </c>
      <c r="AQ65">
        <v>0.248</v>
      </c>
      <c r="AR65">
        <v>0.248</v>
      </c>
      <c r="AS65">
        <v>0.248</v>
      </c>
      <c r="AT65">
        <v>8.08</v>
      </c>
      <c r="AU65">
        <v>0.496</v>
      </c>
      <c r="AV65">
        <v>0.28599999999999998</v>
      </c>
      <c r="AW65">
        <v>0.248</v>
      </c>
      <c r="AX65">
        <v>2.87</v>
      </c>
      <c r="AY65">
        <v>0.496</v>
      </c>
      <c r="AZ65">
        <v>0.496</v>
      </c>
      <c r="BA65">
        <v>0.496</v>
      </c>
      <c r="BB65">
        <v>0.496</v>
      </c>
      <c r="BC65">
        <v>0.496</v>
      </c>
      <c r="BD65">
        <v>0.248</v>
      </c>
      <c r="BE65">
        <v>0.496</v>
      </c>
      <c r="BF65">
        <v>0.496</v>
      </c>
      <c r="BG65">
        <v>0.35599999999999998</v>
      </c>
      <c r="BH65">
        <v>0.496</v>
      </c>
      <c r="BI65">
        <v>0.496</v>
      </c>
      <c r="BJ65">
        <v>0.496</v>
      </c>
      <c r="BK65">
        <f>SUM(Table1_1[[#This Row],[PFBA]:[diSAmPAP]])</f>
        <v>871.67200000000003</v>
      </c>
      <c r="BL65">
        <f>LOG(Table1_1[[#This Row],[PFBA]])</f>
        <v>-0.60554831917378371</v>
      </c>
      <c r="BM65">
        <f>LOG(Table1_1[[#This Row],[PFPeA]])</f>
        <v>-0.60554831917378371</v>
      </c>
      <c r="BN65">
        <f>LOG(Table1_1[[#This Row],[PFHxA]])</f>
        <v>-0.8728952016351923</v>
      </c>
      <c r="BO65">
        <f>LOG(Table1_1[[#This Row],[PFHpA]])</f>
        <v>-8.1969663215119878E-2</v>
      </c>
      <c r="BP65">
        <f>LOG(Table1_1[[#This Row],[PFOA]])</f>
        <v>0.30535136944662378</v>
      </c>
      <c r="BQ65">
        <f>LOG(Table1_1[[#This Row],[PFNA]])</f>
        <v>0.75966784468963044</v>
      </c>
      <c r="BR65">
        <f>LOG(Table1_1[[#This Row],[PFDA]])</f>
        <v>0.54032947479087379</v>
      </c>
      <c r="BS65">
        <f>LOG(Table1_1[[#This Row],[PFUnA]])</f>
        <v>0.58319877396862274</v>
      </c>
      <c r="BT65">
        <f>LOG(Table1_1[[#This Row],[PFDoA]])</f>
        <v>0.70926996097583073</v>
      </c>
      <c r="BU65">
        <f>LOG(Table1_1[[#This Row],[PFTrDA]])</f>
        <v>0.20411998265592479</v>
      </c>
      <c r="BV65">
        <f>LOG(Table1_1[[#This Row],[PFTeDA]])</f>
        <v>0.39967372148103808</v>
      </c>
      <c r="BW65">
        <f>LOG(Table1_1[[#This Row],[PFHxDA]])</f>
        <v>-0.52944251478272586</v>
      </c>
      <c r="BX65">
        <f>LOG(Table1_1[[#This Row],[PFPrS]])</f>
        <v>-0.30451832350980257</v>
      </c>
      <c r="BY65">
        <f>LOG(Table1_1[[#This Row],[PFBS]])</f>
        <v>-0.77340009479264249</v>
      </c>
      <c r="BZ65">
        <f>LOG(Table1_1[[#This Row],[PFPeS]])</f>
        <v>-0.50445566245355156</v>
      </c>
      <c r="CA65">
        <f>LOG(Table1_1[[#This Row],[PFHxS]])</f>
        <v>1.4785664955938433</v>
      </c>
      <c r="CB65">
        <f>LOG(Table1_1[[#This Row],[PFHpS]])</f>
        <v>0.3820170425748684</v>
      </c>
      <c r="CC65">
        <f>LOG(Table1_1[[#This Row],[PFOS]])</f>
        <v>2.537819095073274</v>
      </c>
      <c r="CD65">
        <f>LOG(Table1_1[[#This Row],[PFNS]])</f>
        <v>-0.60554831917378371</v>
      </c>
      <c r="CE65">
        <f>LOG(Table1_1[[#This Row],[PFDS]])</f>
        <v>-0.60554831917378371</v>
      </c>
      <c r="CF65">
        <f>LOG(Table1_1[[#This Row],[PFDoS]])</f>
        <v>-0.5767541260631921</v>
      </c>
      <c r="CG65">
        <f>LOG(Table1_1[[#This Row],[Cl-PFOS]])</f>
        <v>-0.8224635000701378</v>
      </c>
      <c r="CH65">
        <f>LOG(Table1_1[[#This Row],[PFEtCHxS]])</f>
        <v>-1.0043648054024501</v>
      </c>
      <c r="CI65">
        <f>LOG(Table1_1[[#This Row],[FBSA]])</f>
        <v>1.8469553250198238</v>
      </c>
      <c r="CJ65">
        <f>LOG(Table1_1[[#This Row],[FHxSA]])</f>
        <v>2.5587085705331658</v>
      </c>
      <c r="CK65">
        <f>LOG(Table1_1[[#This Row],[FOSA]])</f>
        <v>1.1492191126553799</v>
      </c>
      <c r="CL65">
        <f>LOG(Table1_1[[#This Row],[N-MeFOSA]])</f>
        <v>-0.71896663275227246</v>
      </c>
      <c r="CM65">
        <f>LOG(Table1_1[[#This Row],[N-EtFOSA]])</f>
        <v>-0.30451832350980257</v>
      </c>
      <c r="CN65">
        <f>LOG(Table1_1[[#This Row],[FOSAA]])</f>
        <v>-0.30451832350980257</v>
      </c>
      <c r="CO65">
        <f>LOG(Table1_1[[#This Row],[N-MeFOSAA]])</f>
        <v>-0.60292945004059129</v>
      </c>
      <c r="CP65">
        <f>LOG(Table1_1[[#This Row],[N-EtFOSAA]])</f>
        <v>-0.60554831917378371</v>
      </c>
      <c r="CQ65">
        <f>LOG(Table1_1[[#This Row],[4:2 FTS]])</f>
        <v>-0.60554831917378371</v>
      </c>
      <c r="CR65">
        <f>LOG(Table1_1[[#This Row],[6:2 FTS]])</f>
        <v>-0.60554831917378371</v>
      </c>
      <c r="CS65">
        <f>LOG(Table1_1[[#This Row],[8:2 FTS]])</f>
        <v>0.90741136077458617</v>
      </c>
      <c r="CT65">
        <f>LOG(Table1_1[[#This Row],[10:2 FTS]])</f>
        <v>-0.30451832350980257</v>
      </c>
      <c r="CU65">
        <f>LOG(Table1_1[[#This Row],[3:3 FTCA]])</f>
        <v>-0.543633966870957</v>
      </c>
      <c r="CV65">
        <f>LOG(Table1_1[[#This Row],[5:3 FTCA]])</f>
        <v>-0.60554831917378371</v>
      </c>
      <c r="CW65">
        <f>LOG(Table1_1[[#This Row],[7:3 FTCA]])</f>
        <v>0.45788189673399232</v>
      </c>
      <c r="CX65">
        <f>LOG(Table1_1[[#This Row],[6:2 FTCA]])</f>
        <v>-0.30451832350980257</v>
      </c>
      <c r="CY65">
        <f>LOG(Table1_1[[#This Row],[8:2 FTCA]])</f>
        <v>-0.30451832350980257</v>
      </c>
      <c r="CZ65">
        <f>LOG(Table1_1[[#This Row],[10:2 FTCA]])</f>
        <v>-0.30451832350980257</v>
      </c>
      <c r="DA65">
        <f>LOG(Table1_1[[#This Row],[6:2 FTUCA]])</f>
        <v>-0.30451832350980257</v>
      </c>
      <c r="DB65">
        <f>LOG(Table1_1[[#This Row],[8:2 FTUCA]])</f>
        <v>-0.30451832350980257</v>
      </c>
      <c r="DC65">
        <f>LOG(Table1_1[[#This Row],[ADONA]])</f>
        <v>-0.60554831917378371</v>
      </c>
      <c r="DD65">
        <f>LOG(Table1_1[[#This Row],[9Cl-PF3ONS]])</f>
        <v>-0.30451832350980257</v>
      </c>
      <c r="DE65">
        <f>LOG(Table1_1[[#This Row],[11Cl-PF3OUdS]])</f>
        <v>-0.30451832350980257</v>
      </c>
      <c r="DF65">
        <f>LOG(Table1_1[[#This Row],[HFPO-DA]])</f>
        <v>-0.44855000202712486</v>
      </c>
      <c r="DG65">
        <f>LOG(Table1_1[[#This Row],[6:2 diPAP]])</f>
        <v>-0.30451832350980257</v>
      </c>
      <c r="DH65">
        <f>LOG(Table1_1[[#This Row],[8:2 diPAP]])</f>
        <v>-0.30451832350980257</v>
      </c>
      <c r="DI65">
        <f>LOG(Table1_1[[#This Row],[diSAmPAP]])</f>
        <v>-0.30451832350980257</v>
      </c>
    </row>
    <row r="66" spans="1:113">
      <c r="A66" t="s">
        <v>205</v>
      </c>
      <c r="B66" t="s">
        <v>121</v>
      </c>
      <c r="C66" s="3">
        <v>44393</v>
      </c>
      <c r="D66" t="s">
        <v>183</v>
      </c>
      <c r="E66" t="s">
        <v>184</v>
      </c>
      <c r="F66" t="s">
        <v>185</v>
      </c>
      <c r="G66" t="s">
        <v>118</v>
      </c>
      <c r="H66" t="s">
        <v>119</v>
      </c>
      <c r="I66">
        <v>6</v>
      </c>
      <c r="J66">
        <f>LOG(Table1_1[[#This Row],[Length]])</f>
        <v>0.77815125038364363</v>
      </c>
      <c r="K66">
        <v>1.89</v>
      </c>
      <c r="L66">
        <f>LOG(Table1_1[[#This Row],[Weight]])</f>
        <v>0.27646180417324412</v>
      </c>
      <c r="M66">
        <v>0.21299999999999999</v>
      </c>
      <c r="N66">
        <v>0.21299999999999999</v>
      </c>
      <c r="O66">
        <v>0.115</v>
      </c>
      <c r="P66">
        <v>0.21299999999999999</v>
      </c>
      <c r="Q66">
        <v>1.1000000000000001</v>
      </c>
      <c r="R66">
        <v>1.65</v>
      </c>
      <c r="S66">
        <v>7.61</v>
      </c>
      <c r="T66">
        <v>9.1300000000000008</v>
      </c>
      <c r="U66">
        <v>8.59</v>
      </c>
      <c r="V66">
        <v>5.04</v>
      </c>
      <c r="W66">
        <v>4.66</v>
      </c>
      <c r="X66">
        <v>0.254</v>
      </c>
      <c r="Y66">
        <v>0.42599999999999999</v>
      </c>
      <c r="Z66">
        <v>0.14499999999999999</v>
      </c>
      <c r="AA66">
        <v>0.22800000000000001</v>
      </c>
      <c r="AB66">
        <v>32.5</v>
      </c>
      <c r="AC66">
        <v>1.74</v>
      </c>
      <c r="AD66">
        <v>502</v>
      </c>
      <c r="AE66">
        <v>0.21299999999999999</v>
      </c>
      <c r="AF66">
        <v>0.21299999999999999</v>
      </c>
      <c r="AG66">
        <v>0.22800000000000001</v>
      </c>
      <c r="AH66">
        <v>0.1295</v>
      </c>
      <c r="AI66">
        <v>8.5000000000000006E-2</v>
      </c>
      <c r="AJ66">
        <v>470</v>
      </c>
      <c r="AK66">
        <v>1440</v>
      </c>
      <c r="AL66">
        <v>45.7</v>
      </c>
      <c r="AM66">
        <v>0.16400000000000001</v>
      </c>
      <c r="AN66">
        <v>0.42599999999999999</v>
      </c>
      <c r="AO66">
        <v>0.42599999999999999</v>
      </c>
      <c r="AP66">
        <v>0.2145</v>
      </c>
      <c r="AQ66">
        <v>0.21299999999999999</v>
      </c>
      <c r="AR66">
        <v>0.21299999999999999</v>
      </c>
      <c r="AS66">
        <v>0.71499999999999997</v>
      </c>
      <c r="AT66">
        <v>9.0399999999999991</v>
      </c>
      <c r="AU66">
        <v>0.42599999999999999</v>
      </c>
      <c r="AV66">
        <v>0.2455</v>
      </c>
      <c r="AW66">
        <v>0.68700000000000006</v>
      </c>
      <c r="AX66">
        <v>0.21299999999999999</v>
      </c>
      <c r="AY66">
        <v>0.42599999999999999</v>
      </c>
      <c r="AZ66">
        <v>0.42599999999999999</v>
      </c>
      <c r="BA66">
        <v>0.42599999999999999</v>
      </c>
      <c r="BB66">
        <v>0.42599999999999999</v>
      </c>
      <c r="BC66">
        <v>0.42599999999999999</v>
      </c>
      <c r="BD66">
        <v>0.21299999999999999</v>
      </c>
      <c r="BE66">
        <v>0.42599999999999999</v>
      </c>
      <c r="BF66">
        <v>0.42599999999999999</v>
      </c>
      <c r="BG66">
        <v>0.30549999999999999</v>
      </c>
      <c r="BH66">
        <v>0.42599999999999999</v>
      </c>
      <c r="BI66">
        <v>0.42599999999999999</v>
      </c>
      <c r="BJ66">
        <v>0.42599999999999999</v>
      </c>
      <c r="BK66">
        <f>SUM(Table1_1[[#This Row],[PFBA]:[diSAmPAP]])</f>
        <v>2550.1569999999997</v>
      </c>
      <c r="BL66">
        <f>LOG(Table1_1[[#This Row],[PFBA]])</f>
        <v>-0.67162039656126227</v>
      </c>
      <c r="BM66">
        <f>LOG(Table1_1[[#This Row],[PFPeA]])</f>
        <v>-0.67162039656126227</v>
      </c>
      <c r="BN66">
        <f>LOG(Table1_1[[#This Row],[PFHxA]])</f>
        <v>-0.9393021596463883</v>
      </c>
      <c r="BO66">
        <f>LOG(Table1_1[[#This Row],[PFHpA]])</f>
        <v>-0.67162039656126227</v>
      </c>
      <c r="BP66">
        <f>LOG(Table1_1[[#This Row],[PFOA]])</f>
        <v>4.1392685158225077E-2</v>
      </c>
      <c r="BQ66">
        <f>LOG(Table1_1[[#This Row],[PFNA]])</f>
        <v>0.21748394421390627</v>
      </c>
      <c r="BR66">
        <f>LOG(Table1_1[[#This Row],[PFDA]])</f>
        <v>0.88138465677057287</v>
      </c>
      <c r="BS66">
        <f>LOG(Table1_1[[#This Row],[PFUnA]])</f>
        <v>0.96047077753429899</v>
      </c>
      <c r="BT66">
        <f>LOG(Table1_1[[#This Row],[PFDoA]])</f>
        <v>0.93399316383124231</v>
      </c>
      <c r="BU66">
        <f>LOG(Table1_1[[#This Row],[PFTrDA]])</f>
        <v>0.70243053644552533</v>
      </c>
      <c r="BV66">
        <f>LOG(Table1_1[[#This Row],[PFTeDA]])</f>
        <v>0.66838591669000014</v>
      </c>
      <c r="BW66">
        <f>LOG(Table1_1[[#This Row],[PFHxDA]])</f>
        <v>-0.59516628338006194</v>
      </c>
      <c r="BX66">
        <f>LOG(Table1_1[[#This Row],[PFPrS]])</f>
        <v>-0.37059040089728107</v>
      </c>
      <c r="BY66">
        <f>LOG(Table1_1[[#This Row],[PFBS]])</f>
        <v>-0.83863199776502517</v>
      </c>
      <c r="BZ66">
        <f>LOG(Table1_1[[#This Row],[PFPeS]])</f>
        <v>-0.64206515299954614</v>
      </c>
      <c r="CA66">
        <f>LOG(Table1_1[[#This Row],[PFHxS]])</f>
        <v>1.5118833609788744</v>
      </c>
      <c r="CB66">
        <f>LOG(Table1_1[[#This Row],[PFHpS]])</f>
        <v>0.24054924828259971</v>
      </c>
      <c r="CC66">
        <f>LOG(Table1_1[[#This Row],[PFOS]])</f>
        <v>2.7007037171450192</v>
      </c>
      <c r="CD66">
        <f>LOG(Table1_1[[#This Row],[PFNS]])</f>
        <v>-0.67162039656126227</v>
      </c>
      <c r="CE66">
        <f>LOG(Table1_1[[#This Row],[PFDS]])</f>
        <v>-0.67162039656126227</v>
      </c>
      <c r="CF66">
        <f>LOG(Table1_1[[#This Row],[PFDoS]])</f>
        <v>-0.64206515299954614</v>
      </c>
      <c r="CG66">
        <f>LOG(Table1_1[[#This Row],[Cl-PFOS]])</f>
        <v>-0.88773023158272935</v>
      </c>
      <c r="CH66">
        <f>LOG(Table1_1[[#This Row],[PFEtCHxS]])</f>
        <v>-1.0705810742857071</v>
      </c>
      <c r="CI66">
        <f>LOG(Table1_1[[#This Row],[FBSA]])</f>
        <v>2.6720978579357175</v>
      </c>
      <c r="CJ66">
        <f>LOG(Table1_1[[#This Row],[FHxSA]])</f>
        <v>3.1583624920952498</v>
      </c>
      <c r="CK66">
        <f>LOG(Table1_1[[#This Row],[FOSA]])</f>
        <v>1.6599162000698502</v>
      </c>
      <c r="CL66">
        <f>LOG(Table1_1[[#This Row],[N-MeFOSA]])</f>
        <v>-0.78515615195230215</v>
      </c>
      <c r="CM66">
        <f>LOG(Table1_1[[#This Row],[N-EtFOSA]])</f>
        <v>-0.37059040089728107</v>
      </c>
      <c r="CN66">
        <f>LOG(Table1_1[[#This Row],[FOSAA]])</f>
        <v>-0.37059040089728107</v>
      </c>
      <c r="CO66">
        <f>LOG(Table1_1[[#This Row],[N-MeFOSAA]])</f>
        <v>-0.6685727034792569</v>
      </c>
      <c r="CP66">
        <f>LOG(Table1_1[[#This Row],[N-EtFOSAA]])</f>
        <v>-0.67162039656126227</v>
      </c>
      <c r="CQ66">
        <f>LOG(Table1_1[[#This Row],[4:2 FTS]])</f>
        <v>-0.67162039656126227</v>
      </c>
      <c r="CR66">
        <f>LOG(Table1_1[[#This Row],[6:2 FTS]])</f>
        <v>-0.14569395819891939</v>
      </c>
      <c r="CS66">
        <f>LOG(Table1_1[[#This Row],[8:2 FTS]])</f>
        <v>0.95616843047536326</v>
      </c>
      <c r="CT66">
        <f>LOG(Table1_1[[#This Row],[10:2 FTS]])</f>
        <v>-0.37059040089728107</v>
      </c>
      <c r="CU66">
        <f>LOG(Table1_1[[#This Row],[3:3 FTCA]])</f>
        <v>-0.60994850354101271</v>
      </c>
      <c r="CV66">
        <f>LOG(Table1_1[[#This Row],[5:3 FTCA]])</f>
        <v>-0.16304326294044955</v>
      </c>
      <c r="CW66">
        <f>LOG(Table1_1[[#This Row],[7:3 FTCA]])</f>
        <v>-0.67162039656126227</v>
      </c>
      <c r="CX66">
        <f>LOG(Table1_1[[#This Row],[6:2 FTCA]])</f>
        <v>-0.37059040089728107</v>
      </c>
      <c r="CY66">
        <f>LOG(Table1_1[[#This Row],[8:2 FTCA]])</f>
        <v>-0.37059040089728107</v>
      </c>
      <c r="CZ66">
        <f>LOG(Table1_1[[#This Row],[10:2 FTCA]])</f>
        <v>-0.37059040089728107</v>
      </c>
      <c r="DA66">
        <f>LOG(Table1_1[[#This Row],[6:2 FTUCA]])</f>
        <v>-0.37059040089728107</v>
      </c>
      <c r="DB66">
        <f>LOG(Table1_1[[#This Row],[8:2 FTUCA]])</f>
        <v>-0.37059040089728107</v>
      </c>
      <c r="DC66">
        <f>LOG(Table1_1[[#This Row],[ADONA]])</f>
        <v>-0.67162039656126227</v>
      </c>
      <c r="DD66">
        <f>LOG(Table1_1[[#This Row],[9Cl-PF3ONS]])</f>
        <v>-0.37059040089728107</v>
      </c>
      <c r="DE66">
        <f>LOG(Table1_1[[#This Row],[11Cl-PF3OUdS]])</f>
        <v>-0.37059040089728107</v>
      </c>
      <c r="DF66">
        <f>LOG(Table1_1[[#This Row],[HFPO-DA]])</f>
        <v>-0.51498878542142701</v>
      </c>
      <c r="DG66">
        <f>LOG(Table1_1[[#This Row],[6:2 diPAP]])</f>
        <v>-0.37059040089728107</v>
      </c>
      <c r="DH66">
        <f>LOG(Table1_1[[#This Row],[8:2 diPAP]])</f>
        <v>-0.37059040089728107</v>
      </c>
      <c r="DI66">
        <f>LOG(Table1_1[[#This Row],[diSAmPAP]])</f>
        <v>-0.37059040089728107</v>
      </c>
    </row>
    <row r="67" spans="1:113">
      <c r="A67" t="s">
        <v>206</v>
      </c>
      <c r="B67" t="s">
        <v>121</v>
      </c>
      <c r="C67" s="3">
        <v>44393</v>
      </c>
      <c r="D67" t="s">
        <v>183</v>
      </c>
      <c r="E67" t="s">
        <v>184</v>
      </c>
      <c r="F67" t="s">
        <v>185</v>
      </c>
      <c r="G67" t="s">
        <v>118</v>
      </c>
      <c r="H67" t="s">
        <v>119</v>
      </c>
      <c r="I67">
        <v>6</v>
      </c>
      <c r="J67">
        <f>LOG(Table1_1[[#This Row],[Length]])</f>
        <v>0.77815125038364363</v>
      </c>
      <c r="K67">
        <v>2.2000000000000002</v>
      </c>
      <c r="L67">
        <f>LOG(Table1_1[[#This Row],[Weight]])</f>
        <v>0.34242268082220628</v>
      </c>
      <c r="M67">
        <v>0.224</v>
      </c>
      <c r="N67">
        <v>0.224</v>
      </c>
      <c r="O67">
        <v>0.121</v>
      </c>
      <c r="P67">
        <v>0.224</v>
      </c>
      <c r="Q67">
        <v>1.2</v>
      </c>
      <c r="R67">
        <v>1.03</v>
      </c>
      <c r="S67">
        <v>3.07</v>
      </c>
      <c r="T67">
        <v>2.4</v>
      </c>
      <c r="U67">
        <v>3.86</v>
      </c>
      <c r="V67">
        <v>2.2400000000000002</v>
      </c>
      <c r="W67">
        <v>1.76</v>
      </c>
      <c r="X67">
        <v>0.26700000000000002</v>
      </c>
      <c r="Y67">
        <v>0.44800000000000001</v>
      </c>
      <c r="Z67">
        <v>0.1525</v>
      </c>
      <c r="AA67">
        <v>0.373</v>
      </c>
      <c r="AB67">
        <v>39.4</v>
      </c>
      <c r="AC67">
        <v>3.02</v>
      </c>
      <c r="AD67">
        <v>380</v>
      </c>
      <c r="AE67">
        <v>0.224</v>
      </c>
      <c r="AF67">
        <v>0.224</v>
      </c>
      <c r="AG67">
        <v>0.23949999999999999</v>
      </c>
      <c r="AH67">
        <v>0.13600000000000001</v>
      </c>
      <c r="AI67">
        <v>8.9499999999999996E-2</v>
      </c>
      <c r="AJ67">
        <v>76.099999999999994</v>
      </c>
      <c r="AK67">
        <v>416</v>
      </c>
      <c r="AL67">
        <v>14.2</v>
      </c>
      <c r="AM67">
        <v>0.17249999999999999</v>
      </c>
      <c r="AN67">
        <v>0.44800000000000001</v>
      </c>
      <c r="AO67">
        <v>0.44800000000000001</v>
      </c>
      <c r="AP67">
        <v>0.22500000000000001</v>
      </c>
      <c r="AQ67">
        <v>0.224</v>
      </c>
      <c r="AR67">
        <v>0.224</v>
      </c>
      <c r="AS67">
        <v>0.60099999999999998</v>
      </c>
      <c r="AT67">
        <v>12</v>
      </c>
      <c r="AU67">
        <v>0.44800000000000001</v>
      </c>
      <c r="AV67">
        <v>0.25800000000000001</v>
      </c>
      <c r="AW67">
        <v>2.72</v>
      </c>
      <c r="AX67">
        <v>13.7</v>
      </c>
      <c r="AY67">
        <v>0.44800000000000001</v>
      </c>
      <c r="AZ67">
        <v>0.44800000000000001</v>
      </c>
      <c r="BA67">
        <v>0.44800000000000001</v>
      </c>
      <c r="BB67">
        <v>0.44800000000000001</v>
      </c>
      <c r="BC67">
        <v>0.44800000000000001</v>
      </c>
      <c r="BD67">
        <v>0.224</v>
      </c>
      <c r="BE67">
        <v>0.44800000000000001</v>
      </c>
      <c r="BF67">
        <v>0.44800000000000001</v>
      </c>
      <c r="BG67">
        <v>0.32150000000000001</v>
      </c>
      <c r="BH67">
        <v>0.44800000000000001</v>
      </c>
      <c r="BI67">
        <v>0.44800000000000001</v>
      </c>
      <c r="BJ67">
        <v>0.44800000000000001</v>
      </c>
      <c r="BK67">
        <f>SUM(Table1_1[[#This Row],[PFBA]:[diSAmPAP]])</f>
        <v>983.72050000000013</v>
      </c>
      <c r="BL67">
        <f>LOG(Table1_1[[#This Row],[PFBA]])</f>
        <v>-0.64975198166583714</v>
      </c>
      <c r="BM67">
        <f>LOG(Table1_1[[#This Row],[PFPeA]])</f>
        <v>-0.64975198166583714</v>
      </c>
      <c r="BN67">
        <f>LOG(Table1_1[[#This Row],[PFHxA]])</f>
        <v>-0.91721462968354994</v>
      </c>
      <c r="BO67">
        <f>LOG(Table1_1[[#This Row],[PFHpA]])</f>
        <v>-0.64975198166583714</v>
      </c>
      <c r="BP67">
        <f>LOG(Table1_1[[#This Row],[PFOA]])</f>
        <v>7.9181246047624818E-2</v>
      </c>
      <c r="BQ67">
        <f>LOG(Table1_1[[#This Row],[PFNA]])</f>
        <v>1.2837224705172217E-2</v>
      </c>
      <c r="BR67">
        <f>LOG(Table1_1[[#This Row],[PFDA]])</f>
        <v>0.48713837547718647</v>
      </c>
      <c r="BS67">
        <f>LOG(Table1_1[[#This Row],[PFUnA]])</f>
        <v>0.38021124171160603</v>
      </c>
      <c r="BT67">
        <f>LOG(Table1_1[[#This Row],[PFDoA]])</f>
        <v>0.58658730467175491</v>
      </c>
      <c r="BU67">
        <f>LOG(Table1_1[[#This Row],[PFTrDA]])</f>
        <v>0.35024801833416286</v>
      </c>
      <c r="BV67">
        <f>LOG(Table1_1[[#This Row],[PFTeDA]])</f>
        <v>0.24551266781414982</v>
      </c>
      <c r="BW67">
        <f>LOG(Table1_1[[#This Row],[PFHxDA]])</f>
        <v>-0.57348873863542471</v>
      </c>
      <c r="BX67">
        <f>LOG(Table1_1[[#This Row],[PFPrS]])</f>
        <v>-0.348721986001856</v>
      </c>
      <c r="BY67">
        <f>LOG(Table1_1[[#This Row],[PFBS]])</f>
        <v>-0.81673015631719537</v>
      </c>
      <c r="BZ67">
        <f>LOG(Table1_1[[#This Row],[PFPeS]])</f>
        <v>-0.42829116819131241</v>
      </c>
      <c r="CA67">
        <f>LOG(Table1_1[[#This Row],[PFHxS]])</f>
        <v>1.5954962218255742</v>
      </c>
      <c r="CB67">
        <f>LOG(Table1_1[[#This Row],[PFHpS]])</f>
        <v>0.48000694295715063</v>
      </c>
      <c r="CC67">
        <f>LOG(Table1_1[[#This Row],[PFOS]])</f>
        <v>2.5797835966168101</v>
      </c>
      <c r="CD67">
        <f>LOG(Table1_1[[#This Row],[PFNS]])</f>
        <v>-0.64975198166583714</v>
      </c>
      <c r="CE67">
        <f>LOG(Table1_1[[#This Row],[PFDS]])</f>
        <v>-0.64975198166583714</v>
      </c>
      <c r="CF67">
        <f>LOG(Table1_1[[#This Row],[PFDoS]])</f>
        <v>-0.62069448224941803</v>
      </c>
      <c r="CG67">
        <f>LOG(Table1_1[[#This Row],[Cl-PFOS]])</f>
        <v>-0.86646109162978246</v>
      </c>
      <c r="CH67">
        <f>LOG(Table1_1[[#This Row],[PFEtCHxS]])</f>
        <v>-1.0481769646840879</v>
      </c>
      <c r="CI67">
        <f>LOG(Table1_1[[#This Row],[FBSA]])</f>
        <v>1.8813846567705728</v>
      </c>
      <c r="CJ67">
        <f>LOG(Table1_1[[#This Row],[FHxSA]])</f>
        <v>2.6190933306267428</v>
      </c>
      <c r="CK67">
        <f>LOG(Table1_1[[#This Row],[FOSA]])</f>
        <v>1.1522883443830565</v>
      </c>
      <c r="CL67">
        <f>LOG(Table1_1[[#This Row],[N-MeFOSA]])</f>
        <v>-0.76321090059070706</v>
      </c>
      <c r="CM67">
        <f>LOG(Table1_1[[#This Row],[N-EtFOSA]])</f>
        <v>-0.348721986001856</v>
      </c>
      <c r="CN67">
        <f>LOG(Table1_1[[#This Row],[FOSAA]])</f>
        <v>-0.348721986001856</v>
      </c>
      <c r="CO67">
        <f>LOG(Table1_1[[#This Row],[N-MeFOSAA]])</f>
        <v>-0.64781748188863753</v>
      </c>
      <c r="CP67">
        <f>LOG(Table1_1[[#This Row],[N-EtFOSAA]])</f>
        <v>-0.64975198166583714</v>
      </c>
      <c r="CQ67">
        <f>LOG(Table1_1[[#This Row],[4:2 FTS]])</f>
        <v>-0.64975198166583714</v>
      </c>
      <c r="CR67">
        <f>LOG(Table1_1[[#This Row],[6:2 FTS]])</f>
        <v>-0.22112552799726048</v>
      </c>
      <c r="CS67">
        <f>LOG(Table1_1[[#This Row],[8:2 FTS]])</f>
        <v>1.0791812460476249</v>
      </c>
      <c r="CT67">
        <f>LOG(Table1_1[[#This Row],[10:2 FTS]])</f>
        <v>-0.348721986001856</v>
      </c>
      <c r="CU67">
        <f>LOG(Table1_1[[#This Row],[3:3 FTCA]])</f>
        <v>-0.58838029403676984</v>
      </c>
      <c r="CV67">
        <f>LOG(Table1_1[[#This Row],[5:3 FTCA]])</f>
        <v>0.43456890403419873</v>
      </c>
      <c r="CW67">
        <f>LOG(Table1_1[[#This Row],[7:3 FTCA]])</f>
        <v>1.1367205671564067</v>
      </c>
      <c r="CX67">
        <f>LOG(Table1_1[[#This Row],[6:2 FTCA]])</f>
        <v>-0.348721986001856</v>
      </c>
      <c r="CY67">
        <f>LOG(Table1_1[[#This Row],[8:2 FTCA]])</f>
        <v>-0.348721986001856</v>
      </c>
      <c r="CZ67">
        <f>LOG(Table1_1[[#This Row],[10:2 FTCA]])</f>
        <v>-0.348721986001856</v>
      </c>
      <c r="DA67">
        <f>LOG(Table1_1[[#This Row],[6:2 FTUCA]])</f>
        <v>-0.348721986001856</v>
      </c>
      <c r="DB67">
        <f>LOG(Table1_1[[#This Row],[8:2 FTUCA]])</f>
        <v>-0.348721986001856</v>
      </c>
      <c r="DC67">
        <f>LOG(Table1_1[[#This Row],[ADONA]])</f>
        <v>-0.64975198166583714</v>
      </c>
      <c r="DD67">
        <f>LOG(Table1_1[[#This Row],[9Cl-PF3ONS]])</f>
        <v>-0.348721986001856</v>
      </c>
      <c r="DE67">
        <f>LOG(Table1_1[[#This Row],[11Cl-PF3OUdS]])</f>
        <v>-0.348721986001856</v>
      </c>
      <c r="DF67">
        <f>LOG(Table1_1[[#This Row],[HFPO-DA]])</f>
        <v>-0.49281902273975914</v>
      </c>
      <c r="DG67">
        <f>LOG(Table1_1[[#This Row],[6:2 diPAP]])</f>
        <v>-0.348721986001856</v>
      </c>
      <c r="DH67">
        <f>LOG(Table1_1[[#This Row],[8:2 diPAP]])</f>
        <v>-0.348721986001856</v>
      </c>
      <c r="DI67">
        <f>LOG(Table1_1[[#This Row],[diSAmPAP]])</f>
        <v>-0.348721986001856</v>
      </c>
    </row>
    <row r="68" spans="1:113">
      <c r="A68" t="s">
        <v>207</v>
      </c>
      <c r="B68" t="s">
        <v>121</v>
      </c>
      <c r="C68" s="3">
        <v>44393</v>
      </c>
      <c r="D68" t="s">
        <v>183</v>
      </c>
      <c r="E68" t="s">
        <v>184</v>
      </c>
      <c r="F68" t="s">
        <v>185</v>
      </c>
      <c r="G68" t="s">
        <v>118</v>
      </c>
      <c r="H68" t="s">
        <v>119</v>
      </c>
      <c r="I68">
        <v>6</v>
      </c>
      <c r="J68">
        <f>LOG(Table1_1[[#This Row],[Length]])</f>
        <v>0.77815125038364363</v>
      </c>
      <c r="K68">
        <v>1.93</v>
      </c>
      <c r="L68">
        <f>LOG(Table1_1[[#This Row],[Weight]])</f>
        <v>0.28555730900777376</v>
      </c>
      <c r="M68">
        <v>0.248</v>
      </c>
      <c r="N68">
        <v>0.248</v>
      </c>
      <c r="O68">
        <v>0.96499999999999997</v>
      </c>
      <c r="P68">
        <v>0.248</v>
      </c>
      <c r="Q68">
        <v>2.3199999999999998</v>
      </c>
      <c r="R68">
        <v>2.19</v>
      </c>
      <c r="S68">
        <v>2.41</v>
      </c>
      <c r="T68">
        <v>3.11</v>
      </c>
      <c r="U68">
        <v>3.62</v>
      </c>
      <c r="V68">
        <v>1.6</v>
      </c>
      <c r="W68">
        <v>2.2200000000000002</v>
      </c>
      <c r="X68">
        <v>0.29599999999999999</v>
      </c>
      <c r="Y68">
        <v>0.4965</v>
      </c>
      <c r="Z68">
        <v>0.16900000000000001</v>
      </c>
      <c r="AA68">
        <v>0.371</v>
      </c>
      <c r="AB68">
        <v>34.700000000000003</v>
      </c>
      <c r="AC68">
        <v>3.35</v>
      </c>
      <c r="AD68">
        <v>419</v>
      </c>
      <c r="AE68">
        <v>0.248</v>
      </c>
      <c r="AF68">
        <v>0.51500000000000001</v>
      </c>
      <c r="AG68">
        <v>0.26550000000000001</v>
      </c>
      <c r="AH68">
        <v>0.151</v>
      </c>
      <c r="AI68">
        <v>0.23400000000000001</v>
      </c>
      <c r="AJ68">
        <v>42.1</v>
      </c>
      <c r="AK68">
        <v>264</v>
      </c>
      <c r="AL68">
        <v>16.3</v>
      </c>
      <c r="AM68">
        <v>0.191</v>
      </c>
      <c r="AN68">
        <v>0.4965</v>
      </c>
      <c r="AO68">
        <v>0.4965</v>
      </c>
      <c r="AP68">
        <v>0.2495</v>
      </c>
      <c r="AQ68">
        <v>0.248</v>
      </c>
      <c r="AR68">
        <v>0.248</v>
      </c>
      <c r="AS68">
        <v>0.86899999999999999</v>
      </c>
      <c r="AT68">
        <v>11.8</v>
      </c>
      <c r="AU68">
        <v>0.4965</v>
      </c>
      <c r="AV68">
        <v>0.28649999999999998</v>
      </c>
      <c r="AW68">
        <v>0.248</v>
      </c>
      <c r="AX68">
        <v>20.100000000000001</v>
      </c>
      <c r="AY68">
        <v>0.4965</v>
      </c>
      <c r="AZ68">
        <v>0.4965</v>
      </c>
      <c r="BA68">
        <v>0.4965</v>
      </c>
      <c r="BB68">
        <v>0.4965</v>
      </c>
      <c r="BC68">
        <v>0.4965</v>
      </c>
      <c r="BD68">
        <v>0.248</v>
      </c>
      <c r="BE68">
        <v>0.4965</v>
      </c>
      <c r="BF68">
        <v>0.4965</v>
      </c>
      <c r="BG68">
        <v>0.35599999999999998</v>
      </c>
      <c r="BH68">
        <v>0.4965</v>
      </c>
      <c r="BI68">
        <v>0.4965</v>
      </c>
      <c r="BJ68">
        <v>0.4965</v>
      </c>
      <c r="BK68">
        <f>SUM(Table1_1[[#This Row],[PFBA]:[diSAmPAP]])</f>
        <v>842.67349999999976</v>
      </c>
      <c r="BL68">
        <f>LOG(Table1_1[[#This Row],[PFBA]])</f>
        <v>-0.60554831917378371</v>
      </c>
      <c r="BM68">
        <f>LOG(Table1_1[[#This Row],[PFPeA]])</f>
        <v>-0.60554831917378371</v>
      </c>
      <c r="BN68">
        <f>LOG(Table1_1[[#This Row],[PFHxA]])</f>
        <v>-1.5472686656207449E-2</v>
      </c>
      <c r="BO68">
        <f>LOG(Table1_1[[#This Row],[PFHpA]])</f>
        <v>-0.60554831917378371</v>
      </c>
      <c r="BP68">
        <f>LOG(Table1_1[[#This Row],[PFOA]])</f>
        <v>0.36548798489089962</v>
      </c>
      <c r="BQ68">
        <f>LOG(Table1_1[[#This Row],[PFNA]])</f>
        <v>0.34044411484011833</v>
      </c>
      <c r="BR68">
        <f>LOG(Table1_1[[#This Row],[PFDA]])</f>
        <v>0.3820170425748684</v>
      </c>
      <c r="BS68">
        <f>LOG(Table1_1[[#This Row],[PFUnA]])</f>
        <v>0.4927603890268375</v>
      </c>
      <c r="BT68">
        <f>LOG(Table1_1[[#This Row],[PFDoA]])</f>
        <v>0.55870857053316569</v>
      </c>
      <c r="BU68">
        <f>LOG(Table1_1[[#This Row],[PFTrDA]])</f>
        <v>0.20411998265592479</v>
      </c>
      <c r="BV68">
        <f>LOG(Table1_1[[#This Row],[PFTeDA]])</f>
        <v>0.34635297445063867</v>
      </c>
      <c r="BW68">
        <f>LOG(Table1_1[[#This Row],[PFHxDA]])</f>
        <v>-0.52870828894106148</v>
      </c>
      <c r="BX68">
        <f>LOG(Table1_1[[#This Row],[PFPrS]])</f>
        <v>-0.30408074716860001</v>
      </c>
      <c r="BY68">
        <f>LOG(Table1_1[[#This Row],[PFBS]])</f>
        <v>-0.77211329538632645</v>
      </c>
      <c r="BZ68">
        <f>LOG(Table1_1[[#This Row],[PFPeS]])</f>
        <v>-0.43062609038495414</v>
      </c>
      <c r="CA68">
        <f>LOG(Table1_1[[#This Row],[PFHxS]])</f>
        <v>1.5403294747908738</v>
      </c>
      <c r="CB68">
        <f>LOG(Table1_1[[#This Row],[PFHpS]])</f>
        <v>0.5250448070368452</v>
      </c>
      <c r="CC68">
        <f>LOG(Table1_1[[#This Row],[PFOS]])</f>
        <v>2.6222140229662951</v>
      </c>
      <c r="CD68">
        <f>LOG(Table1_1[[#This Row],[PFNS]])</f>
        <v>-0.60554831917378371</v>
      </c>
      <c r="CE68">
        <f>LOG(Table1_1[[#This Row],[PFDS]])</f>
        <v>-0.28819277095880896</v>
      </c>
      <c r="CF68">
        <f>LOG(Table1_1[[#This Row],[PFDoS]])</f>
        <v>-0.57593547458251215</v>
      </c>
      <c r="CG68">
        <f>LOG(Table1_1[[#This Row],[Cl-PFOS]])</f>
        <v>-0.82102305270683062</v>
      </c>
      <c r="CH68">
        <f>LOG(Table1_1[[#This Row],[PFEtCHxS]])</f>
        <v>-0.63078414258985716</v>
      </c>
      <c r="CI68">
        <f>LOG(Table1_1[[#This Row],[FBSA]])</f>
        <v>1.6242820958356683</v>
      </c>
      <c r="CJ68">
        <f>LOG(Table1_1[[#This Row],[FHxSA]])</f>
        <v>2.4216039268698313</v>
      </c>
      <c r="CK68">
        <f>LOG(Table1_1[[#This Row],[FOSA]])</f>
        <v>1.2121876044039579</v>
      </c>
      <c r="CL68">
        <f>LOG(Table1_1[[#This Row],[N-MeFOSA]])</f>
        <v>-0.71896663275227246</v>
      </c>
      <c r="CM68">
        <f>LOG(Table1_1[[#This Row],[N-EtFOSA]])</f>
        <v>-0.30408074716860001</v>
      </c>
      <c r="CN68">
        <f>LOG(Table1_1[[#This Row],[FOSAA]])</f>
        <v>-0.30408074716860001</v>
      </c>
      <c r="CO68">
        <f>LOG(Table1_1[[#This Row],[N-MeFOSAA]])</f>
        <v>-0.60292945004059129</v>
      </c>
      <c r="CP68">
        <f>LOG(Table1_1[[#This Row],[N-EtFOSAA]])</f>
        <v>-0.60554831917378371</v>
      </c>
      <c r="CQ68">
        <f>LOG(Table1_1[[#This Row],[4:2 FTS]])</f>
        <v>-0.60554831917378371</v>
      </c>
      <c r="CR68">
        <f>LOG(Table1_1[[#This Row],[6:2 FTS]])</f>
        <v>-6.0980223551333534E-2</v>
      </c>
      <c r="CS68">
        <f>LOG(Table1_1[[#This Row],[8:2 FTS]])</f>
        <v>1.0718820073061255</v>
      </c>
      <c r="CT68">
        <f>LOG(Table1_1[[#This Row],[10:2 FTS]])</f>
        <v>-0.30408074716860001</v>
      </c>
      <c r="CU68">
        <f>LOG(Table1_1[[#This Row],[3:3 FTCA]])</f>
        <v>-0.54287537369659122</v>
      </c>
      <c r="CV68">
        <f>LOG(Table1_1[[#This Row],[5:3 FTCA]])</f>
        <v>-0.60554831917378371</v>
      </c>
      <c r="CW68">
        <f>LOG(Table1_1[[#This Row],[7:3 FTCA]])</f>
        <v>1.3031960574204888</v>
      </c>
      <c r="CX68">
        <f>LOG(Table1_1[[#This Row],[6:2 FTCA]])</f>
        <v>-0.30408074716860001</v>
      </c>
      <c r="CY68">
        <f>LOG(Table1_1[[#This Row],[8:2 FTCA]])</f>
        <v>-0.30408074716860001</v>
      </c>
      <c r="CZ68">
        <f>LOG(Table1_1[[#This Row],[10:2 FTCA]])</f>
        <v>-0.30408074716860001</v>
      </c>
      <c r="DA68">
        <f>LOG(Table1_1[[#This Row],[6:2 FTUCA]])</f>
        <v>-0.30408074716860001</v>
      </c>
      <c r="DB68">
        <f>LOG(Table1_1[[#This Row],[8:2 FTUCA]])</f>
        <v>-0.30408074716860001</v>
      </c>
      <c r="DC68">
        <f>LOG(Table1_1[[#This Row],[ADONA]])</f>
        <v>-0.60554831917378371</v>
      </c>
      <c r="DD68">
        <f>LOG(Table1_1[[#This Row],[9Cl-PF3ONS]])</f>
        <v>-0.30408074716860001</v>
      </c>
      <c r="DE68">
        <f>LOG(Table1_1[[#This Row],[11Cl-PF3OUdS]])</f>
        <v>-0.30408074716860001</v>
      </c>
      <c r="DF68">
        <f>LOG(Table1_1[[#This Row],[HFPO-DA]])</f>
        <v>-0.44855000202712486</v>
      </c>
      <c r="DG68">
        <f>LOG(Table1_1[[#This Row],[6:2 diPAP]])</f>
        <v>-0.30408074716860001</v>
      </c>
      <c r="DH68">
        <f>LOG(Table1_1[[#This Row],[8:2 diPAP]])</f>
        <v>-0.30408074716860001</v>
      </c>
      <c r="DI68">
        <f>LOG(Table1_1[[#This Row],[diSAmPAP]])</f>
        <v>-0.30408074716860001</v>
      </c>
    </row>
    <row r="69" spans="1:113">
      <c r="A69" t="s">
        <v>208</v>
      </c>
      <c r="B69" t="s">
        <v>121</v>
      </c>
      <c r="C69" s="3">
        <v>44393</v>
      </c>
      <c r="D69" t="s">
        <v>183</v>
      </c>
      <c r="E69" t="s">
        <v>184</v>
      </c>
      <c r="F69" t="s">
        <v>185</v>
      </c>
      <c r="G69" t="s">
        <v>118</v>
      </c>
      <c r="H69" t="s">
        <v>119</v>
      </c>
      <c r="I69">
        <v>6</v>
      </c>
      <c r="J69">
        <f>LOG(Table1_1[[#This Row],[Length]])</f>
        <v>0.77815125038364363</v>
      </c>
      <c r="K69">
        <v>2.4500000000000002</v>
      </c>
      <c r="L69">
        <f>LOG(Table1_1[[#This Row],[Weight]])</f>
        <v>0.38916608436453248</v>
      </c>
      <c r="M69">
        <v>0.217</v>
      </c>
      <c r="N69">
        <v>0.217</v>
      </c>
      <c r="O69">
        <v>0.11700000000000001</v>
      </c>
      <c r="P69">
        <v>0.217</v>
      </c>
      <c r="Q69">
        <v>1.65</v>
      </c>
      <c r="R69">
        <v>1.67</v>
      </c>
      <c r="S69">
        <v>2.75</v>
      </c>
      <c r="T69">
        <v>3.71</v>
      </c>
      <c r="U69">
        <v>6.21</v>
      </c>
      <c r="V69">
        <v>2.2000000000000002</v>
      </c>
      <c r="W69">
        <v>4.08</v>
      </c>
      <c r="X69">
        <v>0.25850000000000001</v>
      </c>
      <c r="Y69">
        <v>0.4335</v>
      </c>
      <c r="Z69">
        <v>0.14749999999999999</v>
      </c>
      <c r="AA69">
        <v>0.34300000000000003</v>
      </c>
      <c r="AB69">
        <v>34.1</v>
      </c>
      <c r="AC69">
        <v>2.73</v>
      </c>
      <c r="AD69">
        <v>330</v>
      </c>
      <c r="AE69">
        <v>0.217</v>
      </c>
      <c r="AF69">
        <v>0.217</v>
      </c>
      <c r="AG69">
        <v>0.23200000000000001</v>
      </c>
      <c r="AH69">
        <v>0.13150000000000001</v>
      </c>
      <c r="AI69">
        <v>8.6499999999999994E-2</v>
      </c>
      <c r="AJ69">
        <v>56.2</v>
      </c>
      <c r="AK69">
        <v>354</v>
      </c>
      <c r="AL69">
        <v>13.4</v>
      </c>
      <c r="AM69">
        <v>0.16700000000000001</v>
      </c>
      <c r="AN69">
        <v>0.4335</v>
      </c>
      <c r="AO69">
        <v>0.4335</v>
      </c>
      <c r="AP69">
        <v>0.218</v>
      </c>
      <c r="AQ69">
        <v>0.217</v>
      </c>
      <c r="AR69">
        <v>0.217</v>
      </c>
      <c r="AS69">
        <v>0.46400000000000002</v>
      </c>
      <c r="AT69">
        <v>7.4</v>
      </c>
      <c r="AU69">
        <v>0.4335</v>
      </c>
      <c r="AV69">
        <v>0.25</v>
      </c>
      <c r="AW69">
        <v>0.217</v>
      </c>
      <c r="AX69">
        <v>10.7</v>
      </c>
      <c r="AY69">
        <v>0.4335</v>
      </c>
      <c r="AZ69">
        <v>0.4335</v>
      </c>
      <c r="BA69">
        <v>0.4335</v>
      </c>
      <c r="BB69">
        <v>0.4335</v>
      </c>
      <c r="BC69">
        <v>0.4335</v>
      </c>
      <c r="BD69">
        <v>0.217</v>
      </c>
      <c r="BE69">
        <v>0.4335</v>
      </c>
      <c r="BF69">
        <v>0.4335</v>
      </c>
      <c r="BG69">
        <v>0.311</v>
      </c>
      <c r="BH69">
        <v>0.4335</v>
      </c>
      <c r="BI69">
        <v>0.4335</v>
      </c>
      <c r="BJ69">
        <v>0.4335</v>
      </c>
      <c r="BK69">
        <f>SUM(Table1_1[[#This Row],[PFBA]:[diSAmPAP]])</f>
        <v>841.54799999999977</v>
      </c>
      <c r="BL69">
        <f>LOG(Table1_1[[#This Row],[PFBA]])</f>
        <v>-0.66354026615147055</v>
      </c>
      <c r="BM69">
        <f>LOG(Table1_1[[#This Row],[PFPeA]])</f>
        <v>-0.66354026615147055</v>
      </c>
      <c r="BN69">
        <f>LOG(Table1_1[[#This Row],[PFHxA]])</f>
        <v>-0.9318141382538383</v>
      </c>
      <c r="BO69">
        <f>LOG(Table1_1[[#This Row],[PFHpA]])</f>
        <v>-0.66354026615147055</v>
      </c>
      <c r="BP69">
        <f>LOG(Table1_1[[#This Row],[PFOA]])</f>
        <v>0.21748394421390627</v>
      </c>
      <c r="BQ69">
        <f>LOG(Table1_1[[#This Row],[PFNA]])</f>
        <v>0.22271647114758325</v>
      </c>
      <c r="BR69">
        <f>LOG(Table1_1[[#This Row],[PFDA]])</f>
        <v>0.43933269383026263</v>
      </c>
      <c r="BS69">
        <f>LOG(Table1_1[[#This Row],[PFUnA]])</f>
        <v>0.56937390961504586</v>
      </c>
      <c r="BT69">
        <f>LOG(Table1_1[[#This Row],[PFDoA]])</f>
        <v>0.7930916001765802</v>
      </c>
      <c r="BU69">
        <f>LOG(Table1_1[[#This Row],[PFTrDA]])</f>
        <v>0.34242268082220628</v>
      </c>
      <c r="BV69">
        <f>LOG(Table1_1[[#This Row],[PFTeDA]])</f>
        <v>0.61066016308987991</v>
      </c>
      <c r="BW69">
        <f>LOG(Table1_1[[#This Row],[PFHxDA]])</f>
        <v>-0.5875394525700387</v>
      </c>
      <c r="BX69">
        <f>LOG(Table1_1[[#This Row],[PFPrS]])</f>
        <v>-0.36301089818777088</v>
      </c>
      <c r="BY69">
        <f>LOG(Table1_1[[#This Row],[PFBS]])</f>
        <v>-0.83120797968581828</v>
      </c>
      <c r="BZ69">
        <f>LOG(Table1_1[[#This Row],[PFPeS]])</f>
        <v>-0.46470587995722945</v>
      </c>
      <c r="CA69">
        <f>LOG(Table1_1[[#This Row],[PFHxS]])</f>
        <v>1.5327543789924978</v>
      </c>
      <c r="CB69">
        <f>LOG(Table1_1[[#This Row],[PFHpS]])</f>
        <v>0.43616264704075602</v>
      </c>
      <c r="CC69">
        <f>LOG(Table1_1[[#This Row],[PFOS]])</f>
        <v>2.5185139398778875</v>
      </c>
      <c r="CD69">
        <f>LOG(Table1_1[[#This Row],[PFNS]])</f>
        <v>-0.66354026615147055</v>
      </c>
      <c r="CE69">
        <f>LOG(Table1_1[[#This Row],[PFDS]])</f>
        <v>-0.66354026615147055</v>
      </c>
      <c r="CF69">
        <f>LOG(Table1_1[[#This Row],[PFDoS]])</f>
        <v>-0.63451201510910027</v>
      </c>
      <c r="CG69">
        <f>LOG(Table1_1[[#This Row],[Cl-PFOS]])</f>
        <v>-0.88107424717422334</v>
      </c>
      <c r="CH69">
        <f>LOG(Table1_1[[#This Row],[PFEtCHxS]])</f>
        <v>-1.0629838925351858</v>
      </c>
      <c r="CI69">
        <f>LOG(Table1_1[[#This Row],[FBSA]])</f>
        <v>1.7497363155690611</v>
      </c>
      <c r="CJ69">
        <f>LOG(Table1_1[[#This Row],[FHxSA]])</f>
        <v>2.5490032620257876</v>
      </c>
      <c r="CK69">
        <f>LOG(Table1_1[[#This Row],[FOSA]])</f>
        <v>1.1271047983648077</v>
      </c>
      <c r="CL69">
        <f>LOG(Table1_1[[#This Row],[N-MeFOSA]])</f>
        <v>-0.77728352885241669</v>
      </c>
      <c r="CM69">
        <f>LOG(Table1_1[[#This Row],[N-EtFOSA]])</f>
        <v>-0.36301089818777088</v>
      </c>
      <c r="CN69">
        <f>LOG(Table1_1[[#This Row],[FOSAA]])</f>
        <v>-0.36301089818777088</v>
      </c>
      <c r="CO69">
        <f>LOG(Table1_1[[#This Row],[N-MeFOSAA]])</f>
        <v>-0.66154350639539516</v>
      </c>
      <c r="CP69">
        <f>LOG(Table1_1[[#This Row],[N-EtFOSAA]])</f>
        <v>-0.66354026615147055</v>
      </c>
      <c r="CQ69">
        <f>LOG(Table1_1[[#This Row],[4:2 FTS]])</f>
        <v>-0.66354026615147055</v>
      </c>
      <c r="CR69">
        <f>LOG(Table1_1[[#This Row],[6:2 FTS]])</f>
        <v>-0.33348201944511913</v>
      </c>
      <c r="CS69">
        <f>LOG(Table1_1[[#This Row],[8:2 FTS]])</f>
        <v>0.86923171973097624</v>
      </c>
      <c r="CT69">
        <f>LOG(Table1_1[[#This Row],[10:2 FTS]])</f>
        <v>-0.36301089818777088</v>
      </c>
      <c r="CU69">
        <f>LOG(Table1_1[[#This Row],[3:3 FTCA]])</f>
        <v>-0.6020599913279624</v>
      </c>
      <c r="CV69">
        <f>LOG(Table1_1[[#This Row],[5:3 FTCA]])</f>
        <v>-0.66354026615147055</v>
      </c>
      <c r="CW69">
        <f>LOG(Table1_1[[#This Row],[7:3 FTCA]])</f>
        <v>1.0293837776852097</v>
      </c>
      <c r="CX69">
        <f>LOG(Table1_1[[#This Row],[6:2 FTCA]])</f>
        <v>-0.36301089818777088</v>
      </c>
      <c r="CY69">
        <f>LOG(Table1_1[[#This Row],[8:2 FTCA]])</f>
        <v>-0.36301089818777088</v>
      </c>
      <c r="CZ69">
        <f>LOG(Table1_1[[#This Row],[10:2 FTCA]])</f>
        <v>-0.36301089818777088</v>
      </c>
      <c r="DA69">
        <f>LOG(Table1_1[[#This Row],[6:2 FTUCA]])</f>
        <v>-0.36301089818777088</v>
      </c>
      <c r="DB69">
        <f>LOG(Table1_1[[#This Row],[8:2 FTUCA]])</f>
        <v>-0.36301089818777088</v>
      </c>
      <c r="DC69">
        <f>LOG(Table1_1[[#This Row],[ADONA]])</f>
        <v>-0.66354026615147055</v>
      </c>
      <c r="DD69">
        <f>LOG(Table1_1[[#This Row],[9Cl-PF3ONS]])</f>
        <v>-0.36301089818777088</v>
      </c>
      <c r="DE69">
        <f>LOG(Table1_1[[#This Row],[11Cl-PF3OUdS]])</f>
        <v>-0.36301089818777088</v>
      </c>
      <c r="DF69">
        <f>LOG(Table1_1[[#This Row],[HFPO-DA]])</f>
        <v>-0.5072396109731625</v>
      </c>
      <c r="DG69">
        <f>LOG(Table1_1[[#This Row],[6:2 diPAP]])</f>
        <v>-0.36301089818777088</v>
      </c>
      <c r="DH69">
        <f>LOG(Table1_1[[#This Row],[8:2 diPAP]])</f>
        <v>-0.36301089818777088</v>
      </c>
      <c r="DI69">
        <f>LOG(Table1_1[[#This Row],[diSAmPAP]])</f>
        <v>-0.36301089818777088</v>
      </c>
    </row>
    <row r="70" spans="1:113">
      <c r="A70" t="s">
        <v>209</v>
      </c>
      <c r="B70" t="s">
        <v>114</v>
      </c>
      <c r="C70" s="3">
        <v>44393</v>
      </c>
      <c r="D70" t="s">
        <v>210</v>
      </c>
      <c r="E70" t="s">
        <v>211</v>
      </c>
      <c r="F70" t="s">
        <v>212</v>
      </c>
      <c r="G70" t="s">
        <v>118</v>
      </c>
      <c r="H70" t="s">
        <v>119</v>
      </c>
      <c r="I70">
        <v>8</v>
      </c>
      <c r="J70">
        <f>LOG(Table1_1[[#This Row],[Length]])</f>
        <v>0.90308998699194354</v>
      </c>
      <c r="K70">
        <v>25.51</v>
      </c>
      <c r="L70">
        <f>LOG(Table1_1[[#This Row],[Weight]])</f>
        <v>1.40671045860979</v>
      </c>
      <c r="M70">
        <v>0.23849999999999999</v>
      </c>
      <c r="N70">
        <v>8.4000000000000005E-2</v>
      </c>
      <c r="O70">
        <v>0.129</v>
      </c>
      <c r="P70">
        <v>0.23849999999999999</v>
      </c>
      <c r="Q70">
        <v>0.53400000000000003</v>
      </c>
      <c r="R70">
        <v>1.17</v>
      </c>
      <c r="S70">
        <v>9.93</v>
      </c>
      <c r="T70">
        <v>16.2</v>
      </c>
      <c r="U70">
        <v>17.399999999999999</v>
      </c>
      <c r="V70">
        <v>4.83</v>
      </c>
      <c r="W70">
        <v>7.62</v>
      </c>
      <c r="X70">
        <v>0.14199999999999999</v>
      </c>
      <c r="Y70">
        <v>0.1195</v>
      </c>
      <c r="Z70">
        <v>0.23849999999999999</v>
      </c>
      <c r="AA70">
        <v>0.1265</v>
      </c>
      <c r="AB70">
        <v>30.2</v>
      </c>
      <c r="AC70">
        <v>6.57</v>
      </c>
      <c r="AD70">
        <v>1670</v>
      </c>
      <c r="AE70">
        <v>2.98</v>
      </c>
      <c r="AF70">
        <v>2.38</v>
      </c>
      <c r="AG70">
        <v>0.255</v>
      </c>
      <c r="AH70">
        <v>0.46</v>
      </c>
      <c r="AI70">
        <v>0.41099999999999998</v>
      </c>
      <c r="AJ70">
        <v>75.5</v>
      </c>
      <c r="AK70">
        <v>53.7</v>
      </c>
      <c r="AL70">
        <v>11.6</v>
      </c>
      <c r="AM70">
        <v>9.1999999999999998E-2</v>
      </c>
      <c r="AN70">
        <v>0.23849999999999999</v>
      </c>
      <c r="AO70">
        <v>0.23849999999999999</v>
      </c>
      <c r="AP70">
        <v>0.12</v>
      </c>
      <c r="AQ70">
        <v>0.1195</v>
      </c>
      <c r="AR70">
        <v>0.1195</v>
      </c>
      <c r="AS70">
        <v>0.23849999999999999</v>
      </c>
      <c r="AT70">
        <v>6.09</v>
      </c>
      <c r="AU70">
        <v>0.47699999999999998</v>
      </c>
      <c r="AV70">
        <v>0.23849999999999999</v>
      </c>
      <c r="AW70">
        <v>0.23849999999999999</v>
      </c>
      <c r="AX70">
        <v>2.0299999999999998</v>
      </c>
      <c r="AY70">
        <v>0.23849999999999999</v>
      </c>
      <c r="AZ70">
        <v>0.1195</v>
      </c>
      <c r="BA70">
        <v>0.23849999999999999</v>
      </c>
      <c r="BB70">
        <v>9.35E-2</v>
      </c>
      <c r="BC70">
        <v>7.1999999999999995E-2</v>
      </c>
      <c r="BD70">
        <v>0.105</v>
      </c>
      <c r="BE70">
        <v>0.23849999999999999</v>
      </c>
      <c r="BF70">
        <v>0.23849999999999999</v>
      </c>
      <c r="BG70">
        <v>0.17100000000000001</v>
      </c>
      <c r="BH70">
        <v>0.23849999999999999</v>
      </c>
      <c r="BI70">
        <v>0.23849999999999999</v>
      </c>
      <c r="BJ70">
        <v>0.23849999999999999</v>
      </c>
      <c r="BK70">
        <f>SUM(Table1_1[[#This Row],[PFBA]:[diSAmPAP]])</f>
        <v>1925.5274999999995</v>
      </c>
      <c r="BL70">
        <f>LOG(Table1_1[[#This Row],[PFBA]])</f>
        <v>-0.62251161662386734</v>
      </c>
      <c r="BM70">
        <f>LOG(Table1_1[[#This Row],[PFPeA]])</f>
        <v>-1.0757207139381184</v>
      </c>
      <c r="BN70">
        <f>LOG(Table1_1[[#This Row],[PFHxA]])</f>
        <v>-0.88941028970075098</v>
      </c>
      <c r="BO70">
        <f>LOG(Table1_1[[#This Row],[PFHpA]])</f>
        <v>-0.62251161662386734</v>
      </c>
      <c r="BP70">
        <f>LOG(Table1_1[[#This Row],[PFOA]])</f>
        <v>-0.27245874297144357</v>
      </c>
      <c r="BQ70">
        <f>LOG(Table1_1[[#This Row],[PFNA]])</f>
        <v>6.8185861746161619E-2</v>
      </c>
      <c r="BR70">
        <f>LOG(Table1_1[[#This Row],[PFDA]])</f>
        <v>0.99694924849538114</v>
      </c>
      <c r="BS70">
        <f>LOG(Table1_1[[#This Row],[PFUnA]])</f>
        <v>1.209515014542631</v>
      </c>
      <c r="BT70">
        <f>LOG(Table1_1[[#This Row],[PFDoA]])</f>
        <v>1.2405492482825997</v>
      </c>
      <c r="BU70">
        <f>LOG(Table1_1[[#This Row],[PFTrDA]])</f>
        <v>0.68394713075151214</v>
      </c>
      <c r="BV70">
        <f>LOG(Table1_1[[#This Row],[PFTeDA]])</f>
        <v>0.88195497133960055</v>
      </c>
      <c r="BW70">
        <f>LOG(Table1_1[[#This Row],[PFHxDA]])</f>
        <v>-0.8477116556169435</v>
      </c>
      <c r="BX70">
        <f>LOG(Table1_1[[#This Row],[PFPrS]])</f>
        <v>-0.92263209471584351</v>
      </c>
      <c r="BY70">
        <f>LOG(Table1_1[[#This Row],[PFBS]])</f>
        <v>-0.62251161662386734</v>
      </c>
      <c r="BZ70">
        <f>LOG(Table1_1[[#This Row],[PFPeS]])</f>
        <v>-0.89790947448816327</v>
      </c>
      <c r="CA70">
        <f>LOG(Table1_1[[#This Row],[PFHxS]])</f>
        <v>1.4800069429571505</v>
      </c>
      <c r="CB70">
        <f>LOG(Table1_1[[#This Row],[PFHpS]])</f>
        <v>0.81756536955978076</v>
      </c>
      <c r="CC70">
        <f>LOG(Table1_1[[#This Row],[PFOS]])</f>
        <v>3.2227164711475833</v>
      </c>
      <c r="CD70">
        <f>LOG(Table1_1[[#This Row],[PFNS]])</f>
        <v>0.47421626407625522</v>
      </c>
      <c r="CE70">
        <f>LOG(Table1_1[[#This Row],[PFDS]])</f>
        <v>0.37657695705651195</v>
      </c>
      <c r="CF70">
        <f>LOG(Table1_1[[#This Row],[PFDoS]])</f>
        <v>-0.59345981956604488</v>
      </c>
      <c r="CG70">
        <f>LOG(Table1_1[[#This Row],[Cl-PFOS]])</f>
        <v>-0.33724216831842591</v>
      </c>
      <c r="CH70">
        <f>LOG(Table1_1[[#This Row],[PFEtCHxS]])</f>
        <v>-0.38615817812393083</v>
      </c>
      <c r="CI70">
        <f>LOG(Table1_1[[#This Row],[FBSA]])</f>
        <v>1.8779469516291882</v>
      </c>
      <c r="CJ70">
        <f>LOG(Table1_1[[#This Row],[FHxSA]])</f>
        <v>1.7299742856995557</v>
      </c>
      <c r="CK70">
        <f>LOG(Table1_1[[#This Row],[FOSA]])</f>
        <v>1.0644579892269184</v>
      </c>
      <c r="CL70">
        <f>LOG(Table1_1[[#This Row],[N-MeFOSA]])</f>
        <v>-1.0362121726544447</v>
      </c>
      <c r="CM70">
        <f>LOG(Table1_1[[#This Row],[N-EtFOSA]])</f>
        <v>-0.62251161662386734</v>
      </c>
      <c r="CN70">
        <f>LOG(Table1_1[[#This Row],[FOSAA]])</f>
        <v>-0.62251161662386734</v>
      </c>
      <c r="CO70">
        <f>LOG(Table1_1[[#This Row],[N-MeFOSAA]])</f>
        <v>-0.92081875395237522</v>
      </c>
      <c r="CP70">
        <f>LOG(Table1_1[[#This Row],[N-EtFOSAA]])</f>
        <v>-0.92263209471584351</v>
      </c>
      <c r="CQ70">
        <f>LOG(Table1_1[[#This Row],[4:2 FTS]])</f>
        <v>-0.92263209471584351</v>
      </c>
      <c r="CR70">
        <f>LOG(Table1_1[[#This Row],[6:2 FTS]])</f>
        <v>-0.62251161662386734</v>
      </c>
      <c r="CS70">
        <f>LOG(Table1_1[[#This Row],[8:2 FTS]])</f>
        <v>0.78461729263287538</v>
      </c>
      <c r="CT70">
        <f>LOG(Table1_1[[#This Row],[10:2 FTS]])</f>
        <v>-0.32148162095988608</v>
      </c>
      <c r="CU70">
        <f>LOG(Table1_1[[#This Row],[3:3 FTCA]])</f>
        <v>-0.62251161662386734</v>
      </c>
      <c r="CV70">
        <f>LOG(Table1_1[[#This Row],[5:3 FTCA]])</f>
        <v>-0.62251161662386734</v>
      </c>
      <c r="CW70">
        <f>LOG(Table1_1[[#This Row],[7:3 FTCA]])</f>
        <v>0.30749603791321289</v>
      </c>
      <c r="CX70">
        <f>LOG(Table1_1[[#This Row],[6:2 FTCA]])</f>
        <v>-0.62251161662386734</v>
      </c>
      <c r="CY70">
        <f>LOG(Table1_1[[#This Row],[8:2 FTCA]])</f>
        <v>-0.92263209471584351</v>
      </c>
      <c r="CZ70">
        <f>LOG(Table1_1[[#This Row],[10:2 FTCA]])</f>
        <v>-0.62251161662386734</v>
      </c>
      <c r="DA70">
        <f>LOG(Table1_1[[#This Row],[6:2 FTUCA]])</f>
        <v>-1.0291883891274822</v>
      </c>
      <c r="DB70">
        <f>LOG(Table1_1[[#This Row],[8:2 FTUCA]])</f>
        <v>-1.1426675035687315</v>
      </c>
      <c r="DC70">
        <f>LOG(Table1_1[[#This Row],[ADONA]])</f>
        <v>-0.97881070093006195</v>
      </c>
      <c r="DD70">
        <f>LOG(Table1_1[[#This Row],[9Cl-PF3ONS]])</f>
        <v>-0.62251161662386734</v>
      </c>
      <c r="DE70">
        <f>LOG(Table1_1[[#This Row],[11Cl-PF3OUdS]])</f>
        <v>-0.62251161662386734</v>
      </c>
      <c r="DF70">
        <f>LOG(Table1_1[[#This Row],[HFPO-DA]])</f>
        <v>-0.76700388960784616</v>
      </c>
      <c r="DG70">
        <f>LOG(Table1_1[[#This Row],[6:2 diPAP]])</f>
        <v>-0.62251161662386734</v>
      </c>
      <c r="DH70">
        <f>LOG(Table1_1[[#This Row],[8:2 diPAP]])</f>
        <v>-0.62251161662386734</v>
      </c>
      <c r="DI70">
        <f>LOG(Table1_1[[#This Row],[diSAmPAP]])</f>
        <v>-0.62251161662386734</v>
      </c>
    </row>
    <row r="71" spans="1:113">
      <c r="A71" t="s">
        <v>213</v>
      </c>
      <c r="B71" t="s">
        <v>121</v>
      </c>
      <c r="C71" s="3">
        <v>44393</v>
      </c>
      <c r="D71" t="s">
        <v>210</v>
      </c>
      <c r="E71" t="s">
        <v>211</v>
      </c>
      <c r="F71" t="s">
        <v>212</v>
      </c>
      <c r="G71" t="s">
        <v>118</v>
      </c>
      <c r="H71" t="s">
        <v>119</v>
      </c>
      <c r="I71">
        <v>7</v>
      </c>
      <c r="J71">
        <f>LOG(Table1_1[[#This Row],[Length]])</f>
        <v>0.84509804001425681</v>
      </c>
      <c r="K71">
        <v>4.1500000000000004</v>
      </c>
      <c r="L71">
        <f>LOG(Table1_1[[#This Row],[Weight]])</f>
        <v>0.61804809671209271</v>
      </c>
      <c r="M71">
        <v>0.223</v>
      </c>
      <c r="N71">
        <v>0.223</v>
      </c>
      <c r="O71">
        <v>0.12</v>
      </c>
      <c r="P71">
        <v>0.223</v>
      </c>
      <c r="Q71">
        <v>0.95699999999999996</v>
      </c>
      <c r="R71">
        <v>1.8</v>
      </c>
      <c r="S71">
        <v>10.1</v>
      </c>
      <c r="T71">
        <v>12.2</v>
      </c>
      <c r="U71">
        <v>12.4</v>
      </c>
      <c r="V71">
        <v>4.46</v>
      </c>
      <c r="W71">
        <v>5.0999999999999996</v>
      </c>
      <c r="X71">
        <v>0.26550000000000001</v>
      </c>
      <c r="Y71">
        <v>0.44550000000000001</v>
      </c>
      <c r="Z71">
        <v>0.1515</v>
      </c>
      <c r="AA71">
        <v>0.26400000000000001</v>
      </c>
      <c r="AB71">
        <v>42.9</v>
      </c>
      <c r="AC71">
        <v>7.46</v>
      </c>
      <c r="AD71">
        <v>1690</v>
      </c>
      <c r="AE71">
        <v>2.64</v>
      </c>
      <c r="AF71">
        <v>1.63</v>
      </c>
      <c r="AG71">
        <v>0.23799999999999999</v>
      </c>
      <c r="AH71">
        <v>0.48299999999999998</v>
      </c>
      <c r="AI71">
        <v>0.44700000000000001</v>
      </c>
      <c r="AJ71">
        <v>70.7</v>
      </c>
      <c r="AK71">
        <v>89.3</v>
      </c>
      <c r="AL71">
        <v>16.8</v>
      </c>
      <c r="AM71">
        <v>0.17150000000000001</v>
      </c>
      <c r="AN71">
        <v>0.44550000000000001</v>
      </c>
      <c r="AO71">
        <v>0.44550000000000001</v>
      </c>
      <c r="AP71">
        <v>0.224</v>
      </c>
      <c r="AQ71">
        <v>0.223</v>
      </c>
      <c r="AR71">
        <v>0.223</v>
      </c>
      <c r="AS71">
        <v>0.223</v>
      </c>
      <c r="AT71">
        <v>7.04</v>
      </c>
      <c r="AU71">
        <v>0.44550000000000001</v>
      </c>
      <c r="AV71">
        <v>0.25700000000000001</v>
      </c>
      <c r="AW71">
        <v>0.223</v>
      </c>
      <c r="AX71">
        <v>2.57</v>
      </c>
      <c r="AY71">
        <v>0.44550000000000001</v>
      </c>
      <c r="AZ71">
        <v>0.44550000000000001</v>
      </c>
      <c r="BA71">
        <v>0.44550000000000001</v>
      </c>
      <c r="BB71">
        <v>0.44550000000000001</v>
      </c>
      <c r="BC71">
        <v>0.44550000000000001</v>
      </c>
      <c r="BD71">
        <v>0.89900000000000002</v>
      </c>
      <c r="BE71">
        <v>0.44550000000000001</v>
      </c>
      <c r="BF71">
        <v>0.44550000000000001</v>
      </c>
      <c r="BG71">
        <v>0.31950000000000001</v>
      </c>
      <c r="BH71">
        <v>0.44550000000000001</v>
      </c>
      <c r="BI71">
        <v>0.44550000000000001</v>
      </c>
      <c r="BJ71">
        <v>0.44550000000000001</v>
      </c>
      <c r="BK71">
        <f>SUM(Table1_1[[#This Row],[PFBA]:[diSAmPAP]])</f>
        <v>1989.6950000000002</v>
      </c>
      <c r="BL71">
        <f>LOG(Table1_1[[#This Row],[PFBA]])</f>
        <v>-0.65169513695183934</v>
      </c>
      <c r="BM71">
        <f>LOG(Table1_1[[#This Row],[PFPeA]])</f>
        <v>-0.65169513695183934</v>
      </c>
      <c r="BN71">
        <f>LOG(Table1_1[[#This Row],[PFHxA]])</f>
        <v>-0.92081875395237522</v>
      </c>
      <c r="BO71">
        <f>LOG(Table1_1[[#This Row],[PFHpA]])</f>
        <v>-0.65169513695183934</v>
      </c>
      <c r="BP71">
        <f>LOG(Table1_1[[#This Row],[PFOA]])</f>
        <v>-1.9088062223156451E-2</v>
      </c>
      <c r="BQ71">
        <f>LOG(Table1_1[[#This Row],[PFNA]])</f>
        <v>0.25527250510330607</v>
      </c>
      <c r="BR71">
        <f>LOG(Table1_1[[#This Row],[PFDA]])</f>
        <v>1.0043213737826426</v>
      </c>
      <c r="BS71">
        <f>LOG(Table1_1[[#This Row],[PFUnA]])</f>
        <v>1.0863598306747482</v>
      </c>
      <c r="BT71">
        <f>LOG(Table1_1[[#This Row],[PFDoA]])</f>
        <v>1.0934216851622351</v>
      </c>
      <c r="BU71">
        <f>LOG(Table1_1[[#This Row],[PFTrDA]])</f>
        <v>0.64933485871214192</v>
      </c>
      <c r="BV71">
        <f>LOG(Table1_1[[#This Row],[PFTeDA]])</f>
        <v>0.70757017609793638</v>
      </c>
      <c r="BW71">
        <f>LOG(Table1_1[[#This Row],[PFHxDA]])</f>
        <v>-0.57593547458251215</v>
      </c>
      <c r="BX71">
        <f>LOG(Table1_1[[#This Row],[PFPrS]])</f>
        <v>-0.35115229162710637</v>
      </c>
      <c r="BY71">
        <f>LOG(Table1_1[[#This Row],[PFBS]])</f>
        <v>-0.81958736716167624</v>
      </c>
      <c r="BZ71">
        <f>LOG(Table1_1[[#This Row],[PFPeS]])</f>
        <v>-0.57839607313016894</v>
      </c>
      <c r="CA71">
        <f>LOG(Table1_1[[#This Row],[PFHxS]])</f>
        <v>1.6324572921847242</v>
      </c>
      <c r="CB71">
        <f>LOG(Table1_1[[#This Row],[PFHpS]])</f>
        <v>0.87273882747266884</v>
      </c>
      <c r="CC71">
        <f>LOG(Table1_1[[#This Row],[PFOS]])</f>
        <v>3.2278867046136734</v>
      </c>
      <c r="CD71">
        <f>LOG(Table1_1[[#This Row],[PFNS]])</f>
        <v>0.42160392686983106</v>
      </c>
      <c r="CE71">
        <f>LOG(Table1_1[[#This Row],[PFDS]])</f>
        <v>0.21218760440395779</v>
      </c>
      <c r="CF71">
        <f>LOG(Table1_1[[#This Row],[PFDoS]])</f>
        <v>-0.62342304294348805</v>
      </c>
      <c r="CG71">
        <f>LOG(Table1_1[[#This Row],[Cl-PFOS]])</f>
        <v>-0.31605286924848786</v>
      </c>
      <c r="CH71">
        <f>LOG(Table1_1[[#This Row],[PFEtCHxS]])</f>
        <v>-0.34969247686806354</v>
      </c>
      <c r="CI71">
        <f>LOG(Table1_1[[#This Row],[FBSA]])</f>
        <v>1.8494194137968993</v>
      </c>
      <c r="CJ71">
        <f>LOG(Table1_1[[#This Row],[FHxSA]])</f>
        <v>1.9508514588885464</v>
      </c>
      <c r="CK71">
        <f>LOG(Table1_1[[#This Row],[FOSA]])</f>
        <v>1.2253092817258628</v>
      </c>
      <c r="CL71">
        <f>LOG(Table1_1[[#This Row],[N-MeFOSA]])</f>
        <v>-0.7657358756212107</v>
      </c>
      <c r="CM71">
        <f>LOG(Table1_1[[#This Row],[N-EtFOSA]])</f>
        <v>-0.35115229162710637</v>
      </c>
      <c r="CN71">
        <f>LOG(Table1_1[[#This Row],[FOSAA]])</f>
        <v>-0.35115229162710637</v>
      </c>
      <c r="CO71">
        <f>LOG(Table1_1[[#This Row],[N-MeFOSAA]])</f>
        <v>-0.64975198166583714</v>
      </c>
      <c r="CP71">
        <f>LOG(Table1_1[[#This Row],[N-EtFOSAA]])</f>
        <v>-0.65169513695183934</v>
      </c>
      <c r="CQ71">
        <f>LOG(Table1_1[[#This Row],[4:2 FTS]])</f>
        <v>-0.65169513695183934</v>
      </c>
      <c r="CR71">
        <f>LOG(Table1_1[[#This Row],[6:2 FTS]])</f>
        <v>-0.65169513695183934</v>
      </c>
      <c r="CS71">
        <f>LOG(Table1_1[[#This Row],[8:2 FTS]])</f>
        <v>0.84757265914211222</v>
      </c>
      <c r="CT71">
        <f>LOG(Table1_1[[#This Row],[10:2 FTS]])</f>
        <v>-0.35115229162710637</v>
      </c>
      <c r="CU71">
        <f>LOG(Table1_1[[#This Row],[3:3 FTCA]])</f>
        <v>-0.5900668766687055</v>
      </c>
      <c r="CV71">
        <f>LOG(Table1_1[[#This Row],[5:3 FTCA]])</f>
        <v>-0.65169513695183934</v>
      </c>
      <c r="CW71">
        <f>LOG(Table1_1[[#This Row],[7:3 FTCA]])</f>
        <v>0.4099331233312945</v>
      </c>
      <c r="CX71">
        <f>LOG(Table1_1[[#This Row],[6:2 FTCA]])</f>
        <v>-0.35115229162710637</v>
      </c>
      <c r="CY71">
        <f>LOG(Table1_1[[#This Row],[8:2 FTCA]])</f>
        <v>-0.35115229162710637</v>
      </c>
      <c r="CZ71">
        <f>LOG(Table1_1[[#This Row],[10:2 FTCA]])</f>
        <v>-0.35115229162710637</v>
      </c>
      <c r="DA71">
        <f>LOG(Table1_1[[#This Row],[6:2 FTUCA]])</f>
        <v>-0.35115229162710637</v>
      </c>
      <c r="DB71">
        <f>LOG(Table1_1[[#This Row],[8:2 FTUCA]])</f>
        <v>-0.35115229162710637</v>
      </c>
      <c r="DC71">
        <f>LOG(Table1_1[[#This Row],[ADONA]])</f>
        <v>-4.6240308266771224E-2</v>
      </c>
      <c r="DD71">
        <f>LOG(Table1_1[[#This Row],[9Cl-PF3ONS]])</f>
        <v>-0.35115229162710637</v>
      </c>
      <c r="DE71">
        <f>LOG(Table1_1[[#This Row],[11Cl-PF3OUdS]])</f>
        <v>-0.35115229162710637</v>
      </c>
      <c r="DF71">
        <f>LOG(Table1_1[[#This Row],[HFPO-DA]])</f>
        <v>-0.49552913750558103</v>
      </c>
      <c r="DG71">
        <f>LOG(Table1_1[[#This Row],[6:2 diPAP]])</f>
        <v>-0.35115229162710637</v>
      </c>
      <c r="DH71">
        <f>LOG(Table1_1[[#This Row],[8:2 diPAP]])</f>
        <v>-0.35115229162710637</v>
      </c>
      <c r="DI71">
        <f>LOG(Table1_1[[#This Row],[diSAmPAP]])</f>
        <v>-0.35115229162710637</v>
      </c>
    </row>
    <row r="72" spans="1:113">
      <c r="A72" t="s">
        <v>214</v>
      </c>
      <c r="B72" t="s">
        <v>121</v>
      </c>
      <c r="C72" s="3">
        <v>44314</v>
      </c>
      <c r="D72" t="s">
        <v>215</v>
      </c>
      <c r="E72" t="s">
        <v>216</v>
      </c>
      <c r="F72" t="s">
        <v>217</v>
      </c>
      <c r="G72" t="s">
        <v>118</v>
      </c>
      <c r="H72" t="s">
        <v>119</v>
      </c>
      <c r="I72">
        <v>5</v>
      </c>
      <c r="J72">
        <f>LOG(Table1_1[[#This Row],[Length]])</f>
        <v>0.69897000433601886</v>
      </c>
      <c r="K72">
        <v>1.35</v>
      </c>
      <c r="L72">
        <f>LOG(Table1_1[[#This Row],[Weight]])</f>
        <v>0.13033376849500614</v>
      </c>
      <c r="M72">
        <v>7.8878177037686237E-2</v>
      </c>
      <c r="N72">
        <v>0.13932672307453989</v>
      </c>
      <c r="O72">
        <v>0.10642465694070552</v>
      </c>
      <c r="P72">
        <v>7.8878177037686237E-2</v>
      </c>
      <c r="Q72">
        <v>1.43</v>
      </c>
      <c r="R72">
        <v>0.60499999999999998</v>
      </c>
      <c r="S72">
        <v>3.72</v>
      </c>
      <c r="T72">
        <v>6.6</v>
      </c>
      <c r="U72">
        <v>5.3740455996544922E-2</v>
      </c>
      <c r="V72">
        <v>3.29</v>
      </c>
      <c r="W72">
        <v>3.91</v>
      </c>
      <c r="X72">
        <v>8.0216288804540972E-2</v>
      </c>
      <c r="Y72">
        <v>5.135196336574531E-2</v>
      </c>
      <c r="Z72">
        <v>0.13421305597085886</v>
      </c>
      <c r="AA72">
        <v>0.27200000000000002</v>
      </c>
      <c r="AB72">
        <v>30.6</v>
      </c>
      <c r="AC72">
        <v>1.04</v>
      </c>
      <c r="AD72">
        <v>470</v>
      </c>
      <c r="AE72">
        <v>0.47299999999999998</v>
      </c>
      <c r="AF72">
        <v>0.58199999999999996</v>
      </c>
      <c r="AG72">
        <v>0.21087494249907979</v>
      </c>
      <c r="AH72">
        <v>0.11983255326110429</v>
      </c>
      <c r="AI72">
        <v>7.8878177037686237E-2</v>
      </c>
      <c r="AJ72">
        <v>65.7</v>
      </c>
      <c r="AK72">
        <v>169</v>
      </c>
      <c r="AL72">
        <v>27.6</v>
      </c>
      <c r="AM72">
        <v>5.1852052608094779E-2</v>
      </c>
      <c r="AN72">
        <v>7.8544254220631798E-2</v>
      </c>
      <c r="AO72">
        <v>5.3053612924975325E-2</v>
      </c>
      <c r="AP72">
        <v>6.84</v>
      </c>
      <c r="AQ72">
        <v>5.842168617127344E-2</v>
      </c>
      <c r="AR72">
        <v>5.5285056444225072E-2</v>
      </c>
      <c r="AS72">
        <v>1.0900000000000001</v>
      </c>
      <c r="AT72">
        <v>6.51</v>
      </c>
      <c r="AU72">
        <v>0.22390862797546007</v>
      </c>
      <c r="AV72">
        <v>7.7637677006416606E-2</v>
      </c>
      <c r="AW72">
        <v>1.1000000000000001</v>
      </c>
      <c r="AX72">
        <v>11.9</v>
      </c>
      <c r="AY72">
        <v>2.2599999999999998</v>
      </c>
      <c r="AZ72">
        <v>0.67100000000000004</v>
      </c>
      <c r="BA72">
        <v>0.10043474655429419</v>
      </c>
      <c r="BB72">
        <v>5.2849090110562692E-2</v>
      </c>
      <c r="BC72">
        <v>4.0673821840720638E-2</v>
      </c>
      <c r="BD72">
        <v>6.7306829399623097E-2</v>
      </c>
      <c r="BE72">
        <v>4.6718117151530118E-2</v>
      </c>
      <c r="BF72">
        <v>5.3037145203849959E-2</v>
      </c>
      <c r="BG72">
        <v>9.658722280602175E-2</v>
      </c>
      <c r="BH72">
        <v>7.1650067450641661E-2</v>
      </c>
      <c r="BI72">
        <v>8.9236337219644621E-2</v>
      </c>
      <c r="BJ72">
        <v>0.11846001974333663</v>
      </c>
      <c r="BK72">
        <f>SUM(Table1_1[[#This Row],[PFBA]:[diSAmPAP]])</f>
        <v>817.66127153585751</v>
      </c>
      <c r="BL72">
        <f>LOG(Table1_1[[#This Row],[PFBA]])</f>
        <v>-1.1030431349788898</v>
      </c>
      <c r="BM72">
        <f>LOG(Table1_1[[#This Row],[PFPeA]])</f>
        <v>-0.85596557725337163</v>
      </c>
      <c r="BN72">
        <f>LOG(Table1_1[[#This Row],[PFHxA]])</f>
        <v>-0.97295774109443589</v>
      </c>
      <c r="BO72">
        <f>LOG(Table1_1[[#This Row],[PFHpA]])</f>
        <v>-1.1030431349788898</v>
      </c>
      <c r="BP72">
        <f>LOG(Table1_1[[#This Row],[PFOA]])</f>
        <v>0.1553360374650618</v>
      </c>
      <c r="BQ72">
        <f>LOG(Table1_1[[#This Row],[PFNA]])</f>
        <v>-0.21824462534753111</v>
      </c>
      <c r="BR72">
        <f>LOG(Table1_1[[#This Row],[PFDA]])</f>
        <v>0.57054293988189753</v>
      </c>
      <c r="BS72">
        <f>LOG(Table1_1[[#This Row],[PFUnA]])</f>
        <v>0.81954393554186866</v>
      </c>
      <c r="BT72">
        <f>LOG(Table1_1[[#This Row],[PFDoA]])</f>
        <v>-1.2696986528276171</v>
      </c>
      <c r="BU72">
        <f>LOG(Table1_1[[#This Row],[PFTrDA]])</f>
        <v>0.51719589794997434</v>
      </c>
      <c r="BV72">
        <f>LOG(Table1_1[[#This Row],[PFTeDA]])</f>
        <v>0.59217675739586684</v>
      </c>
      <c r="BW72">
        <f>LOG(Table1_1[[#This Row],[PFHxDA]])</f>
        <v>-1.0957374344634754</v>
      </c>
      <c r="BX72">
        <f>LOG(Table1_1[[#This Row],[PFPrS]])</f>
        <v>-1.2894429471473556</v>
      </c>
      <c r="BY72">
        <f>LOG(Table1_1[[#This Row],[PFBS]])</f>
        <v>-0.87220523483542212</v>
      </c>
      <c r="BZ72">
        <f>LOG(Table1_1[[#This Row],[PFPeS]])</f>
        <v>-0.56543109596580121</v>
      </c>
      <c r="CA72">
        <f>LOG(Table1_1[[#This Row],[PFHxS]])</f>
        <v>1.4857214264815801</v>
      </c>
      <c r="CB72">
        <f>LOG(Table1_1[[#This Row],[PFHpS]])</f>
        <v>1.703333929878037E-2</v>
      </c>
      <c r="CC72">
        <f>LOG(Table1_1[[#This Row],[PFOS]])</f>
        <v>2.6720978579357175</v>
      </c>
      <c r="CD72">
        <f>LOG(Table1_1[[#This Row],[PFNS]])</f>
        <v>-0.32513885926218844</v>
      </c>
      <c r="CE72">
        <f>LOG(Table1_1[[#This Row],[PFDS]])</f>
        <v>-0.23507701535011155</v>
      </c>
      <c r="CF72">
        <f>LOG(Table1_1[[#This Row],[PFDoS]])</f>
        <v>-0.675975022825276</v>
      </c>
      <c r="CG72">
        <f>LOG(Table1_1[[#This Row],[Cl-PFOS]])</f>
        <v>-0.92142518711203147</v>
      </c>
      <c r="CH72">
        <f>LOG(Table1_1[[#This Row],[PFEtCHxS]])</f>
        <v>-1.1030431349788898</v>
      </c>
      <c r="CI72">
        <f>LOG(Table1_1[[#This Row],[FBSA]])</f>
        <v>1.8175653695597809</v>
      </c>
      <c r="CJ72">
        <f>LOG(Table1_1[[#This Row],[FHxSA]])</f>
        <v>2.2278867046136734</v>
      </c>
      <c r="CK72">
        <f>LOG(Table1_1[[#This Row],[FOSA]])</f>
        <v>1.4409090820652177</v>
      </c>
      <c r="CL72">
        <f>LOG(Table1_1[[#This Row],[N-MeFOSA]])</f>
        <v>-1.2852340470140975</v>
      </c>
      <c r="CM72">
        <f>LOG(Table1_1[[#This Row],[N-EtFOSA]])</f>
        <v>-1.1048855795806427</v>
      </c>
      <c r="CN72">
        <f>LOG(Table1_1[[#This Row],[FOSAA]])</f>
        <v>-1.2752850355147134</v>
      </c>
      <c r="CO72">
        <f>LOG(Table1_1[[#This Row],[N-MeFOSAA]])</f>
        <v>0.83505610172011624</v>
      </c>
      <c r="CP72">
        <f>LOG(Table1_1[[#This Row],[N-EtFOSAA]])</f>
        <v>-1.2334259125402895</v>
      </c>
      <c r="CQ72">
        <f>LOG(Table1_1[[#This Row],[4:2 FTS]])</f>
        <v>-1.2573922426707962</v>
      </c>
      <c r="CR72">
        <f>LOG(Table1_1[[#This Row],[6:2 FTS]])</f>
        <v>3.7426497940623665E-2</v>
      </c>
      <c r="CS72">
        <f>LOG(Table1_1[[#This Row],[8:2 FTS]])</f>
        <v>0.81358098856819194</v>
      </c>
      <c r="CT72">
        <f>LOG(Table1_1[[#This Row],[10:2 FTS]])</f>
        <v>-0.64992917122696636</v>
      </c>
      <c r="CU72">
        <f>LOG(Table1_1[[#This Row],[3:3 FTCA]])</f>
        <v>-1.1099274675957265</v>
      </c>
      <c r="CV72">
        <f>LOG(Table1_1[[#This Row],[5:3 FTCA]])</f>
        <v>4.1392685158225077E-2</v>
      </c>
      <c r="CW72">
        <f>LOG(Table1_1[[#This Row],[7:3 FTCA]])</f>
        <v>1.0755469613925308</v>
      </c>
      <c r="CX72">
        <f>LOG(Table1_1[[#This Row],[6:2 FTCA]])</f>
        <v>0.35410843914740087</v>
      </c>
      <c r="CY72">
        <f>LOG(Table1_1[[#This Row],[8:2 FTCA]])</f>
        <v>-0.17327747983100789</v>
      </c>
      <c r="CZ72">
        <f>LOG(Table1_1[[#This Row],[10:2 FTCA]])</f>
        <v>-0.9981160120299073</v>
      </c>
      <c r="DA72">
        <f>LOG(Table1_1[[#This Row],[6:2 FTUCA]])</f>
        <v>-1.2769624854306028</v>
      </c>
      <c r="DB72">
        <f>LOG(Table1_1[[#This Row],[8:2 FTUCA]])</f>
        <v>-1.3906850179973544</v>
      </c>
      <c r="DC72">
        <f>LOG(Table1_1[[#This Row],[ADONA]])</f>
        <v>-1.1719408671268052</v>
      </c>
      <c r="DD72">
        <f>LOG(Table1_1[[#This Row],[9Cl-PF3ONS]])</f>
        <v>-1.3305146686177958</v>
      </c>
      <c r="DE72">
        <f>LOG(Table1_1[[#This Row],[11Cl-PF3OUdS]])</f>
        <v>-1.2754198604626701</v>
      </c>
      <c r="DF72">
        <f>LOG(Table1_1[[#This Row],[HFPO-DA]])</f>
        <v>-1.0150803211192498</v>
      </c>
      <c r="DG72">
        <f>LOG(Table1_1[[#This Row],[6:2 diPAP]])</f>
        <v>-1.144783396426055</v>
      </c>
      <c r="DH72">
        <f>LOG(Table1_1[[#This Row],[8:2 diPAP]])</f>
        <v>-1.0494582640038728</v>
      </c>
      <c r="DI72">
        <f>LOG(Table1_1[[#This Row],[diSAmPAP]])</f>
        <v>-0.92642819931265563</v>
      </c>
    </row>
    <row r="73" spans="1:113">
      <c r="A73" t="s">
        <v>218</v>
      </c>
      <c r="B73" t="s">
        <v>121</v>
      </c>
      <c r="C73" s="3">
        <v>44314</v>
      </c>
      <c r="D73" t="s">
        <v>215</v>
      </c>
      <c r="E73" t="s">
        <v>216</v>
      </c>
      <c r="F73" t="s">
        <v>217</v>
      </c>
      <c r="G73" t="s">
        <v>219</v>
      </c>
      <c r="H73" t="s">
        <v>119</v>
      </c>
      <c r="I73">
        <v>12</v>
      </c>
      <c r="J73">
        <f>LOG(Table1_1[[#This Row],[Length]])</f>
        <v>1.0791812460476249</v>
      </c>
      <c r="K73">
        <v>16.399999999999999</v>
      </c>
      <c r="L73">
        <f>LOG(Table1_1[[#This Row],[Weight]])</f>
        <v>1.2148438480476977</v>
      </c>
      <c r="M73">
        <v>9.0799031476997583E-2</v>
      </c>
      <c r="N73">
        <v>4.2220219113496937E-2</v>
      </c>
      <c r="O73">
        <v>0.12250860933146186</v>
      </c>
      <c r="P73">
        <v>9.0799031476997583E-2</v>
      </c>
      <c r="Q73">
        <v>0.68700000000000006</v>
      </c>
      <c r="R73">
        <v>0.40500000000000003</v>
      </c>
      <c r="S73">
        <v>3.6</v>
      </c>
      <c r="T73">
        <v>6.5</v>
      </c>
      <c r="U73">
        <v>4.7711728242331282E-2</v>
      </c>
      <c r="V73">
        <v>3.79</v>
      </c>
      <c r="W73">
        <v>7.25</v>
      </c>
      <c r="X73">
        <v>7.121744133128835E-2</v>
      </c>
      <c r="Y73">
        <v>4.5591182199386501E-2</v>
      </c>
      <c r="Z73">
        <v>1.55</v>
      </c>
      <c r="AA73">
        <v>0.30199999999999999</v>
      </c>
      <c r="AB73">
        <v>30.3</v>
      </c>
      <c r="AC73">
        <v>0.48</v>
      </c>
      <c r="AD73">
        <v>391</v>
      </c>
      <c r="AE73">
        <v>0.64900000000000002</v>
      </c>
      <c r="AF73">
        <v>1.91</v>
      </c>
      <c r="AG73">
        <v>0.69599999999999995</v>
      </c>
      <c r="AH73">
        <v>0.13794284026525425</v>
      </c>
      <c r="AI73">
        <v>9.0799031476997583E-2</v>
      </c>
      <c r="AJ73">
        <v>65.400000000000006</v>
      </c>
      <c r="AK73">
        <v>120</v>
      </c>
      <c r="AL73">
        <v>29.3</v>
      </c>
      <c r="AM73">
        <v>4.603517028220859E-2</v>
      </c>
      <c r="AN73">
        <v>6.9732979426380362E-2</v>
      </c>
      <c r="AO73">
        <v>4.710193680368098E-2</v>
      </c>
      <c r="AP73">
        <v>6.01177392607362E-2</v>
      </c>
      <c r="AQ73">
        <v>5.1867807266871159E-2</v>
      </c>
      <c r="AR73">
        <v>4.9083051865030668E-2</v>
      </c>
      <c r="AS73">
        <v>3.6077005592944786E-2</v>
      </c>
      <c r="AT73">
        <v>7.04</v>
      </c>
      <c r="AU73">
        <v>0.25774792627118642</v>
      </c>
      <c r="AV73">
        <v>6.8928104125766873E-2</v>
      </c>
      <c r="AW73">
        <v>0.73</v>
      </c>
      <c r="AX73">
        <v>133</v>
      </c>
      <c r="AY73">
        <v>3.43</v>
      </c>
      <c r="AZ73">
        <v>2.3902477890207951E-2</v>
      </c>
      <c r="BA73">
        <v>8.9167746064417186E-2</v>
      </c>
      <c r="BB73">
        <v>4.6920357828220863E-2</v>
      </c>
      <c r="BC73">
        <v>3.6110939110122697E-2</v>
      </c>
      <c r="BD73">
        <v>5.9756194725519879E-2</v>
      </c>
      <c r="BE73">
        <v>4.1477171493865025E-2</v>
      </c>
      <c r="BF73">
        <v>4.7087316469325159E-2</v>
      </c>
      <c r="BG73">
        <v>8.5751846365030693E-2</v>
      </c>
      <c r="BH73">
        <v>6.36121983588957E-2</v>
      </c>
      <c r="BI73">
        <v>7.922560000306747E-2</v>
      </c>
      <c r="BJ73">
        <v>0.10517090271691498</v>
      </c>
      <c r="BK73">
        <f>SUM(Table1_1[[#This Row],[PFBA]:[diSAmPAP]])</f>
        <v>810.12346358683453</v>
      </c>
      <c r="BL73">
        <f>LOG(Table1_1[[#This Row],[PFBA]])</f>
        <v>-1.0419187839286821</v>
      </c>
      <c r="BM73">
        <f>LOG(Table1_1[[#This Row],[PFPeA]])</f>
        <v>-1.3744795171312592</v>
      </c>
      <c r="BN73">
        <f>LOG(Table1_1[[#This Row],[PFHxA]])</f>
        <v>-0.91183339004422836</v>
      </c>
      <c r="BO73">
        <f>LOG(Table1_1[[#This Row],[PFHpA]])</f>
        <v>-1.0419187839286821</v>
      </c>
      <c r="BP73">
        <f>LOG(Table1_1[[#This Row],[PFOA]])</f>
        <v>-0.16304326294044955</v>
      </c>
      <c r="BQ73">
        <f>LOG(Table1_1[[#This Row],[PFNA]])</f>
        <v>-0.3925449767853314</v>
      </c>
      <c r="BR73">
        <f>LOG(Table1_1[[#This Row],[PFDA]])</f>
        <v>0.55630250076728727</v>
      </c>
      <c r="BS73">
        <f>LOG(Table1_1[[#This Row],[PFUnA]])</f>
        <v>0.81291335664285558</v>
      </c>
      <c r="BT73">
        <f>LOG(Table1_1[[#This Row],[PFDoA]])</f>
        <v>-1.3213748518855515</v>
      </c>
      <c r="BU73">
        <f>LOG(Table1_1[[#This Row],[PFTrDA]])</f>
        <v>0.57863920996807239</v>
      </c>
      <c r="BV73">
        <f>LOG(Table1_1[[#This Row],[PFTeDA]])</f>
        <v>0.86033800657099369</v>
      </c>
      <c r="BW73">
        <f>LOG(Table1_1[[#This Row],[PFHxDA]])</f>
        <v>-1.1474136335214096</v>
      </c>
      <c r="BX73">
        <f>LOG(Table1_1[[#This Row],[PFPrS]])</f>
        <v>-1.3411191462052898</v>
      </c>
      <c r="BY73">
        <f>LOG(Table1_1[[#This Row],[PFBS]])</f>
        <v>0.1903316981702915</v>
      </c>
      <c r="BZ73">
        <f>LOG(Table1_1[[#This Row],[PFPeS]])</f>
        <v>-0.51999305704284937</v>
      </c>
      <c r="CA73">
        <f>LOG(Table1_1[[#This Row],[PFHxS]])</f>
        <v>1.481442628502305</v>
      </c>
      <c r="CB73">
        <f>LOG(Table1_1[[#This Row],[PFHpS]])</f>
        <v>-0.31875876262441277</v>
      </c>
      <c r="CC73">
        <f>LOG(Table1_1[[#This Row],[PFOS]])</f>
        <v>2.5921767573958667</v>
      </c>
      <c r="CD73">
        <f>LOG(Table1_1[[#This Row],[PFNS]])</f>
        <v>-0.18775530319963074</v>
      </c>
      <c r="CE73">
        <f>LOG(Table1_1[[#This Row],[PFDS]])</f>
        <v>0.28103336724772754</v>
      </c>
      <c r="CF73">
        <f>LOG(Table1_1[[#This Row],[PFDoS]])</f>
        <v>-0.15739076038943792</v>
      </c>
      <c r="CG73">
        <f>LOG(Table1_1[[#This Row],[Cl-PFOS]])</f>
        <v>-0.86030083606182384</v>
      </c>
      <c r="CH73">
        <f>LOG(Table1_1[[#This Row],[PFEtCHxS]])</f>
        <v>-1.0419187839286821</v>
      </c>
      <c r="CI73">
        <f>LOG(Table1_1[[#This Row],[FBSA]])</f>
        <v>1.8155777483242672</v>
      </c>
      <c r="CJ73">
        <f>LOG(Table1_1[[#This Row],[FHxSA]])</f>
        <v>2.0791812460476247</v>
      </c>
      <c r="CK73">
        <f>LOG(Table1_1[[#This Row],[FOSA]])</f>
        <v>1.4668676203541096</v>
      </c>
      <c r="CL73">
        <f>LOG(Table1_1[[#This Row],[N-MeFOSA]])</f>
        <v>-1.3369102460720317</v>
      </c>
      <c r="CM73">
        <f>LOG(Table1_1[[#This Row],[N-EtFOSA]])</f>
        <v>-1.1565617786385769</v>
      </c>
      <c r="CN73">
        <f>LOG(Table1_1[[#This Row],[FOSAA]])</f>
        <v>-1.3269612345726476</v>
      </c>
      <c r="CO73">
        <f>LOG(Table1_1[[#This Row],[N-MeFOSAA]])</f>
        <v>-1.2209973595064194</v>
      </c>
      <c r="CP73">
        <f>LOG(Table1_1[[#This Row],[N-EtFOSAA]])</f>
        <v>-1.285102111598224</v>
      </c>
      <c r="CQ73">
        <f>LOG(Table1_1[[#This Row],[4:2 FTS]])</f>
        <v>-1.3090684417287304</v>
      </c>
      <c r="CR73">
        <f>LOG(Table1_1[[#This Row],[6:2 FTS]])</f>
        <v>-1.442769516263918</v>
      </c>
      <c r="CS73">
        <f>LOG(Table1_1[[#This Row],[8:2 FTS]])</f>
        <v>0.84757265914211222</v>
      </c>
      <c r="CT73">
        <f>LOG(Table1_1[[#This Row],[10:2 FTS]])</f>
        <v>-0.58880482017675873</v>
      </c>
      <c r="CU73">
        <f>LOG(Table1_1[[#This Row],[3:3 FTCA]])</f>
        <v>-1.1616036666536609</v>
      </c>
      <c r="CV73">
        <f>LOG(Table1_1[[#This Row],[5:3 FTCA]])</f>
        <v>-0.13667713987954411</v>
      </c>
      <c r="CW73">
        <f>LOG(Table1_1[[#This Row],[7:3 FTCA]])</f>
        <v>2.1238516409670858</v>
      </c>
      <c r="CX73">
        <f>LOG(Table1_1[[#This Row],[6:2 FTCA]])</f>
        <v>0.53529412004277055</v>
      </c>
      <c r="CY73">
        <f>LOG(Table1_1[[#This Row],[8:2 FTCA]])</f>
        <v>-1.6215570748567774</v>
      </c>
      <c r="CZ73">
        <f>LOG(Table1_1[[#This Row],[10:2 FTCA]])</f>
        <v>-1.0497922110878415</v>
      </c>
      <c r="DA73">
        <f>LOG(Table1_1[[#This Row],[6:2 FTUCA]])</f>
        <v>-1.3286386844885369</v>
      </c>
      <c r="DB73">
        <f>LOG(Table1_1[[#This Row],[8:2 FTUCA]])</f>
        <v>-1.4423612170552889</v>
      </c>
      <c r="DC73">
        <f>LOG(Table1_1[[#This Row],[ADONA]])</f>
        <v>-1.2236170661847396</v>
      </c>
      <c r="DD73">
        <f>LOG(Table1_1[[#This Row],[9Cl-PF3ONS]])</f>
        <v>-1.3821908676757302</v>
      </c>
      <c r="DE73">
        <f>LOG(Table1_1[[#This Row],[11Cl-PF3OUdS]])</f>
        <v>-1.3270960595206043</v>
      </c>
      <c r="DF73">
        <f>LOG(Table1_1[[#This Row],[HFPO-DA]])</f>
        <v>-1.0667565201771843</v>
      </c>
      <c r="DG73">
        <f>LOG(Table1_1[[#This Row],[6:2 diPAP]])</f>
        <v>-1.1964595954839892</v>
      </c>
      <c r="DH73">
        <f>LOG(Table1_1[[#This Row],[8:2 diPAP]])</f>
        <v>-1.101134463061807</v>
      </c>
      <c r="DI73">
        <f>LOG(Table1_1[[#This Row],[diSAmPAP]])</f>
        <v>-0.97810439837058982</v>
      </c>
    </row>
    <row r="74" spans="1:113">
      <c r="A74" t="s">
        <v>220</v>
      </c>
      <c r="B74" t="s">
        <v>114</v>
      </c>
      <c r="C74" s="3">
        <v>44314</v>
      </c>
      <c r="D74" t="s">
        <v>215</v>
      </c>
      <c r="E74" t="s">
        <v>216</v>
      </c>
      <c r="F74" t="s">
        <v>217</v>
      </c>
      <c r="G74" t="s">
        <v>118</v>
      </c>
      <c r="H74" t="s">
        <v>119</v>
      </c>
      <c r="I74">
        <v>6</v>
      </c>
      <c r="J74">
        <f>LOG(Table1_1[[#This Row],[Length]])</f>
        <v>0.77815125038364363</v>
      </c>
      <c r="K74">
        <v>1.5</v>
      </c>
      <c r="L74">
        <f>LOG(Table1_1[[#This Row],[Weight]])</f>
        <v>0.17609125905568124</v>
      </c>
      <c r="M74">
        <v>0.222</v>
      </c>
      <c r="N74">
        <v>4.7600000000000003E-2</v>
      </c>
      <c r="O74">
        <v>0.12</v>
      </c>
      <c r="P74">
        <v>8.8999999999999996E-2</v>
      </c>
      <c r="Q74">
        <v>0.746</v>
      </c>
      <c r="R74">
        <v>0.53300000000000003</v>
      </c>
      <c r="S74">
        <v>3.81</v>
      </c>
      <c r="T74">
        <v>7.6</v>
      </c>
      <c r="U74">
        <v>12.1</v>
      </c>
      <c r="V74">
        <v>3</v>
      </c>
      <c r="W74">
        <v>4.25</v>
      </c>
      <c r="X74">
        <v>0.08</v>
      </c>
      <c r="Y74">
        <v>5.1499999999999997E-2</v>
      </c>
      <c r="Z74">
        <v>0.151</v>
      </c>
      <c r="AA74">
        <v>0.11749999999999999</v>
      </c>
      <c r="AB74">
        <v>19.8</v>
      </c>
      <c r="AC74">
        <v>1.01</v>
      </c>
      <c r="AD74">
        <v>730</v>
      </c>
      <c r="AE74">
        <v>0.57799999999999996</v>
      </c>
      <c r="AF74">
        <v>0.83699999999999997</v>
      </c>
      <c r="AG74">
        <v>0.23749999999999999</v>
      </c>
      <c r="AH74">
        <v>0.13500000000000001</v>
      </c>
      <c r="AI74">
        <v>8.8999999999999996E-2</v>
      </c>
      <c r="AJ74">
        <v>52.8</v>
      </c>
      <c r="AK74">
        <v>189</v>
      </c>
      <c r="AL74">
        <v>26.9</v>
      </c>
      <c r="AM74">
        <v>5.1999999999999998E-2</v>
      </c>
      <c r="AN74">
        <v>7.85E-2</v>
      </c>
      <c r="AO74">
        <v>5.2999999999999999E-2</v>
      </c>
      <c r="AP74">
        <v>0.2235</v>
      </c>
      <c r="AQ74">
        <v>5.8500000000000003E-2</v>
      </c>
      <c r="AR74">
        <v>5.5500000000000001E-2</v>
      </c>
      <c r="AS74">
        <v>0.13400000000000001</v>
      </c>
      <c r="AT74">
        <v>8.09</v>
      </c>
      <c r="AU74">
        <v>0.252</v>
      </c>
      <c r="AV74">
        <v>0.71799999999999997</v>
      </c>
      <c r="AW74">
        <v>0.222</v>
      </c>
      <c r="AX74">
        <v>4.1900000000000004</v>
      </c>
      <c r="AY74">
        <v>0.65800000000000003</v>
      </c>
      <c r="AZ74">
        <v>6.7500000000000004E-2</v>
      </c>
      <c r="BA74">
        <v>0.90400000000000003</v>
      </c>
      <c r="BB74">
        <v>5.2999999999999999E-2</v>
      </c>
      <c r="BC74">
        <v>4.0599999999999997E-2</v>
      </c>
      <c r="BD74">
        <v>6.7500000000000004E-2</v>
      </c>
      <c r="BE74">
        <v>6.7500000000000004E-2</v>
      </c>
      <c r="BF74">
        <v>6.7500000000000004E-2</v>
      </c>
      <c r="BG74">
        <v>9.6500000000000002E-2</v>
      </c>
      <c r="BH74">
        <v>7.1499999999999994E-2</v>
      </c>
      <c r="BI74">
        <v>8.8999999999999996E-2</v>
      </c>
      <c r="BJ74">
        <v>0.11849999999999999</v>
      </c>
      <c r="BK74">
        <f>SUM(Table1_1[[#This Row],[PFBA]:[diSAmPAP]])</f>
        <v>1070.7322000000008</v>
      </c>
      <c r="BL74">
        <f>LOG(Table1_1[[#This Row],[PFBA]])</f>
        <v>-0.65364702554936138</v>
      </c>
      <c r="BM74">
        <f>LOG(Table1_1[[#This Row],[PFPeA]])</f>
        <v>-1.3223930472795069</v>
      </c>
      <c r="BN74">
        <f>LOG(Table1_1[[#This Row],[PFHxA]])</f>
        <v>-0.92081875395237522</v>
      </c>
      <c r="BO74">
        <f>LOG(Table1_1[[#This Row],[PFHpA]])</f>
        <v>-1.0506099933550872</v>
      </c>
      <c r="BP74">
        <f>LOG(Table1_1[[#This Row],[PFOA]])</f>
        <v>-0.12726117252733121</v>
      </c>
      <c r="BQ74">
        <f>LOG(Table1_1[[#This Row],[PFNA]])</f>
        <v>-0.27327279097342771</v>
      </c>
      <c r="BR74">
        <f>LOG(Table1_1[[#This Row],[PFDA]])</f>
        <v>0.58092497567561929</v>
      </c>
      <c r="BS74">
        <f>LOG(Table1_1[[#This Row],[PFUnA]])</f>
        <v>0.88081359228079137</v>
      </c>
      <c r="BT74">
        <f>LOG(Table1_1[[#This Row],[PFDoA]])</f>
        <v>1.0827853703164501</v>
      </c>
      <c r="BU74">
        <f>LOG(Table1_1[[#This Row],[PFTrDA]])</f>
        <v>0.47712125471966244</v>
      </c>
      <c r="BV74">
        <f>LOG(Table1_1[[#This Row],[PFTeDA]])</f>
        <v>0.62838893005031149</v>
      </c>
      <c r="BW74">
        <f>LOG(Table1_1[[#This Row],[PFHxDA]])</f>
        <v>-1.0969100130080565</v>
      </c>
      <c r="BX74">
        <f>LOG(Table1_1[[#This Row],[PFPrS]])</f>
        <v>-1.288192770958809</v>
      </c>
      <c r="BY74">
        <f>LOG(Table1_1[[#This Row],[PFBS]])</f>
        <v>-0.82102305270683062</v>
      </c>
      <c r="BZ74">
        <f>LOG(Table1_1[[#This Row],[PFPeS]])</f>
        <v>-0.92996213339224498</v>
      </c>
      <c r="CA74">
        <f>LOG(Table1_1[[#This Row],[PFHxS]])</f>
        <v>1.2966651902615312</v>
      </c>
      <c r="CB74">
        <f>LOG(Table1_1[[#This Row],[PFHpS]])</f>
        <v>4.3213737826425782E-3</v>
      </c>
      <c r="CC74">
        <f>LOG(Table1_1[[#This Row],[PFOS]])</f>
        <v>2.8633228601204559</v>
      </c>
      <c r="CD74">
        <f>LOG(Table1_1[[#This Row],[PFNS]])</f>
        <v>-0.23807216157947098</v>
      </c>
      <c r="CE74">
        <f>LOG(Table1_1[[#This Row],[PFDS]])</f>
        <v>-7.7274542006740027E-2</v>
      </c>
      <c r="CF74">
        <f>LOG(Table1_1[[#This Row],[PFDoS]])</f>
        <v>-0.62433638603911468</v>
      </c>
      <c r="CG74">
        <f>LOG(Table1_1[[#This Row],[Cl-PFOS]])</f>
        <v>-0.86966623150499389</v>
      </c>
      <c r="CH74">
        <f>LOG(Table1_1[[#This Row],[PFEtCHxS]])</f>
        <v>-1.0506099933550872</v>
      </c>
      <c r="CI74">
        <f>LOG(Table1_1[[#This Row],[FBSA]])</f>
        <v>1.7226339225338123</v>
      </c>
      <c r="CJ74">
        <f>LOG(Table1_1[[#This Row],[FHxSA]])</f>
        <v>2.2764618041732443</v>
      </c>
      <c r="CK74">
        <f>LOG(Table1_1[[#This Row],[FOSA]])</f>
        <v>1.4297522800024081</v>
      </c>
      <c r="CL74">
        <f>LOG(Table1_1[[#This Row],[N-MeFOSA]])</f>
        <v>-1.2839966563652008</v>
      </c>
      <c r="CM74">
        <f>LOG(Table1_1[[#This Row],[N-EtFOSA]])</f>
        <v>-1.1051303432547475</v>
      </c>
      <c r="CN74">
        <f>LOG(Table1_1[[#This Row],[FOSAA]])</f>
        <v>-1.2757241303992111</v>
      </c>
      <c r="CO74">
        <f>LOG(Table1_1[[#This Row],[N-MeFOSAA]])</f>
        <v>-0.65072247253204474</v>
      </c>
      <c r="CP74">
        <f>LOG(Table1_1[[#This Row],[N-EtFOSAA]])</f>
        <v>-1.2328441339178196</v>
      </c>
      <c r="CQ74">
        <f>LOG(Table1_1[[#This Row],[4:2 FTS]])</f>
        <v>-1.2557070168773237</v>
      </c>
      <c r="CR74">
        <f>LOG(Table1_1[[#This Row],[6:2 FTS]])</f>
        <v>-0.8728952016351923</v>
      </c>
      <c r="CS74">
        <f>LOG(Table1_1[[#This Row],[8:2 FTS]])</f>
        <v>0.90794852161227224</v>
      </c>
      <c r="CT74">
        <f>LOG(Table1_1[[#This Row],[10:2 FTS]])</f>
        <v>-0.59859945921845592</v>
      </c>
      <c r="CU74">
        <f>LOG(Table1_1[[#This Row],[3:3 FTCA]])</f>
        <v>-0.14387555575769967</v>
      </c>
      <c r="CV74">
        <f>LOG(Table1_1[[#This Row],[5:3 FTCA]])</f>
        <v>-0.65364702554936138</v>
      </c>
      <c r="CW74">
        <f>LOG(Table1_1[[#This Row],[7:3 FTCA]])</f>
        <v>0.62221402296629535</v>
      </c>
      <c r="CX74">
        <f>LOG(Table1_1[[#This Row],[6:2 FTCA]])</f>
        <v>-0.18177410638604449</v>
      </c>
      <c r="CY74">
        <f>LOG(Table1_1[[#This Row],[8:2 FTCA]])</f>
        <v>-1.1706962271689751</v>
      </c>
      <c r="CZ74">
        <f>LOG(Table1_1[[#This Row],[10:2 FTCA]])</f>
        <v>-4.3831569524636682E-2</v>
      </c>
      <c r="DA74">
        <f>LOG(Table1_1[[#This Row],[6:2 FTUCA]])</f>
        <v>-1.2757241303992111</v>
      </c>
      <c r="DB74">
        <f>LOG(Table1_1[[#This Row],[8:2 FTUCA]])</f>
        <v>-1.391473966422806</v>
      </c>
      <c r="DC74">
        <f>LOG(Table1_1[[#This Row],[ADONA]])</f>
        <v>-1.1706962271689751</v>
      </c>
      <c r="DD74">
        <f>LOG(Table1_1[[#This Row],[9Cl-PF3ONS]])</f>
        <v>-1.1706962271689751</v>
      </c>
      <c r="DE74">
        <f>LOG(Table1_1[[#This Row],[11Cl-PF3OUdS]])</f>
        <v>-1.1706962271689751</v>
      </c>
      <c r="DF74">
        <f>LOG(Table1_1[[#This Row],[HFPO-DA]])</f>
        <v>-1.0154726866562074</v>
      </c>
      <c r="DG74">
        <f>LOG(Table1_1[[#This Row],[6:2 diPAP]])</f>
        <v>-1.1456939581989194</v>
      </c>
      <c r="DH74">
        <f>LOG(Table1_1[[#This Row],[8:2 diPAP]])</f>
        <v>-1.0506099933550872</v>
      </c>
      <c r="DI74">
        <f>LOG(Table1_1[[#This Row],[diSAmPAP]])</f>
        <v>-0.92628164965387738</v>
      </c>
    </row>
    <row r="75" spans="1:113">
      <c r="A75" t="s">
        <v>221</v>
      </c>
      <c r="B75" t="s">
        <v>114</v>
      </c>
      <c r="C75" s="3">
        <v>44314</v>
      </c>
      <c r="D75" t="s">
        <v>215</v>
      </c>
      <c r="E75" t="s">
        <v>216</v>
      </c>
      <c r="F75" t="s">
        <v>217</v>
      </c>
      <c r="G75" t="s">
        <v>118</v>
      </c>
      <c r="H75" t="s">
        <v>119</v>
      </c>
      <c r="I75">
        <v>12</v>
      </c>
      <c r="J75">
        <f>LOG(Table1_1[[#This Row],[Length]])</f>
        <v>1.0791812460476249</v>
      </c>
      <c r="K75">
        <v>15.8</v>
      </c>
      <c r="L75">
        <f>LOG(Table1_1[[#This Row],[Weight]])</f>
        <v>1.1986570869544226</v>
      </c>
      <c r="M75">
        <v>0.22800000000000001</v>
      </c>
      <c r="N75">
        <v>4.8800000000000003E-2</v>
      </c>
      <c r="O75">
        <v>3.7249999999999998E-2</v>
      </c>
      <c r="P75">
        <v>9.0999999999999998E-2</v>
      </c>
      <c r="Q75">
        <v>0.75900000000000001</v>
      </c>
      <c r="R75">
        <v>0.47299999999999998</v>
      </c>
      <c r="S75">
        <v>5.47</v>
      </c>
      <c r="T75">
        <v>9.26</v>
      </c>
      <c r="U75">
        <v>14.8</v>
      </c>
      <c r="V75">
        <v>6.05</v>
      </c>
      <c r="W75">
        <v>12.2</v>
      </c>
      <c r="X75">
        <v>8.2500000000000004E-2</v>
      </c>
      <c r="Y75">
        <v>5.2499999999999998E-2</v>
      </c>
      <c r="Z75">
        <v>0.155</v>
      </c>
      <c r="AA75">
        <v>0.1205</v>
      </c>
      <c r="AB75">
        <v>19.7</v>
      </c>
      <c r="AC75">
        <v>1.03</v>
      </c>
      <c r="AD75">
        <v>822</v>
      </c>
      <c r="AE75">
        <v>0.70399999999999996</v>
      </c>
      <c r="AF75">
        <v>1.43</v>
      </c>
      <c r="AG75">
        <v>0.76300000000000001</v>
      </c>
      <c r="AH75">
        <v>0.13850000000000001</v>
      </c>
      <c r="AI75">
        <v>9.0999999999999998E-2</v>
      </c>
      <c r="AJ75">
        <v>52.9</v>
      </c>
      <c r="AK75">
        <v>188</v>
      </c>
      <c r="AL75">
        <v>31.7</v>
      </c>
      <c r="AM75">
        <v>5.2999999999999999E-2</v>
      </c>
      <c r="AN75">
        <v>8.0500000000000002E-2</v>
      </c>
      <c r="AO75">
        <v>5.45E-2</v>
      </c>
      <c r="AP75">
        <v>0.69899999999999995</v>
      </c>
      <c r="AQ75">
        <v>0.06</v>
      </c>
      <c r="AR75">
        <v>5.7000000000000002E-2</v>
      </c>
      <c r="AS75">
        <v>0.13750000000000001</v>
      </c>
      <c r="AT75">
        <v>8.25</v>
      </c>
      <c r="AU75">
        <v>0.25900000000000001</v>
      </c>
      <c r="AV75">
        <v>7.9500000000000001E-2</v>
      </c>
      <c r="AW75">
        <v>2.96</v>
      </c>
      <c r="AX75">
        <v>8.51</v>
      </c>
      <c r="AY75">
        <v>6.9000000000000006E-2</v>
      </c>
      <c r="AZ75">
        <v>6.9000000000000006E-2</v>
      </c>
      <c r="BA75">
        <v>0.77500000000000002</v>
      </c>
      <c r="BB75">
        <v>5.3999999999999999E-2</v>
      </c>
      <c r="BC75">
        <v>4.1799999999999997E-2</v>
      </c>
      <c r="BD75">
        <v>6.9000000000000006E-2</v>
      </c>
      <c r="BE75">
        <v>6.9000000000000006E-2</v>
      </c>
      <c r="BF75">
        <v>6.9000000000000006E-2</v>
      </c>
      <c r="BG75">
        <v>9.9000000000000005E-2</v>
      </c>
      <c r="BH75">
        <v>7.3499999999999996E-2</v>
      </c>
      <c r="BI75">
        <v>9.1499999999999998E-2</v>
      </c>
      <c r="BJ75">
        <v>0.1215</v>
      </c>
      <c r="BK75">
        <f>SUM(Table1_1[[#This Row],[PFBA]:[diSAmPAP]])</f>
        <v>1191.0853500000001</v>
      </c>
      <c r="BL75">
        <f>LOG(Table1_1[[#This Row],[PFBA]])</f>
        <v>-0.64206515299954614</v>
      </c>
      <c r="BM75">
        <f>LOG(Table1_1[[#This Row],[PFPeA]])</f>
        <v>-1.3115801779972893</v>
      </c>
      <c r="BN75">
        <f>LOG(Table1_1[[#This Row],[PFHxA]])</f>
        <v>-1.4288737229156883</v>
      </c>
      <c r="BO75">
        <f>LOG(Table1_1[[#This Row],[PFHpA]])</f>
        <v>-1.0409586076789064</v>
      </c>
      <c r="BP75">
        <f>LOG(Table1_1[[#This Row],[PFOA]])</f>
        <v>-0.11975822410451964</v>
      </c>
      <c r="BQ75">
        <f>LOG(Table1_1[[#This Row],[PFNA]])</f>
        <v>-0.32513885926218844</v>
      </c>
      <c r="BR75">
        <f>LOG(Table1_1[[#This Row],[PFDA]])</f>
        <v>0.73798732633343078</v>
      </c>
      <c r="BS75">
        <f>LOG(Table1_1[[#This Row],[PFUnA]])</f>
        <v>0.96661098668193435</v>
      </c>
      <c r="BT75">
        <f>LOG(Table1_1[[#This Row],[PFDoA]])</f>
        <v>1.1702617153949575</v>
      </c>
      <c r="BU75">
        <f>LOG(Table1_1[[#This Row],[PFTrDA]])</f>
        <v>0.78175537465246892</v>
      </c>
      <c r="BV75">
        <f>LOG(Table1_1[[#This Row],[PFTeDA]])</f>
        <v>1.0863598306747482</v>
      </c>
      <c r="BW75">
        <f>LOG(Table1_1[[#This Row],[PFHxDA]])</f>
        <v>-1.083546051450075</v>
      </c>
      <c r="BX75">
        <f>LOG(Table1_1[[#This Row],[PFPrS]])</f>
        <v>-1.2798406965940432</v>
      </c>
      <c r="BY75">
        <f>LOG(Table1_1[[#This Row],[PFBS]])</f>
        <v>-0.8096683018297085</v>
      </c>
      <c r="BZ75">
        <f>LOG(Table1_1[[#This Row],[PFPeS]])</f>
        <v>-0.91901295308911279</v>
      </c>
      <c r="CA75">
        <f>LOG(Table1_1[[#This Row],[PFHxS]])</f>
        <v>1.2944662261615929</v>
      </c>
      <c r="CB75">
        <f>LOG(Table1_1[[#This Row],[PFHpS]])</f>
        <v>1.2837224705172217E-2</v>
      </c>
      <c r="CC75">
        <f>LOG(Table1_1[[#This Row],[PFOS]])</f>
        <v>2.9148718175400505</v>
      </c>
      <c r="CD75">
        <f>LOG(Table1_1[[#This Row],[PFNS]])</f>
        <v>-0.15242734085788781</v>
      </c>
      <c r="CE75">
        <f>LOG(Table1_1[[#This Row],[PFDS]])</f>
        <v>0.1553360374650618</v>
      </c>
      <c r="CF75">
        <f>LOG(Table1_1[[#This Row],[PFDoS]])</f>
        <v>-0.11747546204511952</v>
      </c>
      <c r="CG75">
        <f>LOG(Table1_1[[#This Row],[Cl-PFOS]])</f>
        <v>-0.85855022659953262</v>
      </c>
      <c r="CH75">
        <f>LOG(Table1_1[[#This Row],[PFEtCHxS]])</f>
        <v>-1.0409586076789064</v>
      </c>
      <c r="CI75">
        <f>LOG(Table1_1[[#This Row],[FBSA]])</f>
        <v>1.7234556720351857</v>
      </c>
      <c r="CJ75">
        <f>LOG(Table1_1[[#This Row],[FHxSA]])</f>
        <v>2.27415784926368</v>
      </c>
      <c r="CK75">
        <f>LOG(Table1_1[[#This Row],[FOSA]])</f>
        <v>1.5010592622177514</v>
      </c>
      <c r="CL75">
        <f>LOG(Table1_1[[#This Row],[N-MeFOSA]])</f>
        <v>-1.2757241303992111</v>
      </c>
      <c r="CM75">
        <f>LOG(Table1_1[[#This Row],[N-EtFOSA]])</f>
        <v>-1.0942041196321315</v>
      </c>
      <c r="CN75">
        <f>LOG(Table1_1[[#This Row],[FOSAA]])</f>
        <v>-1.2636034977233577</v>
      </c>
      <c r="CO75">
        <f>LOG(Table1_1[[#This Row],[N-MeFOSAA]])</f>
        <v>-0.15552282425431863</v>
      </c>
      <c r="CP75">
        <f>LOG(Table1_1[[#This Row],[N-EtFOSAA]])</f>
        <v>-1.2218487496163564</v>
      </c>
      <c r="CQ75">
        <f>LOG(Table1_1[[#This Row],[4:2 FTS]])</f>
        <v>-1.2441251443275085</v>
      </c>
      <c r="CR75">
        <f>LOG(Table1_1[[#This Row],[6:2 FTS]])</f>
        <v>-0.86169730183371851</v>
      </c>
      <c r="CS75">
        <f>LOG(Table1_1[[#This Row],[8:2 FTS]])</f>
        <v>0.91645394854992512</v>
      </c>
      <c r="CT75">
        <f>LOG(Table1_1[[#This Row],[10:2 FTS]])</f>
        <v>-0.5867002359187482</v>
      </c>
      <c r="CU75">
        <f>LOG(Table1_1[[#This Row],[3:3 FTCA]])</f>
        <v>-1.0996328713435297</v>
      </c>
      <c r="CV75">
        <f>LOG(Table1_1[[#This Row],[5:3 FTCA]])</f>
        <v>0.47129171105893858</v>
      </c>
      <c r="CW75">
        <f>LOG(Table1_1[[#This Row],[7:3 FTCA]])</f>
        <v>0.92992956008458783</v>
      </c>
      <c r="CX75">
        <f>LOG(Table1_1[[#This Row],[6:2 FTCA]])</f>
        <v>-1.1611509092627446</v>
      </c>
      <c r="CY75">
        <f>LOG(Table1_1[[#This Row],[8:2 FTCA]])</f>
        <v>-1.1611509092627446</v>
      </c>
      <c r="CZ75">
        <f>LOG(Table1_1[[#This Row],[10:2 FTCA]])</f>
        <v>-0.1106982974936897</v>
      </c>
      <c r="DA75">
        <f>LOG(Table1_1[[#This Row],[6:2 FTUCA]])</f>
        <v>-1.2676062401770316</v>
      </c>
      <c r="DB75">
        <f>LOG(Table1_1[[#This Row],[8:2 FTUCA]])</f>
        <v>-1.3788237182249647</v>
      </c>
      <c r="DC75">
        <f>LOG(Table1_1[[#This Row],[ADONA]])</f>
        <v>-1.1611509092627446</v>
      </c>
      <c r="DD75">
        <f>LOG(Table1_1[[#This Row],[9Cl-PF3ONS]])</f>
        <v>-1.1611509092627446</v>
      </c>
      <c r="DE75">
        <f>LOG(Table1_1[[#This Row],[11Cl-PF3OUdS]])</f>
        <v>-1.1611509092627446</v>
      </c>
      <c r="DF75">
        <f>LOG(Table1_1[[#This Row],[HFPO-DA]])</f>
        <v>-1.0043648054024501</v>
      </c>
      <c r="DG75">
        <f>LOG(Table1_1[[#This Row],[6:2 diPAP]])</f>
        <v>-1.133712660915805</v>
      </c>
      <c r="DH75">
        <f>LOG(Table1_1[[#This Row],[8:2 diPAP]])</f>
        <v>-1.0385789059335517</v>
      </c>
      <c r="DI75">
        <f>LOG(Table1_1[[#This Row],[diSAmPAP]])</f>
        <v>-0.91542372206566902</v>
      </c>
    </row>
    <row r="76" spans="1:113">
      <c r="A76" t="s">
        <v>222</v>
      </c>
      <c r="B76" t="s">
        <v>114</v>
      </c>
      <c r="C76" s="3">
        <v>44393</v>
      </c>
      <c r="D76" t="s">
        <v>215</v>
      </c>
      <c r="E76" t="s">
        <v>216</v>
      </c>
      <c r="F76" t="s">
        <v>217</v>
      </c>
      <c r="G76" t="s">
        <v>118</v>
      </c>
      <c r="H76" t="s">
        <v>119</v>
      </c>
      <c r="I76">
        <v>13</v>
      </c>
      <c r="J76">
        <f>LOG(Table1_1[[#This Row],[Length]])</f>
        <v>1.1139433523068367</v>
      </c>
      <c r="K76">
        <v>18.59</v>
      </c>
      <c r="L76">
        <f>LOG(Table1_1[[#This Row],[Weight]])</f>
        <v>1.2692793897718986</v>
      </c>
      <c r="M76">
        <v>0.21149999999999999</v>
      </c>
      <c r="N76">
        <v>7.4499999999999997E-2</v>
      </c>
      <c r="O76">
        <v>5.7000000000000002E-2</v>
      </c>
      <c r="P76">
        <v>0.106</v>
      </c>
      <c r="Q76">
        <v>0.68400000000000005</v>
      </c>
      <c r="R76">
        <v>0.61699999999999999</v>
      </c>
      <c r="S76">
        <v>7.47</v>
      </c>
      <c r="T76">
        <v>15.7</v>
      </c>
      <c r="U76">
        <v>22.5</v>
      </c>
      <c r="V76">
        <v>5.58</v>
      </c>
      <c r="W76">
        <v>14.3</v>
      </c>
      <c r="X76">
        <v>0.126</v>
      </c>
      <c r="Y76">
        <v>0.106</v>
      </c>
      <c r="Z76">
        <v>1.66</v>
      </c>
      <c r="AA76">
        <v>0.29599999999999999</v>
      </c>
      <c r="AB76">
        <v>62.6</v>
      </c>
      <c r="AC76">
        <v>5.4</v>
      </c>
      <c r="AD76">
        <v>792</v>
      </c>
      <c r="AE76">
        <v>1.39</v>
      </c>
      <c r="AF76">
        <v>1.87</v>
      </c>
      <c r="AG76">
        <v>0.72</v>
      </c>
      <c r="AH76">
        <v>0.1285</v>
      </c>
      <c r="AI76">
        <v>0.188</v>
      </c>
      <c r="AJ76">
        <v>166</v>
      </c>
      <c r="AK76">
        <v>664</v>
      </c>
      <c r="AL76">
        <v>23.8</v>
      </c>
      <c r="AM76">
        <v>8.1500000000000003E-2</v>
      </c>
      <c r="AN76">
        <v>0.21149999999999999</v>
      </c>
      <c r="AO76">
        <v>0.42299999999999999</v>
      </c>
      <c r="AP76">
        <v>0.1065</v>
      </c>
      <c r="AQ76">
        <v>0.106</v>
      </c>
      <c r="AR76">
        <v>0.106</v>
      </c>
      <c r="AS76">
        <v>0.21149999999999999</v>
      </c>
      <c r="AT76">
        <v>20.2</v>
      </c>
      <c r="AU76">
        <v>0.42299999999999999</v>
      </c>
      <c r="AV76">
        <v>0.21149999999999999</v>
      </c>
      <c r="AW76">
        <v>1.0900000000000001</v>
      </c>
      <c r="AX76">
        <v>13</v>
      </c>
      <c r="AY76">
        <v>0.21149999999999999</v>
      </c>
      <c r="AZ76">
        <v>0.106</v>
      </c>
      <c r="BA76">
        <v>0.21149999999999999</v>
      </c>
      <c r="BB76">
        <v>8.3000000000000004E-2</v>
      </c>
      <c r="BC76">
        <v>6.4000000000000001E-2</v>
      </c>
      <c r="BD76">
        <v>9.35E-2</v>
      </c>
      <c r="BE76">
        <v>0.21149999999999999</v>
      </c>
      <c r="BF76">
        <v>0.21149999999999999</v>
      </c>
      <c r="BG76">
        <v>0.152</v>
      </c>
      <c r="BH76">
        <v>0.21149999999999999</v>
      </c>
      <c r="BI76">
        <v>0.21149999999999999</v>
      </c>
      <c r="BJ76">
        <v>0.21149999999999999</v>
      </c>
      <c r="BK76">
        <f>SUM(Table1_1[[#This Row],[PFBA]:[diSAmPAP]])</f>
        <v>1825.7339999999992</v>
      </c>
      <c r="BL76">
        <f>LOG(Table1_1[[#This Row],[PFBA]])</f>
        <v>-0.67468962828893886</v>
      </c>
      <c r="BM76">
        <f>LOG(Table1_1[[#This Row],[PFPeA]])</f>
        <v>-1.1278437272517072</v>
      </c>
      <c r="BN76">
        <f>LOG(Table1_1[[#This Row],[PFHxA]])</f>
        <v>-1.2441251443275085</v>
      </c>
      <c r="BO76">
        <f>LOG(Table1_1[[#This Row],[PFHpA]])</f>
        <v>-0.97469413473522981</v>
      </c>
      <c r="BP76">
        <f>LOG(Table1_1[[#This Row],[PFOA]])</f>
        <v>-0.16494389827988373</v>
      </c>
      <c r="BQ76">
        <f>LOG(Table1_1[[#This Row],[PFNA]])</f>
        <v>-0.20971483596675833</v>
      </c>
      <c r="BR76">
        <f>LOG(Table1_1[[#This Row],[PFDA]])</f>
        <v>0.87332060181539872</v>
      </c>
      <c r="BS76">
        <f>LOG(Table1_1[[#This Row],[PFUnA]])</f>
        <v>1.1958996524092338</v>
      </c>
      <c r="BT76">
        <f>LOG(Table1_1[[#This Row],[PFDoA]])</f>
        <v>1.3521825181113625</v>
      </c>
      <c r="BU76">
        <f>LOG(Table1_1[[#This Row],[PFTrDA]])</f>
        <v>0.74663419893757876</v>
      </c>
      <c r="BV76">
        <f>LOG(Table1_1[[#This Row],[PFTeDA]])</f>
        <v>1.1553360374650619</v>
      </c>
      <c r="BW76">
        <f>LOG(Table1_1[[#This Row],[PFHxDA]])</f>
        <v>-0.89962945488243706</v>
      </c>
      <c r="BX76">
        <f>LOG(Table1_1[[#This Row],[PFPrS]])</f>
        <v>-0.97469413473522981</v>
      </c>
      <c r="BY76">
        <f>LOG(Table1_1[[#This Row],[PFBS]])</f>
        <v>0.22010808804005508</v>
      </c>
      <c r="BZ76">
        <f>LOG(Table1_1[[#This Row],[PFPeS]])</f>
        <v>-0.52870828894106148</v>
      </c>
      <c r="CA76">
        <f>LOG(Table1_1[[#This Row],[PFHxS]])</f>
        <v>1.7965743332104296</v>
      </c>
      <c r="CB76">
        <f>LOG(Table1_1[[#This Row],[PFHpS]])</f>
        <v>0.7323937598229685</v>
      </c>
      <c r="CC76">
        <f>LOG(Table1_1[[#This Row],[PFOS]])</f>
        <v>2.8987251815894934</v>
      </c>
      <c r="CD76">
        <f>LOG(Table1_1[[#This Row],[PFNS]])</f>
        <v>0.14301480025409505</v>
      </c>
      <c r="CE76">
        <f>LOG(Table1_1[[#This Row],[PFDS]])</f>
        <v>0.27184160653649897</v>
      </c>
      <c r="CF76">
        <f>LOG(Table1_1[[#This Row],[PFDoS]])</f>
        <v>-0.14266750356873156</v>
      </c>
      <c r="CG76">
        <f>LOG(Table1_1[[#This Row],[Cl-PFOS]])</f>
        <v>-0.89109687233268664</v>
      </c>
      <c r="CH76">
        <f>LOG(Table1_1[[#This Row],[PFEtCHxS]])</f>
        <v>-0.72584215073632019</v>
      </c>
      <c r="CI76">
        <f>LOG(Table1_1[[#This Row],[FBSA]])</f>
        <v>2.220108088040055</v>
      </c>
      <c r="CJ76">
        <f>LOG(Table1_1[[#This Row],[FHxSA]])</f>
        <v>2.8221680793680175</v>
      </c>
      <c r="CK76">
        <f>LOG(Table1_1[[#This Row],[FOSA]])</f>
        <v>1.3765769570565121</v>
      </c>
      <c r="CL76">
        <f>LOG(Table1_1[[#This Row],[N-MeFOSA]])</f>
        <v>-1.0888423912600234</v>
      </c>
      <c r="CM76">
        <f>LOG(Table1_1[[#This Row],[N-EtFOSA]])</f>
        <v>-0.67468962828893886</v>
      </c>
      <c r="CN76">
        <f>LOG(Table1_1[[#This Row],[FOSAA]])</f>
        <v>-0.37365963262495766</v>
      </c>
      <c r="CO76">
        <f>LOG(Table1_1[[#This Row],[N-MeFOSAA]])</f>
        <v>-0.97265039222524352</v>
      </c>
      <c r="CP76">
        <f>LOG(Table1_1[[#This Row],[N-EtFOSAA]])</f>
        <v>-0.97469413473522981</v>
      </c>
      <c r="CQ76">
        <f>LOG(Table1_1[[#This Row],[4:2 FTS]])</f>
        <v>-0.97469413473522981</v>
      </c>
      <c r="CR76">
        <f>LOG(Table1_1[[#This Row],[6:2 FTS]])</f>
        <v>-0.67468962828893886</v>
      </c>
      <c r="CS76">
        <f>LOG(Table1_1[[#This Row],[8:2 FTS]])</f>
        <v>1.3053513694466237</v>
      </c>
      <c r="CT76">
        <f>LOG(Table1_1[[#This Row],[10:2 FTS]])</f>
        <v>-0.37365963262495766</v>
      </c>
      <c r="CU76">
        <f>LOG(Table1_1[[#This Row],[3:3 FTCA]])</f>
        <v>-0.67468962828893886</v>
      </c>
      <c r="CV76">
        <f>LOG(Table1_1[[#This Row],[5:3 FTCA]])</f>
        <v>3.7426497940623665E-2</v>
      </c>
      <c r="CW76">
        <f>LOG(Table1_1[[#This Row],[7:3 FTCA]])</f>
        <v>1.1139433523068367</v>
      </c>
      <c r="CX76">
        <f>LOG(Table1_1[[#This Row],[6:2 FTCA]])</f>
        <v>-0.67468962828893886</v>
      </c>
      <c r="CY76">
        <f>LOG(Table1_1[[#This Row],[8:2 FTCA]])</f>
        <v>-0.97469413473522981</v>
      </c>
      <c r="CZ76">
        <f>LOG(Table1_1[[#This Row],[10:2 FTCA]])</f>
        <v>-0.67468962828893886</v>
      </c>
      <c r="DA76">
        <f>LOG(Table1_1[[#This Row],[6:2 FTUCA]])</f>
        <v>-1.080921907623926</v>
      </c>
      <c r="DB76">
        <f>LOG(Table1_1[[#This Row],[8:2 FTUCA]])</f>
        <v>-1.1938200260161129</v>
      </c>
      <c r="DC76">
        <f>LOG(Table1_1[[#This Row],[ADONA]])</f>
        <v>-1.0291883891274822</v>
      </c>
      <c r="DD76">
        <f>LOG(Table1_1[[#This Row],[9Cl-PF3ONS]])</f>
        <v>-0.67468962828893886</v>
      </c>
      <c r="DE76">
        <f>LOG(Table1_1[[#This Row],[11Cl-PF3OUdS]])</f>
        <v>-0.67468962828893886</v>
      </c>
      <c r="DF76">
        <f>LOG(Table1_1[[#This Row],[HFPO-DA]])</f>
        <v>-0.81815641205522749</v>
      </c>
      <c r="DG76">
        <f>LOG(Table1_1[[#This Row],[6:2 diPAP]])</f>
        <v>-0.67468962828893886</v>
      </c>
      <c r="DH76">
        <f>LOG(Table1_1[[#This Row],[8:2 diPAP]])</f>
        <v>-0.67468962828893886</v>
      </c>
      <c r="DI76">
        <f>LOG(Table1_1[[#This Row],[diSAmPAP]])</f>
        <v>-0.67468962828893886</v>
      </c>
    </row>
    <row r="77" spans="1:113">
      <c r="A77" t="s">
        <v>223</v>
      </c>
      <c r="B77" t="s">
        <v>114</v>
      </c>
      <c r="C77" s="3">
        <v>44393</v>
      </c>
      <c r="D77" t="s">
        <v>215</v>
      </c>
      <c r="E77" t="s">
        <v>216</v>
      </c>
      <c r="F77" t="s">
        <v>217</v>
      </c>
      <c r="G77" t="s">
        <v>118</v>
      </c>
      <c r="H77" t="s">
        <v>119</v>
      </c>
      <c r="I77">
        <v>8</v>
      </c>
      <c r="J77">
        <f>LOG(Table1_1[[#This Row],[Length]])</f>
        <v>0.90308998699194354</v>
      </c>
      <c r="K77">
        <v>3.74</v>
      </c>
      <c r="L77">
        <f>LOG(Table1_1[[#This Row],[Weight]])</f>
        <v>0.57287160220048017</v>
      </c>
      <c r="M77">
        <v>0.25</v>
      </c>
      <c r="N77">
        <v>8.8499999999999995E-2</v>
      </c>
      <c r="O77">
        <v>6.7500000000000004E-2</v>
      </c>
      <c r="P77">
        <v>0.125</v>
      </c>
      <c r="Q77">
        <v>0.82299999999999995</v>
      </c>
      <c r="R77">
        <v>0.25</v>
      </c>
      <c r="S77">
        <v>3.96</v>
      </c>
      <c r="T77">
        <v>9.64</v>
      </c>
      <c r="U77">
        <v>33.799999999999997</v>
      </c>
      <c r="V77">
        <v>7.75</v>
      </c>
      <c r="W77">
        <v>16.5</v>
      </c>
      <c r="X77">
        <v>0.14899999999999999</v>
      </c>
      <c r="Y77">
        <v>0.125</v>
      </c>
      <c r="Z77">
        <v>0.73</v>
      </c>
      <c r="AA77">
        <v>0.13250000000000001</v>
      </c>
      <c r="AB77">
        <v>21.6</v>
      </c>
      <c r="AC77">
        <v>1.37</v>
      </c>
      <c r="AD77">
        <v>493</v>
      </c>
      <c r="AE77">
        <v>0.82099999999999995</v>
      </c>
      <c r="AF77">
        <v>1.1599999999999999</v>
      </c>
      <c r="AG77">
        <v>0.26750000000000002</v>
      </c>
      <c r="AH77">
        <v>0.152</v>
      </c>
      <c r="AI77">
        <v>0.1</v>
      </c>
      <c r="AJ77">
        <v>80</v>
      </c>
      <c r="AK77">
        <v>204</v>
      </c>
      <c r="AL77">
        <v>13.6</v>
      </c>
      <c r="AM77">
        <v>9.6500000000000002E-2</v>
      </c>
      <c r="AN77">
        <v>0.25</v>
      </c>
      <c r="AO77">
        <v>0.25</v>
      </c>
      <c r="AP77">
        <v>0.126</v>
      </c>
      <c r="AQ77">
        <v>0.125</v>
      </c>
      <c r="AR77">
        <v>0.125</v>
      </c>
      <c r="AS77">
        <v>0.125</v>
      </c>
      <c r="AT77">
        <v>9.31</v>
      </c>
      <c r="AU77">
        <v>0.5</v>
      </c>
      <c r="AV77">
        <v>0.25</v>
      </c>
      <c r="AW77">
        <v>2.4700000000000002</v>
      </c>
      <c r="AX77">
        <v>28.2</v>
      </c>
      <c r="AY77">
        <v>0.25</v>
      </c>
      <c r="AZ77">
        <v>0.125</v>
      </c>
      <c r="BA77">
        <v>0.25</v>
      </c>
      <c r="BB77">
        <v>9.8000000000000004E-2</v>
      </c>
      <c r="BC77">
        <v>7.5499999999999998E-2</v>
      </c>
      <c r="BD77">
        <v>0.1105</v>
      </c>
      <c r="BE77">
        <v>0.25</v>
      </c>
      <c r="BF77">
        <v>0.25</v>
      </c>
      <c r="BG77">
        <v>0.17949999999999999</v>
      </c>
      <c r="BH77">
        <v>0.25</v>
      </c>
      <c r="BI77">
        <v>0.25</v>
      </c>
      <c r="BJ77">
        <v>0.25</v>
      </c>
      <c r="BK77">
        <f>SUM(Table1_1[[#This Row],[PFBA]:[diSAmPAP]])</f>
        <v>934.62700000000007</v>
      </c>
      <c r="BL77">
        <f>LOG(Table1_1[[#This Row],[PFBA]])</f>
        <v>-0.6020599913279624</v>
      </c>
      <c r="BM77">
        <f>LOG(Table1_1[[#This Row],[PFPeA]])</f>
        <v>-1.0530567293021746</v>
      </c>
      <c r="BN77">
        <f>LOG(Table1_1[[#This Row],[PFHxA]])</f>
        <v>-1.1706962271689751</v>
      </c>
      <c r="BO77">
        <f>LOG(Table1_1[[#This Row],[PFHpA]])</f>
        <v>-0.90308998699194354</v>
      </c>
      <c r="BP77">
        <f>LOG(Table1_1[[#This Row],[PFOA]])</f>
        <v>-8.4600164787730178E-2</v>
      </c>
      <c r="BQ77">
        <f>LOG(Table1_1[[#This Row],[PFNA]])</f>
        <v>-0.6020599913279624</v>
      </c>
      <c r="BR77">
        <f>LOG(Table1_1[[#This Row],[PFDA]])</f>
        <v>0.5976951859255123</v>
      </c>
      <c r="BS77">
        <f>LOG(Table1_1[[#This Row],[PFUnA]])</f>
        <v>0.98407703390283086</v>
      </c>
      <c r="BT77">
        <f>LOG(Table1_1[[#This Row],[PFDoA]])</f>
        <v>1.5289167002776547</v>
      </c>
      <c r="BU77">
        <f>LOG(Table1_1[[#This Row],[PFTrDA]])</f>
        <v>0.88930170250631024</v>
      </c>
      <c r="BV77">
        <f>LOG(Table1_1[[#This Row],[PFTeDA]])</f>
        <v>1.2174839442139063</v>
      </c>
      <c r="BW77">
        <f>LOG(Table1_1[[#This Row],[PFHxDA]])</f>
        <v>-0.82681373158772598</v>
      </c>
      <c r="BX77">
        <f>LOG(Table1_1[[#This Row],[PFPrS]])</f>
        <v>-0.90308998699194354</v>
      </c>
      <c r="BY77">
        <f>LOG(Table1_1[[#This Row],[PFBS]])</f>
        <v>-0.13667713987954411</v>
      </c>
      <c r="BZ77">
        <f>LOG(Table1_1[[#This Row],[PFPeS]])</f>
        <v>-0.87778412172717335</v>
      </c>
      <c r="CA77">
        <f>LOG(Table1_1[[#This Row],[PFHxS]])</f>
        <v>1.3344537511509309</v>
      </c>
      <c r="CB77">
        <f>LOG(Table1_1[[#This Row],[PFHpS]])</f>
        <v>0.13672056715640679</v>
      </c>
      <c r="CC77">
        <f>LOG(Table1_1[[#This Row],[PFOS]])</f>
        <v>2.6928469192772302</v>
      </c>
      <c r="CD77">
        <f>LOG(Table1_1[[#This Row],[PFNS]])</f>
        <v>-8.5656842880559247E-2</v>
      </c>
      <c r="CE77">
        <f>LOG(Table1_1[[#This Row],[PFDS]])</f>
        <v>6.445798922691845E-2</v>
      </c>
      <c r="CF77">
        <f>LOG(Table1_1[[#This Row],[PFDoS]])</f>
        <v>-0.57267621364275267</v>
      </c>
      <c r="CG77">
        <f>LOG(Table1_1[[#This Row],[Cl-PFOS]])</f>
        <v>-0.81815641205522749</v>
      </c>
      <c r="CH77">
        <f>LOG(Table1_1[[#This Row],[PFEtCHxS]])</f>
        <v>-1</v>
      </c>
      <c r="CI77">
        <f>LOG(Table1_1[[#This Row],[FBSA]])</f>
        <v>1.9030899869919435</v>
      </c>
      <c r="CJ77">
        <f>LOG(Table1_1[[#This Row],[FHxSA]])</f>
        <v>2.3096301674258988</v>
      </c>
      <c r="CK77">
        <f>LOG(Table1_1[[#This Row],[FOSA]])</f>
        <v>1.1335389083702174</v>
      </c>
      <c r="CL77">
        <f>LOG(Table1_1[[#This Row],[N-MeFOSA]])</f>
        <v>-1.0154726866562074</v>
      </c>
      <c r="CM77">
        <f>LOG(Table1_1[[#This Row],[N-EtFOSA]])</f>
        <v>-0.6020599913279624</v>
      </c>
      <c r="CN77">
        <f>LOG(Table1_1[[#This Row],[FOSAA]])</f>
        <v>-0.6020599913279624</v>
      </c>
      <c r="CO77">
        <f>LOG(Table1_1[[#This Row],[N-MeFOSAA]])</f>
        <v>-0.89962945488243706</v>
      </c>
      <c r="CP77">
        <f>LOG(Table1_1[[#This Row],[N-EtFOSAA]])</f>
        <v>-0.90308998699194354</v>
      </c>
      <c r="CQ77">
        <f>LOG(Table1_1[[#This Row],[4:2 FTS]])</f>
        <v>-0.90308998699194354</v>
      </c>
      <c r="CR77">
        <f>LOG(Table1_1[[#This Row],[6:2 FTS]])</f>
        <v>-0.90308998699194354</v>
      </c>
      <c r="CS77">
        <f>LOG(Table1_1[[#This Row],[8:2 FTS]])</f>
        <v>0.9689496809813426</v>
      </c>
      <c r="CT77">
        <f>LOG(Table1_1[[#This Row],[10:2 FTS]])</f>
        <v>-0.3010299956639812</v>
      </c>
      <c r="CU77">
        <f>LOG(Table1_1[[#This Row],[3:3 FTCA]])</f>
        <v>-0.6020599913279624</v>
      </c>
      <c r="CV77">
        <f>LOG(Table1_1[[#This Row],[5:3 FTCA]])</f>
        <v>0.39269695325966575</v>
      </c>
      <c r="CW77">
        <f>LOG(Table1_1[[#This Row],[7:3 FTCA]])</f>
        <v>1.4502491083193612</v>
      </c>
      <c r="CX77">
        <f>LOG(Table1_1[[#This Row],[6:2 FTCA]])</f>
        <v>-0.6020599913279624</v>
      </c>
      <c r="CY77">
        <f>LOG(Table1_1[[#This Row],[8:2 FTCA]])</f>
        <v>-0.90308998699194354</v>
      </c>
      <c r="CZ77">
        <f>LOG(Table1_1[[#This Row],[10:2 FTCA]])</f>
        <v>-0.6020599913279624</v>
      </c>
      <c r="DA77">
        <f>LOG(Table1_1[[#This Row],[6:2 FTUCA]])</f>
        <v>-1.0087739243075051</v>
      </c>
      <c r="DB77">
        <f>LOG(Table1_1[[#This Row],[8:2 FTUCA]])</f>
        <v>-1.1220530483708118</v>
      </c>
      <c r="DC77">
        <f>LOG(Table1_1[[#This Row],[ADONA]])</f>
        <v>-0.95663772197887054</v>
      </c>
      <c r="DD77">
        <f>LOG(Table1_1[[#This Row],[9Cl-PF3ONS]])</f>
        <v>-0.6020599913279624</v>
      </c>
      <c r="DE77">
        <f>LOG(Table1_1[[#This Row],[11Cl-PF3OUdS]])</f>
        <v>-0.6020599913279624</v>
      </c>
      <c r="DF77">
        <f>LOG(Table1_1[[#This Row],[HFPO-DA]])</f>
        <v>-0.74593554708566201</v>
      </c>
      <c r="DG77">
        <f>LOG(Table1_1[[#This Row],[6:2 diPAP]])</f>
        <v>-0.6020599913279624</v>
      </c>
      <c r="DH77">
        <f>LOG(Table1_1[[#This Row],[8:2 diPAP]])</f>
        <v>-0.6020599913279624</v>
      </c>
      <c r="DI77">
        <f>LOG(Table1_1[[#This Row],[diSAmPAP]])</f>
        <v>-0.6020599913279624</v>
      </c>
    </row>
    <row r="78" spans="1:113">
      <c r="A78" t="s">
        <v>224</v>
      </c>
      <c r="B78" t="s">
        <v>114</v>
      </c>
      <c r="C78" s="3">
        <v>44393</v>
      </c>
      <c r="D78" t="s">
        <v>215</v>
      </c>
      <c r="E78" t="s">
        <v>216</v>
      </c>
      <c r="F78" t="s">
        <v>217</v>
      </c>
      <c r="G78" t="s">
        <v>118</v>
      </c>
      <c r="H78" t="s">
        <v>119</v>
      </c>
      <c r="I78">
        <v>7</v>
      </c>
      <c r="J78">
        <f>LOG(Table1_1[[#This Row],[Length]])</f>
        <v>0.84509804001425681</v>
      </c>
      <c r="K78">
        <v>3.22</v>
      </c>
      <c r="L78">
        <f>LOG(Table1_1[[#This Row],[Weight]])</f>
        <v>0.50785587169583091</v>
      </c>
      <c r="M78">
        <v>0.2225</v>
      </c>
      <c r="N78">
        <v>7.85E-2</v>
      </c>
      <c r="O78">
        <v>0.12</v>
      </c>
      <c r="P78">
        <v>0.2225</v>
      </c>
      <c r="Q78">
        <v>1.31</v>
      </c>
      <c r="R78">
        <v>0.2225</v>
      </c>
      <c r="S78">
        <v>5.78</v>
      </c>
      <c r="T78">
        <v>14.3</v>
      </c>
      <c r="U78">
        <v>51.6</v>
      </c>
      <c r="V78">
        <v>5.45</v>
      </c>
      <c r="W78">
        <v>25.2</v>
      </c>
      <c r="X78">
        <v>0.13250000000000001</v>
      </c>
      <c r="Y78">
        <v>0.1115</v>
      </c>
      <c r="Z78">
        <v>0.2225</v>
      </c>
      <c r="AA78">
        <v>0.39300000000000002</v>
      </c>
      <c r="AB78">
        <v>42.6</v>
      </c>
      <c r="AC78">
        <v>2.9</v>
      </c>
      <c r="AD78">
        <v>342</v>
      </c>
      <c r="AE78">
        <v>0.77800000000000002</v>
      </c>
      <c r="AF78">
        <v>1.19</v>
      </c>
      <c r="AG78">
        <v>0.23799999999999999</v>
      </c>
      <c r="AH78">
        <v>0.13550000000000001</v>
      </c>
      <c r="AI78">
        <v>0.187</v>
      </c>
      <c r="AJ78">
        <v>119</v>
      </c>
      <c r="AK78">
        <v>283</v>
      </c>
      <c r="AL78">
        <v>17.100000000000001</v>
      </c>
      <c r="AM78">
        <v>8.5500000000000007E-2</v>
      </c>
      <c r="AN78">
        <v>0.2225</v>
      </c>
      <c r="AO78">
        <v>0.2225</v>
      </c>
      <c r="AP78">
        <v>0.112</v>
      </c>
      <c r="AQ78">
        <v>0.1115</v>
      </c>
      <c r="AR78">
        <v>0.1115</v>
      </c>
      <c r="AS78">
        <v>0.67700000000000005</v>
      </c>
      <c r="AT78">
        <v>14.1</v>
      </c>
      <c r="AU78">
        <v>0.2225</v>
      </c>
      <c r="AV78">
        <v>0.2225</v>
      </c>
      <c r="AW78">
        <v>6.01</v>
      </c>
      <c r="AX78">
        <v>33.4</v>
      </c>
      <c r="AY78">
        <v>0.2225</v>
      </c>
      <c r="AZ78">
        <v>0.1115</v>
      </c>
      <c r="BA78">
        <v>0.2225</v>
      </c>
      <c r="BB78">
        <v>8.7499999999999994E-2</v>
      </c>
      <c r="BC78">
        <v>6.7500000000000004E-2</v>
      </c>
      <c r="BD78">
        <v>9.8000000000000004E-2</v>
      </c>
      <c r="BE78">
        <v>0.2225</v>
      </c>
      <c r="BF78">
        <v>0.2225</v>
      </c>
      <c r="BG78">
        <v>0.1595</v>
      </c>
      <c r="BH78">
        <v>0.2225</v>
      </c>
      <c r="BI78">
        <v>0.2225</v>
      </c>
      <c r="BJ78">
        <v>0.2225</v>
      </c>
      <c r="BK78">
        <f>SUM(Table1_1[[#This Row],[PFBA]:[diSAmPAP]])</f>
        <v>972.07299999999952</v>
      </c>
      <c r="BL78">
        <f>LOG(Table1_1[[#This Row],[PFBA]])</f>
        <v>-0.6526699846830496</v>
      </c>
      <c r="BM78">
        <f>LOG(Table1_1[[#This Row],[PFPeA]])</f>
        <v>-1.1051303432547475</v>
      </c>
      <c r="BN78">
        <f>LOG(Table1_1[[#This Row],[PFHxA]])</f>
        <v>-0.92081875395237522</v>
      </c>
      <c r="BO78">
        <f>LOG(Table1_1[[#This Row],[PFHpA]])</f>
        <v>-0.6526699846830496</v>
      </c>
      <c r="BP78">
        <f>LOG(Table1_1[[#This Row],[PFOA]])</f>
        <v>0.11727129565576427</v>
      </c>
      <c r="BQ78">
        <f>LOG(Table1_1[[#This Row],[PFNA]])</f>
        <v>-0.6526699846830496</v>
      </c>
      <c r="BR78">
        <f>LOG(Table1_1[[#This Row],[PFDA]])</f>
        <v>0.76192783842052902</v>
      </c>
      <c r="BS78">
        <f>LOG(Table1_1[[#This Row],[PFUnA]])</f>
        <v>1.1553360374650619</v>
      </c>
      <c r="BT78">
        <f>LOG(Table1_1[[#This Row],[PFDoA]])</f>
        <v>1.7126497016272113</v>
      </c>
      <c r="BU78">
        <f>LOG(Table1_1[[#This Row],[PFTrDA]])</f>
        <v>0.73639650227664244</v>
      </c>
      <c r="BV78">
        <f>LOG(Table1_1[[#This Row],[PFTeDA]])</f>
        <v>1.4014005407815442</v>
      </c>
      <c r="BW78">
        <f>LOG(Table1_1[[#This Row],[PFHxDA]])</f>
        <v>-0.87778412172717335</v>
      </c>
      <c r="BX78">
        <f>LOG(Table1_1[[#This Row],[PFPrS]])</f>
        <v>-0.95272513261582048</v>
      </c>
      <c r="BY78">
        <f>LOG(Table1_1[[#This Row],[PFBS]])</f>
        <v>-0.6526699846830496</v>
      </c>
      <c r="BZ78">
        <f>LOG(Table1_1[[#This Row],[PFPeS]])</f>
        <v>-0.40560744962457329</v>
      </c>
      <c r="CA78">
        <f>LOG(Table1_1[[#This Row],[PFHxS]])</f>
        <v>1.6294095991027189</v>
      </c>
      <c r="CB78">
        <f>LOG(Table1_1[[#This Row],[PFHpS]])</f>
        <v>0.46239799789895608</v>
      </c>
      <c r="CC78">
        <f>LOG(Table1_1[[#This Row],[PFOS]])</f>
        <v>2.5340261060561349</v>
      </c>
      <c r="CD78">
        <f>LOG(Table1_1[[#This Row],[PFNS]])</f>
        <v>-0.10902040301031106</v>
      </c>
      <c r="CE78">
        <f>LOG(Table1_1[[#This Row],[PFDS]])</f>
        <v>7.554696139253074E-2</v>
      </c>
      <c r="CF78">
        <f>LOG(Table1_1[[#This Row],[PFDoS]])</f>
        <v>-0.62342304294348805</v>
      </c>
      <c r="CG78">
        <f>LOG(Table1_1[[#This Row],[Cl-PFOS]])</f>
        <v>-0.86806070478957542</v>
      </c>
      <c r="CH78">
        <f>LOG(Table1_1[[#This Row],[PFEtCHxS]])</f>
        <v>-0.72815839346350109</v>
      </c>
      <c r="CI78">
        <f>LOG(Table1_1[[#This Row],[FBSA]])</f>
        <v>2.0755469613925306</v>
      </c>
      <c r="CJ78">
        <f>LOG(Table1_1[[#This Row],[FHxSA]])</f>
        <v>2.4517864355242902</v>
      </c>
      <c r="CK78">
        <f>LOG(Table1_1[[#This Row],[FOSA]])</f>
        <v>1.2329961103921538</v>
      </c>
      <c r="CL78">
        <f>LOG(Table1_1[[#This Row],[N-MeFOSA]])</f>
        <v>-1.0680338852718274</v>
      </c>
      <c r="CM78">
        <f>LOG(Table1_1[[#This Row],[N-EtFOSA]])</f>
        <v>-0.6526699846830496</v>
      </c>
      <c r="CN78">
        <f>LOG(Table1_1[[#This Row],[FOSAA]])</f>
        <v>-0.6526699846830496</v>
      </c>
      <c r="CO78">
        <f>LOG(Table1_1[[#This Row],[N-MeFOSAA]])</f>
        <v>-0.9507819773298184</v>
      </c>
      <c r="CP78">
        <f>LOG(Table1_1[[#This Row],[N-EtFOSAA]])</f>
        <v>-0.95272513261582048</v>
      </c>
      <c r="CQ78">
        <f>LOG(Table1_1[[#This Row],[4:2 FTS]])</f>
        <v>-0.95272513261582048</v>
      </c>
      <c r="CR78">
        <f>LOG(Table1_1[[#This Row],[6:2 FTS]])</f>
        <v>-0.16941133131485567</v>
      </c>
      <c r="CS78">
        <f>LOG(Table1_1[[#This Row],[8:2 FTS]])</f>
        <v>1.1492191126553799</v>
      </c>
      <c r="CT78">
        <f>LOG(Table1_1[[#This Row],[10:2 FTS]])</f>
        <v>-0.6526699846830496</v>
      </c>
      <c r="CU78">
        <f>LOG(Table1_1[[#This Row],[3:3 FTCA]])</f>
        <v>-0.6526699846830496</v>
      </c>
      <c r="CV78">
        <f>LOG(Table1_1[[#This Row],[5:3 FTCA]])</f>
        <v>0.77887447200273952</v>
      </c>
      <c r="CW78">
        <f>LOG(Table1_1[[#This Row],[7:3 FTCA]])</f>
        <v>1.5237464668115646</v>
      </c>
      <c r="CX78">
        <f>LOG(Table1_1[[#This Row],[6:2 FTCA]])</f>
        <v>-0.6526699846830496</v>
      </c>
      <c r="CY78">
        <f>LOG(Table1_1[[#This Row],[8:2 FTCA]])</f>
        <v>-0.95272513261582048</v>
      </c>
      <c r="CZ78">
        <f>LOG(Table1_1[[#This Row],[10:2 FTCA]])</f>
        <v>-0.6526699846830496</v>
      </c>
      <c r="DA78">
        <f>LOG(Table1_1[[#This Row],[6:2 FTUCA]])</f>
        <v>-1.0579919469776868</v>
      </c>
      <c r="DB78">
        <f>LOG(Table1_1[[#This Row],[8:2 FTUCA]])</f>
        <v>-1.1706962271689751</v>
      </c>
      <c r="DC78">
        <f>LOG(Table1_1[[#This Row],[ADONA]])</f>
        <v>-1.0087739243075051</v>
      </c>
      <c r="DD78">
        <f>LOG(Table1_1[[#This Row],[9Cl-PF3ONS]])</f>
        <v>-0.6526699846830496</v>
      </c>
      <c r="DE78">
        <f>LOG(Table1_1[[#This Row],[11Cl-PF3OUdS]])</f>
        <v>-0.6526699846830496</v>
      </c>
      <c r="DF78">
        <f>LOG(Table1_1[[#This Row],[HFPO-DA]])</f>
        <v>-0.79723931260680003</v>
      </c>
      <c r="DG78">
        <f>LOG(Table1_1[[#This Row],[6:2 diPAP]])</f>
        <v>-0.6526699846830496</v>
      </c>
      <c r="DH78">
        <f>LOG(Table1_1[[#This Row],[8:2 diPAP]])</f>
        <v>-0.6526699846830496</v>
      </c>
      <c r="DI78">
        <f>LOG(Table1_1[[#This Row],[diSAmPAP]])</f>
        <v>-0.6526699846830496</v>
      </c>
    </row>
    <row r="79" spans="1:113">
      <c r="A79" t="s">
        <v>225</v>
      </c>
      <c r="B79" t="s">
        <v>121</v>
      </c>
      <c r="C79" s="3">
        <v>44314</v>
      </c>
      <c r="D79" t="s">
        <v>226</v>
      </c>
      <c r="E79" t="s">
        <v>227</v>
      </c>
      <c r="F79" t="s">
        <v>228</v>
      </c>
      <c r="G79" t="s">
        <v>118</v>
      </c>
      <c r="H79" t="s">
        <v>119</v>
      </c>
      <c r="I79">
        <v>8</v>
      </c>
      <c r="J79">
        <f>LOG(Table1_1[[#This Row],[Length]])</f>
        <v>0.90308998699194354</v>
      </c>
      <c r="K79">
        <v>11.81</v>
      </c>
      <c r="L79">
        <f>LOG(Table1_1[[#This Row],[Weight]])</f>
        <v>1.0722498976135149</v>
      </c>
      <c r="M79">
        <v>0.245</v>
      </c>
      <c r="N79">
        <v>0.16103301360215763</v>
      </c>
      <c r="O79">
        <v>0.12300499753782922</v>
      </c>
      <c r="P79">
        <v>9.116693679092383E-2</v>
      </c>
      <c r="Q79">
        <v>1.8</v>
      </c>
      <c r="R79">
        <v>1.76</v>
      </c>
      <c r="S79">
        <v>4.8099999999999996</v>
      </c>
      <c r="T79">
        <v>6.48</v>
      </c>
      <c r="U79">
        <v>43</v>
      </c>
      <c r="V79">
        <v>2.04</v>
      </c>
      <c r="W79">
        <v>8.61</v>
      </c>
      <c r="X79">
        <v>8.3479659501746462E-2</v>
      </c>
      <c r="Y79">
        <v>5.3441071388432293E-2</v>
      </c>
      <c r="Z79">
        <v>23</v>
      </c>
      <c r="AA79">
        <v>0.31900000000000001</v>
      </c>
      <c r="AB79">
        <v>46.2</v>
      </c>
      <c r="AC79">
        <v>1.45</v>
      </c>
      <c r="AD79">
        <v>1180</v>
      </c>
      <c r="AE79">
        <v>2.76</v>
      </c>
      <c r="AF79">
        <v>3.03</v>
      </c>
      <c r="AG79">
        <v>0.875</v>
      </c>
      <c r="AH79">
        <v>0.13850176587410859</v>
      </c>
      <c r="AI79">
        <v>9.116693679092383E-2</v>
      </c>
      <c r="AJ79">
        <v>37.700000000000003</v>
      </c>
      <c r="AK79">
        <v>55.1</v>
      </c>
      <c r="AL79">
        <v>19.5</v>
      </c>
      <c r="AM79">
        <v>5.3961505333881235E-2</v>
      </c>
      <c r="AN79">
        <v>8.1739602964351746E-2</v>
      </c>
      <c r="AO79">
        <v>5.521194770186974E-2</v>
      </c>
      <c r="AP79">
        <v>7.046881086552291E-2</v>
      </c>
      <c r="AQ79">
        <v>6.0798405682658721E-2</v>
      </c>
      <c r="AR79">
        <v>5.7534171130059583E-2</v>
      </c>
      <c r="AS79">
        <v>0.31900000000000001</v>
      </c>
      <c r="AT79">
        <v>2.71</v>
      </c>
      <c r="AU79">
        <v>0.25879228577795782</v>
      </c>
      <c r="AV79">
        <v>8.0796144244401069E-2</v>
      </c>
      <c r="AW79">
        <v>0.17199901762803887</v>
      </c>
      <c r="AX79">
        <v>5.6408688944935274E-2</v>
      </c>
      <c r="AY79">
        <v>4.07</v>
      </c>
      <c r="AZ79">
        <v>2.8018006238676056E-2</v>
      </c>
      <c r="BA79">
        <v>0.10452064748253544</v>
      </c>
      <c r="BB79">
        <v>5.4999104460653377E-2</v>
      </c>
      <c r="BC79">
        <v>4.2328520160930756E-2</v>
      </c>
      <c r="BD79">
        <v>7.004501559669013E-2</v>
      </c>
      <c r="BE79">
        <v>4.8618710370351342E-2</v>
      </c>
      <c r="BF79">
        <v>5.5194810038524757E-2</v>
      </c>
      <c r="BG79">
        <v>0.10051659821501951</v>
      </c>
      <c r="BH79">
        <v>7.456494588812411E-2</v>
      </c>
      <c r="BI79">
        <v>9.2866662834908562E-2</v>
      </c>
      <c r="BJ79">
        <v>0.12327922745017464</v>
      </c>
      <c r="BK79">
        <f>SUM(Table1_1[[#This Row],[PFBA]:[diSAmPAP]])</f>
        <v>1448.262457210496</v>
      </c>
      <c r="BL79">
        <f>LOG(Table1_1[[#This Row],[PFBA]])</f>
        <v>-0.61083391563546752</v>
      </c>
      <c r="BM79">
        <f>LOG(Table1_1[[#This Row],[PFPeA]])</f>
        <v>-0.7930850795243235</v>
      </c>
      <c r="BN79">
        <f>LOG(Table1_1[[#This Row],[PFHxA]])</f>
        <v>-0.91007724336538776</v>
      </c>
      <c r="BO79">
        <f>LOG(Table1_1[[#This Row],[PFHpA]])</f>
        <v>-1.0401626372498416</v>
      </c>
      <c r="BP79">
        <f>LOG(Table1_1[[#This Row],[PFOA]])</f>
        <v>0.25527250510330607</v>
      </c>
      <c r="BQ79">
        <f>LOG(Table1_1[[#This Row],[PFNA]])</f>
        <v>0.24551266781414982</v>
      </c>
      <c r="BR79">
        <f>LOG(Table1_1[[#This Row],[PFDA]])</f>
        <v>0.6821450763738317</v>
      </c>
      <c r="BS79">
        <f>LOG(Table1_1[[#This Row],[PFUnA]])</f>
        <v>0.81157500587059339</v>
      </c>
      <c r="BT79">
        <f>LOG(Table1_1[[#This Row],[PFDoA]])</f>
        <v>1.6334684555795864</v>
      </c>
      <c r="BU79">
        <f>LOG(Table1_1[[#This Row],[PFTrDA]])</f>
        <v>0.30963016742589877</v>
      </c>
      <c r="BV79">
        <f>LOG(Table1_1[[#This Row],[PFTeDA]])</f>
        <v>0.93500315145365476</v>
      </c>
      <c r="BW79">
        <f>LOG(Table1_1[[#This Row],[PFHxDA]])</f>
        <v>-1.0784193310106827</v>
      </c>
      <c r="BX79">
        <f>LOG(Table1_1[[#This Row],[PFPrS]])</f>
        <v>-1.2721248436945629</v>
      </c>
      <c r="BY79">
        <f>LOG(Table1_1[[#This Row],[PFBS]])</f>
        <v>1.3617278360175928</v>
      </c>
      <c r="BZ79">
        <f>LOG(Table1_1[[#This Row],[PFPeS]])</f>
        <v>-0.49620931694281889</v>
      </c>
      <c r="CA79">
        <f>LOG(Table1_1[[#This Row],[PFHxS]])</f>
        <v>1.6646419755561255</v>
      </c>
      <c r="CB79">
        <f>LOG(Table1_1[[#This Row],[PFHpS]])</f>
        <v>0.16136800223497488</v>
      </c>
      <c r="CC79">
        <f>LOG(Table1_1[[#This Row],[PFOS]])</f>
        <v>3.0718820073061255</v>
      </c>
      <c r="CD79">
        <f>LOG(Table1_1[[#This Row],[PFNS]])</f>
        <v>0.44090908206521767</v>
      </c>
      <c r="CE79">
        <f>LOG(Table1_1[[#This Row],[PFDS]])</f>
        <v>0.48144262850230496</v>
      </c>
      <c r="CF79">
        <f>LOG(Table1_1[[#This Row],[PFDoS]])</f>
        <v>-5.7991946977686754E-2</v>
      </c>
      <c r="CG79">
        <f>LOG(Table1_1[[#This Row],[Cl-PFOS]])</f>
        <v>-0.85854468938298323</v>
      </c>
      <c r="CH79">
        <f>LOG(Table1_1[[#This Row],[PFEtCHxS]])</f>
        <v>-1.0401626372498416</v>
      </c>
      <c r="CI79">
        <f>LOG(Table1_1[[#This Row],[FBSA]])</f>
        <v>1.5763413502057928</v>
      </c>
      <c r="CJ79">
        <f>LOG(Table1_1[[#This Row],[FHxSA]])</f>
        <v>1.7411515988517852</v>
      </c>
      <c r="CK79">
        <f>LOG(Table1_1[[#This Row],[FOSA]])</f>
        <v>1.2900346113625181</v>
      </c>
      <c r="CL79">
        <f>LOG(Table1_1[[#This Row],[N-MeFOSA]])</f>
        <v>-1.2679159435613048</v>
      </c>
      <c r="CM79">
        <f>LOG(Table1_1[[#This Row],[N-EtFOSA]])</f>
        <v>-1.08756747612785</v>
      </c>
      <c r="CN79">
        <f>LOG(Table1_1[[#This Row],[FOSAA]])</f>
        <v>-1.2579669320619205</v>
      </c>
      <c r="CO79">
        <f>LOG(Table1_1[[#This Row],[N-MeFOSAA]])</f>
        <v>-1.1520030569956923</v>
      </c>
      <c r="CP79">
        <f>LOG(Table1_1[[#This Row],[N-EtFOSAA]])</f>
        <v>-1.2161078090874968</v>
      </c>
      <c r="CQ79">
        <f>LOG(Table1_1[[#This Row],[4:2 FTS]])</f>
        <v>-1.2400741392180035</v>
      </c>
      <c r="CR79">
        <f>LOG(Table1_1[[#This Row],[6:2 FTS]])</f>
        <v>-0.49620931694281889</v>
      </c>
      <c r="CS79">
        <f>LOG(Table1_1[[#This Row],[8:2 FTS]])</f>
        <v>0.43296929087440572</v>
      </c>
      <c r="CT79">
        <f>LOG(Table1_1[[#This Row],[10:2 FTS]])</f>
        <v>-0.58704867349791823</v>
      </c>
      <c r="CU79">
        <f>LOG(Table1_1[[#This Row],[3:3 FTCA]])</f>
        <v>-1.0926093641429337</v>
      </c>
      <c r="CV79">
        <f>LOG(Table1_1[[#This Row],[5:3 FTCA]])</f>
        <v>-0.7644740335572201</v>
      </c>
      <c r="CW79">
        <f>LOG(Table1_1[[#This Row],[7:3 FTCA]])</f>
        <v>-1.248653994062886</v>
      </c>
      <c r="CX79">
        <f>LOG(Table1_1[[#This Row],[6:2 FTCA]])</f>
        <v>0.60959440922522001</v>
      </c>
      <c r="CY79">
        <f>LOG(Table1_1[[#This Row],[8:2 FTCA]])</f>
        <v>-1.5525627723460502</v>
      </c>
      <c r="CZ79">
        <f>LOG(Table1_1[[#This Row],[10:2 FTCA]])</f>
        <v>-0.98079790857711446</v>
      </c>
      <c r="DA79">
        <f>LOG(Table1_1[[#This Row],[6:2 FTUCA]])</f>
        <v>-1.25964438197781</v>
      </c>
      <c r="DB79">
        <f>LOG(Table1_1[[#This Row],[8:2 FTUCA]])</f>
        <v>-1.3733669145445617</v>
      </c>
      <c r="DC79">
        <f>LOG(Table1_1[[#This Row],[ADONA]])</f>
        <v>-1.1546227636740127</v>
      </c>
      <c r="DD79">
        <f>LOG(Table1_1[[#This Row],[9Cl-PF3ONS]])</f>
        <v>-1.313196565165003</v>
      </c>
      <c r="DE79">
        <f>LOG(Table1_1[[#This Row],[11Cl-PF3OUdS]])</f>
        <v>-1.2581017570098774</v>
      </c>
      <c r="DF79">
        <f>LOG(Table1_1[[#This Row],[HFPO-DA]])</f>
        <v>-0.99776221766645723</v>
      </c>
      <c r="DG79">
        <f>LOG(Table1_1[[#This Row],[6:2 diPAP]])</f>
        <v>-1.127465292973262</v>
      </c>
      <c r="DH79">
        <f>LOG(Table1_1[[#This Row],[8:2 diPAP]])</f>
        <v>-1.03214016055108</v>
      </c>
      <c r="DI79">
        <f>LOG(Table1_1[[#This Row],[diSAmPAP]])</f>
        <v>-0.9091100958598628</v>
      </c>
    </row>
    <row r="80" spans="1:113">
      <c r="A80" t="s">
        <v>229</v>
      </c>
      <c r="B80" t="s">
        <v>121</v>
      </c>
      <c r="C80" s="3">
        <v>44314</v>
      </c>
      <c r="D80" t="s">
        <v>226</v>
      </c>
      <c r="E80" t="s">
        <v>227</v>
      </c>
      <c r="F80" t="s">
        <v>228</v>
      </c>
      <c r="G80" t="s">
        <v>118</v>
      </c>
      <c r="H80" t="s">
        <v>119</v>
      </c>
      <c r="I80">
        <v>8</v>
      </c>
      <c r="J80">
        <f>LOG(Table1_1[[#This Row],[Length]])</f>
        <v>0.90308998699194354</v>
      </c>
      <c r="K80">
        <v>12.37</v>
      </c>
      <c r="L80">
        <f>LOG(Table1_1[[#This Row],[Weight]])</f>
        <v>1.0923696996291206</v>
      </c>
      <c r="M80">
        <v>9.4359404487313892E-2</v>
      </c>
      <c r="N80">
        <v>4.8797882909744739E-2</v>
      </c>
      <c r="O80">
        <v>0.12731236482422417</v>
      </c>
      <c r="P80">
        <v>9.4359404487313892E-2</v>
      </c>
      <c r="Q80">
        <v>0.29599999999999999</v>
      </c>
      <c r="R80">
        <v>1.74</v>
      </c>
      <c r="S80">
        <v>4.93</v>
      </c>
      <c r="T80">
        <v>11.1</v>
      </c>
      <c r="U80">
        <v>29.2</v>
      </c>
      <c r="V80">
        <v>11</v>
      </c>
      <c r="W80">
        <v>7.28</v>
      </c>
      <c r="X80">
        <v>8.231270315944085E-2</v>
      </c>
      <c r="Y80">
        <v>5.269402237591167E-2</v>
      </c>
      <c r="Z80">
        <v>3.33</v>
      </c>
      <c r="AA80">
        <v>0.12491886229007131</v>
      </c>
      <c r="AB80">
        <v>16.399999999999999</v>
      </c>
      <c r="AC80">
        <v>0.82699999999999996</v>
      </c>
      <c r="AD80">
        <v>1020</v>
      </c>
      <c r="AE80">
        <v>0.98899999999999999</v>
      </c>
      <c r="AF80">
        <v>0.95799999999999996</v>
      </c>
      <c r="AG80">
        <v>0.25226285320974001</v>
      </c>
      <c r="AH80">
        <v>0.14335179625804151</v>
      </c>
      <c r="AI80">
        <v>9.4359404487313892E-2</v>
      </c>
      <c r="AJ80">
        <v>146</v>
      </c>
      <c r="AK80">
        <v>81.099999999999994</v>
      </c>
      <c r="AL80">
        <v>26.2</v>
      </c>
      <c r="AM80">
        <v>5.3207181211507297E-2</v>
      </c>
      <c r="AN80">
        <v>8.0596970751114258E-2</v>
      </c>
      <c r="AO80">
        <v>5.4440143732779583E-2</v>
      </c>
      <c r="AP80">
        <v>2.8</v>
      </c>
      <c r="AQ80">
        <v>5.9948509006786874E-2</v>
      </c>
      <c r="AR80">
        <v>5.6729904961507295E-2</v>
      </c>
      <c r="AS80">
        <v>0.375</v>
      </c>
      <c r="AT80">
        <v>1.95</v>
      </c>
      <c r="AU80">
        <v>0.26785462834975882</v>
      </c>
      <c r="AV80">
        <v>7.9666700574858182E-2</v>
      </c>
      <c r="AW80">
        <v>7.86</v>
      </c>
      <c r="AX80">
        <v>79.7</v>
      </c>
      <c r="AY80">
        <v>4.37</v>
      </c>
      <c r="AZ80">
        <v>1.05</v>
      </c>
      <c r="BA80">
        <v>0.10305956063563615</v>
      </c>
      <c r="BB80">
        <v>5.4230275812398705E-2</v>
      </c>
      <c r="BC80">
        <v>4.1736812727562807E-2</v>
      </c>
      <c r="BD80">
        <v>6.9065861205245327E-2</v>
      </c>
      <c r="BE80">
        <v>4.7939072806422206E-2</v>
      </c>
      <c r="BF80">
        <v>5.4423245635636143E-2</v>
      </c>
      <c r="BG80">
        <v>9.9111483693780408E-2</v>
      </c>
      <c r="BH80">
        <v>7.3522607706138582E-2</v>
      </c>
      <c r="BI80">
        <v>9.1568486227208271E-2</v>
      </c>
      <c r="BJ80">
        <v>0.12155591572123177</v>
      </c>
      <c r="BK80">
        <f>SUM(Table1_1[[#This Row],[PFBA]:[diSAmPAP]])</f>
        <v>1461.9783860592484</v>
      </c>
      <c r="BL80">
        <f>LOG(Table1_1[[#This Row],[PFBA]])</f>
        <v>-1.0252148086585235</v>
      </c>
      <c r="BM80">
        <f>LOG(Table1_1[[#This Row],[PFPeA]])</f>
        <v>-1.3115990194022109</v>
      </c>
      <c r="BN80">
        <f>LOG(Table1_1[[#This Row],[PFHxA]])</f>
        <v>-0.89512941477406949</v>
      </c>
      <c r="BO80">
        <f>LOG(Table1_1[[#This Row],[PFHpA]])</f>
        <v>-1.0252148086585235</v>
      </c>
      <c r="BP80">
        <f>LOG(Table1_1[[#This Row],[PFOA]])</f>
        <v>-0.52870828894106148</v>
      </c>
      <c r="BQ80">
        <f>LOG(Table1_1[[#This Row],[PFNA]])</f>
        <v>0.24054924828259971</v>
      </c>
      <c r="BR80">
        <f>LOG(Table1_1[[#This Row],[PFDA]])</f>
        <v>0.69284691927722997</v>
      </c>
      <c r="BS80">
        <f>LOG(Table1_1[[#This Row],[PFUnA]])</f>
        <v>1.0453229787866574</v>
      </c>
      <c r="BT80">
        <f>LOG(Table1_1[[#This Row],[PFDoA]])</f>
        <v>1.4653828514484182</v>
      </c>
      <c r="BU80">
        <f>LOG(Table1_1[[#This Row],[PFTrDA]])</f>
        <v>1.0413926851582251</v>
      </c>
      <c r="BV80">
        <f>LOG(Table1_1[[#This Row],[PFTeDA]])</f>
        <v>0.86213137931303718</v>
      </c>
      <c r="BW80">
        <f>LOG(Table1_1[[#This Row],[PFHxDA]])</f>
        <v>-1.0845331357923615</v>
      </c>
      <c r="BX80">
        <f>LOG(Table1_1[[#This Row],[PFPrS]])</f>
        <v>-1.2782386484762418</v>
      </c>
      <c r="BY80">
        <f>LOG(Table1_1[[#This Row],[PFBS]])</f>
        <v>0.52244423350631986</v>
      </c>
      <c r="BZ80">
        <f>LOG(Table1_1[[#This Row],[PFPeS]])</f>
        <v>-0.90337197980042105</v>
      </c>
      <c r="CA80">
        <f>LOG(Table1_1[[#This Row],[PFHxS]])</f>
        <v>1.2148438480476977</v>
      </c>
      <c r="CB80">
        <f>LOG(Table1_1[[#This Row],[PFHpS]])</f>
        <v>-8.2494490447453356E-2</v>
      </c>
      <c r="CC80">
        <f>LOG(Table1_1[[#This Row],[PFOS]])</f>
        <v>3.0086001717619175</v>
      </c>
      <c r="CD80">
        <f>LOG(Table1_1[[#This Row],[PFNS]])</f>
        <v>-4.8037084028205992E-3</v>
      </c>
      <c r="CE80">
        <f>LOG(Table1_1[[#This Row],[PFDS]])</f>
        <v>-1.8634490921455603E-2</v>
      </c>
      <c r="CF80">
        <f>LOG(Table1_1[[#This Row],[PFDoS]])</f>
        <v>-0.5981466965049097</v>
      </c>
      <c r="CG80">
        <f>LOG(Table1_1[[#This Row],[Cl-PFOS]])</f>
        <v>-0.84359686079166507</v>
      </c>
      <c r="CH80">
        <f>LOG(Table1_1[[#This Row],[PFEtCHxS]])</f>
        <v>-1.0252148086585235</v>
      </c>
      <c r="CI80">
        <f>LOG(Table1_1[[#This Row],[FBSA]])</f>
        <v>2.1643528557844371</v>
      </c>
      <c r="CJ80">
        <f>LOG(Table1_1[[#This Row],[FHxSA]])</f>
        <v>1.909020854211156</v>
      </c>
      <c r="CK80">
        <f>LOG(Table1_1[[#This Row],[FOSA]])</f>
        <v>1.4183012913197455</v>
      </c>
      <c r="CL80">
        <f>LOG(Table1_1[[#This Row],[N-MeFOSA]])</f>
        <v>-1.2740297483429834</v>
      </c>
      <c r="CM80">
        <f>LOG(Table1_1[[#This Row],[N-EtFOSA]])</f>
        <v>-1.0936812809095289</v>
      </c>
      <c r="CN80">
        <f>LOG(Table1_1[[#This Row],[FOSAA]])</f>
        <v>-1.2640807368435993</v>
      </c>
      <c r="CO80">
        <f>LOG(Table1_1[[#This Row],[N-MeFOSAA]])</f>
        <v>0.44715803134221921</v>
      </c>
      <c r="CP80">
        <f>LOG(Table1_1[[#This Row],[N-EtFOSAA]])</f>
        <v>-1.2222216138691757</v>
      </c>
      <c r="CQ80">
        <f>LOG(Table1_1[[#This Row],[4:2 FTS]])</f>
        <v>-1.2461879439996821</v>
      </c>
      <c r="CR80">
        <f>LOG(Table1_1[[#This Row],[6:2 FTS]])</f>
        <v>-0.42596873227228116</v>
      </c>
      <c r="CS80">
        <f>LOG(Table1_1[[#This Row],[8:2 FTS]])</f>
        <v>0.29003461136251801</v>
      </c>
      <c r="CT80">
        <f>LOG(Table1_1[[#This Row],[10:2 FTS]])</f>
        <v>-0.57210084490660007</v>
      </c>
      <c r="CU80">
        <f>LOG(Table1_1[[#This Row],[3:3 FTCA]])</f>
        <v>-1.0987231689246126</v>
      </c>
      <c r="CV80">
        <f>LOG(Table1_1[[#This Row],[5:3 FTCA]])</f>
        <v>0.89542254603940796</v>
      </c>
      <c r="CW80">
        <f>LOG(Table1_1[[#This Row],[7:3 FTCA]])</f>
        <v>1.9014583213961123</v>
      </c>
      <c r="CX80">
        <f>LOG(Table1_1[[#This Row],[6:2 FTCA]])</f>
        <v>0.64048143697042181</v>
      </c>
      <c r="CY80">
        <f>LOG(Table1_1[[#This Row],[8:2 FTCA]])</f>
        <v>2.1189299069938092E-2</v>
      </c>
      <c r="CZ80">
        <f>LOG(Table1_1[[#This Row],[10:2 FTCA]])</f>
        <v>-0.98691171335879335</v>
      </c>
      <c r="DA80">
        <f>LOG(Table1_1[[#This Row],[6:2 FTUCA]])</f>
        <v>-1.2657581867594889</v>
      </c>
      <c r="DB80">
        <f>LOG(Table1_1[[#This Row],[8:2 FTUCA]])</f>
        <v>-1.3794807193262406</v>
      </c>
      <c r="DC80">
        <f>LOG(Table1_1[[#This Row],[ADONA]])</f>
        <v>-1.1607365684556914</v>
      </c>
      <c r="DD80">
        <f>LOG(Table1_1[[#This Row],[9Cl-PF3ONS]])</f>
        <v>-1.3193103699466819</v>
      </c>
      <c r="DE80">
        <f>LOG(Table1_1[[#This Row],[11Cl-PF3OUdS]])</f>
        <v>-1.2642155617915563</v>
      </c>
      <c r="DF80">
        <f>LOG(Table1_1[[#This Row],[HFPO-DA]])</f>
        <v>-1.003876022448136</v>
      </c>
      <c r="DG80">
        <f>LOG(Table1_1[[#This Row],[6:2 diPAP]])</f>
        <v>-1.1335790977549409</v>
      </c>
      <c r="DH80">
        <f>LOG(Table1_1[[#This Row],[8:2 diPAP]])</f>
        <v>-1.0382539653327587</v>
      </c>
      <c r="DI80">
        <f>LOG(Table1_1[[#This Row],[diSAmPAP]])</f>
        <v>-0.91522390064154158</v>
      </c>
    </row>
    <row r="81" spans="1:113">
      <c r="A81" t="s">
        <v>230</v>
      </c>
      <c r="B81" t="s">
        <v>121</v>
      </c>
      <c r="C81" s="3">
        <v>44314</v>
      </c>
      <c r="D81" t="s">
        <v>226</v>
      </c>
      <c r="E81" t="s">
        <v>227</v>
      </c>
      <c r="F81" t="s">
        <v>228</v>
      </c>
      <c r="G81" t="s">
        <v>118</v>
      </c>
      <c r="H81" t="s">
        <v>119</v>
      </c>
      <c r="I81">
        <v>8</v>
      </c>
      <c r="J81">
        <f>LOG(Table1_1[[#This Row],[Length]])</f>
        <v>0.90308998699194354</v>
      </c>
      <c r="K81">
        <v>10.71</v>
      </c>
      <c r="L81">
        <f>LOG(Table1_1[[#This Row],[Weight]])</f>
        <v>1.0297894708318556</v>
      </c>
      <c r="M81">
        <v>9.6670247046186875E-2</v>
      </c>
      <c r="N81">
        <v>5.0506678557873774E-2</v>
      </c>
      <c r="O81">
        <v>3.8579504492189144E-2</v>
      </c>
      <c r="P81">
        <v>9.6670247046186875E-2</v>
      </c>
      <c r="Q81">
        <v>9.6670247046186875E-2</v>
      </c>
      <c r="R81">
        <v>4.9470441770287268E-2</v>
      </c>
      <c r="S81">
        <v>1.61</v>
      </c>
      <c r="T81">
        <v>4.03</v>
      </c>
      <c r="U81">
        <v>5.7075992791465704E-2</v>
      </c>
      <c r="V81">
        <v>3.45</v>
      </c>
      <c r="W81">
        <v>5.68</v>
      </c>
      <c r="X81">
        <v>8.5195114865799976E-2</v>
      </c>
      <c r="Y81">
        <v>5.4539252347976512E-2</v>
      </c>
      <c r="Z81">
        <v>0.16448667761842101</v>
      </c>
      <c r="AA81">
        <v>0.12797809973390978</v>
      </c>
      <c r="AB81">
        <v>3.78</v>
      </c>
      <c r="AC81">
        <v>0.24167561761546721</v>
      </c>
      <c r="AD81">
        <v>560</v>
      </c>
      <c r="AE81">
        <v>0.38</v>
      </c>
      <c r="AF81">
        <v>0.47099999999999997</v>
      </c>
      <c r="AG81">
        <v>0.2584407190026316</v>
      </c>
      <c r="AH81">
        <v>0.14686245249293234</v>
      </c>
      <c r="AI81">
        <v>9.6670247046186875E-2</v>
      </c>
      <c r="AJ81">
        <v>61</v>
      </c>
      <c r="AK81">
        <v>49.5</v>
      </c>
      <c r="AL81">
        <v>13.8</v>
      </c>
      <c r="AM81">
        <v>5.5070380889075281E-2</v>
      </c>
      <c r="AN81">
        <v>8.341930124292303E-2</v>
      </c>
      <c r="AO81">
        <v>5.6346519074229398E-2</v>
      </c>
      <c r="AP81">
        <v>8.85</v>
      </c>
      <c r="AQ81">
        <v>6.2047775310861815E-2</v>
      </c>
      <c r="AR81">
        <v>0.19850957592631577</v>
      </c>
      <c r="AS81">
        <v>4.315775150089117E-2</v>
      </c>
      <c r="AT81">
        <v>0.77600000000000002</v>
      </c>
      <c r="AU81">
        <v>8.1168069196896619E-2</v>
      </c>
      <c r="AV81">
        <v>8.2456455029880471E-2</v>
      </c>
      <c r="AW81">
        <v>1.67</v>
      </c>
      <c r="AX81">
        <v>31.9</v>
      </c>
      <c r="AY81">
        <v>2.81</v>
      </c>
      <c r="AZ81">
        <v>2.8593758935549666E-2</v>
      </c>
      <c r="BA81">
        <v>0.10666848213409522</v>
      </c>
      <c r="BB81">
        <v>5.612930203606626E-2</v>
      </c>
      <c r="BC81">
        <v>4.319834506673307E-2</v>
      </c>
      <c r="BD81">
        <v>7.148439733887417E-2</v>
      </c>
      <c r="BE81">
        <v>4.961779479398197E-2</v>
      </c>
      <c r="BF81">
        <v>5.6329029242503673E-2</v>
      </c>
      <c r="BG81">
        <v>0.1025821521309499</v>
      </c>
      <c r="BH81">
        <v>7.609720940186622E-2</v>
      </c>
      <c r="BI81">
        <v>9.4775015310861813E-2</v>
      </c>
      <c r="BJ81">
        <v>0.12581253931641853</v>
      </c>
      <c r="BK81">
        <f>SUM(Table1_1[[#This Row],[PFBA]:[diSAmPAP]])</f>
        <v>752.84195539335235</v>
      </c>
      <c r="BL81">
        <f>LOG(Table1_1[[#This Row],[PFBA]])</f>
        <v>-1.0147071715420179</v>
      </c>
      <c r="BM81">
        <f>LOG(Table1_1[[#This Row],[PFPeA]])</f>
        <v>-1.2966511908108929</v>
      </c>
      <c r="BN81">
        <f>LOG(Table1_1[[#This Row],[PFHxA]])</f>
        <v>-1.4136433546519569</v>
      </c>
      <c r="BO81">
        <f>LOG(Table1_1[[#This Row],[PFHpA]])</f>
        <v>-1.0147071715420179</v>
      </c>
      <c r="BP81">
        <f>LOG(Table1_1[[#This Row],[PFOA]])</f>
        <v>-1.0147071715420179</v>
      </c>
      <c r="BQ81">
        <f>LOG(Table1_1[[#This Row],[PFNA]])</f>
        <v>-1.305654211375431</v>
      </c>
      <c r="BR81">
        <f>LOG(Table1_1[[#This Row],[PFDA]])</f>
        <v>0.20682587603184974</v>
      </c>
      <c r="BS81">
        <f>LOG(Table1_1[[#This Row],[PFUnA]])</f>
        <v>0.60530504614110947</v>
      </c>
      <c r="BT81">
        <f>LOG(Table1_1[[#This Row],[PFDoA]])</f>
        <v>-1.243546525565185</v>
      </c>
      <c r="BU81">
        <f>LOG(Table1_1[[#This Row],[PFTrDA]])</f>
        <v>0.53781909507327419</v>
      </c>
      <c r="BV81">
        <f>LOG(Table1_1[[#This Row],[PFTeDA]])</f>
        <v>0.75434833571101889</v>
      </c>
      <c r="BW81">
        <f>LOG(Table1_1[[#This Row],[PFHxDA]])</f>
        <v>-1.0695853072010433</v>
      </c>
      <c r="BX81">
        <f>LOG(Table1_1[[#This Row],[PFPrS]])</f>
        <v>-1.2632908198849235</v>
      </c>
      <c r="BY81">
        <f>LOG(Table1_1[[#This Row],[PFBS]])</f>
        <v>-0.78386927139855012</v>
      </c>
      <c r="BZ81">
        <f>LOG(Table1_1[[#This Row],[PFPeS]])</f>
        <v>-0.89286434268391546</v>
      </c>
      <c r="CA81">
        <f>LOG(Table1_1[[#This Row],[PFHxS]])</f>
        <v>0.57749179983722532</v>
      </c>
      <c r="CB81">
        <f>LOG(Table1_1[[#This Row],[PFHpS]])</f>
        <v>-0.61676716286998023</v>
      </c>
      <c r="CC81">
        <f>LOG(Table1_1[[#This Row],[PFOS]])</f>
        <v>2.7481880270062002</v>
      </c>
      <c r="CD81">
        <f>LOG(Table1_1[[#This Row],[PFNS]])</f>
        <v>-0.42021640338318983</v>
      </c>
      <c r="CE81">
        <f>LOG(Table1_1[[#This Row],[PFDS]])</f>
        <v>-0.32697909287110383</v>
      </c>
      <c r="CF81">
        <f>LOG(Table1_1[[#This Row],[PFDoS]])</f>
        <v>-0.58763905938840399</v>
      </c>
      <c r="CG81">
        <f>LOG(Table1_1[[#This Row],[Cl-PFOS]])</f>
        <v>-0.83308922367515936</v>
      </c>
      <c r="CH81">
        <f>LOG(Table1_1[[#This Row],[PFEtCHxS]])</f>
        <v>-1.0147071715420179</v>
      </c>
      <c r="CI81">
        <f>LOG(Table1_1[[#This Row],[FBSA]])</f>
        <v>1.7853298350107671</v>
      </c>
      <c r="CJ81">
        <f>LOG(Table1_1[[#This Row],[FHxSA]])</f>
        <v>1.6946051989335686</v>
      </c>
      <c r="CK81">
        <f>LOG(Table1_1[[#This Row],[FOSA]])</f>
        <v>1.1398790864012365</v>
      </c>
      <c r="CL81">
        <f>LOG(Table1_1[[#This Row],[N-MeFOSA]])</f>
        <v>-1.2590819197516654</v>
      </c>
      <c r="CM81">
        <f>LOG(Table1_1[[#This Row],[N-EtFOSA]])</f>
        <v>-1.0787334523182106</v>
      </c>
      <c r="CN81">
        <f>LOG(Table1_1[[#This Row],[FOSAA]])</f>
        <v>-1.2491329082522813</v>
      </c>
      <c r="CO81">
        <f>LOG(Table1_1[[#This Row],[N-MeFOSAA]])</f>
        <v>0.94694327069782547</v>
      </c>
      <c r="CP81">
        <f>LOG(Table1_1[[#This Row],[N-EtFOSAA]])</f>
        <v>-1.2072737852778574</v>
      </c>
      <c r="CQ81">
        <f>LOG(Table1_1[[#This Row],[4:2 FTS]])</f>
        <v>-0.70221853841397097</v>
      </c>
      <c r="CR81">
        <f>LOG(Table1_1[[#This Row],[6:2 FTS]])</f>
        <v>-1.3649411899435515</v>
      </c>
      <c r="CS81">
        <f>LOG(Table1_1[[#This Row],[8:2 FTS]])</f>
        <v>-0.11013827874181155</v>
      </c>
      <c r="CT81">
        <f>LOG(Table1_1[[#This Row],[10:2 FTS]])</f>
        <v>-1.0906147847844874</v>
      </c>
      <c r="CU81">
        <f>LOG(Table1_1[[#This Row],[3:3 FTCA]])</f>
        <v>-1.0837753403332946</v>
      </c>
      <c r="CV81">
        <f>LOG(Table1_1[[#This Row],[5:3 FTCA]])</f>
        <v>0.22271647114758325</v>
      </c>
      <c r="CW81">
        <f>LOG(Table1_1[[#This Row],[7:3 FTCA]])</f>
        <v>1.503790683057181</v>
      </c>
      <c r="CX81">
        <f>LOG(Table1_1[[#This Row],[6:2 FTCA]])</f>
        <v>0.44870631990507992</v>
      </c>
      <c r="CY81">
        <f>LOG(Table1_1[[#This Row],[8:2 FTCA]])</f>
        <v>-1.5437287485364108</v>
      </c>
      <c r="CZ81">
        <f>LOG(Table1_1[[#This Row],[10:2 FTCA]])</f>
        <v>-0.97196388476747508</v>
      </c>
      <c r="DA81">
        <f>LOG(Table1_1[[#This Row],[6:2 FTUCA]])</f>
        <v>-1.2508103581681707</v>
      </c>
      <c r="DB81">
        <f>LOG(Table1_1[[#This Row],[8:2 FTUCA]])</f>
        <v>-1.3645328907349223</v>
      </c>
      <c r="DC81">
        <f>LOG(Table1_1[[#This Row],[ADONA]])</f>
        <v>-1.1457887398643734</v>
      </c>
      <c r="DD81">
        <f>LOG(Table1_1[[#This Row],[9Cl-PF3ONS]])</f>
        <v>-1.3043625413553637</v>
      </c>
      <c r="DE81">
        <f>LOG(Table1_1[[#This Row],[11Cl-PF3OUdS]])</f>
        <v>-1.249267733200238</v>
      </c>
      <c r="DF81">
        <f>LOG(Table1_1[[#This Row],[HFPO-DA]])</f>
        <v>-0.98892819385681785</v>
      </c>
      <c r="DG81">
        <f>LOG(Table1_1[[#This Row],[6:2 diPAP]])</f>
        <v>-1.1186312691636229</v>
      </c>
      <c r="DH81">
        <f>LOG(Table1_1[[#This Row],[8:2 diPAP]])</f>
        <v>-1.0233061367414407</v>
      </c>
      <c r="DI81">
        <f>LOG(Table1_1[[#This Row],[diSAmPAP]])</f>
        <v>-0.90027607205022353</v>
      </c>
    </row>
    <row r="82" spans="1:113">
      <c r="A82" t="s">
        <v>231</v>
      </c>
      <c r="B82" t="s">
        <v>121</v>
      </c>
      <c r="C82" s="3">
        <v>44314</v>
      </c>
      <c r="D82" t="s">
        <v>226</v>
      </c>
      <c r="E82" t="s">
        <v>227</v>
      </c>
      <c r="F82" t="s">
        <v>228</v>
      </c>
      <c r="G82" t="s">
        <v>118</v>
      </c>
      <c r="H82" t="s">
        <v>119</v>
      </c>
      <c r="I82">
        <v>8</v>
      </c>
      <c r="J82">
        <f>LOG(Table1_1[[#This Row],[Length]])</f>
        <v>0.90308998699194354</v>
      </c>
      <c r="K82">
        <v>7.52</v>
      </c>
      <c r="L82">
        <f>LOG(Table1_1[[#This Row],[Weight]])</f>
        <v>0.87621784059164221</v>
      </c>
      <c r="M82">
        <v>9.5744680851063829E-2</v>
      </c>
      <c r="N82">
        <v>5.1743576808270679E-2</v>
      </c>
      <c r="O82">
        <v>0.12918141869079255</v>
      </c>
      <c r="P82">
        <v>2.9294014256420267E-2</v>
      </c>
      <c r="Q82">
        <v>0.54700000000000004</v>
      </c>
      <c r="R82">
        <v>5.0681962793233074E-2</v>
      </c>
      <c r="S82">
        <v>4.0599999999999996</v>
      </c>
      <c r="T82">
        <v>6.18</v>
      </c>
      <c r="U82">
        <v>5.8473772206766916E-2</v>
      </c>
      <c r="V82">
        <v>4.12</v>
      </c>
      <c r="W82">
        <v>3.74</v>
      </c>
      <c r="X82">
        <v>8.7281525842105245E-2</v>
      </c>
      <c r="Y82">
        <v>5.5874907507518799E-2</v>
      </c>
      <c r="Z82">
        <v>0.1629118051731383</v>
      </c>
      <c r="AA82">
        <v>0.1267527775024149</v>
      </c>
      <c r="AB82">
        <v>8.6</v>
      </c>
      <c r="AC82">
        <v>1.7</v>
      </c>
      <c r="AD82">
        <v>831</v>
      </c>
      <c r="AE82">
        <v>0.86899999999999999</v>
      </c>
      <c r="AF82">
        <v>0.54900000000000004</v>
      </c>
      <c r="AG82">
        <v>0.25596628658664899</v>
      </c>
      <c r="AH82">
        <v>0.14545632262863831</v>
      </c>
      <c r="AI82">
        <v>9.5744680851063829E-2</v>
      </c>
      <c r="AJ82">
        <v>150</v>
      </c>
      <c r="AK82">
        <v>240</v>
      </c>
      <c r="AL82">
        <v>27.6</v>
      </c>
      <c r="AM82">
        <v>5.6419043278195483E-2</v>
      </c>
      <c r="AN82">
        <v>8.5462222906015017E-2</v>
      </c>
      <c r="AO82">
        <v>5.7726433827067672E-2</v>
      </c>
      <c r="AP82">
        <v>7.3678131575187975E-2</v>
      </c>
      <c r="AQ82">
        <v>6.3567312665413531E-2</v>
      </c>
      <c r="AR82">
        <v>6.0154416947368415E-2</v>
      </c>
      <c r="AS82">
        <v>0.59399999999999997</v>
      </c>
      <c r="AT82">
        <v>1.6</v>
      </c>
      <c r="AU82">
        <v>8.3155858646616537E-2</v>
      </c>
      <c r="AV82">
        <v>8.4475796785714277E-2</v>
      </c>
      <c r="AW82">
        <v>12.4</v>
      </c>
      <c r="AX82">
        <v>13.5</v>
      </c>
      <c r="AY82">
        <v>0.63200000000000001</v>
      </c>
      <c r="AZ82">
        <v>2.9294014256420267E-2</v>
      </c>
      <c r="BA82">
        <v>0.10928077149248121</v>
      </c>
      <c r="BB82">
        <v>5.7503897187969916E-2</v>
      </c>
      <c r="BC82">
        <v>4.4256263721428567E-2</v>
      </c>
      <c r="BD82">
        <v>7.3235035641050675E-2</v>
      </c>
      <c r="BE82">
        <v>5.0832924462406011E-2</v>
      </c>
      <c r="BF82">
        <v>5.7708515672932323E-2</v>
      </c>
      <c r="BG82">
        <v>0.10509436810150377</v>
      </c>
      <c r="BH82">
        <v>7.7960814530075195E-2</v>
      </c>
      <c r="BI82">
        <v>9.7096036093984955E-2</v>
      </c>
      <c r="BJ82">
        <v>0.12889366272824918</v>
      </c>
      <c r="BK82">
        <f>SUM(Table1_1[[#This Row],[PFBA]:[diSAmPAP]])</f>
        <v>1310.431903252218</v>
      </c>
      <c r="BL82">
        <f>LOG(Table1_1[[#This Row],[PFBA]])</f>
        <v>-1.0188853441603738</v>
      </c>
      <c r="BM82">
        <f>LOG(Table1_1[[#This Row],[PFPeA]])</f>
        <v>-1.286143553694387</v>
      </c>
      <c r="BN82">
        <f>LOG(Table1_1[[#This Row],[PFHxA]])</f>
        <v>-0.88879995027591996</v>
      </c>
      <c r="BO82">
        <f>LOG(Table1_1[[#This Row],[PFHpA]])</f>
        <v>-1.5332211114199052</v>
      </c>
      <c r="BP82">
        <f>LOG(Table1_1[[#This Row],[PFOA]])</f>
        <v>-0.26201267366656922</v>
      </c>
      <c r="BQ82">
        <f>LOG(Table1_1[[#This Row],[PFNA]])</f>
        <v>-1.2951465742589254</v>
      </c>
      <c r="BR82">
        <f>LOG(Table1_1[[#This Row],[PFDA]])</f>
        <v>0.60852603357719404</v>
      </c>
      <c r="BS82">
        <f>LOG(Table1_1[[#This Row],[PFUnA]])</f>
        <v>0.79098847508881587</v>
      </c>
      <c r="BT82">
        <f>LOG(Table1_1[[#This Row],[PFDoA]])</f>
        <v>-1.2330388884486794</v>
      </c>
      <c r="BU82">
        <f>LOG(Table1_1[[#This Row],[PFTrDA]])</f>
        <v>0.61489721603313463</v>
      </c>
      <c r="BV82">
        <f>LOG(Table1_1[[#This Row],[PFTeDA]])</f>
        <v>0.57287160220048017</v>
      </c>
      <c r="BW82">
        <f>LOG(Table1_1[[#This Row],[PFHxDA]])</f>
        <v>-1.0590776700845377</v>
      </c>
      <c r="BX82">
        <f>LOG(Table1_1[[#This Row],[PFPrS]])</f>
        <v>-1.2527831827684179</v>
      </c>
      <c r="BY82">
        <f>LOG(Table1_1[[#This Row],[PFBS]])</f>
        <v>-0.78804744401690596</v>
      </c>
      <c r="BZ82">
        <f>LOG(Table1_1[[#This Row],[PFPeS]])</f>
        <v>-0.89704251530227141</v>
      </c>
      <c r="CA82">
        <f>LOG(Table1_1[[#This Row],[PFHxS]])</f>
        <v>0.93449845124356767</v>
      </c>
      <c r="CB82">
        <f>LOG(Table1_1[[#This Row],[PFHpS]])</f>
        <v>0.23044892137827391</v>
      </c>
      <c r="CC82">
        <f>LOG(Table1_1[[#This Row],[PFOS]])</f>
        <v>2.9196010237841108</v>
      </c>
      <c r="CD82">
        <f>LOG(Table1_1[[#This Row],[PFNS]])</f>
        <v>-6.0980223551333534E-2</v>
      </c>
      <c r="CE82">
        <f>LOG(Table1_1[[#This Row],[PFDS]])</f>
        <v>-0.26042765554990804</v>
      </c>
      <c r="CF82">
        <f>LOG(Table1_1[[#This Row],[PFDoS]])</f>
        <v>-0.59181723200676006</v>
      </c>
      <c r="CG82">
        <f>LOG(Table1_1[[#This Row],[Cl-PFOS]])</f>
        <v>-0.83726739629351543</v>
      </c>
      <c r="CH82">
        <f>LOG(Table1_1[[#This Row],[PFEtCHxS]])</f>
        <v>-1.0188853441603738</v>
      </c>
      <c r="CI82">
        <f>LOG(Table1_1[[#This Row],[FBSA]])</f>
        <v>2.1760912590556813</v>
      </c>
      <c r="CJ82">
        <f>LOG(Table1_1[[#This Row],[FHxSA]])</f>
        <v>2.3802112417116059</v>
      </c>
      <c r="CK82">
        <f>LOG(Table1_1[[#This Row],[FOSA]])</f>
        <v>1.4409090820652177</v>
      </c>
      <c r="CL82">
        <f>LOG(Table1_1[[#This Row],[N-MeFOSA]])</f>
        <v>-1.2485742826351598</v>
      </c>
      <c r="CM82">
        <f>LOG(Table1_1[[#This Row],[N-EtFOSA]])</f>
        <v>-1.068225815201705</v>
      </c>
      <c r="CN82">
        <f>LOG(Table1_1[[#This Row],[FOSAA]])</f>
        <v>-1.2386252711357755</v>
      </c>
      <c r="CO82">
        <f>LOG(Table1_1[[#This Row],[N-MeFOSAA]])</f>
        <v>-1.1326613960695473</v>
      </c>
      <c r="CP82">
        <f>LOG(Table1_1[[#This Row],[N-EtFOSAA]])</f>
        <v>-1.1967661481613519</v>
      </c>
      <c r="CQ82">
        <f>LOG(Table1_1[[#This Row],[4:2 FTS]])</f>
        <v>-1.2207324782918585</v>
      </c>
      <c r="CR82">
        <f>LOG(Table1_1[[#This Row],[6:2 FTS]])</f>
        <v>-0.22621355501880647</v>
      </c>
      <c r="CS82">
        <f>LOG(Table1_1[[#This Row],[8:2 FTS]])</f>
        <v>0.20411998265592479</v>
      </c>
      <c r="CT82">
        <f>LOG(Table1_1[[#This Row],[10:2 FTS]])</f>
        <v>-1.0801071476679818</v>
      </c>
      <c r="CU82">
        <f>LOG(Table1_1[[#This Row],[3:3 FTCA]])</f>
        <v>-1.0732677032167888</v>
      </c>
      <c r="CV82">
        <f>LOG(Table1_1[[#This Row],[5:3 FTCA]])</f>
        <v>1.0934216851622351</v>
      </c>
      <c r="CW82">
        <f>LOG(Table1_1[[#This Row],[7:3 FTCA]])</f>
        <v>1.1303337684950061</v>
      </c>
      <c r="CX82">
        <f>LOG(Table1_1[[#This Row],[6:2 FTCA]])</f>
        <v>-0.19928292171761497</v>
      </c>
      <c r="CY82">
        <f>LOG(Table1_1[[#This Row],[8:2 FTCA]])</f>
        <v>-1.5332211114199052</v>
      </c>
      <c r="CZ82">
        <f>LOG(Table1_1[[#This Row],[10:2 FTCA]])</f>
        <v>-0.96145624765096949</v>
      </c>
      <c r="DA82">
        <f>LOG(Table1_1[[#This Row],[6:2 FTUCA]])</f>
        <v>-1.2403027210516651</v>
      </c>
      <c r="DB82">
        <f>LOG(Table1_1[[#This Row],[8:2 FTUCA]])</f>
        <v>-1.3540252536184167</v>
      </c>
      <c r="DC82">
        <f>LOG(Table1_1[[#This Row],[ADONA]])</f>
        <v>-1.1352811027478675</v>
      </c>
      <c r="DD82">
        <f>LOG(Table1_1[[#This Row],[9Cl-PF3ONS]])</f>
        <v>-1.2938549042388581</v>
      </c>
      <c r="DE82">
        <f>LOG(Table1_1[[#This Row],[11Cl-PF3OUdS]])</f>
        <v>-1.2387600960837324</v>
      </c>
      <c r="DF82">
        <f>LOG(Table1_1[[#This Row],[HFPO-DA]])</f>
        <v>-0.97842055674031225</v>
      </c>
      <c r="DG82">
        <f>LOG(Table1_1[[#This Row],[6:2 diPAP]])</f>
        <v>-1.1081236320471171</v>
      </c>
      <c r="DH82">
        <f>LOG(Table1_1[[#This Row],[8:2 diPAP]])</f>
        <v>-1.0127984996249351</v>
      </c>
      <c r="DI82">
        <f>LOG(Table1_1[[#This Row],[diSAmPAP]])</f>
        <v>-0.88976843493371782</v>
      </c>
    </row>
    <row r="83" spans="1:113">
      <c r="A83" t="s">
        <v>232</v>
      </c>
      <c r="B83" t="s">
        <v>121</v>
      </c>
      <c r="C83" s="3">
        <v>44314</v>
      </c>
      <c r="D83" t="s">
        <v>226</v>
      </c>
      <c r="E83" t="s">
        <v>227</v>
      </c>
      <c r="F83" t="s">
        <v>228</v>
      </c>
      <c r="G83" t="s">
        <v>118</v>
      </c>
      <c r="H83" t="s">
        <v>119</v>
      </c>
      <c r="I83">
        <v>8</v>
      </c>
      <c r="J83">
        <f>LOG(Table1_1[[#This Row],[Length]])</f>
        <v>0.90308998699194354</v>
      </c>
      <c r="K83">
        <v>5.73</v>
      </c>
      <c r="L83">
        <f>LOG(Table1_1[[#This Row],[Weight]])</f>
        <v>0.75815462196739003</v>
      </c>
      <c r="M83">
        <v>9.5077118106908928E-2</v>
      </c>
      <c r="N83">
        <v>5.1248159583510644E-2</v>
      </c>
      <c r="O83">
        <v>0.12828072424397316</v>
      </c>
      <c r="P83">
        <v>9.5077118106908928E-2</v>
      </c>
      <c r="Q83">
        <v>0.41699999999999998</v>
      </c>
      <c r="R83">
        <v>0.16449418369918653</v>
      </c>
      <c r="S83">
        <v>1.2</v>
      </c>
      <c r="T83">
        <v>2.5099999999999998</v>
      </c>
      <c r="U83">
        <v>5.7913916940957454E-2</v>
      </c>
      <c r="V83">
        <v>1.31</v>
      </c>
      <c r="W83">
        <v>2.65</v>
      </c>
      <c r="X83">
        <v>8.6445851658510653E-2</v>
      </c>
      <c r="Y83">
        <v>5.5339934988829789E-2</v>
      </c>
      <c r="Z83">
        <v>0.16177593161076481</v>
      </c>
      <c r="AA83">
        <v>0.12586901632397002</v>
      </c>
      <c r="AB83">
        <v>5</v>
      </c>
      <c r="AC83">
        <v>0.23769279526727233</v>
      </c>
      <c r="AD83">
        <v>115</v>
      </c>
      <c r="AE83">
        <v>0.13549214213290725</v>
      </c>
      <c r="AF83">
        <v>0.19465879541073311</v>
      </c>
      <c r="AG83">
        <v>0.2541816072168287</v>
      </c>
      <c r="AH83">
        <v>4.407767352382979E-2</v>
      </c>
      <c r="AI83">
        <v>9.5077118106908928E-2</v>
      </c>
      <c r="AJ83">
        <v>14</v>
      </c>
      <c r="AK83">
        <v>31.5</v>
      </c>
      <c r="AL83">
        <v>4.1399999999999997</v>
      </c>
      <c r="AM83">
        <v>5.5878860948936175E-2</v>
      </c>
      <c r="AN83">
        <v>8.4643967580319154E-2</v>
      </c>
      <c r="AO83">
        <v>5.7173733928723394E-2</v>
      </c>
      <c r="AP83">
        <v>7.2972702655851068E-2</v>
      </c>
      <c r="AQ83">
        <v>6.2958689459042552E-2</v>
      </c>
      <c r="AR83">
        <v>5.9578470402127659E-2</v>
      </c>
      <c r="AS83">
        <v>0.73799999999999999</v>
      </c>
      <c r="AT83">
        <v>0.14846470469381998</v>
      </c>
      <c r="AU83">
        <v>8.2359685531914889E-2</v>
      </c>
      <c r="AV83">
        <v>8.3666985965425544E-2</v>
      </c>
      <c r="AW83">
        <v>5.4738049710638302E-2</v>
      </c>
      <c r="AX83">
        <v>0.19141888738928792</v>
      </c>
      <c r="AY83">
        <v>3.25</v>
      </c>
      <c r="AZ83">
        <v>1.25</v>
      </c>
      <c r="BA83">
        <v>0.10823446623351064</v>
      </c>
      <c r="BB83">
        <v>5.6953327959574467E-2</v>
      </c>
      <c r="BC83">
        <v>4.3832533536861708E-2</v>
      </c>
      <c r="BD83">
        <v>7.2533849129593819E-2</v>
      </c>
      <c r="BE83">
        <v>5.0346226249468086E-2</v>
      </c>
      <c r="BF83">
        <v>5.7155987331382989E-2</v>
      </c>
      <c r="BG83">
        <v>0.1040881454281915</v>
      </c>
      <c r="BH83">
        <v>7.721438119946808E-2</v>
      </c>
      <c r="BI83">
        <v>9.6166393195212779E-2</v>
      </c>
      <c r="BJ83">
        <v>0.1276595744680851</v>
      </c>
      <c r="BK83">
        <f>SUM(Table1_1[[#This Row],[PFBA]:[diSAmPAP]])</f>
        <v>186.69574170991939</v>
      </c>
      <c r="BL83">
        <f>LOG(Table1_1[[#This Row],[PFBA]])</f>
        <v>-1.0219239906926503</v>
      </c>
      <c r="BM83">
        <f>LOG(Table1_1[[#This Row],[PFPeA]])</f>
        <v>-1.2903217263127431</v>
      </c>
      <c r="BN83">
        <f>LOG(Table1_1[[#This Row],[PFHxA]])</f>
        <v>-0.89183859680819655</v>
      </c>
      <c r="BO83">
        <f>LOG(Table1_1[[#This Row],[PFHpA]])</f>
        <v>-1.0219239906926503</v>
      </c>
      <c r="BP83">
        <f>LOG(Table1_1[[#This Row],[PFOA]])</f>
        <v>-0.37986394502624249</v>
      </c>
      <c r="BQ83">
        <f>LOG(Table1_1[[#This Row],[PFNA]])</f>
        <v>-0.78384945353167057</v>
      </c>
      <c r="BR83">
        <f>LOG(Table1_1[[#This Row],[PFDA]])</f>
        <v>7.9181246047624818E-2</v>
      </c>
      <c r="BS83">
        <f>LOG(Table1_1[[#This Row],[PFUnA]])</f>
        <v>0.39967372148103808</v>
      </c>
      <c r="BT83">
        <f>LOG(Table1_1[[#This Row],[PFDoA]])</f>
        <v>-1.2372170610670352</v>
      </c>
      <c r="BU83">
        <f>LOG(Table1_1[[#This Row],[PFTrDA]])</f>
        <v>0.11727129565576427</v>
      </c>
      <c r="BV83">
        <f>LOG(Table1_1[[#This Row],[PFTeDA]])</f>
        <v>0.42324587393680785</v>
      </c>
      <c r="BW83">
        <f>LOG(Table1_1[[#This Row],[PFHxDA]])</f>
        <v>-1.0632558427028937</v>
      </c>
      <c r="BX83">
        <f>LOG(Table1_1[[#This Row],[PFPrS]])</f>
        <v>-1.2569613553867738</v>
      </c>
      <c r="BY83">
        <f>LOG(Table1_1[[#This Row],[PFBS]])</f>
        <v>-0.79108609054918266</v>
      </c>
      <c r="BZ83">
        <f>LOG(Table1_1[[#This Row],[PFPeS]])</f>
        <v>-0.90008116183454789</v>
      </c>
      <c r="CA83">
        <f>LOG(Table1_1[[#This Row],[PFHxS]])</f>
        <v>0.69897000433601886</v>
      </c>
      <c r="CB83">
        <f>LOG(Table1_1[[#This Row],[PFHpS]])</f>
        <v>-0.62398398202061278</v>
      </c>
      <c r="CC83">
        <f>LOG(Table1_1[[#This Row],[PFOS]])</f>
        <v>2.0606978403536118</v>
      </c>
      <c r="CD83">
        <f>LOG(Table1_1[[#This Row],[PFNS]])</f>
        <v>-0.86808589096871713</v>
      </c>
      <c r="CE83">
        <f>LOG(Table1_1[[#This Row],[PFDS]])</f>
        <v>-0.71072596845725111</v>
      </c>
      <c r="CF83">
        <f>LOG(Table1_1[[#This Row],[PFDoS]])</f>
        <v>-0.59485587853903654</v>
      </c>
      <c r="CG83">
        <f>LOG(Table1_1[[#This Row],[Cl-PFOS]])</f>
        <v>-1.3557813361714028</v>
      </c>
      <c r="CH83">
        <f>LOG(Table1_1[[#This Row],[PFEtCHxS]])</f>
        <v>-1.0219239906926503</v>
      </c>
      <c r="CI83">
        <f>LOG(Table1_1[[#This Row],[FBSA]])</f>
        <v>1.146128035678238</v>
      </c>
      <c r="CJ83">
        <f>LOG(Table1_1[[#This Row],[FHxSA]])</f>
        <v>1.4983105537896004</v>
      </c>
      <c r="CK83">
        <f>LOG(Table1_1[[#This Row],[FOSA]])</f>
        <v>0.61700034112089897</v>
      </c>
      <c r="CL83">
        <f>LOG(Table1_1[[#This Row],[N-MeFOSA]])</f>
        <v>-1.2527524552535156</v>
      </c>
      <c r="CM83">
        <f>LOG(Table1_1[[#This Row],[N-EtFOSA]])</f>
        <v>-1.0724039878200609</v>
      </c>
      <c r="CN83">
        <f>LOG(Table1_1[[#This Row],[FOSAA]])</f>
        <v>-1.2428034437541318</v>
      </c>
      <c r="CO83">
        <f>LOG(Table1_1[[#This Row],[N-MeFOSAA]])</f>
        <v>-1.1368395686879034</v>
      </c>
      <c r="CP83">
        <f>LOG(Table1_1[[#This Row],[N-EtFOSAA]])</f>
        <v>-1.2009443207797079</v>
      </c>
      <c r="CQ83">
        <f>LOG(Table1_1[[#This Row],[4:2 FTS]])</f>
        <v>-1.2249106509102143</v>
      </c>
      <c r="CR83">
        <f>LOG(Table1_1[[#This Row],[6:2 FTS]])</f>
        <v>-0.13194363817695845</v>
      </c>
      <c r="CS83">
        <f>LOG(Table1_1[[#This Row],[8:2 FTS]])</f>
        <v>-0.82837678121974168</v>
      </c>
      <c r="CT83">
        <f>LOG(Table1_1[[#This Row],[10:2 FTS]])</f>
        <v>-1.0842853202863378</v>
      </c>
      <c r="CU83">
        <f>LOG(Table1_1[[#This Row],[3:3 FTCA]])</f>
        <v>-1.0774458758351448</v>
      </c>
      <c r="CV83">
        <f>LOG(Table1_1[[#This Row],[5:3 FTCA]])</f>
        <v>-1.2617106803456397</v>
      </c>
      <c r="CW83">
        <f>LOG(Table1_1[[#This Row],[7:3 FTCA]])</f>
        <v>-0.7180152124094864</v>
      </c>
      <c r="CX83">
        <f>LOG(Table1_1[[#This Row],[6:2 FTCA]])</f>
        <v>0.51188336097887432</v>
      </c>
      <c r="CY83">
        <f>LOG(Table1_1[[#This Row],[8:2 FTCA]])</f>
        <v>9.691001300805642E-2</v>
      </c>
      <c r="CZ83">
        <f>LOG(Table1_1[[#This Row],[10:2 FTCA]])</f>
        <v>-0.96563442026932556</v>
      </c>
      <c r="DA83">
        <f>LOG(Table1_1[[#This Row],[6:2 FTUCA]])</f>
        <v>-1.2444808936700211</v>
      </c>
      <c r="DB83">
        <f>LOG(Table1_1[[#This Row],[8:2 FTUCA]])</f>
        <v>-1.3582034262367728</v>
      </c>
      <c r="DC83">
        <f>LOG(Table1_1[[#This Row],[ADONA]])</f>
        <v>-1.1394592753662236</v>
      </c>
      <c r="DD83">
        <f>LOG(Table1_1[[#This Row],[9Cl-PF3ONS]])</f>
        <v>-1.2980330768572141</v>
      </c>
      <c r="DE83">
        <f>LOG(Table1_1[[#This Row],[11Cl-PF3OUdS]])</f>
        <v>-1.2429382687020882</v>
      </c>
      <c r="DF83">
        <f>LOG(Table1_1[[#This Row],[HFPO-DA]])</f>
        <v>-0.98259872935866821</v>
      </c>
      <c r="DG83">
        <f>LOG(Table1_1[[#This Row],[6:2 diPAP]])</f>
        <v>-1.1123018046654731</v>
      </c>
      <c r="DH83">
        <f>LOG(Table1_1[[#This Row],[8:2 diPAP]])</f>
        <v>-1.0169766722432909</v>
      </c>
      <c r="DI83">
        <f>LOG(Table1_1[[#This Row],[diSAmPAP]])</f>
        <v>-0.89394660755207389</v>
      </c>
    </row>
    <row r="84" spans="1:113">
      <c r="A84" t="s">
        <v>233</v>
      </c>
      <c r="B84" t="s">
        <v>121</v>
      </c>
      <c r="C84" s="3">
        <v>44314</v>
      </c>
      <c r="D84" t="s">
        <v>226</v>
      </c>
      <c r="E84" t="s">
        <v>227</v>
      </c>
      <c r="F84" t="s">
        <v>228</v>
      </c>
      <c r="G84" t="s">
        <v>118</v>
      </c>
      <c r="H84" t="s">
        <v>119</v>
      </c>
      <c r="I84">
        <v>6</v>
      </c>
      <c r="J84">
        <f>LOG(Table1_1[[#This Row],[Length]])</f>
        <v>0.77815125038364363</v>
      </c>
      <c r="K84">
        <v>5.57</v>
      </c>
      <c r="L84">
        <f>LOG(Table1_1[[#This Row],[Weight]])</f>
        <v>0.74585519517372889</v>
      </c>
      <c r="M84">
        <v>2.8811247911184525E-2</v>
      </c>
      <c r="N84">
        <v>0.17878069166447369</v>
      </c>
      <c r="O84">
        <v>3.8872946740597929E-2</v>
      </c>
      <c r="P84">
        <v>0.10121457489878542</v>
      </c>
      <c r="Q84">
        <v>0.53200000000000003</v>
      </c>
      <c r="R84">
        <v>0.64</v>
      </c>
      <c r="S84">
        <v>4.7300000000000004</v>
      </c>
      <c r="T84">
        <v>8.1999999999999993</v>
      </c>
      <c r="U84">
        <v>5.7510122464081985E-2</v>
      </c>
      <c r="V84">
        <v>1.37</v>
      </c>
      <c r="W84">
        <v>3.34</v>
      </c>
      <c r="X84">
        <v>8.5843123345658148E-2</v>
      </c>
      <c r="Y84">
        <v>5.4954087142932602E-2</v>
      </c>
      <c r="Z84">
        <v>0.17221895733552628</v>
      </c>
      <c r="AA84">
        <v>0.1339941642513158</v>
      </c>
      <c r="AB84">
        <v>13.2</v>
      </c>
      <c r="AC84">
        <v>0.64500000000000002</v>
      </c>
      <c r="AD84">
        <v>912</v>
      </c>
      <c r="AE84">
        <v>0.84</v>
      </c>
      <c r="AF84">
        <v>0.58199999999999996</v>
      </c>
      <c r="AG84">
        <v>0.27058964169078953</v>
      </c>
      <c r="AH84">
        <v>0.15376624299473685</v>
      </c>
      <c r="AI84">
        <v>0.10121457489878542</v>
      </c>
      <c r="AJ84">
        <v>60.4</v>
      </c>
      <c r="AK84">
        <v>80.400000000000006</v>
      </c>
      <c r="AL84">
        <v>19.8</v>
      </c>
      <c r="AM84">
        <v>5.5489255537713916E-2</v>
      </c>
      <c r="AN84">
        <v>8.4053802583456599E-2</v>
      </c>
      <c r="AO84">
        <v>5.6775100246144093E-2</v>
      </c>
      <c r="AP84">
        <v>11.9</v>
      </c>
      <c r="AQ84">
        <v>6.251972120378195E-2</v>
      </c>
      <c r="AR84">
        <v>5.9163070122543841E-2</v>
      </c>
      <c r="AS84">
        <v>4.3486016671825473E-2</v>
      </c>
      <c r="AT84">
        <v>2.92</v>
      </c>
      <c r="AU84">
        <v>0.28731415263157889</v>
      </c>
      <c r="AV84">
        <v>8.3083632798964718E-2</v>
      </c>
      <c r="AW84">
        <v>0.19095527463157891</v>
      </c>
      <c r="AX84">
        <v>1.63</v>
      </c>
      <c r="AY84">
        <v>3.58</v>
      </c>
      <c r="AZ84">
        <v>2.8811247911184525E-2</v>
      </c>
      <c r="BA84">
        <v>0.10747982068402706</v>
      </c>
      <c r="BB84">
        <v>5.6556231018381579E-2</v>
      </c>
      <c r="BC84">
        <v>4.35269189992077E-2</v>
      </c>
      <c r="BD84">
        <v>7.2028119777961322E-2</v>
      </c>
      <c r="BE84">
        <v>4.9995196148848516E-2</v>
      </c>
      <c r="BF84">
        <v>5.6757477383794636E-2</v>
      </c>
      <c r="BG84">
        <v>0.10336240936245511</v>
      </c>
      <c r="BH84">
        <v>7.667601767113881E-2</v>
      </c>
      <c r="BI84">
        <v>9.54958901368054E-2</v>
      </c>
      <c r="BJ84">
        <v>0.1267694908092119</v>
      </c>
      <c r="BK84">
        <f>SUM(Table1_1[[#This Row],[PFBA]:[diSAmPAP]])</f>
        <v>1129.8270692216693</v>
      </c>
      <c r="BL84">
        <f>LOG(Table1_1[[#This Row],[PFBA]])</f>
        <v>-1.5404379305705378</v>
      </c>
      <c r="BM84">
        <f>LOG(Table1_1[[#This Row],[PFPeA]])</f>
        <v>-0.74767938686211</v>
      </c>
      <c r="BN84">
        <f>LOG(Table1_1[[#This Row],[PFHxA]])</f>
        <v>-1.4103525366860841</v>
      </c>
      <c r="BO84">
        <f>LOG(Table1_1[[#This Row],[PFHpA]])</f>
        <v>-0.99475694458762809</v>
      </c>
      <c r="BP84">
        <f>LOG(Table1_1[[#This Row],[PFOA]])</f>
        <v>-0.27408836770495182</v>
      </c>
      <c r="BQ84">
        <f>LOG(Table1_1[[#This Row],[PFNA]])</f>
        <v>-0.19382002601611281</v>
      </c>
      <c r="BR84">
        <f>LOG(Table1_1[[#This Row],[PFDA]])</f>
        <v>0.67486114073781156</v>
      </c>
      <c r="BS84">
        <f>LOG(Table1_1[[#This Row],[PFUnA]])</f>
        <v>0.91381385238371671</v>
      </c>
      <c r="BT84">
        <f>LOG(Table1_1[[#This Row],[PFDoA]])</f>
        <v>-1.2402557075993119</v>
      </c>
      <c r="BU84">
        <f>LOG(Table1_1[[#This Row],[PFTrDA]])</f>
        <v>0.13672056715640679</v>
      </c>
      <c r="BV84">
        <f>LOG(Table1_1[[#This Row],[PFTeDA]])</f>
        <v>0.52374646681156445</v>
      </c>
      <c r="BW84">
        <f>LOG(Table1_1[[#This Row],[PFHxDA]])</f>
        <v>-1.0662944892351702</v>
      </c>
      <c r="BX84">
        <f>LOG(Table1_1[[#This Row],[PFPrS]])</f>
        <v>-1.2600000019190505</v>
      </c>
      <c r="BY84">
        <f>LOG(Table1_1[[#This Row],[PFBS]])</f>
        <v>-0.76391904444416037</v>
      </c>
      <c r="BZ84">
        <f>LOG(Table1_1[[#This Row],[PFPeS]])</f>
        <v>-0.87291411572952571</v>
      </c>
      <c r="CA84">
        <f>LOG(Table1_1[[#This Row],[PFHxS]])</f>
        <v>1.1205739312058498</v>
      </c>
      <c r="CB84">
        <f>LOG(Table1_1[[#This Row],[PFHpS]])</f>
        <v>-0.19044028536473223</v>
      </c>
      <c r="CC84">
        <f>LOG(Table1_1[[#This Row],[PFOS]])</f>
        <v>2.959994838328416</v>
      </c>
      <c r="CD84">
        <f>LOG(Table1_1[[#This Row],[PFNS]])</f>
        <v>-7.5720713938118356E-2</v>
      </c>
      <c r="CE84">
        <f>LOG(Table1_1[[#This Row],[PFDS]])</f>
        <v>-0.23507701535011155</v>
      </c>
      <c r="CF84">
        <f>LOG(Table1_1[[#This Row],[PFDoS]])</f>
        <v>-0.56768883243401436</v>
      </c>
      <c r="CG84">
        <f>LOG(Table1_1[[#This Row],[Cl-PFOS]])</f>
        <v>-0.81313899672076972</v>
      </c>
      <c r="CH84">
        <f>LOG(Table1_1[[#This Row],[PFEtCHxS]])</f>
        <v>-0.99475694458762809</v>
      </c>
      <c r="CI84">
        <f>LOG(Table1_1[[#This Row],[FBSA]])</f>
        <v>1.7810369386211318</v>
      </c>
      <c r="CJ84">
        <f>LOG(Table1_1[[#This Row],[FHxSA]])</f>
        <v>1.9052560487484513</v>
      </c>
      <c r="CK84">
        <f>LOG(Table1_1[[#This Row],[FOSA]])</f>
        <v>1.2966651902615312</v>
      </c>
      <c r="CL84">
        <f>LOG(Table1_1[[#This Row],[N-MeFOSA]])</f>
        <v>-1.2557911017857923</v>
      </c>
      <c r="CM84">
        <f>LOG(Table1_1[[#This Row],[N-EtFOSA]])</f>
        <v>-1.0754426343523373</v>
      </c>
      <c r="CN84">
        <f>LOG(Table1_1[[#This Row],[FOSAA]])</f>
        <v>-1.2458420902864082</v>
      </c>
      <c r="CO84">
        <f>LOG(Table1_1[[#This Row],[N-MeFOSAA]])</f>
        <v>1.0755469613925308</v>
      </c>
      <c r="CP84">
        <f>LOG(Table1_1[[#This Row],[N-EtFOSAA]])</f>
        <v>-1.2039829673119844</v>
      </c>
      <c r="CQ84">
        <f>LOG(Table1_1[[#This Row],[4:2 FTS]])</f>
        <v>-1.227949297442491</v>
      </c>
      <c r="CR84">
        <f>LOG(Table1_1[[#This Row],[6:2 FTS]])</f>
        <v>-1.3616503719776787</v>
      </c>
      <c r="CS84">
        <f>LOG(Table1_1[[#This Row],[8:2 FTS]])</f>
        <v>0.46538285144841829</v>
      </c>
      <c r="CT84">
        <f>LOG(Table1_1[[#This Row],[10:2 FTS]])</f>
        <v>-0.54164298083570472</v>
      </c>
      <c r="CU84">
        <f>LOG(Table1_1[[#This Row],[3:3 FTCA]])</f>
        <v>-1.0804845223674213</v>
      </c>
      <c r="CV84">
        <f>LOG(Table1_1[[#This Row],[5:3 FTCA]])</f>
        <v>-0.7190683408950066</v>
      </c>
      <c r="CW84">
        <f>LOG(Table1_1[[#This Row],[7:3 FTCA]])</f>
        <v>0.21218760440395779</v>
      </c>
      <c r="CX84">
        <f>LOG(Table1_1[[#This Row],[6:2 FTCA]])</f>
        <v>0.55388302664387434</v>
      </c>
      <c r="CY84">
        <f>LOG(Table1_1[[#This Row],[8:2 FTCA]])</f>
        <v>-1.5404379305705378</v>
      </c>
      <c r="CZ84">
        <f>LOG(Table1_1[[#This Row],[10:2 FTCA]])</f>
        <v>-0.96867306680160203</v>
      </c>
      <c r="DA84">
        <f>LOG(Table1_1[[#This Row],[6:2 FTUCA]])</f>
        <v>-1.2475195402022976</v>
      </c>
      <c r="DB84">
        <f>LOG(Table1_1[[#This Row],[8:2 FTUCA]])</f>
        <v>-1.3612420727690493</v>
      </c>
      <c r="DC84">
        <f>LOG(Table1_1[[#This Row],[ADONA]])</f>
        <v>-1.1424979218985001</v>
      </c>
      <c r="DD84">
        <f>LOG(Table1_1[[#This Row],[9Cl-PF3ONS]])</f>
        <v>-1.3010717233894906</v>
      </c>
      <c r="DE84">
        <f>LOG(Table1_1[[#This Row],[11Cl-PF3OUdS]])</f>
        <v>-1.2459769152343649</v>
      </c>
      <c r="DF84">
        <f>LOG(Table1_1[[#This Row],[HFPO-DA]])</f>
        <v>-0.9856373758909448</v>
      </c>
      <c r="DG84">
        <f>LOG(Table1_1[[#This Row],[6:2 diPAP]])</f>
        <v>-1.1153404511977498</v>
      </c>
      <c r="DH84">
        <f>LOG(Table1_1[[#This Row],[8:2 diPAP]])</f>
        <v>-1.0200153187755676</v>
      </c>
      <c r="DI84">
        <f>LOG(Table1_1[[#This Row],[diSAmPAP]])</f>
        <v>-0.89698525408435037</v>
      </c>
    </row>
    <row r="85" spans="1:113">
      <c r="A85" t="s">
        <v>234</v>
      </c>
      <c r="B85" t="s">
        <v>121</v>
      </c>
      <c r="C85" s="3">
        <v>44314</v>
      </c>
      <c r="D85" t="s">
        <v>226</v>
      </c>
      <c r="E85" t="s">
        <v>227</v>
      </c>
      <c r="F85" t="s">
        <v>228</v>
      </c>
      <c r="G85" t="s">
        <v>118</v>
      </c>
      <c r="H85" t="s">
        <v>119</v>
      </c>
      <c r="I85">
        <v>5</v>
      </c>
      <c r="J85">
        <f>LOG(Table1_1[[#This Row],[Length]])</f>
        <v>0.69897000433601886</v>
      </c>
      <c r="K85">
        <v>9.52</v>
      </c>
      <c r="L85">
        <f>LOG(Table1_1[[#This Row],[Weight]])</f>
        <v>0.97863694838447435</v>
      </c>
      <c r="M85">
        <v>0.10085163603765128</v>
      </c>
      <c r="N85">
        <v>0.17813961343349394</v>
      </c>
      <c r="O85">
        <v>0.13607186639325977</v>
      </c>
      <c r="P85">
        <v>0.10085163603765128</v>
      </c>
      <c r="Q85">
        <v>0.41099999999999998</v>
      </c>
      <c r="R85">
        <v>0.53800000000000003</v>
      </c>
      <c r="S85">
        <v>3.76</v>
      </c>
      <c r="T85">
        <v>5.88</v>
      </c>
      <c r="U85">
        <v>6.1222539276315782E-2</v>
      </c>
      <c r="V85">
        <v>3.14</v>
      </c>
      <c r="W85">
        <v>7.09</v>
      </c>
      <c r="X85">
        <v>9.1384503552631571E-2</v>
      </c>
      <c r="Y85">
        <v>5.8501505723684219E-2</v>
      </c>
      <c r="Z85">
        <v>0.17160140840738455</v>
      </c>
      <c r="AA85">
        <v>0.26900000000000002</v>
      </c>
      <c r="AB85">
        <v>32.1</v>
      </c>
      <c r="AC85">
        <v>1.1000000000000001</v>
      </c>
      <c r="AD85">
        <v>877</v>
      </c>
      <c r="AE85">
        <v>0.73499999999999999</v>
      </c>
      <c r="AF85">
        <v>0.89900000000000002</v>
      </c>
      <c r="AG85">
        <v>0.26961935162645678</v>
      </c>
      <c r="AH85">
        <v>0.15321486247301658</v>
      </c>
      <c r="AI85">
        <v>0.10085163603765128</v>
      </c>
      <c r="AJ85">
        <v>35.799999999999997</v>
      </c>
      <c r="AK85">
        <v>27.6</v>
      </c>
      <c r="AL85">
        <v>6.88</v>
      </c>
      <c r="AM85">
        <v>5.9071220526315797E-2</v>
      </c>
      <c r="AN85">
        <v>8.9479677828947377E-2</v>
      </c>
      <c r="AO85">
        <v>6.0440069605263158E-2</v>
      </c>
      <c r="AP85">
        <v>10.3</v>
      </c>
      <c r="AQ85">
        <v>6.6555519671052638E-2</v>
      </c>
      <c r="AR85">
        <v>6.2982188684210516E-2</v>
      </c>
      <c r="AS85">
        <v>4.6293143703947374E-2</v>
      </c>
      <c r="AT85">
        <v>2.2200000000000002</v>
      </c>
      <c r="AU85">
        <v>0.28628389121470188</v>
      </c>
      <c r="AV85">
        <v>8.8446881249999998E-2</v>
      </c>
      <c r="AW85">
        <v>0.63</v>
      </c>
      <c r="AX85">
        <v>4.9400000000000004</v>
      </c>
      <c r="AY85">
        <v>4.3499999999999996</v>
      </c>
      <c r="AZ85">
        <v>2.29</v>
      </c>
      <c r="BA85">
        <v>0.11441790177631579</v>
      </c>
      <c r="BB85">
        <v>6.0207071842105268E-2</v>
      </c>
      <c r="BC85">
        <v>4.6336686375000005E-2</v>
      </c>
      <c r="BD85">
        <v>7.6677708256655625E-2</v>
      </c>
      <c r="BE85">
        <v>5.3222506381578952E-2</v>
      </c>
      <c r="BF85">
        <v>6.0421309144736847E-2</v>
      </c>
      <c r="BG85">
        <v>0.11003470164473686</v>
      </c>
      <c r="BH85">
        <v>8.1625639144736833E-2</v>
      </c>
      <c r="BI85">
        <v>0.10166037967105264</v>
      </c>
      <c r="BJ85">
        <v>0.1349527665317139</v>
      </c>
      <c r="BK85">
        <f>SUM(Table1_1[[#This Row],[PFBA]:[diSAmPAP]])</f>
        <v>1030.9534198222525</v>
      </c>
      <c r="BL85">
        <f>LOG(Table1_1[[#This Row],[PFBA]])</f>
        <v>-0.99631705217247524</v>
      </c>
      <c r="BM85">
        <f>LOG(Table1_1[[#This Row],[PFPeA]])</f>
        <v>-0.74923949444695725</v>
      </c>
      <c r="BN85">
        <f>LOG(Table1_1[[#This Row],[PFHxA]])</f>
        <v>-0.86623165828802129</v>
      </c>
      <c r="BO85">
        <f>LOG(Table1_1[[#This Row],[PFHpA]])</f>
        <v>-0.99631705217247524</v>
      </c>
      <c r="BP85">
        <f>LOG(Table1_1[[#This Row],[PFOA]])</f>
        <v>-0.38615817812393083</v>
      </c>
      <c r="BQ85">
        <f>LOG(Table1_1[[#This Row],[PFNA]])</f>
        <v>-0.2692177243336108</v>
      </c>
      <c r="BR85">
        <f>LOG(Table1_1[[#This Row],[PFDA]])</f>
        <v>0.57518784492766106</v>
      </c>
      <c r="BS85">
        <f>LOG(Table1_1[[#This Row],[PFUnA]])</f>
        <v>0.76937732607613851</v>
      </c>
      <c r="BT85">
        <f>LOG(Table1_1[[#This Row],[PFDoA]])</f>
        <v>-1.2130886614942897</v>
      </c>
      <c r="BU85">
        <f>LOG(Table1_1[[#This Row],[PFTrDA]])</f>
        <v>0.49692964807321494</v>
      </c>
      <c r="BV85">
        <f>LOG(Table1_1[[#This Row],[PFTeDA]])</f>
        <v>0.85064623518306648</v>
      </c>
      <c r="BW85">
        <f>LOG(Table1_1[[#This Row],[PFHxDA]])</f>
        <v>-1.039127443130148</v>
      </c>
      <c r="BX85">
        <f>LOG(Table1_1[[#This Row],[PFPrS]])</f>
        <v>-1.2328329558140281</v>
      </c>
      <c r="BY85">
        <f>LOG(Table1_1[[#This Row],[PFBS]])</f>
        <v>-0.76547915202900751</v>
      </c>
      <c r="BZ85">
        <f>LOG(Table1_1[[#This Row],[PFPeS]])</f>
        <v>-0.57024771999759194</v>
      </c>
      <c r="CA85">
        <f>LOG(Table1_1[[#This Row],[PFHxS]])</f>
        <v>1.5065050324048721</v>
      </c>
      <c r="CB85">
        <f>LOG(Table1_1[[#This Row],[PFHpS]])</f>
        <v>4.1392685158225077E-2</v>
      </c>
      <c r="CC85">
        <f>LOG(Table1_1[[#This Row],[PFOS]])</f>
        <v>2.9429995933660407</v>
      </c>
      <c r="CD85">
        <f>LOG(Table1_1[[#This Row],[PFNS]])</f>
        <v>-0.13371266091580511</v>
      </c>
      <c r="CE85">
        <f>LOG(Table1_1[[#This Row],[PFDS]])</f>
        <v>-4.6240308266771224E-2</v>
      </c>
      <c r="CF85">
        <f>LOG(Table1_1[[#This Row],[PFDoS]])</f>
        <v>-0.5692489400188615</v>
      </c>
      <c r="CG85">
        <f>LOG(Table1_1[[#This Row],[Cl-PFOS]])</f>
        <v>-0.81469910430561687</v>
      </c>
      <c r="CH85">
        <f>LOG(Table1_1[[#This Row],[PFEtCHxS]])</f>
        <v>-0.99631705217247524</v>
      </c>
      <c r="CI85">
        <f>LOG(Table1_1[[#This Row],[FBSA]])</f>
        <v>1.5538830266438743</v>
      </c>
      <c r="CJ85">
        <f>LOG(Table1_1[[#This Row],[FHxSA]])</f>
        <v>1.4409090820652177</v>
      </c>
      <c r="CK85">
        <f>LOG(Table1_1[[#This Row],[FOSA]])</f>
        <v>0.83758843823551132</v>
      </c>
      <c r="CL85">
        <f>LOG(Table1_1[[#This Row],[N-MeFOSA]])</f>
        <v>-1.2286240556807699</v>
      </c>
      <c r="CM85">
        <f>LOG(Table1_1[[#This Row],[N-EtFOSA]])</f>
        <v>-1.0482755882473154</v>
      </c>
      <c r="CN85">
        <f>LOG(Table1_1[[#This Row],[FOSAA]])</f>
        <v>-1.2186750441813858</v>
      </c>
      <c r="CO85">
        <f>LOG(Table1_1[[#This Row],[N-MeFOSAA]])</f>
        <v>1.0128372247051722</v>
      </c>
      <c r="CP85">
        <f>LOG(Table1_1[[#This Row],[N-EtFOSAA]])</f>
        <v>-1.1768159212069622</v>
      </c>
      <c r="CQ85">
        <f>LOG(Table1_1[[#This Row],[4:2 FTS]])</f>
        <v>-1.2007822513374689</v>
      </c>
      <c r="CR85">
        <f>LOG(Table1_1[[#This Row],[6:2 FTS]])</f>
        <v>-1.3344833258726563</v>
      </c>
      <c r="CS85">
        <f>LOG(Table1_1[[#This Row],[8:2 FTS]])</f>
        <v>0.34635297445063867</v>
      </c>
      <c r="CT85">
        <f>LOG(Table1_1[[#This Row],[10:2 FTS]])</f>
        <v>-0.54320308842055187</v>
      </c>
      <c r="CU85">
        <f>LOG(Table1_1[[#This Row],[3:3 FTCA]])</f>
        <v>-1.0533174762623991</v>
      </c>
      <c r="CV85">
        <f>LOG(Table1_1[[#This Row],[5:3 FTCA]])</f>
        <v>-0.20065945054641829</v>
      </c>
      <c r="CW85">
        <f>LOG(Table1_1[[#This Row],[7:3 FTCA]])</f>
        <v>0.69372694892364695</v>
      </c>
      <c r="CX85">
        <f>LOG(Table1_1[[#This Row],[6:2 FTCA]])</f>
        <v>0.63848925695463732</v>
      </c>
      <c r="CY85">
        <f>LOG(Table1_1[[#This Row],[8:2 FTCA]])</f>
        <v>0.35983548233988799</v>
      </c>
      <c r="CZ85">
        <f>LOG(Table1_1[[#This Row],[10:2 FTCA]])</f>
        <v>-0.94150602069657985</v>
      </c>
      <c r="DA85">
        <f>LOG(Table1_1[[#This Row],[6:2 FTUCA]])</f>
        <v>-1.2203524940972754</v>
      </c>
      <c r="DB85">
        <f>LOG(Table1_1[[#This Row],[8:2 FTUCA]])</f>
        <v>-1.3340750266640271</v>
      </c>
      <c r="DC85">
        <f>LOG(Table1_1[[#This Row],[ADONA]])</f>
        <v>-1.1153308757934779</v>
      </c>
      <c r="DD85">
        <f>LOG(Table1_1[[#This Row],[9Cl-PF3ONS]])</f>
        <v>-1.2739046772844684</v>
      </c>
      <c r="DE85">
        <f>LOG(Table1_1[[#This Row],[11Cl-PF3OUdS]])</f>
        <v>-1.2188098691293427</v>
      </c>
      <c r="DF85">
        <f>LOG(Table1_1[[#This Row],[HFPO-DA]])</f>
        <v>-0.95847032978592261</v>
      </c>
      <c r="DG85">
        <f>LOG(Table1_1[[#This Row],[6:2 diPAP]])</f>
        <v>-1.0881734050927276</v>
      </c>
      <c r="DH85">
        <f>LOG(Table1_1[[#This Row],[8:2 diPAP]])</f>
        <v>-0.99284827267054532</v>
      </c>
      <c r="DI85">
        <f>LOG(Table1_1[[#This Row],[diSAmPAP]])</f>
        <v>-0.86981820797932818</v>
      </c>
    </row>
    <row r="86" spans="1:113">
      <c r="A86" t="s">
        <v>235</v>
      </c>
      <c r="B86" t="s">
        <v>121</v>
      </c>
      <c r="C86" s="3">
        <v>44314</v>
      </c>
      <c r="D86" t="s">
        <v>226</v>
      </c>
      <c r="E86" t="s">
        <v>227</v>
      </c>
      <c r="F86" t="s">
        <v>228</v>
      </c>
      <c r="G86" t="s">
        <v>118</v>
      </c>
      <c r="H86" t="s">
        <v>119</v>
      </c>
      <c r="I86">
        <v>7</v>
      </c>
      <c r="J86">
        <f>LOG(Table1_1[[#This Row],[Length]])</f>
        <v>0.84509804001425681</v>
      </c>
      <c r="K86">
        <v>16.059999999999999</v>
      </c>
      <c r="L86">
        <f>LOG(Table1_1[[#This Row],[Weight]])</f>
        <v>1.2057455409426621</v>
      </c>
      <c r="M86">
        <v>9.3710953769262792E-2</v>
      </c>
      <c r="N86">
        <v>5.3981701040452711E-2</v>
      </c>
      <c r="O86">
        <v>4.123389890704842E-2</v>
      </c>
      <c r="P86">
        <v>9.3710953769262792E-2</v>
      </c>
      <c r="Q86">
        <v>0.29099999999999998</v>
      </c>
      <c r="R86">
        <v>0.16213056464978132</v>
      </c>
      <c r="S86">
        <v>9.2899999999999991</v>
      </c>
      <c r="T86">
        <v>6.93</v>
      </c>
      <c r="U86">
        <v>6.1003005294150606E-2</v>
      </c>
      <c r="V86">
        <v>3.77</v>
      </c>
      <c r="W86">
        <v>11.4</v>
      </c>
      <c r="X86">
        <v>9.1056813714701923E-2</v>
      </c>
      <c r="Y86">
        <v>5.8291728921447787E-2</v>
      </c>
      <c r="Z86">
        <v>0.46899999999999997</v>
      </c>
      <c r="AA86">
        <v>0.1240604028032799</v>
      </c>
      <c r="AB86">
        <v>20.100000000000001</v>
      </c>
      <c r="AC86">
        <v>2.2799999999999998</v>
      </c>
      <c r="AD86">
        <v>3330</v>
      </c>
      <c r="AE86">
        <v>2.11</v>
      </c>
      <c r="AF86">
        <v>1.59</v>
      </c>
      <c r="AG86">
        <v>0.25052926842091838</v>
      </c>
      <c r="AH86">
        <v>0.29899999999999999</v>
      </c>
      <c r="AI86">
        <v>0.21</v>
      </c>
      <c r="AJ86">
        <v>100</v>
      </c>
      <c r="AK86">
        <v>82.5</v>
      </c>
      <c r="AL86">
        <v>42.6</v>
      </c>
      <c r="AM86">
        <v>5.8859400820259977E-2</v>
      </c>
      <c r="AN86">
        <v>8.9158818383572383E-2</v>
      </c>
      <c r="AO86">
        <v>6.022334143097266E-2</v>
      </c>
      <c r="AP86">
        <v>8.76</v>
      </c>
      <c r="AQ86">
        <v>6.6316862496077975E-2</v>
      </c>
      <c r="AR86">
        <v>6.2756344887942628E-2</v>
      </c>
      <c r="AS86">
        <v>0.141441846271465</v>
      </c>
      <c r="AT86">
        <v>1.23</v>
      </c>
      <c r="AU86">
        <v>0.26601389475218656</v>
      </c>
      <c r="AV86">
        <v>8.8129725243724782E-2</v>
      </c>
      <c r="AW86">
        <v>4.7699999999999996</v>
      </c>
      <c r="AX86">
        <v>36.799999999999997</v>
      </c>
      <c r="AY86">
        <v>2.96</v>
      </c>
      <c r="AZ86">
        <v>3.99</v>
      </c>
      <c r="BA86">
        <v>0.11400761795103094</v>
      </c>
      <c r="BB86">
        <v>5.9991179159569703E-2</v>
      </c>
      <c r="BC86">
        <v>4.6170530619285076E-2</v>
      </c>
      <c r="BD86">
        <v>7.6402754573978243E-2</v>
      </c>
      <c r="BE86">
        <v>5.3031659204952931E-2</v>
      </c>
      <c r="BF86">
        <v>6.0204648242380095E-2</v>
      </c>
      <c r="BG86">
        <v>0.10964013525605112</v>
      </c>
      <c r="BH86">
        <v>8.1332942993612739E-2</v>
      </c>
      <c r="BI86">
        <v>0.10129584222714029</v>
      </c>
      <c r="BJ86">
        <v>0.13446884805020171</v>
      </c>
      <c r="BK86">
        <f>SUM(Table1_1[[#This Row],[PFBA]:[diSAmPAP]])</f>
        <v>3675.0481556838545</v>
      </c>
      <c r="BL86">
        <f>LOG(Table1_1[[#This Row],[PFBA]])</f>
        <v>-1.028209641945665</v>
      </c>
      <c r="BM86">
        <f>LOG(Table1_1[[#This Row],[PFPeA]])</f>
        <v>-1.2677534343248447</v>
      </c>
      <c r="BN86">
        <f>LOG(Table1_1[[#This Row],[PFHxA]])</f>
        <v>-1.3847455981659087</v>
      </c>
      <c r="BO86">
        <f>LOG(Table1_1[[#This Row],[PFHpA]])</f>
        <v>-1.028209641945665</v>
      </c>
      <c r="BP86">
        <f>LOG(Table1_1[[#This Row],[PFOA]])</f>
        <v>-0.53610701101409275</v>
      </c>
      <c r="BQ86">
        <f>LOG(Table1_1[[#This Row],[PFNA]])</f>
        <v>-0.79013510478468507</v>
      </c>
      <c r="BR86">
        <f>LOG(Table1_1[[#This Row],[PFDA]])</f>
        <v>0.96801571399364172</v>
      </c>
      <c r="BS86">
        <f>LOG(Table1_1[[#This Row],[PFUnA]])</f>
        <v>0.84073323461180671</v>
      </c>
      <c r="BT86">
        <f>LOG(Table1_1[[#This Row],[PFDoA]])</f>
        <v>-1.2146487690791368</v>
      </c>
      <c r="BU86">
        <f>LOG(Table1_1[[#This Row],[PFTrDA]])</f>
        <v>0.57634135020579291</v>
      </c>
      <c r="BV86">
        <f>LOG(Table1_1[[#This Row],[PFTeDA]])</f>
        <v>1.0569048513364727</v>
      </c>
      <c r="BW86">
        <f>LOG(Table1_1[[#This Row],[PFHxDA]])</f>
        <v>-1.0406875507149953</v>
      </c>
      <c r="BX86">
        <f>LOG(Table1_1[[#This Row],[PFPrS]])</f>
        <v>-1.2343930633988753</v>
      </c>
      <c r="BY86">
        <f>LOG(Table1_1[[#This Row],[PFBS]])</f>
        <v>-0.32882715728491674</v>
      </c>
      <c r="BZ86">
        <f>LOG(Table1_1[[#This Row],[PFPeS]])</f>
        <v>-0.9063668130875624</v>
      </c>
      <c r="CA86">
        <f>LOG(Table1_1[[#This Row],[PFHxS]])</f>
        <v>1.3031960574204888</v>
      </c>
      <c r="CB86">
        <f>LOG(Table1_1[[#This Row],[PFHpS]])</f>
        <v>0.35793484700045375</v>
      </c>
      <c r="CC86">
        <f>LOG(Table1_1[[#This Row],[PFOS]])</f>
        <v>3.5224442335063197</v>
      </c>
      <c r="CD86">
        <f>LOG(Table1_1[[#This Row],[PFNS]])</f>
        <v>0.32428245529769262</v>
      </c>
      <c r="CE86">
        <f>LOG(Table1_1[[#This Row],[PFDS]])</f>
        <v>0.20139712432045151</v>
      </c>
      <c r="CF86">
        <f>LOG(Table1_1[[#This Row],[PFDoS]])</f>
        <v>-0.60114152979205115</v>
      </c>
      <c r="CG86">
        <f>LOG(Table1_1[[#This Row],[Cl-PFOS]])</f>
        <v>-0.52432881167557033</v>
      </c>
      <c r="CH86">
        <f>LOG(Table1_1[[#This Row],[PFEtCHxS]])</f>
        <v>-0.6777807052660807</v>
      </c>
      <c r="CI86">
        <f>LOG(Table1_1[[#This Row],[FBSA]])</f>
        <v>2</v>
      </c>
      <c r="CJ86">
        <f>LOG(Table1_1[[#This Row],[FHxSA]])</f>
        <v>1.916453948549925</v>
      </c>
      <c r="CK86">
        <f>LOG(Table1_1[[#This Row],[FOSA]])</f>
        <v>1.6294095991027189</v>
      </c>
      <c r="CL86">
        <f>LOG(Table1_1[[#This Row],[N-MeFOSA]])</f>
        <v>-1.2301841632656172</v>
      </c>
      <c r="CM86">
        <f>LOG(Table1_1[[#This Row],[N-EtFOSA]])</f>
        <v>-1.0498356958321624</v>
      </c>
      <c r="CN86">
        <f>LOG(Table1_1[[#This Row],[FOSAA]])</f>
        <v>-1.2202351517662331</v>
      </c>
      <c r="CO86">
        <f>LOG(Table1_1[[#This Row],[N-MeFOSAA]])</f>
        <v>0.94250410616808067</v>
      </c>
      <c r="CP86">
        <f>LOG(Table1_1[[#This Row],[N-EtFOSAA]])</f>
        <v>-1.1783760287918095</v>
      </c>
      <c r="CQ86">
        <f>LOG(Table1_1[[#This Row],[4:2 FTS]])</f>
        <v>-1.2023423589223159</v>
      </c>
      <c r="CR86">
        <f>LOG(Table1_1[[#This Row],[6:2 FTS]])</f>
        <v>-0.84942208335280556</v>
      </c>
      <c r="CS86">
        <f>LOG(Table1_1[[#This Row],[8:2 FTS]])</f>
        <v>8.9905111439397931E-2</v>
      </c>
      <c r="CT86">
        <f>LOG(Table1_1[[#This Row],[10:2 FTS]])</f>
        <v>-0.57509567819374141</v>
      </c>
      <c r="CU86">
        <f>LOG(Table1_1[[#This Row],[3:3 FTCA]])</f>
        <v>-1.0548775838472464</v>
      </c>
      <c r="CV86">
        <f>LOG(Table1_1[[#This Row],[5:3 FTCA]])</f>
        <v>0.67851837904011392</v>
      </c>
      <c r="CW86">
        <f>LOG(Table1_1[[#This Row],[7:3 FTCA]])</f>
        <v>1.5658478186735176</v>
      </c>
      <c r="CX86">
        <f>LOG(Table1_1[[#This Row],[6:2 FTCA]])</f>
        <v>0.47129171105893858</v>
      </c>
      <c r="CY86">
        <f>LOG(Table1_1[[#This Row],[8:2 FTCA]])</f>
        <v>0.60097289568674828</v>
      </c>
      <c r="CZ86">
        <f>LOG(Table1_1[[#This Row],[10:2 FTCA]])</f>
        <v>-0.943066128281427</v>
      </c>
      <c r="DA86">
        <f>LOG(Table1_1[[#This Row],[6:2 FTUCA]])</f>
        <v>-1.2219126016821225</v>
      </c>
      <c r="DB86">
        <f>LOG(Table1_1[[#This Row],[8:2 FTUCA]])</f>
        <v>-1.3356351342488741</v>
      </c>
      <c r="DC86">
        <f>LOG(Table1_1[[#This Row],[ADONA]])</f>
        <v>-1.1168909833783252</v>
      </c>
      <c r="DD86">
        <f>LOG(Table1_1[[#This Row],[9Cl-PF3ONS]])</f>
        <v>-1.2754647848693157</v>
      </c>
      <c r="DE86">
        <f>LOG(Table1_1[[#This Row],[11Cl-PF3OUdS]])</f>
        <v>-1.22036997671419</v>
      </c>
      <c r="DF86">
        <f>LOG(Table1_1[[#This Row],[HFPO-DA]])</f>
        <v>-0.96003043737076965</v>
      </c>
      <c r="DG86">
        <f>LOG(Table1_1[[#This Row],[6:2 diPAP]])</f>
        <v>-1.0897335126775747</v>
      </c>
      <c r="DH86">
        <f>LOG(Table1_1[[#This Row],[8:2 diPAP]])</f>
        <v>-0.99440838025539247</v>
      </c>
      <c r="DI86">
        <f>LOG(Table1_1[[#This Row],[diSAmPAP]])</f>
        <v>-0.87137831556417533</v>
      </c>
    </row>
    <row r="87" spans="1:113">
      <c r="A87" t="s">
        <v>236</v>
      </c>
      <c r="B87" t="s">
        <v>121</v>
      </c>
      <c r="C87" s="3">
        <v>44314</v>
      </c>
      <c r="D87" t="s">
        <v>226</v>
      </c>
      <c r="E87" t="s">
        <v>227</v>
      </c>
      <c r="F87" t="s">
        <v>228</v>
      </c>
      <c r="G87" t="s">
        <v>118</v>
      </c>
      <c r="H87" t="s">
        <v>119</v>
      </c>
      <c r="I87">
        <v>8</v>
      </c>
      <c r="J87">
        <f>LOG(Table1_1[[#This Row],[Length]])</f>
        <v>0.90308998699194354</v>
      </c>
      <c r="K87">
        <v>14.62</v>
      </c>
      <c r="L87">
        <f>LOG(Table1_1[[#This Row],[Weight]])</f>
        <v>1.1649473726218416</v>
      </c>
      <c r="M87">
        <v>2.8397258717958423E-2</v>
      </c>
      <c r="N87">
        <v>5.0159589763119537E-2</v>
      </c>
      <c r="O87">
        <v>3.8314380866982509E-2</v>
      </c>
      <c r="P87">
        <v>8.9766606822262118E-2</v>
      </c>
      <c r="Q87">
        <v>0.28499999999999998</v>
      </c>
      <c r="R87">
        <v>0.34599999999999997</v>
      </c>
      <c r="S87">
        <v>3.5</v>
      </c>
      <c r="T87">
        <v>6.01</v>
      </c>
      <c r="U87">
        <v>5.6683758771865878E-2</v>
      </c>
      <c r="V87">
        <v>1.19</v>
      </c>
      <c r="W87">
        <v>6.42</v>
      </c>
      <c r="X87">
        <v>8.4609642397959178E-2</v>
      </c>
      <c r="Y87">
        <v>5.4164451155247817E-2</v>
      </c>
      <c r="Z87">
        <v>0.15273997293312386</v>
      </c>
      <c r="AA87">
        <v>0.1188386304131957</v>
      </c>
      <c r="AB87">
        <v>5.8</v>
      </c>
      <c r="AC87">
        <v>1.8</v>
      </c>
      <c r="AD87">
        <v>879</v>
      </c>
      <c r="AE87">
        <v>1.76</v>
      </c>
      <c r="AF87">
        <v>1.99</v>
      </c>
      <c r="AG87">
        <v>1.02</v>
      </c>
      <c r="AH87">
        <v>0.13637436990915619</v>
      </c>
      <c r="AI87">
        <v>0.23200000000000001</v>
      </c>
      <c r="AJ87">
        <v>17.899999999999999</v>
      </c>
      <c r="AK87">
        <v>36.1</v>
      </c>
      <c r="AL87">
        <v>22.8</v>
      </c>
      <c r="AM87">
        <v>5.4691929708454809E-2</v>
      </c>
      <c r="AN87">
        <v>8.2846032408892128E-2</v>
      </c>
      <c r="AO87">
        <v>5.5959298097667635E-2</v>
      </c>
      <c r="AP87">
        <v>7.1422678567784267E-2</v>
      </c>
      <c r="AQ87">
        <v>6.1621374522594745E-2</v>
      </c>
      <c r="AR87">
        <v>5.8312955204081626E-2</v>
      </c>
      <c r="AS87">
        <v>0.30599999999999999</v>
      </c>
      <c r="AT87">
        <v>1.19</v>
      </c>
      <c r="AU87">
        <v>0.25481721974865346</v>
      </c>
      <c r="AV87">
        <v>8.1889803006559764E-2</v>
      </c>
      <c r="AW87">
        <v>15.9</v>
      </c>
      <c r="AX87">
        <v>5.5</v>
      </c>
      <c r="AY87">
        <v>4.5553942367711368E-2</v>
      </c>
      <c r="AZ87">
        <v>2.8397258717958423E-2</v>
      </c>
      <c r="BA87">
        <v>0.10593544175291546</v>
      </c>
      <c r="BB87">
        <v>5.5743573804664721E-2</v>
      </c>
      <c r="BC87">
        <v>4.2901480138119535E-2</v>
      </c>
      <c r="BD87">
        <v>7.0993146794896073E-2</v>
      </c>
      <c r="BE87">
        <v>4.9276814529883382E-2</v>
      </c>
      <c r="BF87">
        <v>5.5941928458454811E-2</v>
      </c>
      <c r="BG87">
        <v>0.10187719356778427</v>
      </c>
      <c r="BH87">
        <v>7.5574258983236137E-2</v>
      </c>
      <c r="BI87">
        <v>9.4123708458454802E-2</v>
      </c>
      <c r="BJ87">
        <v>0.12494793835901706</v>
      </c>
      <c r="BK87">
        <f>SUM(Table1_1[[#This Row],[PFBA]:[diSAmPAP]])</f>
        <v>1011.4318766389487</v>
      </c>
      <c r="BL87">
        <f>LOG(Table1_1[[#This Row],[PFBA]])</f>
        <v>-1.5467235818235523</v>
      </c>
      <c r="BM87">
        <f>LOG(Table1_1[[#This Row],[PFPeA]])</f>
        <v>-1.2996460240980343</v>
      </c>
      <c r="BN87">
        <f>LOG(Table1_1[[#This Row],[PFHxA]])</f>
        <v>-1.4166381879390983</v>
      </c>
      <c r="BO87">
        <f>LOG(Table1_1[[#This Row],[PFHpA]])</f>
        <v>-1.0468851908377101</v>
      </c>
      <c r="BP87">
        <f>LOG(Table1_1[[#This Row],[PFOA]])</f>
        <v>-0.54515513999148979</v>
      </c>
      <c r="BQ87">
        <f>LOG(Table1_1[[#This Row],[PFNA]])</f>
        <v>-0.46092390120722343</v>
      </c>
      <c r="BR87">
        <f>LOG(Table1_1[[#This Row],[PFDA]])</f>
        <v>0.54406804435027567</v>
      </c>
      <c r="BS87">
        <f>LOG(Table1_1[[#This Row],[PFUnA]])</f>
        <v>0.77887447200273952</v>
      </c>
      <c r="BT87">
        <f>LOG(Table1_1[[#This Row],[PFDoA]])</f>
        <v>-1.2465413588523264</v>
      </c>
      <c r="BU87">
        <f>LOG(Table1_1[[#This Row],[PFTrDA]])</f>
        <v>7.554696139253074E-2</v>
      </c>
      <c r="BV87">
        <f>LOG(Table1_1[[#This Row],[PFTeDA]])</f>
        <v>0.80753502806885324</v>
      </c>
      <c r="BW87">
        <f>LOG(Table1_1[[#This Row],[PFHxDA]])</f>
        <v>-1.0725801404881847</v>
      </c>
      <c r="BX87">
        <f>LOG(Table1_1[[#This Row],[PFPrS]])</f>
        <v>-1.266285653172065</v>
      </c>
      <c r="BY87">
        <f>LOG(Table1_1[[#This Row],[PFBS]])</f>
        <v>-0.81604729069424231</v>
      </c>
      <c r="BZ87">
        <f>LOG(Table1_1[[#This Row],[PFPeS]])</f>
        <v>-0.92504236197960776</v>
      </c>
      <c r="CA87">
        <f>LOG(Table1_1[[#This Row],[PFHxS]])</f>
        <v>0.76342799356293722</v>
      </c>
      <c r="CB87">
        <f>LOG(Table1_1[[#This Row],[PFHpS]])</f>
        <v>0.25527250510330607</v>
      </c>
      <c r="CC87">
        <f>LOG(Table1_1[[#This Row],[PFOS]])</f>
        <v>2.9439888750737717</v>
      </c>
      <c r="CD87">
        <f>LOG(Table1_1[[#This Row],[PFNS]])</f>
        <v>0.24551266781414982</v>
      </c>
      <c r="CE87">
        <f>LOG(Table1_1[[#This Row],[PFDS]])</f>
        <v>0.29885307640970665</v>
      </c>
      <c r="CF87">
        <f>LOG(Table1_1[[#This Row],[PFDoS]])</f>
        <v>8.6001717619175692E-3</v>
      </c>
      <c r="CG87">
        <f>LOG(Table1_1[[#This Row],[Cl-PFOS]])</f>
        <v>-0.86526724297085178</v>
      </c>
      <c r="CH87">
        <f>LOG(Table1_1[[#This Row],[PFEtCHxS]])</f>
        <v>-0.63451201510910027</v>
      </c>
      <c r="CI87">
        <f>LOG(Table1_1[[#This Row],[FBSA]])</f>
        <v>1.2528530309798931</v>
      </c>
      <c r="CJ87">
        <f>LOG(Table1_1[[#This Row],[FHxSA]])</f>
        <v>1.5575072019056579</v>
      </c>
      <c r="CK87">
        <f>LOG(Table1_1[[#This Row],[FOSA]])</f>
        <v>1.3579348470004537</v>
      </c>
      <c r="CL87">
        <f>LOG(Table1_1[[#This Row],[N-MeFOSA]])</f>
        <v>-1.2620767530388068</v>
      </c>
      <c r="CM87">
        <f>LOG(Table1_1[[#This Row],[N-EtFOSA]])</f>
        <v>-1.0817282856053521</v>
      </c>
      <c r="CN87">
        <f>LOG(Table1_1[[#This Row],[FOSAA]])</f>
        <v>-1.2521277415394227</v>
      </c>
      <c r="CO87">
        <f>LOG(Table1_1[[#This Row],[N-MeFOSAA]])</f>
        <v>-1.1461638664731943</v>
      </c>
      <c r="CP87">
        <f>LOG(Table1_1[[#This Row],[N-EtFOSAA]])</f>
        <v>-1.2102686185649989</v>
      </c>
      <c r="CQ87">
        <f>LOG(Table1_1[[#This Row],[4:2 FTS]])</f>
        <v>-1.2342349486955055</v>
      </c>
      <c r="CR87">
        <f>LOG(Table1_1[[#This Row],[6:2 FTS]])</f>
        <v>-0.51427857351841999</v>
      </c>
      <c r="CS87">
        <f>LOG(Table1_1[[#This Row],[8:2 FTS]])</f>
        <v>7.554696139253074E-2</v>
      </c>
      <c r="CT87">
        <f>LOG(Table1_1[[#This Row],[10:2 FTS]])</f>
        <v>-0.59377122708578667</v>
      </c>
      <c r="CU87">
        <f>LOG(Table1_1[[#This Row],[3:3 FTCA]])</f>
        <v>-1.0867701736204358</v>
      </c>
      <c r="CV87">
        <f>LOG(Table1_1[[#This Row],[5:3 FTCA]])</f>
        <v>1.2013971243204515</v>
      </c>
      <c r="CW87">
        <f>LOG(Table1_1[[#This Row],[7:3 FTCA]])</f>
        <v>0.74036268949424389</v>
      </c>
      <c r="CX87">
        <f>LOG(Table1_1[[#This Row],[6:2 FTCA]])</f>
        <v>-1.3414740319850895</v>
      </c>
      <c r="CY87">
        <f>LOG(Table1_1[[#This Row],[8:2 FTCA]])</f>
        <v>-1.5467235818235523</v>
      </c>
      <c r="CZ87">
        <f>LOG(Table1_1[[#This Row],[10:2 FTCA]])</f>
        <v>-0.97495871805461654</v>
      </c>
      <c r="DA87">
        <f>LOG(Table1_1[[#This Row],[6:2 FTUCA]])</f>
        <v>-1.2538051914553121</v>
      </c>
      <c r="DB87">
        <f>LOG(Table1_1[[#This Row],[8:2 FTUCA]])</f>
        <v>-1.3675277240220638</v>
      </c>
      <c r="DC87">
        <f>LOG(Table1_1[[#This Row],[ADONA]])</f>
        <v>-1.1487835731515146</v>
      </c>
      <c r="DD87">
        <f>LOG(Table1_1[[#This Row],[9Cl-PF3ONS]])</f>
        <v>-1.3073573746425051</v>
      </c>
      <c r="DE87">
        <f>LOG(Table1_1[[#This Row],[11Cl-PF3OUdS]])</f>
        <v>-1.2522625664873794</v>
      </c>
      <c r="DF87">
        <f>LOG(Table1_1[[#This Row],[HFPO-DA]])</f>
        <v>-0.9919230271439593</v>
      </c>
      <c r="DG87">
        <f>LOG(Table1_1[[#This Row],[6:2 diPAP]])</f>
        <v>-1.1216261024507643</v>
      </c>
      <c r="DH87">
        <f>LOG(Table1_1[[#This Row],[8:2 diPAP]])</f>
        <v>-1.0263009700285821</v>
      </c>
      <c r="DI87">
        <f>LOG(Table1_1[[#This Row],[diSAmPAP]])</f>
        <v>-0.90327090533736498</v>
      </c>
    </row>
    <row r="88" spans="1:113">
      <c r="A88" t="s">
        <v>237</v>
      </c>
      <c r="B88" t="s">
        <v>121</v>
      </c>
      <c r="C88" s="3">
        <v>44314</v>
      </c>
      <c r="D88" t="s">
        <v>226</v>
      </c>
      <c r="E88" t="s">
        <v>227</v>
      </c>
      <c r="F88" t="s">
        <v>228</v>
      </c>
      <c r="G88" t="s">
        <v>118</v>
      </c>
      <c r="H88" t="s">
        <v>119</v>
      </c>
      <c r="I88">
        <v>9</v>
      </c>
      <c r="J88">
        <f>LOG(Table1_1[[#This Row],[Length]])</f>
        <v>0.95424250943932487</v>
      </c>
      <c r="K88">
        <v>8.4499999999999993</v>
      </c>
      <c r="L88">
        <f>LOG(Table1_1[[#This Row],[Weight]])</f>
        <v>0.9268567089496923</v>
      </c>
      <c r="M88">
        <v>2.6950000000000002E-2</v>
      </c>
      <c r="N88">
        <v>4.7750000000000001E-2</v>
      </c>
      <c r="O88">
        <v>3.6499999999999998E-2</v>
      </c>
      <c r="P88">
        <v>2.6950000000000002E-2</v>
      </c>
      <c r="Q88">
        <v>0.20699999999999999</v>
      </c>
      <c r="R88">
        <v>0.154</v>
      </c>
      <c r="S88">
        <v>2.33</v>
      </c>
      <c r="T88">
        <v>4.59</v>
      </c>
      <c r="U88">
        <v>10.4</v>
      </c>
      <c r="V88">
        <v>6.52</v>
      </c>
      <c r="W88">
        <v>5.82</v>
      </c>
      <c r="X88">
        <v>8.0500000000000002E-2</v>
      </c>
      <c r="Y88">
        <v>5.1499999999999997E-2</v>
      </c>
      <c r="Z88">
        <v>2.0299999999999998</v>
      </c>
      <c r="AA88">
        <v>0.11799999999999999</v>
      </c>
      <c r="AB88">
        <v>4.42</v>
      </c>
      <c r="AC88">
        <v>0.64500000000000002</v>
      </c>
      <c r="AD88">
        <v>479</v>
      </c>
      <c r="AE88">
        <v>0.49</v>
      </c>
      <c r="AF88">
        <v>2.06</v>
      </c>
      <c r="AG88">
        <v>0.23849999999999999</v>
      </c>
      <c r="AH88">
        <v>0.13550000000000001</v>
      </c>
      <c r="AI88">
        <v>8.8999999999999996E-2</v>
      </c>
      <c r="AJ88">
        <v>37.6</v>
      </c>
      <c r="AK88">
        <v>61.3</v>
      </c>
      <c r="AL88">
        <v>21.6</v>
      </c>
      <c r="AM88">
        <v>5.1999999999999998E-2</v>
      </c>
      <c r="AN88">
        <v>7.9000000000000001E-2</v>
      </c>
      <c r="AO88">
        <v>5.2999999999999999E-2</v>
      </c>
      <c r="AP88">
        <v>0.224</v>
      </c>
      <c r="AQ88">
        <v>5.8500000000000003E-2</v>
      </c>
      <c r="AR88">
        <v>5.5500000000000001E-2</v>
      </c>
      <c r="AS88">
        <v>0.13450000000000001</v>
      </c>
      <c r="AT88">
        <v>0.94099999999999995</v>
      </c>
      <c r="AU88">
        <v>7.6499999999999999E-2</v>
      </c>
      <c r="AV88">
        <v>7.8E-2</v>
      </c>
      <c r="AW88">
        <v>0.879</v>
      </c>
      <c r="AX88">
        <v>1.98</v>
      </c>
      <c r="AY88">
        <v>4.335E-2</v>
      </c>
      <c r="AZ88">
        <v>2.6950000000000002E-2</v>
      </c>
      <c r="BA88">
        <v>0.10100000000000001</v>
      </c>
      <c r="BB88">
        <v>5.2999999999999999E-2</v>
      </c>
      <c r="BC88">
        <v>4.0750000000000001E-2</v>
      </c>
      <c r="BD88">
        <v>0.223</v>
      </c>
      <c r="BE88">
        <v>4.6800000000000001E-2</v>
      </c>
      <c r="BF88">
        <v>5.2999999999999999E-2</v>
      </c>
      <c r="BG88">
        <v>9.7000000000000003E-2</v>
      </c>
      <c r="BH88">
        <v>7.1999999999999995E-2</v>
      </c>
      <c r="BI88">
        <v>8.9499999999999996E-2</v>
      </c>
      <c r="BJ88">
        <v>0.11899999999999999</v>
      </c>
      <c r="BK88">
        <f>SUM(Table1_1[[#This Row],[PFBA]:[diSAmPAP]])</f>
        <v>645.59350000000018</v>
      </c>
      <c r="BL88">
        <f>LOG(Table1_1[[#This Row],[PFBA]])</f>
        <v>-1.5694412304772425</v>
      </c>
      <c r="BM88">
        <f>LOG(Table1_1[[#This Row],[PFPeA]])</f>
        <v>-1.3210266240802349</v>
      </c>
      <c r="BN88">
        <f>LOG(Table1_1[[#This Row],[PFHxA]])</f>
        <v>-1.4377071355435254</v>
      </c>
      <c r="BO88">
        <f>LOG(Table1_1[[#This Row],[PFHpA]])</f>
        <v>-1.5694412304772425</v>
      </c>
      <c r="BP88">
        <f>LOG(Table1_1[[#This Row],[PFOA]])</f>
        <v>-0.68402965454308229</v>
      </c>
      <c r="BQ88">
        <f>LOG(Table1_1[[#This Row],[PFNA]])</f>
        <v>-0.8124792791635369</v>
      </c>
      <c r="BR88">
        <f>LOG(Table1_1[[#This Row],[PFDA]])</f>
        <v>0.36735592102601899</v>
      </c>
      <c r="BS88">
        <f>LOG(Table1_1[[#This Row],[PFUnA]])</f>
        <v>0.66181268553726125</v>
      </c>
      <c r="BT88">
        <f>LOG(Table1_1[[#This Row],[PFDoA]])</f>
        <v>1.0170333392987803</v>
      </c>
      <c r="BU88">
        <f>LOG(Table1_1[[#This Row],[PFTrDA]])</f>
        <v>0.81424759573192018</v>
      </c>
      <c r="BV88">
        <f>LOG(Table1_1[[#This Row],[PFTeDA]])</f>
        <v>0.7649229846498885</v>
      </c>
      <c r="BW88">
        <f>LOG(Table1_1[[#This Row],[PFHxDA]])</f>
        <v>-1.0942041196321315</v>
      </c>
      <c r="BX88">
        <f>LOG(Table1_1[[#This Row],[PFPrS]])</f>
        <v>-1.288192770958809</v>
      </c>
      <c r="BY88">
        <f>LOG(Table1_1[[#This Row],[PFBS]])</f>
        <v>0.30749603791321289</v>
      </c>
      <c r="BZ88">
        <f>LOG(Table1_1[[#This Row],[PFPeS]])</f>
        <v>-0.92811799269387463</v>
      </c>
      <c r="CA88">
        <f>LOG(Table1_1[[#This Row],[PFHxS]])</f>
        <v>0.64542226934909186</v>
      </c>
      <c r="CB88">
        <f>LOG(Table1_1[[#This Row],[PFHpS]])</f>
        <v>-0.19044028536473223</v>
      </c>
      <c r="CC88">
        <f>LOG(Table1_1[[#This Row],[PFOS]])</f>
        <v>2.6803355134145632</v>
      </c>
      <c r="CD88">
        <f>LOG(Table1_1[[#This Row],[PFNS]])</f>
        <v>-0.30980391997148632</v>
      </c>
      <c r="CE88">
        <f>LOG(Table1_1[[#This Row],[PFDS]])</f>
        <v>0.31386722036915343</v>
      </c>
      <c r="CF88">
        <f>LOG(Table1_1[[#This Row],[PFDoS]])</f>
        <v>-0.62251161662386734</v>
      </c>
      <c r="CG88">
        <f>LOG(Table1_1[[#This Row],[Cl-PFOS]])</f>
        <v>-0.86806070478957542</v>
      </c>
      <c r="CH88">
        <f>LOG(Table1_1[[#This Row],[PFEtCHxS]])</f>
        <v>-1.0506099933550872</v>
      </c>
      <c r="CI88">
        <f>LOG(Table1_1[[#This Row],[FBSA]])</f>
        <v>1.5751878449276611</v>
      </c>
      <c r="CJ88">
        <f>LOG(Table1_1[[#This Row],[FHxSA]])</f>
        <v>1.7874604745184151</v>
      </c>
      <c r="CK88">
        <f>LOG(Table1_1[[#This Row],[FOSA]])</f>
        <v>1.3344537511509309</v>
      </c>
      <c r="CL88">
        <f>LOG(Table1_1[[#This Row],[N-MeFOSA]])</f>
        <v>-1.2839966563652008</v>
      </c>
      <c r="CM88">
        <f>LOG(Table1_1[[#This Row],[N-EtFOSA]])</f>
        <v>-1.1023729087095586</v>
      </c>
      <c r="CN88">
        <f>LOG(Table1_1[[#This Row],[FOSAA]])</f>
        <v>-1.2757241303992111</v>
      </c>
      <c r="CO88">
        <f>LOG(Table1_1[[#This Row],[N-MeFOSAA]])</f>
        <v>-0.64975198166583714</v>
      </c>
      <c r="CP88">
        <f>LOG(Table1_1[[#This Row],[N-EtFOSAA]])</f>
        <v>-1.2328441339178196</v>
      </c>
      <c r="CQ88">
        <f>LOG(Table1_1[[#This Row],[4:2 FTS]])</f>
        <v>-1.2557070168773237</v>
      </c>
      <c r="CR88">
        <f>LOG(Table1_1[[#This Row],[6:2 FTS]])</f>
        <v>-0.87127771566157319</v>
      </c>
      <c r="CS88">
        <f>LOG(Table1_1[[#This Row],[8:2 FTS]])</f>
        <v>-2.6410376572743116E-2</v>
      </c>
      <c r="CT88">
        <f>LOG(Table1_1[[#This Row],[10:2 FTS]])</f>
        <v>-1.1163385648463824</v>
      </c>
      <c r="CU88">
        <f>LOG(Table1_1[[#This Row],[3:3 FTCA]])</f>
        <v>-1.1079053973095196</v>
      </c>
      <c r="CV88">
        <f>LOG(Table1_1[[#This Row],[5:3 FTCA]])</f>
        <v>-5.6011124926228104E-2</v>
      </c>
      <c r="CW88">
        <f>LOG(Table1_1[[#This Row],[7:3 FTCA]])</f>
        <v>0.2966651902615311</v>
      </c>
      <c r="CX88">
        <f>LOG(Table1_1[[#This Row],[6:2 FTCA]])</f>
        <v>-1.3630108981877709</v>
      </c>
      <c r="CY88">
        <f>LOG(Table1_1[[#This Row],[8:2 FTCA]])</f>
        <v>-1.5694412304772425</v>
      </c>
      <c r="CZ88">
        <f>LOG(Table1_1[[#This Row],[10:2 FTCA]])</f>
        <v>-0.99567862621735737</v>
      </c>
      <c r="DA88">
        <f>LOG(Table1_1[[#This Row],[6:2 FTUCA]])</f>
        <v>-1.2757241303992111</v>
      </c>
      <c r="DB88">
        <f>LOG(Table1_1[[#This Row],[8:2 FTUCA]])</f>
        <v>-1.3898723869240046</v>
      </c>
      <c r="DC88">
        <f>LOG(Table1_1[[#This Row],[ADONA]])</f>
        <v>-0.65169513695183934</v>
      </c>
      <c r="DD88">
        <f>LOG(Table1_1[[#This Row],[9Cl-PF3ONS]])</f>
        <v>-1.329754146925876</v>
      </c>
      <c r="DE88">
        <f>LOG(Table1_1[[#This Row],[11Cl-PF3OUdS]])</f>
        <v>-1.2757241303992111</v>
      </c>
      <c r="DF88">
        <f>LOG(Table1_1[[#This Row],[HFPO-DA]])</f>
        <v>-1.0132282657337552</v>
      </c>
      <c r="DG88">
        <f>LOG(Table1_1[[#This Row],[6:2 diPAP]])</f>
        <v>-1.1426675035687315</v>
      </c>
      <c r="DH88">
        <f>LOG(Table1_1[[#This Row],[8:2 diPAP]])</f>
        <v>-1.0481769646840879</v>
      </c>
      <c r="DI88">
        <f>LOG(Table1_1[[#This Row],[diSAmPAP]])</f>
        <v>-0.9244530386074693</v>
      </c>
    </row>
    <row r="89" spans="1:113">
      <c r="A89" t="s">
        <v>238</v>
      </c>
      <c r="B89" t="s">
        <v>121</v>
      </c>
      <c r="C89" s="3">
        <v>44314</v>
      </c>
      <c r="D89" t="s">
        <v>226</v>
      </c>
      <c r="E89" t="s">
        <v>227</v>
      </c>
      <c r="F89" t="s">
        <v>228</v>
      </c>
      <c r="G89" t="s">
        <v>118</v>
      </c>
      <c r="H89" t="s">
        <v>119</v>
      </c>
      <c r="I89">
        <v>8</v>
      </c>
      <c r="J89">
        <f>LOG(Table1_1[[#This Row],[Length]])</f>
        <v>0.90308998699194354</v>
      </c>
      <c r="K89">
        <v>4.75</v>
      </c>
      <c r="L89">
        <f>LOG(Table1_1[[#This Row],[Weight]])</f>
        <v>0.67669360962486658</v>
      </c>
      <c r="M89">
        <v>9.3516209476309217E-2</v>
      </c>
      <c r="N89">
        <v>4.8048344313285467E-2</v>
      </c>
      <c r="O89">
        <v>0.12617470237878739</v>
      </c>
      <c r="P89">
        <v>9.3516209476309217E-2</v>
      </c>
      <c r="Q89">
        <v>1.37</v>
      </c>
      <c r="R89">
        <v>0.82199999999999995</v>
      </c>
      <c r="S89">
        <v>5.0199999999999996</v>
      </c>
      <c r="T89">
        <v>9.27</v>
      </c>
      <c r="U89">
        <v>5.429790736535009E-2</v>
      </c>
      <c r="V89">
        <v>2.5099999999999998</v>
      </c>
      <c r="W89">
        <v>5.49</v>
      </c>
      <c r="X89">
        <v>8.1048374784560159E-2</v>
      </c>
      <c r="Y89">
        <v>5.1884638828545784E-2</v>
      </c>
      <c r="Z89">
        <v>0.15912000920900871</v>
      </c>
      <c r="AA89">
        <v>0.12380258816736284</v>
      </c>
      <c r="AB89">
        <v>22.1</v>
      </c>
      <c r="AC89">
        <v>1.06</v>
      </c>
      <c r="AD89">
        <v>1800</v>
      </c>
      <c r="AE89">
        <v>0.94399999999999995</v>
      </c>
      <c r="AF89">
        <v>0.65900000000000003</v>
      </c>
      <c r="AG89">
        <v>0.2500086340310162</v>
      </c>
      <c r="AH89">
        <v>0.14207080555997506</v>
      </c>
      <c r="AI89">
        <v>9.3516209476309217E-2</v>
      </c>
      <c r="AJ89">
        <v>75.3</v>
      </c>
      <c r="AK89">
        <v>98.3</v>
      </c>
      <c r="AL89">
        <v>24.7</v>
      </c>
      <c r="AM89">
        <v>5.238991551166966E-2</v>
      </c>
      <c r="AN89">
        <v>7.9358996135547588E-2</v>
      </c>
      <c r="AO89">
        <v>5.360393964991024E-2</v>
      </c>
      <c r="AP89">
        <v>9.07</v>
      </c>
      <c r="AQ89">
        <v>5.9027696081687613E-2</v>
      </c>
      <c r="AR89">
        <v>5.5858530000000003E-2</v>
      </c>
      <c r="AS89">
        <v>0.14114791059758414</v>
      </c>
      <c r="AT89">
        <v>2.4300000000000002</v>
      </c>
      <c r="AU89">
        <v>0.26546108117206979</v>
      </c>
      <c r="AV89">
        <v>7.8443014968581692E-2</v>
      </c>
      <c r="AW89">
        <v>5.1320333859964089E-2</v>
      </c>
      <c r="AX89">
        <v>1.58</v>
      </c>
      <c r="AY89">
        <v>2.56</v>
      </c>
      <c r="AZ89">
        <v>2.7202002067352158E-2</v>
      </c>
      <c r="BA89">
        <v>0.10147655920556553</v>
      </c>
      <c r="BB89">
        <v>5.3397295314183121E-2</v>
      </c>
      <c r="BC89">
        <v>4.1095732619838427E-2</v>
      </c>
      <c r="BD89">
        <v>6.80050051683804E-2</v>
      </c>
      <c r="BE89">
        <v>4.7202725587971277E-2</v>
      </c>
      <c r="BF89">
        <v>5.3587301108617598E-2</v>
      </c>
      <c r="BG89">
        <v>9.7589124977558367E-2</v>
      </c>
      <c r="BH89">
        <v>7.2393295758527834E-2</v>
      </c>
      <c r="BI89">
        <v>9.0161988433572718E-2</v>
      </c>
      <c r="BJ89">
        <v>0.11968880909634949</v>
      </c>
      <c r="BK89">
        <f>SUM(Table1_1[[#This Row],[PFBA]:[diSAmPAP]])</f>
        <v>2066.1104158903809</v>
      </c>
      <c r="BL89">
        <f>LOG(Table1_1[[#This Row],[PFBA]])</f>
        <v>-1.0291131048924635</v>
      </c>
      <c r="BM89">
        <f>LOG(Table1_1[[#This Row],[PFPeA]])</f>
        <v>-1.3183215729900795</v>
      </c>
      <c r="BN89">
        <f>LOG(Table1_1[[#This Row],[PFHxA]])</f>
        <v>-0.8990277110080096</v>
      </c>
      <c r="BO89">
        <f>LOG(Table1_1[[#This Row],[PFHpA]])</f>
        <v>-1.0291131048924635</v>
      </c>
      <c r="BP89">
        <f>LOG(Table1_1[[#This Row],[PFOA]])</f>
        <v>0.13672056715640679</v>
      </c>
      <c r="BQ89">
        <f>LOG(Table1_1[[#This Row],[PFNA]])</f>
        <v>-8.5128182459949631E-2</v>
      </c>
      <c r="BR89">
        <f>LOG(Table1_1[[#This Row],[PFDA]])</f>
        <v>0.70070371714501933</v>
      </c>
      <c r="BS89">
        <f>LOG(Table1_1[[#This Row],[PFUnA]])</f>
        <v>0.96707973414449711</v>
      </c>
      <c r="BT89">
        <f>LOG(Table1_1[[#This Row],[PFDoA]])</f>
        <v>-1.2652169077443716</v>
      </c>
      <c r="BU89">
        <f>LOG(Table1_1[[#This Row],[PFTrDA]])</f>
        <v>0.39967372148103808</v>
      </c>
      <c r="BV89">
        <f>LOG(Table1_1[[#This Row],[PFTeDA]])</f>
        <v>0.7395723444500919</v>
      </c>
      <c r="BW89">
        <f>LOG(Table1_1[[#This Row],[PFHxDA]])</f>
        <v>-1.0912556893802299</v>
      </c>
      <c r="BX89">
        <f>LOG(Table1_1[[#This Row],[PFPrS]])</f>
        <v>-1.2849612020641101</v>
      </c>
      <c r="BY89">
        <f>LOG(Table1_1[[#This Row],[PFBS]])</f>
        <v>-0.79827520474899571</v>
      </c>
      <c r="BZ89">
        <f>LOG(Table1_1[[#This Row],[PFPeS]])</f>
        <v>-0.90727027603436117</v>
      </c>
      <c r="CA89">
        <f>LOG(Table1_1[[#This Row],[PFHxS]])</f>
        <v>1.3443922736851108</v>
      </c>
      <c r="CB89">
        <f>LOG(Table1_1[[#This Row],[PFHpS]])</f>
        <v>2.5305865264770262E-2</v>
      </c>
      <c r="CC89">
        <f>LOG(Table1_1[[#This Row],[PFOS]])</f>
        <v>3.255272505103306</v>
      </c>
      <c r="CD89">
        <f>LOG(Table1_1[[#This Row],[PFNS]])</f>
        <v>-2.502800570193105E-2</v>
      </c>
      <c r="CE89">
        <f>LOG(Table1_1[[#This Row],[PFDS]])</f>
        <v>-0.18111458540599013</v>
      </c>
      <c r="CF89">
        <f>LOG(Table1_1[[#This Row],[PFDoS]])</f>
        <v>-0.60204499273884982</v>
      </c>
      <c r="CG89">
        <f>LOG(Table1_1[[#This Row],[Cl-PFOS]])</f>
        <v>-0.84749515702560507</v>
      </c>
      <c r="CH89">
        <f>LOG(Table1_1[[#This Row],[PFEtCHxS]])</f>
        <v>-1.0291131048924635</v>
      </c>
      <c r="CI89">
        <f>LOG(Table1_1[[#This Row],[FBSA]])</f>
        <v>1.8767949762007006</v>
      </c>
      <c r="CJ89">
        <f>LOG(Table1_1[[#This Row],[FHxSA]])</f>
        <v>1.9925535178321356</v>
      </c>
      <c r="CK89">
        <f>LOG(Table1_1[[#This Row],[FOSA]])</f>
        <v>1.3926969532596658</v>
      </c>
      <c r="CL89">
        <f>LOG(Table1_1[[#This Row],[N-MeFOSA]])</f>
        <v>-1.280752301930852</v>
      </c>
      <c r="CM89">
        <f>LOG(Table1_1[[#This Row],[N-EtFOSA]])</f>
        <v>-1.1004038344973972</v>
      </c>
      <c r="CN89">
        <f>LOG(Table1_1[[#This Row],[FOSAA]])</f>
        <v>-1.2708032904314679</v>
      </c>
      <c r="CO89">
        <f>LOG(Table1_1[[#This Row],[N-MeFOSAA]])</f>
        <v>0.95760728706009524</v>
      </c>
      <c r="CP89">
        <f>LOG(Table1_1[[#This Row],[N-EtFOSAA]])</f>
        <v>-1.228944167457044</v>
      </c>
      <c r="CQ89">
        <f>LOG(Table1_1[[#This Row],[4:2 FTS]])</f>
        <v>-1.2529104975875507</v>
      </c>
      <c r="CR89">
        <f>LOG(Table1_1[[#This Row],[6:2 FTS]])</f>
        <v>-0.85032554629960422</v>
      </c>
      <c r="CS89">
        <f>LOG(Table1_1[[#This Row],[8:2 FTS]])</f>
        <v>0.38560627359831223</v>
      </c>
      <c r="CT89">
        <f>LOG(Table1_1[[#This Row],[10:2 FTS]])</f>
        <v>-0.57599914114054007</v>
      </c>
      <c r="CU89">
        <f>LOG(Table1_1[[#This Row],[3:3 FTCA]])</f>
        <v>-1.1054457225124812</v>
      </c>
      <c r="CV89">
        <f>LOG(Table1_1[[#This Row],[5:3 FTCA]])</f>
        <v>-1.2897105270229761</v>
      </c>
      <c r="CW89">
        <f>LOG(Table1_1[[#This Row],[7:3 FTCA]])</f>
        <v>0.19865708695442263</v>
      </c>
      <c r="CX89">
        <f>LOG(Table1_1[[#This Row],[6:2 FTCA]])</f>
        <v>0.40823996531184958</v>
      </c>
      <c r="CY89">
        <f>LOG(Table1_1[[#This Row],[8:2 FTCA]])</f>
        <v>-1.5653991307155977</v>
      </c>
      <c r="CZ89">
        <f>LOG(Table1_1[[#This Row],[10:2 FTCA]])</f>
        <v>-0.99363426694666179</v>
      </c>
      <c r="DA89">
        <f>LOG(Table1_1[[#This Row],[6:2 FTUCA]])</f>
        <v>-1.2724807403473575</v>
      </c>
      <c r="DB89">
        <f>LOG(Table1_1[[#This Row],[8:2 FTUCA]])</f>
        <v>-1.3862032729141089</v>
      </c>
      <c r="DC89">
        <f>LOG(Table1_1[[#This Row],[ADONA]])</f>
        <v>-1.1674591220435599</v>
      </c>
      <c r="DD89">
        <f>LOG(Table1_1[[#This Row],[9Cl-PF3ONS]])</f>
        <v>-1.3260329235345505</v>
      </c>
      <c r="DE89">
        <f>LOG(Table1_1[[#This Row],[11Cl-PF3OUdS]])</f>
        <v>-1.2709381153794246</v>
      </c>
      <c r="DF89">
        <f>LOG(Table1_1[[#This Row],[HFPO-DA]])</f>
        <v>-1.0105985760360046</v>
      </c>
      <c r="DG89">
        <f>LOG(Table1_1[[#This Row],[6:2 diPAP]])</f>
        <v>-1.1403016513428095</v>
      </c>
      <c r="DH89">
        <f>LOG(Table1_1[[#This Row],[8:2 diPAP]])</f>
        <v>-1.0449765189206273</v>
      </c>
      <c r="DI89">
        <f>LOG(Table1_1[[#This Row],[diSAmPAP]])</f>
        <v>-0.92194645422941013</v>
      </c>
    </row>
    <row r="90" spans="1:113">
      <c r="A90" t="s">
        <v>239</v>
      </c>
      <c r="B90" t="s">
        <v>114</v>
      </c>
      <c r="C90" s="3">
        <v>44314</v>
      </c>
      <c r="D90" t="s">
        <v>226</v>
      </c>
      <c r="E90" t="s">
        <v>227</v>
      </c>
      <c r="F90" t="s">
        <v>228</v>
      </c>
      <c r="G90" t="s">
        <v>118</v>
      </c>
      <c r="H90" t="s">
        <v>119</v>
      </c>
      <c r="I90">
        <v>7</v>
      </c>
      <c r="J90">
        <f>LOG(Table1_1[[#This Row],[Length]])</f>
        <v>0.84509804001425681</v>
      </c>
      <c r="K90">
        <v>10</v>
      </c>
      <c r="L90">
        <f>LOG(Table1_1[[#This Row],[Weight]])</f>
        <v>1</v>
      </c>
      <c r="M90">
        <v>8.9197224975223005E-2</v>
      </c>
      <c r="N90">
        <v>4.8600958442796618E-2</v>
      </c>
      <c r="O90">
        <v>3.7123821009533903E-2</v>
      </c>
      <c r="P90">
        <v>8.9197224975223005E-2</v>
      </c>
      <c r="Q90">
        <v>0.96099999999999997</v>
      </c>
      <c r="R90">
        <v>3.56</v>
      </c>
      <c r="S90">
        <v>8.39</v>
      </c>
      <c r="T90">
        <v>12.8</v>
      </c>
      <c r="U90">
        <v>5.492239903601695E-2</v>
      </c>
      <c r="V90">
        <v>5.74</v>
      </c>
      <c r="W90">
        <v>22.3</v>
      </c>
      <c r="X90">
        <v>0.90100000000000002</v>
      </c>
      <c r="Y90">
        <v>5.2481374989406783E-2</v>
      </c>
      <c r="Z90">
        <v>0.15177115645465805</v>
      </c>
      <c r="AA90">
        <v>0.29699999999999999</v>
      </c>
      <c r="AB90">
        <v>39.200000000000003</v>
      </c>
      <c r="AC90">
        <v>2.59</v>
      </c>
      <c r="AD90">
        <v>1750</v>
      </c>
      <c r="AE90">
        <v>5.63</v>
      </c>
      <c r="AF90">
        <v>6.24</v>
      </c>
      <c r="AG90">
        <v>3.09</v>
      </c>
      <c r="AH90">
        <v>0.318</v>
      </c>
      <c r="AI90">
        <v>0.39800000000000002</v>
      </c>
      <c r="AJ90">
        <v>24.8</v>
      </c>
      <c r="AK90">
        <v>39.1</v>
      </c>
      <c r="AL90">
        <v>11.3</v>
      </c>
      <c r="AM90">
        <v>5.2992462966101696E-2</v>
      </c>
      <c r="AN90">
        <v>8.0271720667372884E-2</v>
      </c>
      <c r="AO90">
        <v>5.4220449851694913E-2</v>
      </c>
      <c r="AP90">
        <v>6.9203329798728827E-2</v>
      </c>
      <c r="AQ90">
        <v>5.9706586048728798E-2</v>
      </c>
      <c r="AR90">
        <v>5.650097072033898E-2</v>
      </c>
      <c r="AS90">
        <v>0.27100000000000002</v>
      </c>
      <c r="AT90">
        <v>3.69</v>
      </c>
      <c r="AU90">
        <v>0.71399999999999997</v>
      </c>
      <c r="AV90">
        <v>7.9345204608050848E-2</v>
      </c>
      <c r="AW90">
        <v>1.19</v>
      </c>
      <c r="AX90">
        <v>1.03</v>
      </c>
      <c r="AY90">
        <v>4.4138424384533893E-2</v>
      </c>
      <c r="AZ90">
        <v>2.7514858023332603E-2</v>
      </c>
      <c r="BA90">
        <v>0.10264366248940678</v>
      </c>
      <c r="BB90">
        <v>5.4011428855932207E-2</v>
      </c>
      <c r="BC90">
        <v>4.1568383297669494E-2</v>
      </c>
      <c r="BD90">
        <v>6.87871450583315E-2</v>
      </c>
      <c r="BE90">
        <v>4.7745614078389835E-2</v>
      </c>
      <c r="BF90">
        <v>5.4203619947033897E-2</v>
      </c>
      <c r="BG90">
        <v>9.8711518061440698E-2</v>
      </c>
      <c r="BH90">
        <v>7.3225906302966104E-2</v>
      </c>
      <c r="BI90">
        <v>9.1198960455508474E-2</v>
      </c>
      <c r="BJ90">
        <v>0.12106537530266342</v>
      </c>
      <c r="BK90">
        <f>SUM(Table1_1[[#This Row],[PFBA]:[diSAmPAP]])</f>
        <v>1946.3103497808011</v>
      </c>
      <c r="BL90">
        <f>LOG(Table1_1[[#This Row],[PFBA]])</f>
        <v>-1.0496486567975856</v>
      </c>
      <c r="BM90">
        <f>LOG(Table1_1[[#This Row],[PFPeA]])</f>
        <v>-1.3133551660810514</v>
      </c>
      <c r="BN90">
        <f>LOG(Table1_1[[#This Row],[PFHxA]])</f>
        <v>-1.4303473299221157</v>
      </c>
      <c r="BO90">
        <f>LOG(Table1_1[[#This Row],[PFHpA]])</f>
        <v>-1.0496486567975856</v>
      </c>
      <c r="BP90">
        <f>LOG(Table1_1[[#This Row],[PFOA]])</f>
        <v>-1.7276612331454656E-2</v>
      </c>
      <c r="BQ90">
        <f>LOG(Table1_1[[#This Row],[PFNA]])</f>
        <v>0.55144999797287519</v>
      </c>
      <c r="BR90">
        <f>LOG(Table1_1[[#This Row],[PFDA]])</f>
        <v>0.92376196082870032</v>
      </c>
      <c r="BS90">
        <f>LOG(Table1_1[[#This Row],[PFUnA]])</f>
        <v>1.1072099696478683</v>
      </c>
      <c r="BT90">
        <f>LOG(Table1_1[[#This Row],[PFDoA]])</f>
        <v>-1.2602505008353437</v>
      </c>
      <c r="BU90">
        <f>LOG(Table1_1[[#This Row],[PFTrDA]])</f>
        <v>0.75891189239797352</v>
      </c>
      <c r="BV90">
        <f>LOG(Table1_1[[#This Row],[PFTeDA]])</f>
        <v>1.3483048630481607</v>
      </c>
      <c r="BW90">
        <f>LOG(Table1_1[[#This Row],[PFHxDA]])</f>
        <v>-4.5275209020937013E-2</v>
      </c>
      <c r="BX90">
        <f>LOG(Table1_1[[#This Row],[PFPrS]])</f>
        <v>-1.2799947951550823</v>
      </c>
      <c r="BY90">
        <f>LOG(Table1_1[[#This Row],[PFBS]])</f>
        <v>-0.81881075665411795</v>
      </c>
      <c r="BZ90">
        <f>LOG(Table1_1[[#This Row],[PFPeS]])</f>
        <v>-0.52724355068278772</v>
      </c>
      <c r="CA90">
        <f>LOG(Table1_1[[#This Row],[PFHxS]])</f>
        <v>1.5932860670204574</v>
      </c>
      <c r="CB90">
        <f>LOG(Table1_1[[#This Row],[PFHpS]])</f>
        <v>0.4132997640812518</v>
      </c>
      <c r="CC90">
        <f>LOG(Table1_1[[#This Row],[PFOS]])</f>
        <v>3.2430380486862944</v>
      </c>
      <c r="CD90">
        <f>LOG(Table1_1[[#This Row],[PFNS]])</f>
        <v>0.75050839485134624</v>
      </c>
      <c r="CE90">
        <f>LOG(Table1_1[[#This Row],[PFDS]])</f>
        <v>0.795184589682424</v>
      </c>
      <c r="CF90">
        <f>LOG(Table1_1[[#This Row],[PFDoS]])</f>
        <v>0.48995847942483461</v>
      </c>
      <c r="CG90">
        <f>LOG(Table1_1[[#This Row],[Cl-PFOS]])</f>
        <v>-0.49757288001556732</v>
      </c>
      <c r="CH90">
        <f>LOG(Table1_1[[#This Row],[PFEtCHxS]])</f>
        <v>-0.40011692792631215</v>
      </c>
      <c r="CI90">
        <f>LOG(Table1_1[[#This Row],[FBSA]])</f>
        <v>1.3944516808262162</v>
      </c>
      <c r="CJ90">
        <f>LOG(Table1_1[[#This Row],[FHxSA]])</f>
        <v>1.5921767573958667</v>
      </c>
      <c r="CK90">
        <f>LOG(Table1_1[[#This Row],[FOSA]])</f>
        <v>1.0530784434834197</v>
      </c>
      <c r="CL90">
        <f>LOG(Table1_1[[#This Row],[N-MeFOSA]])</f>
        <v>-1.2757858950218242</v>
      </c>
      <c r="CM90">
        <f>LOG(Table1_1[[#This Row],[N-EtFOSA]])</f>
        <v>-1.0954374275883694</v>
      </c>
      <c r="CN90">
        <f>LOG(Table1_1[[#This Row],[FOSAA]])</f>
        <v>-1.2658368835224401</v>
      </c>
      <c r="CO90">
        <f>LOG(Table1_1[[#This Row],[N-MeFOSAA]])</f>
        <v>-1.1598730084562117</v>
      </c>
      <c r="CP90">
        <f>LOG(Table1_1[[#This Row],[N-EtFOSAA]])</f>
        <v>-1.2239777605480164</v>
      </c>
      <c r="CQ90">
        <f>LOG(Table1_1[[#This Row],[4:2 FTS]])</f>
        <v>-1.2479440906785229</v>
      </c>
      <c r="CR90">
        <f>LOG(Table1_1[[#This Row],[6:2 FTS]])</f>
        <v>-0.56703070912559428</v>
      </c>
      <c r="CS90">
        <f>LOG(Table1_1[[#This Row],[8:2 FTS]])</f>
        <v>0.56702636615906032</v>
      </c>
      <c r="CT90">
        <f>LOG(Table1_1[[#This Row],[10:2 FTS]])</f>
        <v>-0.14630178822382564</v>
      </c>
      <c r="CU90">
        <f>LOG(Table1_1[[#This Row],[3:3 FTCA]])</f>
        <v>-1.1004793156034531</v>
      </c>
      <c r="CV90">
        <f>LOG(Table1_1[[#This Row],[5:3 FTCA]])</f>
        <v>7.554696139253074E-2</v>
      </c>
      <c r="CW90">
        <f>LOG(Table1_1[[#This Row],[7:3 FTCA]])</f>
        <v>1.2837224705172217E-2</v>
      </c>
      <c r="CX90">
        <f>LOG(Table1_1[[#This Row],[6:2 FTCA]])</f>
        <v>-1.3551831739681071</v>
      </c>
      <c r="CY90">
        <f>LOG(Table1_1[[#This Row],[8:2 FTCA]])</f>
        <v>-1.5604327238065696</v>
      </c>
      <c r="CZ90">
        <f>LOG(Table1_1[[#This Row],[10:2 FTCA]])</f>
        <v>-0.98866786003763396</v>
      </c>
      <c r="DA90">
        <f>LOG(Table1_1[[#This Row],[6:2 FTUCA]])</f>
        <v>-1.2675143334383294</v>
      </c>
      <c r="DB90">
        <f>LOG(Table1_1[[#This Row],[8:2 FTUCA]])</f>
        <v>-1.3812368660050811</v>
      </c>
      <c r="DC90">
        <f>LOG(Table1_1[[#This Row],[ADONA]])</f>
        <v>-1.1624927151345321</v>
      </c>
      <c r="DD90">
        <f>LOG(Table1_1[[#This Row],[9Cl-PF3ONS]])</f>
        <v>-1.3210665166255224</v>
      </c>
      <c r="DE90">
        <f>LOG(Table1_1[[#This Row],[11Cl-PF3OUdS]])</f>
        <v>-1.2659717084703968</v>
      </c>
      <c r="DF90">
        <f>LOG(Table1_1[[#This Row],[HFPO-DA]])</f>
        <v>-1.0056321691269765</v>
      </c>
      <c r="DG90">
        <f>LOG(Table1_1[[#This Row],[6:2 diPAP]])</f>
        <v>-1.1353352444337816</v>
      </c>
      <c r="DH90">
        <f>LOG(Table1_1[[#This Row],[8:2 diPAP]])</f>
        <v>-1.0400101120115994</v>
      </c>
      <c r="DI90">
        <f>LOG(Table1_1[[#This Row],[diSAmPAP]])</f>
        <v>-0.9169800473203823</v>
      </c>
    </row>
    <row r="91" spans="1:113">
      <c r="A91" t="s">
        <v>240</v>
      </c>
      <c r="B91" t="s">
        <v>114</v>
      </c>
      <c r="C91" s="3">
        <v>44314</v>
      </c>
      <c r="D91" t="s">
        <v>226</v>
      </c>
      <c r="E91" t="s">
        <v>227</v>
      </c>
      <c r="F91" t="s">
        <v>228</v>
      </c>
      <c r="G91" t="s">
        <v>118</v>
      </c>
      <c r="H91" t="s">
        <v>119</v>
      </c>
      <c r="I91">
        <v>7</v>
      </c>
      <c r="J91">
        <f>LOG(Table1_1[[#This Row],[Length]])</f>
        <v>0.84509804001425681</v>
      </c>
      <c r="K91">
        <v>8.8000000000000007</v>
      </c>
      <c r="L91">
        <f>LOG(Table1_1[[#This Row],[Weight]])</f>
        <v>0.94448267215016868</v>
      </c>
      <c r="M91">
        <v>2.7029462113703943E-2</v>
      </c>
      <c r="N91">
        <v>4.7743577808225975E-2</v>
      </c>
      <c r="O91">
        <v>0.12696626261955773</v>
      </c>
      <c r="P91">
        <v>9.410288582183185E-2</v>
      </c>
      <c r="Q91">
        <v>0.377</v>
      </c>
      <c r="R91">
        <v>0.16280865149482432</v>
      </c>
      <c r="S91">
        <v>1.85</v>
      </c>
      <c r="T91">
        <v>2.64</v>
      </c>
      <c r="U91">
        <v>5.3953500420713583E-2</v>
      </c>
      <c r="V91">
        <v>1.97</v>
      </c>
      <c r="W91">
        <v>5.57</v>
      </c>
      <c r="X91">
        <v>8.0534291931615473E-2</v>
      </c>
      <c r="Y91">
        <v>5.15555390381566E-2</v>
      </c>
      <c r="Z91">
        <v>0.34100000000000003</v>
      </c>
      <c r="AA91">
        <v>0.12457926688861357</v>
      </c>
      <c r="AB91">
        <v>3.9</v>
      </c>
      <c r="AC91">
        <v>0.23525721455457965</v>
      </c>
      <c r="AD91">
        <v>460</v>
      </c>
      <c r="AE91">
        <v>0.32400000000000001</v>
      </c>
      <c r="AF91">
        <v>0.434</v>
      </c>
      <c r="AG91">
        <v>0.25157706962719573</v>
      </c>
      <c r="AH91">
        <v>0.14296209041292346</v>
      </c>
      <c r="AI91">
        <v>9.410288582183185E-2</v>
      </c>
      <c r="AJ91">
        <v>32.299999999999997</v>
      </c>
      <c r="AK91">
        <v>27.3</v>
      </c>
      <c r="AL91">
        <v>16.600000000000001</v>
      </c>
      <c r="AM91">
        <v>5.2057610794846387E-2</v>
      </c>
      <c r="AN91">
        <v>7.8855628865708641E-2</v>
      </c>
      <c r="AO91">
        <v>5.3263934482656101E-2</v>
      </c>
      <c r="AP91">
        <v>6.46</v>
      </c>
      <c r="AQ91">
        <v>5.86532884950446E-2</v>
      </c>
      <c r="AR91">
        <v>5.5504224160555012E-2</v>
      </c>
      <c r="AS91">
        <v>0.1420334056452478</v>
      </c>
      <c r="AT91">
        <v>1.08</v>
      </c>
      <c r="AU91">
        <v>0.26712645809284813</v>
      </c>
      <c r="AV91">
        <v>7.7945457688305256E-2</v>
      </c>
      <c r="AW91">
        <v>4.45</v>
      </c>
      <c r="AX91">
        <v>11.3</v>
      </c>
      <c r="AY91">
        <v>2.61</v>
      </c>
      <c r="AZ91">
        <v>2.7029462113703943E-2</v>
      </c>
      <c r="BA91">
        <v>0.10083290214023788</v>
      </c>
      <c r="BB91">
        <v>5.3058600874132812E-2</v>
      </c>
      <c r="BC91">
        <v>4.0835065931268587E-2</v>
      </c>
      <c r="BD91">
        <v>6.7573655284259848E-2</v>
      </c>
      <c r="BE91">
        <v>4.6903322769573839E-2</v>
      </c>
      <c r="BF91">
        <v>5.3247401478196232E-2</v>
      </c>
      <c r="BG91">
        <v>9.6970125572348881E-2</v>
      </c>
      <c r="BH91">
        <v>7.1934111325569872E-2</v>
      </c>
      <c r="BI91">
        <v>8.9590098715064445E-2</v>
      </c>
      <c r="BJ91">
        <v>0.11892963330029734</v>
      </c>
      <c r="BK91">
        <f>SUM(Table1_1[[#This Row],[PFBA]:[diSAmPAP]])</f>
        <v>582.55151708628398</v>
      </c>
      <c r="BL91">
        <f>LOG(Table1_1[[#This Row],[PFBA]])</f>
        <v>-1.5681625966754731</v>
      </c>
      <c r="BM91">
        <f>LOG(Table1_1[[#This Row],[PFPeA]])</f>
        <v>-1.3210850389499549</v>
      </c>
      <c r="BN91">
        <f>LOG(Table1_1[[#This Row],[PFHxA]])</f>
        <v>-0.89631166411995833</v>
      </c>
      <c r="BO91">
        <f>LOG(Table1_1[[#This Row],[PFHpA]])</f>
        <v>-1.0263970580044124</v>
      </c>
      <c r="BP91">
        <f>LOG(Table1_1[[#This Row],[PFOA]])</f>
        <v>-0.42365864979420714</v>
      </c>
      <c r="BQ91">
        <f>LOG(Table1_1[[#This Row],[PFNA]])</f>
        <v>-0.78832252084343246</v>
      </c>
      <c r="BR91">
        <f>LOG(Table1_1[[#This Row],[PFDA]])</f>
        <v>0.26717172840301384</v>
      </c>
      <c r="BS91">
        <f>LOG(Table1_1[[#This Row],[PFUnA]])</f>
        <v>0.42160392686983106</v>
      </c>
      <c r="BT91">
        <f>LOG(Table1_1[[#This Row],[PFDoA]])</f>
        <v>-1.2679803737042472</v>
      </c>
      <c r="BU91">
        <f>LOG(Table1_1[[#This Row],[PFTrDA]])</f>
        <v>0.2944662261615929</v>
      </c>
      <c r="BV91">
        <f>LOG(Table1_1[[#This Row],[PFTeDA]])</f>
        <v>0.74585519517372889</v>
      </c>
      <c r="BW91">
        <f>LOG(Table1_1[[#This Row],[PFHxDA]])</f>
        <v>-1.0940191553401055</v>
      </c>
      <c r="BX91">
        <f>LOG(Table1_1[[#This Row],[PFPrS]])</f>
        <v>-1.2877246680239858</v>
      </c>
      <c r="BY91">
        <f>LOG(Table1_1[[#This Row],[PFBS]])</f>
        <v>-0.46724562100750222</v>
      </c>
      <c r="BZ91">
        <f>LOG(Table1_1[[#This Row],[PFPeS]])</f>
        <v>-0.9045542291463099</v>
      </c>
      <c r="CA91">
        <f>LOG(Table1_1[[#This Row],[PFHxS]])</f>
        <v>0.59106460702649921</v>
      </c>
      <c r="CB91">
        <f>LOG(Table1_1[[#This Row],[PFHpS]])</f>
        <v>-0.62845704933237478</v>
      </c>
      <c r="CC91">
        <f>LOG(Table1_1[[#This Row],[PFOS]])</f>
        <v>2.6627578316815739</v>
      </c>
      <c r="CD91">
        <f>LOG(Table1_1[[#This Row],[PFNS]])</f>
        <v>-0.48945498979338786</v>
      </c>
      <c r="CE91">
        <f>LOG(Table1_1[[#This Row],[PFDS]])</f>
        <v>-0.36251027048748929</v>
      </c>
      <c r="CF91">
        <f>LOG(Table1_1[[#This Row],[PFDoS]])</f>
        <v>-0.59932894585079866</v>
      </c>
      <c r="CG91">
        <f>LOG(Table1_1[[#This Row],[Cl-PFOS]])</f>
        <v>-0.84477911013755391</v>
      </c>
      <c r="CH91">
        <f>LOG(Table1_1[[#This Row],[PFEtCHxS]])</f>
        <v>-1.0263970580044124</v>
      </c>
      <c r="CI91">
        <f>LOG(Table1_1[[#This Row],[FBSA]])</f>
        <v>1.5092025223311027</v>
      </c>
      <c r="CJ91">
        <f>LOG(Table1_1[[#This Row],[FHxSA]])</f>
        <v>1.436162647040756</v>
      </c>
      <c r="CK91">
        <f>LOG(Table1_1[[#This Row],[FOSA]])</f>
        <v>1.2201080880400552</v>
      </c>
      <c r="CL91">
        <f>LOG(Table1_1[[#This Row],[N-MeFOSA]])</f>
        <v>-1.2835157678907276</v>
      </c>
      <c r="CM91">
        <f>LOG(Table1_1[[#This Row],[N-EtFOSA]])</f>
        <v>-1.1031673004572726</v>
      </c>
      <c r="CN91">
        <f>LOG(Table1_1[[#This Row],[FOSAA]])</f>
        <v>-1.2735667563913433</v>
      </c>
      <c r="CO91">
        <f>LOG(Table1_1[[#This Row],[N-MeFOSAA]])</f>
        <v>0.81023251799508411</v>
      </c>
      <c r="CP91">
        <f>LOG(Table1_1[[#This Row],[N-EtFOSAA]])</f>
        <v>-1.2317076334169197</v>
      </c>
      <c r="CQ91">
        <f>LOG(Table1_1[[#This Row],[4:2 FTS]])</f>
        <v>-1.2556739635474261</v>
      </c>
      <c r="CR91">
        <f>LOG(Table1_1[[#This Row],[6:2 FTS]])</f>
        <v>-0.84760949941155306</v>
      </c>
      <c r="CS91">
        <f>LOG(Table1_1[[#This Row],[8:2 FTS]])</f>
        <v>3.342375548694973E-2</v>
      </c>
      <c r="CT91">
        <f>LOG(Table1_1[[#This Row],[10:2 FTS]])</f>
        <v>-0.57328309425248891</v>
      </c>
      <c r="CU91">
        <f>LOG(Table1_1[[#This Row],[3:3 FTCA]])</f>
        <v>-1.1082091884723566</v>
      </c>
      <c r="CV91">
        <f>LOG(Table1_1[[#This Row],[5:3 FTCA]])</f>
        <v>0.64836001098093166</v>
      </c>
      <c r="CW91">
        <f>LOG(Table1_1[[#This Row],[7:3 FTCA]])</f>
        <v>1.0530784434834197</v>
      </c>
      <c r="CX91">
        <f>LOG(Table1_1[[#This Row],[6:2 FTCA]])</f>
        <v>0.41664050733828095</v>
      </c>
      <c r="CY91">
        <f>LOG(Table1_1[[#This Row],[8:2 FTCA]])</f>
        <v>-1.5681625966754731</v>
      </c>
      <c r="CZ91">
        <f>LOG(Table1_1[[#This Row],[10:2 FTCA]])</f>
        <v>-0.99639773290653733</v>
      </c>
      <c r="DA91">
        <f>LOG(Table1_1[[#This Row],[6:2 FTUCA]])</f>
        <v>-1.2752442063072329</v>
      </c>
      <c r="DB91">
        <f>LOG(Table1_1[[#This Row],[8:2 FTUCA]])</f>
        <v>-1.3889667388739846</v>
      </c>
      <c r="DC91">
        <f>LOG(Table1_1[[#This Row],[ADONA]])</f>
        <v>-1.1702225880034356</v>
      </c>
      <c r="DD91">
        <f>LOG(Table1_1[[#This Row],[9Cl-PF3ONS]])</f>
        <v>-1.3287963894944259</v>
      </c>
      <c r="DE91">
        <f>LOG(Table1_1[[#This Row],[11Cl-PF3OUdS]])</f>
        <v>-1.2737015813393002</v>
      </c>
      <c r="DF91">
        <f>LOG(Table1_1[[#This Row],[HFPO-DA]])</f>
        <v>-1.01336204199588</v>
      </c>
      <c r="DG91">
        <f>LOG(Table1_1[[#This Row],[6:2 diPAP]])</f>
        <v>-1.1430651173026851</v>
      </c>
      <c r="DH91">
        <f>LOG(Table1_1[[#This Row],[8:2 diPAP]])</f>
        <v>-1.0477399848805027</v>
      </c>
      <c r="DI91">
        <f>LOG(Table1_1[[#This Row],[diSAmPAP]])</f>
        <v>-0.92470992018928566</v>
      </c>
    </row>
    <row r="92" spans="1:113">
      <c r="A92" t="s">
        <v>241</v>
      </c>
      <c r="B92" t="s">
        <v>114</v>
      </c>
      <c r="C92" s="3">
        <v>44314</v>
      </c>
      <c r="D92" t="s">
        <v>226</v>
      </c>
      <c r="E92" t="s">
        <v>227</v>
      </c>
      <c r="F92" t="s">
        <v>228</v>
      </c>
      <c r="G92" t="s">
        <v>118</v>
      </c>
      <c r="H92" t="s">
        <v>119</v>
      </c>
      <c r="I92">
        <v>6</v>
      </c>
      <c r="J92">
        <f>LOG(Table1_1[[#This Row],[Length]])</f>
        <v>0.77815125038364363</v>
      </c>
      <c r="K92">
        <v>7.5</v>
      </c>
      <c r="L92">
        <f>LOG(Table1_1[[#This Row],[Weight]])</f>
        <v>0.87506126339170009</v>
      </c>
      <c r="M92">
        <v>9.1575091575091569E-2</v>
      </c>
      <c r="N92">
        <v>5.0369374747490592E-2</v>
      </c>
      <c r="O92">
        <v>0.12355569146250001</v>
      </c>
      <c r="P92">
        <v>9.1575091575091569E-2</v>
      </c>
      <c r="Q92">
        <v>9.1575091575091569E-2</v>
      </c>
      <c r="R92">
        <v>0.15843528112499999</v>
      </c>
      <c r="S92">
        <v>3.92</v>
      </c>
      <c r="T92">
        <v>3.45</v>
      </c>
      <c r="U92">
        <v>5.6920830117628607E-2</v>
      </c>
      <c r="V92">
        <v>1.74</v>
      </c>
      <c r="W92">
        <v>3.74</v>
      </c>
      <c r="X92">
        <v>8.4963509576537019E-2</v>
      </c>
      <c r="Y92">
        <v>5.4390985873588461E-2</v>
      </c>
      <c r="Z92">
        <v>0.15581715187499998</v>
      </c>
      <c r="AA92">
        <v>0.121232815275</v>
      </c>
      <c r="AB92">
        <v>6.3</v>
      </c>
      <c r="AC92">
        <v>0.2289377289377289</v>
      </c>
      <c r="AD92">
        <v>598</v>
      </c>
      <c r="AE92">
        <v>0.29699999999999999</v>
      </c>
      <c r="AF92">
        <v>0.18748882349999996</v>
      </c>
      <c r="AG92">
        <v>0.24481919962499998</v>
      </c>
      <c r="AH92">
        <v>0.13912183889999999</v>
      </c>
      <c r="AI92">
        <v>9.1575091575091569E-2</v>
      </c>
      <c r="AJ92">
        <v>45.3</v>
      </c>
      <c r="AK92">
        <v>108</v>
      </c>
      <c r="AL92">
        <v>17.100000000000001</v>
      </c>
      <c r="AM92">
        <v>5.4920670526976155E-2</v>
      </c>
      <c r="AN92">
        <v>8.3192523552383935E-2</v>
      </c>
      <c r="AO92">
        <v>5.6193339494981176E-2</v>
      </c>
      <c r="AP92">
        <v>7.1721393241844414E-2</v>
      </c>
      <c r="AQ92">
        <v>6.1879096707967367E-2</v>
      </c>
      <c r="AR92">
        <v>5.855684042032621E-2</v>
      </c>
      <c r="AS92">
        <v>4.3040425953105393E-2</v>
      </c>
      <c r="AT92">
        <v>3.02</v>
      </c>
      <c r="AU92">
        <v>0.25995089999999998</v>
      </c>
      <c r="AV92">
        <v>8.2232294863550812E-2</v>
      </c>
      <c r="AW92">
        <v>2.82</v>
      </c>
      <c r="AX92">
        <v>111</v>
      </c>
      <c r="AY92">
        <v>1.78</v>
      </c>
      <c r="AZ92">
        <v>23.2</v>
      </c>
      <c r="BA92">
        <v>0.10637850089868257</v>
      </c>
      <c r="BB92">
        <v>5.5976712967377662E-2</v>
      </c>
      <c r="BC92">
        <v>4.3080909164209535E-2</v>
      </c>
      <c r="BD92">
        <v>7.1290065016539297E-2</v>
      </c>
      <c r="BE92">
        <v>4.9482907438833122E-2</v>
      </c>
      <c r="BF92">
        <v>5.6175897209849439E-2</v>
      </c>
      <c r="BG92">
        <v>0.10230327969730239</v>
      </c>
      <c r="BH92">
        <v>7.5890337021643661E-2</v>
      </c>
      <c r="BI92">
        <v>9.4517366795796726E-2</v>
      </c>
      <c r="BJ92">
        <v>0.12547051442910914</v>
      </c>
      <c r="BK92">
        <f>SUM(Table1_1[[#This Row],[PFBA]:[diSAmPAP]])</f>
        <v>933.19160757271629</v>
      </c>
      <c r="BL92">
        <f>LOG(Table1_1[[#This Row],[PFBA]])</f>
        <v>-1.0382226383687185</v>
      </c>
      <c r="BM92">
        <f>LOG(Table1_1[[#This Row],[PFPeA]])</f>
        <v>-1.2978334401567817</v>
      </c>
      <c r="BN92">
        <f>LOG(Table1_1[[#This Row],[PFHxA]])</f>
        <v>-0.90813724448426458</v>
      </c>
      <c r="BO92">
        <f>LOG(Table1_1[[#This Row],[PFHpA]])</f>
        <v>-1.0382226383687185</v>
      </c>
      <c r="BP92">
        <f>LOG(Table1_1[[#This Row],[PFOA]])</f>
        <v>-1.0382226383687185</v>
      </c>
      <c r="BQ92">
        <f>LOG(Table1_1[[#This Row],[PFNA]])</f>
        <v>-0.8001481012077386</v>
      </c>
      <c r="BR92">
        <f>LOG(Table1_1[[#This Row],[PFDA]])</f>
        <v>0.59328606702045728</v>
      </c>
      <c r="BS92">
        <f>LOG(Table1_1[[#This Row],[PFUnA]])</f>
        <v>0.53781909507327419</v>
      </c>
      <c r="BT92">
        <f>LOG(Table1_1[[#This Row],[PFDoA]])</f>
        <v>-1.2447287749110738</v>
      </c>
      <c r="BU92">
        <f>LOG(Table1_1[[#This Row],[PFTrDA]])</f>
        <v>0.24054924828259971</v>
      </c>
      <c r="BV92">
        <f>LOG(Table1_1[[#This Row],[PFTeDA]])</f>
        <v>0.57287160220048017</v>
      </c>
      <c r="BW92">
        <f>LOG(Table1_1[[#This Row],[PFHxDA]])</f>
        <v>-1.0707675565469321</v>
      </c>
      <c r="BX92">
        <f>LOG(Table1_1[[#This Row],[PFPrS]])</f>
        <v>-1.2644730692308124</v>
      </c>
      <c r="BY92">
        <f>LOG(Table1_1[[#This Row],[PFBS]])</f>
        <v>-0.8073847382252507</v>
      </c>
      <c r="BZ92">
        <f>LOG(Table1_1[[#This Row],[PFPeS]])</f>
        <v>-0.91637980951061604</v>
      </c>
      <c r="CA92">
        <f>LOG(Table1_1[[#This Row],[PFHxS]])</f>
        <v>0.79934054945358168</v>
      </c>
      <c r="CB92">
        <f>LOG(Table1_1[[#This Row],[PFHpS]])</f>
        <v>-0.64028262969668093</v>
      </c>
      <c r="CC92">
        <f>LOG(Table1_1[[#This Row],[PFOS]])</f>
        <v>2.7767011839884108</v>
      </c>
      <c r="CD92">
        <f>LOG(Table1_1[[#This Row],[PFNS]])</f>
        <v>-0.52724355068278772</v>
      </c>
      <c r="CE92">
        <f>LOG(Table1_1[[#This Row],[PFDS]])</f>
        <v>-0.72702461613331926</v>
      </c>
      <c r="CF92">
        <f>LOG(Table1_1[[#This Row],[PFDoS]])</f>
        <v>-0.6111545262151048</v>
      </c>
      <c r="CG92">
        <f>LOG(Table1_1[[#This Row],[Cl-PFOS]])</f>
        <v>-0.85660469050186006</v>
      </c>
      <c r="CH92">
        <f>LOG(Table1_1[[#This Row],[PFEtCHxS]])</f>
        <v>-1.0382226383687185</v>
      </c>
      <c r="CI92">
        <f>LOG(Table1_1[[#This Row],[FBSA]])</f>
        <v>1.6560982020128319</v>
      </c>
      <c r="CJ92">
        <f>LOG(Table1_1[[#This Row],[FHxSA]])</f>
        <v>2.0334237554869499</v>
      </c>
      <c r="CK92">
        <f>LOG(Table1_1[[#This Row],[FOSA]])</f>
        <v>1.2329961103921538</v>
      </c>
      <c r="CL92">
        <f>LOG(Table1_1[[#This Row],[N-MeFOSA]])</f>
        <v>-1.2602641690975542</v>
      </c>
      <c r="CM92">
        <f>LOG(Table1_1[[#This Row],[N-EtFOSA]])</f>
        <v>-1.0799157016640994</v>
      </c>
      <c r="CN92">
        <f>LOG(Table1_1[[#This Row],[FOSAA]])</f>
        <v>-1.2503151575981701</v>
      </c>
      <c r="CO92">
        <f>LOG(Table1_1[[#This Row],[N-MeFOSAA]])</f>
        <v>-1.144351282531942</v>
      </c>
      <c r="CP92">
        <f>LOG(Table1_1[[#This Row],[N-EtFOSAA]])</f>
        <v>-1.2084560346237465</v>
      </c>
      <c r="CQ92">
        <f>LOG(Table1_1[[#This Row],[4:2 FTS]])</f>
        <v>-1.2324223647542529</v>
      </c>
      <c r="CR92">
        <f>LOG(Table1_1[[#This Row],[6:2 FTS]])</f>
        <v>-1.3661234392894406</v>
      </c>
      <c r="CS92">
        <f>LOG(Table1_1[[#This Row],[8:2 FTS]])</f>
        <v>0.48000694295715063</v>
      </c>
      <c r="CT92">
        <f>LOG(Table1_1[[#This Row],[10:2 FTS]])</f>
        <v>-0.58510867461679494</v>
      </c>
      <c r="CU92">
        <f>LOG(Table1_1[[#This Row],[3:3 FTCA]])</f>
        <v>-1.0849575896791834</v>
      </c>
      <c r="CV92">
        <f>LOG(Table1_1[[#This Row],[5:3 FTCA]])</f>
        <v>0.45024910831936105</v>
      </c>
      <c r="CW92">
        <f>LOG(Table1_1[[#This Row],[7:3 FTCA]])</f>
        <v>2.0453229787866576</v>
      </c>
      <c r="CX92">
        <f>LOG(Table1_1[[#This Row],[6:2 FTCA]])</f>
        <v>0.250420002308894</v>
      </c>
      <c r="CY92">
        <f>LOG(Table1_1[[#This Row],[8:2 FTCA]])</f>
        <v>1.3654879848908996</v>
      </c>
      <c r="CZ92">
        <f>LOG(Table1_1[[#This Row],[10:2 FTCA]])</f>
        <v>-0.97314613411336404</v>
      </c>
      <c r="DA92">
        <f>LOG(Table1_1[[#This Row],[6:2 FTUCA]])</f>
        <v>-1.2519926075140597</v>
      </c>
      <c r="DB92">
        <f>LOG(Table1_1[[#This Row],[8:2 FTUCA]])</f>
        <v>-1.3657151400808114</v>
      </c>
      <c r="DC92">
        <f>LOG(Table1_1[[#This Row],[ADONA]])</f>
        <v>-1.1469709892102622</v>
      </c>
      <c r="DD92">
        <f>LOG(Table1_1[[#This Row],[9Cl-PF3ONS]])</f>
        <v>-1.3055447907012527</v>
      </c>
      <c r="DE92">
        <f>LOG(Table1_1[[#This Row],[11Cl-PF3OUdS]])</f>
        <v>-1.2504499825461268</v>
      </c>
      <c r="DF92">
        <f>LOG(Table1_1[[#This Row],[HFPO-DA]])</f>
        <v>-0.9901104432027068</v>
      </c>
      <c r="DG92">
        <f>LOG(Table1_1[[#This Row],[6:2 diPAP]])</f>
        <v>-1.1198135185095117</v>
      </c>
      <c r="DH92">
        <f>LOG(Table1_1[[#This Row],[8:2 diPAP]])</f>
        <v>-1.0244883860873295</v>
      </c>
      <c r="DI92">
        <f>LOG(Table1_1[[#This Row],[diSAmPAP]])</f>
        <v>-0.90145832139611237</v>
      </c>
    </row>
    <row r="93" spans="1:113">
      <c r="A93" t="s">
        <v>242</v>
      </c>
      <c r="B93" t="s">
        <v>114</v>
      </c>
      <c r="C93" s="3">
        <v>44314</v>
      </c>
      <c r="D93" t="s">
        <v>226</v>
      </c>
      <c r="E93" t="s">
        <v>227</v>
      </c>
      <c r="F93" t="s">
        <v>228</v>
      </c>
      <c r="G93" t="s">
        <v>118</v>
      </c>
      <c r="H93" t="s">
        <v>119</v>
      </c>
      <c r="I93">
        <v>10</v>
      </c>
      <c r="J93">
        <f>LOG(Table1_1[[#This Row],[Length]])</f>
        <v>1</v>
      </c>
      <c r="K93">
        <v>18.3</v>
      </c>
      <c r="L93">
        <f>LOG(Table1_1[[#This Row],[Weight]])</f>
        <v>1.2624510897304295</v>
      </c>
      <c r="M93">
        <v>9.9756151629350476E-2</v>
      </c>
      <c r="N93">
        <v>4.901635125E-2</v>
      </c>
      <c r="O93">
        <v>0.13459380799085013</v>
      </c>
      <c r="P93">
        <v>9.9756151629350476E-2</v>
      </c>
      <c r="Q93">
        <v>9.9756151629350476E-2</v>
      </c>
      <c r="R93">
        <v>0.1725894416865994</v>
      </c>
      <c r="S93">
        <v>1.44</v>
      </c>
      <c r="T93">
        <v>3.11</v>
      </c>
      <c r="U93">
        <v>50.9</v>
      </c>
      <c r="V93">
        <v>3.17</v>
      </c>
      <c r="W93">
        <v>8.94</v>
      </c>
      <c r="X93">
        <v>8.2681217500000001E-2</v>
      </c>
      <c r="Y93">
        <v>5.2929933750000005E-2</v>
      </c>
      <c r="Z93">
        <v>0.16973741616354465</v>
      </c>
      <c r="AA93">
        <v>0.13206341260504323</v>
      </c>
      <c r="AB93">
        <v>7.02</v>
      </c>
      <c r="AC93">
        <v>0.24939037907337619</v>
      </c>
      <c r="AD93">
        <v>334</v>
      </c>
      <c r="AE93">
        <v>0.14216012163933717</v>
      </c>
      <c r="AF93">
        <v>0.20423854548414982</v>
      </c>
      <c r="AG93">
        <v>0.26669065549927956</v>
      </c>
      <c r="AH93">
        <v>4.2158133E-2</v>
      </c>
      <c r="AI93">
        <v>9.9756151629350476E-2</v>
      </c>
      <c r="AJ93">
        <v>22.8</v>
      </c>
      <c r="AK93">
        <v>69.8</v>
      </c>
      <c r="AL93">
        <v>17</v>
      </c>
      <c r="AM93">
        <v>5.3445390000000002E-2</v>
      </c>
      <c r="AN93">
        <v>8.0957803750000001E-2</v>
      </c>
      <c r="AO93">
        <v>5.4683872499999994E-2</v>
      </c>
      <c r="AP93">
        <v>6.9794811250000005E-2</v>
      </c>
      <c r="AQ93">
        <v>6.0216898750000004E-2</v>
      </c>
      <c r="AR93">
        <v>5.6983884999999998E-2</v>
      </c>
      <c r="AS93">
        <v>4.1884272875000003E-2</v>
      </c>
      <c r="AT93">
        <v>0.64100000000000001</v>
      </c>
      <c r="AU93">
        <v>0.28317417925072041</v>
      </c>
      <c r="AV93">
        <v>8.002336874999999E-2</v>
      </c>
      <c r="AW93">
        <v>0.55700000000000005</v>
      </c>
      <c r="AX93">
        <v>10.9</v>
      </c>
      <c r="AY93">
        <v>2.75</v>
      </c>
      <c r="AZ93">
        <v>2.7750027750027748E-2</v>
      </c>
      <c r="BA93">
        <v>0.10352095875000002</v>
      </c>
      <c r="BB93">
        <v>5.4473065000000001E-2</v>
      </c>
      <c r="BC93">
        <v>4.1923668625000007E-2</v>
      </c>
      <c r="BD93">
        <v>6.9375069375069362E-2</v>
      </c>
      <c r="BE93">
        <v>4.8153696250000003E-2</v>
      </c>
      <c r="BF93">
        <v>5.4666898749999998E-2</v>
      </c>
      <c r="BG93">
        <v>9.955520625E-2</v>
      </c>
      <c r="BH93">
        <v>7.3851768750000005E-2</v>
      </c>
      <c r="BI93">
        <v>9.1978438749999988E-2</v>
      </c>
      <c r="BJ93">
        <v>0.12210012210012208</v>
      </c>
      <c r="BK93">
        <f>SUM(Table1_1[[#This Row],[PFBA]:[diSAmPAP]])</f>
        <v>536.69378742463562</v>
      </c>
      <c r="BL93">
        <f>LOG(Table1_1[[#This Row],[PFBA]])</f>
        <v>-1.0010603133223668</v>
      </c>
      <c r="BM93">
        <f>LOG(Table1_1[[#This Row],[PFPeA]])</f>
        <v>-1.3096590205210878</v>
      </c>
      <c r="BN93">
        <f>LOG(Table1_1[[#This Row],[PFHxA]])</f>
        <v>-0.87097491943791294</v>
      </c>
      <c r="BO93">
        <f>LOG(Table1_1[[#This Row],[PFHpA]])</f>
        <v>-1.0010603133223668</v>
      </c>
      <c r="BP93">
        <f>LOG(Table1_1[[#This Row],[PFOA]])</f>
        <v>-1.0010603133223668</v>
      </c>
      <c r="BQ93">
        <f>LOG(Table1_1[[#This Row],[PFNA]])</f>
        <v>-0.76298577616138696</v>
      </c>
      <c r="BR93">
        <f>LOG(Table1_1[[#This Row],[PFDA]])</f>
        <v>0.15836249209524964</v>
      </c>
      <c r="BS93">
        <f>LOG(Table1_1[[#This Row],[PFUnA]])</f>
        <v>0.4927603890268375</v>
      </c>
      <c r="BT93">
        <f>LOG(Table1_1[[#This Row],[PFDoA]])</f>
        <v>1.7067177823367587</v>
      </c>
      <c r="BU93">
        <f>LOG(Table1_1[[#This Row],[PFTrDA]])</f>
        <v>0.50105926221775143</v>
      </c>
      <c r="BV93">
        <f>LOG(Table1_1[[#This Row],[PFTeDA]])</f>
        <v>0.95133751879591766</v>
      </c>
      <c r="BW93">
        <f>LOG(Table1_1[[#This Row],[PFHxDA]])</f>
        <v>-1.0825931369112383</v>
      </c>
      <c r="BX93">
        <f>LOG(Table1_1[[#This Row],[PFPrS]])</f>
        <v>-1.2762986495951185</v>
      </c>
      <c r="BY93">
        <f>LOG(Table1_1[[#This Row],[PFBS]])</f>
        <v>-0.77022241317889906</v>
      </c>
      <c r="BZ93">
        <f>LOG(Table1_1[[#This Row],[PFPeS]])</f>
        <v>-0.87921748446426451</v>
      </c>
      <c r="CA93">
        <f>LOG(Table1_1[[#This Row],[PFHxS]])</f>
        <v>0.84633711212980522</v>
      </c>
      <c r="CB93">
        <f>LOG(Table1_1[[#This Row],[PFHpS]])</f>
        <v>-0.60312030465032918</v>
      </c>
      <c r="CC93">
        <f>LOG(Table1_1[[#This Row],[PFOS]])</f>
        <v>2.5237464668115646</v>
      </c>
      <c r="CD93">
        <f>LOG(Table1_1[[#This Row],[PFNS]])</f>
        <v>-0.84722221359843364</v>
      </c>
      <c r="CE93">
        <f>LOG(Table1_1[[#This Row],[PFDS]])</f>
        <v>-0.68986229108696762</v>
      </c>
      <c r="CF93">
        <f>LOG(Table1_1[[#This Row],[PFDoS]])</f>
        <v>-0.57399220116875305</v>
      </c>
      <c r="CG93">
        <f>LOG(Table1_1[[#This Row],[Cl-PFOS]])</f>
        <v>-1.3751186303797476</v>
      </c>
      <c r="CH93">
        <f>LOG(Table1_1[[#This Row],[PFEtCHxS]])</f>
        <v>-1.0010603133223668</v>
      </c>
      <c r="CI93">
        <f>LOG(Table1_1[[#This Row],[FBSA]])</f>
        <v>1.3579348470004537</v>
      </c>
      <c r="CJ93">
        <f>LOG(Table1_1[[#This Row],[FHxSA]])</f>
        <v>1.8438554226231612</v>
      </c>
      <c r="CK93">
        <f>LOG(Table1_1[[#This Row],[FOSA]])</f>
        <v>1.2304489213782739</v>
      </c>
      <c r="CL93">
        <f>LOG(Table1_1[[#This Row],[N-MeFOSA]])</f>
        <v>-1.2720897494618604</v>
      </c>
      <c r="CM93">
        <f>LOG(Table1_1[[#This Row],[N-EtFOSA]])</f>
        <v>-1.0917412820284056</v>
      </c>
      <c r="CN93">
        <f>LOG(Table1_1[[#This Row],[FOSAA]])</f>
        <v>-1.2621407379624763</v>
      </c>
      <c r="CO93">
        <f>LOG(Table1_1[[#This Row],[N-MeFOSAA]])</f>
        <v>-1.1561768628962481</v>
      </c>
      <c r="CP93">
        <f>LOG(Table1_1[[#This Row],[N-EtFOSAA]])</f>
        <v>-1.2202816149880524</v>
      </c>
      <c r="CQ93">
        <f>LOG(Table1_1[[#This Row],[4:2 FTS]])</f>
        <v>-1.2442479451185591</v>
      </c>
      <c r="CR93">
        <f>LOG(Table1_1[[#This Row],[6:2 FTS]])</f>
        <v>-1.3779490196537465</v>
      </c>
      <c r="CS93">
        <f>LOG(Table1_1[[#This Row],[8:2 FTS]])</f>
        <v>-0.19314197048118256</v>
      </c>
      <c r="CT93">
        <f>LOG(Table1_1[[#This Row],[10:2 FTS]])</f>
        <v>-0.54794634957044341</v>
      </c>
      <c r="CU93">
        <f>LOG(Table1_1[[#This Row],[3:3 FTCA]])</f>
        <v>-1.0967831700434896</v>
      </c>
      <c r="CV93">
        <f>LOG(Table1_1[[#This Row],[5:3 FTCA]])</f>
        <v>-0.25414480482627105</v>
      </c>
      <c r="CW93">
        <f>LOG(Table1_1[[#This Row],[7:3 FTCA]])</f>
        <v>1.0374264979406236</v>
      </c>
      <c r="CX93">
        <f>LOG(Table1_1[[#This Row],[6:2 FTCA]])</f>
        <v>0.43933269383026263</v>
      </c>
      <c r="CY93">
        <f>LOG(Table1_1[[#This Row],[8:2 FTCA]])</f>
        <v>-1.5567365782466058</v>
      </c>
      <c r="CZ93">
        <f>LOG(Table1_1[[#This Row],[10:2 FTCA]])</f>
        <v>-0.98497171447767007</v>
      </c>
      <c r="DA93">
        <f>LOG(Table1_1[[#This Row],[6:2 FTUCA]])</f>
        <v>-1.2638181878783656</v>
      </c>
      <c r="DB93">
        <f>LOG(Table1_1[[#This Row],[8:2 FTUCA]])</f>
        <v>-1.3775407204451173</v>
      </c>
      <c r="DC93">
        <f>LOG(Table1_1[[#This Row],[ADONA]])</f>
        <v>-1.1587965695745683</v>
      </c>
      <c r="DD93">
        <f>LOG(Table1_1[[#This Row],[9Cl-PF3ONS]])</f>
        <v>-1.3173703710655587</v>
      </c>
      <c r="DE93">
        <f>LOG(Table1_1[[#This Row],[11Cl-PF3OUdS]])</f>
        <v>-1.262275562910433</v>
      </c>
      <c r="DF93">
        <f>LOG(Table1_1[[#This Row],[HFPO-DA]])</f>
        <v>-1.0019360235670129</v>
      </c>
      <c r="DG93">
        <f>LOG(Table1_1[[#This Row],[6:2 diPAP]])</f>
        <v>-1.1316390988738179</v>
      </c>
      <c r="DH93">
        <f>LOG(Table1_1[[#This Row],[8:2 diPAP]])</f>
        <v>-1.0363139664516356</v>
      </c>
      <c r="DI93">
        <f>LOG(Table1_1[[#This Row],[diSAmPAP]])</f>
        <v>-0.91328390176041852</v>
      </c>
    </row>
    <row r="94" spans="1:113">
      <c r="A94" t="s">
        <v>243</v>
      </c>
      <c r="B94" t="s">
        <v>114</v>
      </c>
      <c r="C94" s="3">
        <v>44314</v>
      </c>
      <c r="D94" t="s">
        <v>226</v>
      </c>
      <c r="E94" t="s">
        <v>227</v>
      </c>
      <c r="F94" t="s">
        <v>228</v>
      </c>
      <c r="G94" t="s">
        <v>118</v>
      </c>
      <c r="H94" t="s">
        <v>244</v>
      </c>
      <c r="I94">
        <v>10</v>
      </c>
      <c r="J94">
        <f>LOG(Table1_1[[#This Row],[Length]])</f>
        <v>1</v>
      </c>
      <c r="K94">
        <v>25.5</v>
      </c>
      <c r="L94">
        <f>LOG(Table1_1[[#This Row],[Weight]])</f>
        <v>1.4065401804339552</v>
      </c>
      <c r="M94">
        <v>2.8018006238676056E-2</v>
      </c>
      <c r="N94">
        <v>4.9489695919971231E-2</v>
      </c>
      <c r="O94">
        <v>3.7802682745685226E-2</v>
      </c>
      <c r="P94">
        <v>0.70977917981072558</v>
      </c>
      <c r="Q94">
        <v>0.70977917981072558</v>
      </c>
      <c r="R94">
        <v>1.2279983776786276</v>
      </c>
      <c r="S94">
        <v>13.5</v>
      </c>
      <c r="T94">
        <v>20</v>
      </c>
      <c r="U94">
        <v>5.5926733022909389E-2</v>
      </c>
      <c r="V94">
        <v>23.1</v>
      </c>
      <c r="W94">
        <v>33.1</v>
      </c>
      <c r="X94">
        <v>8.3479659501746462E-2</v>
      </c>
      <c r="Y94">
        <v>5.3441071388432293E-2</v>
      </c>
      <c r="Z94">
        <v>4.7673290391925201E-2</v>
      </c>
      <c r="AA94">
        <v>0.93964992785701895</v>
      </c>
      <c r="AB94">
        <v>27.8</v>
      </c>
      <c r="AC94">
        <v>5.04</v>
      </c>
      <c r="AD94">
        <v>3040</v>
      </c>
      <c r="AE94">
        <v>6.54</v>
      </c>
      <c r="AF94">
        <v>6.75</v>
      </c>
      <c r="AG94">
        <v>6.09</v>
      </c>
      <c r="AH94">
        <v>1.0783039690135645</v>
      </c>
      <c r="AI94">
        <v>0.70977917981072558</v>
      </c>
      <c r="AJ94">
        <v>67</v>
      </c>
      <c r="AK94">
        <v>201</v>
      </c>
      <c r="AL94">
        <v>50.2</v>
      </c>
      <c r="AM94">
        <v>5.3961505333881235E-2</v>
      </c>
      <c r="AN94">
        <v>8.1739602964351746E-2</v>
      </c>
      <c r="AO94">
        <v>5.521194770186974E-2</v>
      </c>
      <c r="AP94">
        <v>28.1</v>
      </c>
      <c r="AQ94">
        <v>6.0798405682658721E-2</v>
      </c>
      <c r="AR94">
        <v>5.7534171130059583E-2</v>
      </c>
      <c r="AS94">
        <v>1.071299283589235</v>
      </c>
      <c r="AT94">
        <v>4.2699999999999996</v>
      </c>
      <c r="AU94">
        <v>2.0148244835962146</v>
      </c>
      <c r="AV94">
        <v>8.0796144244401069E-2</v>
      </c>
      <c r="AW94">
        <v>5.2859838430244499E-2</v>
      </c>
      <c r="AX94">
        <v>23.7</v>
      </c>
      <c r="AY94">
        <v>4.4945558095284575E-2</v>
      </c>
      <c r="AZ94">
        <v>45.4</v>
      </c>
      <c r="BA94">
        <v>0.10452064748253544</v>
      </c>
      <c r="BB94">
        <v>5.4999104460653377E-2</v>
      </c>
      <c r="BC94">
        <v>4.2328520160930756E-2</v>
      </c>
      <c r="BD94">
        <v>7.004501559669013E-2</v>
      </c>
      <c r="BE94">
        <v>4.8618710370351342E-2</v>
      </c>
      <c r="BF94">
        <v>5.5194810038524757E-2</v>
      </c>
      <c r="BG94">
        <v>0.10051659821501951</v>
      </c>
      <c r="BH94">
        <v>7.456494588812411E-2</v>
      </c>
      <c r="BI94">
        <v>9.2866662834908562E-2</v>
      </c>
      <c r="BJ94">
        <v>0.12327922745017464</v>
      </c>
      <c r="BK94">
        <f>SUM(Table1_1[[#This Row],[PFBA]:[diSAmPAP]])</f>
        <v>3611.6620261364565</v>
      </c>
      <c r="BL94">
        <f>LOG(Table1_1[[#This Row],[PFBA]])</f>
        <v>-1.5525627723460502</v>
      </c>
      <c r="BM94">
        <f>LOG(Table1_1[[#This Row],[PFPeA]])</f>
        <v>-1.3054852146205322</v>
      </c>
      <c r="BN94">
        <f>LOG(Table1_1[[#This Row],[PFHxA]])</f>
        <v>-1.4224773784615963</v>
      </c>
      <c r="BO94">
        <f>LOG(Table1_1[[#This Row],[PFHpA]])</f>
        <v>-0.14887674410638899</v>
      </c>
      <c r="BP94">
        <f>LOG(Table1_1[[#This Row],[PFOA]])</f>
        <v>-0.14887674410638899</v>
      </c>
      <c r="BQ94">
        <f>LOG(Table1_1[[#This Row],[PFNA]])</f>
        <v>8.9197793054590815E-2</v>
      </c>
      <c r="BR94">
        <f>LOG(Table1_1[[#This Row],[PFDA]])</f>
        <v>1.1303337684950061</v>
      </c>
      <c r="BS94">
        <f>LOG(Table1_1[[#This Row],[PFUnA]])</f>
        <v>1.3010299956639813</v>
      </c>
      <c r="BT94">
        <f>LOG(Table1_1[[#This Row],[PFDoA]])</f>
        <v>-1.2523805493748243</v>
      </c>
      <c r="BU94">
        <f>LOG(Table1_1[[#This Row],[PFTrDA]])</f>
        <v>1.3636119798921444</v>
      </c>
      <c r="BV94">
        <f>LOG(Table1_1[[#This Row],[PFTeDA]])</f>
        <v>1.5198279937757189</v>
      </c>
      <c r="BW94">
        <f>LOG(Table1_1[[#This Row],[PFHxDA]])</f>
        <v>-1.0784193310106827</v>
      </c>
      <c r="BX94">
        <f>LOG(Table1_1[[#This Row],[PFPrS]])</f>
        <v>-1.2721248436945629</v>
      </c>
      <c r="BY94">
        <f>LOG(Table1_1[[#This Row],[PFBS]])</f>
        <v>-1.3217248722025825</v>
      </c>
      <c r="BZ94">
        <f>LOG(Table1_1[[#This Row],[PFPeS]])</f>
        <v>-2.7033915248286668E-2</v>
      </c>
      <c r="CA94">
        <f>LOG(Table1_1[[#This Row],[PFHxS]])</f>
        <v>1.4440447959180762</v>
      </c>
      <c r="CB94">
        <f>LOG(Table1_1[[#This Row],[PFHpS]])</f>
        <v>0.70243053644552533</v>
      </c>
      <c r="CC94">
        <f>LOG(Table1_1[[#This Row],[PFOS]])</f>
        <v>3.4828735836087539</v>
      </c>
      <c r="CD94">
        <f>LOG(Table1_1[[#This Row],[PFNS]])</f>
        <v>0.81557774832426722</v>
      </c>
      <c r="CE94">
        <f>LOG(Table1_1[[#This Row],[PFDS]])</f>
        <v>0.82930377283102497</v>
      </c>
      <c r="CF94">
        <f>LOG(Table1_1[[#This Row],[PFDoS]])</f>
        <v>0.78461729263287538</v>
      </c>
      <c r="CG94">
        <f>LOG(Table1_1[[#This Row],[Cl-PFOS]])</f>
        <v>3.2741203760469281E-2</v>
      </c>
      <c r="CH94">
        <f>LOG(Table1_1[[#This Row],[PFEtCHxS]])</f>
        <v>-0.14887674410638899</v>
      </c>
      <c r="CI94">
        <f>LOG(Table1_1[[#This Row],[FBSA]])</f>
        <v>1.8260748027008264</v>
      </c>
      <c r="CJ94">
        <f>LOG(Table1_1[[#This Row],[FHxSA]])</f>
        <v>2.3031960574204891</v>
      </c>
      <c r="CK94">
        <f>LOG(Table1_1[[#This Row],[FOSA]])</f>
        <v>1.7007037171450194</v>
      </c>
      <c r="CL94">
        <f>LOG(Table1_1[[#This Row],[N-MeFOSA]])</f>
        <v>-1.2679159435613048</v>
      </c>
      <c r="CM94">
        <f>LOG(Table1_1[[#This Row],[N-EtFOSA]])</f>
        <v>-1.08756747612785</v>
      </c>
      <c r="CN94">
        <f>LOG(Table1_1[[#This Row],[FOSAA]])</f>
        <v>-1.2579669320619205</v>
      </c>
      <c r="CO94">
        <f>LOG(Table1_1[[#This Row],[N-MeFOSAA]])</f>
        <v>1.4487063199050798</v>
      </c>
      <c r="CP94">
        <f>LOG(Table1_1[[#This Row],[N-EtFOSAA]])</f>
        <v>-1.2161078090874968</v>
      </c>
      <c r="CQ94">
        <f>LOG(Table1_1[[#This Row],[4:2 FTS]])</f>
        <v>-1.2400741392180035</v>
      </c>
      <c r="CR94">
        <f>LOG(Table1_1[[#This Row],[6:2 FTS]])</f>
        <v>2.9910814486470278E-2</v>
      </c>
      <c r="CS94">
        <f>LOG(Table1_1[[#This Row],[8:2 FTS]])</f>
        <v>0.63042787502502384</v>
      </c>
      <c r="CT94">
        <f>LOG(Table1_1[[#This Row],[10:2 FTS]])</f>
        <v>0.30423721964553446</v>
      </c>
      <c r="CU94">
        <f>LOG(Table1_1[[#This Row],[3:3 FTCA]])</f>
        <v>-1.0926093641429337</v>
      </c>
      <c r="CV94">
        <f>LOG(Table1_1[[#This Row],[5:3 FTCA]])</f>
        <v>-1.2768741686534286</v>
      </c>
      <c r="CW94">
        <f>LOG(Table1_1[[#This Row],[7:3 FTCA]])</f>
        <v>1.3747483460101038</v>
      </c>
      <c r="CX94">
        <f>LOG(Table1_1[[#This Row],[6:2 FTCA]])</f>
        <v>-1.3473132225075874</v>
      </c>
      <c r="CY94">
        <f>LOG(Table1_1[[#This Row],[8:2 FTCA]])</f>
        <v>1.657055852857104</v>
      </c>
      <c r="CZ94">
        <f>LOG(Table1_1[[#This Row],[10:2 FTCA]])</f>
        <v>-0.98079790857711446</v>
      </c>
      <c r="DA94">
        <f>LOG(Table1_1[[#This Row],[6:2 FTUCA]])</f>
        <v>-1.25964438197781</v>
      </c>
      <c r="DB94">
        <f>LOG(Table1_1[[#This Row],[8:2 FTUCA]])</f>
        <v>-1.3733669145445617</v>
      </c>
      <c r="DC94">
        <f>LOG(Table1_1[[#This Row],[ADONA]])</f>
        <v>-1.1546227636740127</v>
      </c>
      <c r="DD94">
        <f>LOG(Table1_1[[#This Row],[9Cl-PF3ONS]])</f>
        <v>-1.313196565165003</v>
      </c>
      <c r="DE94">
        <f>LOG(Table1_1[[#This Row],[11Cl-PF3OUdS]])</f>
        <v>-1.2581017570098774</v>
      </c>
      <c r="DF94">
        <f>LOG(Table1_1[[#This Row],[HFPO-DA]])</f>
        <v>-0.99776221766645723</v>
      </c>
      <c r="DG94">
        <f>LOG(Table1_1[[#This Row],[6:2 diPAP]])</f>
        <v>-1.127465292973262</v>
      </c>
      <c r="DH94">
        <f>LOG(Table1_1[[#This Row],[8:2 diPAP]])</f>
        <v>-1.03214016055108</v>
      </c>
      <c r="DI94">
        <f>LOG(Table1_1[[#This Row],[diSAmPAP]])</f>
        <v>-0.9091100958598628</v>
      </c>
    </row>
    <row r="95" spans="1:113">
      <c r="A95" t="s">
        <v>245</v>
      </c>
      <c r="B95" t="s">
        <v>114</v>
      </c>
      <c r="C95" s="3">
        <v>44314</v>
      </c>
      <c r="D95" t="s">
        <v>226</v>
      </c>
      <c r="E95" t="s">
        <v>227</v>
      </c>
      <c r="F95" t="s">
        <v>228</v>
      </c>
      <c r="G95" t="s">
        <v>118</v>
      </c>
      <c r="H95" t="s">
        <v>246</v>
      </c>
      <c r="I95">
        <v>10</v>
      </c>
      <c r="J95">
        <f>LOG(Table1_1[[#This Row],[Length]])</f>
        <v>1</v>
      </c>
      <c r="K95">
        <v>25.5</v>
      </c>
      <c r="L95">
        <f>LOG(Table1_1[[#This Row],[Weight]])</f>
        <v>1.4065401804339552</v>
      </c>
      <c r="M95">
        <v>3.0229136857378932E-2</v>
      </c>
      <c r="N95">
        <v>5.3395333638328539E-2</v>
      </c>
      <c r="O95">
        <v>4.0786002421469743E-2</v>
      </c>
      <c r="P95">
        <v>9.2459420587630986E-2</v>
      </c>
      <c r="Q95">
        <v>9.2459420587630986E-2</v>
      </c>
      <c r="R95">
        <v>0.15996527048453868</v>
      </c>
      <c r="S95">
        <v>1.23</v>
      </c>
      <c r="T95">
        <v>1.59</v>
      </c>
      <c r="U95">
        <v>12.6</v>
      </c>
      <c r="V95">
        <v>1.45</v>
      </c>
      <c r="W95">
        <v>4.24</v>
      </c>
      <c r="X95">
        <v>9.0067723962536025E-2</v>
      </c>
      <c r="Y95">
        <v>5.7658544546109518E-2</v>
      </c>
      <c r="Z95">
        <v>0.15732185829335316</v>
      </c>
      <c r="AA95">
        <v>0.12240354515334909</v>
      </c>
      <c r="AB95">
        <v>2.81</v>
      </c>
      <c r="AC95">
        <v>0.46400000000000002</v>
      </c>
      <c r="AD95">
        <v>311</v>
      </c>
      <c r="AE95">
        <v>0.55300000000000005</v>
      </c>
      <c r="AF95">
        <v>0.60499999999999998</v>
      </c>
      <c r="AG95">
        <v>0.24718338749892133</v>
      </c>
      <c r="AH95">
        <v>0.14046532080431476</v>
      </c>
      <c r="AI95">
        <v>9.2459420587630986E-2</v>
      </c>
      <c r="AJ95">
        <v>9.74</v>
      </c>
      <c r="AK95">
        <v>36.6</v>
      </c>
      <c r="AL95">
        <v>5.82</v>
      </c>
      <c r="AM95">
        <v>5.8220050201729101E-2</v>
      </c>
      <c r="AN95">
        <v>8.819034529538905E-2</v>
      </c>
      <c r="AO95">
        <v>5.9569175230547548E-2</v>
      </c>
      <c r="AP95">
        <v>11.6</v>
      </c>
      <c r="AQ95">
        <v>6.5596506419308351E-2</v>
      </c>
      <c r="AR95">
        <v>6.207466435158502E-2</v>
      </c>
      <c r="AS95">
        <v>4.5626095523775216E-2</v>
      </c>
      <c r="AT95">
        <v>0.1443771208785391</v>
      </c>
      <c r="AU95">
        <v>0.2624612127799465</v>
      </c>
      <c r="AV95">
        <v>8.7172430511527385E-2</v>
      </c>
      <c r="AW95">
        <v>0.77400000000000002</v>
      </c>
      <c r="AX95">
        <v>4.0199999999999996</v>
      </c>
      <c r="AY95">
        <v>3.89</v>
      </c>
      <c r="AZ95">
        <v>3.0229136857378932E-2</v>
      </c>
      <c r="BA95">
        <v>0.11276922884005763</v>
      </c>
      <c r="BB95">
        <v>5.9339534783861676E-2</v>
      </c>
      <c r="BC95">
        <v>4.5669010778818443E-2</v>
      </c>
      <c r="BD95">
        <v>7.5572842143447339E-2</v>
      </c>
      <c r="BE95">
        <v>5.2455611476945246E-2</v>
      </c>
      <c r="BF95">
        <v>5.9550685093659947E-2</v>
      </c>
      <c r="BG95">
        <v>0.10844918721181558</v>
      </c>
      <c r="BH95">
        <v>8.0449477197406333E-2</v>
      </c>
      <c r="BI95">
        <v>0.10019553270172911</v>
      </c>
      <c r="BJ95">
        <v>0.13300820217246731</v>
      </c>
      <c r="BK95">
        <f>SUM(Table1_1[[#This Row],[PFBA]:[diSAmPAP]])</f>
        <v>412.0938304358732</v>
      </c>
      <c r="BL95">
        <f>LOG(Table1_1[[#This Row],[PFBA]])</f>
        <v>-1.5195742532002543</v>
      </c>
      <c r="BM95">
        <f>LOG(Table1_1[[#This Row],[PFPeA]])</f>
        <v>-1.2724966954747361</v>
      </c>
      <c r="BN95">
        <f>LOG(Table1_1[[#This Row],[PFHxA]])</f>
        <v>-1.3894888593158004</v>
      </c>
      <c r="BO95">
        <f>LOG(Table1_1[[#This Row],[PFHpA]])</f>
        <v>-1.0340488324681627</v>
      </c>
      <c r="BP95">
        <f>LOG(Table1_1[[#This Row],[PFOA]])</f>
        <v>-1.0340488324681627</v>
      </c>
      <c r="BQ95">
        <f>LOG(Table1_1[[#This Row],[PFNA]])</f>
        <v>-0.795974295307183</v>
      </c>
      <c r="BR95">
        <f>LOG(Table1_1[[#This Row],[PFDA]])</f>
        <v>8.9905111439397931E-2</v>
      </c>
      <c r="BS95">
        <f>LOG(Table1_1[[#This Row],[PFUnA]])</f>
        <v>0.20139712432045151</v>
      </c>
      <c r="BT95">
        <f>LOG(Table1_1[[#This Row],[PFDoA]])</f>
        <v>1.1003705451175629</v>
      </c>
      <c r="BU95">
        <f>LOG(Table1_1[[#This Row],[PFTrDA]])</f>
        <v>0.16136800223497488</v>
      </c>
      <c r="BV95">
        <f>LOG(Table1_1[[#This Row],[PFTeDA]])</f>
        <v>0.6273658565927327</v>
      </c>
      <c r="BW95">
        <f>LOG(Table1_1[[#This Row],[PFHxDA]])</f>
        <v>-1.0454308118648867</v>
      </c>
      <c r="BX95">
        <f>LOG(Table1_1[[#This Row],[PFPrS]])</f>
        <v>-1.2391363245487668</v>
      </c>
      <c r="BY95">
        <f>LOG(Table1_1[[#This Row],[PFBS]])</f>
        <v>-0.80321093232469509</v>
      </c>
      <c r="BZ95">
        <f>LOG(Table1_1[[#This Row],[PFPeS]])</f>
        <v>-0.91220600361006043</v>
      </c>
      <c r="CA95">
        <f>LOG(Table1_1[[#This Row],[PFHxS]])</f>
        <v>0.44870631990507992</v>
      </c>
      <c r="CB95">
        <f>LOG(Table1_1[[#This Row],[PFHpS]])</f>
        <v>-0.33348201944511913</v>
      </c>
      <c r="CC95">
        <f>LOG(Table1_1[[#This Row],[PFOS]])</f>
        <v>2.4927603890268375</v>
      </c>
      <c r="CD95">
        <f>LOG(Table1_1[[#This Row],[PFNS]])</f>
        <v>-0.25727486869530169</v>
      </c>
      <c r="CE95">
        <f>LOG(Table1_1[[#This Row],[PFDS]])</f>
        <v>-0.21824462534753111</v>
      </c>
      <c r="CF95">
        <f>LOG(Table1_1[[#This Row],[PFDoS]])</f>
        <v>-0.60698072031454908</v>
      </c>
      <c r="CG95">
        <f>LOG(Table1_1[[#This Row],[Cl-PFOS]])</f>
        <v>-0.85243088460130445</v>
      </c>
      <c r="CH95">
        <f>LOG(Table1_1[[#This Row],[PFEtCHxS]])</f>
        <v>-1.0340488324681627</v>
      </c>
      <c r="CI95">
        <f>LOG(Table1_1[[#This Row],[FBSA]])</f>
        <v>0.9885589568786155</v>
      </c>
      <c r="CJ95">
        <f>LOG(Table1_1[[#This Row],[FHxSA]])</f>
        <v>1.5634810853944108</v>
      </c>
      <c r="CK95">
        <f>LOG(Table1_1[[#This Row],[FOSA]])</f>
        <v>0.7649229846498885</v>
      </c>
      <c r="CL95">
        <f>LOG(Table1_1[[#This Row],[N-MeFOSA]])</f>
        <v>-1.2349274244155088</v>
      </c>
      <c r="CM95">
        <f>LOG(Table1_1[[#This Row],[N-EtFOSA]])</f>
        <v>-1.0545789569820541</v>
      </c>
      <c r="CN95">
        <f>LOG(Table1_1[[#This Row],[FOSAA]])</f>
        <v>-1.2249784129161245</v>
      </c>
      <c r="CO95">
        <f>LOG(Table1_1[[#This Row],[N-MeFOSAA]])</f>
        <v>1.0644579892269184</v>
      </c>
      <c r="CP95">
        <f>LOG(Table1_1[[#This Row],[N-EtFOSAA]])</f>
        <v>-1.1831192899417009</v>
      </c>
      <c r="CQ95">
        <f>LOG(Table1_1[[#This Row],[4:2 FTS]])</f>
        <v>-1.2070856200722073</v>
      </c>
      <c r="CR95">
        <f>LOG(Table1_1[[#This Row],[6:2 FTS]])</f>
        <v>-1.340786694607395</v>
      </c>
      <c r="CS95">
        <f>LOG(Table1_1[[#This Row],[8:2 FTS]])</f>
        <v>-0.84050162299525422</v>
      </c>
      <c r="CT95">
        <f>LOG(Table1_1[[#This Row],[10:2 FTS]])</f>
        <v>-0.58093486871623945</v>
      </c>
      <c r="CU95">
        <f>LOG(Table1_1[[#This Row],[3:3 FTCA]])</f>
        <v>-1.0596208449971378</v>
      </c>
      <c r="CV95">
        <f>LOG(Table1_1[[#This Row],[5:3 FTCA]])</f>
        <v>-0.11125903931710739</v>
      </c>
      <c r="CW95">
        <f>LOG(Table1_1[[#This Row],[7:3 FTCA]])</f>
        <v>0.60422605308446997</v>
      </c>
      <c r="CX95">
        <f>LOG(Table1_1[[#This Row],[6:2 FTCA]])</f>
        <v>0.58994960132570773</v>
      </c>
      <c r="CY95">
        <f>LOG(Table1_1[[#This Row],[8:2 FTCA]])</f>
        <v>-1.5195742532002543</v>
      </c>
      <c r="CZ95">
        <f>LOG(Table1_1[[#This Row],[10:2 FTCA]])</f>
        <v>-0.94780938943131854</v>
      </c>
      <c r="DA95">
        <f>LOG(Table1_1[[#This Row],[6:2 FTUCA]])</f>
        <v>-1.2266558628320141</v>
      </c>
      <c r="DB95">
        <f>LOG(Table1_1[[#This Row],[8:2 FTUCA]])</f>
        <v>-1.3403783953987658</v>
      </c>
      <c r="DC95">
        <f>LOG(Table1_1[[#This Row],[ADONA]])</f>
        <v>-1.1216342445282166</v>
      </c>
      <c r="DD95">
        <f>LOG(Table1_1[[#This Row],[9Cl-PF3ONS]])</f>
        <v>-1.2802080460192071</v>
      </c>
      <c r="DE95">
        <f>LOG(Table1_1[[#This Row],[11Cl-PF3OUdS]])</f>
        <v>-1.2251132378640814</v>
      </c>
      <c r="DF95">
        <f>LOG(Table1_1[[#This Row],[HFPO-DA]])</f>
        <v>-0.9647736985206613</v>
      </c>
      <c r="DG95">
        <f>LOG(Table1_1[[#This Row],[6:2 diPAP]])</f>
        <v>-1.0944767738274663</v>
      </c>
      <c r="DH95">
        <f>LOG(Table1_1[[#This Row],[8:2 diPAP]])</f>
        <v>-0.99915164140528401</v>
      </c>
      <c r="DI95">
        <f>LOG(Table1_1[[#This Row],[diSAmPAP]])</f>
        <v>-0.87612157671406687</v>
      </c>
    </row>
    <row r="96" spans="1:113">
      <c r="A96" t="s">
        <v>247</v>
      </c>
      <c r="B96" t="s">
        <v>114</v>
      </c>
      <c r="C96" s="3">
        <v>44314</v>
      </c>
      <c r="D96" t="s">
        <v>226</v>
      </c>
      <c r="E96" t="s">
        <v>227</v>
      </c>
      <c r="F96" t="s">
        <v>228</v>
      </c>
      <c r="G96" t="s">
        <v>118</v>
      </c>
      <c r="H96" t="s">
        <v>119</v>
      </c>
      <c r="I96">
        <v>6</v>
      </c>
      <c r="J96">
        <f>LOG(Table1_1[[#This Row],[Length]])</f>
        <v>0.77815125038364363</v>
      </c>
      <c r="K96">
        <v>6.3</v>
      </c>
      <c r="L96">
        <f>LOG(Table1_1[[#This Row],[Weight]])</f>
        <v>0.79934054945358168</v>
      </c>
      <c r="M96">
        <v>9.4398993077407164E-2</v>
      </c>
      <c r="N96">
        <v>0.37991537861593067</v>
      </c>
      <c r="O96">
        <v>0.12736577886442729</v>
      </c>
      <c r="P96">
        <v>9.4398993077407164E-2</v>
      </c>
      <c r="Q96">
        <v>0.34300000000000003</v>
      </c>
      <c r="R96">
        <v>0.16332095058700438</v>
      </c>
      <c r="S96">
        <v>2.4900000000000002</v>
      </c>
      <c r="T96">
        <v>3.87</v>
      </c>
      <c r="U96">
        <v>0.42933029908911674</v>
      </c>
      <c r="V96">
        <v>1.93</v>
      </c>
      <c r="W96">
        <v>4.2699999999999996</v>
      </c>
      <c r="X96">
        <v>0.64084464163249211</v>
      </c>
      <c r="Y96">
        <v>0.4102487294124606</v>
      </c>
      <c r="Z96">
        <v>0.16062208607378853</v>
      </c>
      <c r="AA96">
        <v>0.12497127213370045</v>
      </c>
      <c r="AB96">
        <v>7.14</v>
      </c>
      <c r="AC96">
        <v>0.23599748269351795</v>
      </c>
      <c r="AD96">
        <v>595</v>
      </c>
      <c r="AE96">
        <v>0.29799999999999999</v>
      </c>
      <c r="AF96">
        <v>0.19327041717621146</v>
      </c>
      <c r="AG96">
        <v>0.25236869036233478</v>
      </c>
      <c r="AH96">
        <v>0.14341193965903082</v>
      </c>
      <c r="AI96">
        <v>9.4398993077407164E-2</v>
      </c>
      <c r="AJ96">
        <v>40.5</v>
      </c>
      <c r="AK96">
        <v>55.7</v>
      </c>
      <c r="AL96">
        <v>18</v>
      </c>
      <c r="AM96">
        <v>0.41424392186119879</v>
      </c>
      <c r="AN96">
        <v>0.62748682591088323</v>
      </c>
      <c r="AO96">
        <v>0.42384313795741324</v>
      </c>
      <c r="AP96">
        <v>2.27</v>
      </c>
      <c r="AQ96">
        <v>0.46672845498028387</v>
      </c>
      <c r="AR96">
        <v>0.44167004872239746</v>
      </c>
      <c r="AS96">
        <v>0.28599999999999998</v>
      </c>
      <c r="AT96">
        <v>1.02</v>
      </c>
      <c r="AU96">
        <v>0.26796700704845811</v>
      </c>
      <c r="AV96">
        <v>0.27222046409140965</v>
      </c>
      <c r="AW96">
        <v>3.14</v>
      </c>
      <c r="AX96">
        <v>8.6999999999999993</v>
      </c>
      <c r="AY96">
        <v>1.17</v>
      </c>
      <c r="AZ96">
        <v>0.21508459994264412</v>
      </c>
      <c r="BA96">
        <v>0.80236907144716096</v>
      </c>
      <c r="BB96">
        <v>0.42220921358044161</v>
      </c>
      <c r="BC96">
        <v>0.32494149467389594</v>
      </c>
      <c r="BD96">
        <v>0.53771149985661026</v>
      </c>
      <c r="BE96">
        <v>0.37322912203864356</v>
      </c>
      <c r="BF96">
        <v>0.42371157800867509</v>
      </c>
      <c r="BG96">
        <v>0.77163136200709781</v>
      </c>
      <c r="BH96">
        <v>0.57240945053233439</v>
      </c>
      <c r="BI96">
        <v>0.71290543851340693</v>
      </c>
      <c r="BJ96">
        <v>0.94637223974763418</v>
      </c>
      <c r="BK96">
        <f>SUM(Table1_1[[#This Row],[PFBA]:[diSAmPAP]])</f>
        <v>758.68859957645282</v>
      </c>
      <c r="BL96">
        <f>LOG(Table1_1[[#This Row],[PFBA]])</f>
        <v>-1.0250326381516983</v>
      </c>
      <c r="BM96">
        <f>LOG(Table1_1[[#This Row],[PFPeA]])</f>
        <v>-0.42031312625875833</v>
      </c>
      <c r="BN96">
        <f>LOG(Table1_1[[#This Row],[PFHxA]])</f>
        <v>-0.89494724426724448</v>
      </c>
      <c r="BO96">
        <f>LOG(Table1_1[[#This Row],[PFHpA]])</f>
        <v>-1.0250326381516983</v>
      </c>
      <c r="BP96">
        <f>LOG(Table1_1[[#This Row],[PFOA]])</f>
        <v>-0.46470587995722945</v>
      </c>
      <c r="BQ96">
        <f>LOG(Table1_1[[#This Row],[PFNA]])</f>
        <v>-0.7869581009907185</v>
      </c>
      <c r="BR96">
        <f>LOG(Table1_1[[#This Row],[PFDA]])</f>
        <v>0.3961993470957364</v>
      </c>
      <c r="BS96">
        <f>LOG(Table1_1[[#This Row],[PFUnA]])</f>
        <v>0.5877109650189114</v>
      </c>
      <c r="BT96">
        <f>LOG(Table1_1[[#This Row],[PFDoA]])</f>
        <v>-0.36720846101305055</v>
      </c>
      <c r="BU96">
        <f>LOG(Table1_1[[#This Row],[PFTrDA]])</f>
        <v>0.28555730900777376</v>
      </c>
      <c r="BV96">
        <f>LOG(Table1_1[[#This Row],[PFTeDA]])</f>
        <v>0.63042787502502384</v>
      </c>
      <c r="BW96">
        <f>LOG(Table1_1[[#This Row],[PFHxDA]])</f>
        <v>-0.19324724264890894</v>
      </c>
      <c r="BX96">
        <f>LOG(Table1_1[[#This Row],[PFPrS]])</f>
        <v>-0.38695275533278911</v>
      </c>
      <c r="BY96">
        <f>LOG(Table1_1[[#This Row],[PFBS]])</f>
        <v>-0.79419473800823059</v>
      </c>
      <c r="BZ96">
        <f>LOG(Table1_1[[#This Row],[PFPeS]])</f>
        <v>-0.90318980929359594</v>
      </c>
      <c r="CA96">
        <f>LOG(Table1_1[[#This Row],[PFHxS]])</f>
        <v>0.85369821177617433</v>
      </c>
      <c r="CB96">
        <f>LOG(Table1_1[[#This Row],[PFHpS]])</f>
        <v>-0.62709262947966071</v>
      </c>
      <c r="CC96">
        <f>LOG(Table1_1[[#This Row],[PFOS]])</f>
        <v>2.7745169657285498</v>
      </c>
      <c r="CD96">
        <f>LOG(Table1_1[[#This Row],[PFNS]])</f>
        <v>-0.52578373592374483</v>
      </c>
      <c r="CE96">
        <f>LOG(Table1_1[[#This Row],[PFDS]])</f>
        <v>-0.71383461591629893</v>
      </c>
      <c r="CF96">
        <f>LOG(Table1_1[[#This Row],[PFDoS]])</f>
        <v>-0.59796452599808469</v>
      </c>
      <c r="CG96">
        <f>LOG(Table1_1[[#This Row],[Cl-PFOS]])</f>
        <v>-0.84341469028484006</v>
      </c>
      <c r="CH96">
        <f>LOG(Table1_1[[#This Row],[PFEtCHxS]])</f>
        <v>-1.0250326381516983</v>
      </c>
      <c r="CI96">
        <f>LOG(Table1_1[[#This Row],[FBSA]])</f>
        <v>1.6074550232146685</v>
      </c>
      <c r="CJ96">
        <f>LOG(Table1_1[[#This Row],[FHxSA]])</f>
        <v>1.7458551951737289</v>
      </c>
      <c r="CK96">
        <f>LOG(Table1_1[[#This Row],[FOSA]])</f>
        <v>1.255272505103306</v>
      </c>
      <c r="CL96">
        <f>LOG(Table1_1[[#This Row],[N-MeFOSA]])</f>
        <v>-0.38274385519953086</v>
      </c>
      <c r="CM96">
        <f>LOG(Table1_1[[#This Row],[N-EtFOSA]])</f>
        <v>-0.20239538776607624</v>
      </c>
      <c r="CN96">
        <f>LOG(Table1_1[[#This Row],[FOSAA]])</f>
        <v>-0.37279484370014682</v>
      </c>
      <c r="CO96">
        <f>LOG(Table1_1[[#This Row],[N-MeFOSAA]])</f>
        <v>0.35602585719312274</v>
      </c>
      <c r="CP96">
        <f>LOG(Table1_1[[#This Row],[N-EtFOSAA]])</f>
        <v>-0.33093572072572314</v>
      </c>
      <c r="CQ96">
        <f>LOG(Table1_1[[#This Row],[4:2 FTS]])</f>
        <v>-0.35490205085622967</v>
      </c>
      <c r="CR96">
        <f>LOG(Table1_1[[#This Row],[6:2 FTS]])</f>
        <v>-0.543633966870957</v>
      </c>
      <c r="CS96">
        <f>LOG(Table1_1[[#This Row],[8:2 FTS]])</f>
        <v>8.6001717619175692E-3</v>
      </c>
      <c r="CT96">
        <f>LOG(Table1_1[[#This Row],[10:2 FTS]])</f>
        <v>-0.57191867439977495</v>
      </c>
      <c r="CU96">
        <f>LOG(Table1_1[[#This Row],[3:3 FTCA]])</f>
        <v>-0.56507922994858195</v>
      </c>
      <c r="CV96">
        <f>LOG(Table1_1[[#This Row],[5:3 FTCA]])</f>
        <v>0.49692964807321494</v>
      </c>
      <c r="CW96">
        <f>LOG(Table1_1[[#This Row],[7:3 FTCA]])</f>
        <v>0.93951925261861846</v>
      </c>
      <c r="CX96">
        <f>LOG(Table1_1[[#This Row],[6:2 FTCA]])</f>
        <v>6.8185861746161619E-2</v>
      </c>
      <c r="CY96">
        <f>LOG(Table1_1[[#This Row],[8:2 FTCA]])</f>
        <v>-0.66739068398427648</v>
      </c>
      <c r="CZ96">
        <f>LOG(Table1_1[[#This Row],[10:2 FTCA]])</f>
        <v>-9.5625820215340718E-2</v>
      </c>
      <c r="DA96">
        <f>LOG(Table1_1[[#This Row],[6:2 FTUCA]])</f>
        <v>-0.37447229361603634</v>
      </c>
      <c r="DB96">
        <f>LOG(Table1_1[[#This Row],[8:2 FTUCA]])</f>
        <v>-0.48819482618278798</v>
      </c>
      <c r="DC96">
        <f>LOG(Table1_1[[#This Row],[ADONA]])</f>
        <v>-0.26945067531223887</v>
      </c>
      <c r="DD96">
        <f>LOG(Table1_1[[#This Row],[9Cl-PF3ONS]])</f>
        <v>-0.4280244768032293</v>
      </c>
      <c r="DE96">
        <f>LOG(Table1_1[[#This Row],[11Cl-PF3OUdS]])</f>
        <v>-0.37292966864810362</v>
      </c>
      <c r="DF96">
        <f>LOG(Table1_1[[#This Row],[HFPO-DA]])</f>
        <v>-0.11259012930468353</v>
      </c>
      <c r="DG96">
        <f>LOG(Table1_1[[#This Row],[6:2 diPAP]])</f>
        <v>-0.2422932046114884</v>
      </c>
      <c r="DH96">
        <f>LOG(Table1_1[[#This Row],[8:2 diPAP]])</f>
        <v>-0.14696807218930619</v>
      </c>
      <c r="DI96">
        <f>LOG(Table1_1[[#This Row],[diSAmPAP]])</f>
        <v>-2.3938007498089005E-2</v>
      </c>
    </row>
    <row r="97" spans="1:113">
      <c r="A97" t="s">
        <v>248</v>
      </c>
      <c r="B97" t="s">
        <v>114</v>
      </c>
      <c r="C97" s="3">
        <v>44314</v>
      </c>
      <c r="D97" t="s">
        <v>226</v>
      </c>
      <c r="E97" t="s">
        <v>227</v>
      </c>
      <c r="F97" t="s">
        <v>228</v>
      </c>
      <c r="G97" t="s">
        <v>118</v>
      </c>
      <c r="H97" t="s">
        <v>119</v>
      </c>
      <c r="I97">
        <v>8</v>
      </c>
      <c r="J97">
        <f>LOG(Table1_1[[#This Row],[Length]])</f>
        <v>0.90308998699194354</v>
      </c>
      <c r="K97">
        <v>13.9</v>
      </c>
      <c r="L97">
        <f>LOG(Table1_1[[#This Row],[Weight]])</f>
        <v>1.1430148002540952</v>
      </c>
      <c r="M97">
        <v>2.8605755478002173E-2</v>
      </c>
      <c r="N97">
        <v>5.052786868942731E-2</v>
      </c>
      <c r="O97">
        <v>0.11991954727369643</v>
      </c>
      <c r="P97">
        <v>2.8605755478002173E-2</v>
      </c>
      <c r="Q97">
        <v>8.8880110606359863E-2</v>
      </c>
      <c r="R97">
        <v>0.15377265878890972</v>
      </c>
      <c r="S97">
        <v>2.2599999999999998</v>
      </c>
      <c r="T97">
        <v>2.4300000000000002</v>
      </c>
      <c r="U97">
        <v>22.1</v>
      </c>
      <c r="V97">
        <v>2.69</v>
      </c>
      <c r="W97">
        <v>4.75</v>
      </c>
      <c r="X97">
        <v>8.5230858568281942E-2</v>
      </c>
      <c r="Y97">
        <v>5.4562134350220268E-2</v>
      </c>
      <c r="Z97">
        <v>4.8673359416299557E-2</v>
      </c>
      <c r="AA97">
        <v>0.11766503145592536</v>
      </c>
      <c r="AB97">
        <v>6.16</v>
      </c>
      <c r="AC97">
        <v>0.22220027651589969</v>
      </c>
      <c r="AD97">
        <v>534</v>
      </c>
      <c r="AE97">
        <v>0.42399999999999999</v>
      </c>
      <c r="AF97">
        <v>0.58199999999999996</v>
      </c>
      <c r="AG97">
        <v>0.23761436835023703</v>
      </c>
      <c r="AH97">
        <v>0.13502759556677857</v>
      </c>
      <c r="AI97">
        <v>8.8880110606359863E-2</v>
      </c>
      <c r="AJ97">
        <v>14.1</v>
      </c>
      <c r="AK97">
        <v>38.200000000000003</v>
      </c>
      <c r="AL97">
        <v>13</v>
      </c>
      <c r="AM97">
        <v>5.5093485726872241E-2</v>
      </c>
      <c r="AN97">
        <v>8.3454299900881046E-2</v>
      </c>
      <c r="AO97">
        <v>5.6370159317180611E-2</v>
      </c>
      <c r="AP97">
        <v>7.76</v>
      </c>
      <c r="AQ97">
        <v>6.2073807522026417E-2</v>
      </c>
      <c r="AR97">
        <v>5.8741097312775326E-2</v>
      </c>
      <c r="AS97">
        <v>0.1341504534456992</v>
      </c>
      <c r="AT97">
        <v>1.24</v>
      </c>
      <c r="AU97">
        <v>8.1202123348017616E-2</v>
      </c>
      <c r="AV97">
        <v>8.2491049724669599E-2</v>
      </c>
      <c r="AW97">
        <v>2.73</v>
      </c>
      <c r="AX97">
        <v>49.4</v>
      </c>
      <c r="AY97">
        <v>4.1100000000000003</v>
      </c>
      <c r="AZ97">
        <v>1.02</v>
      </c>
      <c r="BA97">
        <v>0.10671323501101321</v>
      </c>
      <c r="BB97">
        <v>5.6152851145374445E-2</v>
      </c>
      <c r="BC97">
        <v>4.3216468979074892E-2</v>
      </c>
      <c r="BD97">
        <v>7.151438869500544E-2</v>
      </c>
      <c r="BE97">
        <v>4.9638611993392076E-2</v>
      </c>
      <c r="BF97">
        <v>5.6352662147577094E-2</v>
      </c>
      <c r="BG97">
        <v>0.10262519058370044</v>
      </c>
      <c r="BH97">
        <v>7.6129136068281936E-2</v>
      </c>
      <c r="BI97">
        <v>9.4814778270925104E-2</v>
      </c>
      <c r="BJ97">
        <v>0.12586532410320955</v>
      </c>
      <c r="BK97">
        <f>SUM(Table1_1[[#This Row],[PFBA]:[diSAmPAP]])</f>
        <v>709.81276455444015</v>
      </c>
      <c r="BL97">
        <f>LOG(Table1_1[[#This Row],[PFBA]])</f>
        <v>-1.5435465780295858</v>
      </c>
      <c r="BM97">
        <f>LOG(Table1_1[[#This Row],[PFPeA]])</f>
        <v>-1.2964690203040679</v>
      </c>
      <c r="BN97">
        <f>LOG(Table1_1[[#This Row],[PFHxA]])</f>
        <v>-0.92111001972704343</v>
      </c>
      <c r="BO97">
        <f>LOG(Table1_1[[#This Row],[PFHpA]])</f>
        <v>-1.5435465780295858</v>
      </c>
      <c r="BP97">
        <f>LOG(Table1_1[[#This Row],[PFOA]])</f>
        <v>-1.0511954136114974</v>
      </c>
      <c r="BQ97">
        <f>LOG(Table1_1[[#This Row],[PFNA]])</f>
        <v>-0.81312087645051745</v>
      </c>
      <c r="BR97">
        <f>LOG(Table1_1[[#This Row],[PFDA]])</f>
        <v>0.35410843914740087</v>
      </c>
      <c r="BS97">
        <f>LOG(Table1_1[[#This Row],[PFUnA]])</f>
        <v>0.38560627359831223</v>
      </c>
      <c r="BT97">
        <f>LOG(Table1_1[[#This Row],[PFDoA]])</f>
        <v>1.3443922736851108</v>
      </c>
      <c r="BU97">
        <f>LOG(Table1_1[[#This Row],[PFTrDA]])</f>
        <v>0.42975228000240795</v>
      </c>
      <c r="BV97">
        <f>LOG(Table1_1[[#This Row],[PFTeDA]])</f>
        <v>0.67669360962486658</v>
      </c>
      <c r="BW97">
        <f>LOG(Table1_1[[#This Row],[PFHxDA]])</f>
        <v>-1.0694031366942183</v>
      </c>
      <c r="BX97">
        <f>LOG(Table1_1[[#This Row],[PFPrS]])</f>
        <v>-1.2631086493780983</v>
      </c>
      <c r="BY97">
        <f>LOG(Table1_1[[#This Row],[PFBS]])</f>
        <v>-1.3127086778861181</v>
      </c>
      <c r="BZ97">
        <f>LOG(Table1_1[[#This Row],[PFPeS]])</f>
        <v>-0.92935258475339488</v>
      </c>
      <c r="CA97">
        <f>LOG(Table1_1[[#This Row],[PFHxS]])</f>
        <v>0.78958071216442549</v>
      </c>
      <c r="CB97">
        <f>LOG(Table1_1[[#This Row],[PFHpS]])</f>
        <v>-0.65325540493945966</v>
      </c>
      <c r="CC97">
        <f>LOG(Table1_1[[#This Row],[PFOS]])</f>
        <v>2.7275412570285562</v>
      </c>
      <c r="CD97">
        <f>LOG(Table1_1[[#This Row],[PFNS]])</f>
        <v>-0.37263414340726736</v>
      </c>
      <c r="CE97">
        <f>LOG(Table1_1[[#This Row],[PFDS]])</f>
        <v>-0.23507701535011155</v>
      </c>
      <c r="CF97">
        <f>LOG(Table1_1[[#This Row],[PFDoS]])</f>
        <v>-0.62412730145788353</v>
      </c>
      <c r="CG97">
        <f>LOG(Table1_1[[#This Row],[Cl-PFOS]])</f>
        <v>-0.86957746574463901</v>
      </c>
      <c r="CH97">
        <f>LOG(Table1_1[[#This Row],[PFEtCHxS]])</f>
        <v>-1.0511954136114974</v>
      </c>
      <c r="CI97">
        <f>LOG(Table1_1[[#This Row],[FBSA]])</f>
        <v>1.1492191126553799</v>
      </c>
      <c r="CJ97">
        <f>LOG(Table1_1[[#This Row],[FHxSA]])</f>
        <v>1.5820633629117087</v>
      </c>
      <c r="CK97">
        <f>LOG(Table1_1[[#This Row],[FOSA]])</f>
        <v>1.1139433523068367</v>
      </c>
      <c r="CL97">
        <f>LOG(Table1_1[[#This Row],[N-MeFOSA]])</f>
        <v>-1.2588997492448404</v>
      </c>
      <c r="CM97">
        <f>LOG(Table1_1[[#This Row],[N-EtFOSA]])</f>
        <v>-1.0785512818113856</v>
      </c>
      <c r="CN97">
        <f>LOG(Table1_1[[#This Row],[FOSAA]])</f>
        <v>-1.2489507377454561</v>
      </c>
      <c r="CO97">
        <f>LOG(Table1_1[[#This Row],[N-MeFOSAA]])</f>
        <v>0.88986172125818841</v>
      </c>
      <c r="CP97">
        <f>LOG(Table1_1[[#This Row],[N-EtFOSAA]])</f>
        <v>-1.2070916147710324</v>
      </c>
      <c r="CQ97">
        <f>LOG(Table1_1[[#This Row],[4:2 FTS]])</f>
        <v>-1.2310579449015389</v>
      </c>
      <c r="CR97">
        <f>LOG(Table1_1[[#This Row],[6:2 FTS]])</f>
        <v>-0.87240785501863793</v>
      </c>
      <c r="CS97">
        <f>LOG(Table1_1[[#This Row],[8:2 FTS]])</f>
        <v>9.3421685162235063E-2</v>
      </c>
      <c r="CT97">
        <f>LOG(Table1_1[[#This Row],[10:2 FTS]])</f>
        <v>-1.0904326142776624</v>
      </c>
      <c r="CU97">
        <f>LOG(Table1_1[[#This Row],[3:3 FTCA]])</f>
        <v>-1.0835931698264694</v>
      </c>
      <c r="CV97">
        <f>LOG(Table1_1[[#This Row],[5:3 FTCA]])</f>
        <v>0.43616264704075602</v>
      </c>
      <c r="CW97">
        <f>LOG(Table1_1[[#This Row],[7:3 FTCA]])</f>
        <v>1.6937269489236468</v>
      </c>
      <c r="CX97">
        <f>LOG(Table1_1[[#This Row],[6:2 FTCA]])</f>
        <v>0.61384182187606928</v>
      </c>
      <c r="CY97">
        <f>LOG(Table1_1[[#This Row],[8:2 FTCA]])</f>
        <v>8.6001717619175692E-3</v>
      </c>
      <c r="CZ97">
        <f>LOG(Table1_1[[#This Row],[10:2 FTCA]])</f>
        <v>-0.97178171426065008</v>
      </c>
      <c r="DA97">
        <f>LOG(Table1_1[[#This Row],[6:2 FTUCA]])</f>
        <v>-1.2506281876613456</v>
      </c>
      <c r="DB97">
        <f>LOG(Table1_1[[#This Row],[8:2 FTUCA]])</f>
        <v>-1.3643507202280973</v>
      </c>
      <c r="DC97">
        <f>LOG(Table1_1[[#This Row],[ADONA]])</f>
        <v>-1.1456065693575481</v>
      </c>
      <c r="DD97">
        <f>LOG(Table1_1[[#This Row],[9Cl-PF3ONS]])</f>
        <v>-1.3041803708485387</v>
      </c>
      <c r="DE97">
        <f>LOG(Table1_1[[#This Row],[11Cl-PF3OUdS]])</f>
        <v>-1.249085562693413</v>
      </c>
      <c r="DF97">
        <f>LOG(Table1_1[[#This Row],[HFPO-DA]])</f>
        <v>-0.98874602334999284</v>
      </c>
      <c r="DG97">
        <f>LOG(Table1_1[[#This Row],[6:2 diPAP]])</f>
        <v>-1.1184490986567976</v>
      </c>
      <c r="DH97">
        <f>LOG(Table1_1[[#This Row],[8:2 diPAP]])</f>
        <v>-1.0231239662346154</v>
      </c>
      <c r="DI97">
        <f>LOG(Table1_1[[#This Row],[diSAmPAP]])</f>
        <v>-0.90009390154339841</v>
      </c>
    </row>
    <row r="98" spans="1:113">
      <c r="A98" t="s">
        <v>249</v>
      </c>
      <c r="B98" t="s">
        <v>114</v>
      </c>
      <c r="C98" s="3">
        <v>44314</v>
      </c>
      <c r="D98" t="s">
        <v>226</v>
      </c>
      <c r="E98" t="s">
        <v>227</v>
      </c>
      <c r="F98" t="s">
        <v>228</v>
      </c>
      <c r="G98" t="s">
        <v>118</v>
      </c>
      <c r="H98" t="s">
        <v>119</v>
      </c>
      <c r="I98">
        <v>8</v>
      </c>
      <c r="J98">
        <f>LOG(Table1_1[[#This Row],[Length]])</f>
        <v>0.90308998699194354</v>
      </c>
      <c r="K98">
        <v>10.5</v>
      </c>
      <c r="L98">
        <f>LOG(Table1_1[[#This Row],[Weight]])</f>
        <v>1.0211892990699381</v>
      </c>
      <c r="M98">
        <v>9.6774193548387094E-2</v>
      </c>
      <c r="N98">
        <v>4.7573839629172436E-2</v>
      </c>
      <c r="O98">
        <v>0.13057046620359675</v>
      </c>
      <c r="P98">
        <v>9.6774193548387094E-2</v>
      </c>
      <c r="Q98">
        <v>1.28</v>
      </c>
      <c r="R98">
        <v>2.2400000000000002</v>
      </c>
      <c r="S98">
        <v>3.92</v>
      </c>
      <c r="T98">
        <v>7.67</v>
      </c>
      <c r="U98">
        <v>5.376168469731385E-2</v>
      </c>
      <c r="V98">
        <v>2.65</v>
      </c>
      <c r="W98">
        <v>7.67</v>
      </c>
      <c r="X98">
        <v>8.0247976060635981E-2</v>
      </c>
      <c r="Y98">
        <v>5.137224855767332E-2</v>
      </c>
      <c r="Z98">
        <v>4.5827751202350386E-2</v>
      </c>
      <c r="AA98">
        <v>0.12811571059383869</v>
      </c>
      <c r="AB98">
        <v>23.2</v>
      </c>
      <c r="AC98">
        <v>1.18</v>
      </c>
      <c r="AD98">
        <v>767</v>
      </c>
      <c r="AE98">
        <v>0.85</v>
      </c>
      <c r="AF98">
        <v>0.998</v>
      </c>
      <c r="AG98">
        <v>0.25871861224887099</v>
      </c>
      <c r="AH98">
        <v>0.14702036910851612</v>
      </c>
      <c r="AI98">
        <v>9.6774193548387094E-2</v>
      </c>
      <c r="AJ98">
        <v>36</v>
      </c>
      <c r="AK98">
        <v>65.599999999999994</v>
      </c>
      <c r="AL98">
        <v>16.100000000000001</v>
      </c>
      <c r="AM98">
        <v>5.1872535346632435E-2</v>
      </c>
      <c r="AN98">
        <v>7.8575280985087897E-2</v>
      </c>
      <c r="AO98">
        <v>5.3074570307130163E-2</v>
      </c>
      <c r="AP98">
        <v>8.91</v>
      </c>
      <c r="AQ98">
        <v>5.8444764064289945E-2</v>
      </c>
      <c r="AR98">
        <v>5.5306895297254591E-2</v>
      </c>
      <c r="AS98">
        <v>0.14606532167646774</v>
      </c>
      <c r="AT98">
        <v>1.82</v>
      </c>
      <c r="AU98">
        <v>0.27470940270967736</v>
      </c>
      <c r="AV98">
        <v>7.7668345652281257E-2</v>
      </c>
      <c r="AW98">
        <v>5.0813516421094211E-2</v>
      </c>
      <c r="AX98">
        <v>0.19483561161580643</v>
      </c>
      <c r="AY98">
        <v>2.99</v>
      </c>
      <c r="AZ98">
        <v>2.6933366850412081E-2</v>
      </c>
      <c r="BA98">
        <v>0.10047442056043848</v>
      </c>
      <c r="BB98">
        <v>5.2869966701560335E-2</v>
      </c>
      <c r="BC98">
        <v>4.0689888924205019E-2</v>
      </c>
      <c r="BD98">
        <v>6.7333417126030207E-2</v>
      </c>
      <c r="BE98">
        <v>4.6736571868951221E-2</v>
      </c>
      <c r="BF98">
        <v>5.3058096080880905E-2</v>
      </c>
      <c r="BG98">
        <v>9.6625376952893569E-2</v>
      </c>
      <c r="BH98">
        <v>7.1678370854730403E-2</v>
      </c>
      <c r="BI98">
        <v>8.9271587599743241E-2</v>
      </c>
      <c r="BJ98">
        <v>0.11850681414181316</v>
      </c>
      <c r="BK98">
        <f>SUM(Table1_1[[#This Row],[PFBA]:[diSAmPAP]])</f>
        <v>953.11707536068479</v>
      </c>
      <c r="BL98">
        <f>LOG(Table1_1[[#This Row],[PFBA]])</f>
        <v>-1.0142404391146103</v>
      </c>
      <c r="BM98">
        <f>LOG(Table1_1[[#This Row],[PFPeA]])</f>
        <v>-1.3226317957638667</v>
      </c>
      <c r="BN98">
        <f>LOG(Table1_1[[#This Row],[PFHxA]])</f>
        <v>-0.88415504523015642</v>
      </c>
      <c r="BO98">
        <f>LOG(Table1_1[[#This Row],[PFHpA]])</f>
        <v>-1.0142404391146103</v>
      </c>
      <c r="BP98">
        <f>LOG(Table1_1[[#This Row],[PFOA]])</f>
        <v>0.10720996964786837</v>
      </c>
      <c r="BQ98">
        <f>LOG(Table1_1[[#This Row],[PFNA]])</f>
        <v>0.35024801833416286</v>
      </c>
      <c r="BR98">
        <f>LOG(Table1_1[[#This Row],[PFDA]])</f>
        <v>0.59328606702045728</v>
      </c>
      <c r="BS98">
        <f>LOG(Table1_1[[#This Row],[PFUnA]])</f>
        <v>0.88479536394898095</v>
      </c>
      <c r="BT98">
        <f>LOG(Table1_1[[#This Row],[PFDoA]])</f>
        <v>-1.2695271305181588</v>
      </c>
      <c r="BU98">
        <f>LOG(Table1_1[[#This Row],[PFTrDA]])</f>
        <v>0.42324587393680785</v>
      </c>
      <c r="BV98">
        <f>LOG(Table1_1[[#This Row],[PFTeDA]])</f>
        <v>0.88479536394898095</v>
      </c>
      <c r="BW98">
        <f>LOG(Table1_1[[#This Row],[PFHxDA]])</f>
        <v>-1.0955659121540173</v>
      </c>
      <c r="BX98">
        <f>LOG(Table1_1[[#This Row],[PFPrS]])</f>
        <v>-1.2892714248378974</v>
      </c>
      <c r="BY98">
        <f>LOG(Table1_1[[#This Row],[PFBS]])</f>
        <v>-1.338871453345917</v>
      </c>
      <c r="BZ98">
        <f>LOG(Table1_1[[#This Row],[PFPeS]])</f>
        <v>-0.89239761025650799</v>
      </c>
      <c r="CA98">
        <f>LOG(Table1_1[[#This Row],[PFHxS]])</f>
        <v>1.3654879848908996</v>
      </c>
      <c r="CB98">
        <f>LOG(Table1_1[[#This Row],[PFHpS]])</f>
        <v>7.1882007306125359E-2</v>
      </c>
      <c r="CC98">
        <f>LOG(Table1_1[[#This Row],[PFOS]])</f>
        <v>2.8847953639489812</v>
      </c>
      <c r="CD98">
        <f>LOG(Table1_1[[#This Row],[PFNS]])</f>
        <v>-7.0581074285707285E-2</v>
      </c>
      <c r="CE98">
        <f>LOG(Table1_1[[#This Row],[PFDS]])</f>
        <v>-8.6945871262889137E-4</v>
      </c>
      <c r="CF98">
        <f>LOG(Table1_1[[#This Row],[PFDoS]])</f>
        <v>-0.58717232696099653</v>
      </c>
      <c r="CG98">
        <f>LOG(Table1_1[[#This Row],[Cl-PFOS]])</f>
        <v>-0.83262249124775189</v>
      </c>
      <c r="CH98">
        <f>LOG(Table1_1[[#This Row],[PFEtCHxS]])</f>
        <v>-1.0142404391146103</v>
      </c>
      <c r="CI98">
        <f>LOG(Table1_1[[#This Row],[FBSA]])</f>
        <v>1.5563025007672873</v>
      </c>
      <c r="CJ98">
        <f>LOG(Table1_1[[#This Row],[FHxSA]])</f>
        <v>1.8169038393756602</v>
      </c>
      <c r="CK98">
        <f>LOG(Table1_1[[#This Row],[FOSA]])</f>
        <v>1.2068258760318498</v>
      </c>
      <c r="CL98">
        <f>LOG(Table1_1[[#This Row],[N-MeFOSA]])</f>
        <v>-1.2850625247046392</v>
      </c>
      <c r="CM98">
        <f>LOG(Table1_1[[#This Row],[N-EtFOSA]])</f>
        <v>-1.1047140572711844</v>
      </c>
      <c r="CN98">
        <f>LOG(Table1_1[[#This Row],[FOSAA]])</f>
        <v>-1.2751135132052551</v>
      </c>
      <c r="CO98">
        <f>LOG(Table1_1[[#This Row],[N-MeFOSAA]])</f>
        <v>0.94987770403687477</v>
      </c>
      <c r="CP98">
        <f>LOG(Table1_1[[#This Row],[N-EtFOSAA]])</f>
        <v>-1.2332543902308313</v>
      </c>
      <c r="CQ98">
        <f>LOG(Table1_1[[#This Row],[4:2 FTS]])</f>
        <v>-1.2572207203613379</v>
      </c>
      <c r="CR98">
        <f>LOG(Table1_1[[#This Row],[6:2 FTS]])</f>
        <v>-0.83545288052175093</v>
      </c>
      <c r="CS98">
        <f>LOG(Table1_1[[#This Row],[8:2 FTS]])</f>
        <v>0.26007138798507479</v>
      </c>
      <c r="CT98">
        <f>LOG(Table1_1[[#This Row],[10:2 FTS]])</f>
        <v>-0.56112647536268689</v>
      </c>
      <c r="CU98">
        <f>LOG(Table1_1[[#This Row],[3:3 FTCA]])</f>
        <v>-1.1097559452862682</v>
      </c>
      <c r="CV98">
        <f>LOG(Table1_1[[#This Row],[5:3 FTCA]])</f>
        <v>-1.2940207497967631</v>
      </c>
      <c r="CW98">
        <f>LOG(Table1_1[[#This Row],[7:3 FTCA]])</f>
        <v>-0.71033166083144617</v>
      </c>
      <c r="CX98">
        <f>LOG(Table1_1[[#This Row],[6:2 FTCA]])</f>
        <v>0.47567118832442967</v>
      </c>
      <c r="CY98">
        <f>LOG(Table1_1[[#This Row],[8:2 FTCA]])</f>
        <v>-1.5697093534893847</v>
      </c>
      <c r="CZ98">
        <f>LOG(Table1_1[[#This Row],[10:2 FTCA]])</f>
        <v>-0.99794448972044902</v>
      </c>
      <c r="DA98">
        <f>LOG(Table1_1[[#This Row],[6:2 FTUCA]])</f>
        <v>-1.2767909631211447</v>
      </c>
      <c r="DB98">
        <f>LOG(Table1_1[[#This Row],[8:2 FTUCA]])</f>
        <v>-1.3905134956878962</v>
      </c>
      <c r="DC98">
        <f>LOG(Table1_1[[#This Row],[ADONA]])</f>
        <v>-1.1717693448173472</v>
      </c>
      <c r="DD98">
        <f>LOG(Table1_1[[#This Row],[9Cl-PF3ONS]])</f>
        <v>-1.3303431463083375</v>
      </c>
      <c r="DE98">
        <f>LOG(Table1_1[[#This Row],[11Cl-PF3OUdS]])</f>
        <v>-1.2752483381532118</v>
      </c>
      <c r="DF98">
        <f>LOG(Table1_1[[#This Row],[HFPO-DA]])</f>
        <v>-1.0149087988097916</v>
      </c>
      <c r="DG98">
        <f>LOG(Table1_1[[#This Row],[6:2 diPAP]])</f>
        <v>-1.1446118741165967</v>
      </c>
      <c r="DH98">
        <f>LOG(Table1_1[[#This Row],[8:2 diPAP]])</f>
        <v>-1.0492867416944145</v>
      </c>
      <c r="DI98">
        <f>LOG(Table1_1[[#This Row],[diSAmPAP]])</f>
        <v>-0.92625667700319725</v>
      </c>
    </row>
    <row r="99" spans="1:113">
      <c r="A99" t="s">
        <v>250</v>
      </c>
      <c r="B99" t="s">
        <v>114</v>
      </c>
      <c r="C99" s="3">
        <v>44314</v>
      </c>
      <c r="D99" t="s">
        <v>226</v>
      </c>
      <c r="E99" t="s">
        <v>227</v>
      </c>
      <c r="F99" t="s">
        <v>228</v>
      </c>
      <c r="G99" t="s">
        <v>118</v>
      </c>
      <c r="H99" t="s">
        <v>119</v>
      </c>
      <c r="I99">
        <v>8</v>
      </c>
      <c r="J99">
        <f>LOG(Table1_1[[#This Row],[Length]])</f>
        <v>0.90308998699194354</v>
      </c>
      <c r="K99">
        <v>9.6999999999999993</v>
      </c>
      <c r="L99">
        <f>LOG(Table1_1[[#This Row],[Weight]])</f>
        <v>0.98677173426624487</v>
      </c>
      <c r="M99">
        <v>8.9197224975223005E-2</v>
      </c>
      <c r="N99">
        <v>5.1799215062903227E-2</v>
      </c>
      <c r="O99">
        <v>0.12034740690718039</v>
      </c>
      <c r="P99">
        <v>2.932551319648094E-2</v>
      </c>
      <c r="Q99">
        <v>2.84</v>
      </c>
      <c r="R99">
        <v>3.67</v>
      </c>
      <c r="S99">
        <v>6.66</v>
      </c>
      <c r="T99">
        <v>10.5</v>
      </c>
      <c r="U99">
        <v>5.853664723064516E-2</v>
      </c>
      <c r="V99">
        <v>1.95</v>
      </c>
      <c r="W99">
        <v>8.61</v>
      </c>
      <c r="X99">
        <v>8.7375376945161273E-2</v>
      </c>
      <c r="Y99">
        <v>5.5934988053225797E-2</v>
      </c>
      <c r="Z99">
        <v>4.9898043943548381E-2</v>
      </c>
      <c r="AA99">
        <v>0.118084847227225</v>
      </c>
      <c r="AB99">
        <v>38.1</v>
      </c>
      <c r="AC99">
        <v>0.89200000000000002</v>
      </c>
      <c r="AD99">
        <v>1240</v>
      </c>
      <c r="AE99">
        <v>0.89500000000000002</v>
      </c>
      <c r="AF99">
        <v>0.85399999999999998</v>
      </c>
      <c r="AG99">
        <v>0.23846215004108035</v>
      </c>
      <c r="AH99">
        <v>0.13550935903956393</v>
      </c>
      <c r="AI99">
        <v>8.9197224975223005E-2</v>
      </c>
      <c r="AJ99">
        <v>112</v>
      </c>
      <c r="AK99">
        <v>141</v>
      </c>
      <c r="AL99">
        <v>23.3</v>
      </c>
      <c r="AM99">
        <v>5.647970891612903E-2</v>
      </c>
      <c r="AN99">
        <v>8.5554117769354843E-2</v>
      </c>
      <c r="AO99">
        <v>5.7788505261290313E-2</v>
      </c>
      <c r="AP99">
        <v>7.3757355372580644E-2</v>
      </c>
      <c r="AQ99">
        <v>6.3635664614516113E-2</v>
      </c>
      <c r="AR99">
        <v>6.0219099116129021E-2</v>
      </c>
      <c r="AS99">
        <v>0.35199999999999998</v>
      </c>
      <c r="AT99">
        <v>3.93</v>
      </c>
      <c r="AU99">
        <v>0.25320093609514371</v>
      </c>
      <c r="AV99">
        <v>8.4566630975806453E-2</v>
      </c>
      <c r="AW99">
        <v>1.37</v>
      </c>
      <c r="AX99">
        <v>5.36</v>
      </c>
      <c r="AY99">
        <v>2.06</v>
      </c>
      <c r="AZ99">
        <v>2.932551319648094E-2</v>
      </c>
      <c r="BA99">
        <v>0.1093982776983871</v>
      </c>
      <c r="BB99">
        <v>5.7565729335483873E-2</v>
      </c>
      <c r="BC99">
        <v>4.4303851101774192E-2</v>
      </c>
      <c r="BD99">
        <v>7.331378299120235E-2</v>
      </c>
      <c r="BE99">
        <v>5.0887583520967741E-2</v>
      </c>
      <c r="BF99">
        <v>5.7770567840322577E-2</v>
      </c>
      <c r="BG99">
        <v>0.1052073727983871</v>
      </c>
      <c r="BH99">
        <v>7.8044643362903232E-2</v>
      </c>
      <c r="BI99">
        <v>9.7200440433870952E-2</v>
      </c>
      <c r="BJ99">
        <v>0.12903225806451613</v>
      </c>
      <c r="BK99">
        <f>SUM(Table1_1[[#This Row],[PFBA]:[diSAmPAP]])</f>
        <v>1607.0339200360631</v>
      </c>
      <c r="BL99">
        <f>LOG(Table1_1[[#This Row],[PFBA]])</f>
        <v>-1.0496486567975856</v>
      </c>
      <c r="BM99">
        <f>LOG(Table1_1[[#This Row],[PFPeA]])</f>
        <v>-1.2856768212669796</v>
      </c>
      <c r="BN99">
        <f>LOG(Table1_1[[#This Row],[PFHxA]])</f>
        <v>-0.91956326291313173</v>
      </c>
      <c r="BO99">
        <f>LOG(Table1_1[[#This Row],[PFHpA]])</f>
        <v>-1.5327543789924978</v>
      </c>
      <c r="BP99">
        <f>LOG(Table1_1[[#This Row],[PFOA]])</f>
        <v>0.45331834004703764</v>
      </c>
      <c r="BQ99">
        <f>LOG(Table1_1[[#This Row],[PFNA]])</f>
        <v>0.56466606425208932</v>
      </c>
      <c r="BR99">
        <f>LOG(Table1_1[[#This Row],[PFDA]])</f>
        <v>0.82347422917030111</v>
      </c>
      <c r="BS99">
        <f>LOG(Table1_1[[#This Row],[PFUnA]])</f>
        <v>1.0211892990699381</v>
      </c>
      <c r="BT99">
        <f>LOG(Table1_1[[#This Row],[PFDoA]])</f>
        <v>-1.2325721560212719</v>
      </c>
      <c r="BU99">
        <f>LOG(Table1_1[[#This Row],[PFTrDA]])</f>
        <v>0.29003461136251801</v>
      </c>
      <c r="BV99">
        <f>LOG(Table1_1[[#This Row],[PFTeDA]])</f>
        <v>0.93500315145365476</v>
      </c>
      <c r="BW99">
        <f>LOG(Table1_1[[#This Row],[PFHxDA]])</f>
        <v>-1.0586109376571302</v>
      </c>
      <c r="BX99">
        <f>LOG(Table1_1[[#This Row],[PFPrS]])</f>
        <v>-1.2523164503410105</v>
      </c>
      <c r="BY99">
        <f>LOG(Table1_1[[#This Row],[PFBS]])</f>
        <v>-1.3019164788490301</v>
      </c>
      <c r="BZ99">
        <f>LOG(Table1_1[[#This Row],[PFPeS]])</f>
        <v>-0.92780582793948319</v>
      </c>
      <c r="CA99">
        <f>LOG(Table1_1[[#This Row],[PFHxS]])</f>
        <v>1.5809249756756194</v>
      </c>
      <c r="CB99">
        <f>LOG(Table1_1[[#This Row],[PFHpS]])</f>
        <v>-4.9635145623876928E-2</v>
      </c>
      <c r="CC99">
        <f>LOG(Table1_1[[#This Row],[PFOS]])</f>
        <v>3.0934216851622351</v>
      </c>
      <c r="CD99">
        <f>LOG(Table1_1[[#This Row],[PFNS]])</f>
        <v>-4.8176964684088018E-2</v>
      </c>
      <c r="CE99">
        <f>LOG(Table1_1[[#This Row],[PFDS]])</f>
        <v>-6.8542129310994945E-2</v>
      </c>
      <c r="CF99">
        <f>LOG(Table1_1[[#This Row],[PFDoS]])</f>
        <v>-0.62258054464397183</v>
      </c>
      <c r="CG99">
        <f>LOG(Table1_1[[#This Row],[Cl-PFOS]])</f>
        <v>-0.86803070893072731</v>
      </c>
      <c r="CH99">
        <f>LOG(Table1_1[[#This Row],[PFEtCHxS]])</f>
        <v>-1.0496486567975856</v>
      </c>
      <c r="CI99">
        <f>LOG(Table1_1[[#This Row],[FBSA]])</f>
        <v>2.0492180226701815</v>
      </c>
      <c r="CJ99">
        <f>LOG(Table1_1[[#This Row],[FHxSA]])</f>
        <v>2.1492191126553797</v>
      </c>
      <c r="CK99">
        <f>LOG(Table1_1[[#This Row],[FOSA]])</f>
        <v>1.3673559210260189</v>
      </c>
      <c r="CL99">
        <f>LOG(Table1_1[[#This Row],[N-MeFOSA]])</f>
        <v>-1.2481075502077521</v>
      </c>
      <c r="CM99">
        <f>LOG(Table1_1[[#This Row],[N-EtFOSA]])</f>
        <v>-1.0677590827742973</v>
      </c>
      <c r="CN99">
        <f>LOG(Table1_1[[#This Row],[FOSAA]])</f>
        <v>-1.2381585387083682</v>
      </c>
      <c r="CO99">
        <f>LOG(Table1_1[[#This Row],[N-MeFOSAA]])</f>
        <v>-1.1321946636421398</v>
      </c>
      <c r="CP99">
        <f>LOG(Table1_1[[#This Row],[N-EtFOSAA]])</f>
        <v>-1.1962994157339444</v>
      </c>
      <c r="CQ99">
        <f>LOG(Table1_1[[#This Row],[4:2 FTS]])</f>
        <v>-1.220265745864451</v>
      </c>
      <c r="CR99">
        <f>LOG(Table1_1[[#This Row],[6:2 FTS]])</f>
        <v>-0.45345733652186898</v>
      </c>
      <c r="CS99">
        <f>LOG(Table1_1[[#This Row],[8:2 FTS]])</f>
        <v>0.59439255037542671</v>
      </c>
      <c r="CT99">
        <f>LOG(Table1_1[[#This Row],[10:2 FTS]])</f>
        <v>-0.5965346930456622</v>
      </c>
      <c r="CU99">
        <f>LOG(Table1_1[[#This Row],[3:3 FTCA]])</f>
        <v>-1.0728009707893813</v>
      </c>
      <c r="CV99">
        <f>LOG(Table1_1[[#This Row],[5:3 FTCA]])</f>
        <v>0.13672056715640679</v>
      </c>
      <c r="CW99">
        <f>LOG(Table1_1[[#This Row],[7:3 FTCA]])</f>
        <v>0.7291647896927701</v>
      </c>
      <c r="CX99">
        <f>LOG(Table1_1[[#This Row],[6:2 FTCA]])</f>
        <v>0.31386722036915343</v>
      </c>
      <c r="CY99">
        <f>LOG(Table1_1[[#This Row],[8:2 FTCA]])</f>
        <v>-1.5327543789924978</v>
      </c>
      <c r="CZ99">
        <f>LOG(Table1_1[[#This Row],[10:2 FTCA]])</f>
        <v>-0.96098951522356202</v>
      </c>
      <c r="DA99">
        <f>LOG(Table1_1[[#This Row],[6:2 FTUCA]])</f>
        <v>-1.2398359886242576</v>
      </c>
      <c r="DB99">
        <f>LOG(Table1_1[[#This Row],[8:2 FTUCA]])</f>
        <v>-1.3535585211910093</v>
      </c>
      <c r="DC99">
        <f>LOG(Table1_1[[#This Row],[ADONA]])</f>
        <v>-1.1348143703204601</v>
      </c>
      <c r="DD99">
        <f>LOG(Table1_1[[#This Row],[9Cl-PF3ONS]])</f>
        <v>-1.2933881718114506</v>
      </c>
      <c r="DE99">
        <f>LOG(Table1_1[[#This Row],[11Cl-PF3OUdS]])</f>
        <v>-1.2382933636563249</v>
      </c>
      <c r="DF99">
        <f>LOG(Table1_1[[#This Row],[HFPO-DA]])</f>
        <v>-0.97795382431290478</v>
      </c>
      <c r="DG99">
        <f>LOG(Table1_1[[#This Row],[6:2 diPAP]])</f>
        <v>-1.1076568996197096</v>
      </c>
      <c r="DH99">
        <f>LOG(Table1_1[[#This Row],[8:2 diPAP]])</f>
        <v>-1.0123317671975276</v>
      </c>
      <c r="DI99">
        <f>LOG(Table1_1[[#This Row],[diSAmPAP]])</f>
        <v>-0.88930170250631035</v>
      </c>
    </row>
    <row r="100" spans="1:113">
      <c r="A100" t="s">
        <v>251</v>
      </c>
      <c r="B100" t="s">
        <v>114</v>
      </c>
      <c r="C100" s="3">
        <v>44314</v>
      </c>
      <c r="D100" t="s">
        <v>226</v>
      </c>
      <c r="E100" t="s">
        <v>227</v>
      </c>
      <c r="F100" t="s">
        <v>228</v>
      </c>
      <c r="G100" t="s">
        <v>118</v>
      </c>
      <c r="H100" t="s">
        <v>119</v>
      </c>
      <c r="I100">
        <v>8</v>
      </c>
      <c r="J100">
        <f>LOG(Table1_1[[#This Row],[Length]])</f>
        <v>0.90308998699194354</v>
      </c>
      <c r="K100">
        <v>10.9</v>
      </c>
      <c r="L100">
        <f>LOG(Table1_1[[#This Row],[Weight]])</f>
        <v>1.0374264979406236</v>
      </c>
      <c r="M100">
        <v>8.8950385451670291E-2</v>
      </c>
      <c r="N100">
        <v>4.7743577808225975E-2</v>
      </c>
      <c r="O100">
        <v>0.1200143640732803</v>
      </c>
      <c r="P100">
        <v>2.7029462113703943E-2</v>
      </c>
      <c r="Q100">
        <v>0.36899999999999999</v>
      </c>
      <c r="R100">
        <v>0.41899999999999998</v>
      </c>
      <c r="S100">
        <v>3</v>
      </c>
      <c r="T100">
        <v>6.34</v>
      </c>
      <c r="U100">
        <v>5.3953500420713583E-2</v>
      </c>
      <c r="V100">
        <v>4.12</v>
      </c>
      <c r="W100">
        <v>10.8</v>
      </c>
      <c r="X100">
        <v>8.0534291931615473E-2</v>
      </c>
      <c r="Y100">
        <v>5.15555390381566E-2</v>
      </c>
      <c r="Z100">
        <v>0.15135115325434864</v>
      </c>
      <c r="AA100">
        <v>0.11775806567727812</v>
      </c>
      <c r="AB100">
        <v>11.7</v>
      </c>
      <c r="AC100">
        <v>1.57</v>
      </c>
      <c r="AD100">
        <v>563</v>
      </c>
      <c r="AE100">
        <v>0.60799999999999998</v>
      </c>
      <c r="AF100">
        <v>1.01</v>
      </c>
      <c r="AG100">
        <v>0.23780224292493579</v>
      </c>
      <c r="AH100">
        <v>0.13513435784830993</v>
      </c>
      <c r="AI100">
        <v>8.8950385451670291E-2</v>
      </c>
      <c r="AJ100">
        <v>73.2</v>
      </c>
      <c r="AK100">
        <v>64.5</v>
      </c>
      <c r="AL100">
        <v>18.7</v>
      </c>
      <c r="AM100">
        <v>5.2057610794846387E-2</v>
      </c>
      <c r="AN100">
        <v>7.8855628865708641E-2</v>
      </c>
      <c r="AO100">
        <v>5.3263934482656101E-2</v>
      </c>
      <c r="AP100">
        <v>6.7982498014370674E-2</v>
      </c>
      <c r="AQ100">
        <v>5.86532884950446E-2</v>
      </c>
      <c r="AR100">
        <v>5.5504224160555012E-2</v>
      </c>
      <c r="AS100">
        <v>0.13425652219718817</v>
      </c>
      <c r="AT100">
        <v>0.71</v>
      </c>
      <c r="AU100">
        <v>0.25250024166831386</v>
      </c>
      <c r="AV100">
        <v>7.7945457688305256E-2</v>
      </c>
      <c r="AW100">
        <v>0.87</v>
      </c>
      <c r="AX100">
        <v>11.8</v>
      </c>
      <c r="AY100">
        <v>3.39</v>
      </c>
      <c r="AZ100">
        <v>0.90600000000000003</v>
      </c>
      <c r="BA100">
        <v>0.10083290214023788</v>
      </c>
      <c r="BB100">
        <v>5.3058600874132812E-2</v>
      </c>
      <c r="BC100">
        <v>4.0835065931268587E-2</v>
      </c>
      <c r="BD100">
        <v>6.7573655284259848E-2</v>
      </c>
      <c r="BE100">
        <v>4.6903322769573839E-2</v>
      </c>
      <c r="BF100">
        <v>5.3247401478196232E-2</v>
      </c>
      <c r="BG100">
        <v>9.6970125572348881E-2</v>
      </c>
      <c r="BH100">
        <v>7.1934111325569872E-2</v>
      </c>
      <c r="BI100">
        <v>8.9590098715064445E-2</v>
      </c>
      <c r="BJ100">
        <v>0.11892963330029734</v>
      </c>
      <c r="BK100">
        <f>SUM(Table1_1[[#This Row],[PFBA]:[diSAmPAP]])</f>
        <v>779.7836716497518</v>
      </c>
      <c r="BL100">
        <f>LOG(Table1_1[[#This Row],[PFBA]])</f>
        <v>-1.0508521656332237</v>
      </c>
      <c r="BM100">
        <f>LOG(Table1_1[[#This Row],[PFPeA]])</f>
        <v>-1.3210850389499549</v>
      </c>
      <c r="BN100">
        <f>LOG(Table1_1[[#This Row],[PFHxA]])</f>
        <v>-0.92076677174876986</v>
      </c>
      <c r="BO100">
        <f>LOG(Table1_1[[#This Row],[PFHpA]])</f>
        <v>-1.5681625966754731</v>
      </c>
      <c r="BP100">
        <f>LOG(Table1_1[[#This Row],[PFOA]])</f>
        <v>-0.43297363384093962</v>
      </c>
      <c r="BQ100">
        <f>LOG(Table1_1[[#This Row],[PFNA]])</f>
        <v>-0.3777859770337047</v>
      </c>
      <c r="BR100">
        <f>LOG(Table1_1[[#This Row],[PFDA]])</f>
        <v>0.47712125471966244</v>
      </c>
      <c r="BS100">
        <f>LOG(Table1_1[[#This Row],[PFUnA]])</f>
        <v>0.80208925788173269</v>
      </c>
      <c r="BT100">
        <f>LOG(Table1_1[[#This Row],[PFDoA]])</f>
        <v>-1.2679803737042472</v>
      </c>
      <c r="BU100">
        <f>LOG(Table1_1[[#This Row],[PFTrDA]])</f>
        <v>0.61489721603313463</v>
      </c>
      <c r="BV100">
        <f>LOG(Table1_1[[#This Row],[PFTeDA]])</f>
        <v>1.0334237554869496</v>
      </c>
      <c r="BW100">
        <f>LOG(Table1_1[[#This Row],[PFHxDA]])</f>
        <v>-1.0940191553401055</v>
      </c>
      <c r="BX100">
        <f>LOG(Table1_1[[#This Row],[PFPrS]])</f>
        <v>-1.2877246680239858</v>
      </c>
      <c r="BY100">
        <f>LOG(Table1_1[[#This Row],[PFBS]])</f>
        <v>-0.82001426548975598</v>
      </c>
      <c r="BZ100">
        <f>LOG(Table1_1[[#This Row],[PFPeS]])</f>
        <v>-0.92900933677512132</v>
      </c>
      <c r="CA100">
        <f>LOG(Table1_1[[#This Row],[PFHxS]])</f>
        <v>1.0681858617461617</v>
      </c>
      <c r="CB100">
        <f>LOG(Table1_1[[#This Row],[PFHpS]])</f>
        <v>0.19589965240923377</v>
      </c>
      <c r="CC100">
        <f>LOG(Table1_1[[#This Row],[PFOS]])</f>
        <v>2.7505083948513462</v>
      </c>
      <c r="CD100">
        <f>LOG(Table1_1[[#This Row],[PFNS]])</f>
        <v>-0.21609642072726507</v>
      </c>
      <c r="CE100">
        <f>LOG(Table1_1[[#This Row],[PFDS]])</f>
        <v>4.3213737826425782E-3</v>
      </c>
      <c r="CF100">
        <f>LOG(Table1_1[[#This Row],[PFDoS]])</f>
        <v>-0.62378405347960997</v>
      </c>
      <c r="CG100">
        <f>LOG(Table1_1[[#This Row],[Cl-PFOS]])</f>
        <v>-0.86923421776636534</v>
      </c>
      <c r="CH100">
        <f>LOG(Table1_1[[#This Row],[PFEtCHxS]])</f>
        <v>-1.0508521656332237</v>
      </c>
      <c r="CI100">
        <f>LOG(Table1_1[[#This Row],[FBSA]])</f>
        <v>1.8645110810583918</v>
      </c>
      <c r="CJ100">
        <f>LOG(Table1_1[[#This Row],[FHxSA]])</f>
        <v>1.8095597146352678</v>
      </c>
      <c r="CK100">
        <f>LOG(Table1_1[[#This Row],[FOSA]])</f>
        <v>1.271841606536499</v>
      </c>
      <c r="CL100">
        <f>LOG(Table1_1[[#This Row],[N-MeFOSA]])</f>
        <v>-1.2835157678907276</v>
      </c>
      <c r="CM100">
        <f>LOG(Table1_1[[#This Row],[N-EtFOSA]])</f>
        <v>-1.1031673004572726</v>
      </c>
      <c r="CN100">
        <f>LOG(Table1_1[[#This Row],[FOSAA]])</f>
        <v>-1.2735667563913433</v>
      </c>
      <c r="CO100">
        <f>LOG(Table1_1[[#This Row],[N-MeFOSAA]])</f>
        <v>-1.1676028813251151</v>
      </c>
      <c r="CP100">
        <f>LOG(Table1_1[[#This Row],[N-EtFOSAA]])</f>
        <v>-1.2317076334169197</v>
      </c>
      <c r="CQ100">
        <f>LOG(Table1_1[[#This Row],[4:2 FTS]])</f>
        <v>-1.2556739635474261</v>
      </c>
      <c r="CR100">
        <f>LOG(Table1_1[[#This Row],[6:2 FTS]])</f>
        <v>-0.87206460704036437</v>
      </c>
      <c r="CS100">
        <f>LOG(Table1_1[[#This Row],[8:2 FTS]])</f>
        <v>-0.14874165128092473</v>
      </c>
      <c r="CT100">
        <f>LOG(Table1_1[[#This Row],[10:2 FTS]])</f>
        <v>-0.59773820188130022</v>
      </c>
      <c r="CU100">
        <f>LOG(Table1_1[[#This Row],[3:3 FTCA]])</f>
        <v>-1.1082091884723566</v>
      </c>
      <c r="CV100">
        <f>LOG(Table1_1[[#This Row],[5:3 FTCA]])</f>
        <v>-6.0480747381381476E-2</v>
      </c>
      <c r="CW100">
        <f>LOG(Table1_1[[#This Row],[7:3 FTCA]])</f>
        <v>1.0718820073061255</v>
      </c>
      <c r="CX100">
        <f>LOG(Table1_1[[#This Row],[6:2 FTCA]])</f>
        <v>0.53019969820308221</v>
      </c>
      <c r="CY100">
        <f>LOG(Table1_1[[#This Row],[8:2 FTCA]])</f>
        <v>-4.2871802323186915E-2</v>
      </c>
      <c r="CZ100">
        <f>LOG(Table1_1[[#This Row],[10:2 FTCA]])</f>
        <v>-0.99639773290653733</v>
      </c>
      <c r="DA100">
        <f>LOG(Table1_1[[#This Row],[6:2 FTUCA]])</f>
        <v>-1.2752442063072329</v>
      </c>
      <c r="DB100">
        <f>LOG(Table1_1[[#This Row],[8:2 FTUCA]])</f>
        <v>-1.3889667388739846</v>
      </c>
      <c r="DC100">
        <f>LOG(Table1_1[[#This Row],[ADONA]])</f>
        <v>-1.1702225880034356</v>
      </c>
      <c r="DD100">
        <f>LOG(Table1_1[[#This Row],[9Cl-PF3ONS]])</f>
        <v>-1.3287963894944259</v>
      </c>
      <c r="DE100">
        <f>LOG(Table1_1[[#This Row],[11Cl-PF3OUdS]])</f>
        <v>-1.2737015813393002</v>
      </c>
      <c r="DF100">
        <f>LOG(Table1_1[[#This Row],[HFPO-DA]])</f>
        <v>-1.01336204199588</v>
      </c>
      <c r="DG100">
        <f>LOG(Table1_1[[#This Row],[6:2 diPAP]])</f>
        <v>-1.1430651173026851</v>
      </c>
      <c r="DH100">
        <f>LOG(Table1_1[[#This Row],[8:2 diPAP]])</f>
        <v>-1.0477399848805027</v>
      </c>
      <c r="DI100">
        <f>LOG(Table1_1[[#This Row],[diSAmPAP]])</f>
        <v>-0.92470992018928566</v>
      </c>
    </row>
    <row r="101" spans="1:113">
      <c r="A101" t="s">
        <v>252</v>
      </c>
      <c r="B101" t="s">
        <v>114</v>
      </c>
      <c r="C101" s="3">
        <v>44314</v>
      </c>
      <c r="D101" t="s">
        <v>226</v>
      </c>
      <c r="E101" t="s">
        <v>227</v>
      </c>
      <c r="F101" t="s">
        <v>228</v>
      </c>
      <c r="G101" t="s">
        <v>118</v>
      </c>
      <c r="H101" t="s">
        <v>119</v>
      </c>
      <c r="I101">
        <v>5</v>
      </c>
      <c r="J101">
        <f>LOG(Table1_1[[#This Row],[Length]])</f>
        <v>0.69897000433601886</v>
      </c>
      <c r="K101">
        <v>4.1500000000000004</v>
      </c>
      <c r="L101">
        <f>LOG(Table1_1[[#This Row],[Weight]])</f>
        <v>0.61804809671209271</v>
      </c>
      <c r="M101">
        <v>2.6954662258081907E-2</v>
      </c>
      <c r="N101">
        <v>4.761145484137181E-2</v>
      </c>
      <c r="O101">
        <v>0.13079549070373225</v>
      </c>
      <c r="P101">
        <v>9.694097371822491E-2</v>
      </c>
      <c r="Q101">
        <v>0.46500000000000002</v>
      </c>
      <c r="R101">
        <v>0.22585943251273694</v>
      </c>
      <c r="S101">
        <v>1.71</v>
      </c>
      <c r="T101">
        <v>2.95</v>
      </c>
      <c r="U101">
        <v>5.380419245354813E-2</v>
      </c>
      <c r="V101">
        <v>0.71799999999999997</v>
      </c>
      <c r="W101">
        <v>2.59</v>
      </c>
      <c r="X101">
        <v>8.0311425735323169E-2</v>
      </c>
      <c r="Y101">
        <v>5.1412867058213081E-2</v>
      </c>
      <c r="Z101">
        <v>4.5863985834651108E-2</v>
      </c>
      <c r="AA101">
        <v>0.12833650458021328</v>
      </c>
      <c r="AB101">
        <v>9.32</v>
      </c>
      <c r="AC101">
        <v>0.81100000000000005</v>
      </c>
      <c r="AD101">
        <v>397</v>
      </c>
      <c r="AE101">
        <v>0.35399999999999998</v>
      </c>
      <c r="AF101">
        <v>0.1984748122962085</v>
      </c>
      <c r="AG101">
        <v>0.25916448663447866</v>
      </c>
      <c r="AH101">
        <v>0.14727374329052134</v>
      </c>
      <c r="AI101">
        <v>9.694097371822491E-2</v>
      </c>
      <c r="AJ101">
        <v>82</v>
      </c>
      <c r="AK101">
        <v>229</v>
      </c>
      <c r="AL101">
        <v>24.7</v>
      </c>
      <c r="AM101">
        <v>5.1913549408974108E-2</v>
      </c>
      <c r="AN101">
        <v>7.8637408109804297E-2</v>
      </c>
      <c r="AO101">
        <v>5.3116534782565721E-2</v>
      </c>
      <c r="AP101">
        <v>6.7794366966297689E-2</v>
      </c>
      <c r="AQ101">
        <v>5.8490974591322395E-2</v>
      </c>
      <c r="AR101">
        <v>5.5350624805297489E-2</v>
      </c>
      <c r="AS101">
        <v>0.36699999999999999</v>
      </c>
      <c r="AT101">
        <v>0.94099999999999995</v>
      </c>
      <c r="AU101">
        <v>7.6515224747973898E-2</v>
      </c>
      <c r="AV101">
        <v>7.7729755690353813E-2</v>
      </c>
      <c r="AW101">
        <v>0.25494626788151659</v>
      </c>
      <c r="AX101">
        <v>1.53</v>
      </c>
      <c r="AY101">
        <v>2.21</v>
      </c>
      <c r="AZ101">
        <v>2.6954662258081907E-2</v>
      </c>
      <c r="BA101">
        <v>0.10055386267987745</v>
      </c>
      <c r="BB101">
        <v>5.2911769403044075E-2</v>
      </c>
      <c r="BC101">
        <v>4.0722061202460962E-2</v>
      </c>
      <c r="BD101">
        <v>6.7386655645204754E-2</v>
      </c>
      <c r="BE101">
        <v>4.6773525078572832E-2</v>
      </c>
      <c r="BF101">
        <v>5.3100047530638468E-2</v>
      </c>
      <c r="BG101">
        <v>9.6701775748665744E-2</v>
      </c>
      <c r="BH101">
        <v>7.1735044798873299E-2</v>
      </c>
      <c r="BI101">
        <v>8.9342171974204382E-2</v>
      </c>
      <c r="BJ101">
        <v>0.11860051393556036</v>
      </c>
      <c r="BK101">
        <f>SUM(Table1_1[[#This Row],[PFBA]:[diSAmPAP]])</f>
        <v>759.79502180287488</v>
      </c>
      <c r="BL101">
        <f>LOG(Table1_1[[#This Row],[PFBA]])</f>
        <v>-1.5693661055111112</v>
      </c>
      <c r="BM101">
        <f>LOG(Table1_1[[#This Row],[PFPeA]])</f>
        <v>-1.322288547785593</v>
      </c>
      <c r="BN101">
        <f>LOG(Table1_1[[#This Row],[PFHxA]])</f>
        <v>-0.88340722846010122</v>
      </c>
      <c r="BO101">
        <f>LOG(Table1_1[[#This Row],[PFHpA]])</f>
        <v>-1.0134926223445553</v>
      </c>
      <c r="BP101">
        <f>LOG(Table1_1[[#This Row],[PFOA]])</f>
        <v>-0.33254704711004607</v>
      </c>
      <c r="BQ101">
        <f>LOG(Table1_1[[#This Row],[PFNA]])</f>
        <v>-0.64616176738865905</v>
      </c>
      <c r="BR101">
        <f>LOG(Table1_1[[#This Row],[PFDA]])</f>
        <v>0.23299611039215382</v>
      </c>
      <c r="BS101">
        <f>LOG(Table1_1[[#This Row],[PFUnA]])</f>
        <v>0.46982201597816303</v>
      </c>
      <c r="BT101">
        <f>LOG(Table1_1[[#This Row],[PFDoA]])</f>
        <v>-1.2691838825398853</v>
      </c>
      <c r="BU101">
        <f>LOG(Table1_1[[#This Row],[PFTrDA]])</f>
        <v>-0.14387555575769967</v>
      </c>
      <c r="BV101">
        <f>LOG(Table1_1[[#This Row],[PFTeDA]])</f>
        <v>0.4132997640812518</v>
      </c>
      <c r="BW101">
        <f>LOG(Table1_1[[#This Row],[PFHxDA]])</f>
        <v>-1.0952226641757437</v>
      </c>
      <c r="BX101">
        <f>LOG(Table1_1[[#This Row],[PFPrS]])</f>
        <v>-1.2889281768596239</v>
      </c>
      <c r="BY101">
        <f>LOG(Table1_1[[#This Row],[PFBS]])</f>
        <v>-1.3385282053676435</v>
      </c>
      <c r="BZ101">
        <f>LOG(Table1_1[[#This Row],[PFPeS]])</f>
        <v>-0.89164979348645279</v>
      </c>
      <c r="CA101">
        <f>LOG(Table1_1[[#This Row],[PFHxS]])</f>
        <v>0.96941591235398139</v>
      </c>
      <c r="CB101">
        <f>LOG(Table1_1[[#This Row],[PFHpS]])</f>
        <v>-9.0979145788843946E-2</v>
      </c>
      <c r="CC101">
        <f>LOG(Table1_1[[#This Row],[PFOS]])</f>
        <v>2.5987905067631152</v>
      </c>
      <c r="CD101">
        <f>LOG(Table1_1[[#This Row],[PFNS]])</f>
        <v>-0.45099673797421219</v>
      </c>
      <c r="CE101">
        <f>LOG(Table1_1[[#This Row],[PFDS]])</f>
        <v>-0.70229460010915601</v>
      </c>
      <c r="CF101">
        <f>LOG(Table1_1[[#This Row],[PFDoS]])</f>
        <v>-0.58642451019094155</v>
      </c>
      <c r="CG101">
        <f>LOG(Table1_1[[#This Row],[Cl-PFOS]])</f>
        <v>-0.83187467447769681</v>
      </c>
      <c r="CH101">
        <f>LOG(Table1_1[[#This Row],[PFEtCHxS]])</f>
        <v>-1.0134926223445553</v>
      </c>
      <c r="CI101">
        <f>LOG(Table1_1[[#This Row],[FBSA]])</f>
        <v>1.9138138523837167</v>
      </c>
      <c r="CJ101">
        <f>LOG(Table1_1[[#This Row],[FHxSA]])</f>
        <v>2.3598354823398879</v>
      </c>
      <c r="CK101">
        <f>LOG(Table1_1[[#This Row],[FOSA]])</f>
        <v>1.3926969532596658</v>
      </c>
      <c r="CL101">
        <f>LOG(Table1_1[[#This Row],[N-MeFOSA]])</f>
        <v>-1.2847192767263655</v>
      </c>
      <c r="CM101">
        <f>LOG(Table1_1[[#This Row],[N-EtFOSA]])</f>
        <v>-1.104370809292911</v>
      </c>
      <c r="CN101">
        <f>LOG(Table1_1[[#This Row],[FOSAA]])</f>
        <v>-1.2747702652269814</v>
      </c>
      <c r="CO101">
        <f>LOG(Table1_1[[#This Row],[N-MeFOSAA]])</f>
        <v>-1.1688063901607533</v>
      </c>
      <c r="CP101">
        <f>LOG(Table1_1[[#This Row],[N-EtFOSAA]])</f>
        <v>-1.2329111422525578</v>
      </c>
      <c r="CQ101">
        <f>LOG(Table1_1[[#This Row],[4:2 FTS]])</f>
        <v>-1.2568774723830642</v>
      </c>
      <c r="CR101">
        <f>LOG(Table1_1[[#This Row],[6:2 FTS]])</f>
        <v>-0.43533393574791068</v>
      </c>
      <c r="CS101">
        <f>LOG(Table1_1[[#This Row],[8:2 FTS]])</f>
        <v>-2.6410376572743116E-2</v>
      </c>
      <c r="CT101">
        <f>LOG(Table1_1[[#This Row],[10:2 FTS]])</f>
        <v>-1.1162521417591877</v>
      </c>
      <c r="CU101">
        <f>LOG(Table1_1[[#This Row],[3:3 FTCA]])</f>
        <v>-1.1094126973079947</v>
      </c>
      <c r="CV101">
        <f>LOG(Table1_1[[#This Row],[5:3 FTCA]])</f>
        <v>-0.59355134121887154</v>
      </c>
      <c r="CW101">
        <f>LOG(Table1_1[[#This Row],[7:3 FTCA]])</f>
        <v>0.18469143081759881</v>
      </c>
      <c r="CX101">
        <f>LOG(Table1_1[[#This Row],[6:2 FTCA]])</f>
        <v>0.34439227368511072</v>
      </c>
      <c r="CY101">
        <f>LOG(Table1_1[[#This Row],[8:2 FTCA]])</f>
        <v>-1.5693661055111112</v>
      </c>
      <c r="CZ101">
        <f>LOG(Table1_1[[#This Row],[10:2 FTCA]])</f>
        <v>-0.99760124174217535</v>
      </c>
      <c r="DA101">
        <f>LOG(Table1_1[[#This Row],[6:2 FTUCA]])</f>
        <v>-1.276447715142871</v>
      </c>
      <c r="DB101">
        <f>LOG(Table1_1[[#This Row],[8:2 FTUCA]])</f>
        <v>-1.3901702477096227</v>
      </c>
      <c r="DC101">
        <f>LOG(Table1_1[[#This Row],[ADONA]])</f>
        <v>-1.1714260968390737</v>
      </c>
      <c r="DD101">
        <f>LOG(Table1_1[[#This Row],[9Cl-PF3ONS]])</f>
        <v>-1.329999898330064</v>
      </c>
      <c r="DE101">
        <f>LOG(Table1_1[[#This Row],[11Cl-PF3OUdS]])</f>
        <v>-1.2749050901749384</v>
      </c>
      <c r="DF101">
        <f>LOG(Table1_1[[#This Row],[HFPO-DA]])</f>
        <v>-1.0145655508315181</v>
      </c>
      <c r="DG101">
        <f>LOG(Table1_1[[#This Row],[6:2 diPAP]])</f>
        <v>-1.144268626138323</v>
      </c>
      <c r="DH101">
        <f>LOG(Table1_1[[#This Row],[8:2 diPAP]])</f>
        <v>-1.0489434937161408</v>
      </c>
      <c r="DI101">
        <f>LOG(Table1_1[[#This Row],[diSAmPAP]])</f>
        <v>-0.9259134290249238</v>
      </c>
    </row>
    <row r="102" spans="1:113">
      <c r="A102" t="s">
        <v>253</v>
      </c>
      <c r="B102" t="s">
        <v>114</v>
      </c>
      <c r="C102" s="3">
        <v>44314</v>
      </c>
      <c r="D102" t="s">
        <v>226</v>
      </c>
      <c r="E102" t="s">
        <v>227</v>
      </c>
      <c r="F102" t="s">
        <v>228</v>
      </c>
      <c r="G102" t="s">
        <v>118</v>
      </c>
      <c r="H102" t="s">
        <v>119</v>
      </c>
      <c r="I102">
        <v>8</v>
      </c>
      <c r="J102">
        <f>LOG(Table1_1[[#This Row],[Length]])</f>
        <v>0.90308998699194354</v>
      </c>
      <c r="K102">
        <v>9.35</v>
      </c>
      <c r="L102">
        <f>LOG(Table1_1[[#This Row],[Weight]])</f>
        <v>0.97081161087251777</v>
      </c>
      <c r="M102">
        <v>8.8999999999999996E-2</v>
      </c>
      <c r="N102">
        <v>4.7750000000000001E-2</v>
      </c>
      <c r="O102">
        <v>3.635E-2</v>
      </c>
      <c r="P102">
        <v>2.6950000000000002E-2</v>
      </c>
      <c r="Q102">
        <v>0.47199999999999998</v>
      </c>
      <c r="R102">
        <v>0.154</v>
      </c>
      <c r="S102">
        <v>3</v>
      </c>
      <c r="T102">
        <v>6.01</v>
      </c>
      <c r="U102">
        <v>8.84</v>
      </c>
      <c r="V102">
        <v>3.31</v>
      </c>
      <c r="W102">
        <v>6.98</v>
      </c>
      <c r="X102">
        <v>8.0500000000000002E-2</v>
      </c>
      <c r="Y102">
        <v>5.1499999999999997E-2</v>
      </c>
      <c r="Z102">
        <v>4.5900000000000003E-2</v>
      </c>
      <c r="AA102">
        <v>0.11799999999999999</v>
      </c>
      <c r="AB102">
        <v>4.82</v>
      </c>
      <c r="AC102">
        <v>0.48199999999999998</v>
      </c>
      <c r="AD102">
        <v>396</v>
      </c>
      <c r="AE102">
        <v>0.53100000000000003</v>
      </c>
      <c r="AF102">
        <v>2.62</v>
      </c>
      <c r="AG102">
        <v>0.23799999999999999</v>
      </c>
      <c r="AH102">
        <v>0.13550000000000001</v>
      </c>
      <c r="AI102">
        <v>8.8999999999999996E-2</v>
      </c>
      <c r="AJ102">
        <v>63.2</v>
      </c>
      <c r="AK102">
        <v>89.5</v>
      </c>
      <c r="AL102">
        <v>8.27</v>
      </c>
      <c r="AM102">
        <v>5.1999999999999998E-2</v>
      </c>
      <c r="AN102">
        <v>7.9000000000000001E-2</v>
      </c>
      <c r="AO102">
        <v>5.2999999999999999E-2</v>
      </c>
      <c r="AP102">
        <v>0.224</v>
      </c>
      <c r="AQ102">
        <v>5.8500000000000003E-2</v>
      </c>
      <c r="AR102">
        <v>5.5500000000000001E-2</v>
      </c>
      <c r="AS102">
        <v>0.13450000000000001</v>
      </c>
      <c r="AT102">
        <v>0.66</v>
      </c>
      <c r="AU102">
        <v>7.6499999999999999E-2</v>
      </c>
      <c r="AV102">
        <v>7.8E-2</v>
      </c>
      <c r="AW102">
        <v>6.14</v>
      </c>
      <c r="AX102">
        <v>13.7</v>
      </c>
      <c r="AY102">
        <v>0.14299999999999999</v>
      </c>
      <c r="AZ102">
        <v>2.6950000000000002E-2</v>
      </c>
      <c r="BA102">
        <v>0.10100000000000001</v>
      </c>
      <c r="BB102">
        <v>5.2999999999999999E-2</v>
      </c>
      <c r="BC102">
        <v>4.0750000000000001E-2</v>
      </c>
      <c r="BD102">
        <v>6.7500000000000004E-2</v>
      </c>
      <c r="BE102">
        <v>4.6800000000000001E-2</v>
      </c>
      <c r="BF102">
        <v>5.2999999999999999E-2</v>
      </c>
      <c r="BG102">
        <v>9.7000000000000003E-2</v>
      </c>
      <c r="BH102">
        <v>7.1999999999999995E-2</v>
      </c>
      <c r="BI102">
        <v>8.9499999999999996E-2</v>
      </c>
      <c r="BJ102">
        <v>0.11899999999999999</v>
      </c>
      <c r="BK102">
        <f>SUM(Table1_1[[#This Row],[PFBA]:[diSAmPAP]])</f>
        <v>617.36795000000006</v>
      </c>
      <c r="BL102">
        <f>LOG(Table1_1[[#This Row],[PFBA]])</f>
        <v>-1.0506099933550872</v>
      </c>
      <c r="BM102">
        <f>LOG(Table1_1[[#This Row],[PFPeA]])</f>
        <v>-1.3210266240802349</v>
      </c>
      <c r="BN102">
        <f>LOG(Table1_1[[#This Row],[PFHxA]])</f>
        <v>-1.4394955848049433</v>
      </c>
      <c r="BO102">
        <f>LOG(Table1_1[[#This Row],[PFHpA]])</f>
        <v>-1.5694412304772425</v>
      </c>
      <c r="BP102">
        <f>LOG(Table1_1[[#This Row],[PFOA]])</f>
        <v>-0.32605800136591223</v>
      </c>
      <c r="BQ102">
        <f>LOG(Table1_1[[#This Row],[PFNA]])</f>
        <v>-0.8124792791635369</v>
      </c>
      <c r="BR102">
        <f>LOG(Table1_1[[#This Row],[PFDA]])</f>
        <v>0.47712125471966244</v>
      </c>
      <c r="BS102">
        <f>LOG(Table1_1[[#This Row],[PFUnA]])</f>
        <v>0.77887447200273952</v>
      </c>
      <c r="BT102">
        <f>LOG(Table1_1[[#This Row],[PFDoA]])</f>
        <v>0.94645226501307311</v>
      </c>
      <c r="BU102">
        <f>LOG(Table1_1[[#This Row],[PFTrDA]])</f>
        <v>0.51982799377571876</v>
      </c>
      <c r="BV102">
        <f>LOG(Table1_1[[#This Row],[PFTeDA]])</f>
        <v>0.84385542262316116</v>
      </c>
      <c r="BW102">
        <f>LOG(Table1_1[[#This Row],[PFHxDA]])</f>
        <v>-1.0942041196321315</v>
      </c>
      <c r="BX102">
        <f>LOG(Table1_1[[#This Row],[PFPrS]])</f>
        <v>-1.288192770958809</v>
      </c>
      <c r="BY102">
        <f>LOG(Table1_1[[#This Row],[PFBS]])</f>
        <v>-1.3381873144627388</v>
      </c>
      <c r="BZ102">
        <f>LOG(Table1_1[[#This Row],[PFPeS]])</f>
        <v>-0.92811799269387463</v>
      </c>
      <c r="CA102">
        <f>LOG(Table1_1[[#This Row],[PFHxS]])</f>
        <v>0.6830470382388496</v>
      </c>
      <c r="CB102">
        <f>LOG(Table1_1[[#This Row],[PFHpS]])</f>
        <v>-0.31695296176115045</v>
      </c>
      <c r="CC102">
        <f>LOG(Table1_1[[#This Row],[PFOS]])</f>
        <v>2.5976951859255122</v>
      </c>
      <c r="CD102">
        <f>LOG(Table1_1[[#This Row],[PFNS]])</f>
        <v>-0.2749054789185309</v>
      </c>
      <c r="CE102">
        <f>LOG(Table1_1[[#This Row],[PFDS]])</f>
        <v>0.41830129131974547</v>
      </c>
      <c r="CF102">
        <f>LOG(Table1_1[[#This Row],[PFDoS]])</f>
        <v>-0.62342304294348805</v>
      </c>
      <c r="CG102">
        <f>LOG(Table1_1[[#This Row],[Cl-PFOS]])</f>
        <v>-0.86806070478957542</v>
      </c>
      <c r="CH102">
        <f>LOG(Table1_1[[#This Row],[PFEtCHxS]])</f>
        <v>-1.0506099933550872</v>
      </c>
      <c r="CI102">
        <f>LOG(Table1_1[[#This Row],[FBSA]])</f>
        <v>1.8007170782823851</v>
      </c>
      <c r="CJ102">
        <f>LOG(Table1_1[[#This Row],[FHxSA]])</f>
        <v>1.9518230353159121</v>
      </c>
      <c r="CK102">
        <f>LOG(Table1_1[[#This Row],[FOSA]])</f>
        <v>0.91750550955254662</v>
      </c>
      <c r="CL102">
        <f>LOG(Table1_1[[#This Row],[N-MeFOSA]])</f>
        <v>-1.2839966563652008</v>
      </c>
      <c r="CM102">
        <f>LOG(Table1_1[[#This Row],[N-EtFOSA]])</f>
        <v>-1.1023729087095586</v>
      </c>
      <c r="CN102">
        <f>LOG(Table1_1[[#This Row],[FOSAA]])</f>
        <v>-1.2757241303992111</v>
      </c>
      <c r="CO102">
        <f>LOG(Table1_1[[#This Row],[N-MeFOSAA]])</f>
        <v>-0.64975198166583714</v>
      </c>
      <c r="CP102">
        <f>LOG(Table1_1[[#This Row],[N-EtFOSAA]])</f>
        <v>-1.2328441339178196</v>
      </c>
      <c r="CQ102">
        <f>LOG(Table1_1[[#This Row],[4:2 FTS]])</f>
        <v>-1.2557070168773237</v>
      </c>
      <c r="CR102">
        <f>LOG(Table1_1[[#This Row],[6:2 FTS]])</f>
        <v>-0.87127771566157319</v>
      </c>
      <c r="CS102">
        <f>LOG(Table1_1[[#This Row],[8:2 FTS]])</f>
        <v>-0.18045606445813131</v>
      </c>
      <c r="CT102">
        <f>LOG(Table1_1[[#This Row],[10:2 FTS]])</f>
        <v>-1.1163385648463824</v>
      </c>
      <c r="CU102">
        <f>LOG(Table1_1[[#This Row],[3:3 FTCA]])</f>
        <v>-1.1079053973095196</v>
      </c>
      <c r="CV102">
        <f>LOG(Table1_1[[#This Row],[5:3 FTCA]])</f>
        <v>0.78816837114116767</v>
      </c>
      <c r="CW102">
        <f>LOG(Table1_1[[#This Row],[7:3 FTCA]])</f>
        <v>1.1367205671564067</v>
      </c>
      <c r="CX102">
        <f>LOG(Table1_1[[#This Row],[6:2 FTCA]])</f>
        <v>-0.84466396253493825</v>
      </c>
      <c r="CY102">
        <f>LOG(Table1_1[[#This Row],[8:2 FTCA]])</f>
        <v>-1.5694412304772425</v>
      </c>
      <c r="CZ102">
        <f>LOG(Table1_1[[#This Row],[10:2 FTCA]])</f>
        <v>-0.99567862621735737</v>
      </c>
      <c r="DA102">
        <f>LOG(Table1_1[[#This Row],[6:2 FTUCA]])</f>
        <v>-1.2757241303992111</v>
      </c>
      <c r="DB102">
        <f>LOG(Table1_1[[#This Row],[8:2 FTUCA]])</f>
        <v>-1.3898723869240046</v>
      </c>
      <c r="DC102">
        <f>LOG(Table1_1[[#This Row],[ADONA]])</f>
        <v>-1.1706962271689751</v>
      </c>
      <c r="DD102">
        <f>LOG(Table1_1[[#This Row],[9Cl-PF3ONS]])</f>
        <v>-1.329754146925876</v>
      </c>
      <c r="DE102">
        <f>LOG(Table1_1[[#This Row],[11Cl-PF3OUdS]])</f>
        <v>-1.2757241303992111</v>
      </c>
      <c r="DF102">
        <f>LOG(Table1_1[[#This Row],[HFPO-DA]])</f>
        <v>-1.0132282657337552</v>
      </c>
      <c r="DG102">
        <f>LOG(Table1_1[[#This Row],[6:2 diPAP]])</f>
        <v>-1.1426675035687315</v>
      </c>
      <c r="DH102">
        <f>LOG(Table1_1[[#This Row],[8:2 diPAP]])</f>
        <v>-1.0481769646840879</v>
      </c>
      <c r="DI102">
        <f>LOG(Table1_1[[#This Row],[diSAmPAP]])</f>
        <v>-0.9244530386074693</v>
      </c>
    </row>
    <row r="103" spans="1:113">
      <c r="A103" t="s">
        <v>254</v>
      </c>
      <c r="B103" t="s">
        <v>114</v>
      </c>
      <c r="C103" s="3">
        <v>44314</v>
      </c>
      <c r="D103" t="s">
        <v>226</v>
      </c>
      <c r="E103" t="s">
        <v>227</v>
      </c>
      <c r="F103" t="s">
        <v>228</v>
      </c>
      <c r="G103" t="s">
        <v>118</v>
      </c>
      <c r="H103" t="s">
        <v>119</v>
      </c>
      <c r="I103">
        <v>10</v>
      </c>
      <c r="J103">
        <f>LOG(Table1_1[[#This Row],[Length]])</f>
        <v>1</v>
      </c>
      <c r="K103">
        <v>19.55</v>
      </c>
      <c r="L103">
        <f>LOG(Table1_1[[#This Row],[Weight]])</f>
        <v>1.2911467617318857</v>
      </c>
      <c r="M103">
        <v>2.8799999999999999E-2</v>
      </c>
      <c r="N103">
        <v>5.0999999999999997E-2</v>
      </c>
      <c r="O103">
        <v>3.8949999999999999E-2</v>
      </c>
      <c r="P103">
        <v>9.5000000000000001E-2</v>
      </c>
      <c r="Q103">
        <v>9.5000000000000001E-2</v>
      </c>
      <c r="R103">
        <v>0.16450000000000001</v>
      </c>
      <c r="S103">
        <v>2.2200000000000002</v>
      </c>
      <c r="T103">
        <v>4.2</v>
      </c>
      <c r="U103">
        <v>6.25</v>
      </c>
      <c r="V103">
        <v>3.47</v>
      </c>
      <c r="W103">
        <v>5.33</v>
      </c>
      <c r="X103">
        <v>8.5999999999999993E-2</v>
      </c>
      <c r="Y103">
        <v>5.5E-2</v>
      </c>
      <c r="Z103">
        <v>0.16200000000000001</v>
      </c>
      <c r="AA103">
        <v>0.126</v>
      </c>
      <c r="AB103">
        <v>4.58</v>
      </c>
      <c r="AC103">
        <v>0.58399999999999996</v>
      </c>
      <c r="AD103">
        <v>484</v>
      </c>
      <c r="AE103">
        <v>0.39700000000000002</v>
      </c>
      <c r="AF103">
        <v>3.48</v>
      </c>
      <c r="AG103">
        <v>0.2545</v>
      </c>
      <c r="AH103">
        <v>0.14449999999999999</v>
      </c>
      <c r="AI103">
        <v>9.5000000000000001E-2</v>
      </c>
      <c r="AJ103">
        <v>37.5</v>
      </c>
      <c r="AK103">
        <v>30.1</v>
      </c>
      <c r="AL103">
        <v>17.100000000000001</v>
      </c>
      <c r="AM103">
        <v>5.5500000000000001E-2</v>
      </c>
      <c r="AN103">
        <v>8.4000000000000005E-2</v>
      </c>
      <c r="AO103">
        <v>5.7000000000000002E-2</v>
      </c>
      <c r="AP103">
        <v>0.23949999999999999</v>
      </c>
      <c r="AQ103">
        <v>6.25E-2</v>
      </c>
      <c r="AR103">
        <v>5.8999999999999997E-2</v>
      </c>
      <c r="AS103">
        <v>0.14349999999999999</v>
      </c>
      <c r="AT103">
        <v>1.39</v>
      </c>
      <c r="AU103">
        <v>8.2000000000000003E-2</v>
      </c>
      <c r="AV103">
        <v>8.3000000000000004E-2</v>
      </c>
      <c r="AW103">
        <v>0.17949999999999999</v>
      </c>
      <c r="AX103">
        <v>3.67</v>
      </c>
      <c r="AY103">
        <v>4.6199999999999998E-2</v>
      </c>
      <c r="AZ103">
        <v>2.8799999999999999E-2</v>
      </c>
      <c r="BA103">
        <v>0.1075</v>
      </c>
      <c r="BB103">
        <v>5.6500000000000002E-2</v>
      </c>
      <c r="BC103">
        <v>4.3499999999999997E-2</v>
      </c>
      <c r="BD103">
        <v>7.1999999999999995E-2</v>
      </c>
      <c r="BE103">
        <v>0.05</v>
      </c>
      <c r="BF103">
        <v>5.7000000000000002E-2</v>
      </c>
      <c r="BG103">
        <v>0.34150000000000003</v>
      </c>
      <c r="BH103">
        <v>7.6499999999999999E-2</v>
      </c>
      <c r="BI103">
        <v>9.5500000000000002E-2</v>
      </c>
      <c r="BJ103">
        <v>0.127</v>
      </c>
      <c r="BK103">
        <f>SUM(Table1_1[[#This Row],[PFBA]:[diSAmPAP]])</f>
        <v>607.81474999999989</v>
      </c>
      <c r="BL103">
        <f>LOG(Table1_1[[#This Row],[PFBA]])</f>
        <v>-1.5406075122407692</v>
      </c>
      <c r="BM103">
        <f>LOG(Table1_1[[#This Row],[PFPeA]])</f>
        <v>-1.2924298239020637</v>
      </c>
      <c r="BN103">
        <f>LOG(Table1_1[[#This Row],[PFHxA]])</f>
        <v>-1.4094925379914167</v>
      </c>
      <c r="BO103">
        <f>LOG(Table1_1[[#This Row],[PFHpA]])</f>
        <v>-1.0222763947111522</v>
      </c>
      <c r="BP103">
        <f>LOG(Table1_1[[#This Row],[PFOA]])</f>
        <v>-1.0222763947111522</v>
      </c>
      <c r="BQ103">
        <f>LOG(Table1_1[[#This Row],[PFNA]])</f>
        <v>-0.78383409771400692</v>
      </c>
      <c r="BR103">
        <f>LOG(Table1_1[[#This Row],[PFDA]])</f>
        <v>0.34635297445063867</v>
      </c>
      <c r="BS103">
        <f>LOG(Table1_1[[#This Row],[PFUnA]])</f>
        <v>0.62324929039790045</v>
      </c>
      <c r="BT103">
        <f>LOG(Table1_1[[#This Row],[PFDoA]])</f>
        <v>0.79588001734407521</v>
      </c>
      <c r="BU103">
        <f>LOG(Table1_1[[#This Row],[PFTrDA]])</f>
        <v>0.54032947479087379</v>
      </c>
      <c r="BV103">
        <f>LOG(Table1_1[[#This Row],[PFTeDA]])</f>
        <v>0.72672720902657229</v>
      </c>
      <c r="BW103">
        <f>LOG(Table1_1[[#This Row],[PFHxDA]])</f>
        <v>-1.0655015487564323</v>
      </c>
      <c r="BX103">
        <f>LOG(Table1_1[[#This Row],[PFPrS]])</f>
        <v>-1.2596373105057561</v>
      </c>
      <c r="BY103">
        <f>LOG(Table1_1[[#This Row],[PFBS]])</f>
        <v>-0.790484985457369</v>
      </c>
      <c r="BZ103">
        <f>LOG(Table1_1[[#This Row],[PFPeS]])</f>
        <v>-0.89962945488243706</v>
      </c>
      <c r="CA103">
        <f>LOG(Table1_1[[#This Row],[PFHxS]])</f>
        <v>0.66086547800386919</v>
      </c>
      <c r="CB103">
        <f>LOG(Table1_1[[#This Row],[PFHpS]])</f>
        <v>-0.23358715288760054</v>
      </c>
      <c r="CC103">
        <f>LOG(Table1_1[[#This Row],[PFOS]])</f>
        <v>2.6848453616444123</v>
      </c>
      <c r="CD103">
        <f>LOG(Table1_1[[#This Row],[PFNS]])</f>
        <v>-0.40120949323688493</v>
      </c>
      <c r="CE103">
        <f>LOG(Table1_1[[#This Row],[PFDS]])</f>
        <v>0.54157924394658097</v>
      </c>
      <c r="CF103">
        <f>LOG(Table1_1[[#This Row],[PFDoS]])</f>
        <v>-0.59431221332722239</v>
      </c>
      <c r="CG103">
        <f>LOG(Table1_1[[#This Row],[Cl-PFOS]])</f>
        <v>-0.84013215290743337</v>
      </c>
      <c r="CH103">
        <f>LOG(Table1_1[[#This Row],[PFEtCHxS]])</f>
        <v>-1.0222763947111522</v>
      </c>
      <c r="CI103">
        <f>LOG(Table1_1[[#This Row],[FBSA]])</f>
        <v>1.5740312677277188</v>
      </c>
      <c r="CJ103">
        <f>LOG(Table1_1[[#This Row],[FHxSA]])</f>
        <v>1.4785664955938433</v>
      </c>
      <c r="CK103">
        <f>LOG(Table1_1[[#This Row],[FOSA]])</f>
        <v>1.2329961103921538</v>
      </c>
      <c r="CL103">
        <f>LOG(Table1_1[[#This Row],[N-MeFOSA]])</f>
        <v>-1.2557070168773237</v>
      </c>
      <c r="CM103">
        <f>LOG(Table1_1[[#This Row],[N-EtFOSA]])</f>
        <v>-1.0757207139381184</v>
      </c>
      <c r="CN103">
        <f>LOG(Table1_1[[#This Row],[FOSAA]])</f>
        <v>-1.2441251443275085</v>
      </c>
      <c r="CO103">
        <f>LOG(Table1_1[[#This Row],[N-MeFOSAA]])</f>
        <v>-0.62069448224941803</v>
      </c>
      <c r="CP103">
        <f>LOG(Table1_1[[#This Row],[N-EtFOSAA]])</f>
        <v>-1.2041199826559248</v>
      </c>
      <c r="CQ103">
        <f>LOG(Table1_1[[#This Row],[4:2 FTS]])</f>
        <v>-1.2291479883578558</v>
      </c>
      <c r="CR103">
        <f>LOG(Table1_1[[#This Row],[6:2 FTS]])</f>
        <v>-0.84314809892998888</v>
      </c>
      <c r="CS103">
        <f>LOG(Table1_1[[#This Row],[8:2 FTS]])</f>
        <v>0.14301480025409505</v>
      </c>
      <c r="CT103">
        <f>LOG(Table1_1[[#This Row],[10:2 FTS]])</f>
        <v>-1.0861861476162833</v>
      </c>
      <c r="CU103">
        <f>LOG(Table1_1[[#This Row],[3:3 FTCA]])</f>
        <v>-1.080921907623926</v>
      </c>
      <c r="CV103">
        <f>LOG(Table1_1[[#This Row],[5:3 FTCA]])</f>
        <v>-0.74593554708566201</v>
      </c>
      <c r="CW103">
        <f>LOG(Table1_1[[#This Row],[7:3 FTCA]])</f>
        <v>0.56466606425208932</v>
      </c>
      <c r="CX103">
        <f>LOG(Table1_1[[#This Row],[6:2 FTCA]])</f>
        <v>-1.3353580244438745</v>
      </c>
      <c r="CY103">
        <f>LOG(Table1_1[[#This Row],[8:2 FTCA]])</f>
        <v>-1.5406075122407692</v>
      </c>
      <c r="CZ103">
        <f>LOG(Table1_1[[#This Row],[10:2 FTCA]])</f>
        <v>-0.96859153574837586</v>
      </c>
      <c r="DA103">
        <f>LOG(Table1_1[[#This Row],[6:2 FTUCA]])</f>
        <v>-1.2479515521805615</v>
      </c>
      <c r="DB103">
        <f>LOG(Table1_1[[#This Row],[8:2 FTUCA]])</f>
        <v>-1.3615107430453628</v>
      </c>
      <c r="DC103">
        <f>LOG(Table1_1[[#This Row],[ADONA]])</f>
        <v>-1.1426675035687315</v>
      </c>
      <c r="DD103">
        <f>LOG(Table1_1[[#This Row],[9Cl-PF3ONS]])</f>
        <v>-1.3010299956639813</v>
      </c>
      <c r="DE103">
        <f>LOG(Table1_1[[#This Row],[11Cl-PF3OUdS]])</f>
        <v>-1.2441251443275085</v>
      </c>
      <c r="DF103">
        <f>LOG(Table1_1[[#This Row],[HFPO-DA]])</f>
        <v>-0.4666092919824486</v>
      </c>
      <c r="DG103">
        <f>LOG(Table1_1[[#This Row],[6:2 diPAP]])</f>
        <v>-1.1163385648463824</v>
      </c>
      <c r="DH103">
        <f>LOG(Table1_1[[#This Row],[8:2 diPAP]])</f>
        <v>-1.0199966284162536</v>
      </c>
      <c r="DI103">
        <f>LOG(Table1_1[[#This Row],[diSAmPAP]])</f>
        <v>-0.89619627904404309</v>
      </c>
    </row>
    <row r="104" spans="1:113">
      <c r="A104" t="s">
        <v>255</v>
      </c>
      <c r="B104" t="s">
        <v>114</v>
      </c>
      <c r="C104" s="3">
        <v>44314</v>
      </c>
      <c r="D104" t="s">
        <v>226</v>
      </c>
      <c r="E104" t="s">
        <v>227</v>
      </c>
      <c r="F104" t="s">
        <v>228</v>
      </c>
      <c r="G104" t="s">
        <v>118</v>
      </c>
      <c r="H104" t="s">
        <v>119</v>
      </c>
      <c r="I104">
        <v>6</v>
      </c>
      <c r="J104">
        <f>LOG(Table1_1[[#This Row],[Length]])</f>
        <v>0.77815125038364363</v>
      </c>
      <c r="K104">
        <v>4.3499999999999996</v>
      </c>
      <c r="L104">
        <f>LOG(Table1_1[[#This Row],[Weight]])</f>
        <v>0.63848925695463732</v>
      </c>
      <c r="M104">
        <v>9.0499999999999997E-2</v>
      </c>
      <c r="N104">
        <v>4.8649999999999999E-2</v>
      </c>
      <c r="O104">
        <v>3.7100000000000001E-2</v>
      </c>
      <c r="P104">
        <v>9.0499999999999997E-2</v>
      </c>
      <c r="Q104">
        <v>0.55000000000000004</v>
      </c>
      <c r="R104">
        <v>0.40100000000000002</v>
      </c>
      <c r="S104">
        <v>3.98</v>
      </c>
      <c r="T104">
        <v>6.92</v>
      </c>
      <c r="U104">
        <v>11.4</v>
      </c>
      <c r="V104">
        <v>1.03</v>
      </c>
      <c r="W104">
        <v>5.38</v>
      </c>
      <c r="X104">
        <v>8.2000000000000003E-2</v>
      </c>
      <c r="Y104">
        <v>5.2499999999999998E-2</v>
      </c>
      <c r="Z104">
        <v>0.1545</v>
      </c>
      <c r="AA104">
        <v>0.12</v>
      </c>
      <c r="AB104">
        <v>10.7</v>
      </c>
      <c r="AC104">
        <v>1.18</v>
      </c>
      <c r="AD104">
        <v>658</v>
      </c>
      <c r="AE104">
        <v>0.29599999999999999</v>
      </c>
      <c r="AF104">
        <v>2.16</v>
      </c>
      <c r="AG104">
        <v>0.24249999999999999</v>
      </c>
      <c r="AH104">
        <v>0.13800000000000001</v>
      </c>
      <c r="AI104">
        <v>9.0499999999999997E-2</v>
      </c>
      <c r="AJ104">
        <v>83.1</v>
      </c>
      <c r="AK104">
        <v>45.8</v>
      </c>
      <c r="AL104">
        <v>20</v>
      </c>
      <c r="AM104">
        <v>5.2999999999999999E-2</v>
      </c>
      <c r="AN104">
        <v>0.08</v>
      </c>
      <c r="AO104">
        <v>5.3999999999999999E-2</v>
      </c>
      <c r="AP104">
        <v>0.91500000000000004</v>
      </c>
      <c r="AQ104">
        <v>5.9499999999999997E-2</v>
      </c>
      <c r="AR104">
        <v>5.6500000000000002E-2</v>
      </c>
      <c r="AS104">
        <v>0.59899999999999998</v>
      </c>
      <c r="AT104">
        <v>0.95399999999999996</v>
      </c>
      <c r="AU104">
        <v>7.8E-2</v>
      </c>
      <c r="AV104">
        <v>7.9000000000000001E-2</v>
      </c>
      <c r="AW104">
        <v>1.82</v>
      </c>
      <c r="AX104">
        <v>15</v>
      </c>
      <c r="AY104">
        <v>4.41E-2</v>
      </c>
      <c r="AZ104">
        <v>2.7400000000000001E-2</v>
      </c>
      <c r="BA104">
        <v>0.10249999999999999</v>
      </c>
      <c r="BB104">
        <v>5.3999999999999999E-2</v>
      </c>
      <c r="BC104">
        <v>4.1500000000000002E-2</v>
      </c>
      <c r="BD104">
        <v>6.9000000000000006E-2</v>
      </c>
      <c r="BE104">
        <v>4.7750000000000001E-2</v>
      </c>
      <c r="BF104">
        <v>5.3999999999999999E-2</v>
      </c>
      <c r="BG104">
        <v>9.8500000000000004E-2</v>
      </c>
      <c r="BH104">
        <v>7.2999999999999995E-2</v>
      </c>
      <c r="BI104">
        <v>9.0999999999999998E-2</v>
      </c>
      <c r="BJ104">
        <v>0.121</v>
      </c>
      <c r="BK104">
        <f>SUM(Table1_1[[#This Row],[PFBA]:[diSAmPAP]])</f>
        <v>872.61549999999966</v>
      </c>
      <c r="BL104">
        <f>LOG(Table1_1[[#This Row],[PFBA]])</f>
        <v>-1.0433514207947967</v>
      </c>
      <c r="BM104">
        <f>LOG(Table1_1[[#This Row],[PFPeA]])</f>
        <v>-1.3129171553956294</v>
      </c>
      <c r="BN104">
        <f>LOG(Table1_1[[#This Row],[PFHxA]])</f>
        <v>-1.4306260903849541</v>
      </c>
      <c r="BO104">
        <f>LOG(Table1_1[[#This Row],[PFHpA]])</f>
        <v>-1.0433514207947967</v>
      </c>
      <c r="BP104">
        <f>LOG(Table1_1[[#This Row],[PFOA]])</f>
        <v>-0.25963731050575611</v>
      </c>
      <c r="BQ104">
        <f>LOG(Table1_1[[#This Row],[PFNA]])</f>
        <v>-0.39685562737981767</v>
      </c>
      <c r="BR104">
        <f>LOG(Table1_1[[#This Row],[PFDA]])</f>
        <v>0.59988307207368785</v>
      </c>
      <c r="BS104">
        <f>LOG(Table1_1[[#This Row],[PFUnA]])</f>
        <v>0.84010609445675777</v>
      </c>
      <c r="BT104">
        <f>LOG(Table1_1[[#This Row],[PFDoA]])</f>
        <v>1.0569048513364727</v>
      </c>
      <c r="BU104">
        <f>LOG(Table1_1[[#This Row],[PFTrDA]])</f>
        <v>1.2837224705172217E-2</v>
      </c>
      <c r="BV104">
        <f>LOG(Table1_1[[#This Row],[PFTeDA]])</f>
        <v>0.7307822756663892</v>
      </c>
      <c r="BW104">
        <f>LOG(Table1_1[[#This Row],[PFHxDA]])</f>
        <v>-1.0861861476162833</v>
      </c>
      <c r="BX104">
        <f>LOG(Table1_1[[#This Row],[PFPrS]])</f>
        <v>-1.2798406965940432</v>
      </c>
      <c r="BY104">
        <f>LOG(Table1_1[[#This Row],[PFBS]])</f>
        <v>-0.81107151623914653</v>
      </c>
      <c r="BZ104">
        <f>LOG(Table1_1[[#This Row],[PFPeS]])</f>
        <v>-0.92081875395237522</v>
      </c>
      <c r="CA104">
        <f>LOG(Table1_1[[#This Row],[PFHxS]])</f>
        <v>1.0293837776852097</v>
      </c>
      <c r="CB104">
        <f>LOG(Table1_1[[#This Row],[PFHpS]])</f>
        <v>7.1882007306125359E-2</v>
      </c>
      <c r="CC104">
        <f>LOG(Table1_1[[#This Row],[PFOS]])</f>
        <v>2.8182258936139557</v>
      </c>
      <c r="CD104">
        <f>LOG(Table1_1[[#This Row],[PFNS]])</f>
        <v>-0.52870828894106148</v>
      </c>
      <c r="CE104">
        <f>LOG(Table1_1[[#This Row],[PFDS]])</f>
        <v>0.3344537511509309</v>
      </c>
      <c r="CF104">
        <f>LOG(Table1_1[[#This Row],[PFDoS]])</f>
        <v>-0.61528825706171753</v>
      </c>
      <c r="CG104">
        <f>LOG(Table1_1[[#This Row],[Cl-PFOS]])</f>
        <v>-0.86012091359876341</v>
      </c>
      <c r="CH104">
        <f>LOG(Table1_1[[#This Row],[PFEtCHxS]])</f>
        <v>-1.0433514207947967</v>
      </c>
      <c r="CI104">
        <f>LOG(Table1_1[[#This Row],[FBSA]])</f>
        <v>1.919601023784111</v>
      </c>
      <c r="CJ104">
        <f>LOG(Table1_1[[#This Row],[FHxSA]])</f>
        <v>1.6608654780038692</v>
      </c>
      <c r="CK104">
        <f>LOG(Table1_1[[#This Row],[FOSA]])</f>
        <v>1.3010299956639813</v>
      </c>
      <c r="CL104">
        <f>LOG(Table1_1[[#This Row],[N-MeFOSA]])</f>
        <v>-1.2757241303992111</v>
      </c>
      <c r="CM104">
        <f>LOG(Table1_1[[#This Row],[N-EtFOSA]])</f>
        <v>-1.0969100130080565</v>
      </c>
      <c r="CN104">
        <f>LOG(Table1_1[[#This Row],[FOSAA]])</f>
        <v>-1.2676062401770316</v>
      </c>
      <c r="CO104">
        <f>LOG(Table1_1[[#This Row],[N-MeFOSAA]])</f>
        <v>-3.8578905933551705E-2</v>
      </c>
      <c r="CP104">
        <f>LOG(Table1_1[[#This Row],[N-EtFOSAA]])</f>
        <v>-1.2254830342714504</v>
      </c>
      <c r="CQ104">
        <f>LOG(Table1_1[[#This Row],[4:2 FTS]])</f>
        <v>-1.2479515521805615</v>
      </c>
      <c r="CR104">
        <f>LOG(Table1_1[[#This Row],[6:2 FTS]])</f>
        <v>-0.22257317761068865</v>
      </c>
      <c r="CS104">
        <f>LOG(Table1_1[[#This Row],[8:2 FTS]])</f>
        <v>-2.0451625295904902E-2</v>
      </c>
      <c r="CT104">
        <f>LOG(Table1_1[[#This Row],[10:2 FTS]])</f>
        <v>-1.1079053973095196</v>
      </c>
      <c r="CU104">
        <f>LOG(Table1_1[[#This Row],[3:3 FTCA]])</f>
        <v>-1.1023729087095586</v>
      </c>
      <c r="CV104">
        <f>LOG(Table1_1[[#This Row],[5:3 FTCA]])</f>
        <v>0.26007138798507479</v>
      </c>
      <c r="CW104">
        <f>LOG(Table1_1[[#This Row],[7:3 FTCA]])</f>
        <v>1.1760912590556813</v>
      </c>
      <c r="CX104">
        <f>LOG(Table1_1[[#This Row],[6:2 FTCA]])</f>
        <v>-1.3555614105321614</v>
      </c>
      <c r="CY104">
        <f>LOG(Table1_1[[#This Row],[8:2 FTCA]])</f>
        <v>-1.5622494371796121</v>
      </c>
      <c r="CZ104">
        <f>LOG(Table1_1[[#This Row],[10:2 FTCA]])</f>
        <v>-0.98927613460822694</v>
      </c>
      <c r="DA104">
        <f>LOG(Table1_1[[#This Row],[6:2 FTUCA]])</f>
        <v>-1.2676062401770316</v>
      </c>
      <c r="DB104">
        <f>LOG(Table1_1[[#This Row],[8:2 FTUCA]])</f>
        <v>-1.3819519032879073</v>
      </c>
      <c r="DC104">
        <f>LOG(Table1_1[[#This Row],[ADONA]])</f>
        <v>-1.1611509092627446</v>
      </c>
      <c r="DD104">
        <f>LOG(Table1_1[[#This Row],[9Cl-PF3ONS]])</f>
        <v>-1.3210266240802349</v>
      </c>
      <c r="DE104">
        <f>LOG(Table1_1[[#This Row],[11Cl-PF3OUdS]])</f>
        <v>-1.2676062401770316</v>
      </c>
      <c r="DF104">
        <f>LOG(Table1_1[[#This Row],[HFPO-DA]])</f>
        <v>-1.0065637695023884</v>
      </c>
      <c r="DG104">
        <f>LOG(Table1_1[[#This Row],[6:2 diPAP]])</f>
        <v>-1.1366771398795441</v>
      </c>
      <c r="DH104">
        <f>LOG(Table1_1[[#This Row],[8:2 diPAP]])</f>
        <v>-1.0409586076789064</v>
      </c>
      <c r="DI104">
        <f>LOG(Table1_1[[#This Row],[diSAmPAP]])</f>
        <v>-0.91721462968354994</v>
      </c>
    </row>
    <row r="105" spans="1:113">
      <c r="A105" t="s">
        <v>256</v>
      </c>
      <c r="B105" t="s">
        <v>114</v>
      </c>
      <c r="C105" s="3">
        <v>44314</v>
      </c>
      <c r="D105" t="s">
        <v>226</v>
      </c>
      <c r="E105" t="s">
        <v>227</v>
      </c>
      <c r="F105" t="s">
        <v>228</v>
      </c>
      <c r="G105" t="s">
        <v>118</v>
      </c>
      <c r="H105" t="s">
        <v>119</v>
      </c>
      <c r="I105">
        <v>6</v>
      </c>
      <c r="J105">
        <f>LOG(Table1_1[[#This Row],[Length]])</f>
        <v>0.77815125038364363</v>
      </c>
      <c r="K105">
        <v>4.45</v>
      </c>
      <c r="L105">
        <f>LOG(Table1_1[[#This Row],[Weight]])</f>
        <v>0.64836001098093166</v>
      </c>
      <c r="M105">
        <v>2.8649999999999998E-2</v>
      </c>
      <c r="N105">
        <v>5.0999999999999997E-2</v>
      </c>
      <c r="O105">
        <v>0.128</v>
      </c>
      <c r="P105">
        <v>9.4500000000000001E-2</v>
      </c>
      <c r="Q105">
        <v>0.315</v>
      </c>
      <c r="R105">
        <v>0.16400000000000001</v>
      </c>
      <c r="S105">
        <v>1.74</v>
      </c>
      <c r="T105">
        <v>2.06</v>
      </c>
      <c r="U105">
        <v>2.58</v>
      </c>
      <c r="V105">
        <v>0.32600000000000001</v>
      </c>
      <c r="W105">
        <v>1.26</v>
      </c>
      <c r="X105">
        <v>8.5500000000000007E-2</v>
      </c>
      <c r="Y105">
        <v>5.45E-2</v>
      </c>
      <c r="Z105">
        <v>0.161</v>
      </c>
      <c r="AA105">
        <v>0.1255</v>
      </c>
      <c r="AB105">
        <v>6.56</v>
      </c>
      <c r="AC105">
        <v>0.23699999999999999</v>
      </c>
      <c r="AD105">
        <v>197</v>
      </c>
      <c r="AE105">
        <v>0.13500000000000001</v>
      </c>
      <c r="AF105">
        <v>0.503</v>
      </c>
      <c r="AG105">
        <v>0.2535</v>
      </c>
      <c r="AH105">
        <v>0.14399999999999999</v>
      </c>
      <c r="AI105">
        <v>9.4500000000000001E-2</v>
      </c>
      <c r="AJ105">
        <v>14.4</v>
      </c>
      <c r="AK105">
        <v>66.099999999999994</v>
      </c>
      <c r="AL105">
        <v>9.89</v>
      </c>
      <c r="AM105">
        <v>5.5500000000000001E-2</v>
      </c>
      <c r="AN105">
        <v>8.4000000000000005E-2</v>
      </c>
      <c r="AO105">
        <v>5.6500000000000002E-2</v>
      </c>
      <c r="AP105">
        <v>0.23849999999999999</v>
      </c>
      <c r="AQ105">
        <v>6.25E-2</v>
      </c>
      <c r="AR105">
        <v>5.8999999999999997E-2</v>
      </c>
      <c r="AS105">
        <v>0.14299999999999999</v>
      </c>
      <c r="AT105">
        <v>1.31</v>
      </c>
      <c r="AU105">
        <v>0.26900000000000002</v>
      </c>
      <c r="AV105">
        <v>8.2500000000000004E-2</v>
      </c>
      <c r="AW105">
        <v>0.17849999999999999</v>
      </c>
      <c r="AX105">
        <v>0.78800000000000003</v>
      </c>
      <c r="AY105">
        <v>4.6050000000000001E-2</v>
      </c>
      <c r="AZ105">
        <v>2.8649999999999998E-2</v>
      </c>
      <c r="BA105">
        <v>0.107</v>
      </c>
      <c r="BB105">
        <v>5.6500000000000002E-2</v>
      </c>
      <c r="BC105">
        <v>4.335E-2</v>
      </c>
      <c r="BD105">
        <v>7.1999999999999995E-2</v>
      </c>
      <c r="BE105">
        <v>4.9849999999999998E-2</v>
      </c>
      <c r="BF105">
        <v>5.6500000000000002E-2</v>
      </c>
      <c r="BG105">
        <v>0.10299999999999999</v>
      </c>
      <c r="BH105">
        <v>7.6499999999999999E-2</v>
      </c>
      <c r="BI105">
        <v>9.5000000000000001E-2</v>
      </c>
      <c r="BJ105">
        <v>0.1265</v>
      </c>
      <c r="BK105">
        <f>SUM(Table1_1[[#This Row],[PFBA]:[diSAmPAP]])</f>
        <v>308.67855000000009</v>
      </c>
      <c r="BL105">
        <f>LOG(Table1_1[[#This Row],[PFBA]])</f>
        <v>-1.5428753736965912</v>
      </c>
      <c r="BM105">
        <f>LOG(Table1_1[[#This Row],[PFPeA]])</f>
        <v>-1.2924298239020637</v>
      </c>
      <c r="BN105">
        <f>LOG(Table1_1[[#This Row],[PFHxA]])</f>
        <v>-0.89279003035213167</v>
      </c>
      <c r="BO105">
        <f>LOG(Table1_1[[#This Row],[PFHpA]])</f>
        <v>-1.024568191490737</v>
      </c>
      <c r="BP105">
        <f>LOG(Table1_1[[#This Row],[PFOA]])</f>
        <v>-0.50168944621039946</v>
      </c>
      <c r="BQ105">
        <f>LOG(Table1_1[[#This Row],[PFNA]])</f>
        <v>-0.78515615195230215</v>
      </c>
      <c r="BR105">
        <f>LOG(Table1_1[[#This Row],[PFDA]])</f>
        <v>0.24054924828259971</v>
      </c>
      <c r="BS105">
        <f>LOG(Table1_1[[#This Row],[PFUnA]])</f>
        <v>0.31386722036915343</v>
      </c>
      <c r="BT105">
        <f>LOG(Table1_1[[#This Row],[PFDoA]])</f>
        <v>0.41161970596323016</v>
      </c>
      <c r="BU105">
        <f>LOG(Table1_1[[#This Row],[PFTrDA]])</f>
        <v>-0.48678239993206096</v>
      </c>
      <c r="BV105">
        <f>LOG(Table1_1[[#This Row],[PFTeDA]])</f>
        <v>0.10037054511756291</v>
      </c>
      <c r="BW105">
        <f>LOG(Table1_1[[#This Row],[PFHxDA]])</f>
        <v>-1.0680338852718274</v>
      </c>
      <c r="BX105">
        <f>LOG(Table1_1[[#This Row],[PFPrS]])</f>
        <v>-1.2636034977233577</v>
      </c>
      <c r="BY105">
        <f>LOG(Table1_1[[#This Row],[PFBS]])</f>
        <v>-0.79317412396815024</v>
      </c>
      <c r="BZ105">
        <f>LOG(Table1_1[[#This Row],[PFPeS]])</f>
        <v>-0.90135627418294306</v>
      </c>
      <c r="CA105">
        <f>LOG(Table1_1[[#This Row],[PFHxS]])</f>
        <v>0.81690383937566025</v>
      </c>
      <c r="CB105">
        <f>LOG(Table1_1[[#This Row],[PFHpS]])</f>
        <v>-0.62525165398989613</v>
      </c>
      <c r="CC105">
        <f>LOG(Table1_1[[#This Row],[PFOS]])</f>
        <v>2.2944662261615929</v>
      </c>
      <c r="CD105">
        <f>LOG(Table1_1[[#This Row],[PFNS]])</f>
        <v>-0.86966623150499389</v>
      </c>
      <c r="CE105">
        <f>LOG(Table1_1[[#This Row],[PFDS]])</f>
        <v>-0.29843201494407262</v>
      </c>
      <c r="CF105">
        <f>LOG(Table1_1[[#This Row],[PFDoS]])</f>
        <v>-0.59602203633064521</v>
      </c>
      <c r="CG105">
        <f>LOG(Table1_1[[#This Row],[Cl-PFOS]])</f>
        <v>-0.84163750790475034</v>
      </c>
      <c r="CH105">
        <f>LOG(Table1_1[[#This Row],[PFEtCHxS]])</f>
        <v>-1.024568191490737</v>
      </c>
      <c r="CI105">
        <f>LOG(Table1_1[[#This Row],[FBSA]])</f>
        <v>1.1583624920952498</v>
      </c>
      <c r="CJ105">
        <f>LOG(Table1_1[[#This Row],[FHxSA]])</f>
        <v>1.8202014594856402</v>
      </c>
      <c r="CK105">
        <f>LOG(Table1_1[[#This Row],[FOSA]])</f>
        <v>0.99519629159717948</v>
      </c>
      <c r="CL105">
        <f>LOG(Table1_1[[#This Row],[N-MeFOSA]])</f>
        <v>-1.2557070168773237</v>
      </c>
      <c r="CM105">
        <f>LOG(Table1_1[[#This Row],[N-EtFOSA]])</f>
        <v>-1.0757207139381184</v>
      </c>
      <c r="CN105">
        <f>LOG(Table1_1[[#This Row],[FOSAA]])</f>
        <v>-1.2479515521805615</v>
      </c>
      <c r="CO105">
        <f>LOG(Table1_1[[#This Row],[N-MeFOSAA]])</f>
        <v>-0.62251161662386734</v>
      </c>
      <c r="CP105">
        <f>LOG(Table1_1[[#This Row],[N-EtFOSAA]])</f>
        <v>-1.2041199826559248</v>
      </c>
      <c r="CQ105">
        <f>LOG(Table1_1[[#This Row],[4:2 FTS]])</f>
        <v>-1.2291479883578558</v>
      </c>
      <c r="CR105">
        <f>LOG(Table1_1[[#This Row],[6:2 FTS]])</f>
        <v>-0.84466396253493825</v>
      </c>
      <c r="CS105">
        <f>LOG(Table1_1[[#This Row],[8:2 FTS]])</f>
        <v>0.11727129565576427</v>
      </c>
      <c r="CT105">
        <f>LOG(Table1_1[[#This Row],[10:2 FTS]])</f>
        <v>-0.57024771999759194</v>
      </c>
      <c r="CU105">
        <f>LOG(Table1_1[[#This Row],[3:3 FTCA]])</f>
        <v>-1.083546051450075</v>
      </c>
      <c r="CV105">
        <f>LOG(Table1_1[[#This Row],[5:3 FTCA]])</f>
        <v>-0.74836177955178806</v>
      </c>
      <c r="CW105">
        <f>LOG(Table1_1[[#This Row],[7:3 FTCA]])</f>
        <v>-0.10347378251044466</v>
      </c>
      <c r="CX105">
        <f>LOG(Table1_1[[#This Row],[6:2 FTCA]])</f>
        <v>-1.3367703654671323</v>
      </c>
      <c r="CY105">
        <f>LOG(Table1_1[[#This Row],[8:2 FTCA]])</f>
        <v>-1.5428753736965912</v>
      </c>
      <c r="CZ105">
        <f>LOG(Table1_1[[#This Row],[10:2 FTCA]])</f>
        <v>-0.97061622231479039</v>
      </c>
      <c r="DA105">
        <f>LOG(Table1_1[[#This Row],[6:2 FTUCA]])</f>
        <v>-1.2479515521805615</v>
      </c>
      <c r="DB105">
        <f>LOG(Table1_1[[#This Row],[8:2 FTUCA]])</f>
        <v>-1.3630108981877709</v>
      </c>
      <c r="DC105">
        <f>LOG(Table1_1[[#This Row],[ADONA]])</f>
        <v>-1.1426675035687315</v>
      </c>
      <c r="DD105">
        <f>LOG(Table1_1[[#This Row],[9Cl-PF3ONS]])</f>
        <v>-1.3023348373523256</v>
      </c>
      <c r="DE105">
        <f>LOG(Table1_1[[#This Row],[11Cl-PF3OUdS]])</f>
        <v>-1.2479515521805615</v>
      </c>
      <c r="DF105">
        <f>LOG(Table1_1[[#This Row],[HFPO-DA]])</f>
        <v>-0.98716277529482777</v>
      </c>
      <c r="DG105">
        <f>LOG(Table1_1[[#This Row],[6:2 diPAP]])</f>
        <v>-1.1163385648463824</v>
      </c>
      <c r="DH105">
        <f>LOG(Table1_1[[#This Row],[8:2 diPAP]])</f>
        <v>-1.0222763947111522</v>
      </c>
      <c r="DI105">
        <f>LOG(Table1_1[[#This Row],[diSAmPAP]])</f>
        <v>-0.89790947448816327</v>
      </c>
    </row>
    <row r="106" spans="1:113">
      <c r="A106" t="s">
        <v>257</v>
      </c>
      <c r="B106" t="s">
        <v>114</v>
      </c>
      <c r="C106" s="3">
        <v>44314</v>
      </c>
      <c r="D106" t="s">
        <v>226</v>
      </c>
      <c r="E106" t="s">
        <v>227</v>
      </c>
      <c r="F106" t="s">
        <v>228</v>
      </c>
      <c r="G106" t="s">
        <v>118</v>
      </c>
      <c r="H106" t="s">
        <v>119</v>
      </c>
      <c r="I106">
        <v>8</v>
      </c>
      <c r="J106">
        <f>LOG(Table1_1[[#This Row],[Length]])</f>
        <v>0.90308998699194354</v>
      </c>
      <c r="K106">
        <v>12.95</v>
      </c>
      <c r="L106">
        <f>LOG(Table1_1[[#This Row],[Weight]])</f>
        <v>1.1122697684172707</v>
      </c>
      <c r="M106">
        <v>2.8049999999999999E-2</v>
      </c>
      <c r="N106">
        <v>4.9549999999999997E-2</v>
      </c>
      <c r="O106">
        <v>0.125</v>
      </c>
      <c r="P106">
        <v>9.2499999999999999E-2</v>
      </c>
      <c r="Q106">
        <v>0.35499999999999998</v>
      </c>
      <c r="R106">
        <v>0.16</v>
      </c>
      <c r="S106">
        <v>3.87</v>
      </c>
      <c r="T106">
        <v>4.5</v>
      </c>
      <c r="U106">
        <v>4.8899999999999997</v>
      </c>
      <c r="V106">
        <v>2.02</v>
      </c>
      <c r="W106">
        <v>3.99</v>
      </c>
      <c r="X106">
        <v>8.3500000000000005E-2</v>
      </c>
      <c r="Y106">
        <v>5.3499999999999999E-2</v>
      </c>
      <c r="Z106">
        <v>4.7750000000000001E-2</v>
      </c>
      <c r="AA106">
        <v>0.1225</v>
      </c>
      <c r="AB106">
        <v>12.2</v>
      </c>
      <c r="AC106">
        <v>0.73799999999999999</v>
      </c>
      <c r="AD106">
        <v>481</v>
      </c>
      <c r="AE106">
        <v>0.29199999999999998</v>
      </c>
      <c r="AF106">
        <v>5.38</v>
      </c>
      <c r="AG106">
        <v>0.2475</v>
      </c>
      <c r="AH106">
        <v>0.14050000000000001</v>
      </c>
      <c r="AI106">
        <v>9.2499999999999999E-2</v>
      </c>
      <c r="AJ106">
        <v>34</v>
      </c>
      <c r="AK106">
        <v>34.700000000000003</v>
      </c>
      <c r="AL106">
        <v>19.600000000000001</v>
      </c>
      <c r="AM106">
        <v>5.3999999999999999E-2</v>
      </c>
      <c r="AN106">
        <v>8.2000000000000003E-2</v>
      </c>
      <c r="AO106">
        <v>5.5500000000000001E-2</v>
      </c>
      <c r="AP106">
        <v>0.23300000000000001</v>
      </c>
      <c r="AQ106">
        <v>6.0999999999999999E-2</v>
      </c>
      <c r="AR106">
        <v>5.7500000000000002E-2</v>
      </c>
      <c r="AS106">
        <v>0.14000000000000001</v>
      </c>
      <c r="AT106">
        <v>1.5</v>
      </c>
      <c r="AU106">
        <v>0.26300000000000001</v>
      </c>
      <c r="AV106">
        <v>8.1000000000000003E-2</v>
      </c>
      <c r="AW106">
        <v>0.43</v>
      </c>
      <c r="AX106">
        <v>1.94</v>
      </c>
      <c r="AY106">
        <v>4.4999999999999998E-2</v>
      </c>
      <c r="AZ106">
        <v>2.8049999999999999E-2</v>
      </c>
      <c r="BA106">
        <v>0.1045</v>
      </c>
      <c r="BB106">
        <v>5.5E-2</v>
      </c>
      <c r="BC106">
        <v>4.24E-2</v>
      </c>
      <c r="BD106">
        <v>7.0000000000000007E-2</v>
      </c>
      <c r="BE106">
        <v>4.8649999999999999E-2</v>
      </c>
      <c r="BF106">
        <v>5.5500000000000001E-2</v>
      </c>
      <c r="BG106">
        <v>0.10050000000000001</v>
      </c>
      <c r="BH106">
        <v>7.4499999999999997E-2</v>
      </c>
      <c r="BI106">
        <v>9.2999999999999999E-2</v>
      </c>
      <c r="BJ106">
        <v>0.1235</v>
      </c>
      <c r="BK106">
        <f>SUM(Table1_1[[#This Row],[PFBA]:[diSAmPAP]])</f>
        <v>614.51544999999999</v>
      </c>
      <c r="BL106">
        <f>LOG(Table1_1[[#This Row],[PFBA]])</f>
        <v>-1.5520671344078198</v>
      </c>
      <c r="BM106">
        <f>LOG(Table1_1[[#This Row],[PFPeA]])</f>
        <v>-1.304956341178706</v>
      </c>
      <c r="BN106">
        <f>LOG(Table1_1[[#This Row],[PFHxA]])</f>
        <v>-0.90308998699194354</v>
      </c>
      <c r="BO106">
        <f>LOG(Table1_1[[#This Row],[PFHpA]])</f>
        <v>-1.0338582672609673</v>
      </c>
      <c r="BP106">
        <f>LOG(Table1_1[[#This Row],[PFOA]])</f>
        <v>-0.44977164694490596</v>
      </c>
      <c r="BQ106">
        <f>LOG(Table1_1[[#This Row],[PFNA]])</f>
        <v>-0.79588001734407521</v>
      </c>
      <c r="BR106">
        <f>LOG(Table1_1[[#This Row],[PFDA]])</f>
        <v>0.5877109650189114</v>
      </c>
      <c r="BS106">
        <f>LOG(Table1_1[[#This Row],[PFUnA]])</f>
        <v>0.65321251377534373</v>
      </c>
      <c r="BT106">
        <f>LOG(Table1_1[[#This Row],[PFDoA]])</f>
        <v>0.68930885912362017</v>
      </c>
      <c r="BU106">
        <f>LOG(Table1_1[[#This Row],[PFTrDA]])</f>
        <v>0.30535136944662378</v>
      </c>
      <c r="BV106">
        <f>LOG(Table1_1[[#This Row],[PFTeDA]])</f>
        <v>0.60097289568674828</v>
      </c>
      <c r="BW106">
        <f>LOG(Table1_1[[#This Row],[PFHxDA]])</f>
        <v>-1.0783135245163979</v>
      </c>
      <c r="BX106">
        <f>LOG(Table1_1[[#This Row],[PFPrS]])</f>
        <v>-1.2716462179787715</v>
      </c>
      <c r="BY106">
        <f>LOG(Table1_1[[#This Row],[PFBS]])</f>
        <v>-1.3210266240802349</v>
      </c>
      <c r="BZ106">
        <f>LOG(Table1_1[[#This Row],[PFPeS]])</f>
        <v>-0.91186391129944877</v>
      </c>
      <c r="CA106">
        <f>LOG(Table1_1[[#This Row],[PFHxS]])</f>
        <v>1.0863598306747482</v>
      </c>
      <c r="CB106">
        <f>LOG(Table1_1[[#This Row],[PFHpS]])</f>
        <v>-0.13194363817695845</v>
      </c>
      <c r="CC106">
        <f>LOG(Table1_1[[#This Row],[PFOS]])</f>
        <v>2.6821450763738319</v>
      </c>
      <c r="CD106">
        <f>LOG(Table1_1[[#This Row],[PFNS]])</f>
        <v>-0.53461714855158171</v>
      </c>
      <c r="CE106">
        <f>LOG(Table1_1[[#This Row],[PFDS]])</f>
        <v>0.7307822756663892</v>
      </c>
      <c r="CF106">
        <f>LOG(Table1_1[[#This Row],[PFDoS]])</f>
        <v>-0.6064247967304125</v>
      </c>
      <c r="CG106">
        <f>LOG(Table1_1[[#This Row],[Cl-PFOS]])</f>
        <v>-0.85232367575890122</v>
      </c>
      <c r="CH106">
        <f>LOG(Table1_1[[#This Row],[PFEtCHxS]])</f>
        <v>-1.0338582672609673</v>
      </c>
      <c r="CI106">
        <f>LOG(Table1_1[[#This Row],[FBSA]])</f>
        <v>1.5314789170422551</v>
      </c>
      <c r="CJ106">
        <f>LOG(Table1_1[[#This Row],[FHxSA]])</f>
        <v>1.5403294747908738</v>
      </c>
      <c r="CK106">
        <f>LOG(Table1_1[[#This Row],[FOSA]])</f>
        <v>1.2922560713564761</v>
      </c>
      <c r="CL106">
        <f>LOG(Table1_1[[#This Row],[N-MeFOSA]])</f>
        <v>-1.2676062401770316</v>
      </c>
      <c r="CM106">
        <f>LOG(Table1_1[[#This Row],[N-EtFOSA]])</f>
        <v>-1.0861861476162833</v>
      </c>
      <c r="CN106">
        <f>LOG(Table1_1[[#This Row],[FOSAA]])</f>
        <v>-1.2557070168773237</v>
      </c>
      <c r="CO106">
        <f>LOG(Table1_1[[#This Row],[N-MeFOSAA]])</f>
        <v>-0.63264407897398101</v>
      </c>
      <c r="CP106">
        <f>LOG(Table1_1[[#This Row],[N-EtFOSAA]])</f>
        <v>-1.2146701649892331</v>
      </c>
      <c r="CQ106">
        <f>LOG(Table1_1[[#This Row],[4:2 FTS]])</f>
        <v>-1.2403321553103694</v>
      </c>
      <c r="CR106">
        <f>LOG(Table1_1[[#This Row],[6:2 FTS]])</f>
        <v>-0.85387196432176193</v>
      </c>
      <c r="CS106">
        <f>LOG(Table1_1[[#This Row],[8:2 FTS]])</f>
        <v>0.17609125905568124</v>
      </c>
      <c r="CT106">
        <f>LOG(Table1_1[[#This Row],[10:2 FTS]])</f>
        <v>-0.58004425151024208</v>
      </c>
      <c r="CU106">
        <f>LOG(Table1_1[[#This Row],[3:3 FTCA]])</f>
        <v>-1.0915149811213503</v>
      </c>
      <c r="CV106">
        <f>LOG(Table1_1[[#This Row],[5:3 FTCA]])</f>
        <v>-0.36653154442041347</v>
      </c>
      <c r="CW106">
        <f>LOG(Table1_1[[#This Row],[7:3 FTCA]])</f>
        <v>0.28780172993022601</v>
      </c>
      <c r="CX106">
        <f>LOG(Table1_1[[#This Row],[6:2 FTCA]])</f>
        <v>-1.3467874862246563</v>
      </c>
      <c r="CY106">
        <f>LOG(Table1_1[[#This Row],[8:2 FTCA]])</f>
        <v>-1.5520671344078198</v>
      </c>
      <c r="CZ106">
        <f>LOG(Table1_1[[#This Row],[10:2 FTCA]])</f>
        <v>-0.98088370955292725</v>
      </c>
      <c r="DA106">
        <f>LOG(Table1_1[[#This Row],[6:2 FTUCA]])</f>
        <v>-1.2596373105057561</v>
      </c>
      <c r="DB106">
        <f>LOG(Table1_1[[#This Row],[8:2 FTUCA]])</f>
        <v>-1.3726341434072673</v>
      </c>
      <c r="DC106">
        <f>LOG(Table1_1[[#This Row],[ADONA]])</f>
        <v>-1.1549019599857431</v>
      </c>
      <c r="DD106">
        <f>LOG(Table1_1[[#This Row],[9Cl-PF3ONS]])</f>
        <v>-1.3129171553956294</v>
      </c>
      <c r="DE106">
        <f>LOG(Table1_1[[#This Row],[11Cl-PF3OUdS]])</f>
        <v>-1.2557070168773237</v>
      </c>
      <c r="DF106">
        <f>LOG(Table1_1[[#This Row],[HFPO-DA]])</f>
        <v>-0.99783393824349231</v>
      </c>
      <c r="DG106">
        <f>LOG(Table1_1[[#This Row],[6:2 diPAP]])</f>
        <v>-1.1278437272517072</v>
      </c>
      <c r="DH106">
        <f>LOG(Table1_1[[#This Row],[8:2 diPAP]])</f>
        <v>-1.031517051446065</v>
      </c>
      <c r="DI106">
        <f>LOG(Table1_1[[#This Row],[diSAmPAP]])</f>
        <v>-0.90833304240431545</v>
      </c>
    </row>
    <row r="107" spans="1:113">
      <c r="A107" t="s">
        <v>258</v>
      </c>
      <c r="B107" t="s">
        <v>114</v>
      </c>
      <c r="C107" s="3">
        <v>44314</v>
      </c>
      <c r="D107" t="s">
        <v>226</v>
      </c>
      <c r="E107" t="s">
        <v>227</v>
      </c>
      <c r="F107" t="s">
        <v>228</v>
      </c>
      <c r="G107" t="s">
        <v>118</v>
      </c>
      <c r="H107" t="s">
        <v>119</v>
      </c>
      <c r="I107">
        <v>8</v>
      </c>
      <c r="J107">
        <f>LOG(Table1_1[[#This Row],[Length]])</f>
        <v>0.90308998699194354</v>
      </c>
      <c r="K107">
        <v>8.5500000000000007</v>
      </c>
      <c r="L107">
        <f>LOG(Table1_1[[#This Row],[Weight]])</f>
        <v>0.9319661147281727</v>
      </c>
      <c r="M107">
        <v>2.6200000000000001E-2</v>
      </c>
      <c r="N107">
        <v>4.6199999999999998E-2</v>
      </c>
      <c r="O107">
        <v>0.11650000000000001</v>
      </c>
      <c r="P107">
        <v>2.6200000000000001E-2</v>
      </c>
      <c r="Q107">
        <v>0.26400000000000001</v>
      </c>
      <c r="R107">
        <v>0.14949999999999999</v>
      </c>
      <c r="S107">
        <v>2.2000000000000002</v>
      </c>
      <c r="T107">
        <v>4.0599999999999996</v>
      </c>
      <c r="U107">
        <v>5.78</v>
      </c>
      <c r="V107">
        <v>1.27</v>
      </c>
      <c r="W107">
        <v>5.94</v>
      </c>
      <c r="X107">
        <v>7.8E-2</v>
      </c>
      <c r="Y107">
        <v>0.05</v>
      </c>
      <c r="Z107">
        <v>4.4549999999999999E-2</v>
      </c>
      <c r="AA107">
        <v>0.1145</v>
      </c>
      <c r="AB107">
        <v>5.05</v>
      </c>
      <c r="AC107">
        <v>0.81</v>
      </c>
      <c r="AD107">
        <v>332</v>
      </c>
      <c r="AE107">
        <v>0.95399999999999996</v>
      </c>
      <c r="AF107">
        <v>5.21</v>
      </c>
      <c r="AG107">
        <v>0.23100000000000001</v>
      </c>
      <c r="AH107">
        <v>0.13100000000000001</v>
      </c>
      <c r="AI107">
        <v>8.6499999999999994E-2</v>
      </c>
      <c r="AJ107">
        <v>20.6</v>
      </c>
      <c r="AK107">
        <v>40.799999999999997</v>
      </c>
      <c r="AL107">
        <v>19.100000000000001</v>
      </c>
      <c r="AM107">
        <v>5.0500000000000003E-2</v>
      </c>
      <c r="AN107">
        <v>7.6499999999999999E-2</v>
      </c>
      <c r="AO107">
        <v>5.1499999999999997E-2</v>
      </c>
      <c r="AP107">
        <v>1.27</v>
      </c>
      <c r="AQ107">
        <v>5.7000000000000002E-2</v>
      </c>
      <c r="AR107">
        <v>5.3999999999999999E-2</v>
      </c>
      <c r="AS107">
        <v>0.1305</v>
      </c>
      <c r="AT107">
        <v>1.1000000000000001</v>
      </c>
      <c r="AU107">
        <v>0.245</v>
      </c>
      <c r="AV107">
        <v>7.5499999999999998E-2</v>
      </c>
      <c r="AW107">
        <v>1.1100000000000001</v>
      </c>
      <c r="AX107">
        <v>4.33</v>
      </c>
      <c r="AY107">
        <v>4.1950000000000001E-2</v>
      </c>
      <c r="AZ107">
        <v>2.6200000000000001E-2</v>
      </c>
      <c r="BA107">
        <v>1.83</v>
      </c>
      <c r="BB107">
        <v>5.1499999999999997E-2</v>
      </c>
      <c r="BC107">
        <v>3.9550000000000002E-2</v>
      </c>
      <c r="BD107">
        <v>6.5500000000000003E-2</v>
      </c>
      <c r="BE107">
        <v>4.5449999999999997E-2</v>
      </c>
      <c r="BF107">
        <v>5.1499999999999997E-2</v>
      </c>
      <c r="BG107">
        <v>9.4E-2</v>
      </c>
      <c r="BH107">
        <v>6.9500000000000006E-2</v>
      </c>
      <c r="BI107">
        <v>8.6999999999999994E-2</v>
      </c>
      <c r="BJ107">
        <v>0.115</v>
      </c>
      <c r="BK107">
        <f>SUM(Table1_1[[#This Row],[PFBA]:[diSAmPAP]])</f>
        <v>456.2057999999999</v>
      </c>
      <c r="BL107">
        <f>LOG(Table1_1[[#This Row],[PFBA]])</f>
        <v>-1.5816987086802545</v>
      </c>
      <c r="BM107">
        <f>LOG(Table1_1[[#This Row],[PFPeA]])</f>
        <v>-1.3353580244438745</v>
      </c>
      <c r="BN107">
        <f>LOG(Table1_1[[#This Row],[PFHxA]])</f>
        <v>-0.93367407463796215</v>
      </c>
      <c r="BO107">
        <f>LOG(Table1_1[[#This Row],[PFHpA]])</f>
        <v>-1.5816987086802545</v>
      </c>
      <c r="BP107">
        <f>LOG(Table1_1[[#This Row],[PFOA]])</f>
        <v>-0.57839607313016894</v>
      </c>
      <c r="BQ107">
        <f>LOG(Table1_1[[#This Row],[PFNA]])</f>
        <v>-0.82535880733955158</v>
      </c>
      <c r="BR107">
        <f>LOG(Table1_1[[#This Row],[PFDA]])</f>
        <v>0.34242268082220628</v>
      </c>
      <c r="BS107">
        <f>LOG(Table1_1[[#This Row],[PFUnA]])</f>
        <v>0.60852603357719404</v>
      </c>
      <c r="BT107">
        <f>LOG(Table1_1[[#This Row],[PFDoA]])</f>
        <v>0.76192783842052902</v>
      </c>
      <c r="BU107">
        <f>LOG(Table1_1[[#This Row],[PFTrDA]])</f>
        <v>0.10380372095595687</v>
      </c>
      <c r="BV107">
        <f>LOG(Table1_1[[#This Row],[PFTeDA]])</f>
        <v>0.77378644498119353</v>
      </c>
      <c r="BW107">
        <f>LOG(Table1_1[[#This Row],[PFHxDA]])</f>
        <v>-1.1079053973095196</v>
      </c>
      <c r="BX107">
        <f>LOG(Table1_1[[#This Row],[PFPrS]])</f>
        <v>-1.3010299956639813</v>
      </c>
      <c r="BY107">
        <f>LOG(Table1_1[[#This Row],[PFBS]])</f>
        <v>-1.3511522916271064</v>
      </c>
      <c r="BZ107">
        <f>LOG(Table1_1[[#This Row],[PFPeS]])</f>
        <v>-0.94119451332409321</v>
      </c>
      <c r="CA107">
        <f>LOG(Table1_1[[#This Row],[PFHxS]])</f>
        <v>0.70329137811866138</v>
      </c>
      <c r="CB107">
        <f>LOG(Table1_1[[#This Row],[PFHpS]])</f>
        <v>-9.1514981121350217E-2</v>
      </c>
      <c r="CC107">
        <f>LOG(Table1_1[[#This Row],[PFOS]])</f>
        <v>2.5211380837040362</v>
      </c>
      <c r="CD107">
        <f>LOG(Table1_1[[#This Row],[PFNS]])</f>
        <v>-2.0451625295904902E-2</v>
      </c>
      <c r="CE107">
        <f>LOG(Table1_1[[#This Row],[PFDS]])</f>
        <v>0.71683772329952444</v>
      </c>
      <c r="CF107">
        <f>LOG(Table1_1[[#This Row],[PFDoS]])</f>
        <v>-0.63638802010785567</v>
      </c>
      <c r="CG107">
        <f>LOG(Table1_1[[#This Row],[Cl-PFOS]])</f>
        <v>-0.88272870434423567</v>
      </c>
      <c r="CH107">
        <f>LOG(Table1_1[[#This Row],[PFEtCHxS]])</f>
        <v>-1.0629838925351858</v>
      </c>
      <c r="CI107">
        <f>LOG(Table1_1[[#This Row],[FBSA]])</f>
        <v>1.3138672203691535</v>
      </c>
      <c r="CJ107">
        <f>LOG(Table1_1[[#This Row],[FHxSA]])</f>
        <v>1.61066016308988</v>
      </c>
      <c r="CK107">
        <f>LOG(Table1_1[[#This Row],[FOSA]])</f>
        <v>1.2810333672477277</v>
      </c>
      <c r="CL107">
        <f>LOG(Table1_1[[#This Row],[N-MeFOSA]])</f>
        <v>-1.2967086218813386</v>
      </c>
      <c r="CM107">
        <f>LOG(Table1_1[[#This Row],[N-EtFOSA]])</f>
        <v>-1.1163385648463824</v>
      </c>
      <c r="CN107">
        <f>LOG(Table1_1[[#This Row],[FOSAA]])</f>
        <v>-1.288192770958809</v>
      </c>
      <c r="CO107">
        <f>LOG(Table1_1[[#This Row],[N-MeFOSAA]])</f>
        <v>0.10380372095595687</v>
      </c>
      <c r="CP107">
        <f>LOG(Table1_1[[#This Row],[N-EtFOSAA]])</f>
        <v>-1.2441251443275085</v>
      </c>
      <c r="CQ107">
        <f>LOG(Table1_1[[#This Row],[4:2 FTS]])</f>
        <v>-1.2676062401770316</v>
      </c>
      <c r="CR107">
        <f>LOG(Table1_1[[#This Row],[6:2 FTS]])</f>
        <v>-0.88438948832570019</v>
      </c>
      <c r="CS107">
        <f>LOG(Table1_1[[#This Row],[8:2 FTS]])</f>
        <v>4.1392685158225077E-2</v>
      </c>
      <c r="CT107">
        <f>LOG(Table1_1[[#This Row],[10:2 FTS]])</f>
        <v>-0.61083391563546752</v>
      </c>
      <c r="CU107">
        <f>LOG(Table1_1[[#This Row],[3:3 FTCA]])</f>
        <v>-1.1220530483708118</v>
      </c>
      <c r="CV107">
        <f>LOG(Table1_1[[#This Row],[5:3 FTCA]])</f>
        <v>4.5322978786657475E-2</v>
      </c>
      <c r="CW107">
        <f>LOG(Table1_1[[#This Row],[7:3 FTCA]])</f>
        <v>0.63648789635336545</v>
      </c>
      <c r="CX107">
        <f>LOG(Table1_1[[#This Row],[6:2 FTCA]])</f>
        <v>-1.3772680348352808</v>
      </c>
      <c r="CY107">
        <f>LOG(Table1_1[[#This Row],[8:2 FTCA]])</f>
        <v>-1.5816987086802545</v>
      </c>
      <c r="CZ107">
        <f>LOG(Table1_1[[#This Row],[10:2 FTCA]])</f>
        <v>0.26245108973042947</v>
      </c>
      <c r="DA107">
        <f>LOG(Table1_1[[#This Row],[6:2 FTUCA]])</f>
        <v>-1.288192770958809</v>
      </c>
      <c r="DB107">
        <f>LOG(Table1_1[[#This Row],[8:2 FTUCA]])</f>
        <v>-1.4028535121663046</v>
      </c>
      <c r="DC107">
        <f>LOG(Table1_1[[#This Row],[ADONA]])</f>
        <v>-1.1837587000082168</v>
      </c>
      <c r="DD107">
        <f>LOG(Table1_1[[#This Row],[9Cl-PF3ONS]])</f>
        <v>-1.3424661124420139</v>
      </c>
      <c r="DE107">
        <f>LOG(Table1_1[[#This Row],[11Cl-PF3OUdS]])</f>
        <v>-1.288192770958809</v>
      </c>
      <c r="DF107">
        <f>LOG(Table1_1[[#This Row],[HFPO-DA]])</f>
        <v>-1.0268721464003014</v>
      </c>
      <c r="DG107">
        <f>LOG(Table1_1[[#This Row],[6:2 diPAP]])</f>
        <v>-1.1580151954098861</v>
      </c>
      <c r="DH107">
        <f>LOG(Table1_1[[#This Row],[8:2 diPAP]])</f>
        <v>-1.0604807473813815</v>
      </c>
      <c r="DI107">
        <f>LOG(Table1_1[[#This Row],[diSAmPAP]])</f>
        <v>-0.9393021596463883</v>
      </c>
    </row>
    <row r="108" spans="1:113">
      <c r="A108" t="s">
        <v>259</v>
      </c>
      <c r="B108" t="s">
        <v>114</v>
      </c>
      <c r="C108" s="3">
        <v>44314</v>
      </c>
      <c r="D108" t="s">
        <v>226</v>
      </c>
      <c r="E108" t="s">
        <v>227</v>
      </c>
      <c r="F108" t="s">
        <v>228</v>
      </c>
      <c r="G108" t="s">
        <v>118</v>
      </c>
      <c r="H108" t="s">
        <v>119</v>
      </c>
      <c r="I108">
        <v>6</v>
      </c>
      <c r="J108">
        <f>LOG(Table1_1[[#This Row],[Length]])</f>
        <v>0.77815125038364363</v>
      </c>
      <c r="K108">
        <v>3.15</v>
      </c>
      <c r="L108">
        <f>LOG(Table1_1[[#This Row],[Weight]])</f>
        <v>0.49831055378960049</v>
      </c>
      <c r="M108">
        <v>2.775E-2</v>
      </c>
      <c r="N108">
        <v>4.9099999999999998E-2</v>
      </c>
      <c r="O108">
        <v>0.1235</v>
      </c>
      <c r="P108">
        <v>9.1499999999999998E-2</v>
      </c>
      <c r="Q108">
        <v>0.80500000000000005</v>
      </c>
      <c r="R108">
        <v>0.50700000000000001</v>
      </c>
      <c r="S108">
        <v>2.48</v>
      </c>
      <c r="T108">
        <v>4.75</v>
      </c>
      <c r="U108">
        <v>8.19</v>
      </c>
      <c r="V108">
        <v>0.92100000000000004</v>
      </c>
      <c r="W108">
        <v>4.96</v>
      </c>
      <c r="X108">
        <v>8.2500000000000004E-2</v>
      </c>
      <c r="Y108">
        <v>5.2999999999999999E-2</v>
      </c>
      <c r="Z108">
        <v>0.156</v>
      </c>
      <c r="AA108">
        <v>0.1215</v>
      </c>
      <c r="AB108">
        <v>10.1</v>
      </c>
      <c r="AC108">
        <v>0.73799999999999999</v>
      </c>
      <c r="AD108">
        <v>354</v>
      </c>
      <c r="AE108">
        <v>0.1305</v>
      </c>
      <c r="AF108">
        <v>0.94099999999999995</v>
      </c>
      <c r="AG108">
        <v>0.245</v>
      </c>
      <c r="AH108">
        <v>0.13900000000000001</v>
      </c>
      <c r="AI108">
        <v>9.1499999999999998E-2</v>
      </c>
      <c r="AJ108">
        <v>73.3</v>
      </c>
      <c r="AK108">
        <v>185</v>
      </c>
      <c r="AL108">
        <v>30.2</v>
      </c>
      <c r="AM108">
        <v>5.3499999999999999E-2</v>
      </c>
      <c r="AN108">
        <v>8.1000000000000003E-2</v>
      </c>
      <c r="AO108">
        <v>5.45E-2</v>
      </c>
      <c r="AP108">
        <v>0.23050000000000001</v>
      </c>
      <c r="AQ108">
        <v>6.0499999999999998E-2</v>
      </c>
      <c r="AR108">
        <v>5.7000000000000002E-2</v>
      </c>
      <c r="AS108">
        <v>0.80800000000000005</v>
      </c>
      <c r="AT108">
        <v>1.7</v>
      </c>
      <c r="AU108">
        <v>0.26</v>
      </c>
      <c r="AV108">
        <v>0.26400000000000001</v>
      </c>
      <c r="AW108">
        <v>0.17299999999999999</v>
      </c>
      <c r="AX108">
        <v>5.6000000000000001E-2</v>
      </c>
      <c r="AY108">
        <v>4.4549999999999999E-2</v>
      </c>
      <c r="AZ108">
        <v>2.775E-2</v>
      </c>
      <c r="BA108">
        <v>0.10349999999999999</v>
      </c>
      <c r="BB108">
        <v>5.45E-2</v>
      </c>
      <c r="BC108">
        <v>4.1950000000000001E-2</v>
      </c>
      <c r="BD108">
        <v>6.9500000000000006E-2</v>
      </c>
      <c r="BE108">
        <v>4.82E-2</v>
      </c>
      <c r="BF108">
        <v>5.45E-2</v>
      </c>
      <c r="BG108">
        <v>9.9500000000000005E-2</v>
      </c>
      <c r="BH108">
        <v>7.3999999999999996E-2</v>
      </c>
      <c r="BI108">
        <v>9.1999999999999998E-2</v>
      </c>
      <c r="BJ108">
        <v>0.122</v>
      </c>
      <c r="BK108">
        <f>SUM(Table1_1[[#This Row],[PFBA]:[diSAmPAP]])</f>
        <v>682.83279999999991</v>
      </c>
      <c r="BL108">
        <f>LOG(Table1_1[[#This Row],[PFBA]])</f>
        <v>-1.5567370125413049</v>
      </c>
      <c r="BM108">
        <f>LOG(Table1_1[[#This Row],[PFPeA]])</f>
        <v>-1.3089185078770316</v>
      </c>
      <c r="BN108">
        <f>LOG(Table1_1[[#This Row],[PFHxA]])</f>
        <v>-0.90833304240431545</v>
      </c>
      <c r="BO108">
        <f>LOG(Table1_1[[#This Row],[PFHpA]])</f>
        <v>-1.0385789059335517</v>
      </c>
      <c r="BP108">
        <f>LOG(Table1_1[[#This Row],[PFOA]])</f>
        <v>-9.4204119632131461E-2</v>
      </c>
      <c r="BQ108">
        <f>LOG(Table1_1[[#This Row],[PFNA]])</f>
        <v>-0.29499204066666401</v>
      </c>
      <c r="BR108">
        <f>LOG(Table1_1[[#This Row],[PFDA]])</f>
        <v>0.39445168082621629</v>
      </c>
      <c r="BS108">
        <f>LOG(Table1_1[[#This Row],[PFUnA]])</f>
        <v>0.67669360962486658</v>
      </c>
      <c r="BT108">
        <f>LOG(Table1_1[[#This Row],[PFDoA]])</f>
        <v>0.9132839017604184</v>
      </c>
      <c r="BU108">
        <f>LOG(Table1_1[[#This Row],[PFTrDA]])</f>
        <v>-3.5740369803151061E-2</v>
      </c>
      <c r="BV108">
        <f>LOG(Table1_1[[#This Row],[PFTeDA]])</f>
        <v>0.69548167649019743</v>
      </c>
      <c r="BW108">
        <f>LOG(Table1_1[[#This Row],[PFHxDA]])</f>
        <v>-1.083546051450075</v>
      </c>
      <c r="BX108">
        <f>LOG(Table1_1[[#This Row],[PFPrS]])</f>
        <v>-1.2757241303992111</v>
      </c>
      <c r="BY108">
        <f>LOG(Table1_1[[#This Row],[PFBS]])</f>
        <v>-0.80687540164553839</v>
      </c>
      <c r="BZ108">
        <f>LOG(Table1_1[[#This Row],[PFPeS]])</f>
        <v>-0.91542372206566902</v>
      </c>
      <c r="CA108">
        <f>LOG(Table1_1[[#This Row],[PFHxS]])</f>
        <v>1.0043213737826426</v>
      </c>
      <c r="CB108">
        <f>LOG(Table1_1[[#This Row],[PFHpS]])</f>
        <v>-0.13194363817695845</v>
      </c>
      <c r="CC108">
        <f>LOG(Table1_1[[#This Row],[PFOS]])</f>
        <v>2.5490032620257876</v>
      </c>
      <c r="CD108">
        <f>LOG(Table1_1[[#This Row],[PFNS]])</f>
        <v>-0.88438948832570019</v>
      </c>
      <c r="CE108">
        <f>LOG(Table1_1[[#This Row],[PFDS]])</f>
        <v>-2.6410376572743116E-2</v>
      </c>
      <c r="CF108">
        <f>LOG(Table1_1[[#This Row],[PFDoS]])</f>
        <v>-0.61083391563546752</v>
      </c>
      <c r="CG108">
        <f>LOG(Table1_1[[#This Row],[Cl-PFOS]])</f>
        <v>-0.85698519974590492</v>
      </c>
      <c r="CH108">
        <f>LOG(Table1_1[[#This Row],[PFEtCHxS]])</f>
        <v>-1.0385789059335517</v>
      </c>
      <c r="CI108">
        <f>LOG(Table1_1[[#This Row],[FBSA]])</f>
        <v>1.865103974641128</v>
      </c>
      <c r="CJ108">
        <f>LOG(Table1_1[[#This Row],[FHxSA]])</f>
        <v>2.2671717284030137</v>
      </c>
      <c r="CK108">
        <f>LOG(Table1_1[[#This Row],[FOSA]])</f>
        <v>1.4800069429571505</v>
      </c>
      <c r="CL108">
        <f>LOG(Table1_1[[#This Row],[N-MeFOSA]])</f>
        <v>-1.2716462179787715</v>
      </c>
      <c r="CM108">
        <f>LOG(Table1_1[[#This Row],[N-EtFOSA]])</f>
        <v>-1.0915149811213503</v>
      </c>
      <c r="CN108">
        <f>LOG(Table1_1[[#This Row],[FOSAA]])</f>
        <v>-1.2636034977233577</v>
      </c>
      <c r="CO108">
        <f>LOG(Table1_1[[#This Row],[N-MeFOSAA]])</f>
        <v>-0.63732907027433305</v>
      </c>
      <c r="CP108">
        <f>LOG(Table1_1[[#This Row],[N-EtFOSAA]])</f>
        <v>-1.2182446253475312</v>
      </c>
      <c r="CQ108">
        <f>LOG(Table1_1[[#This Row],[4:2 FTS]])</f>
        <v>-1.2441251443275085</v>
      </c>
      <c r="CR108">
        <f>LOG(Table1_1[[#This Row],[6:2 FTS]])</f>
        <v>-9.2588639225413813E-2</v>
      </c>
      <c r="CS108">
        <f>LOG(Table1_1[[#This Row],[8:2 FTS]])</f>
        <v>0.23044892137827391</v>
      </c>
      <c r="CT108">
        <f>LOG(Table1_1[[#This Row],[10:2 FTS]])</f>
        <v>-0.58502665202918203</v>
      </c>
      <c r="CU108">
        <f>LOG(Table1_1[[#This Row],[3:3 FTCA]])</f>
        <v>-0.57839607313016894</v>
      </c>
      <c r="CV108">
        <f>LOG(Table1_1[[#This Row],[5:3 FTCA]])</f>
        <v>-0.76195389687120463</v>
      </c>
      <c r="CW108">
        <f>LOG(Table1_1[[#This Row],[7:3 FTCA]])</f>
        <v>-1.2518119729937995</v>
      </c>
      <c r="CX108">
        <f>LOG(Table1_1[[#This Row],[6:2 FTCA]])</f>
        <v>-1.3511522916271064</v>
      </c>
      <c r="CY108">
        <f>LOG(Table1_1[[#This Row],[8:2 FTCA]])</f>
        <v>-1.5567370125413049</v>
      </c>
      <c r="CZ108">
        <f>LOG(Table1_1[[#This Row],[10:2 FTCA]])</f>
        <v>-0.98505965020706343</v>
      </c>
      <c r="DA108">
        <f>LOG(Table1_1[[#This Row],[6:2 FTUCA]])</f>
        <v>-1.2636034977233577</v>
      </c>
      <c r="DB108">
        <f>LOG(Table1_1[[#This Row],[8:2 FTUCA]])</f>
        <v>-1.3772680348352808</v>
      </c>
      <c r="DC108">
        <f>LOG(Table1_1[[#This Row],[ADONA]])</f>
        <v>-1.1580151954098861</v>
      </c>
      <c r="DD108">
        <f>LOG(Table1_1[[#This Row],[9Cl-PF3ONS]])</f>
        <v>-1.3169529617611504</v>
      </c>
      <c r="DE108">
        <f>LOG(Table1_1[[#This Row],[11Cl-PF3OUdS]])</f>
        <v>-1.2636034977233577</v>
      </c>
      <c r="DF108">
        <f>LOG(Table1_1[[#This Row],[HFPO-DA]])</f>
        <v>-1.0021769192542744</v>
      </c>
      <c r="DG108">
        <f>LOG(Table1_1[[#This Row],[6:2 diPAP]])</f>
        <v>-1.1307682802690238</v>
      </c>
      <c r="DH108">
        <f>LOG(Table1_1[[#This Row],[8:2 diPAP]])</f>
        <v>-1.0362121726544447</v>
      </c>
      <c r="DI108">
        <f>LOG(Table1_1[[#This Row],[diSAmPAP]])</f>
        <v>-0.91364016932525183</v>
      </c>
    </row>
    <row r="109" spans="1:113">
      <c r="A109" t="s">
        <v>260</v>
      </c>
      <c r="B109" t="s">
        <v>114</v>
      </c>
      <c r="C109" s="3">
        <v>44393</v>
      </c>
      <c r="D109" t="s">
        <v>226</v>
      </c>
      <c r="E109" t="s">
        <v>227</v>
      </c>
      <c r="F109" t="s">
        <v>228</v>
      </c>
      <c r="G109" t="s">
        <v>118</v>
      </c>
      <c r="H109" t="s">
        <v>119</v>
      </c>
      <c r="I109">
        <v>10</v>
      </c>
      <c r="J109">
        <f>LOG(Table1_1[[#This Row],[Length]])</f>
        <v>1</v>
      </c>
      <c r="K109">
        <v>18.28</v>
      </c>
      <c r="L109">
        <f>LOG(Table1_1[[#This Row],[Weight]])</f>
        <v>1.2619761913978127</v>
      </c>
      <c r="M109">
        <v>0.23150000000000001</v>
      </c>
      <c r="N109">
        <v>4.9549999999999997E-2</v>
      </c>
      <c r="O109">
        <v>3.7900000000000003E-2</v>
      </c>
      <c r="P109">
        <v>9.2499999999999999E-2</v>
      </c>
      <c r="Q109">
        <v>0.60799999999999998</v>
      </c>
      <c r="R109">
        <v>0.53700000000000003</v>
      </c>
      <c r="S109">
        <v>5.0199999999999996</v>
      </c>
      <c r="T109">
        <v>9.6300000000000008</v>
      </c>
      <c r="U109">
        <v>20.100000000000001</v>
      </c>
      <c r="V109">
        <v>5.7</v>
      </c>
      <c r="W109">
        <v>11.7</v>
      </c>
      <c r="X109">
        <v>8.3500000000000005E-2</v>
      </c>
      <c r="Y109">
        <v>5.3499999999999999E-2</v>
      </c>
      <c r="Z109">
        <v>0.1575</v>
      </c>
      <c r="AA109">
        <v>0.1225</v>
      </c>
      <c r="AB109">
        <v>8.17</v>
      </c>
      <c r="AC109">
        <v>1.18</v>
      </c>
      <c r="AD109">
        <v>1250</v>
      </c>
      <c r="AE109">
        <v>1.32</v>
      </c>
      <c r="AF109">
        <v>1.62</v>
      </c>
      <c r="AG109">
        <v>1.1100000000000001</v>
      </c>
      <c r="AH109">
        <v>0.14099999999999999</v>
      </c>
      <c r="AI109">
        <v>9.2499999999999999E-2</v>
      </c>
      <c r="AJ109">
        <v>30.4</v>
      </c>
      <c r="AK109">
        <v>65.8</v>
      </c>
      <c r="AL109">
        <v>11.2</v>
      </c>
      <c r="AM109">
        <v>5.3999999999999999E-2</v>
      </c>
      <c r="AN109">
        <v>8.2000000000000003E-2</v>
      </c>
      <c r="AO109">
        <v>5.5500000000000001E-2</v>
      </c>
      <c r="AP109">
        <v>1.43</v>
      </c>
      <c r="AQ109">
        <v>6.0999999999999999E-2</v>
      </c>
      <c r="AR109">
        <v>5.7500000000000002E-2</v>
      </c>
      <c r="AS109">
        <v>0.14000000000000001</v>
      </c>
      <c r="AT109">
        <v>3.85</v>
      </c>
      <c r="AU109">
        <v>0.26300000000000001</v>
      </c>
      <c r="AV109">
        <v>8.1000000000000003E-2</v>
      </c>
      <c r="AW109">
        <v>2.15</v>
      </c>
      <c r="AX109">
        <v>1.44</v>
      </c>
      <c r="AY109">
        <v>0.66900000000000004</v>
      </c>
      <c r="AZ109">
        <v>7.0000000000000007E-2</v>
      </c>
      <c r="BA109">
        <v>1.38</v>
      </c>
      <c r="BB109">
        <v>5.5E-2</v>
      </c>
      <c r="BC109">
        <v>4.24E-2</v>
      </c>
      <c r="BD109">
        <v>7.0000000000000007E-2</v>
      </c>
      <c r="BE109">
        <v>7.0000000000000007E-2</v>
      </c>
      <c r="BF109">
        <v>7.0000000000000007E-2</v>
      </c>
      <c r="BG109">
        <v>0.10100000000000001</v>
      </c>
      <c r="BH109">
        <v>7.4499999999999997E-2</v>
      </c>
      <c r="BI109">
        <v>9.2999999999999999E-2</v>
      </c>
      <c r="BJ109">
        <v>0.1235</v>
      </c>
      <c r="BK109">
        <f>SUM(Table1_1[[#This Row],[PFBA]:[diSAmPAP]])</f>
        <v>1437.6393499999999</v>
      </c>
      <c r="BL109">
        <f>LOG(Table1_1[[#This Row],[PFBA]])</f>
        <v>-0.63544900464602805</v>
      </c>
      <c r="BM109">
        <f>LOG(Table1_1[[#This Row],[PFPeA]])</f>
        <v>-1.304956341178706</v>
      </c>
      <c r="BN109">
        <f>LOG(Table1_1[[#This Row],[PFHxA]])</f>
        <v>-1.4213607900319276</v>
      </c>
      <c r="BO109">
        <f>LOG(Table1_1[[#This Row],[PFHpA]])</f>
        <v>-1.0338582672609673</v>
      </c>
      <c r="BP109">
        <f>LOG(Table1_1[[#This Row],[PFOA]])</f>
        <v>-0.21609642072726507</v>
      </c>
      <c r="BQ109">
        <f>LOG(Table1_1[[#This Row],[PFNA]])</f>
        <v>-0.27002571430044436</v>
      </c>
      <c r="BR109">
        <f>LOG(Table1_1[[#This Row],[PFDA]])</f>
        <v>0.70070371714501933</v>
      </c>
      <c r="BS109">
        <f>LOG(Table1_1[[#This Row],[PFUnA]])</f>
        <v>0.98362628712453459</v>
      </c>
      <c r="BT109">
        <f>LOG(Table1_1[[#This Row],[PFDoA]])</f>
        <v>1.3031960574204888</v>
      </c>
      <c r="BU109">
        <f>LOG(Table1_1[[#This Row],[PFTrDA]])</f>
        <v>0.75587485567249146</v>
      </c>
      <c r="BV109">
        <f>LOG(Table1_1[[#This Row],[PFTeDA]])</f>
        <v>1.0681858617461617</v>
      </c>
      <c r="BW109">
        <f>LOG(Table1_1[[#This Row],[PFHxDA]])</f>
        <v>-1.0783135245163979</v>
      </c>
      <c r="BX109">
        <f>LOG(Table1_1[[#This Row],[PFPrS]])</f>
        <v>-1.2716462179787715</v>
      </c>
      <c r="BY109">
        <f>LOG(Table1_1[[#This Row],[PFBS]])</f>
        <v>-0.80271944187438071</v>
      </c>
      <c r="BZ109">
        <f>LOG(Table1_1[[#This Row],[PFPeS]])</f>
        <v>-0.91186391129944877</v>
      </c>
      <c r="CA109">
        <f>LOG(Table1_1[[#This Row],[PFHxS]])</f>
        <v>0.9122220565324155</v>
      </c>
      <c r="CB109">
        <f>LOG(Table1_1[[#This Row],[PFHpS]])</f>
        <v>7.1882007306125359E-2</v>
      </c>
      <c r="CC109">
        <f>LOG(Table1_1[[#This Row],[PFOS]])</f>
        <v>3.0969100130080562</v>
      </c>
      <c r="CD109">
        <f>LOG(Table1_1[[#This Row],[PFNS]])</f>
        <v>0.12057393120584989</v>
      </c>
      <c r="CE109">
        <f>LOG(Table1_1[[#This Row],[PFDS]])</f>
        <v>0.20951501454263097</v>
      </c>
      <c r="CF109">
        <f>LOG(Table1_1[[#This Row],[PFDoS]])</f>
        <v>4.5322978786657475E-2</v>
      </c>
      <c r="CG109">
        <f>LOG(Table1_1[[#This Row],[Cl-PFOS]])</f>
        <v>-0.8507808873446201</v>
      </c>
      <c r="CH109">
        <f>LOG(Table1_1[[#This Row],[PFEtCHxS]])</f>
        <v>-1.0338582672609673</v>
      </c>
      <c r="CI109">
        <f>LOG(Table1_1[[#This Row],[FBSA]])</f>
        <v>1.4828735836087537</v>
      </c>
      <c r="CJ109">
        <f>LOG(Table1_1[[#This Row],[FHxSA]])</f>
        <v>1.8182258936139555</v>
      </c>
      <c r="CK109">
        <f>LOG(Table1_1[[#This Row],[FOSA]])</f>
        <v>1.0492180226701815</v>
      </c>
      <c r="CL109">
        <f>LOG(Table1_1[[#This Row],[N-MeFOSA]])</f>
        <v>-1.2676062401770316</v>
      </c>
      <c r="CM109">
        <f>LOG(Table1_1[[#This Row],[N-EtFOSA]])</f>
        <v>-1.0861861476162833</v>
      </c>
      <c r="CN109">
        <f>LOG(Table1_1[[#This Row],[FOSAA]])</f>
        <v>-1.2557070168773237</v>
      </c>
      <c r="CO109">
        <f>LOG(Table1_1[[#This Row],[N-MeFOSAA]])</f>
        <v>0.1553360374650618</v>
      </c>
      <c r="CP109">
        <f>LOG(Table1_1[[#This Row],[N-EtFOSAA]])</f>
        <v>-1.2146701649892331</v>
      </c>
      <c r="CQ109">
        <f>LOG(Table1_1[[#This Row],[4:2 FTS]])</f>
        <v>-1.2403321553103694</v>
      </c>
      <c r="CR109">
        <f>LOG(Table1_1[[#This Row],[6:2 FTS]])</f>
        <v>-0.85387196432176193</v>
      </c>
      <c r="CS109">
        <f>LOG(Table1_1[[#This Row],[8:2 FTS]])</f>
        <v>0.5854607295085007</v>
      </c>
      <c r="CT109">
        <f>LOG(Table1_1[[#This Row],[10:2 FTS]])</f>
        <v>-0.58004425151024208</v>
      </c>
      <c r="CU109">
        <f>LOG(Table1_1[[#This Row],[3:3 FTCA]])</f>
        <v>-1.0915149811213503</v>
      </c>
      <c r="CV109">
        <f>LOG(Table1_1[[#This Row],[5:3 FTCA]])</f>
        <v>0.33243845991560533</v>
      </c>
      <c r="CW109">
        <f>LOG(Table1_1[[#This Row],[7:3 FTCA]])</f>
        <v>0.15836249209524964</v>
      </c>
      <c r="CX109">
        <f>LOG(Table1_1[[#This Row],[6:2 FTCA]])</f>
        <v>-0.17457388223217687</v>
      </c>
      <c r="CY109">
        <f>LOG(Table1_1[[#This Row],[8:2 FTCA]])</f>
        <v>-1.1549019599857431</v>
      </c>
      <c r="CZ109">
        <f>LOG(Table1_1[[#This Row],[10:2 FTCA]])</f>
        <v>0.13987908640123647</v>
      </c>
      <c r="DA109">
        <f>LOG(Table1_1[[#This Row],[6:2 FTUCA]])</f>
        <v>-1.2596373105057561</v>
      </c>
      <c r="DB109">
        <f>LOG(Table1_1[[#This Row],[8:2 FTUCA]])</f>
        <v>-1.3726341434072673</v>
      </c>
      <c r="DC109">
        <f>LOG(Table1_1[[#This Row],[ADONA]])</f>
        <v>-1.1549019599857431</v>
      </c>
      <c r="DD109">
        <f>LOG(Table1_1[[#This Row],[9Cl-PF3ONS]])</f>
        <v>-1.1549019599857431</v>
      </c>
      <c r="DE109">
        <f>LOG(Table1_1[[#This Row],[11Cl-PF3OUdS]])</f>
        <v>-1.1549019599857431</v>
      </c>
      <c r="DF109">
        <f>LOG(Table1_1[[#This Row],[HFPO-DA]])</f>
        <v>-0.99567862621735737</v>
      </c>
      <c r="DG109">
        <f>LOG(Table1_1[[#This Row],[6:2 diPAP]])</f>
        <v>-1.1278437272517072</v>
      </c>
      <c r="DH109">
        <f>LOG(Table1_1[[#This Row],[8:2 diPAP]])</f>
        <v>-1.031517051446065</v>
      </c>
      <c r="DI109">
        <f>LOG(Table1_1[[#This Row],[diSAmPAP]])</f>
        <v>-0.90833304240431545</v>
      </c>
    </row>
    <row r="110" spans="1:113">
      <c r="A110" t="s">
        <v>261</v>
      </c>
      <c r="B110" t="s">
        <v>114</v>
      </c>
      <c r="C110" s="3">
        <v>44393</v>
      </c>
      <c r="D110" t="s">
        <v>226</v>
      </c>
      <c r="E110" t="s">
        <v>227</v>
      </c>
      <c r="F110" t="s">
        <v>228</v>
      </c>
      <c r="G110" t="s">
        <v>118</v>
      </c>
      <c r="H110" t="s">
        <v>119</v>
      </c>
      <c r="I110">
        <v>9</v>
      </c>
      <c r="J110">
        <f>LOG(Table1_1[[#This Row],[Length]])</f>
        <v>0.95424250943932487</v>
      </c>
      <c r="K110">
        <v>19.45</v>
      </c>
      <c r="L110">
        <f>LOG(Table1_1[[#This Row],[Weight]])</f>
        <v>1.2889196056617265</v>
      </c>
      <c r="M110">
        <v>6.8500000000000005E-2</v>
      </c>
      <c r="N110">
        <v>4.8500000000000001E-2</v>
      </c>
      <c r="O110">
        <v>0.1225</v>
      </c>
      <c r="P110">
        <v>9.0499999999999997E-2</v>
      </c>
      <c r="Q110">
        <v>0.33500000000000002</v>
      </c>
      <c r="R110">
        <v>0.157</v>
      </c>
      <c r="S110">
        <v>4.37</v>
      </c>
      <c r="T110">
        <v>8.2799999999999994</v>
      </c>
      <c r="U110">
        <v>21.9</v>
      </c>
      <c r="V110">
        <v>3.55</v>
      </c>
      <c r="W110">
        <v>16.8</v>
      </c>
      <c r="X110">
        <v>8.2000000000000003E-2</v>
      </c>
      <c r="Y110">
        <v>5.2499999999999998E-2</v>
      </c>
      <c r="Z110">
        <v>0.154</v>
      </c>
      <c r="AA110">
        <v>0.12</v>
      </c>
      <c r="AB110">
        <v>12.1</v>
      </c>
      <c r="AC110">
        <v>1.21</v>
      </c>
      <c r="AD110">
        <v>1150</v>
      </c>
      <c r="AE110">
        <v>1.6</v>
      </c>
      <c r="AF110">
        <v>1.79</v>
      </c>
      <c r="AG110">
        <v>0.24249999999999999</v>
      </c>
      <c r="AH110">
        <v>0.13750000000000001</v>
      </c>
      <c r="AI110">
        <v>0.22500000000000001</v>
      </c>
      <c r="AJ110">
        <v>25</v>
      </c>
      <c r="AK110">
        <v>31.2</v>
      </c>
      <c r="AL110">
        <v>8.6</v>
      </c>
      <c r="AM110">
        <v>5.2999999999999999E-2</v>
      </c>
      <c r="AN110">
        <v>0.08</v>
      </c>
      <c r="AO110">
        <v>5.3999999999999999E-2</v>
      </c>
      <c r="AP110">
        <v>0.72099999999999997</v>
      </c>
      <c r="AQ110">
        <v>5.9499999999999997E-2</v>
      </c>
      <c r="AR110">
        <v>5.6500000000000002E-2</v>
      </c>
      <c r="AS110">
        <v>0.13700000000000001</v>
      </c>
      <c r="AT110">
        <v>4.8600000000000003</v>
      </c>
      <c r="AU110">
        <v>0.25750000000000001</v>
      </c>
      <c r="AV110">
        <v>7.9000000000000001E-2</v>
      </c>
      <c r="AW110">
        <v>0.22650000000000001</v>
      </c>
      <c r="AX110">
        <v>0.96199999999999997</v>
      </c>
      <c r="AY110">
        <v>6.8500000000000005E-2</v>
      </c>
      <c r="AZ110">
        <v>0.22650000000000001</v>
      </c>
      <c r="BA110">
        <v>0.33800000000000002</v>
      </c>
      <c r="BB110">
        <v>5.3999999999999999E-2</v>
      </c>
      <c r="BC110">
        <v>4.1500000000000002E-2</v>
      </c>
      <c r="BD110">
        <v>6.8500000000000005E-2</v>
      </c>
      <c r="BE110">
        <v>6.8500000000000005E-2</v>
      </c>
      <c r="BF110">
        <v>6.8500000000000005E-2</v>
      </c>
      <c r="BG110">
        <v>9.8500000000000004E-2</v>
      </c>
      <c r="BH110">
        <v>1.35</v>
      </c>
      <c r="BI110">
        <v>9.0999999999999998E-2</v>
      </c>
      <c r="BJ110">
        <v>0.121</v>
      </c>
      <c r="BK110">
        <f>SUM(Table1_1[[#This Row],[PFBA]:[diSAmPAP]])</f>
        <v>1298.376</v>
      </c>
      <c r="BL110">
        <f>LOG(Table1_1[[#This Row],[PFBA]])</f>
        <v>-1.1643094285075744</v>
      </c>
      <c r="BM110">
        <f>LOG(Table1_1[[#This Row],[PFPeA]])</f>
        <v>-1.3142582613977363</v>
      </c>
      <c r="BN110">
        <f>LOG(Table1_1[[#This Row],[PFHxA]])</f>
        <v>-0.91186391129944877</v>
      </c>
      <c r="BO110">
        <f>LOG(Table1_1[[#This Row],[PFHpA]])</f>
        <v>-1.0433514207947967</v>
      </c>
      <c r="BP110">
        <f>LOG(Table1_1[[#This Row],[PFOA]])</f>
        <v>-0.47495519296315475</v>
      </c>
      <c r="BQ110">
        <f>LOG(Table1_1[[#This Row],[PFNA]])</f>
        <v>-0.80410034759076621</v>
      </c>
      <c r="BR110">
        <f>LOG(Table1_1[[#This Row],[PFDA]])</f>
        <v>0.64048143697042181</v>
      </c>
      <c r="BS110">
        <f>LOG(Table1_1[[#This Row],[PFUnA]])</f>
        <v>0.91803033678488011</v>
      </c>
      <c r="BT110">
        <f>LOG(Table1_1[[#This Row],[PFDoA]])</f>
        <v>1.3404441148401183</v>
      </c>
      <c r="BU110">
        <f>LOG(Table1_1[[#This Row],[PFTrDA]])</f>
        <v>0.5502283530550941</v>
      </c>
      <c r="BV110">
        <f>LOG(Table1_1[[#This Row],[PFTeDA]])</f>
        <v>1.2253092817258628</v>
      </c>
      <c r="BW110">
        <f>LOG(Table1_1[[#This Row],[PFHxDA]])</f>
        <v>-1.0861861476162833</v>
      </c>
      <c r="BX110">
        <f>LOG(Table1_1[[#This Row],[PFPrS]])</f>
        <v>-1.2798406965940432</v>
      </c>
      <c r="BY110">
        <f>LOG(Table1_1[[#This Row],[PFBS]])</f>
        <v>-0.8124792791635369</v>
      </c>
      <c r="BZ110">
        <f>LOG(Table1_1[[#This Row],[PFPeS]])</f>
        <v>-0.92081875395237522</v>
      </c>
      <c r="CA110">
        <f>LOG(Table1_1[[#This Row],[PFHxS]])</f>
        <v>1.0827853703164501</v>
      </c>
      <c r="CB110">
        <f>LOG(Table1_1[[#This Row],[PFHpS]])</f>
        <v>8.2785370316450071E-2</v>
      </c>
      <c r="CC110">
        <f>LOG(Table1_1[[#This Row],[PFOS]])</f>
        <v>3.0606978403536118</v>
      </c>
      <c r="CD110">
        <f>LOG(Table1_1[[#This Row],[PFNS]])</f>
        <v>0.20411998265592479</v>
      </c>
      <c r="CE110">
        <f>LOG(Table1_1[[#This Row],[PFDS]])</f>
        <v>0.2528530309798932</v>
      </c>
      <c r="CF110">
        <f>LOG(Table1_1[[#This Row],[PFDoS]])</f>
        <v>-0.61528825706171753</v>
      </c>
      <c r="CG110">
        <f>LOG(Table1_1[[#This Row],[Cl-PFOS]])</f>
        <v>-0.86169730183371851</v>
      </c>
      <c r="CH110">
        <f>LOG(Table1_1[[#This Row],[PFEtCHxS]])</f>
        <v>-0.64781748188863753</v>
      </c>
      <c r="CI110">
        <f>LOG(Table1_1[[#This Row],[FBSA]])</f>
        <v>1.3979400086720377</v>
      </c>
      <c r="CJ110">
        <f>LOG(Table1_1[[#This Row],[FHxSA]])</f>
        <v>1.4941545940184429</v>
      </c>
      <c r="CK110">
        <f>LOG(Table1_1[[#This Row],[FOSA]])</f>
        <v>0.93449845124356767</v>
      </c>
      <c r="CL110">
        <f>LOG(Table1_1[[#This Row],[N-MeFOSA]])</f>
        <v>-1.2757241303992111</v>
      </c>
      <c r="CM110">
        <f>LOG(Table1_1[[#This Row],[N-EtFOSA]])</f>
        <v>-1.0969100130080565</v>
      </c>
      <c r="CN110">
        <f>LOG(Table1_1[[#This Row],[FOSAA]])</f>
        <v>-1.2676062401770316</v>
      </c>
      <c r="CO110">
        <f>LOG(Table1_1[[#This Row],[N-MeFOSAA]])</f>
        <v>-0.14206473528057098</v>
      </c>
      <c r="CP110">
        <f>LOG(Table1_1[[#This Row],[N-EtFOSAA]])</f>
        <v>-1.2254830342714504</v>
      </c>
      <c r="CQ110">
        <f>LOG(Table1_1[[#This Row],[4:2 FTS]])</f>
        <v>-1.2479515521805615</v>
      </c>
      <c r="CR110">
        <f>LOG(Table1_1[[#This Row],[6:2 FTS]])</f>
        <v>-0.86327943284359321</v>
      </c>
      <c r="CS110">
        <f>LOG(Table1_1[[#This Row],[8:2 FTS]])</f>
        <v>0.68663626926229337</v>
      </c>
      <c r="CT110">
        <f>LOG(Table1_1[[#This Row],[10:2 FTS]])</f>
        <v>-0.58922276662279016</v>
      </c>
      <c r="CU110">
        <f>LOG(Table1_1[[#This Row],[3:3 FTCA]])</f>
        <v>-1.1023729087095586</v>
      </c>
      <c r="CV110">
        <f>LOG(Table1_1[[#This Row],[5:3 FTCA]])</f>
        <v>-0.64493179365114928</v>
      </c>
      <c r="CW110">
        <f>LOG(Table1_1[[#This Row],[7:3 FTCA]])</f>
        <v>-1.6824927962187056E-2</v>
      </c>
      <c r="CX110">
        <f>LOG(Table1_1[[#This Row],[6:2 FTCA]])</f>
        <v>-1.1643094285075744</v>
      </c>
      <c r="CY110">
        <f>LOG(Table1_1[[#This Row],[8:2 FTCA]])</f>
        <v>-0.64493179365114928</v>
      </c>
      <c r="CZ110">
        <f>LOG(Table1_1[[#This Row],[10:2 FTCA]])</f>
        <v>-0.47108329972234525</v>
      </c>
      <c r="DA110">
        <f>LOG(Table1_1[[#This Row],[6:2 FTUCA]])</f>
        <v>-1.2676062401770316</v>
      </c>
      <c r="DB110">
        <f>LOG(Table1_1[[#This Row],[8:2 FTUCA]])</f>
        <v>-1.3819519032879073</v>
      </c>
      <c r="DC110">
        <f>LOG(Table1_1[[#This Row],[ADONA]])</f>
        <v>-1.1643094285075744</v>
      </c>
      <c r="DD110">
        <f>LOG(Table1_1[[#This Row],[9Cl-PF3ONS]])</f>
        <v>-1.1643094285075744</v>
      </c>
      <c r="DE110">
        <f>LOG(Table1_1[[#This Row],[11Cl-PF3OUdS]])</f>
        <v>-1.1643094285075744</v>
      </c>
      <c r="DF110">
        <f>LOG(Table1_1[[#This Row],[HFPO-DA]])</f>
        <v>-1.0065637695023884</v>
      </c>
      <c r="DG110">
        <f>LOG(Table1_1[[#This Row],[6:2 diPAP]])</f>
        <v>0.13033376849500614</v>
      </c>
      <c r="DH110">
        <f>LOG(Table1_1[[#This Row],[8:2 diPAP]])</f>
        <v>-1.0409586076789064</v>
      </c>
      <c r="DI110">
        <f>LOG(Table1_1[[#This Row],[diSAmPAP]])</f>
        <v>-0.91721462968354994</v>
      </c>
    </row>
    <row r="111" spans="1:113">
      <c r="A111" t="s">
        <v>262</v>
      </c>
      <c r="B111" t="s">
        <v>114</v>
      </c>
      <c r="C111" s="3">
        <v>44393</v>
      </c>
      <c r="D111" t="s">
        <v>226</v>
      </c>
      <c r="E111" t="s">
        <v>227</v>
      </c>
      <c r="F111" t="s">
        <v>228</v>
      </c>
      <c r="G111" t="s">
        <v>118</v>
      </c>
      <c r="H111" t="s">
        <v>119</v>
      </c>
      <c r="I111">
        <v>5</v>
      </c>
      <c r="J111">
        <f>LOG(Table1_1[[#This Row],[Length]])</f>
        <v>0.69897000433601886</v>
      </c>
      <c r="K111">
        <v>6.29</v>
      </c>
      <c r="L111">
        <f>LOG(Table1_1[[#This Row],[Weight]])</f>
        <v>0.79865064544526898</v>
      </c>
      <c r="M111">
        <v>0.216</v>
      </c>
      <c r="N111">
        <v>4.6199999999999998E-2</v>
      </c>
      <c r="O111">
        <v>0.11650000000000001</v>
      </c>
      <c r="P111">
        <v>8.6499999999999994E-2</v>
      </c>
      <c r="Q111">
        <v>0.49</v>
      </c>
      <c r="R111">
        <v>0.14949999999999999</v>
      </c>
      <c r="S111">
        <v>1.24</v>
      </c>
      <c r="T111">
        <v>2.57</v>
      </c>
      <c r="U111">
        <v>5.21</v>
      </c>
      <c r="V111">
        <v>2.5099999999999998</v>
      </c>
      <c r="W111">
        <v>6.78</v>
      </c>
      <c r="X111">
        <v>7.8E-2</v>
      </c>
      <c r="Y111">
        <v>0.16500000000000001</v>
      </c>
      <c r="Z111">
        <v>0.14699999999999999</v>
      </c>
      <c r="AA111">
        <v>0.1145</v>
      </c>
      <c r="AB111">
        <v>6.76</v>
      </c>
      <c r="AC111">
        <v>1.22</v>
      </c>
      <c r="AD111">
        <v>493</v>
      </c>
      <c r="AE111">
        <v>0.93500000000000005</v>
      </c>
      <c r="AF111">
        <v>1.28</v>
      </c>
      <c r="AG111">
        <v>0.23100000000000001</v>
      </c>
      <c r="AH111">
        <v>0.13150000000000001</v>
      </c>
      <c r="AI111">
        <v>8.6499999999999994E-2</v>
      </c>
      <c r="AJ111">
        <v>4.42</v>
      </c>
      <c r="AK111">
        <v>25.5</v>
      </c>
      <c r="AL111">
        <v>5.94</v>
      </c>
      <c r="AM111">
        <v>5.0500000000000003E-2</v>
      </c>
      <c r="AN111">
        <v>7.6499999999999999E-2</v>
      </c>
      <c r="AO111">
        <v>5.1499999999999997E-2</v>
      </c>
      <c r="AP111">
        <v>0.2175</v>
      </c>
      <c r="AQ111">
        <v>5.7000000000000002E-2</v>
      </c>
      <c r="AR111">
        <v>5.3999999999999999E-2</v>
      </c>
      <c r="AS111">
        <v>0.27800000000000002</v>
      </c>
      <c r="AT111">
        <v>1.58</v>
      </c>
      <c r="AU111">
        <v>7.4499999999999997E-2</v>
      </c>
      <c r="AV111">
        <v>7.5499999999999998E-2</v>
      </c>
      <c r="AW111">
        <v>0.57999999999999996</v>
      </c>
      <c r="AX111">
        <v>1.29</v>
      </c>
      <c r="AY111">
        <v>6.5500000000000003E-2</v>
      </c>
      <c r="AZ111">
        <v>1.53</v>
      </c>
      <c r="BA111">
        <v>9.7500000000000003E-2</v>
      </c>
      <c r="BB111">
        <v>5.1499999999999997E-2</v>
      </c>
      <c r="BC111">
        <v>3.9550000000000002E-2</v>
      </c>
      <c r="BD111">
        <v>6.5500000000000003E-2</v>
      </c>
      <c r="BE111">
        <v>6.5500000000000003E-2</v>
      </c>
      <c r="BF111">
        <v>6.5500000000000003E-2</v>
      </c>
      <c r="BG111">
        <v>9.4E-2</v>
      </c>
      <c r="BH111">
        <v>6.9500000000000006E-2</v>
      </c>
      <c r="BI111">
        <v>8.6999999999999994E-2</v>
      </c>
      <c r="BJ111">
        <v>0.115</v>
      </c>
      <c r="BK111">
        <f>SUM(Table1_1[[#This Row],[PFBA]:[diSAmPAP]])</f>
        <v>566.15425000000005</v>
      </c>
      <c r="BL111">
        <f>LOG(Table1_1[[#This Row],[PFBA]])</f>
        <v>-0.6655462488490691</v>
      </c>
      <c r="BM111">
        <f>LOG(Table1_1[[#This Row],[PFPeA]])</f>
        <v>-1.3353580244438745</v>
      </c>
      <c r="BN111">
        <f>LOG(Table1_1[[#This Row],[PFHxA]])</f>
        <v>-0.93367407463796215</v>
      </c>
      <c r="BO111">
        <f>LOG(Table1_1[[#This Row],[PFHpA]])</f>
        <v>-1.0629838925351858</v>
      </c>
      <c r="BP111">
        <f>LOG(Table1_1[[#This Row],[PFOA]])</f>
        <v>-0.30980391997148632</v>
      </c>
      <c r="BQ111">
        <f>LOG(Table1_1[[#This Row],[PFNA]])</f>
        <v>-0.82535880733955158</v>
      </c>
      <c r="BR111">
        <f>LOG(Table1_1[[#This Row],[PFDA]])</f>
        <v>9.3421685162235063E-2</v>
      </c>
      <c r="BS111">
        <f>LOG(Table1_1[[#This Row],[PFUnA]])</f>
        <v>0.4099331233312945</v>
      </c>
      <c r="BT111">
        <f>LOG(Table1_1[[#This Row],[PFDoA]])</f>
        <v>0.71683772329952444</v>
      </c>
      <c r="BU111">
        <f>LOG(Table1_1[[#This Row],[PFTrDA]])</f>
        <v>0.39967372148103808</v>
      </c>
      <c r="BV111">
        <f>LOG(Table1_1[[#This Row],[PFTeDA]])</f>
        <v>0.83122969386706336</v>
      </c>
      <c r="BW111">
        <f>LOG(Table1_1[[#This Row],[PFHxDA]])</f>
        <v>-1.1079053973095196</v>
      </c>
      <c r="BX111">
        <f>LOG(Table1_1[[#This Row],[PFPrS]])</f>
        <v>-0.78251605578609373</v>
      </c>
      <c r="BY111">
        <f>LOG(Table1_1[[#This Row],[PFBS]])</f>
        <v>-0.83268266525182388</v>
      </c>
      <c r="BZ111">
        <f>LOG(Table1_1[[#This Row],[PFPeS]])</f>
        <v>-0.94119451332409321</v>
      </c>
      <c r="CA111">
        <f>LOG(Table1_1[[#This Row],[PFHxS]])</f>
        <v>0.82994669594163595</v>
      </c>
      <c r="CB111">
        <f>LOG(Table1_1[[#This Row],[PFHpS]])</f>
        <v>8.6359830674748214E-2</v>
      </c>
      <c r="CC111">
        <f>LOG(Table1_1[[#This Row],[PFOS]])</f>
        <v>2.6928469192772302</v>
      </c>
      <c r="CD111">
        <f>LOG(Table1_1[[#This Row],[PFNS]])</f>
        <v>-2.91883891274822E-2</v>
      </c>
      <c r="CE111">
        <f>LOG(Table1_1[[#This Row],[PFDS]])</f>
        <v>0.10720996964786837</v>
      </c>
      <c r="CF111">
        <f>LOG(Table1_1[[#This Row],[PFDoS]])</f>
        <v>-0.63638802010785567</v>
      </c>
      <c r="CG111">
        <f>LOG(Table1_1[[#This Row],[Cl-PFOS]])</f>
        <v>-0.88107424717422334</v>
      </c>
      <c r="CH111">
        <f>LOG(Table1_1[[#This Row],[PFEtCHxS]])</f>
        <v>-1.0629838925351858</v>
      </c>
      <c r="CI111">
        <f>LOG(Table1_1[[#This Row],[FBSA]])</f>
        <v>0.64542226934909186</v>
      </c>
      <c r="CJ111">
        <f>LOG(Table1_1[[#This Row],[FHxSA]])</f>
        <v>1.4065401804339552</v>
      </c>
      <c r="CK111">
        <f>LOG(Table1_1[[#This Row],[FOSA]])</f>
        <v>0.77378644498119353</v>
      </c>
      <c r="CL111">
        <f>LOG(Table1_1[[#This Row],[N-MeFOSA]])</f>
        <v>-1.2967086218813386</v>
      </c>
      <c r="CM111">
        <f>LOG(Table1_1[[#This Row],[N-EtFOSA]])</f>
        <v>-1.1163385648463824</v>
      </c>
      <c r="CN111">
        <f>LOG(Table1_1[[#This Row],[FOSAA]])</f>
        <v>-1.288192770958809</v>
      </c>
      <c r="CO111">
        <f>LOG(Table1_1[[#This Row],[N-MeFOSAA]])</f>
        <v>-0.66254073870934382</v>
      </c>
      <c r="CP111">
        <f>LOG(Table1_1[[#This Row],[N-EtFOSAA]])</f>
        <v>-1.2441251443275085</v>
      </c>
      <c r="CQ111">
        <f>LOG(Table1_1[[#This Row],[4:2 FTS]])</f>
        <v>-1.2676062401770316</v>
      </c>
      <c r="CR111">
        <f>LOG(Table1_1[[#This Row],[6:2 FTS]])</f>
        <v>-0.55595520408192367</v>
      </c>
      <c r="CS111">
        <f>LOG(Table1_1[[#This Row],[8:2 FTS]])</f>
        <v>0.19865708695442263</v>
      </c>
      <c r="CT111">
        <f>LOG(Table1_1[[#This Row],[10:2 FTS]])</f>
        <v>-1.1278437272517072</v>
      </c>
      <c r="CU111">
        <f>LOG(Table1_1[[#This Row],[3:3 FTCA]])</f>
        <v>-1.1220530483708118</v>
      </c>
      <c r="CV111">
        <f>LOG(Table1_1[[#This Row],[5:3 FTCA]])</f>
        <v>-0.23657200643706275</v>
      </c>
      <c r="CW111">
        <f>LOG(Table1_1[[#This Row],[7:3 FTCA]])</f>
        <v>0.11058971029924898</v>
      </c>
      <c r="CX111">
        <f>LOG(Table1_1[[#This Row],[6:2 FTCA]])</f>
        <v>-1.1837587000082168</v>
      </c>
      <c r="CY111">
        <f>LOG(Table1_1[[#This Row],[8:2 FTCA]])</f>
        <v>0.18469143081759881</v>
      </c>
      <c r="CZ111">
        <f>LOG(Table1_1[[#This Row],[10:2 FTCA]])</f>
        <v>-1.0109953843014632</v>
      </c>
      <c r="DA111">
        <f>LOG(Table1_1[[#This Row],[6:2 FTUCA]])</f>
        <v>-1.288192770958809</v>
      </c>
      <c r="DB111">
        <f>LOG(Table1_1[[#This Row],[8:2 FTUCA]])</f>
        <v>-1.4028535121663046</v>
      </c>
      <c r="DC111">
        <f>LOG(Table1_1[[#This Row],[ADONA]])</f>
        <v>-1.1837587000082168</v>
      </c>
      <c r="DD111">
        <f>LOG(Table1_1[[#This Row],[9Cl-PF3ONS]])</f>
        <v>-1.1837587000082168</v>
      </c>
      <c r="DE111">
        <f>LOG(Table1_1[[#This Row],[11Cl-PF3OUdS]])</f>
        <v>-1.1837587000082168</v>
      </c>
      <c r="DF111">
        <f>LOG(Table1_1[[#This Row],[HFPO-DA]])</f>
        <v>-1.0268721464003014</v>
      </c>
      <c r="DG111">
        <f>LOG(Table1_1[[#This Row],[6:2 diPAP]])</f>
        <v>-1.1580151954098861</v>
      </c>
      <c r="DH111">
        <f>LOG(Table1_1[[#This Row],[8:2 diPAP]])</f>
        <v>-1.0604807473813815</v>
      </c>
      <c r="DI111">
        <f>LOG(Table1_1[[#This Row],[diSAmPAP]])</f>
        <v>-0.9393021596463883</v>
      </c>
    </row>
    <row r="112" spans="1:113">
      <c r="A112" t="s">
        <v>263</v>
      </c>
      <c r="B112" t="s">
        <v>114</v>
      </c>
      <c r="C112" s="3">
        <v>44393</v>
      </c>
      <c r="D112" t="s">
        <v>226</v>
      </c>
      <c r="E112" t="s">
        <v>227</v>
      </c>
      <c r="F112" t="s">
        <v>228</v>
      </c>
      <c r="G112" t="s">
        <v>118</v>
      </c>
      <c r="H112" t="s">
        <v>119</v>
      </c>
      <c r="I112">
        <v>8</v>
      </c>
      <c r="J112">
        <f>LOG(Table1_1[[#This Row],[Length]])</f>
        <v>0.90308998699194354</v>
      </c>
      <c r="K112">
        <v>10.95</v>
      </c>
      <c r="L112">
        <f>LOG(Table1_1[[#This Row],[Weight]])</f>
        <v>1.039414119176137</v>
      </c>
      <c r="M112">
        <v>6.7500000000000004E-2</v>
      </c>
      <c r="N112">
        <v>4.7600000000000003E-2</v>
      </c>
      <c r="O112">
        <v>0.12</v>
      </c>
      <c r="P112">
        <v>8.8999999999999996E-2</v>
      </c>
      <c r="Q112">
        <v>0.63800000000000001</v>
      </c>
      <c r="R112">
        <v>0.309</v>
      </c>
      <c r="S112">
        <v>3.66</v>
      </c>
      <c r="T112">
        <v>4.08</v>
      </c>
      <c r="U112">
        <v>7.58</v>
      </c>
      <c r="V112">
        <v>1.97</v>
      </c>
      <c r="W112">
        <v>6.91</v>
      </c>
      <c r="X112">
        <v>8.0500000000000002E-2</v>
      </c>
      <c r="Y112">
        <v>5.1499999999999997E-2</v>
      </c>
      <c r="Z112">
        <v>0.1515</v>
      </c>
      <c r="AA112">
        <v>0.11799999999999999</v>
      </c>
      <c r="AB112">
        <v>9.4600000000000009</v>
      </c>
      <c r="AC112">
        <v>2</v>
      </c>
      <c r="AD112">
        <v>825</v>
      </c>
      <c r="AE112">
        <v>1.1499999999999999</v>
      </c>
      <c r="AF112">
        <v>0.92</v>
      </c>
      <c r="AG112">
        <v>0.23799999999999999</v>
      </c>
      <c r="AH112">
        <v>0.13500000000000001</v>
      </c>
      <c r="AI112">
        <v>8.8999999999999996E-2</v>
      </c>
      <c r="AJ112">
        <v>19.100000000000001</v>
      </c>
      <c r="AK112">
        <v>84.3</v>
      </c>
      <c r="AL112">
        <v>6.93</v>
      </c>
      <c r="AM112">
        <v>5.1999999999999998E-2</v>
      </c>
      <c r="AN112">
        <v>7.85E-2</v>
      </c>
      <c r="AO112">
        <v>5.2999999999999999E-2</v>
      </c>
      <c r="AP112">
        <v>0.224</v>
      </c>
      <c r="AQ112">
        <v>5.8500000000000003E-2</v>
      </c>
      <c r="AR112">
        <v>5.5500000000000001E-2</v>
      </c>
      <c r="AS112">
        <v>0.13450000000000001</v>
      </c>
      <c r="AT112">
        <v>3.03</v>
      </c>
      <c r="AU112">
        <v>0.2525</v>
      </c>
      <c r="AV112">
        <v>7.7499999999999999E-2</v>
      </c>
      <c r="AW112">
        <v>0.2225</v>
      </c>
      <c r="AX112">
        <v>1.35</v>
      </c>
      <c r="AY112">
        <v>6.7500000000000004E-2</v>
      </c>
      <c r="AZ112">
        <v>2.02</v>
      </c>
      <c r="BA112">
        <v>0.33200000000000002</v>
      </c>
      <c r="BB112">
        <v>5.2999999999999999E-2</v>
      </c>
      <c r="BC112">
        <v>4.0750000000000001E-2</v>
      </c>
      <c r="BD112">
        <v>6.7500000000000004E-2</v>
      </c>
      <c r="BE112">
        <v>6.7500000000000004E-2</v>
      </c>
      <c r="BF112">
        <v>6.7500000000000004E-2</v>
      </c>
      <c r="BG112">
        <v>9.7000000000000003E-2</v>
      </c>
      <c r="BH112">
        <v>7.1999999999999995E-2</v>
      </c>
      <c r="BI112">
        <v>8.9499999999999996E-2</v>
      </c>
      <c r="BJ112">
        <v>0.11849999999999999</v>
      </c>
      <c r="BK112">
        <f>SUM(Table1_1[[#This Row],[PFBA]:[diSAmPAP]])</f>
        <v>983.87585000000001</v>
      </c>
      <c r="BL112">
        <f>LOG(Table1_1[[#This Row],[PFBA]])</f>
        <v>-1.1706962271689751</v>
      </c>
      <c r="BM112">
        <f>LOG(Table1_1[[#This Row],[PFPeA]])</f>
        <v>-1.3223930472795069</v>
      </c>
      <c r="BN112">
        <f>LOG(Table1_1[[#This Row],[PFHxA]])</f>
        <v>-0.92081875395237522</v>
      </c>
      <c r="BO112">
        <f>LOG(Table1_1[[#This Row],[PFHpA]])</f>
        <v>-1.0506099933550872</v>
      </c>
      <c r="BP112">
        <f>LOG(Table1_1[[#This Row],[PFOA]])</f>
        <v>-0.19517932127883766</v>
      </c>
      <c r="BQ112">
        <f>LOG(Table1_1[[#This Row],[PFNA]])</f>
        <v>-0.51004152057516539</v>
      </c>
      <c r="BR112">
        <f>LOG(Table1_1[[#This Row],[PFDA]])</f>
        <v>0.56348108539441066</v>
      </c>
      <c r="BS112">
        <f>LOG(Table1_1[[#This Row],[PFUnA]])</f>
        <v>0.61066016308987991</v>
      </c>
      <c r="BT112">
        <f>LOG(Table1_1[[#This Row],[PFDoA]])</f>
        <v>0.87966920563205353</v>
      </c>
      <c r="BU112">
        <f>LOG(Table1_1[[#This Row],[PFTrDA]])</f>
        <v>0.2944662261615929</v>
      </c>
      <c r="BV112">
        <f>LOG(Table1_1[[#This Row],[PFTeDA]])</f>
        <v>0.8394780473741984</v>
      </c>
      <c r="BW112">
        <f>LOG(Table1_1[[#This Row],[PFHxDA]])</f>
        <v>-1.0942041196321315</v>
      </c>
      <c r="BX112">
        <f>LOG(Table1_1[[#This Row],[PFPrS]])</f>
        <v>-1.288192770958809</v>
      </c>
      <c r="BY112">
        <f>LOG(Table1_1[[#This Row],[PFBS]])</f>
        <v>-0.81958736716167624</v>
      </c>
      <c r="BZ112">
        <f>LOG(Table1_1[[#This Row],[PFPeS]])</f>
        <v>-0.92811799269387463</v>
      </c>
      <c r="CA112">
        <f>LOG(Table1_1[[#This Row],[PFHxS]])</f>
        <v>0.97589113640179281</v>
      </c>
      <c r="CB112">
        <f>LOG(Table1_1[[#This Row],[PFHpS]])</f>
        <v>0.3010299956639812</v>
      </c>
      <c r="CC112">
        <f>LOG(Table1_1[[#This Row],[PFOS]])</f>
        <v>2.916453948549925</v>
      </c>
      <c r="CD112">
        <f>LOG(Table1_1[[#This Row],[PFNS]])</f>
        <v>6.069784035361165E-2</v>
      </c>
      <c r="CE112">
        <f>LOG(Table1_1[[#This Row],[PFDS]])</f>
        <v>-3.6212172654444715E-2</v>
      </c>
      <c r="CF112">
        <f>LOG(Table1_1[[#This Row],[PFDoS]])</f>
        <v>-0.62342304294348805</v>
      </c>
      <c r="CG112">
        <f>LOG(Table1_1[[#This Row],[Cl-PFOS]])</f>
        <v>-0.86966623150499389</v>
      </c>
      <c r="CH112">
        <f>LOG(Table1_1[[#This Row],[PFEtCHxS]])</f>
        <v>-1.0506099933550872</v>
      </c>
      <c r="CI112">
        <f>LOG(Table1_1[[#This Row],[FBSA]])</f>
        <v>1.2810333672477277</v>
      </c>
      <c r="CJ112">
        <f>LOG(Table1_1[[#This Row],[FHxSA]])</f>
        <v>1.9258275746247424</v>
      </c>
      <c r="CK112">
        <f>LOG(Table1_1[[#This Row],[FOSA]])</f>
        <v>0.84073323461180671</v>
      </c>
      <c r="CL112">
        <f>LOG(Table1_1[[#This Row],[N-MeFOSA]])</f>
        <v>-1.2839966563652008</v>
      </c>
      <c r="CM112">
        <f>LOG(Table1_1[[#This Row],[N-EtFOSA]])</f>
        <v>-1.1051303432547475</v>
      </c>
      <c r="CN112">
        <f>LOG(Table1_1[[#This Row],[FOSAA]])</f>
        <v>-1.2757241303992111</v>
      </c>
      <c r="CO112">
        <f>LOG(Table1_1[[#This Row],[N-MeFOSAA]])</f>
        <v>-0.64975198166583714</v>
      </c>
      <c r="CP112">
        <f>LOG(Table1_1[[#This Row],[N-EtFOSAA]])</f>
        <v>-1.2328441339178196</v>
      </c>
      <c r="CQ112">
        <f>LOG(Table1_1[[#This Row],[4:2 FTS]])</f>
        <v>-1.2557070168773237</v>
      </c>
      <c r="CR112">
        <f>LOG(Table1_1[[#This Row],[6:2 FTS]])</f>
        <v>-0.87127771566157319</v>
      </c>
      <c r="CS112">
        <f>LOG(Table1_1[[#This Row],[8:2 FTS]])</f>
        <v>0.48144262850230496</v>
      </c>
      <c r="CT112">
        <f>LOG(Table1_1[[#This Row],[10:2 FTS]])</f>
        <v>-0.59773861754531976</v>
      </c>
      <c r="CU112">
        <f>LOG(Table1_1[[#This Row],[3:3 FTCA]])</f>
        <v>-1.1106982974936896</v>
      </c>
      <c r="CV112">
        <f>LOG(Table1_1[[#This Row],[5:3 FTCA]])</f>
        <v>-0.6526699846830496</v>
      </c>
      <c r="CW112">
        <f>LOG(Table1_1[[#This Row],[7:3 FTCA]])</f>
        <v>0.13033376849500614</v>
      </c>
      <c r="CX112">
        <f>LOG(Table1_1[[#This Row],[6:2 FTCA]])</f>
        <v>-1.1706962271689751</v>
      </c>
      <c r="CY112">
        <f>LOG(Table1_1[[#This Row],[8:2 FTCA]])</f>
        <v>0.30535136944662378</v>
      </c>
      <c r="CZ112">
        <f>LOG(Table1_1[[#This Row],[10:2 FTCA]])</f>
        <v>-0.4788619162959637</v>
      </c>
      <c r="DA112">
        <f>LOG(Table1_1[[#This Row],[6:2 FTUCA]])</f>
        <v>-1.2757241303992111</v>
      </c>
      <c r="DB112">
        <f>LOG(Table1_1[[#This Row],[8:2 FTUCA]])</f>
        <v>-1.3898723869240046</v>
      </c>
      <c r="DC112">
        <f>LOG(Table1_1[[#This Row],[ADONA]])</f>
        <v>-1.1706962271689751</v>
      </c>
      <c r="DD112">
        <f>LOG(Table1_1[[#This Row],[9Cl-PF3ONS]])</f>
        <v>-1.1706962271689751</v>
      </c>
      <c r="DE112">
        <f>LOG(Table1_1[[#This Row],[11Cl-PF3OUdS]])</f>
        <v>-1.1706962271689751</v>
      </c>
      <c r="DF112">
        <f>LOG(Table1_1[[#This Row],[HFPO-DA]])</f>
        <v>-1.0132282657337552</v>
      </c>
      <c r="DG112">
        <f>LOG(Table1_1[[#This Row],[6:2 diPAP]])</f>
        <v>-1.1426675035687315</v>
      </c>
      <c r="DH112">
        <f>LOG(Table1_1[[#This Row],[8:2 diPAP]])</f>
        <v>-1.0481769646840879</v>
      </c>
      <c r="DI112">
        <f>LOG(Table1_1[[#This Row],[diSAmPAP]])</f>
        <v>-0.92628164965387738</v>
      </c>
    </row>
    <row r="113" spans="1:113">
      <c r="A113" t="s">
        <v>264</v>
      </c>
      <c r="B113" t="s">
        <v>114</v>
      </c>
      <c r="C113" s="3">
        <v>44393</v>
      </c>
      <c r="D113" t="s">
        <v>226</v>
      </c>
      <c r="E113" t="s">
        <v>227</v>
      </c>
      <c r="F113" t="s">
        <v>228</v>
      </c>
      <c r="G113" t="s">
        <v>118</v>
      </c>
      <c r="H113" t="s">
        <v>119</v>
      </c>
      <c r="I113">
        <v>6</v>
      </c>
      <c r="J113">
        <f>LOG(Table1_1[[#This Row],[Length]])</f>
        <v>0.77815125038364363</v>
      </c>
      <c r="K113">
        <v>6.99</v>
      </c>
      <c r="L113">
        <f>LOG(Table1_1[[#This Row],[Weight]])</f>
        <v>0.84447717574568137</v>
      </c>
      <c r="M113">
        <v>0.219</v>
      </c>
      <c r="N113">
        <v>4.6800000000000001E-2</v>
      </c>
      <c r="O113">
        <v>3.5749999999999997E-2</v>
      </c>
      <c r="P113">
        <v>2.6499999999999999E-2</v>
      </c>
      <c r="Q113">
        <v>1.1599999999999999</v>
      </c>
      <c r="R113">
        <v>0.47699999999999998</v>
      </c>
      <c r="S113">
        <v>1.46</v>
      </c>
      <c r="T113">
        <v>2.16</v>
      </c>
      <c r="U113">
        <v>9.58</v>
      </c>
      <c r="V113">
        <v>2.81</v>
      </c>
      <c r="W113">
        <v>7.96</v>
      </c>
      <c r="X113">
        <v>7.9000000000000001E-2</v>
      </c>
      <c r="Y113">
        <v>5.0500000000000003E-2</v>
      </c>
      <c r="Z113">
        <v>0.14899999999999999</v>
      </c>
      <c r="AA113">
        <v>0.48199999999999998</v>
      </c>
      <c r="AB113">
        <v>52.7</v>
      </c>
      <c r="AC113">
        <v>3.41</v>
      </c>
      <c r="AD113">
        <v>614</v>
      </c>
      <c r="AE113">
        <v>0.79900000000000004</v>
      </c>
      <c r="AF113">
        <v>0.70699999999999996</v>
      </c>
      <c r="AG113">
        <v>0.23400000000000001</v>
      </c>
      <c r="AH113">
        <v>0.13300000000000001</v>
      </c>
      <c r="AI113">
        <v>8.7499999999999994E-2</v>
      </c>
      <c r="AJ113">
        <v>15.9</v>
      </c>
      <c r="AK113">
        <v>68.5</v>
      </c>
      <c r="AL113">
        <v>5.7</v>
      </c>
      <c r="AM113">
        <v>5.0999999999999997E-2</v>
      </c>
      <c r="AN113">
        <v>7.7499999999999999E-2</v>
      </c>
      <c r="AO113">
        <v>5.2499999999999998E-2</v>
      </c>
      <c r="AP113">
        <v>0.22</v>
      </c>
      <c r="AQ113">
        <v>5.7500000000000002E-2</v>
      </c>
      <c r="AR113">
        <v>5.45E-2</v>
      </c>
      <c r="AS113">
        <v>0.627</v>
      </c>
      <c r="AT113">
        <v>1.1499999999999999</v>
      </c>
      <c r="AU113">
        <v>0.2485</v>
      </c>
      <c r="AV113">
        <v>7.6499999999999999E-2</v>
      </c>
      <c r="AW113">
        <v>0.219</v>
      </c>
      <c r="AX113">
        <v>1.53</v>
      </c>
      <c r="AY113">
        <v>6.6500000000000004E-2</v>
      </c>
      <c r="AZ113">
        <v>1.18</v>
      </c>
      <c r="BA113">
        <v>9.9000000000000005E-2</v>
      </c>
      <c r="BB113">
        <v>5.1999999999999998E-2</v>
      </c>
      <c r="BC113">
        <v>4.0149999999999998E-2</v>
      </c>
      <c r="BD113">
        <v>6.6500000000000004E-2</v>
      </c>
      <c r="BE113">
        <v>6.6500000000000004E-2</v>
      </c>
      <c r="BF113">
        <v>6.6500000000000004E-2</v>
      </c>
      <c r="BG113">
        <v>9.5000000000000001E-2</v>
      </c>
      <c r="BH113">
        <v>7.0499999999999993E-2</v>
      </c>
      <c r="BI113">
        <v>8.7999999999999995E-2</v>
      </c>
      <c r="BJ113">
        <v>0.11700000000000001</v>
      </c>
      <c r="BK113">
        <f>SUM(Table1_1[[#This Row],[PFBA]:[diSAmPAP]])</f>
        <v>795.23770000000025</v>
      </c>
      <c r="BL113">
        <f>LOG(Table1_1[[#This Row],[PFBA]])</f>
        <v>-0.65955588515988162</v>
      </c>
      <c r="BM113">
        <f>LOG(Table1_1[[#This Row],[PFPeA]])</f>
        <v>-1.329754146925876</v>
      </c>
      <c r="BN113">
        <f>LOG(Table1_1[[#This Row],[PFHxA]])</f>
        <v>-1.4467239538629006</v>
      </c>
      <c r="BO113">
        <f>LOG(Table1_1[[#This Row],[PFHpA]])</f>
        <v>-1.5767541260631921</v>
      </c>
      <c r="BP113">
        <f>LOG(Table1_1[[#This Row],[PFOA]])</f>
        <v>6.445798922691845E-2</v>
      </c>
      <c r="BQ113">
        <f>LOG(Table1_1[[#This Row],[PFNA]])</f>
        <v>-0.32148162095988608</v>
      </c>
      <c r="BR113">
        <f>LOG(Table1_1[[#This Row],[PFDA]])</f>
        <v>0.16435285578443709</v>
      </c>
      <c r="BS113">
        <f>LOG(Table1_1[[#This Row],[PFUnA]])</f>
        <v>0.3344537511509309</v>
      </c>
      <c r="BT113">
        <f>LOG(Table1_1[[#This Row],[PFDoA]])</f>
        <v>0.98136550907854447</v>
      </c>
      <c r="BU113">
        <f>LOG(Table1_1[[#This Row],[PFTrDA]])</f>
        <v>0.44870631990507992</v>
      </c>
      <c r="BV113">
        <f>LOG(Table1_1[[#This Row],[PFTeDA]])</f>
        <v>0.90091306773766899</v>
      </c>
      <c r="BW113">
        <f>LOG(Table1_1[[#This Row],[PFHxDA]])</f>
        <v>-1.1023729087095586</v>
      </c>
      <c r="BX113">
        <f>LOG(Table1_1[[#This Row],[PFPrS]])</f>
        <v>-1.2967086218813386</v>
      </c>
      <c r="BY113">
        <f>LOG(Table1_1[[#This Row],[PFBS]])</f>
        <v>-0.82681373158772598</v>
      </c>
      <c r="BZ113">
        <f>LOG(Table1_1[[#This Row],[PFPeS]])</f>
        <v>-0.31695296176115045</v>
      </c>
      <c r="CA113">
        <f>LOG(Table1_1[[#This Row],[PFHxS]])</f>
        <v>1.7218106152125465</v>
      </c>
      <c r="CB113">
        <f>LOG(Table1_1[[#This Row],[PFHpS]])</f>
        <v>0.53275437899249778</v>
      </c>
      <c r="CC113">
        <f>LOG(Table1_1[[#This Row],[PFOS]])</f>
        <v>2.7881683711411678</v>
      </c>
      <c r="CD113">
        <f>LOG(Table1_1[[#This Row],[PFNS]])</f>
        <v>-9.745322068600859E-2</v>
      </c>
      <c r="CE113">
        <f>LOG(Table1_1[[#This Row],[PFDS]])</f>
        <v>-0.15058058620310061</v>
      </c>
      <c r="CF113">
        <f>LOG(Table1_1[[#This Row],[PFDoS]])</f>
        <v>-0.63078414258985716</v>
      </c>
      <c r="CG113">
        <f>LOG(Table1_1[[#This Row],[Cl-PFOS]])</f>
        <v>-0.87614835903291421</v>
      </c>
      <c r="CH113">
        <f>LOG(Table1_1[[#This Row],[PFEtCHxS]])</f>
        <v>-1.0579919469776868</v>
      </c>
      <c r="CI113">
        <f>LOG(Table1_1[[#This Row],[FBSA]])</f>
        <v>1.2013971243204515</v>
      </c>
      <c r="CJ113">
        <f>LOG(Table1_1[[#This Row],[FHxSA]])</f>
        <v>1.8356905714924256</v>
      </c>
      <c r="CK113">
        <f>LOG(Table1_1[[#This Row],[FOSA]])</f>
        <v>0.75587485567249146</v>
      </c>
      <c r="CL113">
        <f>LOG(Table1_1[[#This Row],[N-MeFOSA]])</f>
        <v>-1.2924298239020637</v>
      </c>
      <c r="CM113">
        <f>LOG(Table1_1[[#This Row],[N-EtFOSA]])</f>
        <v>-1.1106982974936896</v>
      </c>
      <c r="CN113">
        <f>LOG(Table1_1[[#This Row],[FOSAA]])</f>
        <v>-1.2798406965940432</v>
      </c>
      <c r="CO113">
        <f>LOG(Table1_1[[#This Row],[N-MeFOSAA]])</f>
        <v>-0.65757731917779372</v>
      </c>
      <c r="CP113">
        <f>LOG(Table1_1[[#This Row],[N-EtFOSAA]])</f>
        <v>-1.2403321553103694</v>
      </c>
      <c r="CQ113">
        <f>LOG(Table1_1[[#This Row],[4:2 FTS]])</f>
        <v>-1.2636034977233577</v>
      </c>
      <c r="CR113">
        <f>LOG(Table1_1[[#This Row],[6:2 FTS]])</f>
        <v>-0.20273245916928356</v>
      </c>
      <c r="CS113">
        <f>LOG(Table1_1[[#This Row],[8:2 FTS]])</f>
        <v>6.069784035361165E-2</v>
      </c>
      <c r="CT113">
        <f>LOG(Table1_1[[#This Row],[10:2 FTS]])</f>
        <v>-0.60467360693064909</v>
      </c>
      <c r="CU113">
        <f>LOG(Table1_1[[#This Row],[3:3 FTCA]])</f>
        <v>-1.1163385648463824</v>
      </c>
      <c r="CV113">
        <f>LOG(Table1_1[[#This Row],[5:3 FTCA]])</f>
        <v>-0.65955588515988162</v>
      </c>
      <c r="CW113">
        <f>LOG(Table1_1[[#This Row],[7:3 FTCA]])</f>
        <v>0.18469143081759881</v>
      </c>
      <c r="CX113">
        <f>LOG(Table1_1[[#This Row],[6:2 FTCA]])</f>
        <v>-1.1771783546968955</v>
      </c>
      <c r="CY113">
        <f>LOG(Table1_1[[#This Row],[8:2 FTCA]])</f>
        <v>7.1882007306125359E-2</v>
      </c>
      <c r="CZ113">
        <f>LOG(Table1_1[[#This Row],[10:2 FTCA]])</f>
        <v>-1.0043648054024501</v>
      </c>
      <c r="DA113">
        <f>LOG(Table1_1[[#This Row],[6:2 FTUCA]])</f>
        <v>-1.2839966563652008</v>
      </c>
      <c r="DB113">
        <f>LOG(Table1_1[[#This Row],[8:2 FTUCA]])</f>
        <v>-1.3963144503853002</v>
      </c>
      <c r="DC113">
        <f>LOG(Table1_1[[#This Row],[ADONA]])</f>
        <v>-1.1771783546968955</v>
      </c>
      <c r="DD113">
        <f>LOG(Table1_1[[#This Row],[9Cl-PF3ONS]])</f>
        <v>-1.1771783546968955</v>
      </c>
      <c r="DE113">
        <f>LOG(Table1_1[[#This Row],[11Cl-PF3OUdS]])</f>
        <v>-1.1771783546968955</v>
      </c>
      <c r="DF113">
        <f>LOG(Table1_1[[#This Row],[HFPO-DA]])</f>
        <v>-1.0222763947111522</v>
      </c>
      <c r="DG113">
        <f>LOG(Table1_1[[#This Row],[6:2 diPAP]])</f>
        <v>-1.1518108830086013</v>
      </c>
      <c r="DH113">
        <f>LOG(Table1_1[[#This Row],[8:2 diPAP]])</f>
        <v>-1.0555173278498313</v>
      </c>
      <c r="DI113">
        <f>LOG(Table1_1[[#This Row],[diSAmPAP]])</f>
        <v>-0.9318141382538383</v>
      </c>
    </row>
    <row r="114" spans="1:113">
      <c r="A114" t="s">
        <v>265</v>
      </c>
      <c r="B114" t="s">
        <v>114</v>
      </c>
      <c r="C114" s="3">
        <v>44393</v>
      </c>
      <c r="D114" t="s">
        <v>226</v>
      </c>
      <c r="E114" t="s">
        <v>227</v>
      </c>
      <c r="F114" t="s">
        <v>228</v>
      </c>
      <c r="G114" t="s">
        <v>118</v>
      </c>
      <c r="H114" t="s">
        <v>119</v>
      </c>
      <c r="I114">
        <v>6</v>
      </c>
      <c r="J114">
        <f>LOG(Table1_1[[#This Row],[Length]])</f>
        <v>0.77815125038364363</v>
      </c>
      <c r="K114">
        <v>5.14</v>
      </c>
      <c r="L114">
        <f>LOG(Table1_1[[#This Row],[Weight]])</f>
        <v>0.71096311899527576</v>
      </c>
      <c r="M114">
        <v>0.22700000000000001</v>
      </c>
      <c r="N114">
        <v>4.8649999999999999E-2</v>
      </c>
      <c r="O114">
        <v>0.1225</v>
      </c>
      <c r="P114">
        <v>9.0999999999999998E-2</v>
      </c>
      <c r="Q114">
        <v>0.32500000000000001</v>
      </c>
      <c r="R114">
        <v>0.157</v>
      </c>
      <c r="S114">
        <v>3.74</v>
      </c>
      <c r="T114">
        <v>7.06</v>
      </c>
      <c r="U114">
        <v>19.600000000000001</v>
      </c>
      <c r="V114">
        <v>3.57</v>
      </c>
      <c r="W114">
        <v>21.4</v>
      </c>
      <c r="X114">
        <v>8.2000000000000003E-2</v>
      </c>
      <c r="Y114">
        <v>5.2499999999999998E-2</v>
      </c>
      <c r="Z114">
        <v>0.1545</v>
      </c>
      <c r="AA114">
        <v>0.12</v>
      </c>
      <c r="AB114">
        <v>6.74</v>
      </c>
      <c r="AC114">
        <v>1.08</v>
      </c>
      <c r="AD114">
        <v>920</v>
      </c>
      <c r="AE114">
        <v>0.747</v>
      </c>
      <c r="AF114">
        <v>0.67400000000000004</v>
      </c>
      <c r="AG114">
        <v>0.24249999999999999</v>
      </c>
      <c r="AH114">
        <v>0.13800000000000001</v>
      </c>
      <c r="AI114">
        <v>9.0999999999999998E-2</v>
      </c>
      <c r="AJ114">
        <v>41.4</v>
      </c>
      <c r="AK114">
        <v>96.3</v>
      </c>
      <c r="AL114">
        <v>16.399999999999999</v>
      </c>
      <c r="AM114">
        <v>5.2999999999999999E-2</v>
      </c>
      <c r="AN114">
        <v>8.0500000000000002E-2</v>
      </c>
      <c r="AO114">
        <v>5.3999999999999999E-2</v>
      </c>
      <c r="AP114">
        <v>0.81</v>
      </c>
      <c r="AQ114">
        <v>5.9499999999999997E-2</v>
      </c>
      <c r="AR114">
        <v>5.6500000000000002E-2</v>
      </c>
      <c r="AS114">
        <v>0.13700000000000001</v>
      </c>
      <c r="AT114">
        <v>0.59199999999999997</v>
      </c>
      <c r="AU114">
        <v>0.25750000000000001</v>
      </c>
      <c r="AV114">
        <v>7.9500000000000001E-2</v>
      </c>
      <c r="AW114">
        <v>0.85699999999999998</v>
      </c>
      <c r="AX114">
        <v>18.399999999999999</v>
      </c>
      <c r="AY114">
        <v>6.9000000000000006E-2</v>
      </c>
      <c r="AZ114">
        <v>6.9000000000000006E-2</v>
      </c>
      <c r="BA114">
        <v>0.81799999999999995</v>
      </c>
      <c r="BB114">
        <v>5.3999999999999999E-2</v>
      </c>
      <c r="BC114">
        <v>4.1500000000000002E-2</v>
      </c>
      <c r="BD114">
        <v>6.9000000000000006E-2</v>
      </c>
      <c r="BE114">
        <v>6.9000000000000006E-2</v>
      </c>
      <c r="BF114">
        <v>6.9000000000000006E-2</v>
      </c>
      <c r="BG114">
        <v>9.8500000000000004E-2</v>
      </c>
      <c r="BH114">
        <v>7.2999999999999995E-2</v>
      </c>
      <c r="BI114">
        <v>9.0999999999999998E-2</v>
      </c>
      <c r="BJ114">
        <v>0.121</v>
      </c>
      <c r="BK114">
        <f>SUM(Table1_1[[#This Row],[PFBA]:[diSAmPAP]])</f>
        <v>1163.6411500000004</v>
      </c>
      <c r="BL114">
        <f>LOG(Table1_1[[#This Row],[PFBA]])</f>
        <v>-0.64397414280687726</v>
      </c>
      <c r="BM114">
        <f>LOG(Table1_1[[#This Row],[PFPeA]])</f>
        <v>-1.3129171553956294</v>
      </c>
      <c r="BN114">
        <f>LOG(Table1_1[[#This Row],[PFHxA]])</f>
        <v>-0.91186391129944877</v>
      </c>
      <c r="BO114">
        <f>LOG(Table1_1[[#This Row],[PFHpA]])</f>
        <v>-1.0409586076789064</v>
      </c>
      <c r="BP114">
        <f>LOG(Table1_1[[#This Row],[PFOA]])</f>
        <v>-0.48811663902112562</v>
      </c>
      <c r="BQ114">
        <f>LOG(Table1_1[[#This Row],[PFNA]])</f>
        <v>-0.80410034759076621</v>
      </c>
      <c r="BR114">
        <f>LOG(Table1_1[[#This Row],[PFDA]])</f>
        <v>0.57287160220048017</v>
      </c>
      <c r="BS114">
        <f>LOG(Table1_1[[#This Row],[PFUnA]])</f>
        <v>0.84880470105180372</v>
      </c>
      <c r="BT114">
        <f>LOG(Table1_1[[#This Row],[PFDoA]])</f>
        <v>1.2922560713564761</v>
      </c>
      <c r="BU114">
        <f>LOG(Table1_1[[#This Row],[PFTrDA]])</f>
        <v>0.55266821611219319</v>
      </c>
      <c r="BV114">
        <f>LOG(Table1_1[[#This Row],[PFTeDA]])</f>
        <v>1.3304137733491908</v>
      </c>
      <c r="BW114">
        <f>LOG(Table1_1[[#This Row],[PFHxDA]])</f>
        <v>-1.0861861476162833</v>
      </c>
      <c r="BX114">
        <f>LOG(Table1_1[[#This Row],[PFPrS]])</f>
        <v>-1.2798406965940432</v>
      </c>
      <c r="BY114">
        <f>LOG(Table1_1[[#This Row],[PFBS]])</f>
        <v>-0.81107151623914653</v>
      </c>
      <c r="BZ114">
        <f>LOG(Table1_1[[#This Row],[PFPeS]])</f>
        <v>-0.92081875395237522</v>
      </c>
      <c r="CA114">
        <f>LOG(Table1_1[[#This Row],[PFHxS]])</f>
        <v>0.8286598965353198</v>
      </c>
      <c r="CB114">
        <f>LOG(Table1_1[[#This Row],[PFHpS]])</f>
        <v>3.342375548694973E-2</v>
      </c>
      <c r="CC114">
        <f>LOG(Table1_1[[#This Row],[PFOS]])</f>
        <v>2.9637878273455551</v>
      </c>
      <c r="CD114">
        <f>LOG(Table1_1[[#This Row],[PFNS]])</f>
        <v>-0.12667939818460122</v>
      </c>
      <c r="CE114">
        <f>LOG(Table1_1[[#This Row],[PFDS]])</f>
        <v>-0.17134010346468015</v>
      </c>
      <c r="CF114">
        <f>LOG(Table1_1[[#This Row],[PFDoS]])</f>
        <v>-0.61528825706171753</v>
      </c>
      <c r="CG114">
        <f>LOG(Table1_1[[#This Row],[Cl-PFOS]])</f>
        <v>-0.86012091359876341</v>
      </c>
      <c r="CH114">
        <f>LOG(Table1_1[[#This Row],[PFEtCHxS]])</f>
        <v>-1.0409586076789064</v>
      </c>
      <c r="CI114">
        <f>LOG(Table1_1[[#This Row],[FBSA]])</f>
        <v>1.6170003411208989</v>
      </c>
      <c r="CJ114">
        <f>LOG(Table1_1[[#This Row],[FHxSA]])</f>
        <v>1.9836262871245345</v>
      </c>
      <c r="CK114">
        <f>LOG(Table1_1[[#This Row],[FOSA]])</f>
        <v>1.2148438480476977</v>
      </c>
      <c r="CL114">
        <f>LOG(Table1_1[[#This Row],[N-MeFOSA]])</f>
        <v>-1.2757241303992111</v>
      </c>
      <c r="CM114">
        <f>LOG(Table1_1[[#This Row],[N-EtFOSA]])</f>
        <v>-1.0942041196321315</v>
      </c>
      <c r="CN114">
        <f>LOG(Table1_1[[#This Row],[FOSAA]])</f>
        <v>-1.2676062401770316</v>
      </c>
      <c r="CO114">
        <f>LOG(Table1_1[[#This Row],[N-MeFOSAA]])</f>
        <v>-9.1514981121350217E-2</v>
      </c>
      <c r="CP114">
        <f>LOG(Table1_1[[#This Row],[N-EtFOSAA]])</f>
        <v>-1.2254830342714504</v>
      </c>
      <c r="CQ114">
        <f>LOG(Table1_1[[#This Row],[4:2 FTS]])</f>
        <v>-1.2479515521805615</v>
      </c>
      <c r="CR114">
        <f>LOG(Table1_1[[#This Row],[6:2 FTS]])</f>
        <v>-0.86327943284359321</v>
      </c>
      <c r="CS114">
        <f>LOG(Table1_1[[#This Row],[8:2 FTS]])</f>
        <v>-0.22767829327708025</v>
      </c>
      <c r="CT114">
        <f>LOG(Table1_1[[#This Row],[10:2 FTS]])</f>
        <v>-0.58922276662279016</v>
      </c>
      <c r="CU114">
        <f>LOG(Table1_1[[#This Row],[3:3 FTCA]])</f>
        <v>-1.0996328713435297</v>
      </c>
      <c r="CV114">
        <f>LOG(Table1_1[[#This Row],[5:3 FTCA]])</f>
        <v>-6.7019178076801841E-2</v>
      </c>
      <c r="CW114">
        <f>LOG(Table1_1[[#This Row],[7:3 FTCA]])</f>
        <v>1.2648178230095364</v>
      </c>
      <c r="CX114">
        <f>LOG(Table1_1[[#This Row],[6:2 FTCA]])</f>
        <v>-1.1611509092627446</v>
      </c>
      <c r="CY114">
        <f>LOG(Table1_1[[#This Row],[8:2 FTCA]])</f>
        <v>-1.1611509092627446</v>
      </c>
      <c r="CZ114">
        <f>LOG(Table1_1[[#This Row],[10:2 FTCA]])</f>
        <v>-8.7246696328677029E-2</v>
      </c>
      <c r="DA114">
        <f>LOG(Table1_1[[#This Row],[6:2 FTUCA]])</f>
        <v>-1.2676062401770316</v>
      </c>
      <c r="DB114">
        <f>LOG(Table1_1[[#This Row],[8:2 FTUCA]])</f>
        <v>-1.3819519032879073</v>
      </c>
      <c r="DC114">
        <f>LOG(Table1_1[[#This Row],[ADONA]])</f>
        <v>-1.1611509092627446</v>
      </c>
      <c r="DD114">
        <f>LOG(Table1_1[[#This Row],[9Cl-PF3ONS]])</f>
        <v>-1.1611509092627446</v>
      </c>
      <c r="DE114">
        <f>LOG(Table1_1[[#This Row],[11Cl-PF3OUdS]])</f>
        <v>-1.1611509092627446</v>
      </c>
      <c r="DF114">
        <f>LOG(Table1_1[[#This Row],[HFPO-DA]])</f>
        <v>-1.0065637695023884</v>
      </c>
      <c r="DG114">
        <f>LOG(Table1_1[[#This Row],[6:2 diPAP]])</f>
        <v>-1.1366771398795441</v>
      </c>
      <c r="DH114">
        <f>LOG(Table1_1[[#This Row],[8:2 diPAP]])</f>
        <v>-1.0409586076789064</v>
      </c>
      <c r="DI114">
        <f>LOG(Table1_1[[#This Row],[diSAmPAP]])</f>
        <v>-0.91721462968354994</v>
      </c>
    </row>
    <row r="115" spans="1:113">
      <c r="A115" t="s">
        <v>266</v>
      </c>
      <c r="B115" t="s">
        <v>114</v>
      </c>
      <c r="C115" s="3">
        <v>44393</v>
      </c>
      <c r="D115" t="s">
        <v>226</v>
      </c>
      <c r="E115" t="s">
        <v>227</v>
      </c>
      <c r="F115" t="s">
        <v>228</v>
      </c>
      <c r="G115" t="s">
        <v>118</v>
      </c>
      <c r="H115" t="s">
        <v>119</v>
      </c>
      <c r="I115">
        <v>7</v>
      </c>
      <c r="J115">
        <f>LOG(Table1_1[[#This Row],[Length]])</f>
        <v>0.84509804001425681</v>
      </c>
      <c r="K115">
        <v>10.31</v>
      </c>
      <c r="L115">
        <f>LOG(Table1_1[[#This Row],[Weight]])</f>
        <v>1.0132586652835165</v>
      </c>
      <c r="M115">
        <v>0.223</v>
      </c>
      <c r="N115">
        <v>4.7750000000000001E-2</v>
      </c>
      <c r="O115">
        <v>3.6499999999999998E-2</v>
      </c>
      <c r="P115">
        <v>8.8999999999999996E-2</v>
      </c>
      <c r="Q115">
        <v>1.24</v>
      </c>
      <c r="R115">
        <v>0.66400000000000003</v>
      </c>
      <c r="S115">
        <v>5</v>
      </c>
      <c r="T115">
        <v>5.09</v>
      </c>
      <c r="U115">
        <v>7.32</v>
      </c>
      <c r="V115">
        <v>1.72</v>
      </c>
      <c r="W115">
        <v>5.7</v>
      </c>
      <c r="X115">
        <v>8.0500000000000002E-2</v>
      </c>
      <c r="Y115">
        <v>5.1499999999999997E-2</v>
      </c>
      <c r="Z115">
        <v>0.1515</v>
      </c>
      <c r="AA115">
        <v>0.11799999999999999</v>
      </c>
      <c r="AB115">
        <v>12.5</v>
      </c>
      <c r="AC115">
        <v>1.67</v>
      </c>
      <c r="AD115">
        <v>1290</v>
      </c>
      <c r="AE115">
        <v>1.58</v>
      </c>
      <c r="AF115">
        <v>1.1000000000000001</v>
      </c>
      <c r="AG115">
        <v>0.23849999999999999</v>
      </c>
      <c r="AH115">
        <v>0.13550000000000001</v>
      </c>
      <c r="AI115">
        <v>0.183</v>
      </c>
      <c r="AJ115">
        <v>25.8</v>
      </c>
      <c r="AK115">
        <v>82.7</v>
      </c>
      <c r="AL115">
        <v>12.2</v>
      </c>
      <c r="AM115">
        <v>5.1999999999999998E-2</v>
      </c>
      <c r="AN115">
        <v>7.9000000000000001E-2</v>
      </c>
      <c r="AO115">
        <v>5.2999999999999999E-2</v>
      </c>
      <c r="AP115">
        <v>0.47199999999999998</v>
      </c>
      <c r="AQ115">
        <v>5.8500000000000003E-2</v>
      </c>
      <c r="AR115">
        <v>5.5500000000000001E-2</v>
      </c>
      <c r="AS115">
        <v>0.13450000000000001</v>
      </c>
      <c r="AT115">
        <v>3.9</v>
      </c>
      <c r="AU115">
        <v>0.253</v>
      </c>
      <c r="AV115">
        <v>7.8E-2</v>
      </c>
      <c r="AW115">
        <v>0.223</v>
      </c>
      <c r="AX115">
        <v>1.5</v>
      </c>
      <c r="AY115">
        <v>6.7500000000000004E-2</v>
      </c>
      <c r="AZ115">
        <v>0.223</v>
      </c>
      <c r="BA115">
        <v>0.33250000000000002</v>
      </c>
      <c r="BB115">
        <v>5.2999999999999999E-2</v>
      </c>
      <c r="BC115">
        <v>4.0750000000000001E-2</v>
      </c>
      <c r="BD115">
        <v>6.7500000000000004E-2</v>
      </c>
      <c r="BE115">
        <v>6.7500000000000004E-2</v>
      </c>
      <c r="BF115">
        <v>6.7500000000000004E-2</v>
      </c>
      <c r="BG115">
        <v>9.7000000000000003E-2</v>
      </c>
      <c r="BH115">
        <v>7.1999999999999995E-2</v>
      </c>
      <c r="BI115">
        <v>8.9499999999999996E-2</v>
      </c>
      <c r="BJ115">
        <v>0.11899999999999999</v>
      </c>
      <c r="BK115">
        <f>SUM(Table1_1[[#This Row],[PFBA]:[diSAmPAP]])</f>
        <v>1463.7939999999999</v>
      </c>
      <c r="BL115">
        <f>LOG(Table1_1[[#This Row],[PFBA]])</f>
        <v>-0.65169513695183934</v>
      </c>
      <c r="BM115">
        <f>LOG(Table1_1[[#This Row],[PFPeA]])</f>
        <v>-1.3210266240802349</v>
      </c>
      <c r="BN115">
        <f>LOG(Table1_1[[#This Row],[PFHxA]])</f>
        <v>-1.4377071355435254</v>
      </c>
      <c r="BO115">
        <f>LOG(Table1_1[[#This Row],[PFHpA]])</f>
        <v>-1.0506099933550872</v>
      </c>
      <c r="BP115">
        <f>LOG(Table1_1[[#This Row],[PFOA]])</f>
        <v>9.3421685162235063E-2</v>
      </c>
      <c r="BQ115">
        <f>LOG(Table1_1[[#This Row],[PFNA]])</f>
        <v>-0.1778319206319825</v>
      </c>
      <c r="BR115">
        <f>LOG(Table1_1[[#This Row],[PFDA]])</f>
        <v>0.69897000433601886</v>
      </c>
      <c r="BS115">
        <f>LOG(Table1_1[[#This Row],[PFUnA]])</f>
        <v>0.70671778233675875</v>
      </c>
      <c r="BT115">
        <f>LOG(Table1_1[[#This Row],[PFDoA]])</f>
        <v>0.86451108105839192</v>
      </c>
      <c r="BU115">
        <f>LOG(Table1_1[[#This Row],[PFTrDA]])</f>
        <v>0.2355284469075489</v>
      </c>
      <c r="BV115">
        <f>LOG(Table1_1[[#This Row],[PFTeDA]])</f>
        <v>0.75587485567249146</v>
      </c>
      <c r="BW115">
        <f>LOG(Table1_1[[#This Row],[PFHxDA]])</f>
        <v>-1.0942041196321315</v>
      </c>
      <c r="BX115">
        <f>LOG(Table1_1[[#This Row],[PFPrS]])</f>
        <v>-1.288192770958809</v>
      </c>
      <c r="BY115">
        <f>LOG(Table1_1[[#This Row],[PFBS]])</f>
        <v>-0.81958736716167624</v>
      </c>
      <c r="BZ115">
        <f>LOG(Table1_1[[#This Row],[PFPeS]])</f>
        <v>-0.92811799269387463</v>
      </c>
      <c r="CA115">
        <f>LOG(Table1_1[[#This Row],[PFHxS]])</f>
        <v>1.0969100130080565</v>
      </c>
      <c r="CB115">
        <f>LOG(Table1_1[[#This Row],[PFHpS]])</f>
        <v>0.22271647114758325</v>
      </c>
      <c r="CC115">
        <f>LOG(Table1_1[[#This Row],[PFOS]])</f>
        <v>3.1105897102992488</v>
      </c>
      <c r="CD115">
        <f>LOG(Table1_1[[#This Row],[PFNS]])</f>
        <v>0.19865708695442263</v>
      </c>
      <c r="CE115">
        <f>LOG(Table1_1[[#This Row],[PFDS]])</f>
        <v>4.1392685158225077E-2</v>
      </c>
      <c r="CF115">
        <f>LOG(Table1_1[[#This Row],[PFDoS]])</f>
        <v>-0.62251161662386734</v>
      </c>
      <c r="CG115">
        <f>LOG(Table1_1[[#This Row],[Cl-PFOS]])</f>
        <v>-0.86806070478957542</v>
      </c>
      <c r="CH115">
        <f>LOG(Table1_1[[#This Row],[PFEtCHxS]])</f>
        <v>-0.73754891026957059</v>
      </c>
      <c r="CI115">
        <f>LOG(Table1_1[[#This Row],[FBSA]])</f>
        <v>1.4116197059632303</v>
      </c>
      <c r="CJ115">
        <f>LOG(Table1_1[[#This Row],[FHxSA]])</f>
        <v>1.9175055095525466</v>
      </c>
      <c r="CK115">
        <f>LOG(Table1_1[[#This Row],[FOSA]])</f>
        <v>1.0863598306747482</v>
      </c>
      <c r="CL115">
        <f>LOG(Table1_1[[#This Row],[N-MeFOSA]])</f>
        <v>-1.2839966563652008</v>
      </c>
      <c r="CM115">
        <f>LOG(Table1_1[[#This Row],[N-EtFOSA]])</f>
        <v>-1.1023729087095586</v>
      </c>
      <c r="CN115">
        <f>LOG(Table1_1[[#This Row],[FOSAA]])</f>
        <v>-1.2757241303992111</v>
      </c>
      <c r="CO115">
        <f>LOG(Table1_1[[#This Row],[N-MeFOSAA]])</f>
        <v>-0.32605800136591223</v>
      </c>
      <c r="CP115">
        <f>LOG(Table1_1[[#This Row],[N-EtFOSAA]])</f>
        <v>-1.2328441339178196</v>
      </c>
      <c r="CQ115">
        <f>LOG(Table1_1[[#This Row],[4:2 FTS]])</f>
        <v>-1.2557070168773237</v>
      </c>
      <c r="CR115">
        <f>LOG(Table1_1[[#This Row],[6:2 FTS]])</f>
        <v>-0.87127771566157319</v>
      </c>
      <c r="CS115">
        <f>LOG(Table1_1[[#This Row],[8:2 FTS]])</f>
        <v>0.59106460702649921</v>
      </c>
      <c r="CT115">
        <f>LOG(Table1_1[[#This Row],[10:2 FTS]])</f>
        <v>-0.59687947882418213</v>
      </c>
      <c r="CU115">
        <f>LOG(Table1_1[[#This Row],[3:3 FTCA]])</f>
        <v>-1.1079053973095196</v>
      </c>
      <c r="CV115">
        <f>LOG(Table1_1[[#This Row],[5:3 FTCA]])</f>
        <v>-0.65169513695183934</v>
      </c>
      <c r="CW115">
        <f>LOG(Table1_1[[#This Row],[7:3 FTCA]])</f>
        <v>0.17609125905568124</v>
      </c>
      <c r="CX115">
        <f>LOG(Table1_1[[#This Row],[6:2 FTCA]])</f>
        <v>-1.1706962271689751</v>
      </c>
      <c r="CY115">
        <f>LOG(Table1_1[[#This Row],[8:2 FTCA]])</f>
        <v>-0.65169513695183934</v>
      </c>
      <c r="CZ115">
        <f>LOG(Table1_1[[#This Row],[10:2 FTCA]])</f>
        <v>-0.47820835036087656</v>
      </c>
      <c r="DA115">
        <f>LOG(Table1_1[[#This Row],[6:2 FTUCA]])</f>
        <v>-1.2757241303992111</v>
      </c>
      <c r="DB115">
        <f>LOG(Table1_1[[#This Row],[8:2 FTUCA]])</f>
        <v>-1.3898723869240046</v>
      </c>
      <c r="DC115">
        <f>LOG(Table1_1[[#This Row],[ADONA]])</f>
        <v>-1.1706962271689751</v>
      </c>
      <c r="DD115">
        <f>LOG(Table1_1[[#This Row],[9Cl-PF3ONS]])</f>
        <v>-1.1706962271689751</v>
      </c>
      <c r="DE115">
        <f>LOG(Table1_1[[#This Row],[11Cl-PF3OUdS]])</f>
        <v>-1.1706962271689751</v>
      </c>
      <c r="DF115">
        <f>LOG(Table1_1[[#This Row],[HFPO-DA]])</f>
        <v>-1.0132282657337552</v>
      </c>
      <c r="DG115">
        <f>LOG(Table1_1[[#This Row],[6:2 diPAP]])</f>
        <v>-1.1426675035687315</v>
      </c>
      <c r="DH115">
        <f>LOG(Table1_1[[#This Row],[8:2 diPAP]])</f>
        <v>-1.0481769646840879</v>
      </c>
      <c r="DI115">
        <f>LOG(Table1_1[[#This Row],[diSAmPAP]])</f>
        <v>-0.9244530386074693</v>
      </c>
    </row>
    <row r="116" spans="1:113">
      <c r="A116" t="s">
        <v>267</v>
      </c>
      <c r="B116" t="s">
        <v>114</v>
      </c>
      <c r="C116" s="3">
        <v>44393</v>
      </c>
      <c r="D116" t="s">
        <v>226</v>
      </c>
      <c r="E116" t="s">
        <v>227</v>
      </c>
      <c r="F116" t="s">
        <v>228</v>
      </c>
      <c r="G116" t="s">
        <v>118</v>
      </c>
      <c r="H116" t="s">
        <v>119</v>
      </c>
      <c r="I116">
        <v>8</v>
      </c>
      <c r="J116">
        <f>LOG(Table1_1[[#This Row],[Length]])</f>
        <v>0.90308998699194354</v>
      </c>
      <c r="K116">
        <v>15.35</v>
      </c>
      <c r="L116">
        <f>LOG(Table1_1[[#This Row],[Weight]])</f>
        <v>1.1861083798132053</v>
      </c>
      <c r="M116">
        <v>0.22550000000000001</v>
      </c>
      <c r="N116">
        <v>4.8349999999999997E-2</v>
      </c>
      <c r="O116">
        <v>3.6799999999999999E-2</v>
      </c>
      <c r="P116">
        <v>2.725E-2</v>
      </c>
      <c r="Q116">
        <v>0.33200000000000002</v>
      </c>
      <c r="R116">
        <v>4.725E-2</v>
      </c>
      <c r="S116">
        <v>5.25</v>
      </c>
      <c r="T116">
        <v>7.82</v>
      </c>
      <c r="U116">
        <v>23</v>
      </c>
      <c r="V116">
        <v>5.32</v>
      </c>
      <c r="W116">
        <v>19.100000000000001</v>
      </c>
      <c r="X116">
        <v>8.1500000000000003E-2</v>
      </c>
      <c r="Y116">
        <v>5.1999999999999998E-2</v>
      </c>
      <c r="Z116">
        <v>0.1535</v>
      </c>
      <c r="AA116">
        <v>0.1195</v>
      </c>
      <c r="AB116">
        <v>8.32</v>
      </c>
      <c r="AC116">
        <v>0.71</v>
      </c>
      <c r="AD116">
        <v>1530</v>
      </c>
      <c r="AE116">
        <v>1.58</v>
      </c>
      <c r="AF116">
        <v>1.71</v>
      </c>
      <c r="AG116">
        <v>0.99399999999999999</v>
      </c>
      <c r="AH116">
        <v>0.13700000000000001</v>
      </c>
      <c r="AI116">
        <v>0.09</v>
      </c>
      <c r="AJ116">
        <v>33.4</v>
      </c>
      <c r="AK116">
        <v>35.200000000000003</v>
      </c>
      <c r="AL116">
        <v>10</v>
      </c>
      <c r="AM116">
        <v>5.2499999999999998E-2</v>
      </c>
      <c r="AN116">
        <v>7.9500000000000001E-2</v>
      </c>
      <c r="AO116">
        <v>5.3999999999999999E-2</v>
      </c>
      <c r="AP116">
        <v>0.90200000000000002</v>
      </c>
      <c r="AQ116">
        <v>5.8999999999999997E-2</v>
      </c>
      <c r="AR116">
        <v>5.6000000000000001E-2</v>
      </c>
      <c r="AS116">
        <v>4.1200000000000001E-2</v>
      </c>
      <c r="AT116">
        <v>2.5</v>
      </c>
      <c r="AU116">
        <v>0.25600000000000001</v>
      </c>
      <c r="AV116">
        <v>7.9000000000000001E-2</v>
      </c>
      <c r="AW116">
        <v>10.5</v>
      </c>
      <c r="AX116">
        <v>52.1</v>
      </c>
      <c r="AY116">
        <v>6.8500000000000005E-2</v>
      </c>
      <c r="AZ116">
        <v>2.09</v>
      </c>
      <c r="BA116">
        <v>0.10199999999999999</v>
      </c>
      <c r="BB116">
        <v>5.3499999999999999E-2</v>
      </c>
      <c r="BC116">
        <v>4.1200000000000001E-2</v>
      </c>
      <c r="BD116">
        <v>6.8500000000000005E-2</v>
      </c>
      <c r="BE116">
        <v>6.8500000000000005E-2</v>
      </c>
      <c r="BF116">
        <v>6.8500000000000005E-2</v>
      </c>
      <c r="BG116">
        <v>9.8000000000000004E-2</v>
      </c>
      <c r="BH116">
        <v>7.2499999999999995E-2</v>
      </c>
      <c r="BI116">
        <v>9.0499999999999997E-2</v>
      </c>
      <c r="BJ116">
        <v>0.12</v>
      </c>
      <c r="BK116">
        <f>SUM(Table1_1[[#This Row],[PFBA]:[diSAmPAP]])</f>
        <v>1753.37555</v>
      </c>
      <c r="BL116">
        <f>LOG(Table1_1[[#This Row],[PFBA]])</f>
        <v>-0.64685345378602066</v>
      </c>
      <c r="BM116">
        <f>LOG(Table1_1[[#This Row],[PFPeA]])</f>
        <v>-1.3156035215809796</v>
      </c>
      <c r="BN116">
        <f>LOG(Table1_1[[#This Row],[PFHxA]])</f>
        <v>-1.4341521813264824</v>
      </c>
      <c r="BO116">
        <f>LOG(Table1_1[[#This Row],[PFHpA]])</f>
        <v>-1.5646334933873387</v>
      </c>
      <c r="BP116">
        <f>LOG(Table1_1[[#This Row],[PFOA]])</f>
        <v>-0.4788619162959637</v>
      </c>
      <c r="BQ116">
        <f>LOG(Table1_1[[#This Row],[PFNA]])</f>
        <v>-1.3255981871547182</v>
      </c>
      <c r="BR116">
        <f>LOG(Table1_1[[#This Row],[PFDA]])</f>
        <v>0.72015930340595691</v>
      </c>
      <c r="BS116">
        <f>LOG(Table1_1[[#This Row],[PFUnA]])</f>
        <v>0.89320675305984798</v>
      </c>
      <c r="BT116">
        <f>LOG(Table1_1[[#This Row],[PFDoA]])</f>
        <v>1.3617278360175928</v>
      </c>
      <c r="BU116">
        <f>LOG(Table1_1[[#This Row],[PFTrDA]])</f>
        <v>0.72591163229504818</v>
      </c>
      <c r="BV116">
        <f>LOG(Table1_1[[#This Row],[PFTeDA]])</f>
        <v>1.2810333672477277</v>
      </c>
      <c r="BW116">
        <f>LOG(Table1_1[[#This Row],[PFHxDA]])</f>
        <v>-1.0888423912600234</v>
      </c>
      <c r="BX116">
        <f>LOG(Table1_1[[#This Row],[PFPrS]])</f>
        <v>-1.2839966563652008</v>
      </c>
      <c r="BY116">
        <f>LOG(Table1_1[[#This Row],[PFBS]])</f>
        <v>-0.81389162018679473</v>
      </c>
      <c r="BZ116">
        <f>LOG(Table1_1[[#This Row],[PFPeS]])</f>
        <v>-0.92263209471584351</v>
      </c>
      <c r="CA116">
        <f>LOG(Table1_1[[#This Row],[PFHxS]])</f>
        <v>0.92012332629072391</v>
      </c>
      <c r="CB116">
        <f>LOG(Table1_1[[#This Row],[PFHpS]])</f>
        <v>-0.14874165128092473</v>
      </c>
      <c r="CC116">
        <f>LOG(Table1_1[[#This Row],[PFOS]])</f>
        <v>3.1846914308175989</v>
      </c>
      <c r="CD116">
        <f>LOG(Table1_1[[#This Row],[PFNS]])</f>
        <v>0.19865708695442263</v>
      </c>
      <c r="CE116">
        <f>LOG(Table1_1[[#This Row],[PFDS]])</f>
        <v>0.23299611039215382</v>
      </c>
      <c r="CF116">
        <f>LOG(Table1_1[[#This Row],[PFDoS]])</f>
        <v>-2.6136156026866902E-3</v>
      </c>
      <c r="CG116">
        <f>LOG(Table1_1[[#This Row],[Cl-PFOS]])</f>
        <v>-0.86327943284359321</v>
      </c>
      <c r="CH116">
        <f>LOG(Table1_1[[#This Row],[PFEtCHxS]])</f>
        <v>-1.0457574905606752</v>
      </c>
      <c r="CI116">
        <f>LOG(Table1_1[[#This Row],[FBSA]])</f>
        <v>1.5237464668115646</v>
      </c>
      <c r="CJ116">
        <f>LOG(Table1_1[[#This Row],[FHxSA]])</f>
        <v>1.546542663478131</v>
      </c>
      <c r="CK116">
        <f>LOG(Table1_1[[#This Row],[FOSA]])</f>
        <v>1</v>
      </c>
      <c r="CL116">
        <f>LOG(Table1_1[[#This Row],[N-MeFOSA]])</f>
        <v>-1.2798406965940432</v>
      </c>
      <c r="CM116">
        <f>LOG(Table1_1[[#This Row],[N-EtFOSA]])</f>
        <v>-1.0996328713435297</v>
      </c>
      <c r="CN116">
        <f>LOG(Table1_1[[#This Row],[FOSAA]])</f>
        <v>-1.2676062401770316</v>
      </c>
      <c r="CO116">
        <f>LOG(Table1_1[[#This Row],[N-MeFOSAA]])</f>
        <v>-4.4793462458058257E-2</v>
      </c>
      <c r="CP116">
        <f>LOG(Table1_1[[#This Row],[N-EtFOSAA]])</f>
        <v>-1.2291479883578558</v>
      </c>
      <c r="CQ116">
        <f>LOG(Table1_1[[#This Row],[4:2 FTS]])</f>
        <v>-1.2518119729937995</v>
      </c>
      <c r="CR116">
        <f>LOG(Table1_1[[#This Row],[6:2 FTS]])</f>
        <v>-1.3851027839668655</v>
      </c>
      <c r="CS116">
        <f>LOG(Table1_1[[#This Row],[8:2 FTS]])</f>
        <v>0.3979400086720376</v>
      </c>
      <c r="CT116">
        <f>LOG(Table1_1[[#This Row],[10:2 FTS]])</f>
        <v>-0.59176003468815042</v>
      </c>
      <c r="CU116">
        <f>LOG(Table1_1[[#This Row],[3:3 FTCA]])</f>
        <v>-1.1023729087095586</v>
      </c>
      <c r="CV116">
        <f>LOG(Table1_1[[#This Row],[5:3 FTCA]])</f>
        <v>1.0211892990699381</v>
      </c>
      <c r="CW116">
        <f>LOG(Table1_1[[#This Row],[7:3 FTCA]])</f>
        <v>1.7168377232995244</v>
      </c>
      <c r="CX116">
        <f>LOG(Table1_1[[#This Row],[6:2 FTCA]])</f>
        <v>-1.1643094285075744</v>
      </c>
      <c r="CY116">
        <f>LOG(Table1_1[[#This Row],[8:2 FTCA]])</f>
        <v>0.32014628611105395</v>
      </c>
      <c r="CZ116">
        <f>LOG(Table1_1[[#This Row],[10:2 FTCA]])</f>
        <v>-0.99139982823808248</v>
      </c>
      <c r="DA116">
        <f>LOG(Table1_1[[#This Row],[6:2 FTUCA]])</f>
        <v>-1.2716462179787715</v>
      </c>
      <c r="DB116">
        <f>LOG(Table1_1[[#This Row],[8:2 FTUCA]])</f>
        <v>-1.3851027839668655</v>
      </c>
      <c r="DC116">
        <f>LOG(Table1_1[[#This Row],[ADONA]])</f>
        <v>-1.1643094285075744</v>
      </c>
      <c r="DD116">
        <f>LOG(Table1_1[[#This Row],[9Cl-PF3ONS]])</f>
        <v>-1.1643094285075744</v>
      </c>
      <c r="DE116">
        <f>LOG(Table1_1[[#This Row],[11Cl-PF3OUdS]])</f>
        <v>-1.1643094285075744</v>
      </c>
      <c r="DF116">
        <f>LOG(Table1_1[[#This Row],[HFPO-DA]])</f>
        <v>-1.0087739243075051</v>
      </c>
      <c r="DG116">
        <f>LOG(Table1_1[[#This Row],[6:2 diPAP]])</f>
        <v>-1.1396619934290064</v>
      </c>
      <c r="DH116">
        <f>LOG(Table1_1[[#This Row],[8:2 diPAP]])</f>
        <v>-1.0433514207947967</v>
      </c>
      <c r="DI116">
        <f>LOG(Table1_1[[#This Row],[diSAmPAP]])</f>
        <v>-0.92081875395237522</v>
      </c>
    </row>
    <row r="117" spans="1:113">
      <c r="A117" t="s">
        <v>268</v>
      </c>
      <c r="B117" t="s">
        <v>114</v>
      </c>
      <c r="C117" s="3">
        <v>44393</v>
      </c>
      <c r="D117" t="s">
        <v>226</v>
      </c>
      <c r="E117" t="s">
        <v>227</v>
      </c>
      <c r="F117" t="s">
        <v>228</v>
      </c>
      <c r="G117" t="s">
        <v>118</v>
      </c>
      <c r="H117" t="s">
        <v>119</v>
      </c>
      <c r="I117">
        <v>8</v>
      </c>
      <c r="J117">
        <f>LOG(Table1_1[[#This Row],[Length]])</f>
        <v>0.90308998699194354</v>
      </c>
      <c r="K117">
        <v>12.02</v>
      </c>
      <c r="L117">
        <f>LOG(Table1_1[[#This Row],[Weight]])</f>
        <v>1.0799044676667207</v>
      </c>
      <c r="M117">
        <v>0.219</v>
      </c>
      <c r="N117">
        <v>4.6949999999999999E-2</v>
      </c>
      <c r="O117">
        <v>3.5749999999999997E-2</v>
      </c>
      <c r="P117">
        <v>8.7499999999999994E-2</v>
      </c>
      <c r="Q117">
        <v>2.36</v>
      </c>
      <c r="R117">
        <v>0.61799999999999999</v>
      </c>
      <c r="S117">
        <v>3.33</v>
      </c>
      <c r="T117">
        <v>3.79</v>
      </c>
      <c r="U117">
        <v>9.08</v>
      </c>
      <c r="V117">
        <v>3.1</v>
      </c>
      <c r="W117">
        <v>10.5</v>
      </c>
      <c r="X117">
        <v>7.9000000000000001E-2</v>
      </c>
      <c r="Y117">
        <v>5.0500000000000003E-2</v>
      </c>
      <c r="Z117">
        <v>0.14899999999999999</v>
      </c>
      <c r="AA117">
        <v>0.11600000000000001</v>
      </c>
      <c r="AB117">
        <v>19.3</v>
      </c>
      <c r="AC117">
        <v>1.1100000000000001</v>
      </c>
      <c r="AD117">
        <v>1150</v>
      </c>
      <c r="AE117">
        <v>0.64600000000000002</v>
      </c>
      <c r="AF117">
        <v>0.75800000000000001</v>
      </c>
      <c r="AG117">
        <v>0.23449999999999999</v>
      </c>
      <c r="AH117">
        <v>0.13300000000000001</v>
      </c>
      <c r="AI117">
        <v>8.7499999999999994E-2</v>
      </c>
      <c r="AJ117">
        <v>28.5</v>
      </c>
      <c r="AK117">
        <v>78.900000000000006</v>
      </c>
      <c r="AL117">
        <v>18.5</v>
      </c>
      <c r="AM117">
        <v>5.0999999999999997E-2</v>
      </c>
      <c r="AN117">
        <v>7.7499999999999999E-2</v>
      </c>
      <c r="AO117">
        <v>5.2499999999999998E-2</v>
      </c>
      <c r="AP117">
        <v>0.46</v>
      </c>
      <c r="AQ117">
        <v>5.7500000000000002E-2</v>
      </c>
      <c r="AR117">
        <v>5.45E-2</v>
      </c>
      <c r="AS117">
        <v>0.68500000000000005</v>
      </c>
      <c r="AT117">
        <v>5.15</v>
      </c>
      <c r="AU117">
        <v>0.249</v>
      </c>
      <c r="AV117">
        <v>7.6499999999999999E-2</v>
      </c>
      <c r="AW117">
        <v>0.219</v>
      </c>
      <c r="AX117">
        <v>4.1900000000000004</v>
      </c>
      <c r="AY117">
        <v>0.219</v>
      </c>
      <c r="AZ117">
        <v>6.6500000000000004E-2</v>
      </c>
      <c r="BA117">
        <v>9.9000000000000005E-2</v>
      </c>
      <c r="BB117">
        <v>5.1999999999999998E-2</v>
      </c>
      <c r="BC117">
        <v>4.0149999999999998E-2</v>
      </c>
      <c r="BD117">
        <v>6.6500000000000004E-2</v>
      </c>
      <c r="BE117">
        <v>6.6500000000000004E-2</v>
      </c>
      <c r="BF117">
        <v>6.6500000000000004E-2</v>
      </c>
      <c r="BG117">
        <v>9.5500000000000002E-2</v>
      </c>
      <c r="BH117">
        <v>7.0499999999999993E-2</v>
      </c>
      <c r="BI117">
        <v>8.7999999999999995E-2</v>
      </c>
      <c r="BJ117">
        <v>0.11700000000000001</v>
      </c>
      <c r="BK117">
        <f>SUM(Table1_1[[#This Row],[PFBA]:[diSAmPAP]])</f>
        <v>1344.1003499999997</v>
      </c>
      <c r="BL117">
        <f>LOG(Table1_1[[#This Row],[PFBA]])</f>
        <v>-0.65955588515988162</v>
      </c>
      <c r="BM117">
        <f>LOG(Table1_1[[#This Row],[PFPeA]])</f>
        <v>-1.3283644033978703</v>
      </c>
      <c r="BN117">
        <f>LOG(Table1_1[[#This Row],[PFHxA]])</f>
        <v>-1.4467239538629006</v>
      </c>
      <c r="BO117">
        <f>LOG(Table1_1[[#This Row],[PFHpA]])</f>
        <v>-1.0579919469776868</v>
      </c>
      <c r="BP117">
        <f>LOG(Table1_1[[#This Row],[PFOA]])</f>
        <v>0.37291200297010657</v>
      </c>
      <c r="BQ117">
        <f>LOG(Table1_1[[#This Row],[PFNA]])</f>
        <v>-0.20901152491118416</v>
      </c>
      <c r="BR117">
        <f>LOG(Table1_1[[#This Row],[PFDA]])</f>
        <v>0.52244423350631986</v>
      </c>
      <c r="BS117">
        <f>LOG(Table1_1[[#This Row],[PFUnA]])</f>
        <v>0.57863920996807239</v>
      </c>
      <c r="BT117">
        <f>LOG(Table1_1[[#This Row],[PFDoA]])</f>
        <v>0.95808584852108514</v>
      </c>
      <c r="BU117">
        <f>LOG(Table1_1[[#This Row],[PFTrDA]])</f>
        <v>0.49136169383427269</v>
      </c>
      <c r="BV117">
        <f>LOG(Table1_1[[#This Row],[PFTeDA]])</f>
        <v>1.0211892990699381</v>
      </c>
      <c r="BW117">
        <f>LOG(Table1_1[[#This Row],[PFHxDA]])</f>
        <v>-1.1023729087095586</v>
      </c>
      <c r="BX117">
        <f>LOG(Table1_1[[#This Row],[PFPrS]])</f>
        <v>-1.2967086218813386</v>
      </c>
      <c r="BY117">
        <f>LOG(Table1_1[[#This Row],[PFBS]])</f>
        <v>-0.82681373158772598</v>
      </c>
      <c r="BZ117">
        <f>LOG(Table1_1[[#This Row],[PFPeS]])</f>
        <v>-0.93554201077308152</v>
      </c>
      <c r="CA117">
        <f>LOG(Table1_1[[#This Row],[PFHxS]])</f>
        <v>1.2855573090077739</v>
      </c>
      <c r="CB117">
        <f>LOG(Table1_1[[#This Row],[PFHpS]])</f>
        <v>4.5322978786657475E-2</v>
      </c>
      <c r="CC117">
        <f>LOG(Table1_1[[#This Row],[PFOS]])</f>
        <v>3.0606978403536118</v>
      </c>
      <c r="CD117">
        <f>LOG(Table1_1[[#This Row],[PFNS]])</f>
        <v>-0.18976748200491589</v>
      </c>
      <c r="CE117">
        <f>LOG(Table1_1[[#This Row],[PFDS]])</f>
        <v>-0.12033079436794646</v>
      </c>
      <c r="CF117">
        <f>LOG(Table1_1[[#This Row],[PFDoS]])</f>
        <v>-0.62985715294889799</v>
      </c>
      <c r="CG117">
        <f>LOG(Table1_1[[#This Row],[Cl-PFOS]])</f>
        <v>-0.87614835903291421</v>
      </c>
      <c r="CH117">
        <f>LOG(Table1_1[[#This Row],[PFEtCHxS]])</f>
        <v>-1.0579919469776868</v>
      </c>
      <c r="CI117">
        <f>LOG(Table1_1[[#This Row],[FBSA]])</f>
        <v>1.4548448600085102</v>
      </c>
      <c r="CJ117">
        <f>LOG(Table1_1[[#This Row],[FHxSA]])</f>
        <v>1.8970770032094204</v>
      </c>
      <c r="CK117">
        <f>LOG(Table1_1[[#This Row],[FOSA]])</f>
        <v>1.2671717284030137</v>
      </c>
      <c r="CL117">
        <f>LOG(Table1_1[[#This Row],[N-MeFOSA]])</f>
        <v>-1.2924298239020637</v>
      </c>
      <c r="CM117">
        <f>LOG(Table1_1[[#This Row],[N-EtFOSA]])</f>
        <v>-1.1106982974936896</v>
      </c>
      <c r="CN117">
        <f>LOG(Table1_1[[#This Row],[FOSAA]])</f>
        <v>-1.2798406965940432</v>
      </c>
      <c r="CO117">
        <f>LOG(Table1_1[[#This Row],[N-MeFOSAA]])</f>
        <v>-0.33724216831842591</v>
      </c>
      <c r="CP117">
        <f>LOG(Table1_1[[#This Row],[N-EtFOSAA]])</f>
        <v>-1.2403321553103694</v>
      </c>
      <c r="CQ117">
        <f>LOG(Table1_1[[#This Row],[4:2 FTS]])</f>
        <v>-1.2636034977233577</v>
      </c>
      <c r="CR117">
        <f>LOG(Table1_1[[#This Row],[6:2 FTS]])</f>
        <v>-0.16430942850757441</v>
      </c>
      <c r="CS117">
        <f>LOG(Table1_1[[#This Row],[8:2 FTS]])</f>
        <v>0.71180722904119109</v>
      </c>
      <c r="CT117">
        <f>LOG(Table1_1[[#This Row],[10:2 FTS]])</f>
        <v>-0.60380065290426366</v>
      </c>
      <c r="CU117">
        <f>LOG(Table1_1[[#This Row],[3:3 FTCA]])</f>
        <v>-1.1163385648463824</v>
      </c>
      <c r="CV117">
        <f>LOG(Table1_1[[#This Row],[5:3 FTCA]])</f>
        <v>-0.65955588515988162</v>
      </c>
      <c r="CW117">
        <f>LOG(Table1_1[[#This Row],[7:3 FTCA]])</f>
        <v>0.62221402296629535</v>
      </c>
      <c r="CX117">
        <f>LOG(Table1_1[[#This Row],[6:2 FTCA]])</f>
        <v>-0.65955588515988162</v>
      </c>
      <c r="CY117">
        <f>LOG(Table1_1[[#This Row],[8:2 FTCA]])</f>
        <v>-1.1771783546968955</v>
      </c>
      <c r="CZ117">
        <f>LOG(Table1_1[[#This Row],[10:2 FTCA]])</f>
        <v>-1.0043648054024501</v>
      </c>
      <c r="DA117">
        <f>LOG(Table1_1[[#This Row],[6:2 FTUCA]])</f>
        <v>-1.2839966563652008</v>
      </c>
      <c r="DB117">
        <f>LOG(Table1_1[[#This Row],[8:2 FTUCA]])</f>
        <v>-1.3963144503853002</v>
      </c>
      <c r="DC117">
        <f>LOG(Table1_1[[#This Row],[ADONA]])</f>
        <v>-1.1771783546968955</v>
      </c>
      <c r="DD117">
        <f>LOG(Table1_1[[#This Row],[9Cl-PF3ONS]])</f>
        <v>-1.1771783546968955</v>
      </c>
      <c r="DE117">
        <f>LOG(Table1_1[[#This Row],[11Cl-PF3OUdS]])</f>
        <v>-1.1771783546968955</v>
      </c>
      <c r="DF117">
        <f>LOG(Table1_1[[#This Row],[HFPO-DA]])</f>
        <v>-1.0199966284162536</v>
      </c>
      <c r="DG117">
        <f>LOG(Table1_1[[#This Row],[6:2 diPAP]])</f>
        <v>-1.1518108830086013</v>
      </c>
      <c r="DH117">
        <f>LOG(Table1_1[[#This Row],[8:2 diPAP]])</f>
        <v>-1.0555173278498313</v>
      </c>
      <c r="DI117">
        <f>LOG(Table1_1[[#This Row],[diSAmPAP]])</f>
        <v>-0.9318141382538383</v>
      </c>
    </row>
    <row r="118" spans="1:113">
      <c r="A118" t="s">
        <v>269</v>
      </c>
      <c r="B118" t="s">
        <v>114</v>
      </c>
      <c r="C118" s="3">
        <v>44393</v>
      </c>
      <c r="D118" t="s">
        <v>226</v>
      </c>
      <c r="E118" t="s">
        <v>227</v>
      </c>
      <c r="F118" t="s">
        <v>228</v>
      </c>
      <c r="G118" t="s">
        <v>118</v>
      </c>
      <c r="H118" t="s">
        <v>119</v>
      </c>
      <c r="I118">
        <v>8</v>
      </c>
      <c r="J118">
        <f>LOG(Table1_1[[#This Row],[Length]])</f>
        <v>0.90308998699194354</v>
      </c>
      <c r="K118">
        <v>14.64</v>
      </c>
      <c r="L118">
        <f>LOG(Table1_1[[#This Row],[Weight]])</f>
        <v>1.1655410767223731</v>
      </c>
      <c r="M118">
        <v>6.6000000000000003E-2</v>
      </c>
      <c r="N118">
        <v>4.6800000000000001E-2</v>
      </c>
      <c r="O118">
        <v>3.5749999999999997E-2</v>
      </c>
      <c r="P118">
        <v>2.6499999999999999E-2</v>
      </c>
      <c r="Q118">
        <v>0.33</v>
      </c>
      <c r="R118">
        <v>4.5900000000000003E-2</v>
      </c>
      <c r="S118">
        <v>3.36</v>
      </c>
      <c r="T118">
        <v>4.3099999999999996</v>
      </c>
      <c r="U118">
        <v>8.77</v>
      </c>
      <c r="V118">
        <v>3.3</v>
      </c>
      <c r="W118">
        <v>9.77</v>
      </c>
      <c r="X118">
        <v>7.9000000000000001E-2</v>
      </c>
      <c r="Y118">
        <v>5.0500000000000003E-2</v>
      </c>
      <c r="Z118">
        <v>0.14899999999999999</v>
      </c>
      <c r="AA118">
        <v>0.11600000000000001</v>
      </c>
      <c r="AB118">
        <v>6.13</v>
      </c>
      <c r="AC118">
        <v>1.36</v>
      </c>
      <c r="AD118">
        <v>1050</v>
      </c>
      <c r="AE118">
        <v>2.29</v>
      </c>
      <c r="AF118">
        <v>2.1800000000000002</v>
      </c>
      <c r="AG118">
        <v>1.2</v>
      </c>
      <c r="AH118">
        <v>0.13300000000000001</v>
      </c>
      <c r="AI118">
        <v>8.7499999999999994E-2</v>
      </c>
      <c r="AJ118">
        <v>21.7</v>
      </c>
      <c r="AK118">
        <v>72</v>
      </c>
      <c r="AL118">
        <v>9.41</v>
      </c>
      <c r="AM118">
        <v>5.0999999999999997E-2</v>
      </c>
      <c r="AN118">
        <v>7.7499999999999999E-2</v>
      </c>
      <c r="AO118">
        <v>5.2499999999999998E-2</v>
      </c>
      <c r="AP118">
        <v>0.66500000000000004</v>
      </c>
      <c r="AQ118">
        <v>5.7500000000000002E-2</v>
      </c>
      <c r="AR118">
        <v>5.45E-2</v>
      </c>
      <c r="AS118">
        <v>1.29</v>
      </c>
      <c r="AT118">
        <v>1.41</v>
      </c>
      <c r="AU118">
        <v>0.248</v>
      </c>
      <c r="AV118">
        <v>7.6499999999999999E-2</v>
      </c>
      <c r="AW118">
        <v>0.83499999999999996</v>
      </c>
      <c r="AX118">
        <v>10.6</v>
      </c>
      <c r="AY118">
        <v>6.6000000000000003E-2</v>
      </c>
      <c r="AZ118">
        <v>7.15</v>
      </c>
      <c r="BA118">
        <v>9.9000000000000005E-2</v>
      </c>
      <c r="BB118">
        <v>5.1999999999999998E-2</v>
      </c>
      <c r="BC118">
        <v>0.04</v>
      </c>
      <c r="BD118">
        <v>6.6000000000000003E-2</v>
      </c>
      <c r="BE118">
        <v>6.6000000000000003E-2</v>
      </c>
      <c r="BF118">
        <v>6.6000000000000003E-2</v>
      </c>
      <c r="BG118">
        <v>9.5000000000000001E-2</v>
      </c>
      <c r="BH118">
        <v>7.0499999999999993E-2</v>
      </c>
      <c r="BI118">
        <v>8.7999999999999995E-2</v>
      </c>
      <c r="BJ118">
        <v>0.11650000000000001</v>
      </c>
      <c r="BK118">
        <f>SUM(Table1_1[[#This Row],[PFBA]:[diSAmPAP]])</f>
        <v>1220.3384500000002</v>
      </c>
      <c r="BL118">
        <f>LOG(Table1_1[[#This Row],[PFBA]])</f>
        <v>-1.1804560644581312</v>
      </c>
      <c r="BM118">
        <f>LOG(Table1_1[[#This Row],[PFPeA]])</f>
        <v>-1.329754146925876</v>
      </c>
      <c r="BN118">
        <f>LOG(Table1_1[[#This Row],[PFHxA]])</f>
        <v>-1.4467239538629006</v>
      </c>
      <c r="BO118">
        <f>LOG(Table1_1[[#This Row],[PFHpA]])</f>
        <v>-1.5767541260631921</v>
      </c>
      <c r="BP118">
        <f>LOG(Table1_1[[#This Row],[PFOA]])</f>
        <v>-0.48148606012211248</v>
      </c>
      <c r="BQ118">
        <f>LOG(Table1_1[[#This Row],[PFNA]])</f>
        <v>-1.3381873144627388</v>
      </c>
      <c r="BR118">
        <f>LOG(Table1_1[[#This Row],[PFDA]])</f>
        <v>0.52633927738984398</v>
      </c>
      <c r="BS118">
        <f>LOG(Table1_1[[#This Row],[PFUnA]])</f>
        <v>0.63447727016073152</v>
      </c>
      <c r="BT118">
        <f>LOG(Table1_1[[#This Row],[PFDoA]])</f>
        <v>0.94299959336604045</v>
      </c>
      <c r="BU118">
        <f>LOG(Table1_1[[#This Row],[PFTrDA]])</f>
        <v>0.51851393987788741</v>
      </c>
      <c r="BV118">
        <f>LOG(Table1_1[[#This Row],[PFTeDA]])</f>
        <v>0.98989456371877305</v>
      </c>
      <c r="BW118">
        <f>LOG(Table1_1[[#This Row],[PFHxDA]])</f>
        <v>-1.1023729087095586</v>
      </c>
      <c r="BX118">
        <f>LOG(Table1_1[[#This Row],[PFPrS]])</f>
        <v>-1.2967086218813386</v>
      </c>
      <c r="BY118">
        <f>LOG(Table1_1[[#This Row],[PFBS]])</f>
        <v>-0.82681373158772598</v>
      </c>
      <c r="BZ118">
        <f>LOG(Table1_1[[#This Row],[PFPeS]])</f>
        <v>-0.93554201077308152</v>
      </c>
      <c r="CA118">
        <f>LOG(Table1_1[[#This Row],[PFHxS]])</f>
        <v>0.78746047451841505</v>
      </c>
      <c r="CB118">
        <f>LOG(Table1_1[[#This Row],[PFHpS]])</f>
        <v>0.13353890837021754</v>
      </c>
      <c r="CC118">
        <f>LOG(Table1_1[[#This Row],[PFOS]])</f>
        <v>3.0211892990699383</v>
      </c>
      <c r="CD118">
        <f>LOG(Table1_1[[#This Row],[PFNS]])</f>
        <v>0.35983548233988799</v>
      </c>
      <c r="CE118">
        <f>LOG(Table1_1[[#This Row],[PFDS]])</f>
        <v>0.33845649360460484</v>
      </c>
      <c r="CF118">
        <f>LOG(Table1_1[[#This Row],[PFDoS]])</f>
        <v>7.9181246047624818E-2</v>
      </c>
      <c r="CG118">
        <f>LOG(Table1_1[[#This Row],[Cl-PFOS]])</f>
        <v>-0.87614835903291421</v>
      </c>
      <c r="CH118">
        <f>LOG(Table1_1[[#This Row],[PFEtCHxS]])</f>
        <v>-1.0579919469776868</v>
      </c>
      <c r="CI118">
        <f>LOG(Table1_1[[#This Row],[FBSA]])</f>
        <v>1.3364597338485296</v>
      </c>
      <c r="CJ118">
        <f>LOG(Table1_1[[#This Row],[FHxSA]])</f>
        <v>1.8573324964312685</v>
      </c>
      <c r="CK118">
        <f>LOG(Table1_1[[#This Row],[FOSA]])</f>
        <v>0.97358962342725697</v>
      </c>
      <c r="CL118">
        <f>LOG(Table1_1[[#This Row],[N-MeFOSA]])</f>
        <v>-1.2924298239020637</v>
      </c>
      <c r="CM118">
        <f>LOG(Table1_1[[#This Row],[N-EtFOSA]])</f>
        <v>-1.1106982974936896</v>
      </c>
      <c r="CN118">
        <f>LOG(Table1_1[[#This Row],[FOSAA]])</f>
        <v>-1.2798406965940432</v>
      </c>
      <c r="CO118">
        <f>LOG(Table1_1[[#This Row],[N-MeFOSAA]])</f>
        <v>-0.17717835469689538</v>
      </c>
      <c r="CP118">
        <f>LOG(Table1_1[[#This Row],[N-EtFOSAA]])</f>
        <v>-1.2403321553103694</v>
      </c>
      <c r="CQ118">
        <f>LOG(Table1_1[[#This Row],[4:2 FTS]])</f>
        <v>-1.2636034977233577</v>
      </c>
      <c r="CR118">
        <f>LOG(Table1_1[[#This Row],[6:2 FTS]])</f>
        <v>0.11058971029924898</v>
      </c>
      <c r="CS118">
        <f>LOG(Table1_1[[#This Row],[8:2 FTS]])</f>
        <v>0.14921911265537988</v>
      </c>
      <c r="CT118">
        <f>LOG(Table1_1[[#This Row],[10:2 FTS]])</f>
        <v>-0.60554831917378371</v>
      </c>
      <c r="CU118">
        <f>LOG(Table1_1[[#This Row],[3:3 FTCA]])</f>
        <v>-1.1163385648463824</v>
      </c>
      <c r="CV118">
        <f>LOG(Table1_1[[#This Row],[5:3 FTCA]])</f>
        <v>-7.8313524516397934E-2</v>
      </c>
      <c r="CW118">
        <f>LOG(Table1_1[[#This Row],[7:3 FTCA]])</f>
        <v>1.0253058652647702</v>
      </c>
      <c r="CX118">
        <f>LOG(Table1_1[[#This Row],[6:2 FTCA]])</f>
        <v>-1.1804560644581312</v>
      </c>
      <c r="CY118">
        <f>LOG(Table1_1[[#This Row],[8:2 FTCA]])</f>
        <v>0.85430604180108061</v>
      </c>
      <c r="CZ118">
        <f>LOG(Table1_1[[#This Row],[10:2 FTCA]])</f>
        <v>-1.0043648054024501</v>
      </c>
      <c r="DA118">
        <f>LOG(Table1_1[[#This Row],[6:2 FTUCA]])</f>
        <v>-1.2839966563652008</v>
      </c>
      <c r="DB118">
        <f>LOG(Table1_1[[#This Row],[8:2 FTUCA]])</f>
        <v>-1.3979400086720375</v>
      </c>
      <c r="DC118">
        <f>LOG(Table1_1[[#This Row],[ADONA]])</f>
        <v>-1.1804560644581312</v>
      </c>
      <c r="DD118">
        <f>LOG(Table1_1[[#This Row],[9Cl-PF3ONS]])</f>
        <v>-1.1804560644581312</v>
      </c>
      <c r="DE118">
        <f>LOG(Table1_1[[#This Row],[11Cl-PF3OUdS]])</f>
        <v>-1.1804560644581312</v>
      </c>
      <c r="DF118">
        <f>LOG(Table1_1[[#This Row],[HFPO-DA]])</f>
        <v>-1.0222763947111522</v>
      </c>
      <c r="DG118">
        <f>LOG(Table1_1[[#This Row],[6:2 diPAP]])</f>
        <v>-1.1518108830086013</v>
      </c>
      <c r="DH118">
        <f>LOG(Table1_1[[#This Row],[8:2 diPAP]])</f>
        <v>-1.0555173278498313</v>
      </c>
      <c r="DI118">
        <f>LOG(Table1_1[[#This Row],[diSAmPAP]])</f>
        <v>-0.93367407463796215</v>
      </c>
    </row>
    <row r="119" spans="1:113">
      <c r="A119" t="s">
        <v>270</v>
      </c>
      <c r="B119" t="s">
        <v>114</v>
      </c>
      <c r="C119" s="3">
        <v>44393</v>
      </c>
      <c r="D119" t="s">
        <v>226</v>
      </c>
      <c r="E119" t="s">
        <v>227</v>
      </c>
      <c r="F119" t="s">
        <v>228</v>
      </c>
      <c r="G119" t="s">
        <v>271</v>
      </c>
      <c r="H119" t="s">
        <v>244</v>
      </c>
      <c r="I119">
        <v>13</v>
      </c>
      <c r="J119">
        <f>LOG(Table1_1[[#This Row],[Length]])</f>
        <v>1.1139433523068367</v>
      </c>
      <c r="K119">
        <v>40.79</v>
      </c>
      <c r="L119">
        <f>LOG(Table1_1[[#This Row],[Weight]])</f>
        <v>1.6105537053170946</v>
      </c>
      <c r="M119">
        <v>0.54500000000000004</v>
      </c>
      <c r="N119">
        <v>0.11700000000000001</v>
      </c>
      <c r="O119">
        <v>0.29499999999999998</v>
      </c>
      <c r="P119">
        <v>6.6500000000000004E-2</v>
      </c>
      <c r="Q119">
        <v>0.2185</v>
      </c>
      <c r="R119">
        <v>0.1145</v>
      </c>
      <c r="S119">
        <v>24</v>
      </c>
      <c r="T119">
        <v>31.3</v>
      </c>
      <c r="U119">
        <v>28.8</v>
      </c>
      <c r="V119">
        <v>12.7</v>
      </c>
      <c r="W119">
        <v>15.2</v>
      </c>
      <c r="X119">
        <v>0.19750000000000001</v>
      </c>
      <c r="Y119">
        <v>0.16550000000000001</v>
      </c>
      <c r="Z119">
        <v>0.372</v>
      </c>
      <c r="AA119">
        <v>0.16550000000000001</v>
      </c>
      <c r="AB119">
        <v>11.9</v>
      </c>
      <c r="AC119">
        <v>2.81</v>
      </c>
      <c r="AD119">
        <v>2150</v>
      </c>
      <c r="AE119">
        <v>8.01</v>
      </c>
      <c r="AF119">
        <v>6.76</v>
      </c>
      <c r="AG119">
        <v>1.38</v>
      </c>
      <c r="AH119">
        <v>0.33200000000000002</v>
      </c>
      <c r="AI119">
        <v>0.54500000000000004</v>
      </c>
      <c r="AJ119">
        <v>156</v>
      </c>
      <c r="AK119">
        <v>133</v>
      </c>
      <c r="AL119">
        <v>78.5</v>
      </c>
      <c r="AM119">
        <v>0.16550000000000001</v>
      </c>
      <c r="AN119">
        <v>0.19350000000000001</v>
      </c>
      <c r="AO119">
        <v>0.1305</v>
      </c>
      <c r="AP119">
        <v>0.16650000000000001</v>
      </c>
      <c r="AQ119">
        <v>0.14399999999999999</v>
      </c>
      <c r="AR119">
        <v>0.16550000000000001</v>
      </c>
      <c r="AS119">
        <v>0.1</v>
      </c>
      <c r="AT119">
        <v>7.24</v>
      </c>
      <c r="AU119">
        <v>1.57</v>
      </c>
      <c r="AV119">
        <v>0.191</v>
      </c>
      <c r="AW119">
        <v>0.41249999999999998</v>
      </c>
      <c r="AX119">
        <v>0.16550000000000001</v>
      </c>
      <c r="AY119">
        <v>0.16550000000000001</v>
      </c>
      <c r="AZ119">
        <v>0.16550000000000001</v>
      </c>
      <c r="BA119">
        <v>0.247</v>
      </c>
      <c r="BB119">
        <v>0.13</v>
      </c>
      <c r="BC119">
        <v>0.1</v>
      </c>
      <c r="BD119">
        <v>0.14599999999999999</v>
      </c>
      <c r="BE119">
        <v>0.16550000000000001</v>
      </c>
      <c r="BF119">
        <v>0.16550000000000001</v>
      </c>
      <c r="BG119">
        <v>0.23749999999999999</v>
      </c>
      <c r="BH119">
        <v>0.17649999999999999</v>
      </c>
      <c r="BI119">
        <v>0.2195</v>
      </c>
      <c r="BJ119">
        <v>0.29149999999999998</v>
      </c>
      <c r="BK119">
        <f>SUM(Table1_1[[#This Row],[PFBA]:[diSAmPAP]])</f>
        <v>2676.3485000000005</v>
      </c>
      <c r="BL119">
        <f>LOG(Table1_1[[#This Row],[PFBA]])</f>
        <v>-0.2636034977233575</v>
      </c>
      <c r="BM119">
        <f>LOG(Table1_1[[#This Row],[PFPeA]])</f>
        <v>-0.9318141382538383</v>
      </c>
      <c r="BN119">
        <f>LOG(Table1_1[[#This Row],[PFHxA]])</f>
        <v>-0.53017798402183702</v>
      </c>
      <c r="BO119">
        <f>LOG(Table1_1[[#This Row],[PFHpA]])</f>
        <v>-1.1771783546968955</v>
      </c>
      <c r="BP119">
        <f>LOG(Table1_1[[#This Row],[PFOA]])</f>
        <v>-0.66054855869355933</v>
      </c>
      <c r="BQ119">
        <f>LOG(Table1_1[[#This Row],[PFNA]])</f>
        <v>-0.94119451332409321</v>
      </c>
      <c r="BR119">
        <f>LOG(Table1_1[[#This Row],[PFDA]])</f>
        <v>1.3802112417116059</v>
      </c>
      <c r="BS119">
        <f>LOG(Table1_1[[#This Row],[PFUnA]])</f>
        <v>1.4955443375464486</v>
      </c>
      <c r="BT119">
        <f>LOG(Table1_1[[#This Row],[PFDoA]])</f>
        <v>1.4593924877592308</v>
      </c>
      <c r="BU119">
        <f>LOG(Table1_1[[#This Row],[PFTrDA]])</f>
        <v>1.1038037209559568</v>
      </c>
      <c r="BV119">
        <f>LOG(Table1_1[[#This Row],[PFTeDA]])</f>
        <v>1.1818435879447726</v>
      </c>
      <c r="BW119">
        <f>LOG(Table1_1[[#This Row],[PFHxDA]])</f>
        <v>-0.7044329000375209</v>
      </c>
      <c r="BX119">
        <f>LOG(Table1_1[[#This Row],[PFPrS]])</f>
        <v>-0.78120200188826239</v>
      </c>
      <c r="BY119">
        <f>LOG(Table1_1[[#This Row],[PFBS]])</f>
        <v>-0.42945706011810247</v>
      </c>
      <c r="BZ119">
        <f>LOG(Table1_1[[#This Row],[PFPeS]])</f>
        <v>-0.78120200188826239</v>
      </c>
      <c r="CA119">
        <f>LOG(Table1_1[[#This Row],[PFHxS]])</f>
        <v>1.0755469613925308</v>
      </c>
      <c r="CB119">
        <f>LOG(Table1_1[[#This Row],[PFHpS]])</f>
        <v>0.44870631990507992</v>
      </c>
      <c r="CC119">
        <f>LOG(Table1_1[[#This Row],[PFOS]])</f>
        <v>3.3324384599156054</v>
      </c>
      <c r="CD119">
        <f>LOG(Table1_1[[#This Row],[PFNS]])</f>
        <v>0.90363251608423767</v>
      </c>
      <c r="CE119">
        <f>LOG(Table1_1[[#This Row],[PFDS]])</f>
        <v>0.82994669594163595</v>
      </c>
      <c r="CF119">
        <f>LOG(Table1_1[[#This Row],[PFDoS]])</f>
        <v>0.13987908640123647</v>
      </c>
      <c r="CG119">
        <f>LOG(Table1_1[[#This Row],[Cl-PFOS]])</f>
        <v>-0.4788619162959637</v>
      </c>
      <c r="CH119">
        <f>LOG(Table1_1[[#This Row],[PFEtCHxS]])</f>
        <v>-0.2636034977233575</v>
      </c>
      <c r="CI119">
        <f>LOG(Table1_1[[#This Row],[FBSA]])</f>
        <v>2.1931245983544616</v>
      </c>
      <c r="CJ119">
        <f>LOG(Table1_1[[#This Row],[FHxSA]])</f>
        <v>2.1238516409670858</v>
      </c>
      <c r="CK119">
        <f>LOG(Table1_1[[#This Row],[FOSA]])</f>
        <v>1.8948696567452525</v>
      </c>
      <c r="CL119">
        <f>LOG(Table1_1[[#This Row],[N-MeFOSA]])</f>
        <v>-0.78120200188826239</v>
      </c>
      <c r="CM119">
        <f>LOG(Table1_1[[#This Row],[N-EtFOSA]])</f>
        <v>-0.71331903064506974</v>
      </c>
      <c r="CN119">
        <f>LOG(Table1_1[[#This Row],[FOSAA]])</f>
        <v>-0.88438948832570019</v>
      </c>
      <c r="CO119">
        <f>LOG(Table1_1[[#This Row],[N-MeFOSAA]])</f>
        <v>-0.77858576215766129</v>
      </c>
      <c r="CP119">
        <f>LOG(Table1_1[[#This Row],[N-EtFOSAA]])</f>
        <v>-0.84163750790475034</v>
      </c>
      <c r="CQ119">
        <f>LOG(Table1_1[[#This Row],[4:2 FTS]])</f>
        <v>-0.78120200188826239</v>
      </c>
      <c r="CR119">
        <f>LOG(Table1_1[[#This Row],[6:2 FTS]])</f>
        <v>-1</v>
      </c>
      <c r="CS119">
        <f>LOG(Table1_1[[#This Row],[8:2 FTS]])</f>
        <v>0.85973856619714695</v>
      </c>
      <c r="CT119">
        <f>LOG(Table1_1[[#This Row],[10:2 FTS]])</f>
        <v>0.19589965240923377</v>
      </c>
      <c r="CU119">
        <f>LOG(Table1_1[[#This Row],[3:3 FTCA]])</f>
        <v>-0.71896663275227246</v>
      </c>
      <c r="CV119">
        <f>LOG(Table1_1[[#This Row],[5:3 FTCA]])</f>
        <v>-0.38457604711405613</v>
      </c>
      <c r="CW119">
        <f>LOG(Table1_1[[#This Row],[7:3 FTCA]])</f>
        <v>-0.78120200188826239</v>
      </c>
      <c r="CX119">
        <f>LOG(Table1_1[[#This Row],[6:2 FTCA]])</f>
        <v>-0.78120200188826239</v>
      </c>
      <c r="CY119">
        <f>LOG(Table1_1[[#This Row],[8:2 FTCA]])</f>
        <v>-0.78120200188826239</v>
      </c>
      <c r="CZ119">
        <f>LOG(Table1_1[[#This Row],[10:2 FTCA]])</f>
        <v>-0.60730304674033431</v>
      </c>
      <c r="DA119">
        <f>LOG(Table1_1[[#This Row],[6:2 FTUCA]])</f>
        <v>-0.88605664769316317</v>
      </c>
      <c r="DB119">
        <f>LOG(Table1_1[[#This Row],[8:2 FTUCA]])</f>
        <v>-1</v>
      </c>
      <c r="DC119">
        <f>LOG(Table1_1[[#This Row],[ADONA]])</f>
        <v>-0.83564714421556296</v>
      </c>
      <c r="DD119">
        <f>LOG(Table1_1[[#This Row],[9Cl-PF3ONS]])</f>
        <v>-0.78120200188826239</v>
      </c>
      <c r="DE119">
        <f>LOG(Table1_1[[#This Row],[11Cl-PF3OUdS]])</f>
        <v>-0.78120200188826239</v>
      </c>
      <c r="DF119">
        <f>LOG(Table1_1[[#This Row],[HFPO-DA]])</f>
        <v>-0.62433638603911468</v>
      </c>
      <c r="DG119">
        <f>LOG(Table1_1[[#This Row],[6:2 diPAP]])</f>
        <v>-0.75325529027615867</v>
      </c>
      <c r="DH119">
        <f>LOG(Table1_1[[#This Row],[8:2 diPAP]])</f>
        <v>-0.65856547542185984</v>
      </c>
      <c r="DI119">
        <f>LOG(Table1_1[[#This Row],[diSAmPAP]])</f>
        <v>-0.53536144090496718</v>
      </c>
    </row>
    <row r="120" spans="1:113">
      <c r="A120" t="s">
        <v>272</v>
      </c>
      <c r="B120" t="s">
        <v>114</v>
      </c>
      <c r="C120" s="3">
        <v>44393</v>
      </c>
      <c r="D120" t="s">
        <v>226</v>
      </c>
      <c r="E120" t="s">
        <v>227</v>
      </c>
      <c r="F120" t="s">
        <v>228</v>
      </c>
      <c r="G120" t="s">
        <v>271</v>
      </c>
      <c r="H120" t="s">
        <v>246</v>
      </c>
      <c r="I120">
        <v>13</v>
      </c>
      <c r="J120">
        <f>LOG(Table1_1[[#This Row],[Length]])</f>
        <v>1.1139433523068367</v>
      </c>
      <c r="K120">
        <v>40.79</v>
      </c>
      <c r="L120">
        <f>LOG(Table1_1[[#This Row],[Weight]])</f>
        <v>1.6105537053170946</v>
      </c>
      <c r="M120">
        <v>0.23</v>
      </c>
      <c r="N120">
        <v>4.9299999999999997E-2</v>
      </c>
      <c r="O120">
        <v>3.7650000000000003E-2</v>
      </c>
      <c r="P120">
        <v>9.1999999999999998E-2</v>
      </c>
      <c r="Q120">
        <v>9.1999999999999998E-2</v>
      </c>
      <c r="R120">
        <v>0.1595</v>
      </c>
      <c r="S120">
        <v>2.96</v>
      </c>
      <c r="T120">
        <v>4.6100000000000003</v>
      </c>
      <c r="U120">
        <v>4.47</v>
      </c>
      <c r="V120">
        <v>2.5099999999999998</v>
      </c>
      <c r="W120">
        <v>2.96</v>
      </c>
      <c r="X120">
        <v>8.3000000000000004E-2</v>
      </c>
      <c r="Y120">
        <v>6.9500000000000006E-2</v>
      </c>
      <c r="Z120">
        <v>0.1565</v>
      </c>
      <c r="AA120">
        <v>6.9500000000000006E-2</v>
      </c>
      <c r="AB120">
        <v>2.06</v>
      </c>
      <c r="AC120">
        <v>1.19</v>
      </c>
      <c r="AD120">
        <v>345</v>
      </c>
      <c r="AE120">
        <v>4.47</v>
      </c>
      <c r="AF120">
        <v>2.95</v>
      </c>
      <c r="AG120">
        <v>0.51</v>
      </c>
      <c r="AH120">
        <v>0.14000000000000001</v>
      </c>
      <c r="AI120">
        <v>6.9500000000000006E-2</v>
      </c>
      <c r="AJ120">
        <v>10.199999999999999</v>
      </c>
      <c r="AK120">
        <v>36.700000000000003</v>
      </c>
      <c r="AL120">
        <v>12.2</v>
      </c>
      <c r="AM120">
        <v>6.9500000000000006E-2</v>
      </c>
      <c r="AN120">
        <v>8.1500000000000003E-2</v>
      </c>
      <c r="AO120">
        <v>5.5E-2</v>
      </c>
      <c r="AP120">
        <v>7.0000000000000007E-2</v>
      </c>
      <c r="AQ120">
        <v>6.0499999999999998E-2</v>
      </c>
      <c r="AR120">
        <v>6.9500000000000006E-2</v>
      </c>
      <c r="AS120">
        <v>0.13900000000000001</v>
      </c>
      <c r="AT120">
        <v>0.745</v>
      </c>
      <c r="AU120">
        <v>0.26150000000000001</v>
      </c>
      <c r="AV120">
        <v>8.0500000000000002E-2</v>
      </c>
      <c r="AW120">
        <v>0.17349999999999999</v>
      </c>
      <c r="AX120">
        <v>3.87</v>
      </c>
      <c r="AY120">
        <v>0.23</v>
      </c>
      <c r="AZ120">
        <v>6.9500000000000006E-2</v>
      </c>
      <c r="BA120">
        <v>0.104</v>
      </c>
      <c r="BB120">
        <v>5.5E-2</v>
      </c>
      <c r="BC120">
        <v>4.215E-2</v>
      </c>
      <c r="BD120">
        <v>6.1499999999999999E-2</v>
      </c>
      <c r="BE120">
        <v>6.9500000000000006E-2</v>
      </c>
      <c r="BF120">
        <v>6.9500000000000006E-2</v>
      </c>
      <c r="BG120">
        <v>0.1</v>
      </c>
      <c r="BH120">
        <v>7.3999999999999996E-2</v>
      </c>
      <c r="BI120">
        <v>9.2499999999999999E-2</v>
      </c>
      <c r="BJ120">
        <v>0.1225</v>
      </c>
      <c r="BK120">
        <f>SUM(Table1_1[[#This Row],[PFBA]:[diSAmPAP]])</f>
        <v>440.80410000000001</v>
      </c>
      <c r="BL120">
        <f>LOG(Table1_1[[#This Row],[PFBA]])</f>
        <v>-0.63827216398240705</v>
      </c>
      <c r="BM120">
        <f>LOG(Table1_1[[#This Row],[PFPeA]])</f>
        <v>-1.30715308072277</v>
      </c>
      <c r="BN120">
        <f>LOG(Table1_1[[#This Row],[PFHxA]])</f>
        <v>-1.4242350194632807</v>
      </c>
      <c r="BO120">
        <f>LOG(Table1_1[[#This Row],[PFHpA]])</f>
        <v>-1.0362121726544447</v>
      </c>
      <c r="BP120">
        <f>LOG(Table1_1[[#This Row],[PFOA]])</f>
        <v>-1.0362121726544447</v>
      </c>
      <c r="BQ120">
        <f>LOG(Table1_1[[#This Row],[PFNA]])</f>
        <v>-0.79723931260680003</v>
      </c>
      <c r="BR120">
        <f>LOG(Table1_1[[#This Row],[PFDA]])</f>
        <v>0.47129171105893858</v>
      </c>
      <c r="BS120">
        <f>LOG(Table1_1[[#This Row],[PFUnA]])</f>
        <v>0.6637009253896482</v>
      </c>
      <c r="BT120">
        <f>LOG(Table1_1[[#This Row],[PFDoA]])</f>
        <v>0.6503075231319364</v>
      </c>
      <c r="BU120">
        <f>LOG(Table1_1[[#This Row],[PFTrDA]])</f>
        <v>0.39967372148103808</v>
      </c>
      <c r="BV120">
        <f>LOG(Table1_1[[#This Row],[PFTeDA]])</f>
        <v>0.47129171105893858</v>
      </c>
      <c r="BW120">
        <f>LOG(Table1_1[[#This Row],[PFHxDA]])</f>
        <v>-1.080921907623926</v>
      </c>
      <c r="BX120">
        <f>LOG(Table1_1[[#This Row],[PFPrS]])</f>
        <v>-1.1580151954098861</v>
      </c>
      <c r="BY120">
        <f>LOG(Table1_1[[#This Row],[PFBS]])</f>
        <v>-0.8054856581175327</v>
      </c>
      <c r="BZ120">
        <f>LOG(Table1_1[[#This Row],[PFPeS]])</f>
        <v>-1.1580151954098861</v>
      </c>
      <c r="CA120">
        <f>LOG(Table1_1[[#This Row],[PFHxS]])</f>
        <v>0.31386722036915343</v>
      </c>
      <c r="CB120">
        <f>LOG(Table1_1[[#This Row],[PFHpS]])</f>
        <v>7.554696139253074E-2</v>
      </c>
      <c r="CC120">
        <f>LOG(Table1_1[[#This Row],[PFOS]])</f>
        <v>2.537819095073274</v>
      </c>
      <c r="CD120">
        <f>LOG(Table1_1[[#This Row],[PFNS]])</f>
        <v>0.6503075231319364</v>
      </c>
      <c r="CE120">
        <f>LOG(Table1_1[[#This Row],[PFDS]])</f>
        <v>0.46982201597816303</v>
      </c>
      <c r="CF120">
        <f>LOG(Table1_1[[#This Row],[PFDoS]])</f>
        <v>-0.29242982390206362</v>
      </c>
      <c r="CG120">
        <f>LOG(Table1_1[[#This Row],[Cl-PFOS]])</f>
        <v>-0.85387196432176193</v>
      </c>
      <c r="CH120">
        <f>LOG(Table1_1[[#This Row],[PFEtCHxS]])</f>
        <v>-1.1580151954098861</v>
      </c>
      <c r="CI120">
        <f>LOG(Table1_1[[#This Row],[FBSA]])</f>
        <v>1.0086001717619175</v>
      </c>
      <c r="CJ120">
        <f>LOG(Table1_1[[#This Row],[FHxSA]])</f>
        <v>1.5646660642520893</v>
      </c>
      <c r="CK120">
        <f>LOG(Table1_1[[#This Row],[FOSA]])</f>
        <v>1.0863598306747482</v>
      </c>
      <c r="CL120">
        <f>LOG(Table1_1[[#This Row],[N-MeFOSA]])</f>
        <v>-1.1580151954098861</v>
      </c>
      <c r="CM120">
        <f>LOG(Table1_1[[#This Row],[N-EtFOSA]])</f>
        <v>-1.0888423912600234</v>
      </c>
      <c r="CN120">
        <f>LOG(Table1_1[[#This Row],[FOSAA]])</f>
        <v>-1.2596373105057561</v>
      </c>
      <c r="CO120">
        <f>LOG(Table1_1[[#This Row],[N-MeFOSAA]])</f>
        <v>-1.1549019599857431</v>
      </c>
      <c r="CP120">
        <f>LOG(Table1_1[[#This Row],[N-EtFOSAA]])</f>
        <v>-1.2182446253475312</v>
      </c>
      <c r="CQ120">
        <f>LOG(Table1_1[[#This Row],[4:2 FTS]])</f>
        <v>-1.1580151954098861</v>
      </c>
      <c r="CR120">
        <f>LOG(Table1_1[[#This Row],[6:2 FTS]])</f>
        <v>-0.85698519974590492</v>
      </c>
      <c r="CS120">
        <f>LOG(Table1_1[[#This Row],[8:2 FTS]])</f>
        <v>-0.12784372725170717</v>
      </c>
      <c r="CT120">
        <f>LOG(Table1_1[[#This Row],[10:2 FTS]])</f>
        <v>-0.58252830679670697</v>
      </c>
      <c r="CU120">
        <f>LOG(Table1_1[[#This Row],[3:3 FTCA]])</f>
        <v>-1.0942041196321315</v>
      </c>
      <c r="CV120">
        <f>LOG(Table1_1[[#This Row],[5:3 FTCA]])</f>
        <v>-0.76070052087310747</v>
      </c>
      <c r="CW120">
        <f>LOG(Table1_1[[#This Row],[7:3 FTCA]])</f>
        <v>0.5877109650189114</v>
      </c>
      <c r="CX120">
        <f>LOG(Table1_1[[#This Row],[6:2 FTCA]])</f>
        <v>-0.63827216398240705</v>
      </c>
      <c r="CY120">
        <f>LOG(Table1_1[[#This Row],[8:2 FTCA]])</f>
        <v>-1.1580151954098861</v>
      </c>
      <c r="CZ120">
        <f>LOG(Table1_1[[#This Row],[10:2 FTCA]])</f>
        <v>-0.98296666070121963</v>
      </c>
      <c r="DA120">
        <f>LOG(Table1_1[[#This Row],[6:2 FTUCA]])</f>
        <v>-1.2596373105057561</v>
      </c>
      <c r="DB120">
        <f>LOG(Table1_1[[#This Row],[8:2 FTUCA]])</f>
        <v>-1.3752024210392388</v>
      </c>
      <c r="DC120">
        <f>LOG(Table1_1[[#This Row],[ADONA]])</f>
        <v>-1.2111248842245832</v>
      </c>
      <c r="DD120">
        <f>LOG(Table1_1[[#This Row],[9Cl-PF3ONS]])</f>
        <v>-1.1580151954098861</v>
      </c>
      <c r="DE120">
        <f>LOG(Table1_1[[#This Row],[11Cl-PF3OUdS]])</f>
        <v>-1.1580151954098861</v>
      </c>
      <c r="DF120">
        <f>LOG(Table1_1[[#This Row],[HFPO-DA]])</f>
        <v>-1</v>
      </c>
      <c r="DG120">
        <f>LOG(Table1_1[[#This Row],[6:2 diPAP]])</f>
        <v>-1.1307682802690238</v>
      </c>
      <c r="DH120">
        <f>LOG(Table1_1[[#This Row],[8:2 diPAP]])</f>
        <v>-1.0338582672609673</v>
      </c>
      <c r="DI120">
        <f>LOG(Table1_1[[#This Row],[diSAmPAP]])</f>
        <v>-0.91186391129944877</v>
      </c>
    </row>
    <row r="121" spans="1:113">
      <c r="A121" t="s">
        <v>273</v>
      </c>
      <c r="B121" t="s">
        <v>114</v>
      </c>
      <c r="C121" s="3">
        <v>44393</v>
      </c>
      <c r="D121" t="s">
        <v>226</v>
      </c>
      <c r="E121" t="s">
        <v>227</v>
      </c>
      <c r="F121" t="s">
        <v>228</v>
      </c>
      <c r="G121" t="s">
        <v>271</v>
      </c>
      <c r="H121" t="s">
        <v>244</v>
      </c>
      <c r="I121">
        <v>12</v>
      </c>
      <c r="J121">
        <f>LOG(Table1_1[[#This Row],[Length]])</f>
        <v>1.0791812460476249</v>
      </c>
      <c r="K121">
        <v>30.45</v>
      </c>
      <c r="L121">
        <f>LOG(Table1_1[[#This Row],[Weight]])</f>
        <v>1.4835872969688941</v>
      </c>
      <c r="M121">
        <v>0.83499999999999996</v>
      </c>
      <c r="N121">
        <v>0.17849999999999999</v>
      </c>
      <c r="O121">
        <v>0.13650000000000001</v>
      </c>
      <c r="P121">
        <v>0.33350000000000002</v>
      </c>
      <c r="Q121">
        <v>0.76</v>
      </c>
      <c r="R121">
        <v>0.57499999999999996</v>
      </c>
      <c r="S121">
        <v>1.4</v>
      </c>
      <c r="T121">
        <v>3.35</v>
      </c>
      <c r="U121">
        <v>6.04</v>
      </c>
      <c r="V121">
        <v>1.1399999999999999</v>
      </c>
      <c r="W121">
        <v>2.74</v>
      </c>
      <c r="X121">
        <v>0.30099999999999999</v>
      </c>
      <c r="Y121">
        <v>0.2525</v>
      </c>
      <c r="Z121">
        <v>0.17199999999999999</v>
      </c>
      <c r="AA121">
        <v>0.2525</v>
      </c>
      <c r="AB121">
        <v>7.54</v>
      </c>
      <c r="AC121">
        <v>1.66</v>
      </c>
      <c r="AD121">
        <v>423</v>
      </c>
      <c r="AE121">
        <v>0.47499999999999998</v>
      </c>
      <c r="AF121">
        <v>0.68</v>
      </c>
      <c r="AG121">
        <v>0.27</v>
      </c>
      <c r="AH121">
        <v>0.1535</v>
      </c>
      <c r="AI121">
        <v>0.2525</v>
      </c>
      <c r="AJ121">
        <v>6.33</v>
      </c>
      <c r="AK121">
        <v>65.8</v>
      </c>
      <c r="AL121">
        <v>7.65</v>
      </c>
      <c r="AM121">
        <v>0.2525</v>
      </c>
      <c r="AN121">
        <v>0.29449999999999998</v>
      </c>
      <c r="AO121">
        <v>0.19900000000000001</v>
      </c>
      <c r="AP121">
        <v>0.254</v>
      </c>
      <c r="AQ121">
        <v>0.219</v>
      </c>
      <c r="AR121">
        <v>0.2525</v>
      </c>
      <c r="AS121">
        <v>0.505</v>
      </c>
      <c r="AT121">
        <v>8.3699999999999992</v>
      </c>
      <c r="AU121">
        <v>0.28649999999999998</v>
      </c>
      <c r="AV121">
        <v>0.29149999999999998</v>
      </c>
      <c r="AW121">
        <v>0.1905</v>
      </c>
      <c r="AX121">
        <v>0.2525</v>
      </c>
      <c r="AY121">
        <v>0.2525</v>
      </c>
      <c r="AZ121">
        <v>0.2525</v>
      </c>
      <c r="BA121">
        <v>0.377</v>
      </c>
      <c r="BB121">
        <v>0.19850000000000001</v>
      </c>
      <c r="BC121">
        <v>0.1525</v>
      </c>
      <c r="BD121">
        <v>0.223</v>
      </c>
      <c r="BE121">
        <v>0.2525</v>
      </c>
      <c r="BF121">
        <v>0.2525</v>
      </c>
      <c r="BG121">
        <v>0.36249999999999999</v>
      </c>
      <c r="BH121">
        <v>0.26900000000000002</v>
      </c>
      <c r="BI121">
        <v>0.33500000000000002</v>
      </c>
      <c r="BJ121">
        <v>0.44450000000000001</v>
      </c>
      <c r="BK121">
        <f>SUM(Table1_1[[#This Row],[PFBA]:[diSAmPAP]])</f>
        <v>547.01700000000028</v>
      </c>
      <c r="BL121">
        <f>LOG(Table1_1[[#This Row],[PFBA]])</f>
        <v>-7.8313524516397934E-2</v>
      </c>
      <c r="BM121">
        <f>LOG(Table1_1[[#This Row],[PFPeA]])</f>
        <v>-0.74836177955178806</v>
      </c>
      <c r="BN121">
        <f>LOG(Table1_1[[#This Row],[PFHxA]])</f>
        <v>-0.86486734862322512</v>
      </c>
      <c r="BO121">
        <f>LOG(Table1_1[[#This Row],[PFHpA]])</f>
        <v>-0.47690416174743222</v>
      </c>
      <c r="BP121">
        <f>LOG(Table1_1[[#This Row],[PFOA]])</f>
        <v>-0.11918640771920865</v>
      </c>
      <c r="BQ121">
        <f>LOG(Table1_1[[#This Row],[PFNA]])</f>
        <v>-0.24033215531036956</v>
      </c>
      <c r="BR121">
        <f>LOG(Table1_1[[#This Row],[PFDA]])</f>
        <v>0.14612803567823801</v>
      </c>
      <c r="BS121">
        <f>LOG(Table1_1[[#This Row],[PFUnA]])</f>
        <v>0.5250448070368452</v>
      </c>
      <c r="BT121">
        <f>LOG(Table1_1[[#This Row],[PFDoA]])</f>
        <v>0.78103693862113188</v>
      </c>
      <c r="BU121">
        <f>LOG(Table1_1[[#This Row],[PFTrDA]])</f>
        <v>5.6904851336472557E-2</v>
      </c>
      <c r="BV121">
        <f>LOG(Table1_1[[#This Row],[PFTeDA]])</f>
        <v>0.43775056282038799</v>
      </c>
      <c r="BW121">
        <f>LOG(Table1_1[[#This Row],[PFHxDA]])</f>
        <v>-0.52143350440615666</v>
      </c>
      <c r="BX121">
        <f>LOG(Table1_1[[#This Row],[PFPrS]])</f>
        <v>-0.59773861754531976</v>
      </c>
      <c r="BY121">
        <f>LOG(Table1_1[[#This Row],[PFBS]])</f>
        <v>-0.76447155309245107</v>
      </c>
      <c r="BZ121">
        <f>LOG(Table1_1[[#This Row],[PFPeS]])</f>
        <v>-0.59773861754531976</v>
      </c>
      <c r="CA121">
        <f>LOG(Table1_1[[#This Row],[PFHxS]])</f>
        <v>0.87737134586977406</v>
      </c>
      <c r="CB121">
        <f>LOG(Table1_1[[#This Row],[PFHpS]])</f>
        <v>0.22010808804005508</v>
      </c>
      <c r="CC121">
        <f>LOG(Table1_1[[#This Row],[PFOS]])</f>
        <v>2.6263403673750423</v>
      </c>
      <c r="CD121">
        <f>LOG(Table1_1[[#This Row],[PFNS]])</f>
        <v>-0.32330639037513342</v>
      </c>
      <c r="CE121">
        <f>LOG(Table1_1[[#This Row],[PFDS]])</f>
        <v>-0.16749108729376366</v>
      </c>
      <c r="CF121">
        <f>LOG(Table1_1[[#This Row],[PFDoS]])</f>
        <v>-0.56863623584101264</v>
      </c>
      <c r="CG121">
        <f>LOG(Table1_1[[#This Row],[Cl-PFOS]])</f>
        <v>-0.81389162018679473</v>
      </c>
      <c r="CH121">
        <f>LOG(Table1_1[[#This Row],[PFEtCHxS]])</f>
        <v>-0.59773861754531976</v>
      </c>
      <c r="CI121">
        <f>LOG(Table1_1[[#This Row],[FBSA]])</f>
        <v>0.80140371001735511</v>
      </c>
      <c r="CJ121">
        <f>LOG(Table1_1[[#This Row],[FHxSA]])</f>
        <v>1.8182258936139555</v>
      </c>
      <c r="CK121">
        <f>LOG(Table1_1[[#This Row],[FOSA]])</f>
        <v>0.88366143515361761</v>
      </c>
      <c r="CL121">
        <f>LOG(Table1_1[[#This Row],[N-MeFOSA]])</f>
        <v>-0.59773861754531976</v>
      </c>
      <c r="CM121">
        <f>LOG(Table1_1[[#This Row],[N-EtFOSA]])</f>
        <v>-0.53091470087687953</v>
      </c>
      <c r="CN121">
        <f>LOG(Table1_1[[#This Row],[FOSAA]])</f>
        <v>-0.70114692359029329</v>
      </c>
      <c r="CO121">
        <f>LOG(Table1_1[[#This Row],[N-MeFOSAA]])</f>
        <v>-0.59516628338006194</v>
      </c>
      <c r="CP121">
        <f>LOG(Table1_1[[#This Row],[N-EtFOSAA]])</f>
        <v>-0.65955588515988162</v>
      </c>
      <c r="CQ121">
        <f>LOG(Table1_1[[#This Row],[4:2 FTS]])</f>
        <v>-0.59773861754531976</v>
      </c>
      <c r="CR121">
        <f>LOG(Table1_1[[#This Row],[6:2 FTS]])</f>
        <v>-0.29670862188133862</v>
      </c>
      <c r="CS121">
        <f>LOG(Table1_1[[#This Row],[8:2 FTS]])</f>
        <v>0.92272545799326</v>
      </c>
      <c r="CT121">
        <f>LOG(Table1_1[[#This Row],[10:2 FTS]])</f>
        <v>-0.54287537369659122</v>
      </c>
      <c r="CU121">
        <f>LOG(Table1_1[[#This Row],[3:3 FTCA]])</f>
        <v>-0.53536144090496718</v>
      </c>
      <c r="CV121">
        <f>LOG(Table1_1[[#This Row],[5:3 FTCA]])</f>
        <v>-0.72010501998836185</v>
      </c>
      <c r="CW121">
        <f>LOG(Table1_1[[#This Row],[7:3 FTCA]])</f>
        <v>-0.59773861754531976</v>
      </c>
      <c r="CX121">
        <f>LOG(Table1_1[[#This Row],[6:2 FTCA]])</f>
        <v>-0.59773861754531976</v>
      </c>
      <c r="CY121">
        <f>LOG(Table1_1[[#This Row],[8:2 FTCA]])</f>
        <v>-0.59773861754531976</v>
      </c>
      <c r="CZ121">
        <f>LOG(Table1_1[[#This Row],[10:2 FTCA]])</f>
        <v>-0.42365864979420714</v>
      </c>
      <c r="DA121">
        <f>LOG(Table1_1[[#This Row],[6:2 FTUCA]])</f>
        <v>-0.70223948890086607</v>
      </c>
      <c r="DB121">
        <f>LOG(Table1_1[[#This Row],[8:2 FTUCA]])</f>
        <v>-0.81673015631719537</v>
      </c>
      <c r="DC121">
        <f>LOG(Table1_1[[#This Row],[ADONA]])</f>
        <v>-0.65169513695183934</v>
      </c>
      <c r="DD121">
        <f>LOG(Table1_1[[#This Row],[9Cl-PF3ONS]])</f>
        <v>-0.59773861754531976</v>
      </c>
      <c r="DE121">
        <f>LOG(Table1_1[[#This Row],[11Cl-PF3OUdS]])</f>
        <v>-0.59773861754531976</v>
      </c>
      <c r="DF121">
        <f>LOG(Table1_1[[#This Row],[HFPO-DA]])</f>
        <v>-0.44069198909298751</v>
      </c>
      <c r="DG121">
        <f>LOG(Table1_1[[#This Row],[6:2 diPAP]])</f>
        <v>-0.57024771999759194</v>
      </c>
      <c r="DH121">
        <f>LOG(Table1_1[[#This Row],[8:2 diPAP]])</f>
        <v>-0.47495519296315475</v>
      </c>
      <c r="DI121">
        <f>LOG(Table1_1[[#This Row],[diSAmPAP]])</f>
        <v>-0.35212823469376747</v>
      </c>
    </row>
    <row r="122" spans="1:113">
      <c r="A122" t="s">
        <v>274</v>
      </c>
      <c r="B122" t="s">
        <v>114</v>
      </c>
      <c r="C122" s="3">
        <v>44393</v>
      </c>
      <c r="D122" t="s">
        <v>226</v>
      </c>
      <c r="E122" t="s">
        <v>227</v>
      </c>
      <c r="F122" t="s">
        <v>228</v>
      </c>
      <c r="G122" t="s">
        <v>271</v>
      </c>
      <c r="H122" t="s">
        <v>246</v>
      </c>
      <c r="I122">
        <v>12</v>
      </c>
      <c r="J122">
        <f>LOG(Table1_1[[#This Row],[Length]])</f>
        <v>1.0791812460476249</v>
      </c>
      <c r="K122">
        <v>30.45</v>
      </c>
      <c r="L122">
        <f>LOG(Table1_1[[#This Row],[Weight]])</f>
        <v>1.4835872969688941</v>
      </c>
      <c r="M122">
        <v>0.22800000000000001</v>
      </c>
      <c r="N122">
        <v>4.8849999999999998E-2</v>
      </c>
      <c r="O122">
        <v>0.123</v>
      </c>
      <c r="P122">
        <v>9.1499999999999998E-2</v>
      </c>
      <c r="Q122">
        <v>9.1499999999999998E-2</v>
      </c>
      <c r="R122">
        <v>0.158</v>
      </c>
      <c r="S122">
        <v>0.35199999999999998</v>
      </c>
      <c r="T122">
        <v>0.51800000000000002</v>
      </c>
      <c r="U122">
        <v>1.05</v>
      </c>
      <c r="V122">
        <v>0.14599999999999999</v>
      </c>
      <c r="W122">
        <v>0.41</v>
      </c>
      <c r="X122">
        <v>8.2500000000000004E-2</v>
      </c>
      <c r="Y122">
        <v>6.9000000000000006E-2</v>
      </c>
      <c r="Z122">
        <v>0.54700000000000004</v>
      </c>
      <c r="AA122">
        <v>6.9000000000000006E-2</v>
      </c>
      <c r="AB122">
        <v>2.08</v>
      </c>
      <c r="AC122">
        <v>0.59699999999999998</v>
      </c>
      <c r="AD122">
        <v>93.7</v>
      </c>
      <c r="AE122">
        <v>0.13</v>
      </c>
      <c r="AF122">
        <v>0.187</v>
      </c>
      <c r="AG122">
        <v>7.3999999999999996E-2</v>
      </c>
      <c r="AH122">
        <v>4.2049999999999997E-2</v>
      </c>
      <c r="AI122">
        <v>6.9000000000000006E-2</v>
      </c>
      <c r="AJ122">
        <v>1.32</v>
      </c>
      <c r="AK122">
        <v>21</v>
      </c>
      <c r="AL122">
        <v>2.86</v>
      </c>
      <c r="AM122">
        <v>6.9000000000000006E-2</v>
      </c>
      <c r="AN122">
        <v>8.0500000000000002E-2</v>
      </c>
      <c r="AO122">
        <v>5.45E-2</v>
      </c>
      <c r="AP122">
        <v>6.9500000000000006E-2</v>
      </c>
      <c r="AQ122">
        <v>0.06</v>
      </c>
      <c r="AR122">
        <v>6.9000000000000006E-2</v>
      </c>
      <c r="AS122">
        <v>0.13800000000000001</v>
      </c>
      <c r="AT122">
        <v>0.57299999999999995</v>
      </c>
      <c r="AU122">
        <v>0.25900000000000001</v>
      </c>
      <c r="AV122">
        <v>0.08</v>
      </c>
      <c r="AW122">
        <v>5.1999999999999998E-2</v>
      </c>
      <c r="AX122">
        <v>0.22800000000000001</v>
      </c>
      <c r="AY122">
        <v>6.9000000000000006E-2</v>
      </c>
      <c r="AZ122">
        <v>6.9000000000000006E-2</v>
      </c>
      <c r="BA122">
        <v>0.10299999999999999</v>
      </c>
      <c r="BB122">
        <v>5.45E-2</v>
      </c>
      <c r="BC122">
        <v>4.1799999999999997E-2</v>
      </c>
      <c r="BD122">
        <v>6.0999999999999999E-2</v>
      </c>
      <c r="BE122">
        <v>6.9000000000000006E-2</v>
      </c>
      <c r="BF122">
        <v>6.9000000000000006E-2</v>
      </c>
      <c r="BG122">
        <v>9.9500000000000005E-2</v>
      </c>
      <c r="BH122">
        <v>7.3499999999999996E-2</v>
      </c>
      <c r="BI122">
        <v>9.1499999999999998E-2</v>
      </c>
      <c r="BJ122">
        <v>0.1215</v>
      </c>
      <c r="BK122">
        <f>SUM(Table1_1[[#This Row],[PFBA]:[diSAmPAP]])</f>
        <v>128.69819999999999</v>
      </c>
      <c r="BL122">
        <f>LOG(Table1_1[[#This Row],[PFBA]])</f>
        <v>-0.64206515299954614</v>
      </c>
      <c r="BM122">
        <f>LOG(Table1_1[[#This Row],[PFPeA]])</f>
        <v>-1.3111354319452082</v>
      </c>
      <c r="BN122">
        <f>LOG(Table1_1[[#This Row],[PFHxA]])</f>
        <v>-0.91009488856060206</v>
      </c>
      <c r="BO122">
        <f>LOG(Table1_1[[#This Row],[PFHpA]])</f>
        <v>-1.0385789059335517</v>
      </c>
      <c r="BP122">
        <f>LOG(Table1_1[[#This Row],[PFOA]])</f>
        <v>-1.0385789059335517</v>
      </c>
      <c r="BQ122">
        <f>LOG(Table1_1[[#This Row],[PFNA]])</f>
        <v>-0.80134291304557737</v>
      </c>
      <c r="BR122">
        <f>LOG(Table1_1[[#This Row],[PFDA]])</f>
        <v>-0.45345733652186898</v>
      </c>
      <c r="BS122">
        <f>LOG(Table1_1[[#This Row],[PFUnA]])</f>
        <v>-0.28567024025476695</v>
      </c>
      <c r="BT122">
        <f>LOG(Table1_1[[#This Row],[PFDoA]])</f>
        <v>2.1189299069938092E-2</v>
      </c>
      <c r="BU122">
        <f>LOG(Table1_1[[#This Row],[PFTrDA]])</f>
        <v>-0.83564714421556296</v>
      </c>
      <c r="BV122">
        <f>LOG(Table1_1[[#This Row],[PFTeDA]])</f>
        <v>-0.38721614328026455</v>
      </c>
      <c r="BW122">
        <f>LOG(Table1_1[[#This Row],[PFHxDA]])</f>
        <v>-1.083546051450075</v>
      </c>
      <c r="BX122">
        <f>LOG(Table1_1[[#This Row],[PFPrS]])</f>
        <v>-1.1611509092627446</v>
      </c>
      <c r="BY122">
        <f>LOG(Table1_1[[#This Row],[PFBS]])</f>
        <v>-0.26201267366656922</v>
      </c>
      <c r="BZ122">
        <f>LOG(Table1_1[[#This Row],[PFPeS]])</f>
        <v>-1.1611509092627446</v>
      </c>
      <c r="CA122">
        <f>LOG(Table1_1[[#This Row],[PFHxS]])</f>
        <v>0.31806333496276157</v>
      </c>
      <c r="CB122">
        <f>LOG(Table1_1[[#This Row],[PFHpS]])</f>
        <v>-0.22402566887063094</v>
      </c>
      <c r="CC122">
        <f>LOG(Table1_1[[#This Row],[PFOS]])</f>
        <v>1.9717395908877782</v>
      </c>
      <c r="CD122">
        <f>LOG(Table1_1[[#This Row],[PFNS]])</f>
        <v>-0.88605664769316317</v>
      </c>
      <c r="CE122">
        <f>LOG(Table1_1[[#This Row],[PFDS]])</f>
        <v>-0.72815839346350109</v>
      </c>
      <c r="CF122">
        <f>LOG(Table1_1[[#This Row],[PFDoS]])</f>
        <v>-1.1307682802690238</v>
      </c>
      <c r="CG122">
        <f>LOG(Table1_1[[#This Row],[Cl-PFOS]])</f>
        <v>-1.3762339998660691</v>
      </c>
      <c r="CH122">
        <f>LOG(Table1_1[[#This Row],[PFEtCHxS]])</f>
        <v>-1.1611509092627446</v>
      </c>
      <c r="CI122">
        <f>LOG(Table1_1[[#This Row],[FBSA]])</f>
        <v>0.12057393120584989</v>
      </c>
      <c r="CJ122">
        <f>LOG(Table1_1[[#This Row],[FHxSA]])</f>
        <v>1.3222192947339193</v>
      </c>
      <c r="CK122">
        <f>LOG(Table1_1[[#This Row],[FOSA]])</f>
        <v>0.456366033129043</v>
      </c>
      <c r="CL122">
        <f>LOG(Table1_1[[#This Row],[N-MeFOSA]])</f>
        <v>-1.1611509092627446</v>
      </c>
      <c r="CM122">
        <f>LOG(Table1_1[[#This Row],[N-EtFOSA]])</f>
        <v>-1.0942041196321315</v>
      </c>
      <c r="CN122">
        <f>LOG(Table1_1[[#This Row],[FOSAA]])</f>
        <v>-1.2636034977233577</v>
      </c>
      <c r="CO122">
        <f>LOG(Table1_1[[#This Row],[N-MeFOSAA]])</f>
        <v>-1.1580151954098861</v>
      </c>
      <c r="CP122">
        <f>LOG(Table1_1[[#This Row],[N-EtFOSAA]])</f>
        <v>-1.2218487496163564</v>
      </c>
      <c r="CQ122">
        <f>LOG(Table1_1[[#This Row],[4:2 FTS]])</f>
        <v>-1.1611509092627446</v>
      </c>
      <c r="CR122">
        <f>LOG(Table1_1[[#This Row],[6:2 FTS]])</f>
        <v>-0.86012091359876341</v>
      </c>
      <c r="CS122">
        <f>LOG(Table1_1[[#This Row],[8:2 FTS]])</f>
        <v>-0.24184537803261005</v>
      </c>
      <c r="CT122">
        <f>LOG(Table1_1[[#This Row],[10:2 FTS]])</f>
        <v>-0.5867002359187482</v>
      </c>
      <c r="CU122">
        <f>LOG(Table1_1[[#This Row],[3:3 FTCA]])</f>
        <v>-1.0969100130080565</v>
      </c>
      <c r="CV122">
        <f>LOG(Table1_1[[#This Row],[5:3 FTCA]])</f>
        <v>-1.2839966563652008</v>
      </c>
      <c r="CW122">
        <f>LOG(Table1_1[[#This Row],[7:3 FTCA]])</f>
        <v>-0.64206515299954614</v>
      </c>
      <c r="CX122">
        <f>LOG(Table1_1[[#This Row],[6:2 FTCA]])</f>
        <v>-1.1611509092627446</v>
      </c>
      <c r="CY122">
        <f>LOG(Table1_1[[#This Row],[8:2 FTCA]])</f>
        <v>-1.1611509092627446</v>
      </c>
      <c r="CZ122">
        <f>LOG(Table1_1[[#This Row],[10:2 FTCA]])</f>
        <v>-0.98716277529482777</v>
      </c>
      <c r="DA122">
        <f>LOG(Table1_1[[#This Row],[6:2 FTUCA]])</f>
        <v>-1.2636034977233577</v>
      </c>
      <c r="DB122">
        <f>LOG(Table1_1[[#This Row],[8:2 FTUCA]])</f>
        <v>-1.3788237182249647</v>
      </c>
      <c r="DC122">
        <f>LOG(Table1_1[[#This Row],[ADONA]])</f>
        <v>-1.2146701649892331</v>
      </c>
      <c r="DD122">
        <f>LOG(Table1_1[[#This Row],[9Cl-PF3ONS]])</f>
        <v>-1.1611509092627446</v>
      </c>
      <c r="DE122">
        <f>LOG(Table1_1[[#This Row],[11Cl-PF3OUdS]])</f>
        <v>-1.1611509092627446</v>
      </c>
      <c r="DF122">
        <f>LOG(Table1_1[[#This Row],[HFPO-DA]])</f>
        <v>-1.0021769192542744</v>
      </c>
      <c r="DG122">
        <f>LOG(Table1_1[[#This Row],[6:2 diPAP]])</f>
        <v>-1.133712660915805</v>
      </c>
      <c r="DH122">
        <f>LOG(Table1_1[[#This Row],[8:2 diPAP]])</f>
        <v>-1.0385789059335517</v>
      </c>
      <c r="DI122">
        <f>LOG(Table1_1[[#This Row],[diSAmPAP]])</f>
        <v>-0.91542372206566902</v>
      </c>
    </row>
    <row r="123" spans="1:113">
      <c r="A123" t="s">
        <v>275</v>
      </c>
      <c r="B123" t="s">
        <v>114</v>
      </c>
      <c r="C123" s="3">
        <v>44393</v>
      </c>
      <c r="D123" t="s">
        <v>226</v>
      </c>
      <c r="E123" t="s">
        <v>227</v>
      </c>
      <c r="F123" t="s">
        <v>228</v>
      </c>
      <c r="G123" t="s">
        <v>118</v>
      </c>
      <c r="H123" t="s">
        <v>119</v>
      </c>
      <c r="I123">
        <v>9</v>
      </c>
      <c r="J123">
        <f>LOG(Table1_1[[#This Row],[Length]])</f>
        <v>0.95424250943932487</v>
      </c>
      <c r="K123">
        <v>10.43</v>
      </c>
      <c r="L123">
        <f>LOG(Table1_1[[#This Row],[Weight]])</f>
        <v>1.0182843084265309</v>
      </c>
      <c r="M123">
        <v>8.1500000000000003E-2</v>
      </c>
      <c r="N123">
        <v>0.19</v>
      </c>
      <c r="O123">
        <v>0.14499999999999999</v>
      </c>
      <c r="P123">
        <v>0.1075</v>
      </c>
      <c r="Q123">
        <v>0.38500000000000001</v>
      </c>
      <c r="R123">
        <v>0.186</v>
      </c>
      <c r="S123">
        <v>4.9800000000000004</v>
      </c>
      <c r="T123">
        <v>8.3000000000000007</v>
      </c>
      <c r="U123">
        <v>9.82</v>
      </c>
      <c r="V123">
        <v>3.44</v>
      </c>
      <c r="W123">
        <v>7.88</v>
      </c>
      <c r="X123">
        <v>9.7000000000000003E-2</v>
      </c>
      <c r="Y123">
        <v>8.1500000000000003E-2</v>
      </c>
      <c r="Z123">
        <v>0.183</v>
      </c>
      <c r="AA123">
        <v>8.1500000000000003E-2</v>
      </c>
      <c r="AB123">
        <v>7.38</v>
      </c>
      <c r="AC123">
        <v>1.27</v>
      </c>
      <c r="AD123">
        <v>830</v>
      </c>
      <c r="AE123">
        <v>3.23</v>
      </c>
      <c r="AF123">
        <v>2.83</v>
      </c>
      <c r="AG123">
        <v>0.94499999999999995</v>
      </c>
      <c r="AH123">
        <v>0.16300000000000001</v>
      </c>
      <c r="AI123">
        <v>0.26850000000000002</v>
      </c>
      <c r="AJ123">
        <v>48.4</v>
      </c>
      <c r="AK123">
        <v>58.6</v>
      </c>
      <c r="AL123">
        <v>10.199999999999999</v>
      </c>
      <c r="AM123">
        <v>8.1500000000000003E-2</v>
      </c>
      <c r="AN123">
        <v>9.5000000000000001E-2</v>
      </c>
      <c r="AO123">
        <v>6.4000000000000001E-2</v>
      </c>
      <c r="AP123">
        <v>8.2000000000000003E-2</v>
      </c>
      <c r="AQ123">
        <v>7.0499999999999993E-2</v>
      </c>
      <c r="AR123">
        <v>8.1500000000000003E-2</v>
      </c>
      <c r="AS123">
        <v>0.16200000000000001</v>
      </c>
      <c r="AT123">
        <v>4.74</v>
      </c>
      <c r="AU123">
        <v>0.30499999999999999</v>
      </c>
      <c r="AV123">
        <v>9.4E-2</v>
      </c>
      <c r="AW123">
        <v>4.04</v>
      </c>
      <c r="AX123">
        <v>7.9</v>
      </c>
      <c r="AY123">
        <v>8.1500000000000003E-2</v>
      </c>
      <c r="AZ123">
        <v>8.1500000000000003E-2</v>
      </c>
      <c r="BA123">
        <v>0.1215</v>
      </c>
      <c r="BB123">
        <v>6.4000000000000001E-2</v>
      </c>
      <c r="BC123">
        <v>4.9200000000000001E-2</v>
      </c>
      <c r="BD123">
        <v>7.1999999999999995E-2</v>
      </c>
      <c r="BE123">
        <v>8.1500000000000003E-2</v>
      </c>
      <c r="BF123">
        <v>8.1500000000000003E-2</v>
      </c>
      <c r="BG123">
        <v>0.11700000000000001</v>
      </c>
      <c r="BH123">
        <v>8.6499999999999994E-2</v>
      </c>
      <c r="BI123">
        <v>0.108</v>
      </c>
      <c r="BJ123">
        <v>0.14349999999999999</v>
      </c>
      <c r="BK123">
        <f>SUM(Table1_1[[#This Row],[PFBA]:[diSAmPAP]])</f>
        <v>1018.0477000000001</v>
      </c>
      <c r="BL123">
        <f>LOG(Table1_1[[#This Row],[PFBA]])</f>
        <v>-1.0888423912600234</v>
      </c>
      <c r="BM123">
        <f>LOG(Table1_1[[#This Row],[PFPeA]])</f>
        <v>-0.72124639904717103</v>
      </c>
      <c r="BN123">
        <f>LOG(Table1_1[[#This Row],[PFHxA]])</f>
        <v>-0.83863199776502517</v>
      </c>
      <c r="BO123">
        <f>LOG(Table1_1[[#This Row],[PFHpA]])</f>
        <v>-0.96859153574837586</v>
      </c>
      <c r="BP123">
        <f>LOG(Table1_1[[#This Row],[PFOA]])</f>
        <v>-0.4145392704914993</v>
      </c>
      <c r="BQ123">
        <f>LOG(Table1_1[[#This Row],[PFNA]])</f>
        <v>-0.73048705578208373</v>
      </c>
      <c r="BR123">
        <f>LOG(Table1_1[[#This Row],[PFDA]])</f>
        <v>0.6972293427597176</v>
      </c>
      <c r="BS123">
        <f>LOG(Table1_1[[#This Row],[PFUnA]])</f>
        <v>0.91907809237607396</v>
      </c>
      <c r="BT123">
        <f>LOG(Table1_1[[#This Row],[PFDoA]])</f>
        <v>0.99211148778694969</v>
      </c>
      <c r="BU123">
        <f>LOG(Table1_1[[#This Row],[PFTrDA]])</f>
        <v>0.53655844257153007</v>
      </c>
      <c r="BV123">
        <f>LOG(Table1_1[[#This Row],[PFTeDA]])</f>
        <v>0.8965262174895553</v>
      </c>
      <c r="BW123">
        <f>LOG(Table1_1[[#This Row],[PFHxDA]])</f>
        <v>-1.0132282657337552</v>
      </c>
      <c r="BX123">
        <f>LOG(Table1_1[[#This Row],[PFPrS]])</f>
        <v>-1.0888423912600234</v>
      </c>
      <c r="BY123">
        <f>LOG(Table1_1[[#This Row],[PFBS]])</f>
        <v>-0.73754891026957059</v>
      </c>
      <c r="BZ123">
        <f>LOG(Table1_1[[#This Row],[PFPeS]])</f>
        <v>-1.0888423912600234</v>
      </c>
      <c r="CA123">
        <f>LOG(Table1_1[[#This Row],[PFHxS]])</f>
        <v>0.86805636182304158</v>
      </c>
      <c r="CB123">
        <f>LOG(Table1_1[[#This Row],[PFHpS]])</f>
        <v>0.10380372095595687</v>
      </c>
      <c r="CC123">
        <f>LOG(Table1_1[[#This Row],[PFOS]])</f>
        <v>2.9190780923760737</v>
      </c>
      <c r="CD123">
        <f>LOG(Table1_1[[#This Row],[PFNS]])</f>
        <v>0.50920252233110286</v>
      </c>
      <c r="CE123">
        <f>LOG(Table1_1[[#This Row],[PFDS]])</f>
        <v>0.45178643552429026</v>
      </c>
      <c r="CF123">
        <f>LOG(Table1_1[[#This Row],[PFDoS]])</f>
        <v>-2.4568191490737076E-2</v>
      </c>
      <c r="CG123">
        <f>LOG(Table1_1[[#This Row],[Cl-PFOS]])</f>
        <v>-0.78781239559604221</v>
      </c>
      <c r="CH123">
        <f>LOG(Table1_1[[#This Row],[PFEtCHxS]])</f>
        <v>-0.57105570996442556</v>
      </c>
      <c r="CI123">
        <f>LOG(Table1_1[[#This Row],[FBSA]])</f>
        <v>1.6848453616444126</v>
      </c>
      <c r="CJ123">
        <f>LOG(Table1_1[[#This Row],[FHxSA]])</f>
        <v>1.7678976160180906</v>
      </c>
      <c r="CK123">
        <f>LOG(Table1_1[[#This Row],[FOSA]])</f>
        <v>1.0086001717619175</v>
      </c>
      <c r="CL123">
        <f>LOG(Table1_1[[#This Row],[N-MeFOSA]])</f>
        <v>-1.0888423912600234</v>
      </c>
      <c r="CM123">
        <f>LOG(Table1_1[[#This Row],[N-EtFOSA]])</f>
        <v>-1.0222763947111522</v>
      </c>
      <c r="CN123">
        <f>LOG(Table1_1[[#This Row],[FOSAA]])</f>
        <v>-1.1938200260161129</v>
      </c>
      <c r="CO123">
        <f>LOG(Table1_1[[#This Row],[N-MeFOSAA]])</f>
        <v>-1.0861861476162833</v>
      </c>
      <c r="CP123">
        <f>LOG(Table1_1[[#This Row],[N-EtFOSAA]])</f>
        <v>-1.1518108830086013</v>
      </c>
      <c r="CQ123">
        <f>LOG(Table1_1[[#This Row],[4:2 FTS]])</f>
        <v>-1.0888423912600234</v>
      </c>
      <c r="CR123">
        <f>LOG(Table1_1[[#This Row],[6:2 FTS]])</f>
        <v>-0.790484985457369</v>
      </c>
      <c r="CS123">
        <f>LOG(Table1_1[[#This Row],[8:2 FTS]])</f>
        <v>0.67577834167408513</v>
      </c>
      <c r="CT123">
        <f>LOG(Table1_1[[#This Row],[10:2 FTS]])</f>
        <v>-0.51570016065321422</v>
      </c>
      <c r="CU123">
        <f>LOG(Table1_1[[#This Row],[3:3 FTCA]])</f>
        <v>-1.0268721464003014</v>
      </c>
      <c r="CV123">
        <f>LOG(Table1_1[[#This Row],[5:3 FTCA]])</f>
        <v>0.60638136511060492</v>
      </c>
      <c r="CW123">
        <f>LOG(Table1_1[[#This Row],[7:3 FTCA]])</f>
        <v>0.89762709129044149</v>
      </c>
      <c r="CX123">
        <f>LOG(Table1_1[[#This Row],[6:2 FTCA]])</f>
        <v>-1.0888423912600234</v>
      </c>
      <c r="CY123">
        <f>LOG(Table1_1[[#This Row],[8:2 FTCA]])</f>
        <v>-1.0888423912600234</v>
      </c>
      <c r="CZ123">
        <f>LOG(Table1_1[[#This Row],[10:2 FTCA]])</f>
        <v>-0.91542372206566902</v>
      </c>
      <c r="DA123">
        <f>LOG(Table1_1[[#This Row],[6:2 FTUCA]])</f>
        <v>-1.1938200260161129</v>
      </c>
      <c r="DB123">
        <f>LOG(Table1_1[[#This Row],[8:2 FTUCA]])</f>
        <v>-1.3080348972326397</v>
      </c>
      <c r="DC123">
        <f>LOG(Table1_1[[#This Row],[ADONA]])</f>
        <v>-1.1426675035687315</v>
      </c>
      <c r="DD123">
        <f>LOG(Table1_1[[#This Row],[9Cl-PF3ONS]])</f>
        <v>-1.0888423912600234</v>
      </c>
      <c r="DE123">
        <f>LOG(Table1_1[[#This Row],[11Cl-PF3OUdS]])</f>
        <v>-1.0888423912600234</v>
      </c>
      <c r="DF123">
        <f>LOG(Table1_1[[#This Row],[HFPO-DA]])</f>
        <v>-0.9318141382538383</v>
      </c>
      <c r="DG123">
        <f>LOG(Table1_1[[#This Row],[6:2 diPAP]])</f>
        <v>-1.0629838925351858</v>
      </c>
      <c r="DH123">
        <f>LOG(Table1_1[[#This Row],[8:2 diPAP]])</f>
        <v>-0.96657624451305035</v>
      </c>
      <c r="DI123">
        <f>LOG(Table1_1[[#This Row],[diSAmPAP]])</f>
        <v>-0.84314809892998888</v>
      </c>
    </row>
    <row r="124" spans="1:113">
      <c r="A124" t="s">
        <v>276</v>
      </c>
      <c r="B124" t="s">
        <v>114</v>
      </c>
      <c r="C124" s="3">
        <v>44393</v>
      </c>
      <c r="D124" t="s">
        <v>226</v>
      </c>
      <c r="E124" t="s">
        <v>227</v>
      </c>
      <c r="F124" t="s">
        <v>228</v>
      </c>
      <c r="G124" t="s">
        <v>118</v>
      </c>
      <c r="H124" t="s">
        <v>119</v>
      </c>
      <c r="I124">
        <v>8</v>
      </c>
      <c r="J124">
        <f>LOG(Table1_1[[#This Row],[Length]])</f>
        <v>0.90308998699194354</v>
      </c>
      <c r="K124">
        <v>7.72</v>
      </c>
      <c r="L124">
        <f>LOG(Table1_1[[#This Row],[Weight]])</f>
        <v>0.88761730033573616</v>
      </c>
      <c r="M124">
        <v>0.24249999999999999</v>
      </c>
      <c r="N124">
        <v>5.1999999999999998E-2</v>
      </c>
      <c r="O124">
        <v>0.13100000000000001</v>
      </c>
      <c r="P124">
        <v>9.7000000000000003E-2</v>
      </c>
      <c r="Q124">
        <v>0.88400000000000001</v>
      </c>
      <c r="R124">
        <v>0.16800000000000001</v>
      </c>
      <c r="S124">
        <v>3.73</v>
      </c>
      <c r="T124">
        <v>8.86</v>
      </c>
      <c r="U124">
        <v>16.5</v>
      </c>
      <c r="V124">
        <v>5.28</v>
      </c>
      <c r="W124">
        <v>10.4</v>
      </c>
      <c r="X124">
        <v>0.28899999999999998</v>
      </c>
      <c r="Y124">
        <v>7.3499999999999996E-2</v>
      </c>
      <c r="Z124">
        <v>0.16500000000000001</v>
      </c>
      <c r="AA124">
        <v>0.24249999999999999</v>
      </c>
      <c r="AB124">
        <v>15.7</v>
      </c>
      <c r="AC124">
        <v>2.1800000000000002</v>
      </c>
      <c r="AD124">
        <v>769</v>
      </c>
      <c r="AE124">
        <v>4.04</v>
      </c>
      <c r="AF124">
        <v>3.81</v>
      </c>
      <c r="AG124">
        <v>0.80300000000000005</v>
      </c>
      <c r="AH124">
        <v>0.14749999999999999</v>
      </c>
      <c r="AI124">
        <v>0.24249999999999999</v>
      </c>
      <c r="AJ124">
        <v>16.899999999999999</v>
      </c>
      <c r="AK124">
        <v>54.7</v>
      </c>
      <c r="AL124">
        <v>11.5</v>
      </c>
      <c r="AM124">
        <v>7.3499999999999996E-2</v>
      </c>
      <c r="AN124">
        <v>8.5999999999999993E-2</v>
      </c>
      <c r="AO124">
        <v>5.8000000000000003E-2</v>
      </c>
      <c r="AP124">
        <v>7.3999999999999996E-2</v>
      </c>
      <c r="AQ124">
        <v>6.4000000000000001E-2</v>
      </c>
      <c r="AR124">
        <v>7.3499999999999996E-2</v>
      </c>
      <c r="AS124">
        <v>0.311</v>
      </c>
      <c r="AT124">
        <v>2.15</v>
      </c>
      <c r="AU124">
        <v>0.27550000000000002</v>
      </c>
      <c r="AV124">
        <v>8.5000000000000006E-2</v>
      </c>
      <c r="AW124">
        <v>0.183</v>
      </c>
      <c r="AX124">
        <v>1.79</v>
      </c>
      <c r="AY124">
        <v>0.24249999999999999</v>
      </c>
      <c r="AZ124">
        <v>7.3499999999999996E-2</v>
      </c>
      <c r="BA124">
        <v>0.1095</v>
      </c>
      <c r="BB124">
        <v>5.7500000000000002E-2</v>
      </c>
      <c r="BC124">
        <v>4.4450000000000003E-2</v>
      </c>
      <c r="BD124">
        <v>6.5000000000000002E-2</v>
      </c>
      <c r="BE124">
        <v>7.3499999999999996E-2</v>
      </c>
      <c r="BF124">
        <v>7.3499999999999996E-2</v>
      </c>
      <c r="BG124">
        <v>0.1055</v>
      </c>
      <c r="BH124">
        <v>7.85E-2</v>
      </c>
      <c r="BI124">
        <v>9.7500000000000003E-2</v>
      </c>
      <c r="BJ124">
        <v>0.1295</v>
      </c>
      <c r="BK124">
        <f>SUM(Table1_1[[#This Row],[PFBA]:[diSAmPAP]])</f>
        <v>932.51144999999963</v>
      </c>
      <c r="BL124">
        <f>LOG(Table1_1[[#This Row],[PFBA]])</f>
        <v>-0.61528825706171753</v>
      </c>
      <c r="BM124">
        <f>LOG(Table1_1[[#This Row],[PFPeA]])</f>
        <v>-1.2839966563652008</v>
      </c>
      <c r="BN124">
        <f>LOG(Table1_1[[#This Row],[PFHxA]])</f>
        <v>-0.88272870434423567</v>
      </c>
      <c r="BO124">
        <f>LOG(Table1_1[[#This Row],[PFHpA]])</f>
        <v>-1.0132282657337552</v>
      </c>
      <c r="BP124">
        <f>LOG(Table1_1[[#This Row],[PFOA]])</f>
        <v>-5.3547734986926908E-2</v>
      </c>
      <c r="BQ124">
        <f>LOG(Table1_1[[#This Row],[PFNA]])</f>
        <v>-0.77469071827413716</v>
      </c>
      <c r="BR124">
        <f>LOG(Table1_1[[#This Row],[PFDA]])</f>
        <v>0.57170883180868759</v>
      </c>
      <c r="BS124">
        <f>LOG(Table1_1[[#This Row],[PFUnA]])</f>
        <v>0.94743372188705077</v>
      </c>
      <c r="BT124">
        <f>LOG(Table1_1[[#This Row],[PFDoA]])</f>
        <v>1.2174839442139063</v>
      </c>
      <c r="BU124">
        <f>LOG(Table1_1[[#This Row],[PFTrDA]])</f>
        <v>0.72263392253381231</v>
      </c>
      <c r="BV124">
        <f>LOG(Table1_1[[#This Row],[PFTeDA]])</f>
        <v>1.0170333392987803</v>
      </c>
      <c r="BW124">
        <f>LOG(Table1_1[[#This Row],[PFHxDA]])</f>
        <v>-0.53910215724345223</v>
      </c>
      <c r="BX124">
        <f>LOG(Table1_1[[#This Row],[PFPrS]])</f>
        <v>-1.133712660915805</v>
      </c>
      <c r="BY124">
        <f>LOG(Table1_1[[#This Row],[PFBS]])</f>
        <v>-0.78251605578609373</v>
      </c>
      <c r="BZ124">
        <f>LOG(Table1_1[[#This Row],[PFPeS]])</f>
        <v>-0.61528825706171753</v>
      </c>
      <c r="CA124">
        <f>LOG(Table1_1[[#This Row],[PFHxS]])</f>
        <v>1.1958996524092338</v>
      </c>
      <c r="CB124">
        <f>LOG(Table1_1[[#This Row],[PFHpS]])</f>
        <v>0.33845649360460484</v>
      </c>
      <c r="CC124">
        <f>LOG(Table1_1[[#This Row],[PFOS]])</f>
        <v>2.885926339801431</v>
      </c>
      <c r="CD124">
        <f>LOG(Table1_1[[#This Row],[PFNS]])</f>
        <v>0.60638136511060492</v>
      </c>
      <c r="CE124">
        <f>LOG(Table1_1[[#This Row],[PFDS]])</f>
        <v>0.58092497567561929</v>
      </c>
      <c r="CF124">
        <f>LOG(Table1_1[[#This Row],[PFDoS]])</f>
        <v>-9.5284454721319037E-2</v>
      </c>
      <c r="CG124">
        <f>LOG(Table1_1[[#This Row],[Cl-PFOS]])</f>
        <v>-0.83120797968581828</v>
      </c>
      <c r="CH124">
        <f>LOG(Table1_1[[#This Row],[PFEtCHxS]])</f>
        <v>-0.61528825706171753</v>
      </c>
      <c r="CI124">
        <f>LOG(Table1_1[[#This Row],[FBSA]])</f>
        <v>1.2278867046136734</v>
      </c>
      <c r="CJ124">
        <f>LOG(Table1_1[[#This Row],[FHxSA]])</f>
        <v>1.7379873263334309</v>
      </c>
      <c r="CK124">
        <f>LOG(Table1_1[[#This Row],[FOSA]])</f>
        <v>1.0606978403536116</v>
      </c>
      <c r="CL124">
        <f>LOG(Table1_1[[#This Row],[N-MeFOSA]])</f>
        <v>-1.133712660915805</v>
      </c>
      <c r="CM124">
        <f>LOG(Table1_1[[#This Row],[N-EtFOSA]])</f>
        <v>-1.0655015487564323</v>
      </c>
      <c r="CN124">
        <f>LOG(Table1_1[[#This Row],[FOSAA]])</f>
        <v>-1.2365720064370627</v>
      </c>
      <c r="CO124">
        <f>LOG(Table1_1[[#This Row],[N-MeFOSAA]])</f>
        <v>-1.1307682802690238</v>
      </c>
      <c r="CP124">
        <f>LOG(Table1_1[[#This Row],[N-EtFOSAA]])</f>
        <v>-1.1938200260161129</v>
      </c>
      <c r="CQ124">
        <f>LOG(Table1_1[[#This Row],[4:2 FTS]])</f>
        <v>-1.133712660915805</v>
      </c>
      <c r="CR124">
        <f>LOG(Table1_1[[#This Row],[6:2 FTS]])</f>
        <v>-0.5072396109731625</v>
      </c>
      <c r="CS124">
        <f>LOG(Table1_1[[#This Row],[8:2 FTS]])</f>
        <v>0.33243845991560533</v>
      </c>
      <c r="CT124">
        <f>LOG(Table1_1[[#This Row],[10:2 FTS]])</f>
        <v>-0.55987839681219609</v>
      </c>
      <c r="CU124">
        <f>LOG(Table1_1[[#This Row],[3:3 FTCA]])</f>
        <v>-1.0705810742857071</v>
      </c>
      <c r="CV124">
        <f>LOG(Table1_1[[#This Row],[5:3 FTCA]])</f>
        <v>-0.73754891026957059</v>
      </c>
      <c r="CW124">
        <f>LOG(Table1_1[[#This Row],[7:3 FTCA]])</f>
        <v>0.2528530309798932</v>
      </c>
      <c r="CX124">
        <f>LOG(Table1_1[[#This Row],[6:2 FTCA]])</f>
        <v>-0.61528825706171753</v>
      </c>
      <c r="CY124">
        <f>LOG(Table1_1[[#This Row],[8:2 FTCA]])</f>
        <v>-1.133712660915805</v>
      </c>
      <c r="CZ124">
        <f>LOG(Table1_1[[#This Row],[10:2 FTCA]])</f>
        <v>-0.96058588082386287</v>
      </c>
      <c r="DA124">
        <f>LOG(Table1_1[[#This Row],[6:2 FTUCA]])</f>
        <v>-1.2403321553103694</v>
      </c>
      <c r="DB124">
        <f>LOG(Table1_1[[#This Row],[8:2 FTUCA]])</f>
        <v>-1.3521282346937675</v>
      </c>
      <c r="DC124">
        <f>LOG(Table1_1[[#This Row],[ADONA]])</f>
        <v>-1.1870866433571443</v>
      </c>
      <c r="DD124">
        <f>LOG(Table1_1[[#This Row],[9Cl-PF3ONS]])</f>
        <v>-1.133712660915805</v>
      </c>
      <c r="DE124">
        <f>LOG(Table1_1[[#This Row],[11Cl-PF3OUdS]])</f>
        <v>-1.133712660915805</v>
      </c>
      <c r="DF124">
        <f>LOG(Table1_1[[#This Row],[HFPO-DA]])</f>
        <v>-0.97674754036628852</v>
      </c>
      <c r="DG124">
        <f>LOG(Table1_1[[#This Row],[6:2 diPAP]])</f>
        <v>-1.1051303432547475</v>
      </c>
      <c r="DH124">
        <f>LOG(Table1_1[[#This Row],[8:2 diPAP]])</f>
        <v>-1.0109953843014632</v>
      </c>
      <c r="DI124">
        <f>LOG(Table1_1[[#This Row],[diSAmPAP]])</f>
        <v>-0.88773023158272935</v>
      </c>
    </row>
    <row r="125" spans="1:113">
      <c r="A125" t="s">
        <v>277</v>
      </c>
      <c r="B125" t="s">
        <v>114</v>
      </c>
      <c r="C125" s="3">
        <v>44393</v>
      </c>
      <c r="D125" t="s">
        <v>226</v>
      </c>
      <c r="E125" t="s">
        <v>227</v>
      </c>
      <c r="F125" t="s">
        <v>228</v>
      </c>
      <c r="G125" t="s">
        <v>118</v>
      </c>
      <c r="H125" t="s">
        <v>119</v>
      </c>
      <c r="I125">
        <v>8</v>
      </c>
      <c r="J125">
        <f>LOG(Table1_1[[#This Row],[Length]])</f>
        <v>0.90308998699194354</v>
      </c>
      <c r="K125">
        <v>8.65</v>
      </c>
      <c r="L125">
        <f>LOG(Table1_1[[#This Row],[Weight]])</f>
        <v>0.93701610746481423</v>
      </c>
      <c r="M125">
        <v>0.222</v>
      </c>
      <c r="N125">
        <v>0.157</v>
      </c>
      <c r="O125">
        <v>0.12</v>
      </c>
      <c r="P125">
        <v>0.26200000000000001</v>
      </c>
      <c r="Q125">
        <v>3.58</v>
      </c>
      <c r="R125">
        <v>3.99</v>
      </c>
      <c r="S125">
        <v>7.7</v>
      </c>
      <c r="T125">
        <v>9.17</v>
      </c>
      <c r="U125">
        <v>8.06</v>
      </c>
      <c r="V125">
        <v>2.38</v>
      </c>
      <c r="W125">
        <v>7.61</v>
      </c>
      <c r="X125">
        <v>0.08</v>
      </c>
      <c r="Y125">
        <v>6.7500000000000004E-2</v>
      </c>
      <c r="Z125">
        <v>0.151</v>
      </c>
      <c r="AA125">
        <v>0.222</v>
      </c>
      <c r="AB125">
        <v>30.4</v>
      </c>
      <c r="AC125">
        <v>3.4</v>
      </c>
      <c r="AD125">
        <v>688</v>
      </c>
      <c r="AE125">
        <v>2.12</v>
      </c>
      <c r="AF125">
        <v>1.63</v>
      </c>
      <c r="AG125">
        <v>0.23749999999999999</v>
      </c>
      <c r="AH125">
        <v>0.13500000000000001</v>
      </c>
      <c r="AI125">
        <v>0.222</v>
      </c>
      <c r="AJ125">
        <v>35.799999999999997</v>
      </c>
      <c r="AK125">
        <v>114</v>
      </c>
      <c r="AL125">
        <v>16.3</v>
      </c>
      <c r="AM125">
        <v>6.7500000000000004E-2</v>
      </c>
      <c r="AN125">
        <v>7.85E-2</v>
      </c>
      <c r="AO125">
        <v>5.2999999999999999E-2</v>
      </c>
      <c r="AP125">
        <v>6.7500000000000004E-2</v>
      </c>
      <c r="AQ125">
        <v>5.8500000000000003E-2</v>
      </c>
      <c r="AR125">
        <v>6.7500000000000004E-2</v>
      </c>
      <c r="AS125">
        <v>0.46300000000000002</v>
      </c>
      <c r="AT125">
        <v>10.5</v>
      </c>
      <c r="AU125">
        <v>0.252</v>
      </c>
      <c r="AV125">
        <v>7.7499999999999999E-2</v>
      </c>
      <c r="AW125">
        <v>0.74199999999999999</v>
      </c>
      <c r="AX125">
        <v>3.15</v>
      </c>
      <c r="AY125">
        <v>6.7500000000000004E-2</v>
      </c>
      <c r="AZ125">
        <v>6.7500000000000004E-2</v>
      </c>
      <c r="BA125">
        <v>0.10050000000000001</v>
      </c>
      <c r="BB125">
        <v>5.2999999999999999E-2</v>
      </c>
      <c r="BC125">
        <v>4.0649999999999999E-2</v>
      </c>
      <c r="BD125">
        <v>0.19600000000000001</v>
      </c>
      <c r="BE125">
        <v>6.7500000000000004E-2</v>
      </c>
      <c r="BF125">
        <v>6.7500000000000004E-2</v>
      </c>
      <c r="BG125">
        <v>9.6500000000000002E-2</v>
      </c>
      <c r="BH125">
        <v>7.1499999999999994E-2</v>
      </c>
      <c r="BI125">
        <v>8.8999999999999996E-2</v>
      </c>
      <c r="BJ125">
        <v>0.11849999999999999</v>
      </c>
      <c r="BK125">
        <f>SUM(Table1_1[[#This Row],[PFBA]:[diSAmPAP]])</f>
        <v>952.62864999999977</v>
      </c>
      <c r="BL125">
        <f>LOG(Table1_1[[#This Row],[PFBA]])</f>
        <v>-0.65364702554936138</v>
      </c>
      <c r="BM125">
        <f>LOG(Table1_1[[#This Row],[PFPeA]])</f>
        <v>-0.80410034759076621</v>
      </c>
      <c r="BN125">
        <f>LOG(Table1_1[[#This Row],[PFHxA]])</f>
        <v>-0.92081875395237522</v>
      </c>
      <c r="BO125">
        <f>LOG(Table1_1[[#This Row],[PFHpA]])</f>
        <v>-0.58169870868025453</v>
      </c>
      <c r="BP125">
        <f>LOG(Table1_1[[#This Row],[PFOA]])</f>
        <v>0.55388302664387434</v>
      </c>
      <c r="BQ125">
        <f>LOG(Table1_1[[#This Row],[PFNA]])</f>
        <v>0.60097289568674828</v>
      </c>
      <c r="BR125">
        <f>LOG(Table1_1[[#This Row],[PFDA]])</f>
        <v>0.88649072517248184</v>
      </c>
      <c r="BS125">
        <f>LOG(Table1_1[[#This Row],[PFUnA]])</f>
        <v>0.96236933567002114</v>
      </c>
      <c r="BT125">
        <f>LOG(Table1_1[[#This Row],[PFDoA]])</f>
        <v>0.90633504180509072</v>
      </c>
      <c r="BU125">
        <f>LOG(Table1_1[[#This Row],[PFTrDA]])</f>
        <v>0.37657695705651195</v>
      </c>
      <c r="BV125">
        <f>LOG(Table1_1[[#This Row],[PFTeDA]])</f>
        <v>0.88138465677057287</v>
      </c>
      <c r="BW125">
        <f>LOG(Table1_1[[#This Row],[PFHxDA]])</f>
        <v>-1.0969100130080565</v>
      </c>
      <c r="BX125">
        <f>LOG(Table1_1[[#This Row],[PFPrS]])</f>
        <v>-1.1706962271689751</v>
      </c>
      <c r="BY125">
        <f>LOG(Table1_1[[#This Row],[PFBS]])</f>
        <v>-0.82102305270683062</v>
      </c>
      <c r="BZ125">
        <f>LOG(Table1_1[[#This Row],[PFPeS]])</f>
        <v>-0.65364702554936138</v>
      </c>
      <c r="CA125">
        <f>LOG(Table1_1[[#This Row],[PFHxS]])</f>
        <v>1.4828735836087537</v>
      </c>
      <c r="CB125">
        <f>LOG(Table1_1[[#This Row],[PFHpS]])</f>
        <v>0.53147891704225514</v>
      </c>
      <c r="CC125">
        <f>LOG(Table1_1[[#This Row],[PFOS]])</f>
        <v>2.8375884382355112</v>
      </c>
      <c r="CD125">
        <f>LOG(Table1_1[[#This Row],[PFNS]])</f>
        <v>0.32633586092875144</v>
      </c>
      <c r="CE125">
        <f>LOG(Table1_1[[#This Row],[PFDS]])</f>
        <v>0.21218760440395779</v>
      </c>
      <c r="CF125">
        <f>LOG(Table1_1[[#This Row],[PFDoS]])</f>
        <v>-0.62433638603911468</v>
      </c>
      <c r="CG125">
        <f>LOG(Table1_1[[#This Row],[Cl-PFOS]])</f>
        <v>-0.86966623150499389</v>
      </c>
      <c r="CH125">
        <f>LOG(Table1_1[[#This Row],[PFEtCHxS]])</f>
        <v>-0.65364702554936138</v>
      </c>
      <c r="CI125">
        <f>LOG(Table1_1[[#This Row],[FBSA]])</f>
        <v>1.5538830266438743</v>
      </c>
      <c r="CJ125">
        <f>LOG(Table1_1[[#This Row],[FHxSA]])</f>
        <v>2.0569048513364727</v>
      </c>
      <c r="CK125">
        <f>LOG(Table1_1[[#This Row],[FOSA]])</f>
        <v>1.2121876044039579</v>
      </c>
      <c r="CL125">
        <f>LOG(Table1_1[[#This Row],[N-MeFOSA]])</f>
        <v>-1.1706962271689751</v>
      </c>
      <c r="CM125">
        <f>LOG(Table1_1[[#This Row],[N-EtFOSA]])</f>
        <v>-1.1051303432547475</v>
      </c>
      <c r="CN125">
        <f>LOG(Table1_1[[#This Row],[FOSAA]])</f>
        <v>-1.2757241303992111</v>
      </c>
      <c r="CO125">
        <f>LOG(Table1_1[[#This Row],[N-MeFOSAA]])</f>
        <v>-1.1706962271689751</v>
      </c>
      <c r="CP125">
        <f>LOG(Table1_1[[#This Row],[N-EtFOSAA]])</f>
        <v>-1.2328441339178196</v>
      </c>
      <c r="CQ125">
        <f>LOG(Table1_1[[#This Row],[4:2 FTS]])</f>
        <v>-1.1706962271689751</v>
      </c>
      <c r="CR125">
        <f>LOG(Table1_1[[#This Row],[6:2 FTS]])</f>
        <v>-0.33441900898204685</v>
      </c>
      <c r="CS125">
        <f>LOG(Table1_1[[#This Row],[8:2 FTS]])</f>
        <v>1.0211892990699381</v>
      </c>
      <c r="CT125">
        <f>LOG(Table1_1[[#This Row],[10:2 FTS]])</f>
        <v>-0.59859945921845592</v>
      </c>
      <c r="CU125">
        <f>LOG(Table1_1[[#This Row],[3:3 FTCA]])</f>
        <v>-1.1106982974936896</v>
      </c>
      <c r="CV125">
        <f>LOG(Table1_1[[#This Row],[5:3 FTCA]])</f>
        <v>-0.12959609472097294</v>
      </c>
      <c r="CW125">
        <f>LOG(Table1_1[[#This Row],[7:3 FTCA]])</f>
        <v>0.49831055378960049</v>
      </c>
      <c r="CX125">
        <f>LOG(Table1_1[[#This Row],[6:2 FTCA]])</f>
        <v>-1.1706962271689751</v>
      </c>
      <c r="CY125">
        <f>LOG(Table1_1[[#This Row],[8:2 FTCA]])</f>
        <v>-1.1706962271689751</v>
      </c>
      <c r="CZ125">
        <f>LOG(Table1_1[[#This Row],[10:2 FTCA]])</f>
        <v>-0.99783393824349231</v>
      </c>
      <c r="DA125">
        <f>LOG(Table1_1[[#This Row],[6:2 FTUCA]])</f>
        <v>-1.2757241303992111</v>
      </c>
      <c r="DB125">
        <f>LOG(Table1_1[[#This Row],[8:2 FTUCA]])</f>
        <v>-1.390939450069913</v>
      </c>
      <c r="DC125">
        <f>LOG(Table1_1[[#This Row],[ADONA]])</f>
        <v>-0.70774392864352398</v>
      </c>
      <c r="DD125">
        <f>LOG(Table1_1[[#This Row],[9Cl-PF3ONS]])</f>
        <v>-1.1706962271689751</v>
      </c>
      <c r="DE125">
        <f>LOG(Table1_1[[#This Row],[11Cl-PF3OUdS]])</f>
        <v>-1.1706962271689751</v>
      </c>
      <c r="DF125">
        <f>LOG(Table1_1[[#This Row],[HFPO-DA]])</f>
        <v>-1.0154726866562074</v>
      </c>
      <c r="DG125">
        <f>LOG(Table1_1[[#This Row],[6:2 diPAP]])</f>
        <v>-1.1456939581989194</v>
      </c>
      <c r="DH125">
        <f>LOG(Table1_1[[#This Row],[8:2 diPAP]])</f>
        <v>-1.0506099933550872</v>
      </c>
      <c r="DI125">
        <f>LOG(Table1_1[[#This Row],[diSAmPAP]])</f>
        <v>-0.92628164965387738</v>
      </c>
    </row>
    <row r="126" spans="1:113">
      <c r="A126" t="s">
        <v>278</v>
      </c>
      <c r="B126" t="s">
        <v>114</v>
      </c>
      <c r="C126" s="3">
        <v>44393</v>
      </c>
      <c r="D126" t="s">
        <v>226</v>
      </c>
      <c r="E126" t="s">
        <v>227</v>
      </c>
      <c r="F126" t="s">
        <v>228</v>
      </c>
      <c r="G126" t="s">
        <v>118</v>
      </c>
      <c r="H126" t="s">
        <v>119</v>
      </c>
      <c r="I126">
        <v>10</v>
      </c>
      <c r="J126">
        <f>LOG(Table1_1[[#This Row],[Length]])</f>
        <v>1</v>
      </c>
      <c r="K126">
        <v>21.27</v>
      </c>
      <c r="L126">
        <f>LOG(Table1_1[[#This Row],[Weight]])</f>
        <v>1.327767489902729</v>
      </c>
      <c r="M126">
        <v>0.23499999999999999</v>
      </c>
      <c r="N126">
        <v>0.16600000000000001</v>
      </c>
      <c r="O126">
        <v>0.127</v>
      </c>
      <c r="P126">
        <v>2.34</v>
      </c>
      <c r="Q126">
        <v>2.31</v>
      </c>
      <c r="R126">
        <v>1.55</v>
      </c>
      <c r="S126">
        <v>6.33</v>
      </c>
      <c r="T126">
        <v>8.5399999999999991</v>
      </c>
      <c r="U126">
        <v>15.7</v>
      </c>
      <c r="V126">
        <v>4.1399999999999997</v>
      </c>
      <c r="W126">
        <v>17.600000000000001</v>
      </c>
      <c r="X126">
        <v>0.28000000000000003</v>
      </c>
      <c r="Y126">
        <v>7.0999999999999994E-2</v>
      </c>
      <c r="Z126">
        <v>0.16</v>
      </c>
      <c r="AA126">
        <v>0.23499999999999999</v>
      </c>
      <c r="AB126">
        <v>23.2</v>
      </c>
      <c r="AC126">
        <v>4.03</v>
      </c>
      <c r="AD126">
        <v>853</v>
      </c>
      <c r="AE126">
        <v>2.83</v>
      </c>
      <c r="AF126">
        <v>2.83</v>
      </c>
      <c r="AG126">
        <v>0.57999999999999996</v>
      </c>
      <c r="AH126">
        <v>0.14299999999999999</v>
      </c>
      <c r="AI126">
        <v>0.23499999999999999</v>
      </c>
      <c r="AJ126">
        <v>27.4</v>
      </c>
      <c r="AK126">
        <v>124</v>
      </c>
      <c r="AL126">
        <v>20.5</v>
      </c>
      <c r="AM126">
        <v>7.0999999999999994E-2</v>
      </c>
      <c r="AN126">
        <v>8.3000000000000004E-2</v>
      </c>
      <c r="AO126">
        <v>5.6000000000000001E-2</v>
      </c>
      <c r="AP126">
        <v>7.1499999999999994E-2</v>
      </c>
      <c r="AQ126">
        <v>6.2E-2</v>
      </c>
      <c r="AR126">
        <v>7.0999999999999994E-2</v>
      </c>
      <c r="AS126">
        <v>0.71799999999999997</v>
      </c>
      <c r="AT126">
        <v>7.54</v>
      </c>
      <c r="AU126">
        <v>0.26700000000000002</v>
      </c>
      <c r="AV126">
        <v>8.2000000000000003E-2</v>
      </c>
      <c r="AW126">
        <v>0.17749999999999999</v>
      </c>
      <c r="AX126">
        <v>1.55</v>
      </c>
      <c r="AY126">
        <v>7.0999999999999994E-2</v>
      </c>
      <c r="AZ126">
        <v>7.0999999999999994E-2</v>
      </c>
      <c r="BA126">
        <v>0.1065</v>
      </c>
      <c r="BB126">
        <v>5.6000000000000001E-2</v>
      </c>
      <c r="BC126">
        <v>4.3049999999999998E-2</v>
      </c>
      <c r="BD126">
        <v>6.3E-2</v>
      </c>
      <c r="BE126">
        <v>7.0999999999999994E-2</v>
      </c>
      <c r="BF126">
        <v>7.0999999999999994E-2</v>
      </c>
      <c r="BG126">
        <v>0.10199999999999999</v>
      </c>
      <c r="BH126">
        <v>7.5999999999999998E-2</v>
      </c>
      <c r="BI126">
        <v>9.4500000000000001E-2</v>
      </c>
      <c r="BJ126">
        <v>0.1255</v>
      </c>
      <c r="BK126">
        <f>SUM(Table1_1[[#This Row],[PFBA]:[diSAmPAP]])</f>
        <v>1130.2315500000002</v>
      </c>
      <c r="BL126">
        <f>LOG(Table1_1[[#This Row],[PFBA]])</f>
        <v>-0.62893213772826373</v>
      </c>
      <c r="BM126">
        <f>LOG(Table1_1[[#This Row],[PFPeA]])</f>
        <v>-0.77989191195994489</v>
      </c>
      <c r="BN126">
        <f>LOG(Table1_1[[#This Row],[PFHxA]])</f>
        <v>-0.89619627904404309</v>
      </c>
      <c r="BO126">
        <f>LOG(Table1_1[[#This Row],[PFHpA]])</f>
        <v>0.36921585741014279</v>
      </c>
      <c r="BP126">
        <f>LOG(Table1_1[[#This Row],[PFOA]])</f>
        <v>0.36361197989214433</v>
      </c>
      <c r="BQ126">
        <f>LOG(Table1_1[[#This Row],[PFNA]])</f>
        <v>0.1903316981702915</v>
      </c>
      <c r="BR126">
        <f>LOG(Table1_1[[#This Row],[PFDA]])</f>
        <v>0.80140371001735511</v>
      </c>
      <c r="BS126">
        <f>LOG(Table1_1[[#This Row],[PFUnA]])</f>
        <v>0.93145787068900499</v>
      </c>
      <c r="BT126">
        <f>LOG(Table1_1[[#This Row],[PFDoA]])</f>
        <v>1.1958996524092338</v>
      </c>
      <c r="BU126">
        <f>LOG(Table1_1[[#This Row],[PFTrDA]])</f>
        <v>0.61700034112089897</v>
      </c>
      <c r="BV126">
        <f>LOG(Table1_1[[#This Row],[PFTeDA]])</f>
        <v>1.2455126678141499</v>
      </c>
      <c r="BW126">
        <f>LOG(Table1_1[[#This Row],[PFHxDA]])</f>
        <v>-0.55284196865778079</v>
      </c>
      <c r="BX126">
        <f>LOG(Table1_1[[#This Row],[PFPrS]])</f>
        <v>-1.1487416512809248</v>
      </c>
      <c r="BY126">
        <f>LOG(Table1_1[[#This Row],[PFBS]])</f>
        <v>-0.79588001734407521</v>
      </c>
      <c r="BZ126">
        <f>LOG(Table1_1[[#This Row],[PFPeS]])</f>
        <v>-0.62893213772826373</v>
      </c>
      <c r="CA126">
        <f>LOG(Table1_1[[#This Row],[PFHxS]])</f>
        <v>1.3654879848908996</v>
      </c>
      <c r="CB126">
        <f>LOG(Table1_1[[#This Row],[PFHpS]])</f>
        <v>0.60530504614110947</v>
      </c>
      <c r="CC126">
        <f>LOG(Table1_1[[#This Row],[PFOS]])</f>
        <v>2.9309490311675228</v>
      </c>
      <c r="CD126">
        <f>LOG(Table1_1[[#This Row],[PFNS]])</f>
        <v>0.45178643552429026</v>
      </c>
      <c r="CE126">
        <f>LOG(Table1_1[[#This Row],[PFDS]])</f>
        <v>0.45178643552429026</v>
      </c>
      <c r="CF126">
        <f>LOG(Table1_1[[#This Row],[PFDoS]])</f>
        <v>-0.23657200643706275</v>
      </c>
      <c r="CG126">
        <f>LOG(Table1_1[[#This Row],[Cl-PFOS]])</f>
        <v>-0.84466396253493825</v>
      </c>
      <c r="CH126">
        <f>LOG(Table1_1[[#This Row],[PFEtCHxS]])</f>
        <v>-0.62893213772826373</v>
      </c>
      <c r="CI126">
        <f>LOG(Table1_1[[#This Row],[FBSA]])</f>
        <v>1.4377505628203879</v>
      </c>
      <c r="CJ126">
        <f>LOG(Table1_1[[#This Row],[FHxSA]])</f>
        <v>2.0934216851622351</v>
      </c>
      <c r="CK126">
        <f>LOG(Table1_1[[#This Row],[FOSA]])</f>
        <v>1.3117538610557542</v>
      </c>
      <c r="CL126">
        <f>LOG(Table1_1[[#This Row],[N-MeFOSA]])</f>
        <v>-1.1487416512809248</v>
      </c>
      <c r="CM126">
        <f>LOG(Table1_1[[#This Row],[N-EtFOSA]])</f>
        <v>-1.080921907623926</v>
      </c>
      <c r="CN126">
        <f>LOG(Table1_1[[#This Row],[FOSAA]])</f>
        <v>-1.2518119729937995</v>
      </c>
      <c r="CO126">
        <f>LOG(Table1_1[[#This Row],[N-MeFOSAA]])</f>
        <v>-1.1456939581989194</v>
      </c>
      <c r="CP126">
        <f>LOG(Table1_1[[#This Row],[N-EtFOSAA]])</f>
        <v>-1.2076083105017461</v>
      </c>
      <c r="CQ126">
        <f>LOG(Table1_1[[#This Row],[4:2 FTS]])</f>
        <v>-1.1487416512809248</v>
      </c>
      <c r="CR126">
        <f>LOG(Table1_1[[#This Row],[6:2 FTS]])</f>
        <v>-0.14387555575769967</v>
      </c>
      <c r="CS126">
        <f>LOG(Table1_1[[#This Row],[8:2 FTS]])</f>
        <v>0.87737134586977406</v>
      </c>
      <c r="CT126">
        <f>LOG(Table1_1[[#This Row],[10:2 FTS]])</f>
        <v>-0.57348873863542471</v>
      </c>
      <c r="CU126">
        <f>LOG(Table1_1[[#This Row],[3:3 FTCA]])</f>
        <v>-1.0861861476162833</v>
      </c>
      <c r="CV126">
        <f>LOG(Table1_1[[#This Row],[5:3 FTCA]])</f>
        <v>-0.75080164260888715</v>
      </c>
      <c r="CW126">
        <f>LOG(Table1_1[[#This Row],[7:3 FTCA]])</f>
        <v>0.1903316981702915</v>
      </c>
      <c r="CX126">
        <f>LOG(Table1_1[[#This Row],[6:2 FTCA]])</f>
        <v>-1.1487416512809248</v>
      </c>
      <c r="CY126">
        <f>LOG(Table1_1[[#This Row],[8:2 FTCA]])</f>
        <v>-1.1487416512809248</v>
      </c>
      <c r="CZ126">
        <f>LOG(Table1_1[[#This Row],[10:2 FTCA]])</f>
        <v>-0.97265039222524352</v>
      </c>
      <c r="DA126">
        <f>LOG(Table1_1[[#This Row],[6:2 FTUCA]])</f>
        <v>-1.2518119729937995</v>
      </c>
      <c r="DB126">
        <f>LOG(Table1_1[[#This Row],[8:2 FTUCA]])</f>
        <v>-1.3660268442103265</v>
      </c>
      <c r="DC126">
        <f>LOG(Table1_1[[#This Row],[ADONA]])</f>
        <v>-1.2006594505464183</v>
      </c>
      <c r="DD126">
        <f>LOG(Table1_1[[#This Row],[9Cl-PF3ONS]])</f>
        <v>-1.1487416512809248</v>
      </c>
      <c r="DE126">
        <f>LOG(Table1_1[[#This Row],[11Cl-PF3OUdS]])</f>
        <v>-1.1487416512809248</v>
      </c>
      <c r="DF126">
        <f>LOG(Table1_1[[#This Row],[HFPO-DA]])</f>
        <v>-0.99139982823808248</v>
      </c>
      <c r="DG126">
        <f>LOG(Table1_1[[#This Row],[6:2 diPAP]])</f>
        <v>-1.1191864077192086</v>
      </c>
      <c r="DH126">
        <f>LOG(Table1_1[[#This Row],[8:2 diPAP]])</f>
        <v>-1.024568191490737</v>
      </c>
      <c r="DI126">
        <f>LOG(Table1_1[[#This Row],[diSAmPAP]])</f>
        <v>-0.90135627418294306</v>
      </c>
    </row>
    <row r="127" spans="1:113">
      <c r="A127" t="s">
        <v>279</v>
      </c>
      <c r="B127" t="s">
        <v>114</v>
      </c>
      <c r="C127" s="3">
        <v>44393</v>
      </c>
      <c r="D127" t="s">
        <v>226</v>
      </c>
      <c r="E127" t="s">
        <v>227</v>
      </c>
      <c r="F127" t="s">
        <v>228</v>
      </c>
      <c r="G127" t="s">
        <v>118</v>
      </c>
      <c r="H127" t="s">
        <v>119</v>
      </c>
      <c r="I127">
        <v>6</v>
      </c>
      <c r="J127">
        <f>LOG(Table1_1[[#This Row],[Length]])</f>
        <v>0.77815125038364363</v>
      </c>
      <c r="K127">
        <v>3.24</v>
      </c>
      <c r="L127">
        <f>LOG(Table1_1[[#This Row],[Weight]])</f>
        <v>0.51054501020661214</v>
      </c>
      <c r="M127">
        <v>0.22750000000000001</v>
      </c>
      <c r="N127">
        <v>4.8750000000000002E-2</v>
      </c>
      <c r="O127">
        <v>3.7249999999999998E-2</v>
      </c>
      <c r="P127">
        <v>2.76E-2</v>
      </c>
      <c r="Q127">
        <v>1.42</v>
      </c>
      <c r="R127">
        <v>0.1575</v>
      </c>
      <c r="S127">
        <v>4.0199999999999996</v>
      </c>
      <c r="T127">
        <v>7.24</v>
      </c>
      <c r="U127">
        <v>26.3</v>
      </c>
      <c r="V127">
        <v>7.25</v>
      </c>
      <c r="W127">
        <v>35.6</v>
      </c>
      <c r="X127">
        <v>0.96299999999999997</v>
      </c>
      <c r="Y127">
        <v>6.9000000000000006E-2</v>
      </c>
      <c r="Z127">
        <v>0.155</v>
      </c>
      <c r="AA127">
        <v>0.22750000000000001</v>
      </c>
      <c r="AB127">
        <v>29</v>
      </c>
      <c r="AC127">
        <v>4.97</v>
      </c>
      <c r="AD127">
        <v>913</v>
      </c>
      <c r="AE127">
        <v>2.08</v>
      </c>
      <c r="AF127">
        <v>2.5</v>
      </c>
      <c r="AG127">
        <v>1.1499999999999999</v>
      </c>
      <c r="AH127">
        <v>0.13850000000000001</v>
      </c>
      <c r="AI127">
        <v>0.22750000000000001</v>
      </c>
      <c r="AJ127">
        <v>25.9</v>
      </c>
      <c r="AK127">
        <v>82.2</v>
      </c>
      <c r="AL127">
        <v>12.9</v>
      </c>
      <c r="AM127">
        <v>6.9000000000000006E-2</v>
      </c>
      <c r="AN127">
        <v>8.0500000000000002E-2</v>
      </c>
      <c r="AO127">
        <v>5.45E-2</v>
      </c>
      <c r="AP127">
        <v>6.9500000000000006E-2</v>
      </c>
      <c r="AQ127">
        <v>0.06</v>
      </c>
      <c r="AR127">
        <v>6.9000000000000006E-2</v>
      </c>
      <c r="AS127">
        <v>0.78400000000000003</v>
      </c>
      <c r="AT127">
        <v>3.69</v>
      </c>
      <c r="AU127">
        <v>0.25850000000000001</v>
      </c>
      <c r="AV127">
        <v>7.9500000000000001E-2</v>
      </c>
      <c r="AW127">
        <v>3.27</v>
      </c>
      <c r="AX127">
        <v>14.1</v>
      </c>
      <c r="AY127">
        <v>6.9000000000000006E-2</v>
      </c>
      <c r="AZ127">
        <v>6.9000000000000006E-2</v>
      </c>
      <c r="BA127">
        <v>0.10299999999999999</v>
      </c>
      <c r="BB127">
        <v>5.3999999999999999E-2</v>
      </c>
      <c r="BC127">
        <v>4.1700000000000001E-2</v>
      </c>
      <c r="BD127">
        <v>6.0999999999999999E-2</v>
      </c>
      <c r="BE127">
        <v>6.9000000000000006E-2</v>
      </c>
      <c r="BF127">
        <v>6.9000000000000006E-2</v>
      </c>
      <c r="BG127">
        <v>9.9000000000000005E-2</v>
      </c>
      <c r="BH127">
        <v>7.3499999999999996E-2</v>
      </c>
      <c r="BI127">
        <v>9.1499999999999998E-2</v>
      </c>
      <c r="BJ127">
        <v>0.1215</v>
      </c>
      <c r="BK127">
        <f>SUM(Table1_1[[#This Row],[PFBA]:[diSAmPAP]])</f>
        <v>1181.3147999999999</v>
      </c>
      <c r="BL127">
        <f>LOG(Table1_1[[#This Row],[PFBA]])</f>
        <v>-0.64301859900686875</v>
      </c>
      <c r="BM127">
        <f>LOG(Table1_1[[#This Row],[PFPeA]])</f>
        <v>-1.3120253799654444</v>
      </c>
      <c r="BN127">
        <f>LOG(Table1_1[[#This Row],[PFHxA]])</f>
        <v>-1.4288737229156883</v>
      </c>
      <c r="BO127">
        <f>LOG(Table1_1[[#This Row],[PFHpA]])</f>
        <v>-1.5590909179347823</v>
      </c>
      <c r="BP127">
        <f>LOG(Table1_1[[#This Row],[PFOA]])</f>
        <v>0.15228834438305647</v>
      </c>
      <c r="BQ127">
        <f>LOG(Table1_1[[#This Row],[PFNA]])</f>
        <v>-0.80271944187438071</v>
      </c>
      <c r="BR127">
        <f>LOG(Table1_1[[#This Row],[PFDA]])</f>
        <v>0.60422605308446997</v>
      </c>
      <c r="BS127">
        <f>LOG(Table1_1[[#This Row],[PFUnA]])</f>
        <v>0.85973856619714695</v>
      </c>
      <c r="BT127">
        <f>LOG(Table1_1[[#This Row],[PFDoA]])</f>
        <v>1.4199557484897578</v>
      </c>
      <c r="BU127">
        <f>LOG(Table1_1[[#This Row],[PFTrDA]])</f>
        <v>0.86033800657099369</v>
      </c>
      <c r="BV127">
        <f>LOG(Table1_1[[#This Row],[PFTeDA]])</f>
        <v>1.5514499979728751</v>
      </c>
      <c r="BW127">
        <f>LOG(Table1_1[[#This Row],[PFHxDA]])</f>
        <v>-1.6373712875465501E-2</v>
      </c>
      <c r="BX127">
        <f>LOG(Table1_1[[#This Row],[PFPrS]])</f>
        <v>-1.1611509092627446</v>
      </c>
      <c r="BY127">
        <f>LOG(Table1_1[[#This Row],[PFBS]])</f>
        <v>-0.8096683018297085</v>
      </c>
      <c r="BZ127">
        <f>LOG(Table1_1[[#This Row],[PFPeS]])</f>
        <v>-0.64301859900686875</v>
      </c>
      <c r="CA127">
        <f>LOG(Table1_1[[#This Row],[PFHxS]])</f>
        <v>1.4623979978989561</v>
      </c>
      <c r="CB127">
        <f>LOG(Table1_1[[#This Row],[PFHpS]])</f>
        <v>0.69635638873333205</v>
      </c>
      <c r="CC127">
        <f>LOG(Table1_1[[#This Row],[PFOS]])</f>
        <v>2.9604707775342991</v>
      </c>
      <c r="CD127">
        <f>LOG(Table1_1[[#This Row],[PFNS]])</f>
        <v>0.31806333496276157</v>
      </c>
      <c r="CE127">
        <f>LOG(Table1_1[[#This Row],[PFDS]])</f>
        <v>0.3979400086720376</v>
      </c>
      <c r="CF127">
        <f>LOG(Table1_1[[#This Row],[PFDoS]])</f>
        <v>6.069784035361165E-2</v>
      </c>
      <c r="CG127">
        <f>LOG(Table1_1[[#This Row],[Cl-PFOS]])</f>
        <v>-0.85855022659953262</v>
      </c>
      <c r="CH127">
        <f>LOG(Table1_1[[#This Row],[PFEtCHxS]])</f>
        <v>-0.64301859900686875</v>
      </c>
      <c r="CI127">
        <f>LOG(Table1_1[[#This Row],[FBSA]])</f>
        <v>1.4132997640812519</v>
      </c>
      <c r="CJ127">
        <f>LOG(Table1_1[[#This Row],[FHxSA]])</f>
        <v>1.9148718175400503</v>
      </c>
      <c r="CK127">
        <f>LOG(Table1_1[[#This Row],[FOSA]])</f>
        <v>1.110589710299249</v>
      </c>
      <c r="CL127">
        <f>LOG(Table1_1[[#This Row],[N-MeFOSA]])</f>
        <v>-1.1611509092627446</v>
      </c>
      <c r="CM127">
        <f>LOG(Table1_1[[#This Row],[N-EtFOSA]])</f>
        <v>-1.0942041196321315</v>
      </c>
      <c r="CN127">
        <f>LOG(Table1_1[[#This Row],[FOSAA]])</f>
        <v>-1.2636034977233577</v>
      </c>
      <c r="CO127">
        <f>LOG(Table1_1[[#This Row],[N-MeFOSAA]])</f>
        <v>-1.1580151954098861</v>
      </c>
      <c r="CP127">
        <f>LOG(Table1_1[[#This Row],[N-EtFOSAA]])</f>
        <v>-1.2218487496163564</v>
      </c>
      <c r="CQ127">
        <f>LOG(Table1_1[[#This Row],[4:2 FTS]])</f>
        <v>-1.1611509092627446</v>
      </c>
      <c r="CR127">
        <f>LOG(Table1_1[[#This Row],[6:2 FTS]])</f>
        <v>-0.10568393731556154</v>
      </c>
      <c r="CS127">
        <f>LOG(Table1_1[[#This Row],[8:2 FTS]])</f>
        <v>0.56702636615906032</v>
      </c>
      <c r="CT127">
        <f>LOG(Table1_1[[#This Row],[10:2 FTS]])</f>
        <v>-0.5875394525700387</v>
      </c>
      <c r="CU127">
        <f>LOG(Table1_1[[#This Row],[3:3 FTCA]])</f>
        <v>-1.0996328713435297</v>
      </c>
      <c r="CV127">
        <f>LOG(Table1_1[[#This Row],[5:3 FTCA]])</f>
        <v>0.51454775266028607</v>
      </c>
      <c r="CW127">
        <f>LOG(Table1_1[[#This Row],[7:3 FTCA]])</f>
        <v>1.1492191126553799</v>
      </c>
      <c r="CX127">
        <f>LOG(Table1_1[[#This Row],[6:2 FTCA]])</f>
        <v>-1.1611509092627446</v>
      </c>
      <c r="CY127">
        <f>LOG(Table1_1[[#This Row],[8:2 FTCA]])</f>
        <v>-1.1611509092627446</v>
      </c>
      <c r="CZ127">
        <f>LOG(Table1_1[[#This Row],[10:2 FTCA]])</f>
        <v>-0.98716277529482777</v>
      </c>
      <c r="DA127">
        <f>LOG(Table1_1[[#This Row],[6:2 FTUCA]])</f>
        <v>-1.2676062401770316</v>
      </c>
      <c r="DB127">
        <f>LOG(Table1_1[[#This Row],[8:2 FTUCA]])</f>
        <v>-1.3798639450262424</v>
      </c>
      <c r="DC127">
        <f>LOG(Table1_1[[#This Row],[ADONA]])</f>
        <v>-1.2146701649892331</v>
      </c>
      <c r="DD127">
        <f>LOG(Table1_1[[#This Row],[9Cl-PF3ONS]])</f>
        <v>-1.1611509092627446</v>
      </c>
      <c r="DE127">
        <f>LOG(Table1_1[[#This Row],[11Cl-PF3OUdS]])</f>
        <v>-1.1611509092627446</v>
      </c>
      <c r="DF127">
        <f>LOG(Table1_1[[#This Row],[HFPO-DA]])</f>
        <v>-1.0043648054024501</v>
      </c>
      <c r="DG127">
        <f>LOG(Table1_1[[#This Row],[6:2 diPAP]])</f>
        <v>-1.133712660915805</v>
      </c>
      <c r="DH127">
        <f>LOG(Table1_1[[#This Row],[8:2 diPAP]])</f>
        <v>-1.0385789059335517</v>
      </c>
      <c r="DI127">
        <f>LOG(Table1_1[[#This Row],[diSAmPAP]])</f>
        <v>-0.91542372206566902</v>
      </c>
    </row>
    <row r="128" spans="1:113">
      <c r="A128" t="s">
        <v>280</v>
      </c>
      <c r="B128" t="s">
        <v>114</v>
      </c>
      <c r="C128" s="3">
        <v>44393</v>
      </c>
      <c r="D128" t="s">
        <v>226</v>
      </c>
      <c r="E128" t="s">
        <v>227</v>
      </c>
      <c r="F128" t="s">
        <v>228</v>
      </c>
      <c r="G128" t="s">
        <v>118</v>
      </c>
      <c r="H128" t="s">
        <v>119</v>
      </c>
      <c r="I128">
        <v>7</v>
      </c>
      <c r="J128">
        <f>LOG(Table1_1[[#This Row],[Length]])</f>
        <v>0.84509804001425681</v>
      </c>
      <c r="K128">
        <v>5.78</v>
      </c>
      <c r="L128">
        <f>LOG(Table1_1[[#This Row],[Weight]])</f>
        <v>0.76192783842052902</v>
      </c>
      <c r="M128">
        <v>0.24149999999999999</v>
      </c>
      <c r="N128">
        <v>5.1499999999999997E-2</v>
      </c>
      <c r="O128">
        <v>0.1305</v>
      </c>
      <c r="P128">
        <v>9.6500000000000002E-2</v>
      </c>
      <c r="Q128">
        <v>0.71499999999999997</v>
      </c>
      <c r="R128">
        <v>0.37</v>
      </c>
      <c r="S128">
        <v>3.85</v>
      </c>
      <c r="T128">
        <v>6.8</v>
      </c>
      <c r="U128">
        <v>21</v>
      </c>
      <c r="V128">
        <v>8.42</v>
      </c>
      <c r="W128">
        <v>19</v>
      </c>
      <c r="X128">
        <v>8.6999999999999994E-2</v>
      </c>
      <c r="Y128">
        <v>7.2999999999999995E-2</v>
      </c>
      <c r="Z128">
        <v>0.16450000000000001</v>
      </c>
      <c r="AA128">
        <v>7.2999999999999995E-2</v>
      </c>
      <c r="AB128">
        <v>8.49</v>
      </c>
      <c r="AC128">
        <v>0.83399999999999996</v>
      </c>
      <c r="AD128">
        <v>1010</v>
      </c>
      <c r="AE128">
        <v>1.1399999999999999</v>
      </c>
      <c r="AF128">
        <v>1.69</v>
      </c>
      <c r="AG128">
        <v>0.56000000000000005</v>
      </c>
      <c r="AH128">
        <v>0.14649999999999999</v>
      </c>
      <c r="AI128">
        <v>0.24149999999999999</v>
      </c>
      <c r="AJ128">
        <v>72.2</v>
      </c>
      <c r="AK128">
        <v>116</v>
      </c>
      <c r="AL128">
        <v>16.600000000000001</v>
      </c>
      <c r="AM128">
        <v>7.2999999999999995E-2</v>
      </c>
      <c r="AN128">
        <v>8.5500000000000007E-2</v>
      </c>
      <c r="AO128">
        <v>5.7500000000000002E-2</v>
      </c>
      <c r="AP128">
        <v>7.3499999999999996E-2</v>
      </c>
      <c r="AQ128">
        <v>6.3500000000000001E-2</v>
      </c>
      <c r="AR128">
        <v>7.2999999999999995E-2</v>
      </c>
      <c r="AS128">
        <v>0.38300000000000001</v>
      </c>
      <c r="AT128">
        <v>2.96</v>
      </c>
      <c r="AU128">
        <v>0.27400000000000002</v>
      </c>
      <c r="AV128">
        <v>8.4500000000000006E-2</v>
      </c>
      <c r="AW128">
        <v>2.82</v>
      </c>
      <c r="AX128">
        <v>43.6</v>
      </c>
      <c r="AY128">
        <v>7.2999999999999995E-2</v>
      </c>
      <c r="AZ128">
        <v>7.2999999999999995E-2</v>
      </c>
      <c r="BA128">
        <v>0.109</v>
      </c>
      <c r="BB128">
        <v>5.7500000000000002E-2</v>
      </c>
      <c r="BC128">
        <v>4.4200000000000003E-2</v>
      </c>
      <c r="BD128">
        <v>6.4500000000000002E-2</v>
      </c>
      <c r="BE128">
        <v>7.2999999999999995E-2</v>
      </c>
      <c r="BF128">
        <v>7.2999999999999995E-2</v>
      </c>
      <c r="BG128">
        <v>0.105</v>
      </c>
      <c r="BH128">
        <v>7.8E-2</v>
      </c>
      <c r="BI128">
        <v>9.7000000000000003E-2</v>
      </c>
      <c r="BJ128">
        <v>0.1285</v>
      </c>
      <c r="BK128">
        <f>SUM(Table1_1[[#This Row],[PFBA]:[diSAmPAP]])</f>
        <v>1340.4977000000001</v>
      </c>
      <c r="BL128">
        <f>LOG(Table1_1[[#This Row],[PFBA]])</f>
        <v>-0.61708286491246911</v>
      </c>
      <c r="BM128">
        <f>LOG(Table1_1[[#This Row],[PFPeA]])</f>
        <v>-1.288192770958809</v>
      </c>
      <c r="BN128">
        <f>LOG(Table1_1[[#This Row],[PFHxA]])</f>
        <v>-0.88438948832570019</v>
      </c>
      <c r="BO128">
        <f>LOG(Table1_1[[#This Row],[PFHpA]])</f>
        <v>-1.0154726866562074</v>
      </c>
      <c r="BP128">
        <f>LOG(Table1_1[[#This Row],[PFOA]])</f>
        <v>-0.14569395819891939</v>
      </c>
      <c r="BQ128">
        <f>LOG(Table1_1[[#This Row],[PFNA]])</f>
        <v>-0.43179827593300502</v>
      </c>
      <c r="BR128">
        <f>LOG(Table1_1[[#This Row],[PFDA]])</f>
        <v>0.5854607295085007</v>
      </c>
      <c r="BS128">
        <f>LOG(Table1_1[[#This Row],[PFUnA]])</f>
        <v>0.83250891270623628</v>
      </c>
      <c r="BT128">
        <f>LOG(Table1_1[[#This Row],[PFDoA]])</f>
        <v>1.3222192947339193</v>
      </c>
      <c r="BU128">
        <f>LOG(Table1_1[[#This Row],[PFTrDA]])</f>
        <v>0.92531209149964955</v>
      </c>
      <c r="BV128">
        <f>LOG(Table1_1[[#This Row],[PFTeDA]])</f>
        <v>1.2787536009528289</v>
      </c>
      <c r="BW128">
        <f>LOG(Table1_1[[#This Row],[PFHxDA]])</f>
        <v>-1.0604807473813815</v>
      </c>
      <c r="BX128">
        <f>LOG(Table1_1[[#This Row],[PFPrS]])</f>
        <v>-1.1366771398795441</v>
      </c>
      <c r="BY128">
        <f>LOG(Table1_1[[#This Row],[PFBS]])</f>
        <v>-0.78383409771400692</v>
      </c>
      <c r="BZ128">
        <f>LOG(Table1_1[[#This Row],[PFPeS]])</f>
        <v>-1.1366771398795441</v>
      </c>
      <c r="CA128">
        <f>LOG(Table1_1[[#This Row],[PFHxS]])</f>
        <v>0.9289076902439527</v>
      </c>
      <c r="CB128">
        <f>LOG(Table1_1[[#This Row],[PFHpS]])</f>
        <v>-7.8833949362261305E-2</v>
      </c>
      <c r="CC128">
        <f>LOG(Table1_1[[#This Row],[PFOS]])</f>
        <v>3.0043213737826426</v>
      </c>
      <c r="CD128">
        <f>LOG(Table1_1[[#This Row],[PFNS]])</f>
        <v>5.6904851336472557E-2</v>
      </c>
      <c r="CE128">
        <f>LOG(Table1_1[[#This Row],[PFDS]])</f>
        <v>0.22788670461367352</v>
      </c>
      <c r="CF128">
        <f>LOG(Table1_1[[#This Row],[PFDoS]])</f>
        <v>-0.25181197299379954</v>
      </c>
      <c r="CG128">
        <f>LOG(Table1_1[[#This Row],[Cl-PFOS]])</f>
        <v>-0.83416237530987181</v>
      </c>
      <c r="CH128">
        <f>LOG(Table1_1[[#This Row],[PFEtCHxS]])</f>
        <v>-0.61708286491246911</v>
      </c>
      <c r="CI128">
        <f>LOG(Table1_1[[#This Row],[FBSA]])</f>
        <v>1.8585371975696392</v>
      </c>
      <c r="CJ128">
        <f>LOG(Table1_1[[#This Row],[FHxSA]])</f>
        <v>2.0644579892269186</v>
      </c>
      <c r="CK128">
        <f>LOG(Table1_1[[#This Row],[FOSA]])</f>
        <v>1.2201080880400552</v>
      </c>
      <c r="CL128">
        <f>LOG(Table1_1[[#This Row],[N-MeFOSA]])</f>
        <v>-1.1366771398795441</v>
      </c>
      <c r="CM128">
        <f>LOG(Table1_1[[#This Row],[N-EtFOSA]])</f>
        <v>-1.0680338852718274</v>
      </c>
      <c r="CN128">
        <f>LOG(Table1_1[[#This Row],[FOSAA]])</f>
        <v>-1.2403321553103694</v>
      </c>
      <c r="CO128">
        <f>LOG(Table1_1[[#This Row],[N-MeFOSAA]])</f>
        <v>-1.133712660915805</v>
      </c>
      <c r="CP128">
        <f>LOG(Table1_1[[#This Row],[N-EtFOSAA]])</f>
        <v>-1.1972262747080242</v>
      </c>
      <c r="CQ128">
        <f>LOG(Table1_1[[#This Row],[4:2 FTS]])</f>
        <v>-1.1366771398795441</v>
      </c>
      <c r="CR128">
        <f>LOG(Table1_1[[#This Row],[6:2 FTS]])</f>
        <v>-0.41680122603137726</v>
      </c>
      <c r="CS128">
        <f>LOG(Table1_1[[#This Row],[8:2 FTS]])</f>
        <v>0.47129171105893858</v>
      </c>
      <c r="CT128">
        <f>LOG(Table1_1[[#This Row],[10:2 FTS]])</f>
        <v>-0.56224943717961195</v>
      </c>
      <c r="CU128">
        <f>LOG(Table1_1[[#This Row],[3:3 FTCA]])</f>
        <v>-1.0731432910503076</v>
      </c>
      <c r="CV128">
        <f>LOG(Table1_1[[#This Row],[5:3 FTCA]])</f>
        <v>0.45024910831936105</v>
      </c>
      <c r="CW128">
        <f>LOG(Table1_1[[#This Row],[7:3 FTCA]])</f>
        <v>1.6394864892685861</v>
      </c>
      <c r="CX128">
        <f>LOG(Table1_1[[#This Row],[6:2 FTCA]])</f>
        <v>-1.1366771398795441</v>
      </c>
      <c r="CY128">
        <f>LOG(Table1_1[[#This Row],[8:2 FTCA]])</f>
        <v>-1.1366771398795441</v>
      </c>
      <c r="CZ128">
        <f>LOG(Table1_1[[#This Row],[10:2 FTCA]])</f>
        <v>-0.96257350205937642</v>
      </c>
      <c r="DA128">
        <f>LOG(Table1_1[[#This Row],[6:2 FTUCA]])</f>
        <v>-1.2403321553103694</v>
      </c>
      <c r="DB128">
        <f>LOG(Table1_1[[#This Row],[8:2 FTUCA]])</f>
        <v>-1.3545777306509081</v>
      </c>
      <c r="DC128">
        <f>LOG(Table1_1[[#This Row],[ADONA]])</f>
        <v>-1.1904402853647322</v>
      </c>
      <c r="DD128">
        <f>LOG(Table1_1[[#This Row],[9Cl-PF3ONS]])</f>
        <v>-1.1366771398795441</v>
      </c>
      <c r="DE128">
        <f>LOG(Table1_1[[#This Row],[11Cl-PF3OUdS]])</f>
        <v>-1.1366771398795441</v>
      </c>
      <c r="DF128">
        <f>LOG(Table1_1[[#This Row],[HFPO-DA]])</f>
        <v>-0.97881070093006195</v>
      </c>
      <c r="DG128">
        <f>LOG(Table1_1[[#This Row],[6:2 diPAP]])</f>
        <v>-1.1079053973095196</v>
      </c>
      <c r="DH128">
        <f>LOG(Table1_1[[#This Row],[8:2 diPAP]])</f>
        <v>-1.0132282657337552</v>
      </c>
      <c r="DI128">
        <f>LOG(Table1_1[[#This Row],[diSAmPAP]])</f>
        <v>-0.89109687233268664</v>
      </c>
    </row>
    <row r="129" spans="1:113">
      <c r="A129" t="s">
        <v>281</v>
      </c>
      <c r="B129" t="s">
        <v>114</v>
      </c>
      <c r="C129" s="3">
        <v>44393</v>
      </c>
      <c r="D129" t="s">
        <v>226</v>
      </c>
      <c r="E129" t="s">
        <v>227</v>
      </c>
      <c r="F129" t="s">
        <v>228</v>
      </c>
      <c r="G129" t="s">
        <v>118</v>
      </c>
      <c r="H129" t="s">
        <v>119</v>
      </c>
      <c r="I129">
        <v>6</v>
      </c>
      <c r="J129">
        <f>LOG(Table1_1[[#This Row],[Length]])</f>
        <v>0.77815125038364363</v>
      </c>
      <c r="K129">
        <v>4.38</v>
      </c>
      <c r="L129">
        <f>LOG(Table1_1[[#This Row],[Weight]])</f>
        <v>0.64147411050409953</v>
      </c>
      <c r="M129">
        <v>6.6500000000000004E-2</v>
      </c>
      <c r="N129">
        <v>4.6949999999999999E-2</v>
      </c>
      <c r="O129">
        <v>0.11849999999999999</v>
      </c>
      <c r="P129">
        <v>2.6599999999999999E-2</v>
      </c>
      <c r="Q129">
        <v>0.78</v>
      </c>
      <c r="R129">
        <v>0.38900000000000001</v>
      </c>
      <c r="S129">
        <v>3.82</v>
      </c>
      <c r="T129">
        <v>6.82</v>
      </c>
      <c r="U129">
        <v>12.3</v>
      </c>
      <c r="V129">
        <v>4.03</v>
      </c>
      <c r="W129">
        <v>13.3</v>
      </c>
      <c r="X129">
        <v>7.9000000000000001E-2</v>
      </c>
      <c r="Y129">
        <v>6.6500000000000004E-2</v>
      </c>
      <c r="Z129">
        <v>4.5249999999999999E-2</v>
      </c>
      <c r="AA129">
        <v>0.2195</v>
      </c>
      <c r="AB129">
        <v>11</v>
      </c>
      <c r="AC129">
        <v>3.45</v>
      </c>
      <c r="AD129">
        <v>776</v>
      </c>
      <c r="AE129">
        <v>5.43</v>
      </c>
      <c r="AF129">
        <v>6.07</v>
      </c>
      <c r="AG129">
        <v>1.81</v>
      </c>
      <c r="AH129">
        <v>0.13350000000000001</v>
      </c>
      <c r="AI129">
        <v>0.2195</v>
      </c>
      <c r="AJ129">
        <v>16.2</v>
      </c>
      <c r="AK129">
        <v>27.2</v>
      </c>
      <c r="AL129">
        <v>8.9</v>
      </c>
      <c r="AM129">
        <v>6.6500000000000004E-2</v>
      </c>
      <c r="AN129">
        <v>7.7499999999999999E-2</v>
      </c>
      <c r="AO129">
        <v>5.2499999999999998E-2</v>
      </c>
      <c r="AP129">
        <v>6.7000000000000004E-2</v>
      </c>
      <c r="AQ129">
        <v>5.7500000000000002E-2</v>
      </c>
      <c r="AR129">
        <v>6.6500000000000004E-2</v>
      </c>
      <c r="AS129">
        <v>0.77600000000000002</v>
      </c>
      <c r="AT129">
        <v>3.76</v>
      </c>
      <c r="AU129">
        <v>0.249</v>
      </c>
      <c r="AV129">
        <v>7.6499999999999999E-2</v>
      </c>
      <c r="AW129">
        <v>0.52600000000000002</v>
      </c>
      <c r="AX129">
        <v>74.599999999999994</v>
      </c>
      <c r="AY129">
        <v>6.6500000000000004E-2</v>
      </c>
      <c r="AZ129">
        <v>6.6500000000000004E-2</v>
      </c>
      <c r="BA129">
        <v>9.9000000000000005E-2</v>
      </c>
      <c r="BB129">
        <v>5.1999999999999998E-2</v>
      </c>
      <c r="BC129">
        <v>4.0149999999999998E-2</v>
      </c>
      <c r="BD129">
        <v>0.19350000000000001</v>
      </c>
      <c r="BE129">
        <v>6.6500000000000004E-2</v>
      </c>
      <c r="BF129">
        <v>6.6500000000000004E-2</v>
      </c>
      <c r="BG129">
        <v>9.5500000000000002E-2</v>
      </c>
      <c r="BH129">
        <v>7.0499999999999993E-2</v>
      </c>
      <c r="BI129">
        <v>8.7999999999999995E-2</v>
      </c>
      <c r="BJ129">
        <v>0.11700000000000001</v>
      </c>
      <c r="BK129">
        <f>SUM(Table1_1[[#This Row],[PFBA]:[diSAmPAP]])</f>
        <v>979.91745000000026</v>
      </c>
      <c r="BL129">
        <f>LOG(Table1_1[[#This Row],[PFBA]])</f>
        <v>-1.1771783546968955</v>
      </c>
      <c r="BM129">
        <f>LOG(Table1_1[[#This Row],[PFPeA]])</f>
        <v>-1.3283644033978703</v>
      </c>
      <c r="BN129">
        <f>LOG(Table1_1[[#This Row],[PFHxA]])</f>
        <v>-0.92628164965387738</v>
      </c>
      <c r="BO129">
        <f>LOG(Table1_1[[#This Row],[PFHpA]])</f>
        <v>-1.575118363368933</v>
      </c>
      <c r="BP129">
        <f>LOG(Table1_1[[#This Row],[PFOA]])</f>
        <v>-0.10790539730951958</v>
      </c>
      <c r="BQ129">
        <f>LOG(Table1_1[[#This Row],[PFNA]])</f>
        <v>-0.41005039867429227</v>
      </c>
      <c r="BR129">
        <f>LOG(Table1_1[[#This Row],[PFDA]])</f>
        <v>0.58206336291170868</v>
      </c>
      <c r="BS129">
        <f>LOG(Table1_1[[#This Row],[PFUnA]])</f>
        <v>0.83378437465647892</v>
      </c>
      <c r="BT129">
        <f>LOG(Table1_1[[#This Row],[PFDoA]])</f>
        <v>1.0899051114393981</v>
      </c>
      <c r="BU129">
        <f>LOG(Table1_1[[#This Row],[PFTrDA]])</f>
        <v>0.60530504614110947</v>
      </c>
      <c r="BV129">
        <f>LOG(Table1_1[[#This Row],[PFTeDA]])</f>
        <v>1.1238516409670858</v>
      </c>
      <c r="BW129">
        <f>LOG(Table1_1[[#This Row],[PFHxDA]])</f>
        <v>-1.1023729087095586</v>
      </c>
      <c r="BX129">
        <f>LOG(Table1_1[[#This Row],[PFPrS]])</f>
        <v>-1.1771783546968955</v>
      </c>
      <c r="BY129">
        <f>LOG(Table1_1[[#This Row],[PFBS]])</f>
        <v>-1.344381416458778</v>
      </c>
      <c r="BZ129">
        <f>LOG(Table1_1[[#This Row],[PFPeS]])</f>
        <v>-0.65856547542185984</v>
      </c>
      <c r="CA129">
        <f>LOG(Table1_1[[#This Row],[PFHxS]])</f>
        <v>1.0413926851582251</v>
      </c>
      <c r="CB129">
        <f>LOG(Table1_1[[#This Row],[PFHpS]])</f>
        <v>0.53781909507327419</v>
      </c>
      <c r="CC129">
        <f>LOG(Table1_1[[#This Row],[PFOS]])</f>
        <v>2.8898617212581885</v>
      </c>
      <c r="CD129">
        <f>LOG(Table1_1[[#This Row],[PFNS]])</f>
        <v>0.73479982958884693</v>
      </c>
      <c r="CE129">
        <f>LOG(Table1_1[[#This Row],[PFDS]])</f>
        <v>0.78318869107525757</v>
      </c>
      <c r="CF129">
        <f>LOG(Table1_1[[#This Row],[PFDoS]])</f>
        <v>0.2576785748691845</v>
      </c>
      <c r="CG129">
        <f>LOG(Table1_1[[#This Row],[Cl-PFOS]])</f>
        <v>-0.87451873429940596</v>
      </c>
      <c r="CH129">
        <f>LOG(Table1_1[[#This Row],[PFEtCHxS]])</f>
        <v>-0.65856547542185984</v>
      </c>
      <c r="CI129">
        <f>LOG(Table1_1[[#This Row],[FBSA]])</f>
        <v>1.209515014542631</v>
      </c>
      <c r="CJ129">
        <f>LOG(Table1_1[[#This Row],[FHxSA]])</f>
        <v>1.4345689040341987</v>
      </c>
      <c r="CK129">
        <f>LOG(Table1_1[[#This Row],[FOSA]])</f>
        <v>0.9493900066449128</v>
      </c>
      <c r="CL129">
        <f>LOG(Table1_1[[#This Row],[N-MeFOSA]])</f>
        <v>-1.1771783546968955</v>
      </c>
      <c r="CM129">
        <f>LOG(Table1_1[[#This Row],[N-EtFOSA]])</f>
        <v>-1.1106982974936896</v>
      </c>
      <c r="CN129">
        <f>LOG(Table1_1[[#This Row],[FOSAA]])</f>
        <v>-1.2798406965940432</v>
      </c>
      <c r="CO129">
        <f>LOG(Table1_1[[#This Row],[N-MeFOSAA]])</f>
        <v>-1.1739251972991736</v>
      </c>
      <c r="CP129">
        <f>LOG(Table1_1[[#This Row],[N-EtFOSAA]])</f>
        <v>-1.2403321553103694</v>
      </c>
      <c r="CQ129">
        <f>LOG(Table1_1[[#This Row],[4:2 FTS]])</f>
        <v>-1.1771783546968955</v>
      </c>
      <c r="CR129">
        <f>LOG(Table1_1[[#This Row],[6:2 FTS]])</f>
        <v>-0.11013827874181155</v>
      </c>
      <c r="CS129">
        <f>LOG(Table1_1[[#This Row],[8:2 FTS]])</f>
        <v>0.57518784492766106</v>
      </c>
      <c r="CT129">
        <f>LOG(Table1_1[[#This Row],[10:2 FTS]])</f>
        <v>-0.60380065290426366</v>
      </c>
      <c r="CU129">
        <f>LOG(Table1_1[[#This Row],[3:3 FTCA]])</f>
        <v>-1.1163385648463824</v>
      </c>
      <c r="CV129">
        <f>LOG(Table1_1[[#This Row],[5:3 FTCA]])</f>
        <v>-0.27901425584626094</v>
      </c>
      <c r="CW129">
        <f>LOG(Table1_1[[#This Row],[7:3 FTCA]])</f>
        <v>1.8727388274726688</v>
      </c>
      <c r="CX129">
        <f>LOG(Table1_1[[#This Row],[6:2 FTCA]])</f>
        <v>-1.1771783546968955</v>
      </c>
      <c r="CY129">
        <f>LOG(Table1_1[[#This Row],[8:2 FTCA]])</f>
        <v>-1.1771783546968955</v>
      </c>
      <c r="CZ129">
        <f>LOG(Table1_1[[#This Row],[10:2 FTCA]])</f>
        <v>-1.0043648054024501</v>
      </c>
      <c r="DA129">
        <f>LOG(Table1_1[[#This Row],[6:2 FTUCA]])</f>
        <v>-1.2839966563652008</v>
      </c>
      <c r="DB129">
        <f>LOG(Table1_1[[#This Row],[8:2 FTUCA]])</f>
        <v>-1.3963144503853002</v>
      </c>
      <c r="DC129">
        <f>LOG(Table1_1[[#This Row],[ADONA]])</f>
        <v>-0.71331903064506974</v>
      </c>
      <c r="DD129">
        <f>LOG(Table1_1[[#This Row],[9Cl-PF3ONS]])</f>
        <v>-1.1771783546968955</v>
      </c>
      <c r="DE129">
        <f>LOG(Table1_1[[#This Row],[11Cl-PF3OUdS]])</f>
        <v>-1.1771783546968955</v>
      </c>
      <c r="DF129">
        <f>LOG(Table1_1[[#This Row],[HFPO-DA]])</f>
        <v>-1.0199966284162536</v>
      </c>
      <c r="DG129">
        <f>LOG(Table1_1[[#This Row],[6:2 diPAP]])</f>
        <v>-1.1518108830086013</v>
      </c>
      <c r="DH129">
        <f>LOG(Table1_1[[#This Row],[8:2 diPAP]])</f>
        <v>-1.0555173278498313</v>
      </c>
      <c r="DI129">
        <f>LOG(Table1_1[[#This Row],[diSAmPAP]])</f>
        <v>-0.9318141382538383</v>
      </c>
    </row>
    <row r="130" spans="1:113">
      <c r="A130" t="s">
        <v>282</v>
      </c>
      <c r="B130" t="s">
        <v>114</v>
      </c>
      <c r="C130" s="3">
        <v>44393</v>
      </c>
      <c r="D130" t="s">
        <v>226</v>
      </c>
      <c r="E130" t="s">
        <v>227</v>
      </c>
      <c r="F130" t="s">
        <v>228</v>
      </c>
      <c r="G130" t="s">
        <v>118</v>
      </c>
      <c r="H130" t="s">
        <v>119</v>
      </c>
      <c r="I130">
        <v>6</v>
      </c>
      <c r="J130">
        <f>LOG(Table1_1[[#This Row],[Length]])</f>
        <v>0.77815125038364363</v>
      </c>
      <c r="K130">
        <v>3.29</v>
      </c>
      <c r="L130">
        <f>LOG(Table1_1[[#This Row],[Weight]])</f>
        <v>0.51719589794997434</v>
      </c>
      <c r="M130">
        <v>0.23949999999999999</v>
      </c>
      <c r="N130">
        <v>5.1499999999999997E-2</v>
      </c>
      <c r="O130">
        <v>3.9149999999999997E-2</v>
      </c>
      <c r="P130">
        <v>9.6000000000000002E-2</v>
      </c>
      <c r="Q130">
        <v>0.623</v>
      </c>
      <c r="R130">
        <v>0.05</v>
      </c>
      <c r="S130">
        <v>3.43</v>
      </c>
      <c r="T130">
        <v>6.85</v>
      </c>
      <c r="U130">
        <v>13.3</v>
      </c>
      <c r="V130">
        <v>3.53</v>
      </c>
      <c r="W130">
        <v>12</v>
      </c>
      <c r="X130">
        <v>8.6499999999999994E-2</v>
      </c>
      <c r="Y130">
        <v>7.2499999999999995E-2</v>
      </c>
      <c r="Z130">
        <v>4.9399999999999999E-2</v>
      </c>
      <c r="AA130">
        <v>7.2499999999999995E-2</v>
      </c>
      <c r="AB130">
        <v>10.8</v>
      </c>
      <c r="AC130">
        <v>1.61</v>
      </c>
      <c r="AD130">
        <v>992</v>
      </c>
      <c r="AE130">
        <v>2.52</v>
      </c>
      <c r="AF130">
        <v>2.15</v>
      </c>
      <c r="AG130">
        <v>0.623</v>
      </c>
      <c r="AH130">
        <v>0.14549999999999999</v>
      </c>
      <c r="AI130">
        <v>0.23949999999999999</v>
      </c>
      <c r="AJ130">
        <v>28.2</v>
      </c>
      <c r="AK130">
        <v>54.6</v>
      </c>
      <c r="AL130">
        <v>9.0500000000000007</v>
      </c>
      <c r="AM130">
        <v>7.2499999999999995E-2</v>
      </c>
      <c r="AN130">
        <v>8.4500000000000006E-2</v>
      </c>
      <c r="AO130">
        <v>5.7000000000000002E-2</v>
      </c>
      <c r="AP130">
        <v>7.2999999999999995E-2</v>
      </c>
      <c r="AQ130">
        <v>6.3E-2</v>
      </c>
      <c r="AR130">
        <v>7.2499999999999995E-2</v>
      </c>
      <c r="AS130">
        <v>0.70899999999999996</v>
      </c>
      <c r="AT130">
        <v>4.3499999999999996</v>
      </c>
      <c r="AU130">
        <v>0.27200000000000002</v>
      </c>
      <c r="AV130">
        <v>8.3500000000000005E-2</v>
      </c>
      <c r="AW130">
        <v>11</v>
      </c>
      <c r="AX130">
        <v>6.75</v>
      </c>
      <c r="AY130">
        <v>7.2499999999999995E-2</v>
      </c>
      <c r="AZ130">
        <v>7.2499999999999995E-2</v>
      </c>
      <c r="BA130">
        <v>0.1085</v>
      </c>
      <c r="BB130">
        <v>5.7000000000000002E-2</v>
      </c>
      <c r="BC130">
        <v>4.385E-2</v>
      </c>
      <c r="BD130">
        <v>0.21149999999999999</v>
      </c>
      <c r="BE130">
        <v>7.2499999999999995E-2</v>
      </c>
      <c r="BF130">
        <v>7.2499999999999995E-2</v>
      </c>
      <c r="BG130">
        <v>0.104</v>
      </c>
      <c r="BH130">
        <v>7.7499999999999999E-2</v>
      </c>
      <c r="BI130">
        <v>9.6000000000000002E-2</v>
      </c>
      <c r="BJ130">
        <v>0.1275</v>
      </c>
      <c r="BK130">
        <f>SUM(Table1_1[[#This Row],[PFBA]:[diSAmPAP]])</f>
        <v>1167.1309000000001</v>
      </c>
      <c r="BL130">
        <f>LOG(Table1_1[[#This Row],[PFBA]])</f>
        <v>-0.62069448224941803</v>
      </c>
      <c r="BM130">
        <f>LOG(Table1_1[[#This Row],[PFPeA]])</f>
        <v>-1.288192770958809</v>
      </c>
      <c r="BN130">
        <f>LOG(Table1_1[[#This Row],[PFHxA]])</f>
        <v>-1.4072682336060378</v>
      </c>
      <c r="BO130">
        <f>LOG(Table1_1[[#This Row],[PFHpA]])</f>
        <v>-1.0177287669604316</v>
      </c>
      <c r="BP130">
        <f>LOG(Table1_1[[#This Row],[PFOA]])</f>
        <v>-0.20551195334083039</v>
      </c>
      <c r="BQ130">
        <f>LOG(Table1_1[[#This Row],[PFNA]])</f>
        <v>-1.3010299956639813</v>
      </c>
      <c r="BR130">
        <f>LOG(Table1_1[[#This Row],[PFDA]])</f>
        <v>0.53529412004277055</v>
      </c>
      <c r="BS130">
        <f>LOG(Table1_1[[#This Row],[PFUnA]])</f>
        <v>0.83569057149242554</v>
      </c>
      <c r="BT130">
        <f>LOG(Table1_1[[#This Row],[PFDoA]])</f>
        <v>1.1238516409670858</v>
      </c>
      <c r="BU130">
        <f>LOG(Table1_1[[#This Row],[PFTrDA]])</f>
        <v>0.54777470538782258</v>
      </c>
      <c r="BV130">
        <f>LOG(Table1_1[[#This Row],[PFTeDA]])</f>
        <v>1.0791812460476249</v>
      </c>
      <c r="BW130">
        <f>LOG(Table1_1[[#This Row],[PFHxDA]])</f>
        <v>-1.0629838925351858</v>
      </c>
      <c r="BX130">
        <f>LOG(Table1_1[[#This Row],[PFPrS]])</f>
        <v>-1.1396619934290064</v>
      </c>
      <c r="BY130">
        <f>LOG(Table1_1[[#This Row],[PFBS]])</f>
        <v>-1.3062730510763532</v>
      </c>
      <c r="BZ130">
        <f>LOG(Table1_1[[#This Row],[PFPeS]])</f>
        <v>-1.1396619934290064</v>
      </c>
      <c r="CA130">
        <f>LOG(Table1_1[[#This Row],[PFHxS]])</f>
        <v>1.0334237554869496</v>
      </c>
      <c r="CB130">
        <f>LOG(Table1_1[[#This Row],[PFHpS]])</f>
        <v>0.20682587603184974</v>
      </c>
      <c r="CC130">
        <f>LOG(Table1_1[[#This Row],[PFOS]])</f>
        <v>2.9965116721541785</v>
      </c>
      <c r="CD130">
        <f>LOG(Table1_1[[#This Row],[PFNS]])</f>
        <v>0.40140054078154408</v>
      </c>
      <c r="CE130">
        <f>LOG(Table1_1[[#This Row],[PFDS]])</f>
        <v>0.33243845991560533</v>
      </c>
      <c r="CF130">
        <f>LOG(Table1_1[[#This Row],[PFDoS]])</f>
        <v>-0.20551195334083039</v>
      </c>
      <c r="CG130">
        <f>LOG(Table1_1[[#This Row],[Cl-PFOS]])</f>
        <v>-0.83713700667807389</v>
      </c>
      <c r="CH130">
        <f>LOG(Table1_1[[#This Row],[PFEtCHxS]])</f>
        <v>-0.62069448224941803</v>
      </c>
      <c r="CI130">
        <f>LOG(Table1_1[[#This Row],[FBSA]])</f>
        <v>1.4502491083193612</v>
      </c>
      <c r="CJ130">
        <f>LOG(Table1_1[[#This Row],[FHxSA]])</f>
        <v>1.7371926427047373</v>
      </c>
      <c r="CK130">
        <f>LOG(Table1_1[[#This Row],[FOSA]])</f>
        <v>0.9566485792052033</v>
      </c>
      <c r="CL130">
        <f>LOG(Table1_1[[#This Row],[N-MeFOSA]])</f>
        <v>-1.1396619934290064</v>
      </c>
      <c r="CM130">
        <f>LOG(Table1_1[[#This Row],[N-EtFOSA]])</f>
        <v>-1.0731432910503076</v>
      </c>
      <c r="CN130">
        <f>LOG(Table1_1[[#This Row],[FOSAA]])</f>
        <v>-1.2441251443275085</v>
      </c>
      <c r="CO130">
        <f>LOG(Table1_1[[#This Row],[N-MeFOSAA]])</f>
        <v>-1.1366771398795441</v>
      </c>
      <c r="CP130">
        <f>LOG(Table1_1[[#This Row],[N-EtFOSAA]])</f>
        <v>-1.2006594505464183</v>
      </c>
      <c r="CQ130">
        <f>LOG(Table1_1[[#This Row],[4:2 FTS]])</f>
        <v>-1.1396619934290064</v>
      </c>
      <c r="CR130">
        <f>LOG(Table1_1[[#This Row],[6:2 FTS]])</f>
        <v>-0.14935376481693349</v>
      </c>
      <c r="CS130">
        <f>LOG(Table1_1[[#This Row],[8:2 FTS]])</f>
        <v>0.63848925695463732</v>
      </c>
      <c r="CT130">
        <f>LOG(Table1_1[[#This Row],[10:2 FTS]])</f>
        <v>-0.56543109596580121</v>
      </c>
      <c r="CU130">
        <f>LOG(Table1_1[[#This Row],[3:3 FTCA]])</f>
        <v>-1.0783135245163979</v>
      </c>
      <c r="CV130">
        <f>LOG(Table1_1[[#This Row],[5:3 FTCA]])</f>
        <v>1.0413926851582251</v>
      </c>
      <c r="CW130">
        <f>LOG(Table1_1[[#This Row],[7:3 FTCA]])</f>
        <v>0.82930377283102497</v>
      </c>
      <c r="CX130">
        <f>LOG(Table1_1[[#This Row],[6:2 FTCA]])</f>
        <v>-1.1396619934290064</v>
      </c>
      <c r="CY130">
        <f>LOG(Table1_1[[#This Row],[8:2 FTCA]])</f>
        <v>-1.1396619934290064</v>
      </c>
      <c r="CZ130">
        <f>LOG(Table1_1[[#This Row],[10:2 FTCA]])</f>
        <v>-0.96457026181545169</v>
      </c>
      <c r="DA130">
        <f>LOG(Table1_1[[#This Row],[6:2 FTUCA]])</f>
        <v>-1.2441251443275085</v>
      </c>
      <c r="DB130">
        <f>LOG(Table1_1[[#This Row],[8:2 FTUCA]])</f>
        <v>-1.3580304022979406</v>
      </c>
      <c r="DC130">
        <f>LOG(Table1_1[[#This Row],[ADONA]])</f>
        <v>-0.67468962828893886</v>
      </c>
      <c r="DD130">
        <f>LOG(Table1_1[[#This Row],[9Cl-PF3ONS]])</f>
        <v>-1.1396619934290064</v>
      </c>
      <c r="DE130">
        <f>LOG(Table1_1[[#This Row],[11Cl-PF3OUdS]])</f>
        <v>-1.1396619934290064</v>
      </c>
      <c r="DF130">
        <f>LOG(Table1_1[[#This Row],[HFPO-DA]])</f>
        <v>-0.98296666070121963</v>
      </c>
      <c r="DG130">
        <f>LOG(Table1_1[[#This Row],[6:2 diPAP]])</f>
        <v>-1.1106982974936896</v>
      </c>
      <c r="DH130">
        <f>LOG(Table1_1[[#This Row],[8:2 diPAP]])</f>
        <v>-1.0177287669604316</v>
      </c>
      <c r="DI130">
        <f>LOG(Table1_1[[#This Row],[diSAmPAP]])</f>
        <v>-0.89448981523002602</v>
      </c>
    </row>
    <row r="131" spans="1:113">
      <c r="A131" t="s">
        <v>283</v>
      </c>
      <c r="B131" t="s">
        <v>114</v>
      </c>
      <c r="C131" s="3">
        <v>44393</v>
      </c>
      <c r="D131" t="s">
        <v>226</v>
      </c>
      <c r="E131" t="s">
        <v>227</v>
      </c>
      <c r="F131" t="s">
        <v>228</v>
      </c>
      <c r="G131" t="s">
        <v>118</v>
      </c>
      <c r="H131" t="s">
        <v>119</v>
      </c>
      <c r="I131">
        <v>6</v>
      </c>
      <c r="J131">
        <f>LOG(Table1_1[[#This Row],[Length]])</f>
        <v>0.77815125038364363</v>
      </c>
      <c r="K131">
        <v>5.55</v>
      </c>
      <c r="L131">
        <f>LOG(Table1_1[[#This Row],[Weight]])</f>
        <v>0.74429298312267622</v>
      </c>
      <c r="M131">
        <v>0.23150000000000001</v>
      </c>
      <c r="N131">
        <v>4.9500000000000002E-2</v>
      </c>
      <c r="O131">
        <v>3.7850000000000002E-2</v>
      </c>
      <c r="P131">
        <v>2.8049999999999999E-2</v>
      </c>
      <c r="Q131">
        <v>0.59299999999999997</v>
      </c>
      <c r="R131">
        <v>4.8500000000000001E-2</v>
      </c>
      <c r="S131">
        <v>3.36</v>
      </c>
      <c r="T131">
        <v>12.6</v>
      </c>
      <c r="U131">
        <v>18.399999999999999</v>
      </c>
      <c r="V131">
        <v>3.84</v>
      </c>
      <c r="W131">
        <v>9.34</v>
      </c>
      <c r="X131">
        <v>8.3500000000000005E-2</v>
      </c>
      <c r="Y131">
        <v>7.0000000000000007E-2</v>
      </c>
      <c r="Z131">
        <v>0.1575</v>
      </c>
      <c r="AA131">
        <v>0.23150000000000001</v>
      </c>
      <c r="AB131">
        <v>12.9</v>
      </c>
      <c r="AC131">
        <v>3.86</v>
      </c>
      <c r="AD131">
        <v>573</v>
      </c>
      <c r="AE131">
        <v>1.3</v>
      </c>
      <c r="AF131">
        <v>1.57</v>
      </c>
      <c r="AG131">
        <v>0.2475</v>
      </c>
      <c r="AH131">
        <v>0.14050000000000001</v>
      </c>
      <c r="AI131">
        <v>0.23150000000000001</v>
      </c>
      <c r="AJ131">
        <v>30.9</v>
      </c>
      <c r="AK131">
        <v>135</v>
      </c>
      <c r="AL131">
        <v>11.4</v>
      </c>
      <c r="AM131">
        <v>7.0000000000000007E-2</v>
      </c>
      <c r="AN131">
        <v>8.2000000000000003E-2</v>
      </c>
      <c r="AO131">
        <v>5.5E-2</v>
      </c>
      <c r="AP131">
        <v>0.23250000000000001</v>
      </c>
      <c r="AQ131">
        <v>6.0999999999999999E-2</v>
      </c>
      <c r="AR131">
        <v>7.0000000000000007E-2</v>
      </c>
      <c r="AS131">
        <v>0.85899999999999999</v>
      </c>
      <c r="AT131">
        <v>4.04</v>
      </c>
      <c r="AU131">
        <v>0.26250000000000001</v>
      </c>
      <c r="AV131">
        <v>8.1000000000000003E-2</v>
      </c>
      <c r="AW131">
        <v>5.2999999999999999E-2</v>
      </c>
      <c r="AX131">
        <v>2.87</v>
      </c>
      <c r="AY131">
        <v>0.57199999999999995</v>
      </c>
      <c r="AZ131">
        <v>7.0000000000000007E-2</v>
      </c>
      <c r="BA131">
        <v>0.1045</v>
      </c>
      <c r="BB131">
        <v>5.5E-2</v>
      </c>
      <c r="BC131">
        <v>4.2349999999999999E-2</v>
      </c>
      <c r="BD131">
        <v>6.2E-2</v>
      </c>
      <c r="BE131">
        <v>7.0000000000000007E-2</v>
      </c>
      <c r="BF131">
        <v>7.0000000000000007E-2</v>
      </c>
      <c r="BG131">
        <v>0.10050000000000001</v>
      </c>
      <c r="BH131">
        <v>7.4499999999999997E-2</v>
      </c>
      <c r="BI131">
        <v>9.2999999999999999E-2</v>
      </c>
      <c r="BJ131">
        <v>0.1235</v>
      </c>
      <c r="BK131">
        <f>SUM(Table1_1[[#This Row],[PFBA]:[diSAmPAP]])</f>
        <v>829.79375000000016</v>
      </c>
      <c r="BL131">
        <f>LOG(Table1_1[[#This Row],[PFBA]])</f>
        <v>-0.63544900464602805</v>
      </c>
      <c r="BM131">
        <f>LOG(Table1_1[[#This Row],[PFPeA]])</f>
        <v>-1.3053948010664314</v>
      </c>
      <c r="BN131">
        <f>LOG(Table1_1[[#This Row],[PFHxA]])</f>
        <v>-1.4219341161639085</v>
      </c>
      <c r="BO131">
        <f>LOG(Table1_1[[#This Row],[PFHpA]])</f>
        <v>-1.5520671344078198</v>
      </c>
      <c r="BP131">
        <f>LOG(Table1_1[[#This Row],[PFOA]])</f>
        <v>-0.22694530663573742</v>
      </c>
      <c r="BQ131">
        <f>LOG(Table1_1[[#This Row],[PFNA]])</f>
        <v>-1.3142582613977363</v>
      </c>
      <c r="BR131">
        <f>LOG(Table1_1[[#This Row],[PFDA]])</f>
        <v>0.52633927738984398</v>
      </c>
      <c r="BS131">
        <f>LOG(Table1_1[[#This Row],[PFUnA]])</f>
        <v>1.1003705451175629</v>
      </c>
      <c r="BT131">
        <f>LOG(Table1_1[[#This Row],[PFDoA]])</f>
        <v>1.2648178230095364</v>
      </c>
      <c r="BU131">
        <f>LOG(Table1_1[[#This Row],[PFTrDA]])</f>
        <v>0.58433122436753082</v>
      </c>
      <c r="BV131">
        <f>LOG(Table1_1[[#This Row],[PFTeDA]])</f>
        <v>0.9703468762300933</v>
      </c>
      <c r="BW131">
        <f>LOG(Table1_1[[#This Row],[PFHxDA]])</f>
        <v>-1.0783135245163979</v>
      </c>
      <c r="BX131">
        <f>LOG(Table1_1[[#This Row],[PFPrS]])</f>
        <v>-1.1549019599857431</v>
      </c>
      <c r="BY131">
        <f>LOG(Table1_1[[#This Row],[PFBS]])</f>
        <v>-0.80271944187438071</v>
      </c>
      <c r="BZ131">
        <f>LOG(Table1_1[[#This Row],[PFPeS]])</f>
        <v>-0.63544900464602805</v>
      </c>
      <c r="CA131">
        <f>LOG(Table1_1[[#This Row],[PFHxS]])</f>
        <v>1.110589710299249</v>
      </c>
      <c r="CB131">
        <f>LOG(Table1_1[[#This Row],[PFHpS]])</f>
        <v>0.58658730467175491</v>
      </c>
      <c r="CC131">
        <f>LOG(Table1_1[[#This Row],[PFOS]])</f>
        <v>2.7581546219673898</v>
      </c>
      <c r="CD131">
        <f>LOG(Table1_1[[#This Row],[PFNS]])</f>
        <v>0.11394335230683679</v>
      </c>
      <c r="CE131">
        <f>LOG(Table1_1[[#This Row],[PFDS]])</f>
        <v>0.19589965240923377</v>
      </c>
      <c r="CF131">
        <f>LOG(Table1_1[[#This Row],[PFDoS]])</f>
        <v>-0.6064247967304125</v>
      </c>
      <c r="CG131">
        <f>LOG(Table1_1[[#This Row],[Cl-PFOS]])</f>
        <v>-0.85232367575890122</v>
      </c>
      <c r="CH131">
        <f>LOG(Table1_1[[#This Row],[PFEtCHxS]])</f>
        <v>-0.63544900464602805</v>
      </c>
      <c r="CI131">
        <f>LOG(Table1_1[[#This Row],[FBSA]])</f>
        <v>1.4899584794248346</v>
      </c>
      <c r="CJ131">
        <f>LOG(Table1_1[[#This Row],[FHxSA]])</f>
        <v>2.1303337684950061</v>
      </c>
      <c r="CK131">
        <f>LOG(Table1_1[[#This Row],[FOSA]])</f>
        <v>1.0569048513364727</v>
      </c>
      <c r="CL131">
        <f>LOG(Table1_1[[#This Row],[N-MeFOSA]])</f>
        <v>-1.1549019599857431</v>
      </c>
      <c r="CM131">
        <f>LOG(Table1_1[[#This Row],[N-EtFOSA]])</f>
        <v>-1.0861861476162833</v>
      </c>
      <c r="CN131">
        <f>LOG(Table1_1[[#This Row],[FOSAA]])</f>
        <v>-1.2596373105057561</v>
      </c>
      <c r="CO131">
        <f>LOG(Table1_1[[#This Row],[N-MeFOSAA]])</f>
        <v>-0.63357704277402727</v>
      </c>
      <c r="CP131">
        <f>LOG(Table1_1[[#This Row],[N-EtFOSAA]])</f>
        <v>-1.2146701649892331</v>
      </c>
      <c r="CQ131">
        <f>LOG(Table1_1[[#This Row],[4:2 FTS]])</f>
        <v>-1.1549019599857431</v>
      </c>
      <c r="CR131">
        <f>LOG(Table1_1[[#This Row],[6:2 FTS]])</f>
        <v>-6.6006836168757702E-2</v>
      </c>
      <c r="CS131">
        <f>LOG(Table1_1[[#This Row],[8:2 FTS]])</f>
        <v>0.60638136511060492</v>
      </c>
      <c r="CT131">
        <f>LOG(Table1_1[[#This Row],[10:2 FTS]])</f>
        <v>-0.58087069225802435</v>
      </c>
      <c r="CU131">
        <f>LOG(Table1_1[[#This Row],[3:3 FTCA]])</f>
        <v>-1.0915149811213503</v>
      </c>
      <c r="CV131">
        <f>LOG(Table1_1[[#This Row],[5:3 FTCA]])</f>
        <v>-1.2757241303992111</v>
      </c>
      <c r="CW131">
        <f>LOG(Table1_1[[#This Row],[7:3 FTCA]])</f>
        <v>0.45788189673399232</v>
      </c>
      <c r="CX131">
        <f>LOG(Table1_1[[#This Row],[6:2 FTCA]])</f>
        <v>-0.24260397120697583</v>
      </c>
      <c r="CY131">
        <f>LOG(Table1_1[[#This Row],[8:2 FTCA]])</f>
        <v>-1.1549019599857431</v>
      </c>
      <c r="CZ131">
        <f>LOG(Table1_1[[#This Row],[10:2 FTCA]])</f>
        <v>-0.98088370955292725</v>
      </c>
      <c r="DA131">
        <f>LOG(Table1_1[[#This Row],[6:2 FTUCA]])</f>
        <v>-1.2596373105057561</v>
      </c>
      <c r="DB131">
        <f>LOG(Table1_1[[#This Row],[8:2 FTUCA]])</f>
        <v>-1.3731465853332743</v>
      </c>
      <c r="DC131">
        <f>LOG(Table1_1[[#This Row],[ADONA]])</f>
        <v>-1.2076083105017461</v>
      </c>
      <c r="DD131">
        <f>LOG(Table1_1[[#This Row],[9Cl-PF3ONS]])</f>
        <v>-1.1549019599857431</v>
      </c>
      <c r="DE131">
        <f>LOG(Table1_1[[#This Row],[11Cl-PF3OUdS]])</f>
        <v>-1.1549019599857431</v>
      </c>
      <c r="DF131">
        <f>LOG(Table1_1[[#This Row],[HFPO-DA]])</f>
        <v>-0.99783393824349231</v>
      </c>
      <c r="DG131">
        <f>LOG(Table1_1[[#This Row],[6:2 diPAP]])</f>
        <v>-1.1278437272517072</v>
      </c>
      <c r="DH131">
        <f>LOG(Table1_1[[#This Row],[8:2 diPAP]])</f>
        <v>-1.031517051446065</v>
      </c>
      <c r="DI131">
        <f>LOG(Table1_1[[#This Row],[diSAmPAP]])</f>
        <v>-0.90833304240431545</v>
      </c>
    </row>
    <row r="132" spans="1:113">
      <c r="A132" t="s">
        <v>284</v>
      </c>
      <c r="B132" t="s">
        <v>114</v>
      </c>
      <c r="C132" s="3">
        <v>44393</v>
      </c>
      <c r="D132" t="s">
        <v>226</v>
      </c>
      <c r="E132" t="s">
        <v>227</v>
      </c>
      <c r="F132" t="s">
        <v>228</v>
      </c>
      <c r="G132" t="s">
        <v>118</v>
      </c>
      <c r="H132" t="s">
        <v>119</v>
      </c>
      <c r="I132">
        <v>5</v>
      </c>
      <c r="J132">
        <f>LOG(Table1_1[[#This Row],[Length]])</f>
        <v>0.69897000433601886</v>
      </c>
      <c r="K132">
        <v>4.68</v>
      </c>
      <c r="L132">
        <f>LOG(Table1_1[[#This Row],[Weight]])</f>
        <v>0.67024585307412399</v>
      </c>
      <c r="M132">
        <v>0.217</v>
      </c>
      <c r="N132">
        <v>4.6449999999999998E-2</v>
      </c>
      <c r="O132">
        <v>0.11700000000000001</v>
      </c>
      <c r="P132">
        <v>8.6499999999999994E-2</v>
      </c>
      <c r="Q132">
        <v>1.04</v>
      </c>
      <c r="R132">
        <v>0.30399999999999999</v>
      </c>
      <c r="S132">
        <v>3.19</v>
      </c>
      <c r="T132">
        <v>5.88</v>
      </c>
      <c r="U132">
        <v>14.5</v>
      </c>
      <c r="V132">
        <v>3.51</v>
      </c>
      <c r="W132">
        <v>9.32</v>
      </c>
      <c r="X132">
        <v>7.85E-2</v>
      </c>
      <c r="Y132">
        <v>6.5500000000000003E-2</v>
      </c>
      <c r="Z132">
        <v>0.437</v>
      </c>
      <c r="AA132">
        <v>0.217</v>
      </c>
      <c r="AB132">
        <v>15.2</v>
      </c>
      <c r="AC132">
        <v>2.78</v>
      </c>
      <c r="AD132">
        <v>899</v>
      </c>
      <c r="AE132">
        <v>1.94</v>
      </c>
      <c r="AF132">
        <v>3.03</v>
      </c>
      <c r="AG132">
        <v>1.1599999999999999</v>
      </c>
      <c r="AH132">
        <v>0.13200000000000001</v>
      </c>
      <c r="AI132">
        <v>0.217</v>
      </c>
      <c r="AJ132">
        <v>31.3</v>
      </c>
      <c r="AK132">
        <v>70.5</v>
      </c>
      <c r="AL132">
        <v>11.6</v>
      </c>
      <c r="AM132">
        <v>6.5500000000000003E-2</v>
      </c>
      <c r="AN132">
        <v>7.6499999999999999E-2</v>
      </c>
      <c r="AO132">
        <v>5.1999999999999998E-2</v>
      </c>
      <c r="AP132">
        <v>6.6000000000000003E-2</v>
      </c>
      <c r="AQ132">
        <v>5.7000000000000002E-2</v>
      </c>
      <c r="AR132">
        <v>6.5500000000000003E-2</v>
      </c>
      <c r="AS132">
        <v>1.27</v>
      </c>
      <c r="AT132">
        <v>3.82</v>
      </c>
      <c r="AU132">
        <v>0.52500000000000002</v>
      </c>
      <c r="AV132">
        <v>7.5999999999999998E-2</v>
      </c>
      <c r="AW132">
        <v>0.82499999999999996</v>
      </c>
      <c r="AX132">
        <v>6.5500000000000003E-2</v>
      </c>
      <c r="AY132">
        <v>6.5500000000000003E-2</v>
      </c>
      <c r="AZ132">
        <v>6.5500000000000003E-2</v>
      </c>
      <c r="BA132">
        <v>9.8000000000000004E-2</v>
      </c>
      <c r="BB132">
        <v>5.1499999999999997E-2</v>
      </c>
      <c r="BC132">
        <v>3.9699999999999999E-2</v>
      </c>
      <c r="BD132">
        <v>5.8000000000000003E-2</v>
      </c>
      <c r="BE132">
        <v>6.5500000000000003E-2</v>
      </c>
      <c r="BF132">
        <v>6.5500000000000003E-2</v>
      </c>
      <c r="BG132">
        <v>9.4500000000000001E-2</v>
      </c>
      <c r="BH132">
        <v>7.0000000000000007E-2</v>
      </c>
      <c r="BI132">
        <v>8.6999999999999994E-2</v>
      </c>
      <c r="BJ132">
        <v>0.11550000000000001</v>
      </c>
      <c r="BK132">
        <f>SUM(Table1_1[[#This Row],[PFBA]:[diSAmPAP]])</f>
        <v>1083.7081499999993</v>
      </c>
      <c r="BL132">
        <f>LOG(Table1_1[[#This Row],[PFBA]])</f>
        <v>-0.66354026615147055</v>
      </c>
      <c r="BM132">
        <f>LOG(Table1_1[[#This Row],[PFPeA]])</f>
        <v>-1.3330142816703394</v>
      </c>
      <c r="BN132">
        <f>LOG(Table1_1[[#This Row],[PFHxA]])</f>
        <v>-0.9318141382538383</v>
      </c>
      <c r="BO132">
        <f>LOG(Table1_1[[#This Row],[PFHpA]])</f>
        <v>-1.0629838925351858</v>
      </c>
      <c r="BP132">
        <f>LOG(Table1_1[[#This Row],[PFOA]])</f>
        <v>1.703333929878037E-2</v>
      </c>
      <c r="BQ132">
        <f>LOG(Table1_1[[#This Row],[PFNA]])</f>
        <v>-0.51712641639124624</v>
      </c>
      <c r="BR132">
        <f>LOG(Table1_1[[#This Row],[PFDA]])</f>
        <v>0.50379068305718111</v>
      </c>
      <c r="BS132">
        <f>LOG(Table1_1[[#This Row],[PFUnA]])</f>
        <v>0.76937732607613851</v>
      </c>
      <c r="BT132">
        <f>LOG(Table1_1[[#This Row],[PFDoA]])</f>
        <v>1.1613680022349748</v>
      </c>
      <c r="BU132">
        <f>LOG(Table1_1[[#This Row],[PFTrDA]])</f>
        <v>0.54530711646582408</v>
      </c>
      <c r="BV132">
        <f>LOG(Table1_1[[#This Row],[PFTeDA]])</f>
        <v>0.96941591235398139</v>
      </c>
      <c r="BW132">
        <f>LOG(Table1_1[[#This Row],[PFHxDA]])</f>
        <v>-1.1051303432547475</v>
      </c>
      <c r="BX132">
        <f>LOG(Table1_1[[#This Row],[PFPrS]])</f>
        <v>-1.1837587000082168</v>
      </c>
      <c r="BY132">
        <f>LOG(Table1_1[[#This Row],[PFBS]])</f>
        <v>-0.35951856302957819</v>
      </c>
      <c r="BZ132">
        <f>LOG(Table1_1[[#This Row],[PFPeS]])</f>
        <v>-0.66354026615147055</v>
      </c>
      <c r="CA132">
        <f>LOG(Table1_1[[#This Row],[PFHxS]])</f>
        <v>1.1818435879447726</v>
      </c>
      <c r="CB132">
        <f>LOG(Table1_1[[#This Row],[PFHpS]])</f>
        <v>0.44404479591807622</v>
      </c>
      <c r="CC132">
        <f>LOG(Table1_1[[#This Row],[PFOS]])</f>
        <v>2.9537596917332287</v>
      </c>
      <c r="CD132">
        <f>LOG(Table1_1[[#This Row],[PFNS]])</f>
        <v>0.28780172993022601</v>
      </c>
      <c r="CE132">
        <f>LOG(Table1_1[[#This Row],[PFDS]])</f>
        <v>0.48144262850230496</v>
      </c>
      <c r="CF132">
        <f>LOG(Table1_1[[#This Row],[PFDoS]])</f>
        <v>6.445798922691845E-2</v>
      </c>
      <c r="CG132">
        <f>LOG(Table1_1[[#This Row],[Cl-PFOS]])</f>
        <v>-0.87942606879415008</v>
      </c>
      <c r="CH132">
        <f>LOG(Table1_1[[#This Row],[PFEtCHxS]])</f>
        <v>-0.66354026615147055</v>
      </c>
      <c r="CI132">
        <f>LOG(Table1_1[[#This Row],[FBSA]])</f>
        <v>1.4955443375464486</v>
      </c>
      <c r="CJ132">
        <f>LOG(Table1_1[[#This Row],[FHxSA]])</f>
        <v>1.8481891169913987</v>
      </c>
      <c r="CK132">
        <f>LOG(Table1_1[[#This Row],[FOSA]])</f>
        <v>1.0644579892269184</v>
      </c>
      <c r="CL132">
        <f>LOG(Table1_1[[#This Row],[N-MeFOSA]])</f>
        <v>-1.1837587000082168</v>
      </c>
      <c r="CM132">
        <f>LOG(Table1_1[[#This Row],[N-EtFOSA]])</f>
        <v>-1.1163385648463824</v>
      </c>
      <c r="CN132">
        <f>LOG(Table1_1[[#This Row],[FOSAA]])</f>
        <v>-1.2839966563652008</v>
      </c>
      <c r="CO132">
        <f>LOG(Table1_1[[#This Row],[N-MeFOSAA]])</f>
        <v>-1.1804560644581312</v>
      </c>
      <c r="CP132">
        <f>LOG(Table1_1[[#This Row],[N-EtFOSAA]])</f>
        <v>-1.2441251443275085</v>
      </c>
      <c r="CQ132">
        <f>LOG(Table1_1[[#This Row],[4:2 FTS]])</f>
        <v>-1.1837587000082168</v>
      </c>
      <c r="CR132">
        <f>LOG(Table1_1[[#This Row],[6:2 FTS]])</f>
        <v>0.10380372095595687</v>
      </c>
      <c r="CS132">
        <f>LOG(Table1_1[[#This Row],[8:2 FTS]])</f>
        <v>0.58206336291170868</v>
      </c>
      <c r="CT132">
        <f>LOG(Table1_1[[#This Row],[10:2 FTS]])</f>
        <v>-0.27984069659404309</v>
      </c>
      <c r="CU132">
        <f>LOG(Table1_1[[#This Row],[3:3 FTCA]])</f>
        <v>-1.1191864077192086</v>
      </c>
      <c r="CV132">
        <f>LOG(Table1_1[[#This Row],[5:3 FTCA]])</f>
        <v>-8.3546051450074932E-2</v>
      </c>
      <c r="CW132">
        <f>LOG(Table1_1[[#This Row],[7:3 FTCA]])</f>
        <v>-1.1837587000082168</v>
      </c>
      <c r="CX132">
        <f>LOG(Table1_1[[#This Row],[6:2 FTCA]])</f>
        <v>-1.1837587000082168</v>
      </c>
      <c r="CY132">
        <f>LOG(Table1_1[[#This Row],[8:2 FTCA]])</f>
        <v>-1.1837587000082168</v>
      </c>
      <c r="CZ132">
        <f>LOG(Table1_1[[#This Row],[10:2 FTCA]])</f>
        <v>-1.0087739243075051</v>
      </c>
      <c r="DA132">
        <f>LOG(Table1_1[[#This Row],[6:2 FTUCA]])</f>
        <v>-1.288192770958809</v>
      </c>
      <c r="DB132">
        <f>LOG(Table1_1[[#This Row],[8:2 FTUCA]])</f>
        <v>-1.401209493236885</v>
      </c>
      <c r="DC132">
        <f>LOG(Table1_1[[#This Row],[ADONA]])</f>
        <v>-1.2365720064370627</v>
      </c>
      <c r="DD132">
        <f>LOG(Table1_1[[#This Row],[9Cl-PF3ONS]])</f>
        <v>-1.1837587000082168</v>
      </c>
      <c r="DE132">
        <f>LOG(Table1_1[[#This Row],[11Cl-PF3OUdS]])</f>
        <v>-1.1837587000082168</v>
      </c>
      <c r="DF132">
        <f>LOG(Table1_1[[#This Row],[HFPO-DA]])</f>
        <v>-1.024568191490737</v>
      </c>
      <c r="DG132">
        <f>LOG(Table1_1[[#This Row],[6:2 diPAP]])</f>
        <v>-1.1549019599857431</v>
      </c>
      <c r="DH132">
        <f>LOG(Table1_1[[#This Row],[8:2 diPAP]])</f>
        <v>-1.0604807473813815</v>
      </c>
      <c r="DI132">
        <f>LOG(Table1_1[[#This Row],[diSAmPAP]])</f>
        <v>-0.93741801577183692</v>
      </c>
    </row>
    <row r="133" spans="1:113">
      <c r="A133" t="s">
        <v>285</v>
      </c>
      <c r="B133" t="s">
        <v>114</v>
      </c>
      <c r="C133" s="3">
        <v>44393</v>
      </c>
      <c r="D133" t="s">
        <v>226</v>
      </c>
      <c r="E133" t="s">
        <v>227</v>
      </c>
      <c r="F133" t="s">
        <v>228</v>
      </c>
      <c r="G133" t="s">
        <v>118</v>
      </c>
      <c r="H133" t="s">
        <v>119</v>
      </c>
      <c r="I133">
        <v>8</v>
      </c>
      <c r="J133">
        <f>LOG(Table1_1[[#This Row],[Length]])</f>
        <v>0.90308998699194354</v>
      </c>
      <c r="K133">
        <v>9.56</v>
      </c>
      <c r="L133">
        <f>LOG(Table1_1[[#This Row],[Weight]])</f>
        <v>0.98045789227610014</v>
      </c>
      <c r="M133">
        <v>0.22650000000000001</v>
      </c>
      <c r="N133">
        <v>4.8500000000000001E-2</v>
      </c>
      <c r="O133">
        <v>0.122</v>
      </c>
      <c r="P133">
        <v>2.7449999999999999E-2</v>
      </c>
      <c r="Q133">
        <v>0.61599999999999999</v>
      </c>
      <c r="R133">
        <v>0.1565</v>
      </c>
      <c r="S133">
        <v>5.42</v>
      </c>
      <c r="T133">
        <v>8.93</v>
      </c>
      <c r="U133">
        <v>30.1</v>
      </c>
      <c r="V133">
        <v>6.45</v>
      </c>
      <c r="W133">
        <v>27.6</v>
      </c>
      <c r="X133">
        <v>8.2000000000000003E-2</v>
      </c>
      <c r="Y133">
        <v>6.8500000000000005E-2</v>
      </c>
      <c r="Z133">
        <v>0.51200000000000001</v>
      </c>
      <c r="AA133">
        <v>0.22650000000000001</v>
      </c>
      <c r="AB133">
        <v>9.64</v>
      </c>
      <c r="AC133">
        <v>1.07</v>
      </c>
      <c r="AD133">
        <v>761</v>
      </c>
      <c r="AE133">
        <v>1.77</v>
      </c>
      <c r="AF133">
        <v>2.39</v>
      </c>
      <c r="AG133">
        <v>0.55500000000000005</v>
      </c>
      <c r="AH133">
        <v>0.13750000000000001</v>
      </c>
      <c r="AI133">
        <v>0.22650000000000001</v>
      </c>
      <c r="AJ133">
        <v>31</v>
      </c>
      <c r="AK133">
        <v>42.3</v>
      </c>
      <c r="AL133">
        <v>8.76</v>
      </c>
      <c r="AM133">
        <v>6.8500000000000005E-2</v>
      </c>
      <c r="AN133">
        <v>0.08</v>
      </c>
      <c r="AO133">
        <v>5.3999999999999999E-2</v>
      </c>
      <c r="AP133">
        <v>6.9000000000000006E-2</v>
      </c>
      <c r="AQ133">
        <v>5.9499999999999997E-2</v>
      </c>
      <c r="AR133">
        <v>6.8500000000000005E-2</v>
      </c>
      <c r="AS133">
        <v>0.39700000000000002</v>
      </c>
      <c r="AT133">
        <v>3.01</v>
      </c>
      <c r="AU133">
        <v>0.25700000000000001</v>
      </c>
      <c r="AV133">
        <v>7.9000000000000001E-2</v>
      </c>
      <c r="AW133">
        <v>1.28</v>
      </c>
      <c r="AX133">
        <v>8.32</v>
      </c>
      <c r="AY133">
        <v>6.8500000000000005E-2</v>
      </c>
      <c r="AZ133">
        <v>6.8500000000000005E-2</v>
      </c>
      <c r="BA133">
        <v>0.10249999999999999</v>
      </c>
      <c r="BB133">
        <v>5.3999999999999999E-2</v>
      </c>
      <c r="BC133">
        <v>4.1500000000000002E-2</v>
      </c>
      <c r="BD133">
        <v>6.0499999999999998E-2</v>
      </c>
      <c r="BE133">
        <v>6.8500000000000005E-2</v>
      </c>
      <c r="BF133">
        <v>6.8500000000000005E-2</v>
      </c>
      <c r="BG133">
        <v>9.8500000000000004E-2</v>
      </c>
      <c r="BH133">
        <v>7.2999999999999995E-2</v>
      </c>
      <c r="BI133">
        <v>9.0999999999999998E-2</v>
      </c>
      <c r="BJ133">
        <v>0.121</v>
      </c>
      <c r="BK133">
        <f>SUM(Table1_1[[#This Row],[PFBA]:[diSAmPAP]])</f>
        <v>954.09344999999951</v>
      </c>
      <c r="BL133">
        <f>LOG(Table1_1[[#This Row],[PFBA]])</f>
        <v>-0.64493179365114928</v>
      </c>
      <c r="BM133">
        <f>LOG(Table1_1[[#This Row],[PFPeA]])</f>
        <v>-1.3142582613977363</v>
      </c>
      <c r="BN133">
        <f>LOG(Table1_1[[#This Row],[PFHxA]])</f>
        <v>-0.91364016932525183</v>
      </c>
      <c r="BO133">
        <f>LOG(Table1_1[[#This Row],[PFHpA]])</f>
        <v>-1.5614576512138894</v>
      </c>
      <c r="BP133">
        <f>LOG(Table1_1[[#This Row],[PFOA]])</f>
        <v>-0.21041928783557454</v>
      </c>
      <c r="BQ133">
        <f>LOG(Table1_1[[#This Row],[PFNA]])</f>
        <v>-0.8054856581175327</v>
      </c>
      <c r="BR133">
        <f>LOG(Table1_1[[#This Row],[PFDA]])</f>
        <v>0.73399928653838686</v>
      </c>
      <c r="BS133">
        <f>LOG(Table1_1[[#This Row],[PFUnA]])</f>
        <v>0.95085145888854639</v>
      </c>
      <c r="BT133">
        <f>LOG(Table1_1[[#This Row],[PFDoA]])</f>
        <v>1.4785664955938433</v>
      </c>
      <c r="BU133">
        <f>LOG(Table1_1[[#This Row],[PFTrDA]])</f>
        <v>0.80955971463526777</v>
      </c>
      <c r="BV133">
        <f>LOG(Table1_1[[#This Row],[PFTeDA]])</f>
        <v>1.4409090820652177</v>
      </c>
      <c r="BW133">
        <f>LOG(Table1_1[[#This Row],[PFHxDA]])</f>
        <v>-1.0861861476162833</v>
      </c>
      <c r="BX133">
        <f>LOG(Table1_1[[#This Row],[PFPrS]])</f>
        <v>-1.1643094285075744</v>
      </c>
      <c r="BY133">
        <f>LOG(Table1_1[[#This Row],[PFBS]])</f>
        <v>-0.29073003902416922</v>
      </c>
      <c r="BZ133">
        <f>LOG(Table1_1[[#This Row],[PFPeS]])</f>
        <v>-0.64493179365114928</v>
      </c>
      <c r="CA133">
        <f>LOG(Table1_1[[#This Row],[PFHxS]])</f>
        <v>0.98407703390283086</v>
      </c>
      <c r="CB133">
        <f>LOG(Table1_1[[#This Row],[PFHpS]])</f>
        <v>2.9383777685209667E-2</v>
      </c>
      <c r="CC133">
        <f>LOG(Table1_1[[#This Row],[PFOS]])</f>
        <v>2.8813846567705728</v>
      </c>
      <c r="CD133">
        <f>LOG(Table1_1[[#This Row],[PFNS]])</f>
        <v>0.24797326636180664</v>
      </c>
      <c r="CE133">
        <f>LOG(Table1_1[[#This Row],[PFDS]])</f>
        <v>0.37839790094813769</v>
      </c>
      <c r="CF133">
        <f>LOG(Table1_1[[#This Row],[PFDoS]])</f>
        <v>-0.25570701687732372</v>
      </c>
      <c r="CG133">
        <f>LOG(Table1_1[[#This Row],[Cl-PFOS]])</f>
        <v>-0.86169730183371851</v>
      </c>
      <c r="CH133">
        <f>LOG(Table1_1[[#This Row],[PFEtCHxS]])</f>
        <v>-0.64493179365114928</v>
      </c>
      <c r="CI133">
        <f>LOG(Table1_1[[#This Row],[FBSA]])</f>
        <v>1.4913616938342726</v>
      </c>
      <c r="CJ133">
        <f>LOG(Table1_1[[#This Row],[FHxSA]])</f>
        <v>1.6263403673750423</v>
      </c>
      <c r="CK133">
        <f>LOG(Table1_1[[#This Row],[FOSA]])</f>
        <v>0.94250410616808067</v>
      </c>
      <c r="CL133">
        <f>LOG(Table1_1[[#This Row],[N-MeFOSA]])</f>
        <v>-1.1643094285075744</v>
      </c>
      <c r="CM133">
        <f>LOG(Table1_1[[#This Row],[N-EtFOSA]])</f>
        <v>-1.0969100130080565</v>
      </c>
      <c r="CN133">
        <f>LOG(Table1_1[[#This Row],[FOSAA]])</f>
        <v>-1.2676062401770316</v>
      </c>
      <c r="CO133">
        <f>LOG(Table1_1[[#This Row],[N-MeFOSAA]])</f>
        <v>-1.1611509092627446</v>
      </c>
      <c r="CP133">
        <f>LOG(Table1_1[[#This Row],[N-EtFOSAA]])</f>
        <v>-1.2254830342714504</v>
      </c>
      <c r="CQ133">
        <f>LOG(Table1_1[[#This Row],[4:2 FTS]])</f>
        <v>-1.1643094285075744</v>
      </c>
      <c r="CR133">
        <f>LOG(Table1_1[[#This Row],[6:2 FTS]])</f>
        <v>-0.40120949323688493</v>
      </c>
      <c r="CS133">
        <f>LOG(Table1_1[[#This Row],[8:2 FTS]])</f>
        <v>0.47856649559384334</v>
      </c>
      <c r="CT133">
        <f>LOG(Table1_1[[#This Row],[10:2 FTS]])</f>
        <v>-0.5900668766687055</v>
      </c>
      <c r="CU133">
        <f>LOG(Table1_1[[#This Row],[3:3 FTCA]])</f>
        <v>-1.1023729087095586</v>
      </c>
      <c r="CV133">
        <f>LOG(Table1_1[[#This Row],[5:3 FTCA]])</f>
        <v>0.10720996964786837</v>
      </c>
      <c r="CW133">
        <f>LOG(Table1_1[[#This Row],[7:3 FTCA]])</f>
        <v>0.92012332629072391</v>
      </c>
      <c r="CX133">
        <f>LOG(Table1_1[[#This Row],[6:2 FTCA]])</f>
        <v>-1.1643094285075744</v>
      </c>
      <c r="CY133">
        <f>LOG(Table1_1[[#This Row],[8:2 FTCA]])</f>
        <v>-1.1643094285075744</v>
      </c>
      <c r="CZ133">
        <f>LOG(Table1_1[[#This Row],[10:2 FTCA]])</f>
        <v>-0.98927613460822694</v>
      </c>
      <c r="DA133">
        <f>LOG(Table1_1[[#This Row],[6:2 FTUCA]])</f>
        <v>-1.2676062401770316</v>
      </c>
      <c r="DB133">
        <f>LOG(Table1_1[[#This Row],[8:2 FTUCA]])</f>
        <v>-1.3819519032879073</v>
      </c>
      <c r="DC133">
        <f>LOG(Table1_1[[#This Row],[ADONA]])</f>
        <v>-1.2182446253475312</v>
      </c>
      <c r="DD133">
        <f>LOG(Table1_1[[#This Row],[9Cl-PF3ONS]])</f>
        <v>-1.1643094285075744</v>
      </c>
      <c r="DE133">
        <f>LOG(Table1_1[[#This Row],[11Cl-PF3OUdS]])</f>
        <v>-1.1643094285075744</v>
      </c>
      <c r="DF133">
        <f>LOG(Table1_1[[#This Row],[HFPO-DA]])</f>
        <v>-1.0065637695023884</v>
      </c>
      <c r="DG133">
        <f>LOG(Table1_1[[#This Row],[6:2 diPAP]])</f>
        <v>-1.1366771398795441</v>
      </c>
      <c r="DH133">
        <f>LOG(Table1_1[[#This Row],[8:2 diPAP]])</f>
        <v>-1.0409586076789064</v>
      </c>
      <c r="DI133">
        <f>LOG(Table1_1[[#This Row],[diSAmPAP]])</f>
        <v>-0.91721462968354994</v>
      </c>
    </row>
    <row r="134" spans="1:113">
      <c r="A134" t="s">
        <v>286</v>
      </c>
      <c r="B134" t="s">
        <v>114</v>
      </c>
      <c r="C134" s="3">
        <v>44393</v>
      </c>
      <c r="D134" t="s">
        <v>226</v>
      </c>
      <c r="E134" t="s">
        <v>227</v>
      </c>
      <c r="F134" t="s">
        <v>228</v>
      </c>
      <c r="G134" t="s">
        <v>118</v>
      </c>
      <c r="H134" t="s">
        <v>119</v>
      </c>
      <c r="I134">
        <v>8</v>
      </c>
      <c r="J134">
        <f>LOG(Table1_1[[#This Row],[Length]])</f>
        <v>0.90308998699194354</v>
      </c>
      <c r="K134">
        <v>11.85</v>
      </c>
      <c r="L134">
        <f>LOG(Table1_1[[#This Row],[Weight]])</f>
        <v>1.0737183503461227</v>
      </c>
      <c r="M134">
        <v>0.217</v>
      </c>
      <c r="N134">
        <v>4.6399999999999997E-2</v>
      </c>
      <c r="O134">
        <v>0.11700000000000001</v>
      </c>
      <c r="P134">
        <v>8.6499999999999994E-2</v>
      </c>
      <c r="Q134">
        <v>2.27</v>
      </c>
      <c r="R134">
        <v>1.26</v>
      </c>
      <c r="S134">
        <v>9.65</v>
      </c>
      <c r="T134">
        <v>11.1</v>
      </c>
      <c r="U134">
        <v>27.8</v>
      </c>
      <c r="V134">
        <v>6.47</v>
      </c>
      <c r="W134">
        <v>25.6</v>
      </c>
      <c r="X134">
        <v>0.25850000000000001</v>
      </c>
      <c r="Y134">
        <v>6.5500000000000003E-2</v>
      </c>
      <c r="Z134">
        <v>0.14749999999999999</v>
      </c>
      <c r="AA134">
        <v>0.217</v>
      </c>
      <c r="AB134">
        <v>24.8</v>
      </c>
      <c r="AC134">
        <v>2.2400000000000002</v>
      </c>
      <c r="AD134">
        <v>961</v>
      </c>
      <c r="AE134">
        <v>2.68</v>
      </c>
      <c r="AF134">
        <v>2.95</v>
      </c>
      <c r="AG134">
        <v>1.1499999999999999</v>
      </c>
      <c r="AH134">
        <v>0.13150000000000001</v>
      </c>
      <c r="AI134">
        <v>0.217</v>
      </c>
      <c r="AJ134">
        <v>32.9</v>
      </c>
      <c r="AK134">
        <v>63</v>
      </c>
      <c r="AL134">
        <v>13.8</v>
      </c>
      <c r="AM134">
        <v>6.5500000000000003E-2</v>
      </c>
      <c r="AN134">
        <v>7.6499999999999999E-2</v>
      </c>
      <c r="AO134">
        <v>5.1999999999999998E-2</v>
      </c>
      <c r="AP134">
        <v>0.218</v>
      </c>
      <c r="AQ134">
        <v>5.7000000000000002E-2</v>
      </c>
      <c r="AR134">
        <v>6.5500000000000003E-2</v>
      </c>
      <c r="AS134">
        <v>1.35</v>
      </c>
      <c r="AT134">
        <v>5.45</v>
      </c>
      <c r="AU134">
        <v>0.246</v>
      </c>
      <c r="AV134">
        <v>7.5999999999999998E-2</v>
      </c>
      <c r="AW134">
        <v>0.16350000000000001</v>
      </c>
      <c r="AX134">
        <v>2.74</v>
      </c>
      <c r="AY134">
        <v>6.5500000000000003E-2</v>
      </c>
      <c r="AZ134">
        <v>6.5500000000000003E-2</v>
      </c>
      <c r="BA134">
        <v>9.8000000000000004E-2</v>
      </c>
      <c r="BB134">
        <v>5.1499999999999997E-2</v>
      </c>
      <c r="BC134">
        <v>3.9699999999999999E-2</v>
      </c>
      <c r="BD134">
        <v>5.8000000000000003E-2</v>
      </c>
      <c r="BE134">
        <v>6.5500000000000003E-2</v>
      </c>
      <c r="BF134">
        <v>6.5500000000000003E-2</v>
      </c>
      <c r="BG134">
        <v>9.4500000000000001E-2</v>
      </c>
      <c r="BH134">
        <v>7.0000000000000007E-2</v>
      </c>
      <c r="BI134">
        <v>8.6999999999999994E-2</v>
      </c>
      <c r="BJ134">
        <v>0.11550000000000001</v>
      </c>
      <c r="BK134">
        <f>SUM(Table1_1[[#This Row],[PFBA]:[diSAmPAP]])</f>
        <v>1201.6100999999999</v>
      </c>
      <c r="BL134">
        <f>LOG(Table1_1[[#This Row],[PFBA]])</f>
        <v>-0.66354026615147055</v>
      </c>
      <c r="BM134">
        <f>LOG(Table1_1[[#This Row],[PFPeA]])</f>
        <v>-1.3334820194451191</v>
      </c>
      <c r="BN134">
        <f>LOG(Table1_1[[#This Row],[PFHxA]])</f>
        <v>-0.9318141382538383</v>
      </c>
      <c r="BO134">
        <f>LOG(Table1_1[[#This Row],[PFHpA]])</f>
        <v>-1.0629838925351858</v>
      </c>
      <c r="BP134">
        <f>LOG(Table1_1[[#This Row],[PFOA]])</f>
        <v>0.35602585719312274</v>
      </c>
      <c r="BQ134">
        <f>LOG(Table1_1[[#This Row],[PFNA]])</f>
        <v>0.10037054511756291</v>
      </c>
      <c r="BR134">
        <f>LOG(Table1_1[[#This Row],[PFDA]])</f>
        <v>0.98452731334379262</v>
      </c>
      <c r="BS134">
        <f>LOG(Table1_1[[#This Row],[PFUnA]])</f>
        <v>1.0453229787866574</v>
      </c>
      <c r="BT134">
        <f>LOG(Table1_1[[#This Row],[PFDoA]])</f>
        <v>1.4440447959180762</v>
      </c>
      <c r="BU134">
        <f>LOG(Table1_1[[#This Row],[PFTrDA]])</f>
        <v>0.81090428066870035</v>
      </c>
      <c r="BV134">
        <f>LOG(Table1_1[[#This Row],[PFTeDA]])</f>
        <v>1.4082399653118496</v>
      </c>
      <c r="BW134">
        <f>LOG(Table1_1[[#This Row],[PFHxDA]])</f>
        <v>-0.5875394525700387</v>
      </c>
      <c r="BX134">
        <f>LOG(Table1_1[[#This Row],[PFPrS]])</f>
        <v>-1.1837587000082168</v>
      </c>
      <c r="BY134">
        <f>LOG(Table1_1[[#This Row],[PFBS]])</f>
        <v>-0.83120797968581828</v>
      </c>
      <c r="BZ134">
        <f>LOG(Table1_1[[#This Row],[PFPeS]])</f>
        <v>-0.66354026615147055</v>
      </c>
      <c r="CA134">
        <f>LOG(Table1_1[[#This Row],[PFHxS]])</f>
        <v>1.3944516808262162</v>
      </c>
      <c r="CB134">
        <f>LOG(Table1_1[[#This Row],[PFHpS]])</f>
        <v>0.35024801833416286</v>
      </c>
      <c r="CC134">
        <f>LOG(Table1_1[[#This Row],[PFOS]])</f>
        <v>2.9827233876685453</v>
      </c>
      <c r="CD134">
        <f>LOG(Table1_1[[#This Row],[PFNS]])</f>
        <v>0.42813479402878885</v>
      </c>
      <c r="CE134">
        <f>LOG(Table1_1[[#This Row],[PFDS]])</f>
        <v>0.46982201597816303</v>
      </c>
      <c r="CF134">
        <f>LOG(Table1_1[[#This Row],[PFDoS]])</f>
        <v>6.069784035361165E-2</v>
      </c>
      <c r="CG134">
        <f>LOG(Table1_1[[#This Row],[Cl-PFOS]])</f>
        <v>-0.88107424717422334</v>
      </c>
      <c r="CH134">
        <f>LOG(Table1_1[[#This Row],[PFEtCHxS]])</f>
        <v>-0.66354026615147055</v>
      </c>
      <c r="CI134">
        <f>LOG(Table1_1[[#This Row],[FBSA]])</f>
        <v>1.5171958979499742</v>
      </c>
      <c r="CJ134">
        <f>LOG(Table1_1[[#This Row],[FHxSA]])</f>
        <v>1.7993405494535817</v>
      </c>
      <c r="CK134">
        <f>LOG(Table1_1[[#This Row],[FOSA]])</f>
        <v>1.1398790864012365</v>
      </c>
      <c r="CL134">
        <f>LOG(Table1_1[[#This Row],[N-MeFOSA]])</f>
        <v>-1.1837587000082168</v>
      </c>
      <c r="CM134">
        <f>LOG(Table1_1[[#This Row],[N-EtFOSA]])</f>
        <v>-1.1163385648463824</v>
      </c>
      <c r="CN134">
        <f>LOG(Table1_1[[#This Row],[FOSAA]])</f>
        <v>-1.2839966563652008</v>
      </c>
      <c r="CO134">
        <f>LOG(Table1_1[[#This Row],[N-MeFOSAA]])</f>
        <v>-0.66154350639539516</v>
      </c>
      <c r="CP134">
        <f>LOG(Table1_1[[#This Row],[N-EtFOSAA]])</f>
        <v>-1.2441251443275085</v>
      </c>
      <c r="CQ134">
        <f>LOG(Table1_1[[#This Row],[4:2 FTS]])</f>
        <v>-1.1837587000082168</v>
      </c>
      <c r="CR134">
        <f>LOG(Table1_1[[#This Row],[6:2 FTS]])</f>
        <v>0.13033376849500614</v>
      </c>
      <c r="CS134">
        <f>LOG(Table1_1[[#This Row],[8:2 FTS]])</f>
        <v>0.73639650227664244</v>
      </c>
      <c r="CT134">
        <f>LOG(Table1_1[[#This Row],[10:2 FTS]])</f>
        <v>-0.60906489289662091</v>
      </c>
      <c r="CU134">
        <f>LOG(Table1_1[[#This Row],[3:3 FTCA]])</f>
        <v>-1.1191864077192086</v>
      </c>
      <c r="CV134">
        <f>LOG(Table1_1[[#This Row],[5:3 FTCA]])</f>
        <v>-0.78648224300369507</v>
      </c>
      <c r="CW134">
        <f>LOG(Table1_1[[#This Row],[7:3 FTCA]])</f>
        <v>0.43775056282038799</v>
      </c>
      <c r="CX134">
        <f>LOG(Table1_1[[#This Row],[6:2 FTCA]])</f>
        <v>-1.1837587000082168</v>
      </c>
      <c r="CY134">
        <f>LOG(Table1_1[[#This Row],[8:2 FTCA]])</f>
        <v>-1.1837587000082168</v>
      </c>
      <c r="CZ134">
        <f>LOG(Table1_1[[#This Row],[10:2 FTCA]])</f>
        <v>-1.0087739243075051</v>
      </c>
      <c r="DA134">
        <f>LOG(Table1_1[[#This Row],[6:2 FTUCA]])</f>
        <v>-1.288192770958809</v>
      </c>
      <c r="DB134">
        <f>LOG(Table1_1[[#This Row],[8:2 FTUCA]])</f>
        <v>-1.401209493236885</v>
      </c>
      <c r="DC134">
        <f>LOG(Table1_1[[#This Row],[ADONA]])</f>
        <v>-1.2365720064370627</v>
      </c>
      <c r="DD134">
        <f>LOG(Table1_1[[#This Row],[9Cl-PF3ONS]])</f>
        <v>-1.1837587000082168</v>
      </c>
      <c r="DE134">
        <f>LOG(Table1_1[[#This Row],[11Cl-PF3OUdS]])</f>
        <v>-1.1837587000082168</v>
      </c>
      <c r="DF134">
        <f>LOG(Table1_1[[#This Row],[HFPO-DA]])</f>
        <v>-1.024568191490737</v>
      </c>
      <c r="DG134">
        <f>LOG(Table1_1[[#This Row],[6:2 diPAP]])</f>
        <v>-1.1549019599857431</v>
      </c>
      <c r="DH134">
        <f>LOG(Table1_1[[#This Row],[8:2 diPAP]])</f>
        <v>-1.0604807473813815</v>
      </c>
      <c r="DI134">
        <f>LOG(Table1_1[[#This Row],[diSAmPAP]])</f>
        <v>-0.93741801577183692</v>
      </c>
    </row>
    <row r="135" spans="1:113">
      <c r="A135" t="s">
        <v>287</v>
      </c>
      <c r="B135" t="s">
        <v>114</v>
      </c>
      <c r="C135" s="3">
        <v>44393</v>
      </c>
      <c r="D135" t="s">
        <v>226</v>
      </c>
      <c r="E135" t="s">
        <v>227</v>
      </c>
      <c r="F135" t="s">
        <v>228</v>
      </c>
      <c r="G135" t="s">
        <v>118</v>
      </c>
      <c r="H135" t="s">
        <v>119</v>
      </c>
      <c r="I135">
        <v>8</v>
      </c>
      <c r="J135">
        <f>LOG(Table1_1[[#This Row],[Length]])</f>
        <v>0.90308998699194354</v>
      </c>
      <c r="K135">
        <v>12.25</v>
      </c>
      <c r="L135">
        <f>LOG(Table1_1[[#This Row],[Weight]])</f>
        <v>1.0881360887005513</v>
      </c>
      <c r="M135">
        <v>0.23150000000000001</v>
      </c>
      <c r="N135">
        <v>4.9549999999999997E-2</v>
      </c>
      <c r="O135">
        <v>3.7850000000000002E-2</v>
      </c>
      <c r="P135">
        <v>2.8049999999999999E-2</v>
      </c>
      <c r="Q135">
        <v>3.05</v>
      </c>
      <c r="R135">
        <v>2.96</v>
      </c>
      <c r="S135">
        <v>7.22</v>
      </c>
      <c r="T135">
        <v>10.1</v>
      </c>
      <c r="U135">
        <v>22.4</v>
      </c>
      <c r="V135">
        <v>3.04</v>
      </c>
      <c r="W135">
        <v>15.4</v>
      </c>
      <c r="X135">
        <v>0.27600000000000002</v>
      </c>
      <c r="Y135">
        <v>7.0000000000000007E-2</v>
      </c>
      <c r="Z135">
        <v>0.1575</v>
      </c>
      <c r="AA135">
        <v>0.23150000000000001</v>
      </c>
      <c r="AB135">
        <v>54.1</v>
      </c>
      <c r="AC135">
        <v>5.19</v>
      </c>
      <c r="AD135">
        <v>660</v>
      </c>
      <c r="AE135">
        <v>3.51</v>
      </c>
      <c r="AF135">
        <v>3.66</v>
      </c>
      <c r="AG135">
        <v>0.66100000000000003</v>
      </c>
      <c r="AH135">
        <v>0.14050000000000001</v>
      </c>
      <c r="AI135">
        <v>0.505</v>
      </c>
      <c r="AJ135">
        <v>18.100000000000001</v>
      </c>
      <c r="AK135">
        <v>50.7</v>
      </c>
      <c r="AL135">
        <v>12.9</v>
      </c>
      <c r="AM135">
        <v>7.0000000000000007E-2</v>
      </c>
      <c r="AN135">
        <v>8.2000000000000003E-2</v>
      </c>
      <c r="AO135">
        <v>5.5500000000000001E-2</v>
      </c>
      <c r="AP135">
        <v>7.0499999999999993E-2</v>
      </c>
      <c r="AQ135">
        <v>6.0999999999999999E-2</v>
      </c>
      <c r="AR135">
        <v>7.0000000000000007E-2</v>
      </c>
      <c r="AS135">
        <v>1.0900000000000001</v>
      </c>
      <c r="AT135">
        <v>7.86</v>
      </c>
      <c r="AU135">
        <v>0.26250000000000001</v>
      </c>
      <c r="AV135">
        <v>8.1000000000000003E-2</v>
      </c>
      <c r="AW135">
        <v>5.2999999999999999E-2</v>
      </c>
      <c r="AX135">
        <v>2.0699999999999998</v>
      </c>
      <c r="AY135">
        <v>7.0000000000000007E-2</v>
      </c>
      <c r="AZ135">
        <v>7.0000000000000007E-2</v>
      </c>
      <c r="BA135">
        <v>0.1045</v>
      </c>
      <c r="BB135">
        <v>5.5E-2</v>
      </c>
      <c r="BC135">
        <v>4.2349999999999999E-2</v>
      </c>
      <c r="BD135">
        <v>6.2E-2</v>
      </c>
      <c r="BE135">
        <v>7.0000000000000007E-2</v>
      </c>
      <c r="BF135">
        <v>7.0000000000000007E-2</v>
      </c>
      <c r="BG135">
        <v>0.10050000000000001</v>
      </c>
      <c r="BH135">
        <v>7.4499999999999997E-2</v>
      </c>
      <c r="BI135">
        <v>9.2999999999999999E-2</v>
      </c>
      <c r="BJ135">
        <v>0.1235</v>
      </c>
      <c r="BK135">
        <f>SUM(Table1_1[[#This Row],[PFBA]:[diSAmPAP]])</f>
        <v>887.47930000000053</v>
      </c>
      <c r="BL135">
        <f>LOG(Table1_1[[#This Row],[PFBA]])</f>
        <v>-0.63544900464602805</v>
      </c>
      <c r="BM135">
        <f>LOG(Table1_1[[#This Row],[PFPeA]])</f>
        <v>-1.304956341178706</v>
      </c>
      <c r="BN135">
        <f>LOG(Table1_1[[#This Row],[PFHxA]])</f>
        <v>-1.4219341161639085</v>
      </c>
      <c r="BO135">
        <f>LOG(Table1_1[[#This Row],[PFHpA]])</f>
        <v>-1.5520671344078198</v>
      </c>
      <c r="BP135">
        <f>LOG(Table1_1[[#This Row],[PFOA]])</f>
        <v>0.48429983934678583</v>
      </c>
      <c r="BQ135">
        <f>LOG(Table1_1[[#This Row],[PFNA]])</f>
        <v>0.47129171105893858</v>
      </c>
      <c r="BR135">
        <f>LOG(Table1_1[[#This Row],[PFDA]])</f>
        <v>0.85853719756963909</v>
      </c>
      <c r="BS135">
        <f>LOG(Table1_1[[#This Row],[PFUnA]])</f>
        <v>1.0043213737826426</v>
      </c>
      <c r="BT135">
        <f>LOG(Table1_1[[#This Row],[PFDoA]])</f>
        <v>1.3502480183341627</v>
      </c>
      <c r="BU135">
        <f>LOG(Table1_1[[#This Row],[PFTrDA]])</f>
        <v>0.48287358360875376</v>
      </c>
      <c r="BV135">
        <f>LOG(Table1_1[[#This Row],[PFTeDA]])</f>
        <v>1.1875207208364631</v>
      </c>
      <c r="BW135">
        <f>LOG(Table1_1[[#This Row],[PFHxDA]])</f>
        <v>-0.55909091793478227</v>
      </c>
      <c r="BX135">
        <f>LOG(Table1_1[[#This Row],[PFPrS]])</f>
        <v>-1.1549019599857431</v>
      </c>
      <c r="BY135">
        <f>LOG(Table1_1[[#This Row],[PFBS]])</f>
        <v>-0.80271944187438071</v>
      </c>
      <c r="BZ135">
        <f>LOG(Table1_1[[#This Row],[PFPeS]])</f>
        <v>-0.63544900464602805</v>
      </c>
      <c r="CA135">
        <f>LOG(Table1_1[[#This Row],[PFHxS]])</f>
        <v>1.7331972651065695</v>
      </c>
      <c r="CB135">
        <f>LOG(Table1_1[[#This Row],[PFHpS]])</f>
        <v>0.71516735784845786</v>
      </c>
      <c r="CC135">
        <f>LOG(Table1_1[[#This Row],[PFOS]])</f>
        <v>2.8195439355418688</v>
      </c>
      <c r="CD135">
        <f>LOG(Table1_1[[#This Row],[PFNS]])</f>
        <v>0.54530711646582408</v>
      </c>
      <c r="CE135">
        <f>LOG(Table1_1[[#This Row],[PFDS]])</f>
        <v>0.56348108539441066</v>
      </c>
      <c r="CF135">
        <f>LOG(Table1_1[[#This Row],[PFDoS]])</f>
        <v>-0.17979854051435976</v>
      </c>
      <c r="CG135">
        <f>LOG(Table1_1[[#This Row],[Cl-PFOS]])</f>
        <v>-0.85232367575890122</v>
      </c>
      <c r="CH135">
        <f>LOG(Table1_1[[#This Row],[PFEtCHxS]])</f>
        <v>-0.29670862188133862</v>
      </c>
      <c r="CI135">
        <f>LOG(Table1_1[[#This Row],[FBSA]])</f>
        <v>1.2576785748691846</v>
      </c>
      <c r="CJ135">
        <f>LOG(Table1_1[[#This Row],[FHxSA]])</f>
        <v>1.705007959333336</v>
      </c>
      <c r="CK135">
        <f>LOG(Table1_1[[#This Row],[FOSA]])</f>
        <v>1.110589710299249</v>
      </c>
      <c r="CL135">
        <f>LOG(Table1_1[[#This Row],[N-MeFOSA]])</f>
        <v>-1.1549019599857431</v>
      </c>
      <c r="CM135">
        <f>LOG(Table1_1[[#This Row],[N-EtFOSA]])</f>
        <v>-1.0861861476162833</v>
      </c>
      <c r="CN135">
        <f>LOG(Table1_1[[#This Row],[FOSAA]])</f>
        <v>-1.2557070168773237</v>
      </c>
      <c r="CO135">
        <f>LOG(Table1_1[[#This Row],[N-MeFOSAA]])</f>
        <v>-1.1518108830086013</v>
      </c>
      <c r="CP135">
        <f>LOG(Table1_1[[#This Row],[N-EtFOSAA]])</f>
        <v>-1.2146701649892331</v>
      </c>
      <c r="CQ135">
        <f>LOG(Table1_1[[#This Row],[4:2 FTS]])</f>
        <v>-1.1549019599857431</v>
      </c>
      <c r="CR135">
        <f>LOG(Table1_1[[#This Row],[6:2 FTS]])</f>
        <v>3.7426497940623665E-2</v>
      </c>
      <c r="CS135">
        <f>LOG(Table1_1[[#This Row],[8:2 FTS]])</f>
        <v>0.89542254603940796</v>
      </c>
      <c r="CT135">
        <f>LOG(Table1_1[[#This Row],[10:2 FTS]])</f>
        <v>-0.58087069225802435</v>
      </c>
      <c r="CU135">
        <f>LOG(Table1_1[[#This Row],[3:3 FTCA]])</f>
        <v>-1.0915149811213503</v>
      </c>
      <c r="CV135">
        <f>LOG(Table1_1[[#This Row],[5:3 FTCA]])</f>
        <v>-1.2757241303992111</v>
      </c>
      <c r="CW135">
        <f>LOG(Table1_1[[#This Row],[7:3 FTCA]])</f>
        <v>0.31597034545691771</v>
      </c>
      <c r="CX135">
        <f>LOG(Table1_1[[#This Row],[6:2 FTCA]])</f>
        <v>-1.1549019599857431</v>
      </c>
      <c r="CY135">
        <f>LOG(Table1_1[[#This Row],[8:2 FTCA]])</f>
        <v>-1.1549019599857431</v>
      </c>
      <c r="CZ135">
        <f>LOG(Table1_1[[#This Row],[10:2 FTCA]])</f>
        <v>-0.98088370955292725</v>
      </c>
      <c r="DA135">
        <f>LOG(Table1_1[[#This Row],[6:2 FTUCA]])</f>
        <v>-1.2596373105057561</v>
      </c>
      <c r="DB135">
        <f>LOG(Table1_1[[#This Row],[8:2 FTUCA]])</f>
        <v>-1.3731465853332743</v>
      </c>
      <c r="DC135">
        <f>LOG(Table1_1[[#This Row],[ADONA]])</f>
        <v>-1.2076083105017461</v>
      </c>
      <c r="DD135">
        <f>LOG(Table1_1[[#This Row],[9Cl-PF3ONS]])</f>
        <v>-1.1549019599857431</v>
      </c>
      <c r="DE135">
        <f>LOG(Table1_1[[#This Row],[11Cl-PF3OUdS]])</f>
        <v>-1.1549019599857431</v>
      </c>
      <c r="DF135">
        <f>LOG(Table1_1[[#This Row],[HFPO-DA]])</f>
        <v>-0.99783393824349231</v>
      </c>
      <c r="DG135">
        <f>LOG(Table1_1[[#This Row],[6:2 diPAP]])</f>
        <v>-1.1278437272517072</v>
      </c>
      <c r="DH135">
        <f>LOG(Table1_1[[#This Row],[8:2 diPAP]])</f>
        <v>-1.031517051446065</v>
      </c>
      <c r="DI135">
        <f>LOG(Table1_1[[#This Row],[diSAmPAP]])</f>
        <v>-0.90833304240431545</v>
      </c>
    </row>
    <row r="136" spans="1:113">
      <c r="A136" t="s">
        <v>288</v>
      </c>
      <c r="B136" t="s">
        <v>114</v>
      </c>
      <c r="C136" s="3">
        <v>44393</v>
      </c>
      <c r="D136" t="s">
        <v>226</v>
      </c>
      <c r="E136" t="s">
        <v>227</v>
      </c>
      <c r="F136" t="s">
        <v>228</v>
      </c>
      <c r="G136" t="s">
        <v>118</v>
      </c>
      <c r="H136" t="s">
        <v>119</v>
      </c>
      <c r="I136">
        <v>8</v>
      </c>
      <c r="J136">
        <f>LOG(Table1_1[[#This Row],[Length]])</f>
        <v>0.90308998699194354</v>
      </c>
      <c r="K136">
        <v>12.21</v>
      </c>
      <c r="L136">
        <f>LOG(Table1_1[[#This Row],[Weight]])</f>
        <v>1.0867156639448825</v>
      </c>
      <c r="M136">
        <v>0.25</v>
      </c>
      <c r="N136">
        <v>5.3499999999999999E-2</v>
      </c>
      <c r="O136">
        <v>4.0899999999999999E-2</v>
      </c>
      <c r="P136">
        <v>3.0300000000000001E-2</v>
      </c>
      <c r="Q136">
        <v>0.36299999999999999</v>
      </c>
      <c r="R136">
        <v>0.17299999999999999</v>
      </c>
      <c r="S136">
        <v>2.0299999999999998</v>
      </c>
      <c r="T136">
        <v>2.83</v>
      </c>
      <c r="U136">
        <v>6.76</v>
      </c>
      <c r="V136">
        <v>2.86</v>
      </c>
      <c r="W136">
        <v>7.98</v>
      </c>
      <c r="X136">
        <v>9.0499999999999997E-2</v>
      </c>
      <c r="Y136">
        <v>7.5499999999999998E-2</v>
      </c>
      <c r="Z136">
        <v>0.17</v>
      </c>
      <c r="AA136">
        <v>7.5499999999999998E-2</v>
      </c>
      <c r="AB136">
        <v>7.18</v>
      </c>
      <c r="AC136">
        <v>1.66</v>
      </c>
      <c r="AD136">
        <v>441</v>
      </c>
      <c r="AE136">
        <v>1.45</v>
      </c>
      <c r="AF136">
        <v>1.38</v>
      </c>
      <c r="AG136">
        <v>1.47</v>
      </c>
      <c r="AH136">
        <v>4.6050000000000001E-2</v>
      </c>
      <c r="AI136">
        <v>0.25</v>
      </c>
      <c r="AJ136">
        <v>24.6</v>
      </c>
      <c r="AK136">
        <v>55.1</v>
      </c>
      <c r="AL136">
        <v>7.58</v>
      </c>
      <c r="AM136">
        <v>7.5499999999999998E-2</v>
      </c>
      <c r="AN136">
        <v>8.8499999999999995E-2</v>
      </c>
      <c r="AO136">
        <v>5.9499999999999997E-2</v>
      </c>
      <c r="AP136">
        <v>7.5999999999999998E-2</v>
      </c>
      <c r="AQ136">
        <v>6.5500000000000003E-2</v>
      </c>
      <c r="AR136">
        <v>7.5499999999999998E-2</v>
      </c>
      <c r="AS136">
        <v>0.151</v>
      </c>
      <c r="AT136">
        <v>1.62</v>
      </c>
      <c r="AU136">
        <v>0.28399999999999997</v>
      </c>
      <c r="AV136">
        <v>8.7499999999999994E-2</v>
      </c>
      <c r="AW136">
        <v>7.19</v>
      </c>
      <c r="AX136">
        <v>5.48</v>
      </c>
      <c r="AY136">
        <v>7.5499999999999998E-2</v>
      </c>
      <c r="AZ136">
        <v>7.5499999999999998E-2</v>
      </c>
      <c r="BA136">
        <v>0.113</v>
      </c>
      <c r="BB136">
        <v>5.9499999999999997E-2</v>
      </c>
      <c r="BC136">
        <v>4.5749999999999999E-2</v>
      </c>
      <c r="BD136">
        <v>6.7000000000000004E-2</v>
      </c>
      <c r="BE136">
        <v>7.5499999999999998E-2</v>
      </c>
      <c r="BF136">
        <v>7.5499999999999998E-2</v>
      </c>
      <c r="BG136">
        <v>0.1085</v>
      </c>
      <c r="BH136">
        <v>8.0500000000000002E-2</v>
      </c>
      <c r="BI136">
        <v>0.10050000000000001</v>
      </c>
      <c r="BJ136">
        <v>0.13350000000000001</v>
      </c>
      <c r="BK136">
        <f>SUM(Table1_1[[#This Row],[PFBA]:[diSAmPAP]])</f>
        <v>581.76150000000041</v>
      </c>
      <c r="BL136">
        <f>LOG(Table1_1[[#This Row],[PFBA]])</f>
        <v>-0.6020599913279624</v>
      </c>
      <c r="BM136">
        <f>LOG(Table1_1[[#This Row],[PFPeA]])</f>
        <v>-1.2716462179787715</v>
      </c>
      <c r="BN136">
        <f>LOG(Table1_1[[#This Row],[PFHxA]])</f>
        <v>-1.3882766919926581</v>
      </c>
      <c r="BO136">
        <f>LOG(Table1_1[[#This Row],[PFHpA]])</f>
        <v>-1.518557371497695</v>
      </c>
      <c r="BP136">
        <f>LOG(Table1_1[[#This Row],[PFOA]])</f>
        <v>-0.44009337496388751</v>
      </c>
      <c r="BQ136">
        <f>LOG(Table1_1[[#This Row],[PFNA]])</f>
        <v>-0.76195389687120463</v>
      </c>
      <c r="BR136">
        <f>LOG(Table1_1[[#This Row],[PFDA]])</f>
        <v>0.30749603791321289</v>
      </c>
      <c r="BS136">
        <f>LOG(Table1_1[[#This Row],[PFUnA]])</f>
        <v>0.45178643552429026</v>
      </c>
      <c r="BT136">
        <f>LOG(Table1_1[[#This Row],[PFDoA]])</f>
        <v>0.82994669594163595</v>
      </c>
      <c r="BU136">
        <f>LOG(Table1_1[[#This Row],[PFTrDA]])</f>
        <v>0.456366033129043</v>
      </c>
      <c r="BV136">
        <f>LOG(Table1_1[[#This Row],[PFTeDA]])</f>
        <v>0.90200289135072942</v>
      </c>
      <c r="BW136">
        <f>LOG(Table1_1[[#This Row],[PFHxDA]])</f>
        <v>-1.0433514207947967</v>
      </c>
      <c r="BX136">
        <f>LOG(Table1_1[[#This Row],[PFPrS]])</f>
        <v>-1.1220530483708118</v>
      </c>
      <c r="BY136">
        <f>LOG(Table1_1[[#This Row],[PFBS]])</f>
        <v>-0.769551078621726</v>
      </c>
      <c r="BZ136">
        <f>LOG(Table1_1[[#This Row],[PFPeS]])</f>
        <v>-1.1220530483708118</v>
      </c>
      <c r="CA136">
        <f>LOG(Table1_1[[#This Row],[PFHxS]])</f>
        <v>0.85612444424230028</v>
      </c>
      <c r="CB136">
        <f>LOG(Table1_1[[#This Row],[PFHpS]])</f>
        <v>0.22010808804005508</v>
      </c>
      <c r="CC136">
        <f>LOG(Table1_1[[#This Row],[PFOS]])</f>
        <v>2.6444385894678386</v>
      </c>
      <c r="CD136">
        <f>LOG(Table1_1[[#This Row],[PFNS]])</f>
        <v>0.16136800223497488</v>
      </c>
      <c r="CE136">
        <f>LOG(Table1_1[[#This Row],[PFDS]])</f>
        <v>0.13987908640123647</v>
      </c>
      <c r="CF136">
        <f>LOG(Table1_1[[#This Row],[PFDoS]])</f>
        <v>0.16731733474817609</v>
      </c>
      <c r="CG136">
        <f>LOG(Table1_1[[#This Row],[Cl-PFOS]])</f>
        <v>-1.3367703654671323</v>
      </c>
      <c r="CH136">
        <f>LOG(Table1_1[[#This Row],[PFEtCHxS]])</f>
        <v>-0.6020599913279624</v>
      </c>
      <c r="CI136">
        <f>LOG(Table1_1[[#This Row],[FBSA]])</f>
        <v>1.3909351071033791</v>
      </c>
      <c r="CJ136">
        <f>LOG(Table1_1[[#This Row],[FHxSA]])</f>
        <v>1.7411515988517852</v>
      </c>
      <c r="CK136">
        <f>LOG(Table1_1[[#This Row],[FOSA]])</f>
        <v>0.87966920563205353</v>
      </c>
      <c r="CL136">
        <f>LOG(Table1_1[[#This Row],[N-MeFOSA]])</f>
        <v>-1.1220530483708118</v>
      </c>
      <c r="CM136">
        <f>LOG(Table1_1[[#This Row],[N-EtFOSA]])</f>
        <v>-1.0530567293021746</v>
      </c>
      <c r="CN136">
        <f>LOG(Table1_1[[#This Row],[FOSAA]])</f>
        <v>-1.2254830342714504</v>
      </c>
      <c r="CO136">
        <f>LOG(Table1_1[[#This Row],[N-MeFOSAA]])</f>
        <v>-1.1191864077192086</v>
      </c>
      <c r="CP136">
        <f>LOG(Table1_1[[#This Row],[N-EtFOSAA]])</f>
        <v>-1.1837587000082168</v>
      </c>
      <c r="CQ136">
        <f>LOG(Table1_1[[#This Row],[4:2 FTS]])</f>
        <v>-1.1220530483708118</v>
      </c>
      <c r="CR136">
        <f>LOG(Table1_1[[#This Row],[6:2 FTS]])</f>
        <v>-0.82102305270683062</v>
      </c>
      <c r="CS136">
        <f>LOG(Table1_1[[#This Row],[8:2 FTS]])</f>
        <v>0.20951501454263097</v>
      </c>
      <c r="CT136">
        <f>LOG(Table1_1[[#This Row],[10:2 FTS]])</f>
        <v>-0.54668165995296236</v>
      </c>
      <c r="CU136">
        <f>LOG(Table1_1[[#This Row],[3:3 FTCA]])</f>
        <v>-1.0579919469776868</v>
      </c>
      <c r="CV136">
        <f>LOG(Table1_1[[#This Row],[5:3 FTCA]])</f>
        <v>0.85672889038288258</v>
      </c>
      <c r="CW136">
        <f>LOG(Table1_1[[#This Row],[7:3 FTCA]])</f>
        <v>0.73878055848436919</v>
      </c>
      <c r="CX136">
        <f>LOG(Table1_1[[#This Row],[6:2 FTCA]])</f>
        <v>-1.1220530483708118</v>
      </c>
      <c r="CY136">
        <f>LOG(Table1_1[[#This Row],[8:2 FTCA]])</f>
        <v>-1.1220530483708118</v>
      </c>
      <c r="CZ136">
        <f>LOG(Table1_1[[#This Row],[10:2 FTCA]])</f>
        <v>-0.94692155651658028</v>
      </c>
      <c r="DA136">
        <f>LOG(Table1_1[[#This Row],[6:2 FTUCA]])</f>
        <v>-1.2254830342714504</v>
      </c>
      <c r="DB136">
        <f>LOG(Table1_1[[#This Row],[8:2 FTUCA]])</f>
        <v>-1.339608901597533</v>
      </c>
      <c r="DC136">
        <f>LOG(Table1_1[[#This Row],[ADONA]])</f>
        <v>-1.1739251972991736</v>
      </c>
      <c r="DD136">
        <f>LOG(Table1_1[[#This Row],[9Cl-PF3ONS]])</f>
        <v>-1.1220530483708118</v>
      </c>
      <c r="DE136">
        <f>LOG(Table1_1[[#This Row],[11Cl-PF3OUdS]])</f>
        <v>-1.1220530483708118</v>
      </c>
      <c r="DF136">
        <f>LOG(Table1_1[[#This Row],[HFPO-DA]])</f>
        <v>-0.96457026181545169</v>
      </c>
      <c r="DG136">
        <f>LOG(Table1_1[[#This Row],[6:2 diPAP]])</f>
        <v>-1.0942041196321315</v>
      </c>
      <c r="DH136">
        <f>LOG(Table1_1[[#This Row],[8:2 diPAP]])</f>
        <v>-0.99783393824349231</v>
      </c>
      <c r="DI136">
        <f>LOG(Table1_1[[#This Row],[diSAmPAP]])</f>
        <v>-0.87451873429940596</v>
      </c>
    </row>
    <row r="137" spans="1:113">
      <c r="A137" t="s">
        <v>289</v>
      </c>
      <c r="B137" t="s">
        <v>114</v>
      </c>
      <c r="C137" s="3">
        <v>44393</v>
      </c>
      <c r="D137" t="s">
        <v>226</v>
      </c>
      <c r="E137" t="s">
        <v>227</v>
      </c>
      <c r="F137" t="s">
        <v>228</v>
      </c>
      <c r="G137" t="s">
        <v>118</v>
      </c>
      <c r="H137" t="s">
        <v>119</v>
      </c>
      <c r="I137">
        <v>7</v>
      </c>
      <c r="J137">
        <f>LOG(Table1_1[[#This Row],[Length]])</f>
        <v>0.84509804001425681</v>
      </c>
      <c r="K137">
        <v>8.8000000000000007</v>
      </c>
      <c r="L137">
        <f>LOG(Table1_1[[#This Row],[Weight]])</f>
        <v>0.94448267215016868</v>
      </c>
      <c r="M137">
        <v>0.2145</v>
      </c>
      <c r="N137">
        <v>4.5900000000000003E-2</v>
      </c>
      <c r="O137">
        <v>0.11550000000000001</v>
      </c>
      <c r="P137">
        <v>8.5500000000000007E-2</v>
      </c>
      <c r="Q137">
        <v>0.49199999999999999</v>
      </c>
      <c r="R137">
        <v>0.14849999999999999</v>
      </c>
      <c r="S137">
        <v>3.14</v>
      </c>
      <c r="T137">
        <v>4.3899999999999997</v>
      </c>
      <c r="U137">
        <v>5.51</v>
      </c>
      <c r="V137">
        <v>2.5</v>
      </c>
      <c r="W137">
        <v>6.88</v>
      </c>
      <c r="X137">
        <v>7.7499999999999999E-2</v>
      </c>
      <c r="Y137">
        <v>6.5000000000000002E-2</v>
      </c>
      <c r="Z137">
        <v>0.14599999999999999</v>
      </c>
      <c r="AA137">
        <v>0.2145</v>
      </c>
      <c r="AB137">
        <v>7.81</v>
      </c>
      <c r="AC137">
        <v>1.17</v>
      </c>
      <c r="AD137">
        <v>567</v>
      </c>
      <c r="AE137">
        <v>1.59</v>
      </c>
      <c r="AF137">
        <v>1.97</v>
      </c>
      <c r="AG137">
        <v>0.629</v>
      </c>
      <c r="AH137">
        <v>0.1305</v>
      </c>
      <c r="AI137">
        <v>0.2145</v>
      </c>
      <c r="AJ137">
        <v>16.899999999999999</v>
      </c>
      <c r="AK137">
        <v>52.1</v>
      </c>
      <c r="AL137">
        <v>6.24</v>
      </c>
      <c r="AM137">
        <v>6.5000000000000002E-2</v>
      </c>
      <c r="AN137">
        <v>7.5999999999999998E-2</v>
      </c>
      <c r="AO137">
        <v>5.0999999999999997E-2</v>
      </c>
      <c r="AP137">
        <v>6.5500000000000003E-2</v>
      </c>
      <c r="AQ137">
        <v>5.6500000000000002E-2</v>
      </c>
      <c r="AR137">
        <v>6.5000000000000002E-2</v>
      </c>
      <c r="AS137">
        <v>0.36599999999999999</v>
      </c>
      <c r="AT137">
        <v>3.6</v>
      </c>
      <c r="AU137">
        <v>0.24349999999999999</v>
      </c>
      <c r="AV137">
        <v>7.4999999999999997E-2</v>
      </c>
      <c r="AW137">
        <v>2.09</v>
      </c>
      <c r="AX137">
        <v>6.07</v>
      </c>
      <c r="AY137">
        <v>6.5000000000000002E-2</v>
      </c>
      <c r="AZ137">
        <v>6.5000000000000002E-2</v>
      </c>
      <c r="BA137">
        <v>9.7000000000000003E-2</v>
      </c>
      <c r="BB137">
        <v>5.0999999999999997E-2</v>
      </c>
      <c r="BC137">
        <v>3.925E-2</v>
      </c>
      <c r="BD137">
        <v>0.189</v>
      </c>
      <c r="BE137">
        <v>6.5000000000000002E-2</v>
      </c>
      <c r="BF137">
        <v>6.5000000000000002E-2</v>
      </c>
      <c r="BG137">
        <v>9.2999999999999999E-2</v>
      </c>
      <c r="BH137">
        <v>6.9000000000000006E-2</v>
      </c>
      <c r="BI137">
        <v>8.5999999999999993E-2</v>
      </c>
      <c r="BJ137">
        <v>0.1145</v>
      </c>
      <c r="BK137">
        <f>SUM(Table1_1[[#This Row],[PFBA]:[diSAmPAP]])</f>
        <v>693.60115000000076</v>
      </c>
      <c r="BL137">
        <f>LOG(Table1_1[[#This Row],[PFBA]])</f>
        <v>-0.6685727034792569</v>
      </c>
      <c r="BM137">
        <f>LOG(Table1_1[[#This Row],[PFPeA]])</f>
        <v>-1.3381873144627388</v>
      </c>
      <c r="BN137">
        <f>LOG(Table1_1[[#This Row],[PFHxA]])</f>
        <v>-0.93741801577183692</v>
      </c>
      <c r="BO137">
        <f>LOG(Table1_1[[#This Row],[PFHpA]])</f>
        <v>-1.0680338852718274</v>
      </c>
      <c r="BP137">
        <f>LOG(Table1_1[[#This Row],[PFOA]])</f>
        <v>-0.30803489723263966</v>
      </c>
      <c r="BQ137">
        <f>LOG(Table1_1[[#This Row],[PFNA]])</f>
        <v>-0.82827354634676886</v>
      </c>
      <c r="BR137">
        <f>LOG(Table1_1[[#This Row],[PFDA]])</f>
        <v>0.49692964807321494</v>
      </c>
      <c r="BS137">
        <f>LOG(Table1_1[[#This Row],[PFUnA]])</f>
        <v>0.64246452024212131</v>
      </c>
      <c r="BT137">
        <f>LOG(Table1_1[[#This Row],[PFDoA]])</f>
        <v>0.74115159885178505</v>
      </c>
      <c r="BU137">
        <f>LOG(Table1_1[[#This Row],[PFTrDA]])</f>
        <v>0.3979400086720376</v>
      </c>
      <c r="BV137">
        <f>LOG(Table1_1[[#This Row],[PFTeDA]])</f>
        <v>0.83758843823551132</v>
      </c>
      <c r="BW137">
        <f>LOG(Table1_1[[#This Row],[PFHxDA]])</f>
        <v>-1.1106982974936896</v>
      </c>
      <c r="BX137">
        <f>LOG(Table1_1[[#This Row],[PFPrS]])</f>
        <v>-1.1870866433571443</v>
      </c>
      <c r="BY137">
        <f>LOG(Table1_1[[#This Row],[PFBS]])</f>
        <v>-0.83564714421556296</v>
      </c>
      <c r="BZ137">
        <f>LOG(Table1_1[[#This Row],[PFPeS]])</f>
        <v>-0.6685727034792569</v>
      </c>
      <c r="CA137">
        <f>LOG(Table1_1[[#This Row],[PFHxS]])</f>
        <v>0.89265103387730027</v>
      </c>
      <c r="CB137">
        <f>LOG(Table1_1[[#This Row],[PFHpS]])</f>
        <v>6.8185861746161619E-2</v>
      </c>
      <c r="CC137">
        <f>LOG(Table1_1[[#This Row],[PFOS]])</f>
        <v>2.7535830588929064</v>
      </c>
      <c r="CD137">
        <f>LOG(Table1_1[[#This Row],[PFNS]])</f>
        <v>0.20139712432045151</v>
      </c>
      <c r="CE137">
        <f>LOG(Table1_1[[#This Row],[PFDS]])</f>
        <v>0.2944662261615929</v>
      </c>
      <c r="CF137">
        <f>LOG(Table1_1[[#This Row],[PFDoS]])</f>
        <v>-0.20134935455473107</v>
      </c>
      <c r="CG137">
        <f>LOG(Table1_1[[#This Row],[Cl-PFOS]])</f>
        <v>-0.88438948832570019</v>
      </c>
      <c r="CH137">
        <f>LOG(Table1_1[[#This Row],[PFEtCHxS]])</f>
        <v>-0.6685727034792569</v>
      </c>
      <c r="CI137">
        <f>LOG(Table1_1[[#This Row],[FBSA]])</f>
        <v>1.2278867046136734</v>
      </c>
      <c r="CJ137">
        <f>LOG(Table1_1[[#This Row],[FHxSA]])</f>
        <v>1.7168377232995244</v>
      </c>
      <c r="CK137">
        <f>LOG(Table1_1[[#This Row],[FOSA]])</f>
        <v>0.795184589682424</v>
      </c>
      <c r="CL137">
        <f>LOG(Table1_1[[#This Row],[N-MeFOSA]])</f>
        <v>-1.1870866433571443</v>
      </c>
      <c r="CM137">
        <f>LOG(Table1_1[[#This Row],[N-EtFOSA]])</f>
        <v>-1.1191864077192086</v>
      </c>
      <c r="CN137">
        <f>LOG(Table1_1[[#This Row],[FOSAA]])</f>
        <v>-1.2924298239020637</v>
      </c>
      <c r="CO137">
        <f>LOG(Table1_1[[#This Row],[N-MeFOSAA]])</f>
        <v>-1.1837587000082168</v>
      </c>
      <c r="CP137">
        <f>LOG(Table1_1[[#This Row],[N-EtFOSAA]])</f>
        <v>-1.2479515521805615</v>
      </c>
      <c r="CQ137">
        <f>LOG(Table1_1[[#This Row],[4:2 FTS]])</f>
        <v>-1.1870866433571443</v>
      </c>
      <c r="CR137">
        <f>LOG(Table1_1[[#This Row],[6:2 FTS]])</f>
        <v>-0.43651891460558934</v>
      </c>
      <c r="CS137">
        <f>LOG(Table1_1[[#This Row],[8:2 FTS]])</f>
        <v>0.55630250076728727</v>
      </c>
      <c r="CT137">
        <f>LOG(Table1_1[[#This Row],[10:2 FTS]])</f>
        <v>-0.61350103444934689</v>
      </c>
      <c r="CU137">
        <f>LOG(Table1_1[[#This Row],[3:3 FTCA]])</f>
        <v>-1.1249387366082999</v>
      </c>
      <c r="CV137">
        <f>LOG(Table1_1[[#This Row],[5:3 FTCA]])</f>
        <v>0.32014628611105395</v>
      </c>
      <c r="CW137">
        <f>LOG(Table1_1[[#This Row],[7:3 FTCA]])</f>
        <v>0.78318869107525757</v>
      </c>
      <c r="CX137">
        <f>LOG(Table1_1[[#This Row],[6:2 FTCA]])</f>
        <v>-1.1870866433571443</v>
      </c>
      <c r="CY137">
        <f>LOG(Table1_1[[#This Row],[8:2 FTCA]])</f>
        <v>-1.1870866433571443</v>
      </c>
      <c r="CZ137">
        <f>LOG(Table1_1[[#This Row],[10:2 FTCA]])</f>
        <v>-1.0132282657337552</v>
      </c>
      <c r="DA137">
        <f>LOG(Table1_1[[#This Row],[6:2 FTUCA]])</f>
        <v>-1.2924298239020637</v>
      </c>
      <c r="DB137">
        <f>LOG(Table1_1[[#This Row],[8:2 FTUCA]])</f>
        <v>-1.4061603389187287</v>
      </c>
      <c r="DC137">
        <f>LOG(Table1_1[[#This Row],[ADONA]])</f>
        <v>-0.72353819582675583</v>
      </c>
      <c r="DD137">
        <f>LOG(Table1_1[[#This Row],[9Cl-PF3ONS]])</f>
        <v>-1.1870866433571443</v>
      </c>
      <c r="DE137">
        <f>LOG(Table1_1[[#This Row],[11Cl-PF3OUdS]])</f>
        <v>-1.1870866433571443</v>
      </c>
      <c r="DF137">
        <f>LOG(Table1_1[[#This Row],[HFPO-DA]])</f>
        <v>-1.031517051446065</v>
      </c>
      <c r="DG137">
        <f>LOG(Table1_1[[#This Row],[6:2 diPAP]])</f>
        <v>-1.1611509092627446</v>
      </c>
      <c r="DH137">
        <f>LOG(Table1_1[[#This Row],[8:2 diPAP]])</f>
        <v>-1.0655015487564323</v>
      </c>
      <c r="DI137">
        <f>LOG(Table1_1[[#This Row],[diSAmPAP]])</f>
        <v>-0.94119451332409321</v>
      </c>
    </row>
    <row r="138" spans="1:113">
      <c r="A138" t="s">
        <v>290</v>
      </c>
      <c r="B138" t="s">
        <v>114</v>
      </c>
      <c r="C138" s="3">
        <v>44393</v>
      </c>
      <c r="D138" t="s">
        <v>226</v>
      </c>
      <c r="E138" t="s">
        <v>227</v>
      </c>
      <c r="F138" t="s">
        <v>228</v>
      </c>
      <c r="G138" t="s">
        <v>118</v>
      </c>
      <c r="H138" t="s">
        <v>119</v>
      </c>
      <c r="I138">
        <v>6</v>
      </c>
      <c r="J138">
        <f>LOG(Table1_1[[#This Row],[Length]])</f>
        <v>0.77815125038364363</v>
      </c>
      <c r="K138">
        <v>6.3</v>
      </c>
      <c r="L138">
        <f>LOG(Table1_1[[#This Row],[Weight]])</f>
        <v>0.79934054945358168</v>
      </c>
      <c r="M138">
        <v>7.0000000000000007E-2</v>
      </c>
      <c r="N138">
        <v>4.9599999999999998E-2</v>
      </c>
      <c r="O138">
        <v>3.7850000000000002E-2</v>
      </c>
      <c r="P138">
        <v>9.2499999999999999E-2</v>
      </c>
      <c r="Q138">
        <v>0.49299999999999999</v>
      </c>
      <c r="R138">
        <v>4.8550000000000003E-2</v>
      </c>
      <c r="S138">
        <v>4.91</v>
      </c>
      <c r="T138">
        <v>9.51</v>
      </c>
      <c r="U138">
        <v>18.2</v>
      </c>
      <c r="V138">
        <v>4.16</v>
      </c>
      <c r="W138">
        <v>10.6</v>
      </c>
      <c r="X138">
        <v>8.3500000000000005E-2</v>
      </c>
      <c r="Y138">
        <v>7.0000000000000007E-2</v>
      </c>
      <c r="Z138">
        <v>0.1575</v>
      </c>
      <c r="AA138">
        <v>7.0000000000000007E-2</v>
      </c>
      <c r="AB138">
        <v>6.83</v>
      </c>
      <c r="AC138">
        <v>0.77</v>
      </c>
      <c r="AD138">
        <v>1070</v>
      </c>
      <c r="AE138">
        <v>4.0999999999999996</v>
      </c>
      <c r="AF138">
        <v>5.43</v>
      </c>
      <c r="AG138">
        <v>1.29</v>
      </c>
      <c r="AH138">
        <v>0.14050000000000001</v>
      </c>
      <c r="AI138">
        <v>0.23150000000000001</v>
      </c>
      <c r="AJ138">
        <v>19.399999999999999</v>
      </c>
      <c r="AK138">
        <v>45.2</v>
      </c>
      <c r="AL138">
        <v>10.4</v>
      </c>
      <c r="AM138">
        <v>7.0000000000000007E-2</v>
      </c>
      <c r="AN138">
        <v>8.2000000000000003E-2</v>
      </c>
      <c r="AO138">
        <v>5.5500000000000001E-2</v>
      </c>
      <c r="AP138">
        <v>7.0499999999999993E-2</v>
      </c>
      <c r="AQ138">
        <v>6.0999999999999999E-2</v>
      </c>
      <c r="AR138">
        <v>7.0000000000000007E-2</v>
      </c>
      <c r="AS138">
        <v>0.314</v>
      </c>
      <c r="AT138">
        <v>4.51</v>
      </c>
      <c r="AU138">
        <v>0.81399999999999995</v>
      </c>
      <c r="AV138">
        <v>8.1000000000000003E-2</v>
      </c>
      <c r="AW138">
        <v>1.01</v>
      </c>
      <c r="AX138">
        <v>2.79</v>
      </c>
      <c r="AY138">
        <v>7.0000000000000007E-2</v>
      </c>
      <c r="AZ138">
        <v>7.0000000000000007E-2</v>
      </c>
      <c r="BA138">
        <v>0.1045</v>
      </c>
      <c r="BB138">
        <v>5.5E-2</v>
      </c>
      <c r="BC138">
        <v>4.24E-2</v>
      </c>
      <c r="BD138">
        <v>6.2E-2</v>
      </c>
      <c r="BE138">
        <v>7.0000000000000007E-2</v>
      </c>
      <c r="BF138">
        <v>7.0000000000000007E-2</v>
      </c>
      <c r="BG138">
        <v>0.10050000000000001</v>
      </c>
      <c r="BH138">
        <v>7.4499999999999997E-2</v>
      </c>
      <c r="BI138">
        <v>9.2999999999999999E-2</v>
      </c>
      <c r="BJ138">
        <v>0.1235</v>
      </c>
      <c r="BK138">
        <f>SUM(Table1_1[[#This Row],[PFBA]:[diSAmPAP]])</f>
        <v>1223.2078999999997</v>
      </c>
      <c r="BL138">
        <f>LOG(Table1_1[[#This Row],[PFBA]])</f>
        <v>-1.1549019599857431</v>
      </c>
      <c r="BM138">
        <f>LOG(Table1_1[[#This Row],[PFPeA]])</f>
        <v>-1.3045183235098026</v>
      </c>
      <c r="BN138">
        <f>LOG(Table1_1[[#This Row],[PFHxA]])</f>
        <v>-1.4219341161639085</v>
      </c>
      <c r="BO138">
        <f>LOG(Table1_1[[#This Row],[PFHpA]])</f>
        <v>-1.0338582672609673</v>
      </c>
      <c r="BP138">
        <f>LOG(Table1_1[[#This Row],[PFOA]])</f>
        <v>-0.30715308072276998</v>
      </c>
      <c r="BQ138">
        <f>LOG(Table1_1[[#This Row],[PFNA]])</f>
        <v>-1.3138107657559763</v>
      </c>
      <c r="BR138">
        <f>LOG(Table1_1[[#This Row],[PFDA]])</f>
        <v>0.69108149212296843</v>
      </c>
      <c r="BS138">
        <f>LOG(Table1_1[[#This Row],[PFUnA]])</f>
        <v>0.97818051693741392</v>
      </c>
      <c r="BT138">
        <f>LOG(Table1_1[[#This Row],[PFDoA]])</f>
        <v>1.2600713879850747</v>
      </c>
      <c r="BU138">
        <f>LOG(Table1_1[[#This Row],[PFTrDA]])</f>
        <v>0.61909333062674277</v>
      </c>
      <c r="BV138">
        <f>LOG(Table1_1[[#This Row],[PFTeDA]])</f>
        <v>1.0253058652647702</v>
      </c>
      <c r="BW138">
        <f>LOG(Table1_1[[#This Row],[PFHxDA]])</f>
        <v>-1.0783135245163979</v>
      </c>
      <c r="BX138">
        <f>LOG(Table1_1[[#This Row],[PFPrS]])</f>
        <v>-1.1549019599857431</v>
      </c>
      <c r="BY138">
        <f>LOG(Table1_1[[#This Row],[PFBS]])</f>
        <v>-0.80271944187438071</v>
      </c>
      <c r="BZ138">
        <f>LOG(Table1_1[[#This Row],[PFPeS]])</f>
        <v>-1.1549019599857431</v>
      </c>
      <c r="CA138">
        <f>LOG(Table1_1[[#This Row],[PFHxS]])</f>
        <v>0.83442070368153254</v>
      </c>
      <c r="CB138">
        <f>LOG(Table1_1[[#This Row],[PFHpS]])</f>
        <v>-0.11350927482751812</v>
      </c>
      <c r="CC138">
        <f>LOG(Table1_1[[#This Row],[PFOS]])</f>
        <v>3.0293837776852097</v>
      </c>
      <c r="CD138">
        <f>LOG(Table1_1[[#This Row],[PFNS]])</f>
        <v>0.61278385671973545</v>
      </c>
      <c r="CE138">
        <f>LOG(Table1_1[[#This Row],[PFDS]])</f>
        <v>0.73479982958884693</v>
      </c>
      <c r="CF138">
        <f>LOG(Table1_1[[#This Row],[PFDoS]])</f>
        <v>0.11058971029924898</v>
      </c>
      <c r="CG138">
        <f>LOG(Table1_1[[#This Row],[Cl-PFOS]])</f>
        <v>-0.85232367575890122</v>
      </c>
      <c r="CH138">
        <f>LOG(Table1_1[[#This Row],[PFEtCHxS]])</f>
        <v>-0.63544900464602805</v>
      </c>
      <c r="CI138">
        <f>LOG(Table1_1[[#This Row],[FBSA]])</f>
        <v>1.287801729930226</v>
      </c>
      <c r="CJ138">
        <f>LOG(Table1_1[[#This Row],[FHxSA]])</f>
        <v>1.6551384348113822</v>
      </c>
      <c r="CK138">
        <f>LOG(Table1_1[[#This Row],[FOSA]])</f>
        <v>1.0170333392987803</v>
      </c>
      <c r="CL138">
        <f>LOG(Table1_1[[#This Row],[N-MeFOSA]])</f>
        <v>-1.1549019599857431</v>
      </c>
      <c r="CM138">
        <f>LOG(Table1_1[[#This Row],[N-EtFOSA]])</f>
        <v>-1.0861861476162833</v>
      </c>
      <c r="CN138">
        <f>LOG(Table1_1[[#This Row],[FOSAA]])</f>
        <v>-1.2557070168773237</v>
      </c>
      <c r="CO138">
        <f>LOG(Table1_1[[#This Row],[N-MeFOSAA]])</f>
        <v>-1.1518108830086013</v>
      </c>
      <c r="CP138">
        <f>LOG(Table1_1[[#This Row],[N-EtFOSAA]])</f>
        <v>-1.2146701649892331</v>
      </c>
      <c r="CQ138">
        <f>LOG(Table1_1[[#This Row],[4:2 FTS]])</f>
        <v>-1.1549019599857431</v>
      </c>
      <c r="CR138">
        <f>LOG(Table1_1[[#This Row],[6:2 FTS]])</f>
        <v>-0.50307035192678506</v>
      </c>
      <c r="CS138">
        <f>LOG(Table1_1[[#This Row],[8:2 FTS]])</f>
        <v>0.65417654187796048</v>
      </c>
      <c r="CT138">
        <f>LOG(Table1_1[[#This Row],[10:2 FTS]])</f>
        <v>-8.9375595110798803E-2</v>
      </c>
      <c r="CU138">
        <f>LOG(Table1_1[[#This Row],[3:3 FTCA]])</f>
        <v>-1.0915149811213503</v>
      </c>
      <c r="CV138">
        <f>LOG(Table1_1[[#This Row],[5:3 FTCA]])</f>
        <v>4.3213737826425782E-3</v>
      </c>
      <c r="CW138">
        <f>LOG(Table1_1[[#This Row],[7:3 FTCA]])</f>
        <v>0.44560420327359757</v>
      </c>
      <c r="CX138">
        <f>LOG(Table1_1[[#This Row],[6:2 FTCA]])</f>
        <v>-1.1549019599857431</v>
      </c>
      <c r="CY138">
        <f>LOG(Table1_1[[#This Row],[8:2 FTCA]])</f>
        <v>-1.1549019599857431</v>
      </c>
      <c r="CZ138">
        <f>LOG(Table1_1[[#This Row],[10:2 FTCA]])</f>
        <v>-0.98088370955292725</v>
      </c>
      <c r="DA138">
        <f>LOG(Table1_1[[#This Row],[6:2 FTUCA]])</f>
        <v>-1.2596373105057561</v>
      </c>
      <c r="DB138">
        <f>LOG(Table1_1[[#This Row],[8:2 FTUCA]])</f>
        <v>-1.3726341434072673</v>
      </c>
      <c r="DC138">
        <f>LOG(Table1_1[[#This Row],[ADONA]])</f>
        <v>-1.2076083105017461</v>
      </c>
      <c r="DD138">
        <f>LOG(Table1_1[[#This Row],[9Cl-PF3ONS]])</f>
        <v>-1.1549019599857431</v>
      </c>
      <c r="DE138">
        <f>LOG(Table1_1[[#This Row],[11Cl-PF3OUdS]])</f>
        <v>-1.1549019599857431</v>
      </c>
      <c r="DF138">
        <f>LOG(Table1_1[[#This Row],[HFPO-DA]])</f>
        <v>-0.99783393824349231</v>
      </c>
      <c r="DG138">
        <f>LOG(Table1_1[[#This Row],[6:2 diPAP]])</f>
        <v>-1.1278437272517072</v>
      </c>
      <c r="DH138">
        <f>LOG(Table1_1[[#This Row],[8:2 diPAP]])</f>
        <v>-1.031517051446065</v>
      </c>
      <c r="DI138">
        <f>LOG(Table1_1[[#This Row],[diSAmPAP]])</f>
        <v>-0.90833304240431545</v>
      </c>
    </row>
    <row r="139" spans="1:113">
      <c r="A139" t="s">
        <v>291</v>
      </c>
      <c r="B139" t="s">
        <v>114</v>
      </c>
      <c r="C139" s="3">
        <v>44393</v>
      </c>
      <c r="D139" t="s">
        <v>226</v>
      </c>
      <c r="E139" t="s">
        <v>227</v>
      </c>
      <c r="F139" t="s">
        <v>228</v>
      </c>
      <c r="G139" t="s">
        <v>118</v>
      </c>
      <c r="H139" t="s">
        <v>119</v>
      </c>
      <c r="I139">
        <v>6</v>
      </c>
      <c r="J139">
        <f>LOG(Table1_1[[#This Row],[Length]])</f>
        <v>0.77815125038364363</v>
      </c>
      <c r="K139">
        <v>5.93</v>
      </c>
      <c r="L139">
        <f>LOG(Table1_1[[#This Row],[Weight]])</f>
        <v>0.77305469336426258</v>
      </c>
      <c r="M139">
        <v>6.6500000000000004E-2</v>
      </c>
      <c r="N139">
        <v>4.6850000000000003E-2</v>
      </c>
      <c r="O139">
        <v>3.5799999999999998E-2</v>
      </c>
      <c r="P139">
        <v>0.21</v>
      </c>
      <c r="Q139">
        <v>0.70499999999999996</v>
      </c>
      <c r="R139">
        <v>4.5900000000000003E-2</v>
      </c>
      <c r="S139">
        <v>3.55</v>
      </c>
      <c r="T139">
        <v>5.35</v>
      </c>
      <c r="U139">
        <v>9.92</v>
      </c>
      <c r="V139">
        <v>1.85</v>
      </c>
      <c r="W139">
        <v>11.6</v>
      </c>
      <c r="X139">
        <v>7.9000000000000001E-2</v>
      </c>
      <c r="Y139">
        <v>6.6500000000000004E-2</v>
      </c>
      <c r="Z139">
        <v>0.14899999999999999</v>
      </c>
      <c r="AA139">
        <v>0.219</v>
      </c>
      <c r="AB139">
        <v>13.4</v>
      </c>
      <c r="AC139">
        <v>3.35</v>
      </c>
      <c r="AD139">
        <v>668</v>
      </c>
      <c r="AE139">
        <v>5.71</v>
      </c>
      <c r="AF139">
        <v>5.26</v>
      </c>
      <c r="AG139">
        <v>2.17</v>
      </c>
      <c r="AH139">
        <v>0.13300000000000001</v>
      </c>
      <c r="AI139">
        <v>0.219</v>
      </c>
      <c r="AJ139">
        <v>15.9</v>
      </c>
      <c r="AK139">
        <v>71.3</v>
      </c>
      <c r="AL139">
        <v>8.2100000000000009</v>
      </c>
      <c r="AM139">
        <v>6.6500000000000004E-2</v>
      </c>
      <c r="AN139">
        <v>7.7499999999999999E-2</v>
      </c>
      <c r="AO139">
        <v>5.2499999999999998E-2</v>
      </c>
      <c r="AP139">
        <v>6.6500000000000004E-2</v>
      </c>
      <c r="AQ139">
        <v>5.7500000000000002E-2</v>
      </c>
      <c r="AR139">
        <v>6.6500000000000004E-2</v>
      </c>
      <c r="AS139">
        <v>0.65</v>
      </c>
      <c r="AT139">
        <v>3.11</v>
      </c>
      <c r="AU139">
        <v>0.2485</v>
      </c>
      <c r="AV139">
        <v>7.6499999999999999E-2</v>
      </c>
      <c r="AW139">
        <v>1.19</v>
      </c>
      <c r="AX139">
        <v>3.03</v>
      </c>
      <c r="AY139">
        <v>6.6500000000000004E-2</v>
      </c>
      <c r="AZ139">
        <v>6.6500000000000004E-2</v>
      </c>
      <c r="BA139">
        <v>9.9000000000000005E-2</v>
      </c>
      <c r="BB139">
        <v>5.1999999999999998E-2</v>
      </c>
      <c r="BC139">
        <v>4.0099999999999997E-2</v>
      </c>
      <c r="BD139">
        <v>5.8500000000000003E-2</v>
      </c>
      <c r="BE139">
        <v>6.6500000000000004E-2</v>
      </c>
      <c r="BF139">
        <v>6.6500000000000004E-2</v>
      </c>
      <c r="BG139">
        <v>9.5000000000000001E-2</v>
      </c>
      <c r="BH139">
        <v>7.0499999999999993E-2</v>
      </c>
      <c r="BI139">
        <v>8.7999999999999995E-2</v>
      </c>
      <c r="BJ139">
        <v>0.11650000000000001</v>
      </c>
      <c r="BK139">
        <f>SUM(Table1_1[[#This Row],[PFBA]:[diSAmPAP]])</f>
        <v>837.12315000000035</v>
      </c>
      <c r="BL139">
        <f>LOG(Table1_1[[#This Row],[PFBA]])</f>
        <v>-1.1771783546968955</v>
      </c>
      <c r="BM139">
        <f>LOG(Table1_1[[#This Row],[PFPeA]])</f>
        <v>-1.3292904047762029</v>
      </c>
      <c r="BN139">
        <f>LOG(Table1_1[[#This Row],[PFHxA]])</f>
        <v>-1.4461169733561257</v>
      </c>
      <c r="BO139">
        <f>LOG(Table1_1[[#This Row],[PFHpA]])</f>
        <v>-0.6777807052660807</v>
      </c>
      <c r="BP139">
        <f>LOG(Table1_1[[#This Row],[PFOA]])</f>
        <v>-0.15181088300860132</v>
      </c>
      <c r="BQ139">
        <f>LOG(Table1_1[[#This Row],[PFNA]])</f>
        <v>-1.3381873144627388</v>
      </c>
      <c r="BR139">
        <f>LOG(Table1_1[[#This Row],[PFDA]])</f>
        <v>0.5502283530550941</v>
      </c>
      <c r="BS139">
        <f>LOG(Table1_1[[#This Row],[PFUnA]])</f>
        <v>0.72835378202122847</v>
      </c>
      <c r="BT139">
        <f>LOG(Table1_1[[#This Row],[PFDoA]])</f>
        <v>0.99651167215417868</v>
      </c>
      <c r="BU139">
        <f>LOG(Table1_1[[#This Row],[PFTrDA]])</f>
        <v>0.26717172840301384</v>
      </c>
      <c r="BV139">
        <f>LOG(Table1_1[[#This Row],[PFTeDA]])</f>
        <v>1.0644579892269184</v>
      </c>
      <c r="BW139">
        <f>LOG(Table1_1[[#This Row],[PFHxDA]])</f>
        <v>-1.1023729087095586</v>
      </c>
      <c r="BX139">
        <f>LOG(Table1_1[[#This Row],[PFPrS]])</f>
        <v>-1.1771783546968955</v>
      </c>
      <c r="BY139">
        <f>LOG(Table1_1[[#This Row],[PFBS]])</f>
        <v>-0.82681373158772598</v>
      </c>
      <c r="BZ139">
        <f>LOG(Table1_1[[#This Row],[PFPeS]])</f>
        <v>-0.65955588515988162</v>
      </c>
      <c r="CA139">
        <f>LOG(Table1_1[[#This Row],[PFHxS]])</f>
        <v>1.1271047983648077</v>
      </c>
      <c r="CB139">
        <f>LOG(Table1_1[[#This Row],[PFHpS]])</f>
        <v>0.5250448070368452</v>
      </c>
      <c r="CC139">
        <f>LOG(Table1_1[[#This Row],[PFOS]])</f>
        <v>2.8247764624755458</v>
      </c>
      <c r="CD139">
        <f>LOG(Table1_1[[#This Row],[PFNS]])</f>
        <v>0.75663610824584804</v>
      </c>
      <c r="CE139">
        <f>LOG(Table1_1[[#This Row],[PFDS]])</f>
        <v>0.72098574415373906</v>
      </c>
      <c r="CF139">
        <f>LOG(Table1_1[[#This Row],[PFDoS]])</f>
        <v>0.33645973384852951</v>
      </c>
      <c r="CG139">
        <f>LOG(Table1_1[[#This Row],[Cl-PFOS]])</f>
        <v>-0.87614835903291421</v>
      </c>
      <c r="CH139">
        <f>LOG(Table1_1[[#This Row],[PFEtCHxS]])</f>
        <v>-0.65955588515988162</v>
      </c>
      <c r="CI139">
        <f>LOG(Table1_1[[#This Row],[FBSA]])</f>
        <v>1.2013971243204515</v>
      </c>
      <c r="CJ139">
        <f>LOG(Table1_1[[#This Row],[FHxSA]])</f>
        <v>1.8530895298518655</v>
      </c>
      <c r="CK139">
        <f>LOG(Table1_1[[#This Row],[FOSA]])</f>
        <v>0.91434315711944081</v>
      </c>
      <c r="CL139">
        <f>LOG(Table1_1[[#This Row],[N-MeFOSA]])</f>
        <v>-1.1771783546968955</v>
      </c>
      <c r="CM139">
        <f>LOG(Table1_1[[#This Row],[N-EtFOSA]])</f>
        <v>-1.1106982974936896</v>
      </c>
      <c r="CN139">
        <f>LOG(Table1_1[[#This Row],[FOSAA]])</f>
        <v>-1.2798406965940432</v>
      </c>
      <c r="CO139">
        <f>LOG(Table1_1[[#This Row],[N-MeFOSAA]])</f>
        <v>-1.1771783546968955</v>
      </c>
      <c r="CP139">
        <f>LOG(Table1_1[[#This Row],[N-EtFOSAA]])</f>
        <v>-1.2403321553103694</v>
      </c>
      <c r="CQ139">
        <f>LOG(Table1_1[[#This Row],[4:2 FTS]])</f>
        <v>-1.1771783546968955</v>
      </c>
      <c r="CR139">
        <f>LOG(Table1_1[[#This Row],[6:2 FTS]])</f>
        <v>-0.18708664335714442</v>
      </c>
      <c r="CS139">
        <f>LOG(Table1_1[[#This Row],[8:2 FTS]])</f>
        <v>0.4927603890268375</v>
      </c>
      <c r="CT139">
        <f>LOG(Table1_1[[#This Row],[10:2 FTS]])</f>
        <v>-0.60467360693064909</v>
      </c>
      <c r="CU139">
        <f>LOG(Table1_1[[#This Row],[3:3 FTCA]])</f>
        <v>-1.1163385648463824</v>
      </c>
      <c r="CV139">
        <f>LOG(Table1_1[[#This Row],[5:3 FTCA]])</f>
        <v>7.554696139253074E-2</v>
      </c>
      <c r="CW139">
        <f>LOG(Table1_1[[#This Row],[7:3 FTCA]])</f>
        <v>0.48144262850230496</v>
      </c>
      <c r="CX139">
        <f>LOG(Table1_1[[#This Row],[6:2 FTCA]])</f>
        <v>-1.1771783546968955</v>
      </c>
      <c r="CY139">
        <f>LOG(Table1_1[[#This Row],[8:2 FTCA]])</f>
        <v>-1.1771783546968955</v>
      </c>
      <c r="CZ139">
        <f>LOG(Table1_1[[#This Row],[10:2 FTCA]])</f>
        <v>-1.0043648054024501</v>
      </c>
      <c r="DA139">
        <f>LOG(Table1_1[[#This Row],[6:2 FTUCA]])</f>
        <v>-1.2839966563652008</v>
      </c>
      <c r="DB139">
        <f>LOG(Table1_1[[#This Row],[8:2 FTUCA]])</f>
        <v>-1.3968556273798178</v>
      </c>
      <c r="DC139">
        <f>LOG(Table1_1[[#This Row],[ADONA]])</f>
        <v>-1.2328441339178196</v>
      </c>
      <c r="DD139">
        <f>LOG(Table1_1[[#This Row],[9Cl-PF3ONS]])</f>
        <v>-1.1771783546968955</v>
      </c>
      <c r="DE139">
        <f>LOG(Table1_1[[#This Row],[11Cl-PF3OUdS]])</f>
        <v>-1.1771783546968955</v>
      </c>
      <c r="DF139">
        <f>LOG(Table1_1[[#This Row],[HFPO-DA]])</f>
        <v>-1.0222763947111522</v>
      </c>
      <c r="DG139">
        <f>LOG(Table1_1[[#This Row],[6:2 diPAP]])</f>
        <v>-1.1518108830086013</v>
      </c>
      <c r="DH139">
        <f>LOG(Table1_1[[#This Row],[8:2 diPAP]])</f>
        <v>-1.0555173278498313</v>
      </c>
      <c r="DI139">
        <f>LOG(Table1_1[[#This Row],[diSAmPAP]])</f>
        <v>-0.93367407463796215</v>
      </c>
    </row>
    <row r="140" spans="1:113">
      <c r="A140" t="s">
        <v>292</v>
      </c>
      <c r="B140" t="s">
        <v>114</v>
      </c>
      <c r="C140" s="3">
        <v>44393</v>
      </c>
      <c r="D140" t="s">
        <v>226</v>
      </c>
      <c r="E140" t="s">
        <v>227</v>
      </c>
      <c r="F140" t="s">
        <v>228</v>
      </c>
      <c r="G140" t="s">
        <v>118</v>
      </c>
      <c r="H140" t="s">
        <v>119</v>
      </c>
      <c r="I140">
        <v>9</v>
      </c>
      <c r="J140">
        <f>LOG(Table1_1[[#This Row],[Length]])</f>
        <v>0.95424250943932487</v>
      </c>
      <c r="K140">
        <v>13.89</v>
      </c>
      <c r="L140">
        <f>LOG(Table1_1[[#This Row],[Weight]])</f>
        <v>1.1427022457376157</v>
      </c>
      <c r="M140">
        <v>0.23250000000000001</v>
      </c>
      <c r="N140">
        <v>0.16400000000000001</v>
      </c>
      <c r="O140">
        <v>0.1255</v>
      </c>
      <c r="P140">
        <v>9.2999999999999999E-2</v>
      </c>
      <c r="Q140">
        <v>0.24399999999999999</v>
      </c>
      <c r="R140">
        <v>0.161</v>
      </c>
      <c r="S140">
        <v>1.29</v>
      </c>
      <c r="T140">
        <v>1.6</v>
      </c>
      <c r="U140">
        <v>2.72</v>
      </c>
      <c r="V140">
        <v>0.72</v>
      </c>
      <c r="W140">
        <v>2.59</v>
      </c>
      <c r="X140">
        <v>8.4000000000000005E-2</v>
      </c>
      <c r="Y140">
        <v>7.0499999999999993E-2</v>
      </c>
      <c r="Z140">
        <v>0.158</v>
      </c>
      <c r="AA140">
        <v>7.0499999999999993E-2</v>
      </c>
      <c r="AB140">
        <v>7.06</v>
      </c>
      <c r="AC140">
        <v>0.48599999999999999</v>
      </c>
      <c r="AD140">
        <v>174</v>
      </c>
      <c r="AE140">
        <v>0.13250000000000001</v>
      </c>
      <c r="AF140">
        <v>0.1905</v>
      </c>
      <c r="AG140">
        <v>0.2485</v>
      </c>
      <c r="AH140">
        <v>4.2799999999999998E-2</v>
      </c>
      <c r="AI140">
        <v>7.0499999999999993E-2</v>
      </c>
      <c r="AJ140">
        <v>9.35</v>
      </c>
      <c r="AK140">
        <v>30.3</v>
      </c>
      <c r="AL140">
        <v>3.35</v>
      </c>
      <c r="AM140">
        <v>7.0499999999999993E-2</v>
      </c>
      <c r="AN140">
        <v>8.2000000000000003E-2</v>
      </c>
      <c r="AO140">
        <v>5.5500000000000001E-2</v>
      </c>
      <c r="AP140">
        <v>7.0999999999999994E-2</v>
      </c>
      <c r="AQ140">
        <v>6.0999999999999999E-2</v>
      </c>
      <c r="AR140">
        <v>7.0499999999999993E-2</v>
      </c>
      <c r="AS140">
        <v>0.39600000000000002</v>
      </c>
      <c r="AT140">
        <v>2.1</v>
      </c>
      <c r="AU140">
        <v>0.08</v>
      </c>
      <c r="AV140">
        <v>8.1000000000000003E-2</v>
      </c>
      <c r="AW140">
        <v>1.98</v>
      </c>
      <c r="AX140">
        <v>1.98</v>
      </c>
      <c r="AY140">
        <v>7.0499999999999993E-2</v>
      </c>
      <c r="AZ140">
        <v>7.0499999999999993E-2</v>
      </c>
      <c r="BA140">
        <v>0.105</v>
      </c>
      <c r="BB140">
        <v>5.5500000000000001E-2</v>
      </c>
      <c r="BC140">
        <v>4.2549999999999998E-2</v>
      </c>
      <c r="BD140">
        <v>0.20499999999999999</v>
      </c>
      <c r="BE140">
        <v>7.0499999999999993E-2</v>
      </c>
      <c r="BF140">
        <v>7.0499999999999993E-2</v>
      </c>
      <c r="BG140">
        <v>0.10100000000000001</v>
      </c>
      <c r="BH140">
        <v>7.4999999999999997E-2</v>
      </c>
      <c r="BI140">
        <v>9.35E-2</v>
      </c>
      <c r="BJ140">
        <v>0.124</v>
      </c>
      <c r="BK140">
        <f>SUM(Table1_1[[#This Row],[PFBA]:[diSAmPAP]])</f>
        <v>243.66485</v>
      </c>
      <c r="BL140">
        <f>LOG(Table1_1[[#This Row],[PFBA]])</f>
        <v>-0.63357704277402727</v>
      </c>
      <c r="BM140">
        <f>LOG(Table1_1[[#This Row],[PFPeA]])</f>
        <v>-0.78515615195230215</v>
      </c>
      <c r="BN140">
        <f>LOG(Table1_1[[#This Row],[PFHxA]])</f>
        <v>-0.90135627418294306</v>
      </c>
      <c r="BO140">
        <f>LOG(Table1_1[[#This Row],[PFHpA]])</f>
        <v>-1.031517051446065</v>
      </c>
      <c r="BP140">
        <f>LOG(Table1_1[[#This Row],[PFOA]])</f>
        <v>-0.61261017366127057</v>
      </c>
      <c r="BQ140">
        <f>LOG(Table1_1[[#This Row],[PFNA]])</f>
        <v>-0.79317412396815024</v>
      </c>
      <c r="BR140">
        <f>LOG(Table1_1[[#This Row],[PFDA]])</f>
        <v>0.11058971029924898</v>
      </c>
      <c r="BS140">
        <f>LOG(Table1_1[[#This Row],[PFUnA]])</f>
        <v>0.20411998265592479</v>
      </c>
      <c r="BT140">
        <f>LOG(Table1_1[[#This Row],[PFDoA]])</f>
        <v>0.43456890403419873</v>
      </c>
      <c r="BU140">
        <f>LOG(Table1_1[[#This Row],[PFTrDA]])</f>
        <v>-0.14266750356873156</v>
      </c>
      <c r="BV140">
        <f>LOG(Table1_1[[#This Row],[PFTeDA]])</f>
        <v>0.4132997640812518</v>
      </c>
      <c r="BW140">
        <f>LOG(Table1_1[[#This Row],[PFHxDA]])</f>
        <v>-1.0757207139381184</v>
      </c>
      <c r="BX140">
        <f>LOG(Table1_1[[#This Row],[PFPrS]])</f>
        <v>-1.1518108830086013</v>
      </c>
      <c r="BY140">
        <f>LOG(Table1_1[[#This Row],[PFBS]])</f>
        <v>-0.80134291304557737</v>
      </c>
      <c r="BZ140">
        <f>LOG(Table1_1[[#This Row],[PFPeS]])</f>
        <v>-1.1518108830086013</v>
      </c>
      <c r="CA140">
        <f>LOG(Table1_1[[#This Row],[PFHxS]])</f>
        <v>0.84880470105180372</v>
      </c>
      <c r="CB140">
        <f>LOG(Table1_1[[#This Row],[PFHpS]])</f>
        <v>-0.31336373073770663</v>
      </c>
      <c r="CC140">
        <f>LOG(Table1_1[[#This Row],[PFOS]])</f>
        <v>2.2405492482825999</v>
      </c>
      <c r="CD140">
        <f>LOG(Table1_1[[#This Row],[PFNS]])</f>
        <v>-0.87778412172717335</v>
      </c>
      <c r="CE140">
        <f>LOG(Table1_1[[#This Row],[PFDS]])</f>
        <v>-0.72010501998836185</v>
      </c>
      <c r="CF140">
        <f>LOG(Table1_1[[#This Row],[PFDoS]])</f>
        <v>-0.60467360693064909</v>
      </c>
      <c r="CG140">
        <f>LOG(Table1_1[[#This Row],[Cl-PFOS]])</f>
        <v>-1.368556230986828</v>
      </c>
      <c r="CH140">
        <f>LOG(Table1_1[[#This Row],[PFEtCHxS]])</f>
        <v>-1.1518108830086013</v>
      </c>
      <c r="CI140">
        <f>LOG(Table1_1[[#This Row],[FBSA]])</f>
        <v>0.97081161087251777</v>
      </c>
      <c r="CJ140">
        <f>LOG(Table1_1[[#This Row],[FHxSA]])</f>
        <v>1.481442628502305</v>
      </c>
      <c r="CK140">
        <f>LOG(Table1_1[[#This Row],[FOSA]])</f>
        <v>0.5250448070368452</v>
      </c>
      <c r="CL140">
        <f>LOG(Table1_1[[#This Row],[N-MeFOSA]])</f>
        <v>-1.1518108830086013</v>
      </c>
      <c r="CM140">
        <f>LOG(Table1_1[[#This Row],[N-EtFOSA]])</f>
        <v>-1.0861861476162833</v>
      </c>
      <c r="CN140">
        <f>LOG(Table1_1[[#This Row],[FOSAA]])</f>
        <v>-1.2557070168773237</v>
      </c>
      <c r="CO140">
        <f>LOG(Table1_1[[#This Row],[N-MeFOSAA]])</f>
        <v>-1.1487416512809248</v>
      </c>
      <c r="CP140">
        <f>LOG(Table1_1[[#This Row],[N-EtFOSAA]])</f>
        <v>-1.2146701649892331</v>
      </c>
      <c r="CQ140">
        <f>LOG(Table1_1[[#This Row],[4:2 FTS]])</f>
        <v>-1.1518108830086013</v>
      </c>
      <c r="CR140">
        <f>LOG(Table1_1[[#This Row],[6:2 FTS]])</f>
        <v>-0.40230481407448765</v>
      </c>
      <c r="CS140">
        <f>LOG(Table1_1[[#This Row],[8:2 FTS]])</f>
        <v>0.3222192947339193</v>
      </c>
      <c r="CT140">
        <f>LOG(Table1_1[[#This Row],[10:2 FTS]])</f>
        <v>-1.0969100130080565</v>
      </c>
      <c r="CU140">
        <f>LOG(Table1_1[[#This Row],[3:3 FTCA]])</f>
        <v>-1.0915149811213503</v>
      </c>
      <c r="CV140">
        <f>LOG(Table1_1[[#This Row],[5:3 FTCA]])</f>
        <v>0.2966651902615311</v>
      </c>
      <c r="CW140">
        <f>LOG(Table1_1[[#This Row],[7:3 FTCA]])</f>
        <v>0.2966651902615311</v>
      </c>
      <c r="CX140">
        <f>LOG(Table1_1[[#This Row],[6:2 FTCA]])</f>
        <v>-1.1518108830086013</v>
      </c>
      <c r="CY140">
        <f>LOG(Table1_1[[#This Row],[8:2 FTCA]])</f>
        <v>-1.1518108830086013</v>
      </c>
      <c r="CZ140">
        <f>LOG(Table1_1[[#This Row],[10:2 FTCA]])</f>
        <v>-0.97881070093006195</v>
      </c>
      <c r="DA140">
        <f>LOG(Table1_1[[#This Row],[6:2 FTUCA]])</f>
        <v>-1.2557070168773237</v>
      </c>
      <c r="DB140">
        <f>LOG(Table1_1[[#This Row],[8:2 FTUCA]])</f>
        <v>-1.3711004355793934</v>
      </c>
      <c r="DC140">
        <f>LOG(Table1_1[[#This Row],[ADONA]])</f>
        <v>-0.68824613894424569</v>
      </c>
      <c r="DD140">
        <f>LOG(Table1_1[[#This Row],[9Cl-PF3ONS]])</f>
        <v>-1.1518108830086013</v>
      </c>
      <c r="DE140">
        <f>LOG(Table1_1[[#This Row],[11Cl-PF3OUdS]])</f>
        <v>-1.1518108830086013</v>
      </c>
      <c r="DF140">
        <f>LOG(Table1_1[[#This Row],[HFPO-DA]])</f>
        <v>-0.99567862621735737</v>
      </c>
      <c r="DG140">
        <f>LOG(Table1_1[[#This Row],[6:2 diPAP]])</f>
        <v>-1.1249387366082999</v>
      </c>
      <c r="DH140">
        <f>LOG(Table1_1[[#This Row],[8:2 diPAP]])</f>
        <v>-1.0291883891274822</v>
      </c>
      <c r="DI140">
        <f>LOG(Table1_1[[#This Row],[diSAmPAP]])</f>
        <v>-0.90657831483776496</v>
      </c>
    </row>
    <row r="141" spans="1:113">
      <c r="A141" t="s">
        <v>293</v>
      </c>
      <c r="B141" t="s">
        <v>121</v>
      </c>
      <c r="C141" s="3">
        <v>44393</v>
      </c>
      <c r="D141" t="s">
        <v>226</v>
      </c>
      <c r="E141" t="s">
        <v>227</v>
      </c>
      <c r="F141" t="s">
        <v>228</v>
      </c>
      <c r="G141" t="s">
        <v>271</v>
      </c>
      <c r="H141" t="s">
        <v>244</v>
      </c>
      <c r="I141">
        <v>12</v>
      </c>
      <c r="J141">
        <f>LOG(Table1_1[[#This Row],[Length]])</f>
        <v>1.0791812460476249</v>
      </c>
      <c r="K141">
        <v>34.450000000000003</v>
      </c>
      <c r="L141">
        <f>LOG(Table1_1[[#This Row],[Weight]])</f>
        <v>1.5371892262436446</v>
      </c>
      <c r="M141">
        <v>1.34</v>
      </c>
      <c r="N141">
        <v>0.47199999999999998</v>
      </c>
      <c r="O141">
        <v>0.36099999999999999</v>
      </c>
      <c r="P141">
        <v>1.34</v>
      </c>
      <c r="Q141">
        <v>1.69</v>
      </c>
      <c r="R141">
        <v>0.67</v>
      </c>
      <c r="S141">
        <v>3.54</v>
      </c>
      <c r="T141">
        <v>5.6</v>
      </c>
      <c r="U141">
        <v>13.8</v>
      </c>
      <c r="V141">
        <v>1.34</v>
      </c>
      <c r="W141">
        <v>7.03</v>
      </c>
      <c r="X141">
        <v>0.79500000000000004</v>
      </c>
      <c r="Y141">
        <v>0.67</v>
      </c>
      <c r="Z141">
        <v>0.67</v>
      </c>
      <c r="AA141">
        <v>0.71</v>
      </c>
      <c r="AB141">
        <v>21.7</v>
      </c>
      <c r="AC141">
        <v>3.49</v>
      </c>
      <c r="AD141">
        <v>1140</v>
      </c>
      <c r="AE141">
        <v>1.34</v>
      </c>
      <c r="AF141">
        <v>1.34</v>
      </c>
      <c r="AG141">
        <v>1.43</v>
      </c>
      <c r="AH141">
        <v>0.81499999999999995</v>
      </c>
      <c r="AI141">
        <v>0.53500000000000003</v>
      </c>
      <c r="AJ141">
        <v>15.7</v>
      </c>
      <c r="AK141">
        <v>50.3</v>
      </c>
      <c r="AL141">
        <v>12.7</v>
      </c>
      <c r="AM141">
        <v>0.51500000000000001</v>
      </c>
      <c r="AN141">
        <v>1.34</v>
      </c>
      <c r="AO141">
        <v>1.34</v>
      </c>
      <c r="AP141">
        <v>0.67500000000000004</v>
      </c>
      <c r="AQ141">
        <v>0.67</v>
      </c>
      <c r="AR141">
        <v>0.67</v>
      </c>
      <c r="AS141">
        <v>0.67</v>
      </c>
      <c r="AT141">
        <v>7.34</v>
      </c>
      <c r="AU141">
        <v>2.6749999999999998</v>
      </c>
      <c r="AV141">
        <v>1.34</v>
      </c>
      <c r="AW141">
        <v>0.67</v>
      </c>
      <c r="AX141">
        <v>1.34</v>
      </c>
      <c r="AY141">
        <v>1.34</v>
      </c>
      <c r="AZ141">
        <v>0.67</v>
      </c>
      <c r="BA141">
        <v>1.34</v>
      </c>
      <c r="BB141">
        <v>0.52500000000000002</v>
      </c>
      <c r="BC141">
        <v>0.40400000000000003</v>
      </c>
      <c r="BD141">
        <v>0.59</v>
      </c>
      <c r="BE141">
        <v>1.34</v>
      </c>
      <c r="BF141">
        <v>1.34</v>
      </c>
      <c r="BG141">
        <v>0.96</v>
      </c>
      <c r="BH141">
        <v>1.34</v>
      </c>
      <c r="BI141">
        <v>1.34</v>
      </c>
      <c r="BJ141">
        <v>1.34</v>
      </c>
      <c r="BK141">
        <f>SUM(Table1_1[[#This Row],[PFBA]:[diSAmPAP]])</f>
        <v>1321.1519999999996</v>
      </c>
      <c r="BL141">
        <f>LOG(Table1_1[[#This Row],[PFBA]])</f>
        <v>0.12710479836480765</v>
      </c>
      <c r="BM141">
        <f>LOG(Table1_1[[#This Row],[PFPeA]])</f>
        <v>-0.32605800136591223</v>
      </c>
      <c r="BN141">
        <f>LOG(Table1_1[[#This Row],[PFHxA]])</f>
        <v>-0.44249279809434211</v>
      </c>
      <c r="BO141">
        <f>LOG(Table1_1[[#This Row],[PFHpA]])</f>
        <v>0.12710479836480765</v>
      </c>
      <c r="BP141">
        <f>LOG(Table1_1[[#This Row],[PFOA]])</f>
        <v>0.22788670461367352</v>
      </c>
      <c r="BQ141">
        <f>LOG(Table1_1[[#This Row],[PFNA]])</f>
        <v>-0.17392519729917355</v>
      </c>
      <c r="BR141">
        <f>LOG(Table1_1[[#This Row],[PFDA]])</f>
        <v>0.54900326202578786</v>
      </c>
      <c r="BS141">
        <f>LOG(Table1_1[[#This Row],[PFUnA]])</f>
        <v>0.74818802700620035</v>
      </c>
      <c r="BT141">
        <f>LOG(Table1_1[[#This Row],[PFDoA]])</f>
        <v>1.1398790864012365</v>
      </c>
      <c r="BU141">
        <f>LOG(Table1_1[[#This Row],[PFTrDA]])</f>
        <v>0.12710479836480765</v>
      </c>
      <c r="BV141">
        <f>LOG(Table1_1[[#This Row],[PFTeDA]])</f>
        <v>0.84695532501982396</v>
      </c>
      <c r="BW141">
        <f>LOG(Table1_1[[#This Row],[PFHxDA]])</f>
        <v>-9.9632871343529689E-2</v>
      </c>
      <c r="BX141">
        <f>LOG(Table1_1[[#This Row],[PFPrS]])</f>
        <v>-0.17392519729917355</v>
      </c>
      <c r="BY141">
        <f>LOG(Table1_1[[#This Row],[PFBS]])</f>
        <v>-0.17392519729917355</v>
      </c>
      <c r="BZ141">
        <f>LOG(Table1_1[[#This Row],[PFPeS]])</f>
        <v>-0.14874165128092473</v>
      </c>
      <c r="CA141">
        <f>LOG(Table1_1[[#This Row],[PFHxS]])</f>
        <v>1.3364597338485296</v>
      </c>
      <c r="CB141">
        <f>LOG(Table1_1[[#This Row],[PFHpS]])</f>
        <v>0.5428254269591799</v>
      </c>
      <c r="CC141">
        <f>LOG(Table1_1[[#This Row],[PFOS]])</f>
        <v>3.0569048513364727</v>
      </c>
      <c r="CD141">
        <f>LOG(Table1_1[[#This Row],[PFNS]])</f>
        <v>0.12710479836480765</v>
      </c>
      <c r="CE141">
        <f>LOG(Table1_1[[#This Row],[PFDS]])</f>
        <v>0.12710479836480765</v>
      </c>
      <c r="CF141">
        <f>LOG(Table1_1[[#This Row],[PFDoS]])</f>
        <v>0.1553360374650618</v>
      </c>
      <c r="CG141">
        <f>LOG(Table1_1[[#This Row],[Cl-PFOS]])</f>
        <v>-8.8842391260023412E-2</v>
      </c>
      <c r="CH141">
        <f>LOG(Table1_1[[#This Row],[PFEtCHxS]])</f>
        <v>-0.27164621797877153</v>
      </c>
      <c r="CI141">
        <f>LOG(Table1_1[[#This Row],[FBSA]])</f>
        <v>1.1958996524092338</v>
      </c>
      <c r="CJ141">
        <f>LOG(Table1_1[[#This Row],[FHxSA]])</f>
        <v>1.7015679850559273</v>
      </c>
      <c r="CK141">
        <f>LOG(Table1_1[[#This Row],[FOSA]])</f>
        <v>1.1038037209559568</v>
      </c>
      <c r="CL141">
        <f>LOG(Table1_1[[#This Row],[N-MeFOSA]])</f>
        <v>-0.28819277095880896</v>
      </c>
      <c r="CM141">
        <f>LOG(Table1_1[[#This Row],[N-EtFOSA]])</f>
        <v>0.12710479836480765</v>
      </c>
      <c r="CN141">
        <f>LOG(Table1_1[[#This Row],[FOSAA]])</f>
        <v>0.12710479836480765</v>
      </c>
      <c r="CO141">
        <f>LOG(Table1_1[[#This Row],[N-MeFOSAA]])</f>
        <v>-0.17069622716897506</v>
      </c>
      <c r="CP141">
        <f>LOG(Table1_1[[#This Row],[N-EtFOSAA]])</f>
        <v>-0.17392519729917355</v>
      </c>
      <c r="CQ141">
        <f>LOG(Table1_1[[#This Row],[4:2 FTS]])</f>
        <v>-0.17392519729917355</v>
      </c>
      <c r="CR141">
        <f>LOG(Table1_1[[#This Row],[6:2 FTS]])</f>
        <v>-0.17392519729917355</v>
      </c>
      <c r="CS141">
        <f>LOG(Table1_1[[#This Row],[8:2 FTS]])</f>
        <v>0.86569605991607057</v>
      </c>
      <c r="CT141">
        <f>LOG(Table1_1[[#This Row],[10:2 FTS]])</f>
        <v>0.42732378635724722</v>
      </c>
      <c r="CU141">
        <f>LOG(Table1_1[[#This Row],[3:3 FTCA]])</f>
        <v>0.12710479836480765</v>
      </c>
      <c r="CV141">
        <f>LOG(Table1_1[[#This Row],[5:3 FTCA]])</f>
        <v>-0.17392519729917355</v>
      </c>
      <c r="CW141">
        <f>LOG(Table1_1[[#This Row],[7:3 FTCA]])</f>
        <v>0.12710479836480765</v>
      </c>
      <c r="CX141">
        <f>LOG(Table1_1[[#This Row],[6:2 FTCA]])</f>
        <v>0.12710479836480765</v>
      </c>
      <c r="CY141">
        <f>LOG(Table1_1[[#This Row],[8:2 FTCA]])</f>
        <v>-0.17392519729917355</v>
      </c>
      <c r="CZ141">
        <f>LOG(Table1_1[[#This Row],[10:2 FTCA]])</f>
        <v>0.12710479836480765</v>
      </c>
      <c r="DA141">
        <f>LOG(Table1_1[[#This Row],[6:2 FTUCA]])</f>
        <v>-0.27984069659404309</v>
      </c>
      <c r="DB141">
        <f>LOG(Table1_1[[#This Row],[8:2 FTUCA]])</f>
        <v>-0.39361863488939502</v>
      </c>
      <c r="DC141">
        <f>LOG(Table1_1[[#This Row],[ADONA]])</f>
        <v>-0.22914798835785583</v>
      </c>
      <c r="DD141">
        <f>LOG(Table1_1[[#This Row],[9Cl-PF3ONS]])</f>
        <v>0.12710479836480765</v>
      </c>
      <c r="DE141">
        <f>LOG(Table1_1[[#This Row],[11Cl-PF3OUdS]])</f>
        <v>0.12710479836480765</v>
      </c>
      <c r="DF141">
        <f>LOG(Table1_1[[#This Row],[HFPO-DA]])</f>
        <v>-1.7728766960431602E-2</v>
      </c>
      <c r="DG141">
        <f>LOG(Table1_1[[#This Row],[6:2 diPAP]])</f>
        <v>0.12710479836480765</v>
      </c>
      <c r="DH141">
        <f>LOG(Table1_1[[#This Row],[8:2 diPAP]])</f>
        <v>0.12710479836480765</v>
      </c>
      <c r="DI141">
        <f>LOG(Table1_1[[#This Row],[diSAmPAP]])</f>
        <v>0.12710479836480765</v>
      </c>
    </row>
    <row r="142" spans="1:113">
      <c r="A142" t="s">
        <v>294</v>
      </c>
      <c r="B142" t="s">
        <v>121</v>
      </c>
      <c r="C142" s="3">
        <v>44393</v>
      </c>
      <c r="D142" t="s">
        <v>226</v>
      </c>
      <c r="E142" t="s">
        <v>227</v>
      </c>
      <c r="F142" t="s">
        <v>228</v>
      </c>
      <c r="G142" t="s">
        <v>271</v>
      </c>
      <c r="H142" t="s">
        <v>246</v>
      </c>
      <c r="I142">
        <v>12</v>
      </c>
      <c r="J142">
        <f>LOG(Table1_1[[#This Row],[Length]])</f>
        <v>1.0791812460476249</v>
      </c>
      <c r="K142">
        <v>34.450000000000003</v>
      </c>
      <c r="L142">
        <f>LOG(Table1_1[[#This Row],[Weight]])</f>
        <v>1.5371892262436446</v>
      </c>
      <c r="M142">
        <v>0.24249999999999999</v>
      </c>
      <c r="N142">
        <v>8.5500000000000007E-2</v>
      </c>
      <c r="O142">
        <v>0.13100000000000001</v>
      </c>
      <c r="P142">
        <v>0.24249999999999999</v>
      </c>
      <c r="Q142">
        <v>0.51100000000000001</v>
      </c>
      <c r="R142">
        <v>0.24249999999999999</v>
      </c>
      <c r="S142">
        <v>0.56399999999999995</v>
      </c>
      <c r="T142">
        <v>0.70799999999999996</v>
      </c>
      <c r="U142">
        <v>2.1</v>
      </c>
      <c r="V142">
        <v>0.52700000000000002</v>
      </c>
      <c r="W142">
        <v>1.1599999999999999</v>
      </c>
      <c r="X142">
        <v>0.14449999999999999</v>
      </c>
      <c r="Y142">
        <v>0.121</v>
      </c>
      <c r="Z142">
        <v>0.24249999999999999</v>
      </c>
      <c r="AA142">
        <v>0.1285</v>
      </c>
      <c r="AB142">
        <v>7</v>
      </c>
      <c r="AC142">
        <v>1.1299999999999999</v>
      </c>
      <c r="AD142">
        <v>159</v>
      </c>
      <c r="AE142">
        <v>0.24249999999999999</v>
      </c>
      <c r="AF142">
        <v>0.24249999999999999</v>
      </c>
      <c r="AG142">
        <v>0.25950000000000001</v>
      </c>
      <c r="AH142">
        <v>0.14749999999999999</v>
      </c>
      <c r="AI142">
        <v>9.7000000000000003E-2</v>
      </c>
      <c r="AJ142">
        <v>4.4000000000000004</v>
      </c>
      <c r="AK142">
        <v>19.100000000000001</v>
      </c>
      <c r="AL142">
        <v>3.07</v>
      </c>
      <c r="AM142">
        <v>9.35E-2</v>
      </c>
      <c r="AN142">
        <v>0.24249999999999999</v>
      </c>
      <c r="AO142">
        <v>0.24249999999999999</v>
      </c>
      <c r="AP142">
        <v>0.122</v>
      </c>
      <c r="AQ142">
        <v>0.121</v>
      </c>
      <c r="AR142">
        <v>0.121</v>
      </c>
      <c r="AS142">
        <v>0.24249999999999999</v>
      </c>
      <c r="AT142">
        <v>0.64300000000000002</v>
      </c>
      <c r="AU142">
        <v>0.24249999999999999</v>
      </c>
      <c r="AV142">
        <v>0.24249999999999999</v>
      </c>
      <c r="AW142">
        <v>0.121</v>
      </c>
      <c r="AX142">
        <v>1.01</v>
      </c>
      <c r="AY142">
        <v>0.24249999999999999</v>
      </c>
      <c r="AZ142">
        <v>0.121</v>
      </c>
      <c r="BA142">
        <v>0.24249999999999999</v>
      </c>
      <c r="BB142">
        <v>9.5000000000000001E-2</v>
      </c>
      <c r="BC142">
        <v>7.2999999999999995E-2</v>
      </c>
      <c r="BD142">
        <v>0.107</v>
      </c>
      <c r="BE142">
        <v>0.24249999999999999</v>
      </c>
      <c r="BF142">
        <v>0.24249999999999999</v>
      </c>
      <c r="BG142">
        <v>0.17399999999999999</v>
      </c>
      <c r="BH142">
        <v>0.24249999999999999</v>
      </c>
      <c r="BI142">
        <v>0.24249999999999999</v>
      </c>
      <c r="BJ142">
        <v>0.24249999999999999</v>
      </c>
      <c r="BK142">
        <f>SUM(Table1_1[[#This Row],[PFBA]:[diSAmPAP]])</f>
        <v>207.55100000000016</v>
      </c>
      <c r="BL142">
        <f>LOG(Table1_1[[#This Row],[PFBA]])</f>
        <v>-0.61528825706171753</v>
      </c>
      <c r="BM142">
        <f>LOG(Table1_1[[#This Row],[PFPeA]])</f>
        <v>-1.0680338852718274</v>
      </c>
      <c r="BN142">
        <f>LOG(Table1_1[[#This Row],[PFHxA]])</f>
        <v>-0.88272870434423567</v>
      </c>
      <c r="BO142">
        <f>LOG(Table1_1[[#This Row],[PFHpA]])</f>
        <v>-0.61528825706171753</v>
      </c>
      <c r="BP142">
        <f>LOG(Table1_1[[#This Row],[PFOA]])</f>
        <v>-0.29157909986528724</v>
      </c>
      <c r="BQ142">
        <f>LOG(Table1_1[[#This Row],[PFNA]])</f>
        <v>-0.61528825706171753</v>
      </c>
      <c r="BR142">
        <f>LOG(Table1_1[[#This Row],[PFDA]])</f>
        <v>-0.24872089601665776</v>
      </c>
      <c r="BS142">
        <f>LOG(Table1_1[[#This Row],[PFUnA]])</f>
        <v>-0.14996674231023099</v>
      </c>
      <c r="BT142">
        <f>LOG(Table1_1[[#This Row],[PFDoA]])</f>
        <v>0.3222192947339193</v>
      </c>
      <c r="BU142">
        <f>LOG(Table1_1[[#This Row],[PFTrDA]])</f>
        <v>-0.27818938478745336</v>
      </c>
      <c r="BV142">
        <f>LOG(Table1_1[[#This Row],[PFTeDA]])</f>
        <v>6.445798922691845E-2</v>
      </c>
      <c r="BW142">
        <f>LOG(Table1_1[[#This Row],[PFHxDA]])</f>
        <v>-0.84013215290743337</v>
      </c>
      <c r="BX142">
        <f>LOG(Table1_1[[#This Row],[PFPrS]])</f>
        <v>-0.91721462968354994</v>
      </c>
      <c r="BY142">
        <f>LOG(Table1_1[[#This Row],[PFBS]])</f>
        <v>-0.61528825706171753</v>
      </c>
      <c r="BZ142">
        <f>LOG(Table1_1[[#This Row],[PFPeS]])</f>
        <v>-0.89109687233268664</v>
      </c>
      <c r="CA142">
        <f>LOG(Table1_1[[#This Row],[PFHxS]])</f>
        <v>0.84509804001425681</v>
      </c>
      <c r="CB142">
        <f>LOG(Table1_1[[#This Row],[PFHpS]])</f>
        <v>5.3078443483419682E-2</v>
      </c>
      <c r="CC142">
        <f>LOG(Table1_1[[#This Row],[PFOS]])</f>
        <v>2.2013971243204513</v>
      </c>
      <c r="CD142">
        <f>LOG(Table1_1[[#This Row],[PFNS]])</f>
        <v>-0.61528825706171753</v>
      </c>
      <c r="CE142">
        <f>LOG(Table1_1[[#This Row],[PFDS]])</f>
        <v>-0.61528825706171753</v>
      </c>
      <c r="CF142">
        <f>LOG(Table1_1[[#This Row],[PFDoS]])</f>
        <v>-0.58586263781552328</v>
      </c>
      <c r="CG142">
        <f>LOG(Table1_1[[#This Row],[Cl-PFOS]])</f>
        <v>-0.83120797968581828</v>
      </c>
      <c r="CH142">
        <f>LOG(Table1_1[[#This Row],[PFEtCHxS]])</f>
        <v>-1.0132282657337552</v>
      </c>
      <c r="CI142">
        <f>LOG(Table1_1[[#This Row],[FBSA]])</f>
        <v>0.64345267648618742</v>
      </c>
      <c r="CJ142">
        <f>LOG(Table1_1[[#This Row],[FHxSA]])</f>
        <v>1.2810333672477277</v>
      </c>
      <c r="CK142">
        <f>LOG(Table1_1[[#This Row],[FOSA]])</f>
        <v>0.48713837547718647</v>
      </c>
      <c r="CL142">
        <f>LOG(Table1_1[[#This Row],[N-MeFOSA]])</f>
        <v>-1.0291883891274822</v>
      </c>
      <c r="CM142">
        <f>LOG(Table1_1[[#This Row],[N-EtFOSA]])</f>
        <v>-0.61528825706171753</v>
      </c>
      <c r="CN142">
        <f>LOG(Table1_1[[#This Row],[FOSAA]])</f>
        <v>-0.61528825706171753</v>
      </c>
      <c r="CO142">
        <f>LOG(Table1_1[[#This Row],[N-MeFOSAA]])</f>
        <v>-0.91364016932525183</v>
      </c>
      <c r="CP142">
        <f>LOG(Table1_1[[#This Row],[N-EtFOSAA]])</f>
        <v>-0.91721462968354994</v>
      </c>
      <c r="CQ142">
        <f>LOG(Table1_1[[#This Row],[4:2 FTS]])</f>
        <v>-0.91721462968354994</v>
      </c>
      <c r="CR142">
        <f>LOG(Table1_1[[#This Row],[6:2 FTS]])</f>
        <v>-0.61528825706171753</v>
      </c>
      <c r="CS142">
        <f>LOG(Table1_1[[#This Row],[8:2 FTS]])</f>
        <v>-0.19178902707577791</v>
      </c>
      <c r="CT142">
        <f>LOG(Table1_1[[#This Row],[10:2 FTS]])</f>
        <v>-0.61528825706171753</v>
      </c>
      <c r="CU142">
        <f>LOG(Table1_1[[#This Row],[3:3 FTCA]])</f>
        <v>-0.61528825706171753</v>
      </c>
      <c r="CV142">
        <f>LOG(Table1_1[[#This Row],[5:3 FTCA]])</f>
        <v>-0.91721462968354994</v>
      </c>
      <c r="CW142">
        <f>LOG(Table1_1[[#This Row],[7:3 FTCA]])</f>
        <v>4.3213737826425782E-3</v>
      </c>
      <c r="CX142">
        <f>LOG(Table1_1[[#This Row],[6:2 FTCA]])</f>
        <v>-0.61528825706171753</v>
      </c>
      <c r="CY142">
        <f>LOG(Table1_1[[#This Row],[8:2 FTCA]])</f>
        <v>-0.91721462968354994</v>
      </c>
      <c r="CZ142">
        <f>LOG(Table1_1[[#This Row],[10:2 FTCA]])</f>
        <v>-0.61528825706171753</v>
      </c>
      <c r="DA142">
        <f>LOG(Table1_1[[#This Row],[6:2 FTUCA]])</f>
        <v>-1.0222763947111522</v>
      </c>
      <c r="DB142">
        <f>LOG(Table1_1[[#This Row],[8:2 FTUCA]])</f>
        <v>-1.1366771398795441</v>
      </c>
      <c r="DC142">
        <f>LOG(Table1_1[[#This Row],[ADONA]])</f>
        <v>-0.97061622231479039</v>
      </c>
      <c r="DD142">
        <f>LOG(Table1_1[[#This Row],[9Cl-PF3ONS]])</f>
        <v>-0.61528825706171753</v>
      </c>
      <c r="DE142">
        <f>LOG(Table1_1[[#This Row],[11Cl-PF3OUdS]])</f>
        <v>-0.61528825706171753</v>
      </c>
      <c r="DF142">
        <f>LOG(Table1_1[[#This Row],[HFPO-DA]])</f>
        <v>-0.75945075171740029</v>
      </c>
      <c r="DG142">
        <f>LOG(Table1_1[[#This Row],[6:2 diPAP]])</f>
        <v>-0.61528825706171753</v>
      </c>
      <c r="DH142">
        <f>LOG(Table1_1[[#This Row],[8:2 diPAP]])</f>
        <v>-0.61528825706171753</v>
      </c>
      <c r="DI142">
        <f>LOG(Table1_1[[#This Row],[diSAmPAP]])</f>
        <v>-0.61528825706171753</v>
      </c>
    </row>
    <row r="143" spans="1:113">
      <c r="A143" t="s">
        <v>295</v>
      </c>
      <c r="B143" t="s">
        <v>121</v>
      </c>
      <c r="C143" s="3">
        <v>44393</v>
      </c>
      <c r="D143" t="s">
        <v>226</v>
      </c>
      <c r="E143" t="s">
        <v>227</v>
      </c>
      <c r="F143" t="s">
        <v>228</v>
      </c>
      <c r="G143" t="s">
        <v>271</v>
      </c>
      <c r="H143" t="s">
        <v>244</v>
      </c>
      <c r="I143">
        <v>12</v>
      </c>
      <c r="J143">
        <f>LOG(Table1_1[[#This Row],[Length]])</f>
        <v>1.0791812460476249</v>
      </c>
      <c r="K143">
        <v>36.32</v>
      </c>
      <c r="L143">
        <f>LOG(Table1_1[[#This Row],[Weight]])</f>
        <v>1.5601458398490475</v>
      </c>
      <c r="M143">
        <v>1.2350000000000001</v>
      </c>
      <c r="N143">
        <v>0.4365</v>
      </c>
      <c r="O143">
        <v>0.33400000000000002</v>
      </c>
      <c r="P143">
        <v>0.62</v>
      </c>
      <c r="Q143">
        <v>0.2475</v>
      </c>
      <c r="R143">
        <v>1.2350000000000001</v>
      </c>
      <c r="S143">
        <v>12.1</v>
      </c>
      <c r="T143">
        <v>20.9</v>
      </c>
      <c r="U143">
        <v>45.5</v>
      </c>
      <c r="V143">
        <v>15.4</v>
      </c>
      <c r="W143">
        <v>35.6</v>
      </c>
      <c r="X143">
        <v>0.73499999999999999</v>
      </c>
      <c r="Y143">
        <v>0.62</v>
      </c>
      <c r="Z143">
        <v>1.2350000000000001</v>
      </c>
      <c r="AA143">
        <v>0.65500000000000003</v>
      </c>
      <c r="AB143">
        <v>20.8</v>
      </c>
      <c r="AC143">
        <v>3.27</v>
      </c>
      <c r="AD143">
        <v>3100</v>
      </c>
      <c r="AE143">
        <v>3.18</v>
      </c>
      <c r="AF143">
        <v>2.65</v>
      </c>
      <c r="AG143">
        <v>1.325</v>
      </c>
      <c r="AH143">
        <v>0.75</v>
      </c>
      <c r="AI143">
        <v>0.4945</v>
      </c>
      <c r="AJ143">
        <v>134</v>
      </c>
      <c r="AK143">
        <v>198</v>
      </c>
      <c r="AL143">
        <v>27</v>
      </c>
      <c r="AM143">
        <v>0.47599999999999998</v>
      </c>
      <c r="AN143">
        <v>1.2350000000000001</v>
      </c>
      <c r="AO143">
        <v>1.2350000000000001</v>
      </c>
      <c r="AP143">
        <v>0.62</v>
      </c>
      <c r="AQ143">
        <v>0.62</v>
      </c>
      <c r="AR143">
        <v>0.62</v>
      </c>
      <c r="AS143">
        <v>0.62</v>
      </c>
      <c r="AT143">
        <v>7.15</v>
      </c>
      <c r="AU143">
        <v>2.4750000000000001</v>
      </c>
      <c r="AV143">
        <v>1.2350000000000001</v>
      </c>
      <c r="AW143">
        <v>0.62</v>
      </c>
      <c r="AX143">
        <v>1.2350000000000001</v>
      </c>
      <c r="AY143">
        <v>1.2350000000000001</v>
      </c>
      <c r="AZ143">
        <v>0.62</v>
      </c>
      <c r="BA143">
        <v>1.2350000000000001</v>
      </c>
      <c r="BB143">
        <v>0.48549999999999999</v>
      </c>
      <c r="BC143">
        <v>0.3735</v>
      </c>
      <c r="BD143">
        <v>0.54500000000000004</v>
      </c>
      <c r="BE143">
        <v>1.2350000000000001</v>
      </c>
      <c r="BF143">
        <v>1.2350000000000001</v>
      </c>
      <c r="BG143">
        <v>0.88500000000000001</v>
      </c>
      <c r="BH143">
        <v>1.2350000000000001</v>
      </c>
      <c r="BI143">
        <v>1.2350000000000001</v>
      </c>
      <c r="BJ143">
        <v>1.2350000000000001</v>
      </c>
      <c r="BK143">
        <f>SUM(Table1_1[[#This Row],[PFBA]:[diSAmPAP]])</f>
        <v>3658.0175000000008</v>
      </c>
      <c r="BL143">
        <f>LOG(Table1_1[[#This Row],[PFBA]])</f>
        <v>9.1666957595684564E-2</v>
      </c>
      <c r="BM143">
        <f>LOG(Table1_1[[#This Row],[PFPeA]])</f>
        <v>-0.36001575195841146</v>
      </c>
      <c r="BN143">
        <f>LOG(Table1_1[[#This Row],[PFHxA]])</f>
        <v>-0.4762535331884355</v>
      </c>
      <c r="BO143">
        <f>LOG(Table1_1[[#This Row],[PFHpA]])</f>
        <v>-0.20760831050174613</v>
      </c>
      <c r="BP143">
        <f>LOG(Table1_1[[#This Row],[PFOA]])</f>
        <v>-0.6064247967304125</v>
      </c>
      <c r="BQ143">
        <f>LOG(Table1_1[[#This Row],[PFNA]])</f>
        <v>9.1666957595684564E-2</v>
      </c>
      <c r="BR143">
        <f>LOG(Table1_1[[#This Row],[PFDA]])</f>
        <v>1.0827853703164501</v>
      </c>
      <c r="BS143">
        <f>LOG(Table1_1[[#This Row],[PFUnA]])</f>
        <v>1.320146286111054</v>
      </c>
      <c r="BT143">
        <f>LOG(Table1_1[[#This Row],[PFDoA]])</f>
        <v>1.6580113966571124</v>
      </c>
      <c r="BU143">
        <f>LOG(Table1_1[[#This Row],[PFTrDA]])</f>
        <v>1.1875207208364631</v>
      </c>
      <c r="BV143">
        <f>LOG(Table1_1[[#This Row],[PFTeDA]])</f>
        <v>1.5514499979728751</v>
      </c>
      <c r="BW143">
        <f>LOG(Table1_1[[#This Row],[PFHxDA]])</f>
        <v>-0.13371266091580511</v>
      </c>
      <c r="BX143">
        <f>LOG(Table1_1[[#This Row],[PFPrS]])</f>
        <v>-0.20760831050174613</v>
      </c>
      <c r="BY143">
        <f>LOG(Table1_1[[#This Row],[PFBS]])</f>
        <v>9.1666957595684564E-2</v>
      </c>
      <c r="BZ143">
        <f>LOG(Table1_1[[#This Row],[PFPeS]])</f>
        <v>-0.18375870000821692</v>
      </c>
      <c r="CA143">
        <f>LOG(Table1_1[[#This Row],[PFHxS]])</f>
        <v>1.3180633349627615</v>
      </c>
      <c r="CB143">
        <f>LOG(Table1_1[[#This Row],[PFHpS]])</f>
        <v>0.51454775266028607</v>
      </c>
      <c r="CC143">
        <f>LOG(Table1_1[[#This Row],[PFOS]])</f>
        <v>3.4913616938342726</v>
      </c>
      <c r="CD143">
        <f>LOG(Table1_1[[#This Row],[PFNS]])</f>
        <v>0.50242711998443268</v>
      </c>
      <c r="CE143">
        <f>LOG(Table1_1[[#This Row],[PFDS]])</f>
        <v>0.42324587393680785</v>
      </c>
      <c r="CF143">
        <f>LOG(Table1_1[[#This Row],[PFDoS]])</f>
        <v>0.12221587827282664</v>
      </c>
      <c r="CG143">
        <f>LOG(Table1_1[[#This Row],[Cl-PFOS]])</f>
        <v>-0.12493873660829995</v>
      </c>
      <c r="CH143">
        <f>LOG(Table1_1[[#This Row],[PFEtCHxS]])</f>
        <v>-0.30583370406680177</v>
      </c>
      <c r="CI143">
        <f>LOG(Table1_1[[#This Row],[FBSA]])</f>
        <v>2.1271047983648077</v>
      </c>
      <c r="CJ143">
        <f>LOG(Table1_1[[#This Row],[FHxSA]])</f>
        <v>2.2966651902615309</v>
      </c>
      <c r="CK143">
        <f>LOG(Table1_1[[#This Row],[FOSA]])</f>
        <v>1.4313637641589874</v>
      </c>
      <c r="CL143">
        <f>LOG(Table1_1[[#This Row],[N-MeFOSA]])</f>
        <v>-0.32239304727950685</v>
      </c>
      <c r="CM143">
        <f>LOG(Table1_1[[#This Row],[N-EtFOSA]])</f>
        <v>9.1666957595684564E-2</v>
      </c>
      <c r="CN143">
        <f>LOG(Table1_1[[#This Row],[FOSAA]])</f>
        <v>9.1666957595684564E-2</v>
      </c>
      <c r="CO143">
        <f>LOG(Table1_1[[#This Row],[N-MeFOSAA]])</f>
        <v>-0.20760831050174613</v>
      </c>
      <c r="CP143">
        <f>LOG(Table1_1[[#This Row],[N-EtFOSAA]])</f>
        <v>-0.20760831050174613</v>
      </c>
      <c r="CQ143">
        <f>LOG(Table1_1[[#This Row],[4:2 FTS]])</f>
        <v>-0.20760831050174613</v>
      </c>
      <c r="CR143">
        <f>LOG(Table1_1[[#This Row],[6:2 FTS]])</f>
        <v>-0.20760831050174613</v>
      </c>
      <c r="CS143">
        <f>LOG(Table1_1[[#This Row],[8:2 FTS]])</f>
        <v>0.85430604180108061</v>
      </c>
      <c r="CT143">
        <f>LOG(Table1_1[[#This Row],[10:2 FTS]])</f>
        <v>0.39357520326958756</v>
      </c>
      <c r="CU143">
        <f>LOG(Table1_1[[#This Row],[3:3 FTCA]])</f>
        <v>9.1666957595684564E-2</v>
      </c>
      <c r="CV143">
        <f>LOG(Table1_1[[#This Row],[5:3 FTCA]])</f>
        <v>-0.20760831050174613</v>
      </c>
      <c r="CW143">
        <f>LOG(Table1_1[[#This Row],[7:3 FTCA]])</f>
        <v>9.1666957595684564E-2</v>
      </c>
      <c r="CX143">
        <f>LOG(Table1_1[[#This Row],[6:2 FTCA]])</f>
        <v>9.1666957595684564E-2</v>
      </c>
      <c r="CY143">
        <f>LOG(Table1_1[[#This Row],[8:2 FTCA]])</f>
        <v>-0.20760831050174613</v>
      </c>
      <c r="CZ143">
        <f>LOG(Table1_1[[#This Row],[10:2 FTCA]])</f>
        <v>9.1666957595684564E-2</v>
      </c>
      <c r="DA143">
        <f>LOG(Table1_1[[#This Row],[6:2 FTUCA]])</f>
        <v>-0.31381076575597633</v>
      </c>
      <c r="DB143">
        <f>LOG(Table1_1[[#This Row],[8:2 FTUCA]])</f>
        <v>-0.42770939384858242</v>
      </c>
      <c r="DC143">
        <f>LOG(Table1_1[[#This Row],[ADONA]])</f>
        <v>-0.2636034977233575</v>
      </c>
      <c r="DD143">
        <f>LOG(Table1_1[[#This Row],[9Cl-PF3ONS]])</f>
        <v>9.1666957595684564E-2</v>
      </c>
      <c r="DE143">
        <f>LOG(Table1_1[[#This Row],[11Cl-PF3OUdS]])</f>
        <v>9.1666957595684564E-2</v>
      </c>
      <c r="DF143">
        <f>LOG(Table1_1[[#This Row],[HFPO-DA]])</f>
        <v>-5.305672930217456E-2</v>
      </c>
      <c r="DG143">
        <f>LOG(Table1_1[[#This Row],[6:2 diPAP]])</f>
        <v>9.1666957595684564E-2</v>
      </c>
      <c r="DH143">
        <f>LOG(Table1_1[[#This Row],[8:2 diPAP]])</f>
        <v>9.1666957595684564E-2</v>
      </c>
      <c r="DI143">
        <f>LOG(Table1_1[[#This Row],[diSAmPAP]])</f>
        <v>9.1666957595684564E-2</v>
      </c>
    </row>
    <row r="144" spans="1:113">
      <c r="A144" t="s">
        <v>296</v>
      </c>
      <c r="B144" t="s">
        <v>121</v>
      </c>
      <c r="C144" s="3">
        <v>44393</v>
      </c>
      <c r="D144" t="s">
        <v>226</v>
      </c>
      <c r="E144" t="s">
        <v>227</v>
      </c>
      <c r="F144" t="s">
        <v>228</v>
      </c>
      <c r="G144" t="s">
        <v>271</v>
      </c>
      <c r="H144" t="s">
        <v>246</v>
      </c>
      <c r="I144">
        <v>12</v>
      </c>
      <c r="J144">
        <f>LOG(Table1_1[[#This Row],[Length]])</f>
        <v>1.0791812460476249</v>
      </c>
      <c r="K144">
        <v>36.32</v>
      </c>
      <c r="L144">
        <f>LOG(Table1_1[[#This Row],[Weight]])</f>
        <v>1.5601458398490475</v>
      </c>
      <c r="M144">
        <v>0.23400000000000001</v>
      </c>
      <c r="N144">
        <v>8.2500000000000004E-2</v>
      </c>
      <c r="O144">
        <v>0.1265</v>
      </c>
      <c r="P144">
        <v>0.23400000000000001</v>
      </c>
      <c r="Q144">
        <v>0.20499999999999999</v>
      </c>
      <c r="R144">
        <v>0.23400000000000001</v>
      </c>
      <c r="S144">
        <v>1.88</v>
      </c>
      <c r="T144">
        <v>3.02</v>
      </c>
      <c r="U144">
        <v>6.83</v>
      </c>
      <c r="V144">
        <v>3.09</v>
      </c>
      <c r="W144">
        <v>4.41</v>
      </c>
      <c r="X144">
        <v>0.13950000000000001</v>
      </c>
      <c r="Y144">
        <v>0.11700000000000001</v>
      </c>
      <c r="Z144">
        <v>0.23400000000000001</v>
      </c>
      <c r="AA144">
        <v>0.124</v>
      </c>
      <c r="AB144">
        <v>4.38</v>
      </c>
      <c r="AC144">
        <v>1.26</v>
      </c>
      <c r="AD144">
        <v>433</v>
      </c>
      <c r="AE144">
        <v>1.1599999999999999</v>
      </c>
      <c r="AF144">
        <v>1.02</v>
      </c>
      <c r="AG144">
        <v>0.2505</v>
      </c>
      <c r="AH144">
        <v>0.14249999999999999</v>
      </c>
      <c r="AI144">
        <v>9.35E-2</v>
      </c>
      <c r="AJ144">
        <v>22.7</v>
      </c>
      <c r="AK144">
        <v>63.7</v>
      </c>
      <c r="AL144">
        <v>8.08</v>
      </c>
      <c r="AM144">
        <v>0.09</v>
      </c>
      <c r="AN144">
        <v>0.23400000000000001</v>
      </c>
      <c r="AO144">
        <v>0.23400000000000001</v>
      </c>
      <c r="AP144">
        <v>0.11799999999999999</v>
      </c>
      <c r="AQ144">
        <v>0.11700000000000001</v>
      </c>
      <c r="AR144">
        <v>0.11700000000000001</v>
      </c>
      <c r="AS144">
        <v>0.11700000000000001</v>
      </c>
      <c r="AT144">
        <v>0.72299999999999998</v>
      </c>
      <c r="AU144">
        <v>0.23400000000000001</v>
      </c>
      <c r="AV144">
        <v>0.23400000000000001</v>
      </c>
      <c r="AW144">
        <v>0.23400000000000001</v>
      </c>
      <c r="AX144">
        <v>2.13</v>
      </c>
      <c r="AY144">
        <v>0.23400000000000001</v>
      </c>
      <c r="AZ144">
        <v>0.11700000000000001</v>
      </c>
      <c r="BA144">
        <v>0.23400000000000001</v>
      </c>
      <c r="BB144">
        <v>9.1999999999999998E-2</v>
      </c>
      <c r="BC144">
        <v>7.0499999999999993E-2</v>
      </c>
      <c r="BD144">
        <v>0.10349999999999999</v>
      </c>
      <c r="BE144">
        <v>0.23400000000000001</v>
      </c>
      <c r="BF144">
        <v>0.23400000000000001</v>
      </c>
      <c r="BG144">
        <v>0.16800000000000001</v>
      </c>
      <c r="BH144">
        <v>0.23400000000000001</v>
      </c>
      <c r="BI144">
        <v>0.23400000000000001</v>
      </c>
      <c r="BJ144">
        <v>0.23400000000000001</v>
      </c>
      <c r="BK144">
        <f>SUM(Table1_1[[#This Row],[PFBA]:[diSAmPAP]])</f>
        <v>563.51800000000048</v>
      </c>
      <c r="BL144">
        <f>LOG(Table1_1[[#This Row],[PFBA]])</f>
        <v>-0.63078414258985716</v>
      </c>
      <c r="BM144">
        <f>LOG(Table1_1[[#This Row],[PFPeA]])</f>
        <v>-1.083546051450075</v>
      </c>
      <c r="BN144">
        <f>LOG(Table1_1[[#This Row],[PFHxA]])</f>
        <v>-0.89790947448816327</v>
      </c>
      <c r="BO144">
        <f>LOG(Table1_1[[#This Row],[PFHpA]])</f>
        <v>-0.63078414258985716</v>
      </c>
      <c r="BP144">
        <f>LOG(Table1_1[[#This Row],[PFOA]])</f>
        <v>-0.68824613894424569</v>
      </c>
      <c r="BQ144">
        <f>LOG(Table1_1[[#This Row],[PFNA]])</f>
        <v>-0.63078414258985716</v>
      </c>
      <c r="BR144">
        <f>LOG(Table1_1[[#This Row],[PFDA]])</f>
        <v>0.27415784926367981</v>
      </c>
      <c r="BS144">
        <f>LOG(Table1_1[[#This Row],[PFUnA]])</f>
        <v>0.48000694295715063</v>
      </c>
      <c r="BT144">
        <f>LOG(Table1_1[[#This Row],[PFDoA]])</f>
        <v>0.83442070368153254</v>
      </c>
      <c r="BU144">
        <f>LOG(Table1_1[[#This Row],[PFTrDA]])</f>
        <v>0.48995847942483461</v>
      </c>
      <c r="BV144">
        <f>LOG(Table1_1[[#This Row],[PFTeDA]])</f>
        <v>0.6444385894678385</v>
      </c>
      <c r="BW144">
        <f>LOG(Table1_1[[#This Row],[PFHxDA]])</f>
        <v>-0.85542579239038363</v>
      </c>
      <c r="BX144">
        <f>LOG(Table1_1[[#This Row],[PFPrS]])</f>
        <v>-0.9318141382538383</v>
      </c>
      <c r="BY144">
        <f>LOG(Table1_1[[#This Row],[PFBS]])</f>
        <v>-0.63078414258985716</v>
      </c>
      <c r="BZ144">
        <f>LOG(Table1_1[[#This Row],[PFPeS]])</f>
        <v>-0.90657831483776496</v>
      </c>
      <c r="CA144">
        <f>LOG(Table1_1[[#This Row],[PFHxS]])</f>
        <v>0.64147411050409953</v>
      </c>
      <c r="CB144">
        <f>LOG(Table1_1[[#This Row],[PFHpS]])</f>
        <v>0.10037054511756291</v>
      </c>
      <c r="CC144">
        <f>LOG(Table1_1[[#This Row],[PFOS]])</f>
        <v>2.6364878963533656</v>
      </c>
      <c r="CD144">
        <f>LOG(Table1_1[[#This Row],[PFNS]])</f>
        <v>6.445798922691845E-2</v>
      </c>
      <c r="CE144">
        <f>LOG(Table1_1[[#This Row],[PFDS]])</f>
        <v>8.6001717619175692E-3</v>
      </c>
      <c r="CF144">
        <f>LOG(Table1_1[[#This Row],[PFDoS]])</f>
        <v>-0.60119226979673546</v>
      </c>
      <c r="CG144">
        <f>LOG(Table1_1[[#This Row],[Cl-PFOS]])</f>
        <v>-0.84618513565547104</v>
      </c>
      <c r="CH144">
        <f>LOG(Table1_1[[#This Row],[PFEtCHxS]])</f>
        <v>-1.0291883891274822</v>
      </c>
      <c r="CI144">
        <f>LOG(Table1_1[[#This Row],[FBSA]])</f>
        <v>1.3560258571931227</v>
      </c>
      <c r="CJ144">
        <f>LOG(Table1_1[[#This Row],[FHxSA]])</f>
        <v>1.8041394323353503</v>
      </c>
      <c r="CK144">
        <f>LOG(Table1_1[[#This Row],[FOSA]])</f>
        <v>0.90741136077458617</v>
      </c>
      <c r="CL144">
        <f>LOG(Table1_1[[#This Row],[N-MeFOSA]])</f>
        <v>-1.0457574905606752</v>
      </c>
      <c r="CM144">
        <f>LOG(Table1_1[[#This Row],[N-EtFOSA]])</f>
        <v>-0.63078414258985716</v>
      </c>
      <c r="CN144">
        <f>LOG(Table1_1[[#This Row],[FOSAA]])</f>
        <v>-0.63078414258985716</v>
      </c>
      <c r="CO144">
        <f>LOG(Table1_1[[#This Row],[N-MeFOSAA]])</f>
        <v>-0.92811799269387463</v>
      </c>
      <c r="CP144">
        <f>LOG(Table1_1[[#This Row],[N-EtFOSAA]])</f>
        <v>-0.9318141382538383</v>
      </c>
      <c r="CQ144">
        <f>LOG(Table1_1[[#This Row],[4:2 FTS]])</f>
        <v>-0.9318141382538383</v>
      </c>
      <c r="CR144">
        <f>LOG(Table1_1[[#This Row],[6:2 FTS]])</f>
        <v>-0.9318141382538383</v>
      </c>
      <c r="CS144">
        <f>LOG(Table1_1[[#This Row],[8:2 FTS]])</f>
        <v>-0.14086170270546919</v>
      </c>
      <c r="CT144">
        <f>LOG(Table1_1[[#This Row],[10:2 FTS]])</f>
        <v>-0.63078414258985716</v>
      </c>
      <c r="CU144">
        <f>LOG(Table1_1[[#This Row],[3:3 FTCA]])</f>
        <v>-0.63078414258985716</v>
      </c>
      <c r="CV144">
        <f>LOG(Table1_1[[#This Row],[5:3 FTCA]])</f>
        <v>-0.63078414258985716</v>
      </c>
      <c r="CW144">
        <f>LOG(Table1_1[[#This Row],[7:3 FTCA]])</f>
        <v>0.32837960343873768</v>
      </c>
      <c r="CX144">
        <f>LOG(Table1_1[[#This Row],[6:2 FTCA]])</f>
        <v>-0.63078414258985716</v>
      </c>
      <c r="CY144">
        <f>LOG(Table1_1[[#This Row],[8:2 FTCA]])</f>
        <v>-0.9318141382538383</v>
      </c>
      <c r="CZ144">
        <f>LOG(Table1_1[[#This Row],[10:2 FTCA]])</f>
        <v>-0.63078414258985716</v>
      </c>
      <c r="DA144">
        <f>LOG(Table1_1[[#This Row],[6:2 FTUCA]])</f>
        <v>-1.0362121726544447</v>
      </c>
      <c r="DB144">
        <f>LOG(Table1_1[[#This Row],[8:2 FTUCA]])</f>
        <v>-1.1518108830086013</v>
      </c>
      <c r="DC144">
        <f>LOG(Table1_1[[#This Row],[ADONA]])</f>
        <v>-0.98505965020706343</v>
      </c>
      <c r="DD144">
        <f>LOG(Table1_1[[#This Row],[9Cl-PF3ONS]])</f>
        <v>-0.63078414258985716</v>
      </c>
      <c r="DE144">
        <f>LOG(Table1_1[[#This Row],[11Cl-PF3OUdS]])</f>
        <v>-0.63078414258985716</v>
      </c>
      <c r="DF144">
        <f>LOG(Table1_1[[#This Row],[HFPO-DA]])</f>
        <v>-0.77469071827413716</v>
      </c>
      <c r="DG144">
        <f>LOG(Table1_1[[#This Row],[6:2 diPAP]])</f>
        <v>-0.63078414258985716</v>
      </c>
      <c r="DH144">
        <f>LOG(Table1_1[[#This Row],[8:2 diPAP]])</f>
        <v>-0.63078414258985716</v>
      </c>
      <c r="DI144">
        <f>LOG(Table1_1[[#This Row],[diSAmPAP]])</f>
        <v>-0.63078414258985716</v>
      </c>
    </row>
    <row r="145" spans="1:113">
      <c r="A145" t="s">
        <v>297</v>
      </c>
      <c r="B145" t="s">
        <v>121</v>
      </c>
      <c r="C145" s="3">
        <v>44393</v>
      </c>
      <c r="D145" t="s">
        <v>226</v>
      </c>
      <c r="E145" t="s">
        <v>227</v>
      </c>
      <c r="F145" t="s">
        <v>228</v>
      </c>
      <c r="G145" t="s">
        <v>118</v>
      </c>
      <c r="H145" t="s">
        <v>119</v>
      </c>
      <c r="I145">
        <v>8</v>
      </c>
      <c r="J145">
        <f>LOG(Table1_1[[#This Row],[Length]])</f>
        <v>0.90308998699194354</v>
      </c>
      <c r="K145">
        <v>11.56</v>
      </c>
      <c r="L145">
        <f>LOG(Table1_1[[#This Row],[Weight]])</f>
        <v>1.0629578340845103</v>
      </c>
      <c r="M145">
        <v>0.21149999999999999</v>
      </c>
      <c r="N145">
        <v>7.4499999999999997E-2</v>
      </c>
      <c r="O145">
        <v>0.26700000000000002</v>
      </c>
      <c r="P145">
        <v>0.106</v>
      </c>
      <c r="Q145">
        <v>0.316</v>
      </c>
      <c r="R145">
        <v>0.106</v>
      </c>
      <c r="S145">
        <v>5.98</v>
      </c>
      <c r="T145">
        <v>7.18</v>
      </c>
      <c r="U145">
        <v>23</v>
      </c>
      <c r="V145">
        <v>3.74</v>
      </c>
      <c r="W145">
        <v>16.600000000000001</v>
      </c>
      <c r="X145">
        <v>0.126</v>
      </c>
      <c r="Y145">
        <v>0.106</v>
      </c>
      <c r="Z145">
        <v>0.106</v>
      </c>
      <c r="AA145">
        <v>0.112</v>
      </c>
      <c r="AB145">
        <v>6.09</v>
      </c>
      <c r="AC145">
        <v>1.02</v>
      </c>
      <c r="AD145">
        <v>674</v>
      </c>
      <c r="AE145">
        <v>1.44</v>
      </c>
      <c r="AF145">
        <v>1.22</v>
      </c>
      <c r="AG145">
        <v>0.22650000000000001</v>
      </c>
      <c r="AH145">
        <v>0.1285</v>
      </c>
      <c r="AI145">
        <v>8.4500000000000006E-2</v>
      </c>
      <c r="AJ145">
        <v>57.5</v>
      </c>
      <c r="AK145">
        <v>70.5</v>
      </c>
      <c r="AL145">
        <v>9.8000000000000007</v>
      </c>
      <c r="AM145">
        <v>8.1500000000000003E-2</v>
      </c>
      <c r="AN145">
        <v>0.21149999999999999</v>
      </c>
      <c r="AO145">
        <v>0.21149999999999999</v>
      </c>
      <c r="AP145">
        <v>0.1065</v>
      </c>
      <c r="AQ145">
        <v>0.106</v>
      </c>
      <c r="AR145">
        <v>0.106</v>
      </c>
      <c r="AS145">
        <v>0.21149999999999999</v>
      </c>
      <c r="AT145">
        <v>2.76</v>
      </c>
      <c r="AU145">
        <v>0.21149999999999999</v>
      </c>
      <c r="AV145">
        <v>0.21149999999999999</v>
      </c>
      <c r="AW145">
        <v>0.106</v>
      </c>
      <c r="AX145">
        <v>2.38</v>
      </c>
      <c r="AY145">
        <v>0.21149999999999999</v>
      </c>
      <c r="AZ145">
        <v>0.106</v>
      </c>
      <c r="BA145">
        <v>0.21149999999999999</v>
      </c>
      <c r="BB145">
        <v>8.3000000000000004E-2</v>
      </c>
      <c r="BC145">
        <v>6.4000000000000001E-2</v>
      </c>
      <c r="BD145">
        <v>9.35E-2</v>
      </c>
      <c r="BE145">
        <v>0.21149999999999999</v>
      </c>
      <c r="BF145">
        <v>0.21149999999999999</v>
      </c>
      <c r="BG145">
        <v>0.152</v>
      </c>
      <c r="BH145">
        <v>0.21149999999999999</v>
      </c>
      <c r="BI145">
        <v>0.21149999999999999</v>
      </c>
      <c r="BJ145">
        <v>0.21149999999999999</v>
      </c>
      <c r="BK145">
        <f>SUM(Table1_1[[#This Row],[PFBA]:[diSAmPAP]])</f>
        <v>888.72299999999996</v>
      </c>
      <c r="BL145">
        <f>LOG(Table1_1[[#This Row],[PFBA]])</f>
        <v>-0.67468962828893886</v>
      </c>
      <c r="BM145">
        <f>LOG(Table1_1[[#This Row],[PFPeA]])</f>
        <v>-1.1278437272517072</v>
      </c>
      <c r="BN145">
        <f>LOG(Table1_1[[#This Row],[PFHxA]])</f>
        <v>-0.57348873863542471</v>
      </c>
      <c r="BO145">
        <f>LOG(Table1_1[[#This Row],[PFHpA]])</f>
        <v>-0.97469413473522981</v>
      </c>
      <c r="BP145">
        <f>LOG(Table1_1[[#This Row],[PFOA]])</f>
        <v>-0.50031291738159622</v>
      </c>
      <c r="BQ145">
        <f>LOG(Table1_1[[#This Row],[PFNA]])</f>
        <v>-0.97469413473522981</v>
      </c>
      <c r="BR145">
        <f>LOG(Table1_1[[#This Row],[PFDA]])</f>
        <v>0.77670118398841093</v>
      </c>
      <c r="BS145">
        <f>LOG(Table1_1[[#This Row],[PFUnA]])</f>
        <v>0.85612444424230028</v>
      </c>
      <c r="BT145">
        <f>LOG(Table1_1[[#This Row],[PFDoA]])</f>
        <v>1.3617278360175928</v>
      </c>
      <c r="BU145">
        <f>LOG(Table1_1[[#This Row],[PFTrDA]])</f>
        <v>0.57287160220048017</v>
      </c>
      <c r="BV145">
        <f>LOG(Table1_1[[#This Row],[PFTeDA]])</f>
        <v>1.2201080880400552</v>
      </c>
      <c r="BW145">
        <f>LOG(Table1_1[[#This Row],[PFHxDA]])</f>
        <v>-0.89962945488243706</v>
      </c>
      <c r="BX145">
        <f>LOG(Table1_1[[#This Row],[PFPrS]])</f>
        <v>-0.97469413473522981</v>
      </c>
      <c r="BY145">
        <f>LOG(Table1_1[[#This Row],[PFBS]])</f>
        <v>-0.97469413473522981</v>
      </c>
      <c r="BZ145">
        <f>LOG(Table1_1[[#This Row],[PFPeS]])</f>
        <v>-0.9507819773298184</v>
      </c>
      <c r="CA145">
        <f>LOG(Table1_1[[#This Row],[PFHxS]])</f>
        <v>0.78461729263287538</v>
      </c>
      <c r="CB145">
        <f>LOG(Table1_1[[#This Row],[PFHpS]])</f>
        <v>8.6001717619175692E-3</v>
      </c>
      <c r="CC145">
        <f>LOG(Table1_1[[#This Row],[PFOS]])</f>
        <v>2.8286598965353198</v>
      </c>
      <c r="CD145">
        <f>LOG(Table1_1[[#This Row],[PFNS]])</f>
        <v>0.15836249209524964</v>
      </c>
      <c r="CE145">
        <f>LOG(Table1_1[[#This Row],[PFDS]])</f>
        <v>8.6359830674748214E-2</v>
      </c>
      <c r="CF145">
        <f>LOG(Table1_1[[#This Row],[PFDoS]])</f>
        <v>-0.64493179365114928</v>
      </c>
      <c r="CG145">
        <f>LOG(Table1_1[[#This Row],[Cl-PFOS]])</f>
        <v>-0.89109687233268664</v>
      </c>
      <c r="CH145">
        <f>LOG(Table1_1[[#This Row],[PFEtCHxS]])</f>
        <v>-1.0731432910503076</v>
      </c>
      <c r="CI145">
        <f>LOG(Table1_1[[#This Row],[FBSA]])</f>
        <v>1.7596678446896306</v>
      </c>
      <c r="CJ145">
        <f>LOG(Table1_1[[#This Row],[FHxSA]])</f>
        <v>1.8481891169913987</v>
      </c>
      <c r="CK145">
        <f>LOG(Table1_1[[#This Row],[FOSA]])</f>
        <v>0.99122607569249488</v>
      </c>
      <c r="CL145">
        <f>LOG(Table1_1[[#This Row],[N-MeFOSA]])</f>
        <v>-1.0888423912600234</v>
      </c>
      <c r="CM145">
        <f>LOG(Table1_1[[#This Row],[N-EtFOSA]])</f>
        <v>-0.67468962828893886</v>
      </c>
      <c r="CN145">
        <f>LOG(Table1_1[[#This Row],[FOSAA]])</f>
        <v>-0.67468962828893886</v>
      </c>
      <c r="CO145">
        <f>LOG(Table1_1[[#This Row],[N-MeFOSAA]])</f>
        <v>-0.97265039222524352</v>
      </c>
      <c r="CP145">
        <f>LOG(Table1_1[[#This Row],[N-EtFOSAA]])</f>
        <v>-0.97469413473522981</v>
      </c>
      <c r="CQ145">
        <f>LOG(Table1_1[[#This Row],[4:2 FTS]])</f>
        <v>-0.97469413473522981</v>
      </c>
      <c r="CR145">
        <f>LOG(Table1_1[[#This Row],[6:2 FTS]])</f>
        <v>-0.67468962828893886</v>
      </c>
      <c r="CS145">
        <f>LOG(Table1_1[[#This Row],[8:2 FTS]])</f>
        <v>0.44090908206521767</v>
      </c>
      <c r="CT145">
        <f>LOG(Table1_1[[#This Row],[10:2 FTS]])</f>
        <v>-0.67468962828893886</v>
      </c>
      <c r="CU145">
        <f>LOG(Table1_1[[#This Row],[3:3 FTCA]])</f>
        <v>-0.67468962828893886</v>
      </c>
      <c r="CV145">
        <f>LOG(Table1_1[[#This Row],[5:3 FTCA]])</f>
        <v>-0.97469413473522981</v>
      </c>
      <c r="CW145">
        <f>LOG(Table1_1[[#This Row],[7:3 FTCA]])</f>
        <v>0.37657695705651195</v>
      </c>
      <c r="CX145">
        <f>LOG(Table1_1[[#This Row],[6:2 FTCA]])</f>
        <v>-0.67468962828893886</v>
      </c>
      <c r="CY145">
        <f>LOG(Table1_1[[#This Row],[8:2 FTCA]])</f>
        <v>-0.97469413473522981</v>
      </c>
      <c r="CZ145">
        <f>LOG(Table1_1[[#This Row],[10:2 FTCA]])</f>
        <v>-0.67468962828893886</v>
      </c>
      <c r="DA145">
        <f>LOG(Table1_1[[#This Row],[6:2 FTUCA]])</f>
        <v>-1.080921907623926</v>
      </c>
      <c r="DB145">
        <f>LOG(Table1_1[[#This Row],[8:2 FTUCA]])</f>
        <v>-1.1938200260161129</v>
      </c>
      <c r="DC145">
        <f>LOG(Table1_1[[#This Row],[ADONA]])</f>
        <v>-1.0291883891274822</v>
      </c>
      <c r="DD145">
        <f>LOG(Table1_1[[#This Row],[9Cl-PF3ONS]])</f>
        <v>-0.67468962828893886</v>
      </c>
      <c r="DE145">
        <f>LOG(Table1_1[[#This Row],[11Cl-PF3OUdS]])</f>
        <v>-0.67468962828893886</v>
      </c>
      <c r="DF145">
        <f>LOG(Table1_1[[#This Row],[HFPO-DA]])</f>
        <v>-0.81815641205522749</v>
      </c>
      <c r="DG145">
        <f>LOG(Table1_1[[#This Row],[6:2 diPAP]])</f>
        <v>-0.67468962828893886</v>
      </c>
      <c r="DH145">
        <f>LOG(Table1_1[[#This Row],[8:2 diPAP]])</f>
        <v>-0.67468962828893886</v>
      </c>
      <c r="DI145">
        <f>LOG(Table1_1[[#This Row],[diSAmPAP]])</f>
        <v>-0.67468962828893886</v>
      </c>
    </row>
    <row r="146" spans="1:113">
      <c r="A146" t="s">
        <v>298</v>
      </c>
      <c r="B146" t="s">
        <v>121</v>
      </c>
      <c r="C146" s="3">
        <v>44393</v>
      </c>
      <c r="D146" t="s">
        <v>226</v>
      </c>
      <c r="E146" t="s">
        <v>227</v>
      </c>
      <c r="F146" t="s">
        <v>228</v>
      </c>
      <c r="G146" t="s">
        <v>118</v>
      </c>
      <c r="H146" t="s">
        <v>119</v>
      </c>
      <c r="I146">
        <v>8</v>
      </c>
      <c r="J146">
        <f>LOG(Table1_1[[#This Row],[Length]])</f>
        <v>0.90308998699194354</v>
      </c>
      <c r="K146">
        <v>16.59</v>
      </c>
      <c r="L146">
        <f>LOG(Table1_1[[#This Row],[Weight]])</f>
        <v>1.2198463860243607</v>
      </c>
      <c r="M146">
        <v>0.2215</v>
      </c>
      <c r="N146">
        <v>7.8E-2</v>
      </c>
      <c r="O146">
        <v>0.1195</v>
      </c>
      <c r="P146">
        <v>0.1105</v>
      </c>
      <c r="Q146">
        <v>4.4249999999999998E-2</v>
      </c>
      <c r="R146">
        <v>0.78200000000000003</v>
      </c>
      <c r="S146">
        <v>8.01</v>
      </c>
      <c r="T146">
        <v>14.3</v>
      </c>
      <c r="U146">
        <v>52.5</v>
      </c>
      <c r="V146">
        <v>11.6</v>
      </c>
      <c r="W146">
        <v>23.2</v>
      </c>
      <c r="X146">
        <v>0.98099999999999998</v>
      </c>
      <c r="Y146">
        <v>0.1105</v>
      </c>
      <c r="Z146">
        <v>0.2215</v>
      </c>
      <c r="AA146">
        <v>0.11749999999999999</v>
      </c>
      <c r="AB146">
        <v>13</v>
      </c>
      <c r="AC146">
        <v>0.63500000000000001</v>
      </c>
      <c r="AD146">
        <v>671</v>
      </c>
      <c r="AE146">
        <v>0.76900000000000002</v>
      </c>
      <c r="AF146">
        <v>0.99299999999999999</v>
      </c>
      <c r="AG146">
        <v>0.23699999999999999</v>
      </c>
      <c r="AH146">
        <v>0.13450000000000001</v>
      </c>
      <c r="AI146">
        <v>8.8499999999999995E-2</v>
      </c>
      <c r="AJ146">
        <v>29.7</v>
      </c>
      <c r="AK146">
        <v>32.1</v>
      </c>
      <c r="AL146">
        <v>12.3</v>
      </c>
      <c r="AM146">
        <v>8.5000000000000006E-2</v>
      </c>
      <c r="AN146">
        <v>0.2215</v>
      </c>
      <c r="AO146">
        <v>0.2215</v>
      </c>
      <c r="AP146">
        <v>0.1115</v>
      </c>
      <c r="AQ146">
        <v>0.1105</v>
      </c>
      <c r="AR146">
        <v>0.1105</v>
      </c>
      <c r="AS146">
        <v>0.1105</v>
      </c>
      <c r="AT146">
        <v>3.54</v>
      </c>
      <c r="AU146">
        <v>0.2215</v>
      </c>
      <c r="AV146">
        <v>0.2215</v>
      </c>
      <c r="AW146">
        <v>0.2215</v>
      </c>
      <c r="AX146">
        <v>0.2215</v>
      </c>
      <c r="AY146">
        <v>0.2215</v>
      </c>
      <c r="AZ146">
        <v>0.1105</v>
      </c>
      <c r="BA146">
        <v>0.2215</v>
      </c>
      <c r="BB146">
        <v>8.6999999999999994E-2</v>
      </c>
      <c r="BC146">
        <v>6.7000000000000004E-2</v>
      </c>
      <c r="BD146">
        <v>9.7500000000000003E-2</v>
      </c>
      <c r="BE146">
        <v>0.2215</v>
      </c>
      <c r="BF146">
        <v>0.2215</v>
      </c>
      <c r="BG146">
        <v>0.159</v>
      </c>
      <c r="BH146">
        <v>0.2215</v>
      </c>
      <c r="BI146">
        <v>0.2215</v>
      </c>
      <c r="BJ146">
        <v>0.2215</v>
      </c>
      <c r="BK146">
        <f>SUM(Table1_1[[#This Row],[PFBA]:[diSAmPAP]])</f>
        <v>880.82174999999984</v>
      </c>
      <c r="BL146">
        <f>LOG(Table1_1[[#This Row],[PFBA]])</f>
        <v>-0.65462626944091162</v>
      </c>
      <c r="BM146">
        <f>LOG(Table1_1[[#This Row],[PFPeA]])</f>
        <v>-1.1079053973095196</v>
      </c>
      <c r="BN146">
        <f>LOG(Table1_1[[#This Row],[PFHxA]])</f>
        <v>-0.92263209471584351</v>
      </c>
      <c r="BO146">
        <f>LOG(Table1_1[[#This Row],[PFHpA]])</f>
        <v>-0.95663772197887054</v>
      </c>
      <c r="BP146">
        <f>LOG(Table1_1[[#This Row],[PFOA]])</f>
        <v>-1.3540867249661557</v>
      </c>
      <c r="BQ146">
        <f>LOG(Table1_1[[#This Row],[PFNA]])</f>
        <v>-0.10679324694015198</v>
      </c>
      <c r="BR146">
        <f>LOG(Table1_1[[#This Row],[PFDA]])</f>
        <v>0.90363251608423767</v>
      </c>
      <c r="BS146">
        <f>LOG(Table1_1[[#This Row],[PFUnA]])</f>
        <v>1.1553360374650619</v>
      </c>
      <c r="BT146">
        <f>LOG(Table1_1[[#This Row],[PFDoA]])</f>
        <v>1.7201593034059568</v>
      </c>
      <c r="BU146">
        <f>LOG(Table1_1[[#This Row],[PFTrDA]])</f>
        <v>1.0644579892269184</v>
      </c>
      <c r="BV146">
        <f>LOG(Table1_1[[#This Row],[PFTeDA]])</f>
        <v>1.3654879848908996</v>
      </c>
      <c r="BW146">
        <f>LOG(Table1_1[[#This Row],[PFHxDA]])</f>
        <v>-8.3309926200514969E-3</v>
      </c>
      <c r="BX146">
        <f>LOG(Table1_1[[#This Row],[PFPrS]])</f>
        <v>-0.95663772197887054</v>
      </c>
      <c r="BY146">
        <f>LOG(Table1_1[[#This Row],[PFBS]])</f>
        <v>-0.65462626944091162</v>
      </c>
      <c r="BZ146">
        <f>LOG(Table1_1[[#This Row],[PFPeS]])</f>
        <v>-0.92996213339224498</v>
      </c>
      <c r="CA146">
        <f>LOG(Table1_1[[#This Row],[PFHxS]])</f>
        <v>1.1139433523068367</v>
      </c>
      <c r="CB146">
        <f>LOG(Table1_1[[#This Row],[PFHpS]])</f>
        <v>-0.19722627470802431</v>
      </c>
      <c r="CC146">
        <f>LOG(Table1_1[[#This Row],[PFOS]])</f>
        <v>2.8267225201689921</v>
      </c>
      <c r="CD146">
        <f>LOG(Table1_1[[#This Row],[PFNS]])</f>
        <v>-0.11407366019856895</v>
      </c>
      <c r="CE146">
        <f>LOG(Table1_1[[#This Row],[PFDS]])</f>
        <v>-3.0507515046188267E-3</v>
      </c>
      <c r="CF146">
        <f>LOG(Table1_1[[#This Row],[PFDoS]])</f>
        <v>-0.62525165398989613</v>
      </c>
      <c r="CG146">
        <f>LOG(Table1_1[[#This Row],[Cl-PFOS]])</f>
        <v>-0.87127771566157319</v>
      </c>
      <c r="CH146">
        <f>LOG(Table1_1[[#This Row],[PFEtCHxS]])</f>
        <v>-1.0530567293021746</v>
      </c>
      <c r="CI146">
        <f>LOG(Table1_1[[#This Row],[FBSA]])</f>
        <v>1.4727564493172123</v>
      </c>
      <c r="CJ146">
        <f>LOG(Table1_1[[#This Row],[FHxSA]])</f>
        <v>1.5065050324048721</v>
      </c>
      <c r="CK146">
        <f>LOG(Table1_1[[#This Row],[FOSA]])</f>
        <v>1.0899051114393981</v>
      </c>
      <c r="CL146">
        <f>LOG(Table1_1[[#This Row],[N-MeFOSA]])</f>
        <v>-1.0705810742857071</v>
      </c>
      <c r="CM146">
        <f>LOG(Table1_1[[#This Row],[N-EtFOSA]])</f>
        <v>-0.65462626944091162</v>
      </c>
      <c r="CN146">
        <f>LOG(Table1_1[[#This Row],[FOSAA]])</f>
        <v>-0.65462626944091162</v>
      </c>
      <c r="CO146">
        <f>LOG(Table1_1[[#This Row],[N-MeFOSAA]])</f>
        <v>-0.95272513261582048</v>
      </c>
      <c r="CP146">
        <f>LOG(Table1_1[[#This Row],[N-EtFOSAA]])</f>
        <v>-0.95663772197887054</v>
      </c>
      <c r="CQ146">
        <f>LOG(Table1_1[[#This Row],[4:2 FTS]])</f>
        <v>-0.95663772197887054</v>
      </c>
      <c r="CR146">
        <f>LOG(Table1_1[[#This Row],[6:2 FTS]])</f>
        <v>-0.95663772197887054</v>
      </c>
      <c r="CS146">
        <f>LOG(Table1_1[[#This Row],[8:2 FTS]])</f>
        <v>0.54900326202578786</v>
      </c>
      <c r="CT146">
        <f>LOG(Table1_1[[#This Row],[10:2 FTS]])</f>
        <v>-0.65462626944091162</v>
      </c>
      <c r="CU146">
        <f>LOG(Table1_1[[#This Row],[3:3 FTCA]])</f>
        <v>-0.65462626944091162</v>
      </c>
      <c r="CV146">
        <f>LOG(Table1_1[[#This Row],[5:3 FTCA]])</f>
        <v>-0.65462626944091162</v>
      </c>
      <c r="CW146">
        <f>LOG(Table1_1[[#This Row],[7:3 FTCA]])</f>
        <v>-0.65462626944091162</v>
      </c>
      <c r="CX146">
        <f>LOG(Table1_1[[#This Row],[6:2 FTCA]])</f>
        <v>-0.65462626944091162</v>
      </c>
      <c r="CY146">
        <f>LOG(Table1_1[[#This Row],[8:2 FTCA]])</f>
        <v>-0.95663772197887054</v>
      </c>
      <c r="CZ146">
        <f>LOG(Table1_1[[#This Row],[10:2 FTCA]])</f>
        <v>-0.65462626944091162</v>
      </c>
      <c r="DA146">
        <f>LOG(Table1_1[[#This Row],[6:2 FTUCA]])</f>
        <v>-1.0604807473813815</v>
      </c>
      <c r="DB146">
        <f>LOG(Table1_1[[#This Row],[8:2 FTUCA]])</f>
        <v>-1.1739251972991736</v>
      </c>
      <c r="DC146">
        <f>LOG(Table1_1[[#This Row],[ADONA]])</f>
        <v>-1.0109953843014632</v>
      </c>
      <c r="DD146">
        <f>LOG(Table1_1[[#This Row],[9Cl-PF3ONS]])</f>
        <v>-0.65462626944091162</v>
      </c>
      <c r="DE146">
        <f>LOG(Table1_1[[#This Row],[11Cl-PF3OUdS]])</f>
        <v>-0.65462626944091162</v>
      </c>
      <c r="DF146">
        <f>LOG(Table1_1[[#This Row],[HFPO-DA]])</f>
        <v>-0.79860287567954846</v>
      </c>
      <c r="DG146">
        <f>LOG(Table1_1[[#This Row],[6:2 diPAP]])</f>
        <v>-0.65462626944091162</v>
      </c>
      <c r="DH146">
        <f>LOG(Table1_1[[#This Row],[8:2 diPAP]])</f>
        <v>-0.65462626944091162</v>
      </c>
      <c r="DI146">
        <f>LOG(Table1_1[[#This Row],[diSAmPAP]])</f>
        <v>-0.65462626944091162</v>
      </c>
    </row>
    <row r="147" spans="1:113">
      <c r="A147" t="s">
        <v>299</v>
      </c>
      <c r="B147" t="s">
        <v>121</v>
      </c>
      <c r="C147" s="3">
        <v>44393</v>
      </c>
      <c r="D147" t="s">
        <v>226</v>
      </c>
      <c r="E147" t="s">
        <v>227</v>
      </c>
      <c r="F147" t="s">
        <v>228</v>
      </c>
      <c r="G147" t="s">
        <v>271</v>
      </c>
      <c r="H147" t="s">
        <v>244</v>
      </c>
      <c r="I147">
        <v>12</v>
      </c>
      <c r="J147">
        <f>LOG(Table1_1[[#This Row],[Length]])</f>
        <v>1.0791812460476249</v>
      </c>
      <c r="K147">
        <v>55</v>
      </c>
      <c r="L147">
        <f>LOG(Table1_1[[#This Row],[Weight]])</f>
        <v>1.7403626894942439</v>
      </c>
      <c r="M147">
        <v>0.32100000000000001</v>
      </c>
      <c r="N147">
        <v>0.1135</v>
      </c>
      <c r="O147">
        <v>0.17349999999999999</v>
      </c>
      <c r="P147">
        <v>0.1605</v>
      </c>
      <c r="Q147">
        <v>6.4000000000000001E-2</v>
      </c>
      <c r="R147">
        <v>0.1605</v>
      </c>
      <c r="S147">
        <v>35.299999999999997</v>
      </c>
      <c r="T147">
        <v>39.9</v>
      </c>
      <c r="U147">
        <v>43.3</v>
      </c>
      <c r="V147">
        <v>35.6</v>
      </c>
      <c r="W147">
        <v>38.1</v>
      </c>
      <c r="X147">
        <v>0.1915</v>
      </c>
      <c r="Y147">
        <v>0.1605</v>
      </c>
      <c r="Z147">
        <v>0.32100000000000001</v>
      </c>
      <c r="AA147">
        <v>0.36199999999999999</v>
      </c>
      <c r="AB147">
        <v>8.5500000000000007E-2</v>
      </c>
      <c r="AC147">
        <v>9.4500000000000001E-2</v>
      </c>
      <c r="AD147">
        <v>4870</v>
      </c>
      <c r="AE147">
        <v>1.55</v>
      </c>
      <c r="AF147">
        <v>1.1499999999999999</v>
      </c>
      <c r="AG147">
        <v>1.2</v>
      </c>
      <c r="AH147">
        <v>0.19500000000000001</v>
      </c>
      <c r="AI147">
        <v>6.4000000000000001E-2</v>
      </c>
      <c r="AJ147">
        <v>741</v>
      </c>
      <c r="AK147">
        <v>75.8</v>
      </c>
      <c r="AL147">
        <v>68.900000000000006</v>
      </c>
      <c r="AM147">
        <v>0.1235</v>
      </c>
      <c r="AN147">
        <v>0.32100000000000001</v>
      </c>
      <c r="AO147">
        <v>0.32100000000000001</v>
      </c>
      <c r="AP147">
        <v>0.1615</v>
      </c>
      <c r="AQ147">
        <v>0.1605</v>
      </c>
      <c r="AR147">
        <v>0.1605</v>
      </c>
      <c r="AS147">
        <v>0.1605</v>
      </c>
      <c r="AT147">
        <v>15.6</v>
      </c>
      <c r="AU147">
        <v>1.38</v>
      </c>
      <c r="AV147">
        <v>0.32100000000000001</v>
      </c>
      <c r="AW147">
        <v>3.96</v>
      </c>
      <c r="AX147">
        <v>0.32100000000000001</v>
      </c>
      <c r="AY147">
        <v>0.32100000000000001</v>
      </c>
      <c r="AZ147">
        <v>0.1605</v>
      </c>
      <c r="BA147">
        <v>0.32100000000000001</v>
      </c>
      <c r="BB147">
        <v>0.126</v>
      </c>
      <c r="BC147">
        <v>9.7000000000000003E-2</v>
      </c>
      <c r="BD147">
        <v>0.14149999999999999</v>
      </c>
      <c r="BE147">
        <v>0.32100000000000001</v>
      </c>
      <c r="BF147">
        <v>0.32100000000000001</v>
      </c>
      <c r="BG147">
        <v>0.23050000000000001</v>
      </c>
      <c r="BH147">
        <v>0.32100000000000001</v>
      </c>
      <c r="BI147">
        <v>0.32100000000000001</v>
      </c>
      <c r="BJ147">
        <v>0.32100000000000001</v>
      </c>
      <c r="BK147">
        <f>SUM(Table1_1[[#This Row],[PFBA]:[diSAmPAP]])</f>
        <v>5980.2599999999984</v>
      </c>
      <c r="BL147">
        <f>LOG(Table1_1[[#This Row],[PFBA]])</f>
        <v>-0.4934949675951279</v>
      </c>
      <c r="BM147">
        <f>LOG(Table1_1[[#This Row],[PFPeA]])</f>
        <v>-0.94500413847085851</v>
      </c>
      <c r="BN147">
        <f>LOG(Table1_1[[#This Row],[PFHxA]])</f>
        <v>-0.76070052087310747</v>
      </c>
      <c r="BO147">
        <f>LOG(Table1_1[[#This Row],[PFHpA]])</f>
        <v>-0.79452496325910915</v>
      </c>
      <c r="BP147">
        <f>LOG(Table1_1[[#This Row],[PFOA]])</f>
        <v>-1.1938200260161129</v>
      </c>
      <c r="BQ147">
        <f>LOG(Table1_1[[#This Row],[PFNA]])</f>
        <v>-0.79452496325910915</v>
      </c>
      <c r="BR147">
        <f>LOG(Table1_1[[#This Row],[PFDA]])</f>
        <v>1.5477747053878226</v>
      </c>
      <c r="BS147">
        <f>LOG(Table1_1[[#This Row],[PFUnA]])</f>
        <v>1.6009728956867482</v>
      </c>
      <c r="BT147">
        <f>LOG(Table1_1[[#This Row],[PFDoA]])</f>
        <v>1.6364878963533653</v>
      </c>
      <c r="BU147">
        <f>LOG(Table1_1[[#This Row],[PFTrDA]])</f>
        <v>1.5514499979728751</v>
      </c>
      <c r="BV147">
        <f>LOG(Table1_1[[#This Row],[PFTeDA]])</f>
        <v>1.5809249756756194</v>
      </c>
      <c r="BW147">
        <f>LOG(Table1_1[[#This Row],[PFHxDA]])</f>
        <v>-0.7178312216953584</v>
      </c>
      <c r="BX147">
        <f>LOG(Table1_1[[#This Row],[PFPrS]])</f>
        <v>-0.79452496325910915</v>
      </c>
      <c r="BY147">
        <f>LOG(Table1_1[[#This Row],[PFBS]])</f>
        <v>-0.4934949675951279</v>
      </c>
      <c r="BZ147">
        <f>LOG(Table1_1[[#This Row],[PFPeS]])</f>
        <v>-0.44129142946683431</v>
      </c>
      <c r="CA147">
        <f>LOG(Table1_1[[#This Row],[PFHxS]])</f>
        <v>-1.0680338852718274</v>
      </c>
      <c r="CB147">
        <f>LOG(Table1_1[[#This Row],[PFHpS]])</f>
        <v>-1.024568191490737</v>
      </c>
      <c r="CC147">
        <f>LOG(Table1_1[[#This Row],[PFOS]])</f>
        <v>3.6875289612146345</v>
      </c>
      <c r="CD147">
        <f>LOG(Table1_1[[#This Row],[PFNS]])</f>
        <v>0.1903316981702915</v>
      </c>
      <c r="CE147">
        <f>LOG(Table1_1[[#This Row],[PFDS]])</f>
        <v>6.069784035361165E-2</v>
      </c>
      <c r="CF147">
        <f>LOG(Table1_1[[#This Row],[PFDoS]])</f>
        <v>7.9181246047624818E-2</v>
      </c>
      <c r="CG147">
        <f>LOG(Table1_1[[#This Row],[Cl-PFOS]])</f>
        <v>-0.70996538863748193</v>
      </c>
      <c r="CH147">
        <f>LOG(Table1_1[[#This Row],[PFEtCHxS]])</f>
        <v>-1.1938200260161129</v>
      </c>
      <c r="CI147">
        <f>LOG(Table1_1[[#This Row],[FBSA]])</f>
        <v>2.869818207979328</v>
      </c>
      <c r="CJ147">
        <f>LOG(Table1_1[[#This Row],[FHxSA]])</f>
        <v>1.8796692056320534</v>
      </c>
      <c r="CK147">
        <f>LOG(Table1_1[[#This Row],[FOSA]])</f>
        <v>1.8382192219076259</v>
      </c>
      <c r="CL147">
        <f>LOG(Table1_1[[#This Row],[N-MeFOSA]])</f>
        <v>-0.90833304240431545</v>
      </c>
      <c r="CM147">
        <f>LOG(Table1_1[[#This Row],[N-EtFOSA]])</f>
        <v>-0.4934949675951279</v>
      </c>
      <c r="CN147">
        <f>LOG(Table1_1[[#This Row],[FOSAA]])</f>
        <v>-0.4934949675951279</v>
      </c>
      <c r="CO147">
        <f>LOG(Table1_1[[#This Row],[N-MeFOSAA]])</f>
        <v>-0.79182747333287828</v>
      </c>
      <c r="CP147">
        <f>LOG(Table1_1[[#This Row],[N-EtFOSAA]])</f>
        <v>-0.79452496325910915</v>
      </c>
      <c r="CQ147">
        <f>LOG(Table1_1[[#This Row],[4:2 FTS]])</f>
        <v>-0.79452496325910915</v>
      </c>
      <c r="CR147">
        <f>LOG(Table1_1[[#This Row],[6:2 FTS]])</f>
        <v>-0.79452496325910915</v>
      </c>
      <c r="CS147">
        <f>LOG(Table1_1[[#This Row],[8:2 FTS]])</f>
        <v>1.1931245983544616</v>
      </c>
      <c r="CT147">
        <f>LOG(Table1_1[[#This Row],[10:2 FTS]])</f>
        <v>0.13987908640123647</v>
      </c>
      <c r="CU147">
        <f>LOG(Table1_1[[#This Row],[3:3 FTCA]])</f>
        <v>-0.4934949675951279</v>
      </c>
      <c r="CV147">
        <f>LOG(Table1_1[[#This Row],[5:3 FTCA]])</f>
        <v>0.5976951859255123</v>
      </c>
      <c r="CW147">
        <f>LOG(Table1_1[[#This Row],[7:3 FTCA]])</f>
        <v>-0.4934949675951279</v>
      </c>
      <c r="CX147">
        <f>LOG(Table1_1[[#This Row],[6:2 FTCA]])</f>
        <v>-0.4934949675951279</v>
      </c>
      <c r="CY147">
        <f>LOG(Table1_1[[#This Row],[8:2 FTCA]])</f>
        <v>-0.79452496325910915</v>
      </c>
      <c r="CZ147">
        <f>LOG(Table1_1[[#This Row],[10:2 FTCA]])</f>
        <v>-0.4934949675951279</v>
      </c>
      <c r="DA147">
        <f>LOG(Table1_1[[#This Row],[6:2 FTUCA]])</f>
        <v>-0.89962945488243706</v>
      </c>
      <c r="DB147">
        <f>LOG(Table1_1[[#This Row],[8:2 FTUCA]])</f>
        <v>-1.0132282657337552</v>
      </c>
      <c r="DC147">
        <f>LOG(Table1_1[[#This Row],[ADONA]])</f>
        <v>-0.84924356013969104</v>
      </c>
      <c r="DD147">
        <f>LOG(Table1_1[[#This Row],[9Cl-PF3ONS]])</f>
        <v>-0.4934949675951279</v>
      </c>
      <c r="DE147">
        <f>LOG(Table1_1[[#This Row],[11Cl-PF3OUdS]])</f>
        <v>-0.4934949675951279</v>
      </c>
      <c r="DF147">
        <f>LOG(Table1_1[[#This Row],[HFPO-DA]])</f>
        <v>-0.63732907027433305</v>
      </c>
      <c r="DG147">
        <f>LOG(Table1_1[[#This Row],[6:2 diPAP]])</f>
        <v>-0.4934949675951279</v>
      </c>
      <c r="DH147">
        <f>LOG(Table1_1[[#This Row],[8:2 diPAP]])</f>
        <v>-0.4934949675951279</v>
      </c>
      <c r="DI147">
        <f>LOG(Table1_1[[#This Row],[diSAmPAP]])</f>
        <v>-0.4934949675951279</v>
      </c>
    </row>
    <row r="148" spans="1:113">
      <c r="A148" t="s">
        <v>300</v>
      </c>
      <c r="B148" t="s">
        <v>121</v>
      </c>
      <c r="C148" s="3">
        <v>44393</v>
      </c>
      <c r="D148" t="s">
        <v>226</v>
      </c>
      <c r="E148" t="s">
        <v>227</v>
      </c>
      <c r="F148" t="s">
        <v>228</v>
      </c>
      <c r="G148" t="s">
        <v>271</v>
      </c>
      <c r="H148" t="s">
        <v>246</v>
      </c>
      <c r="I148">
        <v>12</v>
      </c>
      <c r="J148">
        <f>LOG(Table1_1[[#This Row],[Length]])</f>
        <v>1.0791812460476249</v>
      </c>
      <c r="K148">
        <v>55</v>
      </c>
      <c r="L148">
        <f>LOG(Table1_1[[#This Row],[Weight]])</f>
        <v>1.7403626894942439</v>
      </c>
      <c r="M148">
        <v>0.22</v>
      </c>
      <c r="N148">
        <v>7.7499999999999999E-2</v>
      </c>
      <c r="O148">
        <v>0.11899999999999999</v>
      </c>
      <c r="P148">
        <v>0.22</v>
      </c>
      <c r="Q148">
        <v>0.51700000000000002</v>
      </c>
      <c r="R148">
        <v>0.11</v>
      </c>
      <c r="S148">
        <v>1.81</v>
      </c>
      <c r="T148">
        <v>3.1</v>
      </c>
      <c r="U148">
        <v>6.18</v>
      </c>
      <c r="V148">
        <v>3.76</v>
      </c>
      <c r="W148">
        <v>2.99</v>
      </c>
      <c r="X148">
        <v>0.13100000000000001</v>
      </c>
      <c r="Y148">
        <v>0.11</v>
      </c>
      <c r="Z148">
        <v>0.22</v>
      </c>
      <c r="AA148">
        <v>0.11650000000000001</v>
      </c>
      <c r="AB148">
        <v>4.3600000000000003</v>
      </c>
      <c r="AC148">
        <v>1.08</v>
      </c>
      <c r="AD148">
        <v>364</v>
      </c>
      <c r="AE148">
        <v>1.49</v>
      </c>
      <c r="AF148">
        <v>1.08</v>
      </c>
      <c r="AG148">
        <v>0.51200000000000001</v>
      </c>
      <c r="AH148">
        <v>0.13350000000000001</v>
      </c>
      <c r="AI148">
        <v>8.7999999999999995E-2</v>
      </c>
      <c r="AJ148">
        <v>16.600000000000001</v>
      </c>
      <c r="AK148">
        <v>27.3</v>
      </c>
      <c r="AL148">
        <v>5.44</v>
      </c>
      <c r="AM148">
        <v>8.4500000000000006E-2</v>
      </c>
      <c r="AN148">
        <v>0.22</v>
      </c>
      <c r="AO148">
        <v>0.22</v>
      </c>
      <c r="AP148">
        <v>0.1105</v>
      </c>
      <c r="AQ148">
        <v>0.11</v>
      </c>
      <c r="AR148">
        <v>0.11</v>
      </c>
      <c r="AS148">
        <v>0.11</v>
      </c>
      <c r="AT148">
        <v>0.72499999999999998</v>
      </c>
      <c r="AU148">
        <v>0.44</v>
      </c>
      <c r="AV148">
        <v>0.22</v>
      </c>
      <c r="AW148">
        <v>0.22</v>
      </c>
      <c r="AX148">
        <v>1.74</v>
      </c>
      <c r="AY148">
        <v>0.22</v>
      </c>
      <c r="AZ148">
        <v>0.11</v>
      </c>
      <c r="BA148">
        <v>0.22</v>
      </c>
      <c r="BB148">
        <v>8.6499999999999994E-2</v>
      </c>
      <c r="BC148">
        <v>6.6500000000000004E-2</v>
      </c>
      <c r="BD148">
        <v>9.7000000000000003E-2</v>
      </c>
      <c r="BE148">
        <v>0.22</v>
      </c>
      <c r="BF148">
        <v>0.22</v>
      </c>
      <c r="BG148">
        <v>0.158</v>
      </c>
      <c r="BH148">
        <v>0.22</v>
      </c>
      <c r="BI148">
        <v>0.22</v>
      </c>
      <c r="BJ148">
        <v>0.22</v>
      </c>
      <c r="BK148">
        <f>SUM(Table1_1[[#This Row],[PFBA]:[diSAmPAP]])</f>
        <v>448.13250000000045</v>
      </c>
      <c r="BL148">
        <f>LOG(Table1_1[[#This Row],[PFBA]])</f>
        <v>-0.65757731917779372</v>
      </c>
      <c r="BM148">
        <f>LOG(Table1_1[[#This Row],[PFPeA]])</f>
        <v>-1.1106982974936896</v>
      </c>
      <c r="BN148">
        <f>LOG(Table1_1[[#This Row],[PFHxA]])</f>
        <v>-0.9244530386074693</v>
      </c>
      <c r="BO148">
        <f>LOG(Table1_1[[#This Row],[PFHpA]])</f>
        <v>-0.65757731917779372</v>
      </c>
      <c r="BP148">
        <f>LOG(Table1_1[[#This Row],[PFOA]])</f>
        <v>-0.2865094569060575</v>
      </c>
      <c r="BQ148">
        <f>LOG(Table1_1[[#This Row],[PFNA]])</f>
        <v>-0.95860731484177497</v>
      </c>
      <c r="BR148">
        <f>LOG(Table1_1[[#This Row],[PFDA]])</f>
        <v>0.2576785748691845</v>
      </c>
      <c r="BS148">
        <f>LOG(Table1_1[[#This Row],[PFUnA]])</f>
        <v>0.49136169383427269</v>
      </c>
      <c r="BT148">
        <f>LOG(Table1_1[[#This Row],[PFDoA]])</f>
        <v>0.79098847508881587</v>
      </c>
      <c r="BU148">
        <f>LOG(Table1_1[[#This Row],[PFTrDA]])</f>
        <v>0.57518784492766106</v>
      </c>
      <c r="BV148">
        <f>LOG(Table1_1[[#This Row],[PFTeDA]])</f>
        <v>0.47567118832442967</v>
      </c>
      <c r="BW148">
        <f>LOG(Table1_1[[#This Row],[PFHxDA]])</f>
        <v>-0.88272870434423567</v>
      </c>
      <c r="BX148">
        <f>LOG(Table1_1[[#This Row],[PFPrS]])</f>
        <v>-0.95860731484177497</v>
      </c>
      <c r="BY148">
        <f>LOG(Table1_1[[#This Row],[PFBS]])</f>
        <v>-0.65757731917779372</v>
      </c>
      <c r="BZ148">
        <f>LOG(Table1_1[[#This Row],[PFPeS]])</f>
        <v>-0.93367407463796215</v>
      </c>
      <c r="CA148">
        <f>LOG(Table1_1[[#This Row],[PFHxS]])</f>
        <v>0.63948648926858609</v>
      </c>
      <c r="CB148">
        <f>LOG(Table1_1[[#This Row],[PFHpS]])</f>
        <v>3.342375548694973E-2</v>
      </c>
      <c r="CC148">
        <f>LOG(Table1_1[[#This Row],[PFOS]])</f>
        <v>2.5611013836490559</v>
      </c>
      <c r="CD148">
        <f>LOG(Table1_1[[#This Row],[PFNS]])</f>
        <v>0.17318626841227402</v>
      </c>
      <c r="CE148">
        <f>LOG(Table1_1[[#This Row],[PFDS]])</f>
        <v>3.342375548694973E-2</v>
      </c>
      <c r="CF148">
        <f>LOG(Table1_1[[#This Row],[PFDoS]])</f>
        <v>-0.29073003902416922</v>
      </c>
      <c r="CG148">
        <f>LOG(Table1_1[[#This Row],[Cl-PFOS]])</f>
        <v>-0.87451873429940596</v>
      </c>
      <c r="CH148">
        <f>LOG(Table1_1[[#This Row],[PFEtCHxS]])</f>
        <v>-1.0555173278498313</v>
      </c>
      <c r="CI148">
        <f>LOG(Table1_1[[#This Row],[FBSA]])</f>
        <v>1.2201080880400552</v>
      </c>
      <c r="CJ148">
        <f>LOG(Table1_1[[#This Row],[FHxSA]])</f>
        <v>1.436162647040756</v>
      </c>
      <c r="CK148">
        <f>LOG(Table1_1[[#This Row],[FOSA]])</f>
        <v>0.73559889969817993</v>
      </c>
      <c r="CL148">
        <f>LOG(Table1_1[[#This Row],[N-MeFOSA]])</f>
        <v>-1.0731432910503076</v>
      </c>
      <c r="CM148">
        <f>LOG(Table1_1[[#This Row],[N-EtFOSA]])</f>
        <v>-0.65757731917779372</v>
      </c>
      <c r="CN148">
        <f>LOG(Table1_1[[#This Row],[FOSAA]])</f>
        <v>-0.65757731917779372</v>
      </c>
      <c r="CO148">
        <f>LOG(Table1_1[[#This Row],[N-MeFOSAA]])</f>
        <v>-0.95663772197887054</v>
      </c>
      <c r="CP148">
        <f>LOG(Table1_1[[#This Row],[N-EtFOSAA]])</f>
        <v>-0.95860731484177497</v>
      </c>
      <c r="CQ148">
        <f>LOG(Table1_1[[#This Row],[4:2 FTS]])</f>
        <v>-0.95860731484177497</v>
      </c>
      <c r="CR148">
        <f>LOG(Table1_1[[#This Row],[6:2 FTS]])</f>
        <v>-0.95860731484177497</v>
      </c>
      <c r="CS148">
        <f>LOG(Table1_1[[#This Row],[8:2 FTS]])</f>
        <v>-0.13966199342900631</v>
      </c>
      <c r="CT148">
        <f>LOG(Table1_1[[#This Row],[10:2 FTS]])</f>
        <v>-0.35654732351381258</v>
      </c>
      <c r="CU148">
        <f>LOG(Table1_1[[#This Row],[3:3 FTCA]])</f>
        <v>-0.65757731917779372</v>
      </c>
      <c r="CV148">
        <f>LOG(Table1_1[[#This Row],[5:3 FTCA]])</f>
        <v>-0.65757731917779372</v>
      </c>
      <c r="CW148">
        <f>LOG(Table1_1[[#This Row],[7:3 FTCA]])</f>
        <v>0.24054924828259971</v>
      </c>
      <c r="CX148">
        <f>LOG(Table1_1[[#This Row],[6:2 FTCA]])</f>
        <v>-0.65757731917779372</v>
      </c>
      <c r="CY148">
        <f>LOG(Table1_1[[#This Row],[8:2 FTCA]])</f>
        <v>-0.95860731484177497</v>
      </c>
      <c r="CZ148">
        <f>LOG(Table1_1[[#This Row],[10:2 FTCA]])</f>
        <v>-0.65757731917779372</v>
      </c>
      <c r="DA148">
        <f>LOG(Table1_1[[#This Row],[6:2 FTUCA]])</f>
        <v>-1.0629838925351858</v>
      </c>
      <c r="DB148">
        <f>LOG(Table1_1[[#This Row],[8:2 FTUCA]])</f>
        <v>-1.1771783546968955</v>
      </c>
      <c r="DC148">
        <f>LOG(Table1_1[[#This Row],[ADONA]])</f>
        <v>-1.0132282657337552</v>
      </c>
      <c r="DD148">
        <f>LOG(Table1_1[[#This Row],[9Cl-PF3ONS]])</f>
        <v>-0.65757731917779372</v>
      </c>
      <c r="DE148">
        <f>LOG(Table1_1[[#This Row],[11Cl-PF3OUdS]])</f>
        <v>-0.65757731917779372</v>
      </c>
      <c r="DF148">
        <f>LOG(Table1_1[[#This Row],[HFPO-DA]])</f>
        <v>-0.80134291304557737</v>
      </c>
      <c r="DG148">
        <f>LOG(Table1_1[[#This Row],[6:2 diPAP]])</f>
        <v>-0.65757731917779372</v>
      </c>
      <c r="DH148">
        <f>LOG(Table1_1[[#This Row],[8:2 diPAP]])</f>
        <v>-0.65757731917779372</v>
      </c>
      <c r="DI148">
        <f>LOG(Table1_1[[#This Row],[diSAmPAP]])</f>
        <v>-0.65757731917779372</v>
      </c>
    </row>
    <row r="149" spans="1:113">
      <c r="A149" t="s">
        <v>301</v>
      </c>
      <c r="B149" t="s">
        <v>121</v>
      </c>
      <c r="C149" s="3">
        <v>44393</v>
      </c>
      <c r="D149" t="s">
        <v>226</v>
      </c>
      <c r="E149" t="s">
        <v>227</v>
      </c>
      <c r="F149" t="s">
        <v>228</v>
      </c>
      <c r="G149" t="s">
        <v>118</v>
      </c>
      <c r="H149" t="s">
        <v>119</v>
      </c>
      <c r="I149">
        <v>7</v>
      </c>
      <c r="J149">
        <f>LOG(Table1_1[[#This Row],[Length]])</f>
        <v>0.84509804001425681</v>
      </c>
      <c r="K149">
        <v>6.27</v>
      </c>
      <c r="L149">
        <f>LOG(Table1_1[[#This Row],[Weight]])</f>
        <v>0.79726754083071638</v>
      </c>
      <c r="M149">
        <v>0.109</v>
      </c>
      <c r="N149">
        <v>7.6999999999999999E-2</v>
      </c>
      <c r="O149">
        <v>5.8999999999999997E-2</v>
      </c>
      <c r="P149">
        <v>0.218</v>
      </c>
      <c r="Q149">
        <v>0.53900000000000003</v>
      </c>
      <c r="R149">
        <v>0.109</v>
      </c>
      <c r="S149">
        <v>2.11</v>
      </c>
      <c r="T149">
        <v>4.5999999999999996</v>
      </c>
      <c r="U149">
        <v>8.48</v>
      </c>
      <c r="V149">
        <v>2.58</v>
      </c>
      <c r="W149">
        <v>9.73</v>
      </c>
      <c r="X149">
        <v>0.13</v>
      </c>
      <c r="Y149">
        <v>0.109</v>
      </c>
      <c r="Z149">
        <v>0.109</v>
      </c>
      <c r="AA149">
        <v>0.11550000000000001</v>
      </c>
      <c r="AB149">
        <v>14.1</v>
      </c>
      <c r="AC149">
        <v>1.07</v>
      </c>
      <c r="AD149">
        <v>503</v>
      </c>
      <c r="AE149">
        <v>2.36</v>
      </c>
      <c r="AF149">
        <v>2.0499999999999998</v>
      </c>
      <c r="AG149">
        <v>0.79300000000000004</v>
      </c>
      <c r="AH149">
        <v>0.28199999999999997</v>
      </c>
      <c r="AI149">
        <v>8.6999999999999994E-2</v>
      </c>
      <c r="AJ149">
        <v>28.3</v>
      </c>
      <c r="AK149">
        <v>64.8</v>
      </c>
      <c r="AL149">
        <v>9.56</v>
      </c>
      <c r="AM149">
        <v>8.4000000000000005E-2</v>
      </c>
      <c r="AN149">
        <v>0.218</v>
      </c>
      <c r="AO149">
        <v>0.218</v>
      </c>
      <c r="AP149">
        <v>0.1095</v>
      </c>
      <c r="AQ149">
        <v>0.109</v>
      </c>
      <c r="AR149">
        <v>0.109</v>
      </c>
      <c r="AS149">
        <v>0.504</v>
      </c>
      <c r="AT149">
        <v>2.7</v>
      </c>
      <c r="AU149">
        <v>0.436</v>
      </c>
      <c r="AV149">
        <v>0.218</v>
      </c>
      <c r="AW149">
        <v>0.109</v>
      </c>
      <c r="AX149">
        <v>2.25</v>
      </c>
      <c r="AY149">
        <v>0.218</v>
      </c>
      <c r="AZ149">
        <v>0.109</v>
      </c>
      <c r="BA149">
        <v>0.218</v>
      </c>
      <c r="BB149">
        <v>8.5500000000000007E-2</v>
      </c>
      <c r="BC149">
        <v>6.6000000000000003E-2</v>
      </c>
      <c r="BD149">
        <v>9.6000000000000002E-2</v>
      </c>
      <c r="BE149">
        <v>0.218</v>
      </c>
      <c r="BF149">
        <v>0.218</v>
      </c>
      <c r="BG149">
        <v>0.1565</v>
      </c>
      <c r="BH149">
        <v>0.218</v>
      </c>
      <c r="BI149">
        <v>0.218</v>
      </c>
      <c r="BJ149">
        <v>0.218</v>
      </c>
      <c r="BK149">
        <f>SUM(Table1_1[[#This Row],[PFBA]:[diSAmPAP]])</f>
        <v>664.57999999999981</v>
      </c>
      <c r="BL149">
        <f>LOG(Table1_1[[#This Row],[PFBA]])</f>
        <v>-0.96257350205937642</v>
      </c>
      <c r="BM149">
        <f>LOG(Table1_1[[#This Row],[PFPeA]])</f>
        <v>-1.1135092748275182</v>
      </c>
      <c r="BN149">
        <f>LOG(Table1_1[[#This Row],[PFHxA]])</f>
        <v>-1.2291479883578558</v>
      </c>
      <c r="BO149">
        <f>LOG(Table1_1[[#This Row],[PFHpA]])</f>
        <v>-0.66154350639539516</v>
      </c>
      <c r="BP149">
        <f>LOG(Table1_1[[#This Row],[PFOA]])</f>
        <v>-0.26841123481326129</v>
      </c>
      <c r="BQ149">
        <f>LOG(Table1_1[[#This Row],[PFNA]])</f>
        <v>-0.96257350205937642</v>
      </c>
      <c r="BR149">
        <f>LOG(Table1_1[[#This Row],[PFDA]])</f>
        <v>0.32428245529769262</v>
      </c>
      <c r="BS149">
        <f>LOG(Table1_1[[#This Row],[PFUnA]])</f>
        <v>0.66275783168157409</v>
      </c>
      <c r="BT149">
        <f>LOG(Table1_1[[#This Row],[PFDoA]])</f>
        <v>0.92839585225671384</v>
      </c>
      <c r="BU149">
        <f>LOG(Table1_1[[#This Row],[PFTrDA]])</f>
        <v>0.41161970596323016</v>
      </c>
      <c r="BV149">
        <f>LOG(Table1_1[[#This Row],[PFTeDA]])</f>
        <v>0.98811284026835189</v>
      </c>
      <c r="BW149">
        <f>LOG(Table1_1[[#This Row],[PFHxDA]])</f>
        <v>-0.88605664769316317</v>
      </c>
      <c r="BX149">
        <f>LOG(Table1_1[[#This Row],[PFPrS]])</f>
        <v>-0.96257350205937642</v>
      </c>
      <c r="BY149">
        <f>LOG(Table1_1[[#This Row],[PFBS]])</f>
        <v>-0.96257350205937642</v>
      </c>
      <c r="BZ149">
        <f>LOG(Table1_1[[#This Row],[PFPeS]])</f>
        <v>-0.93741801577183692</v>
      </c>
      <c r="CA149">
        <f>LOG(Table1_1[[#This Row],[PFHxS]])</f>
        <v>1.1492191126553799</v>
      </c>
      <c r="CB149">
        <f>LOG(Table1_1[[#This Row],[PFHpS]])</f>
        <v>2.9383777685209667E-2</v>
      </c>
      <c r="CC149">
        <f>LOG(Table1_1[[#This Row],[PFOS]])</f>
        <v>2.7015679850559273</v>
      </c>
      <c r="CD149">
        <f>LOG(Table1_1[[#This Row],[PFNS]])</f>
        <v>0.37291200297010657</v>
      </c>
      <c r="CE149">
        <f>LOG(Table1_1[[#This Row],[PFDS]])</f>
        <v>0.31175386105575426</v>
      </c>
      <c r="CF149">
        <f>LOG(Table1_1[[#This Row],[PFDoS]])</f>
        <v>-0.10072681268239618</v>
      </c>
      <c r="CG149">
        <f>LOG(Table1_1[[#This Row],[Cl-PFOS]])</f>
        <v>-0.54975089168063895</v>
      </c>
      <c r="CH149">
        <f>LOG(Table1_1[[#This Row],[PFEtCHxS]])</f>
        <v>-1.0604807473813815</v>
      </c>
      <c r="CI149">
        <f>LOG(Table1_1[[#This Row],[FBSA]])</f>
        <v>1.4517864355242902</v>
      </c>
      <c r="CJ149">
        <f>LOG(Table1_1[[#This Row],[FHxSA]])</f>
        <v>1.8115750058705933</v>
      </c>
      <c r="CK149">
        <f>LOG(Table1_1[[#This Row],[FOSA]])</f>
        <v>0.98045789227610014</v>
      </c>
      <c r="CL149">
        <f>LOG(Table1_1[[#This Row],[N-MeFOSA]])</f>
        <v>-1.0757207139381184</v>
      </c>
      <c r="CM149">
        <f>LOG(Table1_1[[#This Row],[N-EtFOSA]])</f>
        <v>-0.66154350639539516</v>
      </c>
      <c r="CN149">
        <f>LOG(Table1_1[[#This Row],[FOSAA]])</f>
        <v>-0.66154350639539516</v>
      </c>
      <c r="CO149">
        <f>LOG(Table1_1[[#This Row],[N-MeFOSAA]])</f>
        <v>-0.96058588082386287</v>
      </c>
      <c r="CP149">
        <f>LOG(Table1_1[[#This Row],[N-EtFOSAA]])</f>
        <v>-0.96257350205937642</v>
      </c>
      <c r="CQ149">
        <f>LOG(Table1_1[[#This Row],[4:2 FTS]])</f>
        <v>-0.96257350205937642</v>
      </c>
      <c r="CR149">
        <f>LOG(Table1_1[[#This Row],[6:2 FTS]])</f>
        <v>-0.29756946355447472</v>
      </c>
      <c r="CS149">
        <f>LOG(Table1_1[[#This Row],[8:2 FTS]])</f>
        <v>0.43136376415898736</v>
      </c>
      <c r="CT149">
        <f>LOG(Table1_1[[#This Row],[10:2 FTS]])</f>
        <v>-0.36051351073141397</v>
      </c>
      <c r="CU149">
        <f>LOG(Table1_1[[#This Row],[3:3 FTCA]])</f>
        <v>-0.66154350639539516</v>
      </c>
      <c r="CV149">
        <f>LOG(Table1_1[[#This Row],[5:3 FTCA]])</f>
        <v>-0.96257350205937642</v>
      </c>
      <c r="CW149">
        <f>LOG(Table1_1[[#This Row],[7:3 FTCA]])</f>
        <v>0.35218251811136247</v>
      </c>
      <c r="CX149">
        <f>LOG(Table1_1[[#This Row],[6:2 FTCA]])</f>
        <v>-0.66154350639539516</v>
      </c>
      <c r="CY149">
        <f>LOG(Table1_1[[#This Row],[8:2 FTCA]])</f>
        <v>-0.96257350205937642</v>
      </c>
      <c r="CZ149">
        <f>LOG(Table1_1[[#This Row],[10:2 FTCA]])</f>
        <v>-0.66154350639539516</v>
      </c>
      <c r="DA149">
        <f>LOG(Table1_1[[#This Row],[6:2 FTUCA]])</f>
        <v>-1.0680338852718274</v>
      </c>
      <c r="DB149">
        <f>LOG(Table1_1[[#This Row],[8:2 FTUCA]])</f>
        <v>-1.1804560644581312</v>
      </c>
      <c r="DC149">
        <f>LOG(Table1_1[[#This Row],[ADONA]])</f>
        <v>-1.0177287669604316</v>
      </c>
      <c r="DD149">
        <f>LOG(Table1_1[[#This Row],[9Cl-PF3ONS]])</f>
        <v>-0.66154350639539516</v>
      </c>
      <c r="DE149">
        <f>LOG(Table1_1[[#This Row],[11Cl-PF3OUdS]])</f>
        <v>-0.66154350639539516</v>
      </c>
      <c r="DF149">
        <f>LOG(Table1_1[[#This Row],[HFPO-DA]])</f>
        <v>-0.8054856581175327</v>
      </c>
      <c r="DG149">
        <f>LOG(Table1_1[[#This Row],[6:2 diPAP]])</f>
        <v>-0.66154350639539516</v>
      </c>
      <c r="DH149">
        <f>LOG(Table1_1[[#This Row],[8:2 diPAP]])</f>
        <v>-0.66154350639539516</v>
      </c>
      <c r="DI149">
        <f>LOG(Table1_1[[#This Row],[diSAmPAP]])</f>
        <v>-0.66154350639539516</v>
      </c>
    </row>
    <row r="150" spans="1:113">
      <c r="A150" t="s">
        <v>302</v>
      </c>
      <c r="B150" t="s">
        <v>121</v>
      </c>
      <c r="C150" s="3">
        <v>44393</v>
      </c>
      <c r="D150" t="s">
        <v>226</v>
      </c>
      <c r="E150" t="s">
        <v>227</v>
      </c>
      <c r="F150" t="s">
        <v>228</v>
      </c>
      <c r="G150" t="s">
        <v>118</v>
      </c>
      <c r="H150" t="s">
        <v>119</v>
      </c>
      <c r="I150">
        <v>8</v>
      </c>
      <c r="J150">
        <f>LOG(Table1_1[[#This Row],[Length]])</f>
        <v>0.90308998699194354</v>
      </c>
      <c r="K150">
        <v>10.210000000000001</v>
      </c>
      <c r="L150">
        <f>LOG(Table1_1[[#This Row],[Weight]])</f>
        <v>1.0090257420869102</v>
      </c>
      <c r="M150">
        <v>0.2135</v>
      </c>
      <c r="N150">
        <v>0.2135</v>
      </c>
      <c r="O150">
        <v>0.11550000000000001</v>
      </c>
      <c r="P150">
        <v>0.2135</v>
      </c>
      <c r="Q150">
        <v>0.29699999999999999</v>
      </c>
      <c r="R150">
        <v>0.14799999999999999</v>
      </c>
      <c r="S150">
        <v>3.35</v>
      </c>
      <c r="T150">
        <v>5.5</v>
      </c>
      <c r="U150">
        <v>21.5</v>
      </c>
      <c r="V150">
        <v>5.17</v>
      </c>
      <c r="W150">
        <v>20.8</v>
      </c>
      <c r="X150">
        <v>0.2545</v>
      </c>
      <c r="Y150">
        <v>0.42699999999999999</v>
      </c>
      <c r="Z150">
        <v>0.14549999999999999</v>
      </c>
      <c r="AA150">
        <v>0.113</v>
      </c>
      <c r="AB150">
        <v>8.3800000000000008</v>
      </c>
      <c r="AC150">
        <v>1.58</v>
      </c>
      <c r="AD150">
        <v>511</v>
      </c>
      <c r="AE150">
        <v>1.1100000000000001</v>
      </c>
      <c r="AF150">
        <v>1.37</v>
      </c>
      <c r="AG150">
        <v>0.22850000000000001</v>
      </c>
      <c r="AH150">
        <v>0.13</v>
      </c>
      <c r="AI150">
        <v>8.5500000000000007E-2</v>
      </c>
      <c r="AJ150">
        <v>34.6</v>
      </c>
      <c r="AK150">
        <v>66.3</v>
      </c>
      <c r="AL150">
        <v>6.82</v>
      </c>
      <c r="AM150">
        <v>0.16450000000000001</v>
      </c>
      <c r="AN150">
        <v>0.42699999999999999</v>
      </c>
      <c r="AO150">
        <v>0.42699999999999999</v>
      </c>
      <c r="AP150">
        <v>0.215</v>
      </c>
      <c r="AQ150">
        <v>0.2135</v>
      </c>
      <c r="AR150">
        <v>0.2135</v>
      </c>
      <c r="AS150">
        <v>0.2135</v>
      </c>
      <c r="AT150">
        <v>1.45</v>
      </c>
      <c r="AU150">
        <v>0.42699999999999999</v>
      </c>
      <c r="AV150">
        <v>0.2465</v>
      </c>
      <c r="AW150">
        <v>3.52</v>
      </c>
      <c r="AX150">
        <v>6.91</v>
      </c>
      <c r="AY150">
        <v>0.42699999999999999</v>
      </c>
      <c r="AZ150">
        <v>0.42699999999999999</v>
      </c>
      <c r="BA150">
        <v>0.42699999999999999</v>
      </c>
      <c r="BB150">
        <v>0.42699999999999999</v>
      </c>
      <c r="BC150">
        <v>0.42699999999999999</v>
      </c>
      <c r="BD150">
        <v>0.2135</v>
      </c>
      <c r="BE150">
        <v>0.42699999999999999</v>
      </c>
      <c r="BF150">
        <v>0.42699999999999999</v>
      </c>
      <c r="BG150">
        <v>0.30649999999999999</v>
      </c>
      <c r="BH150">
        <v>0.42699999999999999</v>
      </c>
      <c r="BI150">
        <v>0.42699999999999999</v>
      </c>
      <c r="BJ150">
        <v>0.42699999999999999</v>
      </c>
      <c r="BK150">
        <f>SUM(Table1_1[[#This Row],[PFBA]:[diSAmPAP]])</f>
        <v>709.28250000000025</v>
      </c>
      <c r="BL150">
        <f>LOG(Table1_1[[#This Row],[PFBA]])</f>
        <v>-0.6706021206389573</v>
      </c>
      <c r="BM150">
        <f>LOG(Table1_1[[#This Row],[PFPeA]])</f>
        <v>-0.6706021206389573</v>
      </c>
      <c r="BN150">
        <f>LOG(Table1_1[[#This Row],[PFHxA]])</f>
        <v>-0.93741801577183692</v>
      </c>
      <c r="BO150">
        <f>LOG(Table1_1[[#This Row],[PFHpA]])</f>
        <v>-0.6706021206389573</v>
      </c>
      <c r="BP150">
        <f>LOG(Table1_1[[#This Row],[PFOA]])</f>
        <v>-0.52724355068278772</v>
      </c>
      <c r="BQ150">
        <f>LOG(Table1_1[[#This Row],[PFNA]])</f>
        <v>-0.82973828460504262</v>
      </c>
      <c r="BR150">
        <f>LOG(Table1_1[[#This Row],[PFDA]])</f>
        <v>0.5250448070368452</v>
      </c>
      <c r="BS150">
        <f>LOG(Table1_1[[#This Row],[PFUnA]])</f>
        <v>0.74036268949424389</v>
      </c>
      <c r="BT150">
        <f>LOG(Table1_1[[#This Row],[PFDoA]])</f>
        <v>1.3324384599156054</v>
      </c>
      <c r="BU150">
        <f>LOG(Table1_1[[#This Row],[PFTrDA]])</f>
        <v>0.71349054309394255</v>
      </c>
      <c r="BV150">
        <f>LOG(Table1_1[[#This Row],[PFTeDA]])</f>
        <v>1.3180633349627615</v>
      </c>
      <c r="BW150">
        <f>LOG(Table1_1[[#This Row],[PFHxDA]])</f>
        <v>-0.59431221332722239</v>
      </c>
      <c r="BX150">
        <f>LOG(Table1_1[[#This Row],[PFPrS]])</f>
        <v>-0.36957212497497616</v>
      </c>
      <c r="BY150">
        <f>LOG(Table1_1[[#This Row],[PFBS]])</f>
        <v>-0.83713700667807389</v>
      </c>
      <c r="BZ150">
        <f>LOG(Table1_1[[#This Row],[PFPeS]])</f>
        <v>-0.94692155651658028</v>
      </c>
      <c r="CA150">
        <f>LOG(Table1_1[[#This Row],[PFHxS]])</f>
        <v>0.9232440186302765</v>
      </c>
      <c r="CB150">
        <f>LOG(Table1_1[[#This Row],[PFHpS]])</f>
        <v>0.19865708695442263</v>
      </c>
      <c r="CC150">
        <f>LOG(Table1_1[[#This Row],[PFOS]])</f>
        <v>2.7084209001347128</v>
      </c>
      <c r="CD150">
        <f>LOG(Table1_1[[#This Row],[PFNS]])</f>
        <v>4.5322978786657475E-2</v>
      </c>
      <c r="CE150">
        <f>LOG(Table1_1[[#This Row],[PFDS]])</f>
        <v>0.13672056715640679</v>
      </c>
      <c r="CF150">
        <f>LOG(Table1_1[[#This Row],[PFDoS]])</f>
        <v>-0.64111379559413095</v>
      </c>
      <c r="CG150">
        <f>LOG(Table1_1[[#This Row],[Cl-PFOS]])</f>
        <v>-0.88605664769316317</v>
      </c>
      <c r="CH150">
        <f>LOG(Table1_1[[#This Row],[PFEtCHxS]])</f>
        <v>-1.0680338852718274</v>
      </c>
      <c r="CI150">
        <f>LOG(Table1_1[[#This Row],[FBSA]])</f>
        <v>1.5390760987927767</v>
      </c>
      <c r="CJ150">
        <f>LOG(Table1_1[[#This Row],[FHxSA]])</f>
        <v>1.8215135284047732</v>
      </c>
      <c r="CK150">
        <f>LOG(Table1_1[[#This Row],[FOSA]])</f>
        <v>0.83378437465647892</v>
      </c>
      <c r="CL150">
        <f>LOG(Table1_1[[#This Row],[N-MeFOSA]])</f>
        <v>-0.78383409771400692</v>
      </c>
      <c r="CM150">
        <f>LOG(Table1_1[[#This Row],[N-EtFOSA]])</f>
        <v>-0.36957212497497616</v>
      </c>
      <c r="CN150">
        <f>LOG(Table1_1[[#This Row],[FOSAA]])</f>
        <v>-0.36957212497497616</v>
      </c>
      <c r="CO150">
        <f>LOG(Table1_1[[#This Row],[N-MeFOSAA]])</f>
        <v>-0.66756154008439472</v>
      </c>
      <c r="CP150">
        <f>LOG(Table1_1[[#This Row],[N-EtFOSAA]])</f>
        <v>-0.6706021206389573</v>
      </c>
      <c r="CQ150">
        <f>LOG(Table1_1[[#This Row],[4:2 FTS]])</f>
        <v>-0.6706021206389573</v>
      </c>
      <c r="CR150">
        <f>LOG(Table1_1[[#This Row],[6:2 FTS]])</f>
        <v>-0.6706021206389573</v>
      </c>
      <c r="CS150">
        <f>LOG(Table1_1[[#This Row],[8:2 FTS]])</f>
        <v>0.16136800223497488</v>
      </c>
      <c r="CT150">
        <f>LOG(Table1_1[[#This Row],[10:2 FTS]])</f>
        <v>-0.36957212497497616</v>
      </c>
      <c r="CU150">
        <f>LOG(Table1_1[[#This Row],[3:3 FTCA]])</f>
        <v>-0.60818307638675118</v>
      </c>
      <c r="CV150">
        <f>LOG(Table1_1[[#This Row],[5:3 FTCA]])</f>
        <v>0.54654266347813107</v>
      </c>
      <c r="CW150">
        <f>LOG(Table1_1[[#This Row],[7:3 FTCA]])</f>
        <v>0.8394780473741984</v>
      </c>
      <c r="CX150">
        <f>LOG(Table1_1[[#This Row],[6:2 FTCA]])</f>
        <v>-0.36957212497497616</v>
      </c>
      <c r="CY150">
        <f>LOG(Table1_1[[#This Row],[8:2 FTCA]])</f>
        <v>-0.36957212497497616</v>
      </c>
      <c r="CZ150">
        <f>LOG(Table1_1[[#This Row],[10:2 FTCA]])</f>
        <v>-0.36957212497497616</v>
      </c>
      <c r="DA150">
        <f>LOG(Table1_1[[#This Row],[6:2 FTUCA]])</f>
        <v>-0.36957212497497616</v>
      </c>
      <c r="DB150">
        <f>LOG(Table1_1[[#This Row],[8:2 FTUCA]])</f>
        <v>-0.36957212497497616</v>
      </c>
      <c r="DC150">
        <f>LOG(Table1_1[[#This Row],[ADONA]])</f>
        <v>-0.6706021206389573</v>
      </c>
      <c r="DD150">
        <f>LOG(Table1_1[[#This Row],[9Cl-PF3ONS]])</f>
        <v>-0.36957212497497616</v>
      </c>
      <c r="DE150">
        <f>LOG(Table1_1[[#This Row],[11Cl-PF3OUdS]])</f>
        <v>-0.36957212497497616</v>
      </c>
      <c r="DF150">
        <f>LOG(Table1_1[[#This Row],[HFPO-DA]])</f>
        <v>-0.5135695211455662</v>
      </c>
      <c r="DG150">
        <f>LOG(Table1_1[[#This Row],[6:2 diPAP]])</f>
        <v>-0.36957212497497616</v>
      </c>
      <c r="DH150">
        <f>LOG(Table1_1[[#This Row],[8:2 diPAP]])</f>
        <v>-0.36957212497497616</v>
      </c>
      <c r="DI150">
        <f>LOG(Table1_1[[#This Row],[diSAmPAP]])</f>
        <v>-0.36957212497497616</v>
      </c>
    </row>
    <row r="151" spans="1:113">
      <c r="A151" t="s">
        <v>303</v>
      </c>
      <c r="B151" t="s">
        <v>121</v>
      </c>
      <c r="C151" s="3">
        <v>44393</v>
      </c>
      <c r="D151" t="s">
        <v>226</v>
      </c>
      <c r="E151" t="s">
        <v>227</v>
      </c>
      <c r="F151" t="s">
        <v>228</v>
      </c>
      <c r="G151" t="s">
        <v>118</v>
      </c>
      <c r="H151" t="s">
        <v>119</v>
      </c>
      <c r="I151">
        <v>11</v>
      </c>
      <c r="J151">
        <f>LOG(Table1_1[[#This Row],[Length]])</f>
        <v>1.0413926851582251</v>
      </c>
      <c r="K151">
        <v>22.29</v>
      </c>
      <c r="L151">
        <f>LOG(Table1_1[[#This Row],[Weight]])</f>
        <v>1.3481100684802376</v>
      </c>
      <c r="M151">
        <v>0.2165</v>
      </c>
      <c r="N151">
        <v>0.2165</v>
      </c>
      <c r="O151">
        <v>0.11700000000000001</v>
      </c>
      <c r="P151">
        <v>0.79800000000000004</v>
      </c>
      <c r="Q151">
        <v>0.93799999999999994</v>
      </c>
      <c r="R151">
        <v>0.15</v>
      </c>
      <c r="S151">
        <v>4.6500000000000004</v>
      </c>
      <c r="T151">
        <v>7.11</v>
      </c>
      <c r="U151">
        <v>7.12</v>
      </c>
      <c r="V151">
        <v>1.28</v>
      </c>
      <c r="W151">
        <v>4.12</v>
      </c>
      <c r="X151">
        <v>0.25800000000000001</v>
      </c>
      <c r="Y151">
        <v>0.433</v>
      </c>
      <c r="Z151">
        <v>0.14749999999999999</v>
      </c>
      <c r="AA151">
        <v>0.1145</v>
      </c>
      <c r="AB151">
        <v>11.1</v>
      </c>
      <c r="AC151">
        <v>2.74</v>
      </c>
      <c r="AD151">
        <v>553</v>
      </c>
      <c r="AE151">
        <v>1.32</v>
      </c>
      <c r="AF151">
        <v>1.18</v>
      </c>
      <c r="AG151">
        <v>0.23150000000000001</v>
      </c>
      <c r="AH151">
        <v>0.13150000000000001</v>
      </c>
      <c r="AI151">
        <v>0.22600000000000001</v>
      </c>
      <c r="AJ151">
        <v>29.8</v>
      </c>
      <c r="AK151">
        <v>141</v>
      </c>
      <c r="AL151">
        <v>16.399999999999999</v>
      </c>
      <c r="AM151">
        <v>0.16650000000000001</v>
      </c>
      <c r="AN151">
        <v>0.433</v>
      </c>
      <c r="AO151">
        <v>0.433</v>
      </c>
      <c r="AP151">
        <v>0.2175</v>
      </c>
      <c r="AQ151">
        <v>0.2165</v>
      </c>
      <c r="AR151">
        <v>0.2165</v>
      </c>
      <c r="AS151">
        <v>0.64800000000000002</v>
      </c>
      <c r="AT151">
        <v>6.41</v>
      </c>
      <c r="AU151">
        <v>0.433</v>
      </c>
      <c r="AV151">
        <v>0.2495</v>
      </c>
      <c r="AW151">
        <v>0.2165</v>
      </c>
      <c r="AX151">
        <v>0.76600000000000001</v>
      </c>
      <c r="AY151">
        <v>0.433</v>
      </c>
      <c r="AZ151">
        <v>0.433</v>
      </c>
      <c r="BA151">
        <v>0.433</v>
      </c>
      <c r="BB151">
        <v>0.433</v>
      </c>
      <c r="BC151">
        <v>0.433</v>
      </c>
      <c r="BD151">
        <v>0.71399999999999997</v>
      </c>
      <c r="BE151">
        <v>0.433</v>
      </c>
      <c r="BF151">
        <v>0.433</v>
      </c>
      <c r="BG151">
        <v>0.3105</v>
      </c>
      <c r="BH151">
        <v>0.433</v>
      </c>
      <c r="BI151">
        <v>0.433</v>
      </c>
      <c r="BJ151">
        <v>0.433</v>
      </c>
      <c r="BK151">
        <f>SUM(Table1_1[[#This Row],[PFBA]:[diSAmPAP]])</f>
        <v>800.55849999999987</v>
      </c>
      <c r="BL151">
        <f>LOG(Table1_1[[#This Row],[PFBA]])</f>
        <v>-0.66454209931061581</v>
      </c>
      <c r="BM151">
        <f>LOG(Table1_1[[#This Row],[PFPeA]])</f>
        <v>-0.66454209931061581</v>
      </c>
      <c r="BN151">
        <f>LOG(Table1_1[[#This Row],[PFHxA]])</f>
        <v>-0.9318141382538383</v>
      </c>
      <c r="BO151">
        <f>LOG(Table1_1[[#This Row],[PFHpA]])</f>
        <v>-9.7997108649270553E-2</v>
      </c>
      <c r="BP151">
        <f>LOG(Table1_1[[#This Row],[PFOA]])</f>
        <v>-2.7797161620935564E-2</v>
      </c>
      <c r="BQ151">
        <f>LOG(Table1_1[[#This Row],[PFNA]])</f>
        <v>-0.82390874094431876</v>
      </c>
      <c r="BR151">
        <f>LOG(Table1_1[[#This Row],[PFDA]])</f>
        <v>0.66745295288995399</v>
      </c>
      <c r="BS151">
        <f>LOG(Table1_1[[#This Row],[PFUnA]])</f>
        <v>0.85186960072976636</v>
      </c>
      <c r="BT151">
        <f>LOG(Table1_1[[#This Row],[PFDoA]])</f>
        <v>0.85247999363685634</v>
      </c>
      <c r="BU151">
        <f>LOG(Table1_1[[#This Row],[PFTrDA]])</f>
        <v>0.10720996964786837</v>
      </c>
      <c r="BV151">
        <f>LOG(Table1_1[[#This Row],[PFTeDA]])</f>
        <v>0.61489721603313463</v>
      </c>
      <c r="BW151">
        <f>LOG(Table1_1[[#This Row],[PFHxDA]])</f>
        <v>-0.58838029403676984</v>
      </c>
      <c r="BX151">
        <f>LOG(Table1_1[[#This Row],[PFPrS]])</f>
        <v>-0.36351210364663455</v>
      </c>
      <c r="BY151">
        <f>LOG(Table1_1[[#This Row],[PFBS]])</f>
        <v>-0.83120797968581828</v>
      </c>
      <c r="BZ151">
        <f>LOG(Table1_1[[#This Row],[PFPeS]])</f>
        <v>-0.94119451332409321</v>
      </c>
      <c r="CA151">
        <f>LOG(Table1_1[[#This Row],[PFHxS]])</f>
        <v>1.0453229787866574</v>
      </c>
      <c r="CB151">
        <f>LOG(Table1_1[[#This Row],[PFHpS]])</f>
        <v>0.43775056282038799</v>
      </c>
      <c r="CC151">
        <f>LOG(Table1_1[[#This Row],[PFOS]])</f>
        <v>2.7427251313046983</v>
      </c>
      <c r="CD151">
        <f>LOG(Table1_1[[#This Row],[PFNS]])</f>
        <v>0.12057393120584989</v>
      </c>
      <c r="CE151">
        <f>LOG(Table1_1[[#This Row],[PFDS]])</f>
        <v>7.1882007306125359E-2</v>
      </c>
      <c r="CF151">
        <f>LOG(Table1_1[[#This Row],[PFDoS]])</f>
        <v>-0.63544900464602805</v>
      </c>
      <c r="CG151">
        <f>LOG(Table1_1[[#This Row],[Cl-PFOS]])</f>
        <v>-0.88107424717422334</v>
      </c>
      <c r="CH151">
        <f>LOG(Table1_1[[#This Row],[PFEtCHxS]])</f>
        <v>-0.64589156085259902</v>
      </c>
      <c r="CI151">
        <f>LOG(Table1_1[[#This Row],[FBSA]])</f>
        <v>1.4742162640762553</v>
      </c>
      <c r="CJ151">
        <f>LOG(Table1_1[[#This Row],[FHxSA]])</f>
        <v>2.1492191126553797</v>
      </c>
      <c r="CK151">
        <f>LOG(Table1_1[[#This Row],[FOSA]])</f>
        <v>1.2148438480476977</v>
      </c>
      <c r="CL151">
        <f>LOG(Table1_1[[#This Row],[N-MeFOSA]])</f>
        <v>-0.77858576215766129</v>
      </c>
      <c r="CM151">
        <f>LOG(Table1_1[[#This Row],[N-EtFOSA]])</f>
        <v>-0.36351210364663455</v>
      </c>
      <c r="CN151">
        <f>LOG(Table1_1[[#This Row],[FOSAA]])</f>
        <v>-0.36351210364663455</v>
      </c>
      <c r="CO151">
        <f>LOG(Table1_1[[#This Row],[N-MeFOSAA]])</f>
        <v>-0.66254073870934382</v>
      </c>
      <c r="CP151">
        <f>LOG(Table1_1[[#This Row],[N-EtFOSAA]])</f>
        <v>-0.66454209931061581</v>
      </c>
      <c r="CQ151">
        <f>LOG(Table1_1[[#This Row],[4:2 FTS]])</f>
        <v>-0.66454209931061581</v>
      </c>
      <c r="CR151">
        <f>LOG(Table1_1[[#This Row],[6:2 FTS]])</f>
        <v>-0.18842499412940666</v>
      </c>
      <c r="CS151">
        <f>LOG(Table1_1[[#This Row],[8:2 FTS]])</f>
        <v>0.80685802951881747</v>
      </c>
      <c r="CT151">
        <f>LOG(Table1_1[[#This Row],[10:2 FTS]])</f>
        <v>-0.36351210364663455</v>
      </c>
      <c r="CU151">
        <f>LOG(Table1_1[[#This Row],[3:3 FTCA]])</f>
        <v>-0.60292945004059129</v>
      </c>
      <c r="CV151">
        <f>LOG(Table1_1[[#This Row],[5:3 FTCA]])</f>
        <v>-0.66454209931061581</v>
      </c>
      <c r="CW151">
        <f>LOG(Table1_1[[#This Row],[7:3 FTCA]])</f>
        <v>-0.11577123036739606</v>
      </c>
      <c r="CX151">
        <f>LOG(Table1_1[[#This Row],[6:2 FTCA]])</f>
        <v>-0.36351210364663455</v>
      </c>
      <c r="CY151">
        <f>LOG(Table1_1[[#This Row],[8:2 FTCA]])</f>
        <v>-0.36351210364663455</v>
      </c>
      <c r="CZ151">
        <f>LOG(Table1_1[[#This Row],[10:2 FTCA]])</f>
        <v>-0.36351210364663455</v>
      </c>
      <c r="DA151">
        <f>LOG(Table1_1[[#This Row],[6:2 FTUCA]])</f>
        <v>-0.36351210364663455</v>
      </c>
      <c r="DB151">
        <f>LOG(Table1_1[[#This Row],[8:2 FTUCA]])</f>
        <v>-0.36351210364663455</v>
      </c>
      <c r="DC151">
        <f>LOG(Table1_1[[#This Row],[ADONA]])</f>
        <v>-0.14630178822382564</v>
      </c>
      <c r="DD151">
        <f>LOG(Table1_1[[#This Row],[9Cl-PF3ONS]])</f>
        <v>-0.36351210364663455</v>
      </c>
      <c r="DE151">
        <f>LOG(Table1_1[[#This Row],[11Cl-PF3OUdS]])</f>
        <v>-0.36351210364663455</v>
      </c>
      <c r="DF151">
        <f>LOG(Table1_1[[#This Row],[HFPO-DA]])</f>
        <v>-0.50793839548740105</v>
      </c>
      <c r="DG151">
        <f>LOG(Table1_1[[#This Row],[6:2 diPAP]])</f>
        <v>-0.36351210364663455</v>
      </c>
      <c r="DH151">
        <f>LOG(Table1_1[[#This Row],[8:2 diPAP]])</f>
        <v>-0.36351210364663455</v>
      </c>
      <c r="DI151">
        <f>LOG(Table1_1[[#This Row],[diSAmPAP]])</f>
        <v>-0.36351210364663455</v>
      </c>
    </row>
    <row r="152" spans="1:113">
      <c r="A152" t="s">
        <v>304</v>
      </c>
      <c r="B152" t="s">
        <v>121</v>
      </c>
      <c r="C152" s="3">
        <v>44393</v>
      </c>
      <c r="D152" t="s">
        <v>226</v>
      </c>
      <c r="E152" t="s">
        <v>227</v>
      </c>
      <c r="F152" t="s">
        <v>228</v>
      </c>
      <c r="G152" t="s">
        <v>118</v>
      </c>
      <c r="H152" t="s">
        <v>119</v>
      </c>
      <c r="I152">
        <v>10</v>
      </c>
      <c r="J152">
        <f>LOG(Table1_1[[#This Row],[Length]])</f>
        <v>1</v>
      </c>
      <c r="K152">
        <v>15.22</v>
      </c>
      <c r="L152">
        <f>LOG(Table1_1[[#This Row],[Weight]])</f>
        <v>1.182414652434554</v>
      </c>
      <c r="M152">
        <v>0.22450000000000001</v>
      </c>
      <c r="N152">
        <v>0.22450000000000001</v>
      </c>
      <c r="O152">
        <v>0.1215</v>
      </c>
      <c r="P152">
        <v>0.22450000000000001</v>
      </c>
      <c r="Q152">
        <v>0.49399999999999999</v>
      </c>
      <c r="R152">
        <v>0.1555</v>
      </c>
      <c r="S152">
        <v>3.6</v>
      </c>
      <c r="T152">
        <v>5.05</v>
      </c>
      <c r="U152">
        <v>12.2</v>
      </c>
      <c r="V152">
        <v>2.4700000000000002</v>
      </c>
      <c r="W152">
        <v>9.02</v>
      </c>
      <c r="X152">
        <v>0.26800000000000002</v>
      </c>
      <c r="Y152">
        <v>0.44950000000000001</v>
      </c>
      <c r="Z152">
        <v>0.153</v>
      </c>
      <c r="AA152">
        <v>0.11899999999999999</v>
      </c>
      <c r="AB152">
        <v>5.91</v>
      </c>
      <c r="AC152">
        <v>1.35</v>
      </c>
      <c r="AD152">
        <v>484</v>
      </c>
      <c r="AE152">
        <v>1.31</v>
      </c>
      <c r="AF152">
        <v>1.1100000000000001</v>
      </c>
      <c r="AG152">
        <v>0.24049999999999999</v>
      </c>
      <c r="AH152">
        <v>0.13650000000000001</v>
      </c>
      <c r="AI152">
        <v>0.18</v>
      </c>
      <c r="AJ152">
        <v>40.700000000000003</v>
      </c>
      <c r="AK152">
        <v>110</v>
      </c>
      <c r="AL152">
        <v>14.3</v>
      </c>
      <c r="AM152">
        <v>0.17299999999999999</v>
      </c>
      <c r="AN152">
        <v>0.44950000000000001</v>
      </c>
      <c r="AO152">
        <v>0.44950000000000001</v>
      </c>
      <c r="AP152">
        <v>0.22600000000000001</v>
      </c>
      <c r="AQ152">
        <v>0.22450000000000001</v>
      </c>
      <c r="AR152">
        <v>0.22450000000000001</v>
      </c>
      <c r="AS152">
        <v>0.22450000000000001</v>
      </c>
      <c r="AT152">
        <v>3.1</v>
      </c>
      <c r="AU152">
        <v>0.44950000000000001</v>
      </c>
      <c r="AV152">
        <v>0.25900000000000001</v>
      </c>
      <c r="AW152">
        <v>0.57199999999999995</v>
      </c>
      <c r="AX152">
        <v>2.33</v>
      </c>
      <c r="AY152">
        <v>0.44950000000000001</v>
      </c>
      <c r="AZ152">
        <v>0.44950000000000001</v>
      </c>
      <c r="BA152">
        <v>0.44950000000000001</v>
      </c>
      <c r="BB152">
        <v>0.44950000000000001</v>
      </c>
      <c r="BC152">
        <v>0.44950000000000001</v>
      </c>
      <c r="BD152">
        <v>0.22450000000000001</v>
      </c>
      <c r="BE152">
        <v>0.44950000000000001</v>
      </c>
      <c r="BF152">
        <v>0.44950000000000001</v>
      </c>
      <c r="BG152">
        <v>0.32250000000000001</v>
      </c>
      <c r="BH152">
        <v>0.44950000000000001</v>
      </c>
      <c r="BI152">
        <v>0.44950000000000001</v>
      </c>
      <c r="BJ152">
        <v>0.44950000000000001</v>
      </c>
      <c r="BK152">
        <f>SUM(Table1_1[[#This Row],[PFBA]:[diSAmPAP]])</f>
        <v>707.73499999999933</v>
      </c>
      <c r="BL152">
        <f>LOG(Table1_1[[#This Row],[PFBA]])</f>
        <v>-0.64878365466065802</v>
      </c>
      <c r="BM152">
        <f>LOG(Table1_1[[#This Row],[PFPeA]])</f>
        <v>-0.64878365466065802</v>
      </c>
      <c r="BN152">
        <f>LOG(Table1_1[[#This Row],[PFHxA]])</f>
        <v>-0.91542372206566902</v>
      </c>
      <c r="BO152">
        <f>LOG(Table1_1[[#This Row],[PFHpA]])</f>
        <v>-0.64878365466065802</v>
      </c>
      <c r="BP152">
        <f>LOG(Table1_1[[#This Row],[PFOA]])</f>
        <v>-0.30627305107635305</v>
      </c>
      <c r="BQ152">
        <f>LOG(Table1_1[[#This Row],[PFNA]])</f>
        <v>-0.80826960663714364</v>
      </c>
      <c r="BR152">
        <f>LOG(Table1_1[[#This Row],[PFDA]])</f>
        <v>0.55630250076728727</v>
      </c>
      <c r="BS152">
        <f>LOG(Table1_1[[#This Row],[PFUnA]])</f>
        <v>0.70329137811866138</v>
      </c>
      <c r="BT152">
        <f>LOG(Table1_1[[#This Row],[PFDoA]])</f>
        <v>1.0863598306747482</v>
      </c>
      <c r="BU152">
        <f>LOG(Table1_1[[#This Row],[PFTrDA]])</f>
        <v>0.39269695325966575</v>
      </c>
      <c r="BV152">
        <f>LOG(Table1_1[[#This Row],[PFTeDA]])</f>
        <v>0.95520653754194174</v>
      </c>
      <c r="BW152">
        <f>LOG(Table1_1[[#This Row],[PFHxDA]])</f>
        <v>-0.57186520597121115</v>
      </c>
      <c r="BX152">
        <f>LOG(Table1_1[[#This Row],[PFPrS]])</f>
        <v>-0.34727030393075242</v>
      </c>
      <c r="BY152">
        <f>LOG(Table1_1[[#This Row],[PFBS]])</f>
        <v>-0.81530856918240124</v>
      </c>
      <c r="BZ152">
        <f>LOG(Table1_1[[#This Row],[PFPeS]])</f>
        <v>-0.9244530386074693</v>
      </c>
      <c r="CA152">
        <f>LOG(Table1_1[[#This Row],[PFHxS]])</f>
        <v>0.77158748088125539</v>
      </c>
      <c r="CB152">
        <f>LOG(Table1_1[[#This Row],[PFHpS]])</f>
        <v>0.13033376849500614</v>
      </c>
      <c r="CC152">
        <f>LOG(Table1_1[[#This Row],[PFOS]])</f>
        <v>2.6848453616444123</v>
      </c>
      <c r="CD152">
        <f>LOG(Table1_1[[#This Row],[PFNS]])</f>
        <v>0.11727129565576427</v>
      </c>
      <c r="CE152">
        <f>LOG(Table1_1[[#This Row],[PFDS]])</f>
        <v>4.5322978786657475E-2</v>
      </c>
      <c r="CF152">
        <f>LOG(Table1_1[[#This Row],[PFDoS]])</f>
        <v>-0.61888491929014944</v>
      </c>
      <c r="CG152">
        <f>LOG(Table1_1[[#This Row],[Cl-PFOS]])</f>
        <v>-0.86486734862322512</v>
      </c>
      <c r="CH152">
        <f>LOG(Table1_1[[#This Row],[PFEtCHxS]])</f>
        <v>-0.74472749489669399</v>
      </c>
      <c r="CI152">
        <f>LOG(Table1_1[[#This Row],[FBSA]])</f>
        <v>1.6095944092252201</v>
      </c>
      <c r="CJ152">
        <f>LOG(Table1_1[[#This Row],[FHxSA]])</f>
        <v>2.0413926851582249</v>
      </c>
      <c r="CK152">
        <f>LOG(Table1_1[[#This Row],[FOSA]])</f>
        <v>1.1553360374650619</v>
      </c>
      <c r="CL152">
        <f>LOG(Table1_1[[#This Row],[N-MeFOSA]])</f>
        <v>-0.76195389687120463</v>
      </c>
      <c r="CM152">
        <f>LOG(Table1_1[[#This Row],[N-EtFOSA]])</f>
        <v>-0.34727030393075242</v>
      </c>
      <c r="CN152">
        <f>LOG(Table1_1[[#This Row],[FOSAA]])</f>
        <v>-0.34727030393075242</v>
      </c>
      <c r="CO152">
        <f>LOG(Table1_1[[#This Row],[N-MeFOSAA]])</f>
        <v>-0.64589156085259902</v>
      </c>
      <c r="CP152">
        <f>LOG(Table1_1[[#This Row],[N-EtFOSAA]])</f>
        <v>-0.64878365466065802</v>
      </c>
      <c r="CQ152">
        <f>LOG(Table1_1[[#This Row],[4:2 FTS]])</f>
        <v>-0.64878365466065802</v>
      </c>
      <c r="CR152">
        <f>LOG(Table1_1[[#This Row],[6:2 FTS]])</f>
        <v>-0.64878365466065802</v>
      </c>
      <c r="CS152">
        <f>LOG(Table1_1[[#This Row],[8:2 FTS]])</f>
        <v>0.49136169383427269</v>
      </c>
      <c r="CT152">
        <f>LOG(Table1_1[[#This Row],[10:2 FTS]])</f>
        <v>-0.34727030393075242</v>
      </c>
      <c r="CU152">
        <f>LOG(Table1_1[[#This Row],[3:3 FTCA]])</f>
        <v>-0.5867002359187482</v>
      </c>
      <c r="CV152">
        <f>LOG(Table1_1[[#This Row],[5:3 FTCA]])</f>
        <v>-0.24260397120697583</v>
      </c>
      <c r="CW152">
        <f>LOG(Table1_1[[#This Row],[7:3 FTCA]])</f>
        <v>0.36735592102601899</v>
      </c>
      <c r="CX152">
        <f>LOG(Table1_1[[#This Row],[6:2 FTCA]])</f>
        <v>-0.34727030393075242</v>
      </c>
      <c r="CY152">
        <f>LOG(Table1_1[[#This Row],[8:2 FTCA]])</f>
        <v>-0.34727030393075242</v>
      </c>
      <c r="CZ152">
        <f>LOG(Table1_1[[#This Row],[10:2 FTCA]])</f>
        <v>-0.34727030393075242</v>
      </c>
      <c r="DA152">
        <f>LOG(Table1_1[[#This Row],[6:2 FTUCA]])</f>
        <v>-0.34727030393075242</v>
      </c>
      <c r="DB152">
        <f>LOG(Table1_1[[#This Row],[8:2 FTUCA]])</f>
        <v>-0.34727030393075242</v>
      </c>
      <c r="DC152">
        <f>LOG(Table1_1[[#This Row],[ADONA]])</f>
        <v>-0.64878365466065802</v>
      </c>
      <c r="DD152">
        <f>LOG(Table1_1[[#This Row],[9Cl-PF3ONS]])</f>
        <v>-0.34727030393075242</v>
      </c>
      <c r="DE152">
        <f>LOG(Table1_1[[#This Row],[11Cl-PF3OUdS]])</f>
        <v>-0.34727030393075242</v>
      </c>
      <c r="DF152">
        <f>LOG(Table1_1[[#This Row],[HFPO-DA]])</f>
        <v>-0.49147028102871343</v>
      </c>
      <c r="DG152">
        <f>LOG(Table1_1[[#This Row],[6:2 diPAP]])</f>
        <v>-0.34727030393075242</v>
      </c>
      <c r="DH152">
        <f>LOG(Table1_1[[#This Row],[8:2 diPAP]])</f>
        <v>-0.34727030393075242</v>
      </c>
      <c r="DI152">
        <f>LOG(Table1_1[[#This Row],[diSAmPAP]])</f>
        <v>-0.34727030393075242</v>
      </c>
    </row>
    <row r="153" spans="1:113">
      <c r="A153" t="s">
        <v>305</v>
      </c>
      <c r="B153" t="s">
        <v>121</v>
      </c>
      <c r="C153" s="3">
        <v>44393</v>
      </c>
      <c r="D153" t="s">
        <v>226</v>
      </c>
      <c r="E153" t="s">
        <v>227</v>
      </c>
      <c r="F153" t="s">
        <v>228</v>
      </c>
      <c r="G153" t="s">
        <v>118</v>
      </c>
      <c r="H153" t="s">
        <v>119</v>
      </c>
      <c r="I153">
        <v>9</v>
      </c>
      <c r="J153">
        <f>LOG(Table1_1[[#This Row],[Length]])</f>
        <v>0.95424250943932487</v>
      </c>
      <c r="K153">
        <v>13.2</v>
      </c>
      <c r="L153">
        <f>LOG(Table1_1[[#This Row],[Weight]])</f>
        <v>1.1205739312058498</v>
      </c>
      <c r="M153">
        <v>0.2175</v>
      </c>
      <c r="N153">
        <v>0.2175</v>
      </c>
      <c r="O153">
        <v>0.11749999999999999</v>
      </c>
      <c r="P153">
        <v>0.2175</v>
      </c>
      <c r="Q153">
        <v>0.50800000000000001</v>
      </c>
      <c r="R153">
        <v>0.15049999999999999</v>
      </c>
      <c r="S153">
        <v>2.79</v>
      </c>
      <c r="T153">
        <v>5.35</v>
      </c>
      <c r="U153">
        <v>16.8</v>
      </c>
      <c r="V153">
        <v>5.69</v>
      </c>
      <c r="W153">
        <v>15.4</v>
      </c>
      <c r="X153">
        <v>0.25900000000000001</v>
      </c>
      <c r="Y153">
        <v>0.4345</v>
      </c>
      <c r="Z153">
        <v>0.14799999999999999</v>
      </c>
      <c r="AA153">
        <v>0.115</v>
      </c>
      <c r="AB153">
        <v>5.99</v>
      </c>
      <c r="AC153">
        <v>1.79</v>
      </c>
      <c r="AD153">
        <v>553</v>
      </c>
      <c r="AE153">
        <v>1.06</v>
      </c>
      <c r="AF153">
        <v>0.93899999999999995</v>
      </c>
      <c r="AG153">
        <v>0.23250000000000001</v>
      </c>
      <c r="AH153">
        <v>0.13200000000000001</v>
      </c>
      <c r="AI153">
        <v>0.215</v>
      </c>
      <c r="AJ153">
        <v>42.5</v>
      </c>
      <c r="AK153">
        <v>120</v>
      </c>
      <c r="AL153">
        <v>11.5</v>
      </c>
      <c r="AM153">
        <v>0.16750000000000001</v>
      </c>
      <c r="AN153">
        <v>0.4345</v>
      </c>
      <c r="AO153">
        <v>0.4345</v>
      </c>
      <c r="AP153">
        <v>0.2185</v>
      </c>
      <c r="AQ153">
        <v>0.2175</v>
      </c>
      <c r="AR153">
        <v>0.2175</v>
      </c>
      <c r="AS153">
        <v>0.2175</v>
      </c>
      <c r="AT153">
        <v>1.75</v>
      </c>
      <c r="AU153">
        <v>0.4345</v>
      </c>
      <c r="AV153">
        <v>0.2505</v>
      </c>
      <c r="AW153">
        <v>0.79300000000000004</v>
      </c>
      <c r="AX153">
        <v>5.57</v>
      </c>
      <c r="AY153">
        <v>0.4345</v>
      </c>
      <c r="AZ153">
        <v>0.4345</v>
      </c>
      <c r="BA153">
        <v>0.4345</v>
      </c>
      <c r="BB153">
        <v>0.4345</v>
      </c>
      <c r="BC153">
        <v>0.4345</v>
      </c>
      <c r="BD153">
        <v>0.2175</v>
      </c>
      <c r="BE153">
        <v>0.4345</v>
      </c>
      <c r="BF153">
        <v>0.4345</v>
      </c>
      <c r="BG153">
        <v>0.312</v>
      </c>
      <c r="BH153">
        <v>0.4345</v>
      </c>
      <c r="BI153">
        <v>0.4345</v>
      </c>
      <c r="BJ153">
        <v>0.4345</v>
      </c>
      <c r="BK153">
        <f>SUM(Table1_1[[#This Row],[PFBA]:[diSAmPAP]])</f>
        <v>801.35349999999926</v>
      </c>
      <c r="BL153">
        <f>LOG(Table1_1[[#This Row],[PFBA]])</f>
        <v>-0.66254073870934382</v>
      </c>
      <c r="BM153">
        <f>LOG(Table1_1[[#This Row],[PFPeA]])</f>
        <v>-0.66254073870934382</v>
      </c>
      <c r="BN153">
        <f>LOG(Table1_1[[#This Row],[PFHxA]])</f>
        <v>-0.92996213339224498</v>
      </c>
      <c r="BO153">
        <f>LOG(Table1_1[[#This Row],[PFHpA]])</f>
        <v>-0.66254073870934382</v>
      </c>
      <c r="BP153">
        <f>LOG(Table1_1[[#This Row],[PFOA]])</f>
        <v>-0.29413628771608075</v>
      </c>
      <c r="BQ153">
        <f>LOG(Table1_1[[#This Row],[PFNA]])</f>
        <v>-0.8224635000701378</v>
      </c>
      <c r="BR153">
        <f>LOG(Table1_1[[#This Row],[PFDA]])</f>
        <v>0.44560420327359757</v>
      </c>
      <c r="BS153">
        <f>LOG(Table1_1[[#This Row],[PFUnA]])</f>
        <v>0.72835378202122847</v>
      </c>
      <c r="BT153">
        <f>LOG(Table1_1[[#This Row],[PFDoA]])</f>
        <v>1.2253092817258628</v>
      </c>
      <c r="BU153">
        <f>LOG(Table1_1[[#This Row],[PFTrDA]])</f>
        <v>0.75511226639507123</v>
      </c>
      <c r="BV153">
        <f>LOG(Table1_1[[#This Row],[PFTeDA]])</f>
        <v>1.1875207208364631</v>
      </c>
      <c r="BW153">
        <f>LOG(Table1_1[[#This Row],[PFHxDA]])</f>
        <v>-0.5867002359187482</v>
      </c>
      <c r="BX153">
        <f>LOG(Table1_1[[#This Row],[PFPrS]])</f>
        <v>-0.36201021921531473</v>
      </c>
      <c r="BY153">
        <f>LOG(Table1_1[[#This Row],[PFBS]])</f>
        <v>-0.82973828460504262</v>
      </c>
      <c r="BZ153">
        <f>LOG(Table1_1[[#This Row],[PFPeS]])</f>
        <v>-0.9393021596463883</v>
      </c>
      <c r="CA153">
        <f>LOG(Table1_1[[#This Row],[PFHxS]])</f>
        <v>0.77742682238931138</v>
      </c>
      <c r="CB153">
        <f>LOG(Table1_1[[#This Row],[PFHpS]])</f>
        <v>0.2528530309798932</v>
      </c>
      <c r="CC153">
        <f>LOG(Table1_1[[#This Row],[PFOS]])</f>
        <v>2.7427251313046983</v>
      </c>
      <c r="CD153">
        <f>LOG(Table1_1[[#This Row],[PFNS]])</f>
        <v>2.5305865264770262E-2</v>
      </c>
      <c r="CE153">
        <f>LOG(Table1_1[[#This Row],[PFDS]])</f>
        <v>-2.7334407733889104E-2</v>
      </c>
      <c r="CF153">
        <f>LOG(Table1_1[[#This Row],[PFDoS]])</f>
        <v>-0.63357704277402727</v>
      </c>
      <c r="CG153">
        <f>LOG(Table1_1[[#This Row],[Cl-PFOS]])</f>
        <v>-0.87942606879415008</v>
      </c>
      <c r="CH153">
        <f>LOG(Table1_1[[#This Row],[PFEtCHxS]])</f>
        <v>-0.66756154008439472</v>
      </c>
      <c r="CI153">
        <f>LOG(Table1_1[[#This Row],[FBSA]])</f>
        <v>1.6283889300503116</v>
      </c>
      <c r="CJ153">
        <f>LOG(Table1_1[[#This Row],[FHxSA]])</f>
        <v>2.0791812460476247</v>
      </c>
      <c r="CK153">
        <f>LOG(Table1_1[[#This Row],[FOSA]])</f>
        <v>1.0606978403536116</v>
      </c>
      <c r="CL153">
        <f>LOG(Table1_1[[#This Row],[N-MeFOSA]])</f>
        <v>-0.77598518862713595</v>
      </c>
      <c r="CM153">
        <f>LOG(Table1_1[[#This Row],[N-EtFOSA]])</f>
        <v>-0.36201021921531473</v>
      </c>
      <c r="CN153">
        <f>LOG(Table1_1[[#This Row],[FOSAA]])</f>
        <v>-0.36201021921531473</v>
      </c>
      <c r="CO153">
        <f>LOG(Table1_1[[#This Row],[N-MeFOSAA]])</f>
        <v>-0.66054855869355933</v>
      </c>
      <c r="CP153">
        <f>LOG(Table1_1[[#This Row],[N-EtFOSAA]])</f>
        <v>-0.66254073870934382</v>
      </c>
      <c r="CQ153">
        <f>LOG(Table1_1[[#This Row],[4:2 FTS]])</f>
        <v>-0.66254073870934382</v>
      </c>
      <c r="CR153">
        <f>LOG(Table1_1[[#This Row],[6:2 FTS]])</f>
        <v>-0.66254073870934382</v>
      </c>
      <c r="CS153">
        <f>LOG(Table1_1[[#This Row],[8:2 FTS]])</f>
        <v>0.24303804868629444</v>
      </c>
      <c r="CT153">
        <f>LOG(Table1_1[[#This Row],[10:2 FTS]])</f>
        <v>-0.36201021921531473</v>
      </c>
      <c r="CU153">
        <f>LOG(Table1_1[[#This Row],[3:3 FTCA]])</f>
        <v>-0.60119226979673546</v>
      </c>
      <c r="CV153">
        <f>LOG(Table1_1[[#This Row],[5:3 FTCA]])</f>
        <v>-0.10072681268239618</v>
      </c>
      <c r="CW153">
        <f>LOG(Table1_1[[#This Row],[7:3 FTCA]])</f>
        <v>0.74585519517372889</v>
      </c>
      <c r="CX153">
        <f>LOG(Table1_1[[#This Row],[6:2 FTCA]])</f>
        <v>-0.36201021921531473</v>
      </c>
      <c r="CY153">
        <f>LOG(Table1_1[[#This Row],[8:2 FTCA]])</f>
        <v>-0.36201021921531473</v>
      </c>
      <c r="CZ153">
        <f>LOG(Table1_1[[#This Row],[10:2 FTCA]])</f>
        <v>-0.36201021921531473</v>
      </c>
      <c r="DA153">
        <f>LOG(Table1_1[[#This Row],[6:2 FTUCA]])</f>
        <v>-0.36201021921531473</v>
      </c>
      <c r="DB153">
        <f>LOG(Table1_1[[#This Row],[8:2 FTUCA]])</f>
        <v>-0.36201021921531473</v>
      </c>
      <c r="DC153">
        <f>LOG(Table1_1[[#This Row],[ADONA]])</f>
        <v>-0.66254073870934382</v>
      </c>
      <c r="DD153">
        <f>LOG(Table1_1[[#This Row],[9Cl-PF3ONS]])</f>
        <v>-0.36201021921531473</v>
      </c>
      <c r="DE153">
        <f>LOG(Table1_1[[#This Row],[11Cl-PF3OUdS]])</f>
        <v>-0.36201021921531473</v>
      </c>
      <c r="DF153">
        <f>LOG(Table1_1[[#This Row],[HFPO-DA]])</f>
        <v>-0.50584540598155725</v>
      </c>
      <c r="DG153">
        <f>LOG(Table1_1[[#This Row],[6:2 diPAP]])</f>
        <v>-0.36201021921531473</v>
      </c>
      <c r="DH153">
        <f>LOG(Table1_1[[#This Row],[8:2 diPAP]])</f>
        <v>-0.36201021921531473</v>
      </c>
      <c r="DI153">
        <f>LOG(Table1_1[[#This Row],[diSAmPAP]])</f>
        <v>-0.36201021921531473</v>
      </c>
    </row>
    <row r="154" spans="1:113">
      <c r="A154" t="s">
        <v>306</v>
      </c>
      <c r="B154" t="s">
        <v>121</v>
      </c>
      <c r="C154" s="3">
        <v>44393</v>
      </c>
      <c r="D154" t="s">
        <v>226</v>
      </c>
      <c r="E154" t="s">
        <v>227</v>
      </c>
      <c r="F154" t="s">
        <v>228</v>
      </c>
      <c r="G154" t="s">
        <v>118</v>
      </c>
      <c r="H154" t="s">
        <v>119</v>
      </c>
      <c r="I154">
        <v>10</v>
      </c>
      <c r="J154">
        <f>LOG(Table1_1[[#This Row],[Length]])</f>
        <v>1</v>
      </c>
      <c r="K154">
        <v>13.51</v>
      </c>
      <c r="L154">
        <f>LOG(Table1_1[[#This Row],[Weight]])</f>
        <v>1.1306553490220306</v>
      </c>
      <c r="M154">
        <v>0.23350000000000001</v>
      </c>
      <c r="N154">
        <v>0.23350000000000001</v>
      </c>
      <c r="O154">
        <v>0.126</v>
      </c>
      <c r="P154">
        <v>0.23350000000000001</v>
      </c>
      <c r="Q154">
        <v>0.89400000000000002</v>
      </c>
      <c r="R154">
        <v>0.45900000000000002</v>
      </c>
      <c r="S154">
        <v>3.35</v>
      </c>
      <c r="T154">
        <v>4.8600000000000003</v>
      </c>
      <c r="U154">
        <v>6.46</v>
      </c>
      <c r="V154">
        <v>2.81</v>
      </c>
      <c r="W154">
        <v>6.67</v>
      </c>
      <c r="X154">
        <v>0.27800000000000002</v>
      </c>
      <c r="Y154">
        <v>0.46700000000000003</v>
      </c>
      <c r="Z154">
        <v>0.159</v>
      </c>
      <c r="AA154">
        <v>0.25</v>
      </c>
      <c r="AB154">
        <v>23.3</v>
      </c>
      <c r="AC154">
        <v>3.07</v>
      </c>
      <c r="AD154">
        <v>528</v>
      </c>
      <c r="AE154">
        <v>1.39</v>
      </c>
      <c r="AF154">
        <v>1.31</v>
      </c>
      <c r="AG154">
        <v>0.2495</v>
      </c>
      <c r="AH154">
        <v>0.14199999999999999</v>
      </c>
      <c r="AI154">
        <v>0.255</v>
      </c>
      <c r="AJ154">
        <v>19.100000000000001</v>
      </c>
      <c r="AK154">
        <v>88.8</v>
      </c>
      <c r="AL154">
        <v>9.36</v>
      </c>
      <c r="AM154">
        <v>0.18</v>
      </c>
      <c r="AN154">
        <v>0.46700000000000003</v>
      </c>
      <c r="AO154">
        <v>0.46700000000000003</v>
      </c>
      <c r="AP154">
        <v>0.23499999999999999</v>
      </c>
      <c r="AQ154">
        <v>0.23350000000000001</v>
      </c>
      <c r="AR154">
        <v>0.23350000000000001</v>
      </c>
      <c r="AS154">
        <v>1.69</v>
      </c>
      <c r="AT154">
        <v>3.86</v>
      </c>
      <c r="AU154">
        <v>0.46700000000000003</v>
      </c>
      <c r="AV154">
        <v>0.26950000000000002</v>
      </c>
      <c r="AW154">
        <v>0.23350000000000001</v>
      </c>
      <c r="AX154">
        <v>0.53700000000000003</v>
      </c>
      <c r="AY154">
        <v>0.46700000000000003</v>
      </c>
      <c r="AZ154">
        <v>0.46700000000000003</v>
      </c>
      <c r="BA154">
        <v>0.46700000000000003</v>
      </c>
      <c r="BB154">
        <v>0.46700000000000003</v>
      </c>
      <c r="BC154">
        <v>0.46700000000000003</v>
      </c>
      <c r="BD154">
        <v>0.23350000000000001</v>
      </c>
      <c r="BE154">
        <v>0.46700000000000003</v>
      </c>
      <c r="BF154">
        <v>0.46700000000000003</v>
      </c>
      <c r="BG154">
        <v>0.33500000000000002</v>
      </c>
      <c r="BH154">
        <v>0.46700000000000003</v>
      </c>
      <c r="BI154">
        <v>0.46700000000000003</v>
      </c>
      <c r="BJ154">
        <v>0.46700000000000003</v>
      </c>
      <c r="BK154">
        <f>SUM(Table1_1[[#This Row],[PFBA]:[diSAmPAP]])</f>
        <v>716.57150000000013</v>
      </c>
      <c r="BL154">
        <f>LOG(Table1_1[[#This Row],[PFBA]])</f>
        <v>-0.63171311509786898</v>
      </c>
      <c r="BM154">
        <f>LOG(Table1_1[[#This Row],[PFPeA]])</f>
        <v>-0.63171311509786898</v>
      </c>
      <c r="BN154">
        <f>LOG(Table1_1[[#This Row],[PFHxA]])</f>
        <v>-0.89962945488243706</v>
      </c>
      <c r="BO154">
        <f>LOG(Table1_1[[#This Row],[PFHpA]])</f>
        <v>-0.63171311509786898</v>
      </c>
      <c r="BP154">
        <f>LOG(Table1_1[[#This Row],[PFOA]])</f>
        <v>-4.8662481204082321E-2</v>
      </c>
      <c r="BQ154">
        <f>LOG(Table1_1[[#This Row],[PFNA]])</f>
        <v>-0.33818731446273875</v>
      </c>
      <c r="BR154">
        <f>LOG(Table1_1[[#This Row],[PFDA]])</f>
        <v>0.5250448070368452</v>
      </c>
      <c r="BS154">
        <f>LOG(Table1_1[[#This Row],[PFUnA]])</f>
        <v>0.68663626926229337</v>
      </c>
      <c r="BT154">
        <f>LOG(Table1_1[[#This Row],[PFDoA]])</f>
        <v>0.81023251799508411</v>
      </c>
      <c r="BU154">
        <f>LOG(Table1_1[[#This Row],[PFTrDA]])</f>
        <v>0.44870631990507992</v>
      </c>
      <c r="BV154">
        <f>LOG(Table1_1[[#This Row],[PFTeDA]])</f>
        <v>0.82412583391654892</v>
      </c>
      <c r="BW154">
        <f>LOG(Table1_1[[#This Row],[PFHxDA]])</f>
        <v>-0.55595520408192367</v>
      </c>
      <c r="BX154">
        <f>LOG(Table1_1[[#This Row],[PFPrS]])</f>
        <v>-0.33068311943388784</v>
      </c>
      <c r="BY154">
        <f>LOG(Table1_1[[#This Row],[PFBS]])</f>
        <v>-0.79860287567954846</v>
      </c>
      <c r="BZ154">
        <f>LOG(Table1_1[[#This Row],[PFPeS]])</f>
        <v>-0.6020599913279624</v>
      </c>
      <c r="CA154">
        <f>LOG(Table1_1[[#This Row],[PFHxS]])</f>
        <v>1.3673559210260189</v>
      </c>
      <c r="CB154">
        <f>LOG(Table1_1[[#This Row],[PFHpS]])</f>
        <v>0.48713837547718647</v>
      </c>
      <c r="CC154">
        <f>LOG(Table1_1[[#This Row],[PFOS]])</f>
        <v>2.7226339225338121</v>
      </c>
      <c r="CD154">
        <f>LOG(Table1_1[[#This Row],[PFNS]])</f>
        <v>0.14301480025409505</v>
      </c>
      <c r="CE154">
        <f>LOG(Table1_1[[#This Row],[PFDS]])</f>
        <v>0.11727129565576427</v>
      </c>
      <c r="CF154">
        <f>LOG(Table1_1[[#This Row],[PFDoS]])</f>
        <v>-0.60292945004059129</v>
      </c>
      <c r="CG154">
        <f>LOG(Table1_1[[#This Row],[Cl-PFOS]])</f>
        <v>-0.8477116556169435</v>
      </c>
      <c r="CH154">
        <f>LOG(Table1_1[[#This Row],[PFEtCHxS]])</f>
        <v>-0.59345981956604488</v>
      </c>
      <c r="CI154">
        <f>LOG(Table1_1[[#This Row],[FBSA]])</f>
        <v>1.2810333672477277</v>
      </c>
      <c r="CJ154">
        <f>LOG(Table1_1[[#This Row],[FHxSA]])</f>
        <v>1.9484129657786009</v>
      </c>
      <c r="CK154">
        <f>LOG(Table1_1[[#This Row],[FOSA]])</f>
        <v>0.97127584873810524</v>
      </c>
      <c r="CL154">
        <f>LOG(Table1_1[[#This Row],[N-MeFOSA]])</f>
        <v>-0.74472749489669399</v>
      </c>
      <c r="CM154">
        <f>LOG(Table1_1[[#This Row],[N-EtFOSA]])</f>
        <v>-0.33068311943388784</v>
      </c>
      <c r="CN154">
        <f>LOG(Table1_1[[#This Row],[FOSAA]])</f>
        <v>-0.33068311943388784</v>
      </c>
      <c r="CO154">
        <f>LOG(Table1_1[[#This Row],[N-MeFOSAA]])</f>
        <v>-0.62893213772826373</v>
      </c>
      <c r="CP154">
        <f>LOG(Table1_1[[#This Row],[N-EtFOSAA]])</f>
        <v>-0.63171311509786898</v>
      </c>
      <c r="CQ154">
        <f>LOG(Table1_1[[#This Row],[4:2 FTS]])</f>
        <v>-0.63171311509786898</v>
      </c>
      <c r="CR154">
        <f>LOG(Table1_1[[#This Row],[6:2 FTS]])</f>
        <v>0.22788670461367352</v>
      </c>
      <c r="CS154">
        <f>LOG(Table1_1[[#This Row],[8:2 FTS]])</f>
        <v>0.58658730467175491</v>
      </c>
      <c r="CT154">
        <f>LOG(Table1_1[[#This Row],[10:2 FTS]])</f>
        <v>-0.33068311943388784</v>
      </c>
      <c r="CU154">
        <f>LOG(Table1_1[[#This Row],[3:3 FTCA]])</f>
        <v>-0.56944123047724249</v>
      </c>
      <c r="CV154">
        <f>LOG(Table1_1[[#This Row],[5:3 FTCA]])</f>
        <v>-0.63171311509786898</v>
      </c>
      <c r="CW154">
        <f>LOG(Table1_1[[#This Row],[7:3 FTCA]])</f>
        <v>-0.27002571430044436</v>
      </c>
      <c r="CX154">
        <f>LOG(Table1_1[[#This Row],[6:2 FTCA]])</f>
        <v>-0.33068311943388784</v>
      </c>
      <c r="CY154">
        <f>LOG(Table1_1[[#This Row],[8:2 FTCA]])</f>
        <v>-0.33068311943388784</v>
      </c>
      <c r="CZ154">
        <f>LOG(Table1_1[[#This Row],[10:2 FTCA]])</f>
        <v>-0.33068311943388784</v>
      </c>
      <c r="DA154">
        <f>LOG(Table1_1[[#This Row],[6:2 FTUCA]])</f>
        <v>-0.33068311943388784</v>
      </c>
      <c r="DB154">
        <f>LOG(Table1_1[[#This Row],[8:2 FTUCA]])</f>
        <v>-0.33068311943388784</v>
      </c>
      <c r="DC154">
        <f>LOG(Table1_1[[#This Row],[ADONA]])</f>
        <v>-0.63171311509786898</v>
      </c>
      <c r="DD154">
        <f>LOG(Table1_1[[#This Row],[9Cl-PF3ONS]])</f>
        <v>-0.33068311943388784</v>
      </c>
      <c r="DE154">
        <f>LOG(Table1_1[[#This Row],[11Cl-PF3OUdS]])</f>
        <v>-0.33068311943388784</v>
      </c>
      <c r="DF154">
        <f>LOG(Table1_1[[#This Row],[HFPO-DA]])</f>
        <v>-0.47495519296315475</v>
      </c>
      <c r="DG154">
        <f>LOG(Table1_1[[#This Row],[6:2 diPAP]])</f>
        <v>-0.33068311943388784</v>
      </c>
      <c r="DH154">
        <f>LOG(Table1_1[[#This Row],[8:2 diPAP]])</f>
        <v>-0.33068311943388784</v>
      </c>
      <c r="DI154">
        <f>LOG(Table1_1[[#This Row],[diSAmPAP]])</f>
        <v>-0.33068311943388784</v>
      </c>
    </row>
    <row r="155" spans="1:113">
      <c r="A155" t="s">
        <v>307</v>
      </c>
      <c r="B155" t="s">
        <v>121</v>
      </c>
      <c r="C155" s="3">
        <v>44393</v>
      </c>
      <c r="D155" t="s">
        <v>226</v>
      </c>
      <c r="E155" t="s">
        <v>227</v>
      </c>
      <c r="F155" t="s">
        <v>228</v>
      </c>
      <c r="G155" t="s">
        <v>118</v>
      </c>
      <c r="H155" t="s">
        <v>119</v>
      </c>
      <c r="I155">
        <v>9</v>
      </c>
      <c r="J155">
        <f>LOG(Table1_1[[#This Row],[Length]])</f>
        <v>0.95424250943932487</v>
      </c>
      <c r="K155">
        <v>11.46</v>
      </c>
      <c r="L155">
        <f>LOG(Table1_1[[#This Row],[Weight]])</f>
        <v>1.0591846176313713</v>
      </c>
      <c r="M155">
        <v>0.20899999999999999</v>
      </c>
      <c r="N155">
        <v>0.20899999999999999</v>
      </c>
      <c r="O155">
        <v>0.113</v>
      </c>
      <c r="P155">
        <v>0.20899999999999999</v>
      </c>
      <c r="Q155">
        <v>2.2000000000000002</v>
      </c>
      <c r="R155">
        <v>1.22</v>
      </c>
      <c r="S155">
        <v>3.75</v>
      </c>
      <c r="T155">
        <v>3.74</v>
      </c>
      <c r="U155">
        <v>6.78</v>
      </c>
      <c r="V155">
        <v>1.72</v>
      </c>
      <c r="W155">
        <v>6.29</v>
      </c>
      <c r="X155">
        <v>0.2495</v>
      </c>
      <c r="Y155">
        <v>0.41849999999999998</v>
      </c>
      <c r="Z155">
        <v>0.14249999999999999</v>
      </c>
      <c r="AA155">
        <v>0.22700000000000001</v>
      </c>
      <c r="AB155">
        <v>23.4</v>
      </c>
      <c r="AC155">
        <v>2.82</v>
      </c>
      <c r="AD155">
        <v>368</v>
      </c>
      <c r="AE155">
        <v>1.08</v>
      </c>
      <c r="AF155">
        <v>0.88500000000000001</v>
      </c>
      <c r="AG155">
        <v>0.2235</v>
      </c>
      <c r="AH155">
        <v>0.127</v>
      </c>
      <c r="AI155">
        <v>0.249</v>
      </c>
      <c r="AJ155">
        <v>31.5</v>
      </c>
      <c r="AK155">
        <v>100</v>
      </c>
      <c r="AL155">
        <v>10.5</v>
      </c>
      <c r="AM155">
        <v>0.161</v>
      </c>
      <c r="AN155">
        <v>0.41849999999999998</v>
      </c>
      <c r="AO155">
        <v>0.41849999999999998</v>
      </c>
      <c r="AP155">
        <v>0.21049999999999999</v>
      </c>
      <c r="AQ155">
        <v>0.20899999999999999</v>
      </c>
      <c r="AR155">
        <v>0.20899999999999999</v>
      </c>
      <c r="AS155">
        <v>0.74099999999999999</v>
      </c>
      <c r="AT155">
        <v>3.42</v>
      </c>
      <c r="AU155">
        <v>0.41849999999999998</v>
      </c>
      <c r="AV155">
        <v>0.24149999999999999</v>
      </c>
      <c r="AW155">
        <v>0.20899999999999999</v>
      </c>
      <c r="AX155">
        <v>1.78</v>
      </c>
      <c r="AY155">
        <v>0.41849999999999998</v>
      </c>
      <c r="AZ155">
        <v>0.41849999999999998</v>
      </c>
      <c r="BA155">
        <v>0.41849999999999998</v>
      </c>
      <c r="BB155">
        <v>0.41849999999999998</v>
      </c>
      <c r="BC155">
        <v>0.41849999999999998</v>
      </c>
      <c r="BD155">
        <v>0.20899999999999999</v>
      </c>
      <c r="BE155">
        <v>0.41849999999999998</v>
      </c>
      <c r="BF155">
        <v>0.41849999999999998</v>
      </c>
      <c r="BG155">
        <v>0.3</v>
      </c>
      <c r="BH155">
        <v>0.41849999999999998</v>
      </c>
      <c r="BI155">
        <v>0.41849999999999998</v>
      </c>
      <c r="BJ155">
        <v>0.41849999999999998</v>
      </c>
      <c r="BK155">
        <f>SUM(Table1_1[[#This Row],[PFBA]:[diSAmPAP]])</f>
        <v>579.39249999999947</v>
      </c>
      <c r="BL155">
        <f>LOG(Table1_1[[#This Row],[PFBA]])</f>
        <v>-0.679853713888946</v>
      </c>
      <c r="BM155">
        <f>LOG(Table1_1[[#This Row],[PFPeA]])</f>
        <v>-0.679853713888946</v>
      </c>
      <c r="BN155">
        <f>LOG(Table1_1[[#This Row],[PFHxA]])</f>
        <v>-0.94692155651658028</v>
      </c>
      <c r="BO155">
        <f>LOG(Table1_1[[#This Row],[PFHpA]])</f>
        <v>-0.679853713888946</v>
      </c>
      <c r="BP155">
        <f>LOG(Table1_1[[#This Row],[PFOA]])</f>
        <v>0.34242268082220628</v>
      </c>
      <c r="BQ155">
        <f>LOG(Table1_1[[#This Row],[PFNA]])</f>
        <v>8.6359830674748214E-2</v>
      </c>
      <c r="BR155">
        <f>LOG(Table1_1[[#This Row],[PFDA]])</f>
        <v>0.57403126772771884</v>
      </c>
      <c r="BS155">
        <f>LOG(Table1_1[[#This Row],[PFUnA]])</f>
        <v>0.57287160220048017</v>
      </c>
      <c r="BT155">
        <f>LOG(Table1_1[[#This Row],[PFDoA]])</f>
        <v>0.83122969386706336</v>
      </c>
      <c r="BU155">
        <f>LOG(Table1_1[[#This Row],[PFTrDA]])</f>
        <v>0.2355284469075489</v>
      </c>
      <c r="BV155">
        <f>LOG(Table1_1[[#This Row],[PFTeDA]])</f>
        <v>0.79865064544526898</v>
      </c>
      <c r="BW155">
        <f>LOG(Table1_1[[#This Row],[PFHxDA]])</f>
        <v>-0.60292945004059129</v>
      </c>
      <c r="BX155">
        <f>LOG(Table1_1[[#This Row],[PFPrS]])</f>
        <v>-0.3783045376707212</v>
      </c>
      <c r="BY155">
        <f>LOG(Table1_1[[#This Row],[PFBS]])</f>
        <v>-0.84618513565547104</v>
      </c>
      <c r="BZ155">
        <f>LOG(Table1_1[[#This Row],[PFPeS]])</f>
        <v>-0.64397414280687726</v>
      </c>
      <c r="CA155">
        <f>LOG(Table1_1[[#This Row],[PFHxS]])</f>
        <v>1.3692158574101427</v>
      </c>
      <c r="CB155">
        <f>LOG(Table1_1[[#This Row],[PFHpS]])</f>
        <v>0.45024910831936105</v>
      </c>
      <c r="CC155">
        <f>LOG(Table1_1[[#This Row],[PFOS]])</f>
        <v>2.5658478186735176</v>
      </c>
      <c r="CD155">
        <f>LOG(Table1_1[[#This Row],[PFNS]])</f>
        <v>3.342375548694973E-2</v>
      </c>
      <c r="CE155">
        <f>LOG(Table1_1[[#This Row],[PFDS]])</f>
        <v>-5.305672930217456E-2</v>
      </c>
      <c r="CF155">
        <f>LOG(Table1_1[[#This Row],[PFDoS]])</f>
        <v>-0.65072247253204474</v>
      </c>
      <c r="CG155">
        <f>LOG(Table1_1[[#This Row],[Cl-PFOS]])</f>
        <v>-0.89619627904404309</v>
      </c>
      <c r="CH155">
        <f>LOG(Table1_1[[#This Row],[PFEtCHxS]])</f>
        <v>-0.60380065290426366</v>
      </c>
      <c r="CI155">
        <f>LOG(Table1_1[[#This Row],[FBSA]])</f>
        <v>1.4983105537896004</v>
      </c>
      <c r="CJ155">
        <f>LOG(Table1_1[[#This Row],[FHxSA]])</f>
        <v>2</v>
      </c>
      <c r="CK155">
        <f>LOG(Table1_1[[#This Row],[FOSA]])</f>
        <v>1.0211892990699381</v>
      </c>
      <c r="CL155">
        <f>LOG(Table1_1[[#This Row],[N-MeFOSA]])</f>
        <v>-0.79317412396815024</v>
      </c>
      <c r="CM155">
        <f>LOG(Table1_1[[#This Row],[N-EtFOSA]])</f>
        <v>-0.3783045376707212</v>
      </c>
      <c r="CN155">
        <f>LOG(Table1_1[[#This Row],[FOSAA]])</f>
        <v>-0.3783045376707212</v>
      </c>
      <c r="CO155">
        <f>LOG(Table1_1[[#This Row],[N-MeFOSAA]])</f>
        <v>-0.67674789982831285</v>
      </c>
      <c r="CP155">
        <f>LOG(Table1_1[[#This Row],[N-EtFOSAA]])</f>
        <v>-0.679853713888946</v>
      </c>
      <c r="CQ155">
        <f>LOG(Table1_1[[#This Row],[4:2 FTS]])</f>
        <v>-0.679853713888946</v>
      </c>
      <c r="CR155">
        <f>LOG(Table1_1[[#This Row],[6:2 FTS]])</f>
        <v>-0.13018179202067184</v>
      </c>
      <c r="CS155">
        <f>LOG(Table1_1[[#This Row],[8:2 FTS]])</f>
        <v>0.53402610605613499</v>
      </c>
      <c r="CT155">
        <f>LOG(Table1_1[[#This Row],[10:2 FTS]])</f>
        <v>-0.3783045376707212</v>
      </c>
      <c r="CU155">
        <f>LOG(Table1_1[[#This Row],[3:3 FTCA]])</f>
        <v>-0.61708286491246911</v>
      </c>
      <c r="CV155">
        <f>LOG(Table1_1[[#This Row],[5:3 FTCA]])</f>
        <v>-0.679853713888946</v>
      </c>
      <c r="CW155">
        <f>LOG(Table1_1[[#This Row],[7:3 FTCA]])</f>
        <v>0.250420002308894</v>
      </c>
      <c r="CX155">
        <f>LOG(Table1_1[[#This Row],[6:2 FTCA]])</f>
        <v>-0.3783045376707212</v>
      </c>
      <c r="CY155">
        <f>LOG(Table1_1[[#This Row],[8:2 FTCA]])</f>
        <v>-0.3783045376707212</v>
      </c>
      <c r="CZ155">
        <f>LOG(Table1_1[[#This Row],[10:2 FTCA]])</f>
        <v>-0.3783045376707212</v>
      </c>
      <c r="DA155">
        <f>LOG(Table1_1[[#This Row],[6:2 FTUCA]])</f>
        <v>-0.3783045376707212</v>
      </c>
      <c r="DB155">
        <f>LOG(Table1_1[[#This Row],[8:2 FTUCA]])</f>
        <v>-0.3783045376707212</v>
      </c>
      <c r="DC155">
        <f>LOG(Table1_1[[#This Row],[ADONA]])</f>
        <v>-0.679853713888946</v>
      </c>
      <c r="DD155">
        <f>LOG(Table1_1[[#This Row],[9Cl-PF3ONS]])</f>
        <v>-0.3783045376707212</v>
      </c>
      <c r="DE155">
        <f>LOG(Table1_1[[#This Row],[11Cl-PF3OUdS]])</f>
        <v>-0.3783045376707212</v>
      </c>
      <c r="DF155">
        <f>LOG(Table1_1[[#This Row],[HFPO-DA]])</f>
        <v>-0.52287874528033762</v>
      </c>
      <c r="DG155">
        <f>LOG(Table1_1[[#This Row],[6:2 diPAP]])</f>
        <v>-0.3783045376707212</v>
      </c>
      <c r="DH155">
        <f>LOG(Table1_1[[#This Row],[8:2 diPAP]])</f>
        <v>-0.3783045376707212</v>
      </c>
      <c r="DI155">
        <f>LOG(Table1_1[[#This Row],[diSAmPAP]])</f>
        <v>-0.3783045376707212</v>
      </c>
    </row>
    <row r="156" spans="1:113">
      <c r="A156" t="s">
        <v>308</v>
      </c>
      <c r="B156" t="s">
        <v>121</v>
      </c>
      <c r="C156" s="3">
        <v>44393</v>
      </c>
      <c r="D156" t="s">
        <v>226</v>
      </c>
      <c r="E156" t="s">
        <v>227</v>
      </c>
      <c r="F156" t="s">
        <v>228</v>
      </c>
      <c r="G156" t="s">
        <v>118</v>
      </c>
      <c r="H156" t="s">
        <v>119</v>
      </c>
      <c r="I156">
        <v>9</v>
      </c>
      <c r="J156">
        <f>LOG(Table1_1[[#This Row],[Length]])</f>
        <v>0.95424250943932487</v>
      </c>
      <c r="K156">
        <v>11.52</v>
      </c>
      <c r="L156">
        <f>LOG(Table1_1[[#This Row],[Weight]])</f>
        <v>1.0614524790871933</v>
      </c>
      <c r="M156">
        <v>0.2135</v>
      </c>
      <c r="N156">
        <v>0.2135</v>
      </c>
      <c r="O156">
        <v>0.115</v>
      </c>
      <c r="P156">
        <v>0.2135</v>
      </c>
      <c r="Q156">
        <v>0.41299999999999998</v>
      </c>
      <c r="R156">
        <v>0.14749999999999999</v>
      </c>
      <c r="S156">
        <v>3</v>
      </c>
      <c r="T156">
        <v>5.83</v>
      </c>
      <c r="U156">
        <v>17.2</v>
      </c>
      <c r="V156">
        <v>5.87</v>
      </c>
      <c r="W156">
        <v>29.1</v>
      </c>
      <c r="X156">
        <v>0.254</v>
      </c>
      <c r="Y156">
        <v>0.42649999999999999</v>
      </c>
      <c r="Z156">
        <v>0.14499999999999999</v>
      </c>
      <c r="AA156">
        <v>0.113</v>
      </c>
      <c r="AB156">
        <v>7.25</v>
      </c>
      <c r="AC156">
        <v>0.90100000000000002</v>
      </c>
      <c r="AD156">
        <v>657</v>
      </c>
      <c r="AE156">
        <v>0.75800000000000001</v>
      </c>
      <c r="AF156">
        <v>0.81799999999999995</v>
      </c>
      <c r="AG156">
        <v>0.22800000000000001</v>
      </c>
      <c r="AH156">
        <v>0.1295</v>
      </c>
      <c r="AI156">
        <v>0.17100000000000001</v>
      </c>
      <c r="AJ156">
        <v>81.900000000000006</v>
      </c>
      <c r="AK156">
        <v>47.9</v>
      </c>
      <c r="AL156">
        <v>7.64</v>
      </c>
      <c r="AM156">
        <v>0.16450000000000001</v>
      </c>
      <c r="AN156">
        <v>0.42649999999999999</v>
      </c>
      <c r="AO156">
        <v>0.42649999999999999</v>
      </c>
      <c r="AP156">
        <v>0.2145</v>
      </c>
      <c r="AQ156">
        <v>0.2135</v>
      </c>
      <c r="AR156">
        <v>0.2135</v>
      </c>
      <c r="AS156">
        <v>0.2135</v>
      </c>
      <c r="AT156">
        <v>2.44</v>
      </c>
      <c r="AU156">
        <v>0.42649999999999999</v>
      </c>
      <c r="AV156">
        <v>0.246</v>
      </c>
      <c r="AW156">
        <v>3.59</v>
      </c>
      <c r="AX156">
        <v>96.1</v>
      </c>
      <c r="AY156">
        <v>0.42649999999999999</v>
      </c>
      <c r="AZ156">
        <v>0.42649999999999999</v>
      </c>
      <c r="BA156">
        <v>0.42649999999999999</v>
      </c>
      <c r="BB156">
        <v>0.42649999999999999</v>
      </c>
      <c r="BC156">
        <v>0.42649999999999999</v>
      </c>
      <c r="BD156">
        <v>0.2135</v>
      </c>
      <c r="BE156">
        <v>0.42649999999999999</v>
      </c>
      <c r="BF156">
        <v>0.42649999999999999</v>
      </c>
      <c r="BG156">
        <v>0.30599999999999999</v>
      </c>
      <c r="BH156">
        <v>0.42649999999999999</v>
      </c>
      <c r="BI156">
        <v>0.42649999999999999</v>
      </c>
      <c r="BJ156">
        <v>0.42649999999999999</v>
      </c>
      <c r="BK156">
        <f>SUM(Table1_1[[#This Row],[PFBA]:[diSAmPAP]])</f>
        <v>977.40950000000032</v>
      </c>
      <c r="BL156">
        <f>LOG(Table1_1[[#This Row],[PFBA]])</f>
        <v>-0.6706021206389573</v>
      </c>
      <c r="BM156">
        <f>LOG(Table1_1[[#This Row],[PFPeA]])</f>
        <v>-0.6706021206389573</v>
      </c>
      <c r="BN156">
        <f>LOG(Table1_1[[#This Row],[PFHxA]])</f>
        <v>-0.9393021596463883</v>
      </c>
      <c r="BO156">
        <f>LOG(Table1_1[[#This Row],[PFHpA]])</f>
        <v>-0.6706021206389573</v>
      </c>
      <c r="BP156">
        <f>LOG(Table1_1[[#This Row],[PFOA]])</f>
        <v>-0.38404994834359901</v>
      </c>
      <c r="BQ156">
        <f>LOG(Table1_1[[#This Row],[PFNA]])</f>
        <v>-0.83120797968581828</v>
      </c>
      <c r="BR156">
        <f>LOG(Table1_1[[#This Row],[PFDA]])</f>
        <v>0.47712125471966244</v>
      </c>
      <c r="BS156">
        <f>LOG(Table1_1[[#This Row],[PFUnA]])</f>
        <v>0.76566855475901408</v>
      </c>
      <c r="BT156">
        <f>LOG(Table1_1[[#This Row],[PFDoA]])</f>
        <v>1.2355284469075489</v>
      </c>
      <c r="BU156">
        <f>LOG(Table1_1[[#This Row],[PFTrDA]])</f>
        <v>0.76863810124761445</v>
      </c>
      <c r="BV156">
        <f>LOG(Table1_1[[#This Row],[PFTeDA]])</f>
        <v>1.4638929889859074</v>
      </c>
      <c r="BW156">
        <f>LOG(Table1_1[[#This Row],[PFHxDA]])</f>
        <v>-0.59516628338006194</v>
      </c>
      <c r="BX156">
        <f>LOG(Table1_1[[#This Row],[PFPrS]])</f>
        <v>-0.37008096449645816</v>
      </c>
      <c r="BY156">
        <f>LOG(Table1_1[[#This Row],[PFBS]])</f>
        <v>-0.83863199776502517</v>
      </c>
      <c r="BZ156">
        <f>LOG(Table1_1[[#This Row],[PFPeS]])</f>
        <v>-0.94692155651658028</v>
      </c>
      <c r="CA156">
        <f>LOG(Table1_1[[#This Row],[PFHxS]])</f>
        <v>0.86033800657099369</v>
      </c>
      <c r="CB156">
        <f>LOG(Table1_1[[#This Row],[PFHpS]])</f>
        <v>-4.5275209020937013E-2</v>
      </c>
      <c r="CC156">
        <f>LOG(Table1_1[[#This Row],[PFOS]])</f>
        <v>2.8175653695597807</v>
      </c>
      <c r="CD156">
        <f>LOG(Table1_1[[#This Row],[PFNS]])</f>
        <v>-0.12033079436794646</v>
      </c>
      <c r="CE156">
        <f>LOG(Table1_1[[#This Row],[PFDS]])</f>
        <v>-8.7246696328677029E-2</v>
      </c>
      <c r="CF156">
        <f>LOG(Table1_1[[#This Row],[PFDoS]])</f>
        <v>-0.64206515299954614</v>
      </c>
      <c r="CG156">
        <f>LOG(Table1_1[[#This Row],[Cl-PFOS]])</f>
        <v>-0.88773023158272935</v>
      </c>
      <c r="CH156">
        <f>LOG(Table1_1[[#This Row],[PFEtCHxS]])</f>
        <v>-0.76700388960784616</v>
      </c>
      <c r="CI156">
        <f>LOG(Table1_1[[#This Row],[FBSA]])</f>
        <v>1.9132839017604184</v>
      </c>
      <c r="CJ156">
        <f>LOG(Table1_1[[#This Row],[FHxSA]])</f>
        <v>1.6803355134145632</v>
      </c>
      <c r="CK156">
        <f>LOG(Table1_1[[#This Row],[FOSA]])</f>
        <v>0.88309335857568994</v>
      </c>
      <c r="CL156">
        <f>LOG(Table1_1[[#This Row],[N-MeFOSA]])</f>
        <v>-0.78383409771400692</v>
      </c>
      <c r="CM156">
        <f>LOG(Table1_1[[#This Row],[N-EtFOSA]])</f>
        <v>-0.37008096449645816</v>
      </c>
      <c r="CN156">
        <f>LOG(Table1_1[[#This Row],[FOSAA]])</f>
        <v>-0.37008096449645816</v>
      </c>
      <c r="CO156">
        <f>LOG(Table1_1[[#This Row],[N-MeFOSAA]])</f>
        <v>-0.6685727034792569</v>
      </c>
      <c r="CP156">
        <f>LOG(Table1_1[[#This Row],[N-EtFOSAA]])</f>
        <v>-0.6706021206389573</v>
      </c>
      <c r="CQ156">
        <f>LOG(Table1_1[[#This Row],[4:2 FTS]])</f>
        <v>-0.6706021206389573</v>
      </c>
      <c r="CR156">
        <f>LOG(Table1_1[[#This Row],[6:2 FTS]])</f>
        <v>-0.6706021206389573</v>
      </c>
      <c r="CS156">
        <f>LOG(Table1_1[[#This Row],[8:2 FTS]])</f>
        <v>0.38738982633872943</v>
      </c>
      <c r="CT156">
        <f>LOG(Table1_1[[#This Row],[10:2 FTS]])</f>
        <v>-0.37008096449645816</v>
      </c>
      <c r="CU156">
        <f>LOG(Table1_1[[#This Row],[3:3 FTCA]])</f>
        <v>-0.60906489289662091</v>
      </c>
      <c r="CV156">
        <f>LOG(Table1_1[[#This Row],[5:3 FTCA]])</f>
        <v>0.55509444857831913</v>
      </c>
      <c r="CW156">
        <f>LOG(Table1_1[[#This Row],[7:3 FTCA]])</f>
        <v>1.9827233876685453</v>
      </c>
      <c r="CX156">
        <f>LOG(Table1_1[[#This Row],[6:2 FTCA]])</f>
        <v>-0.37008096449645816</v>
      </c>
      <c r="CY156">
        <f>LOG(Table1_1[[#This Row],[8:2 FTCA]])</f>
        <v>-0.37008096449645816</v>
      </c>
      <c r="CZ156">
        <f>LOG(Table1_1[[#This Row],[10:2 FTCA]])</f>
        <v>-0.37008096449645816</v>
      </c>
      <c r="DA156">
        <f>LOG(Table1_1[[#This Row],[6:2 FTUCA]])</f>
        <v>-0.37008096449645816</v>
      </c>
      <c r="DB156">
        <f>LOG(Table1_1[[#This Row],[8:2 FTUCA]])</f>
        <v>-0.37008096449645816</v>
      </c>
      <c r="DC156">
        <f>LOG(Table1_1[[#This Row],[ADONA]])</f>
        <v>-0.6706021206389573</v>
      </c>
      <c r="DD156">
        <f>LOG(Table1_1[[#This Row],[9Cl-PF3ONS]])</f>
        <v>-0.37008096449645816</v>
      </c>
      <c r="DE156">
        <f>LOG(Table1_1[[#This Row],[11Cl-PF3OUdS]])</f>
        <v>-0.37008096449645816</v>
      </c>
      <c r="DF156">
        <f>LOG(Table1_1[[#This Row],[HFPO-DA]])</f>
        <v>-0.51427857351841999</v>
      </c>
      <c r="DG156">
        <f>LOG(Table1_1[[#This Row],[6:2 diPAP]])</f>
        <v>-0.37008096449645816</v>
      </c>
      <c r="DH156">
        <f>LOG(Table1_1[[#This Row],[8:2 diPAP]])</f>
        <v>-0.37008096449645816</v>
      </c>
      <c r="DI156">
        <f>LOG(Table1_1[[#This Row],[diSAmPAP]])</f>
        <v>-0.37008096449645816</v>
      </c>
    </row>
    <row r="157" spans="1:113">
      <c r="A157" t="s">
        <v>309</v>
      </c>
      <c r="B157" t="s">
        <v>121</v>
      </c>
      <c r="C157" s="3">
        <v>44393</v>
      </c>
      <c r="D157" t="s">
        <v>226</v>
      </c>
      <c r="E157" t="s">
        <v>227</v>
      </c>
      <c r="F157" t="s">
        <v>228</v>
      </c>
      <c r="G157" t="s">
        <v>118</v>
      </c>
      <c r="H157" t="s">
        <v>119</v>
      </c>
      <c r="I157">
        <v>8</v>
      </c>
      <c r="J157">
        <f>LOG(Table1_1[[#This Row],[Length]])</f>
        <v>0.90308998699194354</v>
      </c>
      <c r="K157">
        <v>9.23</v>
      </c>
      <c r="L157">
        <f>LOG(Table1_1[[#This Row],[Weight]])</f>
        <v>0.96520170102591207</v>
      </c>
      <c r="M157">
        <v>0.2145</v>
      </c>
      <c r="N157">
        <v>0.2145</v>
      </c>
      <c r="O157">
        <v>0.11550000000000001</v>
      </c>
      <c r="P157">
        <v>0.2145</v>
      </c>
      <c r="Q157">
        <v>0.38800000000000001</v>
      </c>
      <c r="R157">
        <v>0.36299999999999999</v>
      </c>
      <c r="S157">
        <v>4.2</v>
      </c>
      <c r="T157">
        <v>6.71</v>
      </c>
      <c r="U157">
        <v>15.5</v>
      </c>
      <c r="V157">
        <v>3.89</v>
      </c>
      <c r="W157">
        <v>19.899999999999999</v>
      </c>
      <c r="X157">
        <v>0.2555</v>
      </c>
      <c r="Y157">
        <v>0.42849999999999999</v>
      </c>
      <c r="Z157">
        <v>0.14599999999999999</v>
      </c>
      <c r="AA157">
        <v>0.1135</v>
      </c>
      <c r="AB157">
        <v>5.37</v>
      </c>
      <c r="AC157">
        <v>1.03</v>
      </c>
      <c r="AD157">
        <v>570</v>
      </c>
      <c r="AE157">
        <v>1.24</v>
      </c>
      <c r="AF157">
        <v>1.35</v>
      </c>
      <c r="AG157">
        <v>0.22900000000000001</v>
      </c>
      <c r="AH157">
        <v>0.13</v>
      </c>
      <c r="AI157">
        <v>0.249</v>
      </c>
      <c r="AJ157">
        <v>52.9</v>
      </c>
      <c r="AK157">
        <v>58.7</v>
      </c>
      <c r="AL157">
        <v>13</v>
      </c>
      <c r="AM157">
        <v>0.16500000000000001</v>
      </c>
      <c r="AN157">
        <v>0.42849999999999999</v>
      </c>
      <c r="AO157">
        <v>0.42849999999999999</v>
      </c>
      <c r="AP157">
        <v>0.2155</v>
      </c>
      <c r="AQ157">
        <v>0.2145</v>
      </c>
      <c r="AR157">
        <v>0.2145</v>
      </c>
      <c r="AS157">
        <v>0.2145</v>
      </c>
      <c r="AT157">
        <v>2.4700000000000002</v>
      </c>
      <c r="AU157">
        <v>0.42849999999999999</v>
      </c>
      <c r="AV157">
        <v>0.247</v>
      </c>
      <c r="AW157">
        <v>0.49299999999999999</v>
      </c>
      <c r="AX157">
        <v>7.36</v>
      </c>
      <c r="AY157">
        <v>0.42849999999999999</v>
      </c>
      <c r="AZ157">
        <v>0.42849999999999999</v>
      </c>
      <c r="BA157">
        <v>0.42849999999999999</v>
      </c>
      <c r="BB157">
        <v>0.42849999999999999</v>
      </c>
      <c r="BC157">
        <v>0.42849999999999999</v>
      </c>
      <c r="BD157">
        <v>0.2145</v>
      </c>
      <c r="BE157">
        <v>0.42849999999999999</v>
      </c>
      <c r="BF157">
        <v>0.42849999999999999</v>
      </c>
      <c r="BG157">
        <v>0.3075</v>
      </c>
      <c r="BH157">
        <v>0.42849999999999999</v>
      </c>
      <c r="BI157">
        <v>0.42849999999999999</v>
      </c>
      <c r="BJ157">
        <v>0.42849999999999999</v>
      </c>
      <c r="BK157">
        <f>SUM(Table1_1[[#This Row],[PFBA]:[diSAmPAP]])</f>
        <v>774.53800000000012</v>
      </c>
      <c r="BL157">
        <f>LOG(Table1_1[[#This Row],[PFBA]])</f>
        <v>-0.6685727034792569</v>
      </c>
      <c r="BM157">
        <f>LOG(Table1_1[[#This Row],[PFPeA]])</f>
        <v>-0.6685727034792569</v>
      </c>
      <c r="BN157">
        <f>LOG(Table1_1[[#This Row],[PFHxA]])</f>
        <v>-0.93741801577183692</v>
      </c>
      <c r="BO157">
        <f>LOG(Table1_1[[#This Row],[PFHpA]])</f>
        <v>-0.6685727034792569</v>
      </c>
      <c r="BP157">
        <f>LOG(Table1_1[[#This Row],[PFOA]])</f>
        <v>-0.41116827440579273</v>
      </c>
      <c r="BQ157">
        <f>LOG(Table1_1[[#This Row],[PFNA]])</f>
        <v>-0.44009337496388751</v>
      </c>
      <c r="BR157">
        <f>LOG(Table1_1[[#This Row],[PFDA]])</f>
        <v>0.62324929039790045</v>
      </c>
      <c r="BS157">
        <f>LOG(Table1_1[[#This Row],[PFUnA]])</f>
        <v>0.82672252016899206</v>
      </c>
      <c r="BT157">
        <f>LOG(Table1_1[[#This Row],[PFDoA]])</f>
        <v>1.1903316981702914</v>
      </c>
      <c r="BU157">
        <f>LOG(Table1_1[[#This Row],[PFTrDA]])</f>
        <v>0.58994960132570773</v>
      </c>
      <c r="BV157">
        <f>LOG(Table1_1[[#This Row],[PFTeDA]])</f>
        <v>1.2988530764097066</v>
      </c>
      <c r="BW157">
        <f>LOG(Table1_1[[#This Row],[PFHxDA]])</f>
        <v>-0.59260909552926844</v>
      </c>
      <c r="BX157">
        <f>LOG(Table1_1[[#This Row],[PFPrS]])</f>
        <v>-0.36804917374078305</v>
      </c>
      <c r="BY157">
        <f>LOG(Table1_1[[#This Row],[PFBS]])</f>
        <v>-0.83564714421556296</v>
      </c>
      <c r="BZ157">
        <f>LOG(Table1_1[[#This Row],[PFPeS]])</f>
        <v>-0.94500413847085851</v>
      </c>
      <c r="CA157">
        <f>LOG(Table1_1[[#This Row],[PFHxS]])</f>
        <v>0.72997428569955558</v>
      </c>
      <c r="CB157">
        <f>LOG(Table1_1[[#This Row],[PFHpS]])</f>
        <v>1.2837224705172217E-2</v>
      </c>
      <c r="CC157">
        <f>LOG(Table1_1[[#This Row],[PFOS]])</f>
        <v>2.7558748556724915</v>
      </c>
      <c r="CD157">
        <f>LOG(Table1_1[[#This Row],[PFNS]])</f>
        <v>9.3421685162235063E-2</v>
      </c>
      <c r="CE157">
        <f>LOG(Table1_1[[#This Row],[PFDS]])</f>
        <v>0.13033376849500614</v>
      </c>
      <c r="CF157">
        <f>LOG(Table1_1[[#This Row],[PFDoS]])</f>
        <v>-0.64016451766011195</v>
      </c>
      <c r="CG157">
        <f>LOG(Table1_1[[#This Row],[Cl-PFOS]])</f>
        <v>-0.88605664769316317</v>
      </c>
      <c r="CH157">
        <f>LOG(Table1_1[[#This Row],[PFEtCHxS]])</f>
        <v>-0.60380065290426366</v>
      </c>
      <c r="CI157">
        <f>LOG(Table1_1[[#This Row],[FBSA]])</f>
        <v>1.7234556720351857</v>
      </c>
      <c r="CJ157">
        <f>LOG(Table1_1[[#This Row],[FHxSA]])</f>
        <v>1.7686381012476144</v>
      </c>
      <c r="CK157">
        <f>LOG(Table1_1[[#This Row],[FOSA]])</f>
        <v>1.1139433523068367</v>
      </c>
      <c r="CL157">
        <f>LOG(Table1_1[[#This Row],[N-MeFOSA]])</f>
        <v>-0.78251605578609373</v>
      </c>
      <c r="CM157">
        <f>LOG(Table1_1[[#This Row],[N-EtFOSA]])</f>
        <v>-0.36804917374078305</v>
      </c>
      <c r="CN157">
        <f>LOG(Table1_1[[#This Row],[FOSAA]])</f>
        <v>-0.36804917374078305</v>
      </c>
      <c r="CO157">
        <f>LOG(Table1_1[[#This Row],[N-MeFOSAA]])</f>
        <v>-0.66655272550324962</v>
      </c>
      <c r="CP157">
        <f>LOG(Table1_1[[#This Row],[N-EtFOSAA]])</f>
        <v>-0.6685727034792569</v>
      </c>
      <c r="CQ157">
        <f>LOG(Table1_1[[#This Row],[4:2 FTS]])</f>
        <v>-0.6685727034792569</v>
      </c>
      <c r="CR157">
        <f>LOG(Table1_1[[#This Row],[6:2 FTS]])</f>
        <v>-0.6685727034792569</v>
      </c>
      <c r="CS157">
        <f>LOG(Table1_1[[#This Row],[8:2 FTS]])</f>
        <v>0.39269695325966575</v>
      </c>
      <c r="CT157">
        <f>LOG(Table1_1[[#This Row],[10:2 FTS]])</f>
        <v>-0.36804917374078305</v>
      </c>
      <c r="CU157">
        <f>LOG(Table1_1[[#This Row],[3:3 FTCA]])</f>
        <v>-0.60730304674033431</v>
      </c>
      <c r="CV157">
        <f>LOG(Table1_1[[#This Row],[5:3 FTCA]])</f>
        <v>-0.30715308072276998</v>
      </c>
      <c r="CW157">
        <f>LOG(Table1_1[[#This Row],[7:3 FTCA]])</f>
        <v>0.86687781433749889</v>
      </c>
      <c r="CX157">
        <f>LOG(Table1_1[[#This Row],[6:2 FTCA]])</f>
        <v>-0.36804917374078305</v>
      </c>
      <c r="CY157">
        <f>LOG(Table1_1[[#This Row],[8:2 FTCA]])</f>
        <v>-0.36804917374078305</v>
      </c>
      <c r="CZ157">
        <f>LOG(Table1_1[[#This Row],[10:2 FTCA]])</f>
        <v>-0.36804917374078305</v>
      </c>
      <c r="DA157">
        <f>LOG(Table1_1[[#This Row],[6:2 FTUCA]])</f>
        <v>-0.36804917374078305</v>
      </c>
      <c r="DB157">
        <f>LOG(Table1_1[[#This Row],[8:2 FTUCA]])</f>
        <v>-0.36804917374078305</v>
      </c>
      <c r="DC157">
        <f>LOG(Table1_1[[#This Row],[ADONA]])</f>
        <v>-0.6685727034792569</v>
      </c>
      <c r="DD157">
        <f>LOG(Table1_1[[#This Row],[9Cl-PF3ONS]])</f>
        <v>-0.36804917374078305</v>
      </c>
      <c r="DE157">
        <f>LOG(Table1_1[[#This Row],[11Cl-PF3OUdS]])</f>
        <v>-0.36804917374078305</v>
      </c>
      <c r="DF157">
        <f>LOG(Table1_1[[#This Row],[HFPO-DA]])</f>
        <v>-0.51215487988856445</v>
      </c>
      <c r="DG157">
        <f>LOG(Table1_1[[#This Row],[6:2 diPAP]])</f>
        <v>-0.36804917374078305</v>
      </c>
      <c r="DH157">
        <f>LOG(Table1_1[[#This Row],[8:2 diPAP]])</f>
        <v>-0.36804917374078305</v>
      </c>
      <c r="DI157">
        <f>LOG(Table1_1[[#This Row],[diSAmPAP]])</f>
        <v>-0.36804917374078305</v>
      </c>
    </row>
    <row r="158" spans="1:113">
      <c r="A158" t="s">
        <v>310</v>
      </c>
      <c r="B158" t="s">
        <v>121</v>
      </c>
      <c r="C158" s="3">
        <v>44314</v>
      </c>
      <c r="D158" t="s">
        <v>131</v>
      </c>
      <c r="E158" t="s">
        <v>132</v>
      </c>
      <c r="F158" t="s">
        <v>133</v>
      </c>
      <c r="G158" t="s">
        <v>118</v>
      </c>
      <c r="H158" t="s">
        <v>119</v>
      </c>
      <c r="I158">
        <v>8</v>
      </c>
      <c r="J158">
        <f>LOG(Table1_1[[#This Row],[Length]])</f>
        <v>0.90308998699194354</v>
      </c>
      <c r="K158">
        <v>5.7</v>
      </c>
      <c r="L158">
        <f>LOG(Table1_1[[#This Row],[Weight]])</f>
        <v>0.75587485567249146</v>
      </c>
      <c r="M158">
        <v>2.8156852439321981E-2</v>
      </c>
      <c r="N158">
        <v>4.9734947355461495E-2</v>
      </c>
      <c r="O158">
        <v>0.379</v>
      </c>
      <c r="P158">
        <v>9.7171237313755127E-2</v>
      </c>
      <c r="Q158">
        <v>2.21</v>
      </c>
      <c r="R158">
        <v>6.46</v>
      </c>
      <c r="S158">
        <v>11.4</v>
      </c>
      <c r="T158">
        <v>17.3</v>
      </c>
      <c r="U158">
        <v>0.39900000000000002</v>
      </c>
      <c r="V158">
        <v>7.22</v>
      </c>
      <c r="W158">
        <v>9.8000000000000007</v>
      </c>
      <c r="X158">
        <v>8.3893351805698943E-2</v>
      </c>
      <c r="Y158">
        <v>5.3705904284018169E-2</v>
      </c>
      <c r="Z158">
        <v>0.16533912423099761</v>
      </c>
      <c r="AA158">
        <v>0.442</v>
      </c>
      <c r="AB158">
        <v>16.7</v>
      </c>
      <c r="AC158">
        <v>7.39</v>
      </c>
      <c r="AD158">
        <v>1750</v>
      </c>
      <c r="AE158">
        <v>1.35</v>
      </c>
      <c r="AF158">
        <v>4.74</v>
      </c>
      <c r="AG158">
        <v>1.1100000000000001</v>
      </c>
      <c r="AH158">
        <v>0.14762356215819475</v>
      </c>
      <c r="AI158">
        <v>0.57599999999999996</v>
      </c>
      <c r="AJ158">
        <v>185</v>
      </c>
      <c r="AK158">
        <v>1050</v>
      </c>
      <c r="AL158">
        <v>93.4</v>
      </c>
      <c r="AM158">
        <v>5.4228917295065036E-2</v>
      </c>
      <c r="AN158">
        <v>8.2144672233636168E-2</v>
      </c>
      <c r="AO158">
        <v>5.5485556362791656E-2</v>
      </c>
      <c r="AP158">
        <v>7.081802652952715E-2</v>
      </c>
      <c r="AQ158">
        <v>6.1099698628432786E-2</v>
      </c>
      <c r="AR158">
        <v>5.7819287815403672E-2</v>
      </c>
      <c r="AS158">
        <v>3.89</v>
      </c>
      <c r="AT158">
        <v>15.1</v>
      </c>
      <c r="AU158">
        <v>0.27583647648456056</v>
      </c>
      <c r="AV158">
        <v>8.1196538103964488E-2</v>
      </c>
      <c r="AW158">
        <v>2.61</v>
      </c>
      <c r="AX158">
        <v>0.19563498035273158</v>
      </c>
      <c r="AY158">
        <v>4.3</v>
      </c>
      <c r="AZ158">
        <v>2.81</v>
      </c>
      <c r="BA158">
        <v>0.1050386106333884</v>
      </c>
      <c r="BB158">
        <v>5.5271658354325834E-2</v>
      </c>
      <c r="BC158">
        <v>4.2538283630652492E-2</v>
      </c>
      <c r="BD158">
        <v>7.0392131098304958E-2</v>
      </c>
      <c r="BE158">
        <v>4.8859645544600455E-2</v>
      </c>
      <c r="BF158">
        <v>5.5468333771938876E-2</v>
      </c>
      <c r="BG158">
        <v>0.10101471887518068</v>
      </c>
      <c r="BH158">
        <v>7.4934460383543261E-2</v>
      </c>
      <c r="BI158">
        <v>9.332687342917613E-2</v>
      </c>
      <c r="BJ158">
        <v>0.12389015073301672</v>
      </c>
      <c r="BK158">
        <f>SUM(Table1_1[[#This Row],[PFBA]:[diSAmPAP]])</f>
        <v>3196.9166239998485</v>
      </c>
      <c r="BL158">
        <f>LOG(Table1_1[[#This Row],[PFBA]])</f>
        <v>-1.5504158951490832</v>
      </c>
      <c r="BM158">
        <f>LOG(Table1_1[[#This Row],[PFPeA]])</f>
        <v>-1.303338337423565</v>
      </c>
      <c r="BN158">
        <f>LOG(Table1_1[[#This Row],[PFHxA]])</f>
        <v>-0.42136079003192767</v>
      </c>
      <c r="BO158">
        <f>LOG(Table1_1[[#This Row],[PFHpA]])</f>
        <v>-1.0124622672185497</v>
      </c>
      <c r="BP158">
        <f>LOG(Table1_1[[#This Row],[PFOA]])</f>
        <v>0.34439227368511072</v>
      </c>
      <c r="BQ158">
        <f>LOG(Table1_1[[#This Row],[PFNA]])</f>
        <v>0.81023251799508411</v>
      </c>
      <c r="BR158">
        <f>LOG(Table1_1[[#This Row],[PFDA]])</f>
        <v>1.0569048513364727</v>
      </c>
      <c r="BS158">
        <f>LOG(Table1_1[[#This Row],[PFUnA]])</f>
        <v>1.2380461031287955</v>
      </c>
      <c r="BT158">
        <f>LOG(Table1_1[[#This Row],[PFDoA]])</f>
        <v>-0.39902710431325172</v>
      </c>
      <c r="BU158">
        <f>LOG(Table1_1[[#This Row],[PFTrDA]])</f>
        <v>0.85853719756963909</v>
      </c>
      <c r="BV158">
        <f>LOG(Table1_1[[#This Row],[PFTeDA]])</f>
        <v>0.99122607569249488</v>
      </c>
      <c r="BW158">
        <f>LOG(Table1_1[[#This Row],[PFHxDA]])</f>
        <v>-1.0762724538137156</v>
      </c>
      <c r="BX158">
        <f>LOG(Table1_1[[#This Row],[PFPrS]])</f>
        <v>-1.2699779664975959</v>
      </c>
      <c r="BY158">
        <f>LOG(Table1_1[[#This Row],[PFBS]])</f>
        <v>-0.78162436707508187</v>
      </c>
      <c r="BZ158">
        <f>LOG(Table1_1[[#This Row],[PFPeS]])</f>
        <v>-0.35457773065090809</v>
      </c>
      <c r="CA158">
        <f>LOG(Table1_1[[#This Row],[PFHxS]])</f>
        <v>1.2227164711475833</v>
      </c>
      <c r="CB158">
        <f>LOG(Table1_1[[#This Row],[PFHpS]])</f>
        <v>0.86864443839482575</v>
      </c>
      <c r="CC158">
        <f>LOG(Table1_1[[#This Row],[PFOS]])</f>
        <v>3.2430380486862944</v>
      </c>
      <c r="CD158">
        <f>LOG(Table1_1[[#This Row],[PFNS]])</f>
        <v>0.13033376849500614</v>
      </c>
      <c r="CE158">
        <f>LOG(Table1_1[[#This Row],[PFDS]])</f>
        <v>0.67577834167408513</v>
      </c>
      <c r="CF158">
        <f>LOG(Table1_1[[#This Row],[PFDoS]])</f>
        <v>4.5322978786657475E-2</v>
      </c>
      <c r="CG158">
        <f>LOG(Table1_1[[#This Row],[Cl-PFOS]])</f>
        <v>-0.83084431935169134</v>
      </c>
      <c r="CH158">
        <f>LOG(Table1_1[[#This Row],[PFEtCHxS]])</f>
        <v>-0.239577516576788</v>
      </c>
      <c r="CI158">
        <f>LOG(Table1_1[[#This Row],[FBSA]])</f>
        <v>2.2671717284030137</v>
      </c>
      <c r="CJ158">
        <f>LOG(Table1_1[[#This Row],[FHxSA]])</f>
        <v>3.0211892990699383</v>
      </c>
      <c r="CK158">
        <f>LOG(Table1_1[[#This Row],[FOSA]])</f>
        <v>1.9703468762300933</v>
      </c>
      <c r="CL158">
        <f>LOG(Table1_1[[#This Row],[N-MeFOSA]])</f>
        <v>-1.2657690663643377</v>
      </c>
      <c r="CM158">
        <f>LOG(Table1_1[[#This Row],[N-EtFOSA]])</f>
        <v>-1.0854205989308829</v>
      </c>
      <c r="CN158">
        <f>LOG(Table1_1[[#This Row],[FOSAA]])</f>
        <v>-1.2558200548649534</v>
      </c>
      <c r="CO158">
        <f>LOG(Table1_1[[#This Row],[N-MeFOSAA]])</f>
        <v>-1.1498561797987252</v>
      </c>
      <c r="CP158">
        <f>LOG(Table1_1[[#This Row],[N-EtFOSAA]])</f>
        <v>-1.2139609318905298</v>
      </c>
      <c r="CQ158">
        <f>LOG(Table1_1[[#This Row],[4:2 FTS]])</f>
        <v>-1.2379272620210364</v>
      </c>
      <c r="CR158">
        <f>LOG(Table1_1[[#This Row],[6:2 FTS]])</f>
        <v>0.58994960132570773</v>
      </c>
      <c r="CS158">
        <f>LOG(Table1_1[[#This Row],[8:2 FTS]])</f>
        <v>1.1789769472931695</v>
      </c>
      <c r="CT158">
        <f>LOG(Table1_1[[#This Row],[10:2 FTS]])</f>
        <v>-0.55934830346662623</v>
      </c>
      <c r="CU158">
        <f>LOG(Table1_1[[#This Row],[3:3 FTCA]])</f>
        <v>-1.0904624869459667</v>
      </c>
      <c r="CV158">
        <f>LOG(Table1_1[[#This Row],[5:3 FTCA]])</f>
        <v>0.41664050733828095</v>
      </c>
      <c r="CW158">
        <f>LOG(Table1_1[[#This Row],[7:3 FTCA]])</f>
        <v>-0.70855348893538561</v>
      </c>
      <c r="CX158">
        <f>LOG(Table1_1[[#This Row],[6:2 FTCA]])</f>
        <v>0.63346845557958653</v>
      </c>
      <c r="CY158">
        <f>LOG(Table1_1[[#This Row],[8:2 FTCA]])</f>
        <v>0.44870631990507992</v>
      </c>
      <c r="CZ158">
        <f>LOG(Table1_1[[#This Row],[10:2 FTCA]])</f>
        <v>-0.97865103138014742</v>
      </c>
      <c r="DA158">
        <f>LOG(Table1_1[[#This Row],[6:2 FTUCA]])</f>
        <v>-1.257497504780843</v>
      </c>
      <c r="DB158">
        <f>LOG(Table1_1[[#This Row],[8:2 FTUCA]])</f>
        <v>-1.3712200373475947</v>
      </c>
      <c r="DC158">
        <f>LOG(Table1_1[[#This Row],[ADONA]])</f>
        <v>-1.1524758864770455</v>
      </c>
      <c r="DD158">
        <f>LOG(Table1_1[[#This Row],[9Cl-PF3ONS]])</f>
        <v>-1.311049687968036</v>
      </c>
      <c r="DE158">
        <f>LOG(Table1_1[[#This Row],[11Cl-PF3OUdS]])</f>
        <v>-1.2559548798129103</v>
      </c>
      <c r="DF158">
        <f>LOG(Table1_1[[#This Row],[HFPO-DA]])</f>
        <v>-0.99561534046949018</v>
      </c>
      <c r="DG158">
        <f>LOG(Table1_1[[#This Row],[6:2 diPAP]])</f>
        <v>-1.125318415776295</v>
      </c>
      <c r="DH158">
        <f>LOG(Table1_1[[#This Row],[8:2 diPAP]])</f>
        <v>-1.0299932833541128</v>
      </c>
      <c r="DI158">
        <f>LOG(Table1_1[[#This Row],[diSAmPAP]])</f>
        <v>-0.90696321866289575</v>
      </c>
    </row>
    <row r="159" spans="1:113">
      <c r="A159" t="s">
        <v>311</v>
      </c>
      <c r="B159" t="s">
        <v>121</v>
      </c>
      <c r="C159" s="3">
        <v>44314</v>
      </c>
      <c r="D159" t="s">
        <v>131</v>
      </c>
      <c r="E159" t="s">
        <v>132</v>
      </c>
      <c r="F159" t="s">
        <v>133</v>
      </c>
      <c r="G159" t="s">
        <v>118</v>
      </c>
      <c r="H159" t="s">
        <v>119</v>
      </c>
      <c r="I159">
        <v>8</v>
      </c>
      <c r="J159">
        <f>LOG(Table1_1[[#This Row],[Length]])</f>
        <v>0.90308998699194354</v>
      </c>
      <c r="K159">
        <v>5.2</v>
      </c>
      <c r="L159">
        <f>LOG(Table1_1[[#This Row],[Weight]])</f>
        <v>0.71600334363479923</v>
      </c>
      <c r="M159">
        <v>2.9445829489016705E-2</v>
      </c>
      <c r="N159">
        <v>5.2011736135283961E-2</v>
      </c>
      <c r="O159">
        <v>3.9729142069369464E-2</v>
      </c>
      <c r="P159">
        <v>2.9445829489016705E-2</v>
      </c>
      <c r="Q159">
        <v>1.47</v>
      </c>
      <c r="R159">
        <v>2.96</v>
      </c>
      <c r="S159">
        <v>7.61</v>
      </c>
      <c r="T159">
        <v>16.100000000000001</v>
      </c>
      <c r="U159">
        <v>5.8776810542539408E-2</v>
      </c>
      <c r="V159">
        <v>7.19</v>
      </c>
      <c r="W159">
        <v>7.71</v>
      </c>
      <c r="X159">
        <v>8.7733859381343121E-2</v>
      </c>
      <c r="Y159">
        <v>5.6164477315374647E-2</v>
      </c>
      <c r="Z159">
        <v>5.010276491848413E-2</v>
      </c>
      <c r="AA159">
        <v>0.25800000000000001</v>
      </c>
      <c r="AB159">
        <v>38</v>
      </c>
      <c r="AC159">
        <v>9.9600000000000009</v>
      </c>
      <c r="AD159">
        <v>1260</v>
      </c>
      <c r="AE159">
        <v>2.73</v>
      </c>
      <c r="AF159">
        <v>13.7</v>
      </c>
      <c r="AG159">
        <v>4.3099999999999996</v>
      </c>
      <c r="AH159">
        <v>0.73299999999999998</v>
      </c>
      <c r="AI159">
        <v>0.377</v>
      </c>
      <c r="AJ159">
        <v>14</v>
      </c>
      <c r="AK159">
        <v>185</v>
      </c>
      <c r="AL159">
        <v>17</v>
      </c>
      <c r="AM159">
        <v>5.6711433051176853E-2</v>
      </c>
      <c r="AN159">
        <v>8.5905127969660974E-2</v>
      </c>
      <c r="AO159">
        <v>5.8025599107104295E-2</v>
      </c>
      <c r="AP159">
        <v>10.199999999999999</v>
      </c>
      <c r="AQ159">
        <v>6.3896748101381989E-2</v>
      </c>
      <c r="AR159">
        <v>6.0466165167350462E-2</v>
      </c>
      <c r="AS159">
        <v>0.13679833752176737</v>
      </c>
      <c r="AT159">
        <v>6.94</v>
      </c>
      <c r="AU159">
        <v>0.64800000000000002</v>
      </c>
      <c r="AV159">
        <v>8.4913589729540065E-2</v>
      </c>
      <c r="AW159">
        <v>0.17099439093897278</v>
      </c>
      <c r="AX159">
        <v>4.8600000000000003</v>
      </c>
      <c r="AY159">
        <v>3.5</v>
      </c>
      <c r="AZ159">
        <v>2.9445829489016705E-2</v>
      </c>
      <c r="BA159">
        <v>0.10984711537410927</v>
      </c>
      <c r="BB159">
        <v>5.7801909179442883E-2</v>
      </c>
      <c r="BC159">
        <v>4.4485620303012306E-2</v>
      </c>
      <c r="BD159">
        <v>7.3614573722541765E-2</v>
      </c>
      <c r="BE159">
        <v>5.1096364364608078E-2</v>
      </c>
      <c r="BF159">
        <v>5.8007588092744554E-2</v>
      </c>
      <c r="BG159">
        <v>0.10563901608993739</v>
      </c>
      <c r="BH159">
        <v>7.8364843799935205E-2</v>
      </c>
      <c r="BI159">
        <v>9.7599232998812346E-2</v>
      </c>
      <c r="BJ159">
        <v>0.1295616497516735</v>
      </c>
      <c r="BK159">
        <f>SUM(Table1_1[[#This Row],[PFBA]:[diSAmPAP]])</f>
        <v>1617.2125855840934</v>
      </c>
      <c r="BL159">
        <f>LOG(Table1_1[[#This Row],[PFBA]])</f>
        <v>-1.5309762070964372</v>
      </c>
      <c r="BM159">
        <f>LOG(Table1_1[[#This Row],[PFPeA]])</f>
        <v>-1.283898649370919</v>
      </c>
      <c r="BN159">
        <f>LOG(Table1_1[[#This Row],[PFHxA]])</f>
        <v>-1.4008908132119833</v>
      </c>
      <c r="BO159">
        <f>LOG(Table1_1[[#This Row],[PFHpA]])</f>
        <v>-1.5309762070964372</v>
      </c>
      <c r="BP159">
        <f>LOG(Table1_1[[#This Row],[PFOA]])</f>
        <v>0.16731733474817609</v>
      </c>
      <c r="BQ159">
        <f>LOG(Table1_1[[#This Row],[PFNA]])</f>
        <v>0.47129171105893858</v>
      </c>
      <c r="BR159">
        <f>LOG(Table1_1[[#This Row],[PFDA]])</f>
        <v>0.88138465677057287</v>
      </c>
      <c r="BS159">
        <f>LOG(Table1_1[[#This Row],[PFUnA]])</f>
        <v>1.2068258760318498</v>
      </c>
      <c r="BT159">
        <f>LOG(Table1_1[[#This Row],[PFDoA]])</f>
        <v>-1.2307939841252111</v>
      </c>
      <c r="BU159">
        <f>LOG(Table1_1[[#This Row],[PFTrDA]])</f>
        <v>0.85672889038288258</v>
      </c>
      <c r="BV159">
        <f>LOG(Table1_1[[#This Row],[PFTeDA]])</f>
        <v>0.88705437805095699</v>
      </c>
      <c r="BW159">
        <f>LOG(Table1_1[[#This Row],[PFHxDA]])</f>
        <v>-1.0568327657610697</v>
      </c>
      <c r="BX159">
        <f>LOG(Table1_1[[#This Row],[PFPrS]])</f>
        <v>-1.2505382784449497</v>
      </c>
      <c r="BY159">
        <f>LOG(Table1_1[[#This Row],[PFBS]])</f>
        <v>-1.3001383069529693</v>
      </c>
      <c r="BZ159">
        <f>LOG(Table1_1[[#This Row],[PFPeS]])</f>
        <v>-0.58838029403676984</v>
      </c>
      <c r="CA159">
        <f>LOG(Table1_1[[#This Row],[PFHxS]])</f>
        <v>1.5797835966168101</v>
      </c>
      <c r="CB159">
        <f>LOG(Table1_1[[#This Row],[PFHpS]])</f>
        <v>0.99825933842369874</v>
      </c>
      <c r="CC159">
        <f>LOG(Table1_1[[#This Row],[PFOS]])</f>
        <v>3.1003705451175629</v>
      </c>
      <c r="CD159">
        <f>LOG(Table1_1[[#This Row],[PFNS]])</f>
        <v>0.43616264704075602</v>
      </c>
      <c r="CE159">
        <f>LOG(Table1_1[[#This Row],[PFDS]])</f>
        <v>1.1367205671564067</v>
      </c>
      <c r="CF159">
        <f>LOG(Table1_1[[#This Row],[PFDoS]])</f>
        <v>0.63447727016073152</v>
      </c>
      <c r="CG159">
        <f>LOG(Table1_1[[#This Row],[Cl-PFOS]])</f>
        <v>-0.13489602535887207</v>
      </c>
      <c r="CH159">
        <f>LOG(Table1_1[[#This Row],[PFEtCHxS]])</f>
        <v>-0.42365864979420714</v>
      </c>
      <c r="CI159">
        <f>LOG(Table1_1[[#This Row],[FBSA]])</f>
        <v>1.146128035678238</v>
      </c>
      <c r="CJ159">
        <f>LOG(Table1_1[[#This Row],[FHxSA]])</f>
        <v>2.2671717284030137</v>
      </c>
      <c r="CK159">
        <f>LOG(Table1_1[[#This Row],[FOSA]])</f>
        <v>1.2304489213782739</v>
      </c>
      <c r="CL159">
        <f>LOG(Table1_1[[#This Row],[N-MeFOSA]])</f>
        <v>-1.2463293783116915</v>
      </c>
      <c r="CM159">
        <f>LOG(Table1_1[[#This Row],[N-EtFOSA]])</f>
        <v>-1.065980910878237</v>
      </c>
      <c r="CN159">
        <f>LOG(Table1_1[[#This Row],[FOSAA]])</f>
        <v>-1.2363803668123075</v>
      </c>
      <c r="CO159">
        <f>LOG(Table1_1[[#This Row],[N-MeFOSAA]])</f>
        <v>1.0086001717619175</v>
      </c>
      <c r="CP159">
        <f>LOG(Table1_1[[#This Row],[N-EtFOSAA]])</f>
        <v>-1.1945212438378838</v>
      </c>
      <c r="CQ159">
        <f>LOG(Table1_1[[#This Row],[4:2 FTS]])</f>
        <v>-1.2184875739683902</v>
      </c>
      <c r="CR159">
        <f>LOG(Table1_1[[#This Row],[6:2 FTS]])</f>
        <v>-0.86391918046319705</v>
      </c>
      <c r="CS159">
        <f>LOG(Table1_1[[#This Row],[8:2 FTS]])</f>
        <v>0.84135947045485493</v>
      </c>
      <c r="CT159">
        <f>LOG(Table1_1[[#This Row],[10:2 FTS]])</f>
        <v>-0.18842499412940666</v>
      </c>
      <c r="CU159">
        <f>LOG(Table1_1[[#This Row],[3:3 FTCA]])</f>
        <v>-1.0710227988933207</v>
      </c>
      <c r="CV159">
        <f>LOG(Table1_1[[#This Row],[5:3 FTCA]])</f>
        <v>-0.76701813536343477</v>
      </c>
      <c r="CW159">
        <f>LOG(Table1_1[[#This Row],[7:3 FTCA]])</f>
        <v>0.68663626926229337</v>
      </c>
      <c r="CX159">
        <f>LOG(Table1_1[[#This Row],[6:2 FTCA]])</f>
        <v>0.54406804435027567</v>
      </c>
      <c r="CY159">
        <f>LOG(Table1_1[[#This Row],[8:2 FTCA]])</f>
        <v>-1.5309762070964372</v>
      </c>
      <c r="CZ159">
        <f>LOG(Table1_1[[#This Row],[10:2 FTCA]])</f>
        <v>-0.95921134332750135</v>
      </c>
      <c r="DA159">
        <f>LOG(Table1_1[[#This Row],[6:2 FTUCA]])</f>
        <v>-1.238057816728197</v>
      </c>
      <c r="DB159">
        <f>LOG(Table1_1[[#This Row],[8:2 FTUCA]])</f>
        <v>-1.3517803492949487</v>
      </c>
      <c r="DC159">
        <f>LOG(Table1_1[[#This Row],[ADONA]])</f>
        <v>-1.1330361984243995</v>
      </c>
      <c r="DD159">
        <f>LOG(Table1_1[[#This Row],[9Cl-PF3ONS]])</f>
        <v>-1.2916099999153901</v>
      </c>
      <c r="DE159">
        <f>LOG(Table1_1[[#This Row],[11Cl-PF3OUdS]])</f>
        <v>-1.2365151917602641</v>
      </c>
      <c r="DF159">
        <f>LOG(Table1_1[[#This Row],[HFPO-DA]])</f>
        <v>-0.97617565241684412</v>
      </c>
      <c r="DG159">
        <f>LOG(Table1_1[[#This Row],[6:2 diPAP]])</f>
        <v>-1.105878727723649</v>
      </c>
      <c r="DH159">
        <f>LOG(Table1_1[[#This Row],[8:2 diPAP]])</f>
        <v>-1.0105535953014668</v>
      </c>
      <c r="DI159">
        <f>LOG(Table1_1[[#This Row],[diSAmPAP]])</f>
        <v>-0.88752353061024969</v>
      </c>
    </row>
    <row r="160" spans="1:113">
      <c r="A160" t="s">
        <v>312</v>
      </c>
      <c r="B160" t="s">
        <v>121</v>
      </c>
      <c r="C160" s="3">
        <v>44314</v>
      </c>
      <c r="D160" t="s">
        <v>131</v>
      </c>
      <c r="E160" t="s">
        <v>145</v>
      </c>
      <c r="F160" t="s">
        <v>146</v>
      </c>
      <c r="G160" t="s">
        <v>118</v>
      </c>
      <c r="H160" t="s">
        <v>119</v>
      </c>
      <c r="I160">
        <v>6</v>
      </c>
      <c r="J160">
        <f>LOG(Table1_1[[#This Row],[Length]])</f>
        <v>0.77815125038364363</v>
      </c>
      <c r="K160">
        <v>1.75</v>
      </c>
      <c r="L160">
        <f>LOG(Table1_1[[#This Row],[Weight]])</f>
        <v>0.24303804868629444</v>
      </c>
      <c r="M160">
        <v>9.8554533508541403E-2</v>
      </c>
      <c r="N160">
        <v>4.6373960347035045E-2</v>
      </c>
      <c r="O160">
        <v>0.13297255099577857</v>
      </c>
      <c r="P160">
        <v>9.8554533508541403E-2</v>
      </c>
      <c r="Q160">
        <v>4.5</v>
      </c>
      <c r="R160">
        <v>34.799999999999997</v>
      </c>
      <c r="S160">
        <v>33.5</v>
      </c>
      <c r="T160">
        <v>25.1</v>
      </c>
      <c r="U160">
        <v>5.2405739241913746E-2</v>
      </c>
      <c r="V160">
        <v>5.94</v>
      </c>
      <c r="W160">
        <v>5.5</v>
      </c>
      <c r="X160">
        <v>7.8224009009433965E-2</v>
      </c>
      <c r="Y160">
        <v>5.0076568049191375E-2</v>
      </c>
      <c r="Z160">
        <v>0.16769283493511822</v>
      </c>
      <c r="AA160">
        <v>0.623</v>
      </c>
      <c r="AB160">
        <v>92.9</v>
      </c>
      <c r="AC160">
        <v>12.3</v>
      </c>
      <c r="AD160">
        <v>3330</v>
      </c>
      <c r="AE160">
        <v>2.46</v>
      </c>
      <c r="AF160">
        <v>2.1</v>
      </c>
      <c r="AG160">
        <v>0.58099999999999996</v>
      </c>
      <c r="AH160">
        <v>1.28</v>
      </c>
      <c r="AI160">
        <v>0.40300000000000002</v>
      </c>
      <c r="AJ160">
        <v>81.3</v>
      </c>
      <c r="AK160">
        <v>401</v>
      </c>
      <c r="AL160">
        <v>41.9</v>
      </c>
      <c r="AM160">
        <v>5.0564236900269545E-2</v>
      </c>
      <c r="AN160">
        <v>7.6593501661051208E-2</v>
      </c>
      <c r="AO160">
        <v>0.19421038397601839</v>
      </c>
      <c r="AP160">
        <v>6.6032287732479794E-2</v>
      </c>
      <c r="AQ160">
        <v>5.6970704747304583E-2</v>
      </c>
      <c r="AR160">
        <v>5.391197745283019E-2</v>
      </c>
      <c r="AS160">
        <v>0.65500000000000003</v>
      </c>
      <c r="AT160">
        <v>44</v>
      </c>
      <c r="AU160">
        <v>1.17</v>
      </c>
      <c r="AV160">
        <v>7.570944051549866E-2</v>
      </c>
      <c r="AW160">
        <v>10.199999999999999</v>
      </c>
      <c r="AX160">
        <v>19</v>
      </c>
      <c r="AY160">
        <v>3.68</v>
      </c>
      <c r="AZ160">
        <v>0.68600000000000005</v>
      </c>
      <c r="BA160">
        <v>9.7940314073450149E-2</v>
      </c>
      <c r="BB160">
        <v>5.1536511630727769E-2</v>
      </c>
      <c r="BC160">
        <v>3.9663632580525604E-2</v>
      </c>
      <c r="BD160">
        <v>6.5635173451885048E-2</v>
      </c>
      <c r="BE160">
        <v>4.5557809659703505E-2</v>
      </c>
      <c r="BF160">
        <v>5.1719896121967653E-2</v>
      </c>
      <c r="BG160">
        <v>9.418834877021566E-2</v>
      </c>
      <c r="BH160">
        <v>6.9870541324124E-2</v>
      </c>
      <c r="BI160">
        <v>8.7020032348382764E-2</v>
      </c>
      <c r="BJ160">
        <v>0.11551790527531768</v>
      </c>
      <c r="BK160">
        <f>SUM(Table1_1[[#This Row],[PFBA]:[diSAmPAP]])</f>
        <v>4157.5954974278175</v>
      </c>
      <c r="BL160">
        <f>LOG(Table1_1[[#This Row],[PFBA]])</f>
        <v>-1.0063233933788727</v>
      </c>
      <c r="BM160">
        <f>LOG(Table1_1[[#This Row],[PFPeA]])</f>
        <v>-1.3337258136703096</v>
      </c>
      <c r="BN160">
        <f>LOG(Table1_1[[#This Row],[PFHxA]])</f>
        <v>-0.87623799949441894</v>
      </c>
      <c r="BO160">
        <f>LOG(Table1_1[[#This Row],[PFHpA]])</f>
        <v>-1.0063233933788727</v>
      </c>
      <c r="BP160">
        <f>LOG(Table1_1[[#This Row],[PFOA]])</f>
        <v>0.65321251377534373</v>
      </c>
      <c r="BQ160">
        <f>LOG(Table1_1[[#This Row],[PFNA]])</f>
        <v>1.541579243946581</v>
      </c>
      <c r="BR160">
        <f>LOG(Table1_1[[#This Row],[PFDA]])</f>
        <v>1.5250448070368452</v>
      </c>
      <c r="BS160">
        <f>LOG(Table1_1[[#This Row],[PFUnA]])</f>
        <v>1.3996737214810382</v>
      </c>
      <c r="BT160">
        <f>LOG(Table1_1[[#This Row],[PFDoA]])</f>
        <v>-1.2806211484246017</v>
      </c>
      <c r="BU160">
        <f>LOG(Table1_1[[#This Row],[PFTrDA]])</f>
        <v>0.77378644498119353</v>
      </c>
      <c r="BV160">
        <f>LOG(Table1_1[[#This Row],[PFTeDA]])</f>
        <v>0.74036268949424389</v>
      </c>
      <c r="BW160">
        <f>LOG(Table1_1[[#This Row],[PFHxDA]])</f>
        <v>-1.10665993006046</v>
      </c>
      <c r="BX160">
        <f>LOG(Table1_1[[#This Row],[PFPrS]])</f>
        <v>-1.3003654427443403</v>
      </c>
      <c r="BY160">
        <f>LOG(Table1_1[[#This Row],[PFBS]])</f>
        <v>-0.77548549323540505</v>
      </c>
      <c r="BZ160">
        <f>LOG(Table1_1[[#This Row],[PFPeS]])</f>
        <v>-0.20551195334083039</v>
      </c>
      <c r="CA160">
        <f>LOG(Table1_1[[#This Row],[PFHxS]])</f>
        <v>1.9680157139936418</v>
      </c>
      <c r="CB160">
        <f>LOG(Table1_1[[#This Row],[PFHpS]])</f>
        <v>1.0899051114393981</v>
      </c>
      <c r="CC160">
        <f>LOG(Table1_1[[#This Row],[PFOS]])</f>
        <v>3.5224442335063197</v>
      </c>
      <c r="CD160">
        <f>LOG(Table1_1[[#This Row],[PFNS]])</f>
        <v>0.39093510710337914</v>
      </c>
      <c r="CE160">
        <f>LOG(Table1_1[[#This Row],[PFDS]])</f>
        <v>0.3222192947339193</v>
      </c>
      <c r="CF160">
        <f>LOG(Table1_1[[#This Row],[PFDoS]])</f>
        <v>-0.23582386760966931</v>
      </c>
      <c r="CG160">
        <f>LOG(Table1_1[[#This Row],[Cl-PFOS]])</f>
        <v>0.10720996964786837</v>
      </c>
      <c r="CH160">
        <f>LOG(Table1_1[[#This Row],[PFEtCHxS]])</f>
        <v>-0.39469495385889053</v>
      </c>
      <c r="CI160">
        <f>LOG(Table1_1[[#This Row],[FBSA]])</f>
        <v>1.9100905455940682</v>
      </c>
      <c r="CJ160">
        <f>LOG(Table1_1[[#This Row],[FHxSA]])</f>
        <v>2.6031443726201822</v>
      </c>
      <c r="CK160">
        <f>LOG(Table1_1[[#This Row],[FOSA]])</f>
        <v>1.6222140229662954</v>
      </c>
      <c r="CL160">
        <f>LOG(Table1_1[[#This Row],[N-MeFOSA]])</f>
        <v>-1.2961565426110822</v>
      </c>
      <c r="CM160">
        <f>LOG(Table1_1[[#This Row],[N-EtFOSA]])</f>
        <v>-1.1158080751776274</v>
      </c>
      <c r="CN160">
        <f>LOG(Table1_1[[#This Row],[FOSAA]])</f>
        <v>-0.71172755309474312</v>
      </c>
      <c r="CO160">
        <f>LOG(Table1_1[[#This Row],[N-MeFOSAA]])</f>
        <v>-1.1802436560454699</v>
      </c>
      <c r="CP160">
        <f>LOG(Table1_1[[#This Row],[N-EtFOSAA]])</f>
        <v>-1.2443484081372742</v>
      </c>
      <c r="CQ160">
        <f>LOG(Table1_1[[#This Row],[4:2 FTS]])</f>
        <v>-1.2683147382677809</v>
      </c>
      <c r="CR160">
        <f>LOG(Table1_1[[#This Row],[6:2 FTS]])</f>
        <v>-0.18375870000821692</v>
      </c>
      <c r="CS160">
        <f>LOG(Table1_1[[#This Row],[8:2 FTS]])</f>
        <v>1.6434526764861874</v>
      </c>
      <c r="CT160">
        <f>LOG(Table1_1[[#This Row],[10:2 FTS]])</f>
        <v>6.8185861746161619E-2</v>
      </c>
      <c r="CU160">
        <f>LOG(Table1_1[[#This Row],[3:3 FTCA]])</f>
        <v>-1.1208499631927111</v>
      </c>
      <c r="CV160">
        <f>LOG(Table1_1[[#This Row],[5:3 FTCA]])</f>
        <v>1.0086001717619175</v>
      </c>
      <c r="CW160">
        <f>LOG(Table1_1[[#This Row],[7:3 FTCA]])</f>
        <v>1.2787536009528289</v>
      </c>
      <c r="CX160">
        <f>LOG(Table1_1[[#This Row],[6:2 FTCA]])</f>
        <v>0.56584781867351763</v>
      </c>
      <c r="CY160">
        <f>LOG(Table1_1[[#This Row],[8:2 FTCA]])</f>
        <v>-0.16367588429324828</v>
      </c>
      <c r="CZ160">
        <f>LOG(Table1_1[[#This Row],[10:2 FTCA]])</f>
        <v>-1.009038507626892</v>
      </c>
      <c r="DA160">
        <f>LOG(Table1_1[[#This Row],[6:2 FTUCA]])</f>
        <v>-1.2878849810275874</v>
      </c>
      <c r="DB160">
        <f>LOG(Table1_1[[#This Row],[8:2 FTUCA]])</f>
        <v>-1.4016075135943393</v>
      </c>
      <c r="DC160">
        <f>LOG(Table1_1[[#This Row],[ADONA]])</f>
        <v>-1.1828633627237901</v>
      </c>
      <c r="DD160">
        <f>LOG(Table1_1[[#This Row],[9Cl-PF3ONS]])</f>
        <v>-1.3414371642147804</v>
      </c>
      <c r="DE160">
        <f>LOG(Table1_1[[#This Row],[11Cl-PF3OUdS]])</f>
        <v>-1.286342356059655</v>
      </c>
      <c r="DF160">
        <f>LOG(Table1_1[[#This Row],[HFPO-DA]])</f>
        <v>-1.0260028167162347</v>
      </c>
      <c r="DG160">
        <f>LOG(Table1_1[[#This Row],[6:2 diPAP]])</f>
        <v>-1.1557058920230396</v>
      </c>
      <c r="DH160">
        <f>LOG(Table1_1[[#This Row],[8:2 diPAP]])</f>
        <v>-1.0603807596008574</v>
      </c>
      <c r="DI160">
        <f>LOG(Table1_1[[#This Row],[diSAmPAP]])</f>
        <v>-0.93735069490964029</v>
      </c>
    </row>
    <row r="161" spans="1:113">
      <c r="A161" t="s">
        <v>313</v>
      </c>
      <c r="B161" t="s">
        <v>114</v>
      </c>
      <c r="C161" s="3">
        <v>44314</v>
      </c>
      <c r="D161" t="s">
        <v>131</v>
      </c>
      <c r="E161" t="s">
        <v>145</v>
      </c>
      <c r="F161" t="s">
        <v>314</v>
      </c>
      <c r="G161" t="s">
        <v>118</v>
      </c>
      <c r="H161" t="s">
        <v>119</v>
      </c>
      <c r="I161">
        <v>6</v>
      </c>
      <c r="J161">
        <f>LOG(Table1_1[[#This Row],[Length]])</f>
        <v>0.77815125038364363</v>
      </c>
      <c r="K161">
        <v>3</v>
      </c>
      <c r="L161">
        <f>LOG(Table1_1[[#This Row],[Weight]])</f>
        <v>0.47712125471966244</v>
      </c>
      <c r="M161">
        <v>0.2</v>
      </c>
      <c r="N161">
        <v>4.2750000000000003E-2</v>
      </c>
      <c r="O161">
        <v>0.108</v>
      </c>
      <c r="P161">
        <v>0.08</v>
      </c>
      <c r="Q161">
        <v>2.14</v>
      </c>
      <c r="R161">
        <v>5.1100000000000003</v>
      </c>
      <c r="S161">
        <v>10</v>
      </c>
      <c r="T161">
        <v>7.44</v>
      </c>
      <c r="U161">
        <v>6.15</v>
      </c>
      <c r="V161">
        <v>1.39</v>
      </c>
      <c r="W161">
        <v>1.69</v>
      </c>
      <c r="X161">
        <v>7.1999999999999995E-2</v>
      </c>
      <c r="Y161">
        <v>4.6199999999999998E-2</v>
      </c>
      <c r="Z161">
        <v>0.13600000000000001</v>
      </c>
      <c r="AA161">
        <v>0.33200000000000002</v>
      </c>
      <c r="AB161">
        <v>32.5</v>
      </c>
      <c r="AC161">
        <v>6.49</v>
      </c>
      <c r="AD161">
        <v>899</v>
      </c>
      <c r="AE161">
        <v>0.75700000000000001</v>
      </c>
      <c r="AF161">
        <v>0.98199999999999998</v>
      </c>
      <c r="AG161">
        <v>0.2135</v>
      </c>
      <c r="AH161">
        <v>0.39600000000000002</v>
      </c>
      <c r="AI161">
        <v>0.33400000000000002</v>
      </c>
      <c r="AJ161">
        <v>49.2</v>
      </c>
      <c r="AK161">
        <v>361</v>
      </c>
      <c r="AL161">
        <v>28.3</v>
      </c>
      <c r="AM161">
        <v>4.6649999999999997E-2</v>
      </c>
      <c r="AN161">
        <v>7.0499999999999993E-2</v>
      </c>
      <c r="AO161">
        <v>0.1575</v>
      </c>
      <c r="AP161">
        <v>0.20100000000000001</v>
      </c>
      <c r="AQ161">
        <v>5.2499999999999998E-2</v>
      </c>
      <c r="AR161">
        <v>4.9700000000000001E-2</v>
      </c>
      <c r="AS161">
        <v>0.38</v>
      </c>
      <c r="AT161">
        <v>8.82</v>
      </c>
      <c r="AU161">
        <v>0.22700000000000001</v>
      </c>
      <c r="AV161">
        <v>7.0000000000000007E-2</v>
      </c>
      <c r="AW161">
        <v>1.1100000000000001</v>
      </c>
      <c r="AX161">
        <v>17.899999999999999</v>
      </c>
      <c r="AY161">
        <v>0.47699999999999998</v>
      </c>
      <c r="AZ161">
        <v>2.5099999999999998</v>
      </c>
      <c r="BA161">
        <v>9.0499999999999997E-2</v>
      </c>
      <c r="BB161">
        <v>4.7600000000000003E-2</v>
      </c>
      <c r="BC161">
        <v>3.6499999999999998E-2</v>
      </c>
      <c r="BD161">
        <v>6.0499999999999998E-2</v>
      </c>
      <c r="BE161">
        <v>6.0499999999999998E-2</v>
      </c>
      <c r="BF161">
        <v>6.0499999999999998E-2</v>
      </c>
      <c r="BG161">
        <v>8.6999999999999994E-2</v>
      </c>
      <c r="BH161">
        <v>6.4500000000000002E-2</v>
      </c>
      <c r="BI161">
        <v>8.0500000000000002E-2</v>
      </c>
      <c r="BJ161">
        <v>0.1065</v>
      </c>
      <c r="BK161">
        <f>SUM(Table1_1[[#This Row],[PFBA]:[diSAmPAP]])</f>
        <v>1446.8759000000002</v>
      </c>
      <c r="BL161">
        <f>LOG(Table1_1[[#This Row],[PFBA]])</f>
        <v>-0.69897000433601875</v>
      </c>
      <c r="BM161">
        <f>LOG(Table1_1[[#This Row],[PFPeA]])</f>
        <v>-1.3690638809358084</v>
      </c>
      <c r="BN161">
        <f>LOG(Table1_1[[#This Row],[PFHxA]])</f>
        <v>-0.96657624451305035</v>
      </c>
      <c r="BO161">
        <f>LOG(Table1_1[[#This Row],[PFHpA]])</f>
        <v>-1.0969100130080565</v>
      </c>
      <c r="BP161">
        <f>LOG(Table1_1[[#This Row],[PFOA]])</f>
        <v>0.33041377334919086</v>
      </c>
      <c r="BQ161">
        <f>LOG(Table1_1[[#This Row],[PFNA]])</f>
        <v>0.70842090013471271</v>
      </c>
      <c r="BR161">
        <f>LOG(Table1_1[[#This Row],[PFDA]])</f>
        <v>1</v>
      </c>
      <c r="BS161">
        <f>LOG(Table1_1[[#This Row],[PFUnA]])</f>
        <v>0.87157293554587878</v>
      </c>
      <c r="BT161">
        <f>LOG(Table1_1[[#This Row],[PFDoA]])</f>
        <v>0.7888751157754168</v>
      </c>
      <c r="BU161">
        <f>LOG(Table1_1[[#This Row],[PFTrDA]])</f>
        <v>0.14301480025409505</v>
      </c>
      <c r="BV161">
        <f>LOG(Table1_1[[#This Row],[PFTeDA]])</f>
        <v>0.22788670461367352</v>
      </c>
      <c r="BW161">
        <f>LOG(Table1_1[[#This Row],[PFHxDA]])</f>
        <v>-1.1426675035687315</v>
      </c>
      <c r="BX161">
        <f>LOG(Table1_1[[#This Row],[PFPrS]])</f>
        <v>-1.3353580244438745</v>
      </c>
      <c r="BY161">
        <f>LOG(Table1_1[[#This Row],[PFBS]])</f>
        <v>-0.86646109162978246</v>
      </c>
      <c r="BZ161">
        <f>LOG(Table1_1[[#This Row],[PFPeS]])</f>
        <v>-0.4788619162959637</v>
      </c>
      <c r="CA161">
        <f>LOG(Table1_1[[#This Row],[PFHxS]])</f>
        <v>1.5118833609788744</v>
      </c>
      <c r="CB161">
        <f>LOG(Table1_1[[#This Row],[PFHpS]])</f>
        <v>0.81224469680036926</v>
      </c>
      <c r="CC161">
        <f>LOG(Table1_1[[#This Row],[PFOS]])</f>
        <v>2.9537596917332287</v>
      </c>
      <c r="CD161">
        <f>LOG(Table1_1[[#This Row],[PFNS]])</f>
        <v>-0.12090412049992724</v>
      </c>
      <c r="CE161">
        <f>LOG(Table1_1[[#This Row],[PFDS]])</f>
        <v>-7.8885122130503398E-3</v>
      </c>
      <c r="CF161">
        <f>LOG(Table1_1[[#This Row],[PFDoS]])</f>
        <v>-0.6706021206389573</v>
      </c>
      <c r="CG161">
        <f>LOG(Table1_1[[#This Row],[Cl-PFOS]])</f>
        <v>-0.40230481407448765</v>
      </c>
      <c r="CH161">
        <f>LOG(Table1_1[[#This Row],[PFEtCHxS]])</f>
        <v>-0.4762535331884355</v>
      </c>
      <c r="CI161">
        <f>LOG(Table1_1[[#This Row],[FBSA]])</f>
        <v>1.6919651027673603</v>
      </c>
      <c r="CJ161">
        <f>LOG(Table1_1[[#This Row],[FHxSA]])</f>
        <v>2.5575072019056577</v>
      </c>
      <c r="CK161">
        <f>LOG(Table1_1[[#This Row],[FOSA]])</f>
        <v>1.4517864355242902</v>
      </c>
      <c r="CL161">
        <f>LOG(Table1_1[[#This Row],[N-MeFOSA]])</f>
        <v>-1.3311483519174814</v>
      </c>
      <c r="CM161">
        <f>LOG(Table1_1[[#This Row],[N-EtFOSA]])</f>
        <v>-1.1518108830086013</v>
      </c>
      <c r="CN161">
        <f>LOG(Table1_1[[#This Row],[FOSAA]])</f>
        <v>-0.80271944187438071</v>
      </c>
      <c r="CO161">
        <f>LOG(Table1_1[[#This Row],[N-MeFOSAA]])</f>
        <v>-0.69680394257951106</v>
      </c>
      <c r="CP161">
        <f>LOG(Table1_1[[#This Row],[N-EtFOSAA]])</f>
        <v>-1.2798406965940432</v>
      </c>
      <c r="CQ161">
        <f>LOG(Table1_1[[#This Row],[4:2 FTS]])</f>
        <v>-1.3036436112666678</v>
      </c>
      <c r="CR161">
        <f>LOG(Table1_1[[#This Row],[6:2 FTS]])</f>
        <v>-0.42021640338318983</v>
      </c>
      <c r="CS161">
        <f>LOG(Table1_1[[#This Row],[8:2 FTS]])</f>
        <v>0.94546858513181975</v>
      </c>
      <c r="CT161">
        <f>LOG(Table1_1[[#This Row],[10:2 FTS]])</f>
        <v>-0.64397414280687726</v>
      </c>
      <c r="CU161">
        <f>LOG(Table1_1[[#This Row],[3:3 FTCA]])</f>
        <v>-1.1549019599857431</v>
      </c>
      <c r="CV161">
        <f>LOG(Table1_1[[#This Row],[5:3 FTCA]])</f>
        <v>4.5322978786657475E-2</v>
      </c>
      <c r="CW161">
        <f>LOG(Table1_1[[#This Row],[7:3 FTCA]])</f>
        <v>1.2528530309798931</v>
      </c>
      <c r="CX161">
        <f>LOG(Table1_1[[#This Row],[6:2 FTCA]])</f>
        <v>-0.32148162095988608</v>
      </c>
      <c r="CY161">
        <f>LOG(Table1_1[[#This Row],[8:2 FTCA]])</f>
        <v>0.39967372148103808</v>
      </c>
      <c r="CZ161">
        <f>LOG(Table1_1[[#This Row],[10:2 FTCA]])</f>
        <v>-1.0433514207947967</v>
      </c>
      <c r="DA161">
        <f>LOG(Table1_1[[#This Row],[6:2 FTUCA]])</f>
        <v>-1.3223930472795069</v>
      </c>
      <c r="DB161">
        <f>LOG(Table1_1[[#This Row],[8:2 FTUCA]])</f>
        <v>-1.4377071355435254</v>
      </c>
      <c r="DC161">
        <f>LOG(Table1_1[[#This Row],[ADONA]])</f>
        <v>-1.2182446253475312</v>
      </c>
      <c r="DD161">
        <f>LOG(Table1_1[[#This Row],[9Cl-PF3ONS]])</f>
        <v>-1.2182446253475312</v>
      </c>
      <c r="DE161">
        <f>LOG(Table1_1[[#This Row],[11Cl-PF3OUdS]])</f>
        <v>-1.2182446253475312</v>
      </c>
      <c r="DF161">
        <f>LOG(Table1_1[[#This Row],[HFPO-DA]])</f>
        <v>-1.0604807473813815</v>
      </c>
      <c r="DG161">
        <f>LOG(Table1_1[[#This Row],[6:2 diPAP]])</f>
        <v>-1.1904402853647322</v>
      </c>
      <c r="DH161">
        <f>LOG(Table1_1[[#This Row],[8:2 diPAP]])</f>
        <v>-1.0942041196321315</v>
      </c>
      <c r="DI161">
        <f>LOG(Table1_1[[#This Row],[diSAmPAP]])</f>
        <v>-0.97265039222524352</v>
      </c>
    </row>
    <row r="162" spans="1:113">
      <c r="A162" t="s">
        <v>315</v>
      </c>
      <c r="B162" t="s">
        <v>114</v>
      </c>
      <c r="C162" s="3">
        <v>44393</v>
      </c>
      <c r="D162" t="s">
        <v>131</v>
      </c>
      <c r="E162" t="s">
        <v>145</v>
      </c>
      <c r="F162" t="s">
        <v>146</v>
      </c>
      <c r="G162" t="s">
        <v>118</v>
      </c>
      <c r="H162" t="s">
        <v>119</v>
      </c>
      <c r="I162">
        <v>4</v>
      </c>
      <c r="J162">
        <f>LOG(Table1_1[[#This Row],[Length]])</f>
        <v>0.6020599913279624</v>
      </c>
      <c r="K162">
        <v>2.0099999999999998</v>
      </c>
      <c r="L162">
        <f>LOG(Table1_1[[#This Row],[Weight]])</f>
        <v>0.30319605742048883</v>
      </c>
      <c r="M162">
        <v>0.109</v>
      </c>
      <c r="N162">
        <v>7.6999999999999999E-2</v>
      </c>
      <c r="O162">
        <v>5.8999999999999997E-2</v>
      </c>
      <c r="P162">
        <v>0.2185</v>
      </c>
      <c r="Q162">
        <v>3.75</v>
      </c>
      <c r="R162">
        <v>3.53</v>
      </c>
      <c r="S162">
        <v>10.3</v>
      </c>
      <c r="T162">
        <v>6.13</v>
      </c>
      <c r="U162">
        <v>5.44</v>
      </c>
      <c r="V162">
        <v>2.75</v>
      </c>
      <c r="W162">
        <v>2.4500000000000002</v>
      </c>
      <c r="X162">
        <v>0.13</v>
      </c>
      <c r="Y162">
        <v>0.109</v>
      </c>
      <c r="Z162">
        <v>0.2185</v>
      </c>
      <c r="AA162">
        <v>0.59799999999999998</v>
      </c>
      <c r="AB162">
        <v>68.599999999999994</v>
      </c>
      <c r="AC162">
        <v>6.57</v>
      </c>
      <c r="AD162">
        <v>708</v>
      </c>
      <c r="AE162">
        <v>0.746</v>
      </c>
      <c r="AF162">
        <v>1.25</v>
      </c>
      <c r="AG162">
        <v>0.23350000000000001</v>
      </c>
      <c r="AH162">
        <v>0.52600000000000002</v>
      </c>
      <c r="AI162">
        <v>0.436</v>
      </c>
      <c r="AJ162">
        <v>46.8</v>
      </c>
      <c r="AK162">
        <v>579</v>
      </c>
      <c r="AL162">
        <v>26</v>
      </c>
      <c r="AM162">
        <v>8.4000000000000005E-2</v>
      </c>
      <c r="AN162">
        <v>0.2185</v>
      </c>
      <c r="AO162">
        <v>0.2185</v>
      </c>
      <c r="AP162">
        <v>0.11</v>
      </c>
      <c r="AQ162">
        <v>0.109</v>
      </c>
      <c r="AR162">
        <v>0.109</v>
      </c>
      <c r="AS162">
        <v>0.98599999999999999</v>
      </c>
      <c r="AT162">
        <v>18.3</v>
      </c>
      <c r="AU162">
        <v>0.4365</v>
      </c>
      <c r="AV162">
        <v>0.2185</v>
      </c>
      <c r="AW162">
        <v>0.109</v>
      </c>
      <c r="AX162">
        <v>0.2185</v>
      </c>
      <c r="AY162">
        <v>0.2185</v>
      </c>
      <c r="AZ162">
        <v>0.109</v>
      </c>
      <c r="BA162">
        <v>0.2185</v>
      </c>
      <c r="BB162">
        <v>8.5500000000000007E-2</v>
      </c>
      <c r="BC162">
        <v>6.6000000000000003E-2</v>
      </c>
      <c r="BD162">
        <v>9.6500000000000002E-2</v>
      </c>
      <c r="BE162">
        <v>0.2185</v>
      </c>
      <c r="BF162">
        <v>0.2185</v>
      </c>
      <c r="BG162">
        <v>0.1565</v>
      </c>
      <c r="BH162">
        <v>0.2185</v>
      </c>
      <c r="BI162">
        <v>0.2185</v>
      </c>
      <c r="BJ162">
        <v>0.2185</v>
      </c>
      <c r="BK162">
        <f>SUM(Table1_1[[#This Row],[PFBA]:[diSAmPAP]])</f>
        <v>1497.1909999999991</v>
      </c>
      <c r="BL162">
        <f>LOG(Table1_1[[#This Row],[PFBA]])</f>
        <v>-0.96257350205937642</v>
      </c>
      <c r="BM162">
        <f>LOG(Table1_1[[#This Row],[PFPeA]])</f>
        <v>-1.1135092748275182</v>
      </c>
      <c r="BN162">
        <f>LOG(Table1_1[[#This Row],[PFHxA]])</f>
        <v>-1.2291479883578558</v>
      </c>
      <c r="BO162">
        <f>LOG(Table1_1[[#This Row],[PFHpA]])</f>
        <v>-0.66054855869355933</v>
      </c>
      <c r="BP162">
        <f>LOG(Table1_1[[#This Row],[PFOA]])</f>
        <v>0.57403126772771884</v>
      </c>
      <c r="BQ162">
        <f>LOG(Table1_1[[#This Row],[PFNA]])</f>
        <v>0.54777470538782258</v>
      </c>
      <c r="BR162">
        <f>LOG(Table1_1[[#This Row],[PFDA]])</f>
        <v>1.0128372247051722</v>
      </c>
      <c r="BS162">
        <f>LOG(Table1_1[[#This Row],[PFUnA]])</f>
        <v>0.78746047451841505</v>
      </c>
      <c r="BT162">
        <f>LOG(Table1_1[[#This Row],[PFDoA]])</f>
        <v>0.73559889969817993</v>
      </c>
      <c r="BU162">
        <f>LOG(Table1_1[[#This Row],[PFTrDA]])</f>
        <v>0.43933269383026263</v>
      </c>
      <c r="BV162">
        <f>LOG(Table1_1[[#This Row],[PFTeDA]])</f>
        <v>0.38916608436453248</v>
      </c>
      <c r="BW162">
        <f>LOG(Table1_1[[#This Row],[PFHxDA]])</f>
        <v>-0.88605664769316317</v>
      </c>
      <c r="BX162">
        <f>LOG(Table1_1[[#This Row],[PFPrS]])</f>
        <v>-0.96257350205937642</v>
      </c>
      <c r="BY162">
        <f>LOG(Table1_1[[#This Row],[PFBS]])</f>
        <v>-0.66054855869355933</v>
      </c>
      <c r="BZ162">
        <f>LOG(Table1_1[[#This Row],[PFPeS]])</f>
        <v>-0.22329881601158919</v>
      </c>
      <c r="CA162">
        <f>LOG(Table1_1[[#This Row],[PFHxS]])</f>
        <v>1.8363241157067516</v>
      </c>
      <c r="CB162">
        <f>LOG(Table1_1[[#This Row],[PFHpS]])</f>
        <v>0.81756536955978076</v>
      </c>
      <c r="CC162">
        <f>LOG(Table1_1[[#This Row],[PFOS]])</f>
        <v>2.8500332576897689</v>
      </c>
      <c r="CD162">
        <f>LOG(Table1_1[[#This Row],[PFNS]])</f>
        <v>-0.12726117252733121</v>
      </c>
      <c r="CE162">
        <f>LOG(Table1_1[[#This Row],[PFDS]])</f>
        <v>9.691001300805642E-2</v>
      </c>
      <c r="CF162">
        <f>LOG(Table1_1[[#This Row],[PFDoS]])</f>
        <v>-0.63171311509786898</v>
      </c>
      <c r="CG162">
        <f>LOG(Table1_1[[#This Row],[Cl-PFOS]])</f>
        <v>-0.27901425584626094</v>
      </c>
      <c r="CH162">
        <f>LOG(Table1_1[[#This Row],[PFEtCHxS]])</f>
        <v>-0.36051351073141397</v>
      </c>
      <c r="CI162">
        <f>LOG(Table1_1[[#This Row],[FBSA]])</f>
        <v>1.670245853074124</v>
      </c>
      <c r="CJ162">
        <f>LOG(Table1_1[[#This Row],[FHxSA]])</f>
        <v>2.762678563727436</v>
      </c>
      <c r="CK162">
        <f>LOG(Table1_1[[#This Row],[FOSA]])</f>
        <v>1.414973347970818</v>
      </c>
      <c r="CL162">
        <f>LOG(Table1_1[[#This Row],[N-MeFOSA]])</f>
        <v>-1.0757207139381184</v>
      </c>
      <c r="CM162">
        <f>LOG(Table1_1[[#This Row],[N-EtFOSA]])</f>
        <v>-0.66054855869355933</v>
      </c>
      <c r="CN162">
        <f>LOG(Table1_1[[#This Row],[FOSAA]])</f>
        <v>-0.66054855869355933</v>
      </c>
      <c r="CO162">
        <f>LOG(Table1_1[[#This Row],[N-MeFOSAA]])</f>
        <v>-0.95860731484177497</v>
      </c>
      <c r="CP162">
        <f>LOG(Table1_1[[#This Row],[N-EtFOSAA]])</f>
        <v>-0.96257350205937642</v>
      </c>
      <c r="CQ162">
        <f>LOG(Table1_1[[#This Row],[4:2 FTS]])</f>
        <v>-0.96257350205937642</v>
      </c>
      <c r="CR162">
        <f>LOG(Table1_1[[#This Row],[6:2 FTS]])</f>
        <v>-6.1230850587887945E-3</v>
      </c>
      <c r="CS162">
        <f>LOG(Table1_1[[#This Row],[8:2 FTS]])</f>
        <v>1.2624510897304295</v>
      </c>
      <c r="CT162">
        <f>LOG(Table1_1[[#This Row],[10:2 FTS]])</f>
        <v>-0.36001575195841146</v>
      </c>
      <c r="CU162">
        <f>LOG(Table1_1[[#This Row],[3:3 FTCA]])</f>
        <v>-0.66054855869355933</v>
      </c>
      <c r="CV162">
        <f>LOG(Table1_1[[#This Row],[5:3 FTCA]])</f>
        <v>-0.96257350205937642</v>
      </c>
      <c r="CW162">
        <f>LOG(Table1_1[[#This Row],[7:3 FTCA]])</f>
        <v>-0.66054855869355933</v>
      </c>
      <c r="CX162">
        <f>LOG(Table1_1[[#This Row],[6:2 FTCA]])</f>
        <v>-0.66054855869355933</v>
      </c>
      <c r="CY162">
        <f>LOG(Table1_1[[#This Row],[8:2 FTCA]])</f>
        <v>-0.96257350205937642</v>
      </c>
      <c r="CZ162">
        <f>LOG(Table1_1[[#This Row],[10:2 FTCA]])</f>
        <v>-0.66054855869355933</v>
      </c>
      <c r="DA162">
        <f>LOG(Table1_1[[#This Row],[6:2 FTUCA]])</f>
        <v>-1.0680338852718274</v>
      </c>
      <c r="DB162">
        <f>LOG(Table1_1[[#This Row],[8:2 FTUCA]])</f>
        <v>-1.1804560644581312</v>
      </c>
      <c r="DC162">
        <f>LOG(Table1_1[[#This Row],[ADONA]])</f>
        <v>-1.0154726866562074</v>
      </c>
      <c r="DD162">
        <f>LOG(Table1_1[[#This Row],[9Cl-PF3ONS]])</f>
        <v>-0.66054855869355933</v>
      </c>
      <c r="DE162">
        <f>LOG(Table1_1[[#This Row],[11Cl-PF3OUdS]])</f>
        <v>-0.66054855869355933</v>
      </c>
      <c r="DF162">
        <f>LOG(Table1_1[[#This Row],[HFPO-DA]])</f>
        <v>-0.8054856581175327</v>
      </c>
      <c r="DG162">
        <f>LOG(Table1_1[[#This Row],[6:2 diPAP]])</f>
        <v>-0.66054855869355933</v>
      </c>
      <c r="DH162">
        <f>LOG(Table1_1[[#This Row],[8:2 diPAP]])</f>
        <v>-0.66054855869355933</v>
      </c>
      <c r="DI162">
        <f>LOG(Table1_1[[#This Row],[diSAmPAP]])</f>
        <v>-0.66054855869355933</v>
      </c>
    </row>
    <row r="163" spans="1:113">
      <c r="A163" t="s">
        <v>316</v>
      </c>
      <c r="B163" t="s">
        <v>114</v>
      </c>
      <c r="C163" s="3">
        <v>44393</v>
      </c>
      <c r="D163" t="s">
        <v>131</v>
      </c>
      <c r="E163" t="s">
        <v>145</v>
      </c>
      <c r="F163" t="s">
        <v>146</v>
      </c>
      <c r="G163" t="s">
        <v>118</v>
      </c>
      <c r="H163" t="s">
        <v>119</v>
      </c>
      <c r="I163">
        <v>6</v>
      </c>
      <c r="J163">
        <f>LOG(Table1_1[[#This Row],[Length]])</f>
        <v>0.77815125038364363</v>
      </c>
      <c r="K163">
        <v>2.12</v>
      </c>
      <c r="L163">
        <f>LOG(Table1_1[[#This Row],[Weight]])</f>
        <v>0.32633586092875144</v>
      </c>
      <c r="M163">
        <v>0.24349999999999999</v>
      </c>
      <c r="N163">
        <v>8.5999999999999993E-2</v>
      </c>
      <c r="O163">
        <v>6.6000000000000003E-2</v>
      </c>
      <c r="P163">
        <v>0.24349999999999999</v>
      </c>
      <c r="Q163">
        <v>1.33</v>
      </c>
      <c r="R163">
        <v>2.06</v>
      </c>
      <c r="S163">
        <v>6.13</v>
      </c>
      <c r="T163">
        <v>9.9499999999999993</v>
      </c>
      <c r="U163">
        <v>10.5</v>
      </c>
      <c r="V163">
        <v>7.92</v>
      </c>
      <c r="W163">
        <v>3.36</v>
      </c>
      <c r="X163">
        <v>0.14499999999999999</v>
      </c>
      <c r="Y163">
        <v>0.122</v>
      </c>
      <c r="Z163">
        <v>0.24349999999999999</v>
      </c>
      <c r="AA163">
        <v>0.30299999999999999</v>
      </c>
      <c r="AB163">
        <v>41.3</v>
      </c>
      <c r="AC163">
        <v>3.37</v>
      </c>
      <c r="AD163">
        <v>655</v>
      </c>
      <c r="AE163">
        <v>0.48899999999999999</v>
      </c>
      <c r="AF163">
        <v>0.24349999999999999</v>
      </c>
      <c r="AG163">
        <v>0.26050000000000001</v>
      </c>
      <c r="AH163">
        <v>0.14799999999999999</v>
      </c>
      <c r="AI163">
        <v>0.2</v>
      </c>
      <c r="AJ163">
        <v>195</v>
      </c>
      <c r="AK163">
        <v>726</v>
      </c>
      <c r="AL163">
        <v>18.600000000000001</v>
      </c>
      <c r="AM163">
        <v>9.4E-2</v>
      </c>
      <c r="AN163">
        <v>0.24349999999999999</v>
      </c>
      <c r="AO163">
        <v>0.24349999999999999</v>
      </c>
      <c r="AP163">
        <v>0.1225</v>
      </c>
      <c r="AQ163">
        <v>0.122</v>
      </c>
      <c r="AR163">
        <v>0.122</v>
      </c>
      <c r="AS163">
        <v>0.51700000000000002</v>
      </c>
      <c r="AT163">
        <v>16</v>
      </c>
      <c r="AU163">
        <v>0.24349999999999999</v>
      </c>
      <c r="AV163">
        <v>0.24349999999999999</v>
      </c>
      <c r="AW163">
        <v>0.122</v>
      </c>
      <c r="AX163">
        <v>6.56</v>
      </c>
      <c r="AY163">
        <v>0.24349999999999999</v>
      </c>
      <c r="AZ163">
        <v>0.122</v>
      </c>
      <c r="BA163">
        <v>0.24349999999999999</v>
      </c>
      <c r="BB163">
        <v>9.5500000000000002E-2</v>
      </c>
      <c r="BC163">
        <v>7.3499999999999996E-2</v>
      </c>
      <c r="BD163">
        <v>0.1075</v>
      </c>
      <c r="BE163">
        <v>0.24349999999999999</v>
      </c>
      <c r="BF163">
        <v>0.24349999999999999</v>
      </c>
      <c r="BG163">
        <v>0.17499999999999999</v>
      </c>
      <c r="BH163">
        <v>0.24349999999999999</v>
      </c>
      <c r="BI163">
        <v>0.24349999999999999</v>
      </c>
      <c r="BJ163">
        <v>0.24349999999999999</v>
      </c>
      <c r="BK163">
        <f>SUM(Table1_1[[#This Row],[PFBA]:[diSAmPAP]])</f>
        <v>1710.2250000000006</v>
      </c>
      <c r="BL163">
        <f>LOG(Table1_1[[#This Row],[PFBA]])</f>
        <v>-0.61350103444934689</v>
      </c>
      <c r="BM163">
        <f>LOG(Table1_1[[#This Row],[PFPeA]])</f>
        <v>-1.0655015487564323</v>
      </c>
      <c r="BN163">
        <f>LOG(Table1_1[[#This Row],[PFHxA]])</f>
        <v>-1.1804560644581312</v>
      </c>
      <c r="BO163">
        <f>LOG(Table1_1[[#This Row],[PFHpA]])</f>
        <v>-0.61350103444934689</v>
      </c>
      <c r="BP163">
        <f>LOG(Table1_1[[#This Row],[PFOA]])</f>
        <v>0.12385164096708581</v>
      </c>
      <c r="BQ163">
        <f>LOG(Table1_1[[#This Row],[PFNA]])</f>
        <v>0.31386722036915343</v>
      </c>
      <c r="BR163">
        <f>LOG(Table1_1[[#This Row],[PFDA]])</f>
        <v>0.78746047451841505</v>
      </c>
      <c r="BS163">
        <f>LOG(Table1_1[[#This Row],[PFUnA]])</f>
        <v>0.99782308074572545</v>
      </c>
      <c r="BT163">
        <f>LOG(Table1_1[[#This Row],[PFDoA]])</f>
        <v>1.0211892990699381</v>
      </c>
      <c r="BU163">
        <f>LOG(Table1_1[[#This Row],[PFTrDA]])</f>
        <v>0.89872518158949355</v>
      </c>
      <c r="BV163">
        <f>LOG(Table1_1[[#This Row],[PFTeDA]])</f>
        <v>0.52633927738984398</v>
      </c>
      <c r="BW163">
        <f>LOG(Table1_1[[#This Row],[PFHxDA]])</f>
        <v>-0.83863199776502517</v>
      </c>
      <c r="BX163">
        <f>LOG(Table1_1[[#This Row],[PFPrS]])</f>
        <v>-0.91364016932525183</v>
      </c>
      <c r="BY163">
        <f>LOG(Table1_1[[#This Row],[PFBS]])</f>
        <v>-0.61350103444934689</v>
      </c>
      <c r="BZ163">
        <f>LOG(Table1_1[[#This Row],[PFPeS]])</f>
        <v>-0.51855737149769499</v>
      </c>
      <c r="CA163">
        <f>LOG(Table1_1[[#This Row],[PFHxS]])</f>
        <v>1.6159500516564009</v>
      </c>
      <c r="CB163">
        <f>LOG(Table1_1[[#This Row],[PFHpS]])</f>
        <v>0.52762990087133865</v>
      </c>
      <c r="CC163">
        <f>LOG(Table1_1[[#This Row],[PFOS]])</f>
        <v>2.8162412999917832</v>
      </c>
      <c r="CD163">
        <f>LOG(Table1_1[[#This Row],[PFNS]])</f>
        <v>-0.31069114087637978</v>
      </c>
      <c r="CE163">
        <f>LOG(Table1_1[[#This Row],[PFDS]])</f>
        <v>-0.61350103444934689</v>
      </c>
      <c r="CF163">
        <f>LOG(Table1_1[[#This Row],[PFDoS]])</f>
        <v>-0.5841922723644567</v>
      </c>
      <c r="CG163">
        <f>LOG(Table1_1[[#This Row],[Cl-PFOS]])</f>
        <v>-0.82973828460504262</v>
      </c>
      <c r="CH163">
        <f>LOG(Table1_1[[#This Row],[PFEtCHxS]])</f>
        <v>-0.69897000433601875</v>
      </c>
      <c r="CI163">
        <f>LOG(Table1_1[[#This Row],[FBSA]])</f>
        <v>2.2900346113625178</v>
      </c>
      <c r="CJ163">
        <f>LOG(Table1_1[[#This Row],[FHxSA]])</f>
        <v>2.8609366207000937</v>
      </c>
      <c r="CK163">
        <f>LOG(Table1_1[[#This Row],[FOSA]])</f>
        <v>1.2695129442179163</v>
      </c>
      <c r="CL163">
        <f>LOG(Table1_1[[#This Row],[N-MeFOSA]])</f>
        <v>-1.0268721464003014</v>
      </c>
      <c r="CM163">
        <f>LOG(Table1_1[[#This Row],[N-EtFOSA]])</f>
        <v>-0.61350103444934689</v>
      </c>
      <c r="CN163">
        <f>LOG(Table1_1[[#This Row],[FOSAA]])</f>
        <v>-0.61350103444934689</v>
      </c>
      <c r="CO163">
        <f>LOG(Table1_1[[#This Row],[N-MeFOSAA]])</f>
        <v>-0.91186391129944877</v>
      </c>
      <c r="CP163">
        <f>LOG(Table1_1[[#This Row],[N-EtFOSAA]])</f>
        <v>-0.91364016932525183</v>
      </c>
      <c r="CQ163">
        <f>LOG(Table1_1[[#This Row],[4:2 FTS]])</f>
        <v>-0.91364016932525183</v>
      </c>
      <c r="CR163">
        <f>LOG(Table1_1[[#This Row],[6:2 FTS]])</f>
        <v>-0.2865094569060575</v>
      </c>
      <c r="CS163">
        <f>LOG(Table1_1[[#This Row],[8:2 FTS]])</f>
        <v>1.2041199826559248</v>
      </c>
      <c r="CT163">
        <f>LOG(Table1_1[[#This Row],[10:2 FTS]])</f>
        <v>-0.61350103444934689</v>
      </c>
      <c r="CU163">
        <f>LOG(Table1_1[[#This Row],[3:3 FTCA]])</f>
        <v>-0.61350103444934689</v>
      </c>
      <c r="CV163">
        <f>LOG(Table1_1[[#This Row],[5:3 FTCA]])</f>
        <v>-0.91364016932525183</v>
      </c>
      <c r="CW163">
        <f>LOG(Table1_1[[#This Row],[7:3 FTCA]])</f>
        <v>0.81690383937566025</v>
      </c>
      <c r="CX163">
        <f>LOG(Table1_1[[#This Row],[6:2 FTCA]])</f>
        <v>-0.61350103444934689</v>
      </c>
      <c r="CY163">
        <f>LOG(Table1_1[[#This Row],[8:2 FTCA]])</f>
        <v>-0.91364016932525183</v>
      </c>
      <c r="CZ163">
        <f>LOG(Table1_1[[#This Row],[10:2 FTCA]])</f>
        <v>-0.61350103444934689</v>
      </c>
      <c r="DA163">
        <f>LOG(Table1_1[[#This Row],[6:2 FTUCA]])</f>
        <v>-1.0199966284162536</v>
      </c>
      <c r="DB163">
        <f>LOG(Table1_1[[#This Row],[8:2 FTUCA]])</f>
        <v>-1.133712660915805</v>
      </c>
      <c r="DC163">
        <f>LOG(Table1_1[[#This Row],[ADONA]])</f>
        <v>-0.96859153574837586</v>
      </c>
      <c r="DD163">
        <f>LOG(Table1_1[[#This Row],[9Cl-PF3ONS]])</f>
        <v>-0.61350103444934689</v>
      </c>
      <c r="DE163">
        <f>LOG(Table1_1[[#This Row],[11Cl-PF3OUdS]])</f>
        <v>-0.61350103444934689</v>
      </c>
      <c r="DF163">
        <f>LOG(Table1_1[[#This Row],[HFPO-DA]])</f>
        <v>-0.75696195131370558</v>
      </c>
      <c r="DG163">
        <f>LOG(Table1_1[[#This Row],[6:2 diPAP]])</f>
        <v>-0.61350103444934689</v>
      </c>
      <c r="DH163">
        <f>LOG(Table1_1[[#This Row],[8:2 diPAP]])</f>
        <v>-0.61350103444934689</v>
      </c>
      <c r="DI163">
        <f>LOG(Table1_1[[#This Row],[diSAmPAP]])</f>
        <v>-0.61350103444934689</v>
      </c>
    </row>
    <row r="164" spans="1:113">
      <c r="A164" t="s">
        <v>317</v>
      </c>
      <c r="B164" t="s">
        <v>114</v>
      </c>
      <c r="C164" s="3">
        <v>44393</v>
      </c>
      <c r="D164" t="s">
        <v>131</v>
      </c>
      <c r="E164" t="s">
        <v>145</v>
      </c>
      <c r="F164" t="s">
        <v>146</v>
      </c>
      <c r="G164" t="s">
        <v>118</v>
      </c>
      <c r="H164" t="s">
        <v>119</v>
      </c>
      <c r="I164">
        <v>5</v>
      </c>
      <c r="J164">
        <f>LOG(Table1_1[[#This Row],[Length]])</f>
        <v>0.69897000433601886</v>
      </c>
      <c r="K164">
        <v>2.04</v>
      </c>
      <c r="L164">
        <f>LOG(Table1_1[[#This Row],[Weight]])</f>
        <v>0.30963016742589877</v>
      </c>
      <c r="M164">
        <v>0.2555</v>
      </c>
      <c r="N164">
        <v>9.0499999999999997E-2</v>
      </c>
      <c r="O164">
        <v>0.13800000000000001</v>
      </c>
      <c r="P164">
        <v>0.128</v>
      </c>
      <c r="Q164">
        <v>2.93</v>
      </c>
      <c r="R164">
        <v>2.3199999999999998</v>
      </c>
      <c r="S164">
        <v>6.71</v>
      </c>
      <c r="T164">
        <v>7.72</v>
      </c>
      <c r="U164">
        <v>15.8</v>
      </c>
      <c r="V164">
        <v>7.46</v>
      </c>
      <c r="W164">
        <v>13.6</v>
      </c>
      <c r="X164">
        <v>0.1525</v>
      </c>
      <c r="Y164">
        <v>0.128</v>
      </c>
      <c r="Z164">
        <v>0.2555</v>
      </c>
      <c r="AA164">
        <v>0.36599999999999999</v>
      </c>
      <c r="AB164">
        <v>60.3</v>
      </c>
      <c r="AC164">
        <v>2.69</v>
      </c>
      <c r="AD164">
        <v>724</v>
      </c>
      <c r="AE164">
        <v>0.2555</v>
      </c>
      <c r="AF164">
        <v>0.66</v>
      </c>
      <c r="AG164">
        <v>0.27350000000000002</v>
      </c>
      <c r="AH164">
        <v>0.1555</v>
      </c>
      <c r="AI164">
        <v>0.10249999999999999</v>
      </c>
      <c r="AJ164">
        <v>79.8</v>
      </c>
      <c r="AK164">
        <v>279</v>
      </c>
      <c r="AL164">
        <v>11.6</v>
      </c>
      <c r="AM164">
        <v>9.8500000000000004E-2</v>
      </c>
      <c r="AN164">
        <v>0.2555</v>
      </c>
      <c r="AO164">
        <v>0.2555</v>
      </c>
      <c r="AP164">
        <v>0.1285</v>
      </c>
      <c r="AQ164">
        <v>0.128</v>
      </c>
      <c r="AR164">
        <v>0.128</v>
      </c>
      <c r="AS164">
        <v>0.84799999999999998</v>
      </c>
      <c r="AT164">
        <v>11.5</v>
      </c>
      <c r="AU164">
        <v>0.51</v>
      </c>
      <c r="AV164">
        <v>0.2555</v>
      </c>
      <c r="AW164">
        <v>0.128</v>
      </c>
      <c r="AX164">
        <v>6.73</v>
      </c>
      <c r="AY164">
        <v>0.2555</v>
      </c>
      <c r="AZ164">
        <v>0.128</v>
      </c>
      <c r="BA164">
        <v>0.2555</v>
      </c>
      <c r="BB164">
        <v>0.10050000000000001</v>
      </c>
      <c r="BC164">
        <v>7.7499999999999999E-2</v>
      </c>
      <c r="BD164">
        <v>0.113</v>
      </c>
      <c r="BE164">
        <v>0.2555</v>
      </c>
      <c r="BF164">
        <v>0.2555</v>
      </c>
      <c r="BG164">
        <v>0.1835</v>
      </c>
      <c r="BH164">
        <v>0.2555</v>
      </c>
      <c r="BI164">
        <v>0.2555</v>
      </c>
      <c r="BJ164">
        <v>0.2555</v>
      </c>
      <c r="BK164">
        <f>SUM(Table1_1[[#This Row],[PFBA]:[diSAmPAP]])</f>
        <v>1240.2474999999995</v>
      </c>
      <c r="BL164">
        <f>LOG(Table1_1[[#This Row],[PFBA]])</f>
        <v>-0.59260909552926844</v>
      </c>
      <c r="BM164">
        <f>LOG(Table1_1[[#This Row],[PFPeA]])</f>
        <v>-1.0433514207947967</v>
      </c>
      <c r="BN164">
        <f>LOG(Table1_1[[#This Row],[PFHxA]])</f>
        <v>-0.86012091359876341</v>
      </c>
      <c r="BO164">
        <f>LOG(Table1_1[[#This Row],[PFHpA]])</f>
        <v>-0.89279003035213167</v>
      </c>
      <c r="BP164">
        <f>LOG(Table1_1[[#This Row],[PFOA]])</f>
        <v>0.4668676203541095</v>
      </c>
      <c r="BQ164">
        <f>LOG(Table1_1[[#This Row],[PFNA]])</f>
        <v>0.36548798489089962</v>
      </c>
      <c r="BR164">
        <f>LOG(Table1_1[[#This Row],[PFDA]])</f>
        <v>0.82672252016899206</v>
      </c>
      <c r="BS164">
        <f>LOG(Table1_1[[#This Row],[PFUnA]])</f>
        <v>0.88761730033573616</v>
      </c>
      <c r="BT164">
        <f>LOG(Table1_1[[#This Row],[PFDoA]])</f>
        <v>1.1986570869544226</v>
      </c>
      <c r="BU164">
        <f>LOG(Table1_1[[#This Row],[PFTrDA]])</f>
        <v>0.87273882747266884</v>
      </c>
      <c r="BV164">
        <f>LOG(Table1_1[[#This Row],[PFTeDA]])</f>
        <v>1.1335389083702174</v>
      </c>
      <c r="BW164">
        <f>LOG(Table1_1[[#This Row],[PFHxDA]])</f>
        <v>-0.81673015631719537</v>
      </c>
      <c r="BX164">
        <f>LOG(Table1_1[[#This Row],[PFPrS]])</f>
        <v>-0.89279003035213167</v>
      </c>
      <c r="BY164">
        <f>LOG(Table1_1[[#This Row],[PFBS]])</f>
        <v>-0.59260909552926844</v>
      </c>
      <c r="BZ164">
        <f>LOG(Table1_1[[#This Row],[PFPeS]])</f>
        <v>-0.43651891460558934</v>
      </c>
      <c r="CA164">
        <f>LOG(Table1_1[[#This Row],[PFHxS]])</f>
        <v>1.7803173121401512</v>
      </c>
      <c r="CB164">
        <f>LOG(Table1_1[[#This Row],[PFHpS]])</f>
        <v>0.42975228000240795</v>
      </c>
      <c r="CC164">
        <f>LOG(Table1_1[[#This Row],[PFOS]])</f>
        <v>2.8597385661971471</v>
      </c>
      <c r="CD164">
        <f>LOG(Table1_1[[#This Row],[PFNS]])</f>
        <v>-0.59260909552926844</v>
      </c>
      <c r="CE164">
        <f>LOG(Table1_1[[#This Row],[PFDS]])</f>
        <v>-0.18045606445813131</v>
      </c>
      <c r="CF164">
        <f>LOG(Table1_1[[#This Row],[PFDoS]])</f>
        <v>-0.56304266933055036</v>
      </c>
      <c r="CG164">
        <f>LOG(Table1_1[[#This Row],[Cl-PFOS]])</f>
        <v>-0.80826960663714364</v>
      </c>
      <c r="CH164">
        <f>LOG(Table1_1[[#This Row],[PFEtCHxS]])</f>
        <v>-0.98927613460822694</v>
      </c>
      <c r="CI164">
        <f>LOG(Table1_1[[#This Row],[FBSA]])</f>
        <v>1.9020028913507294</v>
      </c>
      <c r="CJ164">
        <f>LOG(Table1_1[[#This Row],[FHxSA]])</f>
        <v>2.4456042032735974</v>
      </c>
      <c r="CK164">
        <f>LOG(Table1_1[[#This Row],[FOSA]])</f>
        <v>1.0644579892269184</v>
      </c>
      <c r="CL164">
        <f>LOG(Table1_1[[#This Row],[N-MeFOSA]])</f>
        <v>-1.0065637695023884</v>
      </c>
      <c r="CM164">
        <f>LOG(Table1_1[[#This Row],[N-EtFOSA]])</f>
        <v>-0.59260909552926844</v>
      </c>
      <c r="CN164">
        <f>LOG(Table1_1[[#This Row],[FOSAA]])</f>
        <v>-0.59260909552926844</v>
      </c>
      <c r="CO164">
        <f>LOG(Table1_1[[#This Row],[N-MeFOSAA]])</f>
        <v>-0.89109687233268664</v>
      </c>
      <c r="CP164">
        <f>LOG(Table1_1[[#This Row],[N-EtFOSAA]])</f>
        <v>-0.89279003035213167</v>
      </c>
      <c r="CQ164">
        <f>LOG(Table1_1[[#This Row],[4:2 FTS]])</f>
        <v>-0.89279003035213167</v>
      </c>
      <c r="CR164">
        <f>LOG(Table1_1[[#This Row],[6:2 FTS]])</f>
        <v>-7.1604147743286189E-2</v>
      </c>
      <c r="CS164">
        <f>LOG(Table1_1[[#This Row],[8:2 FTS]])</f>
        <v>1.0606978403536116</v>
      </c>
      <c r="CT164">
        <f>LOG(Table1_1[[#This Row],[10:2 FTS]])</f>
        <v>-0.29242982390206362</v>
      </c>
      <c r="CU164">
        <f>LOG(Table1_1[[#This Row],[3:3 FTCA]])</f>
        <v>-0.59260909552926844</v>
      </c>
      <c r="CV164">
        <f>LOG(Table1_1[[#This Row],[5:3 FTCA]])</f>
        <v>-0.89279003035213167</v>
      </c>
      <c r="CW164">
        <f>LOG(Table1_1[[#This Row],[7:3 FTCA]])</f>
        <v>0.82801506422397686</v>
      </c>
      <c r="CX164">
        <f>LOG(Table1_1[[#This Row],[6:2 FTCA]])</f>
        <v>-0.59260909552926844</v>
      </c>
      <c r="CY164">
        <f>LOG(Table1_1[[#This Row],[8:2 FTCA]])</f>
        <v>-0.89279003035213167</v>
      </c>
      <c r="CZ164">
        <f>LOG(Table1_1[[#This Row],[10:2 FTCA]])</f>
        <v>-0.59260909552926844</v>
      </c>
      <c r="DA164">
        <f>LOG(Table1_1[[#This Row],[6:2 FTUCA]])</f>
        <v>-0.99783393824349231</v>
      </c>
      <c r="DB164">
        <f>LOG(Table1_1[[#This Row],[8:2 FTUCA]])</f>
        <v>-1.1106982974936896</v>
      </c>
      <c r="DC164">
        <f>LOG(Table1_1[[#This Row],[ADONA]])</f>
        <v>-0.94692155651658028</v>
      </c>
      <c r="DD164">
        <f>LOG(Table1_1[[#This Row],[9Cl-PF3ONS]])</f>
        <v>-0.59260909552926844</v>
      </c>
      <c r="DE164">
        <f>LOG(Table1_1[[#This Row],[11Cl-PF3OUdS]])</f>
        <v>-0.59260909552926844</v>
      </c>
      <c r="DF164">
        <f>LOG(Table1_1[[#This Row],[HFPO-DA]])</f>
        <v>-0.73636393141189183</v>
      </c>
      <c r="DG164">
        <f>LOG(Table1_1[[#This Row],[6:2 diPAP]])</f>
        <v>-0.59260909552926844</v>
      </c>
      <c r="DH164">
        <f>LOG(Table1_1[[#This Row],[8:2 diPAP]])</f>
        <v>-0.59260909552926844</v>
      </c>
      <c r="DI164">
        <f>LOG(Table1_1[[#This Row],[diSAmPAP]])</f>
        <v>-0.59260909552926844</v>
      </c>
    </row>
    <row r="165" spans="1:113">
      <c r="A165" t="s">
        <v>318</v>
      </c>
      <c r="B165" t="s">
        <v>114</v>
      </c>
      <c r="C165" s="3">
        <v>44393</v>
      </c>
      <c r="D165" t="s">
        <v>131</v>
      </c>
      <c r="E165" t="s">
        <v>145</v>
      </c>
      <c r="F165" t="s">
        <v>146</v>
      </c>
      <c r="G165" t="s">
        <v>118</v>
      </c>
      <c r="H165" t="s">
        <v>119</v>
      </c>
      <c r="I165">
        <v>4</v>
      </c>
      <c r="J165">
        <f>LOG(Table1_1[[#This Row],[Length]])</f>
        <v>0.6020599913279624</v>
      </c>
      <c r="K165">
        <v>3.02</v>
      </c>
      <c r="L165">
        <f>LOG(Table1_1[[#This Row],[Weight]])</f>
        <v>0.48000694295715063</v>
      </c>
      <c r="M165">
        <v>0.248</v>
      </c>
      <c r="N165">
        <v>8.7499999999999994E-2</v>
      </c>
      <c r="O165">
        <v>0.13400000000000001</v>
      </c>
      <c r="P165">
        <v>0.248</v>
      </c>
      <c r="Q165">
        <v>5.39</v>
      </c>
      <c r="R165">
        <v>7.52</v>
      </c>
      <c r="S165">
        <v>11.1</v>
      </c>
      <c r="T165">
        <v>9.7200000000000006</v>
      </c>
      <c r="U165">
        <v>7.14</v>
      </c>
      <c r="V165">
        <v>3.78</v>
      </c>
      <c r="W165">
        <v>2.5299999999999998</v>
      </c>
      <c r="X165">
        <v>0.14749999999999999</v>
      </c>
      <c r="Y165">
        <v>0.124</v>
      </c>
      <c r="Z165">
        <v>0.248</v>
      </c>
      <c r="AA165">
        <v>0.435</v>
      </c>
      <c r="AB165">
        <v>62.7</v>
      </c>
      <c r="AC165">
        <v>6.45</v>
      </c>
      <c r="AD165">
        <v>809</v>
      </c>
      <c r="AE165">
        <v>0.71499999999999997</v>
      </c>
      <c r="AF165">
        <v>0.66800000000000004</v>
      </c>
      <c r="AG165">
        <v>0.26500000000000001</v>
      </c>
      <c r="AH165">
        <v>0.32800000000000001</v>
      </c>
      <c r="AI165">
        <v>0.33400000000000002</v>
      </c>
      <c r="AJ165">
        <v>54</v>
      </c>
      <c r="AK165">
        <v>383</v>
      </c>
      <c r="AL165">
        <v>13.5</v>
      </c>
      <c r="AM165">
        <v>9.5500000000000002E-2</v>
      </c>
      <c r="AN165">
        <v>0.248</v>
      </c>
      <c r="AO165">
        <v>0.248</v>
      </c>
      <c r="AP165">
        <v>0.1245</v>
      </c>
      <c r="AQ165">
        <v>0.124</v>
      </c>
      <c r="AR165">
        <v>0.124</v>
      </c>
      <c r="AS165">
        <v>1.42</v>
      </c>
      <c r="AT165">
        <v>20.3</v>
      </c>
      <c r="AU165">
        <v>0.248</v>
      </c>
      <c r="AV165">
        <v>0.248</v>
      </c>
      <c r="AW165">
        <v>0.95</v>
      </c>
      <c r="AX165">
        <v>0.248</v>
      </c>
      <c r="AY165">
        <v>0.248</v>
      </c>
      <c r="AZ165">
        <v>0.124</v>
      </c>
      <c r="BA165">
        <v>0.248</v>
      </c>
      <c r="BB165">
        <v>9.7500000000000003E-2</v>
      </c>
      <c r="BC165">
        <v>7.4999999999999997E-2</v>
      </c>
      <c r="BD165">
        <v>0.1095</v>
      </c>
      <c r="BE165">
        <v>0.248</v>
      </c>
      <c r="BF165">
        <v>0.248</v>
      </c>
      <c r="BG165">
        <v>0.17799999999999999</v>
      </c>
      <c r="BH165">
        <v>0.248</v>
      </c>
      <c r="BI165">
        <v>0.248</v>
      </c>
      <c r="BJ165">
        <v>0.248</v>
      </c>
      <c r="BK165">
        <f>SUM(Table1_1[[#This Row],[PFBA]:[diSAmPAP]])</f>
        <v>1406.5100000000007</v>
      </c>
      <c r="BL165">
        <f>LOG(Table1_1[[#This Row],[PFBA]])</f>
        <v>-0.60554831917378371</v>
      </c>
      <c r="BM165">
        <f>LOG(Table1_1[[#This Row],[PFPeA]])</f>
        <v>-1.0579919469776868</v>
      </c>
      <c r="BN165">
        <f>LOG(Table1_1[[#This Row],[PFHxA]])</f>
        <v>-0.8728952016351923</v>
      </c>
      <c r="BO165">
        <f>LOG(Table1_1[[#This Row],[PFHpA]])</f>
        <v>-0.60554831917378371</v>
      </c>
      <c r="BP165">
        <f>LOG(Table1_1[[#This Row],[PFOA]])</f>
        <v>0.73158876518673865</v>
      </c>
      <c r="BQ165">
        <f>LOG(Table1_1[[#This Row],[PFNA]])</f>
        <v>0.87621784059164221</v>
      </c>
      <c r="BR165">
        <f>LOG(Table1_1[[#This Row],[PFDA]])</f>
        <v>1.0453229787866574</v>
      </c>
      <c r="BS165">
        <f>LOG(Table1_1[[#This Row],[PFUnA]])</f>
        <v>0.98766626492627463</v>
      </c>
      <c r="BT165">
        <f>LOG(Table1_1[[#This Row],[PFDoA]])</f>
        <v>0.85369821177617433</v>
      </c>
      <c r="BU165">
        <f>LOG(Table1_1[[#This Row],[PFTrDA]])</f>
        <v>0.57749179983722532</v>
      </c>
      <c r="BV165">
        <f>LOG(Table1_1[[#This Row],[PFTeDA]])</f>
        <v>0.40312052117581787</v>
      </c>
      <c r="BW165">
        <f>LOG(Table1_1[[#This Row],[PFHxDA]])</f>
        <v>-0.83120797968581828</v>
      </c>
      <c r="BX165">
        <f>LOG(Table1_1[[#This Row],[PFPrS]])</f>
        <v>-0.90657831483776496</v>
      </c>
      <c r="BY165">
        <f>LOG(Table1_1[[#This Row],[PFBS]])</f>
        <v>-0.60554831917378371</v>
      </c>
      <c r="BZ165">
        <f>LOG(Table1_1[[#This Row],[PFPeS]])</f>
        <v>-0.36151074304536268</v>
      </c>
      <c r="CA165">
        <f>LOG(Table1_1[[#This Row],[PFHxS]])</f>
        <v>1.7972675408307164</v>
      </c>
      <c r="CB165">
        <f>LOG(Table1_1[[#This Row],[PFHpS]])</f>
        <v>0.80955971463526777</v>
      </c>
      <c r="CC165">
        <f>LOG(Table1_1[[#This Row],[PFOS]])</f>
        <v>2.9079485216122722</v>
      </c>
      <c r="CD165">
        <f>LOG(Table1_1[[#This Row],[PFNS]])</f>
        <v>-0.14569395819891939</v>
      </c>
      <c r="CE165">
        <f>LOG(Table1_1[[#This Row],[PFDS]])</f>
        <v>-0.1752235375244543</v>
      </c>
      <c r="CF165">
        <f>LOG(Table1_1[[#This Row],[PFDoS]])</f>
        <v>-0.5767541260631921</v>
      </c>
      <c r="CG165">
        <f>LOG(Table1_1[[#This Row],[Cl-PFOS]])</f>
        <v>-0.4841261562883209</v>
      </c>
      <c r="CH165">
        <f>LOG(Table1_1[[#This Row],[PFEtCHxS]])</f>
        <v>-0.4762535331884355</v>
      </c>
      <c r="CI165">
        <f>LOG(Table1_1[[#This Row],[FBSA]])</f>
        <v>1.7323937598229686</v>
      </c>
      <c r="CJ165">
        <f>LOG(Table1_1[[#This Row],[FHxSA]])</f>
        <v>2.5831987739686229</v>
      </c>
      <c r="CK165">
        <f>LOG(Table1_1[[#This Row],[FOSA]])</f>
        <v>1.1303337684950061</v>
      </c>
      <c r="CL165">
        <f>LOG(Table1_1[[#This Row],[N-MeFOSA]])</f>
        <v>-1.0199966284162536</v>
      </c>
      <c r="CM165">
        <f>LOG(Table1_1[[#This Row],[N-EtFOSA]])</f>
        <v>-0.60554831917378371</v>
      </c>
      <c r="CN165">
        <f>LOG(Table1_1[[#This Row],[FOSAA]])</f>
        <v>-0.60554831917378371</v>
      </c>
      <c r="CO165">
        <f>LOG(Table1_1[[#This Row],[N-MeFOSAA]])</f>
        <v>-0.90483064856824491</v>
      </c>
      <c r="CP165">
        <f>LOG(Table1_1[[#This Row],[N-EtFOSAA]])</f>
        <v>-0.90657831483776496</v>
      </c>
      <c r="CQ165">
        <f>LOG(Table1_1[[#This Row],[4:2 FTS]])</f>
        <v>-0.90657831483776496</v>
      </c>
      <c r="CR165">
        <f>LOG(Table1_1[[#This Row],[6:2 FTS]])</f>
        <v>0.15228834438305647</v>
      </c>
      <c r="CS165">
        <f>LOG(Table1_1[[#This Row],[8:2 FTS]])</f>
        <v>1.307496037913213</v>
      </c>
      <c r="CT165">
        <f>LOG(Table1_1[[#This Row],[10:2 FTS]])</f>
        <v>-0.60554831917378371</v>
      </c>
      <c r="CU165">
        <f>LOG(Table1_1[[#This Row],[3:3 FTCA]])</f>
        <v>-0.60554831917378371</v>
      </c>
      <c r="CV165">
        <f>LOG(Table1_1[[#This Row],[5:3 FTCA]])</f>
        <v>-2.2276394711152253E-2</v>
      </c>
      <c r="CW165">
        <f>LOG(Table1_1[[#This Row],[7:3 FTCA]])</f>
        <v>-0.60554831917378371</v>
      </c>
      <c r="CX165">
        <f>LOG(Table1_1[[#This Row],[6:2 FTCA]])</f>
        <v>-0.60554831917378371</v>
      </c>
      <c r="CY165">
        <f>LOG(Table1_1[[#This Row],[8:2 FTCA]])</f>
        <v>-0.90657831483776496</v>
      </c>
      <c r="CZ165">
        <f>LOG(Table1_1[[#This Row],[10:2 FTCA]])</f>
        <v>-0.60554831917378371</v>
      </c>
      <c r="DA165">
        <f>LOG(Table1_1[[#This Row],[6:2 FTUCA]])</f>
        <v>-1.0109953843014632</v>
      </c>
      <c r="DB165">
        <f>LOG(Table1_1[[#This Row],[8:2 FTUCA]])</f>
        <v>-1.1249387366082999</v>
      </c>
      <c r="DC165">
        <f>LOG(Table1_1[[#This Row],[ADONA]])</f>
        <v>-0.96058588082386287</v>
      </c>
      <c r="DD165">
        <f>LOG(Table1_1[[#This Row],[9Cl-PF3ONS]])</f>
        <v>-0.60554831917378371</v>
      </c>
      <c r="DE165">
        <f>LOG(Table1_1[[#This Row],[11Cl-PF3OUdS]])</f>
        <v>-0.60554831917378371</v>
      </c>
      <c r="DF165">
        <f>LOG(Table1_1[[#This Row],[HFPO-DA]])</f>
        <v>-0.74957999769110606</v>
      </c>
      <c r="DG165">
        <f>LOG(Table1_1[[#This Row],[6:2 diPAP]])</f>
        <v>-0.60554831917378371</v>
      </c>
      <c r="DH165">
        <f>LOG(Table1_1[[#This Row],[8:2 diPAP]])</f>
        <v>-0.60554831917378371</v>
      </c>
      <c r="DI165">
        <f>LOG(Table1_1[[#This Row],[diSAmPAP]])</f>
        <v>-0.60554831917378371</v>
      </c>
    </row>
    <row r="166" spans="1:113">
      <c r="A166" t="s">
        <v>319</v>
      </c>
      <c r="B166" t="s">
        <v>121</v>
      </c>
      <c r="C166" s="3">
        <v>44393</v>
      </c>
      <c r="D166" t="s">
        <v>131</v>
      </c>
      <c r="E166" t="s">
        <v>132</v>
      </c>
      <c r="F166" t="s">
        <v>133</v>
      </c>
      <c r="G166" t="s">
        <v>118</v>
      </c>
      <c r="H166" t="s">
        <v>119</v>
      </c>
      <c r="I166">
        <v>4</v>
      </c>
      <c r="J166">
        <f>LOG(Table1_1[[#This Row],[Length]])</f>
        <v>0.6020599913279624</v>
      </c>
      <c r="K166">
        <v>1.79</v>
      </c>
      <c r="L166">
        <f>LOG(Table1_1[[#This Row],[Weight]])</f>
        <v>0.2528530309798932</v>
      </c>
      <c r="M166">
        <v>0.2155</v>
      </c>
      <c r="N166">
        <v>0.2155</v>
      </c>
      <c r="O166">
        <v>0.11600000000000001</v>
      </c>
      <c r="P166">
        <v>0.2155</v>
      </c>
      <c r="Q166">
        <v>2.09</v>
      </c>
      <c r="R166">
        <v>3.62</v>
      </c>
      <c r="S166">
        <v>5.03</v>
      </c>
      <c r="T166">
        <v>8.4600000000000009</v>
      </c>
      <c r="U166">
        <v>9.19</v>
      </c>
      <c r="V166">
        <v>2.59</v>
      </c>
      <c r="W166">
        <v>5.59</v>
      </c>
      <c r="X166">
        <v>0.25650000000000001</v>
      </c>
      <c r="Y166">
        <v>0.43099999999999999</v>
      </c>
      <c r="Z166">
        <v>0.14649999999999999</v>
      </c>
      <c r="AA166">
        <v>0.114</v>
      </c>
      <c r="AB166">
        <v>42</v>
      </c>
      <c r="AC166">
        <v>3.64</v>
      </c>
      <c r="AD166">
        <v>707</v>
      </c>
      <c r="AE166">
        <v>0.65700000000000003</v>
      </c>
      <c r="AF166">
        <v>1.01</v>
      </c>
      <c r="AG166">
        <v>0.51</v>
      </c>
      <c r="AH166">
        <v>0.13100000000000001</v>
      </c>
      <c r="AI166">
        <v>0.23100000000000001</v>
      </c>
      <c r="AJ166">
        <v>17.8</v>
      </c>
      <c r="AK166">
        <v>57.3</v>
      </c>
      <c r="AL166">
        <v>7.14</v>
      </c>
      <c r="AM166">
        <v>0.16600000000000001</v>
      </c>
      <c r="AN166">
        <v>0.43099999999999999</v>
      </c>
      <c r="AO166">
        <v>0.43099999999999999</v>
      </c>
      <c r="AP166">
        <v>0.2165</v>
      </c>
      <c r="AQ166">
        <v>0.2155</v>
      </c>
      <c r="AR166">
        <v>0.2155</v>
      </c>
      <c r="AS166">
        <v>0.51500000000000001</v>
      </c>
      <c r="AT166">
        <v>14.5</v>
      </c>
      <c r="AU166">
        <v>1.04</v>
      </c>
      <c r="AV166">
        <v>0.2485</v>
      </c>
      <c r="AW166">
        <v>0.2155</v>
      </c>
      <c r="AX166">
        <v>10.6</v>
      </c>
      <c r="AY166">
        <v>0.43099999999999999</v>
      </c>
      <c r="AZ166">
        <v>0.43099999999999999</v>
      </c>
      <c r="BA166">
        <v>0.43099999999999999</v>
      </c>
      <c r="BB166">
        <v>0.43099999999999999</v>
      </c>
      <c r="BC166">
        <v>0.43099999999999999</v>
      </c>
      <c r="BD166">
        <v>0.2155</v>
      </c>
      <c r="BE166">
        <v>0.43099999999999999</v>
      </c>
      <c r="BF166">
        <v>0.43099999999999999</v>
      </c>
      <c r="BG166">
        <v>0.309</v>
      </c>
      <c r="BH166">
        <v>0.43099999999999999</v>
      </c>
      <c r="BI166">
        <v>0.43099999999999999</v>
      </c>
      <c r="BJ166">
        <v>0.43099999999999999</v>
      </c>
      <c r="BK166">
        <f>SUM(Table1_1[[#This Row],[PFBA]:[diSAmPAP]])</f>
        <v>909.32850000000042</v>
      </c>
      <c r="BL166">
        <f>LOG(Table1_1[[#This Row],[PFBA]])</f>
        <v>-0.66655272550324962</v>
      </c>
      <c r="BM166">
        <f>LOG(Table1_1[[#This Row],[PFPeA]])</f>
        <v>-0.66655272550324962</v>
      </c>
      <c r="BN166">
        <f>LOG(Table1_1[[#This Row],[PFHxA]])</f>
        <v>-0.93554201077308152</v>
      </c>
      <c r="BO166">
        <f>LOG(Table1_1[[#This Row],[PFHpA]])</f>
        <v>-0.66655272550324962</v>
      </c>
      <c r="BP166">
        <f>LOG(Table1_1[[#This Row],[PFOA]])</f>
        <v>0.32014628611105395</v>
      </c>
      <c r="BQ166">
        <f>LOG(Table1_1[[#This Row],[PFNA]])</f>
        <v>0.55870857053316569</v>
      </c>
      <c r="BR166">
        <f>LOG(Table1_1[[#This Row],[PFDA]])</f>
        <v>0.70156798505592743</v>
      </c>
      <c r="BS166">
        <f>LOG(Table1_1[[#This Row],[PFUnA]])</f>
        <v>0.92737036303902354</v>
      </c>
      <c r="BT166">
        <f>LOG(Table1_1[[#This Row],[PFDoA]])</f>
        <v>0.96331551138611127</v>
      </c>
      <c r="BU166">
        <f>LOG(Table1_1[[#This Row],[PFTrDA]])</f>
        <v>0.4132997640812518</v>
      </c>
      <c r="BV166">
        <f>LOG(Table1_1[[#This Row],[PFTeDA]])</f>
        <v>0.74741180788642325</v>
      </c>
      <c r="BW166">
        <f>LOG(Table1_1[[#This Row],[PFHxDA]])</f>
        <v>-0.59091263055216492</v>
      </c>
      <c r="BX166">
        <f>LOG(Table1_1[[#This Row],[PFPrS]])</f>
        <v>-0.36552272983926842</v>
      </c>
      <c r="BY166">
        <f>LOG(Table1_1[[#This Row],[PFBS]])</f>
        <v>-0.83416237530987181</v>
      </c>
      <c r="BZ166">
        <f>LOG(Table1_1[[#This Row],[PFPeS]])</f>
        <v>-0.94309514866352739</v>
      </c>
      <c r="CA166">
        <f>LOG(Table1_1[[#This Row],[PFHxS]])</f>
        <v>1.6232492903979006</v>
      </c>
      <c r="CB166">
        <f>LOG(Table1_1[[#This Row],[PFHpS]])</f>
        <v>0.56110138364905604</v>
      </c>
      <c r="CC166">
        <f>LOG(Table1_1[[#This Row],[PFOS]])</f>
        <v>2.8494194137968996</v>
      </c>
      <c r="CD166">
        <f>LOG(Table1_1[[#This Row],[PFNS]])</f>
        <v>-0.18243463044021921</v>
      </c>
      <c r="CE166">
        <f>LOG(Table1_1[[#This Row],[PFDS]])</f>
        <v>4.3213737826425782E-3</v>
      </c>
      <c r="CF166">
        <f>LOG(Table1_1[[#This Row],[PFDoS]])</f>
        <v>-0.29242982390206362</v>
      </c>
      <c r="CG166">
        <f>LOG(Table1_1[[#This Row],[Cl-PFOS]])</f>
        <v>-0.88272870434423567</v>
      </c>
      <c r="CH166">
        <f>LOG(Table1_1[[#This Row],[PFEtCHxS]])</f>
        <v>-0.63638802010785567</v>
      </c>
      <c r="CI166">
        <f>LOG(Table1_1[[#This Row],[FBSA]])</f>
        <v>1.2504200023088941</v>
      </c>
      <c r="CJ166">
        <f>LOG(Table1_1[[#This Row],[FHxSA]])</f>
        <v>1.75815462196739</v>
      </c>
      <c r="CK166">
        <f>LOG(Table1_1[[#This Row],[FOSA]])</f>
        <v>0.85369821177617433</v>
      </c>
      <c r="CL166">
        <f>LOG(Table1_1[[#This Row],[N-MeFOSA]])</f>
        <v>-0.77989191195994489</v>
      </c>
      <c r="CM166">
        <f>LOG(Table1_1[[#This Row],[N-EtFOSA]])</f>
        <v>-0.36552272983926842</v>
      </c>
      <c r="CN166">
        <f>LOG(Table1_1[[#This Row],[FOSAA]])</f>
        <v>-0.36552272983926842</v>
      </c>
      <c r="CO166">
        <f>LOG(Table1_1[[#This Row],[N-MeFOSAA]])</f>
        <v>-0.66454209931061581</v>
      </c>
      <c r="CP166">
        <f>LOG(Table1_1[[#This Row],[N-EtFOSAA]])</f>
        <v>-0.66655272550324962</v>
      </c>
      <c r="CQ166">
        <f>LOG(Table1_1[[#This Row],[4:2 FTS]])</f>
        <v>-0.66655272550324962</v>
      </c>
      <c r="CR166">
        <f>LOG(Table1_1[[#This Row],[6:2 FTS]])</f>
        <v>-0.28819277095880896</v>
      </c>
      <c r="CS166">
        <f>LOG(Table1_1[[#This Row],[8:2 FTS]])</f>
        <v>1.1613680022349748</v>
      </c>
      <c r="CT166">
        <f>LOG(Table1_1[[#This Row],[10:2 FTS]])</f>
        <v>1.703333929878037E-2</v>
      </c>
      <c r="CU166">
        <f>LOG(Table1_1[[#This Row],[3:3 FTCA]])</f>
        <v>-0.60467360693064909</v>
      </c>
      <c r="CV166">
        <f>LOG(Table1_1[[#This Row],[5:3 FTCA]])</f>
        <v>-0.66655272550324962</v>
      </c>
      <c r="CW166">
        <f>LOG(Table1_1[[#This Row],[7:3 FTCA]])</f>
        <v>1.0253058652647702</v>
      </c>
      <c r="CX166">
        <f>LOG(Table1_1[[#This Row],[6:2 FTCA]])</f>
        <v>-0.36552272983926842</v>
      </c>
      <c r="CY166">
        <f>LOG(Table1_1[[#This Row],[8:2 FTCA]])</f>
        <v>-0.36552272983926842</v>
      </c>
      <c r="CZ166">
        <f>LOG(Table1_1[[#This Row],[10:2 FTCA]])</f>
        <v>-0.36552272983926842</v>
      </c>
      <c r="DA166">
        <f>LOG(Table1_1[[#This Row],[6:2 FTUCA]])</f>
        <v>-0.36552272983926842</v>
      </c>
      <c r="DB166">
        <f>LOG(Table1_1[[#This Row],[8:2 FTUCA]])</f>
        <v>-0.36552272983926842</v>
      </c>
      <c r="DC166">
        <f>LOG(Table1_1[[#This Row],[ADONA]])</f>
        <v>-0.66655272550324962</v>
      </c>
      <c r="DD166">
        <f>LOG(Table1_1[[#This Row],[9Cl-PF3ONS]])</f>
        <v>-0.36552272983926842</v>
      </c>
      <c r="DE166">
        <f>LOG(Table1_1[[#This Row],[11Cl-PF3OUdS]])</f>
        <v>-0.36552272983926842</v>
      </c>
      <c r="DF166">
        <f>LOG(Table1_1[[#This Row],[HFPO-DA]])</f>
        <v>-0.51004152057516539</v>
      </c>
      <c r="DG166">
        <f>LOG(Table1_1[[#This Row],[6:2 diPAP]])</f>
        <v>-0.36552272983926842</v>
      </c>
      <c r="DH166">
        <f>LOG(Table1_1[[#This Row],[8:2 diPAP]])</f>
        <v>-0.36552272983926842</v>
      </c>
      <c r="DI166">
        <f>LOG(Table1_1[[#This Row],[diSAmPAP]])</f>
        <v>-0.36552272983926842</v>
      </c>
    </row>
    <row r="169" spans="1:113">
      <c r="AJ169" t="s">
        <v>320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0B7B-613D-44F8-9F0E-2D2FDD8087D2}">
  <dimension ref="A1:AX166"/>
  <sheetViews>
    <sheetView topLeftCell="AD1" workbookViewId="0">
      <selection activeCell="A166" sqref="A1:AX166"/>
    </sheetView>
  </sheetViews>
  <sheetFormatPr defaultRowHeight="15.6"/>
  <sheetData>
    <row r="1" spans="1:50">
      <c r="A1" t="str">
        <f>_xlfn.CONCAT("log_",Table1_1[[#Headers],[PFBA]])</f>
        <v>log_PFBA</v>
      </c>
      <c r="B1" t="str">
        <f>_xlfn.CONCAT("log_",Table1_1[[#Headers],[PFPeA]])</f>
        <v>log_PFPeA</v>
      </c>
      <c r="C1" t="str">
        <f>_xlfn.CONCAT("log_",Table1_1[[#Headers],[PFHxA]])</f>
        <v>log_PFHxA</v>
      </c>
      <c r="D1" t="str">
        <f>_xlfn.CONCAT("log_",Table1_1[[#Headers],[PFHpA]])</f>
        <v>log_PFHpA</v>
      </c>
      <c r="E1" t="str">
        <f>_xlfn.CONCAT("log_",Table1_1[[#Headers],[PFOA]])</f>
        <v>log_PFOA</v>
      </c>
      <c r="F1" t="str">
        <f>_xlfn.CONCAT("log_",Table1_1[[#Headers],[PFNA]])</f>
        <v>log_PFNA</v>
      </c>
      <c r="G1" t="str">
        <f>_xlfn.CONCAT("log_",Table1_1[[#Headers],[PFDA]])</f>
        <v>log_PFDA</v>
      </c>
      <c r="H1" t="str">
        <f>_xlfn.CONCAT("log_",Table1_1[[#Headers],[PFUnA]])</f>
        <v>log_PFUnA</v>
      </c>
      <c r="I1" t="str">
        <f>_xlfn.CONCAT("log_",Table1_1[[#Headers],[PFDoA]])</f>
        <v>log_PFDoA</v>
      </c>
      <c r="J1" t="str">
        <f>_xlfn.CONCAT("log_",Table1_1[[#Headers],[PFTrDA]])</f>
        <v>log_PFTrDA</v>
      </c>
      <c r="K1" t="str">
        <f>_xlfn.CONCAT("log_",Table1_1[[#Headers],[PFTeDA]])</f>
        <v>log_PFTeDA</v>
      </c>
      <c r="L1" t="str">
        <f>_xlfn.CONCAT("log_",Table1_1[[#Headers],[PFHxDA]])</f>
        <v>log_PFHxDA</v>
      </c>
      <c r="M1" t="str">
        <f>_xlfn.CONCAT("log_",Table1_1[[#Headers],[PFPrS]])</f>
        <v>log_PFPrS</v>
      </c>
      <c r="N1" t="str">
        <f>_xlfn.CONCAT("log_",Table1_1[[#Headers],[PFBS]])</f>
        <v>log_PFBS</v>
      </c>
      <c r="O1" t="str">
        <f>_xlfn.CONCAT("log_",Table1_1[[#Headers],[PFPeS]])</f>
        <v>log_PFPeS</v>
      </c>
      <c r="P1" t="str">
        <f>_xlfn.CONCAT("log_",Table1_1[[#Headers],[PFHxS]])</f>
        <v>log_PFHxS</v>
      </c>
      <c r="Q1" t="str">
        <f>_xlfn.CONCAT("log_",Table1_1[[#Headers],[PFHpS]])</f>
        <v>log_PFHpS</v>
      </c>
      <c r="R1" t="str">
        <f>_xlfn.CONCAT("log_",Table1_1[[#Headers],[PFOS]])</f>
        <v>log_PFOS</v>
      </c>
      <c r="S1" t="str">
        <f>_xlfn.CONCAT("log_",Table1_1[[#Headers],[PFNS]])</f>
        <v>log_PFNS</v>
      </c>
      <c r="T1" t="str">
        <f>_xlfn.CONCAT("log_",Table1_1[[#Headers],[PFDS]])</f>
        <v>log_PFDS</v>
      </c>
      <c r="U1" t="str">
        <f>_xlfn.CONCAT("log_",Table1_1[[#Headers],[PFDoS]])</f>
        <v>log_PFDoS</v>
      </c>
      <c r="V1" t="str">
        <f>_xlfn.CONCAT("log_",Table1_1[[#Headers],[Cl-PFOS]])</f>
        <v>log_Cl-PFOS</v>
      </c>
      <c r="W1" t="str">
        <f>_xlfn.CONCAT("log_",Table1_1[[#Headers],[PFEtCHxS]])</f>
        <v>log_PFEtCHxS</v>
      </c>
      <c r="X1" t="str">
        <f>_xlfn.CONCAT("log_",Table1_1[[#Headers],[FBSA]])</f>
        <v>log_FBSA</v>
      </c>
      <c r="Y1" t="str">
        <f>_xlfn.CONCAT("log_",Table1_1[[#Headers],[FHxSA]])</f>
        <v>log_FHxSA</v>
      </c>
      <c r="Z1" t="str">
        <f>_xlfn.CONCAT("log_",Table1_1[[#Headers],[FOSA]])</f>
        <v>log_FOSA</v>
      </c>
      <c r="AA1" t="str">
        <f>_xlfn.CONCAT("log_",Table1_1[[#Headers],[N-MeFOSA]])</f>
        <v>log_N-MeFOSA</v>
      </c>
      <c r="AB1" t="str">
        <f>_xlfn.CONCAT("log_",Table1_1[[#Headers],[N-EtFOSA]])</f>
        <v>log_N-EtFOSA</v>
      </c>
      <c r="AC1" t="str">
        <f>_xlfn.CONCAT("log_",Table1_1[[#Headers],[FOSAA]])</f>
        <v>log_FOSAA</v>
      </c>
      <c r="AD1" t="str">
        <f>_xlfn.CONCAT("log_",Table1_1[[#Headers],[N-MeFOSAA]])</f>
        <v>log_N-MeFOSAA</v>
      </c>
      <c r="AE1" t="str">
        <f>_xlfn.CONCAT("log_",Table1_1[[#Headers],[N-EtFOSAA]])</f>
        <v>log_N-EtFOSAA</v>
      </c>
      <c r="AF1" t="str">
        <f>_xlfn.CONCAT("log_",Table1_1[[#Headers],[4:2 FTS]])</f>
        <v>log_4:2 FTS</v>
      </c>
      <c r="AG1" t="str">
        <f>_xlfn.CONCAT("log_",Table1_1[[#Headers],[6:2 FTS]])</f>
        <v>log_6:2 FTS</v>
      </c>
      <c r="AH1" t="str">
        <f>_xlfn.CONCAT("log_",Table1_1[[#Headers],[8:2 FTS]])</f>
        <v>log_8:2 FTS</v>
      </c>
      <c r="AI1" t="str">
        <f>_xlfn.CONCAT("log_",Table1_1[[#Headers],[10:2 FTS]])</f>
        <v>log_10:2 FTS</v>
      </c>
      <c r="AJ1" t="str">
        <f>_xlfn.CONCAT("log_",Table1_1[[#Headers],[3:3 FTCA]])</f>
        <v>log_3:3 FTCA</v>
      </c>
      <c r="AK1" t="str">
        <f>_xlfn.CONCAT("log_",Table1_1[[#Headers],[5:3 FTCA]])</f>
        <v>log_5:3 FTCA</v>
      </c>
      <c r="AL1" t="str">
        <f>_xlfn.CONCAT("log_",Table1_1[[#Headers],[7:3 FTCA]])</f>
        <v>log_7:3 FTCA</v>
      </c>
      <c r="AM1" t="str">
        <f>_xlfn.CONCAT("log_",Table1_1[[#Headers],[6:2 FTCA]])</f>
        <v>log_6:2 FTCA</v>
      </c>
      <c r="AN1" t="str">
        <f>_xlfn.CONCAT("log_",Table1_1[[#Headers],[8:2 FTCA]])</f>
        <v>log_8:2 FTCA</v>
      </c>
      <c r="AO1" t="str">
        <f>_xlfn.CONCAT("log_",Table1_1[[#Headers],[10:2 FTCA]])</f>
        <v>log_10:2 FTCA</v>
      </c>
      <c r="AP1" t="str">
        <f>_xlfn.CONCAT("log_",Table1_1[[#Headers],[6:2 FTUCA]])</f>
        <v>log_6:2 FTUCA</v>
      </c>
      <c r="AQ1" t="str">
        <f>_xlfn.CONCAT("log_",Table1_1[[#Headers],[8:2 FTUCA]])</f>
        <v>log_8:2 FTUCA</v>
      </c>
      <c r="AR1" t="str">
        <f>_xlfn.CONCAT("log_",Table1_1[[#Headers],[ADONA]])</f>
        <v>log_ADONA</v>
      </c>
      <c r="AS1" t="str">
        <f>_xlfn.CONCAT("log_",Table1_1[[#Headers],[9Cl-PF3ONS]])</f>
        <v>log_9Cl-PF3ONS</v>
      </c>
      <c r="AT1" t="str">
        <f>_xlfn.CONCAT("log_",Table1_1[[#Headers],[11Cl-PF3OUdS]])</f>
        <v>log_11Cl-PF3OUdS</v>
      </c>
      <c r="AU1" t="str">
        <f>_xlfn.CONCAT("log_",Table1_1[[#Headers],[HFPO-DA]])</f>
        <v>log_HFPO-DA</v>
      </c>
      <c r="AV1" t="str">
        <f>_xlfn.CONCAT("log_",Table1_1[[#Headers],[6:2 diPAP]])</f>
        <v>log_6:2 diPAP</v>
      </c>
      <c r="AW1" t="str">
        <f>_xlfn.CONCAT("log_",Table1_1[[#Headers],[8:2 diPAP]])</f>
        <v>log_8:2 diPAP</v>
      </c>
      <c r="AX1" t="str">
        <f>_xlfn.CONCAT("log_",Table1_1[[#Headers],[diSAmPAP]])</f>
        <v>log_diSAmPAP</v>
      </c>
    </row>
    <row r="2" spans="1:50">
      <c r="A2">
        <f>LOG(Table1_1[[#This Row],[PFBA]])</f>
        <v>-0.66354026615147055</v>
      </c>
      <c r="B2">
        <f>LOG(Table1_1[[#This Row],[PFPeA]])</f>
        <v>-1.333950261519484</v>
      </c>
      <c r="C2">
        <f>LOG(Table1_1[[#This Row],[PFHxA]])</f>
        <v>-0.9318141382538383</v>
      </c>
      <c r="D2">
        <f>LOG(Table1_1[[#This Row],[PFHpA]])</f>
        <v>-1.0604807473813815</v>
      </c>
      <c r="E2">
        <f>LOG(Table1_1[[#This Row],[PFOA]])</f>
        <v>0.26245108973042947</v>
      </c>
      <c r="F2">
        <f>LOG(Table1_1[[#This Row],[PFNA]])</f>
        <v>0.64246452024212131</v>
      </c>
      <c r="G2">
        <f>LOG(Table1_1[[#This Row],[PFDA]])</f>
        <v>0.78604121024255424</v>
      </c>
      <c r="H2">
        <f>LOG(Table1_1[[#This Row],[PFUnA]])</f>
        <v>0.86864443839482575</v>
      </c>
      <c r="I2">
        <f>LOG(Table1_1[[#This Row],[PFDoA]])</f>
        <v>0.88817949391832496</v>
      </c>
      <c r="J2">
        <f>LOG(Table1_1[[#This Row],[PFTrDA]])</f>
        <v>0.3961993470957364</v>
      </c>
      <c r="K2">
        <f>LOG(Table1_1[[#This Row],[PFTeDA]])</f>
        <v>0.76192783842052902</v>
      </c>
      <c r="L2">
        <f>LOG(Table1_1[[#This Row],[PFHxDA]])</f>
        <v>-1.1051303432547475</v>
      </c>
      <c r="M2">
        <f>LOG(Table1_1[[#This Row],[PFPrS]])</f>
        <v>-1.3010299956639813</v>
      </c>
      <c r="N2">
        <f>LOG(Table1_1[[#This Row],[PFBS]])</f>
        <v>-0.83120797968581828</v>
      </c>
      <c r="O2">
        <f>LOG(Table1_1[[#This Row],[PFPeS]])</f>
        <v>-0.10846254232743553</v>
      </c>
      <c r="P2">
        <f>LOG(Table1_1[[#This Row],[PFHxS]])</f>
        <v>1.5453071164658241</v>
      </c>
      <c r="Q2">
        <f>LOG(Table1_1[[#This Row],[PFHpS]])</f>
        <v>0.71850168886727428</v>
      </c>
      <c r="R2">
        <f>LOG(Table1_1[[#This Row],[PFOS]])</f>
        <v>3.2227164711475833</v>
      </c>
      <c r="S2">
        <f>LOG(Table1_1[[#This Row],[PFNS]])</f>
        <v>0.51188336097887432</v>
      </c>
      <c r="T2">
        <f>LOG(Table1_1[[#This Row],[PFDS]])</f>
        <v>0.65224634100332324</v>
      </c>
      <c r="U2">
        <f>LOG(Table1_1[[#This Row],[PFDoS]])</f>
        <v>0.46389298898590731</v>
      </c>
      <c r="V2">
        <f>LOG(Table1_1[[#This Row],[Cl-PFOS]])</f>
        <v>-0.31695296176115045</v>
      </c>
      <c r="W2">
        <f>LOG(Table1_1[[#This Row],[PFEtCHxS]])</f>
        <v>-0.3124710387853657</v>
      </c>
      <c r="X2">
        <f>LOG(Table1_1[[#This Row],[FBSA]])</f>
        <v>1.403120521175818</v>
      </c>
      <c r="Y2">
        <f>LOG(Table1_1[[#This Row],[FHxSA]])</f>
        <v>2.0211892990699383</v>
      </c>
      <c r="Z2">
        <f>LOG(Table1_1[[#This Row],[FOSA]])</f>
        <v>1.6812412373755872</v>
      </c>
      <c r="AA2">
        <f>LOG(Table1_1[[#This Row],[N-MeFOSA]])</f>
        <v>-1.2967086218813386</v>
      </c>
      <c r="AB2">
        <f>LOG(Table1_1[[#This Row],[N-EtFOSA]])</f>
        <v>-1.1163385648463824</v>
      </c>
      <c r="AC2">
        <f>LOG(Table1_1[[#This Row],[FOSAA]])</f>
        <v>-1.2839966563652008</v>
      </c>
      <c r="AD2">
        <f>LOG(Table1_1[[#This Row],[N-MeFOSAA]])</f>
        <v>-8.6186147616283335E-2</v>
      </c>
      <c r="AE2">
        <f>LOG(Table1_1[[#This Row],[N-EtFOSAA]])</f>
        <v>-1.2441251443275085</v>
      </c>
      <c r="AF2">
        <f>LOG(Table1_1[[#This Row],[4:2 FTS]])</f>
        <v>-1.2676062401770316</v>
      </c>
      <c r="AG2">
        <f>LOG(Table1_1[[#This Row],[6:2 FTS]])</f>
        <v>-8.5128182459949631E-2</v>
      </c>
      <c r="AH2">
        <f>LOG(Table1_1[[#This Row],[8:2 FTS]])</f>
        <v>0.82801506422397686</v>
      </c>
      <c r="AI2">
        <f>LOG(Table1_1[[#This Row],[10:2 FTS]])</f>
        <v>-0.22841251911874466</v>
      </c>
      <c r="AJ2">
        <f>LOG(Table1_1[[#This Row],[3:3 FTCA]])</f>
        <v>-1.1191864077192086</v>
      </c>
      <c r="AK2">
        <f>LOG(Table1_1[[#This Row],[5:3 FTCA]])</f>
        <v>1.0934216851622351</v>
      </c>
      <c r="AL2">
        <f>LOG(Table1_1[[#This Row],[7:3 FTCA]])</f>
        <v>0.97680833733806627</v>
      </c>
      <c r="AM2">
        <f>LOG(Table1_1[[#This Row],[6:2 FTCA]])</f>
        <v>-1.1804560644581312</v>
      </c>
      <c r="AN2">
        <f>LOG(Table1_1[[#This Row],[8:2 FTCA]])</f>
        <v>-1.1804560644581312</v>
      </c>
      <c r="AO2">
        <f>LOG(Table1_1[[#This Row],[10:2 FTCA]])</f>
        <v>0.26007138798507479</v>
      </c>
      <c r="AP2">
        <f>LOG(Table1_1[[#This Row],[6:2 FTUCA]])</f>
        <v>-1.288192770958809</v>
      </c>
      <c r="AQ2">
        <f>LOG(Table1_1[[#This Row],[8:2 FTUCA]])</f>
        <v>-1.401209493236885</v>
      </c>
      <c r="AR2">
        <f>LOG(Table1_1[[#This Row],[ADONA]])</f>
        <v>-1.1804560644581312</v>
      </c>
      <c r="AS2">
        <f>LOG(Table1_1[[#This Row],[9Cl-PF3ONS]])</f>
        <v>-1.1804560644581312</v>
      </c>
      <c r="AT2">
        <f>LOG(Table1_1[[#This Row],[11Cl-PF3OUdS]])</f>
        <v>-1.1804560644581312</v>
      </c>
      <c r="AU2">
        <f>LOG(Table1_1[[#This Row],[HFPO-DA]])</f>
        <v>-1.0268721464003014</v>
      </c>
      <c r="AV2">
        <f>LOG(Table1_1[[#This Row],[6:2 diPAP]])</f>
        <v>-1.1549019599857431</v>
      </c>
      <c r="AW2">
        <f>LOG(Table1_1[[#This Row],[8:2 diPAP]])</f>
        <v>-1.0604807473813815</v>
      </c>
      <c r="AX2">
        <f>LOG(Table1_1[[#This Row],[diSAmPAP]])</f>
        <v>-0.93741801577183692</v>
      </c>
    </row>
    <row r="3" spans="1:50">
      <c r="A3">
        <f>LOG(Table1_1[[#This Row],[PFBA]])</f>
        <v>-1.0622894315179403</v>
      </c>
      <c r="B3">
        <f>LOG(Table1_1[[#This Row],[PFPeA]])</f>
        <v>-1.3065546864892921</v>
      </c>
      <c r="C3">
        <f>LOG(Table1_1[[#This Row],[PFHxA]])</f>
        <v>-0.93220403763348636</v>
      </c>
      <c r="D3">
        <f>LOG(Table1_1[[#This Row],[PFHpA]])</f>
        <v>-1.0622894315179403</v>
      </c>
      <c r="E3">
        <f>LOG(Table1_1[[#This Row],[PFOA]])</f>
        <v>-0.26280735729526272</v>
      </c>
      <c r="F3">
        <f>LOG(Table1_1[[#This Row],[PFNA]])</f>
        <v>-0.29073003902416922</v>
      </c>
      <c r="G3">
        <f>LOG(Table1_1[[#This Row],[PFDA]])</f>
        <v>0.66181268553726125</v>
      </c>
      <c r="H3">
        <f>LOG(Table1_1[[#This Row],[PFUnA]])</f>
        <v>0.77305469336426258</v>
      </c>
      <c r="I3">
        <f>LOG(Table1_1[[#This Row],[PFDoA]])</f>
        <v>-1.2534500212435842</v>
      </c>
      <c r="J3">
        <f>LOG(Table1_1[[#This Row],[PFTrDA]])</f>
        <v>0.2966651902615311</v>
      </c>
      <c r="K3">
        <f>LOG(Table1_1[[#This Row],[PFTeDA]])</f>
        <v>0.50379068305718111</v>
      </c>
      <c r="L3">
        <f>LOG(Table1_1[[#This Row],[PFHxDA]])</f>
        <v>-1.0794888028794425</v>
      </c>
      <c r="M3">
        <f>LOG(Table1_1[[#This Row],[PFPrS]])</f>
        <v>-1.2731943155633227</v>
      </c>
      <c r="N3">
        <f>LOG(Table1_1[[#This Row],[PFBS]])</f>
        <v>-0.37468754903832613</v>
      </c>
      <c r="O3">
        <f>LOG(Table1_1[[#This Row],[PFPeS]])</f>
        <v>-0.94044660265983782</v>
      </c>
      <c r="P3">
        <f>LOG(Table1_1[[#This Row],[PFHxS]])</f>
        <v>1.0644579892269184</v>
      </c>
      <c r="Q3">
        <f>LOG(Table1_1[[#This Row],[PFHpS]])</f>
        <v>0.44247976906444858</v>
      </c>
      <c r="R3">
        <f>LOG(Table1_1[[#This Row],[PFOS]])</f>
        <v>2.9405164849325671</v>
      </c>
      <c r="S3">
        <f>LOG(Table1_1[[#This Row],[PFNS]])</f>
        <v>6.069784035361165E-2</v>
      </c>
      <c r="T3">
        <f>LOG(Table1_1[[#This Row],[PFDS]])</f>
        <v>-3.8578905933551705E-2</v>
      </c>
      <c r="U3">
        <f>LOG(Table1_1[[#This Row],[PFDoS]])</f>
        <v>-0.63522131936432646</v>
      </c>
      <c r="V3">
        <f>LOG(Table1_1[[#This Row],[Cl-PFOS]])</f>
        <v>-0.88067148365108194</v>
      </c>
      <c r="W3">
        <f>LOG(Table1_1[[#This Row],[PFEtCHxS]])</f>
        <v>-0.45469288353417592</v>
      </c>
      <c r="X3">
        <f>LOG(Table1_1[[#This Row],[FBSA]])</f>
        <v>1.354108439147401</v>
      </c>
      <c r="Y3">
        <f>LOG(Table1_1[[#This Row],[FHxSA]])</f>
        <v>2.1986570869544226</v>
      </c>
      <c r="Z3">
        <f>LOG(Table1_1[[#This Row],[FOSA]])</f>
        <v>1.6304278750250238</v>
      </c>
      <c r="AA3">
        <f>LOG(Table1_1[[#This Row],[N-MeFOSA]])</f>
        <v>-1.2689854154300646</v>
      </c>
      <c r="AB3">
        <f>LOG(Table1_1[[#This Row],[N-EtFOSA]])</f>
        <v>-1.0886369479966098</v>
      </c>
      <c r="AC3">
        <f>LOG(Table1_1[[#This Row],[FOSAA]])</f>
        <v>-1.2590364039306805</v>
      </c>
      <c r="AD3">
        <f>LOG(Table1_1[[#This Row],[N-MeFOSAA]])</f>
        <v>1.1238516409670858</v>
      </c>
      <c r="AE3">
        <f>LOG(Table1_1[[#This Row],[N-EtFOSAA]])</f>
        <v>-0.7258344682593868</v>
      </c>
      <c r="AF3">
        <f>LOG(Table1_1[[#This Row],[4:2 FTS]])</f>
        <v>-1.2411436110867633</v>
      </c>
      <c r="AG3">
        <f>LOG(Table1_1[[#This Row],[6:2 FTS]])</f>
        <v>-0.88350187292508087</v>
      </c>
      <c r="AH3">
        <f>LOG(Table1_1[[#This Row],[8:2 FTS]])</f>
        <v>0.3979400086720376</v>
      </c>
      <c r="AI3">
        <f>LOG(Table1_1[[#This Row],[10:2 FTS]])</f>
        <v>-1.1005182804628866</v>
      </c>
      <c r="AJ3">
        <f>LOG(Table1_1[[#This Row],[3:3 FTCA]])</f>
        <v>-1.0936788360116936</v>
      </c>
      <c r="AK3">
        <f>LOG(Table1_1[[#This Row],[5:3 FTCA]])</f>
        <v>-0.34582345812203946</v>
      </c>
      <c r="AL3">
        <f>LOG(Table1_1[[#This Row],[7:3 FTCA]])</f>
        <v>0.45024910831936105</v>
      </c>
      <c r="AM3">
        <f>LOG(Table1_1[[#This Row],[6:2 FTCA]])</f>
        <v>0.47275644931721239</v>
      </c>
      <c r="AN3">
        <f>LOG(Table1_1[[#This Row],[8:2 FTCA]])</f>
        <v>-0.71444269099222624</v>
      </c>
      <c r="AO3">
        <f>LOG(Table1_1[[#This Row],[10:2 FTCA]])</f>
        <v>-0.98186738044587429</v>
      </c>
      <c r="AP3">
        <f>LOG(Table1_1[[#This Row],[6:2 FTUCA]])</f>
        <v>-1.2607138538465699</v>
      </c>
      <c r="AQ3">
        <f>LOG(Table1_1[[#This Row],[8:2 FTUCA]])</f>
        <v>-1.3744363864133216</v>
      </c>
      <c r="AR3">
        <f>LOG(Table1_1[[#This Row],[ADONA]])</f>
        <v>-1.1556922355427723</v>
      </c>
      <c r="AS3">
        <f>LOG(Table1_1[[#This Row],[9Cl-PF3ONS]])</f>
        <v>-1.3142660370337629</v>
      </c>
      <c r="AT3">
        <f>LOG(Table1_1[[#This Row],[11Cl-PF3OUdS]])</f>
        <v>-1.2591712288786372</v>
      </c>
      <c r="AU3">
        <f>LOG(Table1_1[[#This Row],[HFPO-DA]])</f>
        <v>-0.99883168953521706</v>
      </c>
      <c r="AV3">
        <f>LOG(Table1_1[[#This Row],[6:2 diPAP]])</f>
        <v>-1.1285347648420219</v>
      </c>
      <c r="AW3">
        <f>LOG(Table1_1[[#This Row],[8:2 diPAP]])</f>
        <v>-1.0332096324198399</v>
      </c>
      <c r="AX3">
        <f>LOG(Table1_1[[#This Row],[diSAmPAP]])</f>
        <v>-0.91017956772862274</v>
      </c>
    </row>
    <row r="4" spans="1:50">
      <c r="A4">
        <f>LOG(Table1_1[[#This Row],[PFBA]])</f>
        <v>-1.5497508916806388</v>
      </c>
      <c r="B4">
        <f>LOG(Table1_1[[#This Row],[PFPeA]])</f>
        <v>-1.3036436112666678</v>
      </c>
      <c r="C4">
        <f>LOG(Table1_1[[#This Row],[PFHxA]])</f>
        <v>-0.90135627418294306</v>
      </c>
      <c r="D4">
        <f>LOG(Table1_1[[#This Row],[PFHpA]])</f>
        <v>-1.5497508916806388</v>
      </c>
      <c r="E4">
        <f>LOG(Table1_1[[#This Row],[PFOA]])</f>
        <v>-0.18708664335714442</v>
      </c>
      <c r="F4">
        <f>LOG(Table1_1[[#This Row],[PFNA]])</f>
        <v>-0.17263072694617473</v>
      </c>
      <c r="G4">
        <f>LOG(Table1_1[[#This Row],[PFDA]])</f>
        <v>0.84010609445675777</v>
      </c>
      <c r="H4">
        <f>LOG(Table1_1[[#This Row],[PFUnA]])</f>
        <v>0.86391737695786042</v>
      </c>
      <c r="I4">
        <f>LOG(Table1_1[[#This Row],[PFDoA]])</f>
        <v>1.0293837776852097</v>
      </c>
      <c r="J4">
        <f>LOG(Table1_1[[#This Row],[PFTrDA]])</f>
        <v>0.61172330800734176</v>
      </c>
      <c r="K4">
        <f>LOG(Table1_1[[#This Row],[PFTeDA]])</f>
        <v>0.6263403673750424</v>
      </c>
      <c r="L4">
        <f>LOG(Table1_1[[#This Row],[PFHxDA]])</f>
        <v>-1.0757207139381184</v>
      </c>
      <c r="M4">
        <f>LOG(Table1_1[[#This Row],[PFPrS]])</f>
        <v>-1.2716462179787715</v>
      </c>
      <c r="N4">
        <f>LOG(Table1_1[[#This Row],[PFBS]])</f>
        <v>-0.80134291304557737</v>
      </c>
      <c r="O4">
        <f>LOG(Table1_1[[#This Row],[PFPeS]])</f>
        <v>-0.91009488856060206</v>
      </c>
      <c r="P4">
        <f>LOG(Table1_1[[#This Row],[PFHxS]])</f>
        <v>1.2455126678141499</v>
      </c>
      <c r="Q4">
        <f>LOG(Table1_1[[#This Row],[PFHpS]])</f>
        <v>0.62221402296629535</v>
      </c>
      <c r="R4">
        <f>LOG(Table1_1[[#This Row],[PFOS]])</f>
        <v>3.0211892990699383</v>
      </c>
      <c r="S4">
        <f>LOG(Table1_1[[#This Row],[PFNS]])</f>
        <v>9.691001300805642E-2</v>
      </c>
      <c r="T4">
        <f>LOG(Table1_1[[#This Row],[PFDS]])</f>
        <v>0.8965262174895553</v>
      </c>
      <c r="U4">
        <f>LOG(Table1_1[[#This Row],[PFDoS]])</f>
        <v>-0.60467360693064909</v>
      </c>
      <c r="V4">
        <f>LOG(Table1_1[[#This Row],[Cl-PFOS]])</f>
        <v>-0.8507808873446201</v>
      </c>
      <c r="W4">
        <f>LOG(Table1_1[[#This Row],[PFEtCHxS]])</f>
        <v>-0.42829116819131241</v>
      </c>
      <c r="X4">
        <f>LOG(Table1_1[[#This Row],[FBSA]])</f>
        <v>1.3820170425748683</v>
      </c>
      <c r="Y4">
        <f>LOG(Table1_1[[#This Row],[FHxSA]])</f>
        <v>1.9590413923210936</v>
      </c>
      <c r="Z4">
        <f>LOG(Table1_1[[#This Row],[FOSA]])</f>
        <v>1.5831987739686226</v>
      </c>
      <c r="AA4">
        <f>LOG(Table1_1[[#This Row],[N-MeFOSA]])</f>
        <v>-1.2676062401770316</v>
      </c>
      <c r="AB4">
        <f>LOG(Table1_1[[#This Row],[N-EtFOSA]])</f>
        <v>-1.0861861476162833</v>
      </c>
      <c r="AC4">
        <f>LOG(Table1_1[[#This Row],[FOSAA]])</f>
        <v>-1.2557070168773237</v>
      </c>
      <c r="AD4">
        <f>LOG(Table1_1[[#This Row],[N-MeFOSAA]])</f>
        <v>-0.63171311509786898</v>
      </c>
      <c r="AE4">
        <f>LOG(Table1_1[[#This Row],[N-EtFOSAA]])</f>
        <v>-1.2146701649892331</v>
      </c>
      <c r="AF4">
        <f>LOG(Table1_1[[#This Row],[4:2 FTS]])</f>
        <v>-1.2403321553103694</v>
      </c>
      <c r="AG4">
        <f>LOG(Table1_1[[#This Row],[6:2 FTS]])</f>
        <v>-0.38721614328026455</v>
      </c>
      <c r="AH4">
        <f>LOG(Table1_1[[#This Row],[8:2 FTS]])</f>
        <v>0.56110138364905604</v>
      </c>
      <c r="AI4">
        <f>LOG(Table1_1[[#This Row],[10:2 FTS]])</f>
        <v>-1.0969100130080565</v>
      </c>
      <c r="AJ4">
        <f>LOG(Table1_1[[#This Row],[3:3 FTCA]])</f>
        <v>-1.0915149811213503</v>
      </c>
      <c r="AK4">
        <f>LOG(Table1_1[[#This Row],[5:3 FTCA]])</f>
        <v>0.15836249209524964</v>
      </c>
      <c r="AL4">
        <f>LOG(Table1_1[[#This Row],[7:3 FTCA]])</f>
        <v>1.255272505103306</v>
      </c>
      <c r="AM4">
        <f>LOG(Table1_1[[#This Row],[6:2 FTCA]])</f>
        <v>-1.3453422453504753</v>
      </c>
      <c r="AN4">
        <f>LOG(Table1_1[[#This Row],[8:2 FTCA]])</f>
        <v>-1.5497508916806388</v>
      </c>
      <c r="AO4">
        <f>LOG(Table1_1[[#This Row],[10:2 FTCA]])</f>
        <v>-0.97881070093006195</v>
      </c>
      <c r="AP4">
        <f>LOG(Table1_1[[#This Row],[6:2 FTUCA]])</f>
        <v>-1.2557070168773237</v>
      </c>
      <c r="AQ4">
        <f>LOG(Table1_1[[#This Row],[8:2 FTUCA]])</f>
        <v>-1.3705904008972811</v>
      </c>
      <c r="AR4">
        <f>LOG(Table1_1[[#This Row],[ADONA]])</f>
        <v>-1.1518108830086013</v>
      </c>
      <c r="AS4">
        <f>LOG(Table1_1[[#This Row],[9Cl-PF3ONS]])</f>
        <v>-1.3115801779972893</v>
      </c>
      <c r="AT4">
        <f>LOG(Table1_1[[#This Row],[11Cl-PF3OUdS]])</f>
        <v>-1.2557070168773237</v>
      </c>
      <c r="AU4">
        <f>LOG(Table1_1[[#This Row],[HFPO-DA]])</f>
        <v>-0.99567862621735737</v>
      </c>
      <c r="AV4">
        <f>LOG(Table1_1[[#This Row],[6:2 diPAP]])</f>
        <v>-1.1249387366082999</v>
      </c>
      <c r="AW4">
        <f>LOG(Table1_1[[#This Row],[8:2 diPAP]])</f>
        <v>-1.0291883891274822</v>
      </c>
      <c r="AX4">
        <f>LOG(Table1_1[[#This Row],[diSAmPAP]])</f>
        <v>-0.90657831483776496</v>
      </c>
    </row>
    <row r="5" spans="1:50">
      <c r="A5">
        <f>LOG(Table1_1[[#This Row],[PFBA]])</f>
        <v>-1.5718652059712113</v>
      </c>
      <c r="B5">
        <f>LOG(Table1_1[[#This Row],[PFPeA]])</f>
        <v>-1.324221658325915</v>
      </c>
      <c r="C5">
        <f>LOG(Table1_1[[#This Row],[PFHxA]])</f>
        <v>-0.92263209471584351</v>
      </c>
      <c r="D5">
        <f>LOG(Table1_1[[#This Row],[PFHpA]])</f>
        <v>-1.5718652059712113</v>
      </c>
      <c r="E5">
        <f>LOG(Table1_1[[#This Row],[PFOA]])</f>
        <v>-0.18442225167573273</v>
      </c>
      <c r="F5">
        <f>LOG(Table1_1[[#This Row],[PFNA]])</f>
        <v>-0.13846558914096219</v>
      </c>
      <c r="G5">
        <f>LOG(Table1_1[[#This Row],[PFDA]])</f>
        <v>0.69108149212296843</v>
      </c>
      <c r="H5">
        <f>LOG(Table1_1[[#This Row],[PFUnA]])</f>
        <v>0.86687781433749889</v>
      </c>
      <c r="I5">
        <f>LOG(Table1_1[[#This Row],[PFDoA]])</f>
        <v>0.82542611776782315</v>
      </c>
      <c r="J5">
        <f>LOG(Table1_1[[#This Row],[PFTrDA]])</f>
        <v>0.4927603890268375</v>
      </c>
      <c r="K5">
        <f>LOG(Table1_1[[#This Row],[PFTeDA]])</f>
        <v>0.43136376415898736</v>
      </c>
      <c r="L5">
        <f>LOG(Table1_1[[#This Row],[PFHxDA]])</f>
        <v>-1.0969100130080565</v>
      </c>
      <c r="M5">
        <f>LOG(Table1_1[[#This Row],[PFPrS]])</f>
        <v>-1.2924298239020637</v>
      </c>
      <c r="N5">
        <f>LOG(Table1_1[[#This Row],[PFBS]])</f>
        <v>-0.8224635000701378</v>
      </c>
      <c r="O5">
        <f>LOG(Table1_1[[#This Row],[PFPeS]])</f>
        <v>-0.9318141382538383</v>
      </c>
      <c r="P5">
        <f>LOG(Table1_1[[#This Row],[PFHxS]])</f>
        <v>1.1760912590556813</v>
      </c>
      <c r="Q5">
        <f>LOG(Table1_1[[#This Row],[PFHpS]])</f>
        <v>0.63144376901317201</v>
      </c>
      <c r="R5">
        <f>LOG(Table1_1[[#This Row],[PFOS]])</f>
        <v>2.8450980400142569</v>
      </c>
      <c r="S5">
        <f>LOG(Table1_1[[#This Row],[PFNS]])</f>
        <v>-0.12959609472097294</v>
      </c>
      <c r="T5">
        <f>LOG(Table1_1[[#This Row],[PFDS]])</f>
        <v>0.55509444857831913</v>
      </c>
      <c r="U5">
        <f>LOG(Table1_1[[#This Row],[PFDoS]])</f>
        <v>-0.62616885492616969</v>
      </c>
      <c r="V5">
        <f>LOG(Table1_1[[#This Row],[Cl-PFOS]])</f>
        <v>-0.87127771566157319</v>
      </c>
      <c r="W5">
        <f>LOG(Table1_1[[#This Row],[PFEtCHxS]])</f>
        <v>-0.35556141053216145</v>
      </c>
      <c r="X5">
        <f>LOG(Table1_1[[#This Row],[FBSA]])</f>
        <v>1.3560258571931227</v>
      </c>
      <c r="Y5">
        <f>LOG(Table1_1[[#This Row],[FHxSA]])</f>
        <v>1.8369567370595505</v>
      </c>
      <c r="Z5">
        <f>LOG(Table1_1[[#This Row],[FOSA]])</f>
        <v>1.5365584425715302</v>
      </c>
      <c r="AA5">
        <f>LOG(Table1_1[[#This Row],[N-MeFOSA]])</f>
        <v>-1.288192770958809</v>
      </c>
      <c r="AB5">
        <f>LOG(Table1_1[[#This Row],[N-EtFOSA]])</f>
        <v>-1.1051303432547475</v>
      </c>
      <c r="AC5">
        <f>LOG(Table1_1[[#This Row],[FOSAA]])</f>
        <v>-1.2757241303992111</v>
      </c>
      <c r="AD5">
        <f>LOG(Table1_1[[#This Row],[N-MeFOSAA]])</f>
        <v>-0.6526699846830496</v>
      </c>
      <c r="AE5">
        <f>LOG(Table1_1[[#This Row],[N-EtFOSAA]])</f>
        <v>-1.2365720064370627</v>
      </c>
      <c r="AF5">
        <f>LOG(Table1_1[[#This Row],[4:2 FTS]])</f>
        <v>-1.2596373105057561</v>
      </c>
      <c r="AG5">
        <f>LOG(Table1_1[[#This Row],[6:2 FTS]])</f>
        <v>-0.33629907461035186</v>
      </c>
      <c r="AH5">
        <f>LOG(Table1_1[[#This Row],[8:2 FTS]])</f>
        <v>0.65513843481138212</v>
      </c>
      <c r="AI5">
        <f>LOG(Table1_1[[#This Row],[10:2 FTS]])</f>
        <v>-0.59946201060805382</v>
      </c>
      <c r="AJ5">
        <f>LOG(Table1_1[[#This Row],[3:3 FTCA]])</f>
        <v>-1.1106982974936896</v>
      </c>
      <c r="AK5">
        <f>LOG(Table1_1[[#This Row],[5:3 FTCA]])</f>
        <v>-1.2967086218813386</v>
      </c>
      <c r="AL5">
        <f>LOG(Table1_1[[#This Row],[7:3 FTCA]])</f>
        <v>-3.0507515046188267E-3</v>
      </c>
      <c r="AM5">
        <f>LOG(Table1_1[[#This Row],[6:2 FTCA]])</f>
        <v>-1.3660268442103265</v>
      </c>
      <c r="AN5">
        <f>LOG(Table1_1[[#This Row],[8:2 FTCA]])</f>
        <v>-1.5718652059712113</v>
      </c>
      <c r="AO5">
        <f>LOG(Table1_1[[#This Row],[10:2 FTCA]])</f>
        <v>-1</v>
      </c>
      <c r="AP5">
        <f>LOG(Table1_1[[#This Row],[6:2 FTUCA]])</f>
        <v>-1.2798406965940432</v>
      </c>
      <c r="AQ5">
        <f>LOG(Table1_1[[#This Row],[8:2 FTUCA]])</f>
        <v>-1.391473966422806</v>
      </c>
      <c r="AR5">
        <f>LOG(Table1_1[[#This Row],[ADONA]])</f>
        <v>-1.1739251972991736</v>
      </c>
      <c r="AS5">
        <f>LOG(Table1_1[[#This Row],[9Cl-PF3ONS]])</f>
        <v>-1.332547047110046</v>
      </c>
      <c r="AT5">
        <f>LOG(Table1_1[[#This Row],[11Cl-PF3OUdS]])</f>
        <v>-1.2757241303992111</v>
      </c>
      <c r="AU5">
        <f>LOG(Table1_1[[#This Row],[HFPO-DA]])</f>
        <v>-1.0177287669604316</v>
      </c>
      <c r="AV5">
        <f>LOG(Table1_1[[#This Row],[6:2 diPAP]])</f>
        <v>-1.1456939581989194</v>
      </c>
      <c r="AW5">
        <f>LOG(Table1_1[[#This Row],[8:2 diPAP]])</f>
        <v>-1.0506099933550872</v>
      </c>
      <c r="AX5">
        <f>LOG(Table1_1[[#This Row],[diSAmPAP]])</f>
        <v>-0.92811799269387463</v>
      </c>
    </row>
    <row r="6" spans="1:50">
      <c r="A6">
        <f>LOG(Table1_1[[#This Row],[PFBA]])</f>
        <v>-1.5361070110140926</v>
      </c>
      <c r="B6">
        <f>LOG(Table1_1[[#This Row],[PFPeA]])</f>
        <v>-1.288192770958809</v>
      </c>
      <c r="C6">
        <f>LOG(Table1_1[[#This Row],[PFHxA]])</f>
        <v>-1.4061603389187287</v>
      </c>
      <c r="D6">
        <f>LOG(Table1_1[[#This Row],[PFHpA]])</f>
        <v>-1.0177287669604316</v>
      </c>
      <c r="E6">
        <f>LOG(Table1_1[[#This Row],[PFOA]])</f>
        <v>-0.31605286924848786</v>
      </c>
      <c r="F6">
        <f>LOG(Table1_1[[#This Row],[PFNA]])</f>
        <v>-0.13312218566250114</v>
      </c>
      <c r="G6">
        <f>LOG(Table1_1[[#This Row],[PFDA]])</f>
        <v>0.61489721603313463</v>
      </c>
      <c r="H6">
        <f>LOG(Table1_1[[#This Row],[PFUnA]])</f>
        <v>0.91275330367132301</v>
      </c>
      <c r="I6">
        <f>LOG(Table1_1[[#This Row],[PFDoA]])</f>
        <v>0.72672720902657229</v>
      </c>
      <c r="J6">
        <f>LOG(Table1_1[[#This Row],[PFTrDA]])</f>
        <v>0.21484384804769785</v>
      </c>
      <c r="K6">
        <f>LOG(Table1_1[[#This Row],[PFTeDA]])</f>
        <v>0.44715803134221921</v>
      </c>
      <c r="L6">
        <f>LOG(Table1_1[[#This Row],[PFHxDA]])</f>
        <v>-1.0629838925351858</v>
      </c>
      <c r="M6">
        <f>LOG(Table1_1[[#This Row],[PFPrS]])</f>
        <v>-1.2557070168773237</v>
      </c>
      <c r="N6">
        <f>LOG(Table1_1[[#This Row],[PFBS]])</f>
        <v>-0.78781239559604221</v>
      </c>
      <c r="O6">
        <f>LOG(Table1_1[[#This Row],[PFPeS]])</f>
        <v>-0.89619627904404309</v>
      </c>
      <c r="P6">
        <f>LOG(Table1_1[[#This Row],[PFHxS]])</f>
        <v>1.1931245983544616</v>
      </c>
      <c r="Q6">
        <f>LOG(Table1_1[[#This Row],[PFHpS]])</f>
        <v>0.36361197989214433</v>
      </c>
      <c r="R6">
        <f>LOG(Table1_1[[#This Row],[PFOS]])</f>
        <v>2.7909884750888159</v>
      </c>
      <c r="S6">
        <f>LOG(Table1_1[[#This Row],[PFNS]])</f>
        <v>-0.25806092227080107</v>
      </c>
      <c r="T6">
        <f>LOG(Table1_1[[#This Row],[PFDS]])</f>
        <v>0.30535136944662378</v>
      </c>
      <c r="U6">
        <f>LOG(Table1_1[[#This Row],[PFDoS]])</f>
        <v>-0.59091263055216492</v>
      </c>
      <c r="V6">
        <f>LOG(Table1_1[[#This Row],[Cl-PFOS]])</f>
        <v>-0.83713700667807389</v>
      </c>
      <c r="W6">
        <f>LOG(Table1_1[[#This Row],[PFEtCHxS]])</f>
        <v>-0.53313237964589055</v>
      </c>
      <c r="X6">
        <f>LOG(Table1_1[[#This Row],[FBSA]])</f>
        <v>1.5843312243675307</v>
      </c>
      <c r="Y6">
        <f>LOG(Table1_1[[#This Row],[FHxSA]])</f>
        <v>2.0681858617461617</v>
      </c>
      <c r="Z6">
        <f>LOG(Table1_1[[#This Row],[FOSA]])</f>
        <v>1.4502491083193612</v>
      </c>
      <c r="AA6">
        <f>LOG(Table1_1[[#This Row],[N-MeFOSA]])</f>
        <v>-1.2518119729937995</v>
      </c>
      <c r="AB6">
        <f>LOG(Table1_1[[#This Row],[N-EtFOSA]])</f>
        <v>-1.0705810742857071</v>
      </c>
      <c r="AC6">
        <f>LOG(Table1_1[[#This Row],[FOSAA]])</f>
        <v>-1.2403321553103694</v>
      </c>
      <c r="AD6">
        <f>LOG(Table1_1[[#This Row],[N-MeFOSAA]])</f>
        <v>-1.1366771398795441</v>
      </c>
      <c r="AE6">
        <f>LOG(Table1_1[[#This Row],[N-EtFOSAA]])</f>
        <v>-1.2006594505464183</v>
      </c>
      <c r="AF6">
        <f>LOG(Table1_1[[#This Row],[4:2 FTS]])</f>
        <v>-1.2254830342714504</v>
      </c>
      <c r="AG6">
        <f>LOG(Table1_1[[#This Row],[6:2 FTS]])</f>
        <v>-0.83863199776502517</v>
      </c>
      <c r="AH6">
        <f>LOG(Table1_1[[#This Row],[8:2 FTS]])</f>
        <v>0.49692964807321494</v>
      </c>
      <c r="AI6">
        <f>LOG(Table1_1[[#This Row],[10:2 FTS]])</f>
        <v>-1.083546051450075</v>
      </c>
      <c r="AJ6">
        <f>LOG(Table1_1[[#This Row],[3:3 FTCA]])</f>
        <v>-1.0757207139381184</v>
      </c>
      <c r="AK6">
        <f>LOG(Table1_1[[#This Row],[5:3 FTCA]])</f>
        <v>-0.74232142513081545</v>
      </c>
      <c r="AL6">
        <f>LOG(Table1_1[[#This Row],[7:3 FTCA]])</f>
        <v>0.72672720902657229</v>
      </c>
      <c r="AM6">
        <f>LOG(Table1_1[[#This Row],[6:2 FTCA]])</f>
        <v>-1.3311483519174814</v>
      </c>
      <c r="AN6">
        <f>LOG(Table1_1[[#This Row],[8:2 FTCA]])</f>
        <v>-1.5361070110140926</v>
      </c>
      <c r="AO6">
        <f>LOG(Table1_1[[#This Row],[10:2 FTCA]])</f>
        <v>-0.96457026181545169</v>
      </c>
      <c r="AP6">
        <f>LOG(Table1_1[[#This Row],[6:2 FTUCA]])</f>
        <v>-1.2441251443275085</v>
      </c>
      <c r="AQ6">
        <f>LOG(Table1_1[[#This Row],[8:2 FTUCA]])</f>
        <v>-1.3570411205902093</v>
      </c>
      <c r="AR6">
        <f>LOG(Table1_1[[#This Row],[ADONA]])</f>
        <v>-1.1396619934290064</v>
      </c>
      <c r="AS6">
        <f>LOG(Table1_1[[#This Row],[9Cl-PF3ONS]])</f>
        <v>-1.2967086218813386</v>
      </c>
      <c r="AT6">
        <f>LOG(Table1_1[[#This Row],[11Cl-PF3OUdS]])</f>
        <v>-1.2403321553103694</v>
      </c>
      <c r="AU6">
        <f>LOG(Table1_1[[#This Row],[HFPO-DA]])</f>
        <v>-0.98296666070121963</v>
      </c>
      <c r="AV6">
        <f>LOG(Table1_1[[#This Row],[6:2 diPAP]])</f>
        <v>-1.1106982974936896</v>
      </c>
      <c r="AW6">
        <f>LOG(Table1_1[[#This Row],[8:2 diPAP]])</f>
        <v>-1.0154726866562074</v>
      </c>
      <c r="AX6">
        <f>LOG(Table1_1[[#This Row],[diSAmPAP]])</f>
        <v>-0.89279003035213167</v>
      </c>
    </row>
    <row r="7" spans="1:50">
      <c r="A7">
        <f>LOG(Table1_1[[#This Row],[PFBA]])</f>
        <v>-0.65757731917779372</v>
      </c>
      <c r="B7">
        <f>LOG(Table1_1[[#This Row],[PFPeA]])</f>
        <v>-1.3269790928711038</v>
      </c>
      <c r="C7">
        <f>LOG(Table1_1[[#This Row],[PFHxA]])</f>
        <v>-0.92628164965387738</v>
      </c>
      <c r="D7">
        <f>LOG(Table1_1[[#This Row],[PFHpA]])</f>
        <v>-1.0555173278498313</v>
      </c>
      <c r="E7">
        <f>LOG(Table1_1[[#This Row],[PFOA]])</f>
        <v>-0.18976748200491589</v>
      </c>
      <c r="F7">
        <f>LOG(Table1_1[[#This Row],[PFNA]])</f>
        <v>-0.19111413264018789</v>
      </c>
      <c r="G7">
        <f>LOG(Table1_1[[#This Row],[PFDA]])</f>
        <v>0.33243845991560533</v>
      </c>
      <c r="H7">
        <f>LOG(Table1_1[[#This Row],[PFUnA]])</f>
        <v>0.32428245529769262</v>
      </c>
      <c r="I7">
        <f>LOG(Table1_1[[#This Row],[PFDoA]])</f>
        <v>0.48429983934678583</v>
      </c>
      <c r="J7">
        <f>LOG(Table1_1[[#This Row],[PFTrDA]])</f>
        <v>4.9218022670181653E-2</v>
      </c>
      <c r="K7">
        <f>LOG(Table1_1[[#This Row],[PFTeDA]])</f>
        <v>0.24303804868629444</v>
      </c>
      <c r="L7">
        <f>LOG(Table1_1[[#This Row],[PFHxDA]])</f>
        <v>-1.0996328713435297</v>
      </c>
      <c r="M7">
        <f>LOG(Table1_1[[#This Row],[PFPrS]])</f>
        <v>-1.2924298239020637</v>
      </c>
      <c r="N7">
        <f>LOG(Table1_1[[#This Row],[PFBS]])</f>
        <v>-0.82390874094431876</v>
      </c>
      <c r="O7">
        <f>LOG(Table1_1[[#This Row],[PFPeS]])</f>
        <v>-0.93367407463796215</v>
      </c>
      <c r="P7">
        <f>LOG(Table1_1[[#This Row],[PFHxS]])</f>
        <v>1.0606978403536116</v>
      </c>
      <c r="Q7">
        <f>LOG(Table1_1[[#This Row],[PFHpS]])</f>
        <v>0.456366033129043</v>
      </c>
      <c r="R7">
        <f>LOG(Table1_1[[#This Row],[PFOS]])</f>
        <v>2.7101173651118162</v>
      </c>
      <c r="S7">
        <f>LOG(Table1_1[[#This Row],[PFNS]])</f>
        <v>-1.3676222949234686E-2</v>
      </c>
      <c r="T7">
        <f>LOG(Table1_1[[#This Row],[PFDS]])</f>
        <v>-0.18641901143180803</v>
      </c>
      <c r="U7">
        <f>LOG(Table1_1[[#This Row],[PFDoS]])</f>
        <v>-0.62800908853508508</v>
      </c>
      <c r="V7">
        <f>LOG(Table1_1[[#This Row],[Cl-PFOS]])</f>
        <v>-0.87451873429940596</v>
      </c>
      <c r="W7">
        <f>LOG(Table1_1[[#This Row],[PFEtCHxS]])</f>
        <v>-0.57348873863542471</v>
      </c>
      <c r="X7">
        <f>LOG(Table1_1[[#This Row],[FBSA]])</f>
        <v>1.0128372247051722</v>
      </c>
      <c r="Y7">
        <f>LOG(Table1_1[[#This Row],[FHxSA]])</f>
        <v>2.0530784434834195</v>
      </c>
      <c r="Z7">
        <f>LOG(Table1_1[[#This Row],[FOSA]])</f>
        <v>1.510545010206612</v>
      </c>
      <c r="AA7">
        <f>LOG(Table1_1[[#This Row],[N-MeFOSA]])</f>
        <v>-1.288192770958809</v>
      </c>
      <c r="AB7">
        <f>LOG(Table1_1[[#This Row],[N-EtFOSA]])</f>
        <v>-1.1079053973095196</v>
      </c>
      <c r="AC7">
        <f>LOG(Table1_1[[#This Row],[FOSAA]])</f>
        <v>-1.2798406965940432</v>
      </c>
      <c r="AD7">
        <f>LOG(Table1_1[[#This Row],[N-MeFOSAA]])</f>
        <v>-0.65462626944091162</v>
      </c>
      <c r="AE7">
        <f>LOG(Table1_1[[#This Row],[N-EtFOSAA]])</f>
        <v>-0.71896663275227246</v>
      </c>
      <c r="AF7">
        <f>LOG(Table1_1[[#This Row],[4:2 FTS]])</f>
        <v>-1.2636034977233577</v>
      </c>
      <c r="AG7">
        <f>LOG(Table1_1[[#This Row],[6:2 FTS]])</f>
        <v>0.17026171539495738</v>
      </c>
      <c r="AH7">
        <f>LOG(Table1_1[[#This Row],[8:2 FTS]])</f>
        <v>0.34044411484011833</v>
      </c>
      <c r="AI7">
        <f>LOG(Table1_1[[#This Row],[10:2 FTS]])</f>
        <v>-0.6020599913279624</v>
      </c>
      <c r="AJ7">
        <f>LOG(Table1_1[[#This Row],[3:3 FTCA]])</f>
        <v>-1.1135092748275182</v>
      </c>
      <c r="AK7">
        <f>LOG(Table1_1[[#This Row],[5:3 FTCA]])</f>
        <v>-0.11520463605101904</v>
      </c>
      <c r="AL7">
        <f>LOG(Table1_1[[#This Row],[7:3 FTCA]])</f>
        <v>0.40654018043395512</v>
      </c>
      <c r="AM7">
        <f>LOG(Table1_1[[#This Row],[6:2 FTCA]])</f>
        <v>-0.65757731917779372</v>
      </c>
      <c r="AN7">
        <f>LOG(Table1_1[[#This Row],[8:2 FTCA]])</f>
        <v>0.12710479836480765</v>
      </c>
      <c r="AO7">
        <f>LOG(Table1_1[[#This Row],[10:2 FTCA]])</f>
        <v>-0.48346462610420038</v>
      </c>
      <c r="AP7">
        <f>LOG(Table1_1[[#This Row],[6:2 FTUCA]])</f>
        <v>-1.2798406965940432</v>
      </c>
      <c r="AQ7">
        <f>LOG(Table1_1[[#This Row],[8:2 FTUCA]])</f>
        <v>-1.3946949538588904</v>
      </c>
      <c r="AR7">
        <f>LOG(Table1_1[[#This Row],[ADONA]])</f>
        <v>-1.1771783546968955</v>
      </c>
      <c r="AS7">
        <f>LOG(Table1_1[[#This Row],[9Cl-PF3ONS]])</f>
        <v>-1.1771783546968955</v>
      </c>
      <c r="AT7">
        <f>LOG(Table1_1[[#This Row],[11Cl-PF3OUdS]])</f>
        <v>-1.1771783546968955</v>
      </c>
      <c r="AU7">
        <f>LOG(Table1_1[[#This Row],[HFPO-DA]])</f>
        <v>-1.0199966284162536</v>
      </c>
      <c r="AV7">
        <f>LOG(Table1_1[[#This Row],[6:2 diPAP]])</f>
        <v>-1.1487416512809248</v>
      </c>
      <c r="AW7">
        <f>LOG(Table1_1[[#This Row],[8:2 diPAP]])</f>
        <v>-1.0530567293021746</v>
      </c>
      <c r="AX7">
        <f>LOG(Table1_1[[#This Row],[diSAmPAP]])</f>
        <v>-0.92996213339224498</v>
      </c>
    </row>
    <row r="8" spans="1:50">
      <c r="A8">
        <f>LOG(Table1_1[[#This Row],[PFBA]])</f>
        <v>-1.1580151954098861</v>
      </c>
      <c r="B8">
        <f>LOG(Table1_1[[#This Row],[PFPeA]])</f>
        <v>-0.78914663468510682</v>
      </c>
      <c r="C8">
        <f>LOG(Table1_1[[#This Row],[PFHxA]])</f>
        <v>-1.423083044034793</v>
      </c>
      <c r="D8">
        <f>LOG(Table1_1[[#This Row],[PFHpA]])</f>
        <v>-1.0362121726544447</v>
      </c>
      <c r="E8">
        <f>LOG(Table1_1[[#This Row],[PFOA]])</f>
        <v>-0.21968268785984871</v>
      </c>
      <c r="F8">
        <f>LOG(Table1_1[[#This Row],[PFNA]])</f>
        <v>4.9218022670181653E-2</v>
      </c>
      <c r="G8">
        <f>LOG(Table1_1[[#This Row],[PFDA]])</f>
        <v>0.58658730467175491</v>
      </c>
      <c r="H8">
        <f>LOG(Table1_1[[#This Row],[PFUnA]])</f>
        <v>0.69284691927722997</v>
      </c>
      <c r="I8">
        <f>LOG(Table1_1[[#This Row],[PFDoA]])</f>
        <v>0.97634997900327347</v>
      </c>
      <c r="J8">
        <f>LOG(Table1_1[[#This Row],[PFTrDA]])</f>
        <v>0.57054293988189753</v>
      </c>
      <c r="K8">
        <f>LOG(Table1_1[[#This Row],[PFTeDA]])</f>
        <v>0.61804809671209271</v>
      </c>
      <c r="L8">
        <f>LOG(Table1_1[[#This Row],[PFHxDA]])</f>
        <v>-1.080921907623926</v>
      </c>
      <c r="M8">
        <f>LOG(Table1_1[[#This Row],[PFPrS]])</f>
        <v>-1.2757241303992111</v>
      </c>
      <c r="N8">
        <f>LOG(Table1_1[[#This Row],[PFBS]])</f>
        <v>-0.8054856581175327</v>
      </c>
      <c r="O8">
        <f>LOG(Table1_1[[#This Row],[PFPeS]])</f>
        <v>-0.91364016932525183</v>
      </c>
      <c r="P8">
        <f>LOG(Table1_1[[#This Row],[PFHxS]])</f>
        <v>1.1702617153949575</v>
      </c>
      <c r="Q8">
        <f>LOG(Table1_1[[#This Row],[PFHpS]])</f>
        <v>0.66275783168157409</v>
      </c>
      <c r="R8">
        <f>LOG(Table1_1[[#This Row],[PFOS]])</f>
        <v>3.0293837776852097</v>
      </c>
      <c r="S8">
        <f>LOG(Table1_1[[#This Row],[PFNS]])</f>
        <v>8.6359830674748214E-2</v>
      </c>
      <c r="T8">
        <f>LOG(Table1_1[[#This Row],[PFDS]])</f>
        <v>-7.4172425375257686E-2</v>
      </c>
      <c r="U8">
        <f>LOG(Table1_1[[#This Row],[PFDoS]])</f>
        <v>-0.60906489289662091</v>
      </c>
      <c r="V8">
        <f>LOG(Table1_1[[#This Row],[Cl-PFOS]])</f>
        <v>-0.85387196432176193</v>
      </c>
      <c r="W8">
        <f>LOG(Table1_1[[#This Row],[PFEtCHxS]])</f>
        <v>-0.32148162095988608</v>
      </c>
      <c r="X8">
        <f>LOG(Table1_1[[#This Row],[FBSA]])</f>
        <v>1.3424226808222062</v>
      </c>
      <c r="Y8">
        <f>LOG(Table1_1[[#This Row],[FHxSA]])</f>
        <v>2.1760912590556813</v>
      </c>
      <c r="Z8">
        <f>LOG(Table1_1[[#This Row],[FOSA]])</f>
        <v>1.6848453616444126</v>
      </c>
      <c r="AA8">
        <f>LOG(Table1_1[[#This Row],[N-MeFOSA]])</f>
        <v>-1.2676062401770316</v>
      </c>
      <c r="AB8">
        <f>LOG(Table1_1[[#This Row],[N-EtFOSA]])</f>
        <v>-1.0888423912600234</v>
      </c>
      <c r="AC8">
        <f>LOG(Table1_1[[#This Row],[FOSAA]])</f>
        <v>-1.2596373105057561</v>
      </c>
      <c r="AD8">
        <f>LOG(Table1_1[[#This Row],[N-MeFOSAA]])</f>
        <v>-0.63544900464602805</v>
      </c>
      <c r="AE8">
        <f>LOG(Table1_1[[#This Row],[N-EtFOSAA]])</f>
        <v>-0.69897000433601875</v>
      </c>
      <c r="AF8">
        <f>LOG(Table1_1[[#This Row],[4:2 FTS]])</f>
        <v>-1.2403321553103694</v>
      </c>
      <c r="AG8">
        <f>LOG(Table1_1[[#This Row],[6:2 FTS]])</f>
        <v>-0.43062609038495414</v>
      </c>
      <c r="AH8">
        <f>LOG(Table1_1[[#This Row],[8:2 FTS]])</f>
        <v>0.61700034112089897</v>
      </c>
      <c r="AI8">
        <f>LOG(Table1_1[[#This Row],[10:2 FTS]])</f>
        <v>-0.58252830679670697</v>
      </c>
      <c r="AJ8">
        <f>LOG(Table1_1[[#This Row],[3:3 FTCA]])</f>
        <v>-1.0942041196321315</v>
      </c>
      <c r="AK8">
        <f>LOG(Table1_1[[#This Row],[5:3 FTCA]])</f>
        <v>-0.63827216398240705</v>
      </c>
      <c r="AL8">
        <f>LOG(Table1_1[[#This Row],[7:3 FTCA]])</f>
        <v>0.2576785748691845</v>
      </c>
      <c r="AM8">
        <f>LOG(Table1_1[[#This Row],[6:2 FTCA]])</f>
        <v>-0.63827216398240705</v>
      </c>
      <c r="AN8">
        <f>LOG(Table1_1[[#This Row],[8:2 FTCA]])</f>
        <v>5.3078443483419682E-2</v>
      </c>
      <c r="AO8">
        <f>LOG(Table1_1[[#This Row],[10:2 FTCA]])</f>
        <v>-0.46407325860443072</v>
      </c>
      <c r="AP8">
        <f>LOG(Table1_1[[#This Row],[6:2 FTUCA]])</f>
        <v>-1.2596373105057561</v>
      </c>
      <c r="AQ8">
        <f>LOG(Table1_1[[#This Row],[8:2 FTUCA]])</f>
        <v>-1.3757179041643317</v>
      </c>
      <c r="AR8">
        <f>LOG(Table1_1[[#This Row],[ADONA]])</f>
        <v>-1.1580151954098861</v>
      </c>
      <c r="AS8">
        <f>LOG(Table1_1[[#This Row],[9Cl-PF3ONS]])</f>
        <v>-1.1580151954098861</v>
      </c>
      <c r="AT8">
        <f>LOG(Table1_1[[#This Row],[11Cl-PF3OUdS]])</f>
        <v>-1.1580151954098861</v>
      </c>
      <c r="AU8">
        <f>LOG(Table1_1[[#This Row],[HFPO-DA]])</f>
        <v>-1</v>
      </c>
      <c r="AV8">
        <f>LOG(Table1_1[[#This Row],[6:2 diPAP]])</f>
        <v>-1.1307682802690238</v>
      </c>
      <c r="AW8">
        <f>LOG(Table1_1[[#This Row],[8:2 diPAP]])</f>
        <v>-1.0338582672609673</v>
      </c>
      <c r="AX8">
        <f>LOG(Table1_1[[#This Row],[diSAmPAP]])</f>
        <v>-0.91186391129944877</v>
      </c>
    </row>
    <row r="9" spans="1:50">
      <c r="A9">
        <f>LOG(Table1_1[[#This Row],[PFBA]])</f>
        <v>-1.5476270447703511</v>
      </c>
      <c r="B9">
        <f>LOG(Table1_1[[#This Row],[PFPeA]])</f>
        <v>-1.3005494870448329</v>
      </c>
      <c r="C9">
        <f>LOG(Table1_1[[#This Row],[PFHxA]])</f>
        <v>-1.4175416508858971</v>
      </c>
      <c r="D9">
        <f>LOG(Table1_1[[#This Row],[PFHpA]])</f>
        <v>-1.050594551498985</v>
      </c>
      <c r="E9">
        <f>LOG(Table1_1[[#This Row],[PFOA]])</f>
        <v>-4.0958607678906384E-2</v>
      </c>
      <c r="F9">
        <f>LOG(Table1_1[[#This Row],[PFNA]])</f>
        <v>0.52633927738984398</v>
      </c>
      <c r="G9">
        <f>LOG(Table1_1[[#This Row],[PFDA]])</f>
        <v>0.92064500140678762</v>
      </c>
      <c r="H9">
        <f>LOG(Table1_1[[#This Row],[PFUnA]])</f>
        <v>1.0453229787866574</v>
      </c>
      <c r="I9">
        <f>LOG(Table1_1[[#This Row],[PFDoA]])</f>
        <v>-1.247444821799125</v>
      </c>
      <c r="J9">
        <f>LOG(Table1_1[[#This Row],[PFTrDA]])</f>
        <v>0.50785587169583091</v>
      </c>
      <c r="K9">
        <f>LOG(Table1_1[[#This Row],[PFTeDA]])</f>
        <v>0.94694327069782547</v>
      </c>
      <c r="L9">
        <f>LOG(Table1_1[[#This Row],[PFHxDA]])</f>
        <v>-1.0734836034349835</v>
      </c>
      <c r="M9">
        <f>LOG(Table1_1[[#This Row],[PFPrS]])</f>
        <v>-1.2671891161188635</v>
      </c>
      <c r="N9">
        <f>LOG(Table1_1[[#This Row],[PFBS]])</f>
        <v>-0.81975665135551723</v>
      </c>
      <c r="O9">
        <f>LOG(Table1_1[[#This Row],[PFPeS]])</f>
        <v>-0.46092390120722343</v>
      </c>
      <c r="P9">
        <f>LOG(Table1_1[[#This Row],[PFHxS]])</f>
        <v>1.6138418218760693</v>
      </c>
      <c r="Q9">
        <f>LOG(Table1_1[[#This Row],[PFHpS]])</f>
        <v>0.4927603890268375</v>
      </c>
      <c r="R9">
        <f>LOG(Table1_1[[#This Row],[PFOS]])</f>
        <v>3.1875207208364631</v>
      </c>
      <c r="S9">
        <f>LOG(Table1_1[[#This Row],[PFNS]])</f>
        <v>3.7426497940623665E-2</v>
      </c>
      <c r="T9">
        <f>LOG(Table1_1[[#This Row],[PFDS]])</f>
        <v>0.34830486304816066</v>
      </c>
      <c r="U9">
        <f>LOG(Table1_1[[#This Row],[PFDoS]])</f>
        <v>0.13672056715640679</v>
      </c>
      <c r="V9">
        <f>LOG(Table1_1[[#This Row],[Cl-PFOS]])</f>
        <v>-0.37571790416433171</v>
      </c>
      <c r="W9">
        <f>LOG(Table1_1[[#This Row],[PFEtCHxS]])</f>
        <v>-0.70114692359029329</v>
      </c>
      <c r="X9">
        <f>LOG(Table1_1[[#This Row],[FBSA]])</f>
        <v>1.2201080880400552</v>
      </c>
      <c r="Y9">
        <f>LOG(Table1_1[[#This Row],[FHxSA]])</f>
        <v>1.7283537820212285</v>
      </c>
      <c r="Z9">
        <f>LOG(Table1_1[[#This Row],[FOSA]])</f>
        <v>1.1238516409670858</v>
      </c>
      <c r="AA9">
        <f>LOG(Table1_1[[#This Row],[N-MeFOSA]])</f>
        <v>-1.2629802159856054</v>
      </c>
      <c r="AB9">
        <f>LOG(Table1_1[[#This Row],[N-EtFOSA]])</f>
        <v>-1.0826317485521506</v>
      </c>
      <c r="AC9">
        <f>LOG(Table1_1[[#This Row],[FOSAA]])</f>
        <v>-1.2530312044862213</v>
      </c>
      <c r="AD9">
        <f>LOG(Table1_1[[#This Row],[N-MeFOSAA]])</f>
        <v>-1.1470673294199931</v>
      </c>
      <c r="AE9">
        <f>LOG(Table1_1[[#This Row],[N-EtFOSAA]])</f>
        <v>-1.2111720815117974</v>
      </c>
      <c r="AF9">
        <f>LOG(Table1_1[[#This Row],[4:2 FTS]])</f>
        <v>-1.2351384116423041</v>
      </c>
      <c r="AG9">
        <f>LOG(Table1_1[[#This Row],[6:2 FTS]])</f>
        <v>-0.4841261562883209</v>
      </c>
      <c r="AH9">
        <f>LOG(Table1_1[[#This Row],[8:2 FTS]])</f>
        <v>0.84385542262316116</v>
      </c>
      <c r="AI9">
        <f>LOG(Table1_1[[#This Row],[10:2 FTS]])</f>
        <v>-0.26440110030182007</v>
      </c>
      <c r="AJ9">
        <f>LOG(Table1_1[[#This Row],[3:3 FTCA]])</f>
        <v>-1.0876736365672346</v>
      </c>
      <c r="AK9">
        <f>LOG(Table1_1[[#This Row],[5:3 FTCA]])</f>
        <v>0.59217675739586684</v>
      </c>
      <c r="AL9">
        <f>LOG(Table1_1[[#This Row],[7:3 FTCA]])</f>
        <v>0.71516735784845786</v>
      </c>
      <c r="AM9">
        <f>LOG(Table1_1[[#This Row],[6:2 FTCA]])</f>
        <v>-1.3423774949318883</v>
      </c>
      <c r="AN9">
        <f>LOG(Table1_1[[#This Row],[8:2 FTCA]])</f>
        <v>-1.5476270447703511</v>
      </c>
      <c r="AO9">
        <f>LOG(Table1_1[[#This Row],[10:2 FTCA]])</f>
        <v>-0.9758621810014152</v>
      </c>
      <c r="AP9">
        <f>LOG(Table1_1[[#This Row],[6:2 FTUCA]])</f>
        <v>-1.2547086544021109</v>
      </c>
      <c r="AQ9">
        <f>LOG(Table1_1[[#This Row],[8:2 FTUCA]])</f>
        <v>-1.3684311869688626</v>
      </c>
      <c r="AR9">
        <f>LOG(Table1_1[[#This Row],[ADONA]])</f>
        <v>-1.1496870360983134</v>
      </c>
      <c r="AS9">
        <f>LOG(Table1_1[[#This Row],[9Cl-PF3ONS]])</f>
        <v>-1.3082608375893037</v>
      </c>
      <c r="AT9">
        <f>LOG(Table1_1[[#This Row],[11Cl-PF3OUdS]])</f>
        <v>-1.253166029434178</v>
      </c>
      <c r="AU9">
        <f>LOG(Table1_1[[#This Row],[HFPO-DA]])</f>
        <v>-0.99282649009075796</v>
      </c>
      <c r="AV9">
        <f>LOG(Table1_1[[#This Row],[6:2 diPAP]])</f>
        <v>-1.1225295653975629</v>
      </c>
      <c r="AW9">
        <f>LOG(Table1_1[[#This Row],[8:2 diPAP]])</f>
        <v>-1.0272044329753807</v>
      </c>
      <c r="AX9">
        <f>LOG(Table1_1[[#This Row],[diSAmPAP]])</f>
        <v>-0.90417436828416353</v>
      </c>
    </row>
    <row r="10" spans="1:50">
      <c r="A10">
        <f>LOG(Table1_1[[#This Row],[PFBA]])</f>
        <v>-1.5691084913768725</v>
      </c>
      <c r="B10">
        <f>LOG(Table1_1[[#This Row],[PFPeA]])</f>
        <v>-1.3220309336513543</v>
      </c>
      <c r="C10">
        <f>LOG(Table1_1[[#This Row],[PFHxA]])</f>
        <v>-1.4390230974924185</v>
      </c>
      <c r="D10">
        <f>LOG(Table1_1[[#This Row],[PFHpA]])</f>
        <v>-1.5691084913768725</v>
      </c>
      <c r="E10">
        <f>LOG(Table1_1[[#This Row],[PFOA]])</f>
        <v>-1.8181392829336417E-2</v>
      </c>
      <c r="F10">
        <f>LOG(Table1_1[[#This Row],[PFNA]])</f>
        <v>0.45024910831936105</v>
      </c>
      <c r="G10">
        <f>LOG(Table1_1[[#This Row],[PFDA]])</f>
        <v>0.8215135284047731</v>
      </c>
      <c r="H10">
        <f>LOG(Table1_1[[#This Row],[PFUnA]])</f>
        <v>1.2504200023088941</v>
      </c>
      <c r="I10">
        <f>LOG(Table1_1[[#This Row],[PFDoA]])</f>
        <v>-0.74138589926549203</v>
      </c>
      <c r="J10">
        <f>LOG(Table1_1[[#This Row],[PFTrDA]])</f>
        <v>0.50785587169583091</v>
      </c>
      <c r="K10">
        <f>LOG(Table1_1[[#This Row],[PFTeDA]])</f>
        <v>0.90254677931399141</v>
      </c>
      <c r="L10">
        <f>LOG(Table1_1[[#This Row],[PFHxDA]])</f>
        <v>-1.0949650500415049</v>
      </c>
      <c r="M10">
        <f>LOG(Table1_1[[#This Row],[PFPrS]])</f>
        <v>-1.2886705627253852</v>
      </c>
      <c r="N10">
        <f>LOG(Table1_1[[#This Row],[PFBS]])</f>
        <v>-1.3382705912334047</v>
      </c>
      <c r="O10">
        <f>LOG(Table1_1[[#This Row],[PFPeS]])</f>
        <v>-0.26841123481326129</v>
      </c>
      <c r="P10">
        <f>LOG(Table1_1[[#This Row],[PFHxS]])</f>
        <v>1.6532125137753437</v>
      </c>
      <c r="Q10">
        <f>LOG(Table1_1[[#This Row],[PFHpS]])</f>
        <v>1.0755469613925308</v>
      </c>
      <c r="R10">
        <f>LOG(Table1_1[[#This Row],[PFOS]])</f>
        <v>3.1903316981702914</v>
      </c>
      <c r="S10">
        <f>LOG(Table1_1[[#This Row],[PFNS]])</f>
        <v>0.36361197989214433</v>
      </c>
      <c r="T10">
        <f>LOG(Table1_1[[#This Row],[PFDS]])</f>
        <v>0.84941941379689945</v>
      </c>
      <c r="U10">
        <f>LOG(Table1_1[[#This Row],[PFDoS]])</f>
        <v>0.60852603357719404</v>
      </c>
      <c r="V10">
        <f>LOG(Table1_1[[#This Row],[Cl-PFOS]])</f>
        <v>-0.19449914184159983</v>
      </c>
      <c r="W10">
        <f>LOG(Table1_1[[#This Row],[PFEtCHxS]])</f>
        <v>6.445798922691845E-2</v>
      </c>
      <c r="X10">
        <f>LOG(Table1_1[[#This Row],[FBSA]])</f>
        <v>1.1903316981702914</v>
      </c>
      <c r="Y10">
        <f>LOG(Table1_1[[#This Row],[FHxSA]])</f>
        <v>1.8273692730538253</v>
      </c>
      <c r="Z10">
        <f>LOG(Table1_1[[#This Row],[FOSA]])</f>
        <v>1.0293837776852097</v>
      </c>
      <c r="AA10">
        <f>LOG(Table1_1[[#This Row],[N-MeFOSA]])</f>
        <v>-1.2844616625921268</v>
      </c>
      <c r="AB10">
        <f>LOG(Table1_1[[#This Row],[N-EtFOSA]])</f>
        <v>-1.104113195158672</v>
      </c>
      <c r="AC10">
        <f>LOG(Table1_1[[#This Row],[FOSAA]])</f>
        <v>-1.2745126510927427</v>
      </c>
      <c r="AD10">
        <f>LOG(Table1_1[[#This Row],[N-MeFOSAA]])</f>
        <v>-1.1685487760265145</v>
      </c>
      <c r="AE10">
        <f>LOG(Table1_1[[#This Row],[N-EtFOSAA]])</f>
        <v>-1.2326535281183191</v>
      </c>
      <c r="AF10">
        <f>LOG(Table1_1[[#This Row],[4:2 FTS]])</f>
        <v>-1.2566198582488255</v>
      </c>
      <c r="AG10">
        <f>LOG(Table1_1[[#This Row],[6:2 FTS]])</f>
        <v>-1.3903209327840131</v>
      </c>
      <c r="AH10">
        <f>LOG(Table1_1[[#This Row],[8:2 FTS]])</f>
        <v>0.75358305889290655</v>
      </c>
      <c r="AI10">
        <f>LOG(Table1_1[[#This Row],[10:2 FTS]])</f>
        <v>-5.551732784983137E-2</v>
      </c>
      <c r="AJ10">
        <f>LOG(Table1_1[[#This Row],[3:3 FTCA]])</f>
        <v>-1.109155083173756</v>
      </c>
      <c r="AK10">
        <f>LOG(Table1_1[[#This Row],[5:3 FTCA]])</f>
        <v>0.2528530309798932</v>
      </c>
      <c r="AL10">
        <f>LOG(Table1_1[[#This Row],[7:3 FTCA]])</f>
        <v>0.22010808804005508</v>
      </c>
      <c r="AM10">
        <f>LOG(Table1_1[[#This Row],[6:2 FTCA]])</f>
        <v>0.44247976906444858</v>
      </c>
      <c r="AN10">
        <f>LOG(Table1_1[[#This Row],[8:2 FTCA]])</f>
        <v>-0.22914798835785583</v>
      </c>
      <c r="AO10">
        <f>LOG(Table1_1[[#This Row],[10:2 FTCA]])</f>
        <v>-0.99734362760793671</v>
      </c>
      <c r="AP10">
        <f>LOG(Table1_1[[#This Row],[6:2 FTUCA]])</f>
        <v>-1.2761901010086323</v>
      </c>
      <c r="AQ10">
        <f>LOG(Table1_1[[#This Row],[8:2 FTUCA]])</f>
        <v>-1.389912633575384</v>
      </c>
      <c r="AR10">
        <f>LOG(Table1_1[[#This Row],[ADONA]])</f>
        <v>-1.1711684827048348</v>
      </c>
      <c r="AS10">
        <f>LOG(Table1_1[[#This Row],[9Cl-PF3ONS]])</f>
        <v>-1.3297422841958253</v>
      </c>
      <c r="AT10">
        <f>LOG(Table1_1[[#This Row],[11Cl-PF3OUdS]])</f>
        <v>-1.2746474760406996</v>
      </c>
      <c r="AU10">
        <f>LOG(Table1_1[[#This Row],[HFPO-DA]])</f>
        <v>-1.0143079366972794</v>
      </c>
      <c r="AV10">
        <f>LOG(Table1_1[[#This Row],[6:2 diPAP]])</f>
        <v>-1.1440110120040843</v>
      </c>
      <c r="AW10">
        <f>LOG(Table1_1[[#This Row],[8:2 diPAP]])</f>
        <v>-1.0486858795819021</v>
      </c>
      <c r="AX10">
        <f>LOG(Table1_1[[#This Row],[diSAmPAP]])</f>
        <v>-0.92565581489068505</v>
      </c>
    </row>
    <row r="11" spans="1:50">
      <c r="A11">
        <f>LOG(Table1_1[[#This Row],[PFBA]])</f>
        <v>-1.5600820621146054</v>
      </c>
      <c r="B11">
        <f>LOG(Table1_1[[#This Row],[PFPeA]])</f>
        <v>-1.3130045043890872</v>
      </c>
      <c r="C11">
        <f>LOG(Table1_1[[#This Row],[PFHxA]])</f>
        <v>-1.4299966682301515</v>
      </c>
      <c r="D11">
        <f>LOG(Table1_1[[#This Row],[PFHpA]])</f>
        <v>-1.0438423784972308</v>
      </c>
      <c r="E11">
        <f>LOG(Table1_1[[#This Row],[PFOA]])</f>
        <v>-0.16367588429324828</v>
      </c>
      <c r="F11">
        <f>LOG(Table1_1[[#This Row],[PFNA]])</f>
        <v>-5.6828473303632727E-3</v>
      </c>
      <c r="G11">
        <f>LOG(Table1_1[[#This Row],[PFDA]])</f>
        <v>0.68574173860226362</v>
      </c>
      <c r="H11">
        <f>LOG(Table1_1[[#This Row],[PFUnA]])</f>
        <v>0.94001815500766328</v>
      </c>
      <c r="I11">
        <f>LOG(Table1_1[[#This Row],[PFDoA]])</f>
        <v>-0.74366015552600484</v>
      </c>
      <c r="J11">
        <f>LOG(Table1_1[[#This Row],[PFTrDA]])</f>
        <v>0.76863810124761445</v>
      </c>
      <c r="K11">
        <f>LOG(Table1_1[[#This Row],[PFTeDA]])</f>
        <v>0.71600334363479923</v>
      </c>
      <c r="L11">
        <f>LOG(Table1_1[[#This Row],[PFHxDA]])</f>
        <v>-1.0859386207792379</v>
      </c>
      <c r="M11">
        <f>LOG(Table1_1[[#This Row],[PFPrS]])</f>
        <v>-1.2796441334631179</v>
      </c>
      <c r="N11">
        <f>LOG(Table1_1[[#This Row],[PFBS]])</f>
        <v>-0.81300447835376299</v>
      </c>
      <c r="O11">
        <f>LOG(Table1_1[[#This Row],[PFPeS]])</f>
        <v>-0.29157909986528724</v>
      </c>
      <c r="P11">
        <f>LOG(Table1_1[[#This Row],[PFHxS]])</f>
        <v>1.6608654780038692</v>
      </c>
      <c r="Q11">
        <f>LOG(Table1_1[[#This Row],[PFHpS]])</f>
        <v>0.51982799377571876</v>
      </c>
      <c r="R11">
        <f>LOG(Table1_1[[#This Row],[PFOS]])</f>
        <v>3.0492180226701815</v>
      </c>
      <c r="S11">
        <f>LOG(Table1_1[[#This Row],[PFNS]])</f>
        <v>4.5322978786657475E-2</v>
      </c>
      <c r="T11">
        <f>LOG(Table1_1[[#This Row],[PFDS]])</f>
        <v>0.36172783601759284</v>
      </c>
      <c r="U11">
        <f>LOG(Table1_1[[#This Row],[PFDoS]])</f>
        <v>4.1392685158225077E-2</v>
      </c>
      <c r="V11">
        <f>LOG(Table1_1[[#This Row],[Cl-PFOS]])</f>
        <v>-0.4788619162959637</v>
      </c>
      <c r="W11">
        <f>LOG(Table1_1[[#This Row],[PFEtCHxS]])</f>
        <v>-0.59516628338006194</v>
      </c>
      <c r="X11">
        <f>LOG(Table1_1[[#This Row],[FBSA]])</f>
        <v>1.0530784434834197</v>
      </c>
      <c r="Y11">
        <f>LOG(Table1_1[[#This Row],[FHxSA]])</f>
        <v>1.5670263661590604</v>
      </c>
      <c r="Z11">
        <f>LOG(Table1_1[[#This Row],[FOSA]])</f>
        <v>0.85308952985186559</v>
      </c>
      <c r="AA11">
        <f>LOG(Table1_1[[#This Row],[N-MeFOSA]])</f>
        <v>-1.2754352333298598</v>
      </c>
      <c r="AB11">
        <f>LOG(Table1_1[[#This Row],[N-EtFOSA]])</f>
        <v>-1.095086765896405</v>
      </c>
      <c r="AC11">
        <f>LOG(Table1_1[[#This Row],[FOSAA]])</f>
        <v>-1.2654862218304757</v>
      </c>
      <c r="AD11">
        <f>LOG(Table1_1[[#This Row],[N-MeFOSAA]])</f>
        <v>-1.1595223467642475</v>
      </c>
      <c r="AE11">
        <f>LOG(Table1_1[[#This Row],[N-EtFOSAA]])</f>
        <v>-1.2236270988560518</v>
      </c>
      <c r="AF11">
        <f>LOG(Table1_1[[#This Row],[4:2 FTS]])</f>
        <v>-1.2475934289865585</v>
      </c>
      <c r="AG11">
        <f>LOG(Table1_1[[#This Row],[6:2 FTS]])</f>
        <v>-1.3812945035217461</v>
      </c>
      <c r="AH11">
        <f>LOG(Table1_1[[#This Row],[8:2 FTS]])</f>
        <v>0.66181268553726125</v>
      </c>
      <c r="AI11">
        <f>LOG(Table1_1[[#This Row],[10:2 FTS]])</f>
        <v>-0.59072841474530724</v>
      </c>
      <c r="AJ11">
        <f>LOG(Table1_1[[#This Row],[3:3 FTCA]])</f>
        <v>-1.100128653911489</v>
      </c>
      <c r="AK11">
        <f>LOG(Table1_1[[#This Row],[5:3 FTCA]])</f>
        <v>-1.2843934584219838</v>
      </c>
      <c r="AL11">
        <f>LOG(Table1_1[[#This Row],[7:3 FTCA]])</f>
        <v>0.34830486304816066</v>
      </c>
      <c r="AM11">
        <f>LOG(Table1_1[[#This Row],[6:2 FTCA]])</f>
        <v>-1.3548325122761427</v>
      </c>
      <c r="AN11">
        <f>LOG(Table1_1[[#This Row],[8:2 FTCA]])</f>
        <v>-1.5600820621146054</v>
      </c>
      <c r="AO11">
        <f>LOG(Table1_1[[#This Row],[10:2 FTCA]])</f>
        <v>-0.98831719834566956</v>
      </c>
      <c r="AP11">
        <f>LOG(Table1_1[[#This Row],[6:2 FTUCA]])</f>
        <v>-1.2671636717463652</v>
      </c>
      <c r="AQ11">
        <f>LOG(Table1_1[[#This Row],[8:2 FTUCA]])</f>
        <v>-1.3808862043131169</v>
      </c>
      <c r="AR11">
        <f>LOG(Table1_1[[#This Row],[ADONA]])</f>
        <v>-1.1621420534425677</v>
      </c>
      <c r="AS11">
        <f>LOG(Table1_1[[#This Row],[9Cl-PF3ONS]])</f>
        <v>-1.3207158549335583</v>
      </c>
      <c r="AT11">
        <f>LOG(Table1_1[[#This Row],[11Cl-PF3OUdS]])</f>
        <v>-1.2656210467784326</v>
      </c>
      <c r="AU11">
        <f>LOG(Table1_1[[#This Row],[HFPO-DA]])</f>
        <v>-1.0052815074350123</v>
      </c>
      <c r="AV11">
        <f>LOG(Table1_1[[#This Row],[6:2 diPAP]])</f>
        <v>-1.1349845827418172</v>
      </c>
      <c r="AW11">
        <f>LOG(Table1_1[[#This Row],[8:2 diPAP]])</f>
        <v>-1.039659450319635</v>
      </c>
      <c r="AX11">
        <f>LOG(Table1_1[[#This Row],[diSAmPAP]])</f>
        <v>-0.91662938562841789</v>
      </c>
    </row>
    <row r="12" spans="1:50">
      <c r="A12">
        <f>LOG(Table1_1[[#This Row],[PFBA]])</f>
        <v>-1.5623563183751183</v>
      </c>
      <c r="B12">
        <f>LOG(Table1_1[[#This Row],[PFPeA]])</f>
        <v>-1.3152787606496001</v>
      </c>
      <c r="C12">
        <f>LOG(Table1_1[[#This Row],[PFHxA]])</f>
        <v>-1.4322709244906644</v>
      </c>
      <c r="D12">
        <f>LOG(Table1_1[[#This Row],[PFHpA]])</f>
        <v>-1.0185155744642145</v>
      </c>
      <c r="E12">
        <f>LOG(Table1_1[[#This Row],[PFOA]])</f>
        <v>-0.21112488422458328</v>
      </c>
      <c r="F12">
        <f>LOG(Table1_1[[#This Row],[PFNA]])</f>
        <v>-6.5501548756432285E-2</v>
      </c>
      <c r="G12">
        <f>LOG(Table1_1[[#This Row],[PFDA]])</f>
        <v>0.66464197555612547</v>
      </c>
      <c r="H12">
        <f>LOG(Table1_1[[#This Row],[PFUnA]])</f>
        <v>0.8221680793680175</v>
      </c>
      <c r="I12">
        <f>LOG(Table1_1[[#This Row],[PFDoA]])</f>
        <v>-1.2621740954038922</v>
      </c>
      <c r="J12">
        <f>LOG(Table1_1[[#This Row],[PFTrDA]])</f>
        <v>0.48144262850230496</v>
      </c>
      <c r="K12">
        <f>LOG(Table1_1[[#This Row],[PFTeDA]])</f>
        <v>0.651278013998144</v>
      </c>
      <c r="L12">
        <f>LOG(Table1_1[[#This Row],[PFHxDA]])</f>
        <v>-1.0882128770397508</v>
      </c>
      <c r="M12">
        <f>LOG(Table1_1[[#This Row],[PFPrS]])</f>
        <v>-1.2819183897236308</v>
      </c>
      <c r="N12">
        <f>LOG(Table1_1[[#This Row],[PFBS]])</f>
        <v>-1.3315184182316504</v>
      </c>
      <c r="O12">
        <f>LOG(Table1_1[[#This Row],[PFPeS]])</f>
        <v>-0.39685562737981767</v>
      </c>
      <c r="P12">
        <f>LOG(Table1_1[[#This Row],[PFHxS]])</f>
        <v>1.6063813651106049</v>
      </c>
      <c r="Q12">
        <f>LOG(Table1_1[[#This Row],[PFHpS]])</f>
        <v>0.47856649559384334</v>
      </c>
      <c r="R12">
        <f>LOG(Table1_1[[#This Row],[PFOS]])</f>
        <v>3.0211892990699383</v>
      </c>
      <c r="S12">
        <f>LOG(Table1_1[[#This Row],[PFNS]])</f>
        <v>4.5322978786657475E-2</v>
      </c>
      <c r="T12">
        <f>LOG(Table1_1[[#This Row],[PFDS]])</f>
        <v>0.46239799789895608</v>
      </c>
      <c r="U12">
        <f>LOG(Table1_1[[#This Row],[PFDoS]])</f>
        <v>0.37106786227173627</v>
      </c>
      <c r="V12">
        <f>LOG(Table1_1[[#This Row],[Cl-PFOS]])</f>
        <v>-0.3777859770337047</v>
      </c>
      <c r="W12">
        <f>LOG(Table1_1[[#This Row],[PFEtCHxS]])</f>
        <v>-0.40560744962457329</v>
      </c>
      <c r="X12">
        <f>LOG(Table1_1[[#This Row],[FBSA]])</f>
        <v>0.98721922990800492</v>
      </c>
      <c r="Y12">
        <f>LOG(Table1_1[[#This Row],[FHxSA]])</f>
        <v>1.6857417386022637</v>
      </c>
      <c r="Z12">
        <f>LOG(Table1_1[[#This Row],[FOSA]])</f>
        <v>0.80550085815840011</v>
      </c>
      <c r="AA12">
        <f>LOG(Table1_1[[#This Row],[N-MeFOSA]])</f>
        <v>-1.2777094895903727</v>
      </c>
      <c r="AB12">
        <f>LOG(Table1_1[[#This Row],[N-EtFOSA]])</f>
        <v>-1.0973610221569181</v>
      </c>
      <c r="AC12">
        <f>LOG(Table1_1[[#This Row],[FOSAA]])</f>
        <v>-1.2677604780909886</v>
      </c>
      <c r="AD12">
        <f>LOG(Table1_1[[#This Row],[N-MeFOSAA]])</f>
        <v>-1.1617966030247604</v>
      </c>
      <c r="AE12">
        <f>LOG(Table1_1[[#This Row],[N-EtFOSAA]])</f>
        <v>-1.225901355116565</v>
      </c>
      <c r="AF12">
        <f>LOG(Table1_1[[#This Row],[4:2 FTS]])</f>
        <v>-1.2498676852470714</v>
      </c>
      <c r="AG12">
        <f>LOG(Table1_1[[#This Row],[6:2 FTS]])</f>
        <v>-1.3835687597822588</v>
      </c>
      <c r="AH12">
        <f>LOG(Table1_1[[#This Row],[8:2 FTS]])</f>
        <v>0.66651798055488087</v>
      </c>
      <c r="AI12">
        <f>LOG(Table1_1[[#This Row],[10:2 FTS]])</f>
        <v>-0.565401610712291</v>
      </c>
      <c r="AJ12">
        <f>LOG(Table1_1[[#This Row],[3:3 FTCA]])</f>
        <v>-1.1024029101720019</v>
      </c>
      <c r="AK12">
        <f>LOG(Table1_1[[#This Row],[5:3 FTCA]])</f>
        <v>-1.2866677146824967</v>
      </c>
      <c r="AL12">
        <f>LOG(Table1_1[[#This Row],[7:3 FTCA]])</f>
        <v>0.78390357927273491</v>
      </c>
      <c r="AM12">
        <f>LOG(Table1_1[[#This Row],[6:2 FTCA]])</f>
        <v>-0.8132660246257517</v>
      </c>
      <c r="AN12">
        <f>LOG(Table1_1[[#This Row],[8:2 FTCA]])</f>
        <v>-1.5623563183751183</v>
      </c>
      <c r="AO12">
        <f>LOG(Table1_1[[#This Row],[10:2 FTCA]])</f>
        <v>-0.99059145460618248</v>
      </c>
      <c r="AP12">
        <f>LOG(Table1_1[[#This Row],[6:2 FTUCA]])</f>
        <v>-1.2694379280068779</v>
      </c>
      <c r="AQ12">
        <f>LOG(Table1_1[[#This Row],[8:2 FTUCA]])</f>
        <v>-1.3831604605736296</v>
      </c>
      <c r="AR12">
        <f>LOG(Table1_1[[#This Row],[ADONA]])</f>
        <v>-1.1644163097030806</v>
      </c>
      <c r="AS12">
        <f>LOG(Table1_1[[#This Row],[9Cl-PF3ONS]])</f>
        <v>-1.3229901111940712</v>
      </c>
      <c r="AT12">
        <f>LOG(Table1_1[[#This Row],[11Cl-PF3OUdS]])</f>
        <v>-1.2678953030389455</v>
      </c>
      <c r="AU12">
        <f>LOG(Table1_1[[#This Row],[HFPO-DA]])</f>
        <v>-1.0075557636955252</v>
      </c>
      <c r="AV12">
        <f>LOG(Table1_1[[#This Row],[6:2 diPAP]])</f>
        <v>-1.1372588390023302</v>
      </c>
      <c r="AW12">
        <f>LOG(Table1_1[[#This Row],[8:2 diPAP]])</f>
        <v>-1.0419337065801479</v>
      </c>
      <c r="AX12">
        <f>LOG(Table1_1[[#This Row],[diSAmPAP]])</f>
        <v>-0.91890364188893081</v>
      </c>
    </row>
    <row r="13" spans="1:50">
      <c r="A13">
        <f>LOG(Table1_1[[#This Row],[PFBA]])</f>
        <v>-1.5370295143421018</v>
      </c>
      <c r="B13">
        <f>LOG(Table1_1[[#This Row],[PFPeA]])</f>
        <v>-1.2899519566165838</v>
      </c>
      <c r="C13">
        <f>LOG(Table1_1[[#This Row],[PFHxA]])</f>
        <v>-1.4069441204576481</v>
      </c>
      <c r="D13">
        <f>LOG(Table1_1[[#This Row],[PFHpA]])</f>
        <v>-1.5370295143421018</v>
      </c>
      <c r="E13">
        <f>LOG(Table1_1[[#This Row],[PFOA]])</f>
        <v>-2.548830726267165E-2</v>
      </c>
      <c r="F13">
        <f>LOG(Table1_1[[#This Row],[PFNA]])</f>
        <v>0.86687781433749889</v>
      </c>
      <c r="G13">
        <f>LOG(Table1_1[[#This Row],[PFDA]])</f>
        <v>1.505149978319906</v>
      </c>
      <c r="H13">
        <f>LOG(Table1_1[[#This Row],[PFUnA]])</f>
        <v>1.3909351071033791</v>
      </c>
      <c r="I13">
        <f>LOG(Table1_1[[#This Row],[PFDoA]])</f>
        <v>-1.2368472913708759</v>
      </c>
      <c r="J13">
        <f>LOG(Table1_1[[#This Row],[PFTrDA]])</f>
        <v>0.96142109406644827</v>
      </c>
      <c r="K13">
        <f>LOG(Table1_1[[#This Row],[PFTeDA]])</f>
        <v>0.89376176205794344</v>
      </c>
      <c r="L13">
        <f>LOG(Table1_1[[#This Row],[PFHxDA]])</f>
        <v>-1.0628860730067344</v>
      </c>
      <c r="M13">
        <f>LOG(Table1_1[[#This Row],[PFPrS]])</f>
        <v>-1.2565915856906145</v>
      </c>
      <c r="N13">
        <f>LOG(Table1_1[[#This Row],[PFBS]])</f>
        <v>-0.80106405512772794</v>
      </c>
      <c r="O13">
        <f>LOG(Table1_1[[#This Row],[PFPeS]])</f>
        <v>-0.24033215531036956</v>
      </c>
      <c r="P13">
        <f>LOG(Table1_1[[#This Row],[PFHxS]])</f>
        <v>1.9036325160842376</v>
      </c>
      <c r="Q13">
        <f>LOG(Table1_1[[#This Row],[PFHpS]])</f>
        <v>1.2576785748691846</v>
      </c>
      <c r="R13">
        <f>LOG(Table1_1[[#This Row],[PFOS]])</f>
        <v>3.6454222693490919</v>
      </c>
      <c r="S13">
        <f>LOG(Table1_1[[#This Row],[PFNS]])</f>
        <v>0.77597433112936909</v>
      </c>
      <c r="T13">
        <f>LOG(Table1_1[[#This Row],[PFDS]])</f>
        <v>0.89320675305984798</v>
      </c>
      <c r="U13">
        <f>LOG(Table1_1[[#This Row],[PFDoS]])</f>
        <v>0.57863920996807239</v>
      </c>
      <c r="V13">
        <f>LOG(Table1_1[[#This Row],[Cl-PFOS]])</f>
        <v>0.24797326636180664</v>
      </c>
      <c r="W13">
        <f>LOG(Table1_1[[#This Row],[PFEtCHxS]])</f>
        <v>-0.41116827440579273</v>
      </c>
      <c r="X13">
        <f>LOG(Table1_1[[#This Row],[FBSA]])</f>
        <v>1.3979400086720377</v>
      </c>
      <c r="Y13">
        <f>LOG(Table1_1[[#This Row],[FHxSA]])</f>
        <v>2.0043213737826426</v>
      </c>
      <c r="Z13">
        <f>LOG(Table1_1[[#This Row],[FOSA]])</f>
        <v>1.0569048513364727</v>
      </c>
      <c r="AA13">
        <f>LOG(Table1_1[[#This Row],[N-MeFOSA]])</f>
        <v>-1.2523826855573563</v>
      </c>
      <c r="AB13">
        <f>LOG(Table1_1[[#This Row],[N-EtFOSA]])</f>
        <v>-1.0720342181239015</v>
      </c>
      <c r="AC13">
        <f>LOG(Table1_1[[#This Row],[FOSAA]])</f>
        <v>-1.2424336740579722</v>
      </c>
      <c r="AD13">
        <f>LOG(Table1_1[[#This Row],[N-MeFOSAA]])</f>
        <v>-1.1364697989917441</v>
      </c>
      <c r="AE13">
        <f>LOG(Table1_1[[#This Row],[N-EtFOSAA]])</f>
        <v>-1.2005745510835484</v>
      </c>
      <c r="AF13">
        <f>LOG(Table1_1[[#This Row],[4:2 FTS]])</f>
        <v>-1.224540881214055</v>
      </c>
      <c r="AG13">
        <f>LOG(Table1_1[[#This Row],[6:2 FTS]])</f>
        <v>-0.85311439667833644</v>
      </c>
      <c r="AH13">
        <f>LOG(Table1_1[[#This Row],[8:2 FTS]])</f>
        <v>1.469822015978163</v>
      </c>
      <c r="AI13">
        <f>LOG(Table1_1[[#This Row],[10:2 FTS]])</f>
        <v>0.61066016308987991</v>
      </c>
      <c r="AJ13">
        <f>LOG(Table1_1[[#This Row],[3:3 FTCA]])</f>
        <v>-1.0770761061389853</v>
      </c>
      <c r="AK13">
        <f>LOG(Table1_1[[#This Row],[5:3 FTCA]])</f>
        <v>0.56584781867351763</v>
      </c>
      <c r="AL13">
        <f>LOG(Table1_1[[#This Row],[7:3 FTCA]])</f>
        <v>1.255272505103306</v>
      </c>
      <c r="AM13">
        <f>LOG(Table1_1[[#This Row],[6:2 FTCA]])</f>
        <v>0.49415459401844281</v>
      </c>
      <c r="AN13">
        <f>LOG(Table1_1[[#This Row],[8:2 FTCA]])</f>
        <v>-1.5370295143421018</v>
      </c>
      <c r="AO13">
        <f>LOG(Table1_1[[#This Row],[10:2 FTCA]])</f>
        <v>-0.96526465057316613</v>
      </c>
      <c r="AP13">
        <f>LOG(Table1_1[[#This Row],[6:2 FTUCA]])</f>
        <v>-1.2441111239738616</v>
      </c>
      <c r="AQ13">
        <f>LOG(Table1_1[[#This Row],[8:2 FTUCA]])</f>
        <v>-1.3578336565406135</v>
      </c>
      <c r="AR13">
        <f>LOG(Table1_1[[#This Row],[ADONA]])</f>
        <v>-1.1390895056700643</v>
      </c>
      <c r="AS13">
        <f>LOG(Table1_1[[#This Row],[9Cl-PF3ONS]])</f>
        <v>-1.2976633071610546</v>
      </c>
      <c r="AT13">
        <f>LOG(Table1_1[[#This Row],[11Cl-PF3OUdS]])</f>
        <v>-1.2425684990059291</v>
      </c>
      <c r="AU13">
        <f>LOG(Table1_1[[#This Row],[HFPO-DA]])</f>
        <v>-0.98222895966250889</v>
      </c>
      <c r="AV13">
        <f>LOG(Table1_1[[#This Row],[6:2 diPAP]])</f>
        <v>-1.1119320349693136</v>
      </c>
      <c r="AW13">
        <f>LOG(Table1_1[[#This Row],[8:2 diPAP]])</f>
        <v>-1.0166069025471316</v>
      </c>
      <c r="AX13">
        <f>LOG(Table1_1[[#This Row],[diSAmPAP]])</f>
        <v>-0.89357683785591446</v>
      </c>
    </row>
    <row r="14" spans="1:50">
      <c r="A14">
        <f>LOG(Table1_1[[#This Row],[PFBA]])</f>
        <v>-1.2111248842245832</v>
      </c>
      <c r="B14">
        <f>LOG(Table1_1[[#This Row],[PFPeA]])</f>
        <v>-1.3630108981877709</v>
      </c>
      <c r="C14">
        <f>LOG(Table1_1[[#This Row],[PFHxA]])</f>
        <v>-1.4808285361783409</v>
      </c>
      <c r="D14">
        <f>LOG(Table1_1[[#This Row],[PFHpA]])</f>
        <v>-1.6099485035410128</v>
      </c>
      <c r="E14">
        <f>LOG(Table1_1[[#This Row],[PFOA]])</f>
        <v>3.7426497940623665E-2</v>
      </c>
      <c r="F14">
        <f>LOG(Table1_1[[#This Row],[PFNA]])</f>
        <v>-2.8260409112221711E-2</v>
      </c>
      <c r="G14">
        <f>LOG(Table1_1[[#This Row],[PFDA]])</f>
        <v>0.87737134586977406</v>
      </c>
      <c r="H14">
        <f>LOG(Table1_1[[#This Row],[PFUnA]])</f>
        <v>0.98045789227610014</v>
      </c>
      <c r="I14">
        <f>LOG(Table1_1[[#This Row],[PFDoA]])</f>
        <v>1.1303337684950061</v>
      </c>
      <c r="J14">
        <f>LOG(Table1_1[[#This Row],[PFTrDA]])</f>
        <v>0.63447727016073152</v>
      </c>
      <c r="K14">
        <f>LOG(Table1_1[[#This Row],[PFTeDA]])</f>
        <v>0.78532983501076703</v>
      </c>
      <c r="L14">
        <f>LOG(Table1_1[[#This Row],[PFHxDA]])</f>
        <v>-1.1366771398795441</v>
      </c>
      <c r="M14">
        <f>LOG(Table1_1[[#This Row],[PFPrS]])</f>
        <v>-1.329754146925876</v>
      </c>
      <c r="N14">
        <f>LOG(Table1_1[[#This Row],[PFBS]])</f>
        <v>-1.3803849942571935</v>
      </c>
      <c r="O14">
        <f>LOG(Table1_1[[#This Row],[PFPeS]])</f>
        <v>-0.27245874297144357</v>
      </c>
      <c r="P14">
        <f>LOG(Table1_1[[#This Row],[PFHxS]])</f>
        <v>1.4683473304121573</v>
      </c>
      <c r="Q14">
        <f>LOG(Table1_1[[#This Row],[PFHpS]])</f>
        <v>0.97127584873810524</v>
      </c>
      <c r="R14">
        <f>LOG(Table1_1[[#This Row],[PFOS]])</f>
        <v>3.4502491083193609</v>
      </c>
      <c r="S14">
        <f>LOG(Table1_1[[#This Row],[PFNS]])</f>
        <v>0.47129171105893858</v>
      </c>
      <c r="T14">
        <f>LOG(Table1_1[[#This Row],[PFDS]])</f>
        <v>0.77742682238931138</v>
      </c>
      <c r="U14">
        <f>LOG(Table1_1[[#This Row],[PFDoS]])</f>
        <v>0.41497334797081797</v>
      </c>
      <c r="V14">
        <f>LOG(Table1_1[[#This Row],[Cl-PFOS]])</f>
        <v>0.10720996964786837</v>
      </c>
      <c r="W14">
        <f>LOG(Table1_1[[#This Row],[PFEtCHxS]])</f>
        <v>-0.18775530319963074</v>
      </c>
      <c r="X14">
        <f>LOG(Table1_1[[#This Row],[FBSA]])</f>
        <v>1.6901960800285136</v>
      </c>
      <c r="Y14">
        <f>LOG(Table1_1[[#This Row],[FHxSA]])</f>
        <v>2.4440447959180762</v>
      </c>
      <c r="Z14">
        <f>LOG(Table1_1[[#This Row],[FOSA]])</f>
        <v>1.481442628502305</v>
      </c>
      <c r="AA14">
        <f>LOG(Table1_1[[#This Row],[N-MeFOSA]])</f>
        <v>-1.3255981871547182</v>
      </c>
      <c r="AB14">
        <f>LOG(Table1_1[[#This Row],[N-EtFOSA]])</f>
        <v>-1.1456939581989194</v>
      </c>
      <c r="AC14">
        <f>LOG(Table1_1[[#This Row],[FOSAA]])</f>
        <v>-1.3156035215809796</v>
      </c>
      <c r="AD14">
        <f>LOG(Table1_1[[#This Row],[N-MeFOSAA]])</f>
        <v>0.33041377334919086</v>
      </c>
      <c r="AE14">
        <f>LOG(Table1_1[[#This Row],[N-EtFOSAA]])</f>
        <v>-1.2757241303992111</v>
      </c>
      <c r="AF14">
        <f>LOG(Table1_1[[#This Row],[4:2 FTS]])</f>
        <v>-1.2967086218813386</v>
      </c>
      <c r="AG14">
        <f>LOG(Table1_1[[#This Row],[6:2 FTS]])</f>
        <v>-0.91364016932525183</v>
      </c>
      <c r="AH14">
        <f>LOG(Table1_1[[#This Row],[8:2 FTS]])</f>
        <v>0.73399928653838686</v>
      </c>
      <c r="AI14">
        <f>LOG(Table1_1[[#This Row],[10:2 FTS]])</f>
        <v>-1.9088062223156451E-2</v>
      </c>
      <c r="AJ14">
        <f>LOG(Table1_1[[#This Row],[3:3 FTCA]])</f>
        <v>-1.1487416512809248</v>
      </c>
      <c r="AK14">
        <f>LOG(Table1_1[[#This Row],[5:3 FTCA]])</f>
        <v>-1.2111248842245832</v>
      </c>
      <c r="AL14">
        <f>LOG(Table1_1[[#This Row],[7:3 FTCA]])</f>
        <v>0.70070371714501933</v>
      </c>
      <c r="AM14">
        <f>LOG(Table1_1[[#This Row],[6:2 FTCA]])</f>
        <v>-1.2111248842245832</v>
      </c>
      <c r="AN14">
        <f>LOG(Table1_1[[#This Row],[8:2 FTCA]])</f>
        <v>0.13987908640123647</v>
      </c>
      <c r="AO14">
        <f>LOG(Table1_1[[#This Row],[10:2 FTCA]])</f>
        <v>-1.0385789059335517</v>
      </c>
      <c r="AP14">
        <f>LOG(Table1_1[[#This Row],[6:2 FTUCA]])</f>
        <v>-1.3169529617611504</v>
      </c>
      <c r="AQ14">
        <f>LOG(Table1_1[[#This Row],[8:2 FTUCA]])</f>
        <v>-1.4306260903849541</v>
      </c>
      <c r="AR14">
        <f>LOG(Table1_1[[#This Row],[ADONA]])</f>
        <v>-1.2111248842245832</v>
      </c>
      <c r="AS14">
        <f>LOG(Table1_1[[#This Row],[9Cl-PF3ONS]])</f>
        <v>-1.2111248842245832</v>
      </c>
      <c r="AT14">
        <f>LOG(Table1_1[[#This Row],[11Cl-PF3OUdS]])</f>
        <v>-1.2111248842245832</v>
      </c>
      <c r="AU14">
        <f>LOG(Table1_1[[#This Row],[HFPO-DA]])</f>
        <v>-1.0555173278498313</v>
      </c>
      <c r="AV14">
        <f>LOG(Table1_1[[#This Row],[6:2 diPAP]])</f>
        <v>-1.1837587000082168</v>
      </c>
      <c r="AW14">
        <f>LOG(Table1_1[[#This Row],[8:2 diPAP]])</f>
        <v>-1.0888423912600234</v>
      </c>
      <c r="AX14">
        <f>LOG(Table1_1[[#This Row],[diSAmPAP]])</f>
        <v>-0.96657624451305035</v>
      </c>
    </row>
    <row r="15" spans="1:50">
      <c r="A15">
        <f>LOG(Table1_1[[#This Row],[PFBA]])</f>
        <v>-0.60818307638675118</v>
      </c>
      <c r="B15">
        <f>LOG(Table1_1[[#This Row],[PFPeA]])</f>
        <v>-1.0604807473813815</v>
      </c>
      <c r="C15">
        <f>LOG(Table1_1[[#This Row],[PFHxA]])</f>
        <v>-0.87614835903291421</v>
      </c>
      <c r="D15">
        <f>LOG(Table1_1[[#This Row],[PFHpA]])</f>
        <v>-0.60818307638675118</v>
      </c>
      <c r="E15">
        <f>LOG(Table1_1[[#This Row],[PFOA]])</f>
        <v>0.24551266781414982</v>
      </c>
      <c r="F15">
        <f>LOG(Table1_1[[#This Row],[PFNA]])</f>
        <v>-0.90833304240431545</v>
      </c>
      <c r="G15">
        <f>LOG(Table1_1[[#This Row],[PFDA]])</f>
        <v>0.74272513130469831</v>
      </c>
      <c r="H15">
        <f>LOG(Table1_1[[#This Row],[PFUnA]])</f>
        <v>1.0170333392987803</v>
      </c>
      <c r="I15">
        <f>LOG(Table1_1[[#This Row],[PFDoA]])</f>
        <v>1.2121876044039579</v>
      </c>
      <c r="J15">
        <f>LOG(Table1_1[[#This Row],[PFTrDA]])</f>
        <v>0.92272545799326</v>
      </c>
      <c r="K15">
        <f>LOG(Table1_1[[#This Row],[PFTeDA]])</f>
        <v>1.1367205671564067</v>
      </c>
      <c r="L15">
        <f>LOG(Table1_1[[#This Row],[PFHxDA]])</f>
        <v>-0.83268266525182388</v>
      </c>
      <c r="M15">
        <f>LOG(Table1_1[[#This Row],[PFPrS]])</f>
        <v>-0.90833304240431545</v>
      </c>
      <c r="N15">
        <f>LOG(Table1_1[[#This Row],[PFBS]])</f>
        <v>-0.60818307638675118</v>
      </c>
      <c r="O15">
        <f>LOG(Table1_1[[#This Row],[PFPeS]])</f>
        <v>-1.4124642691606345E-2</v>
      </c>
      <c r="P15">
        <f>LOG(Table1_1[[#This Row],[PFHxS]])</f>
        <v>1.8615344108590379</v>
      </c>
      <c r="Q15">
        <f>LOG(Table1_1[[#This Row],[PFHpS]])</f>
        <v>0.84695532501982396</v>
      </c>
      <c r="R15">
        <f>LOG(Table1_1[[#This Row],[PFOS]])</f>
        <v>2.7944880466591697</v>
      </c>
      <c r="S15">
        <f>LOG(Table1_1[[#This Row],[PFNS]])</f>
        <v>-0.20760831050174613</v>
      </c>
      <c r="T15">
        <f>LOG(Table1_1[[#This Row],[PFDS]])</f>
        <v>0.34635297445063867</v>
      </c>
      <c r="U15">
        <f>LOG(Table1_1[[#This Row],[PFDoS]])</f>
        <v>-5.7495893831919269E-2</v>
      </c>
      <c r="V15">
        <f>LOG(Table1_1[[#This Row],[Cl-PFOS]])</f>
        <v>-0.82390874094431876</v>
      </c>
      <c r="W15">
        <f>LOG(Table1_1[[#This Row],[PFEtCHxS]])</f>
        <v>-0.42596873227228116</v>
      </c>
      <c r="X15">
        <f>LOG(Table1_1[[#This Row],[FBSA]])</f>
        <v>1.7520484478194385</v>
      </c>
      <c r="Y15">
        <f>LOG(Table1_1[[#This Row],[FHxSA]])</f>
        <v>2.0827853703164503</v>
      </c>
      <c r="Z15">
        <f>LOG(Table1_1[[#This Row],[FOSA]])</f>
        <v>0.81291335664285558</v>
      </c>
      <c r="AA15">
        <f>LOG(Table1_1[[#This Row],[N-MeFOSA]])</f>
        <v>-1.0222763947111522</v>
      </c>
      <c r="AB15">
        <f>LOG(Table1_1[[#This Row],[N-EtFOSA]])</f>
        <v>-0.60818307638675118</v>
      </c>
      <c r="AC15">
        <f>LOG(Table1_1[[#This Row],[FOSAA]])</f>
        <v>-0.60818307638675118</v>
      </c>
      <c r="AD15">
        <f>LOG(Table1_1[[#This Row],[N-MeFOSAA]])</f>
        <v>-0.90657831483776496</v>
      </c>
      <c r="AE15">
        <f>LOG(Table1_1[[#This Row],[N-EtFOSAA]])</f>
        <v>-0.90833304240431545</v>
      </c>
      <c r="AF15">
        <f>LOG(Table1_1[[#This Row],[4:2 FTS]])</f>
        <v>-0.90833304240431545</v>
      </c>
      <c r="AG15">
        <f>LOG(Table1_1[[#This Row],[6:2 FTS]])</f>
        <v>-0.60818307638675118</v>
      </c>
      <c r="AH15">
        <f>LOG(Table1_1[[#This Row],[8:2 FTS]])</f>
        <v>0.80345711564841393</v>
      </c>
      <c r="AI15">
        <f>LOG(Table1_1[[#This Row],[10:2 FTS]])</f>
        <v>3.342375548694973E-2</v>
      </c>
      <c r="AJ15">
        <f>LOG(Table1_1[[#This Row],[3:3 FTCA]])</f>
        <v>-0.60818307638675118</v>
      </c>
      <c r="AK15">
        <f>LOG(Table1_1[[#This Row],[5:3 FTCA]])</f>
        <v>-0.90833304240431545</v>
      </c>
      <c r="AL15">
        <f>LOG(Table1_1[[#This Row],[7:3 FTCA]])</f>
        <v>-0.60818307638675118</v>
      </c>
      <c r="AM15">
        <f>LOG(Table1_1[[#This Row],[6:2 FTCA]])</f>
        <v>-0.60818307638675118</v>
      </c>
      <c r="AN15">
        <f>LOG(Table1_1[[#This Row],[8:2 FTCA]])</f>
        <v>-0.90833304240431545</v>
      </c>
      <c r="AO15">
        <f>LOG(Table1_1[[#This Row],[10:2 FTCA]])</f>
        <v>-0.60818307638675118</v>
      </c>
      <c r="AP15">
        <f>LOG(Table1_1[[#This Row],[6:2 FTUCA]])</f>
        <v>-1.0132282657337552</v>
      </c>
      <c r="AQ15">
        <f>LOG(Table1_1[[#This Row],[8:2 FTUCA]])</f>
        <v>-1.1278437272517072</v>
      </c>
      <c r="AR15">
        <f>LOG(Table1_1[[#This Row],[ADONA]])</f>
        <v>-0.96257350205937642</v>
      </c>
      <c r="AS15">
        <f>LOG(Table1_1[[#This Row],[9Cl-PF3ONS]])</f>
        <v>-0.60818307638675118</v>
      </c>
      <c r="AT15">
        <f>LOG(Table1_1[[#This Row],[11Cl-PF3OUdS]])</f>
        <v>-0.60818307638675118</v>
      </c>
      <c r="AU15">
        <f>LOG(Table1_1[[#This Row],[HFPO-DA]])</f>
        <v>-0.75202673363819339</v>
      </c>
      <c r="AV15">
        <f>LOG(Table1_1[[#This Row],[6:2 diPAP]])</f>
        <v>-0.60818307638675118</v>
      </c>
      <c r="AW15">
        <f>LOG(Table1_1[[#This Row],[8:2 diPAP]])</f>
        <v>-0.60818307638675118</v>
      </c>
      <c r="AX15">
        <f>LOG(Table1_1[[#This Row],[diSAmPAP]])</f>
        <v>-0.60818307638675118</v>
      </c>
    </row>
    <row r="16" spans="1:50">
      <c r="A16">
        <f>LOG(Table1_1[[#This Row],[PFBA]])</f>
        <v>-0.96657624451305035</v>
      </c>
      <c r="B16">
        <f>LOG(Table1_1[[#This Row],[PFPeA]])</f>
        <v>-1.1191864077192086</v>
      </c>
      <c r="C16">
        <f>LOG(Table1_1[[#This Row],[PFHxA]])</f>
        <v>-0.543633966870957</v>
      </c>
      <c r="D16">
        <f>LOG(Table1_1[[#This Row],[PFHpA]])</f>
        <v>-0.96657624451305035</v>
      </c>
      <c r="E16">
        <f>LOG(Table1_1[[#This Row],[PFOA]])</f>
        <v>0.13672056715640679</v>
      </c>
      <c r="F16">
        <f>LOG(Table1_1[[#This Row],[PFNA]])</f>
        <v>-0.15490195998574319</v>
      </c>
      <c r="G16">
        <f>LOG(Table1_1[[#This Row],[PFDA]])</f>
        <v>0.67486114073781156</v>
      </c>
      <c r="H16">
        <f>LOG(Table1_1[[#This Row],[PFUnA]])</f>
        <v>0.93601079571520962</v>
      </c>
      <c r="I16">
        <f>LOG(Table1_1[[#This Row],[PFDoA]])</f>
        <v>0.86272752831797461</v>
      </c>
      <c r="J16">
        <f>LOG(Table1_1[[#This Row],[PFTrDA]])</f>
        <v>0.18752072083646307</v>
      </c>
      <c r="K16">
        <f>LOG(Table1_1[[#This Row],[PFTeDA]])</f>
        <v>0.60745502321466849</v>
      </c>
      <c r="L16">
        <f>LOG(Table1_1[[#This Row],[PFHxDA]])</f>
        <v>-0.89109687233268664</v>
      </c>
      <c r="M16">
        <f>LOG(Table1_1[[#This Row],[PFPrS]])</f>
        <v>-0.96657624451305035</v>
      </c>
      <c r="N16">
        <f>LOG(Table1_1[[#This Row],[PFBS]])</f>
        <v>-0.6655462488490691</v>
      </c>
      <c r="O16">
        <f>LOG(Table1_1[[#This Row],[PFPeS]])</f>
        <v>-0.60730304674033431</v>
      </c>
      <c r="P16">
        <f>LOG(Table1_1[[#This Row],[PFHxS]])</f>
        <v>1.8325089127062364</v>
      </c>
      <c r="Q16">
        <f>LOG(Table1_1[[#This Row],[PFHpS]])</f>
        <v>0.78675142214556115</v>
      </c>
      <c r="R16">
        <f>LOG(Table1_1[[#This Row],[PFOS]])</f>
        <v>2.7481880270062002</v>
      </c>
      <c r="S16">
        <f>LOG(Table1_1[[#This Row],[PFNS]])</f>
        <v>-0.20273245916928356</v>
      </c>
      <c r="T16">
        <f>LOG(Table1_1[[#This Row],[PFDS]])</f>
        <v>4.3213737826425782E-3</v>
      </c>
      <c r="U16">
        <f>LOG(Table1_1[[#This Row],[PFDoS]])</f>
        <v>-0.13253251214094852</v>
      </c>
      <c r="V16">
        <f>LOG(Table1_1[[#This Row],[Cl-PFOS]])</f>
        <v>-0.44490555142168087</v>
      </c>
      <c r="W16">
        <f>LOG(Table1_1[[#This Row],[PFEtCHxS]])</f>
        <v>-0.60906489289662091</v>
      </c>
      <c r="X16">
        <f>LOG(Table1_1[[#This Row],[FBSA]])</f>
        <v>1.4517864355242902</v>
      </c>
      <c r="Y16">
        <f>LOG(Table1_1[[#This Row],[FHxSA]])</f>
        <v>1.9947569445876281</v>
      </c>
      <c r="Z16">
        <f>LOG(Table1_1[[#This Row],[FOSA]])</f>
        <v>0.70415051683979912</v>
      </c>
      <c r="AA16">
        <f>LOG(Table1_1[[#This Row],[N-MeFOSA]])</f>
        <v>-1.080921907623926</v>
      </c>
      <c r="AB16">
        <f>LOG(Table1_1[[#This Row],[N-EtFOSA]])</f>
        <v>-0.6655462488490691</v>
      </c>
      <c r="AC16">
        <f>LOG(Table1_1[[#This Row],[FOSAA]])</f>
        <v>-0.6655462488490691</v>
      </c>
      <c r="AD16">
        <f>LOG(Table1_1[[#This Row],[N-MeFOSAA]])</f>
        <v>-0.96457026181545169</v>
      </c>
      <c r="AE16">
        <f>LOG(Table1_1[[#This Row],[N-EtFOSAA]])</f>
        <v>-0.96657624451305035</v>
      </c>
      <c r="AF16">
        <f>LOG(Table1_1[[#This Row],[4:2 FTS]])</f>
        <v>-0.96657624451305035</v>
      </c>
      <c r="AG16">
        <f>LOG(Table1_1[[#This Row],[6:2 FTS]])</f>
        <v>-0.6655462488490691</v>
      </c>
      <c r="AH16">
        <f>LOG(Table1_1[[#This Row],[8:2 FTS]])</f>
        <v>0.9365137424788933</v>
      </c>
      <c r="AI16">
        <f>LOG(Table1_1[[#This Row],[10:2 FTS]])</f>
        <v>-0.3645162531850879</v>
      </c>
      <c r="AJ16">
        <f>LOG(Table1_1[[#This Row],[3:3 FTCA]])</f>
        <v>-0.6655462488490691</v>
      </c>
      <c r="AK16">
        <f>LOG(Table1_1[[#This Row],[5:3 FTCA]])</f>
        <v>-0.96657624451305035</v>
      </c>
      <c r="AL16">
        <f>LOG(Table1_1[[#This Row],[7:3 FTCA]])</f>
        <v>-0.6655462488490691</v>
      </c>
      <c r="AM16">
        <f>LOG(Table1_1[[#This Row],[6:2 FTCA]])</f>
        <v>-0.6655462488490691</v>
      </c>
      <c r="AN16">
        <f>LOG(Table1_1[[#This Row],[8:2 FTCA]])</f>
        <v>-0.96657624451305035</v>
      </c>
      <c r="AO16">
        <f>LOG(Table1_1[[#This Row],[10:2 FTCA]])</f>
        <v>-0.6655462488490691</v>
      </c>
      <c r="AP16">
        <f>LOG(Table1_1[[#This Row],[6:2 FTUCA]])</f>
        <v>-1.0705810742857071</v>
      </c>
      <c r="AQ16">
        <f>LOG(Table1_1[[#This Row],[8:2 FTUCA]])</f>
        <v>-1.1870866433571443</v>
      </c>
      <c r="AR16">
        <f>LOG(Table1_1[[#This Row],[ADONA]])</f>
        <v>-1.0222763947111522</v>
      </c>
      <c r="AS16">
        <f>LOG(Table1_1[[#This Row],[9Cl-PF3ONS]])</f>
        <v>-0.6655462488490691</v>
      </c>
      <c r="AT16">
        <f>LOG(Table1_1[[#This Row],[11Cl-PF3OUdS]])</f>
        <v>-0.6655462488490691</v>
      </c>
      <c r="AU16">
        <f>LOG(Table1_1[[#This Row],[HFPO-DA]])</f>
        <v>-0.8096683018297085</v>
      </c>
      <c r="AV16">
        <f>LOG(Table1_1[[#This Row],[6:2 diPAP]])</f>
        <v>-0.6655462488490691</v>
      </c>
      <c r="AW16">
        <f>LOG(Table1_1[[#This Row],[8:2 diPAP]])</f>
        <v>-0.6655462488490691</v>
      </c>
      <c r="AX16">
        <f>LOG(Table1_1[[#This Row],[diSAmPAP]])</f>
        <v>-0.6655462488490691</v>
      </c>
    </row>
    <row r="17" spans="1:50">
      <c r="A17">
        <f>LOG(Table1_1[[#This Row],[PFBA]])</f>
        <v>-0.62616885492616969</v>
      </c>
      <c r="B17">
        <f>LOG(Table1_1[[#This Row],[PFPeA]])</f>
        <v>-0.62616885492616969</v>
      </c>
      <c r="C17">
        <f>LOG(Table1_1[[#This Row],[PFHxA]])</f>
        <v>-0.89448981523002602</v>
      </c>
      <c r="D17">
        <f>LOG(Table1_1[[#This Row],[PFHpA]])</f>
        <v>-0.62616885492616969</v>
      </c>
      <c r="E17">
        <f>LOG(Table1_1[[#This Row],[PFOA]])</f>
        <v>0.32428245529769262</v>
      </c>
      <c r="F17">
        <f>LOG(Table1_1[[#This Row],[PFNA]])</f>
        <v>0.15836249209524964</v>
      </c>
      <c r="G17">
        <f>LOG(Table1_1[[#This Row],[PFDA]])</f>
        <v>0.74429298312267622</v>
      </c>
      <c r="H17">
        <f>LOG(Table1_1[[#This Row],[PFUnA]])</f>
        <v>0.95085145888854639</v>
      </c>
      <c r="I17">
        <f>LOG(Table1_1[[#This Row],[PFDoA]])</f>
        <v>1.3502480183341627</v>
      </c>
      <c r="J17">
        <f>LOG(Table1_1[[#This Row],[PFTrDA]])</f>
        <v>0.84880470105180372</v>
      </c>
      <c r="K17">
        <f>LOG(Table1_1[[#This Row],[PFTeDA]])</f>
        <v>0.6972293427597176</v>
      </c>
      <c r="L17">
        <f>LOG(Table1_1[[#This Row],[PFHxDA]])</f>
        <v>-0.54975089168063895</v>
      </c>
      <c r="M17">
        <f>LOG(Table1_1[[#This Row],[PFPrS]])</f>
        <v>-0.32513885926218844</v>
      </c>
      <c r="N17">
        <f>LOG(Table1_1[[#This Row],[PFBS]])</f>
        <v>-0.79317412396815024</v>
      </c>
      <c r="O17">
        <f>LOG(Table1_1[[#This Row],[PFPeS]])</f>
        <v>-0.19111413264018789</v>
      </c>
      <c r="P17">
        <f>LOG(Table1_1[[#This Row],[PFHxS]])</f>
        <v>1.7520484478194385</v>
      </c>
      <c r="Q17">
        <f>LOG(Table1_1[[#This Row],[PFHpS]])</f>
        <v>1.2148438480476977</v>
      </c>
      <c r="R17">
        <f>LOG(Table1_1[[#This Row],[PFOS]])</f>
        <v>2.9623693356700209</v>
      </c>
      <c r="S17">
        <f>LOG(Table1_1[[#This Row],[PFNS]])</f>
        <v>0.29225607135647602</v>
      </c>
      <c r="T17">
        <f>LOG(Table1_1[[#This Row],[PFDS]])</f>
        <v>0.57054293988189753</v>
      </c>
      <c r="U17">
        <f>LOG(Table1_1[[#This Row],[PFDoS]])</f>
        <v>0.42651126136457523</v>
      </c>
      <c r="V17">
        <f>LOG(Table1_1[[#This Row],[Cl-PFOS]])</f>
        <v>-6.3989204284790407E-2</v>
      </c>
      <c r="W17">
        <f>LOG(Table1_1[[#This Row],[PFEtCHxS]])</f>
        <v>-0.24108810760202651</v>
      </c>
      <c r="X17">
        <f>LOG(Table1_1[[#This Row],[FBSA]])</f>
        <v>1.1903316981702914</v>
      </c>
      <c r="Y17">
        <f>LOG(Table1_1[[#This Row],[FHxSA]])</f>
        <v>1.9074113607745862</v>
      </c>
      <c r="Z17">
        <f>LOG(Table1_1[[#This Row],[FOSA]])</f>
        <v>0.69196510276736034</v>
      </c>
      <c r="AA17">
        <f>LOG(Table1_1[[#This Row],[N-MeFOSA]])</f>
        <v>-0.73992861201492521</v>
      </c>
      <c r="AB17">
        <f>LOG(Table1_1[[#This Row],[N-EtFOSA]])</f>
        <v>-0.32513885926218844</v>
      </c>
      <c r="AC17">
        <f>LOG(Table1_1[[#This Row],[FOSAA]])</f>
        <v>-0.32513885926218844</v>
      </c>
      <c r="AD17">
        <f>LOG(Table1_1[[#This Row],[N-MeFOSAA]])</f>
        <v>-0.62342304294348805</v>
      </c>
      <c r="AE17">
        <f>LOG(Table1_1[[#This Row],[N-EtFOSAA]])</f>
        <v>-0.62616885492616969</v>
      </c>
      <c r="AF17">
        <f>LOG(Table1_1[[#This Row],[4:2 FTS]])</f>
        <v>-0.62616885492616969</v>
      </c>
      <c r="AG17">
        <f>LOG(Table1_1[[#This Row],[6:2 FTS]])</f>
        <v>-0.62616885492616969</v>
      </c>
      <c r="AH17">
        <f>LOG(Table1_1[[#This Row],[8:2 FTS]])</f>
        <v>0.93399316383124231</v>
      </c>
      <c r="AI17">
        <f>LOG(Table1_1[[#This Row],[10:2 FTS]])</f>
        <v>-0.32513885926218844</v>
      </c>
      <c r="AJ17">
        <f>LOG(Table1_1[[#This Row],[3:3 FTCA]])</f>
        <v>-0.56383735295924398</v>
      </c>
      <c r="AK17">
        <f>LOG(Table1_1[[#This Row],[5:3 FTCA]])</f>
        <v>-0.62616885492616969</v>
      </c>
      <c r="AL17">
        <f>LOG(Table1_1[[#This Row],[7:3 FTCA]])</f>
        <v>-0.62616885492616969</v>
      </c>
      <c r="AM17">
        <f>LOG(Table1_1[[#This Row],[6:2 FTCA]])</f>
        <v>-0.32513885926218844</v>
      </c>
      <c r="AN17">
        <f>LOG(Table1_1[[#This Row],[8:2 FTCA]])</f>
        <v>-0.32513885926218844</v>
      </c>
      <c r="AO17">
        <f>LOG(Table1_1[[#This Row],[10:2 FTCA]])</f>
        <v>-0.32513885926218844</v>
      </c>
      <c r="AP17">
        <f>LOG(Table1_1[[#This Row],[6:2 FTUCA]])</f>
        <v>-0.32513885926218844</v>
      </c>
      <c r="AQ17">
        <f>LOG(Table1_1[[#This Row],[8:2 FTUCA]])</f>
        <v>-0.32513885926218844</v>
      </c>
      <c r="AR17">
        <f>LOG(Table1_1[[#This Row],[ADONA]])</f>
        <v>-0.62616885492616969</v>
      </c>
      <c r="AS17">
        <f>LOG(Table1_1[[#This Row],[9Cl-PF3ONS]])</f>
        <v>-0.32513885926218844</v>
      </c>
      <c r="AT17">
        <f>LOG(Table1_1[[#This Row],[11Cl-PF3OUdS]])</f>
        <v>-0.32513885926218844</v>
      </c>
      <c r="AU17">
        <f>LOG(Table1_1[[#This Row],[HFPO-DA]])</f>
        <v>-0.46916022138347946</v>
      </c>
      <c r="AV17">
        <f>LOG(Table1_1[[#This Row],[6:2 diPAP]])</f>
        <v>-0.32513885926218844</v>
      </c>
      <c r="AW17">
        <f>LOG(Table1_1[[#This Row],[8:2 diPAP]])</f>
        <v>-0.32513885926218844</v>
      </c>
      <c r="AX17">
        <f>LOG(Table1_1[[#This Row],[diSAmPAP]])</f>
        <v>-0.32513885926218844</v>
      </c>
    </row>
    <row r="18" spans="1:50">
      <c r="A18">
        <f>LOG(Table1_1[[#This Row],[PFBA]])</f>
        <v>-0.67571754470230738</v>
      </c>
      <c r="B18">
        <f>LOG(Table1_1[[#This Row],[PFPeA]])</f>
        <v>-0.67571754470230738</v>
      </c>
      <c r="C18">
        <f>LOG(Table1_1[[#This Row],[PFHxA]])</f>
        <v>-0.94309514866352739</v>
      </c>
      <c r="D18">
        <f>LOG(Table1_1[[#This Row],[PFHpA]])</f>
        <v>-0.67571754470230738</v>
      </c>
      <c r="E18">
        <f>LOG(Table1_1[[#This Row],[PFOA]])</f>
        <v>6.8185861746161619E-2</v>
      </c>
      <c r="F18">
        <f>LOG(Table1_1[[#This Row],[PFNA]])</f>
        <v>1.703333929878037E-2</v>
      </c>
      <c r="G18">
        <f>LOG(Table1_1[[#This Row],[PFDA]])</f>
        <v>0.68752896121463436</v>
      </c>
      <c r="H18">
        <f>LOG(Table1_1[[#This Row],[PFUnA]])</f>
        <v>0.80753502806885324</v>
      </c>
      <c r="I18">
        <f>LOG(Table1_1[[#This Row],[PFDoA]])</f>
        <v>0.88817949391832496</v>
      </c>
      <c r="J18">
        <f>LOG(Table1_1[[#This Row],[PFTrDA]])</f>
        <v>0.48000694295715063</v>
      </c>
      <c r="K18">
        <f>LOG(Table1_1[[#This Row],[PFTeDA]])</f>
        <v>0.59439255037542671</v>
      </c>
      <c r="L18">
        <f>LOG(Table1_1[[#This Row],[PFHxDA]])</f>
        <v>-0.59946201060805382</v>
      </c>
      <c r="M18">
        <f>LOG(Table1_1[[#This Row],[PFPrS]])</f>
        <v>-0.3752024210392389</v>
      </c>
      <c r="N18">
        <f>LOG(Table1_1[[#This Row],[PFBS]])</f>
        <v>-0.84314809892998888</v>
      </c>
      <c r="O18">
        <f>LOG(Table1_1[[#This Row],[PFPeS]])</f>
        <v>-0.52578373592374483</v>
      </c>
      <c r="P18">
        <f>LOG(Table1_1[[#This Row],[PFHxS]])</f>
        <v>1.436162647040756</v>
      </c>
      <c r="Q18">
        <f>LOG(Table1_1[[#This Row],[PFHpS]])</f>
        <v>0.88817949391832496</v>
      </c>
      <c r="R18">
        <f>LOG(Table1_1[[#This Row],[PFOS]])</f>
        <v>2.7979596437371961</v>
      </c>
      <c r="S18">
        <f>LOG(Table1_1[[#This Row],[PFNS]])</f>
        <v>-0.32975414692587596</v>
      </c>
      <c r="T18">
        <f>LOG(Table1_1[[#This Row],[PFDS]])</f>
        <v>0.10037054511756291</v>
      </c>
      <c r="U18">
        <f>LOG(Table1_1[[#This Row],[PFDoS]])</f>
        <v>-0.29499204066666401</v>
      </c>
      <c r="V18">
        <f>LOG(Table1_1[[#This Row],[Cl-PFOS]])</f>
        <v>-0.34582345812203946</v>
      </c>
      <c r="W18">
        <f>LOG(Table1_1[[#This Row],[PFEtCHxS]])</f>
        <v>-0.52870828894106148</v>
      </c>
      <c r="X18">
        <f>LOG(Table1_1[[#This Row],[FBSA]])</f>
        <v>1.6998377258672457</v>
      </c>
      <c r="Y18">
        <f>LOG(Table1_1[[#This Row],[FHxSA]])</f>
        <v>2.6201360549737576</v>
      </c>
      <c r="Z18">
        <f>LOG(Table1_1[[#This Row],[FOSA]])</f>
        <v>1.271841606536499</v>
      </c>
      <c r="AA18">
        <f>LOG(Table1_1[[#This Row],[N-MeFOSA]])</f>
        <v>-0.78914663468510682</v>
      </c>
      <c r="AB18">
        <f>LOG(Table1_1[[#This Row],[N-EtFOSA]])</f>
        <v>-0.3752024210392389</v>
      </c>
      <c r="AC18">
        <f>LOG(Table1_1[[#This Row],[FOSAA]])</f>
        <v>-0.3752024210392389</v>
      </c>
      <c r="AD18">
        <f>LOG(Table1_1[[#This Row],[N-MeFOSAA]])</f>
        <v>-0.67366413907124856</v>
      </c>
      <c r="AE18">
        <f>LOG(Table1_1[[#This Row],[N-EtFOSAA]])</f>
        <v>-0.67571754470230738</v>
      </c>
      <c r="AF18">
        <f>LOG(Table1_1[[#This Row],[4:2 FTS]])</f>
        <v>-0.67571754470230738</v>
      </c>
      <c r="AG18">
        <f>LOG(Table1_1[[#This Row],[6:2 FTS]])</f>
        <v>-0.33724216831842591</v>
      </c>
      <c r="AH18">
        <f>LOG(Table1_1[[#This Row],[8:2 FTS]])</f>
        <v>1.2121876044039579</v>
      </c>
      <c r="AI18">
        <f>LOG(Table1_1[[#This Row],[10:2 FTS]])</f>
        <v>-0.3752024210392389</v>
      </c>
      <c r="AJ18">
        <f>LOG(Table1_1[[#This Row],[3:3 FTCA]])</f>
        <v>-0.61439372640168788</v>
      </c>
      <c r="AK18">
        <f>LOG(Table1_1[[#This Row],[5:3 FTCA]])</f>
        <v>-0.67571754470230738</v>
      </c>
      <c r="AL18">
        <f>LOG(Table1_1[[#This Row],[7:3 FTCA]])</f>
        <v>7.1882007306125359E-2</v>
      </c>
      <c r="AM18">
        <f>LOG(Table1_1[[#This Row],[6:2 FTCA]])</f>
        <v>-0.3752024210392389</v>
      </c>
      <c r="AN18">
        <f>LOG(Table1_1[[#This Row],[8:2 FTCA]])</f>
        <v>-0.3752024210392389</v>
      </c>
      <c r="AO18">
        <f>LOG(Table1_1[[#This Row],[10:2 FTCA]])</f>
        <v>-0.3752024210392389</v>
      </c>
      <c r="AP18">
        <f>LOG(Table1_1[[#This Row],[6:2 FTUCA]])</f>
        <v>-0.3752024210392389</v>
      </c>
      <c r="AQ18">
        <f>LOG(Table1_1[[#This Row],[8:2 FTUCA]])</f>
        <v>-0.3752024210392389</v>
      </c>
      <c r="AR18">
        <f>LOG(Table1_1[[#This Row],[ADONA]])</f>
        <v>-0.67571754470230738</v>
      </c>
      <c r="AS18">
        <f>LOG(Table1_1[[#This Row],[9Cl-PF3ONS]])</f>
        <v>-0.3752024210392389</v>
      </c>
      <c r="AT18">
        <f>LOG(Table1_1[[#This Row],[11Cl-PF3OUdS]])</f>
        <v>-0.3752024210392389</v>
      </c>
      <c r="AU18">
        <f>LOG(Table1_1[[#This Row],[HFPO-DA]])</f>
        <v>-0.51927462101151234</v>
      </c>
      <c r="AV18">
        <f>LOG(Table1_1[[#This Row],[6:2 diPAP]])</f>
        <v>-0.3752024210392389</v>
      </c>
      <c r="AW18">
        <f>LOG(Table1_1[[#This Row],[8:2 diPAP]])</f>
        <v>-0.3752024210392389</v>
      </c>
      <c r="AX18">
        <f>LOG(Table1_1[[#This Row],[diSAmPAP]])</f>
        <v>-0.3752024210392389</v>
      </c>
    </row>
    <row r="19" spans="1:50">
      <c r="A19">
        <f>LOG(Table1_1[[#This Row],[PFBA]])</f>
        <v>-0.66254073870934382</v>
      </c>
      <c r="B19">
        <f>LOG(Table1_1[[#This Row],[PFPeA]])</f>
        <v>-0.66254073870934382</v>
      </c>
      <c r="C19">
        <f>LOG(Table1_1[[#This Row],[PFHxA]])</f>
        <v>-0.92996213339224498</v>
      </c>
      <c r="D19">
        <f>LOG(Table1_1[[#This Row],[PFHpA]])</f>
        <v>-0.66254073870934382</v>
      </c>
      <c r="E19">
        <f>LOG(Table1_1[[#This Row],[PFOA]])</f>
        <v>0.31806333496276157</v>
      </c>
      <c r="F19">
        <f>LOG(Table1_1[[#This Row],[PFNA]])</f>
        <v>0.44247976906444858</v>
      </c>
      <c r="G19">
        <f>LOG(Table1_1[[#This Row],[PFDA]])</f>
        <v>0.97772360528884772</v>
      </c>
      <c r="H19">
        <f>LOG(Table1_1[[#This Row],[PFUnA]])</f>
        <v>0.9289076902439527</v>
      </c>
      <c r="I19">
        <f>LOG(Table1_1[[#This Row],[PFDoA]])</f>
        <v>1.2068258760318498</v>
      </c>
      <c r="J19">
        <f>LOG(Table1_1[[#This Row],[PFTrDA]])</f>
        <v>0.63848925695463732</v>
      </c>
      <c r="K19">
        <f>LOG(Table1_1[[#This Row],[PFTeDA]])</f>
        <v>1.0253058652647702</v>
      </c>
      <c r="L19">
        <f>LOG(Table1_1[[#This Row],[PFHxDA]])</f>
        <v>-0.58586263781552328</v>
      </c>
      <c r="M19">
        <f>LOG(Table1_1[[#This Row],[PFPrS]])</f>
        <v>-0.36101184065631797</v>
      </c>
      <c r="N19">
        <f>LOG(Table1_1[[#This Row],[PFBS]])</f>
        <v>-0.82973828460504262</v>
      </c>
      <c r="O19">
        <f>LOG(Table1_1[[#This Row],[PFPeS]])</f>
        <v>-0.28483264215154214</v>
      </c>
      <c r="P19">
        <f>LOG(Table1_1[[#This Row],[PFHxS]])</f>
        <v>1.954724790979063</v>
      </c>
      <c r="Q19">
        <f>LOG(Table1_1[[#This Row],[PFHpS]])</f>
        <v>-0.66254073870934382</v>
      </c>
      <c r="R19">
        <f>LOG(Table1_1[[#This Row],[PFOS]])</f>
        <v>3.0086001717619175</v>
      </c>
      <c r="S19">
        <f>LOG(Table1_1[[#This Row],[PFNS]])</f>
        <v>8.6359830674748214E-2</v>
      </c>
      <c r="T19">
        <f>LOG(Table1_1[[#This Row],[PFDS]])</f>
        <v>0.10037054511756291</v>
      </c>
      <c r="U19">
        <f>LOG(Table1_1[[#This Row],[PFDoS]])</f>
        <v>0.12385164096708581</v>
      </c>
      <c r="V19">
        <f>LOG(Table1_1[[#This Row],[Cl-PFOS]])</f>
        <v>-0.341035157335565</v>
      </c>
      <c r="W19">
        <f>LOG(Table1_1[[#This Row],[PFEtCHxS]])</f>
        <v>-0.60554831917378371</v>
      </c>
      <c r="X19">
        <f>LOG(Table1_1[[#This Row],[FBSA]])</f>
        <v>1.7371926427047373</v>
      </c>
      <c r="Y19">
        <f>LOG(Table1_1[[#This Row],[FHxSA]])</f>
        <v>2.1958996524092336</v>
      </c>
      <c r="Z19">
        <f>LOG(Table1_1[[#This Row],[FOSA]])</f>
        <v>0.91698004732038219</v>
      </c>
      <c r="AA19">
        <f>LOG(Table1_1[[#This Row],[N-MeFOSA]])</f>
        <v>-0.77598518862713595</v>
      </c>
      <c r="AB19">
        <f>LOG(Table1_1[[#This Row],[N-EtFOSA]])</f>
        <v>-0.36101184065631797</v>
      </c>
      <c r="AC19">
        <f>LOG(Table1_1[[#This Row],[FOSAA]])</f>
        <v>-0.36101184065631797</v>
      </c>
      <c r="AD19">
        <f>LOG(Table1_1[[#This Row],[N-MeFOSAA]])</f>
        <v>-0.65955588515988162</v>
      </c>
      <c r="AE19">
        <f>LOG(Table1_1[[#This Row],[N-EtFOSAA]])</f>
        <v>-0.66254073870934382</v>
      </c>
      <c r="AF19">
        <f>LOG(Table1_1[[#This Row],[4:2 FTS]])</f>
        <v>-0.66254073870934382</v>
      </c>
      <c r="AG19">
        <f>LOG(Table1_1[[#This Row],[6:2 FTS]])</f>
        <v>-0.66254073870934382</v>
      </c>
      <c r="AH19">
        <f>LOG(Table1_1[[#This Row],[8:2 FTS]])</f>
        <v>1.0453229787866574</v>
      </c>
      <c r="AI19">
        <f>LOG(Table1_1[[#This Row],[10:2 FTS]])</f>
        <v>0.19312459835446161</v>
      </c>
      <c r="AJ19">
        <f>LOG(Table1_1[[#This Row],[3:3 FTCA]])</f>
        <v>-0.60032627851896181</v>
      </c>
      <c r="AK19">
        <f>LOG(Table1_1[[#This Row],[5:3 FTCA]])</f>
        <v>-0.66254073870934382</v>
      </c>
      <c r="AL19">
        <f>LOG(Table1_1[[#This Row],[7:3 FTCA]])</f>
        <v>0.55990662503611255</v>
      </c>
      <c r="AM19">
        <f>LOG(Table1_1[[#This Row],[6:2 FTCA]])</f>
        <v>-0.36101184065631797</v>
      </c>
      <c r="AN19">
        <f>LOG(Table1_1[[#This Row],[8:2 FTCA]])</f>
        <v>-0.36101184065631797</v>
      </c>
      <c r="AO19">
        <f>LOG(Table1_1[[#This Row],[10:2 FTCA]])</f>
        <v>-0.36101184065631797</v>
      </c>
      <c r="AP19">
        <f>LOG(Table1_1[[#This Row],[6:2 FTUCA]])</f>
        <v>-0.36101184065631797</v>
      </c>
      <c r="AQ19">
        <f>LOG(Table1_1[[#This Row],[8:2 FTUCA]])</f>
        <v>-0.36101184065631797</v>
      </c>
      <c r="AR19">
        <f>LOG(Table1_1[[#This Row],[ADONA]])</f>
        <v>0.20411998265592479</v>
      </c>
      <c r="AS19">
        <f>LOG(Table1_1[[#This Row],[9Cl-PF3ONS]])</f>
        <v>-0.36101184065631797</v>
      </c>
      <c r="AT19">
        <f>LOG(Table1_1[[#This Row],[11Cl-PF3OUdS]])</f>
        <v>-0.36101184065631797</v>
      </c>
      <c r="AU19">
        <f>LOG(Table1_1[[#This Row],[HFPO-DA]])</f>
        <v>-0.50514997831990593</v>
      </c>
      <c r="AV19">
        <f>LOG(Table1_1[[#This Row],[6:2 diPAP]])</f>
        <v>-0.36101184065631797</v>
      </c>
      <c r="AW19">
        <f>LOG(Table1_1[[#This Row],[8:2 diPAP]])</f>
        <v>-0.36101184065631797</v>
      </c>
      <c r="AX19">
        <f>LOG(Table1_1[[#This Row],[diSAmPAP]])</f>
        <v>-0.36101184065631797</v>
      </c>
    </row>
    <row r="20" spans="1:50">
      <c r="A20">
        <f>LOG(Table1_1[[#This Row],[PFBA]])</f>
        <v>-0.63078414258985716</v>
      </c>
      <c r="B20">
        <f>LOG(Table1_1[[#This Row],[PFPeA]])</f>
        <v>-0.63078414258985716</v>
      </c>
      <c r="C20">
        <f>LOG(Table1_1[[#This Row],[PFHxA]])</f>
        <v>-0.89790947448816327</v>
      </c>
      <c r="D20">
        <f>LOG(Table1_1[[#This Row],[PFHpA]])</f>
        <v>-0.63078414258985716</v>
      </c>
      <c r="E20">
        <f>LOG(Table1_1[[#This Row],[PFOA]])</f>
        <v>0.22530928172586284</v>
      </c>
      <c r="F20">
        <f>LOG(Table1_1[[#This Row],[PFNA]])</f>
        <v>3.7426497940623665E-2</v>
      </c>
      <c r="G20">
        <f>LOG(Table1_1[[#This Row],[PFDA]])</f>
        <v>0.9809119377768436</v>
      </c>
      <c r="H20">
        <f>LOG(Table1_1[[#This Row],[PFUnA]])</f>
        <v>1.0043213737826426</v>
      </c>
      <c r="I20">
        <f>LOG(Table1_1[[#This Row],[PFDoA]])</f>
        <v>1.1875207208364631</v>
      </c>
      <c r="J20">
        <f>LOG(Table1_1[[#This Row],[PFTrDA]])</f>
        <v>0.70415051683979912</v>
      </c>
      <c r="K20">
        <f>LOG(Table1_1[[#This Row],[PFTeDA]])</f>
        <v>1.0293837776852097</v>
      </c>
      <c r="L20">
        <f>LOG(Table1_1[[#This Row],[PFHxDA]])</f>
        <v>-0.55439579672640238</v>
      </c>
      <c r="M20">
        <f>LOG(Table1_1[[#This Row],[PFPrS]])</f>
        <v>-0.32929040477620292</v>
      </c>
      <c r="N20">
        <f>LOG(Table1_1[[#This Row],[PFBS]])</f>
        <v>-0.79723931260680003</v>
      </c>
      <c r="O20">
        <f>LOG(Table1_1[[#This Row],[PFPeS]])</f>
        <v>-0.29843201494407262</v>
      </c>
      <c r="P20">
        <f>LOG(Table1_1[[#This Row],[PFHxS]])</f>
        <v>1.4828735836087537</v>
      </c>
      <c r="Q20">
        <f>LOG(Table1_1[[#This Row],[PFHpS]])</f>
        <v>1.0211892990699381</v>
      </c>
      <c r="R20">
        <f>LOG(Table1_1[[#This Row],[PFOS]])</f>
        <v>2.9111576087399764</v>
      </c>
      <c r="S20">
        <f>LOG(Table1_1[[#This Row],[PFNS]])</f>
        <v>0.13353890837021754</v>
      </c>
      <c r="T20">
        <f>LOG(Table1_1[[#This Row],[PFDS]])</f>
        <v>0.34635297445063867</v>
      </c>
      <c r="U20">
        <f>LOG(Table1_1[[#This Row],[PFDoS]])</f>
        <v>4.9218022670181653E-2</v>
      </c>
      <c r="V20">
        <f>LOG(Table1_1[[#This Row],[Cl-PFOS]])</f>
        <v>5.6904851336472557E-2</v>
      </c>
      <c r="W20">
        <f>LOG(Table1_1[[#This Row],[PFEtCHxS]])</f>
        <v>-0.20971483596675833</v>
      </c>
      <c r="X20">
        <f>LOG(Table1_1[[#This Row],[FBSA]])</f>
        <v>1.7656685547590141</v>
      </c>
      <c r="Y20">
        <f>LOG(Table1_1[[#This Row],[FHxSA]])</f>
        <v>2.4578818967339924</v>
      </c>
      <c r="Z20">
        <f>LOG(Table1_1[[#This Row],[FOSA]])</f>
        <v>1.1335389083702174</v>
      </c>
      <c r="AA20">
        <f>LOG(Table1_1[[#This Row],[N-MeFOSA]])</f>
        <v>-0.74352279375832331</v>
      </c>
      <c r="AB20">
        <f>LOG(Table1_1[[#This Row],[N-EtFOSA]])</f>
        <v>-0.32929040477620292</v>
      </c>
      <c r="AC20">
        <f>LOG(Table1_1[[#This Row],[FOSAA]])</f>
        <v>-0.32929040477620292</v>
      </c>
      <c r="AD20">
        <f>LOG(Table1_1[[#This Row],[N-MeFOSAA]])</f>
        <v>-0.62800908853508508</v>
      </c>
      <c r="AE20">
        <f>LOG(Table1_1[[#This Row],[N-EtFOSAA]])</f>
        <v>-0.63078414258985716</v>
      </c>
      <c r="AF20">
        <f>LOG(Table1_1[[#This Row],[4:2 FTS]])</f>
        <v>-0.63078414258985716</v>
      </c>
      <c r="AG20">
        <f>LOG(Table1_1[[#This Row],[6:2 FTS]])</f>
        <v>-0.63078414258985716</v>
      </c>
      <c r="AH20">
        <f>LOG(Table1_1[[#This Row],[8:2 FTS]])</f>
        <v>1.0827853703164501</v>
      </c>
      <c r="AI20">
        <f>LOG(Table1_1[[#This Row],[10:2 FTS]])</f>
        <v>-0.32929040477620292</v>
      </c>
      <c r="AJ20">
        <f>LOG(Table1_1[[#This Row],[3:3 FTCA]])</f>
        <v>-0.56863623584101264</v>
      </c>
      <c r="AK20">
        <f>LOG(Table1_1[[#This Row],[5:3 FTCA]])</f>
        <v>1.3053513694466237</v>
      </c>
      <c r="AL20">
        <f>LOG(Table1_1[[#This Row],[7:3 FTCA]])</f>
        <v>-0.63078414258985716</v>
      </c>
      <c r="AM20">
        <f>LOG(Table1_1[[#This Row],[6:2 FTCA]])</f>
        <v>-0.32929040477620292</v>
      </c>
      <c r="AN20">
        <f>LOG(Table1_1[[#This Row],[8:2 FTCA]])</f>
        <v>-0.32929040477620292</v>
      </c>
      <c r="AO20">
        <f>LOG(Table1_1[[#This Row],[10:2 FTCA]])</f>
        <v>-0.32929040477620292</v>
      </c>
      <c r="AP20">
        <f>LOG(Table1_1[[#This Row],[6:2 FTUCA]])</f>
        <v>-0.32929040477620292</v>
      </c>
      <c r="AQ20">
        <f>LOG(Table1_1[[#This Row],[8:2 FTUCA]])</f>
        <v>-0.32929040477620292</v>
      </c>
      <c r="AR20">
        <f>LOG(Table1_1[[#This Row],[ADONA]])</f>
        <v>-0.63078414258985716</v>
      </c>
      <c r="AS20">
        <f>LOG(Table1_1[[#This Row],[9Cl-PF3ONS]])</f>
        <v>-0.32929040477620292</v>
      </c>
      <c r="AT20">
        <f>LOG(Table1_1[[#This Row],[11Cl-PF3OUdS]])</f>
        <v>-0.32929040477620292</v>
      </c>
      <c r="AU20">
        <f>LOG(Table1_1[[#This Row],[HFPO-DA]])</f>
        <v>-0.4736607226101559</v>
      </c>
      <c r="AV20">
        <f>LOG(Table1_1[[#This Row],[6:2 diPAP]])</f>
        <v>-0.32929040477620292</v>
      </c>
      <c r="AW20">
        <f>LOG(Table1_1[[#This Row],[8:2 diPAP]])</f>
        <v>-0.32929040477620292</v>
      </c>
      <c r="AX20">
        <f>LOG(Table1_1[[#This Row],[diSAmPAP]])</f>
        <v>-0.32929040477620292</v>
      </c>
    </row>
    <row r="21" spans="1:50">
      <c r="A21">
        <f>LOG(Table1_1[[#This Row],[PFBA]])</f>
        <v>-0.64685345378602066</v>
      </c>
      <c r="B21">
        <f>LOG(Table1_1[[#This Row],[PFPeA]])</f>
        <v>-0.64685345378602066</v>
      </c>
      <c r="C21">
        <f>LOG(Table1_1[[#This Row],[PFHxA]])</f>
        <v>-0.91542372206566902</v>
      </c>
      <c r="D21">
        <f>LOG(Table1_1[[#This Row],[PFHpA]])</f>
        <v>-0.64685345378602066</v>
      </c>
      <c r="E21">
        <f>LOG(Table1_1[[#This Row],[PFOA]])</f>
        <v>9.3421685162235063E-2</v>
      </c>
      <c r="F21">
        <f>LOG(Table1_1[[#This Row],[PFNA]])</f>
        <v>-2.7334407733889104E-2</v>
      </c>
      <c r="G21">
        <f>LOG(Table1_1[[#This Row],[PFDA]])</f>
        <v>0.65609820201283187</v>
      </c>
      <c r="H21">
        <f>LOG(Table1_1[[#This Row],[PFUnA]])</f>
        <v>0.87390159786446142</v>
      </c>
      <c r="I21">
        <f>LOG(Table1_1[[#This Row],[PFDoA]])</f>
        <v>1.1643528557844371</v>
      </c>
      <c r="J21">
        <f>LOG(Table1_1[[#This Row],[PFTrDA]])</f>
        <v>0.81888541459400987</v>
      </c>
      <c r="K21">
        <f>LOG(Table1_1[[#This Row],[PFTeDA]])</f>
        <v>0.94694327069782547</v>
      </c>
      <c r="L21">
        <f>LOG(Table1_1[[#This Row],[PFHxDA]])</f>
        <v>-0.57105570996442556</v>
      </c>
      <c r="M21">
        <f>LOG(Table1_1[[#This Row],[PFPrS]])</f>
        <v>-0.34630520468491821</v>
      </c>
      <c r="N21">
        <f>LOG(Table1_1[[#This Row],[PFBS]])</f>
        <v>-0.81389162018679473</v>
      </c>
      <c r="O21">
        <f>LOG(Table1_1[[#This Row],[PFPeS]])</f>
        <v>-0.20901152491118416</v>
      </c>
      <c r="P21">
        <f>LOG(Table1_1[[#This Row],[PFHxS]])</f>
        <v>1.6910814921229684</v>
      </c>
      <c r="Q21">
        <f>LOG(Table1_1[[#This Row],[PFHpS]])</f>
        <v>0.78532983501076703</v>
      </c>
      <c r="R21">
        <f>LOG(Table1_1[[#This Row],[PFOS]])</f>
        <v>2.8075350280688531</v>
      </c>
      <c r="S21">
        <f>LOG(Table1_1[[#This Row],[PFNS]])</f>
        <v>-0.11407366019856895</v>
      </c>
      <c r="T21">
        <f>LOG(Table1_1[[#This Row],[PFDS]])</f>
        <v>0.12710479836480765</v>
      </c>
      <c r="U21">
        <f>LOG(Table1_1[[#This Row],[PFDoS]])</f>
        <v>-0.29073003902416922</v>
      </c>
      <c r="V21">
        <f>LOG(Table1_1[[#This Row],[Cl-PFOS]])</f>
        <v>-0.86327943284359321</v>
      </c>
      <c r="W21">
        <f>LOG(Table1_1[[#This Row],[PFEtCHxS]])</f>
        <v>-0.55752023093555136</v>
      </c>
      <c r="X21">
        <f>LOG(Table1_1[[#This Row],[FBSA]])</f>
        <v>1.8312296938670634</v>
      </c>
      <c r="Y21">
        <f>LOG(Table1_1[[#This Row],[FHxSA]])</f>
        <v>2.0863598306747484</v>
      </c>
      <c r="Z21">
        <f>LOG(Table1_1[[#This Row],[FOSA]])</f>
        <v>0.75358305889290655</v>
      </c>
      <c r="AA21">
        <f>LOG(Table1_1[[#This Row],[N-MeFOSA]])</f>
        <v>-0.76070052087310747</v>
      </c>
      <c r="AB21">
        <f>LOG(Table1_1[[#This Row],[N-EtFOSA]])</f>
        <v>-0.34630520468491821</v>
      </c>
      <c r="AC21">
        <f>LOG(Table1_1[[#This Row],[FOSAA]])</f>
        <v>-0.34630520468491821</v>
      </c>
      <c r="AD21">
        <f>LOG(Table1_1[[#This Row],[N-MeFOSAA]])</f>
        <v>-0.64493179365114928</v>
      </c>
      <c r="AE21">
        <f>LOG(Table1_1[[#This Row],[N-EtFOSAA]])</f>
        <v>-0.64685345378602066</v>
      </c>
      <c r="AF21">
        <f>LOG(Table1_1[[#This Row],[4:2 FTS]])</f>
        <v>-0.64685345378602066</v>
      </c>
      <c r="AG21">
        <f>LOG(Table1_1[[#This Row],[6:2 FTS]])</f>
        <v>-0.64685345378602066</v>
      </c>
      <c r="AH21">
        <f>LOG(Table1_1[[#This Row],[8:2 FTS]])</f>
        <v>0.85612444424230028</v>
      </c>
      <c r="AI21">
        <f>LOG(Table1_1[[#This Row],[10:2 FTS]])</f>
        <v>-0.34630520468491821</v>
      </c>
      <c r="AJ21">
        <f>LOG(Table1_1[[#This Row],[3:3 FTCA]])</f>
        <v>-0.58502665202918203</v>
      </c>
      <c r="AK21">
        <f>LOG(Table1_1[[#This Row],[5:3 FTCA]])</f>
        <v>-0.64685345378602066</v>
      </c>
      <c r="AL21">
        <f>LOG(Table1_1[[#This Row],[7:3 FTCA]])</f>
        <v>-0.64685345378602066</v>
      </c>
      <c r="AM21">
        <f>LOG(Table1_1[[#This Row],[6:2 FTCA]])</f>
        <v>-0.34630520468491821</v>
      </c>
      <c r="AN21">
        <f>LOG(Table1_1[[#This Row],[8:2 FTCA]])</f>
        <v>-0.34630520468491821</v>
      </c>
      <c r="AO21">
        <f>LOG(Table1_1[[#This Row],[10:2 FTCA]])</f>
        <v>-0.34630520468491821</v>
      </c>
      <c r="AP21">
        <f>LOG(Table1_1[[#This Row],[6:2 FTUCA]])</f>
        <v>-0.34630520468491821</v>
      </c>
      <c r="AQ21">
        <f>LOG(Table1_1[[#This Row],[8:2 FTUCA]])</f>
        <v>-0.34630520468491821</v>
      </c>
      <c r="AR21">
        <f>LOG(Table1_1[[#This Row],[ADONA]])</f>
        <v>-0.64685345378602066</v>
      </c>
      <c r="AS21">
        <f>LOG(Table1_1[[#This Row],[9Cl-PF3ONS]])</f>
        <v>-0.34630520468491821</v>
      </c>
      <c r="AT21">
        <f>LOG(Table1_1[[#This Row],[11Cl-PF3OUdS]])</f>
        <v>-0.34630520468491821</v>
      </c>
      <c r="AU21">
        <f>LOG(Table1_1[[#This Row],[HFPO-DA]])</f>
        <v>-0.49012571499528079</v>
      </c>
      <c r="AV21">
        <f>LOG(Table1_1[[#This Row],[6:2 diPAP]])</f>
        <v>-0.34630520468491821</v>
      </c>
      <c r="AW21">
        <f>LOG(Table1_1[[#This Row],[8:2 diPAP]])</f>
        <v>-0.34630520468491821</v>
      </c>
      <c r="AX21">
        <f>LOG(Table1_1[[#This Row],[diSAmPAP]])</f>
        <v>-0.34630520468491821</v>
      </c>
    </row>
    <row r="22" spans="1:50">
      <c r="A22">
        <f>LOG(Table1_1[[#This Row],[PFBA]])</f>
        <v>-0.65169513695183934</v>
      </c>
      <c r="B22">
        <f>LOG(Table1_1[[#This Row],[PFPeA]])</f>
        <v>-0.65169513695183934</v>
      </c>
      <c r="C22">
        <f>LOG(Table1_1[[#This Row],[PFHxA]])</f>
        <v>-0.92081875395237522</v>
      </c>
      <c r="D22">
        <f>LOG(Table1_1[[#This Row],[PFHpA]])</f>
        <v>-0.65169513695183934</v>
      </c>
      <c r="E22">
        <f>LOG(Table1_1[[#This Row],[PFOA]])</f>
        <v>0.44247976906444858</v>
      </c>
      <c r="F22">
        <f>LOG(Table1_1[[#This Row],[PFNA]])</f>
        <v>0.98811284026835189</v>
      </c>
      <c r="G22">
        <f>LOG(Table1_1[[#This Row],[PFDA]])</f>
        <v>0.79169064902011799</v>
      </c>
      <c r="H22">
        <f>LOG(Table1_1[[#This Row],[PFUnA]])</f>
        <v>0.88986172125818841</v>
      </c>
      <c r="I22">
        <f>LOG(Table1_1[[#This Row],[PFDoA]])</f>
        <v>0.95085145888854639</v>
      </c>
      <c r="J22">
        <f>LOG(Table1_1[[#This Row],[PFTrDA]])</f>
        <v>0.3820170425748684</v>
      </c>
      <c r="K22">
        <f>LOG(Table1_1[[#This Row],[PFTeDA]])</f>
        <v>0.79379038469081864</v>
      </c>
      <c r="L22">
        <f>LOG(Table1_1[[#This Row],[PFHxDA]])</f>
        <v>-0.57593547458251215</v>
      </c>
      <c r="M22">
        <f>LOG(Table1_1[[#This Row],[PFPrS]])</f>
        <v>-0.35115229162710637</v>
      </c>
      <c r="N22">
        <f>LOG(Table1_1[[#This Row],[PFBS]])</f>
        <v>-0.81958736716167624</v>
      </c>
      <c r="O22">
        <f>LOG(Table1_1[[#This Row],[PFPeS]])</f>
        <v>-0.58335949266171905</v>
      </c>
      <c r="P22">
        <f>LOG(Table1_1[[#This Row],[PFHxS]])</f>
        <v>1.4623979978989561</v>
      </c>
      <c r="Q22">
        <f>LOG(Table1_1[[#This Row],[PFHpS]])</f>
        <v>1.1072099696478683</v>
      </c>
      <c r="R22">
        <f>LOG(Table1_1[[#This Row],[PFOS]])</f>
        <v>2.9684829485539352</v>
      </c>
      <c r="S22">
        <f>LOG(Table1_1[[#This Row],[PFNS]])</f>
        <v>9.3421685162235063E-2</v>
      </c>
      <c r="T22">
        <f>LOG(Table1_1[[#This Row],[PFDS]])</f>
        <v>0.35218251811136247</v>
      </c>
      <c r="U22">
        <f>LOG(Table1_1[[#This Row],[PFDoS]])</f>
        <v>-0.20342566678957033</v>
      </c>
      <c r="V22">
        <f>LOG(Table1_1[[#This Row],[Cl-PFOS]])</f>
        <v>0.1553360374650618</v>
      </c>
      <c r="W22">
        <f>LOG(Table1_1[[#This Row],[PFEtCHxS]])</f>
        <v>-0.19178902707577791</v>
      </c>
      <c r="X22">
        <f>LOG(Table1_1[[#This Row],[FBSA]])</f>
        <v>1.5820633629117087</v>
      </c>
      <c r="Y22">
        <f>LOG(Table1_1[[#This Row],[FHxSA]])</f>
        <v>2.6031443726201822</v>
      </c>
      <c r="Z22">
        <f>LOG(Table1_1[[#This Row],[FOSA]])</f>
        <v>1.3463529744506386</v>
      </c>
      <c r="AA22">
        <f>LOG(Table1_1[[#This Row],[N-MeFOSA]])</f>
        <v>-0.7657358756212107</v>
      </c>
      <c r="AB22">
        <f>LOG(Table1_1[[#This Row],[N-EtFOSA]])</f>
        <v>-0.35115229162710637</v>
      </c>
      <c r="AC22">
        <f>LOG(Table1_1[[#This Row],[FOSAA]])</f>
        <v>-0.35115229162710637</v>
      </c>
      <c r="AD22">
        <f>LOG(Table1_1[[#This Row],[N-MeFOSAA]])</f>
        <v>-0.64975198166583714</v>
      </c>
      <c r="AE22">
        <f>LOG(Table1_1[[#This Row],[N-EtFOSAA]])</f>
        <v>-0.65169513695183934</v>
      </c>
      <c r="AF22">
        <f>LOG(Table1_1[[#This Row],[4:2 FTS]])</f>
        <v>-0.65169513695183934</v>
      </c>
      <c r="AG22">
        <f>LOG(Table1_1[[#This Row],[6:2 FTS]])</f>
        <v>0.31175386105575426</v>
      </c>
      <c r="AH22">
        <f>LOG(Table1_1[[#This Row],[8:2 FTS]])</f>
        <v>1.3926969532596658</v>
      </c>
      <c r="AI22">
        <f>LOG(Table1_1[[#This Row],[10:2 FTS]])</f>
        <v>-0.35115229162710637</v>
      </c>
      <c r="AJ22">
        <f>LOG(Table1_1[[#This Row],[3:3 FTCA]])</f>
        <v>-0.5900668766687055</v>
      </c>
      <c r="AK22">
        <f>LOG(Table1_1[[#This Row],[5:3 FTCA]])</f>
        <v>-0.24718356881172862</v>
      </c>
      <c r="AL22">
        <f>LOG(Table1_1[[#This Row],[7:3 FTCA]])</f>
        <v>0.70671778233675875</v>
      </c>
      <c r="AM22">
        <f>LOG(Table1_1[[#This Row],[6:2 FTCA]])</f>
        <v>-0.35115229162710637</v>
      </c>
      <c r="AN22">
        <f>LOG(Table1_1[[#This Row],[8:2 FTCA]])</f>
        <v>-0.35115229162710637</v>
      </c>
      <c r="AO22">
        <f>LOG(Table1_1[[#This Row],[10:2 FTCA]])</f>
        <v>-0.35115229162710637</v>
      </c>
      <c r="AP22">
        <f>LOG(Table1_1[[#This Row],[6:2 FTUCA]])</f>
        <v>-0.35115229162710637</v>
      </c>
      <c r="AQ22">
        <f>LOG(Table1_1[[#This Row],[8:2 FTUCA]])</f>
        <v>-0.35115229162710637</v>
      </c>
      <c r="AR22">
        <f>LOG(Table1_1[[#This Row],[ADONA]])</f>
        <v>-0.65169513695183934</v>
      </c>
      <c r="AS22">
        <f>LOG(Table1_1[[#This Row],[9Cl-PF3ONS]])</f>
        <v>-0.35115229162710637</v>
      </c>
      <c r="AT22">
        <f>LOG(Table1_1[[#This Row],[11Cl-PF3OUdS]])</f>
        <v>-0.35115229162710637</v>
      </c>
      <c r="AU22">
        <f>LOG(Table1_1[[#This Row],[HFPO-DA]])</f>
        <v>-0.49552913750558103</v>
      </c>
      <c r="AV22">
        <f>LOG(Table1_1[[#This Row],[6:2 diPAP]])</f>
        <v>-0.35115229162710637</v>
      </c>
      <c r="AW22">
        <f>LOG(Table1_1[[#This Row],[8:2 diPAP]])</f>
        <v>-0.35115229162710637</v>
      </c>
      <c r="AX22">
        <f>LOG(Table1_1[[#This Row],[diSAmPAP]])</f>
        <v>-0.35115229162710637</v>
      </c>
    </row>
    <row r="23" spans="1:50">
      <c r="A23">
        <f>LOG(Table1_1[[#This Row],[PFBA]])</f>
        <v>-0.6777807052660807</v>
      </c>
      <c r="B23">
        <f>LOG(Table1_1[[#This Row],[PFPeA]])</f>
        <v>-0.6777807052660807</v>
      </c>
      <c r="C23">
        <f>LOG(Table1_1[[#This Row],[PFHxA]])</f>
        <v>-0.94500413847085851</v>
      </c>
      <c r="D23">
        <f>LOG(Table1_1[[#This Row],[PFHpA]])</f>
        <v>-0.6777807052660807</v>
      </c>
      <c r="E23">
        <f>LOG(Table1_1[[#This Row],[PFOA]])</f>
        <v>0.33645973384852951</v>
      </c>
      <c r="F23">
        <f>LOG(Table1_1[[#This Row],[PFNA]])</f>
        <v>0.3344537511509309</v>
      </c>
      <c r="G23">
        <f>LOG(Table1_1[[#This Row],[PFDA]])</f>
        <v>0.87390159786446142</v>
      </c>
      <c r="H23">
        <f>LOG(Table1_1[[#This Row],[PFUnA]])</f>
        <v>1.0043213737826426</v>
      </c>
      <c r="I23">
        <f>LOG(Table1_1[[#This Row],[PFDoA]])</f>
        <v>1.2695129442179163</v>
      </c>
      <c r="J23">
        <f>LOG(Table1_1[[#This Row],[PFTrDA]])</f>
        <v>0.85853719756963909</v>
      </c>
      <c r="K23">
        <f>LOG(Table1_1[[#This Row],[PFTeDA]])</f>
        <v>0.86332286012045589</v>
      </c>
      <c r="L23">
        <f>LOG(Table1_1[[#This Row],[PFHxDA]])</f>
        <v>-0.6020599913279624</v>
      </c>
      <c r="M23">
        <f>LOG(Table1_1[[#This Row],[PFPrS]])</f>
        <v>-0.37675070960209955</v>
      </c>
      <c r="N23">
        <f>LOG(Table1_1[[#This Row],[PFBS]])</f>
        <v>-0.84466396253493825</v>
      </c>
      <c r="O23">
        <f>LOG(Table1_1[[#This Row],[PFPeS]])</f>
        <v>-0.4762535331884355</v>
      </c>
      <c r="P23">
        <f>LOG(Table1_1[[#This Row],[PFHxS]])</f>
        <v>1.2988530764097066</v>
      </c>
      <c r="Q23">
        <f>LOG(Table1_1[[#This Row],[PFHpS]])</f>
        <v>0.70842090013471271</v>
      </c>
      <c r="R23">
        <f>LOG(Table1_1[[#This Row],[PFOS]])</f>
        <v>2.9703468762300935</v>
      </c>
      <c r="S23">
        <f>LOG(Table1_1[[#This Row],[PFNS]])</f>
        <v>-4.3648054024500883E-3</v>
      </c>
      <c r="T23">
        <f>LOG(Table1_1[[#This Row],[PFDS]])</f>
        <v>0.22530928172586284</v>
      </c>
      <c r="U23">
        <f>LOG(Table1_1[[#This Row],[PFDoS]])</f>
        <v>-0.28149831113272572</v>
      </c>
      <c r="V23">
        <f>LOG(Table1_1[[#This Row],[Cl-PFOS]])</f>
        <v>7.9181246047624818E-2</v>
      </c>
      <c r="W23">
        <f>LOG(Table1_1[[#This Row],[PFEtCHxS]])</f>
        <v>-0.36351210364663455</v>
      </c>
      <c r="X23">
        <f>LOG(Table1_1[[#This Row],[FBSA]])</f>
        <v>1.4857214264815801</v>
      </c>
      <c r="Y23">
        <f>LOG(Table1_1[[#This Row],[FHxSA]])</f>
        <v>2.2041199826559246</v>
      </c>
      <c r="Z23">
        <f>LOG(Table1_1[[#This Row],[FOSA]])</f>
        <v>1.1367205671564067</v>
      </c>
      <c r="AA23">
        <f>LOG(Table1_1[[#This Row],[N-MeFOSA]])</f>
        <v>-0.79182747333287828</v>
      </c>
      <c r="AB23">
        <f>LOG(Table1_1[[#This Row],[N-EtFOSA]])</f>
        <v>-0.37675070960209955</v>
      </c>
      <c r="AC23">
        <f>LOG(Table1_1[[#This Row],[FOSAA]])</f>
        <v>-0.37675070960209955</v>
      </c>
      <c r="AD23">
        <f>LOG(Table1_1[[#This Row],[N-MeFOSAA]])</f>
        <v>-0.67571754470230738</v>
      </c>
      <c r="AE23">
        <f>LOG(Table1_1[[#This Row],[N-EtFOSAA]])</f>
        <v>-0.6777807052660807</v>
      </c>
      <c r="AF23">
        <f>LOG(Table1_1[[#This Row],[4:2 FTS]])</f>
        <v>-0.6777807052660807</v>
      </c>
      <c r="AG23">
        <f>LOG(Table1_1[[#This Row],[6:2 FTS]])</f>
        <v>0.11394335230683679</v>
      </c>
      <c r="AH23">
        <f>LOG(Table1_1[[#This Row],[8:2 FTS]])</f>
        <v>1.3654879848908996</v>
      </c>
      <c r="AI23">
        <f>LOG(Table1_1[[#This Row],[10:2 FTS]])</f>
        <v>-0.37675070960209955</v>
      </c>
      <c r="AJ23">
        <f>LOG(Table1_1[[#This Row],[3:3 FTCA]])</f>
        <v>-0.61618463401956869</v>
      </c>
      <c r="AK23">
        <f>LOG(Table1_1[[#This Row],[5:3 FTCA]])</f>
        <v>-0.6777807052660807</v>
      </c>
      <c r="AL23">
        <f>LOG(Table1_1[[#This Row],[7:3 FTCA]])</f>
        <v>0.62221402296629535</v>
      </c>
      <c r="AM23">
        <f>LOG(Table1_1[[#This Row],[6:2 FTCA]])</f>
        <v>-0.37675070960209955</v>
      </c>
      <c r="AN23">
        <f>LOG(Table1_1[[#This Row],[8:2 FTCA]])</f>
        <v>-0.37675070960209955</v>
      </c>
      <c r="AO23">
        <f>LOG(Table1_1[[#This Row],[10:2 FTCA]])</f>
        <v>-0.37675070960209955</v>
      </c>
      <c r="AP23">
        <f>LOG(Table1_1[[#This Row],[6:2 FTUCA]])</f>
        <v>-0.37675070960209955</v>
      </c>
      <c r="AQ23">
        <f>LOG(Table1_1[[#This Row],[8:2 FTUCA]])</f>
        <v>-0.37675070960209955</v>
      </c>
      <c r="AR23">
        <f>LOG(Table1_1[[#This Row],[ADONA]])</f>
        <v>-0.6777807052660807</v>
      </c>
      <c r="AS23">
        <f>LOG(Table1_1[[#This Row],[9Cl-PF3ONS]])</f>
        <v>-0.37675070960209955</v>
      </c>
      <c r="AT23">
        <f>LOG(Table1_1[[#This Row],[11Cl-PF3OUdS]])</f>
        <v>-0.37675070960209955</v>
      </c>
      <c r="AU23">
        <f>LOG(Table1_1[[#This Row],[HFPO-DA]])</f>
        <v>-0.52143350440615666</v>
      </c>
      <c r="AV23">
        <f>LOG(Table1_1[[#This Row],[6:2 diPAP]])</f>
        <v>-0.37675070960209955</v>
      </c>
      <c r="AW23">
        <f>LOG(Table1_1[[#This Row],[8:2 diPAP]])</f>
        <v>-0.37675070960209955</v>
      </c>
      <c r="AX23">
        <f>LOG(Table1_1[[#This Row],[diSAmPAP]])</f>
        <v>-0.37675070960209955</v>
      </c>
    </row>
    <row r="24" spans="1:50">
      <c r="A24">
        <f>LOG(Table1_1[[#This Row],[PFBA]])</f>
        <v>-0.63451201510910027</v>
      </c>
      <c r="B24">
        <f>LOG(Table1_1[[#This Row],[PFPeA]])</f>
        <v>-0.63451201510910027</v>
      </c>
      <c r="C24">
        <f>LOG(Table1_1[[#This Row],[PFHxA]])</f>
        <v>-0.90135627418294306</v>
      </c>
      <c r="D24">
        <f>LOG(Table1_1[[#This Row],[PFHpA]])</f>
        <v>-0.63451201510910027</v>
      </c>
      <c r="E24">
        <f>LOG(Table1_1[[#This Row],[PFOA]])</f>
        <v>0.38381536598043126</v>
      </c>
      <c r="F24">
        <f>LOG(Table1_1[[#This Row],[PFNA]])</f>
        <v>0.30319605742048883</v>
      </c>
      <c r="G24">
        <f>LOG(Table1_1[[#This Row],[PFDA]])</f>
        <v>0.72263392253381231</v>
      </c>
      <c r="H24">
        <f>LOG(Table1_1[[#This Row],[PFUnA]])</f>
        <v>0.95230800966212525</v>
      </c>
      <c r="I24">
        <f>LOG(Table1_1[[#This Row],[PFDoA]])</f>
        <v>1.0043213737826426</v>
      </c>
      <c r="J24">
        <f>LOG(Table1_1[[#This Row],[PFTrDA]])</f>
        <v>0.44090908206521767</v>
      </c>
      <c r="K24">
        <f>LOG(Table1_1[[#This Row],[PFTeDA]])</f>
        <v>0.54406804435027567</v>
      </c>
      <c r="L24">
        <f>LOG(Table1_1[[#This Row],[PFHxDA]])</f>
        <v>-0.55830486435928295</v>
      </c>
      <c r="M24">
        <f>LOG(Table1_1[[#This Row],[PFPrS]])</f>
        <v>-0.33301428167033942</v>
      </c>
      <c r="N24">
        <f>LOG(Table1_1[[#This Row],[PFBS]])</f>
        <v>-0.80134291304557737</v>
      </c>
      <c r="O24">
        <f>LOG(Table1_1[[#This Row],[PFPeS]])</f>
        <v>-0.91009488856060206</v>
      </c>
      <c r="P24">
        <f>LOG(Table1_1[[#This Row],[PFHxS]])</f>
        <v>1.4785664955938433</v>
      </c>
      <c r="Q24">
        <f>LOG(Table1_1[[#This Row],[PFHpS]])</f>
        <v>1.1398790864012365</v>
      </c>
      <c r="R24">
        <f>LOG(Table1_1[[#This Row],[PFOS]])</f>
        <v>2.8337843746564788</v>
      </c>
      <c r="S24">
        <f>LOG(Table1_1[[#This Row],[PFNS]])</f>
        <v>0.12385164096708581</v>
      </c>
      <c r="T24">
        <f>LOG(Table1_1[[#This Row],[PFDS]])</f>
        <v>0.45331834004703764</v>
      </c>
      <c r="U24">
        <f>LOG(Table1_1[[#This Row],[PFDoS]])</f>
        <v>-1.9996628416253676E-2</v>
      </c>
      <c r="V24">
        <f>LOG(Table1_1[[#This Row],[Cl-PFOS]])</f>
        <v>-0.11294562194904302</v>
      </c>
      <c r="W24">
        <f>LOG(Table1_1[[#This Row],[PFEtCHxS]])</f>
        <v>-0.24641694110709347</v>
      </c>
      <c r="X24">
        <f>LOG(Table1_1[[#This Row],[FBSA]])</f>
        <v>1.546542663478131</v>
      </c>
      <c r="Y24">
        <f>LOG(Table1_1[[#This Row],[FHxSA]])</f>
        <v>2.4099331233312946</v>
      </c>
      <c r="Z24">
        <f>LOG(Table1_1[[#This Row],[FOSA]])</f>
        <v>1.2430380486862944</v>
      </c>
      <c r="AA24">
        <f>LOG(Table1_1[[#This Row],[N-MeFOSA]])</f>
        <v>-0.7471469690201068</v>
      </c>
      <c r="AB24">
        <f>LOG(Table1_1[[#This Row],[N-EtFOSA]])</f>
        <v>-0.33301428167033942</v>
      </c>
      <c r="AC24">
        <f>LOG(Table1_1[[#This Row],[FOSAA]])</f>
        <v>-0.33301428167033942</v>
      </c>
      <c r="AD24">
        <f>LOG(Table1_1[[#This Row],[N-MeFOSAA]])</f>
        <v>-0.63171311509786898</v>
      </c>
      <c r="AE24">
        <f>LOG(Table1_1[[#This Row],[N-EtFOSAA]])</f>
        <v>-0.63451201510910027</v>
      </c>
      <c r="AF24">
        <f>LOG(Table1_1[[#This Row],[4:2 FTS]])</f>
        <v>-0.63451201510910027</v>
      </c>
      <c r="AG24">
        <f>LOG(Table1_1[[#This Row],[6:2 FTS]])</f>
        <v>0.15836249209524964</v>
      </c>
      <c r="AH24">
        <f>LOG(Table1_1[[#This Row],[8:2 FTS]])</f>
        <v>1.2787536009528289</v>
      </c>
      <c r="AI24">
        <f>LOG(Table1_1[[#This Row],[10:2 FTS]])</f>
        <v>-0.33301428167033942</v>
      </c>
      <c r="AJ24">
        <f>LOG(Table1_1[[#This Row],[3:3 FTCA]])</f>
        <v>-0.57186520597121115</v>
      </c>
      <c r="AK24">
        <f>LOG(Table1_1[[#This Row],[5:3 FTCA]])</f>
        <v>-0.63451201510910027</v>
      </c>
      <c r="AL24">
        <f>LOG(Table1_1[[#This Row],[7:3 FTCA]])</f>
        <v>1.0492180226701815</v>
      </c>
      <c r="AM24">
        <f>LOG(Table1_1[[#This Row],[6:2 FTCA]])</f>
        <v>-0.33301428167033942</v>
      </c>
      <c r="AN24">
        <f>LOG(Table1_1[[#This Row],[8:2 FTCA]])</f>
        <v>-0.33301428167033942</v>
      </c>
      <c r="AO24">
        <f>LOG(Table1_1[[#This Row],[10:2 FTCA]])</f>
        <v>-0.33301428167033942</v>
      </c>
      <c r="AP24">
        <f>LOG(Table1_1[[#This Row],[6:2 FTUCA]])</f>
        <v>-0.33301428167033942</v>
      </c>
      <c r="AQ24">
        <f>LOG(Table1_1[[#This Row],[8:2 FTUCA]])</f>
        <v>-0.33301428167033942</v>
      </c>
      <c r="AR24">
        <f>LOG(Table1_1[[#This Row],[ADONA]])</f>
        <v>-0.63451201510910027</v>
      </c>
      <c r="AS24">
        <f>LOG(Table1_1[[#This Row],[9Cl-PF3ONS]])</f>
        <v>-0.33301428167033942</v>
      </c>
      <c r="AT24">
        <f>LOG(Table1_1[[#This Row],[11Cl-PF3OUdS]])</f>
        <v>-0.33301428167033942</v>
      </c>
      <c r="AU24">
        <f>LOG(Table1_1[[#This Row],[HFPO-DA]])</f>
        <v>-0.47755576649368009</v>
      </c>
      <c r="AV24">
        <f>LOG(Table1_1[[#This Row],[6:2 diPAP]])</f>
        <v>-0.33301428167033942</v>
      </c>
      <c r="AW24">
        <f>LOG(Table1_1[[#This Row],[8:2 diPAP]])</f>
        <v>-0.33301428167033942</v>
      </c>
      <c r="AX24">
        <f>LOG(Table1_1[[#This Row],[diSAmPAP]])</f>
        <v>-0.33301428167033942</v>
      </c>
    </row>
    <row r="25" spans="1:50">
      <c r="A25">
        <f>LOG(Table1_1[[#This Row],[PFBA]])</f>
        <v>-0.62525165398989613</v>
      </c>
      <c r="B25">
        <f>LOG(Table1_1[[#This Row],[PFPeA]])</f>
        <v>-1.2924298239020637</v>
      </c>
      <c r="C25">
        <f>LOG(Table1_1[[#This Row],[PFHxA]])</f>
        <v>-0.23507701535011155</v>
      </c>
      <c r="D25">
        <f>LOG(Table1_1[[#This Row],[PFHpA]])</f>
        <v>-1.0222763947111522</v>
      </c>
      <c r="E25">
        <f>LOG(Table1_1[[#This Row],[PFOA]])</f>
        <v>0.93550726582471277</v>
      </c>
      <c r="F25">
        <f>LOG(Table1_1[[#This Row],[PFNA]])</f>
        <v>0.64345267648618742</v>
      </c>
      <c r="G25">
        <f>LOG(Table1_1[[#This Row],[PFDA]])</f>
        <v>0.94596070357756856</v>
      </c>
      <c r="H25">
        <f>LOG(Table1_1[[#This Row],[PFUnA]])</f>
        <v>0.94497590841204793</v>
      </c>
      <c r="I25">
        <f>LOG(Table1_1[[#This Row],[PFDoA]])</f>
        <v>1.0644579892269184</v>
      </c>
      <c r="J25">
        <f>LOG(Table1_1[[#This Row],[PFTrDA]])</f>
        <v>0.74350976472842978</v>
      </c>
      <c r="K25">
        <f>LOG(Table1_1[[#This Row],[PFTeDA]])</f>
        <v>0.63447727016073152</v>
      </c>
      <c r="L25">
        <f>LOG(Table1_1[[#This Row],[PFHxDA]])</f>
        <v>-1.0680338852718274</v>
      </c>
      <c r="M25">
        <f>LOG(Table1_1[[#This Row],[PFPrS]])</f>
        <v>-1.2596373105057561</v>
      </c>
      <c r="N25">
        <f>LOG(Table1_1[[#This Row],[PFBS]])</f>
        <v>0.54157924394658097</v>
      </c>
      <c r="O25">
        <f>LOG(Table1_1[[#This Row],[PFPeS]])</f>
        <v>0.67394199863408777</v>
      </c>
      <c r="P25">
        <f>LOG(Table1_1[[#This Row],[PFHxS]])</f>
        <v>1.823474229170301</v>
      </c>
      <c r="Q25">
        <f>LOG(Table1_1[[#This Row],[PFHpS]])</f>
        <v>1.287801729930226</v>
      </c>
      <c r="R25">
        <f>LOG(Table1_1[[#This Row],[PFOS]])</f>
        <v>3.0211892990699383</v>
      </c>
      <c r="S25">
        <f>LOG(Table1_1[[#This Row],[PFNS]])</f>
        <v>0.28330122870354957</v>
      </c>
      <c r="T25">
        <f>LOG(Table1_1[[#This Row],[PFDS]])</f>
        <v>0.48144262850230496</v>
      </c>
      <c r="U25">
        <f>LOG(Table1_1[[#This Row],[PFDoS]])</f>
        <v>-9.8541678603887628E-2</v>
      </c>
      <c r="V25">
        <f>LOG(Table1_1[[#This Row],[Cl-PFOS]])</f>
        <v>-0.14206473528057098</v>
      </c>
      <c r="W25">
        <f>LOG(Table1_1[[#This Row],[PFEtCHxS]])</f>
        <v>-0.22841251911874466</v>
      </c>
      <c r="X25">
        <f>LOG(Table1_1[[#This Row],[FBSA]])</f>
        <v>1.5717088318086876</v>
      </c>
      <c r="Y25">
        <f>LOG(Table1_1[[#This Row],[FHxSA]])</f>
        <v>2.3820170425748683</v>
      </c>
      <c r="Z25">
        <f>LOG(Table1_1[[#This Row],[FOSA]])</f>
        <v>1.4828735836087537</v>
      </c>
      <c r="AA25">
        <f>LOG(Table1_1[[#This Row],[N-MeFOSA]])</f>
        <v>-1.2557070168773237</v>
      </c>
      <c r="AB25">
        <f>LOG(Table1_1[[#This Row],[N-EtFOSA]])</f>
        <v>-1.0757207139381184</v>
      </c>
      <c r="AC25">
        <f>LOG(Table1_1[[#This Row],[FOSAA]])</f>
        <v>-0.72815839346350109</v>
      </c>
      <c r="AD25">
        <f>LOG(Table1_1[[#This Row],[N-MeFOSAA]])</f>
        <v>-0.62251161662386734</v>
      </c>
      <c r="AE25">
        <f>LOG(Table1_1[[#This Row],[N-EtFOSAA]])</f>
        <v>-1.2041199826559248</v>
      </c>
      <c r="AF25">
        <f>LOG(Table1_1[[#This Row],[4:2 FTS]])</f>
        <v>-1.2291479883578558</v>
      </c>
      <c r="AG25">
        <f>LOG(Table1_1[[#This Row],[6:2 FTS]])</f>
        <v>0.90200289135072942</v>
      </c>
      <c r="AH25">
        <f>LOG(Table1_1[[#This Row],[8:2 FTS]])</f>
        <v>1.0934216851622351</v>
      </c>
      <c r="AI25">
        <f>LOG(Table1_1[[#This Row],[10:2 FTS]])</f>
        <v>-0.56944123047724249</v>
      </c>
      <c r="AJ25">
        <f>LOG(Table1_1[[#This Row],[3:3 FTCA]])</f>
        <v>-1.080921907623926</v>
      </c>
      <c r="AK25">
        <f>LOG(Table1_1[[#This Row],[5:3 FTCA]])</f>
        <v>-1.1426675035687315</v>
      </c>
      <c r="AL25">
        <f>LOG(Table1_1[[#This Row],[7:3 FTCA]])</f>
        <v>0.95424250943932487</v>
      </c>
      <c r="AM25">
        <f>LOG(Table1_1[[#This Row],[6:2 FTCA]])</f>
        <v>-1.1426675035687315</v>
      </c>
      <c r="AN25">
        <f>LOG(Table1_1[[#This Row],[8:2 FTCA]])</f>
        <v>0.81954393554186866</v>
      </c>
      <c r="AO25">
        <f>LOG(Table1_1[[#This Row],[10:2 FTCA]])</f>
        <v>-2.8260409112221711E-2</v>
      </c>
      <c r="AP25">
        <f>LOG(Table1_1[[#This Row],[6:2 FTUCA]])</f>
        <v>-1.2479515521805615</v>
      </c>
      <c r="AQ25">
        <f>LOG(Table1_1[[#This Row],[8:2 FTUCA]])</f>
        <v>-1.3615107430453628</v>
      </c>
      <c r="AR25">
        <f>LOG(Table1_1[[#This Row],[ADONA]])</f>
        <v>-1.1426675035687315</v>
      </c>
      <c r="AS25">
        <f>LOG(Table1_1[[#This Row],[9Cl-PF3ONS]])</f>
        <v>-1.1426675035687315</v>
      </c>
      <c r="AT25">
        <f>LOG(Table1_1[[#This Row],[11Cl-PF3OUdS]])</f>
        <v>-1.1426675035687315</v>
      </c>
      <c r="AU25">
        <f>LOG(Table1_1[[#This Row],[HFPO-DA]])</f>
        <v>-0.98716277529482777</v>
      </c>
      <c r="AV25">
        <f>LOG(Table1_1[[#This Row],[6:2 diPAP]])</f>
        <v>-1.1163385648463824</v>
      </c>
      <c r="AW25">
        <f>LOG(Table1_1[[#This Row],[8:2 diPAP]])</f>
        <v>-1.0199966284162536</v>
      </c>
      <c r="AX25">
        <f>LOG(Table1_1[[#This Row],[diSAmPAP]])</f>
        <v>-0.89790947448816327</v>
      </c>
    </row>
    <row r="26" spans="1:50">
      <c r="A26">
        <f>LOG(Table1_1[[#This Row],[PFBA]])</f>
        <v>-0.60994850354101271</v>
      </c>
      <c r="B26">
        <f>LOG(Table1_1[[#This Row],[PFPeA]])</f>
        <v>-1.2798406965940432</v>
      </c>
      <c r="C26">
        <f>LOG(Table1_1[[#This Row],[PFHxA]])</f>
        <v>-1.3963144503853002</v>
      </c>
      <c r="D26">
        <f>LOG(Table1_1[[#This Row],[PFHpA]])</f>
        <v>-1.5250556645346121</v>
      </c>
      <c r="E26">
        <f>LOG(Table1_1[[#This Row],[PFOA]])</f>
        <v>0.80277372529197566</v>
      </c>
      <c r="F26">
        <f>LOG(Table1_1[[#This Row],[PFNA]])</f>
        <v>0.61804809671209271</v>
      </c>
      <c r="G26">
        <f>LOG(Table1_1[[#This Row],[PFDA]])</f>
        <v>1.0170333392987803</v>
      </c>
      <c r="H26">
        <f>LOG(Table1_1[[#This Row],[PFUnA]])</f>
        <v>1.0827853703164501</v>
      </c>
      <c r="I26">
        <f>LOG(Table1_1[[#This Row],[PFDoA]])</f>
        <v>1.2227164711475833</v>
      </c>
      <c r="J26">
        <f>LOG(Table1_1[[#This Row],[PFTrDA]])</f>
        <v>0.56466606425208932</v>
      </c>
      <c r="K26">
        <f>LOG(Table1_1[[#This Row],[PFTeDA]])</f>
        <v>0.80277372529197566</v>
      </c>
      <c r="L26">
        <f>LOG(Table1_1[[#This Row],[PFHxDA]])</f>
        <v>-1.0506099933550872</v>
      </c>
      <c r="M26">
        <f>LOG(Table1_1[[#This Row],[PFPrS]])</f>
        <v>-1.2441251443275085</v>
      </c>
      <c r="N26">
        <f>LOG(Table1_1[[#This Row],[PFBS]])</f>
        <v>-0.38615817812393083</v>
      </c>
      <c r="O26">
        <f>LOG(Table1_1[[#This Row],[PFPeS]])</f>
        <v>0.36921585741014279</v>
      </c>
      <c r="P26">
        <f>LOG(Table1_1[[#This Row],[PFHxS]])</f>
        <v>1.9614210940664483</v>
      </c>
      <c r="Q26">
        <f>LOG(Table1_1[[#This Row],[PFHpS]])</f>
        <v>1.1931245983544616</v>
      </c>
      <c r="R26">
        <f>LOG(Table1_1[[#This Row],[PFOS]])</f>
        <v>3.2900346113625178</v>
      </c>
      <c r="S26">
        <f>LOG(Table1_1[[#This Row],[PFNS]])</f>
        <v>-5.8488567365596968E-2</v>
      </c>
      <c r="T26">
        <f>LOG(Table1_1[[#This Row],[PFDS]])</f>
        <v>0.52891670027765469</v>
      </c>
      <c r="U26">
        <f>LOG(Table1_1[[#This Row],[PFDoS]])</f>
        <v>1.703333929878037E-2</v>
      </c>
      <c r="V26">
        <f>LOG(Table1_1[[#This Row],[Cl-PFOS]])</f>
        <v>-0.24184537803261005</v>
      </c>
      <c r="W26">
        <f>LOG(Table1_1[[#This Row],[PFEtCHxS]])</f>
        <v>-0.23062267392386154</v>
      </c>
      <c r="X26">
        <f>LOG(Table1_1[[#This Row],[FBSA]])</f>
        <v>1.5646660642520893</v>
      </c>
      <c r="Y26">
        <f>LOG(Table1_1[[#This Row],[FHxSA]])</f>
        <v>2.3521825181113627</v>
      </c>
      <c r="Z26">
        <f>LOG(Table1_1[[#This Row],[FOSA]])</f>
        <v>1.7032913781186614</v>
      </c>
      <c r="AA26">
        <f>LOG(Table1_1[[#This Row],[N-MeFOSA]])</f>
        <v>-1.2403321553103694</v>
      </c>
      <c r="AB26">
        <f>LOG(Table1_1[[#This Row],[N-EtFOSA]])</f>
        <v>-1.0604807473813815</v>
      </c>
      <c r="AC26">
        <f>LOG(Table1_1[[#This Row],[FOSAA]])</f>
        <v>-1.2328441339178196</v>
      </c>
      <c r="AD26">
        <f>LOG(Table1_1[[#This Row],[N-MeFOSAA]])</f>
        <v>4.5322978786657475E-2</v>
      </c>
      <c r="AE26">
        <f>LOG(Table1_1[[#This Row],[N-EtFOSAA]])</f>
        <v>-1.1904402853647322</v>
      </c>
      <c r="AF26">
        <f>LOG(Table1_1[[#This Row],[4:2 FTS]])</f>
        <v>-1.2146701649892331</v>
      </c>
      <c r="AG26">
        <f>LOG(Table1_1[[#This Row],[6:2 FTS]])</f>
        <v>0.50242711998443268</v>
      </c>
      <c r="AH26">
        <f>LOG(Table1_1[[#This Row],[8:2 FTS]])</f>
        <v>1.2121876044039579</v>
      </c>
      <c r="AI26">
        <f>LOG(Table1_1[[#This Row],[10:2 FTS]])</f>
        <v>6.069784035361165E-2</v>
      </c>
      <c r="AJ26">
        <f>LOG(Table1_1[[#This Row],[3:3 FTCA]])</f>
        <v>-1.0655015487564323</v>
      </c>
      <c r="AK26">
        <f>LOG(Table1_1[[#This Row],[5:3 FTCA]])</f>
        <v>-1.1278437272517072</v>
      </c>
      <c r="AL26">
        <f>LOG(Table1_1[[#This Row],[7:3 FTCA]])</f>
        <v>0.97954837470409506</v>
      </c>
      <c r="AM26">
        <f>LOG(Table1_1[[#This Row],[6:2 FTCA]])</f>
        <v>-1.1278437272517072</v>
      </c>
      <c r="AN26">
        <f>LOG(Table1_1[[#This Row],[8:2 FTCA]])</f>
        <v>0.75281643118827146</v>
      </c>
      <c r="AO26">
        <f>LOG(Table1_1[[#This Row],[10:2 FTCA]])</f>
        <v>-0.95467702121334252</v>
      </c>
      <c r="AP26">
        <f>LOG(Table1_1[[#This Row],[6:2 FTUCA]])</f>
        <v>-1.2328441339178196</v>
      </c>
      <c r="AQ26">
        <f>LOG(Table1_1[[#This Row],[8:2 FTUCA]])</f>
        <v>-1.3467874862246563</v>
      </c>
      <c r="AR26">
        <f>LOG(Table1_1[[#This Row],[ADONA]])</f>
        <v>-1.1278437272517072</v>
      </c>
      <c r="AS26">
        <f>LOG(Table1_1[[#This Row],[9Cl-PF3ONS]])</f>
        <v>-1.1278437272517072</v>
      </c>
      <c r="AT26">
        <f>LOG(Table1_1[[#This Row],[11Cl-PF3OUdS]])</f>
        <v>-1.1278437272517072</v>
      </c>
      <c r="AU26">
        <f>LOG(Table1_1[[#This Row],[HFPO-DA]])</f>
        <v>-0.97061622231479039</v>
      </c>
      <c r="AV26">
        <f>LOG(Table1_1[[#This Row],[6:2 diPAP]])</f>
        <v>-1.1023729087095586</v>
      </c>
      <c r="AW26">
        <f>LOG(Table1_1[[#This Row],[8:2 diPAP]])</f>
        <v>-1.0043648054024501</v>
      </c>
      <c r="AX26">
        <f>LOG(Table1_1[[#This Row],[diSAmPAP]])</f>
        <v>-0.88272870434423567</v>
      </c>
    </row>
    <row r="27" spans="1:50">
      <c r="A27">
        <f>LOG(Table1_1[[#This Row],[PFBA]])</f>
        <v>-1.011429461780782</v>
      </c>
      <c r="B27">
        <f>LOG(Table1_1[[#This Row],[PFPeA]])</f>
        <v>-1.3007299543160369</v>
      </c>
      <c r="C27">
        <f>LOG(Table1_1[[#This Row],[PFHxA]])</f>
        <v>-0.21395878975744578</v>
      </c>
      <c r="D27">
        <f>LOG(Table1_1[[#This Row],[PFHpA]])</f>
        <v>-0.61083391563546752</v>
      </c>
      <c r="E27">
        <f>LOG(Table1_1[[#This Row],[PFOA]])</f>
        <v>0.7323937598229685</v>
      </c>
      <c r="F27">
        <f>LOG(Table1_1[[#This Row],[PFNA]])</f>
        <v>0.43296929087440572</v>
      </c>
      <c r="G27">
        <f>LOG(Table1_1[[#This Row],[PFDA]])</f>
        <v>0.26481782300953649</v>
      </c>
      <c r="H27">
        <f>LOG(Table1_1[[#This Row],[PFUnA]])</f>
        <v>0.28780172993022601</v>
      </c>
      <c r="I27">
        <f>LOG(Table1_1[[#This Row],[PFDoA]])</f>
        <v>-1.247625289070329</v>
      </c>
      <c r="J27">
        <f>LOG(Table1_1[[#This Row],[PFTrDA]])</f>
        <v>-0.22694530663573742</v>
      </c>
      <c r="K27">
        <f>LOG(Table1_1[[#This Row],[PFTeDA]])</f>
        <v>-7.9354998593212434E-2</v>
      </c>
      <c r="L27">
        <f>LOG(Table1_1[[#This Row],[PFHxDA]])</f>
        <v>-1.0736640707061875</v>
      </c>
      <c r="M27">
        <f>LOG(Table1_1[[#This Row],[PFPrS]])</f>
        <v>-1.2673695833900676</v>
      </c>
      <c r="N27">
        <f>LOG(Table1_1[[#This Row],[PFBS]])</f>
        <v>-0.78059156163731414</v>
      </c>
      <c r="O27">
        <f>LOG(Table1_1[[#This Row],[PFPeS]])</f>
        <v>8.6001717619175692E-3</v>
      </c>
      <c r="P27">
        <f>LOG(Table1_1[[#This Row],[PFHxS]])</f>
        <v>1.7810369386211318</v>
      </c>
      <c r="Q27">
        <f>LOG(Table1_1[[#This Row],[PFHpS]])</f>
        <v>0.27415784926367981</v>
      </c>
      <c r="R27">
        <f>LOG(Table1_1[[#This Row],[PFOS]])</f>
        <v>2.5453071164658239</v>
      </c>
      <c r="S27">
        <f>LOG(Table1_1[[#This Row],[PFNS]])</f>
        <v>-0.40120949323688493</v>
      </c>
      <c r="T27">
        <f>LOG(Table1_1[[#This Row],[PFDS]])</f>
        <v>-0.70023143954538258</v>
      </c>
      <c r="U27">
        <f>LOG(Table1_1[[#This Row],[PFDoS]])</f>
        <v>-0.58436134962716813</v>
      </c>
      <c r="V27">
        <f>LOG(Table1_1[[#This Row],[Cl-PFOS]])</f>
        <v>-0.82981151391392349</v>
      </c>
      <c r="W27">
        <f>LOG(Table1_1[[#This Row],[PFEtCHxS]])</f>
        <v>-0.6020599913279624</v>
      </c>
      <c r="X27">
        <f>LOG(Table1_1[[#This Row],[FBSA]])</f>
        <v>1.307496037913213</v>
      </c>
      <c r="Y27">
        <f>LOG(Table1_1[[#This Row],[FHxSA]])</f>
        <v>1.8579352647194289</v>
      </c>
      <c r="Z27">
        <f>LOG(Table1_1[[#This Row],[FOSA]])</f>
        <v>1.6095944092252201</v>
      </c>
      <c r="AA27">
        <f>LOG(Table1_1[[#This Row],[N-MeFOSA]])</f>
        <v>-1.2631606832568094</v>
      </c>
      <c r="AB27">
        <f>LOG(Table1_1[[#This Row],[N-EtFOSA]])</f>
        <v>-1.0828122158233546</v>
      </c>
      <c r="AC27">
        <f>LOG(Table1_1[[#This Row],[FOSAA]])</f>
        <v>-1.2532116717574253</v>
      </c>
      <c r="AD27">
        <f>LOG(Table1_1[[#This Row],[N-MeFOSAA]])</f>
        <v>1.2455126678141499</v>
      </c>
      <c r="AE27">
        <f>LOG(Table1_1[[#This Row],[N-EtFOSAA]])</f>
        <v>-1.2113525487830017</v>
      </c>
      <c r="AF27">
        <f>LOG(Table1_1[[#This Row],[4:2 FTS]])</f>
        <v>-1.2353188789135081</v>
      </c>
      <c r="AG27">
        <f>LOG(Table1_1[[#This Row],[6:2 FTS]])</f>
        <v>0.37106786227173627</v>
      </c>
      <c r="AH27">
        <f>LOG(Table1_1[[#This Row],[8:2 FTS]])</f>
        <v>0.26481782300953649</v>
      </c>
      <c r="AI27">
        <f>LOG(Table1_1[[#This Row],[10:2 FTS]])</f>
        <v>-1.0946935482896316</v>
      </c>
      <c r="AJ27">
        <f>LOG(Table1_1[[#This Row],[3:3 FTCA]])</f>
        <v>-1.0878541038384384</v>
      </c>
      <c r="AK27">
        <f>LOG(Table1_1[[#This Row],[5:3 FTCA]])</f>
        <v>-0.73574085808816025</v>
      </c>
      <c r="AL27">
        <f>LOG(Table1_1[[#This Row],[7:3 FTCA]])</f>
        <v>0.4132997640812518</v>
      </c>
      <c r="AM27">
        <f>LOG(Table1_1[[#This Row],[6:2 FTCA]])</f>
        <v>0.54032947479087379</v>
      </c>
      <c r="AN27">
        <f>LOG(Table1_1[[#This Row],[8:2 FTCA]])</f>
        <v>-1.5478075120415551</v>
      </c>
      <c r="AO27">
        <f>LOG(Table1_1[[#This Row],[10:2 FTCA]])</f>
        <v>-0.97604264827261922</v>
      </c>
      <c r="AP27">
        <f>LOG(Table1_1[[#This Row],[6:2 FTUCA]])</f>
        <v>-1.2548891216733149</v>
      </c>
      <c r="AQ27">
        <f>LOG(Table1_1[[#This Row],[8:2 FTUCA]])</f>
        <v>-1.3686116542400666</v>
      </c>
      <c r="AR27">
        <f>LOG(Table1_1[[#This Row],[ADONA]])</f>
        <v>-1.1498675033695174</v>
      </c>
      <c r="AS27">
        <f>LOG(Table1_1[[#This Row],[9Cl-PF3ONS]])</f>
        <v>-1.3084413048605077</v>
      </c>
      <c r="AT27">
        <f>LOG(Table1_1[[#This Row],[11Cl-PF3OUdS]])</f>
        <v>-1.2533464967053822</v>
      </c>
      <c r="AU27">
        <f>LOG(Table1_1[[#This Row],[HFPO-DA]])</f>
        <v>-0.99300695736196198</v>
      </c>
      <c r="AV27">
        <f>LOG(Table1_1[[#This Row],[6:2 diPAP]])</f>
        <v>-1.1227100326687669</v>
      </c>
      <c r="AW27">
        <f>LOG(Table1_1[[#This Row],[8:2 diPAP]])</f>
        <v>-1.0273849002465847</v>
      </c>
      <c r="AX27">
        <f>LOG(Table1_1[[#This Row],[diSAmPAP]])</f>
        <v>-0.90435483555536766</v>
      </c>
    </row>
    <row r="28" spans="1:50">
      <c r="A28">
        <f>LOG(Table1_1[[#This Row],[PFBA]])</f>
        <v>-1.0180529191718148</v>
      </c>
      <c r="B28">
        <f>LOG(Table1_1[[#This Row],[PFPeA]])</f>
        <v>-0.77097536144629664</v>
      </c>
      <c r="C28">
        <f>LOG(Table1_1[[#This Row],[PFHxA]])</f>
        <v>0.13672056715640679</v>
      </c>
      <c r="D28">
        <f>LOG(Table1_1[[#This Row],[PFHpA]])</f>
        <v>-0.3124710387853657</v>
      </c>
      <c r="E28">
        <f>LOG(Table1_1[[#This Row],[PFOA]])</f>
        <v>0.75891189239797352</v>
      </c>
      <c r="F28">
        <f>LOG(Table1_1[[#This Row],[PFNA]])</f>
        <v>0.3344537511509309</v>
      </c>
      <c r="G28">
        <f>LOG(Table1_1[[#This Row],[PFDA]])</f>
        <v>0.53781909507327419</v>
      </c>
      <c r="H28">
        <f>LOG(Table1_1[[#This Row],[PFUnA]])</f>
        <v>0.53275437899249778</v>
      </c>
      <c r="I28">
        <f>LOG(Table1_1[[#This Row],[PFDoA]])</f>
        <v>-1.2297611786874434</v>
      </c>
      <c r="J28">
        <f>LOG(Table1_1[[#This Row],[PFTrDA]])</f>
        <v>-4.2392712939904729E-2</v>
      </c>
      <c r="K28">
        <f>LOG(Table1_1[[#This Row],[PFTeDA]])</f>
        <v>7.554696139253074E-2</v>
      </c>
      <c r="L28">
        <f>LOG(Table1_1[[#This Row],[PFHxDA]])</f>
        <v>-1.0557999603233017</v>
      </c>
      <c r="M28">
        <f>LOG(Table1_1[[#This Row],[PFPrS]])</f>
        <v>-1.249505473007182</v>
      </c>
      <c r="N28">
        <f>LOG(Table1_1[[#This Row],[PFBS]])</f>
        <v>0.11058971029924898</v>
      </c>
      <c r="O28">
        <f>LOG(Table1_1[[#This Row],[PFPeS]])</f>
        <v>0.26481782300953649</v>
      </c>
      <c r="P28">
        <f>LOG(Table1_1[[#This Row],[PFHxS]])</f>
        <v>1.8981764834976764</v>
      </c>
      <c r="Q28">
        <f>LOG(Table1_1[[#This Row],[PFHpS]])</f>
        <v>0.52113808370403625</v>
      </c>
      <c r="R28">
        <f>LOG(Table1_1[[#This Row],[PFOS]])</f>
        <v>2.7411515988517849</v>
      </c>
      <c r="S28">
        <f>LOG(Table1_1[[#This Row],[PFNS]])</f>
        <v>-5.403929642243141E-2</v>
      </c>
      <c r="T28">
        <f>LOG(Table1_1[[#This Row],[PFDS]])</f>
        <v>-0.18243463044021921</v>
      </c>
      <c r="U28">
        <f>LOG(Table1_1[[#This Row],[PFDoS]])</f>
        <v>-0.590984807018201</v>
      </c>
      <c r="V28">
        <f>LOG(Table1_1[[#This Row],[Cl-PFOS]])</f>
        <v>-0.83643497130495637</v>
      </c>
      <c r="W28">
        <f>LOG(Table1_1[[#This Row],[PFEtCHxS]])</f>
        <v>-0.30016227413275426</v>
      </c>
      <c r="X28">
        <f>LOG(Table1_1[[#This Row],[FBSA]])</f>
        <v>1.0681858617461617</v>
      </c>
      <c r="Y28">
        <f>LOG(Table1_1[[#This Row],[FHxSA]])</f>
        <v>1.6127838567197355</v>
      </c>
      <c r="Z28">
        <f>LOG(Table1_1[[#This Row],[FOSA]])</f>
        <v>1.6720978579357175</v>
      </c>
      <c r="AA28">
        <f>LOG(Table1_1[[#This Row],[N-MeFOSA]])</f>
        <v>-1.2452965728739238</v>
      </c>
      <c r="AB28">
        <f>LOG(Table1_1[[#This Row],[N-EtFOSA]])</f>
        <v>-1.064948105440469</v>
      </c>
      <c r="AC28">
        <f>LOG(Table1_1[[#This Row],[FOSAA]])</f>
        <v>-1.2353475613745397</v>
      </c>
      <c r="AD28">
        <f>LOG(Table1_1[[#This Row],[N-MeFOSAA]])</f>
        <v>1.1818435879447726</v>
      </c>
      <c r="AE28">
        <f>LOG(Table1_1[[#This Row],[N-EtFOSAA]])</f>
        <v>-0.68159795591326133</v>
      </c>
      <c r="AF28">
        <f>LOG(Table1_1[[#This Row],[4:2 FTS]])</f>
        <v>-1.2174547685306225</v>
      </c>
      <c r="AG28">
        <f>LOG(Table1_1[[#This Row],[6:2 FTS]])</f>
        <v>0.22010808804005508</v>
      </c>
      <c r="AH28">
        <f>LOG(Table1_1[[#This Row],[8:2 FTS]])</f>
        <v>0.27184160653649897</v>
      </c>
      <c r="AI28">
        <f>LOG(Table1_1[[#This Row],[10:2 FTS]])</f>
        <v>-1.0768294379067458</v>
      </c>
      <c r="AJ28">
        <f>LOG(Table1_1[[#This Row],[3:3 FTCA]])</f>
        <v>-1.0699899934555528</v>
      </c>
      <c r="AK28">
        <f>LOG(Table1_1[[#This Row],[5:3 FTCA]])</f>
        <v>-0.24488773360492885</v>
      </c>
      <c r="AL28">
        <f>LOG(Table1_1[[#This Row],[7:3 FTCA]])</f>
        <v>0.74973631556906106</v>
      </c>
      <c r="AM28">
        <f>LOG(Table1_1[[#This Row],[6:2 FTCA]])</f>
        <v>0.60852603357719404</v>
      </c>
      <c r="AN28">
        <f>LOG(Table1_1[[#This Row],[8:2 FTCA]])</f>
        <v>-1.5299434016586693</v>
      </c>
      <c r="AO28">
        <f>LOG(Table1_1[[#This Row],[10:2 FTCA]])</f>
        <v>-0.95817853788973362</v>
      </c>
      <c r="AP28">
        <f>LOG(Table1_1[[#This Row],[6:2 FTUCA]])</f>
        <v>-1.2370250112904291</v>
      </c>
      <c r="AQ28">
        <f>LOG(Table1_1[[#This Row],[8:2 FTUCA]])</f>
        <v>-1.350747543857181</v>
      </c>
      <c r="AR28">
        <f>LOG(Table1_1[[#This Row],[ADONA]])</f>
        <v>-1.1320033929866318</v>
      </c>
      <c r="AS28">
        <f>LOG(Table1_1[[#This Row],[9Cl-PF3ONS]])</f>
        <v>-1.2905771944776221</v>
      </c>
      <c r="AT28">
        <f>LOG(Table1_1[[#This Row],[11Cl-PF3OUdS]])</f>
        <v>-1.2354823863224966</v>
      </c>
      <c r="AU28">
        <f>LOG(Table1_1[[#This Row],[HFPO-DA]])</f>
        <v>-0.97514284697907638</v>
      </c>
      <c r="AV28">
        <f>LOG(Table1_1[[#This Row],[6:2 diPAP]])</f>
        <v>-1.1048459222858813</v>
      </c>
      <c r="AW28">
        <f>LOG(Table1_1[[#This Row],[8:2 diPAP]])</f>
        <v>-1.0095207898636991</v>
      </c>
      <c r="AX28">
        <f>LOG(Table1_1[[#This Row],[diSAmPAP]])</f>
        <v>-0.88649072517248195</v>
      </c>
    </row>
    <row r="29" spans="1:50">
      <c r="A29">
        <f>LOG(Table1_1[[#This Row],[PFBA]])</f>
        <v>-1.0311839646436769</v>
      </c>
      <c r="B29">
        <f>LOG(Table1_1[[#This Row],[PFPeA]])</f>
        <v>-0.78410640691815869</v>
      </c>
      <c r="C29">
        <f>LOG(Table1_1[[#This Row],[PFHxA]])</f>
        <v>-3.9053804266168564E-2</v>
      </c>
      <c r="D29">
        <f>LOG(Table1_1[[#This Row],[PFHpA]])</f>
        <v>-0.49485002168009401</v>
      </c>
      <c r="E29">
        <f>LOG(Table1_1[[#This Row],[PFOA]])</f>
        <v>0.69548167649019743</v>
      </c>
      <c r="F29">
        <f>LOG(Table1_1[[#This Row],[PFNA]])</f>
        <v>0.44560420327359757</v>
      </c>
      <c r="G29">
        <f>LOG(Table1_1[[#This Row],[PFDA]])</f>
        <v>0.4668676203541095</v>
      </c>
      <c r="H29">
        <f>LOG(Table1_1[[#This Row],[PFUnA]])</f>
        <v>0.45788189673399232</v>
      </c>
      <c r="I29">
        <f>LOG(Table1_1[[#This Row],[PFDoA]])</f>
        <v>-1.2363846360784763</v>
      </c>
      <c r="J29">
        <f>LOG(Table1_1[[#This Row],[PFTrDA]])</f>
        <v>-0.25963731050575611</v>
      </c>
      <c r="K29">
        <f>LOG(Table1_1[[#This Row],[PFTeDA]])</f>
        <v>8.9905111439397931E-2</v>
      </c>
      <c r="L29">
        <f>LOG(Table1_1[[#This Row],[PFHxDA]])</f>
        <v>-1.0624234177143346</v>
      </c>
      <c r="M29">
        <f>LOG(Table1_1[[#This Row],[PFPrS]])</f>
        <v>-1.2561289303982148</v>
      </c>
      <c r="N29">
        <f>LOG(Table1_1[[#This Row],[PFBS]])</f>
        <v>-0.35066514128785814</v>
      </c>
      <c r="O29">
        <f>LOG(Table1_1[[#This Row],[PFPeS]])</f>
        <v>8.6359830674748214E-2</v>
      </c>
      <c r="P29">
        <f>LOG(Table1_1[[#This Row],[PFHxS]])</f>
        <v>1.9003671286564703</v>
      </c>
      <c r="Q29">
        <f>LOG(Table1_1[[#This Row],[PFHpS]])</f>
        <v>0.55266821611219319</v>
      </c>
      <c r="R29">
        <f>LOG(Table1_1[[#This Row],[PFOS]])</f>
        <v>2.7041505168397992</v>
      </c>
      <c r="S29">
        <f>LOG(Table1_1[[#This Row],[PFNS]])</f>
        <v>4.5322978786657475E-2</v>
      </c>
      <c r="T29">
        <f>LOG(Table1_1[[#This Row],[PFDS]])</f>
        <v>-0.16813022571949829</v>
      </c>
      <c r="U29">
        <f>LOG(Table1_1[[#This Row],[PFDoS]])</f>
        <v>-0.60411585249006305</v>
      </c>
      <c r="V29">
        <f>LOG(Table1_1[[#This Row],[Cl-PFOS]])</f>
        <v>-0.84956601677681842</v>
      </c>
      <c r="W29">
        <f>LOG(Table1_1[[#This Row],[PFEtCHxS]])</f>
        <v>-0.30016227413275426</v>
      </c>
      <c r="X29">
        <f>LOG(Table1_1[[#This Row],[FBSA]])</f>
        <v>0.95999483832841614</v>
      </c>
      <c r="Y29">
        <f>LOG(Table1_1[[#This Row],[FHxSA]])</f>
        <v>1.6646419755561255</v>
      </c>
      <c r="Z29">
        <f>LOG(Table1_1[[#This Row],[FOSA]])</f>
        <v>1.7259116322950483</v>
      </c>
      <c r="AA29">
        <f>LOG(Table1_1[[#This Row],[N-MeFOSA]])</f>
        <v>-1.2519200302649567</v>
      </c>
      <c r="AB29">
        <f>LOG(Table1_1[[#This Row],[N-EtFOSA]])</f>
        <v>-1.0715715628315019</v>
      </c>
      <c r="AC29">
        <f>LOG(Table1_1[[#This Row],[FOSAA]])</f>
        <v>-1.2419710187655726</v>
      </c>
      <c r="AD29">
        <f>LOG(Table1_1[[#This Row],[N-MeFOSAA]])</f>
        <v>1.1139433523068367</v>
      </c>
      <c r="AE29">
        <f>LOG(Table1_1[[#This Row],[N-EtFOSAA]])</f>
        <v>-0.6947290013851235</v>
      </c>
      <c r="AF29">
        <f>LOG(Table1_1[[#This Row],[4:2 FTS]])</f>
        <v>-1.2240782259216554</v>
      </c>
      <c r="AG29">
        <f>LOG(Table1_1[[#This Row],[6:2 FTS]])</f>
        <v>0.36921585741014279</v>
      </c>
      <c r="AH29">
        <f>LOG(Table1_1[[#This Row],[8:2 FTS]])</f>
        <v>0.51454775266028607</v>
      </c>
      <c r="AI29">
        <f>LOG(Table1_1[[#This Row],[10:2 FTS]])</f>
        <v>-1.0834528952977787</v>
      </c>
      <c r="AJ29">
        <f>LOG(Table1_1[[#This Row],[3:3 FTCA]])</f>
        <v>-1.0766134508465857</v>
      </c>
      <c r="AK29">
        <f>LOG(Table1_1[[#This Row],[5:3 FTCA]])</f>
        <v>-0.75549536095105529</v>
      </c>
      <c r="AL29">
        <f>LOG(Table1_1[[#This Row],[7:3 FTCA]])</f>
        <v>1.6074550232146685</v>
      </c>
      <c r="AM29">
        <f>LOG(Table1_1[[#This Row],[6:2 FTCA]])</f>
        <v>0.63144376901317201</v>
      </c>
      <c r="AN29">
        <f>LOG(Table1_1[[#This Row],[8:2 FTCA]])</f>
        <v>0.41664050733828095</v>
      </c>
      <c r="AO29">
        <f>LOG(Table1_1[[#This Row],[10:2 FTCA]])</f>
        <v>0.14921911265537988</v>
      </c>
      <c r="AP29">
        <f>LOG(Table1_1[[#This Row],[6:2 FTUCA]])</f>
        <v>-1.2436484686814619</v>
      </c>
      <c r="AQ29">
        <f>LOG(Table1_1[[#This Row],[8:2 FTUCA]])</f>
        <v>-1.3573710012482139</v>
      </c>
      <c r="AR29">
        <f>LOG(Table1_1[[#This Row],[ADONA]])</f>
        <v>-1.1386268503776646</v>
      </c>
      <c r="AS29">
        <f>LOG(Table1_1[[#This Row],[9Cl-PF3ONS]])</f>
        <v>-1.297200651868655</v>
      </c>
      <c r="AT29">
        <f>LOG(Table1_1[[#This Row],[11Cl-PF3OUdS]])</f>
        <v>-1.2421058437135293</v>
      </c>
      <c r="AU29">
        <f>LOG(Table1_1[[#This Row],[HFPO-DA]])</f>
        <v>-0.47638340996408379</v>
      </c>
      <c r="AV29">
        <f>LOG(Table1_1[[#This Row],[6:2 diPAP]])</f>
        <v>-1.1114693796769142</v>
      </c>
      <c r="AW29">
        <f>LOG(Table1_1[[#This Row],[8:2 diPAP]])</f>
        <v>-1.016144247254732</v>
      </c>
      <c r="AX29">
        <f>LOG(Table1_1[[#This Row],[diSAmPAP]])</f>
        <v>-0.89311418256351482</v>
      </c>
    </row>
    <row r="30" spans="1:50">
      <c r="A30">
        <f>LOG(Table1_1[[#This Row],[PFBA]])</f>
        <v>-1.0513669359209556</v>
      </c>
      <c r="B30">
        <f>LOG(Table1_1[[#This Row],[PFPeA]])</f>
        <v>-0.80428937819543744</v>
      </c>
      <c r="C30">
        <f>LOG(Table1_1[[#This Row],[PFHxA]])</f>
        <v>-0.12320502379929942</v>
      </c>
      <c r="D30">
        <f>LOG(Table1_1[[#This Row],[PFHpA]])</f>
        <v>-0.53610701101409275</v>
      </c>
      <c r="E30">
        <f>LOG(Table1_1[[#This Row],[PFOA]])</f>
        <v>0.57749179983722532</v>
      </c>
      <c r="F30">
        <f>LOG(Table1_1[[#This Row],[PFNA]])</f>
        <v>0.41995574848975786</v>
      </c>
      <c r="G30">
        <f>LOG(Table1_1[[#This Row],[PFDA]])</f>
        <v>0.46834733041215726</v>
      </c>
      <c r="H30">
        <f>LOG(Table1_1[[#This Row],[PFUnA]])</f>
        <v>0.47567118832442967</v>
      </c>
      <c r="I30">
        <f>LOG(Table1_1[[#This Row],[PFDoA]])</f>
        <v>-1.2495156815503383</v>
      </c>
      <c r="J30">
        <f>LOG(Table1_1[[#This Row],[PFTrDA]])</f>
        <v>-0.28066871301627333</v>
      </c>
      <c r="K30">
        <f>LOG(Table1_1[[#This Row],[PFTeDA]])</f>
        <v>-0.28066871301627333</v>
      </c>
      <c r="L30">
        <f>LOG(Table1_1[[#This Row],[PFHxDA]])</f>
        <v>-1.0755544631861969</v>
      </c>
      <c r="M30">
        <f>LOG(Table1_1[[#This Row],[PFPrS]])</f>
        <v>-1.2692599758700769</v>
      </c>
      <c r="N30">
        <f>LOG(Table1_1[[#This Row],[PFBS]])</f>
        <v>-0.82052903577748781</v>
      </c>
      <c r="O30">
        <f>LOG(Table1_1[[#This Row],[PFPeS]])</f>
        <v>-3.0507515046188267E-3</v>
      </c>
      <c r="P30">
        <f>LOG(Table1_1[[#This Row],[PFHxS]])</f>
        <v>1.711807229041191</v>
      </c>
      <c r="Q30">
        <f>LOG(Table1_1[[#This Row],[PFHpS]])</f>
        <v>0.63848925695463732</v>
      </c>
      <c r="R30">
        <f>LOG(Table1_1[[#This Row],[PFOS]])</f>
        <v>2.7489628612561616</v>
      </c>
      <c r="S30">
        <f>LOG(Table1_1[[#This Row],[PFNS]])</f>
        <v>-1.2333735073725434E-2</v>
      </c>
      <c r="T30">
        <f>LOG(Table1_1[[#This Row],[PFDS]])</f>
        <v>-0.27002571430044436</v>
      </c>
      <c r="U30">
        <f>LOG(Table1_1[[#This Row],[PFDoS]])</f>
        <v>-0.6242988237673418</v>
      </c>
      <c r="V30">
        <f>LOG(Table1_1[[#This Row],[Cl-PFOS]])</f>
        <v>-0.86974898805409717</v>
      </c>
      <c r="W30">
        <f>LOG(Table1_1[[#This Row],[PFEtCHxS]])</f>
        <v>-0.42712839779951983</v>
      </c>
      <c r="X30">
        <f>LOG(Table1_1[[#This Row],[FBSA]])</f>
        <v>1.4563660331290431</v>
      </c>
      <c r="Y30">
        <f>LOG(Table1_1[[#This Row],[FHxSA]])</f>
        <v>2.2504200023088941</v>
      </c>
      <c r="Z30">
        <f>LOG(Table1_1[[#This Row],[FOSA]])</f>
        <v>1.7379873263334309</v>
      </c>
      <c r="AA30">
        <f>LOG(Table1_1[[#This Row],[N-MeFOSA]])</f>
        <v>-1.2650510757368187</v>
      </c>
      <c r="AB30">
        <f>LOG(Table1_1[[#This Row],[N-EtFOSA]])</f>
        <v>-1.084702608303364</v>
      </c>
      <c r="AC30">
        <f>LOG(Table1_1[[#This Row],[FOSAA]])</f>
        <v>-1.2551020642374344</v>
      </c>
      <c r="AD30">
        <f>LOG(Table1_1[[#This Row],[N-MeFOSAA]])</f>
        <v>1.0969100130080565</v>
      </c>
      <c r="AE30">
        <f>LOG(Table1_1[[#This Row],[N-EtFOSAA]])</f>
        <v>-0.71491197266240225</v>
      </c>
      <c r="AF30">
        <f>LOG(Table1_1[[#This Row],[4:2 FTS]])</f>
        <v>-1.2372092713935174</v>
      </c>
      <c r="AG30">
        <f>LOG(Table1_1[[#This Row],[6:2 FTS]])</f>
        <v>-4.3451177401769168E-4</v>
      </c>
      <c r="AH30">
        <f>LOG(Table1_1[[#This Row],[8:2 FTS]])</f>
        <v>0.43456890403419873</v>
      </c>
      <c r="AI30">
        <f>LOG(Table1_1[[#This Row],[10:2 FTS]])</f>
        <v>-1.0965839407696407</v>
      </c>
      <c r="AJ30">
        <f>LOG(Table1_1[[#This Row],[3:3 FTCA]])</f>
        <v>-1.0897444963184479</v>
      </c>
      <c r="AK30">
        <f>LOG(Table1_1[[#This Row],[5:3 FTCA]])</f>
        <v>-0.77567833222833393</v>
      </c>
      <c r="AL30">
        <f>LOG(Table1_1[[#This Row],[7:3 FTCA]])</f>
        <v>0.48713837547718647</v>
      </c>
      <c r="AM30">
        <f>LOG(Table1_1[[#This Row],[6:2 FTCA]])</f>
        <v>0.54777470538782258</v>
      </c>
      <c r="AN30">
        <f>LOG(Table1_1[[#This Row],[8:2 FTCA]])</f>
        <v>-1.0513669359209556</v>
      </c>
      <c r="AO30">
        <f>LOG(Table1_1[[#This Row],[10:2 FTCA]])</f>
        <v>-0.97793304075262844</v>
      </c>
      <c r="AP30">
        <f>LOG(Table1_1[[#This Row],[6:2 FTUCA]])</f>
        <v>-1.256779514153324</v>
      </c>
      <c r="AQ30">
        <f>LOG(Table1_1[[#This Row],[8:2 FTUCA]])</f>
        <v>-1.3705020467200757</v>
      </c>
      <c r="AR30">
        <f>LOG(Table1_1[[#This Row],[ADONA]])</f>
        <v>-1.1517578958495267</v>
      </c>
      <c r="AS30">
        <f>LOG(Table1_1[[#This Row],[9Cl-PF3ONS]])</f>
        <v>-1.310331697340517</v>
      </c>
      <c r="AT30">
        <f>LOG(Table1_1[[#This Row],[11Cl-PF3OUdS]])</f>
        <v>-1.2552368891853913</v>
      </c>
      <c r="AU30">
        <f>LOG(Table1_1[[#This Row],[HFPO-DA]])</f>
        <v>-0.9948973498419712</v>
      </c>
      <c r="AV30">
        <f>LOG(Table1_1[[#This Row],[6:2 diPAP]])</f>
        <v>-1.1246004251487762</v>
      </c>
      <c r="AW30">
        <f>LOG(Table1_1[[#This Row],[8:2 diPAP]])</f>
        <v>-1.029275292726594</v>
      </c>
      <c r="AX30">
        <f>LOG(Table1_1[[#This Row],[diSAmPAP]])</f>
        <v>-0.90624522803537688</v>
      </c>
    </row>
    <row r="31" spans="1:50">
      <c r="A31">
        <f>LOG(Table1_1[[#This Row],[PFBA]])</f>
        <v>-0.62069448224941803</v>
      </c>
      <c r="B31">
        <f>LOG(Table1_1[[#This Row],[PFPeA]])</f>
        <v>-0.77211329538632645</v>
      </c>
      <c r="C31">
        <f>LOG(Table1_1[[#This Row],[PFHxA]])</f>
        <v>-1.0995384301463193E-2</v>
      </c>
      <c r="D31">
        <f>LOG(Table1_1[[#This Row],[PFHpA]])</f>
        <v>-0.66354026615147055</v>
      </c>
      <c r="E31">
        <f>LOG(Table1_1[[#This Row],[PFOA]])</f>
        <v>0.58994960132570773</v>
      </c>
      <c r="F31">
        <f>LOG(Table1_1[[#This Row],[PFNA]])</f>
        <v>0.41664050733828095</v>
      </c>
      <c r="G31">
        <f>LOG(Table1_1[[#This Row],[PFDA]])</f>
        <v>0.52244423350631986</v>
      </c>
      <c r="H31">
        <f>LOG(Table1_1[[#This Row],[PFUnA]])</f>
        <v>0.47567118832442967</v>
      </c>
      <c r="I31">
        <f>LOG(Table1_1[[#This Row],[PFDoA]])</f>
        <v>0.60852603357719404</v>
      </c>
      <c r="J31">
        <f>LOG(Table1_1[[#This Row],[PFTrDA]])</f>
        <v>-8.7739243075051505E-3</v>
      </c>
      <c r="K31">
        <f>LOG(Table1_1[[#This Row],[PFTeDA]])</f>
        <v>0.32014628611105395</v>
      </c>
      <c r="L31">
        <f>LOG(Table1_1[[#This Row],[PFHxDA]])</f>
        <v>-1.0629838925351858</v>
      </c>
      <c r="M31">
        <f>LOG(Table1_1[[#This Row],[PFPrS]])</f>
        <v>-1.2557070168773237</v>
      </c>
      <c r="N31">
        <f>LOG(Table1_1[[#This Row],[PFBS]])</f>
        <v>-0.78781239559604221</v>
      </c>
      <c r="O31">
        <f>LOG(Table1_1[[#This Row],[PFPeS]])</f>
        <v>-4.1914151478914877E-2</v>
      </c>
      <c r="P31">
        <f>LOG(Table1_1[[#This Row],[PFHxS]])</f>
        <v>1.6963563887333322</v>
      </c>
      <c r="Q31">
        <f>LOG(Table1_1[[#This Row],[PFHpS]])</f>
        <v>0.57170883180868759</v>
      </c>
      <c r="R31">
        <f>LOG(Table1_1[[#This Row],[PFOS]])</f>
        <v>2.8149131812750738</v>
      </c>
      <c r="S31">
        <f>LOG(Table1_1[[#This Row],[PFNS]])</f>
        <v>-9.0443970758824668E-2</v>
      </c>
      <c r="T31">
        <f>LOG(Table1_1[[#This Row],[PFDS]])</f>
        <v>-0.24412514432750865</v>
      </c>
      <c r="U31">
        <f>LOG(Table1_1[[#This Row],[PFDoS]])</f>
        <v>-0.59176003468815042</v>
      </c>
      <c r="V31">
        <f>LOG(Table1_1[[#This Row],[Cl-PFOS]])</f>
        <v>-0.83713700667807389</v>
      </c>
      <c r="W31">
        <f>LOG(Table1_1[[#This Row],[PFEtCHxS]])</f>
        <v>-0.45345733652186898</v>
      </c>
      <c r="X31">
        <f>LOG(Table1_1[[#This Row],[FBSA]])</f>
        <v>1.2355284469075489</v>
      </c>
      <c r="Y31">
        <f>LOG(Table1_1[[#This Row],[FHxSA]])</f>
        <v>2.0718820073061255</v>
      </c>
      <c r="Z31">
        <f>LOG(Table1_1[[#This Row],[FOSA]])</f>
        <v>1.505149978319906</v>
      </c>
      <c r="AA31">
        <f>LOG(Table1_1[[#This Row],[N-MeFOSA]])</f>
        <v>-1.2518119729937995</v>
      </c>
      <c r="AB31">
        <f>LOG(Table1_1[[#This Row],[N-EtFOSA]])</f>
        <v>-1.0731432910503076</v>
      </c>
      <c r="AC31">
        <f>LOG(Table1_1[[#This Row],[FOSAA]])</f>
        <v>-1.2441251443275085</v>
      </c>
      <c r="AD31">
        <f>LOG(Table1_1[[#This Row],[N-MeFOSAA]])</f>
        <v>-0.61798295742513165</v>
      </c>
      <c r="AE31">
        <f>LOG(Table1_1[[#This Row],[N-EtFOSAA]])</f>
        <v>-1.2006594505464183</v>
      </c>
      <c r="AF31">
        <f>LOG(Table1_1[[#This Row],[4:2 FTS]])</f>
        <v>-1.2254830342714504</v>
      </c>
      <c r="AG31">
        <f>LOG(Table1_1[[#This Row],[6:2 FTS]])</f>
        <v>0.29885307640970665</v>
      </c>
      <c r="AH31">
        <f>LOG(Table1_1[[#This Row],[8:2 FTS]])</f>
        <v>0.60097289568674828</v>
      </c>
      <c r="AI31">
        <f>LOG(Table1_1[[#This Row],[10:2 FTS]])</f>
        <v>-1.083546051450075</v>
      </c>
      <c r="AJ31">
        <f>LOG(Table1_1[[#This Row],[3:3 FTCA]])</f>
        <v>-1.0783135245163979</v>
      </c>
      <c r="AK31">
        <f>LOG(Table1_1[[#This Row],[5:3 FTCA]])</f>
        <v>-0.24488773360492885</v>
      </c>
      <c r="AL31">
        <f>LOG(Table1_1[[#This Row],[7:3 FTCA]])</f>
        <v>0.64933485871214192</v>
      </c>
      <c r="AM31">
        <f>LOG(Table1_1[[#This Row],[6:2 FTCA]])</f>
        <v>-0.62069448224941803</v>
      </c>
      <c r="AN31">
        <f>LOG(Table1_1[[#This Row],[8:2 FTCA]])</f>
        <v>-0.13371266091580511</v>
      </c>
      <c r="AO31">
        <f>LOG(Table1_1[[#This Row],[10:2 FTCA]])</f>
        <v>-0.44733178388780681</v>
      </c>
      <c r="AP31">
        <f>LOG(Table1_1[[#This Row],[6:2 FTUCA]])</f>
        <v>-1.2441251443275085</v>
      </c>
      <c r="AQ31">
        <f>LOG(Table1_1[[#This Row],[8:2 FTUCA]])</f>
        <v>-1.3585258894959005</v>
      </c>
      <c r="AR31">
        <f>LOG(Table1_1[[#This Row],[ADONA]])</f>
        <v>-1.1396619934290064</v>
      </c>
      <c r="AS31">
        <f>LOG(Table1_1[[#This Row],[9Cl-PF3ONS]])</f>
        <v>-1.1396619934290064</v>
      </c>
      <c r="AT31">
        <f>LOG(Table1_1[[#This Row],[11Cl-PF3OUdS]])</f>
        <v>-1.1396619934290064</v>
      </c>
      <c r="AU31">
        <f>LOG(Table1_1[[#This Row],[HFPO-DA]])</f>
        <v>-0.98296666070121963</v>
      </c>
      <c r="AV31">
        <f>LOG(Table1_1[[#This Row],[6:2 diPAP]])</f>
        <v>-1.1106982974936896</v>
      </c>
      <c r="AW31">
        <f>LOG(Table1_1[[#This Row],[8:2 diPAP]])</f>
        <v>-1.0177287669604316</v>
      </c>
      <c r="AX31">
        <f>LOG(Table1_1[[#This Row],[diSAmPAP]])</f>
        <v>-0.89448981523002602</v>
      </c>
    </row>
    <row r="32" spans="1:50">
      <c r="A32">
        <f>LOG(Table1_1[[#This Row],[PFBA]])</f>
        <v>-0.65462626944091162</v>
      </c>
      <c r="B32">
        <f>LOG(Table1_1[[#This Row],[PFPeA]])</f>
        <v>-0.8054856581175327</v>
      </c>
      <c r="C32">
        <f>LOG(Table1_1[[#This Row],[PFHxA]])</f>
        <v>-0.12436006299583161</v>
      </c>
      <c r="D32">
        <f>LOG(Table1_1[[#This Row],[PFHpA]])</f>
        <v>-0.51999305704284937</v>
      </c>
      <c r="E32">
        <f>LOG(Table1_1[[#This Row],[PFOA]])</f>
        <v>0.68574173860226362</v>
      </c>
      <c r="F32">
        <f>LOG(Table1_1[[#This Row],[PFNA]])</f>
        <v>0.456366033129043</v>
      </c>
      <c r="G32">
        <f>LOG(Table1_1[[#This Row],[PFDA]])</f>
        <v>0.49554433754644844</v>
      </c>
      <c r="H32">
        <f>LOG(Table1_1[[#This Row],[PFUnA]])</f>
        <v>0.50785587169583091</v>
      </c>
      <c r="I32">
        <f>LOG(Table1_1[[#This Row],[PFDoA]])</f>
        <v>0.83250891270623628</v>
      </c>
      <c r="J32">
        <f>LOG(Table1_1[[#This Row],[PFTrDA]])</f>
        <v>0.39445168082621629</v>
      </c>
      <c r="K32">
        <f>LOG(Table1_1[[#This Row],[PFTeDA]])</f>
        <v>0.14301480025409505</v>
      </c>
      <c r="L32">
        <f>LOG(Table1_1[[#This Row],[PFHxDA]])</f>
        <v>-1.0969100130080565</v>
      </c>
      <c r="M32">
        <f>LOG(Table1_1[[#This Row],[PFPrS]])</f>
        <v>-1.2924298239020637</v>
      </c>
      <c r="N32">
        <f>LOG(Table1_1[[#This Row],[PFBS]])</f>
        <v>-0.82102305270683062</v>
      </c>
      <c r="O32">
        <f>LOG(Table1_1[[#This Row],[PFPeS]])</f>
        <v>-0.23136189875238555</v>
      </c>
      <c r="P32">
        <f>LOG(Table1_1[[#This Row],[PFHxS]])</f>
        <v>1.6541765418779606</v>
      </c>
      <c r="Q32">
        <f>LOG(Table1_1[[#This Row],[PFHpS]])</f>
        <v>0.5065050324048721</v>
      </c>
      <c r="R32">
        <f>LOG(Table1_1[[#This Row],[PFOS]])</f>
        <v>2.8512583487190755</v>
      </c>
      <c r="S32">
        <f>LOG(Table1_1[[#This Row],[PFNS]])</f>
        <v>-0.19178902707577791</v>
      </c>
      <c r="T32">
        <f>LOG(Table1_1[[#This Row],[PFDS]])</f>
        <v>-0.17263072694617473</v>
      </c>
      <c r="U32">
        <f>LOG(Table1_1[[#This Row],[PFDoS]])</f>
        <v>-0.62525165398989613</v>
      </c>
      <c r="V32">
        <f>LOG(Table1_1[[#This Row],[Cl-PFOS]])</f>
        <v>-0.87127771566157319</v>
      </c>
      <c r="W32">
        <f>LOG(Table1_1[[#This Row],[PFEtCHxS]])</f>
        <v>-0.52287874528033762</v>
      </c>
      <c r="X32">
        <f>LOG(Table1_1[[#This Row],[FBSA]])</f>
        <v>1.3926969532596658</v>
      </c>
      <c r="Y32">
        <f>LOG(Table1_1[[#This Row],[FHxSA]])</f>
        <v>2.1038037209559568</v>
      </c>
      <c r="Z32">
        <f>LOG(Table1_1[[#This Row],[FOSA]])</f>
        <v>1.4116197059632303</v>
      </c>
      <c r="AA32">
        <f>LOG(Table1_1[[#This Row],[N-MeFOSA]])</f>
        <v>-1.288192770958809</v>
      </c>
      <c r="AB32">
        <f>LOG(Table1_1[[#This Row],[N-EtFOSA]])</f>
        <v>-1.1051303432547475</v>
      </c>
      <c r="AC32">
        <f>LOG(Table1_1[[#This Row],[FOSAA]])</f>
        <v>-1.2757241303992111</v>
      </c>
      <c r="AD32">
        <f>LOG(Table1_1[[#This Row],[N-MeFOSAA]])</f>
        <v>-0.65169513695183934</v>
      </c>
      <c r="AE32">
        <f>LOG(Table1_1[[#This Row],[N-EtFOSAA]])</f>
        <v>-1.2328441339178196</v>
      </c>
      <c r="AF32">
        <f>LOG(Table1_1[[#This Row],[4:2 FTS]])</f>
        <v>-1.2596373105057561</v>
      </c>
      <c r="AG32">
        <f>LOG(Table1_1[[#This Row],[6:2 FTS]])</f>
        <v>0.35410843914740087</v>
      </c>
      <c r="AH32">
        <f>LOG(Table1_1[[#This Row],[8:2 FTS]])</f>
        <v>0.53402610605613499</v>
      </c>
      <c r="AI32">
        <f>LOG(Table1_1[[#This Row],[10:2 FTS]])</f>
        <v>-0.59946201060805382</v>
      </c>
      <c r="AJ32">
        <f>LOG(Table1_1[[#This Row],[3:3 FTCA]])</f>
        <v>-0.59260909552926844</v>
      </c>
      <c r="AK32">
        <f>LOG(Table1_1[[#This Row],[5:3 FTCA]])</f>
        <v>-0.65462626944091162</v>
      </c>
      <c r="AL32">
        <f>LOG(Table1_1[[#This Row],[7:3 FTCA]])</f>
        <v>0.71432975974523305</v>
      </c>
      <c r="AM32">
        <f>LOG(Table1_1[[#This Row],[6:2 FTCA]])</f>
        <v>-1.1739251972991736</v>
      </c>
      <c r="AN32">
        <f>LOG(Table1_1[[#This Row],[8:2 FTCA]])</f>
        <v>-0.20901152491118416</v>
      </c>
      <c r="AO32">
        <f>LOG(Table1_1[[#This Row],[10:2 FTCA]])</f>
        <v>-0.48082853617834093</v>
      </c>
      <c r="AP32">
        <f>LOG(Table1_1[[#This Row],[6:2 FTUCA]])</f>
        <v>-1.2798406965940432</v>
      </c>
      <c r="AQ32">
        <f>LOG(Table1_1[[#This Row],[8:2 FTUCA]])</f>
        <v>-1.391473966422806</v>
      </c>
      <c r="AR32">
        <f>LOG(Table1_1[[#This Row],[ADONA]])</f>
        <v>-1.1739251972991736</v>
      </c>
      <c r="AS32">
        <f>LOG(Table1_1[[#This Row],[9Cl-PF3ONS]])</f>
        <v>-1.1739251972991736</v>
      </c>
      <c r="AT32">
        <f>LOG(Table1_1[[#This Row],[11Cl-PF3OUdS]])</f>
        <v>-1.1739251972991736</v>
      </c>
      <c r="AU32">
        <f>LOG(Table1_1[[#This Row],[HFPO-DA]])</f>
        <v>-1.0154726866562074</v>
      </c>
      <c r="AV32">
        <f>LOG(Table1_1[[#This Row],[6:2 diPAP]])</f>
        <v>-1.1456939581989194</v>
      </c>
      <c r="AW32">
        <f>LOG(Table1_1[[#This Row],[8:2 diPAP]])</f>
        <v>-1.0506099933550872</v>
      </c>
      <c r="AX32">
        <f>LOG(Table1_1[[#This Row],[diSAmPAP]])</f>
        <v>-0.92811799269387463</v>
      </c>
    </row>
    <row r="33" spans="1:50">
      <c r="A33">
        <f>LOG(Table1_1[[#This Row],[PFBA]])</f>
        <v>-0.59516628338006194</v>
      </c>
      <c r="B33">
        <f>LOG(Table1_1[[#This Row],[PFPeA]])</f>
        <v>-1.0481769646840879</v>
      </c>
      <c r="C33">
        <f>LOG(Table1_1[[#This Row],[PFHxA]])</f>
        <v>-0.86327943284359321</v>
      </c>
      <c r="D33">
        <f>LOG(Table1_1[[#This Row],[PFHpA]])</f>
        <v>-0.59516628338006194</v>
      </c>
      <c r="E33">
        <f>LOG(Table1_1[[#This Row],[PFOA]])</f>
        <v>0.56820172406699498</v>
      </c>
      <c r="F33">
        <f>LOG(Table1_1[[#This Row],[PFNA]])</f>
        <v>0.42975228000240795</v>
      </c>
      <c r="G33">
        <f>LOG(Table1_1[[#This Row],[PFDA]])</f>
        <v>0.59879050676311507</v>
      </c>
      <c r="H33">
        <f>LOG(Table1_1[[#This Row],[PFUnA]])</f>
        <v>0.68033551341456322</v>
      </c>
      <c r="I33">
        <f>LOG(Table1_1[[#This Row],[PFDoA]])</f>
        <v>0.65417654187796048</v>
      </c>
      <c r="J33">
        <f>LOG(Table1_1[[#This Row],[PFTrDA]])</f>
        <v>0.10720996964786837</v>
      </c>
      <c r="K33">
        <f>LOG(Table1_1[[#This Row],[PFTeDA]])</f>
        <v>-4.3351420794796675E-2</v>
      </c>
      <c r="L33">
        <f>LOG(Table1_1[[#This Row],[PFHxDA]])</f>
        <v>-0.81958736716167624</v>
      </c>
      <c r="M33">
        <f>LOG(Table1_1[[#This Row],[PFPrS]])</f>
        <v>-0.89619627904404309</v>
      </c>
      <c r="N33">
        <f>LOG(Table1_1[[#This Row],[PFBS]])</f>
        <v>-0.59516628338006194</v>
      </c>
      <c r="O33">
        <f>LOG(Table1_1[[#This Row],[PFPeS]])</f>
        <v>-0.48945498979338786</v>
      </c>
      <c r="P33">
        <f>LOG(Table1_1[[#This Row],[PFHxS]])</f>
        <v>1.6473829701146199</v>
      </c>
      <c r="Q33">
        <f>LOG(Table1_1[[#This Row],[PFHpS]])</f>
        <v>0.77158748088125539</v>
      </c>
      <c r="R33">
        <f>LOG(Table1_1[[#This Row],[PFOS]])</f>
        <v>2.8208579894397001</v>
      </c>
      <c r="S33">
        <f>LOG(Table1_1[[#This Row],[PFNS]])</f>
        <v>0.17026171539495738</v>
      </c>
      <c r="T33">
        <f>LOG(Table1_1[[#This Row],[PFDS]])</f>
        <v>-0.14935376481693349</v>
      </c>
      <c r="U33">
        <f>LOG(Table1_1[[#This Row],[PFDoS]])</f>
        <v>-0.56543109596580121</v>
      </c>
      <c r="V33">
        <f>LOG(Table1_1[[#This Row],[Cl-PFOS]])</f>
        <v>-0.81107151623914653</v>
      </c>
      <c r="W33">
        <f>LOG(Table1_1[[#This Row],[PFEtCHxS]])</f>
        <v>-0.32605800136591223</v>
      </c>
      <c r="X33">
        <f>LOG(Table1_1[[#This Row],[FBSA]])</f>
        <v>1.0969100130080565</v>
      </c>
      <c r="Y33">
        <f>LOG(Table1_1[[#This Row],[FHxSA]])</f>
        <v>1.8802417758954804</v>
      </c>
      <c r="Z33">
        <f>LOG(Table1_1[[#This Row],[FOSA]])</f>
        <v>1.0492180226701815</v>
      </c>
      <c r="AA33">
        <f>LOG(Table1_1[[#This Row],[N-MeFOSA]])</f>
        <v>-1.0087739243075051</v>
      </c>
      <c r="AB33">
        <f>LOG(Table1_1[[#This Row],[N-EtFOSA]])</f>
        <v>-0.59516628338006194</v>
      </c>
      <c r="AC33">
        <f>LOG(Table1_1[[#This Row],[FOSAA]])</f>
        <v>-0.59516628338006194</v>
      </c>
      <c r="AD33">
        <f>LOG(Table1_1[[#This Row],[N-MeFOSAA]])</f>
        <v>-0.89279003035213167</v>
      </c>
      <c r="AE33">
        <f>LOG(Table1_1[[#This Row],[N-EtFOSAA]])</f>
        <v>-0.89619627904404309</v>
      </c>
      <c r="AF33">
        <f>LOG(Table1_1[[#This Row],[4:2 FTS]])</f>
        <v>-0.89619627904404309</v>
      </c>
      <c r="AG33">
        <f>LOG(Table1_1[[#This Row],[6:2 FTS]])</f>
        <v>0.35024801833416286</v>
      </c>
      <c r="AH33">
        <f>LOG(Table1_1[[#This Row],[8:2 FTS]])</f>
        <v>0.97680833733806627</v>
      </c>
      <c r="AI33">
        <f>LOG(Table1_1[[#This Row],[10:2 FTS]])</f>
        <v>-0.29242982390206362</v>
      </c>
      <c r="AJ33">
        <f>LOG(Table1_1[[#This Row],[3:3 FTCA]])</f>
        <v>-0.59516628338006194</v>
      </c>
      <c r="AK33">
        <f>LOG(Table1_1[[#This Row],[5:3 FTCA]])</f>
        <v>-0.59516628338006194</v>
      </c>
      <c r="AL33">
        <f>LOG(Table1_1[[#This Row],[7:3 FTCA]])</f>
        <v>0.89927318731760375</v>
      </c>
      <c r="AM33">
        <f>LOG(Table1_1[[#This Row],[6:2 FTCA]])</f>
        <v>-0.59516628338006194</v>
      </c>
      <c r="AN33">
        <f>LOG(Table1_1[[#This Row],[8:2 FTCA]])</f>
        <v>-0.89619627904404309</v>
      </c>
      <c r="AO33">
        <f>LOG(Table1_1[[#This Row],[10:2 FTCA]])</f>
        <v>-0.59516628338006194</v>
      </c>
      <c r="AP33">
        <f>LOG(Table1_1[[#This Row],[6:2 FTUCA]])</f>
        <v>-1</v>
      </c>
      <c r="AQ33">
        <f>LOG(Table1_1[[#This Row],[8:2 FTUCA]])</f>
        <v>-1.1135092748275182</v>
      </c>
      <c r="AR33">
        <f>LOG(Table1_1[[#This Row],[ADONA]])</f>
        <v>-0.9507819773298184</v>
      </c>
      <c r="AS33">
        <f>LOG(Table1_1[[#This Row],[9Cl-PF3ONS]])</f>
        <v>-0.59516628338006194</v>
      </c>
      <c r="AT33">
        <f>LOG(Table1_1[[#This Row],[11Cl-PF3OUdS]])</f>
        <v>-0.59516628338006194</v>
      </c>
      <c r="AU33">
        <f>LOG(Table1_1[[#This Row],[HFPO-DA]])</f>
        <v>-0.7387371312075065</v>
      </c>
      <c r="AV33">
        <f>LOG(Table1_1[[#This Row],[6:2 diPAP]])</f>
        <v>-0.59516628338006194</v>
      </c>
      <c r="AW33">
        <f>LOG(Table1_1[[#This Row],[8:2 diPAP]])</f>
        <v>-0.59516628338006194</v>
      </c>
      <c r="AX33">
        <f>LOG(Table1_1[[#This Row],[diSAmPAP]])</f>
        <v>-0.59516628338006194</v>
      </c>
    </row>
    <row r="34" spans="1:50">
      <c r="A34">
        <f>LOG(Table1_1[[#This Row],[PFBA]])</f>
        <v>-1.0292935721636676</v>
      </c>
      <c r="B34">
        <f>LOG(Table1_1[[#This Row],[PFPeA]])</f>
        <v>-1.2777597755312422</v>
      </c>
      <c r="C34">
        <f>LOG(Table1_1[[#This Row],[PFHxA]])</f>
        <v>-1.3947519393723065</v>
      </c>
      <c r="D34">
        <f>LOG(Table1_1[[#This Row],[PFHpA]])</f>
        <v>-1.0292935721636676</v>
      </c>
      <c r="E34">
        <f>LOG(Table1_1[[#This Row],[PFOA]])</f>
        <v>0.51321760006793893</v>
      </c>
      <c r="F34">
        <f>LOG(Table1_1[[#This Row],[PFNA]])</f>
        <v>0.15836249209524964</v>
      </c>
      <c r="G34">
        <f>LOG(Table1_1[[#This Row],[PFDA]])</f>
        <v>0.50242711998443268</v>
      </c>
      <c r="H34">
        <f>LOG(Table1_1[[#This Row],[PFUnA]])</f>
        <v>0.77887447200273952</v>
      </c>
      <c r="I34">
        <f>LOG(Table1_1[[#This Row],[PFDoA]])</f>
        <v>-1.2246551102855343</v>
      </c>
      <c r="J34">
        <f>LOG(Table1_1[[#This Row],[PFTrDA]])</f>
        <v>0.29003461136251801</v>
      </c>
      <c r="K34">
        <f>LOG(Table1_1[[#This Row],[PFTeDA]])</f>
        <v>0.70329137811866138</v>
      </c>
      <c r="L34">
        <f>LOG(Table1_1[[#This Row],[PFHxDA]])</f>
        <v>-1.0506938919213926</v>
      </c>
      <c r="M34">
        <f>LOG(Table1_1[[#This Row],[PFPrS]])</f>
        <v>-1.2443994046052729</v>
      </c>
      <c r="N34">
        <f>LOG(Table1_1[[#This Row],[PFBS]])</f>
        <v>-0.16877030613293661</v>
      </c>
      <c r="O34">
        <f>LOG(Table1_1[[#This Row],[PFPeS]])</f>
        <v>-0.90745074330556519</v>
      </c>
      <c r="P34">
        <f>LOG(Table1_1[[#This Row],[PFHxS]])</f>
        <v>1.4183012913197455</v>
      </c>
      <c r="Q34">
        <f>LOG(Table1_1[[#This Row],[PFHpS]])</f>
        <v>0.1553360374650618</v>
      </c>
      <c r="R34">
        <f>LOG(Table1_1[[#This Row],[PFOS]])</f>
        <v>2.7745169657285498</v>
      </c>
      <c r="S34">
        <f>LOG(Table1_1[[#This Row],[PFNS]])</f>
        <v>-5.9483515067432782E-2</v>
      </c>
      <c r="T34">
        <f>LOG(Table1_1[[#This Row],[PFDS]])</f>
        <v>-7.0049015686584892E-3</v>
      </c>
      <c r="U34">
        <f>LOG(Table1_1[[#This Row],[PFDoS]])</f>
        <v>-0.20273245916928356</v>
      </c>
      <c r="V34">
        <f>LOG(Table1_1[[#This Row],[Cl-PFOS]])</f>
        <v>-0.8476756242968092</v>
      </c>
      <c r="W34">
        <f>LOG(Table1_1[[#This Row],[PFEtCHxS]])</f>
        <v>-0.69036983257410123</v>
      </c>
      <c r="X34">
        <f>LOG(Table1_1[[#This Row],[FBSA]])</f>
        <v>1.2741578492636798</v>
      </c>
      <c r="Y34">
        <f>LOG(Table1_1[[#This Row],[FHxSA]])</f>
        <v>1.9969492484953812</v>
      </c>
      <c r="Z34">
        <f>LOG(Table1_1[[#This Row],[FOSA]])</f>
        <v>1.1271047983648077</v>
      </c>
      <c r="AA34">
        <f>LOG(Table1_1[[#This Row],[N-MeFOSA]])</f>
        <v>-1.2401905044720147</v>
      </c>
      <c r="AB34">
        <f>LOG(Table1_1[[#This Row],[N-EtFOSA]])</f>
        <v>-1.0598420370385599</v>
      </c>
      <c r="AC34">
        <f>LOG(Table1_1[[#This Row],[FOSAA]])</f>
        <v>-1.2302414929726306</v>
      </c>
      <c r="AD34">
        <f>LOG(Table1_1[[#This Row],[N-MeFOSAA]])</f>
        <v>-8.2494490447453356E-2</v>
      </c>
      <c r="AE34">
        <f>LOG(Table1_1[[#This Row],[N-EtFOSAA]])</f>
        <v>-1.1883823699982068</v>
      </c>
      <c r="AF34">
        <f>LOG(Table1_1[[#This Row],[4:2 FTS]])</f>
        <v>-1.2123487001287134</v>
      </c>
      <c r="AG34">
        <f>LOG(Table1_1[[#This Row],[6:2 FTS]])</f>
        <v>-0.31069114087637978</v>
      </c>
      <c r="AH34">
        <f>LOG(Table1_1[[#This Row],[8:2 FTS]])</f>
        <v>0.1553360374650618</v>
      </c>
      <c r="AI34">
        <f>LOG(Table1_1[[#This Row],[10:2 FTS]])</f>
        <v>-0.57617960841174409</v>
      </c>
      <c r="AJ34">
        <f>LOG(Table1_1[[#This Row],[3:3 FTCA]])</f>
        <v>-1.0648839250536437</v>
      </c>
      <c r="AK34">
        <f>LOG(Table1_1[[#This Row],[5:3 FTCA]])</f>
        <v>-0.44855000202712486</v>
      </c>
      <c r="AL34">
        <f>LOG(Table1_1[[#This Row],[7:3 FTCA]])</f>
        <v>0.7291647896927701</v>
      </c>
      <c r="AM34">
        <f>LOG(Table1_1[[#This Row],[6:2 FTCA]])</f>
        <v>0.2576785748691845</v>
      </c>
      <c r="AN34">
        <f>LOG(Table1_1[[#This Row],[8:2 FTCA]])</f>
        <v>-1.5248373332567602</v>
      </c>
      <c r="AO34">
        <f>LOG(Table1_1[[#This Row],[10:2 FTCA]])</f>
        <v>-0.95307246948782454</v>
      </c>
      <c r="AP34">
        <f>LOG(Table1_1[[#This Row],[6:2 FTUCA]])</f>
        <v>-1.23191894288852</v>
      </c>
      <c r="AQ34">
        <f>LOG(Table1_1[[#This Row],[8:2 FTUCA]])</f>
        <v>-1.3456414754552717</v>
      </c>
      <c r="AR34">
        <f>LOG(Table1_1[[#This Row],[ADONA]])</f>
        <v>-1.1268973245847227</v>
      </c>
      <c r="AS34">
        <f>LOG(Table1_1[[#This Row],[9Cl-PF3ONS]])</f>
        <v>-1.285471126075713</v>
      </c>
      <c r="AT34">
        <f>LOG(Table1_1[[#This Row],[11Cl-PF3OUdS]])</f>
        <v>-1.2303763179205873</v>
      </c>
      <c r="AU34">
        <f>LOG(Table1_1[[#This Row],[HFPO-DA]])</f>
        <v>-0.9700367785771673</v>
      </c>
      <c r="AV34">
        <f>LOG(Table1_1[[#This Row],[6:2 diPAP]])</f>
        <v>-1.0997398538839722</v>
      </c>
      <c r="AW34">
        <f>LOG(Table1_1[[#This Row],[8:2 diPAP]])</f>
        <v>-1.00441472146179</v>
      </c>
      <c r="AX34">
        <f>LOG(Table1_1[[#This Row],[diSAmPAP]])</f>
        <v>-0.88138465677057287</v>
      </c>
    </row>
    <row r="35" spans="1:50">
      <c r="A35">
        <f>LOG(Table1_1[[#This Row],[PFBA]])</f>
        <v>-0.65364702554936138</v>
      </c>
      <c r="B35">
        <f>LOG(Table1_1[[#This Row],[PFPeA]])</f>
        <v>-1.3223930472795069</v>
      </c>
      <c r="C35">
        <f>LOG(Table1_1[[#This Row],[PFHxA]])</f>
        <v>-1.4394955848049433</v>
      </c>
      <c r="D35">
        <f>LOG(Table1_1[[#This Row],[PFHpA]])</f>
        <v>-1.5694412304772425</v>
      </c>
      <c r="E35">
        <f>LOG(Table1_1[[#This Row],[PFOA]])</f>
        <v>0.64542226934909186</v>
      </c>
      <c r="F35">
        <f>LOG(Table1_1[[#This Row],[PFNA]])</f>
        <v>0.5502283530550941</v>
      </c>
      <c r="G35">
        <f>LOG(Table1_1[[#This Row],[PFDA]])</f>
        <v>0.59106460702649921</v>
      </c>
      <c r="H35">
        <f>LOG(Table1_1[[#This Row],[PFUnA]])</f>
        <v>0.71011736511181622</v>
      </c>
      <c r="I35">
        <f>LOG(Table1_1[[#This Row],[PFDoA]])</f>
        <v>0.91062440488920127</v>
      </c>
      <c r="J35">
        <f>LOG(Table1_1[[#This Row],[PFTrDA]])</f>
        <v>0.33645973384852951</v>
      </c>
      <c r="K35">
        <f>LOG(Table1_1[[#This Row],[PFTeDA]])</f>
        <v>0.85551915566780012</v>
      </c>
      <c r="L35">
        <f>LOG(Table1_1[[#This Row],[PFHxDA]])</f>
        <v>-1.0969100130080565</v>
      </c>
      <c r="M35">
        <f>LOG(Table1_1[[#This Row],[PFPrS]])</f>
        <v>-1.288192770958809</v>
      </c>
      <c r="N35">
        <f>LOG(Table1_1[[#This Row],[PFBS]])</f>
        <v>-0.82102305270683062</v>
      </c>
      <c r="O35">
        <f>LOG(Table1_1[[#This Row],[PFPeS]])</f>
        <v>-0.92996213339224498</v>
      </c>
      <c r="P35">
        <f>LOG(Table1_1[[#This Row],[PFHxS]])</f>
        <v>1.3283796034387378</v>
      </c>
      <c r="Q35">
        <f>LOG(Table1_1[[#This Row],[PFHpS]])</f>
        <v>0.42651126136457523</v>
      </c>
      <c r="R35">
        <f>LOG(Table1_1[[#This Row],[PFOS]])</f>
        <v>2.9647309210536292</v>
      </c>
      <c r="S35">
        <f>LOG(Table1_1[[#This Row],[PFNS]])</f>
        <v>0.19312459835446161</v>
      </c>
      <c r="T35">
        <f>LOG(Table1_1[[#This Row],[PFDS]])</f>
        <v>0.39269695325966575</v>
      </c>
      <c r="U35">
        <f>LOG(Table1_1[[#This Row],[PFDoS]])</f>
        <v>4.9218022670181653E-2</v>
      </c>
      <c r="V35">
        <f>LOG(Table1_1[[#This Row],[Cl-PFOS]])</f>
        <v>-0.86966623150499389</v>
      </c>
      <c r="W35">
        <f>LOG(Table1_1[[#This Row],[PFEtCHxS]])</f>
        <v>-0.52724355068278772</v>
      </c>
      <c r="X35">
        <f>LOG(Table1_1[[#This Row],[FBSA]])</f>
        <v>1.3324384599156054</v>
      </c>
      <c r="Y35">
        <f>LOG(Table1_1[[#This Row],[FHxSA]])</f>
        <v>2.1613680022349748</v>
      </c>
      <c r="Z35">
        <f>LOG(Table1_1[[#This Row],[FOSA]])</f>
        <v>1.2648178230095364</v>
      </c>
      <c r="AA35">
        <f>LOG(Table1_1[[#This Row],[N-MeFOSA]])</f>
        <v>-1.2839966563652008</v>
      </c>
      <c r="AB35">
        <f>LOG(Table1_1[[#This Row],[N-EtFOSA]])</f>
        <v>-1.1051303432547475</v>
      </c>
      <c r="AC35">
        <f>LOG(Table1_1[[#This Row],[FOSAA]])</f>
        <v>-1.2757241303992111</v>
      </c>
      <c r="AD35">
        <f>LOG(Table1_1[[#This Row],[N-MeFOSAA]])</f>
        <v>-0.15428198203334137</v>
      </c>
      <c r="AE35">
        <f>LOG(Table1_1[[#This Row],[N-EtFOSAA]])</f>
        <v>-1.2328441339178196</v>
      </c>
      <c r="AF35">
        <f>LOG(Table1_1[[#This Row],[4:2 FTS]])</f>
        <v>-1.2557070168773237</v>
      </c>
      <c r="AG35">
        <f>LOG(Table1_1[[#This Row],[6:2 FTS]])</f>
        <v>-0.15864052954514513</v>
      </c>
      <c r="AH35">
        <f>LOG(Table1_1[[#This Row],[8:2 FTS]])</f>
        <v>0.10037054511756291</v>
      </c>
      <c r="AI35">
        <f>LOG(Table1_1[[#This Row],[10:2 FTS]])</f>
        <v>-0.59859945921845592</v>
      </c>
      <c r="AJ35">
        <f>LOG(Table1_1[[#This Row],[3:3 FTCA]])</f>
        <v>-1.1106982974936896</v>
      </c>
      <c r="AK35">
        <f>LOG(Table1_1[[#This Row],[5:3 FTCA]])</f>
        <v>1.0606978403536116</v>
      </c>
      <c r="AL35">
        <f>LOG(Table1_1[[#This Row],[7:3 FTCA]])</f>
        <v>1.4563660331290431</v>
      </c>
      <c r="AM35">
        <f>LOG(Table1_1[[#This Row],[6:2 FTCA]])</f>
        <v>0.28330122870354957</v>
      </c>
      <c r="AN35">
        <f>LOG(Table1_1[[#This Row],[8:2 FTCA]])</f>
        <v>0.55750720190565795</v>
      </c>
      <c r="AO35">
        <f>LOG(Table1_1[[#This Row],[10:2 FTCA]])</f>
        <v>-0.13846558914096219</v>
      </c>
      <c r="AP35">
        <f>LOG(Table1_1[[#This Row],[6:2 FTUCA]])</f>
        <v>-1.2757241303992111</v>
      </c>
      <c r="AQ35">
        <f>LOG(Table1_1[[#This Row],[8:2 FTUCA]])</f>
        <v>-1.391473966422806</v>
      </c>
      <c r="AR35">
        <f>LOG(Table1_1[[#This Row],[ADONA]])</f>
        <v>-0.65364702554936138</v>
      </c>
      <c r="AS35">
        <f>LOG(Table1_1[[#This Row],[9Cl-PF3ONS]])</f>
        <v>-1.1706962271689751</v>
      </c>
      <c r="AT35">
        <f>LOG(Table1_1[[#This Row],[11Cl-PF3OUdS]])</f>
        <v>-1.1706962271689751</v>
      </c>
      <c r="AU35">
        <f>LOG(Table1_1[[#This Row],[HFPO-DA]])</f>
        <v>-1.0154726866562074</v>
      </c>
      <c r="AV35">
        <f>LOG(Table1_1[[#This Row],[6:2 diPAP]])</f>
        <v>-1.1456939581989194</v>
      </c>
      <c r="AW35">
        <f>LOG(Table1_1[[#This Row],[8:2 diPAP]])</f>
        <v>-1.0506099933550872</v>
      </c>
      <c r="AX35">
        <f>LOG(Table1_1[[#This Row],[diSAmPAP]])</f>
        <v>-0.92628164965387738</v>
      </c>
    </row>
    <row r="36" spans="1:50">
      <c r="A36">
        <f>LOG(Table1_1[[#This Row],[PFBA]])</f>
        <v>-1.1611509092627446</v>
      </c>
      <c r="B36">
        <f>LOG(Table1_1[[#This Row],[PFPeA]])</f>
        <v>-1.3129171553956294</v>
      </c>
      <c r="C36">
        <f>LOG(Table1_1[[#This Row],[PFHxA]])</f>
        <v>-1.4288737229156883</v>
      </c>
      <c r="D36">
        <f>LOG(Table1_1[[#This Row],[PFHpA]])</f>
        <v>-1.5590909179347823</v>
      </c>
      <c r="E36">
        <f>LOG(Table1_1[[#This Row],[PFOA]])</f>
        <v>0.45484486000851021</v>
      </c>
      <c r="F36">
        <f>LOG(Table1_1[[#This Row],[PFNA]])</f>
        <v>0.59439255037542671</v>
      </c>
      <c r="G36">
        <f>LOG(Table1_1[[#This Row],[PFDA]])</f>
        <v>0.85672889038288258</v>
      </c>
      <c r="H36">
        <f>LOG(Table1_1[[#This Row],[PFUnA]])</f>
        <v>0.85551915566780012</v>
      </c>
      <c r="I36">
        <f>LOG(Table1_1[[#This Row],[PFDoA]])</f>
        <v>0.98900461569853682</v>
      </c>
      <c r="J36">
        <f>LOG(Table1_1[[#This Row],[PFTrDA]])</f>
        <v>0.39445168082621629</v>
      </c>
      <c r="K36">
        <f>LOG(Table1_1[[#This Row],[PFTeDA]])</f>
        <v>0.63748972951251071</v>
      </c>
      <c r="L36">
        <f>LOG(Table1_1[[#This Row],[PFHxDA]])</f>
        <v>-1.0861861476162833</v>
      </c>
      <c r="M36">
        <f>LOG(Table1_1[[#This Row],[PFPrS]])</f>
        <v>-1.2798406965940432</v>
      </c>
      <c r="N36">
        <f>LOG(Table1_1[[#This Row],[PFBS]])</f>
        <v>-1.3283644033978703</v>
      </c>
      <c r="O36">
        <f>LOG(Table1_1[[#This Row],[PFPeS]])</f>
        <v>-0.44490555142168087</v>
      </c>
      <c r="P36">
        <f>LOG(Table1_1[[#This Row],[PFHxS]])</f>
        <v>1.3692158574101427</v>
      </c>
      <c r="Q36">
        <f>LOG(Table1_1[[#This Row],[PFHpS]])</f>
        <v>1.1398790864012365</v>
      </c>
      <c r="R36">
        <f>LOG(Table1_1[[#This Row],[PFOS]])</f>
        <v>3.4456042032735974</v>
      </c>
      <c r="S36">
        <f>LOG(Table1_1[[#This Row],[PFNS]])</f>
        <v>0.74585519517372889</v>
      </c>
      <c r="T36">
        <f>LOG(Table1_1[[#This Row],[PFDS]])</f>
        <v>0.61278385671973545</v>
      </c>
      <c r="U36">
        <f>LOG(Table1_1[[#This Row],[PFDoS]])</f>
        <v>6.445798922691845E-2</v>
      </c>
      <c r="V36">
        <f>LOG(Table1_1[[#This Row],[Cl-PFOS]])</f>
        <v>8.6001717619175692E-3</v>
      </c>
      <c r="W36">
        <f>LOG(Table1_1[[#This Row],[PFEtCHxS]])</f>
        <v>-0.19449914184159983</v>
      </c>
      <c r="X36">
        <f>LOG(Table1_1[[#This Row],[FBSA]])</f>
        <v>1.1072099696478683</v>
      </c>
      <c r="Y36">
        <f>LOG(Table1_1[[#This Row],[FHxSA]])</f>
        <v>2.2479732663618068</v>
      </c>
      <c r="Z36">
        <f>LOG(Table1_1[[#This Row],[FOSA]])</f>
        <v>1.0086001717619175</v>
      </c>
      <c r="AA36">
        <f>LOG(Table1_1[[#This Row],[N-MeFOSA]])</f>
        <v>-1.2757241303992111</v>
      </c>
      <c r="AB36">
        <f>LOG(Table1_1[[#This Row],[N-EtFOSA]])</f>
        <v>-1.0942041196321315</v>
      </c>
      <c r="AC36">
        <f>LOG(Table1_1[[#This Row],[FOSAA]])</f>
        <v>-1.2636034977233577</v>
      </c>
      <c r="AD36">
        <f>LOG(Table1_1[[#This Row],[N-MeFOSAA]])</f>
        <v>-0.30803489723263966</v>
      </c>
      <c r="AE36">
        <f>LOG(Table1_1[[#This Row],[N-EtFOSAA]])</f>
        <v>-1.2218487496163564</v>
      </c>
      <c r="AF36">
        <f>LOG(Table1_1[[#This Row],[4:2 FTS]])</f>
        <v>-1.2479515521805615</v>
      </c>
      <c r="AG36">
        <f>LOG(Table1_1[[#This Row],[6:2 FTS]])</f>
        <v>1.703333929878037E-2</v>
      </c>
      <c r="AH36">
        <f>LOG(Table1_1[[#This Row],[8:2 FTS]])</f>
        <v>2.5305865264770262E-2</v>
      </c>
      <c r="AI36">
        <f>LOG(Table1_1[[#This Row],[10:2 FTS]])</f>
        <v>-0.5875394525700387</v>
      </c>
      <c r="AJ36">
        <f>LOG(Table1_1[[#This Row],[3:3 FTCA]])</f>
        <v>-1.0996328713435297</v>
      </c>
      <c r="AK36">
        <f>LOG(Table1_1[[#This Row],[5:3 FTCA]])</f>
        <v>0.46089784275654788</v>
      </c>
      <c r="AL36">
        <f>LOG(Table1_1[[#This Row],[7:3 FTCA]])</f>
        <v>1.6748611407378116</v>
      </c>
      <c r="AM36">
        <f>LOG(Table1_1[[#This Row],[6:2 FTCA]])</f>
        <v>-3.5269078946370637E-2</v>
      </c>
      <c r="AN36">
        <f>LOG(Table1_1[[#This Row],[8:2 FTCA]])</f>
        <v>0.86093662070009369</v>
      </c>
      <c r="AO36">
        <f>LOG(Table1_1[[#This Row],[10:2 FTCA]])</f>
        <v>-0.98716277529482777</v>
      </c>
      <c r="AP36">
        <f>LOG(Table1_1[[#This Row],[6:2 FTUCA]])</f>
        <v>-1.2676062401770316</v>
      </c>
      <c r="AQ36">
        <f>LOG(Table1_1[[#This Row],[8:2 FTUCA]])</f>
        <v>-1.3803849942571935</v>
      </c>
      <c r="AR36">
        <f>LOG(Table1_1[[#This Row],[ADONA]])</f>
        <v>-1.1611509092627446</v>
      </c>
      <c r="AS36">
        <f>LOG(Table1_1[[#This Row],[9Cl-PF3ONS]])</f>
        <v>-1.1611509092627446</v>
      </c>
      <c r="AT36">
        <f>LOG(Table1_1[[#This Row],[11Cl-PF3OUdS]])</f>
        <v>-1.1611509092627446</v>
      </c>
      <c r="AU36">
        <f>LOG(Table1_1[[#This Row],[HFPO-DA]])</f>
        <v>-1.0043648054024501</v>
      </c>
      <c r="AV36">
        <f>LOG(Table1_1[[#This Row],[6:2 diPAP]])</f>
        <v>-1.133712660915805</v>
      </c>
      <c r="AW36">
        <f>LOG(Table1_1[[#This Row],[8:2 diPAP]])</f>
        <v>-1.0385789059335517</v>
      </c>
      <c r="AX36">
        <f>LOG(Table1_1[[#This Row],[diSAmPAP]])</f>
        <v>-0.91542372206566902</v>
      </c>
    </row>
    <row r="37" spans="1:50">
      <c r="A37">
        <f>LOG(Table1_1[[#This Row],[PFBA]])</f>
        <v>-1.1611509092627446</v>
      </c>
      <c r="B37">
        <f>LOG(Table1_1[[#This Row],[PFPeA]])</f>
        <v>-1.3115801779972893</v>
      </c>
      <c r="C37">
        <f>LOG(Table1_1[[#This Row],[PFHxA]])</f>
        <v>-1.4288737229156883</v>
      </c>
      <c r="D37">
        <f>LOG(Table1_1[[#This Row],[PFHpA]])</f>
        <v>-1.5590909179347823</v>
      </c>
      <c r="E37">
        <f>LOG(Table1_1[[#This Row],[PFOA]])</f>
        <v>0.72591163229504818</v>
      </c>
      <c r="F37">
        <f>LOG(Table1_1[[#This Row],[PFNA]])</f>
        <v>0.34242268082220628</v>
      </c>
      <c r="G37">
        <f>LOG(Table1_1[[#This Row],[PFDA]])</f>
        <v>0.53147891704225514</v>
      </c>
      <c r="H37">
        <f>LOG(Table1_1[[#This Row],[PFUnA]])</f>
        <v>0.75891189239797352</v>
      </c>
      <c r="I37">
        <f>LOG(Table1_1[[#This Row],[PFDoA]])</f>
        <v>0.97818051693741392</v>
      </c>
      <c r="J37">
        <f>LOG(Table1_1[[#This Row],[PFTrDA]])</f>
        <v>1.0086001717619175</v>
      </c>
      <c r="K37">
        <f>LOG(Table1_1[[#This Row],[PFTeDA]])</f>
        <v>0.89097959698968898</v>
      </c>
      <c r="L37">
        <f>LOG(Table1_1[[#This Row],[PFHxDA]])</f>
        <v>-1.083546051450075</v>
      </c>
      <c r="M37">
        <f>LOG(Table1_1[[#This Row],[PFPrS]])</f>
        <v>-1.2798406965940432</v>
      </c>
      <c r="N37">
        <f>LOG(Table1_1[[#This Row],[PFBS]])</f>
        <v>-0.8096683018297085</v>
      </c>
      <c r="O37">
        <f>LOG(Table1_1[[#This Row],[PFPeS]])</f>
        <v>-0.27327279097342771</v>
      </c>
      <c r="P37">
        <f>LOG(Table1_1[[#This Row],[PFHxS]])</f>
        <v>1.6560982020128319</v>
      </c>
      <c r="Q37">
        <f>LOG(Table1_1[[#This Row],[PFHpS]])</f>
        <v>0.51719589794997434</v>
      </c>
      <c r="R37">
        <f>LOG(Table1_1[[#This Row],[PFOS]])</f>
        <v>3.0791812460476247</v>
      </c>
      <c r="S37">
        <f>LOG(Table1_1[[#This Row],[PFNS]])</f>
        <v>0.17318626841227402</v>
      </c>
      <c r="T37">
        <f>LOG(Table1_1[[#This Row],[PFDS]])</f>
        <v>0.49692964807321494</v>
      </c>
      <c r="U37">
        <f>LOG(Table1_1[[#This Row],[PFDoS]])</f>
        <v>0.11394335230683679</v>
      </c>
      <c r="V37">
        <f>LOG(Table1_1[[#This Row],[Cl-PFOS]])</f>
        <v>-0.85855022659953262</v>
      </c>
      <c r="W37">
        <f>LOG(Table1_1[[#This Row],[PFEtCHxS]])</f>
        <v>-0.56703070912559428</v>
      </c>
      <c r="X37">
        <f>LOG(Table1_1[[#This Row],[FBSA]])</f>
        <v>1.255272505103306</v>
      </c>
      <c r="Y37">
        <f>LOG(Table1_1[[#This Row],[FHxSA]])</f>
        <v>1.8438554226231612</v>
      </c>
      <c r="Z37">
        <f>LOG(Table1_1[[#This Row],[FOSA]])</f>
        <v>1.1846914308175989</v>
      </c>
      <c r="AA37">
        <f>LOG(Table1_1[[#This Row],[N-MeFOSA]])</f>
        <v>-1.2757241303992111</v>
      </c>
      <c r="AB37">
        <f>LOG(Table1_1[[#This Row],[N-EtFOSA]])</f>
        <v>-1.0942041196321315</v>
      </c>
      <c r="AC37">
        <f>LOG(Table1_1[[#This Row],[FOSAA]])</f>
        <v>-1.2636034977233577</v>
      </c>
      <c r="AD37">
        <f>LOG(Table1_1[[#This Row],[N-MeFOSAA]])</f>
        <v>-0.2636034977233575</v>
      </c>
      <c r="AE37">
        <f>LOG(Table1_1[[#This Row],[N-EtFOSAA]])</f>
        <v>-1.2218487496163564</v>
      </c>
      <c r="AF37">
        <f>LOG(Table1_1[[#This Row],[4:2 FTS]])</f>
        <v>-1.2479515521805615</v>
      </c>
      <c r="AG37">
        <f>LOG(Table1_1[[#This Row],[6:2 FTS]])</f>
        <v>4.9218022670181653E-2</v>
      </c>
      <c r="AH37">
        <f>LOG(Table1_1[[#This Row],[8:2 FTS]])</f>
        <v>0.11394335230683679</v>
      </c>
      <c r="AI37">
        <f>LOG(Table1_1[[#This Row],[10:2 FTS]])</f>
        <v>-0.5867002359187482</v>
      </c>
      <c r="AJ37">
        <f>LOG(Table1_1[[#This Row],[3:3 FTCA]])</f>
        <v>-1.0996328713435297</v>
      </c>
      <c r="AK37">
        <f>LOG(Table1_1[[#This Row],[5:3 FTCA]])</f>
        <v>0.48713837547718647</v>
      </c>
      <c r="AL37">
        <f>LOG(Table1_1[[#This Row],[7:3 FTCA]])</f>
        <v>-1.2557070168773237</v>
      </c>
      <c r="AM37">
        <f>LOG(Table1_1[[#This Row],[6:2 FTCA]])</f>
        <v>-0.12667939818460122</v>
      </c>
      <c r="AN37">
        <f>LOG(Table1_1[[#This Row],[8:2 FTCA]])</f>
        <v>-1.1611509092627446</v>
      </c>
      <c r="AO37">
        <f>LOG(Table1_1[[#This Row],[10:2 FTCA]])</f>
        <v>-0.98716277529482777</v>
      </c>
      <c r="AP37">
        <f>LOG(Table1_1[[#This Row],[6:2 FTUCA]])</f>
        <v>-1.2676062401770316</v>
      </c>
      <c r="AQ37">
        <f>LOG(Table1_1[[#This Row],[8:2 FTUCA]])</f>
        <v>-1.3803849942571935</v>
      </c>
      <c r="AR37">
        <f>LOG(Table1_1[[#This Row],[ADONA]])</f>
        <v>-1.1611509092627446</v>
      </c>
      <c r="AS37">
        <f>LOG(Table1_1[[#This Row],[9Cl-PF3ONS]])</f>
        <v>-1.1611509092627446</v>
      </c>
      <c r="AT37">
        <f>LOG(Table1_1[[#This Row],[11Cl-PF3OUdS]])</f>
        <v>-1.1611509092627446</v>
      </c>
      <c r="AU37">
        <f>LOG(Table1_1[[#This Row],[HFPO-DA]])</f>
        <v>-1.0043648054024501</v>
      </c>
      <c r="AV37">
        <f>LOG(Table1_1[[#This Row],[6:2 diPAP]])</f>
        <v>-1.133712660915805</v>
      </c>
      <c r="AW37">
        <f>LOG(Table1_1[[#This Row],[8:2 diPAP]])</f>
        <v>-1.0385789059335517</v>
      </c>
      <c r="AX37">
        <f>LOG(Table1_1[[#This Row],[diSAmPAP]])</f>
        <v>-0.91542372206566902</v>
      </c>
    </row>
    <row r="38" spans="1:50">
      <c r="A38">
        <f>LOG(Table1_1[[#This Row],[PFBA]])</f>
        <v>-1.1972262747080242</v>
      </c>
      <c r="B38">
        <f>LOG(Table1_1[[#This Row],[PFPeA]])</f>
        <v>-1.3467874862246563</v>
      </c>
      <c r="C38">
        <f>LOG(Table1_1[[#This Row],[PFHxA]])</f>
        <v>-0.94500413847085851</v>
      </c>
      <c r="D38">
        <f>LOG(Table1_1[[#This Row],[PFHpA]])</f>
        <v>-0.71896663275227246</v>
      </c>
      <c r="E38">
        <f>LOG(Table1_1[[#This Row],[PFOA]])</f>
        <v>0.52633927738984398</v>
      </c>
      <c r="F38">
        <f>LOG(Table1_1[[#This Row],[PFNA]])</f>
        <v>0.23044892137827391</v>
      </c>
      <c r="G38">
        <f>LOG(Table1_1[[#This Row],[PFDA]])</f>
        <v>0.51321760006793893</v>
      </c>
      <c r="H38">
        <f>LOG(Table1_1[[#This Row],[PFUnA]])</f>
        <v>0.66464197555612547</v>
      </c>
      <c r="I38">
        <f>LOG(Table1_1[[#This Row],[PFDoA]])</f>
        <v>0.91275330367132301</v>
      </c>
      <c r="J38">
        <f>LOG(Table1_1[[#This Row],[PFTrDA]])</f>
        <v>0.57749179983722532</v>
      </c>
      <c r="K38">
        <f>LOG(Table1_1[[#This Row],[PFTeDA]])</f>
        <v>0.82930377283102497</v>
      </c>
      <c r="L38">
        <f>LOG(Table1_1[[#This Row],[PFHxDA]])</f>
        <v>-1.1191864077192086</v>
      </c>
      <c r="M38">
        <f>LOG(Table1_1[[#This Row],[PFPrS]])</f>
        <v>-1.3129171553956294</v>
      </c>
      <c r="N38">
        <f>LOG(Table1_1[[#This Row],[PFBS]])</f>
        <v>-0.84466396253493825</v>
      </c>
      <c r="O38">
        <f>LOG(Table1_1[[#This Row],[PFPeS]])</f>
        <v>-9.2588639225413813E-2</v>
      </c>
      <c r="P38">
        <f>LOG(Table1_1[[#This Row],[PFHxS]])</f>
        <v>1.550228353055094</v>
      </c>
      <c r="Q38">
        <f>LOG(Table1_1[[#This Row],[PFHpS]])</f>
        <v>0.46389298898590731</v>
      </c>
      <c r="R38">
        <f>LOG(Table1_1[[#This Row],[PFOS]])</f>
        <v>2.9822712330395684</v>
      </c>
      <c r="S38">
        <f>LOG(Table1_1[[#This Row],[PFNS]])</f>
        <v>0.29885307640970665</v>
      </c>
      <c r="T38">
        <f>LOG(Table1_1[[#This Row],[PFDS]])</f>
        <v>0.5065050324048721</v>
      </c>
      <c r="U38">
        <f>LOG(Table1_1[[#This Row],[PFDoS]])</f>
        <v>0.30749603791321289</v>
      </c>
      <c r="V38">
        <f>LOG(Table1_1[[#This Row],[Cl-PFOS]])</f>
        <v>-0.89448981523002602</v>
      </c>
      <c r="W38">
        <f>LOG(Table1_1[[#This Row],[PFEtCHxS]])</f>
        <v>-0.63451201510910027</v>
      </c>
      <c r="X38">
        <f>LOG(Table1_1[[#This Row],[FBSA]])</f>
        <v>1.2380461031287955</v>
      </c>
      <c r="Y38">
        <f>LOG(Table1_1[[#This Row],[FHxSA]])</f>
        <v>2.0086001717619175</v>
      </c>
      <c r="Z38">
        <f>LOG(Table1_1[[#This Row],[FOSA]])</f>
        <v>1.3802112417116059</v>
      </c>
      <c r="AA38">
        <f>LOG(Table1_1[[#This Row],[N-MeFOSA]])</f>
        <v>-1.3089185078770316</v>
      </c>
      <c r="AB38">
        <f>LOG(Table1_1[[#This Row],[N-EtFOSA]])</f>
        <v>-1.1307682802690238</v>
      </c>
      <c r="AC38">
        <f>LOG(Table1_1[[#This Row],[FOSAA]])</f>
        <v>-1.3010299956639813</v>
      </c>
      <c r="AD38">
        <f>LOG(Table1_1[[#This Row],[N-MeFOSAA]])</f>
        <v>-0.28819277095880896</v>
      </c>
      <c r="AE38">
        <f>LOG(Table1_1[[#This Row],[N-EtFOSAA]])</f>
        <v>-1.2557070168773237</v>
      </c>
      <c r="AF38">
        <f>LOG(Table1_1[[#This Row],[4:2 FTS]])</f>
        <v>-1.2798406965940432</v>
      </c>
      <c r="AG38">
        <f>LOG(Table1_1[[#This Row],[6:2 FTS]])</f>
        <v>-0.12959609472097294</v>
      </c>
      <c r="AH38">
        <f>LOG(Table1_1[[#This Row],[8:2 FTS]])</f>
        <v>0.19865708695442263</v>
      </c>
      <c r="AI38">
        <f>LOG(Table1_1[[#This Row],[10:2 FTS]])</f>
        <v>-0.62251161662386734</v>
      </c>
      <c r="AJ38">
        <f>LOG(Table1_1[[#This Row],[3:3 FTCA]])</f>
        <v>-1.133712660915805</v>
      </c>
      <c r="AK38">
        <f>LOG(Table1_1[[#This Row],[5:3 FTCA]])</f>
        <v>0.94051648493256723</v>
      </c>
      <c r="AL38">
        <f>LOG(Table1_1[[#This Row],[7:3 FTCA]])</f>
        <v>1.6901960800285136</v>
      </c>
      <c r="AM38">
        <f>LOG(Table1_1[[#This Row],[6:2 FTCA]])</f>
        <v>-1.1972262747080242</v>
      </c>
      <c r="AN38">
        <f>LOG(Table1_1[[#This Row],[8:2 FTCA]])</f>
        <v>-1.1972262747080242</v>
      </c>
      <c r="AO38">
        <f>LOG(Table1_1[[#This Row],[10:2 FTCA]])</f>
        <v>-0.50376245483326476</v>
      </c>
      <c r="AP38">
        <f>LOG(Table1_1[[#This Row],[6:2 FTUCA]])</f>
        <v>-1.3010299956639813</v>
      </c>
      <c r="AQ38">
        <f>LOG(Table1_1[[#This Row],[8:2 FTUCA]])</f>
        <v>-1.4145392704914994</v>
      </c>
      <c r="AR38">
        <f>LOG(Table1_1[[#This Row],[ADONA]])</f>
        <v>-1.1972262747080242</v>
      </c>
      <c r="AS38">
        <f>LOG(Table1_1[[#This Row],[9Cl-PF3ONS]])</f>
        <v>-1.1972262747080242</v>
      </c>
      <c r="AT38">
        <f>LOG(Table1_1[[#This Row],[11Cl-PF3OUdS]])</f>
        <v>-1.1972262747080242</v>
      </c>
      <c r="AU38">
        <f>LOG(Table1_1[[#This Row],[HFPO-DA]])</f>
        <v>-1.0385789059335517</v>
      </c>
      <c r="AV38">
        <f>LOG(Table1_1[[#This Row],[6:2 diPAP]])</f>
        <v>-1.1706962271689751</v>
      </c>
      <c r="AW38">
        <f>LOG(Table1_1[[#This Row],[8:2 diPAP]])</f>
        <v>-1.0731432910503076</v>
      </c>
      <c r="AX38">
        <f>LOG(Table1_1[[#This Row],[diSAmPAP]])</f>
        <v>-0.9507819773298184</v>
      </c>
    </row>
    <row r="39" spans="1:50">
      <c r="A39">
        <f>LOG(Table1_1[[#This Row],[PFBA]])</f>
        <v>-0.61978875828839397</v>
      </c>
      <c r="B39">
        <f>LOG(Table1_1[[#This Row],[PFPeA]])</f>
        <v>-1.0731432910503076</v>
      </c>
      <c r="C39">
        <f>LOG(Table1_1[[#This Row],[PFHxA]])</f>
        <v>-0.88773023158272935</v>
      </c>
      <c r="D39">
        <f>LOG(Table1_1[[#This Row],[PFHpA]])</f>
        <v>-0.61978875828839397</v>
      </c>
      <c r="E39">
        <f>LOG(Table1_1[[#This Row],[PFOA]])</f>
        <v>1.2121876044039579</v>
      </c>
      <c r="F39">
        <f>LOG(Table1_1[[#This Row],[PFNA]])</f>
        <v>0.72345567203518579</v>
      </c>
      <c r="G39">
        <f>LOG(Table1_1[[#This Row],[PFDA]])</f>
        <v>0.66086547800386919</v>
      </c>
      <c r="H39">
        <f>LOG(Table1_1[[#This Row],[PFUnA]])</f>
        <v>0.83821922190762577</v>
      </c>
      <c r="I39">
        <f>LOG(Table1_1[[#This Row],[PFDoA]])</f>
        <v>1.0413926851582251</v>
      </c>
      <c r="J39">
        <f>LOG(Table1_1[[#This Row],[PFTrDA]])</f>
        <v>0.26717172840301384</v>
      </c>
      <c r="K39">
        <f>LOG(Table1_1[[#This Row],[PFTeDA]])</f>
        <v>0.99651167215417868</v>
      </c>
      <c r="L39">
        <f>LOG(Table1_1[[#This Row],[PFHxDA]])</f>
        <v>-0.84466396253493825</v>
      </c>
      <c r="M39">
        <f>LOG(Table1_1[[#This Row],[PFPrS]])</f>
        <v>-0.61978875828839397</v>
      </c>
      <c r="N39">
        <f>LOG(Table1_1[[#This Row],[PFBS]])</f>
        <v>-0.61978875828839397</v>
      </c>
      <c r="O39">
        <f>LOG(Table1_1[[#This Row],[PFPeS]])</f>
        <v>-0.11294562194904302</v>
      </c>
      <c r="P39">
        <f>LOG(Table1_1[[#This Row],[PFHxS]])</f>
        <v>2.0334237554869499</v>
      </c>
      <c r="Q39">
        <f>LOG(Table1_1[[#This Row],[PFHpS]])</f>
        <v>0.66275783168157409</v>
      </c>
      <c r="R39">
        <f>LOG(Table1_1[[#This Row],[PFOS]])</f>
        <v>2.8987251815894934</v>
      </c>
      <c r="S39">
        <f>LOG(Table1_1[[#This Row],[PFNS]])</f>
        <v>-3.0507515046188267E-3</v>
      </c>
      <c r="T39">
        <f>LOG(Table1_1[[#This Row],[PFDS]])</f>
        <v>-5.0609993355087209E-2</v>
      </c>
      <c r="U39">
        <f>LOG(Table1_1[[#This Row],[PFDoS]])</f>
        <v>-0.59091263055216492</v>
      </c>
      <c r="V39">
        <f>LOG(Table1_1[[#This Row],[Cl-PFOS]])</f>
        <v>-0.83564714421556296</v>
      </c>
      <c r="W39">
        <f>LOG(Table1_1[[#This Row],[PFEtCHxS]])</f>
        <v>-0.44369749923271273</v>
      </c>
      <c r="X39">
        <f>LOG(Table1_1[[#This Row],[FBSA]])</f>
        <v>1.6344772701607315</v>
      </c>
      <c r="Y39">
        <f>LOG(Table1_1[[#This Row],[FHxSA]])</f>
        <v>2.3926969532596658</v>
      </c>
      <c r="Z39">
        <f>LOG(Table1_1[[#This Row],[FOSA]])</f>
        <v>1.1492191126553799</v>
      </c>
      <c r="AA39">
        <f>LOG(Table1_1[[#This Row],[N-MeFOSA]])</f>
        <v>-1.0338582672609673</v>
      </c>
      <c r="AB39">
        <f>LOG(Table1_1[[#This Row],[N-EtFOSA]])</f>
        <v>-0.61978875828839397</v>
      </c>
      <c r="AC39">
        <f>LOG(Table1_1[[#This Row],[FOSAA]])</f>
        <v>-0.61978875828839397</v>
      </c>
      <c r="AD39">
        <f>LOG(Table1_1[[#This Row],[N-MeFOSAA]])</f>
        <v>-0.91901295308911279</v>
      </c>
      <c r="AE39">
        <f>LOG(Table1_1[[#This Row],[N-EtFOSAA]])</f>
        <v>-0.92081875395237522</v>
      </c>
      <c r="AF39">
        <f>LOG(Table1_1[[#This Row],[4:2 FTS]])</f>
        <v>-0.92081875395237522</v>
      </c>
      <c r="AG39">
        <f>LOG(Table1_1[[#This Row],[6:2 FTS]])</f>
        <v>0.5065050324048721</v>
      </c>
      <c r="AH39">
        <f>LOG(Table1_1[[#This Row],[8:2 FTS]])</f>
        <v>0.43136376415898736</v>
      </c>
      <c r="AI39">
        <f>LOG(Table1_1[[#This Row],[10:2 FTS]])</f>
        <v>-0.31875876262441277</v>
      </c>
      <c r="AJ39">
        <f>LOG(Table1_1[[#This Row],[3:3 FTCA]])</f>
        <v>-0.61978875828839397</v>
      </c>
      <c r="AK39">
        <f>LOG(Table1_1[[#This Row],[5:3 FTCA]])</f>
        <v>1.0128372247051722</v>
      </c>
      <c r="AL39">
        <f>LOG(Table1_1[[#This Row],[7:3 FTCA]])</f>
        <v>0.81690383937566025</v>
      </c>
      <c r="AM39">
        <f>LOG(Table1_1[[#This Row],[6:2 FTCA]])</f>
        <v>-0.61978875828839397</v>
      </c>
      <c r="AN39">
        <f>LOG(Table1_1[[#This Row],[8:2 FTCA]])</f>
        <v>-0.92081875395237522</v>
      </c>
      <c r="AO39">
        <f>LOG(Table1_1[[#This Row],[10:2 FTCA]])</f>
        <v>-0.61978875828839397</v>
      </c>
      <c r="AP39">
        <f>LOG(Table1_1[[#This Row],[6:2 FTUCA]])</f>
        <v>-1.0268721464003014</v>
      </c>
      <c r="AQ39">
        <f>LOG(Table1_1[[#This Row],[8:2 FTUCA]])</f>
        <v>-1.1396619934290064</v>
      </c>
      <c r="AR39">
        <f>LOG(Table1_1[[#This Row],[ADONA]])</f>
        <v>-0.97469413473522981</v>
      </c>
      <c r="AS39">
        <f>LOG(Table1_1[[#This Row],[9Cl-PF3ONS]])</f>
        <v>-0.61978875828839397</v>
      </c>
      <c r="AT39">
        <f>LOG(Table1_1[[#This Row],[11Cl-PF3OUdS]])</f>
        <v>-0.61978875828839397</v>
      </c>
      <c r="AU39">
        <f>LOG(Table1_1[[#This Row],[HFPO-DA]])</f>
        <v>-0.76447155309245107</v>
      </c>
      <c r="AV39">
        <f>LOG(Table1_1[[#This Row],[6:2 diPAP]])</f>
        <v>-0.61978875828839397</v>
      </c>
      <c r="AW39">
        <f>LOG(Table1_1[[#This Row],[8:2 diPAP]])</f>
        <v>-0.61978875828839397</v>
      </c>
      <c r="AX39">
        <f>LOG(Table1_1[[#This Row],[diSAmPAP]])</f>
        <v>-0.61978875828839397</v>
      </c>
    </row>
    <row r="40" spans="1:50">
      <c r="A40">
        <f>LOG(Table1_1[[#This Row],[PFBA]])</f>
        <v>-0.64975198166583714</v>
      </c>
      <c r="B40">
        <f>LOG(Table1_1[[#This Row],[PFPeA]])</f>
        <v>-0.80134291304557737</v>
      </c>
      <c r="C40">
        <f>LOG(Table1_1[[#This Row],[PFHxA]])</f>
        <v>-0.91721462968354994</v>
      </c>
      <c r="D40">
        <f>LOG(Table1_1[[#This Row],[PFHpA]])</f>
        <v>-0.64975198166583714</v>
      </c>
      <c r="E40">
        <f>LOG(Table1_1[[#This Row],[PFOA]])</f>
        <v>1.2380461031287955</v>
      </c>
      <c r="F40">
        <f>LOG(Table1_1[[#This Row],[PFNA]])</f>
        <v>0.2944662261615929</v>
      </c>
      <c r="G40">
        <f>LOG(Table1_1[[#This Row],[PFDA]])</f>
        <v>0.76192783842052902</v>
      </c>
      <c r="H40">
        <f>LOG(Table1_1[[#This Row],[PFUnA]])</f>
        <v>1.6599162000698502</v>
      </c>
      <c r="I40">
        <f>LOG(Table1_1[[#This Row],[PFDoA]])</f>
        <v>0.63748972951251071</v>
      </c>
      <c r="J40">
        <f>LOG(Table1_1[[#This Row],[PFTrDA]])</f>
        <v>2.0334237554869499</v>
      </c>
      <c r="K40">
        <f>LOG(Table1_1[[#This Row],[PFTeDA]])</f>
        <v>0.64640372622306952</v>
      </c>
      <c r="L40">
        <f>LOG(Table1_1[[#This Row],[PFHxDA]])</f>
        <v>-0.87451873429940596</v>
      </c>
      <c r="M40">
        <f>LOG(Table1_1[[#This Row],[PFPrS]])</f>
        <v>-0.9507819773298184</v>
      </c>
      <c r="N40">
        <f>LOG(Table1_1[[#This Row],[PFBS]])</f>
        <v>-0.64975198166583714</v>
      </c>
      <c r="O40">
        <f>LOG(Table1_1[[#This Row],[PFPeS]])</f>
        <v>-0.17392519729917355</v>
      </c>
      <c r="P40">
        <f>LOG(Table1_1[[#This Row],[PFHxS]])</f>
        <v>2.4742162640762553</v>
      </c>
      <c r="Q40">
        <f>LOG(Table1_1[[#This Row],[PFHpS]])</f>
        <v>1.0530784434834197</v>
      </c>
      <c r="R40">
        <f>LOG(Table1_1[[#This Row],[PFOS]])</f>
        <v>3.5658478186735176</v>
      </c>
      <c r="S40">
        <f>LOG(Table1_1[[#This Row],[PFNS]])</f>
        <v>0.19312459835446161</v>
      </c>
      <c r="T40">
        <f>LOG(Table1_1[[#This Row],[PFDS]])</f>
        <v>0.29003461136251801</v>
      </c>
      <c r="U40">
        <f>LOG(Table1_1[[#This Row],[PFDoS]])</f>
        <v>-0.62069448224941803</v>
      </c>
      <c r="V40">
        <f>LOG(Table1_1[[#This Row],[Cl-PFOS]])</f>
        <v>-0.86646109162978246</v>
      </c>
      <c r="W40">
        <f>LOG(Table1_1[[#This Row],[PFEtCHxS]])</f>
        <v>-0.34969247686806354</v>
      </c>
      <c r="X40">
        <f>LOG(Table1_1[[#This Row],[FBSA]])</f>
        <v>1.6095944092252201</v>
      </c>
      <c r="Y40">
        <f>LOG(Table1_1[[#This Row],[FHxSA]])</f>
        <v>2.7442929831226763</v>
      </c>
      <c r="Z40">
        <f>LOG(Table1_1[[#This Row],[FOSA]])</f>
        <v>1.9216864754836021</v>
      </c>
      <c r="AA40">
        <f>LOG(Table1_1[[#This Row],[N-MeFOSA]])</f>
        <v>-1.0655015487564323</v>
      </c>
      <c r="AB40">
        <f>LOG(Table1_1[[#This Row],[N-EtFOSA]])</f>
        <v>-0.64975198166583714</v>
      </c>
      <c r="AC40">
        <f>LOG(Table1_1[[#This Row],[FOSAA]])</f>
        <v>-0.348721986001856</v>
      </c>
      <c r="AD40">
        <f>LOG(Table1_1[[#This Row],[N-MeFOSAA]])</f>
        <v>-0.94884747755261867</v>
      </c>
      <c r="AE40">
        <f>LOG(Table1_1[[#This Row],[N-EtFOSAA]])</f>
        <v>-0.9507819773298184</v>
      </c>
      <c r="AF40">
        <f>LOG(Table1_1[[#This Row],[4:2 FTS]])</f>
        <v>-0.9507819773298184</v>
      </c>
      <c r="AG40">
        <f>LOG(Table1_1[[#This Row],[6:2 FTS]])</f>
        <v>-0.64975198166583714</v>
      </c>
      <c r="AH40">
        <f>LOG(Table1_1[[#This Row],[8:2 FTS]])</f>
        <v>-0.17979854051435976</v>
      </c>
      <c r="AI40">
        <f>LOG(Table1_1[[#This Row],[10:2 FTS]])</f>
        <v>-0.64975198166583714</v>
      </c>
      <c r="AJ40">
        <f>LOG(Table1_1[[#This Row],[3:3 FTCA]])</f>
        <v>-0.64975198166583714</v>
      </c>
      <c r="AK40">
        <f>LOG(Table1_1[[#This Row],[5:3 FTCA]])</f>
        <v>-0.64975198166583714</v>
      </c>
      <c r="AL40">
        <f>LOG(Table1_1[[#This Row],[7:3 FTCA]])</f>
        <v>0.98272338766854528</v>
      </c>
      <c r="AM40">
        <f>LOG(Table1_1[[#This Row],[6:2 FTCA]])</f>
        <v>-0.64975198166583714</v>
      </c>
      <c r="AN40">
        <f>LOG(Table1_1[[#This Row],[8:2 FTCA]])</f>
        <v>-0.9507819773298184</v>
      </c>
      <c r="AO40">
        <f>LOG(Table1_1[[#This Row],[10:2 FTCA]])</f>
        <v>-0.64975198166583714</v>
      </c>
      <c r="AP40">
        <f>LOG(Table1_1[[#This Row],[6:2 FTUCA]])</f>
        <v>-1.0555173278498313</v>
      </c>
      <c r="AQ40">
        <f>LOG(Table1_1[[#This Row],[8:2 FTUCA]])</f>
        <v>-1.1706962271689751</v>
      </c>
      <c r="AR40">
        <f>LOG(Table1_1[[#This Row],[ADONA]])</f>
        <v>-0.7044329000375209</v>
      </c>
      <c r="AS40">
        <f>LOG(Table1_1[[#This Row],[9Cl-PF3ONS]])</f>
        <v>-0.64975198166583714</v>
      </c>
      <c r="AT40">
        <f>LOG(Table1_1[[#This Row],[11Cl-PF3OUdS]])</f>
        <v>-0.64975198166583714</v>
      </c>
      <c r="AU40">
        <f>LOG(Table1_1[[#This Row],[HFPO-DA]])</f>
        <v>-0.79452496325910915</v>
      </c>
      <c r="AV40">
        <f>LOG(Table1_1[[#This Row],[6:2 diPAP]])</f>
        <v>-0.64975198166583714</v>
      </c>
      <c r="AW40">
        <f>LOG(Table1_1[[#This Row],[8:2 diPAP]])</f>
        <v>-0.64975198166583714</v>
      </c>
      <c r="AX40">
        <f>LOG(Table1_1[[#This Row],[diSAmPAP]])</f>
        <v>-0.64975198166583714</v>
      </c>
    </row>
    <row r="41" spans="1:50">
      <c r="A41">
        <f>LOG(Table1_1[[#This Row],[PFBA]])</f>
        <v>-0.64301859900686875</v>
      </c>
      <c r="B41">
        <f>LOG(Table1_1[[#This Row],[PFPeA]])</f>
        <v>-0.64301859900686875</v>
      </c>
      <c r="C41">
        <f>LOG(Table1_1[[#This Row],[PFHxA]])</f>
        <v>-0.91186391129944877</v>
      </c>
      <c r="D41">
        <f>LOG(Table1_1[[#This Row],[PFHpA]])</f>
        <v>-0.64301859900686875</v>
      </c>
      <c r="E41">
        <f>LOG(Table1_1[[#This Row],[PFOA]])</f>
        <v>0.57170883180868759</v>
      </c>
      <c r="F41">
        <f>LOG(Table1_1[[#This Row],[PFNA]])</f>
        <v>0.26245108973042947</v>
      </c>
      <c r="G41">
        <f>LOG(Table1_1[[#This Row],[PFDA]])</f>
        <v>0.20682587603184974</v>
      </c>
      <c r="H41">
        <f>LOG(Table1_1[[#This Row],[PFUnA]])</f>
        <v>0.50785587169583091</v>
      </c>
      <c r="I41">
        <f>LOG(Table1_1[[#This Row],[PFDoA]])</f>
        <v>0.61384182187606928</v>
      </c>
      <c r="J41">
        <f>LOG(Table1_1[[#This Row],[PFTrDA]])</f>
        <v>0.40483371661993806</v>
      </c>
      <c r="K41">
        <f>LOG(Table1_1[[#This Row],[PFTeDA]])</f>
        <v>0.99122607569249488</v>
      </c>
      <c r="L41">
        <f>LOG(Table1_1[[#This Row],[PFHxDA]])</f>
        <v>-0.56703070912559428</v>
      </c>
      <c r="M41">
        <f>LOG(Table1_1[[#This Row],[PFPrS]])</f>
        <v>-0.34198860334288755</v>
      </c>
      <c r="N41">
        <f>LOG(Table1_1[[#This Row],[PFBS]])</f>
        <v>-0.8096683018297085</v>
      </c>
      <c r="O41">
        <f>LOG(Table1_1[[#This Row],[PFPeS]])</f>
        <v>-0.3925449767853314</v>
      </c>
      <c r="P41">
        <f>LOG(Table1_1[[#This Row],[PFHxS]])</f>
        <v>1.7497363155690611</v>
      </c>
      <c r="Q41">
        <f>LOG(Table1_1[[#This Row],[PFHpS]])</f>
        <v>0.48144262850230496</v>
      </c>
      <c r="R41">
        <f>LOG(Table1_1[[#This Row],[PFOS]])</f>
        <v>2.5658478186735176</v>
      </c>
      <c r="S41">
        <f>LOG(Table1_1[[#This Row],[PFNS]])</f>
        <v>-5.305672930217456E-2</v>
      </c>
      <c r="T41">
        <f>LOG(Table1_1[[#This Row],[PFDS]])</f>
        <v>0.12710479836480765</v>
      </c>
      <c r="U41">
        <f>LOG(Table1_1[[#This Row],[PFDoS]])</f>
        <v>-0.21041928783557454</v>
      </c>
      <c r="V41">
        <f>LOG(Table1_1[[#This Row],[Cl-PFOS]])</f>
        <v>-0.86012091359876341</v>
      </c>
      <c r="W41">
        <f>LOG(Table1_1[[#This Row],[PFEtCHxS]])</f>
        <v>-1.0409586076789064</v>
      </c>
      <c r="X41">
        <f>LOG(Table1_1[[#This Row],[FBSA]])</f>
        <v>0.90363251608423767</v>
      </c>
      <c r="Y41">
        <f>LOG(Table1_1[[#This Row],[FHxSA]])</f>
        <v>2.0413926851582249</v>
      </c>
      <c r="Z41">
        <f>LOG(Table1_1[[#This Row],[FOSA]])</f>
        <v>0.79588001734407521</v>
      </c>
      <c r="AA41">
        <f>LOG(Table1_1[[#This Row],[N-MeFOSA]])</f>
        <v>-0.75696195131370558</v>
      </c>
      <c r="AB41">
        <f>LOG(Table1_1[[#This Row],[N-EtFOSA]])</f>
        <v>-0.34198860334288755</v>
      </c>
      <c r="AC41">
        <f>LOG(Table1_1[[#This Row],[FOSAA]])</f>
        <v>-0.34198860334288755</v>
      </c>
      <c r="AD41">
        <f>LOG(Table1_1[[#This Row],[N-MeFOSAA]])</f>
        <v>-0.64016451766011195</v>
      </c>
      <c r="AE41">
        <f>LOG(Table1_1[[#This Row],[N-EtFOSAA]])</f>
        <v>-0.64301859900686875</v>
      </c>
      <c r="AF41">
        <f>LOG(Table1_1[[#This Row],[4:2 FTS]])</f>
        <v>-0.64301859900686875</v>
      </c>
      <c r="AG41">
        <f>LOG(Table1_1[[#This Row],[6:2 FTS]])</f>
        <v>0.56229286445647475</v>
      </c>
      <c r="AH41">
        <f>LOG(Table1_1[[#This Row],[8:2 FTS]])</f>
        <v>0.29225607135647602</v>
      </c>
      <c r="AI41">
        <f>LOG(Table1_1[[#This Row],[10:2 FTS]])</f>
        <v>-0.34198860334288755</v>
      </c>
      <c r="AJ41">
        <f>LOG(Table1_1[[#This Row],[3:3 FTCA]])</f>
        <v>-0.58087069225802435</v>
      </c>
      <c r="AK41">
        <f>LOG(Table1_1[[#This Row],[5:3 FTCA]])</f>
        <v>1.1172712956557642</v>
      </c>
      <c r="AL41">
        <f>LOG(Table1_1[[#This Row],[7:3 FTCA]])</f>
        <v>2.6053050461411096</v>
      </c>
      <c r="AM41">
        <f>LOG(Table1_1[[#This Row],[6:2 FTCA]])</f>
        <v>-0.34198860334288755</v>
      </c>
      <c r="AN41">
        <f>LOG(Table1_1[[#This Row],[8:2 FTCA]])</f>
        <v>-0.34198860334288755</v>
      </c>
      <c r="AO41">
        <f>LOG(Table1_1[[#This Row],[10:2 FTCA]])</f>
        <v>-0.34198860334288755</v>
      </c>
      <c r="AP41">
        <f>LOG(Table1_1[[#This Row],[6:2 FTUCA]])</f>
        <v>-0.34198860334288755</v>
      </c>
      <c r="AQ41">
        <f>LOG(Table1_1[[#This Row],[8:2 FTUCA]])</f>
        <v>-0.34198860334288755</v>
      </c>
      <c r="AR41">
        <f>LOG(Table1_1[[#This Row],[ADONA]])</f>
        <v>-0.64301859900686875</v>
      </c>
      <c r="AS41">
        <f>LOG(Table1_1[[#This Row],[9Cl-PF3ONS]])</f>
        <v>-0.34198860334288755</v>
      </c>
      <c r="AT41">
        <f>LOG(Table1_1[[#This Row],[11Cl-PF3OUdS]])</f>
        <v>-0.34198860334288755</v>
      </c>
      <c r="AU41">
        <f>LOG(Table1_1[[#This Row],[HFPO-DA]])</f>
        <v>-0.48611681438890725</v>
      </c>
      <c r="AV41">
        <f>LOG(Table1_1[[#This Row],[6:2 diPAP]])</f>
        <v>-0.34198860334288755</v>
      </c>
      <c r="AW41">
        <f>LOG(Table1_1[[#This Row],[8:2 diPAP]])</f>
        <v>-0.34198860334288755</v>
      </c>
      <c r="AX41">
        <f>LOG(Table1_1[[#This Row],[diSAmPAP]])</f>
        <v>-0.34198860334288755</v>
      </c>
    </row>
    <row r="42" spans="1:50">
      <c r="A42">
        <f>LOG(Table1_1[[#This Row],[PFBA]])</f>
        <v>-0.67162039656126227</v>
      </c>
      <c r="B42">
        <f>LOG(Table1_1[[#This Row],[PFPeA]])</f>
        <v>-1.1249387366082999</v>
      </c>
      <c r="C42">
        <f>LOG(Table1_1[[#This Row],[PFHxA]])</f>
        <v>-0.52287874528033762</v>
      </c>
      <c r="D42">
        <f>LOG(Table1_1[[#This Row],[PFHpA]])</f>
        <v>-0.67162039656126227</v>
      </c>
      <c r="E42">
        <f>LOG(Table1_1[[#This Row],[PFOA]])</f>
        <v>0.22788670461367352</v>
      </c>
      <c r="F42">
        <f>LOG(Table1_1[[#This Row],[PFNA]])</f>
        <v>-0.97265039222524352</v>
      </c>
      <c r="G42">
        <f>LOG(Table1_1[[#This Row],[PFDA]])</f>
        <v>0.95230800966212525</v>
      </c>
      <c r="H42">
        <f>LOG(Table1_1[[#This Row],[PFUnA]])</f>
        <v>1.0827853703164501</v>
      </c>
      <c r="I42">
        <f>LOG(Table1_1[[#This Row],[PFDoA]])</f>
        <v>1.2227164711475833</v>
      </c>
      <c r="J42">
        <f>LOG(Table1_1[[#This Row],[PFTrDA]])</f>
        <v>1.1958996524092338</v>
      </c>
      <c r="K42">
        <f>LOG(Table1_1[[#This Row],[PFTeDA]])</f>
        <v>0.96189547366785044</v>
      </c>
      <c r="L42">
        <f>LOG(Table1_1[[#This Row],[PFHxDA]])</f>
        <v>-0.89619627904404309</v>
      </c>
      <c r="M42">
        <f>LOG(Table1_1[[#This Row],[PFPrS]])</f>
        <v>-0.97265039222524352</v>
      </c>
      <c r="N42">
        <f>LOG(Table1_1[[#This Row],[PFBS]])</f>
        <v>-0.97265039222524352</v>
      </c>
      <c r="O42">
        <f>LOG(Table1_1[[#This Row],[PFPeS]])</f>
        <v>1.703333929878037E-2</v>
      </c>
      <c r="P42">
        <f>LOG(Table1_1[[#This Row],[PFHxS]])</f>
        <v>1.4668676203541096</v>
      </c>
      <c r="Q42">
        <f>LOG(Table1_1[[#This Row],[PFHpS]])</f>
        <v>0.99211148778694969</v>
      </c>
      <c r="R42">
        <f>LOG(Table1_1[[#This Row],[PFOS]])</f>
        <v>2.8680563618230415</v>
      </c>
      <c r="S42">
        <f>LOG(Table1_1[[#This Row],[PFNS]])</f>
        <v>6.445798922691845E-2</v>
      </c>
      <c r="T42">
        <f>LOG(Table1_1[[#This Row],[PFDS]])</f>
        <v>0.39093510710337914</v>
      </c>
      <c r="U42">
        <f>LOG(Table1_1[[#This Row],[PFDoS]])</f>
        <v>-0.30980391997148632</v>
      </c>
      <c r="V42">
        <f>LOG(Table1_1[[#This Row],[Cl-PFOS]])</f>
        <v>-1.1904402853647322</v>
      </c>
      <c r="W42">
        <f>LOG(Table1_1[[#This Row],[PFEtCHxS]])</f>
        <v>-0.38195190328790729</v>
      </c>
      <c r="X42">
        <f>LOG(Table1_1[[#This Row],[FBSA]])</f>
        <v>1.8796692056320534</v>
      </c>
      <c r="Y42">
        <f>LOG(Table1_1[[#This Row],[FHxSA]])</f>
        <v>2.3242824552976926</v>
      </c>
      <c r="Z42">
        <f>LOG(Table1_1[[#This Row],[FOSA]])</f>
        <v>1.2671717284030137</v>
      </c>
      <c r="AA42">
        <f>LOG(Table1_1[[#This Row],[N-MeFOSA]])</f>
        <v>-1.0861861476162833</v>
      </c>
      <c r="AB42">
        <f>LOG(Table1_1[[#This Row],[N-EtFOSA]])</f>
        <v>-0.67162039656126227</v>
      </c>
      <c r="AC42">
        <f>LOG(Table1_1[[#This Row],[FOSAA]])</f>
        <v>-0.67162039656126227</v>
      </c>
      <c r="AD42">
        <f>LOG(Table1_1[[#This Row],[N-MeFOSAA]])</f>
        <v>-0.97061622231479039</v>
      </c>
      <c r="AE42">
        <f>LOG(Table1_1[[#This Row],[N-EtFOSAA]])</f>
        <v>-0.97265039222524352</v>
      </c>
      <c r="AF42">
        <f>LOG(Table1_1[[#This Row],[4:2 FTS]])</f>
        <v>-0.97265039222524352</v>
      </c>
      <c r="AG42">
        <f>LOG(Table1_1[[#This Row],[6:2 FTS]])</f>
        <v>-0.1752235375244543</v>
      </c>
      <c r="AH42">
        <f>LOG(Table1_1[[#This Row],[8:2 FTS]])</f>
        <v>1.3404441148401183</v>
      </c>
      <c r="AI42">
        <f>LOG(Table1_1[[#This Row],[10:2 FTS]])</f>
        <v>0.13353890837021754</v>
      </c>
      <c r="AJ42">
        <f>LOG(Table1_1[[#This Row],[3:3 FTCA]])</f>
        <v>-0.67162039656126227</v>
      </c>
      <c r="AK42">
        <f>LOG(Table1_1[[#This Row],[5:3 FTCA]])</f>
        <v>-0.97265039222524352</v>
      </c>
      <c r="AL42">
        <f>LOG(Table1_1[[#This Row],[7:3 FTCA]])</f>
        <v>-0.67162039656126227</v>
      </c>
      <c r="AM42">
        <f>LOG(Table1_1[[#This Row],[6:2 FTCA]])</f>
        <v>-0.67162039656126227</v>
      </c>
      <c r="AN42">
        <f>LOG(Table1_1[[#This Row],[8:2 FTCA]])</f>
        <v>-0.97265039222524352</v>
      </c>
      <c r="AO42">
        <f>LOG(Table1_1[[#This Row],[10:2 FTCA]])</f>
        <v>-0.67162039656126227</v>
      </c>
      <c r="AP42">
        <f>LOG(Table1_1[[#This Row],[6:2 FTUCA]])</f>
        <v>-1.0783135245163979</v>
      </c>
      <c r="AQ42">
        <f>LOG(Table1_1[[#This Row],[8:2 FTUCA]])</f>
        <v>-1.1904402853647322</v>
      </c>
      <c r="AR42">
        <f>LOG(Table1_1[[#This Row],[ADONA]])</f>
        <v>-1.0268721464003014</v>
      </c>
      <c r="AS42">
        <f>LOG(Table1_1[[#This Row],[9Cl-PF3ONS]])</f>
        <v>-0.67162039656126227</v>
      </c>
      <c r="AT42">
        <f>LOG(Table1_1[[#This Row],[11Cl-PF3OUdS]])</f>
        <v>-0.67162039656126227</v>
      </c>
      <c r="AU42">
        <f>LOG(Table1_1[[#This Row],[HFPO-DA]])</f>
        <v>-0.81673015631719537</v>
      </c>
      <c r="AV42">
        <f>LOG(Table1_1[[#This Row],[6:2 diPAP]])</f>
        <v>-0.67162039656126227</v>
      </c>
      <c r="AW42">
        <f>LOG(Table1_1[[#This Row],[8:2 diPAP]])</f>
        <v>-0.67162039656126227</v>
      </c>
      <c r="AX42">
        <f>LOG(Table1_1[[#This Row],[diSAmPAP]])</f>
        <v>-0.67162039656126227</v>
      </c>
    </row>
    <row r="43" spans="1:50">
      <c r="A43">
        <f>LOG(Table1_1[[#This Row],[PFBA]])</f>
        <v>-0.65757731917779372</v>
      </c>
      <c r="B43">
        <f>LOG(Table1_1[[#This Row],[PFPeA]])</f>
        <v>-1.1106982974936896</v>
      </c>
      <c r="C43">
        <f>LOG(Table1_1[[#This Row],[PFHxA]])</f>
        <v>-0.9244530386074693</v>
      </c>
      <c r="D43">
        <f>LOG(Table1_1[[#This Row],[PFHpA]])</f>
        <v>-0.95860731484177497</v>
      </c>
      <c r="E43">
        <f>LOG(Table1_1[[#This Row],[PFOA]])</f>
        <v>0.2576785748691845</v>
      </c>
      <c r="F43">
        <f>LOG(Table1_1[[#This Row],[PFNA]])</f>
        <v>-0.95860731484177497</v>
      </c>
      <c r="G43">
        <f>LOG(Table1_1[[#This Row],[PFDA]])</f>
        <v>1.1139433523068367</v>
      </c>
      <c r="H43">
        <f>LOG(Table1_1[[#This Row],[PFUnA]])</f>
        <v>1.1986570869544226</v>
      </c>
      <c r="I43">
        <f>LOG(Table1_1[[#This Row],[PFDoA]])</f>
        <v>1.2068258760318498</v>
      </c>
      <c r="J43">
        <f>LOG(Table1_1[[#This Row],[PFTrDA]])</f>
        <v>0.60959440922522001</v>
      </c>
      <c r="K43">
        <f>LOG(Table1_1[[#This Row],[PFTeDA]])</f>
        <v>0.86451108105839192</v>
      </c>
      <c r="L43">
        <f>LOG(Table1_1[[#This Row],[PFHxDA]])</f>
        <v>-0.88272870434423567</v>
      </c>
      <c r="M43">
        <f>LOG(Table1_1[[#This Row],[PFPrS]])</f>
        <v>-0.95860731484177497</v>
      </c>
      <c r="N43">
        <f>LOG(Table1_1[[#This Row],[PFBS]])</f>
        <v>-0.65757731917779372</v>
      </c>
      <c r="O43">
        <f>LOG(Table1_1[[#This Row],[PFPeS]])</f>
        <v>-0.93367407463796215</v>
      </c>
      <c r="P43">
        <f>LOG(Table1_1[[#This Row],[PFHxS]])</f>
        <v>1.1398790864012365</v>
      </c>
      <c r="Q43">
        <f>LOG(Table1_1[[#This Row],[PFHpS]])</f>
        <v>0.49831055378960049</v>
      </c>
      <c r="R43">
        <f>LOG(Table1_1[[#This Row],[PFOS]])</f>
        <v>2.9263424466256551</v>
      </c>
      <c r="S43">
        <f>LOG(Table1_1[[#This Row],[PFNS]])</f>
        <v>-0.65757731917779372</v>
      </c>
      <c r="T43">
        <f>LOG(Table1_1[[#This Row],[PFDS]])</f>
        <v>-5.2076380168273602E-2</v>
      </c>
      <c r="U43">
        <f>LOG(Table1_1[[#This Row],[PFDoS]])</f>
        <v>-0.62800908853508508</v>
      </c>
      <c r="V43">
        <f>LOG(Table1_1[[#This Row],[Cl-PFOS]])</f>
        <v>-0.87451873429940596</v>
      </c>
      <c r="W43">
        <f>LOG(Table1_1[[#This Row],[PFEtCHxS]])</f>
        <v>-0.73992861201492521</v>
      </c>
      <c r="X43">
        <f>LOG(Table1_1[[#This Row],[FBSA]])</f>
        <v>2.143014800254095</v>
      </c>
      <c r="Y43">
        <f>LOG(Table1_1[[#This Row],[FHxSA]])</f>
        <v>3.0718820073061255</v>
      </c>
      <c r="Z43">
        <f>LOG(Table1_1[[#This Row],[FOSA]])</f>
        <v>1.424881636631067</v>
      </c>
      <c r="AA43">
        <f>LOG(Table1_1[[#This Row],[N-MeFOSA]])</f>
        <v>-1.0731432910503076</v>
      </c>
      <c r="AB43">
        <f>LOG(Table1_1[[#This Row],[N-EtFOSA]])</f>
        <v>-0.65757731917779372</v>
      </c>
      <c r="AC43">
        <f>LOG(Table1_1[[#This Row],[FOSAA]])</f>
        <v>-0.65757731917779372</v>
      </c>
      <c r="AD43">
        <f>LOG(Table1_1[[#This Row],[N-MeFOSAA]])</f>
        <v>-0.95663772197887054</v>
      </c>
      <c r="AE43">
        <f>LOG(Table1_1[[#This Row],[N-EtFOSAA]])</f>
        <v>-0.95860731484177497</v>
      </c>
      <c r="AF43">
        <f>LOG(Table1_1[[#This Row],[4:2 FTS]])</f>
        <v>-0.95860731484177497</v>
      </c>
      <c r="AG43">
        <f>LOG(Table1_1[[#This Row],[6:2 FTS]])</f>
        <v>3.342375548694973E-2</v>
      </c>
      <c r="AH43">
        <f>LOG(Table1_1[[#This Row],[8:2 FTS]])</f>
        <v>1.5171958979499742</v>
      </c>
      <c r="AI43">
        <f>LOG(Table1_1[[#This Row],[10:2 FTS]])</f>
        <v>0.52762990087133865</v>
      </c>
      <c r="AJ43">
        <f>LOG(Table1_1[[#This Row],[3:3 FTCA]])</f>
        <v>-0.65757731917779372</v>
      </c>
      <c r="AK43">
        <f>LOG(Table1_1[[#This Row],[5:3 FTCA]])</f>
        <v>0.73639650227664244</v>
      </c>
      <c r="AL43">
        <f>LOG(Table1_1[[#This Row],[7:3 FTCA]])</f>
        <v>-0.65757731917779372</v>
      </c>
      <c r="AM43">
        <f>LOG(Table1_1[[#This Row],[6:2 FTCA]])</f>
        <v>-0.65757731917779372</v>
      </c>
      <c r="AN43">
        <f>LOG(Table1_1[[#This Row],[8:2 FTCA]])</f>
        <v>-0.95860731484177497</v>
      </c>
      <c r="AO43">
        <f>LOG(Table1_1[[#This Row],[10:2 FTCA]])</f>
        <v>-0.65757731917779372</v>
      </c>
      <c r="AP43">
        <f>LOG(Table1_1[[#This Row],[6:2 FTUCA]])</f>
        <v>-1.0629838925351858</v>
      </c>
      <c r="AQ43">
        <f>LOG(Table1_1[[#This Row],[8:2 FTUCA]])</f>
        <v>-1.1771783546968955</v>
      </c>
      <c r="AR43">
        <f>LOG(Table1_1[[#This Row],[ADONA]])</f>
        <v>-1.0132282657337552</v>
      </c>
      <c r="AS43">
        <f>LOG(Table1_1[[#This Row],[9Cl-PF3ONS]])</f>
        <v>-0.65757731917779372</v>
      </c>
      <c r="AT43">
        <f>LOG(Table1_1[[#This Row],[11Cl-PF3OUdS]])</f>
        <v>-0.65757731917779372</v>
      </c>
      <c r="AU43">
        <f>LOG(Table1_1[[#This Row],[HFPO-DA]])</f>
        <v>-0.80134291304557737</v>
      </c>
      <c r="AV43">
        <f>LOG(Table1_1[[#This Row],[6:2 diPAP]])</f>
        <v>-0.65757731917779372</v>
      </c>
      <c r="AW43">
        <f>LOG(Table1_1[[#This Row],[8:2 diPAP]])</f>
        <v>-0.65757731917779372</v>
      </c>
      <c r="AX43">
        <f>LOG(Table1_1[[#This Row],[diSAmPAP]])</f>
        <v>-0.65757731917779372</v>
      </c>
    </row>
    <row r="44" spans="1:50">
      <c r="A44">
        <f>LOG(Table1_1[[#This Row],[PFBA]])</f>
        <v>-0.60906489289662091</v>
      </c>
      <c r="B44">
        <f>LOG(Table1_1[[#This Row],[PFPeA]])</f>
        <v>-1.0604807473813815</v>
      </c>
      <c r="C44">
        <f>LOG(Table1_1[[#This Row],[PFHxA]])</f>
        <v>-1.1771783546968955</v>
      </c>
      <c r="D44">
        <f>LOG(Table1_1[[#This Row],[PFHpA]])</f>
        <v>-0.91009488856060206</v>
      </c>
      <c r="E44">
        <f>LOG(Table1_1[[#This Row],[PFOA]])</f>
        <v>0.3222192947339193</v>
      </c>
      <c r="F44">
        <f>LOG(Table1_1[[#This Row],[PFNA]])</f>
        <v>-0.91009488856060206</v>
      </c>
      <c r="G44">
        <f>LOG(Table1_1[[#This Row],[PFDA]])</f>
        <v>0.66464197555612547</v>
      </c>
      <c r="H44">
        <f>LOG(Table1_1[[#This Row],[PFUnA]])</f>
        <v>0.81954393554186866</v>
      </c>
      <c r="I44">
        <f>LOG(Table1_1[[#This Row],[PFDoA]])</f>
        <v>0.90308998699194354</v>
      </c>
      <c r="J44">
        <f>LOG(Table1_1[[#This Row],[PFTrDA]])</f>
        <v>0.31386722036915343</v>
      </c>
      <c r="K44">
        <f>LOG(Table1_1[[#This Row],[PFTeDA]])</f>
        <v>0.78461729263287538</v>
      </c>
      <c r="L44">
        <f>LOG(Table1_1[[#This Row],[PFHxDA]])</f>
        <v>-0.83416237530987181</v>
      </c>
      <c r="M44">
        <f>LOG(Table1_1[[#This Row],[PFPrS]])</f>
        <v>-0.91009488856060206</v>
      </c>
      <c r="N44">
        <f>LOG(Table1_1[[#This Row],[PFBS]])</f>
        <v>-0.60906489289662091</v>
      </c>
      <c r="O44">
        <f>LOG(Table1_1[[#This Row],[PFPeS]])</f>
        <v>-0.88438948832570019</v>
      </c>
      <c r="P44">
        <f>LOG(Table1_1[[#This Row],[PFHxS]])</f>
        <v>1.2430380486862944</v>
      </c>
      <c r="Q44">
        <f>LOG(Table1_1[[#This Row],[PFHpS]])</f>
        <v>0.55388302664387434</v>
      </c>
      <c r="R44">
        <f>LOG(Table1_1[[#This Row],[PFOS]])</f>
        <v>2.8915374576725643</v>
      </c>
      <c r="S44">
        <f>LOG(Table1_1[[#This Row],[PFNS]])</f>
        <v>-0.60906489289662091</v>
      </c>
      <c r="T44">
        <f>LOG(Table1_1[[#This Row],[PFDS]])</f>
        <v>-0.20134935455473107</v>
      </c>
      <c r="U44">
        <f>LOG(Table1_1[[#This Row],[PFDoS]])</f>
        <v>-0.57921938045143462</v>
      </c>
      <c r="V44">
        <f>LOG(Table1_1[[#This Row],[Cl-PFOS]])</f>
        <v>-0.82535880733955158</v>
      </c>
      <c r="W44">
        <f>LOG(Table1_1[[#This Row],[PFEtCHxS]])</f>
        <v>-0.63264407897398101</v>
      </c>
      <c r="X44">
        <f>LOG(Table1_1[[#This Row],[FBSA]])</f>
        <v>2.2833012287035497</v>
      </c>
      <c r="Y44">
        <f>LOG(Table1_1[[#This Row],[FHxSA]])</f>
        <v>3.1271047983648077</v>
      </c>
      <c r="Z44">
        <f>LOG(Table1_1[[#This Row],[FOSA]])</f>
        <v>1.4166405073382811</v>
      </c>
      <c r="AA44">
        <f>LOG(Table1_1[[#This Row],[N-MeFOSA]])</f>
        <v>-1.0222763947111522</v>
      </c>
      <c r="AB44">
        <f>LOG(Table1_1[[#This Row],[N-EtFOSA]])</f>
        <v>-0.60906489289662091</v>
      </c>
      <c r="AC44">
        <f>LOG(Table1_1[[#This Row],[FOSAA]])</f>
        <v>-0.60906489289662091</v>
      </c>
      <c r="AD44">
        <f>LOG(Table1_1[[#This Row],[N-MeFOSAA]])</f>
        <v>-0.90657831483776496</v>
      </c>
      <c r="AE44">
        <f>LOG(Table1_1[[#This Row],[N-EtFOSAA]])</f>
        <v>-0.91009488856060206</v>
      </c>
      <c r="AF44">
        <f>LOG(Table1_1[[#This Row],[4:2 FTS]])</f>
        <v>-0.91009488856060206</v>
      </c>
      <c r="AG44">
        <f>LOG(Table1_1[[#This Row],[6:2 FTS]])</f>
        <v>-7.6755981369723517E-2</v>
      </c>
      <c r="AH44">
        <f>LOG(Table1_1[[#This Row],[8:2 FTS]])</f>
        <v>1.2810333672477277</v>
      </c>
      <c r="AI44">
        <f>LOG(Table1_1[[#This Row],[10:2 FTS]])</f>
        <v>0.13353890837021754</v>
      </c>
      <c r="AJ44">
        <f>LOG(Table1_1[[#This Row],[3:3 FTCA]])</f>
        <v>-0.60906489289662091</v>
      </c>
      <c r="AK44">
        <f>LOG(Table1_1[[#This Row],[5:3 FTCA]])</f>
        <v>-0.15926676538819329</v>
      </c>
      <c r="AL44">
        <f>LOG(Table1_1[[#This Row],[7:3 FTCA]])</f>
        <v>-0.60906489289662091</v>
      </c>
      <c r="AM44">
        <f>LOG(Table1_1[[#This Row],[6:2 FTCA]])</f>
        <v>-0.60906489289662091</v>
      </c>
      <c r="AN44">
        <f>LOG(Table1_1[[#This Row],[8:2 FTCA]])</f>
        <v>-0.91009488856060206</v>
      </c>
      <c r="AO44">
        <f>LOG(Table1_1[[#This Row],[10:2 FTCA]])</f>
        <v>-0.60906489289662091</v>
      </c>
      <c r="AP44">
        <f>LOG(Table1_1[[#This Row],[6:2 FTUCA]])</f>
        <v>-1.0154726866562074</v>
      </c>
      <c r="AQ44">
        <f>LOG(Table1_1[[#This Row],[8:2 FTUCA]])</f>
        <v>-1.1278437272517072</v>
      </c>
      <c r="AR44">
        <f>LOG(Table1_1[[#This Row],[ADONA]])</f>
        <v>-0.96457026181545169</v>
      </c>
      <c r="AS44">
        <f>LOG(Table1_1[[#This Row],[9Cl-PF3ONS]])</f>
        <v>-0.60906489289662091</v>
      </c>
      <c r="AT44">
        <f>LOG(Table1_1[[#This Row],[11Cl-PF3OUdS]])</f>
        <v>-0.60906489289662091</v>
      </c>
      <c r="AU44">
        <f>LOG(Table1_1[[#This Row],[HFPO-DA]])</f>
        <v>-0.75325529027615867</v>
      </c>
      <c r="AV44">
        <f>LOG(Table1_1[[#This Row],[6:2 diPAP]])</f>
        <v>-0.60906489289662091</v>
      </c>
      <c r="AW44">
        <f>LOG(Table1_1[[#This Row],[8:2 diPAP]])</f>
        <v>-0.60906489289662091</v>
      </c>
      <c r="AX44">
        <f>LOG(Table1_1[[#This Row],[diSAmPAP]])</f>
        <v>-0.60906489289662091</v>
      </c>
    </row>
    <row r="45" spans="1:50">
      <c r="A45">
        <f>LOG(Table1_1[[#This Row],[PFBA]])</f>
        <v>-0.65364702554936138</v>
      </c>
      <c r="B45">
        <f>LOG(Table1_1[[#This Row],[PFPeA]])</f>
        <v>-0.65364702554936138</v>
      </c>
      <c r="C45">
        <f>LOG(Table1_1[[#This Row],[PFHxA]])</f>
        <v>-0.92081875395237522</v>
      </c>
      <c r="D45">
        <f>LOG(Table1_1[[#This Row],[PFHpA]])</f>
        <v>-0.65364702554936138</v>
      </c>
      <c r="E45">
        <f>LOG(Table1_1[[#This Row],[PFOA]])</f>
        <v>0.33041377334919086</v>
      </c>
      <c r="F45">
        <f>LOG(Table1_1[[#This Row],[PFNA]])</f>
        <v>0.39093510710337914</v>
      </c>
      <c r="G45">
        <f>LOG(Table1_1[[#This Row],[PFDA]])</f>
        <v>0.89762709129044149</v>
      </c>
      <c r="H45">
        <f>LOG(Table1_1[[#This Row],[PFUnA]])</f>
        <v>0.89542254603940796</v>
      </c>
      <c r="I45">
        <f>LOG(Table1_1[[#This Row],[PFDoA]])</f>
        <v>0.79239168949825389</v>
      </c>
      <c r="J45">
        <f>LOG(Table1_1[[#This Row],[PFTrDA]])</f>
        <v>-0.30016227413275426</v>
      </c>
      <c r="K45">
        <f>LOG(Table1_1[[#This Row],[PFTeDA]])</f>
        <v>0.53655844257153007</v>
      </c>
      <c r="L45">
        <f>LOG(Table1_1[[#This Row],[PFHxDA]])</f>
        <v>-0.57757432362879546</v>
      </c>
      <c r="M45">
        <f>LOG(Table1_1[[#This Row],[PFPrS]])</f>
        <v>-0.35261702988538018</v>
      </c>
      <c r="N45">
        <f>LOG(Table1_1[[#This Row],[PFBS]])</f>
        <v>-0.82102305270683062</v>
      </c>
      <c r="O45">
        <f>LOG(Table1_1[[#This Row],[PFPeS]])</f>
        <v>-0.92996213339224498</v>
      </c>
      <c r="P45">
        <f>LOG(Table1_1[[#This Row],[PFHxS]])</f>
        <v>1.2174839442139063</v>
      </c>
      <c r="Q45">
        <f>LOG(Table1_1[[#This Row],[PFHpS]])</f>
        <v>0.81888541459400987</v>
      </c>
      <c r="R45">
        <f>LOG(Table1_1[[#This Row],[PFOS]])</f>
        <v>2.7450747915820575</v>
      </c>
      <c r="S45">
        <f>LOG(Table1_1[[#This Row],[PFNS]])</f>
        <v>2.5305865264770262E-2</v>
      </c>
      <c r="T45">
        <f>LOG(Table1_1[[#This Row],[PFDS]])</f>
        <v>0.28555730900777376</v>
      </c>
      <c r="U45">
        <f>LOG(Table1_1[[#This Row],[PFDoS]])</f>
        <v>-0.62433638603911468</v>
      </c>
      <c r="V45">
        <f>LOG(Table1_1[[#This Row],[Cl-PFOS]])</f>
        <v>-0.86966623150499389</v>
      </c>
      <c r="W45">
        <f>LOG(Table1_1[[#This Row],[PFEtCHxS]])</f>
        <v>-0.33441900898204685</v>
      </c>
      <c r="X45">
        <f>LOG(Table1_1[[#This Row],[FBSA]])</f>
        <v>1.6344772701607315</v>
      </c>
      <c r="Y45">
        <f>LOG(Table1_1[[#This Row],[FHxSA]])</f>
        <v>2.6364878963533656</v>
      </c>
      <c r="Z45">
        <f>LOG(Table1_1[[#This Row],[FOSA]])</f>
        <v>1.414973347970818</v>
      </c>
      <c r="AA45">
        <f>LOG(Table1_1[[#This Row],[N-MeFOSA]])</f>
        <v>-0.76700388960784616</v>
      </c>
      <c r="AB45">
        <f>LOG(Table1_1[[#This Row],[N-EtFOSA]])</f>
        <v>-0.35261702988538018</v>
      </c>
      <c r="AC45">
        <f>LOG(Table1_1[[#This Row],[FOSAA]])</f>
        <v>-0.35261702988538018</v>
      </c>
      <c r="AD45">
        <f>LOG(Table1_1[[#This Row],[N-MeFOSAA]])</f>
        <v>-0.65072247253204474</v>
      </c>
      <c r="AE45">
        <f>LOG(Table1_1[[#This Row],[N-EtFOSAA]])</f>
        <v>-0.65364702554936138</v>
      </c>
      <c r="AF45">
        <f>LOG(Table1_1[[#This Row],[4:2 FTS]])</f>
        <v>-0.65364702554936138</v>
      </c>
      <c r="AG45">
        <f>LOG(Table1_1[[#This Row],[6:2 FTS]])</f>
        <v>0.17609125905568124</v>
      </c>
      <c r="AH45">
        <f>LOG(Table1_1[[#This Row],[8:2 FTS]])</f>
        <v>1.2405492482825997</v>
      </c>
      <c r="AI45">
        <f>LOG(Table1_1[[#This Row],[10:2 FTS]])</f>
        <v>-0.35261702988538018</v>
      </c>
      <c r="AJ45">
        <f>LOG(Table1_1[[#This Row],[3:3 FTCA]])</f>
        <v>-0.59176003468815042</v>
      </c>
      <c r="AK45">
        <f>LOG(Table1_1[[#This Row],[5:3 FTCA]])</f>
        <v>0.89542254603940796</v>
      </c>
      <c r="AL45">
        <f>LOG(Table1_1[[#This Row],[7:3 FTCA]])</f>
        <v>0.57978359661681012</v>
      </c>
      <c r="AM45">
        <f>LOG(Table1_1[[#This Row],[6:2 FTCA]])</f>
        <v>-0.35261702988538018</v>
      </c>
      <c r="AN45">
        <f>LOG(Table1_1[[#This Row],[8:2 FTCA]])</f>
        <v>-0.35261702988538018</v>
      </c>
      <c r="AO45">
        <f>LOG(Table1_1[[#This Row],[10:2 FTCA]])</f>
        <v>-0.35261702988538018</v>
      </c>
      <c r="AP45">
        <f>LOG(Table1_1[[#This Row],[6:2 FTUCA]])</f>
        <v>-0.35261702988538018</v>
      </c>
      <c r="AQ45">
        <f>LOG(Table1_1[[#This Row],[8:2 FTUCA]])</f>
        <v>-0.35261702988538018</v>
      </c>
      <c r="AR45">
        <f>LOG(Table1_1[[#This Row],[ADONA]])</f>
        <v>-0.65364702554936138</v>
      </c>
      <c r="AS45">
        <f>LOG(Table1_1[[#This Row],[9Cl-PF3ONS]])</f>
        <v>-0.35261702988538018</v>
      </c>
      <c r="AT45">
        <f>LOG(Table1_1[[#This Row],[11Cl-PF3OUdS]])</f>
        <v>-0.35261702988538018</v>
      </c>
      <c r="AU45">
        <f>LOG(Table1_1[[#This Row],[HFPO-DA]])</f>
        <v>-0.49689056332863074</v>
      </c>
      <c r="AV45">
        <f>LOG(Table1_1[[#This Row],[6:2 diPAP]])</f>
        <v>-0.35261702988538018</v>
      </c>
      <c r="AW45">
        <f>LOG(Table1_1[[#This Row],[8:2 diPAP]])</f>
        <v>-0.35261702988538018</v>
      </c>
      <c r="AX45">
        <f>LOG(Table1_1[[#This Row],[diSAmPAP]])</f>
        <v>-0.35261702988538018</v>
      </c>
    </row>
    <row r="46" spans="1:50">
      <c r="A46">
        <f>LOG(Table1_1[[#This Row],[PFBA]])</f>
        <v>-1.5612206789339438</v>
      </c>
      <c r="B46">
        <f>LOG(Table1_1[[#This Row],[PFPeA]])</f>
        <v>-1.3141431212084258</v>
      </c>
      <c r="C46">
        <f>LOG(Table1_1[[#This Row],[PFHxA]])</f>
        <v>-0.44009337496388751</v>
      </c>
      <c r="D46">
        <f>LOG(Table1_1[[#This Row],[PFHpA]])</f>
        <v>-1.5612206789339438</v>
      </c>
      <c r="E46">
        <f>LOG(Table1_1[[#This Row],[PFOA]])</f>
        <v>0.53147891704225514</v>
      </c>
      <c r="F46">
        <f>LOG(Table1_1[[#This Row],[PFNA]])</f>
        <v>1.2068258760318498</v>
      </c>
      <c r="G46">
        <f>LOG(Table1_1[[#This Row],[PFDA]])</f>
        <v>1.5065050324048721</v>
      </c>
      <c r="H46">
        <f>LOG(Table1_1[[#This Row],[PFUnA]])</f>
        <v>1.2944662261615929</v>
      </c>
      <c r="I46">
        <f>LOG(Table1_1[[#This Row],[PFDoA]])</f>
        <v>1.5809249756756194</v>
      </c>
      <c r="J46">
        <f>LOG(Table1_1[[#This Row],[PFTrDA]])</f>
        <v>0.91907809237607396</v>
      </c>
      <c r="K46">
        <f>LOG(Table1_1[[#This Row],[PFTeDA]])</f>
        <v>0.72098574415373906</v>
      </c>
      <c r="L46">
        <f>LOG(Table1_1[[#This Row],[PFHxDA]])</f>
        <v>-1.0870772375985762</v>
      </c>
      <c r="M46">
        <f>LOG(Table1_1[[#This Row],[PFPrS]])</f>
        <v>-1.2807827502824565</v>
      </c>
      <c r="N46">
        <f>LOG(Table1_1[[#This Row],[PFBS]])</f>
        <v>-0.80428040419345492</v>
      </c>
      <c r="O46">
        <f>LOG(Table1_1[[#This Row],[PFPeS]])</f>
        <v>0.32428245529769262</v>
      </c>
      <c r="P46">
        <f>LOG(Table1_1[[#This Row],[PFHxS]])</f>
        <v>2.1553360374650619</v>
      </c>
      <c r="Q46">
        <f>LOG(Table1_1[[#This Row],[PFHpS]])</f>
        <v>1.3961993470957363</v>
      </c>
      <c r="R46">
        <f>LOG(Table1_1[[#This Row],[PFOS]])</f>
        <v>3.6646419755561257</v>
      </c>
      <c r="S46">
        <f>LOG(Table1_1[[#This Row],[PFNS]])</f>
        <v>0.99825933842369874</v>
      </c>
      <c r="T46">
        <f>LOG(Table1_1[[#This Row],[PFDS]])</f>
        <v>0.68033551341456322</v>
      </c>
      <c r="U46">
        <f>LOG(Table1_1[[#This Row],[PFDoS]])</f>
        <v>0.39093510710337914</v>
      </c>
      <c r="V46">
        <f>LOG(Table1_1[[#This Row],[Cl-PFOS]])</f>
        <v>0.61384182187606928</v>
      </c>
      <c r="W46">
        <f>LOG(Table1_1[[#This Row],[PFEtCHxS]])</f>
        <v>-0.38299965887910109</v>
      </c>
      <c r="X46">
        <f>LOG(Table1_1[[#This Row],[FBSA]])</f>
        <v>1.865103974641128</v>
      </c>
      <c r="Y46">
        <f>LOG(Table1_1[[#This Row],[FHxSA]])</f>
        <v>2.7846172926328752</v>
      </c>
      <c r="Z46">
        <f>LOG(Table1_1[[#This Row],[FOSA]])</f>
        <v>1.4014005407815442</v>
      </c>
      <c r="AA46">
        <f>LOG(Table1_1[[#This Row],[N-MeFOSA]])</f>
        <v>-1.2765738501491983</v>
      </c>
      <c r="AB46">
        <f>LOG(Table1_1[[#This Row],[N-EtFOSA]])</f>
        <v>-1.0962253827157435</v>
      </c>
      <c r="AC46">
        <f>LOG(Table1_1[[#This Row],[FOSAA]])</f>
        <v>-0.74052246405279298</v>
      </c>
      <c r="AD46">
        <f>LOG(Table1_1[[#This Row],[N-MeFOSAA]])</f>
        <v>-1.1606609635835858</v>
      </c>
      <c r="AE46">
        <f>LOG(Table1_1[[#This Row],[N-EtFOSAA]])</f>
        <v>-1.2247657156753904</v>
      </c>
      <c r="AF46">
        <f>LOG(Table1_1[[#This Row],[4:2 FTS]])</f>
        <v>-1.248732045805897</v>
      </c>
      <c r="AG46">
        <f>LOG(Table1_1[[#This Row],[6:2 FTS]])</f>
        <v>2.5305865264770262E-2</v>
      </c>
      <c r="AH46">
        <f>LOG(Table1_1[[#This Row],[8:2 FTS]])</f>
        <v>1.5865873046717549</v>
      </c>
      <c r="AI46">
        <f>LOG(Table1_1[[#This Row],[10:2 FTS]])</f>
        <v>0.18752072083646307</v>
      </c>
      <c r="AJ46">
        <f>LOG(Table1_1[[#This Row],[3:3 FTCA]])</f>
        <v>-1.1012672707308273</v>
      </c>
      <c r="AK46">
        <f>LOG(Table1_1[[#This Row],[5:3 FTCA]])</f>
        <v>1.3873898263387294</v>
      </c>
      <c r="AL46">
        <f>LOG(Table1_1[[#This Row],[7:3 FTCA]])</f>
        <v>1.6211762817750353</v>
      </c>
      <c r="AM46">
        <f>LOG(Table1_1[[#This Row],[6:2 FTCA]])</f>
        <v>-1.355971129095481</v>
      </c>
      <c r="AN46">
        <f>LOG(Table1_1[[#This Row],[8:2 FTCA]])</f>
        <v>-1.5612206789339438</v>
      </c>
      <c r="AO46">
        <f>LOG(Table1_1[[#This Row],[10:2 FTCA]])</f>
        <v>-0.98945581516500802</v>
      </c>
      <c r="AP46">
        <f>LOG(Table1_1[[#This Row],[6:2 FTUCA]])</f>
        <v>-1.2683022885657036</v>
      </c>
      <c r="AQ46">
        <f>LOG(Table1_1[[#This Row],[8:2 FTUCA]])</f>
        <v>-1.3820248211324553</v>
      </c>
      <c r="AR46">
        <f>LOG(Table1_1[[#This Row],[ADONA]])</f>
        <v>-1.1632806702619061</v>
      </c>
      <c r="AS46">
        <f>LOG(Table1_1[[#This Row],[9Cl-PF3ONS]])</f>
        <v>-1.3218544717528966</v>
      </c>
      <c r="AT46">
        <f>LOG(Table1_1[[#This Row],[11Cl-PF3OUdS]])</f>
        <v>-1.2667596635977709</v>
      </c>
      <c r="AU46">
        <f>LOG(Table1_1[[#This Row],[HFPO-DA]])</f>
        <v>-1.0064201242543509</v>
      </c>
      <c r="AV46">
        <f>LOG(Table1_1[[#This Row],[6:2 diPAP]])</f>
        <v>-1.1361231995611558</v>
      </c>
      <c r="AW46">
        <f>LOG(Table1_1[[#This Row],[8:2 diPAP]])</f>
        <v>-1.0407980671389736</v>
      </c>
      <c r="AX46">
        <f>LOG(Table1_1[[#This Row],[diSAmPAP]])</f>
        <v>-0.91776800244775647</v>
      </c>
    </row>
    <row r="47" spans="1:50">
      <c r="A47">
        <f>LOG(Table1_1[[#This Row],[PFBA]])</f>
        <v>-1.5590909179347823</v>
      </c>
      <c r="B47">
        <f>LOG(Table1_1[[#This Row],[PFPeA]])</f>
        <v>-1.3129171553956294</v>
      </c>
      <c r="C47">
        <f>LOG(Table1_1[[#This Row],[PFHxA]])</f>
        <v>-1.4306260903849541</v>
      </c>
      <c r="D47">
        <f>LOG(Table1_1[[#This Row],[PFHpA]])</f>
        <v>-1.5590909179347823</v>
      </c>
      <c r="E47">
        <f>LOG(Table1_1[[#This Row],[PFOA]])</f>
        <v>0.24797326636180664</v>
      </c>
      <c r="F47">
        <f>LOG(Table1_1[[#This Row],[PFNA]])</f>
        <v>0.58883172559420727</v>
      </c>
      <c r="G47">
        <f>LOG(Table1_1[[#This Row],[PFDA]])</f>
        <v>1.1522883443830565</v>
      </c>
      <c r="H47">
        <f>LOG(Table1_1[[#This Row],[PFUnA]])</f>
        <v>1.1986570869544226</v>
      </c>
      <c r="I47">
        <f>LOG(Table1_1[[#This Row],[PFDoA]])</f>
        <v>1.2253092817258628</v>
      </c>
      <c r="J47">
        <f>LOG(Table1_1[[#This Row],[PFTrDA]])</f>
        <v>0.94694327069782547</v>
      </c>
      <c r="K47">
        <f>LOG(Table1_1[[#This Row],[PFTeDA]])</f>
        <v>1.0128372247051722</v>
      </c>
      <c r="L47">
        <f>LOG(Table1_1[[#This Row],[PFHxDA]])</f>
        <v>-1.0861861476162833</v>
      </c>
      <c r="M47">
        <f>LOG(Table1_1[[#This Row],[PFPrS]])</f>
        <v>-1.2798406965940432</v>
      </c>
      <c r="N47">
        <f>LOG(Table1_1[[#This Row],[PFBS]])</f>
        <v>-0.81107151623914653</v>
      </c>
      <c r="O47">
        <f>LOG(Table1_1[[#This Row],[PFPeS]])</f>
        <v>4.9218022670181653E-2</v>
      </c>
      <c r="P47">
        <f>LOG(Table1_1[[#This Row],[PFHxS]])</f>
        <v>1.8645110810583918</v>
      </c>
      <c r="Q47">
        <f>LOG(Table1_1[[#This Row],[PFHpS]])</f>
        <v>0.70415051683979912</v>
      </c>
      <c r="R47">
        <f>LOG(Table1_1[[#This Row],[PFOS]])</f>
        <v>3.143014800254095</v>
      </c>
      <c r="S47">
        <f>LOG(Table1_1[[#This Row],[PFNS]])</f>
        <v>0.26717172840301384</v>
      </c>
      <c r="T47">
        <f>LOG(Table1_1[[#This Row],[PFDS]])</f>
        <v>0.9232440186302765</v>
      </c>
      <c r="U47">
        <f>LOG(Table1_1[[#This Row],[PFDoS]])</f>
        <v>-0.10072681268239618</v>
      </c>
      <c r="V47">
        <f>LOG(Table1_1[[#This Row],[Cl-PFOS]])</f>
        <v>-0.46852108295774486</v>
      </c>
      <c r="W47">
        <f>LOG(Table1_1[[#This Row],[PFEtCHxS]])</f>
        <v>-1.0409586076789064</v>
      </c>
      <c r="X47">
        <f>LOG(Table1_1[[#This Row],[FBSA]])</f>
        <v>2.1613680022349748</v>
      </c>
      <c r="Y47">
        <f>LOG(Table1_1[[#This Row],[FHxSA]])</f>
        <v>2.6720978579357175</v>
      </c>
      <c r="Z47">
        <f>LOG(Table1_1[[#This Row],[FOSA]])</f>
        <v>1.481442628502305</v>
      </c>
      <c r="AA47">
        <f>LOG(Table1_1[[#This Row],[N-MeFOSA]])</f>
        <v>-1.2757241303992111</v>
      </c>
      <c r="AB47">
        <f>LOG(Table1_1[[#This Row],[N-EtFOSA]])</f>
        <v>-1.0942041196321315</v>
      </c>
      <c r="AC47">
        <f>LOG(Table1_1[[#This Row],[FOSAA]])</f>
        <v>-1.2676062401770316</v>
      </c>
      <c r="AD47">
        <f>LOG(Table1_1[[#This Row],[N-MeFOSAA]])</f>
        <v>-0.64111379559413095</v>
      </c>
      <c r="AE47">
        <f>LOG(Table1_1[[#This Row],[N-EtFOSAA]])</f>
        <v>-1.2218487496163564</v>
      </c>
      <c r="AF47">
        <f>LOG(Table1_1[[#This Row],[4:2 FTS]])</f>
        <v>-1.2479515521805615</v>
      </c>
      <c r="AG47">
        <f>LOG(Table1_1[[#This Row],[6:2 FTS]])</f>
        <v>-0.86327943284359321</v>
      </c>
      <c r="AH47">
        <f>LOG(Table1_1[[#This Row],[8:2 FTS]])</f>
        <v>1.3222192947339193</v>
      </c>
      <c r="AI47">
        <f>LOG(Table1_1[[#This Row],[10:2 FTS]])</f>
        <v>-0.58838029403676984</v>
      </c>
      <c r="AJ47">
        <f>LOG(Table1_1[[#This Row],[3:3 FTCA]])</f>
        <v>-1.0996328713435297</v>
      </c>
      <c r="AK47">
        <f>LOG(Table1_1[[#This Row],[5:3 FTCA]])</f>
        <v>0.29885307640970665</v>
      </c>
      <c r="AL47">
        <f>LOG(Table1_1[[#This Row],[7:3 FTCA]])</f>
        <v>0.64640372622306952</v>
      </c>
      <c r="AM47">
        <f>LOG(Table1_1[[#This Row],[6:2 FTCA]])</f>
        <v>-1.3540867249661557</v>
      </c>
      <c r="AN47">
        <f>LOG(Table1_1[[#This Row],[8:2 FTCA]])</f>
        <v>-1.5590909179347823</v>
      </c>
      <c r="AO47">
        <f>LOG(Table1_1[[#This Row],[10:2 FTCA]])</f>
        <v>-0.98927613460822694</v>
      </c>
      <c r="AP47">
        <f>LOG(Table1_1[[#This Row],[6:2 FTUCA]])</f>
        <v>-1.2676062401770316</v>
      </c>
      <c r="AQ47">
        <f>LOG(Table1_1[[#This Row],[8:2 FTUCA]])</f>
        <v>-1.3803849942571935</v>
      </c>
      <c r="AR47">
        <f>LOG(Table1_1[[#This Row],[ADONA]])</f>
        <v>-1.1611509092627446</v>
      </c>
      <c r="AS47">
        <f>LOG(Table1_1[[#This Row],[9Cl-PF3ONS]])</f>
        <v>-1.3196644865854368</v>
      </c>
      <c r="AT47">
        <f>LOG(Table1_1[[#This Row],[11Cl-PF3OUdS]])</f>
        <v>-1.2676062401770316</v>
      </c>
      <c r="AU47">
        <f>LOG(Table1_1[[#This Row],[HFPO-DA]])</f>
        <v>-1.0043648054024501</v>
      </c>
      <c r="AV47">
        <f>LOG(Table1_1[[#This Row],[6:2 diPAP]])</f>
        <v>-1.133712660915805</v>
      </c>
      <c r="AW47">
        <f>LOG(Table1_1[[#This Row],[8:2 diPAP]])</f>
        <v>-1.0385789059335517</v>
      </c>
      <c r="AX47">
        <f>LOG(Table1_1[[#This Row],[diSAmPAP]])</f>
        <v>-0.91721462968354994</v>
      </c>
    </row>
    <row r="48" spans="1:50">
      <c r="A48">
        <f>LOG(Table1_1[[#This Row],[PFBA]])</f>
        <v>-1.0268721464003014</v>
      </c>
      <c r="B48">
        <f>LOG(Table1_1[[#This Row],[PFPeA]])</f>
        <v>-1.2967086218813386</v>
      </c>
      <c r="C48">
        <f>LOG(Table1_1[[#This Row],[PFHxA]])</f>
        <v>-0.89790947448816327</v>
      </c>
      <c r="D48">
        <f>LOG(Table1_1[[#This Row],[PFHpA]])</f>
        <v>-1.5451551399914898</v>
      </c>
      <c r="E48">
        <f>LOG(Table1_1[[#This Row],[PFOA]])</f>
        <v>0.17897694729316943</v>
      </c>
      <c r="F48">
        <f>LOG(Table1_1[[#This Row],[PFNA]])</f>
        <v>0.69196510276736034</v>
      </c>
      <c r="G48">
        <f>LOG(Table1_1[[#This Row],[PFDA]])</f>
        <v>1.0334237554869496</v>
      </c>
      <c r="H48">
        <f>LOG(Table1_1[[#This Row],[PFUnA]])</f>
        <v>1.2900346113625181</v>
      </c>
      <c r="I48">
        <f>LOG(Table1_1[[#This Row],[PFDoA]])</f>
        <v>1.307496037913213</v>
      </c>
      <c r="J48">
        <f>LOG(Table1_1[[#This Row],[PFTrDA]])</f>
        <v>0.76863810124761445</v>
      </c>
      <c r="K48">
        <f>LOG(Table1_1[[#This Row],[PFTeDA]])</f>
        <v>0.95568775031350572</v>
      </c>
      <c r="L48">
        <f>LOG(Table1_1[[#This Row],[PFHxDA]])</f>
        <v>-1.0731432910503076</v>
      </c>
      <c r="M48">
        <f>LOG(Table1_1[[#This Row],[PFPrS]])</f>
        <v>-1.2676062401770316</v>
      </c>
      <c r="N48">
        <f>LOG(Table1_1[[#This Row],[PFBS]])</f>
        <v>-0.79723931260680003</v>
      </c>
      <c r="O48">
        <f>LOG(Table1_1[[#This Row],[PFPeS]])</f>
        <v>-6.1230850587887945E-3</v>
      </c>
      <c r="P48">
        <f>LOG(Table1_1[[#This Row],[PFHxS]])</f>
        <v>1.667452952889954</v>
      </c>
      <c r="Q48">
        <f>LOG(Table1_1[[#This Row],[PFHpS]])</f>
        <v>0.78103693862113188</v>
      </c>
      <c r="R48">
        <f>LOG(Table1_1[[#This Row],[PFOS]])</f>
        <v>2.9818186071706636</v>
      </c>
      <c r="S48">
        <f>LOG(Table1_1[[#This Row],[PFNS]])</f>
        <v>-0.13489602535887207</v>
      </c>
      <c r="T48">
        <f>LOG(Table1_1[[#This Row],[PFDS]])</f>
        <v>0.5854607295085007</v>
      </c>
      <c r="U48">
        <f>LOG(Table1_1[[#This Row],[PFDoS]])</f>
        <v>-0.25492520841794247</v>
      </c>
      <c r="V48">
        <f>LOG(Table1_1[[#This Row],[Cl-PFOS]])</f>
        <v>-0.42712839779951983</v>
      </c>
      <c r="W48">
        <f>LOG(Table1_1[[#This Row],[PFEtCHxS]])</f>
        <v>-0.62708799702989348</v>
      </c>
      <c r="X48">
        <f>LOG(Table1_1[[#This Row],[FBSA]])</f>
        <v>1.7715874808812553</v>
      </c>
      <c r="Y48">
        <f>LOG(Table1_1[[#This Row],[FHxSA]])</f>
        <v>2.3729120029701067</v>
      </c>
      <c r="Z48">
        <f>LOG(Table1_1[[#This Row],[FOSA]])</f>
        <v>1.2504200023088941</v>
      </c>
      <c r="AA48">
        <f>LOG(Table1_1[[#This Row],[N-MeFOSA]])</f>
        <v>-1.2596373105057561</v>
      </c>
      <c r="AB48">
        <f>LOG(Table1_1[[#This Row],[N-EtFOSA]])</f>
        <v>-1.080921907623926</v>
      </c>
      <c r="AC48">
        <f>LOG(Table1_1[[#This Row],[FOSAA]])</f>
        <v>-1.2518119729937995</v>
      </c>
      <c r="AD48">
        <f>LOG(Table1_1[[#This Row],[N-MeFOSAA]])</f>
        <v>8.6001717619175692E-3</v>
      </c>
      <c r="AE48">
        <f>LOG(Table1_1[[#This Row],[N-EtFOSAA]])</f>
        <v>-1.2111248842245832</v>
      </c>
      <c r="AF48">
        <f>LOG(Table1_1[[#This Row],[4:2 FTS]])</f>
        <v>-1.2328441339178196</v>
      </c>
      <c r="AG48">
        <f>LOG(Table1_1[[#This Row],[6:2 FTS]])</f>
        <v>-0.37571790416433171</v>
      </c>
      <c r="AH48">
        <f>LOG(Table1_1[[#This Row],[8:2 FTS]])</f>
        <v>1.2855573090077739</v>
      </c>
      <c r="AI48">
        <f>LOG(Table1_1[[#This Row],[10:2 FTS]])</f>
        <v>-0.57430278663740886</v>
      </c>
      <c r="AJ48">
        <f>LOG(Table1_1[[#This Row],[3:3 FTCA]])</f>
        <v>-1.0861861476162833</v>
      </c>
      <c r="AK48">
        <f>LOG(Table1_1[[#This Row],[5:3 FTCA]])</f>
        <v>0.67669360962486658</v>
      </c>
      <c r="AL48">
        <f>LOG(Table1_1[[#This Row],[7:3 FTCA]])</f>
        <v>0.91275330367132301</v>
      </c>
      <c r="AM48">
        <f>LOG(Table1_1[[#This Row],[6:2 FTCA]])</f>
        <v>-1.341035157335565</v>
      </c>
      <c r="AN48">
        <f>LOG(Table1_1[[#This Row],[8:2 FTCA]])</f>
        <v>-1.5451551399914898</v>
      </c>
      <c r="AO48">
        <f>LOG(Table1_1[[#This Row],[10:2 FTCA]])</f>
        <v>-0.97469413473522981</v>
      </c>
      <c r="AP48">
        <f>LOG(Table1_1[[#This Row],[6:2 FTUCA]])</f>
        <v>-1.2518119729937995</v>
      </c>
      <c r="AQ48">
        <f>LOG(Table1_1[[#This Row],[8:2 FTUCA]])</f>
        <v>-1.3660268442103265</v>
      </c>
      <c r="AR48">
        <f>LOG(Table1_1[[#This Row],[ADONA]])</f>
        <v>-1.1487416512809248</v>
      </c>
      <c r="AS48">
        <f>LOG(Table1_1[[#This Row],[9Cl-PF3ONS]])</f>
        <v>-1.3062730510763532</v>
      </c>
      <c r="AT48">
        <f>LOG(Table1_1[[#This Row],[11Cl-PF3OUdS]])</f>
        <v>-1.2518119729937995</v>
      </c>
      <c r="AU48">
        <f>LOG(Table1_1[[#This Row],[HFPO-DA]])</f>
        <v>-0.99139982823808248</v>
      </c>
      <c r="AV48">
        <f>LOG(Table1_1[[#This Row],[6:2 diPAP]])</f>
        <v>-1.1191864077192086</v>
      </c>
      <c r="AW48">
        <f>LOG(Table1_1[[#This Row],[8:2 diPAP]])</f>
        <v>-1.0268721464003014</v>
      </c>
      <c r="AX48">
        <f>LOG(Table1_1[[#This Row],[diSAmPAP]])</f>
        <v>-0.90308998699194354</v>
      </c>
    </row>
    <row r="49" spans="1:50">
      <c r="A49">
        <f>LOG(Table1_1[[#This Row],[PFBA]])</f>
        <v>-1.5994620106080539</v>
      </c>
      <c r="B49">
        <f>LOG(Table1_1[[#This Row],[PFPeA]])</f>
        <v>-1.3526170298853801</v>
      </c>
      <c r="C49">
        <f>LOG(Table1_1[[#This Row],[PFHxA]])</f>
        <v>-0.4145392704914993</v>
      </c>
      <c r="D49">
        <f>LOG(Table1_1[[#This Row],[PFHpA]])</f>
        <v>-1.080921907623926</v>
      </c>
      <c r="E49">
        <f>LOG(Table1_1[[#This Row],[PFOA]])</f>
        <v>0.50920252233110286</v>
      </c>
      <c r="F49">
        <f>LOG(Table1_1[[#This Row],[PFNA]])</f>
        <v>1.1172712956557642</v>
      </c>
      <c r="G49">
        <f>LOG(Table1_1[[#This Row],[PFDA]])</f>
        <v>1.1335389083702174</v>
      </c>
      <c r="H49">
        <f>LOG(Table1_1[[#This Row],[PFUnA]])</f>
        <v>1.3856062735983121</v>
      </c>
      <c r="I49">
        <f>LOG(Table1_1[[#This Row],[PFDoA]])</f>
        <v>1.2329961103921538</v>
      </c>
      <c r="J49">
        <f>LOG(Table1_1[[#This Row],[PFTrDA]])</f>
        <v>0.66086547800386919</v>
      </c>
      <c r="K49">
        <f>LOG(Table1_1[[#This Row],[PFTeDA]])</f>
        <v>0.98811284026835189</v>
      </c>
      <c r="L49">
        <f>LOG(Table1_1[[#This Row],[PFHxDA]])</f>
        <v>-1.1249387366082999</v>
      </c>
      <c r="M49">
        <f>LOG(Table1_1[[#This Row],[PFPrS]])</f>
        <v>-1.3196644865854368</v>
      </c>
      <c r="N49">
        <f>LOG(Table1_1[[#This Row],[PFBS]])</f>
        <v>-0.8507808873446201</v>
      </c>
      <c r="O49">
        <f>LOG(Table1_1[[#This Row],[PFPeS]])</f>
        <v>0.23299611039215382</v>
      </c>
      <c r="P49">
        <f>LOG(Table1_1[[#This Row],[PFHxS]])</f>
        <v>1.7505083948513462</v>
      </c>
      <c r="Q49">
        <f>LOG(Table1_1[[#This Row],[PFHpS]])</f>
        <v>0.94101424370556974</v>
      </c>
      <c r="R49">
        <f>LOG(Table1_1[[#This Row],[PFOS]])</f>
        <v>3.214843848047698</v>
      </c>
      <c r="S49">
        <f>LOG(Table1_1[[#This Row],[PFNS]])</f>
        <v>0.250420002308894</v>
      </c>
      <c r="T49">
        <f>LOG(Table1_1[[#This Row],[PFDS]])</f>
        <v>1.0253058652647702</v>
      </c>
      <c r="U49">
        <f>LOG(Table1_1[[#This Row],[PFDoS]])</f>
        <v>6.445798922691845E-2</v>
      </c>
      <c r="V49">
        <f>LOG(Table1_1[[#This Row],[Cl-PFOS]])</f>
        <v>-0.19928292171761497</v>
      </c>
      <c r="W49">
        <f>LOG(Table1_1[[#This Row],[PFEtCHxS]])</f>
        <v>-0.56863623584101264</v>
      </c>
      <c r="X49">
        <f>LOG(Table1_1[[#This Row],[FBSA]])</f>
        <v>1.9894498176666917</v>
      </c>
      <c r="Y49">
        <f>LOG(Table1_1[[#This Row],[FHxSA]])</f>
        <v>2.5820633629117089</v>
      </c>
      <c r="Z49">
        <f>LOG(Table1_1[[#This Row],[FOSA]])</f>
        <v>1.481442628502305</v>
      </c>
      <c r="AA49">
        <f>LOG(Table1_1[[#This Row],[N-MeFOSA]])</f>
        <v>-1.3156035215809796</v>
      </c>
      <c r="AB49">
        <f>LOG(Table1_1[[#This Row],[N-EtFOSA]])</f>
        <v>-1.133712660915805</v>
      </c>
      <c r="AC49">
        <f>LOG(Table1_1[[#This Row],[FOSAA]])</f>
        <v>-1.304956341178706</v>
      </c>
      <c r="AD49">
        <f>LOG(Table1_1[[#This Row],[N-MeFOSAA]])</f>
        <v>7.554696139253074E-2</v>
      </c>
      <c r="AE49">
        <f>LOG(Table1_1[[#This Row],[N-EtFOSAA]])</f>
        <v>-1.2636034977233577</v>
      </c>
      <c r="AF49">
        <f>LOG(Table1_1[[#This Row],[4:2 FTS]])</f>
        <v>-1.288192770958809</v>
      </c>
      <c r="AG49">
        <f>LOG(Table1_1[[#This Row],[6:2 FTS]])</f>
        <v>-0.42481215507233894</v>
      </c>
      <c r="AH49">
        <f>LOG(Table1_1[[#This Row],[8:2 FTS]])</f>
        <v>1.4871383754771865</v>
      </c>
      <c r="AI49">
        <f>LOG(Table1_1[[#This Row],[10:2 FTS]])</f>
        <v>-6.2482107982653363E-2</v>
      </c>
      <c r="AJ49">
        <f>LOG(Table1_1[[#This Row],[3:3 FTCA]])</f>
        <v>-1.1396619934290064</v>
      </c>
      <c r="AK49">
        <f>LOG(Table1_1[[#This Row],[5:3 FTCA]])</f>
        <v>0.45939248775923086</v>
      </c>
      <c r="AL49">
        <f>LOG(Table1_1[[#This Row],[7:3 FTCA]])</f>
        <v>1.3463529744506386</v>
      </c>
      <c r="AM49">
        <f>LOG(Table1_1[[#This Row],[6:2 FTCA]])</f>
        <v>-1.3946949538588904</v>
      </c>
      <c r="AN49">
        <f>LOG(Table1_1[[#This Row],[8:2 FTCA]])</f>
        <v>-1.5994620106080539</v>
      </c>
      <c r="AO49">
        <f>LOG(Table1_1[[#This Row],[10:2 FTCA]])</f>
        <v>-1.0268721464003014</v>
      </c>
      <c r="AP49">
        <f>LOG(Table1_1[[#This Row],[6:2 FTUCA]])</f>
        <v>-1.3075937651663694</v>
      </c>
      <c r="AQ49">
        <f>LOG(Table1_1[[#This Row],[8:2 FTUCA]])</f>
        <v>-1.4213607900319276</v>
      </c>
      <c r="AR49">
        <f>LOG(Table1_1[[#This Row],[ADONA]])</f>
        <v>-1.2006594505464183</v>
      </c>
      <c r="AS49">
        <f>LOG(Table1_1[[#This Row],[9Cl-PF3ONS]])</f>
        <v>-1.3600157519584115</v>
      </c>
      <c r="AT49">
        <f>LOG(Table1_1[[#This Row],[11Cl-PF3OUdS]])</f>
        <v>-1.304956341178706</v>
      </c>
      <c r="AU49">
        <f>LOG(Table1_1[[#This Row],[HFPO-DA]])</f>
        <v>-1.0457574905606752</v>
      </c>
      <c r="AV49">
        <f>LOG(Table1_1[[#This Row],[6:2 diPAP]])</f>
        <v>-1.1739251972991736</v>
      </c>
      <c r="AW49">
        <f>LOG(Table1_1[[#This Row],[8:2 diPAP]])</f>
        <v>-1.0783135245163979</v>
      </c>
      <c r="AX49">
        <f>LOG(Table1_1[[#This Row],[diSAmPAP]])</f>
        <v>-0.95663772197887054</v>
      </c>
    </row>
    <row r="50" spans="1:50">
      <c r="A50">
        <f>LOG(Table1_1[[#This Row],[PFBA]])</f>
        <v>-1.0385789059335517</v>
      </c>
      <c r="B50">
        <f>LOG(Table1_1[[#This Row],[PFPeA]])</f>
        <v>-0.790484985457369</v>
      </c>
      <c r="C50">
        <f>LOG(Table1_1[[#This Row],[PFHxA]])</f>
        <v>-0.18177410638604449</v>
      </c>
      <c r="D50">
        <f>LOG(Table1_1[[#This Row],[PFHpA]])</f>
        <v>-1.0385789059335517</v>
      </c>
      <c r="E50">
        <f>LOG(Table1_1[[#This Row],[PFOA]])</f>
        <v>0.91907809237607396</v>
      </c>
      <c r="F50">
        <f>LOG(Table1_1[[#This Row],[PFNA]])</f>
        <v>1.0569048513364727</v>
      </c>
      <c r="G50">
        <f>LOG(Table1_1[[#This Row],[PFDA]])</f>
        <v>1.1789769472931695</v>
      </c>
      <c r="H50">
        <f>LOG(Table1_1[[#This Row],[PFUnA]])</f>
        <v>1.2988530764097066</v>
      </c>
      <c r="I50">
        <f>LOG(Table1_1[[#This Row],[PFDoA]])</f>
        <v>1.4281347940287887</v>
      </c>
      <c r="J50">
        <f>LOG(Table1_1[[#This Row],[PFTrDA]])</f>
        <v>1.1430148002540952</v>
      </c>
      <c r="K50">
        <f>LOG(Table1_1[[#This Row],[PFTeDA]])</f>
        <v>1.1003705451175629</v>
      </c>
      <c r="L50">
        <f>LOG(Table1_1[[#This Row],[PFHxDA]])</f>
        <v>-1.083546051450075</v>
      </c>
      <c r="M50">
        <f>LOG(Table1_1[[#This Row],[PFPrS]])</f>
        <v>-1.2757241303992111</v>
      </c>
      <c r="N50">
        <f>LOG(Table1_1[[#This Row],[PFBS]])</f>
        <v>-0.80687540164553839</v>
      </c>
      <c r="O50">
        <f>LOG(Table1_1[[#This Row],[PFPeS]])</f>
        <v>0.13987908640123647</v>
      </c>
      <c r="P50">
        <f>LOG(Table1_1[[#This Row],[PFHxS]])</f>
        <v>2.0253058652647704</v>
      </c>
      <c r="Q50">
        <f>LOG(Table1_1[[#This Row],[PFHpS]])</f>
        <v>0.6503075231319364</v>
      </c>
      <c r="R50">
        <f>LOG(Table1_1[[#This Row],[PFOS]])</f>
        <v>3.1335389083702174</v>
      </c>
      <c r="S50">
        <f>LOG(Table1_1[[#This Row],[PFNS]])</f>
        <v>-0.31069114087637978</v>
      </c>
      <c r="T50">
        <f>LOG(Table1_1[[#This Row],[PFDS]])</f>
        <v>0.94694327069782547</v>
      </c>
      <c r="U50">
        <f>LOG(Table1_1[[#This Row],[PFDoS]])</f>
        <v>-0.61083391563546752</v>
      </c>
      <c r="V50">
        <f>LOG(Table1_1[[#This Row],[Cl-PFOS]])</f>
        <v>-0.85698519974590492</v>
      </c>
      <c r="W50">
        <f>LOG(Table1_1[[#This Row],[PFEtCHxS]])</f>
        <v>-0.70333480973846885</v>
      </c>
      <c r="X50">
        <f>LOG(Table1_1[[#This Row],[FBSA]])</f>
        <v>2.7589118923979736</v>
      </c>
      <c r="Y50">
        <f>LOG(Table1_1[[#This Row],[FHxSA]])</f>
        <v>3.0253058652647704</v>
      </c>
      <c r="Z50">
        <f>LOG(Table1_1[[#This Row],[FOSA]])</f>
        <v>1.658964842664435</v>
      </c>
      <c r="AA50">
        <f>LOG(Table1_1[[#This Row],[N-MeFOSA]])</f>
        <v>-1.2716462179787715</v>
      </c>
      <c r="AB50">
        <f>LOG(Table1_1[[#This Row],[N-EtFOSA]])</f>
        <v>-1.0915149811213503</v>
      </c>
      <c r="AC50">
        <f>LOG(Table1_1[[#This Row],[FOSAA]])</f>
        <v>-1.2636034977233577</v>
      </c>
      <c r="AD50">
        <f>LOG(Table1_1[[#This Row],[N-MeFOSAA]])</f>
        <v>-2.2276394711152253E-2</v>
      </c>
      <c r="AE50">
        <f>LOG(Table1_1[[#This Row],[N-EtFOSAA]])</f>
        <v>-1.2182446253475312</v>
      </c>
      <c r="AF50">
        <f>LOG(Table1_1[[#This Row],[4:2 FTS]])</f>
        <v>-1.2441251443275085</v>
      </c>
      <c r="AG50">
        <f>LOG(Table1_1[[#This Row],[6:2 FTS]])</f>
        <v>8.6001717619175692E-3</v>
      </c>
      <c r="AH50">
        <f>LOG(Table1_1[[#This Row],[8:2 FTS]])</f>
        <v>1.414973347970818</v>
      </c>
      <c r="AI50">
        <f>LOG(Table1_1[[#This Row],[10:2 FTS]])</f>
        <v>-0.58502665202918203</v>
      </c>
      <c r="AJ50">
        <f>LOG(Table1_1[[#This Row],[3:3 FTCA]])</f>
        <v>-1.0969100130080565</v>
      </c>
      <c r="AK50">
        <f>LOG(Table1_1[[#This Row],[5:3 FTCA]])</f>
        <v>-0.26201267366656922</v>
      </c>
      <c r="AL50">
        <f>LOG(Table1_1[[#This Row],[7:3 FTCA]])</f>
        <v>0.93701610746481423</v>
      </c>
      <c r="AM50">
        <f>LOG(Table1_1[[#This Row],[6:2 FTCA]])</f>
        <v>-1.3511522916271064</v>
      </c>
      <c r="AN50">
        <f>LOG(Table1_1[[#This Row],[8:2 FTCA]])</f>
        <v>-1.5567370125413049</v>
      </c>
      <c r="AO50">
        <f>LOG(Table1_1[[#This Row],[10:2 FTCA]])</f>
        <v>-0.98505965020706343</v>
      </c>
      <c r="AP50">
        <f>LOG(Table1_1[[#This Row],[6:2 FTUCA]])</f>
        <v>-1.2636034977233577</v>
      </c>
      <c r="AQ50">
        <f>LOG(Table1_1[[#This Row],[8:2 FTUCA]])</f>
        <v>-1.3772680348352808</v>
      </c>
      <c r="AR50">
        <f>LOG(Table1_1[[#This Row],[ADONA]])</f>
        <v>-1.1580151954098861</v>
      </c>
      <c r="AS50">
        <f>LOG(Table1_1[[#This Row],[9Cl-PF3ONS]])</f>
        <v>-1.3169529617611504</v>
      </c>
      <c r="AT50">
        <f>LOG(Table1_1[[#This Row],[11Cl-PF3OUdS]])</f>
        <v>-1.2636034977233577</v>
      </c>
      <c r="AU50">
        <f>LOG(Table1_1[[#This Row],[HFPO-DA]])</f>
        <v>-1.0021769192542744</v>
      </c>
      <c r="AV50">
        <f>LOG(Table1_1[[#This Row],[6:2 diPAP]])</f>
        <v>-1.1307682802690238</v>
      </c>
      <c r="AW50">
        <f>LOG(Table1_1[[#This Row],[8:2 diPAP]])</f>
        <v>-1.0362121726544447</v>
      </c>
      <c r="AX50">
        <f>LOG(Table1_1[[#This Row],[diSAmPAP]])</f>
        <v>-0.91364016932525183</v>
      </c>
    </row>
    <row r="51" spans="1:50">
      <c r="A51">
        <f>LOG(Table1_1[[#This Row],[PFBA]])</f>
        <v>-1.0177287669604316</v>
      </c>
      <c r="B51">
        <f>LOG(Table1_1[[#This Row],[PFPeA]])</f>
        <v>-1.288192770958809</v>
      </c>
      <c r="C51">
        <f>LOG(Table1_1[[#This Row],[PFHxA]])</f>
        <v>-0.88605664769316317</v>
      </c>
      <c r="D51">
        <f>LOG(Table1_1[[#This Row],[PFHpA]])</f>
        <v>-1.0177287669604316</v>
      </c>
      <c r="E51">
        <f>LOG(Table1_1[[#This Row],[PFOA]])</f>
        <v>0.31175386105575426</v>
      </c>
      <c r="F51">
        <f>LOG(Table1_1[[#This Row],[PFNA]])</f>
        <v>0.71933128698372661</v>
      </c>
      <c r="G51">
        <f>LOG(Table1_1[[#This Row],[PFDA]])</f>
        <v>1.146128035678238</v>
      </c>
      <c r="H51">
        <f>LOG(Table1_1[[#This Row],[PFUnA]])</f>
        <v>0.9947569445876282</v>
      </c>
      <c r="I51">
        <f>LOG(Table1_1[[#This Row],[PFDoA]])</f>
        <v>0.98677173426624487</v>
      </c>
      <c r="J51">
        <f>LOG(Table1_1[[#This Row],[PFTrDA]])</f>
        <v>0.60852603357719404</v>
      </c>
      <c r="K51">
        <f>LOG(Table1_1[[#This Row],[PFTeDA]])</f>
        <v>0.61804809671209271</v>
      </c>
      <c r="L51">
        <f>LOG(Table1_1[[#This Row],[PFHxDA]])</f>
        <v>-1.0604807473813815</v>
      </c>
      <c r="M51">
        <f>LOG(Table1_1[[#This Row],[PFPrS]])</f>
        <v>-1.2557070168773237</v>
      </c>
      <c r="N51">
        <f>LOG(Table1_1[[#This Row],[PFBS]])</f>
        <v>-0.78648224300369507</v>
      </c>
      <c r="O51">
        <f>LOG(Table1_1[[#This Row],[PFPeS]])</f>
        <v>-0.42596873227228116</v>
      </c>
      <c r="P51">
        <f>LOG(Table1_1[[#This Row],[PFHxS]])</f>
        <v>1.6117233080073419</v>
      </c>
      <c r="Q51">
        <f>LOG(Table1_1[[#This Row],[PFHpS]])</f>
        <v>0.30749603791321289</v>
      </c>
      <c r="R51">
        <f>LOG(Table1_1[[#This Row],[PFOS]])</f>
        <v>2.8744818176994666</v>
      </c>
      <c r="S51">
        <f>LOG(Table1_1[[#This Row],[PFNS]])</f>
        <v>-0.86327943284359321</v>
      </c>
      <c r="T51">
        <f>LOG(Table1_1[[#This Row],[PFDS]])</f>
        <v>0.5877109650189114</v>
      </c>
      <c r="U51">
        <f>LOG(Table1_1[[#This Row],[PFDoS]])</f>
        <v>-0.5900668766687055</v>
      </c>
      <c r="V51">
        <f>LOG(Table1_1[[#This Row],[Cl-PFOS]])</f>
        <v>-0.83564714421556296</v>
      </c>
      <c r="W51">
        <f>LOG(Table1_1[[#This Row],[PFEtCHxS]])</f>
        <v>-1.0177287669604316</v>
      </c>
      <c r="X51">
        <f>LOG(Table1_1[[#This Row],[FBSA]])</f>
        <v>2.3873898263387292</v>
      </c>
      <c r="Y51">
        <f>LOG(Table1_1[[#This Row],[FHxSA]])</f>
        <v>2.7944880466591697</v>
      </c>
      <c r="Z51">
        <f>LOG(Table1_1[[#This Row],[FOSA]])</f>
        <v>1.3344537511509309</v>
      </c>
      <c r="AA51">
        <f>LOG(Table1_1[[#This Row],[N-MeFOSA]])</f>
        <v>-1.2518119729937995</v>
      </c>
      <c r="AB51">
        <f>LOG(Table1_1[[#This Row],[N-EtFOSA]])</f>
        <v>-1.0705810742857071</v>
      </c>
      <c r="AC51">
        <f>LOG(Table1_1[[#This Row],[FOSAA]])</f>
        <v>-1.2403321553103694</v>
      </c>
      <c r="AD51">
        <f>LOG(Table1_1[[#This Row],[N-MeFOSAA]])</f>
        <v>7.9181246047624818E-2</v>
      </c>
      <c r="AE51">
        <f>LOG(Table1_1[[#This Row],[N-EtFOSAA]])</f>
        <v>-1.2006594505464183</v>
      </c>
      <c r="AF51">
        <f>LOG(Table1_1[[#This Row],[4:2 FTS]])</f>
        <v>-1.2218487496163564</v>
      </c>
      <c r="AG51">
        <f>LOG(Table1_1[[#This Row],[6:2 FTS]])</f>
        <v>-0.33535802444387447</v>
      </c>
      <c r="AH51">
        <f>LOG(Table1_1[[#This Row],[8:2 FTS]])</f>
        <v>1.3364597338485296</v>
      </c>
      <c r="AI51">
        <f>LOG(Table1_1[[#This Row],[10:2 FTS]])</f>
        <v>-0.11577123036739606</v>
      </c>
      <c r="AJ51">
        <f>LOG(Table1_1[[#This Row],[3:3 FTCA]])</f>
        <v>-1.0757207139381184</v>
      </c>
      <c r="AK51">
        <f>LOG(Table1_1[[#This Row],[5:3 FTCA]])</f>
        <v>0.3222192947339193</v>
      </c>
      <c r="AL51">
        <f>LOG(Table1_1[[#This Row],[7:3 FTCA]])</f>
        <v>0.77742682238931138</v>
      </c>
      <c r="AM51">
        <f>LOG(Table1_1[[#This Row],[6:2 FTCA]])</f>
        <v>-1.329754146925876</v>
      </c>
      <c r="AN51">
        <f>LOG(Table1_1[[#This Row],[8:2 FTCA]])</f>
        <v>-1.5361070110140926</v>
      </c>
      <c r="AO51">
        <f>LOG(Table1_1[[#This Row],[10:2 FTCA]])</f>
        <v>-0.96257350205937642</v>
      </c>
      <c r="AP51">
        <f>LOG(Table1_1[[#This Row],[6:2 FTUCA]])</f>
        <v>-1.2403321553103694</v>
      </c>
      <c r="AQ51">
        <f>LOG(Table1_1[[#This Row],[8:2 FTUCA]])</f>
        <v>-1.3555614105321614</v>
      </c>
      <c r="AR51">
        <f>LOG(Table1_1[[#This Row],[ADONA]])</f>
        <v>-1.1366771398795441</v>
      </c>
      <c r="AS51">
        <f>LOG(Table1_1[[#This Row],[9Cl-PF3ONS]])</f>
        <v>-1.2967086218813386</v>
      </c>
      <c r="AT51">
        <f>LOG(Table1_1[[#This Row],[11Cl-PF3OUdS]])</f>
        <v>-1.2403321553103694</v>
      </c>
      <c r="AU51">
        <f>LOG(Table1_1[[#This Row],[HFPO-DA]])</f>
        <v>-0.98088370955292725</v>
      </c>
      <c r="AV51">
        <f>LOG(Table1_1[[#This Row],[6:2 diPAP]])</f>
        <v>-1.1106982974936896</v>
      </c>
      <c r="AW51">
        <f>LOG(Table1_1[[#This Row],[8:2 diPAP]])</f>
        <v>-1.0154726866562074</v>
      </c>
      <c r="AX51">
        <f>LOG(Table1_1[[#This Row],[diSAmPAP]])</f>
        <v>-0.89279003035213167</v>
      </c>
    </row>
    <row r="52" spans="1:50">
      <c r="A52">
        <f>LOG(Table1_1[[#This Row],[PFBA]])</f>
        <v>-1.518557371497695</v>
      </c>
      <c r="B52">
        <f>LOG(Table1_1[[#This Row],[PFPeA]])</f>
        <v>-1.2716462179787715</v>
      </c>
      <c r="C52">
        <f>LOG(Table1_1[[#This Row],[PFHxA]])</f>
        <v>-0.87127771566157319</v>
      </c>
      <c r="D52">
        <f>LOG(Table1_1[[#This Row],[PFHpA]])</f>
        <v>-1</v>
      </c>
      <c r="E52">
        <f>LOG(Table1_1[[#This Row],[PFOA]])</f>
        <v>0.2944662261615929</v>
      </c>
      <c r="F52">
        <f>LOG(Table1_1[[#This Row],[PFNA]])</f>
        <v>0.51321760006793893</v>
      </c>
      <c r="G52">
        <f>LOG(Table1_1[[#This Row],[PFDA]])</f>
        <v>1.0827853703164501</v>
      </c>
      <c r="H52">
        <f>LOG(Table1_1[[#This Row],[PFUnA]])</f>
        <v>1.3483048630481607</v>
      </c>
      <c r="I52">
        <f>LOG(Table1_1[[#This Row],[PFDoA]])</f>
        <v>1.3344537511509309</v>
      </c>
      <c r="J52">
        <f>LOG(Table1_1[[#This Row],[PFTrDA]])</f>
        <v>1.0374264979406236</v>
      </c>
      <c r="K52">
        <f>LOG(Table1_1[[#This Row],[PFTeDA]])</f>
        <v>0.98900461569853682</v>
      </c>
      <c r="L52">
        <f>LOG(Table1_1[[#This Row],[PFHxDA]])</f>
        <v>-1.0457574905606752</v>
      </c>
      <c r="M52">
        <f>LOG(Table1_1[[#This Row],[PFPrS]])</f>
        <v>-1.2403321553103694</v>
      </c>
      <c r="N52">
        <f>LOG(Table1_1[[#This Row],[PFBS]])</f>
        <v>-0.769551078621726</v>
      </c>
      <c r="O52">
        <f>LOG(Table1_1[[#This Row],[PFPeS]])</f>
        <v>-4.2392712939904729E-2</v>
      </c>
      <c r="P52">
        <f>LOG(Table1_1[[#This Row],[PFHxS]])</f>
        <v>1.5611013836490559</v>
      </c>
      <c r="Q52">
        <f>LOG(Table1_1[[#This Row],[PFHpS]])</f>
        <v>0.7930916001765802</v>
      </c>
      <c r="R52">
        <f>LOG(Table1_1[[#This Row],[PFOS]])</f>
        <v>3.0718820073061255</v>
      </c>
      <c r="S52">
        <f>LOG(Table1_1[[#This Row],[PFNS]])</f>
        <v>-5.7495893831919269E-2</v>
      </c>
      <c r="T52">
        <f>LOG(Table1_1[[#This Row],[PFDS]])</f>
        <v>0.94694327069782547</v>
      </c>
      <c r="U52">
        <f>LOG(Table1_1[[#This Row],[PFDoS]])</f>
        <v>0.11394335230683679</v>
      </c>
      <c r="V52">
        <f>LOG(Table1_1[[#This Row],[Cl-PFOS]])</f>
        <v>-0.36251027048748929</v>
      </c>
      <c r="W52">
        <f>LOG(Table1_1[[#This Row],[PFEtCHxS]])</f>
        <v>-0.67571754470230738</v>
      </c>
      <c r="X52">
        <f>LOG(Table1_1[[#This Row],[FBSA]])</f>
        <v>2.2253092817258628</v>
      </c>
      <c r="Y52">
        <f>LOG(Table1_1[[#This Row],[FHxSA]])</f>
        <v>2.6414741105040997</v>
      </c>
      <c r="Z52">
        <f>LOG(Table1_1[[#This Row],[FOSA]])</f>
        <v>1.4099331233312946</v>
      </c>
      <c r="AA52">
        <f>LOG(Table1_1[[#This Row],[N-MeFOSA]])</f>
        <v>-1.2365720064370627</v>
      </c>
      <c r="AB52">
        <f>LOG(Table1_1[[#This Row],[N-EtFOSA]])</f>
        <v>-1.0555173278498313</v>
      </c>
      <c r="AC52">
        <f>LOG(Table1_1[[#This Row],[FOSAA]])</f>
        <v>-1.2254830342714504</v>
      </c>
      <c r="AD52">
        <f>LOG(Table1_1[[#This Row],[N-MeFOSAA]])</f>
        <v>0.11727129565576427</v>
      </c>
      <c r="AE52">
        <f>LOG(Table1_1[[#This Row],[N-EtFOSAA]])</f>
        <v>-1.1837587000082168</v>
      </c>
      <c r="AF52">
        <f>LOG(Table1_1[[#This Row],[4:2 FTS]])</f>
        <v>-1.2076083105017461</v>
      </c>
      <c r="AG52">
        <f>LOG(Table1_1[[#This Row],[6:2 FTS]])</f>
        <v>-0.13076828026902382</v>
      </c>
      <c r="AH52">
        <f>LOG(Table1_1[[#This Row],[8:2 FTS]])</f>
        <v>1.3242824552976926</v>
      </c>
      <c r="AI52">
        <f>LOG(Table1_1[[#This Row],[10:2 FTS]])</f>
        <v>-1.0655015487564323</v>
      </c>
      <c r="AJ52">
        <f>LOG(Table1_1[[#This Row],[3:3 FTCA]])</f>
        <v>-1.0604807473813815</v>
      </c>
      <c r="AK52">
        <f>LOG(Table1_1[[#This Row],[5:3 FTCA]])</f>
        <v>0.26245108973042947</v>
      </c>
      <c r="AL52">
        <f>LOG(Table1_1[[#This Row],[7:3 FTCA]])</f>
        <v>0.43136376415898736</v>
      </c>
      <c r="AM52">
        <f>LOG(Table1_1[[#This Row],[6:2 FTCA]])</f>
        <v>-1.3142582613977363</v>
      </c>
      <c r="AN52">
        <f>LOG(Table1_1[[#This Row],[8:2 FTCA]])</f>
        <v>-1.518557371497695</v>
      </c>
      <c r="AO52">
        <f>LOG(Table1_1[[#This Row],[10:2 FTCA]])</f>
        <v>-0.94884747755261867</v>
      </c>
      <c r="AP52">
        <f>LOG(Table1_1[[#This Row],[6:2 FTUCA]])</f>
        <v>-1.2254830342714504</v>
      </c>
      <c r="AQ52">
        <f>LOG(Table1_1[[#This Row],[8:2 FTUCA]])</f>
        <v>-1.341035157335565</v>
      </c>
      <c r="AR52">
        <f>LOG(Table1_1[[#This Row],[ADONA]])</f>
        <v>-1.1220530483708118</v>
      </c>
      <c r="AS52">
        <f>LOG(Table1_1[[#This Row],[9Cl-PF3ONS]])</f>
        <v>-1.2798406965940432</v>
      </c>
      <c r="AT52">
        <f>LOG(Table1_1[[#This Row],[11Cl-PF3OUdS]])</f>
        <v>-1.2254830342714504</v>
      </c>
      <c r="AU52">
        <f>LOG(Table1_1[[#This Row],[HFPO-DA]])</f>
        <v>-0.96457026181545169</v>
      </c>
      <c r="AV52">
        <f>LOG(Table1_1[[#This Row],[6:2 diPAP]])</f>
        <v>-1.0942041196321315</v>
      </c>
      <c r="AW52">
        <f>LOG(Table1_1[[#This Row],[8:2 diPAP]])</f>
        <v>-1</v>
      </c>
      <c r="AX52">
        <f>LOG(Table1_1[[#This Row],[diSAmPAP]])</f>
        <v>-0.87614835903291421</v>
      </c>
    </row>
    <row r="53" spans="1:50">
      <c r="A53">
        <f>LOG(Table1_1[[#This Row],[PFBA]])</f>
        <v>-1.5590909179347823</v>
      </c>
      <c r="B53">
        <f>LOG(Table1_1[[#This Row],[PFPeA]])</f>
        <v>-1.3129171553956294</v>
      </c>
      <c r="C53">
        <f>LOG(Table1_1[[#This Row],[PFHxA]])</f>
        <v>-0.91186391129944877</v>
      </c>
      <c r="D53">
        <f>LOG(Table1_1[[#This Row],[PFHpA]])</f>
        <v>-1.5590909179347823</v>
      </c>
      <c r="E53">
        <f>LOG(Table1_1[[#This Row],[PFOA]])</f>
        <v>0.28103336724772754</v>
      </c>
      <c r="F53">
        <f>LOG(Table1_1[[#This Row],[PFNA]])</f>
        <v>0.76417613239033066</v>
      </c>
      <c r="G53">
        <f>LOG(Table1_1[[#This Row],[PFDA]])</f>
        <v>1.1271047983648077</v>
      </c>
      <c r="H53">
        <f>LOG(Table1_1[[#This Row],[PFUnA]])</f>
        <v>1.4800069429571505</v>
      </c>
      <c r="I53">
        <f>LOG(Table1_1[[#This Row],[PFDoA]])</f>
        <v>1.4456042032735976</v>
      </c>
      <c r="J53">
        <f>LOG(Table1_1[[#This Row],[PFTrDA]])</f>
        <v>0.87098881376057524</v>
      </c>
      <c r="K53">
        <f>LOG(Table1_1[[#This Row],[PFTeDA]])</f>
        <v>1.0569048513364727</v>
      </c>
      <c r="L53">
        <f>LOG(Table1_1[[#This Row],[PFHxDA]])</f>
        <v>-1.0861861476162833</v>
      </c>
      <c r="M53">
        <f>LOG(Table1_1[[#This Row],[PFPrS]])</f>
        <v>-1.2798406965940432</v>
      </c>
      <c r="N53">
        <f>LOG(Table1_1[[#This Row],[PFBS]])</f>
        <v>-0.8096683018297085</v>
      </c>
      <c r="O53">
        <f>LOG(Table1_1[[#This Row],[PFPeS]])</f>
        <v>-0.43415218132648237</v>
      </c>
      <c r="P53">
        <f>LOG(Table1_1[[#This Row],[PFHxS]])</f>
        <v>1.705007959333336</v>
      </c>
      <c r="Q53">
        <f>LOG(Table1_1[[#This Row],[PFHpS]])</f>
        <v>0.73399928653838686</v>
      </c>
      <c r="R53">
        <f>LOG(Table1_1[[#This Row],[PFOS]])</f>
        <v>3.0211892990699383</v>
      </c>
      <c r="S53">
        <f>LOG(Table1_1[[#This Row],[PFNS]])</f>
        <v>-0.32697909287110383</v>
      </c>
      <c r="T53">
        <f>LOG(Table1_1[[#This Row],[PFDS]])</f>
        <v>0.49831055378960049</v>
      </c>
      <c r="U53">
        <f>LOG(Table1_1[[#This Row],[PFDoS]])</f>
        <v>-0.61439372640168788</v>
      </c>
      <c r="V53">
        <f>LOG(Table1_1[[#This Row],[Cl-PFOS]])</f>
        <v>-0.86012091359876341</v>
      </c>
      <c r="W53">
        <f>LOG(Table1_1[[#This Row],[PFEtCHxS]])</f>
        <v>-0.7055337738384071</v>
      </c>
      <c r="X53">
        <f>LOG(Table1_1[[#This Row],[FBSA]])</f>
        <v>1.5976951859255124</v>
      </c>
      <c r="Y53">
        <f>LOG(Table1_1[[#This Row],[FHxSA]])</f>
        <v>2.2329961103921536</v>
      </c>
      <c r="Z53">
        <f>LOG(Table1_1[[#This Row],[FOSA]])</f>
        <v>1.2671717284030137</v>
      </c>
      <c r="AA53">
        <f>LOG(Table1_1[[#This Row],[N-MeFOSA]])</f>
        <v>-1.2757241303992111</v>
      </c>
      <c r="AB53">
        <f>LOG(Table1_1[[#This Row],[N-EtFOSA]])</f>
        <v>-1.0942041196321315</v>
      </c>
      <c r="AC53">
        <f>LOG(Table1_1[[#This Row],[FOSAA]])</f>
        <v>-1.2636034977233577</v>
      </c>
      <c r="AD53">
        <f>LOG(Table1_1[[#This Row],[N-MeFOSAA]])</f>
        <v>-0.64016451766011195</v>
      </c>
      <c r="AE53">
        <f>LOG(Table1_1[[#This Row],[N-EtFOSAA]])</f>
        <v>-1.2218487496163564</v>
      </c>
      <c r="AF53">
        <f>LOG(Table1_1[[#This Row],[4:2 FTS]])</f>
        <v>-1.2479515521805615</v>
      </c>
      <c r="AG53">
        <f>LOG(Table1_1[[#This Row],[6:2 FTS]])</f>
        <v>-8.7246696328677029E-2</v>
      </c>
      <c r="AH53">
        <f>LOG(Table1_1[[#This Row],[8:2 FTS]])</f>
        <v>1.3873898263387294</v>
      </c>
      <c r="AI53">
        <f>LOG(Table1_1[[#This Row],[10:2 FTS]])</f>
        <v>-1.1079053973095196</v>
      </c>
      <c r="AJ53">
        <f>LOG(Table1_1[[#This Row],[3:3 FTCA]])</f>
        <v>-1.0996328713435297</v>
      </c>
      <c r="AK53">
        <f>LOG(Table1_1[[#This Row],[5:3 FTCA]])</f>
        <v>-1.2839966563652008</v>
      </c>
      <c r="AL53">
        <f>LOG(Table1_1[[#This Row],[7:3 FTCA]])</f>
        <v>1.1172712956557642</v>
      </c>
      <c r="AM53">
        <f>LOG(Table1_1[[#This Row],[6:2 FTCA]])</f>
        <v>-1.3540867249661557</v>
      </c>
      <c r="AN53">
        <f>LOG(Table1_1[[#This Row],[8:2 FTCA]])</f>
        <v>-1.5590909179347823</v>
      </c>
      <c r="AO53">
        <f>LOG(Table1_1[[#This Row],[10:2 FTCA]])</f>
        <v>-0.98716277529482777</v>
      </c>
      <c r="AP53">
        <f>LOG(Table1_1[[#This Row],[6:2 FTUCA]])</f>
        <v>-1.2676062401770316</v>
      </c>
      <c r="AQ53">
        <f>LOG(Table1_1[[#This Row],[8:2 FTUCA]])</f>
        <v>-1.3803849942571935</v>
      </c>
      <c r="AR53">
        <f>LOG(Table1_1[[#This Row],[ADONA]])</f>
        <v>-1.1611509092627446</v>
      </c>
      <c r="AS53">
        <f>LOG(Table1_1[[#This Row],[9Cl-PF3ONS]])</f>
        <v>-1.3196644865854368</v>
      </c>
      <c r="AT53">
        <f>LOG(Table1_1[[#This Row],[11Cl-PF3OUdS]])</f>
        <v>-1.2676062401770316</v>
      </c>
      <c r="AU53">
        <f>LOG(Table1_1[[#This Row],[HFPO-DA]])</f>
        <v>-1.0043648054024501</v>
      </c>
      <c r="AV53">
        <f>LOG(Table1_1[[#This Row],[6:2 diPAP]])</f>
        <v>-1.133712660915805</v>
      </c>
      <c r="AW53">
        <f>LOG(Table1_1[[#This Row],[8:2 diPAP]])</f>
        <v>-1.0385789059335517</v>
      </c>
      <c r="AX53">
        <f>LOG(Table1_1[[#This Row],[diSAmPAP]])</f>
        <v>-0.91721462968354994</v>
      </c>
    </row>
    <row r="54" spans="1:50">
      <c r="A54">
        <f>LOG(Table1_1[[#This Row],[PFBA]])</f>
        <v>-1.5670307091255944</v>
      </c>
      <c r="B54">
        <f>LOG(Table1_1[[#This Row],[PFPeA]])</f>
        <v>-1.3183066079954358</v>
      </c>
      <c r="C54">
        <f>LOG(Table1_1[[#This Row],[PFHxA]])</f>
        <v>-0.91721462968354994</v>
      </c>
      <c r="D54">
        <f>LOG(Table1_1[[#This Row],[PFHpA]])</f>
        <v>-1.0481769646840879</v>
      </c>
      <c r="E54">
        <f>LOG(Table1_1[[#This Row],[PFOA]])</f>
        <v>0.72591163229504818</v>
      </c>
      <c r="F54">
        <f>LOG(Table1_1[[#This Row],[PFNA]])</f>
        <v>1</v>
      </c>
      <c r="G54">
        <f>LOG(Table1_1[[#This Row],[PFDA]])</f>
        <v>1.0863598306747482</v>
      </c>
      <c r="H54">
        <f>LOG(Table1_1[[#This Row],[PFUnA]])</f>
        <v>1.1583624920952498</v>
      </c>
      <c r="I54">
        <f>LOG(Table1_1[[#This Row],[PFDoA]])</f>
        <v>1.2944662261615929</v>
      </c>
      <c r="J54">
        <f>LOG(Table1_1[[#This Row],[PFTrDA]])</f>
        <v>0.99255351783213563</v>
      </c>
      <c r="K54">
        <f>LOG(Table1_1[[#This Row],[PFTeDA]])</f>
        <v>0.95616843047536326</v>
      </c>
      <c r="L54">
        <f>LOG(Table1_1[[#This Row],[PFHxDA]])</f>
        <v>-1.0915149811213503</v>
      </c>
      <c r="M54">
        <f>LOG(Table1_1[[#This Row],[PFPrS]])</f>
        <v>-1.2839966563652008</v>
      </c>
      <c r="N54">
        <f>LOG(Table1_1[[#This Row],[PFBS]])</f>
        <v>-0.81673015631719537</v>
      </c>
      <c r="O54">
        <f>LOG(Table1_1[[#This Row],[PFPeS]])</f>
        <v>-0.20204035626280387</v>
      </c>
      <c r="P54">
        <f>LOG(Table1_1[[#This Row],[PFHxS]])</f>
        <v>1.8438554226231612</v>
      </c>
      <c r="Q54">
        <f>LOG(Table1_1[[#This Row],[PFHpS]])</f>
        <v>0.64836001098093166</v>
      </c>
      <c r="R54">
        <f>LOG(Table1_1[[#This Row],[PFOS]])</f>
        <v>3.0453229787866576</v>
      </c>
      <c r="S54">
        <f>LOG(Table1_1[[#This Row],[PFNS]])</f>
        <v>0.14921911265537988</v>
      </c>
      <c r="T54">
        <f>LOG(Table1_1[[#This Row],[PFDS]])</f>
        <v>1.0413926851582251</v>
      </c>
      <c r="U54">
        <f>LOG(Table1_1[[#This Row],[PFDoS]])</f>
        <v>-8.7246696328677029E-2</v>
      </c>
      <c r="V54">
        <f>LOG(Table1_1[[#This Row],[Cl-PFOS]])</f>
        <v>-0.86486734862322512</v>
      </c>
      <c r="W54">
        <f>LOG(Table1_1[[#This Row],[PFEtCHxS]])</f>
        <v>-0.67571754470230738</v>
      </c>
      <c r="X54">
        <f>LOG(Table1_1[[#This Row],[FBSA]])</f>
        <v>1.8864907251724818</v>
      </c>
      <c r="Y54">
        <f>LOG(Table1_1[[#This Row],[FHxSA]])</f>
        <v>2.3138672203691533</v>
      </c>
      <c r="Z54">
        <f>LOG(Table1_1[[#This Row],[FOSA]])</f>
        <v>1.1903316981702914</v>
      </c>
      <c r="AA54">
        <f>LOG(Table1_1[[#This Row],[N-MeFOSA]])</f>
        <v>-1.2798406965940432</v>
      </c>
      <c r="AB54">
        <f>LOG(Table1_1[[#This Row],[N-EtFOSA]])</f>
        <v>-1.0996328713435297</v>
      </c>
      <c r="AC54">
        <f>LOG(Table1_1[[#This Row],[FOSAA]])</f>
        <v>-0.34678748622465633</v>
      </c>
      <c r="AD54">
        <f>LOG(Table1_1[[#This Row],[N-MeFOSAA]])</f>
        <v>0.17609125905568124</v>
      </c>
      <c r="AE54">
        <f>LOG(Table1_1[[#This Row],[N-EtFOSAA]])</f>
        <v>-1.2291479883578558</v>
      </c>
      <c r="AF54">
        <f>LOG(Table1_1[[#This Row],[4:2 FTS]])</f>
        <v>-1.2518119729937995</v>
      </c>
      <c r="AG54">
        <f>LOG(Table1_1[[#This Row],[6:2 FTS]])</f>
        <v>-0.34775365899667682</v>
      </c>
      <c r="AH54">
        <f>LOG(Table1_1[[#This Row],[8:2 FTS]])</f>
        <v>1.3283796034387378</v>
      </c>
      <c r="AI54">
        <f>LOG(Table1_1[[#This Row],[10:2 FTS]])</f>
        <v>-0.59345981956604488</v>
      </c>
      <c r="AJ54">
        <f>LOG(Table1_1[[#This Row],[3:3 FTCA]])</f>
        <v>-1.1051303432547475</v>
      </c>
      <c r="AK54">
        <f>LOG(Table1_1[[#This Row],[5:3 FTCA]])</f>
        <v>0.23044892137827391</v>
      </c>
      <c r="AL54">
        <f>LOG(Table1_1[[#This Row],[7:3 FTCA]])</f>
        <v>1.0644579892269184</v>
      </c>
      <c r="AM54">
        <f>LOG(Table1_1[[#This Row],[6:2 FTCA]])</f>
        <v>-1.3600157519584115</v>
      </c>
      <c r="AN54">
        <f>LOG(Table1_1[[#This Row],[8:2 FTCA]])</f>
        <v>-1.5670307091255944</v>
      </c>
      <c r="AO54">
        <f>LOG(Table1_1[[#This Row],[10:2 FTCA]])</f>
        <v>-0.99353395775076825</v>
      </c>
      <c r="AP54">
        <f>LOG(Table1_1[[#This Row],[6:2 FTUCA]])</f>
        <v>-1.2716462179787715</v>
      </c>
      <c r="AQ54">
        <f>LOG(Table1_1[[#This Row],[8:2 FTUCA]])</f>
        <v>-1.3866868385445403</v>
      </c>
      <c r="AR54">
        <f>LOG(Table1_1[[#This Row],[ADONA]])</f>
        <v>-1.1674910872937636</v>
      </c>
      <c r="AS54">
        <f>LOG(Table1_1[[#This Row],[9Cl-PF3ONS]])</f>
        <v>-1.3269790928711038</v>
      </c>
      <c r="AT54">
        <f>LOG(Table1_1[[#This Row],[11Cl-PF3OUdS]])</f>
        <v>-1.2716462179787715</v>
      </c>
      <c r="AU54">
        <f>LOG(Table1_1[[#This Row],[HFPO-DA]])</f>
        <v>-1.0109953843014632</v>
      </c>
      <c r="AV54">
        <f>LOG(Table1_1[[#This Row],[6:2 diPAP]])</f>
        <v>-1.1396619934290064</v>
      </c>
      <c r="AW54">
        <f>LOG(Table1_1[[#This Row],[8:2 diPAP]])</f>
        <v>-1.0457574905606752</v>
      </c>
      <c r="AX54">
        <f>LOG(Table1_1[[#This Row],[diSAmPAP]])</f>
        <v>-0.92263209471584351</v>
      </c>
    </row>
    <row r="55" spans="1:50">
      <c r="A55">
        <f>LOG(Table1_1[[#This Row],[PFBA]])</f>
        <v>-1.5428753736965912</v>
      </c>
      <c r="B55">
        <f>LOG(Table1_1[[#This Row],[PFPeA]])</f>
        <v>-1.2967086218813386</v>
      </c>
      <c r="C55">
        <f>LOG(Table1_1[[#This Row],[PFHxA]])</f>
        <v>-1.4128505017456563</v>
      </c>
      <c r="D55">
        <f>LOG(Table1_1[[#This Row],[PFHpA]])</f>
        <v>-1.5428753736965912</v>
      </c>
      <c r="E55">
        <f>LOG(Table1_1[[#This Row],[PFOA]])</f>
        <v>0.43136376415898736</v>
      </c>
      <c r="F55">
        <f>LOG(Table1_1[[#This Row],[PFNA]])</f>
        <v>0.75511226639507123</v>
      </c>
      <c r="G55">
        <f>LOG(Table1_1[[#This Row],[PFDA]])</f>
        <v>1.1789769472931695</v>
      </c>
      <c r="H55">
        <f>LOG(Table1_1[[#This Row],[PFUnA]])</f>
        <v>1.3856062735983121</v>
      </c>
      <c r="I55">
        <f>LOG(Table1_1[[#This Row],[PFDoA]])</f>
        <v>1.3873898263387294</v>
      </c>
      <c r="J55">
        <f>LOG(Table1_1[[#This Row],[PFTrDA]])</f>
        <v>0.89817648349767654</v>
      </c>
      <c r="K55">
        <f>LOG(Table1_1[[#This Row],[PFTeDA]])</f>
        <v>0.98811284026835189</v>
      </c>
      <c r="L55">
        <f>LOG(Table1_1[[#This Row],[PFHxDA]])</f>
        <v>-1.0680338852718274</v>
      </c>
      <c r="M55">
        <f>LOG(Table1_1[[#This Row],[PFPrS]])</f>
        <v>-1.2636034977233577</v>
      </c>
      <c r="N55">
        <f>LOG(Table1_1[[#This Row],[PFBS]])</f>
        <v>-0.13371266091580511</v>
      </c>
      <c r="O55">
        <f>LOG(Table1_1[[#This Row],[PFPeS]])</f>
        <v>-0.33161408330999981</v>
      </c>
      <c r="P55">
        <f>LOG(Table1_1[[#This Row],[PFHxS]])</f>
        <v>1.7965743332104296</v>
      </c>
      <c r="Q55">
        <f>LOG(Table1_1[[#This Row],[PFHpS]])</f>
        <v>0.69196510276736034</v>
      </c>
      <c r="R55">
        <f>LOG(Table1_1[[#This Row],[PFOS]])</f>
        <v>3.0644579892269186</v>
      </c>
      <c r="S55">
        <f>LOG(Table1_1[[#This Row],[PFNS]])</f>
        <v>-0.15304467498017607</v>
      </c>
      <c r="T55">
        <f>LOG(Table1_1[[#This Row],[PFDS]])</f>
        <v>1.1072099696478683</v>
      </c>
      <c r="U55">
        <f>LOG(Table1_1[[#This Row],[PFDoS]])</f>
        <v>-0.13489602535887207</v>
      </c>
      <c r="V55">
        <f>LOG(Table1_1[[#This Row],[Cl-PFOS]])</f>
        <v>-0.4736607226101559</v>
      </c>
      <c r="W55">
        <f>LOG(Table1_1[[#This Row],[PFEtCHxS]])</f>
        <v>-0.69464863055337622</v>
      </c>
      <c r="X55">
        <f>LOG(Table1_1[[#This Row],[FBSA]])</f>
        <v>1.6608654780038692</v>
      </c>
      <c r="Y55">
        <f>LOG(Table1_1[[#This Row],[FHxSA]])</f>
        <v>2.469822015978163</v>
      </c>
      <c r="Z55">
        <f>LOG(Table1_1[[#This Row],[FOSA]])</f>
        <v>1.3242824552976926</v>
      </c>
      <c r="AA55">
        <f>LOG(Table1_1[[#This Row],[N-MeFOSA]])</f>
        <v>-1.2596373105057561</v>
      </c>
      <c r="AB55">
        <f>LOG(Table1_1[[#This Row],[N-EtFOSA]])</f>
        <v>-1.0783135245163979</v>
      </c>
      <c r="AC55">
        <f>LOG(Table1_1[[#This Row],[FOSAA]])</f>
        <v>-1.2479515521805615</v>
      </c>
      <c r="AD55">
        <f>LOG(Table1_1[[#This Row],[N-MeFOSAA]])</f>
        <v>-0.19449914184159983</v>
      </c>
      <c r="AE55">
        <f>LOG(Table1_1[[#This Row],[N-EtFOSAA]])</f>
        <v>-1.2076083105017461</v>
      </c>
      <c r="AF55">
        <f>LOG(Table1_1[[#This Row],[4:2 FTS]])</f>
        <v>-1.2291479883578558</v>
      </c>
      <c r="AG55">
        <f>LOG(Table1_1[[#This Row],[6:2 FTS]])</f>
        <v>-0.37571790416433171</v>
      </c>
      <c r="AH55">
        <f>LOG(Table1_1[[#This Row],[8:2 FTS]])</f>
        <v>1.307496037913213</v>
      </c>
      <c r="AI55">
        <f>LOG(Table1_1[[#This Row],[10:2 FTS]])</f>
        <v>-1.0888423912600234</v>
      </c>
      <c r="AJ55">
        <f>LOG(Table1_1[[#This Row],[3:3 FTCA]])</f>
        <v>-1.083546051450075</v>
      </c>
      <c r="AK55">
        <f>LOG(Table1_1[[#This Row],[5:3 FTCA]])</f>
        <v>0.4099331233312945</v>
      </c>
      <c r="AL55">
        <f>LOG(Table1_1[[#This Row],[7:3 FTCA]])</f>
        <v>-1.2403321553103694</v>
      </c>
      <c r="AM55">
        <f>LOG(Table1_1[[#This Row],[6:2 FTCA]])</f>
        <v>-1.3381873144627388</v>
      </c>
      <c r="AN55">
        <f>LOG(Table1_1[[#This Row],[8:2 FTCA]])</f>
        <v>-1.5428753736965912</v>
      </c>
      <c r="AO55">
        <f>LOG(Table1_1[[#This Row],[10:2 FTCA]])</f>
        <v>-0.97061622231479039</v>
      </c>
      <c r="AP55">
        <f>LOG(Table1_1[[#This Row],[6:2 FTUCA]])</f>
        <v>-1.2518119729937995</v>
      </c>
      <c r="AQ55">
        <f>LOG(Table1_1[[#This Row],[8:2 FTUCA]])</f>
        <v>-1.3630108981877709</v>
      </c>
      <c r="AR55">
        <f>LOG(Table1_1[[#This Row],[ADONA]])</f>
        <v>-1.1456939581989194</v>
      </c>
      <c r="AS55">
        <f>LOG(Table1_1[[#This Row],[9Cl-PF3ONS]])</f>
        <v>-1.3036436112666678</v>
      </c>
      <c r="AT55">
        <f>LOG(Table1_1[[#This Row],[11Cl-PF3OUdS]])</f>
        <v>-1.2479515521805615</v>
      </c>
      <c r="AU55">
        <f>LOG(Table1_1[[#This Row],[HFPO-DA]])</f>
        <v>-0.98927613460822694</v>
      </c>
      <c r="AV55">
        <f>LOG(Table1_1[[#This Row],[6:2 diPAP]])</f>
        <v>-1.1191864077192086</v>
      </c>
      <c r="AW55">
        <f>LOG(Table1_1[[#This Row],[8:2 diPAP]])</f>
        <v>-1.0222763947111522</v>
      </c>
      <c r="AX55">
        <f>LOG(Table1_1[[#This Row],[diSAmPAP]])</f>
        <v>-0.89962945488243706</v>
      </c>
    </row>
    <row r="56" spans="1:50">
      <c r="A56">
        <f>LOG(Table1_1[[#This Row],[PFBA]])</f>
        <v>-1.5543957967264024</v>
      </c>
      <c r="B56">
        <f>LOG(Table1_1[[#This Row],[PFPeA]])</f>
        <v>-1.3062730510763532</v>
      </c>
      <c r="C56">
        <f>LOG(Table1_1[[#This Row],[PFHxA]])</f>
        <v>-0.90483064856824491</v>
      </c>
      <c r="D56">
        <f>LOG(Table1_1[[#This Row],[PFHpA]])</f>
        <v>-1.5543957967264024</v>
      </c>
      <c r="E56">
        <f>LOG(Table1_1[[#This Row],[PFOA]])</f>
        <v>0.45024910831936105</v>
      </c>
      <c r="F56">
        <f>LOG(Table1_1[[#This Row],[PFNA]])</f>
        <v>0.95856388322196739</v>
      </c>
      <c r="G56">
        <f>LOG(Table1_1[[#This Row],[PFDA]])</f>
        <v>1.2068258760318498</v>
      </c>
      <c r="H56">
        <f>LOG(Table1_1[[#This Row],[PFUnA]])</f>
        <v>1.3926969532596658</v>
      </c>
      <c r="I56">
        <f>LOG(Table1_1[[#This Row],[PFDoA]])</f>
        <v>1.4548448600085102</v>
      </c>
      <c r="J56">
        <f>LOG(Table1_1[[#This Row],[PFTrDA]])</f>
        <v>0.87852179550120646</v>
      </c>
      <c r="K56">
        <f>LOG(Table1_1[[#This Row],[PFTeDA]])</f>
        <v>1.0211892990699381</v>
      </c>
      <c r="L56">
        <f>LOG(Table1_1[[#This Row],[PFHxDA]])</f>
        <v>-1.080921907623926</v>
      </c>
      <c r="M56">
        <f>LOG(Table1_1[[#This Row],[PFPrS]])</f>
        <v>-1.2716462179787715</v>
      </c>
      <c r="N56">
        <f>LOG(Table1_1[[#This Row],[PFBS]])</f>
        <v>-1.3223930472795069</v>
      </c>
      <c r="O56">
        <f>LOG(Table1_1[[#This Row],[PFPeS]])</f>
        <v>-0.11577123036739606</v>
      </c>
      <c r="P56">
        <f>LOG(Table1_1[[#This Row],[PFHxS]])</f>
        <v>1.7259116322950483</v>
      </c>
      <c r="Q56">
        <f>LOG(Table1_1[[#This Row],[PFHpS]])</f>
        <v>0.99122607569249488</v>
      </c>
      <c r="R56">
        <f>LOG(Table1_1[[#This Row],[PFOS]])</f>
        <v>3.2304489213782741</v>
      </c>
      <c r="S56">
        <f>LOG(Table1_1[[#This Row],[PFNS]])</f>
        <v>8.6001717619175692E-3</v>
      </c>
      <c r="T56">
        <f>LOG(Table1_1[[#This Row],[PFDS]])</f>
        <v>1.0334237554869496</v>
      </c>
      <c r="U56">
        <f>LOG(Table1_1[[#This Row],[PFDoS]])</f>
        <v>-7.4464821678643838E-3</v>
      </c>
      <c r="V56">
        <f>LOG(Table1_1[[#This Row],[Cl-PFOS]])</f>
        <v>-0.34198860334288755</v>
      </c>
      <c r="W56">
        <f>LOG(Table1_1[[#This Row],[PFEtCHxS]])</f>
        <v>-0.52578373592374483</v>
      </c>
      <c r="X56">
        <f>LOG(Table1_1[[#This Row],[FBSA]])</f>
        <v>2.330413773349191</v>
      </c>
      <c r="Y56">
        <f>LOG(Table1_1[[#This Row],[FHxSA]])</f>
        <v>2.7730546933642626</v>
      </c>
      <c r="Z56">
        <f>LOG(Table1_1[[#This Row],[FOSA]])</f>
        <v>1.3891660843645324</v>
      </c>
      <c r="AA56">
        <f>LOG(Table1_1[[#This Row],[N-MeFOSA]])</f>
        <v>-1.2676062401770316</v>
      </c>
      <c r="AB56">
        <f>LOG(Table1_1[[#This Row],[N-EtFOSA]])</f>
        <v>-1.0888423912600234</v>
      </c>
      <c r="AC56">
        <f>LOG(Table1_1[[#This Row],[FOSAA]])</f>
        <v>-1.2596373105057561</v>
      </c>
      <c r="AD56">
        <f>LOG(Table1_1[[#This Row],[N-MeFOSAA]])</f>
        <v>0.20411998265592479</v>
      </c>
      <c r="AE56">
        <f>LOG(Table1_1[[#This Row],[N-EtFOSAA]])</f>
        <v>-1.2182446253475312</v>
      </c>
      <c r="AF56">
        <f>LOG(Table1_1[[#This Row],[4:2 FTS]])</f>
        <v>-1.2403321553103694</v>
      </c>
      <c r="AG56">
        <f>LOG(Table1_1[[#This Row],[6:2 FTS]])</f>
        <v>-0.85698519974590492</v>
      </c>
      <c r="AH56">
        <f>LOG(Table1_1[[#This Row],[8:2 FTS]])</f>
        <v>1.3729120029701065</v>
      </c>
      <c r="AI56">
        <f>LOG(Table1_1[[#This Row],[10:2 FTS]])</f>
        <v>-1.0996328713435297</v>
      </c>
      <c r="AJ56">
        <f>LOG(Table1_1[[#This Row],[3:3 FTCA]])</f>
        <v>-1.0942041196321315</v>
      </c>
      <c r="AK56">
        <f>LOG(Table1_1[[#This Row],[5:3 FTCA]])</f>
        <v>-0.21183162885883233</v>
      </c>
      <c r="AL56">
        <f>LOG(Table1_1[[#This Row],[7:3 FTCA]])</f>
        <v>0.97818051693741392</v>
      </c>
      <c r="AM56">
        <f>LOG(Table1_1[[#This Row],[6:2 FTCA]])</f>
        <v>-1.3482375526198891</v>
      </c>
      <c r="AN56">
        <f>LOG(Table1_1[[#This Row],[8:2 FTCA]])</f>
        <v>-1.5543957967264024</v>
      </c>
      <c r="AO56">
        <f>LOG(Table1_1[[#This Row],[10:2 FTCA]])</f>
        <v>-0.98296666070121963</v>
      </c>
      <c r="AP56">
        <f>LOG(Table1_1[[#This Row],[6:2 FTUCA]])</f>
        <v>-1.2596373105057561</v>
      </c>
      <c r="AQ56">
        <f>LOG(Table1_1[[#This Row],[8:2 FTUCA]])</f>
        <v>-1.3741732867142888</v>
      </c>
      <c r="AR56">
        <f>LOG(Table1_1[[#This Row],[ADONA]])</f>
        <v>-0.63732907027433305</v>
      </c>
      <c r="AS56">
        <f>LOG(Table1_1[[#This Row],[9Cl-PF3ONS]])</f>
        <v>-1.3142582613977363</v>
      </c>
      <c r="AT56">
        <f>LOG(Table1_1[[#This Row],[11Cl-PF3OUdS]])</f>
        <v>-1.2596373105057561</v>
      </c>
      <c r="AU56">
        <f>LOG(Table1_1[[#This Row],[HFPO-DA]])</f>
        <v>-0.99783393824349231</v>
      </c>
      <c r="AV56">
        <f>LOG(Table1_1[[#This Row],[6:2 diPAP]])</f>
        <v>-1.1278437272517072</v>
      </c>
      <c r="AW56">
        <f>LOG(Table1_1[[#This Row],[8:2 diPAP]])</f>
        <v>-1.0338582672609673</v>
      </c>
      <c r="AX56">
        <f>LOG(Table1_1[[#This Row],[diSAmPAP]])</f>
        <v>-0.91009488856060206</v>
      </c>
    </row>
    <row r="57" spans="1:50">
      <c r="A57">
        <f>LOG(Table1_1[[#This Row],[PFBA]])</f>
        <v>-1.5406075122407692</v>
      </c>
      <c r="B57">
        <f>LOG(Table1_1[[#This Row],[PFPeA]])</f>
        <v>-1.2924298239020637</v>
      </c>
      <c r="C57">
        <f>LOG(Table1_1[[#This Row],[PFHxA]])</f>
        <v>-0.89279003035213167</v>
      </c>
      <c r="D57">
        <f>LOG(Table1_1[[#This Row],[PFHpA]])</f>
        <v>-1.5406075122407692</v>
      </c>
      <c r="E57">
        <f>LOG(Table1_1[[#This Row],[PFOA]])</f>
        <v>0.53019969820308221</v>
      </c>
      <c r="F57">
        <f>LOG(Table1_1[[#This Row],[PFNA]])</f>
        <v>0.75050839485134624</v>
      </c>
      <c r="G57">
        <f>LOG(Table1_1[[#This Row],[PFDA]])</f>
        <v>1.0899051114393981</v>
      </c>
      <c r="H57">
        <f>LOG(Table1_1[[#This Row],[PFUnA]])</f>
        <v>1.1846914308175989</v>
      </c>
      <c r="I57">
        <f>LOG(Table1_1[[#This Row],[PFDoA]])</f>
        <v>1.3560258571931227</v>
      </c>
      <c r="J57">
        <f>LOG(Table1_1[[#This Row],[PFTrDA]])</f>
        <v>0.89872518158949355</v>
      </c>
      <c r="K57">
        <f>LOG(Table1_1[[#This Row],[PFTeDA]])</f>
        <v>0.88138465677057287</v>
      </c>
      <c r="L57">
        <f>LOG(Table1_1[[#This Row],[PFHxDA]])</f>
        <v>-1.0655015487564323</v>
      </c>
      <c r="M57">
        <f>LOG(Table1_1[[#This Row],[PFPrS]])</f>
        <v>-1.2596373105057561</v>
      </c>
      <c r="N57">
        <f>LOG(Table1_1[[#This Row],[PFBS]])</f>
        <v>-0.79182747333287828</v>
      </c>
      <c r="O57">
        <f>LOG(Table1_1[[#This Row],[PFPeS]])</f>
        <v>0.19312459835446161</v>
      </c>
      <c r="P57">
        <f>LOG(Table1_1[[#This Row],[PFHxS]])</f>
        <v>1.7965743332104296</v>
      </c>
      <c r="Q57">
        <f>LOG(Table1_1[[#This Row],[PFHpS]])</f>
        <v>0.97405090279287732</v>
      </c>
      <c r="R57">
        <f>LOG(Table1_1[[#This Row],[PFOS]])</f>
        <v>3.0413926851582249</v>
      </c>
      <c r="S57">
        <f>LOG(Table1_1[[#This Row],[PFNS]])</f>
        <v>0.28555730900777376</v>
      </c>
      <c r="T57">
        <f>LOG(Table1_1[[#This Row],[PFDS]])</f>
        <v>0.69019608002851374</v>
      </c>
      <c r="U57">
        <f>LOG(Table1_1[[#This Row],[PFDoS]])</f>
        <v>-0.12205304837081175</v>
      </c>
      <c r="V57">
        <f>LOG(Table1_1[[#This Row],[Cl-PFOS]])</f>
        <v>-0.3925449767853314</v>
      </c>
      <c r="W57">
        <f>LOG(Table1_1[[#This Row],[PFEtCHxS]])</f>
        <v>-0.71669877129645043</v>
      </c>
      <c r="X57">
        <f>LOG(Table1_1[[#This Row],[FBSA]])</f>
        <v>2.0043213737826426</v>
      </c>
      <c r="Y57">
        <f>LOG(Table1_1[[#This Row],[FHxSA]])</f>
        <v>2.4668676203541096</v>
      </c>
      <c r="Z57">
        <f>LOG(Table1_1[[#This Row],[FOSA]])</f>
        <v>1.2013971243204515</v>
      </c>
      <c r="AA57">
        <f>LOG(Table1_1[[#This Row],[N-MeFOSA]])</f>
        <v>-1.2557070168773237</v>
      </c>
      <c r="AB57">
        <f>LOG(Table1_1[[#This Row],[N-EtFOSA]])</f>
        <v>-1.0757207139381184</v>
      </c>
      <c r="AC57">
        <f>LOG(Table1_1[[#This Row],[FOSAA]])</f>
        <v>-1.2479515521805615</v>
      </c>
      <c r="AD57">
        <f>LOG(Table1_1[[#This Row],[N-MeFOSAA]])</f>
        <v>0.22271647114758325</v>
      </c>
      <c r="AE57">
        <f>LOG(Table1_1[[#This Row],[N-EtFOSAA]])</f>
        <v>-1.2041199826559248</v>
      </c>
      <c r="AF57">
        <f>LOG(Table1_1[[#This Row],[4:2 FTS]])</f>
        <v>-1.2291479883578558</v>
      </c>
      <c r="AG57">
        <f>LOG(Table1_1[[#This Row],[6:2 FTS]])</f>
        <v>-1.3615107430453628</v>
      </c>
      <c r="AH57">
        <f>LOG(Table1_1[[#This Row],[8:2 FTS]])</f>
        <v>1.3673559210260189</v>
      </c>
      <c r="AI57">
        <f>LOG(Table1_1[[#This Row],[10:2 FTS]])</f>
        <v>-0.24718356881172862</v>
      </c>
      <c r="AJ57">
        <f>LOG(Table1_1[[#This Row],[3:3 FTCA]])</f>
        <v>-1.080921907623926</v>
      </c>
      <c r="AK57">
        <f>LOG(Table1_1[[#This Row],[5:3 FTCA]])</f>
        <v>-1.2676062401770316</v>
      </c>
      <c r="AL57">
        <f>LOG(Table1_1[[#This Row],[7:3 FTCA]])</f>
        <v>1.5145477526602862</v>
      </c>
      <c r="AM57">
        <f>LOG(Table1_1[[#This Row],[6:2 FTCA]])</f>
        <v>-1.3353580244438745</v>
      </c>
      <c r="AN57">
        <f>LOG(Table1_1[[#This Row],[8:2 FTCA]])</f>
        <v>-1.5406075122407692</v>
      </c>
      <c r="AO57">
        <f>LOG(Table1_1[[#This Row],[10:2 FTCA]])</f>
        <v>-0.96859153574837586</v>
      </c>
      <c r="AP57">
        <f>LOG(Table1_1[[#This Row],[6:2 FTUCA]])</f>
        <v>-1.2479515521805615</v>
      </c>
      <c r="AQ57">
        <f>LOG(Table1_1[[#This Row],[8:2 FTUCA]])</f>
        <v>-1.3615107430453628</v>
      </c>
      <c r="AR57">
        <f>LOG(Table1_1[[#This Row],[ADONA]])</f>
        <v>-1.1426675035687315</v>
      </c>
      <c r="AS57">
        <f>LOG(Table1_1[[#This Row],[9Cl-PF3ONS]])</f>
        <v>-1.3023348373523256</v>
      </c>
      <c r="AT57">
        <f>LOG(Table1_1[[#This Row],[11Cl-PF3OUdS]])</f>
        <v>-1.2479515521805615</v>
      </c>
      <c r="AU57">
        <f>LOG(Table1_1[[#This Row],[HFPO-DA]])</f>
        <v>-0.98716277529482777</v>
      </c>
      <c r="AV57">
        <f>LOG(Table1_1[[#This Row],[6:2 diPAP]])</f>
        <v>-1.1163385648463824</v>
      </c>
      <c r="AW57">
        <f>LOG(Table1_1[[#This Row],[8:2 diPAP]])</f>
        <v>-1.0199966284162536</v>
      </c>
      <c r="AX57">
        <f>LOG(Table1_1[[#This Row],[diSAmPAP]])</f>
        <v>-0.89790947448816327</v>
      </c>
    </row>
    <row r="58" spans="1:50">
      <c r="A58">
        <f>LOG(Table1_1[[#This Row],[PFBA]])</f>
        <v>-1.5743027866374089</v>
      </c>
      <c r="B58">
        <f>LOG(Table1_1[[#This Row],[PFPeA]])</f>
        <v>-1.3269790928711038</v>
      </c>
      <c r="C58">
        <f>LOG(Table1_1[[#This Row],[PFHxA]])</f>
        <v>-1.4430947309445521</v>
      </c>
      <c r="D58">
        <f>LOG(Table1_1[[#This Row],[PFHpA]])</f>
        <v>-1.0555173278498313</v>
      </c>
      <c r="E58">
        <f>LOG(Table1_1[[#This Row],[PFOA]])</f>
        <v>0.29003461136251801</v>
      </c>
      <c r="F58">
        <f>LOG(Table1_1[[#This Row],[PFNA]])</f>
        <v>1.0293837776852097</v>
      </c>
      <c r="G58">
        <f>LOG(Table1_1[[#This Row],[PFDA]])</f>
        <v>1.1430148002540952</v>
      </c>
      <c r="H58">
        <f>LOG(Table1_1[[#This Row],[PFUnA]])</f>
        <v>1.5403294747908738</v>
      </c>
      <c r="I58">
        <f>LOG(Table1_1[[#This Row],[PFDoA]])</f>
        <v>1.3483048630481607</v>
      </c>
      <c r="J58">
        <f>LOG(Table1_1[[#This Row],[PFTrDA]])</f>
        <v>1.1702617153949575</v>
      </c>
      <c r="K58">
        <f>LOG(Table1_1[[#This Row],[PFTeDA]])</f>
        <v>1.0413926851582251</v>
      </c>
      <c r="L58">
        <f>LOG(Table1_1[[#This Row],[PFHxDA]])</f>
        <v>-1.0996328713435297</v>
      </c>
      <c r="M58">
        <f>LOG(Table1_1[[#This Row],[PFPrS]])</f>
        <v>-1.2924298239020637</v>
      </c>
      <c r="N58">
        <f>LOG(Table1_1[[#This Row],[PFBS]])</f>
        <v>-0.82390874094431876</v>
      </c>
      <c r="O58">
        <f>LOG(Table1_1[[#This Row],[PFPeS]])</f>
        <v>-0.32697909287110383</v>
      </c>
      <c r="P58">
        <f>LOG(Table1_1[[#This Row],[PFHxS]])</f>
        <v>1.7168377232995244</v>
      </c>
      <c r="Q58">
        <f>LOG(Table1_1[[#This Row],[PFHpS]])</f>
        <v>0.89153745767256443</v>
      </c>
      <c r="R58">
        <f>LOG(Table1_1[[#This Row],[PFOS]])</f>
        <v>3.1398790864012365</v>
      </c>
      <c r="S58">
        <f>LOG(Table1_1[[#This Row],[PFNS]])</f>
        <v>0.28330122870354957</v>
      </c>
      <c r="T58">
        <f>LOG(Table1_1[[#This Row],[PFDS]])</f>
        <v>0.98677173426624487</v>
      </c>
      <c r="U58">
        <f>LOG(Table1_1[[#This Row],[PFDoS]])</f>
        <v>8.2785370316450071E-2</v>
      </c>
      <c r="V58">
        <f>LOG(Table1_1[[#This Row],[Cl-PFOS]])</f>
        <v>-0.8728952016351923</v>
      </c>
      <c r="W58">
        <f>LOG(Table1_1[[#This Row],[PFEtCHxS]])</f>
        <v>-0.53910215724345223</v>
      </c>
      <c r="X58">
        <f>LOG(Table1_1[[#This Row],[FBSA]])</f>
        <v>1.8937617620579434</v>
      </c>
      <c r="Y58">
        <f>LOG(Table1_1[[#This Row],[FHxSA]])</f>
        <v>2.6454222693490919</v>
      </c>
      <c r="Z58">
        <f>LOG(Table1_1[[#This Row],[FOSA]])</f>
        <v>1.4502491083193612</v>
      </c>
      <c r="AA58">
        <f>LOG(Table1_1[[#This Row],[N-MeFOSA]])</f>
        <v>-1.288192770958809</v>
      </c>
      <c r="AB58">
        <f>LOG(Table1_1[[#This Row],[N-EtFOSA]])</f>
        <v>-1.1079053973095196</v>
      </c>
      <c r="AC58">
        <f>LOG(Table1_1[[#This Row],[FOSAA]])</f>
        <v>-1.2798406965940432</v>
      </c>
      <c r="AD58">
        <f>LOG(Table1_1[[#This Row],[N-MeFOSAA]])</f>
        <v>-0.65462626944091162</v>
      </c>
      <c r="AE58">
        <f>LOG(Table1_1[[#This Row],[N-EtFOSAA]])</f>
        <v>-1.2365720064370627</v>
      </c>
      <c r="AF58">
        <f>LOG(Table1_1[[#This Row],[4:2 FTS]])</f>
        <v>-1.2596373105057561</v>
      </c>
      <c r="AG58">
        <f>LOG(Table1_1[[#This Row],[6:2 FTS]])</f>
        <v>-0.13076828026902382</v>
      </c>
      <c r="AH58">
        <f>LOG(Table1_1[[#This Row],[8:2 FTS]])</f>
        <v>1.3159703454569178</v>
      </c>
      <c r="AI58">
        <f>LOG(Table1_1[[#This Row],[10:2 FTS]])</f>
        <v>-0.6020599913279624</v>
      </c>
      <c r="AJ58">
        <f>LOG(Table1_1[[#This Row],[3:3 FTCA]])</f>
        <v>-1.1135092748275182</v>
      </c>
      <c r="AK58">
        <f>LOG(Table1_1[[#This Row],[5:3 FTCA]])</f>
        <v>-1.2967086218813386</v>
      </c>
      <c r="AL58">
        <f>LOG(Table1_1[[#This Row],[7:3 FTCA]])</f>
        <v>0.69284691927722997</v>
      </c>
      <c r="AM58">
        <f>LOG(Table1_1[[#This Row],[6:2 FTCA]])</f>
        <v>-1.3675427078152758</v>
      </c>
      <c r="AN58">
        <f>LOG(Table1_1[[#This Row],[8:2 FTCA]])</f>
        <v>-1.5743027866374089</v>
      </c>
      <c r="AO58">
        <f>LOG(Table1_1[[#This Row],[10:2 FTCA]])</f>
        <v>-1.0021769192542744</v>
      </c>
      <c r="AP58">
        <f>LOG(Table1_1[[#This Row],[6:2 FTUCA]])</f>
        <v>-1.2798406965940432</v>
      </c>
      <c r="AQ58">
        <f>LOG(Table1_1[[#This Row],[8:2 FTUCA]])</f>
        <v>-1.3946949538588904</v>
      </c>
      <c r="AR58">
        <f>LOG(Table1_1[[#This Row],[ADONA]])</f>
        <v>-1.1771783546968955</v>
      </c>
      <c r="AS58">
        <f>LOG(Table1_1[[#This Row],[9Cl-PF3ONS]])</f>
        <v>-1.333950261519484</v>
      </c>
      <c r="AT58">
        <f>LOG(Table1_1[[#This Row],[11Cl-PF3OUdS]])</f>
        <v>-1.2798406965940432</v>
      </c>
      <c r="AU58">
        <f>LOG(Table1_1[[#This Row],[HFPO-DA]])</f>
        <v>-1.0177287669604316</v>
      </c>
      <c r="AV58">
        <f>LOG(Table1_1[[#This Row],[6:2 diPAP]])</f>
        <v>-1.1487416512809248</v>
      </c>
      <c r="AW58">
        <f>LOG(Table1_1[[#This Row],[8:2 diPAP]])</f>
        <v>-1.0530567293021746</v>
      </c>
      <c r="AX58">
        <f>LOG(Table1_1[[#This Row],[diSAmPAP]])</f>
        <v>-0.92996213339224498</v>
      </c>
    </row>
    <row r="59" spans="1:50">
      <c r="A59">
        <f>LOG(Table1_1[[#This Row],[PFBA]])</f>
        <v>-1.5622494371796121</v>
      </c>
      <c r="B59">
        <f>LOG(Table1_1[[#This Row],[PFPeA]])</f>
        <v>-1.3156035215809796</v>
      </c>
      <c r="C59">
        <f>LOG(Table1_1[[#This Row],[PFHxA]])</f>
        <v>-1.4323855572691555</v>
      </c>
      <c r="D59">
        <f>LOG(Table1_1[[#This Row],[PFHpA]])</f>
        <v>-1.5622494371796121</v>
      </c>
      <c r="E59">
        <f>LOG(Table1_1[[#This Row],[PFOA]])</f>
        <v>0.5158738437116791</v>
      </c>
      <c r="F59">
        <f>LOG(Table1_1[[#This Row],[PFNA]])</f>
        <v>0.66745295288995399</v>
      </c>
      <c r="G59">
        <f>LOG(Table1_1[[#This Row],[PFDA]])</f>
        <v>1.110589710299249</v>
      </c>
      <c r="H59">
        <f>LOG(Table1_1[[#This Row],[PFUnA]])</f>
        <v>1.2900346113625181</v>
      </c>
      <c r="I59">
        <f>LOG(Table1_1[[#This Row],[PFDoA]])</f>
        <v>1.3263358609287514</v>
      </c>
      <c r="J59">
        <f>LOG(Table1_1[[#This Row],[PFTrDA]])</f>
        <v>0.91750550955254662</v>
      </c>
      <c r="K59">
        <f>LOG(Table1_1[[#This Row],[PFTeDA]])</f>
        <v>0.92168647548360205</v>
      </c>
      <c r="L59">
        <f>LOG(Table1_1[[#This Row],[PFHxDA]])</f>
        <v>-1.0888423912600234</v>
      </c>
      <c r="M59">
        <f>LOG(Table1_1[[#This Row],[PFPrS]])</f>
        <v>-1.2798406965940432</v>
      </c>
      <c r="N59">
        <f>LOG(Table1_1[[#This Row],[PFBS]])</f>
        <v>-1.3311483519174814</v>
      </c>
      <c r="O59">
        <f>LOG(Table1_1[[#This Row],[PFPeS]])</f>
        <v>0.16136800223497488</v>
      </c>
      <c r="P59">
        <f>LOG(Table1_1[[#This Row],[PFHxS]])</f>
        <v>1.7867514221455612</v>
      </c>
      <c r="Q59">
        <f>LOG(Table1_1[[#This Row],[PFHpS]])</f>
        <v>1.1583624920952498</v>
      </c>
      <c r="R59">
        <f>LOG(Table1_1[[#This Row],[PFOS]])</f>
        <v>3.0293837776852097</v>
      </c>
      <c r="S59">
        <f>LOG(Table1_1[[#This Row],[PFNS]])</f>
        <v>0.38021124171160603</v>
      </c>
      <c r="T59">
        <f>LOG(Table1_1[[#This Row],[PFDS]])</f>
        <v>0.7395723444500919</v>
      </c>
      <c r="U59">
        <f>LOG(Table1_1[[#This Row],[PFDoS]])</f>
        <v>0.27875360095282892</v>
      </c>
      <c r="V59">
        <f>LOG(Table1_1[[#This Row],[Cl-PFOS]])</f>
        <v>-0.16430942850757441</v>
      </c>
      <c r="W59">
        <f>LOG(Table1_1[[#This Row],[PFEtCHxS]])</f>
        <v>-0.41341269532824504</v>
      </c>
      <c r="X59">
        <f>LOG(Table1_1[[#This Row],[FBSA]])</f>
        <v>1.5118833609788744</v>
      </c>
      <c r="Y59">
        <f>LOG(Table1_1[[#This Row],[FHxSA]])</f>
        <v>2.2430380486862944</v>
      </c>
      <c r="Z59">
        <f>LOG(Table1_1[[#This Row],[FOSA]])</f>
        <v>1.1072099696478683</v>
      </c>
      <c r="AA59">
        <f>LOG(Table1_1[[#This Row],[N-MeFOSA]])</f>
        <v>-1.2798406965940432</v>
      </c>
      <c r="AB59">
        <f>LOG(Table1_1[[#This Row],[N-EtFOSA]])</f>
        <v>-1.0969100130080565</v>
      </c>
      <c r="AC59">
        <f>LOG(Table1_1[[#This Row],[FOSAA]])</f>
        <v>-1.2676062401770316</v>
      </c>
      <c r="AD59">
        <f>LOG(Table1_1[[#This Row],[N-MeFOSAA]])</f>
        <v>-0.13312218566250114</v>
      </c>
      <c r="AE59">
        <f>LOG(Table1_1[[#This Row],[N-EtFOSAA]])</f>
        <v>-1.2254830342714504</v>
      </c>
      <c r="AF59">
        <f>LOG(Table1_1[[#This Row],[4:2 FTS]])</f>
        <v>-1.2518119729937995</v>
      </c>
      <c r="AG59">
        <f>LOG(Table1_1[[#This Row],[6:2 FTS]])</f>
        <v>-0.21112488422458328</v>
      </c>
      <c r="AH59">
        <f>LOG(Table1_1[[#This Row],[8:2 FTS]])</f>
        <v>1.424881636631067</v>
      </c>
      <c r="AI59">
        <f>LOG(Table1_1[[#This Row],[10:2 FTS]])</f>
        <v>-0.19382002601611281</v>
      </c>
      <c r="AJ59">
        <f>LOG(Table1_1[[#This Row],[3:3 FTCA]])</f>
        <v>-1.1023729087095586</v>
      </c>
      <c r="AK59">
        <f>LOG(Table1_1[[#This Row],[5:3 FTCA]])</f>
        <v>-1.288192770958809</v>
      </c>
      <c r="AL59">
        <f>LOG(Table1_1[[#This Row],[7:3 FTCA]])</f>
        <v>0.82020145948564027</v>
      </c>
      <c r="AM59">
        <f>LOG(Table1_1[[#This Row],[6:2 FTCA]])</f>
        <v>-1.3570411205902093</v>
      </c>
      <c r="AN59">
        <f>LOG(Table1_1[[#This Row],[8:2 FTCA]])</f>
        <v>-1.5622494371796121</v>
      </c>
      <c r="AO59">
        <f>LOG(Table1_1[[#This Row],[10:2 FTCA]])</f>
        <v>-0.98927613460822694</v>
      </c>
      <c r="AP59">
        <f>LOG(Table1_1[[#This Row],[6:2 FTUCA]])</f>
        <v>-1.2676062401770316</v>
      </c>
      <c r="AQ59">
        <f>LOG(Table1_1[[#This Row],[8:2 FTUCA]])</f>
        <v>-1.3835244861114346</v>
      </c>
      <c r="AR59">
        <f>LOG(Table1_1[[#This Row],[ADONA]])</f>
        <v>-1.1643094285075744</v>
      </c>
      <c r="AS59">
        <f>LOG(Table1_1[[#This Row],[9Cl-PF3ONS]])</f>
        <v>-1.3223930472795069</v>
      </c>
      <c r="AT59">
        <f>LOG(Table1_1[[#This Row],[11Cl-PF3OUdS]])</f>
        <v>-1.2676062401770316</v>
      </c>
      <c r="AU59">
        <f>LOG(Table1_1[[#This Row],[HFPO-DA]])</f>
        <v>-1.0065637695023884</v>
      </c>
      <c r="AV59">
        <f>LOG(Table1_1[[#This Row],[6:2 diPAP]])</f>
        <v>-1.1366771398795441</v>
      </c>
      <c r="AW59">
        <f>LOG(Table1_1[[#This Row],[8:2 diPAP]])</f>
        <v>-1.0409586076789064</v>
      </c>
      <c r="AX59">
        <f>LOG(Table1_1[[#This Row],[diSAmPAP]])</f>
        <v>-0.91901295308911279</v>
      </c>
    </row>
    <row r="60" spans="1:50">
      <c r="A60">
        <f>LOG(Table1_1[[#This Row],[PFBA]])</f>
        <v>-1.5361070110140926</v>
      </c>
      <c r="B60">
        <f>LOG(Table1_1[[#This Row],[PFPeA]])</f>
        <v>-1.288192770958809</v>
      </c>
      <c r="C60">
        <f>LOG(Table1_1[[#This Row],[PFHxA]])</f>
        <v>-0.88773023158272935</v>
      </c>
      <c r="D60">
        <f>LOG(Table1_1[[#This Row],[PFHpA]])</f>
        <v>-1.5361070110140926</v>
      </c>
      <c r="E60">
        <f>LOG(Table1_1[[#This Row],[PFOA]])</f>
        <v>0.64640372622306952</v>
      </c>
      <c r="F60">
        <f>LOG(Table1_1[[#This Row],[PFNA]])</f>
        <v>1.0569048513364727</v>
      </c>
      <c r="G60">
        <f>LOG(Table1_1[[#This Row],[PFDA]])</f>
        <v>1.0211892990699381</v>
      </c>
      <c r="H60">
        <f>LOG(Table1_1[[#This Row],[PFUnA]])</f>
        <v>1.3502480183341627</v>
      </c>
      <c r="I60">
        <f>LOG(Table1_1[[#This Row],[PFDoA]])</f>
        <v>1.3344537511509309</v>
      </c>
      <c r="J60">
        <f>LOG(Table1_1[[#This Row],[PFTrDA]])</f>
        <v>1</v>
      </c>
      <c r="K60">
        <f>LOG(Table1_1[[#This Row],[PFTeDA]])</f>
        <v>0.90741136077458617</v>
      </c>
      <c r="L60">
        <f>LOG(Table1_1[[#This Row],[PFHxDA]])</f>
        <v>-1.0629838925351858</v>
      </c>
      <c r="M60">
        <f>LOG(Table1_1[[#This Row],[PFPrS]])</f>
        <v>-1.2557070168773237</v>
      </c>
      <c r="N60">
        <f>LOG(Table1_1[[#This Row],[PFBS]])</f>
        <v>-0.78648224300369507</v>
      </c>
      <c r="O60">
        <f>LOG(Table1_1[[#This Row],[PFPeS]])</f>
        <v>0.17897694729316943</v>
      </c>
      <c r="P60">
        <f>LOG(Table1_1[[#This Row],[PFHxS]])</f>
        <v>1.8915374576725645</v>
      </c>
      <c r="Q60">
        <f>LOG(Table1_1[[#This Row],[PFHpS]])</f>
        <v>0.97358962342725697</v>
      </c>
      <c r="R60">
        <f>LOG(Table1_1[[#This Row],[PFOS]])</f>
        <v>3.1958996524092336</v>
      </c>
      <c r="S60">
        <f>LOG(Table1_1[[#This Row],[PFNS]])</f>
        <v>7.554696139253074E-2</v>
      </c>
      <c r="T60">
        <f>LOG(Table1_1[[#This Row],[PFDS]])</f>
        <v>0.90579588036786851</v>
      </c>
      <c r="U60">
        <f>LOG(Table1_1[[#This Row],[PFDoS]])</f>
        <v>-0.15614457737683893</v>
      </c>
      <c r="V60">
        <f>LOG(Table1_1[[#This Row],[Cl-PFOS]])</f>
        <v>-0.31695296176115045</v>
      </c>
      <c r="W60">
        <f>LOG(Table1_1[[#This Row],[PFEtCHxS]])</f>
        <v>-0.47755576649368009</v>
      </c>
      <c r="X60">
        <f>LOG(Table1_1[[#This Row],[FBSA]])</f>
        <v>1.7520484478194385</v>
      </c>
      <c r="Y60">
        <f>LOG(Table1_1[[#This Row],[FHxSA]])</f>
        <v>2.3598354823398879</v>
      </c>
      <c r="Z60">
        <f>LOG(Table1_1[[#This Row],[FOSA]])</f>
        <v>1.1522883443830565</v>
      </c>
      <c r="AA60">
        <f>LOG(Table1_1[[#This Row],[N-MeFOSA]])</f>
        <v>-1.2518119729937995</v>
      </c>
      <c r="AB60">
        <f>LOG(Table1_1[[#This Row],[N-EtFOSA]])</f>
        <v>-1.0705810742857071</v>
      </c>
      <c r="AC60">
        <f>LOG(Table1_1[[#This Row],[FOSAA]])</f>
        <v>-1.2403321553103694</v>
      </c>
      <c r="AD60">
        <f>LOG(Table1_1[[#This Row],[N-MeFOSAA]])</f>
        <v>-0.61708286491246911</v>
      </c>
      <c r="AE60">
        <f>LOG(Table1_1[[#This Row],[N-EtFOSAA]])</f>
        <v>-1.2006594505464183</v>
      </c>
      <c r="AF60">
        <f>LOG(Table1_1[[#This Row],[4:2 FTS]])</f>
        <v>-1.2254830342714504</v>
      </c>
      <c r="AG60">
        <f>LOG(Table1_1[[#This Row],[6:2 FTS]])</f>
        <v>-0.19178902707577791</v>
      </c>
      <c r="AH60">
        <f>LOG(Table1_1[[#This Row],[8:2 FTS]])</f>
        <v>1.2922560713564761</v>
      </c>
      <c r="AI60">
        <f>LOG(Table1_1[[#This Row],[10:2 FTS]])</f>
        <v>-1.083546051450075</v>
      </c>
      <c r="AJ60">
        <f>LOG(Table1_1[[#This Row],[3:3 FTCA]])</f>
        <v>-1.0757207139381184</v>
      </c>
      <c r="AK60">
        <f>LOG(Table1_1[[#This Row],[5:3 FTCA]])</f>
        <v>0.2966651902615311</v>
      </c>
      <c r="AL60">
        <f>LOG(Table1_1[[#This Row],[7:3 FTCA]])</f>
        <v>0.89486965674525254</v>
      </c>
      <c r="AM60">
        <f>LOG(Table1_1[[#This Row],[6:2 FTCA]])</f>
        <v>-1.3311483519174814</v>
      </c>
      <c r="AN60">
        <f>LOG(Table1_1[[#This Row],[8:2 FTCA]])</f>
        <v>-1.5361070110140926</v>
      </c>
      <c r="AO60">
        <f>LOG(Table1_1[[#This Row],[10:2 FTCA]])</f>
        <v>-0.96457026181545169</v>
      </c>
      <c r="AP60">
        <f>LOG(Table1_1[[#This Row],[6:2 FTUCA]])</f>
        <v>-1.2441251443275085</v>
      </c>
      <c r="AQ60">
        <f>LOG(Table1_1[[#This Row],[8:2 FTUCA]])</f>
        <v>-1.3570411205902093</v>
      </c>
      <c r="AR60">
        <f>LOG(Table1_1[[#This Row],[ADONA]])</f>
        <v>-1.1396619934290064</v>
      </c>
      <c r="AS60">
        <f>LOG(Table1_1[[#This Row],[9Cl-PF3ONS]])</f>
        <v>-1.2967086218813386</v>
      </c>
      <c r="AT60">
        <f>LOG(Table1_1[[#This Row],[11Cl-PF3OUdS]])</f>
        <v>-1.2403321553103694</v>
      </c>
      <c r="AU60">
        <f>LOG(Table1_1[[#This Row],[HFPO-DA]])</f>
        <v>-0.98088370955292725</v>
      </c>
      <c r="AV60">
        <f>LOG(Table1_1[[#This Row],[6:2 diPAP]])</f>
        <v>-1.1106982974936896</v>
      </c>
      <c r="AW60">
        <f>LOG(Table1_1[[#This Row],[8:2 diPAP]])</f>
        <v>-1.0154726866562074</v>
      </c>
      <c r="AX60">
        <f>LOG(Table1_1[[#This Row],[diSAmPAP]])</f>
        <v>-0.89279003035213167</v>
      </c>
    </row>
    <row r="61" spans="1:50">
      <c r="A61">
        <f>LOG(Table1_1[[#This Row],[PFBA]])</f>
        <v>-1.5543957967264024</v>
      </c>
      <c r="B61">
        <f>LOG(Table1_1[[#This Row],[PFPeA]])</f>
        <v>-1.3089185078770316</v>
      </c>
      <c r="C61">
        <f>LOG(Table1_1[[#This Row],[PFHxA]])</f>
        <v>-1.4248121550723389</v>
      </c>
      <c r="D61">
        <f>LOG(Table1_1[[#This Row],[PFHpA]])</f>
        <v>-1.5543957967264024</v>
      </c>
      <c r="E61">
        <f>LOG(Table1_1[[#This Row],[PFOA]])</f>
        <v>-4.672366333269562E-2</v>
      </c>
      <c r="F61">
        <f>LOG(Table1_1[[#This Row],[PFNA]])</f>
        <v>1.703333929878037E-2</v>
      </c>
      <c r="G61">
        <f>LOG(Table1_1[[#This Row],[PFDA]])</f>
        <v>0.89762709129044149</v>
      </c>
      <c r="H61">
        <f>LOG(Table1_1[[#This Row],[PFUnA]])</f>
        <v>1.0530784434834197</v>
      </c>
      <c r="I61">
        <f>LOG(Table1_1[[#This Row],[PFDoA]])</f>
        <v>1.146128035678238</v>
      </c>
      <c r="J61">
        <f>LOG(Table1_1[[#This Row],[PFTrDA]])</f>
        <v>0.85672889038288258</v>
      </c>
      <c r="K61">
        <f>LOG(Table1_1[[#This Row],[PFTeDA]])</f>
        <v>0.78031731214015132</v>
      </c>
      <c r="L61">
        <f>LOG(Table1_1[[#This Row],[PFHxDA]])</f>
        <v>-1.080921907623926</v>
      </c>
      <c r="M61">
        <f>LOG(Table1_1[[#This Row],[PFPrS]])</f>
        <v>-1.2757241303992111</v>
      </c>
      <c r="N61">
        <f>LOG(Table1_1[[#This Row],[PFBS]])</f>
        <v>-0.80687540164553839</v>
      </c>
      <c r="O61">
        <f>LOG(Table1_1[[#This Row],[PFPeS]])</f>
        <v>-0.21112488422458328</v>
      </c>
      <c r="P61">
        <f>LOG(Table1_1[[#This Row],[PFHxS]])</f>
        <v>1.4871383754771865</v>
      </c>
      <c r="Q61">
        <f>LOG(Table1_1[[#This Row],[PFHpS]])</f>
        <v>0.53529412004277055</v>
      </c>
      <c r="R61">
        <f>LOG(Table1_1[[#This Row],[PFOS]])</f>
        <v>2.8325089127062362</v>
      </c>
      <c r="S61">
        <f>LOG(Table1_1[[#This Row],[PFNS]])</f>
        <v>-0.13312218566250114</v>
      </c>
      <c r="T61">
        <f>LOG(Table1_1[[#This Row],[PFDS]])</f>
        <v>0.27646180417324412</v>
      </c>
      <c r="U61">
        <f>LOG(Table1_1[[#This Row],[PFDoS]])</f>
        <v>-0.15801519540988615</v>
      </c>
      <c r="V61">
        <f>LOG(Table1_1[[#This Row],[Cl-PFOS]])</f>
        <v>-0.85542579239038363</v>
      </c>
      <c r="W61">
        <f>LOG(Table1_1[[#This Row],[PFEtCHxS]])</f>
        <v>-1.0362121726544447</v>
      </c>
      <c r="X61">
        <f>LOG(Table1_1[[#This Row],[FBSA]])</f>
        <v>2.2624510897304293</v>
      </c>
      <c r="Y61">
        <f>LOG(Table1_1[[#This Row],[FHxSA]])</f>
        <v>2.8561244442423002</v>
      </c>
      <c r="Z61">
        <f>LOG(Table1_1[[#This Row],[FOSA]])</f>
        <v>1.3031960574204888</v>
      </c>
      <c r="AA61">
        <f>LOG(Table1_1[[#This Row],[N-MeFOSA]])</f>
        <v>-1.2716462179787715</v>
      </c>
      <c r="AB61">
        <f>LOG(Table1_1[[#This Row],[N-EtFOSA]])</f>
        <v>-1.0915149811213503</v>
      </c>
      <c r="AC61">
        <f>LOG(Table1_1[[#This Row],[FOSAA]])</f>
        <v>-1.2596373105057561</v>
      </c>
      <c r="AD61">
        <f>LOG(Table1_1[[#This Row],[N-MeFOSAA]])</f>
        <v>-0.16494389827988373</v>
      </c>
      <c r="AE61">
        <f>LOG(Table1_1[[#This Row],[N-EtFOSAA]])</f>
        <v>-1.2182446253475312</v>
      </c>
      <c r="AF61">
        <f>LOG(Table1_1[[#This Row],[4:2 FTS]])</f>
        <v>-1.2441251443275085</v>
      </c>
      <c r="AG61">
        <f>LOG(Table1_1[[#This Row],[6:2 FTS]])</f>
        <v>-1.3772680348352808</v>
      </c>
      <c r="AH61">
        <f>LOG(Table1_1[[#This Row],[8:2 FTS]])</f>
        <v>0.98677173426624487</v>
      </c>
      <c r="AI61">
        <f>LOG(Table1_1[[#This Row],[10:2 FTS]])</f>
        <v>-0.5841922723644567</v>
      </c>
      <c r="AJ61">
        <f>LOG(Table1_1[[#This Row],[3:3 FTCA]])</f>
        <v>-1.0969100130080565</v>
      </c>
      <c r="AK61">
        <f>LOG(Table1_1[[#This Row],[5:3 FTCA]])</f>
        <v>0.29003461136251801</v>
      </c>
      <c r="AL61">
        <f>LOG(Table1_1[[#This Row],[7:3 FTCA]])</f>
        <v>0.59217675739586684</v>
      </c>
      <c r="AM61">
        <f>LOG(Table1_1[[#This Row],[6:2 FTCA]])</f>
        <v>-1.3511522916271064</v>
      </c>
      <c r="AN61">
        <f>LOG(Table1_1[[#This Row],[8:2 FTCA]])</f>
        <v>-1.5543957967264024</v>
      </c>
      <c r="AO61">
        <f>LOG(Table1_1[[#This Row],[10:2 FTCA]])</f>
        <v>-0.98296666070121963</v>
      </c>
      <c r="AP61">
        <f>LOG(Table1_1[[#This Row],[6:2 FTUCA]])</f>
        <v>-1.2636034977233577</v>
      </c>
      <c r="AQ61">
        <f>LOG(Table1_1[[#This Row],[8:2 FTUCA]])</f>
        <v>-1.3772680348352808</v>
      </c>
      <c r="AR61">
        <f>LOG(Table1_1[[#This Row],[ADONA]])</f>
        <v>-1.1580151954098861</v>
      </c>
      <c r="AS61">
        <f>LOG(Table1_1[[#This Row],[9Cl-PF3ONS]])</f>
        <v>-1.3156035215809796</v>
      </c>
      <c r="AT61">
        <f>LOG(Table1_1[[#This Row],[11Cl-PF3OUdS]])</f>
        <v>-1.2596373105057561</v>
      </c>
      <c r="AU61">
        <f>LOG(Table1_1[[#This Row],[HFPO-DA]])</f>
        <v>-1</v>
      </c>
      <c r="AV61">
        <f>LOG(Table1_1[[#This Row],[6:2 diPAP]])</f>
        <v>-1.1307682802690238</v>
      </c>
      <c r="AW61">
        <f>LOG(Table1_1[[#This Row],[8:2 diPAP]])</f>
        <v>-1.0362121726544447</v>
      </c>
      <c r="AX61">
        <f>LOG(Table1_1[[#This Row],[diSAmPAP]])</f>
        <v>-0.91186391129944877</v>
      </c>
    </row>
    <row r="62" spans="1:50">
      <c r="A62">
        <f>LOG(Table1_1[[#This Row],[PFBA]])</f>
        <v>-0.64589156085259902</v>
      </c>
      <c r="B62">
        <f>LOG(Table1_1[[#This Row],[PFPeA]])</f>
        <v>-0.79723931260680003</v>
      </c>
      <c r="C62">
        <f>LOG(Table1_1[[#This Row],[PFHxA]])</f>
        <v>-0.91364016932525183</v>
      </c>
      <c r="D62">
        <f>LOG(Table1_1[[#This Row],[PFHpA]])</f>
        <v>-1.0433514207947967</v>
      </c>
      <c r="E62">
        <f>LOG(Table1_1[[#This Row],[PFOA]])</f>
        <v>0.48429983934678583</v>
      </c>
      <c r="F62">
        <f>LOG(Table1_1[[#This Row],[PFNA]])</f>
        <v>0.39967372148103808</v>
      </c>
      <c r="G62">
        <f>LOG(Table1_1[[#This Row],[PFDA]])</f>
        <v>0.78175537465246892</v>
      </c>
      <c r="H62">
        <f>LOG(Table1_1[[#This Row],[PFUnA]])</f>
        <v>0.79795964373719619</v>
      </c>
      <c r="I62">
        <f>LOG(Table1_1[[#This Row],[PFDoA]])</f>
        <v>1.1172712956557642</v>
      </c>
      <c r="J62">
        <f>LOG(Table1_1[[#This Row],[PFTrDA]])</f>
        <v>0.58994960132570773</v>
      </c>
      <c r="K62">
        <f>LOG(Table1_1[[#This Row],[PFTeDA]])</f>
        <v>1.2041199826559248</v>
      </c>
      <c r="L62">
        <f>LOG(Table1_1[[#This Row],[PFHxDA]])</f>
        <v>-1.0888423912600234</v>
      </c>
      <c r="M62">
        <f>LOG(Table1_1[[#This Row],[PFPrS]])</f>
        <v>-1.1643094285075744</v>
      </c>
      <c r="N62">
        <f>LOG(Table1_1[[#This Row],[PFBS]])</f>
        <v>-0.81389162018679473</v>
      </c>
      <c r="O62">
        <f>LOG(Table1_1[[#This Row],[PFPeS]])</f>
        <v>-0.64589156085259902</v>
      </c>
      <c r="P62">
        <f>LOG(Table1_1[[#This Row],[PFHxS]])</f>
        <v>1.7626785637274363</v>
      </c>
      <c r="Q62">
        <f>LOG(Table1_1[[#This Row],[PFHpS]])</f>
        <v>0.35218251811136247</v>
      </c>
      <c r="R62">
        <f>LOG(Table1_1[[#This Row],[PFOS]])</f>
        <v>2.7993405494535817</v>
      </c>
      <c r="S62">
        <f>LOG(Table1_1[[#This Row],[PFNS]])</f>
        <v>-0.40011692792631215</v>
      </c>
      <c r="T62">
        <f>LOG(Table1_1[[#This Row],[PFDS]])</f>
        <v>-0.18641901143180803</v>
      </c>
      <c r="U62">
        <f>LOG(Table1_1[[#This Row],[PFDoS]])</f>
        <v>-0.61708286491246911</v>
      </c>
      <c r="V62">
        <f>LOG(Table1_1[[#This Row],[Cl-PFOS]])</f>
        <v>-0.86169730183371851</v>
      </c>
      <c r="W62">
        <f>LOG(Table1_1[[#This Row],[PFEtCHxS]])</f>
        <v>-0.64589156085259902</v>
      </c>
      <c r="X62">
        <f>LOG(Table1_1[[#This Row],[FBSA]])</f>
        <v>2.0863598306747484</v>
      </c>
      <c r="Y62">
        <f>LOG(Table1_1[[#This Row],[FHxSA]])</f>
        <v>2.7118072290411912</v>
      </c>
      <c r="Z62">
        <f>LOG(Table1_1[[#This Row],[FOSA]])</f>
        <v>1.3783979009481377</v>
      </c>
      <c r="AA62">
        <f>LOG(Table1_1[[#This Row],[N-MeFOSA]])</f>
        <v>-1.1643094285075744</v>
      </c>
      <c r="AB62">
        <f>LOG(Table1_1[[#This Row],[N-EtFOSA]])</f>
        <v>-1.0969100130080565</v>
      </c>
      <c r="AC62">
        <f>LOG(Table1_1[[#This Row],[FOSAA]])</f>
        <v>-1.2676062401770316</v>
      </c>
      <c r="AD62">
        <f>LOG(Table1_1[[#This Row],[N-MeFOSAA]])</f>
        <v>-1.1611509092627446</v>
      </c>
      <c r="AE62">
        <f>LOG(Table1_1[[#This Row],[N-EtFOSAA]])</f>
        <v>-1.2254830342714504</v>
      </c>
      <c r="AF62">
        <f>LOG(Table1_1[[#This Row],[4:2 FTS]])</f>
        <v>-1.1643094285075744</v>
      </c>
      <c r="AG62">
        <f>LOG(Table1_1[[#This Row],[6:2 FTS]])</f>
        <v>-0.13667713987954411</v>
      </c>
      <c r="AH62">
        <f>LOG(Table1_1[[#This Row],[8:2 FTS]])</f>
        <v>1.1271047983648077</v>
      </c>
      <c r="AI62">
        <f>LOG(Table1_1[[#This Row],[10:2 FTS]])</f>
        <v>-1.1106982974936896</v>
      </c>
      <c r="AJ62">
        <f>LOG(Table1_1[[#This Row],[3:3 FTCA]])</f>
        <v>-1.1023729087095586</v>
      </c>
      <c r="AK62">
        <f>LOG(Table1_1[[#This Row],[5:3 FTCA]])</f>
        <v>-0.36653154442041347</v>
      </c>
      <c r="AL62">
        <f>LOG(Table1_1[[#This Row],[7:3 FTCA]])</f>
        <v>1.1702617153949575</v>
      </c>
      <c r="AM62">
        <f>LOG(Table1_1[[#This Row],[6:2 FTCA]])</f>
        <v>0.250420002308894</v>
      </c>
      <c r="AN62">
        <f>LOG(Table1_1[[#This Row],[8:2 FTCA]])</f>
        <v>-1.1643094285075744</v>
      </c>
      <c r="AO62">
        <f>LOG(Table1_1[[#This Row],[10:2 FTCA]])</f>
        <v>-0.99139982823808248</v>
      </c>
      <c r="AP62">
        <f>LOG(Table1_1[[#This Row],[6:2 FTUCA]])</f>
        <v>-1.2716462179787715</v>
      </c>
      <c r="AQ62">
        <f>LOG(Table1_1[[#This Row],[8:2 FTUCA]])</f>
        <v>-1.3835244861114346</v>
      </c>
      <c r="AR62">
        <f>LOG(Table1_1[[#This Row],[ADONA]])</f>
        <v>-0.70005709997723298</v>
      </c>
      <c r="AS62">
        <f>LOG(Table1_1[[#This Row],[9Cl-PF3ONS]])</f>
        <v>-1.1643094285075744</v>
      </c>
      <c r="AT62">
        <f>LOG(Table1_1[[#This Row],[11Cl-PF3OUdS]])</f>
        <v>-1.1643094285075744</v>
      </c>
      <c r="AU62">
        <f>LOG(Table1_1[[#This Row],[HFPO-DA]])</f>
        <v>-1.0087739243075051</v>
      </c>
      <c r="AV62">
        <f>LOG(Table1_1[[#This Row],[6:2 diPAP]])</f>
        <v>-1.1366771398795441</v>
      </c>
      <c r="AW62">
        <f>LOG(Table1_1[[#This Row],[8:2 diPAP]])</f>
        <v>-1.0433514207947967</v>
      </c>
      <c r="AX62">
        <f>LOG(Table1_1[[#This Row],[diSAmPAP]])</f>
        <v>-0.91901295308911279</v>
      </c>
    </row>
    <row r="63" spans="1:50">
      <c r="A63">
        <f>LOG(Table1_1[[#This Row],[PFBA]])</f>
        <v>-0.64781748188863753</v>
      </c>
      <c r="B63">
        <f>LOG(Table1_1[[#This Row],[PFPeA]])</f>
        <v>-1.3169529617611504</v>
      </c>
      <c r="C63">
        <f>LOG(Table1_1[[#This Row],[PFHxA]])</f>
        <v>-0.91542372206566902</v>
      </c>
      <c r="D63">
        <f>LOG(Table1_1[[#This Row],[PFHpA]])</f>
        <v>-1.0457574905606752</v>
      </c>
      <c r="E63">
        <f>LOG(Table1_1[[#This Row],[PFOA]])</f>
        <v>0.3010299956639812</v>
      </c>
      <c r="F63">
        <f>LOG(Table1_1[[#This Row],[PFNA]])</f>
        <v>0.29225607135647602</v>
      </c>
      <c r="G63">
        <f>LOG(Table1_1[[#This Row],[PFDA]])</f>
        <v>0.79588001734407521</v>
      </c>
      <c r="H63">
        <f>LOG(Table1_1[[#This Row],[PFUnA]])</f>
        <v>1</v>
      </c>
      <c r="I63">
        <f>LOG(Table1_1[[#This Row],[PFDoA]])</f>
        <v>1.0827853703164501</v>
      </c>
      <c r="J63">
        <f>LOG(Table1_1[[#This Row],[PFTrDA]])</f>
        <v>0.45024910831936105</v>
      </c>
      <c r="K63">
        <f>LOG(Table1_1[[#This Row],[PFTeDA]])</f>
        <v>0.9885589568786155</v>
      </c>
      <c r="L63">
        <f>LOG(Table1_1[[#This Row],[PFHxDA]])</f>
        <v>-1.0888423912600234</v>
      </c>
      <c r="M63">
        <f>LOG(Table1_1[[#This Row],[PFPrS]])</f>
        <v>-1.1674910872937636</v>
      </c>
      <c r="N63">
        <f>LOG(Table1_1[[#This Row],[PFBS]])</f>
        <v>-0.81530856918240124</v>
      </c>
      <c r="O63">
        <f>LOG(Table1_1[[#This Row],[PFPeS]])</f>
        <v>-0.64781748188863753</v>
      </c>
      <c r="P63">
        <f>LOG(Table1_1[[#This Row],[PFHxS]])</f>
        <v>1.503790683057181</v>
      </c>
      <c r="Q63">
        <f>LOG(Table1_1[[#This Row],[PFHpS]])</f>
        <v>0.35793484700045375</v>
      </c>
      <c r="R63">
        <f>LOG(Table1_1[[#This Row],[PFOS]])</f>
        <v>2.7803173121401512</v>
      </c>
      <c r="S63">
        <f>LOG(Table1_1[[#This Row],[PFNS]])</f>
        <v>-0.41116827440579273</v>
      </c>
      <c r="T63">
        <f>LOG(Table1_1[[#This Row],[PFDS]])</f>
        <v>-0.19246497193114673</v>
      </c>
      <c r="U63">
        <f>LOG(Table1_1[[#This Row],[PFDoS]])</f>
        <v>-0.61888491929014944</v>
      </c>
      <c r="V63">
        <f>LOG(Table1_1[[#This Row],[Cl-PFOS]])</f>
        <v>-0.86327943284359321</v>
      </c>
      <c r="W63">
        <f>LOG(Table1_1[[#This Row],[PFEtCHxS]])</f>
        <v>-0.64781748188863753</v>
      </c>
      <c r="X63">
        <f>LOG(Table1_1[[#This Row],[FBSA]])</f>
        <v>1.8915374576725645</v>
      </c>
      <c r="Y63">
        <f>LOG(Table1_1[[#This Row],[FHxSA]])</f>
        <v>2.5797835966168101</v>
      </c>
      <c r="Z63">
        <f>LOG(Table1_1[[#This Row],[FOSA]])</f>
        <v>1.5658478186735176</v>
      </c>
      <c r="AA63">
        <f>LOG(Table1_1[[#This Row],[N-MeFOSA]])</f>
        <v>-1.1674910872937636</v>
      </c>
      <c r="AB63">
        <f>LOG(Table1_1[[#This Row],[N-EtFOSA]])</f>
        <v>-1.0996328713435297</v>
      </c>
      <c r="AC63">
        <f>LOG(Table1_1[[#This Row],[FOSAA]])</f>
        <v>-1.2676062401770316</v>
      </c>
      <c r="AD63">
        <f>LOG(Table1_1[[#This Row],[N-MeFOSAA]])</f>
        <v>-1.1643094285075744</v>
      </c>
      <c r="AE63">
        <f>LOG(Table1_1[[#This Row],[N-EtFOSAA]])</f>
        <v>-1.2291479883578558</v>
      </c>
      <c r="AF63">
        <f>LOG(Table1_1[[#This Row],[4:2 FTS]])</f>
        <v>-1.1674910872937636</v>
      </c>
      <c r="AG63">
        <f>LOG(Table1_1[[#This Row],[6:2 FTS]])</f>
        <v>-1.8181392829336417E-2</v>
      </c>
      <c r="AH63">
        <f>LOG(Table1_1[[#This Row],[8:2 FTS]])</f>
        <v>1.0934216851622351</v>
      </c>
      <c r="AI63">
        <f>LOG(Table1_1[[#This Row],[10:2 FTS]])</f>
        <v>-0.59260909552926844</v>
      </c>
      <c r="AJ63">
        <f>LOG(Table1_1[[#This Row],[3:3 FTCA]])</f>
        <v>-1.1051303432547475</v>
      </c>
      <c r="AK63">
        <f>LOG(Table1_1[[#This Row],[5:3 FTCA]])</f>
        <v>0.45024910831936105</v>
      </c>
      <c r="AL63">
        <f>LOG(Table1_1[[#This Row],[7:3 FTCA]])</f>
        <v>1.3944516808262162</v>
      </c>
      <c r="AM63">
        <f>LOG(Table1_1[[#This Row],[6:2 FTCA]])</f>
        <v>-1.1674910872937636</v>
      </c>
      <c r="AN63">
        <f>LOG(Table1_1[[#This Row],[8:2 FTCA]])</f>
        <v>-1.1674910872937636</v>
      </c>
      <c r="AO63">
        <f>LOG(Table1_1[[#This Row],[10:2 FTCA]])</f>
        <v>-0.99139982823808248</v>
      </c>
      <c r="AP63">
        <f>LOG(Table1_1[[#This Row],[6:2 FTUCA]])</f>
        <v>-1.2716462179787715</v>
      </c>
      <c r="AQ63">
        <f>LOG(Table1_1[[#This Row],[8:2 FTUCA]])</f>
        <v>-1.3851027839668655</v>
      </c>
      <c r="AR63">
        <f>LOG(Table1_1[[#This Row],[ADONA]])</f>
        <v>-1.2218487496163564</v>
      </c>
      <c r="AS63">
        <f>LOG(Table1_1[[#This Row],[9Cl-PF3ONS]])</f>
        <v>-1.1674910872937636</v>
      </c>
      <c r="AT63">
        <f>LOG(Table1_1[[#This Row],[11Cl-PF3OUdS]])</f>
        <v>-1.1674910872937636</v>
      </c>
      <c r="AU63">
        <f>LOG(Table1_1[[#This Row],[HFPO-DA]])</f>
        <v>-1.0087739243075051</v>
      </c>
      <c r="AV63">
        <f>LOG(Table1_1[[#This Row],[6:2 diPAP]])</f>
        <v>-1.1396619934290064</v>
      </c>
      <c r="AW63">
        <f>LOG(Table1_1[[#This Row],[8:2 diPAP]])</f>
        <v>-1.0433514207947967</v>
      </c>
      <c r="AX63">
        <f>LOG(Table1_1[[#This Row],[diSAmPAP]])</f>
        <v>-0.92081875395237522</v>
      </c>
    </row>
    <row r="64" spans="1:50">
      <c r="A64">
        <f>LOG(Table1_1[[#This Row],[PFBA]])</f>
        <v>-1.1079053973095196</v>
      </c>
      <c r="B64">
        <f>LOG(Table1_1[[#This Row],[PFPeA]])</f>
        <v>-1.2596373105057561</v>
      </c>
      <c r="C64">
        <f>LOG(Table1_1[[#This Row],[PFHxA]])</f>
        <v>-1.3757179041643317</v>
      </c>
      <c r="D64">
        <f>LOG(Table1_1[[#This Row],[PFHpA]])</f>
        <v>-1.5058454059815571</v>
      </c>
      <c r="E64">
        <f>LOG(Table1_1[[#This Row],[PFOA]])</f>
        <v>0.91855453055027347</v>
      </c>
      <c r="F64">
        <f>LOG(Table1_1[[#This Row],[PFNA]])</f>
        <v>0.91907809237607396</v>
      </c>
      <c r="G64">
        <f>LOG(Table1_1[[#This Row],[PFDA]])</f>
        <v>0.97818051693741392</v>
      </c>
      <c r="H64">
        <f>LOG(Table1_1[[#This Row],[PFUnA]])</f>
        <v>1.3364597338485296</v>
      </c>
      <c r="I64">
        <f>LOG(Table1_1[[#This Row],[PFDoA]])</f>
        <v>1.2041199826559248</v>
      </c>
      <c r="J64">
        <f>LOG(Table1_1[[#This Row],[PFTrDA]])</f>
        <v>-1.3023348373523256</v>
      </c>
      <c r="K64">
        <f>LOG(Table1_1[[#This Row],[PFTeDA]])</f>
        <v>0.8549130223078556</v>
      </c>
      <c r="L64">
        <f>LOG(Table1_1[[#This Row],[PFHxDA]])</f>
        <v>-1.031517051446065</v>
      </c>
      <c r="M64">
        <f>LOG(Table1_1[[#This Row],[PFPrS]])</f>
        <v>-1.1079053973095196</v>
      </c>
      <c r="N64">
        <f>LOG(Table1_1[[#This Row],[PFBS]])</f>
        <v>-1.2757241303992111</v>
      </c>
      <c r="O64">
        <f>LOG(Table1_1[[#This Row],[PFPeS]])</f>
        <v>-0.12033079436794646</v>
      </c>
      <c r="P64">
        <f>LOG(Table1_1[[#This Row],[PFHxS]])</f>
        <v>1.9642596301968489</v>
      </c>
      <c r="Q64">
        <f>LOG(Table1_1[[#This Row],[PFHpS]])</f>
        <v>1.0413926851582251</v>
      </c>
      <c r="R64">
        <f>LOG(Table1_1[[#This Row],[PFOS]])</f>
        <v>3.0043213737826426</v>
      </c>
      <c r="S64">
        <f>LOG(Table1_1[[#This Row],[PFNS]])</f>
        <v>0.70156798505592743</v>
      </c>
      <c r="T64">
        <f>LOG(Table1_1[[#This Row],[PFDS]])</f>
        <v>0.93449845124356767</v>
      </c>
      <c r="U64">
        <f>LOG(Table1_1[[#This Row],[PFDoS]])</f>
        <v>0.60638136511060492</v>
      </c>
      <c r="V64">
        <f>LOG(Table1_1[[#This Row],[Cl-PFOS]])</f>
        <v>-0.8054856581175327</v>
      </c>
      <c r="W64">
        <f>LOG(Table1_1[[#This Row],[PFEtCHxS]])</f>
        <v>-1.1079053973095196</v>
      </c>
      <c r="X64">
        <f>LOG(Table1_1[[#This Row],[FBSA]])</f>
        <v>1.2041199826559248</v>
      </c>
      <c r="Y64">
        <f>LOG(Table1_1[[#This Row],[FHxSA]])</f>
        <v>2.2013971243204513</v>
      </c>
      <c r="Z64">
        <f>LOG(Table1_1[[#This Row],[FOSA]])</f>
        <v>1.481442628502305</v>
      </c>
      <c r="AA64">
        <f>LOG(Table1_1[[#This Row],[N-MeFOSA]])</f>
        <v>-1.1079053973095196</v>
      </c>
      <c r="AB64">
        <f>LOG(Table1_1[[#This Row],[N-EtFOSA]])</f>
        <v>-1.0409586076789064</v>
      </c>
      <c r="AC64">
        <f>LOG(Table1_1[[#This Row],[FOSAA]])</f>
        <v>-1.2111248842245832</v>
      </c>
      <c r="AD64">
        <f>LOG(Table1_1[[#This Row],[N-MeFOSAA]])</f>
        <v>-1.1051303432547475</v>
      </c>
      <c r="AE64">
        <f>LOG(Table1_1[[#This Row],[N-EtFOSAA]])</f>
        <v>-1.1706962271689751</v>
      </c>
      <c r="AF64">
        <f>LOG(Table1_1[[#This Row],[4:2 FTS]])</f>
        <v>-1.1079053973095196</v>
      </c>
      <c r="AG64">
        <f>LOG(Table1_1[[#This Row],[6:2 FTS]])</f>
        <v>0.10037054511756291</v>
      </c>
      <c r="AH64">
        <f>LOG(Table1_1[[#This Row],[8:2 FTS]])</f>
        <v>1.3765769570565121</v>
      </c>
      <c r="AI64">
        <f>LOG(Table1_1[[#This Row],[10:2 FTS]])</f>
        <v>5.3078443483419682E-2</v>
      </c>
      <c r="AJ64">
        <f>LOG(Table1_1[[#This Row],[3:3 FTCA]])</f>
        <v>-1.0457574905606752</v>
      </c>
      <c r="AK64">
        <f>LOG(Table1_1[[#This Row],[5:3 FTCA]])</f>
        <v>-1.2291479883578558</v>
      </c>
      <c r="AL64">
        <f>LOG(Table1_1[[#This Row],[7:3 FTCA]])</f>
        <v>1.2988530764097066</v>
      </c>
      <c r="AM64">
        <f>LOG(Table1_1[[#This Row],[6:2 FTCA]])</f>
        <v>-1.1079053973095196</v>
      </c>
      <c r="AN64">
        <f>LOG(Table1_1[[#This Row],[8:2 FTCA]])</f>
        <v>-1.1079053973095196</v>
      </c>
      <c r="AO64">
        <f>LOG(Table1_1[[#This Row],[10:2 FTCA]])</f>
        <v>-0.93367407463796215</v>
      </c>
      <c r="AP64">
        <f>LOG(Table1_1[[#This Row],[6:2 FTUCA]])</f>
        <v>-1.2146701649892331</v>
      </c>
      <c r="AQ64">
        <f>LOG(Table1_1[[#This Row],[8:2 FTUCA]])</f>
        <v>-1.3265183029266527</v>
      </c>
      <c r="AR64">
        <f>LOG(Table1_1[[#This Row],[ADONA]])</f>
        <v>-1.1611509092627446</v>
      </c>
      <c r="AS64">
        <f>LOG(Table1_1[[#This Row],[9Cl-PF3ONS]])</f>
        <v>-1.1079053973095196</v>
      </c>
      <c r="AT64">
        <f>LOG(Table1_1[[#This Row],[11Cl-PF3OUdS]])</f>
        <v>-1.1079053973095196</v>
      </c>
      <c r="AU64">
        <f>LOG(Table1_1[[#This Row],[HFPO-DA]])</f>
        <v>-0.9507819773298184</v>
      </c>
      <c r="AV64">
        <f>LOG(Table1_1[[#This Row],[6:2 diPAP]])</f>
        <v>-1.080921907623926</v>
      </c>
      <c r="AW64">
        <f>LOG(Table1_1[[#This Row],[8:2 diPAP]])</f>
        <v>-0.98505965020706343</v>
      </c>
      <c r="AX64">
        <f>LOG(Table1_1[[#This Row],[diSAmPAP]])</f>
        <v>-0.86169730183371851</v>
      </c>
    </row>
    <row r="65" spans="1:50">
      <c r="A65">
        <f>LOG(Table1_1[[#This Row],[PFBA]])</f>
        <v>-0.60554831917378371</v>
      </c>
      <c r="B65">
        <f>LOG(Table1_1[[#This Row],[PFPeA]])</f>
        <v>-0.60554831917378371</v>
      </c>
      <c r="C65">
        <f>LOG(Table1_1[[#This Row],[PFHxA]])</f>
        <v>-0.8728952016351923</v>
      </c>
      <c r="D65">
        <f>LOG(Table1_1[[#This Row],[PFHpA]])</f>
        <v>-8.1969663215119878E-2</v>
      </c>
      <c r="E65">
        <f>LOG(Table1_1[[#This Row],[PFOA]])</f>
        <v>0.30535136944662378</v>
      </c>
      <c r="F65">
        <f>LOG(Table1_1[[#This Row],[PFNA]])</f>
        <v>0.75966784468963044</v>
      </c>
      <c r="G65">
        <f>LOG(Table1_1[[#This Row],[PFDA]])</f>
        <v>0.54032947479087379</v>
      </c>
      <c r="H65">
        <f>LOG(Table1_1[[#This Row],[PFUnA]])</f>
        <v>0.58319877396862274</v>
      </c>
      <c r="I65">
        <f>LOG(Table1_1[[#This Row],[PFDoA]])</f>
        <v>0.70926996097583073</v>
      </c>
      <c r="J65">
        <f>LOG(Table1_1[[#This Row],[PFTrDA]])</f>
        <v>0.20411998265592479</v>
      </c>
      <c r="K65">
        <f>LOG(Table1_1[[#This Row],[PFTeDA]])</f>
        <v>0.39967372148103808</v>
      </c>
      <c r="L65">
        <f>LOG(Table1_1[[#This Row],[PFHxDA]])</f>
        <v>-0.52944251478272586</v>
      </c>
      <c r="M65">
        <f>LOG(Table1_1[[#This Row],[PFPrS]])</f>
        <v>-0.30451832350980257</v>
      </c>
      <c r="N65">
        <f>LOG(Table1_1[[#This Row],[PFBS]])</f>
        <v>-0.77340009479264249</v>
      </c>
      <c r="O65">
        <f>LOG(Table1_1[[#This Row],[PFPeS]])</f>
        <v>-0.50445566245355156</v>
      </c>
      <c r="P65">
        <f>LOG(Table1_1[[#This Row],[PFHxS]])</f>
        <v>1.4785664955938433</v>
      </c>
      <c r="Q65">
        <f>LOG(Table1_1[[#This Row],[PFHpS]])</f>
        <v>0.3820170425748684</v>
      </c>
      <c r="R65">
        <f>LOG(Table1_1[[#This Row],[PFOS]])</f>
        <v>2.537819095073274</v>
      </c>
      <c r="S65">
        <f>LOG(Table1_1[[#This Row],[PFNS]])</f>
        <v>-0.60554831917378371</v>
      </c>
      <c r="T65">
        <f>LOG(Table1_1[[#This Row],[PFDS]])</f>
        <v>-0.60554831917378371</v>
      </c>
      <c r="U65">
        <f>LOG(Table1_1[[#This Row],[PFDoS]])</f>
        <v>-0.5767541260631921</v>
      </c>
      <c r="V65">
        <f>LOG(Table1_1[[#This Row],[Cl-PFOS]])</f>
        <v>-0.8224635000701378</v>
      </c>
      <c r="W65">
        <f>LOG(Table1_1[[#This Row],[PFEtCHxS]])</f>
        <v>-1.0043648054024501</v>
      </c>
      <c r="X65">
        <f>LOG(Table1_1[[#This Row],[FBSA]])</f>
        <v>1.8469553250198238</v>
      </c>
      <c r="Y65">
        <f>LOG(Table1_1[[#This Row],[FHxSA]])</f>
        <v>2.5587085705331658</v>
      </c>
      <c r="Z65">
        <f>LOG(Table1_1[[#This Row],[FOSA]])</f>
        <v>1.1492191126553799</v>
      </c>
      <c r="AA65">
        <f>LOG(Table1_1[[#This Row],[N-MeFOSA]])</f>
        <v>-0.71896663275227246</v>
      </c>
      <c r="AB65">
        <f>LOG(Table1_1[[#This Row],[N-EtFOSA]])</f>
        <v>-0.30451832350980257</v>
      </c>
      <c r="AC65">
        <f>LOG(Table1_1[[#This Row],[FOSAA]])</f>
        <v>-0.30451832350980257</v>
      </c>
      <c r="AD65">
        <f>LOG(Table1_1[[#This Row],[N-MeFOSAA]])</f>
        <v>-0.60292945004059129</v>
      </c>
      <c r="AE65">
        <f>LOG(Table1_1[[#This Row],[N-EtFOSAA]])</f>
        <v>-0.60554831917378371</v>
      </c>
      <c r="AF65">
        <f>LOG(Table1_1[[#This Row],[4:2 FTS]])</f>
        <v>-0.60554831917378371</v>
      </c>
      <c r="AG65">
        <f>LOG(Table1_1[[#This Row],[6:2 FTS]])</f>
        <v>-0.60554831917378371</v>
      </c>
      <c r="AH65">
        <f>LOG(Table1_1[[#This Row],[8:2 FTS]])</f>
        <v>0.90741136077458617</v>
      </c>
      <c r="AI65">
        <f>LOG(Table1_1[[#This Row],[10:2 FTS]])</f>
        <v>-0.30451832350980257</v>
      </c>
      <c r="AJ65">
        <f>LOG(Table1_1[[#This Row],[3:3 FTCA]])</f>
        <v>-0.543633966870957</v>
      </c>
      <c r="AK65">
        <f>LOG(Table1_1[[#This Row],[5:3 FTCA]])</f>
        <v>-0.60554831917378371</v>
      </c>
      <c r="AL65">
        <f>LOG(Table1_1[[#This Row],[7:3 FTCA]])</f>
        <v>0.45788189673399232</v>
      </c>
      <c r="AM65">
        <f>LOG(Table1_1[[#This Row],[6:2 FTCA]])</f>
        <v>-0.30451832350980257</v>
      </c>
      <c r="AN65">
        <f>LOG(Table1_1[[#This Row],[8:2 FTCA]])</f>
        <v>-0.30451832350980257</v>
      </c>
      <c r="AO65">
        <f>LOG(Table1_1[[#This Row],[10:2 FTCA]])</f>
        <v>-0.30451832350980257</v>
      </c>
      <c r="AP65">
        <f>LOG(Table1_1[[#This Row],[6:2 FTUCA]])</f>
        <v>-0.30451832350980257</v>
      </c>
      <c r="AQ65">
        <f>LOG(Table1_1[[#This Row],[8:2 FTUCA]])</f>
        <v>-0.30451832350980257</v>
      </c>
      <c r="AR65">
        <f>LOG(Table1_1[[#This Row],[ADONA]])</f>
        <v>-0.60554831917378371</v>
      </c>
      <c r="AS65">
        <f>LOG(Table1_1[[#This Row],[9Cl-PF3ONS]])</f>
        <v>-0.30451832350980257</v>
      </c>
      <c r="AT65">
        <f>LOG(Table1_1[[#This Row],[11Cl-PF3OUdS]])</f>
        <v>-0.30451832350980257</v>
      </c>
      <c r="AU65">
        <f>LOG(Table1_1[[#This Row],[HFPO-DA]])</f>
        <v>-0.44855000202712486</v>
      </c>
      <c r="AV65">
        <f>LOG(Table1_1[[#This Row],[6:2 diPAP]])</f>
        <v>-0.30451832350980257</v>
      </c>
      <c r="AW65">
        <f>LOG(Table1_1[[#This Row],[8:2 diPAP]])</f>
        <v>-0.30451832350980257</v>
      </c>
      <c r="AX65">
        <f>LOG(Table1_1[[#This Row],[diSAmPAP]])</f>
        <v>-0.30451832350980257</v>
      </c>
    </row>
    <row r="66" spans="1:50">
      <c r="A66">
        <f>LOG(Table1_1[[#This Row],[PFBA]])</f>
        <v>-0.67162039656126227</v>
      </c>
      <c r="B66">
        <f>LOG(Table1_1[[#This Row],[PFPeA]])</f>
        <v>-0.67162039656126227</v>
      </c>
      <c r="C66">
        <f>LOG(Table1_1[[#This Row],[PFHxA]])</f>
        <v>-0.9393021596463883</v>
      </c>
      <c r="D66">
        <f>LOG(Table1_1[[#This Row],[PFHpA]])</f>
        <v>-0.67162039656126227</v>
      </c>
      <c r="E66">
        <f>LOG(Table1_1[[#This Row],[PFOA]])</f>
        <v>4.1392685158225077E-2</v>
      </c>
      <c r="F66">
        <f>LOG(Table1_1[[#This Row],[PFNA]])</f>
        <v>0.21748394421390627</v>
      </c>
      <c r="G66">
        <f>LOG(Table1_1[[#This Row],[PFDA]])</f>
        <v>0.88138465677057287</v>
      </c>
      <c r="H66">
        <f>LOG(Table1_1[[#This Row],[PFUnA]])</f>
        <v>0.96047077753429899</v>
      </c>
      <c r="I66">
        <f>LOG(Table1_1[[#This Row],[PFDoA]])</f>
        <v>0.93399316383124231</v>
      </c>
      <c r="J66">
        <f>LOG(Table1_1[[#This Row],[PFTrDA]])</f>
        <v>0.70243053644552533</v>
      </c>
      <c r="K66">
        <f>LOG(Table1_1[[#This Row],[PFTeDA]])</f>
        <v>0.66838591669000014</v>
      </c>
      <c r="L66">
        <f>LOG(Table1_1[[#This Row],[PFHxDA]])</f>
        <v>-0.59516628338006194</v>
      </c>
      <c r="M66">
        <f>LOG(Table1_1[[#This Row],[PFPrS]])</f>
        <v>-0.37059040089728107</v>
      </c>
      <c r="N66">
        <f>LOG(Table1_1[[#This Row],[PFBS]])</f>
        <v>-0.83863199776502517</v>
      </c>
      <c r="O66">
        <f>LOG(Table1_1[[#This Row],[PFPeS]])</f>
        <v>-0.64206515299954614</v>
      </c>
      <c r="P66">
        <f>LOG(Table1_1[[#This Row],[PFHxS]])</f>
        <v>1.5118833609788744</v>
      </c>
      <c r="Q66">
        <f>LOG(Table1_1[[#This Row],[PFHpS]])</f>
        <v>0.24054924828259971</v>
      </c>
      <c r="R66">
        <f>LOG(Table1_1[[#This Row],[PFOS]])</f>
        <v>2.7007037171450192</v>
      </c>
      <c r="S66">
        <f>LOG(Table1_1[[#This Row],[PFNS]])</f>
        <v>-0.67162039656126227</v>
      </c>
      <c r="T66">
        <f>LOG(Table1_1[[#This Row],[PFDS]])</f>
        <v>-0.67162039656126227</v>
      </c>
      <c r="U66">
        <f>LOG(Table1_1[[#This Row],[PFDoS]])</f>
        <v>-0.64206515299954614</v>
      </c>
      <c r="V66">
        <f>LOG(Table1_1[[#This Row],[Cl-PFOS]])</f>
        <v>-0.88773023158272935</v>
      </c>
      <c r="W66">
        <f>LOG(Table1_1[[#This Row],[PFEtCHxS]])</f>
        <v>-1.0705810742857071</v>
      </c>
      <c r="X66">
        <f>LOG(Table1_1[[#This Row],[FBSA]])</f>
        <v>2.6720978579357175</v>
      </c>
      <c r="Y66">
        <f>LOG(Table1_1[[#This Row],[FHxSA]])</f>
        <v>3.1583624920952498</v>
      </c>
      <c r="Z66">
        <f>LOG(Table1_1[[#This Row],[FOSA]])</f>
        <v>1.6599162000698502</v>
      </c>
      <c r="AA66">
        <f>LOG(Table1_1[[#This Row],[N-MeFOSA]])</f>
        <v>-0.78515615195230215</v>
      </c>
      <c r="AB66">
        <f>LOG(Table1_1[[#This Row],[N-EtFOSA]])</f>
        <v>-0.37059040089728107</v>
      </c>
      <c r="AC66">
        <f>LOG(Table1_1[[#This Row],[FOSAA]])</f>
        <v>-0.37059040089728107</v>
      </c>
      <c r="AD66">
        <f>LOG(Table1_1[[#This Row],[N-MeFOSAA]])</f>
        <v>-0.6685727034792569</v>
      </c>
      <c r="AE66">
        <f>LOG(Table1_1[[#This Row],[N-EtFOSAA]])</f>
        <v>-0.67162039656126227</v>
      </c>
      <c r="AF66">
        <f>LOG(Table1_1[[#This Row],[4:2 FTS]])</f>
        <v>-0.67162039656126227</v>
      </c>
      <c r="AG66">
        <f>LOG(Table1_1[[#This Row],[6:2 FTS]])</f>
        <v>-0.14569395819891939</v>
      </c>
      <c r="AH66">
        <f>LOG(Table1_1[[#This Row],[8:2 FTS]])</f>
        <v>0.95616843047536326</v>
      </c>
      <c r="AI66">
        <f>LOG(Table1_1[[#This Row],[10:2 FTS]])</f>
        <v>-0.37059040089728107</v>
      </c>
      <c r="AJ66">
        <f>LOG(Table1_1[[#This Row],[3:3 FTCA]])</f>
        <v>-0.60994850354101271</v>
      </c>
      <c r="AK66">
        <f>LOG(Table1_1[[#This Row],[5:3 FTCA]])</f>
        <v>-0.16304326294044955</v>
      </c>
      <c r="AL66">
        <f>LOG(Table1_1[[#This Row],[7:3 FTCA]])</f>
        <v>-0.67162039656126227</v>
      </c>
      <c r="AM66">
        <f>LOG(Table1_1[[#This Row],[6:2 FTCA]])</f>
        <v>-0.37059040089728107</v>
      </c>
      <c r="AN66">
        <f>LOG(Table1_1[[#This Row],[8:2 FTCA]])</f>
        <v>-0.37059040089728107</v>
      </c>
      <c r="AO66">
        <f>LOG(Table1_1[[#This Row],[10:2 FTCA]])</f>
        <v>-0.37059040089728107</v>
      </c>
      <c r="AP66">
        <f>LOG(Table1_1[[#This Row],[6:2 FTUCA]])</f>
        <v>-0.37059040089728107</v>
      </c>
      <c r="AQ66">
        <f>LOG(Table1_1[[#This Row],[8:2 FTUCA]])</f>
        <v>-0.37059040089728107</v>
      </c>
      <c r="AR66">
        <f>LOG(Table1_1[[#This Row],[ADONA]])</f>
        <v>-0.67162039656126227</v>
      </c>
      <c r="AS66">
        <f>LOG(Table1_1[[#This Row],[9Cl-PF3ONS]])</f>
        <v>-0.37059040089728107</v>
      </c>
      <c r="AT66">
        <f>LOG(Table1_1[[#This Row],[11Cl-PF3OUdS]])</f>
        <v>-0.37059040089728107</v>
      </c>
      <c r="AU66">
        <f>LOG(Table1_1[[#This Row],[HFPO-DA]])</f>
        <v>-0.51498878542142701</v>
      </c>
      <c r="AV66">
        <f>LOG(Table1_1[[#This Row],[6:2 diPAP]])</f>
        <v>-0.37059040089728107</v>
      </c>
      <c r="AW66">
        <f>LOG(Table1_1[[#This Row],[8:2 diPAP]])</f>
        <v>-0.37059040089728107</v>
      </c>
      <c r="AX66">
        <f>LOG(Table1_1[[#This Row],[diSAmPAP]])</f>
        <v>-0.37059040089728107</v>
      </c>
    </row>
    <row r="67" spans="1:50">
      <c r="A67">
        <f>LOG(Table1_1[[#This Row],[PFBA]])</f>
        <v>-0.64975198166583714</v>
      </c>
      <c r="B67">
        <f>LOG(Table1_1[[#This Row],[PFPeA]])</f>
        <v>-0.64975198166583714</v>
      </c>
      <c r="C67">
        <f>LOG(Table1_1[[#This Row],[PFHxA]])</f>
        <v>-0.91721462968354994</v>
      </c>
      <c r="D67">
        <f>LOG(Table1_1[[#This Row],[PFHpA]])</f>
        <v>-0.64975198166583714</v>
      </c>
      <c r="E67">
        <f>LOG(Table1_1[[#This Row],[PFOA]])</f>
        <v>7.9181246047624818E-2</v>
      </c>
      <c r="F67">
        <f>LOG(Table1_1[[#This Row],[PFNA]])</f>
        <v>1.2837224705172217E-2</v>
      </c>
      <c r="G67">
        <f>LOG(Table1_1[[#This Row],[PFDA]])</f>
        <v>0.48713837547718647</v>
      </c>
      <c r="H67">
        <f>LOG(Table1_1[[#This Row],[PFUnA]])</f>
        <v>0.38021124171160603</v>
      </c>
      <c r="I67">
        <f>LOG(Table1_1[[#This Row],[PFDoA]])</f>
        <v>0.58658730467175491</v>
      </c>
      <c r="J67">
        <f>LOG(Table1_1[[#This Row],[PFTrDA]])</f>
        <v>0.35024801833416286</v>
      </c>
      <c r="K67">
        <f>LOG(Table1_1[[#This Row],[PFTeDA]])</f>
        <v>0.24551266781414982</v>
      </c>
      <c r="L67">
        <f>LOG(Table1_1[[#This Row],[PFHxDA]])</f>
        <v>-0.57348873863542471</v>
      </c>
      <c r="M67">
        <f>LOG(Table1_1[[#This Row],[PFPrS]])</f>
        <v>-0.348721986001856</v>
      </c>
      <c r="N67">
        <f>LOG(Table1_1[[#This Row],[PFBS]])</f>
        <v>-0.81673015631719537</v>
      </c>
      <c r="O67">
        <f>LOG(Table1_1[[#This Row],[PFPeS]])</f>
        <v>-0.42829116819131241</v>
      </c>
      <c r="P67">
        <f>LOG(Table1_1[[#This Row],[PFHxS]])</f>
        <v>1.5954962218255742</v>
      </c>
      <c r="Q67">
        <f>LOG(Table1_1[[#This Row],[PFHpS]])</f>
        <v>0.48000694295715063</v>
      </c>
      <c r="R67">
        <f>LOG(Table1_1[[#This Row],[PFOS]])</f>
        <v>2.5797835966168101</v>
      </c>
      <c r="S67">
        <f>LOG(Table1_1[[#This Row],[PFNS]])</f>
        <v>-0.64975198166583714</v>
      </c>
      <c r="T67">
        <f>LOG(Table1_1[[#This Row],[PFDS]])</f>
        <v>-0.64975198166583714</v>
      </c>
      <c r="U67">
        <f>LOG(Table1_1[[#This Row],[PFDoS]])</f>
        <v>-0.62069448224941803</v>
      </c>
      <c r="V67">
        <f>LOG(Table1_1[[#This Row],[Cl-PFOS]])</f>
        <v>-0.86646109162978246</v>
      </c>
      <c r="W67">
        <f>LOG(Table1_1[[#This Row],[PFEtCHxS]])</f>
        <v>-1.0481769646840879</v>
      </c>
      <c r="X67">
        <f>LOG(Table1_1[[#This Row],[FBSA]])</f>
        <v>1.8813846567705728</v>
      </c>
      <c r="Y67">
        <f>LOG(Table1_1[[#This Row],[FHxSA]])</f>
        <v>2.6190933306267428</v>
      </c>
      <c r="Z67">
        <f>LOG(Table1_1[[#This Row],[FOSA]])</f>
        <v>1.1522883443830565</v>
      </c>
      <c r="AA67">
        <f>LOG(Table1_1[[#This Row],[N-MeFOSA]])</f>
        <v>-0.76321090059070706</v>
      </c>
      <c r="AB67">
        <f>LOG(Table1_1[[#This Row],[N-EtFOSA]])</f>
        <v>-0.348721986001856</v>
      </c>
      <c r="AC67">
        <f>LOG(Table1_1[[#This Row],[FOSAA]])</f>
        <v>-0.348721986001856</v>
      </c>
      <c r="AD67">
        <f>LOG(Table1_1[[#This Row],[N-MeFOSAA]])</f>
        <v>-0.64781748188863753</v>
      </c>
      <c r="AE67">
        <f>LOG(Table1_1[[#This Row],[N-EtFOSAA]])</f>
        <v>-0.64975198166583714</v>
      </c>
      <c r="AF67">
        <f>LOG(Table1_1[[#This Row],[4:2 FTS]])</f>
        <v>-0.64975198166583714</v>
      </c>
      <c r="AG67">
        <f>LOG(Table1_1[[#This Row],[6:2 FTS]])</f>
        <v>-0.22112552799726048</v>
      </c>
      <c r="AH67">
        <f>LOG(Table1_1[[#This Row],[8:2 FTS]])</f>
        <v>1.0791812460476249</v>
      </c>
      <c r="AI67">
        <f>LOG(Table1_1[[#This Row],[10:2 FTS]])</f>
        <v>-0.348721986001856</v>
      </c>
      <c r="AJ67">
        <f>LOG(Table1_1[[#This Row],[3:3 FTCA]])</f>
        <v>-0.58838029403676984</v>
      </c>
      <c r="AK67">
        <f>LOG(Table1_1[[#This Row],[5:3 FTCA]])</f>
        <v>0.43456890403419873</v>
      </c>
      <c r="AL67">
        <f>LOG(Table1_1[[#This Row],[7:3 FTCA]])</f>
        <v>1.1367205671564067</v>
      </c>
      <c r="AM67">
        <f>LOG(Table1_1[[#This Row],[6:2 FTCA]])</f>
        <v>-0.348721986001856</v>
      </c>
      <c r="AN67">
        <f>LOG(Table1_1[[#This Row],[8:2 FTCA]])</f>
        <v>-0.348721986001856</v>
      </c>
      <c r="AO67">
        <f>LOG(Table1_1[[#This Row],[10:2 FTCA]])</f>
        <v>-0.348721986001856</v>
      </c>
      <c r="AP67">
        <f>LOG(Table1_1[[#This Row],[6:2 FTUCA]])</f>
        <v>-0.348721986001856</v>
      </c>
      <c r="AQ67">
        <f>LOG(Table1_1[[#This Row],[8:2 FTUCA]])</f>
        <v>-0.348721986001856</v>
      </c>
      <c r="AR67">
        <f>LOG(Table1_1[[#This Row],[ADONA]])</f>
        <v>-0.64975198166583714</v>
      </c>
      <c r="AS67">
        <f>LOG(Table1_1[[#This Row],[9Cl-PF3ONS]])</f>
        <v>-0.348721986001856</v>
      </c>
      <c r="AT67">
        <f>LOG(Table1_1[[#This Row],[11Cl-PF3OUdS]])</f>
        <v>-0.348721986001856</v>
      </c>
      <c r="AU67">
        <f>LOG(Table1_1[[#This Row],[HFPO-DA]])</f>
        <v>-0.49281902273975914</v>
      </c>
      <c r="AV67">
        <f>LOG(Table1_1[[#This Row],[6:2 diPAP]])</f>
        <v>-0.348721986001856</v>
      </c>
      <c r="AW67">
        <f>LOG(Table1_1[[#This Row],[8:2 diPAP]])</f>
        <v>-0.348721986001856</v>
      </c>
      <c r="AX67">
        <f>LOG(Table1_1[[#This Row],[diSAmPAP]])</f>
        <v>-0.348721986001856</v>
      </c>
    </row>
    <row r="68" spans="1:50">
      <c r="A68">
        <f>LOG(Table1_1[[#This Row],[PFBA]])</f>
        <v>-0.60554831917378371</v>
      </c>
      <c r="B68">
        <f>LOG(Table1_1[[#This Row],[PFPeA]])</f>
        <v>-0.60554831917378371</v>
      </c>
      <c r="C68">
        <f>LOG(Table1_1[[#This Row],[PFHxA]])</f>
        <v>-1.5472686656207449E-2</v>
      </c>
      <c r="D68">
        <f>LOG(Table1_1[[#This Row],[PFHpA]])</f>
        <v>-0.60554831917378371</v>
      </c>
      <c r="E68">
        <f>LOG(Table1_1[[#This Row],[PFOA]])</f>
        <v>0.36548798489089962</v>
      </c>
      <c r="F68">
        <f>LOG(Table1_1[[#This Row],[PFNA]])</f>
        <v>0.34044411484011833</v>
      </c>
      <c r="G68">
        <f>LOG(Table1_1[[#This Row],[PFDA]])</f>
        <v>0.3820170425748684</v>
      </c>
      <c r="H68">
        <f>LOG(Table1_1[[#This Row],[PFUnA]])</f>
        <v>0.4927603890268375</v>
      </c>
      <c r="I68">
        <f>LOG(Table1_1[[#This Row],[PFDoA]])</f>
        <v>0.55870857053316569</v>
      </c>
      <c r="J68">
        <f>LOG(Table1_1[[#This Row],[PFTrDA]])</f>
        <v>0.20411998265592479</v>
      </c>
      <c r="K68">
        <f>LOG(Table1_1[[#This Row],[PFTeDA]])</f>
        <v>0.34635297445063867</v>
      </c>
      <c r="L68">
        <f>LOG(Table1_1[[#This Row],[PFHxDA]])</f>
        <v>-0.52870828894106148</v>
      </c>
      <c r="M68">
        <f>LOG(Table1_1[[#This Row],[PFPrS]])</f>
        <v>-0.30408074716860001</v>
      </c>
      <c r="N68">
        <f>LOG(Table1_1[[#This Row],[PFBS]])</f>
        <v>-0.77211329538632645</v>
      </c>
      <c r="O68">
        <f>LOG(Table1_1[[#This Row],[PFPeS]])</f>
        <v>-0.43062609038495414</v>
      </c>
      <c r="P68">
        <f>LOG(Table1_1[[#This Row],[PFHxS]])</f>
        <v>1.5403294747908738</v>
      </c>
      <c r="Q68">
        <f>LOG(Table1_1[[#This Row],[PFHpS]])</f>
        <v>0.5250448070368452</v>
      </c>
      <c r="R68">
        <f>LOG(Table1_1[[#This Row],[PFOS]])</f>
        <v>2.6222140229662951</v>
      </c>
      <c r="S68">
        <f>LOG(Table1_1[[#This Row],[PFNS]])</f>
        <v>-0.60554831917378371</v>
      </c>
      <c r="T68">
        <f>LOG(Table1_1[[#This Row],[PFDS]])</f>
        <v>-0.28819277095880896</v>
      </c>
      <c r="U68">
        <f>LOG(Table1_1[[#This Row],[PFDoS]])</f>
        <v>-0.57593547458251215</v>
      </c>
      <c r="V68">
        <f>LOG(Table1_1[[#This Row],[Cl-PFOS]])</f>
        <v>-0.82102305270683062</v>
      </c>
      <c r="W68">
        <f>LOG(Table1_1[[#This Row],[PFEtCHxS]])</f>
        <v>-0.63078414258985716</v>
      </c>
      <c r="X68">
        <f>LOG(Table1_1[[#This Row],[FBSA]])</f>
        <v>1.6242820958356683</v>
      </c>
      <c r="Y68">
        <f>LOG(Table1_1[[#This Row],[FHxSA]])</f>
        <v>2.4216039268698313</v>
      </c>
      <c r="Z68">
        <f>LOG(Table1_1[[#This Row],[FOSA]])</f>
        <v>1.2121876044039579</v>
      </c>
      <c r="AA68">
        <f>LOG(Table1_1[[#This Row],[N-MeFOSA]])</f>
        <v>-0.71896663275227246</v>
      </c>
      <c r="AB68">
        <f>LOG(Table1_1[[#This Row],[N-EtFOSA]])</f>
        <v>-0.30408074716860001</v>
      </c>
      <c r="AC68">
        <f>LOG(Table1_1[[#This Row],[FOSAA]])</f>
        <v>-0.30408074716860001</v>
      </c>
      <c r="AD68">
        <f>LOG(Table1_1[[#This Row],[N-MeFOSAA]])</f>
        <v>-0.60292945004059129</v>
      </c>
      <c r="AE68">
        <f>LOG(Table1_1[[#This Row],[N-EtFOSAA]])</f>
        <v>-0.60554831917378371</v>
      </c>
      <c r="AF68">
        <f>LOG(Table1_1[[#This Row],[4:2 FTS]])</f>
        <v>-0.60554831917378371</v>
      </c>
      <c r="AG68">
        <f>LOG(Table1_1[[#This Row],[6:2 FTS]])</f>
        <v>-6.0980223551333534E-2</v>
      </c>
      <c r="AH68">
        <f>LOG(Table1_1[[#This Row],[8:2 FTS]])</f>
        <v>1.0718820073061255</v>
      </c>
      <c r="AI68">
        <f>LOG(Table1_1[[#This Row],[10:2 FTS]])</f>
        <v>-0.30408074716860001</v>
      </c>
      <c r="AJ68">
        <f>LOG(Table1_1[[#This Row],[3:3 FTCA]])</f>
        <v>-0.54287537369659122</v>
      </c>
      <c r="AK68">
        <f>LOG(Table1_1[[#This Row],[5:3 FTCA]])</f>
        <v>-0.60554831917378371</v>
      </c>
      <c r="AL68">
        <f>LOG(Table1_1[[#This Row],[7:3 FTCA]])</f>
        <v>1.3031960574204888</v>
      </c>
      <c r="AM68">
        <f>LOG(Table1_1[[#This Row],[6:2 FTCA]])</f>
        <v>-0.30408074716860001</v>
      </c>
      <c r="AN68">
        <f>LOG(Table1_1[[#This Row],[8:2 FTCA]])</f>
        <v>-0.30408074716860001</v>
      </c>
      <c r="AO68">
        <f>LOG(Table1_1[[#This Row],[10:2 FTCA]])</f>
        <v>-0.30408074716860001</v>
      </c>
      <c r="AP68">
        <f>LOG(Table1_1[[#This Row],[6:2 FTUCA]])</f>
        <v>-0.30408074716860001</v>
      </c>
      <c r="AQ68">
        <f>LOG(Table1_1[[#This Row],[8:2 FTUCA]])</f>
        <v>-0.30408074716860001</v>
      </c>
      <c r="AR68">
        <f>LOG(Table1_1[[#This Row],[ADONA]])</f>
        <v>-0.60554831917378371</v>
      </c>
      <c r="AS68">
        <f>LOG(Table1_1[[#This Row],[9Cl-PF3ONS]])</f>
        <v>-0.30408074716860001</v>
      </c>
      <c r="AT68">
        <f>LOG(Table1_1[[#This Row],[11Cl-PF3OUdS]])</f>
        <v>-0.30408074716860001</v>
      </c>
      <c r="AU68">
        <f>LOG(Table1_1[[#This Row],[HFPO-DA]])</f>
        <v>-0.44855000202712486</v>
      </c>
      <c r="AV68">
        <f>LOG(Table1_1[[#This Row],[6:2 diPAP]])</f>
        <v>-0.30408074716860001</v>
      </c>
      <c r="AW68">
        <f>LOG(Table1_1[[#This Row],[8:2 diPAP]])</f>
        <v>-0.30408074716860001</v>
      </c>
      <c r="AX68">
        <f>LOG(Table1_1[[#This Row],[diSAmPAP]])</f>
        <v>-0.30408074716860001</v>
      </c>
    </row>
    <row r="69" spans="1:50">
      <c r="A69">
        <f>LOG(Table1_1[[#This Row],[PFBA]])</f>
        <v>-0.66354026615147055</v>
      </c>
      <c r="B69">
        <f>LOG(Table1_1[[#This Row],[PFPeA]])</f>
        <v>-0.66354026615147055</v>
      </c>
      <c r="C69">
        <f>LOG(Table1_1[[#This Row],[PFHxA]])</f>
        <v>-0.9318141382538383</v>
      </c>
      <c r="D69">
        <f>LOG(Table1_1[[#This Row],[PFHpA]])</f>
        <v>-0.66354026615147055</v>
      </c>
      <c r="E69">
        <f>LOG(Table1_1[[#This Row],[PFOA]])</f>
        <v>0.21748394421390627</v>
      </c>
      <c r="F69">
        <f>LOG(Table1_1[[#This Row],[PFNA]])</f>
        <v>0.22271647114758325</v>
      </c>
      <c r="G69">
        <f>LOG(Table1_1[[#This Row],[PFDA]])</f>
        <v>0.43933269383026263</v>
      </c>
      <c r="H69">
        <f>LOG(Table1_1[[#This Row],[PFUnA]])</f>
        <v>0.56937390961504586</v>
      </c>
      <c r="I69">
        <f>LOG(Table1_1[[#This Row],[PFDoA]])</f>
        <v>0.7930916001765802</v>
      </c>
      <c r="J69">
        <f>LOG(Table1_1[[#This Row],[PFTrDA]])</f>
        <v>0.34242268082220628</v>
      </c>
      <c r="K69">
        <f>LOG(Table1_1[[#This Row],[PFTeDA]])</f>
        <v>0.61066016308987991</v>
      </c>
      <c r="L69">
        <f>LOG(Table1_1[[#This Row],[PFHxDA]])</f>
        <v>-0.5875394525700387</v>
      </c>
      <c r="M69">
        <f>LOG(Table1_1[[#This Row],[PFPrS]])</f>
        <v>-0.36301089818777088</v>
      </c>
      <c r="N69">
        <f>LOG(Table1_1[[#This Row],[PFBS]])</f>
        <v>-0.83120797968581828</v>
      </c>
      <c r="O69">
        <f>LOG(Table1_1[[#This Row],[PFPeS]])</f>
        <v>-0.46470587995722945</v>
      </c>
      <c r="P69">
        <f>LOG(Table1_1[[#This Row],[PFHxS]])</f>
        <v>1.5327543789924978</v>
      </c>
      <c r="Q69">
        <f>LOG(Table1_1[[#This Row],[PFHpS]])</f>
        <v>0.43616264704075602</v>
      </c>
      <c r="R69">
        <f>LOG(Table1_1[[#This Row],[PFOS]])</f>
        <v>2.5185139398778875</v>
      </c>
      <c r="S69">
        <f>LOG(Table1_1[[#This Row],[PFNS]])</f>
        <v>-0.66354026615147055</v>
      </c>
      <c r="T69">
        <f>LOG(Table1_1[[#This Row],[PFDS]])</f>
        <v>-0.66354026615147055</v>
      </c>
      <c r="U69">
        <f>LOG(Table1_1[[#This Row],[PFDoS]])</f>
        <v>-0.63451201510910027</v>
      </c>
      <c r="V69">
        <f>LOG(Table1_1[[#This Row],[Cl-PFOS]])</f>
        <v>-0.88107424717422334</v>
      </c>
      <c r="W69">
        <f>LOG(Table1_1[[#This Row],[PFEtCHxS]])</f>
        <v>-1.0629838925351858</v>
      </c>
      <c r="X69">
        <f>LOG(Table1_1[[#This Row],[FBSA]])</f>
        <v>1.7497363155690611</v>
      </c>
      <c r="Y69">
        <f>LOG(Table1_1[[#This Row],[FHxSA]])</f>
        <v>2.5490032620257876</v>
      </c>
      <c r="Z69">
        <f>LOG(Table1_1[[#This Row],[FOSA]])</f>
        <v>1.1271047983648077</v>
      </c>
      <c r="AA69">
        <f>LOG(Table1_1[[#This Row],[N-MeFOSA]])</f>
        <v>-0.77728352885241669</v>
      </c>
      <c r="AB69">
        <f>LOG(Table1_1[[#This Row],[N-EtFOSA]])</f>
        <v>-0.36301089818777088</v>
      </c>
      <c r="AC69">
        <f>LOG(Table1_1[[#This Row],[FOSAA]])</f>
        <v>-0.36301089818777088</v>
      </c>
      <c r="AD69">
        <f>LOG(Table1_1[[#This Row],[N-MeFOSAA]])</f>
        <v>-0.66154350639539516</v>
      </c>
      <c r="AE69">
        <f>LOG(Table1_1[[#This Row],[N-EtFOSAA]])</f>
        <v>-0.66354026615147055</v>
      </c>
      <c r="AF69">
        <f>LOG(Table1_1[[#This Row],[4:2 FTS]])</f>
        <v>-0.66354026615147055</v>
      </c>
      <c r="AG69">
        <f>LOG(Table1_1[[#This Row],[6:2 FTS]])</f>
        <v>-0.33348201944511913</v>
      </c>
      <c r="AH69">
        <f>LOG(Table1_1[[#This Row],[8:2 FTS]])</f>
        <v>0.86923171973097624</v>
      </c>
      <c r="AI69">
        <f>LOG(Table1_1[[#This Row],[10:2 FTS]])</f>
        <v>-0.36301089818777088</v>
      </c>
      <c r="AJ69">
        <f>LOG(Table1_1[[#This Row],[3:3 FTCA]])</f>
        <v>-0.6020599913279624</v>
      </c>
      <c r="AK69">
        <f>LOG(Table1_1[[#This Row],[5:3 FTCA]])</f>
        <v>-0.66354026615147055</v>
      </c>
      <c r="AL69">
        <f>LOG(Table1_1[[#This Row],[7:3 FTCA]])</f>
        <v>1.0293837776852097</v>
      </c>
      <c r="AM69">
        <f>LOG(Table1_1[[#This Row],[6:2 FTCA]])</f>
        <v>-0.36301089818777088</v>
      </c>
      <c r="AN69">
        <f>LOG(Table1_1[[#This Row],[8:2 FTCA]])</f>
        <v>-0.36301089818777088</v>
      </c>
      <c r="AO69">
        <f>LOG(Table1_1[[#This Row],[10:2 FTCA]])</f>
        <v>-0.36301089818777088</v>
      </c>
      <c r="AP69">
        <f>LOG(Table1_1[[#This Row],[6:2 FTUCA]])</f>
        <v>-0.36301089818777088</v>
      </c>
      <c r="AQ69">
        <f>LOG(Table1_1[[#This Row],[8:2 FTUCA]])</f>
        <v>-0.36301089818777088</v>
      </c>
      <c r="AR69">
        <f>LOG(Table1_1[[#This Row],[ADONA]])</f>
        <v>-0.66354026615147055</v>
      </c>
      <c r="AS69">
        <f>LOG(Table1_1[[#This Row],[9Cl-PF3ONS]])</f>
        <v>-0.36301089818777088</v>
      </c>
      <c r="AT69">
        <f>LOG(Table1_1[[#This Row],[11Cl-PF3OUdS]])</f>
        <v>-0.36301089818777088</v>
      </c>
      <c r="AU69">
        <f>LOG(Table1_1[[#This Row],[HFPO-DA]])</f>
        <v>-0.5072396109731625</v>
      </c>
      <c r="AV69">
        <f>LOG(Table1_1[[#This Row],[6:2 diPAP]])</f>
        <v>-0.36301089818777088</v>
      </c>
      <c r="AW69">
        <f>LOG(Table1_1[[#This Row],[8:2 diPAP]])</f>
        <v>-0.36301089818777088</v>
      </c>
      <c r="AX69">
        <f>LOG(Table1_1[[#This Row],[diSAmPAP]])</f>
        <v>-0.36301089818777088</v>
      </c>
    </row>
    <row r="70" spans="1:50">
      <c r="A70">
        <f>LOG(Table1_1[[#This Row],[PFBA]])</f>
        <v>-0.62251161662386734</v>
      </c>
      <c r="B70">
        <f>LOG(Table1_1[[#This Row],[PFPeA]])</f>
        <v>-1.0757207139381184</v>
      </c>
      <c r="C70">
        <f>LOG(Table1_1[[#This Row],[PFHxA]])</f>
        <v>-0.88941028970075098</v>
      </c>
      <c r="D70">
        <f>LOG(Table1_1[[#This Row],[PFHpA]])</f>
        <v>-0.62251161662386734</v>
      </c>
      <c r="E70">
        <f>LOG(Table1_1[[#This Row],[PFOA]])</f>
        <v>-0.27245874297144357</v>
      </c>
      <c r="F70">
        <f>LOG(Table1_1[[#This Row],[PFNA]])</f>
        <v>6.8185861746161619E-2</v>
      </c>
      <c r="G70">
        <f>LOG(Table1_1[[#This Row],[PFDA]])</f>
        <v>0.99694924849538114</v>
      </c>
      <c r="H70">
        <f>LOG(Table1_1[[#This Row],[PFUnA]])</f>
        <v>1.209515014542631</v>
      </c>
      <c r="I70">
        <f>LOG(Table1_1[[#This Row],[PFDoA]])</f>
        <v>1.2405492482825997</v>
      </c>
      <c r="J70">
        <f>LOG(Table1_1[[#This Row],[PFTrDA]])</f>
        <v>0.68394713075151214</v>
      </c>
      <c r="K70">
        <f>LOG(Table1_1[[#This Row],[PFTeDA]])</f>
        <v>0.88195497133960055</v>
      </c>
      <c r="L70">
        <f>LOG(Table1_1[[#This Row],[PFHxDA]])</f>
        <v>-0.8477116556169435</v>
      </c>
      <c r="M70">
        <f>LOG(Table1_1[[#This Row],[PFPrS]])</f>
        <v>-0.92263209471584351</v>
      </c>
      <c r="N70">
        <f>LOG(Table1_1[[#This Row],[PFBS]])</f>
        <v>-0.62251161662386734</v>
      </c>
      <c r="O70">
        <f>LOG(Table1_1[[#This Row],[PFPeS]])</f>
        <v>-0.89790947448816327</v>
      </c>
      <c r="P70">
        <f>LOG(Table1_1[[#This Row],[PFHxS]])</f>
        <v>1.4800069429571505</v>
      </c>
      <c r="Q70">
        <f>LOG(Table1_1[[#This Row],[PFHpS]])</f>
        <v>0.81756536955978076</v>
      </c>
      <c r="R70">
        <f>LOG(Table1_1[[#This Row],[PFOS]])</f>
        <v>3.2227164711475833</v>
      </c>
      <c r="S70">
        <f>LOG(Table1_1[[#This Row],[PFNS]])</f>
        <v>0.47421626407625522</v>
      </c>
      <c r="T70">
        <f>LOG(Table1_1[[#This Row],[PFDS]])</f>
        <v>0.37657695705651195</v>
      </c>
      <c r="U70">
        <f>LOG(Table1_1[[#This Row],[PFDoS]])</f>
        <v>-0.59345981956604488</v>
      </c>
      <c r="V70">
        <f>LOG(Table1_1[[#This Row],[Cl-PFOS]])</f>
        <v>-0.33724216831842591</v>
      </c>
      <c r="W70">
        <f>LOG(Table1_1[[#This Row],[PFEtCHxS]])</f>
        <v>-0.38615817812393083</v>
      </c>
      <c r="X70">
        <f>LOG(Table1_1[[#This Row],[FBSA]])</f>
        <v>1.8779469516291882</v>
      </c>
      <c r="Y70">
        <f>LOG(Table1_1[[#This Row],[FHxSA]])</f>
        <v>1.7299742856995557</v>
      </c>
      <c r="Z70">
        <f>LOG(Table1_1[[#This Row],[FOSA]])</f>
        <v>1.0644579892269184</v>
      </c>
      <c r="AA70">
        <f>LOG(Table1_1[[#This Row],[N-MeFOSA]])</f>
        <v>-1.0362121726544447</v>
      </c>
      <c r="AB70">
        <f>LOG(Table1_1[[#This Row],[N-EtFOSA]])</f>
        <v>-0.62251161662386734</v>
      </c>
      <c r="AC70">
        <f>LOG(Table1_1[[#This Row],[FOSAA]])</f>
        <v>-0.62251161662386734</v>
      </c>
      <c r="AD70">
        <f>LOG(Table1_1[[#This Row],[N-MeFOSAA]])</f>
        <v>-0.92081875395237522</v>
      </c>
      <c r="AE70">
        <f>LOG(Table1_1[[#This Row],[N-EtFOSAA]])</f>
        <v>-0.92263209471584351</v>
      </c>
      <c r="AF70">
        <f>LOG(Table1_1[[#This Row],[4:2 FTS]])</f>
        <v>-0.92263209471584351</v>
      </c>
      <c r="AG70">
        <f>LOG(Table1_1[[#This Row],[6:2 FTS]])</f>
        <v>-0.62251161662386734</v>
      </c>
      <c r="AH70">
        <f>LOG(Table1_1[[#This Row],[8:2 FTS]])</f>
        <v>0.78461729263287538</v>
      </c>
      <c r="AI70">
        <f>LOG(Table1_1[[#This Row],[10:2 FTS]])</f>
        <v>-0.32148162095988608</v>
      </c>
      <c r="AJ70">
        <f>LOG(Table1_1[[#This Row],[3:3 FTCA]])</f>
        <v>-0.62251161662386734</v>
      </c>
      <c r="AK70">
        <f>LOG(Table1_1[[#This Row],[5:3 FTCA]])</f>
        <v>-0.62251161662386734</v>
      </c>
      <c r="AL70">
        <f>LOG(Table1_1[[#This Row],[7:3 FTCA]])</f>
        <v>0.30749603791321289</v>
      </c>
      <c r="AM70">
        <f>LOG(Table1_1[[#This Row],[6:2 FTCA]])</f>
        <v>-0.62251161662386734</v>
      </c>
      <c r="AN70">
        <f>LOG(Table1_1[[#This Row],[8:2 FTCA]])</f>
        <v>-0.92263209471584351</v>
      </c>
      <c r="AO70">
        <f>LOG(Table1_1[[#This Row],[10:2 FTCA]])</f>
        <v>-0.62251161662386734</v>
      </c>
      <c r="AP70">
        <f>LOG(Table1_1[[#This Row],[6:2 FTUCA]])</f>
        <v>-1.0291883891274822</v>
      </c>
      <c r="AQ70">
        <f>LOG(Table1_1[[#This Row],[8:2 FTUCA]])</f>
        <v>-1.1426675035687315</v>
      </c>
      <c r="AR70">
        <f>LOG(Table1_1[[#This Row],[ADONA]])</f>
        <v>-0.97881070093006195</v>
      </c>
      <c r="AS70">
        <f>LOG(Table1_1[[#This Row],[9Cl-PF3ONS]])</f>
        <v>-0.62251161662386734</v>
      </c>
      <c r="AT70">
        <f>LOG(Table1_1[[#This Row],[11Cl-PF3OUdS]])</f>
        <v>-0.62251161662386734</v>
      </c>
      <c r="AU70">
        <f>LOG(Table1_1[[#This Row],[HFPO-DA]])</f>
        <v>-0.76700388960784616</v>
      </c>
      <c r="AV70">
        <f>LOG(Table1_1[[#This Row],[6:2 diPAP]])</f>
        <v>-0.62251161662386734</v>
      </c>
      <c r="AW70">
        <f>LOG(Table1_1[[#This Row],[8:2 diPAP]])</f>
        <v>-0.62251161662386734</v>
      </c>
      <c r="AX70">
        <f>LOG(Table1_1[[#This Row],[diSAmPAP]])</f>
        <v>-0.62251161662386734</v>
      </c>
    </row>
    <row r="71" spans="1:50">
      <c r="A71">
        <f>LOG(Table1_1[[#This Row],[PFBA]])</f>
        <v>-0.65169513695183934</v>
      </c>
      <c r="B71">
        <f>LOG(Table1_1[[#This Row],[PFPeA]])</f>
        <v>-0.65169513695183934</v>
      </c>
      <c r="C71">
        <f>LOG(Table1_1[[#This Row],[PFHxA]])</f>
        <v>-0.92081875395237522</v>
      </c>
      <c r="D71">
        <f>LOG(Table1_1[[#This Row],[PFHpA]])</f>
        <v>-0.65169513695183934</v>
      </c>
      <c r="E71">
        <f>LOG(Table1_1[[#This Row],[PFOA]])</f>
        <v>-1.9088062223156451E-2</v>
      </c>
      <c r="F71">
        <f>LOG(Table1_1[[#This Row],[PFNA]])</f>
        <v>0.25527250510330607</v>
      </c>
      <c r="G71">
        <f>LOG(Table1_1[[#This Row],[PFDA]])</f>
        <v>1.0043213737826426</v>
      </c>
      <c r="H71">
        <f>LOG(Table1_1[[#This Row],[PFUnA]])</f>
        <v>1.0863598306747482</v>
      </c>
      <c r="I71">
        <f>LOG(Table1_1[[#This Row],[PFDoA]])</f>
        <v>1.0934216851622351</v>
      </c>
      <c r="J71">
        <f>LOG(Table1_1[[#This Row],[PFTrDA]])</f>
        <v>0.64933485871214192</v>
      </c>
      <c r="K71">
        <f>LOG(Table1_1[[#This Row],[PFTeDA]])</f>
        <v>0.70757017609793638</v>
      </c>
      <c r="L71">
        <f>LOG(Table1_1[[#This Row],[PFHxDA]])</f>
        <v>-0.57593547458251215</v>
      </c>
      <c r="M71">
        <f>LOG(Table1_1[[#This Row],[PFPrS]])</f>
        <v>-0.35115229162710637</v>
      </c>
      <c r="N71">
        <f>LOG(Table1_1[[#This Row],[PFBS]])</f>
        <v>-0.81958736716167624</v>
      </c>
      <c r="O71">
        <f>LOG(Table1_1[[#This Row],[PFPeS]])</f>
        <v>-0.57839607313016894</v>
      </c>
      <c r="P71">
        <f>LOG(Table1_1[[#This Row],[PFHxS]])</f>
        <v>1.6324572921847242</v>
      </c>
      <c r="Q71">
        <f>LOG(Table1_1[[#This Row],[PFHpS]])</f>
        <v>0.87273882747266884</v>
      </c>
      <c r="R71">
        <f>LOG(Table1_1[[#This Row],[PFOS]])</f>
        <v>3.2278867046136734</v>
      </c>
      <c r="S71">
        <f>LOG(Table1_1[[#This Row],[PFNS]])</f>
        <v>0.42160392686983106</v>
      </c>
      <c r="T71">
        <f>LOG(Table1_1[[#This Row],[PFDS]])</f>
        <v>0.21218760440395779</v>
      </c>
      <c r="U71">
        <f>LOG(Table1_1[[#This Row],[PFDoS]])</f>
        <v>-0.62342304294348805</v>
      </c>
      <c r="V71">
        <f>LOG(Table1_1[[#This Row],[Cl-PFOS]])</f>
        <v>-0.31605286924848786</v>
      </c>
      <c r="W71">
        <f>LOG(Table1_1[[#This Row],[PFEtCHxS]])</f>
        <v>-0.34969247686806354</v>
      </c>
      <c r="X71">
        <f>LOG(Table1_1[[#This Row],[FBSA]])</f>
        <v>1.8494194137968993</v>
      </c>
      <c r="Y71">
        <f>LOG(Table1_1[[#This Row],[FHxSA]])</f>
        <v>1.9508514588885464</v>
      </c>
      <c r="Z71">
        <f>LOG(Table1_1[[#This Row],[FOSA]])</f>
        <v>1.2253092817258628</v>
      </c>
      <c r="AA71">
        <f>LOG(Table1_1[[#This Row],[N-MeFOSA]])</f>
        <v>-0.7657358756212107</v>
      </c>
      <c r="AB71">
        <f>LOG(Table1_1[[#This Row],[N-EtFOSA]])</f>
        <v>-0.35115229162710637</v>
      </c>
      <c r="AC71">
        <f>LOG(Table1_1[[#This Row],[FOSAA]])</f>
        <v>-0.35115229162710637</v>
      </c>
      <c r="AD71">
        <f>LOG(Table1_1[[#This Row],[N-MeFOSAA]])</f>
        <v>-0.64975198166583714</v>
      </c>
      <c r="AE71">
        <f>LOG(Table1_1[[#This Row],[N-EtFOSAA]])</f>
        <v>-0.65169513695183934</v>
      </c>
      <c r="AF71">
        <f>LOG(Table1_1[[#This Row],[4:2 FTS]])</f>
        <v>-0.65169513695183934</v>
      </c>
      <c r="AG71">
        <f>LOG(Table1_1[[#This Row],[6:2 FTS]])</f>
        <v>-0.65169513695183934</v>
      </c>
      <c r="AH71">
        <f>LOG(Table1_1[[#This Row],[8:2 FTS]])</f>
        <v>0.84757265914211222</v>
      </c>
      <c r="AI71">
        <f>LOG(Table1_1[[#This Row],[10:2 FTS]])</f>
        <v>-0.35115229162710637</v>
      </c>
      <c r="AJ71">
        <f>LOG(Table1_1[[#This Row],[3:3 FTCA]])</f>
        <v>-0.5900668766687055</v>
      </c>
      <c r="AK71">
        <f>LOG(Table1_1[[#This Row],[5:3 FTCA]])</f>
        <v>-0.65169513695183934</v>
      </c>
      <c r="AL71">
        <f>LOG(Table1_1[[#This Row],[7:3 FTCA]])</f>
        <v>0.4099331233312945</v>
      </c>
      <c r="AM71">
        <f>LOG(Table1_1[[#This Row],[6:2 FTCA]])</f>
        <v>-0.35115229162710637</v>
      </c>
      <c r="AN71">
        <f>LOG(Table1_1[[#This Row],[8:2 FTCA]])</f>
        <v>-0.35115229162710637</v>
      </c>
      <c r="AO71">
        <f>LOG(Table1_1[[#This Row],[10:2 FTCA]])</f>
        <v>-0.35115229162710637</v>
      </c>
      <c r="AP71">
        <f>LOG(Table1_1[[#This Row],[6:2 FTUCA]])</f>
        <v>-0.35115229162710637</v>
      </c>
      <c r="AQ71">
        <f>LOG(Table1_1[[#This Row],[8:2 FTUCA]])</f>
        <v>-0.35115229162710637</v>
      </c>
      <c r="AR71">
        <f>LOG(Table1_1[[#This Row],[ADONA]])</f>
        <v>-4.6240308266771224E-2</v>
      </c>
      <c r="AS71">
        <f>LOG(Table1_1[[#This Row],[9Cl-PF3ONS]])</f>
        <v>-0.35115229162710637</v>
      </c>
      <c r="AT71">
        <f>LOG(Table1_1[[#This Row],[11Cl-PF3OUdS]])</f>
        <v>-0.35115229162710637</v>
      </c>
      <c r="AU71">
        <f>LOG(Table1_1[[#This Row],[HFPO-DA]])</f>
        <v>-0.49552913750558103</v>
      </c>
      <c r="AV71">
        <f>LOG(Table1_1[[#This Row],[6:2 diPAP]])</f>
        <v>-0.35115229162710637</v>
      </c>
      <c r="AW71">
        <f>LOG(Table1_1[[#This Row],[8:2 diPAP]])</f>
        <v>-0.35115229162710637</v>
      </c>
      <c r="AX71">
        <f>LOG(Table1_1[[#This Row],[diSAmPAP]])</f>
        <v>-0.35115229162710637</v>
      </c>
    </row>
    <row r="72" spans="1:50">
      <c r="A72">
        <f>LOG(Table1_1[[#This Row],[PFBA]])</f>
        <v>-1.1030431349788898</v>
      </c>
      <c r="B72">
        <f>LOG(Table1_1[[#This Row],[PFPeA]])</f>
        <v>-0.85596557725337163</v>
      </c>
      <c r="C72">
        <f>LOG(Table1_1[[#This Row],[PFHxA]])</f>
        <v>-0.97295774109443589</v>
      </c>
      <c r="D72">
        <f>LOG(Table1_1[[#This Row],[PFHpA]])</f>
        <v>-1.1030431349788898</v>
      </c>
      <c r="E72">
        <f>LOG(Table1_1[[#This Row],[PFOA]])</f>
        <v>0.1553360374650618</v>
      </c>
      <c r="F72">
        <f>LOG(Table1_1[[#This Row],[PFNA]])</f>
        <v>-0.21824462534753111</v>
      </c>
      <c r="G72">
        <f>LOG(Table1_1[[#This Row],[PFDA]])</f>
        <v>0.57054293988189753</v>
      </c>
      <c r="H72">
        <f>LOG(Table1_1[[#This Row],[PFUnA]])</f>
        <v>0.81954393554186866</v>
      </c>
      <c r="I72">
        <f>LOG(Table1_1[[#This Row],[PFDoA]])</f>
        <v>-1.2696986528276171</v>
      </c>
      <c r="J72">
        <f>LOG(Table1_1[[#This Row],[PFTrDA]])</f>
        <v>0.51719589794997434</v>
      </c>
      <c r="K72">
        <f>LOG(Table1_1[[#This Row],[PFTeDA]])</f>
        <v>0.59217675739586684</v>
      </c>
      <c r="L72">
        <f>LOG(Table1_1[[#This Row],[PFHxDA]])</f>
        <v>-1.0957374344634754</v>
      </c>
      <c r="M72">
        <f>LOG(Table1_1[[#This Row],[PFPrS]])</f>
        <v>-1.2894429471473556</v>
      </c>
      <c r="N72">
        <f>LOG(Table1_1[[#This Row],[PFBS]])</f>
        <v>-0.87220523483542212</v>
      </c>
      <c r="O72">
        <f>LOG(Table1_1[[#This Row],[PFPeS]])</f>
        <v>-0.56543109596580121</v>
      </c>
      <c r="P72">
        <f>LOG(Table1_1[[#This Row],[PFHxS]])</f>
        <v>1.4857214264815801</v>
      </c>
      <c r="Q72">
        <f>LOG(Table1_1[[#This Row],[PFHpS]])</f>
        <v>1.703333929878037E-2</v>
      </c>
      <c r="R72">
        <f>LOG(Table1_1[[#This Row],[PFOS]])</f>
        <v>2.6720978579357175</v>
      </c>
      <c r="S72">
        <f>LOG(Table1_1[[#This Row],[PFNS]])</f>
        <v>-0.32513885926218844</v>
      </c>
      <c r="T72">
        <f>LOG(Table1_1[[#This Row],[PFDS]])</f>
        <v>-0.23507701535011155</v>
      </c>
      <c r="U72">
        <f>LOG(Table1_1[[#This Row],[PFDoS]])</f>
        <v>-0.675975022825276</v>
      </c>
      <c r="V72">
        <f>LOG(Table1_1[[#This Row],[Cl-PFOS]])</f>
        <v>-0.92142518711203147</v>
      </c>
      <c r="W72">
        <f>LOG(Table1_1[[#This Row],[PFEtCHxS]])</f>
        <v>-1.1030431349788898</v>
      </c>
      <c r="X72">
        <f>LOG(Table1_1[[#This Row],[FBSA]])</f>
        <v>1.8175653695597809</v>
      </c>
      <c r="Y72">
        <f>LOG(Table1_1[[#This Row],[FHxSA]])</f>
        <v>2.2278867046136734</v>
      </c>
      <c r="Z72">
        <f>LOG(Table1_1[[#This Row],[FOSA]])</f>
        <v>1.4409090820652177</v>
      </c>
      <c r="AA72">
        <f>LOG(Table1_1[[#This Row],[N-MeFOSA]])</f>
        <v>-1.2852340470140975</v>
      </c>
      <c r="AB72">
        <f>LOG(Table1_1[[#This Row],[N-EtFOSA]])</f>
        <v>-1.1048855795806427</v>
      </c>
      <c r="AC72">
        <f>LOG(Table1_1[[#This Row],[FOSAA]])</f>
        <v>-1.2752850355147134</v>
      </c>
      <c r="AD72">
        <f>LOG(Table1_1[[#This Row],[N-MeFOSAA]])</f>
        <v>0.83505610172011624</v>
      </c>
      <c r="AE72">
        <f>LOG(Table1_1[[#This Row],[N-EtFOSAA]])</f>
        <v>-1.2334259125402895</v>
      </c>
      <c r="AF72">
        <f>LOG(Table1_1[[#This Row],[4:2 FTS]])</f>
        <v>-1.2573922426707962</v>
      </c>
      <c r="AG72">
        <f>LOG(Table1_1[[#This Row],[6:2 FTS]])</f>
        <v>3.7426497940623665E-2</v>
      </c>
      <c r="AH72">
        <f>LOG(Table1_1[[#This Row],[8:2 FTS]])</f>
        <v>0.81358098856819194</v>
      </c>
      <c r="AI72">
        <f>LOG(Table1_1[[#This Row],[10:2 FTS]])</f>
        <v>-0.64992917122696636</v>
      </c>
      <c r="AJ72">
        <f>LOG(Table1_1[[#This Row],[3:3 FTCA]])</f>
        <v>-1.1099274675957265</v>
      </c>
      <c r="AK72">
        <f>LOG(Table1_1[[#This Row],[5:3 FTCA]])</f>
        <v>4.1392685158225077E-2</v>
      </c>
      <c r="AL72">
        <f>LOG(Table1_1[[#This Row],[7:3 FTCA]])</f>
        <v>1.0755469613925308</v>
      </c>
      <c r="AM72">
        <f>LOG(Table1_1[[#This Row],[6:2 FTCA]])</f>
        <v>0.35410843914740087</v>
      </c>
      <c r="AN72">
        <f>LOG(Table1_1[[#This Row],[8:2 FTCA]])</f>
        <v>-0.17327747983100789</v>
      </c>
      <c r="AO72">
        <f>LOG(Table1_1[[#This Row],[10:2 FTCA]])</f>
        <v>-0.9981160120299073</v>
      </c>
      <c r="AP72">
        <f>LOG(Table1_1[[#This Row],[6:2 FTUCA]])</f>
        <v>-1.2769624854306028</v>
      </c>
      <c r="AQ72">
        <f>LOG(Table1_1[[#This Row],[8:2 FTUCA]])</f>
        <v>-1.3906850179973544</v>
      </c>
      <c r="AR72">
        <f>LOG(Table1_1[[#This Row],[ADONA]])</f>
        <v>-1.1719408671268052</v>
      </c>
      <c r="AS72">
        <f>LOG(Table1_1[[#This Row],[9Cl-PF3ONS]])</f>
        <v>-1.3305146686177958</v>
      </c>
      <c r="AT72">
        <f>LOG(Table1_1[[#This Row],[11Cl-PF3OUdS]])</f>
        <v>-1.2754198604626701</v>
      </c>
      <c r="AU72">
        <f>LOG(Table1_1[[#This Row],[HFPO-DA]])</f>
        <v>-1.0150803211192498</v>
      </c>
      <c r="AV72">
        <f>LOG(Table1_1[[#This Row],[6:2 diPAP]])</f>
        <v>-1.144783396426055</v>
      </c>
      <c r="AW72">
        <f>LOG(Table1_1[[#This Row],[8:2 diPAP]])</f>
        <v>-1.0494582640038728</v>
      </c>
      <c r="AX72">
        <f>LOG(Table1_1[[#This Row],[diSAmPAP]])</f>
        <v>-0.92642819931265563</v>
      </c>
    </row>
    <row r="73" spans="1:50">
      <c r="A73">
        <f>LOG(Table1_1[[#This Row],[PFBA]])</f>
        <v>-1.0419187839286821</v>
      </c>
      <c r="B73">
        <f>LOG(Table1_1[[#This Row],[PFPeA]])</f>
        <v>-1.3744795171312592</v>
      </c>
      <c r="C73">
        <f>LOG(Table1_1[[#This Row],[PFHxA]])</f>
        <v>-0.91183339004422836</v>
      </c>
      <c r="D73">
        <f>LOG(Table1_1[[#This Row],[PFHpA]])</f>
        <v>-1.0419187839286821</v>
      </c>
      <c r="E73">
        <f>LOG(Table1_1[[#This Row],[PFOA]])</f>
        <v>-0.16304326294044955</v>
      </c>
      <c r="F73">
        <f>LOG(Table1_1[[#This Row],[PFNA]])</f>
        <v>-0.3925449767853314</v>
      </c>
      <c r="G73">
        <f>LOG(Table1_1[[#This Row],[PFDA]])</f>
        <v>0.55630250076728727</v>
      </c>
      <c r="H73">
        <f>LOG(Table1_1[[#This Row],[PFUnA]])</f>
        <v>0.81291335664285558</v>
      </c>
      <c r="I73">
        <f>LOG(Table1_1[[#This Row],[PFDoA]])</f>
        <v>-1.3213748518855515</v>
      </c>
      <c r="J73">
        <f>LOG(Table1_1[[#This Row],[PFTrDA]])</f>
        <v>0.57863920996807239</v>
      </c>
      <c r="K73">
        <f>LOG(Table1_1[[#This Row],[PFTeDA]])</f>
        <v>0.86033800657099369</v>
      </c>
      <c r="L73">
        <f>LOG(Table1_1[[#This Row],[PFHxDA]])</f>
        <v>-1.1474136335214096</v>
      </c>
      <c r="M73">
        <f>LOG(Table1_1[[#This Row],[PFPrS]])</f>
        <v>-1.3411191462052898</v>
      </c>
      <c r="N73">
        <f>LOG(Table1_1[[#This Row],[PFBS]])</f>
        <v>0.1903316981702915</v>
      </c>
      <c r="O73">
        <f>LOG(Table1_1[[#This Row],[PFPeS]])</f>
        <v>-0.51999305704284937</v>
      </c>
      <c r="P73">
        <f>LOG(Table1_1[[#This Row],[PFHxS]])</f>
        <v>1.481442628502305</v>
      </c>
      <c r="Q73">
        <f>LOG(Table1_1[[#This Row],[PFHpS]])</f>
        <v>-0.31875876262441277</v>
      </c>
      <c r="R73">
        <f>LOG(Table1_1[[#This Row],[PFOS]])</f>
        <v>2.5921767573958667</v>
      </c>
      <c r="S73">
        <f>LOG(Table1_1[[#This Row],[PFNS]])</f>
        <v>-0.18775530319963074</v>
      </c>
      <c r="T73">
        <f>LOG(Table1_1[[#This Row],[PFDS]])</f>
        <v>0.28103336724772754</v>
      </c>
      <c r="U73">
        <f>LOG(Table1_1[[#This Row],[PFDoS]])</f>
        <v>-0.15739076038943792</v>
      </c>
      <c r="V73">
        <f>LOG(Table1_1[[#This Row],[Cl-PFOS]])</f>
        <v>-0.86030083606182384</v>
      </c>
      <c r="W73">
        <f>LOG(Table1_1[[#This Row],[PFEtCHxS]])</f>
        <v>-1.0419187839286821</v>
      </c>
      <c r="X73">
        <f>LOG(Table1_1[[#This Row],[FBSA]])</f>
        <v>1.8155777483242672</v>
      </c>
      <c r="Y73">
        <f>LOG(Table1_1[[#This Row],[FHxSA]])</f>
        <v>2.0791812460476247</v>
      </c>
      <c r="Z73">
        <f>LOG(Table1_1[[#This Row],[FOSA]])</f>
        <v>1.4668676203541096</v>
      </c>
      <c r="AA73">
        <f>LOG(Table1_1[[#This Row],[N-MeFOSA]])</f>
        <v>-1.3369102460720317</v>
      </c>
      <c r="AB73">
        <f>LOG(Table1_1[[#This Row],[N-EtFOSA]])</f>
        <v>-1.1565617786385769</v>
      </c>
      <c r="AC73">
        <f>LOG(Table1_1[[#This Row],[FOSAA]])</f>
        <v>-1.3269612345726476</v>
      </c>
      <c r="AD73">
        <f>LOG(Table1_1[[#This Row],[N-MeFOSAA]])</f>
        <v>-1.2209973595064194</v>
      </c>
      <c r="AE73">
        <f>LOG(Table1_1[[#This Row],[N-EtFOSAA]])</f>
        <v>-1.285102111598224</v>
      </c>
      <c r="AF73">
        <f>LOG(Table1_1[[#This Row],[4:2 FTS]])</f>
        <v>-1.3090684417287304</v>
      </c>
      <c r="AG73">
        <f>LOG(Table1_1[[#This Row],[6:2 FTS]])</f>
        <v>-1.442769516263918</v>
      </c>
      <c r="AH73">
        <f>LOG(Table1_1[[#This Row],[8:2 FTS]])</f>
        <v>0.84757265914211222</v>
      </c>
      <c r="AI73">
        <f>LOG(Table1_1[[#This Row],[10:2 FTS]])</f>
        <v>-0.58880482017675873</v>
      </c>
      <c r="AJ73">
        <f>LOG(Table1_1[[#This Row],[3:3 FTCA]])</f>
        <v>-1.1616036666536609</v>
      </c>
      <c r="AK73">
        <f>LOG(Table1_1[[#This Row],[5:3 FTCA]])</f>
        <v>-0.13667713987954411</v>
      </c>
      <c r="AL73">
        <f>LOG(Table1_1[[#This Row],[7:3 FTCA]])</f>
        <v>2.1238516409670858</v>
      </c>
      <c r="AM73">
        <f>LOG(Table1_1[[#This Row],[6:2 FTCA]])</f>
        <v>0.53529412004277055</v>
      </c>
      <c r="AN73">
        <f>LOG(Table1_1[[#This Row],[8:2 FTCA]])</f>
        <v>-1.6215570748567774</v>
      </c>
      <c r="AO73">
        <f>LOG(Table1_1[[#This Row],[10:2 FTCA]])</f>
        <v>-1.0497922110878415</v>
      </c>
      <c r="AP73">
        <f>LOG(Table1_1[[#This Row],[6:2 FTUCA]])</f>
        <v>-1.3286386844885369</v>
      </c>
      <c r="AQ73">
        <f>LOG(Table1_1[[#This Row],[8:2 FTUCA]])</f>
        <v>-1.4423612170552889</v>
      </c>
      <c r="AR73">
        <f>LOG(Table1_1[[#This Row],[ADONA]])</f>
        <v>-1.2236170661847396</v>
      </c>
      <c r="AS73">
        <f>LOG(Table1_1[[#This Row],[9Cl-PF3ONS]])</f>
        <v>-1.3821908676757302</v>
      </c>
      <c r="AT73">
        <f>LOG(Table1_1[[#This Row],[11Cl-PF3OUdS]])</f>
        <v>-1.3270960595206043</v>
      </c>
      <c r="AU73">
        <f>LOG(Table1_1[[#This Row],[HFPO-DA]])</f>
        <v>-1.0667565201771843</v>
      </c>
      <c r="AV73">
        <f>LOG(Table1_1[[#This Row],[6:2 diPAP]])</f>
        <v>-1.1964595954839892</v>
      </c>
      <c r="AW73">
        <f>LOG(Table1_1[[#This Row],[8:2 diPAP]])</f>
        <v>-1.101134463061807</v>
      </c>
      <c r="AX73">
        <f>LOG(Table1_1[[#This Row],[diSAmPAP]])</f>
        <v>-0.97810439837058982</v>
      </c>
    </row>
    <row r="74" spans="1:50">
      <c r="A74">
        <f>LOG(Table1_1[[#This Row],[PFBA]])</f>
        <v>-0.65364702554936138</v>
      </c>
      <c r="B74">
        <f>LOG(Table1_1[[#This Row],[PFPeA]])</f>
        <v>-1.3223930472795069</v>
      </c>
      <c r="C74">
        <f>LOG(Table1_1[[#This Row],[PFHxA]])</f>
        <v>-0.92081875395237522</v>
      </c>
      <c r="D74">
        <f>LOG(Table1_1[[#This Row],[PFHpA]])</f>
        <v>-1.0506099933550872</v>
      </c>
      <c r="E74">
        <f>LOG(Table1_1[[#This Row],[PFOA]])</f>
        <v>-0.12726117252733121</v>
      </c>
      <c r="F74">
        <f>LOG(Table1_1[[#This Row],[PFNA]])</f>
        <v>-0.27327279097342771</v>
      </c>
      <c r="G74">
        <f>LOG(Table1_1[[#This Row],[PFDA]])</f>
        <v>0.58092497567561929</v>
      </c>
      <c r="H74">
        <f>LOG(Table1_1[[#This Row],[PFUnA]])</f>
        <v>0.88081359228079137</v>
      </c>
      <c r="I74">
        <f>LOG(Table1_1[[#This Row],[PFDoA]])</f>
        <v>1.0827853703164501</v>
      </c>
      <c r="J74">
        <f>LOG(Table1_1[[#This Row],[PFTrDA]])</f>
        <v>0.47712125471966244</v>
      </c>
      <c r="K74">
        <f>LOG(Table1_1[[#This Row],[PFTeDA]])</f>
        <v>0.62838893005031149</v>
      </c>
      <c r="L74">
        <f>LOG(Table1_1[[#This Row],[PFHxDA]])</f>
        <v>-1.0969100130080565</v>
      </c>
      <c r="M74">
        <f>LOG(Table1_1[[#This Row],[PFPrS]])</f>
        <v>-1.288192770958809</v>
      </c>
      <c r="N74">
        <f>LOG(Table1_1[[#This Row],[PFBS]])</f>
        <v>-0.82102305270683062</v>
      </c>
      <c r="O74">
        <f>LOG(Table1_1[[#This Row],[PFPeS]])</f>
        <v>-0.92996213339224498</v>
      </c>
      <c r="P74">
        <f>LOG(Table1_1[[#This Row],[PFHxS]])</f>
        <v>1.2966651902615312</v>
      </c>
      <c r="Q74">
        <f>LOG(Table1_1[[#This Row],[PFHpS]])</f>
        <v>4.3213737826425782E-3</v>
      </c>
      <c r="R74">
        <f>LOG(Table1_1[[#This Row],[PFOS]])</f>
        <v>2.8633228601204559</v>
      </c>
      <c r="S74">
        <f>LOG(Table1_1[[#This Row],[PFNS]])</f>
        <v>-0.23807216157947098</v>
      </c>
      <c r="T74">
        <f>LOG(Table1_1[[#This Row],[PFDS]])</f>
        <v>-7.7274542006740027E-2</v>
      </c>
      <c r="U74">
        <f>LOG(Table1_1[[#This Row],[PFDoS]])</f>
        <v>-0.62433638603911468</v>
      </c>
      <c r="V74">
        <f>LOG(Table1_1[[#This Row],[Cl-PFOS]])</f>
        <v>-0.86966623150499389</v>
      </c>
      <c r="W74">
        <f>LOG(Table1_1[[#This Row],[PFEtCHxS]])</f>
        <v>-1.0506099933550872</v>
      </c>
      <c r="X74">
        <f>LOG(Table1_1[[#This Row],[FBSA]])</f>
        <v>1.7226339225338123</v>
      </c>
      <c r="Y74">
        <f>LOG(Table1_1[[#This Row],[FHxSA]])</f>
        <v>2.2764618041732443</v>
      </c>
      <c r="Z74">
        <f>LOG(Table1_1[[#This Row],[FOSA]])</f>
        <v>1.4297522800024081</v>
      </c>
      <c r="AA74">
        <f>LOG(Table1_1[[#This Row],[N-MeFOSA]])</f>
        <v>-1.2839966563652008</v>
      </c>
      <c r="AB74">
        <f>LOG(Table1_1[[#This Row],[N-EtFOSA]])</f>
        <v>-1.1051303432547475</v>
      </c>
      <c r="AC74">
        <f>LOG(Table1_1[[#This Row],[FOSAA]])</f>
        <v>-1.2757241303992111</v>
      </c>
      <c r="AD74">
        <f>LOG(Table1_1[[#This Row],[N-MeFOSAA]])</f>
        <v>-0.65072247253204474</v>
      </c>
      <c r="AE74">
        <f>LOG(Table1_1[[#This Row],[N-EtFOSAA]])</f>
        <v>-1.2328441339178196</v>
      </c>
      <c r="AF74">
        <f>LOG(Table1_1[[#This Row],[4:2 FTS]])</f>
        <v>-1.2557070168773237</v>
      </c>
      <c r="AG74">
        <f>LOG(Table1_1[[#This Row],[6:2 FTS]])</f>
        <v>-0.8728952016351923</v>
      </c>
      <c r="AH74">
        <f>LOG(Table1_1[[#This Row],[8:2 FTS]])</f>
        <v>0.90794852161227224</v>
      </c>
      <c r="AI74">
        <f>LOG(Table1_1[[#This Row],[10:2 FTS]])</f>
        <v>-0.59859945921845592</v>
      </c>
      <c r="AJ74">
        <f>LOG(Table1_1[[#This Row],[3:3 FTCA]])</f>
        <v>-0.14387555575769967</v>
      </c>
      <c r="AK74">
        <f>LOG(Table1_1[[#This Row],[5:3 FTCA]])</f>
        <v>-0.65364702554936138</v>
      </c>
      <c r="AL74">
        <f>LOG(Table1_1[[#This Row],[7:3 FTCA]])</f>
        <v>0.62221402296629535</v>
      </c>
      <c r="AM74">
        <f>LOG(Table1_1[[#This Row],[6:2 FTCA]])</f>
        <v>-0.18177410638604449</v>
      </c>
      <c r="AN74">
        <f>LOG(Table1_1[[#This Row],[8:2 FTCA]])</f>
        <v>-1.1706962271689751</v>
      </c>
      <c r="AO74">
        <f>LOG(Table1_1[[#This Row],[10:2 FTCA]])</f>
        <v>-4.3831569524636682E-2</v>
      </c>
      <c r="AP74">
        <f>LOG(Table1_1[[#This Row],[6:2 FTUCA]])</f>
        <v>-1.2757241303992111</v>
      </c>
      <c r="AQ74">
        <f>LOG(Table1_1[[#This Row],[8:2 FTUCA]])</f>
        <v>-1.391473966422806</v>
      </c>
      <c r="AR74">
        <f>LOG(Table1_1[[#This Row],[ADONA]])</f>
        <v>-1.1706962271689751</v>
      </c>
      <c r="AS74">
        <f>LOG(Table1_1[[#This Row],[9Cl-PF3ONS]])</f>
        <v>-1.1706962271689751</v>
      </c>
      <c r="AT74">
        <f>LOG(Table1_1[[#This Row],[11Cl-PF3OUdS]])</f>
        <v>-1.1706962271689751</v>
      </c>
      <c r="AU74">
        <f>LOG(Table1_1[[#This Row],[HFPO-DA]])</f>
        <v>-1.0154726866562074</v>
      </c>
      <c r="AV74">
        <f>LOG(Table1_1[[#This Row],[6:2 diPAP]])</f>
        <v>-1.1456939581989194</v>
      </c>
      <c r="AW74">
        <f>LOG(Table1_1[[#This Row],[8:2 diPAP]])</f>
        <v>-1.0506099933550872</v>
      </c>
      <c r="AX74">
        <f>LOG(Table1_1[[#This Row],[diSAmPAP]])</f>
        <v>-0.92628164965387738</v>
      </c>
    </row>
    <row r="75" spans="1:50">
      <c r="A75">
        <f>LOG(Table1_1[[#This Row],[PFBA]])</f>
        <v>-0.64206515299954614</v>
      </c>
      <c r="B75">
        <f>LOG(Table1_1[[#This Row],[PFPeA]])</f>
        <v>-1.3115801779972893</v>
      </c>
      <c r="C75">
        <f>LOG(Table1_1[[#This Row],[PFHxA]])</f>
        <v>-1.4288737229156883</v>
      </c>
      <c r="D75">
        <f>LOG(Table1_1[[#This Row],[PFHpA]])</f>
        <v>-1.0409586076789064</v>
      </c>
      <c r="E75">
        <f>LOG(Table1_1[[#This Row],[PFOA]])</f>
        <v>-0.11975822410451964</v>
      </c>
      <c r="F75">
        <f>LOG(Table1_1[[#This Row],[PFNA]])</f>
        <v>-0.32513885926218844</v>
      </c>
      <c r="G75">
        <f>LOG(Table1_1[[#This Row],[PFDA]])</f>
        <v>0.73798732633343078</v>
      </c>
      <c r="H75">
        <f>LOG(Table1_1[[#This Row],[PFUnA]])</f>
        <v>0.96661098668193435</v>
      </c>
      <c r="I75">
        <f>LOG(Table1_1[[#This Row],[PFDoA]])</f>
        <v>1.1702617153949575</v>
      </c>
      <c r="J75">
        <f>LOG(Table1_1[[#This Row],[PFTrDA]])</f>
        <v>0.78175537465246892</v>
      </c>
      <c r="K75">
        <f>LOG(Table1_1[[#This Row],[PFTeDA]])</f>
        <v>1.0863598306747482</v>
      </c>
      <c r="L75">
        <f>LOG(Table1_1[[#This Row],[PFHxDA]])</f>
        <v>-1.083546051450075</v>
      </c>
      <c r="M75">
        <f>LOG(Table1_1[[#This Row],[PFPrS]])</f>
        <v>-1.2798406965940432</v>
      </c>
      <c r="N75">
        <f>LOG(Table1_1[[#This Row],[PFBS]])</f>
        <v>-0.8096683018297085</v>
      </c>
      <c r="O75">
        <f>LOG(Table1_1[[#This Row],[PFPeS]])</f>
        <v>-0.91901295308911279</v>
      </c>
      <c r="P75">
        <f>LOG(Table1_1[[#This Row],[PFHxS]])</f>
        <v>1.2944662261615929</v>
      </c>
      <c r="Q75">
        <f>LOG(Table1_1[[#This Row],[PFHpS]])</f>
        <v>1.2837224705172217E-2</v>
      </c>
      <c r="R75">
        <f>LOG(Table1_1[[#This Row],[PFOS]])</f>
        <v>2.9148718175400505</v>
      </c>
      <c r="S75">
        <f>LOG(Table1_1[[#This Row],[PFNS]])</f>
        <v>-0.15242734085788781</v>
      </c>
      <c r="T75">
        <f>LOG(Table1_1[[#This Row],[PFDS]])</f>
        <v>0.1553360374650618</v>
      </c>
      <c r="U75">
        <f>LOG(Table1_1[[#This Row],[PFDoS]])</f>
        <v>-0.11747546204511952</v>
      </c>
      <c r="V75">
        <f>LOG(Table1_1[[#This Row],[Cl-PFOS]])</f>
        <v>-0.85855022659953262</v>
      </c>
      <c r="W75">
        <f>LOG(Table1_1[[#This Row],[PFEtCHxS]])</f>
        <v>-1.0409586076789064</v>
      </c>
      <c r="X75">
        <f>LOG(Table1_1[[#This Row],[FBSA]])</f>
        <v>1.7234556720351857</v>
      </c>
      <c r="Y75">
        <f>LOG(Table1_1[[#This Row],[FHxSA]])</f>
        <v>2.27415784926368</v>
      </c>
      <c r="Z75">
        <f>LOG(Table1_1[[#This Row],[FOSA]])</f>
        <v>1.5010592622177514</v>
      </c>
      <c r="AA75">
        <f>LOG(Table1_1[[#This Row],[N-MeFOSA]])</f>
        <v>-1.2757241303992111</v>
      </c>
      <c r="AB75">
        <f>LOG(Table1_1[[#This Row],[N-EtFOSA]])</f>
        <v>-1.0942041196321315</v>
      </c>
      <c r="AC75">
        <f>LOG(Table1_1[[#This Row],[FOSAA]])</f>
        <v>-1.2636034977233577</v>
      </c>
      <c r="AD75">
        <f>LOG(Table1_1[[#This Row],[N-MeFOSAA]])</f>
        <v>-0.15552282425431863</v>
      </c>
      <c r="AE75">
        <f>LOG(Table1_1[[#This Row],[N-EtFOSAA]])</f>
        <v>-1.2218487496163564</v>
      </c>
      <c r="AF75">
        <f>LOG(Table1_1[[#This Row],[4:2 FTS]])</f>
        <v>-1.2441251443275085</v>
      </c>
      <c r="AG75">
        <f>LOG(Table1_1[[#This Row],[6:2 FTS]])</f>
        <v>-0.86169730183371851</v>
      </c>
      <c r="AH75">
        <f>LOG(Table1_1[[#This Row],[8:2 FTS]])</f>
        <v>0.91645394854992512</v>
      </c>
      <c r="AI75">
        <f>LOG(Table1_1[[#This Row],[10:2 FTS]])</f>
        <v>-0.5867002359187482</v>
      </c>
      <c r="AJ75">
        <f>LOG(Table1_1[[#This Row],[3:3 FTCA]])</f>
        <v>-1.0996328713435297</v>
      </c>
      <c r="AK75">
        <f>LOG(Table1_1[[#This Row],[5:3 FTCA]])</f>
        <v>0.47129171105893858</v>
      </c>
      <c r="AL75">
        <f>LOG(Table1_1[[#This Row],[7:3 FTCA]])</f>
        <v>0.92992956008458783</v>
      </c>
      <c r="AM75">
        <f>LOG(Table1_1[[#This Row],[6:2 FTCA]])</f>
        <v>-1.1611509092627446</v>
      </c>
      <c r="AN75">
        <f>LOG(Table1_1[[#This Row],[8:2 FTCA]])</f>
        <v>-1.1611509092627446</v>
      </c>
      <c r="AO75">
        <f>LOG(Table1_1[[#This Row],[10:2 FTCA]])</f>
        <v>-0.1106982974936897</v>
      </c>
      <c r="AP75">
        <f>LOG(Table1_1[[#This Row],[6:2 FTUCA]])</f>
        <v>-1.2676062401770316</v>
      </c>
      <c r="AQ75">
        <f>LOG(Table1_1[[#This Row],[8:2 FTUCA]])</f>
        <v>-1.3788237182249647</v>
      </c>
      <c r="AR75">
        <f>LOG(Table1_1[[#This Row],[ADONA]])</f>
        <v>-1.1611509092627446</v>
      </c>
      <c r="AS75">
        <f>LOG(Table1_1[[#This Row],[9Cl-PF3ONS]])</f>
        <v>-1.1611509092627446</v>
      </c>
      <c r="AT75">
        <f>LOG(Table1_1[[#This Row],[11Cl-PF3OUdS]])</f>
        <v>-1.1611509092627446</v>
      </c>
      <c r="AU75">
        <f>LOG(Table1_1[[#This Row],[HFPO-DA]])</f>
        <v>-1.0043648054024501</v>
      </c>
      <c r="AV75">
        <f>LOG(Table1_1[[#This Row],[6:2 diPAP]])</f>
        <v>-1.133712660915805</v>
      </c>
      <c r="AW75">
        <f>LOG(Table1_1[[#This Row],[8:2 diPAP]])</f>
        <v>-1.0385789059335517</v>
      </c>
      <c r="AX75">
        <f>LOG(Table1_1[[#This Row],[diSAmPAP]])</f>
        <v>-0.91542372206566902</v>
      </c>
    </row>
    <row r="76" spans="1:50">
      <c r="A76">
        <f>LOG(Table1_1[[#This Row],[PFBA]])</f>
        <v>-0.67468962828893886</v>
      </c>
      <c r="B76">
        <f>LOG(Table1_1[[#This Row],[PFPeA]])</f>
        <v>-1.1278437272517072</v>
      </c>
      <c r="C76">
        <f>LOG(Table1_1[[#This Row],[PFHxA]])</f>
        <v>-1.2441251443275085</v>
      </c>
      <c r="D76">
        <f>LOG(Table1_1[[#This Row],[PFHpA]])</f>
        <v>-0.97469413473522981</v>
      </c>
      <c r="E76">
        <f>LOG(Table1_1[[#This Row],[PFOA]])</f>
        <v>-0.16494389827988373</v>
      </c>
      <c r="F76">
        <f>LOG(Table1_1[[#This Row],[PFNA]])</f>
        <v>-0.20971483596675833</v>
      </c>
      <c r="G76">
        <f>LOG(Table1_1[[#This Row],[PFDA]])</f>
        <v>0.87332060181539872</v>
      </c>
      <c r="H76">
        <f>LOG(Table1_1[[#This Row],[PFUnA]])</f>
        <v>1.1958996524092338</v>
      </c>
      <c r="I76">
        <f>LOG(Table1_1[[#This Row],[PFDoA]])</f>
        <v>1.3521825181113625</v>
      </c>
      <c r="J76">
        <f>LOG(Table1_1[[#This Row],[PFTrDA]])</f>
        <v>0.74663419893757876</v>
      </c>
      <c r="K76">
        <f>LOG(Table1_1[[#This Row],[PFTeDA]])</f>
        <v>1.1553360374650619</v>
      </c>
      <c r="L76">
        <f>LOG(Table1_1[[#This Row],[PFHxDA]])</f>
        <v>-0.89962945488243706</v>
      </c>
      <c r="M76">
        <f>LOG(Table1_1[[#This Row],[PFPrS]])</f>
        <v>-0.97469413473522981</v>
      </c>
      <c r="N76">
        <f>LOG(Table1_1[[#This Row],[PFBS]])</f>
        <v>0.22010808804005508</v>
      </c>
      <c r="O76">
        <f>LOG(Table1_1[[#This Row],[PFPeS]])</f>
        <v>-0.52870828894106148</v>
      </c>
      <c r="P76">
        <f>LOG(Table1_1[[#This Row],[PFHxS]])</f>
        <v>1.7965743332104296</v>
      </c>
      <c r="Q76">
        <f>LOG(Table1_1[[#This Row],[PFHpS]])</f>
        <v>0.7323937598229685</v>
      </c>
      <c r="R76">
        <f>LOG(Table1_1[[#This Row],[PFOS]])</f>
        <v>2.8987251815894934</v>
      </c>
      <c r="S76">
        <f>LOG(Table1_1[[#This Row],[PFNS]])</f>
        <v>0.14301480025409505</v>
      </c>
      <c r="T76">
        <f>LOG(Table1_1[[#This Row],[PFDS]])</f>
        <v>0.27184160653649897</v>
      </c>
      <c r="U76">
        <f>LOG(Table1_1[[#This Row],[PFDoS]])</f>
        <v>-0.14266750356873156</v>
      </c>
      <c r="V76">
        <f>LOG(Table1_1[[#This Row],[Cl-PFOS]])</f>
        <v>-0.89109687233268664</v>
      </c>
      <c r="W76">
        <f>LOG(Table1_1[[#This Row],[PFEtCHxS]])</f>
        <v>-0.72584215073632019</v>
      </c>
      <c r="X76">
        <f>LOG(Table1_1[[#This Row],[FBSA]])</f>
        <v>2.220108088040055</v>
      </c>
      <c r="Y76">
        <f>LOG(Table1_1[[#This Row],[FHxSA]])</f>
        <v>2.8221680793680175</v>
      </c>
      <c r="Z76">
        <f>LOG(Table1_1[[#This Row],[FOSA]])</f>
        <v>1.3765769570565121</v>
      </c>
      <c r="AA76">
        <f>LOG(Table1_1[[#This Row],[N-MeFOSA]])</f>
        <v>-1.0888423912600234</v>
      </c>
      <c r="AB76">
        <f>LOG(Table1_1[[#This Row],[N-EtFOSA]])</f>
        <v>-0.67468962828893886</v>
      </c>
      <c r="AC76">
        <f>LOG(Table1_1[[#This Row],[FOSAA]])</f>
        <v>-0.37365963262495766</v>
      </c>
      <c r="AD76">
        <f>LOG(Table1_1[[#This Row],[N-MeFOSAA]])</f>
        <v>-0.97265039222524352</v>
      </c>
      <c r="AE76">
        <f>LOG(Table1_1[[#This Row],[N-EtFOSAA]])</f>
        <v>-0.97469413473522981</v>
      </c>
      <c r="AF76">
        <f>LOG(Table1_1[[#This Row],[4:2 FTS]])</f>
        <v>-0.97469413473522981</v>
      </c>
      <c r="AG76">
        <f>LOG(Table1_1[[#This Row],[6:2 FTS]])</f>
        <v>-0.67468962828893886</v>
      </c>
      <c r="AH76">
        <f>LOG(Table1_1[[#This Row],[8:2 FTS]])</f>
        <v>1.3053513694466237</v>
      </c>
      <c r="AI76">
        <f>LOG(Table1_1[[#This Row],[10:2 FTS]])</f>
        <v>-0.37365963262495766</v>
      </c>
      <c r="AJ76">
        <f>LOG(Table1_1[[#This Row],[3:3 FTCA]])</f>
        <v>-0.67468962828893886</v>
      </c>
      <c r="AK76">
        <f>LOG(Table1_1[[#This Row],[5:3 FTCA]])</f>
        <v>3.7426497940623665E-2</v>
      </c>
      <c r="AL76">
        <f>LOG(Table1_1[[#This Row],[7:3 FTCA]])</f>
        <v>1.1139433523068367</v>
      </c>
      <c r="AM76">
        <f>LOG(Table1_1[[#This Row],[6:2 FTCA]])</f>
        <v>-0.67468962828893886</v>
      </c>
      <c r="AN76">
        <f>LOG(Table1_1[[#This Row],[8:2 FTCA]])</f>
        <v>-0.97469413473522981</v>
      </c>
      <c r="AO76">
        <f>LOG(Table1_1[[#This Row],[10:2 FTCA]])</f>
        <v>-0.67468962828893886</v>
      </c>
      <c r="AP76">
        <f>LOG(Table1_1[[#This Row],[6:2 FTUCA]])</f>
        <v>-1.080921907623926</v>
      </c>
      <c r="AQ76">
        <f>LOG(Table1_1[[#This Row],[8:2 FTUCA]])</f>
        <v>-1.1938200260161129</v>
      </c>
      <c r="AR76">
        <f>LOG(Table1_1[[#This Row],[ADONA]])</f>
        <v>-1.0291883891274822</v>
      </c>
      <c r="AS76">
        <f>LOG(Table1_1[[#This Row],[9Cl-PF3ONS]])</f>
        <v>-0.67468962828893886</v>
      </c>
      <c r="AT76">
        <f>LOG(Table1_1[[#This Row],[11Cl-PF3OUdS]])</f>
        <v>-0.67468962828893886</v>
      </c>
      <c r="AU76">
        <f>LOG(Table1_1[[#This Row],[HFPO-DA]])</f>
        <v>-0.81815641205522749</v>
      </c>
      <c r="AV76">
        <f>LOG(Table1_1[[#This Row],[6:2 diPAP]])</f>
        <v>-0.67468962828893886</v>
      </c>
      <c r="AW76">
        <f>LOG(Table1_1[[#This Row],[8:2 diPAP]])</f>
        <v>-0.67468962828893886</v>
      </c>
      <c r="AX76">
        <f>LOG(Table1_1[[#This Row],[diSAmPAP]])</f>
        <v>-0.67468962828893886</v>
      </c>
    </row>
    <row r="77" spans="1:50">
      <c r="A77">
        <f>LOG(Table1_1[[#This Row],[PFBA]])</f>
        <v>-0.6020599913279624</v>
      </c>
      <c r="B77">
        <f>LOG(Table1_1[[#This Row],[PFPeA]])</f>
        <v>-1.0530567293021746</v>
      </c>
      <c r="C77">
        <f>LOG(Table1_1[[#This Row],[PFHxA]])</f>
        <v>-1.1706962271689751</v>
      </c>
      <c r="D77">
        <f>LOG(Table1_1[[#This Row],[PFHpA]])</f>
        <v>-0.90308998699194354</v>
      </c>
      <c r="E77">
        <f>LOG(Table1_1[[#This Row],[PFOA]])</f>
        <v>-8.4600164787730178E-2</v>
      </c>
      <c r="F77">
        <f>LOG(Table1_1[[#This Row],[PFNA]])</f>
        <v>-0.6020599913279624</v>
      </c>
      <c r="G77">
        <f>LOG(Table1_1[[#This Row],[PFDA]])</f>
        <v>0.5976951859255123</v>
      </c>
      <c r="H77">
        <f>LOG(Table1_1[[#This Row],[PFUnA]])</f>
        <v>0.98407703390283086</v>
      </c>
      <c r="I77">
        <f>LOG(Table1_1[[#This Row],[PFDoA]])</f>
        <v>1.5289167002776547</v>
      </c>
      <c r="J77">
        <f>LOG(Table1_1[[#This Row],[PFTrDA]])</f>
        <v>0.88930170250631024</v>
      </c>
      <c r="K77">
        <f>LOG(Table1_1[[#This Row],[PFTeDA]])</f>
        <v>1.2174839442139063</v>
      </c>
      <c r="L77">
        <f>LOG(Table1_1[[#This Row],[PFHxDA]])</f>
        <v>-0.82681373158772598</v>
      </c>
      <c r="M77">
        <f>LOG(Table1_1[[#This Row],[PFPrS]])</f>
        <v>-0.90308998699194354</v>
      </c>
      <c r="N77">
        <f>LOG(Table1_1[[#This Row],[PFBS]])</f>
        <v>-0.13667713987954411</v>
      </c>
      <c r="O77">
        <f>LOG(Table1_1[[#This Row],[PFPeS]])</f>
        <v>-0.87778412172717335</v>
      </c>
      <c r="P77">
        <f>LOG(Table1_1[[#This Row],[PFHxS]])</f>
        <v>1.3344537511509309</v>
      </c>
      <c r="Q77">
        <f>LOG(Table1_1[[#This Row],[PFHpS]])</f>
        <v>0.13672056715640679</v>
      </c>
      <c r="R77">
        <f>LOG(Table1_1[[#This Row],[PFOS]])</f>
        <v>2.6928469192772302</v>
      </c>
      <c r="S77">
        <f>LOG(Table1_1[[#This Row],[PFNS]])</f>
        <v>-8.5656842880559247E-2</v>
      </c>
      <c r="T77">
        <f>LOG(Table1_1[[#This Row],[PFDS]])</f>
        <v>6.445798922691845E-2</v>
      </c>
      <c r="U77">
        <f>LOG(Table1_1[[#This Row],[PFDoS]])</f>
        <v>-0.57267621364275267</v>
      </c>
      <c r="V77">
        <f>LOG(Table1_1[[#This Row],[Cl-PFOS]])</f>
        <v>-0.81815641205522749</v>
      </c>
      <c r="W77">
        <f>LOG(Table1_1[[#This Row],[PFEtCHxS]])</f>
        <v>-1</v>
      </c>
      <c r="X77">
        <f>LOG(Table1_1[[#This Row],[FBSA]])</f>
        <v>1.9030899869919435</v>
      </c>
      <c r="Y77">
        <f>LOG(Table1_1[[#This Row],[FHxSA]])</f>
        <v>2.3096301674258988</v>
      </c>
      <c r="Z77">
        <f>LOG(Table1_1[[#This Row],[FOSA]])</f>
        <v>1.1335389083702174</v>
      </c>
      <c r="AA77">
        <f>LOG(Table1_1[[#This Row],[N-MeFOSA]])</f>
        <v>-1.0154726866562074</v>
      </c>
      <c r="AB77">
        <f>LOG(Table1_1[[#This Row],[N-EtFOSA]])</f>
        <v>-0.6020599913279624</v>
      </c>
      <c r="AC77">
        <f>LOG(Table1_1[[#This Row],[FOSAA]])</f>
        <v>-0.6020599913279624</v>
      </c>
      <c r="AD77">
        <f>LOG(Table1_1[[#This Row],[N-MeFOSAA]])</f>
        <v>-0.89962945488243706</v>
      </c>
      <c r="AE77">
        <f>LOG(Table1_1[[#This Row],[N-EtFOSAA]])</f>
        <v>-0.90308998699194354</v>
      </c>
      <c r="AF77">
        <f>LOG(Table1_1[[#This Row],[4:2 FTS]])</f>
        <v>-0.90308998699194354</v>
      </c>
      <c r="AG77">
        <f>LOG(Table1_1[[#This Row],[6:2 FTS]])</f>
        <v>-0.90308998699194354</v>
      </c>
      <c r="AH77">
        <f>LOG(Table1_1[[#This Row],[8:2 FTS]])</f>
        <v>0.9689496809813426</v>
      </c>
      <c r="AI77">
        <f>LOG(Table1_1[[#This Row],[10:2 FTS]])</f>
        <v>-0.3010299956639812</v>
      </c>
      <c r="AJ77">
        <f>LOG(Table1_1[[#This Row],[3:3 FTCA]])</f>
        <v>-0.6020599913279624</v>
      </c>
      <c r="AK77">
        <f>LOG(Table1_1[[#This Row],[5:3 FTCA]])</f>
        <v>0.39269695325966575</v>
      </c>
      <c r="AL77">
        <f>LOG(Table1_1[[#This Row],[7:3 FTCA]])</f>
        <v>1.4502491083193612</v>
      </c>
      <c r="AM77">
        <f>LOG(Table1_1[[#This Row],[6:2 FTCA]])</f>
        <v>-0.6020599913279624</v>
      </c>
      <c r="AN77">
        <f>LOG(Table1_1[[#This Row],[8:2 FTCA]])</f>
        <v>-0.90308998699194354</v>
      </c>
      <c r="AO77">
        <f>LOG(Table1_1[[#This Row],[10:2 FTCA]])</f>
        <v>-0.6020599913279624</v>
      </c>
      <c r="AP77">
        <f>LOG(Table1_1[[#This Row],[6:2 FTUCA]])</f>
        <v>-1.0087739243075051</v>
      </c>
      <c r="AQ77">
        <f>LOG(Table1_1[[#This Row],[8:2 FTUCA]])</f>
        <v>-1.1220530483708118</v>
      </c>
      <c r="AR77">
        <f>LOG(Table1_1[[#This Row],[ADONA]])</f>
        <v>-0.95663772197887054</v>
      </c>
      <c r="AS77">
        <f>LOG(Table1_1[[#This Row],[9Cl-PF3ONS]])</f>
        <v>-0.6020599913279624</v>
      </c>
      <c r="AT77">
        <f>LOG(Table1_1[[#This Row],[11Cl-PF3OUdS]])</f>
        <v>-0.6020599913279624</v>
      </c>
      <c r="AU77">
        <f>LOG(Table1_1[[#This Row],[HFPO-DA]])</f>
        <v>-0.74593554708566201</v>
      </c>
      <c r="AV77">
        <f>LOG(Table1_1[[#This Row],[6:2 diPAP]])</f>
        <v>-0.6020599913279624</v>
      </c>
      <c r="AW77">
        <f>LOG(Table1_1[[#This Row],[8:2 diPAP]])</f>
        <v>-0.6020599913279624</v>
      </c>
      <c r="AX77">
        <f>LOG(Table1_1[[#This Row],[diSAmPAP]])</f>
        <v>-0.6020599913279624</v>
      </c>
    </row>
    <row r="78" spans="1:50">
      <c r="A78">
        <f>LOG(Table1_1[[#This Row],[PFBA]])</f>
        <v>-0.6526699846830496</v>
      </c>
      <c r="B78">
        <f>LOG(Table1_1[[#This Row],[PFPeA]])</f>
        <v>-1.1051303432547475</v>
      </c>
      <c r="C78">
        <f>LOG(Table1_1[[#This Row],[PFHxA]])</f>
        <v>-0.92081875395237522</v>
      </c>
      <c r="D78">
        <f>LOG(Table1_1[[#This Row],[PFHpA]])</f>
        <v>-0.6526699846830496</v>
      </c>
      <c r="E78">
        <f>LOG(Table1_1[[#This Row],[PFOA]])</f>
        <v>0.11727129565576427</v>
      </c>
      <c r="F78">
        <f>LOG(Table1_1[[#This Row],[PFNA]])</f>
        <v>-0.6526699846830496</v>
      </c>
      <c r="G78">
        <f>LOG(Table1_1[[#This Row],[PFDA]])</f>
        <v>0.76192783842052902</v>
      </c>
      <c r="H78">
        <f>LOG(Table1_1[[#This Row],[PFUnA]])</f>
        <v>1.1553360374650619</v>
      </c>
      <c r="I78">
        <f>LOG(Table1_1[[#This Row],[PFDoA]])</f>
        <v>1.7126497016272113</v>
      </c>
      <c r="J78">
        <f>LOG(Table1_1[[#This Row],[PFTrDA]])</f>
        <v>0.73639650227664244</v>
      </c>
      <c r="K78">
        <f>LOG(Table1_1[[#This Row],[PFTeDA]])</f>
        <v>1.4014005407815442</v>
      </c>
      <c r="L78">
        <f>LOG(Table1_1[[#This Row],[PFHxDA]])</f>
        <v>-0.87778412172717335</v>
      </c>
      <c r="M78">
        <f>LOG(Table1_1[[#This Row],[PFPrS]])</f>
        <v>-0.95272513261582048</v>
      </c>
      <c r="N78">
        <f>LOG(Table1_1[[#This Row],[PFBS]])</f>
        <v>-0.6526699846830496</v>
      </c>
      <c r="O78">
        <f>LOG(Table1_1[[#This Row],[PFPeS]])</f>
        <v>-0.40560744962457329</v>
      </c>
      <c r="P78">
        <f>LOG(Table1_1[[#This Row],[PFHxS]])</f>
        <v>1.6294095991027189</v>
      </c>
      <c r="Q78">
        <f>LOG(Table1_1[[#This Row],[PFHpS]])</f>
        <v>0.46239799789895608</v>
      </c>
      <c r="R78">
        <f>LOG(Table1_1[[#This Row],[PFOS]])</f>
        <v>2.5340261060561349</v>
      </c>
      <c r="S78">
        <f>LOG(Table1_1[[#This Row],[PFNS]])</f>
        <v>-0.10902040301031106</v>
      </c>
      <c r="T78">
        <f>LOG(Table1_1[[#This Row],[PFDS]])</f>
        <v>7.554696139253074E-2</v>
      </c>
      <c r="U78">
        <f>LOG(Table1_1[[#This Row],[PFDoS]])</f>
        <v>-0.62342304294348805</v>
      </c>
      <c r="V78">
        <f>LOG(Table1_1[[#This Row],[Cl-PFOS]])</f>
        <v>-0.86806070478957542</v>
      </c>
      <c r="W78">
        <f>LOG(Table1_1[[#This Row],[PFEtCHxS]])</f>
        <v>-0.72815839346350109</v>
      </c>
      <c r="X78">
        <f>LOG(Table1_1[[#This Row],[FBSA]])</f>
        <v>2.0755469613925306</v>
      </c>
      <c r="Y78">
        <f>LOG(Table1_1[[#This Row],[FHxSA]])</f>
        <v>2.4517864355242902</v>
      </c>
      <c r="Z78">
        <f>LOG(Table1_1[[#This Row],[FOSA]])</f>
        <v>1.2329961103921538</v>
      </c>
      <c r="AA78">
        <f>LOG(Table1_1[[#This Row],[N-MeFOSA]])</f>
        <v>-1.0680338852718274</v>
      </c>
      <c r="AB78">
        <f>LOG(Table1_1[[#This Row],[N-EtFOSA]])</f>
        <v>-0.6526699846830496</v>
      </c>
      <c r="AC78">
        <f>LOG(Table1_1[[#This Row],[FOSAA]])</f>
        <v>-0.6526699846830496</v>
      </c>
      <c r="AD78">
        <f>LOG(Table1_1[[#This Row],[N-MeFOSAA]])</f>
        <v>-0.9507819773298184</v>
      </c>
      <c r="AE78">
        <f>LOG(Table1_1[[#This Row],[N-EtFOSAA]])</f>
        <v>-0.95272513261582048</v>
      </c>
      <c r="AF78">
        <f>LOG(Table1_1[[#This Row],[4:2 FTS]])</f>
        <v>-0.95272513261582048</v>
      </c>
      <c r="AG78">
        <f>LOG(Table1_1[[#This Row],[6:2 FTS]])</f>
        <v>-0.16941133131485567</v>
      </c>
      <c r="AH78">
        <f>LOG(Table1_1[[#This Row],[8:2 FTS]])</f>
        <v>1.1492191126553799</v>
      </c>
      <c r="AI78">
        <f>LOG(Table1_1[[#This Row],[10:2 FTS]])</f>
        <v>-0.6526699846830496</v>
      </c>
      <c r="AJ78">
        <f>LOG(Table1_1[[#This Row],[3:3 FTCA]])</f>
        <v>-0.6526699846830496</v>
      </c>
      <c r="AK78">
        <f>LOG(Table1_1[[#This Row],[5:3 FTCA]])</f>
        <v>0.77887447200273952</v>
      </c>
      <c r="AL78">
        <f>LOG(Table1_1[[#This Row],[7:3 FTCA]])</f>
        <v>1.5237464668115646</v>
      </c>
      <c r="AM78">
        <f>LOG(Table1_1[[#This Row],[6:2 FTCA]])</f>
        <v>-0.6526699846830496</v>
      </c>
      <c r="AN78">
        <f>LOG(Table1_1[[#This Row],[8:2 FTCA]])</f>
        <v>-0.95272513261582048</v>
      </c>
      <c r="AO78">
        <f>LOG(Table1_1[[#This Row],[10:2 FTCA]])</f>
        <v>-0.6526699846830496</v>
      </c>
      <c r="AP78">
        <f>LOG(Table1_1[[#This Row],[6:2 FTUCA]])</f>
        <v>-1.0579919469776868</v>
      </c>
      <c r="AQ78">
        <f>LOG(Table1_1[[#This Row],[8:2 FTUCA]])</f>
        <v>-1.1706962271689751</v>
      </c>
      <c r="AR78">
        <f>LOG(Table1_1[[#This Row],[ADONA]])</f>
        <v>-1.0087739243075051</v>
      </c>
      <c r="AS78">
        <f>LOG(Table1_1[[#This Row],[9Cl-PF3ONS]])</f>
        <v>-0.6526699846830496</v>
      </c>
      <c r="AT78">
        <f>LOG(Table1_1[[#This Row],[11Cl-PF3OUdS]])</f>
        <v>-0.6526699846830496</v>
      </c>
      <c r="AU78">
        <f>LOG(Table1_1[[#This Row],[HFPO-DA]])</f>
        <v>-0.79723931260680003</v>
      </c>
      <c r="AV78">
        <f>LOG(Table1_1[[#This Row],[6:2 diPAP]])</f>
        <v>-0.6526699846830496</v>
      </c>
      <c r="AW78">
        <f>LOG(Table1_1[[#This Row],[8:2 diPAP]])</f>
        <v>-0.6526699846830496</v>
      </c>
      <c r="AX78">
        <f>LOG(Table1_1[[#This Row],[diSAmPAP]])</f>
        <v>-0.6526699846830496</v>
      </c>
    </row>
    <row r="79" spans="1:50">
      <c r="A79">
        <f>LOG(Table1_1[[#This Row],[PFBA]])</f>
        <v>-0.61083391563546752</v>
      </c>
      <c r="B79">
        <f>LOG(Table1_1[[#This Row],[PFPeA]])</f>
        <v>-0.7930850795243235</v>
      </c>
      <c r="C79">
        <f>LOG(Table1_1[[#This Row],[PFHxA]])</f>
        <v>-0.91007724336538776</v>
      </c>
      <c r="D79">
        <f>LOG(Table1_1[[#This Row],[PFHpA]])</f>
        <v>-1.0401626372498416</v>
      </c>
      <c r="E79">
        <f>LOG(Table1_1[[#This Row],[PFOA]])</f>
        <v>0.25527250510330607</v>
      </c>
      <c r="F79">
        <f>LOG(Table1_1[[#This Row],[PFNA]])</f>
        <v>0.24551266781414982</v>
      </c>
      <c r="G79">
        <f>LOG(Table1_1[[#This Row],[PFDA]])</f>
        <v>0.6821450763738317</v>
      </c>
      <c r="H79">
        <f>LOG(Table1_1[[#This Row],[PFUnA]])</f>
        <v>0.81157500587059339</v>
      </c>
      <c r="I79">
        <f>LOG(Table1_1[[#This Row],[PFDoA]])</f>
        <v>1.6334684555795864</v>
      </c>
      <c r="J79">
        <f>LOG(Table1_1[[#This Row],[PFTrDA]])</f>
        <v>0.30963016742589877</v>
      </c>
      <c r="K79">
        <f>LOG(Table1_1[[#This Row],[PFTeDA]])</f>
        <v>0.93500315145365476</v>
      </c>
      <c r="L79">
        <f>LOG(Table1_1[[#This Row],[PFHxDA]])</f>
        <v>-1.0784193310106827</v>
      </c>
      <c r="M79">
        <f>LOG(Table1_1[[#This Row],[PFPrS]])</f>
        <v>-1.2721248436945629</v>
      </c>
      <c r="N79">
        <f>LOG(Table1_1[[#This Row],[PFBS]])</f>
        <v>1.3617278360175928</v>
      </c>
      <c r="O79">
        <f>LOG(Table1_1[[#This Row],[PFPeS]])</f>
        <v>-0.49620931694281889</v>
      </c>
      <c r="P79">
        <f>LOG(Table1_1[[#This Row],[PFHxS]])</f>
        <v>1.6646419755561255</v>
      </c>
      <c r="Q79">
        <f>LOG(Table1_1[[#This Row],[PFHpS]])</f>
        <v>0.16136800223497488</v>
      </c>
      <c r="R79">
        <f>LOG(Table1_1[[#This Row],[PFOS]])</f>
        <v>3.0718820073061255</v>
      </c>
      <c r="S79">
        <f>LOG(Table1_1[[#This Row],[PFNS]])</f>
        <v>0.44090908206521767</v>
      </c>
      <c r="T79">
        <f>LOG(Table1_1[[#This Row],[PFDS]])</f>
        <v>0.48144262850230496</v>
      </c>
      <c r="U79">
        <f>LOG(Table1_1[[#This Row],[PFDoS]])</f>
        <v>-5.7991946977686754E-2</v>
      </c>
      <c r="V79">
        <f>LOG(Table1_1[[#This Row],[Cl-PFOS]])</f>
        <v>-0.85854468938298323</v>
      </c>
      <c r="W79">
        <f>LOG(Table1_1[[#This Row],[PFEtCHxS]])</f>
        <v>-1.0401626372498416</v>
      </c>
      <c r="X79">
        <f>LOG(Table1_1[[#This Row],[FBSA]])</f>
        <v>1.5763413502057928</v>
      </c>
      <c r="Y79">
        <f>LOG(Table1_1[[#This Row],[FHxSA]])</f>
        <v>1.7411515988517852</v>
      </c>
      <c r="Z79">
        <f>LOG(Table1_1[[#This Row],[FOSA]])</f>
        <v>1.2900346113625181</v>
      </c>
      <c r="AA79">
        <f>LOG(Table1_1[[#This Row],[N-MeFOSA]])</f>
        <v>-1.2679159435613048</v>
      </c>
      <c r="AB79">
        <f>LOG(Table1_1[[#This Row],[N-EtFOSA]])</f>
        <v>-1.08756747612785</v>
      </c>
      <c r="AC79">
        <f>LOG(Table1_1[[#This Row],[FOSAA]])</f>
        <v>-1.2579669320619205</v>
      </c>
      <c r="AD79">
        <f>LOG(Table1_1[[#This Row],[N-MeFOSAA]])</f>
        <v>-1.1520030569956923</v>
      </c>
      <c r="AE79">
        <f>LOG(Table1_1[[#This Row],[N-EtFOSAA]])</f>
        <v>-1.2161078090874968</v>
      </c>
      <c r="AF79">
        <f>LOG(Table1_1[[#This Row],[4:2 FTS]])</f>
        <v>-1.2400741392180035</v>
      </c>
      <c r="AG79">
        <f>LOG(Table1_1[[#This Row],[6:2 FTS]])</f>
        <v>-0.49620931694281889</v>
      </c>
      <c r="AH79">
        <f>LOG(Table1_1[[#This Row],[8:2 FTS]])</f>
        <v>0.43296929087440572</v>
      </c>
      <c r="AI79">
        <f>LOG(Table1_1[[#This Row],[10:2 FTS]])</f>
        <v>-0.58704867349791823</v>
      </c>
      <c r="AJ79">
        <f>LOG(Table1_1[[#This Row],[3:3 FTCA]])</f>
        <v>-1.0926093641429337</v>
      </c>
      <c r="AK79">
        <f>LOG(Table1_1[[#This Row],[5:3 FTCA]])</f>
        <v>-0.7644740335572201</v>
      </c>
      <c r="AL79">
        <f>LOG(Table1_1[[#This Row],[7:3 FTCA]])</f>
        <v>-1.248653994062886</v>
      </c>
      <c r="AM79">
        <f>LOG(Table1_1[[#This Row],[6:2 FTCA]])</f>
        <v>0.60959440922522001</v>
      </c>
      <c r="AN79">
        <f>LOG(Table1_1[[#This Row],[8:2 FTCA]])</f>
        <v>-1.5525627723460502</v>
      </c>
      <c r="AO79">
        <f>LOG(Table1_1[[#This Row],[10:2 FTCA]])</f>
        <v>-0.98079790857711446</v>
      </c>
      <c r="AP79">
        <f>LOG(Table1_1[[#This Row],[6:2 FTUCA]])</f>
        <v>-1.25964438197781</v>
      </c>
      <c r="AQ79">
        <f>LOG(Table1_1[[#This Row],[8:2 FTUCA]])</f>
        <v>-1.3733669145445617</v>
      </c>
      <c r="AR79">
        <f>LOG(Table1_1[[#This Row],[ADONA]])</f>
        <v>-1.1546227636740127</v>
      </c>
      <c r="AS79">
        <f>LOG(Table1_1[[#This Row],[9Cl-PF3ONS]])</f>
        <v>-1.313196565165003</v>
      </c>
      <c r="AT79">
        <f>LOG(Table1_1[[#This Row],[11Cl-PF3OUdS]])</f>
        <v>-1.2581017570098774</v>
      </c>
      <c r="AU79">
        <f>LOG(Table1_1[[#This Row],[HFPO-DA]])</f>
        <v>-0.99776221766645723</v>
      </c>
      <c r="AV79">
        <f>LOG(Table1_1[[#This Row],[6:2 diPAP]])</f>
        <v>-1.127465292973262</v>
      </c>
      <c r="AW79">
        <f>LOG(Table1_1[[#This Row],[8:2 diPAP]])</f>
        <v>-1.03214016055108</v>
      </c>
      <c r="AX79">
        <f>LOG(Table1_1[[#This Row],[diSAmPAP]])</f>
        <v>-0.9091100958598628</v>
      </c>
    </row>
    <row r="80" spans="1:50">
      <c r="A80">
        <f>LOG(Table1_1[[#This Row],[PFBA]])</f>
        <v>-1.0252148086585235</v>
      </c>
      <c r="B80">
        <f>LOG(Table1_1[[#This Row],[PFPeA]])</f>
        <v>-1.3115990194022109</v>
      </c>
      <c r="C80">
        <f>LOG(Table1_1[[#This Row],[PFHxA]])</f>
        <v>-0.89512941477406949</v>
      </c>
      <c r="D80">
        <f>LOG(Table1_1[[#This Row],[PFHpA]])</f>
        <v>-1.0252148086585235</v>
      </c>
      <c r="E80">
        <f>LOG(Table1_1[[#This Row],[PFOA]])</f>
        <v>-0.52870828894106148</v>
      </c>
      <c r="F80">
        <f>LOG(Table1_1[[#This Row],[PFNA]])</f>
        <v>0.24054924828259971</v>
      </c>
      <c r="G80">
        <f>LOG(Table1_1[[#This Row],[PFDA]])</f>
        <v>0.69284691927722997</v>
      </c>
      <c r="H80">
        <f>LOG(Table1_1[[#This Row],[PFUnA]])</f>
        <v>1.0453229787866574</v>
      </c>
      <c r="I80">
        <f>LOG(Table1_1[[#This Row],[PFDoA]])</f>
        <v>1.4653828514484182</v>
      </c>
      <c r="J80">
        <f>LOG(Table1_1[[#This Row],[PFTrDA]])</f>
        <v>1.0413926851582251</v>
      </c>
      <c r="K80">
        <f>LOG(Table1_1[[#This Row],[PFTeDA]])</f>
        <v>0.86213137931303718</v>
      </c>
      <c r="L80">
        <f>LOG(Table1_1[[#This Row],[PFHxDA]])</f>
        <v>-1.0845331357923615</v>
      </c>
      <c r="M80">
        <f>LOG(Table1_1[[#This Row],[PFPrS]])</f>
        <v>-1.2782386484762418</v>
      </c>
      <c r="N80">
        <f>LOG(Table1_1[[#This Row],[PFBS]])</f>
        <v>0.52244423350631986</v>
      </c>
      <c r="O80">
        <f>LOG(Table1_1[[#This Row],[PFPeS]])</f>
        <v>-0.90337197980042105</v>
      </c>
      <c r="P80">
        <f>LOG(Table1_1[[#This Row],[PFHxS]])</f>
        <v>1.2148438480476977</v>
      </c>
      <c r="Q80">
        <f>LOG(Table1_1[[#This Row],[PFHpS]])</f>
        <v>-8.2494490447453356E-2</v>
      </c>
      <c r="R80">
        <f>LOG(Table1_1[[#This Row],[PFOS]])</f>
        <v>3.0086001717619175</v>
      </c>
      <c r="S80">
        <f>LOG(Table1_1[[#This Row],[PFNS]])</f>
        <v>-4.8037084028205992E-3</v>
      </c>
      <c r="T80">
        <f>LOG(Table1_1[[#This Row],[PFDS]])</f>
        <v>-1.8634490921455603E-2</v>
      </c>
      <c r="U80">
        <f>LOG(Table1_1[[#This Row],[PFDoS]])</f>
        <v>-0.5981466965049097</v>
      </c>
      <c r="V80">
        <f>LOG(Table1_1[[#This Row],[Cl-PFOS]])</f>
        <v>-0.84359686079166507</v>
      </c>
      <c r="W80">
        <f>LOG(Table1_1[[#This Row],[PFEtCHxS]])</f>
        <v>-1.0252148086585235</v>
      </c>
      <c r="X80">
        <f>LOG(Table1_1[[#This Row],[FBSA]])</f>
        <v>2.1643528557844371</v>
      </c>
      <c r="Y80">
        <f>LOG(Table1_1[[#This Row],[FHxSA]])</f>
        <v>1.909020854211156</v>
      </c>
      <c r="Z80">
        <f>LOG(Table1_1[[#This Row],[FOSA]])</f>
        <v>1.4183012913197455</v>
      </c>
      <c r="AA80">
        <f>LOG(Table1_1[[#This Row],[N-MeFOSA]])</f>
        <v>-1.2740297483429834</v>
      </c>
      <c r="AB80">
        <f>LOG(Table1_1[[#This Row],[N-EtFOSA]])</f>
        <v>-1.0936812809095289</v>
      </c>
      <c r="AC80">
        <f>LOG(Table1_1[[#This Row],[FOSAA]])</f>
        <v>-1.2640807368435993</v>
      </c>
      <c r="AD80">
        <f>LOG(Table1_1[[#This Row],[N-MeFOSAA]])</f>
        <v>0.44715803134221921</v>
      </c>
      <c r="AE80">
        <f>LOG(Table1_1[[#This Row],[N-EtFOSAA]])</f>
        <v>-1.2222216138691757</v>
      </c>
      <c r="AF80">
        <f>LOG(Table1_1[[#This Row],[4:2 FTS]])</f>
        <v>-1.2461879439996821</v>
      </c>
      <c r="AG80">
        <f>LOG(Table1_1[[#This Row],[6:2 FTS]])</f>
        <v>-0.42596873227228116</v>
      </c>
      <c r="AH80">
        <f>LOG(Table1_1[[#This Row],[8:2 FTS]])</f>
        <v>0.29003461136251801</v>
      </c>
      <c r="AI80">
        <f>LOG(Table1_1[[#This Row],[10:2 FTS]])</f>
        <v>-0.57210084490660007</v>
      </c>
      <c r="AJ80">
        <f>LOG(Table1_1[[#This Row],[3:3 FTCA]])</f>
        <v>-1.0987231689246126</v>
      </c>
      <c r="AK80">
        <f>LOG(Table1_1[[#This Row],[5:3 FTCA]])</f>
        <v>0.89542254603940796</v>
      </c>
      <c r="AL80">
        <f>LOG(Table1_1[[#This Row],[7:3 FTCA]])</f>
        <v>1.9014583213961123</v>
      </c>
      <c r="AM80">
        <f>LOG(Table1_1[[#This Row],[6:2 FTCA]])</f>
        <v>0.64048143697042181</v>
      </c>
      <c r="AN80">
        <f>LOG(Table1_1[[#This Row],[8:2 FTCA]])</f>
        <v>2.1189299069938092E-2</v>
      </c>
      <c r="AO80">
        <f>LOG(Table1_1[[#This Row],[10:2 FTCA]])</f>
        <v>-0.98691171335879335</v>
      </c>
      <c r="AP80">
        <f>LOG(Table1_1[[#This Row],[6:2 FTUCA]])</f>
        <v>-1.2657581867594889</v>
      </c>
      <c r="AQ80">
        <f>LOG(Table1_1[[#This Row],[8:2 FTUCA]])</f>
        <v>-1.3794807193262406</v>
      </c>
      <c r="AR80">
        <f>LOG(Table1_1[[#This Row],[ADONA]])</f>
        <v>-1.1607365684556914</v>
      </c>
      <c r="AS80">
        <f>LOG(Table1_1[[#This Row],[9Cl-PF3ONS]])</f>
        <v>-1.3193103699466819</v>
      </c>
      <c r="AT80">
        <f>LOG(Table1_1[[#This Row],[11Cl-PF3OUdS]])</f>
        <v>-1.2642155617915563</v>
      </c>
      <c r="AU80">
        <f>LOG(Table1_1[[#This Row],[HFPO-DA]])</f>
        <v>-1.003876022448136</v>
      </c>
      <c r="AV80">
        <f>LOG(Table1_1[[#This Row],[6:2 diPAP]])</f>
        <v>-1.1335790977549409</v>
      </c>
      <c r="AW80">
        <f>LOG(Table1_1[[#This Row],[8:2 diPAP]])</f>
        <v>-1.0382539653327587</v>
      </c>
      <c r="AX80">
        <f>LOG(Table1_1[[#This Row],[diSAmPAP]])</f>
        <v>-0.91522390064154158</v>
      </c>
    </row>
    <row r="81" spans="1:50">
      <c r="A81">
        <f>LOG(Table1_1[[#This Row],[PFBA]])</f>
        <v>-1.0147071715420179</v>
      </c>
      <c r="B81">
        <f>LOG(Table1_1[[#This Row],[PFPeA]])</f>
        <v>-1.2966511908108929</v>
      </c>
      <c r="C81">
        <f>LOG(Table1_1[[#This Row],[PFHxA]])</f>
        <v>-1.4136433546519569</v>
      </c>
      <c r="D81">
        <f>LOG(Table1_1[[#This Row],[PFHpA]])</f>
        <v>-1.0147071715420179</v>
      </c>
      <c r="E81">
        <f>LOG(Table1_1[[#This Row],[PFOA]])</f>
        <v>-1.0147071715420179</v>
      </c>
      <c r="F81">
        <f>LOG(Table1_1[[#This Row],[PFNA]])</f>
        <v>-1.305654211375431</v>
      </c>
      <c r="G81">
        <f>LOG(Table1_1[[#This Row],[PFDA]])</f>
        <v>0.20682587603184974</v>
      </c>
      <c r="H81">
        <f>LOG(Table1_1[[#This Row],[PFUnA]])</f>
        <v>0.60530504614110947</v>
      </c>
      <c r="I81">
        <f>LOG(Table1_1[[#This Row],[PFDoA]])</f>
        <v>-1.243546525565185</v>
      </c>
      <c r="J81">
        <f>LOG(Table1_1[[#This Row],[PFTrDA]])</f>
        <v>0.53781909507327419</v>
      </c>
      <c r="K81">
        <f>LOG(Table1_1[[#This Row],[PFTeDA]])</f>
        <v>0.75434833571101889</v>
      </c>
      <c r="L81">
        <f>LOG(Table1_1[[#This Row],[PFHxDA]])</f>
        <v>-1.0695853072010433</v>
      </c>
      <c r="M81">
        <f>LOG(Table1_1[[#This Row],[PFPrS]])</f>
        <v>-1.2632908198849235</v>
      </c>
      <c r="N81">
        <f>LOG(Table1_1[[#This Row],[PFBS]])</f>
        <v>-0.78386927139855012</v>
      </c>
      <c r="O81">
        <f>LOG(Table1_1[[#This Row],[PFPeS]])</f>
        <v>-0.89286434268391546</v>
      </c>
      <c r="P81">
        <f>LOG(Table1_1[[#This Row],[PFHxS]])</f>
        <v>0.57749179983722532</v>
      </c>
      <c r="Q81">
        <f>LOG(Table1_1[[#This Row],[PFHpS]])</f>
        <v>-0.61676716286998023</v>
      </c>
      <c r="R81">
        <f>LOG(Table1_1[[#This Row],[PFOS]])</f>
        <v>2.7481880270062002</v>
      </c>
      <c r="S81">
        <f>LOG(Table1_1[[#This Row],[PFNS]])</f>
        <v>-0.42021640338318983</v>
      </c>
      <c r="T81">
        <f>LOG(Table1_1[[#This Row],[PFDS]])</f>
        <v>-0.32697909287110383</v>
      </c>
      <c r="U81">
        <f>LOG(Table1_1[[#This Row],[PFDoS]])</f>
        <v>-0.58763905938840399</v>
      </c>
      <c r="V81">
        <f>LOG(Table1_1[[#This Row],[Cl-PFOS]])</f>
        <v>-0.83308922367515936</v>
      </c>
      <c r="W81">
        <f>LOG(Table1_1[[#This Row],[PFEtCHxS]])</f>
        <v>-1.0147071715420179</v>
      </c>
      <c r="X81">
        <f>LOG(Table1_1[[#This Row],[FBSA]])</f>
        <v>1.7853298350107671</v>
      </c>
      <c r="Y81">
        <f>LOG(Table1_1[[#This Row],[FHxSA]])</f>
        <v>1.6946051989335686</v>
      </c>
      <c r="Z81">
        <f>LOG(Table1_1[[#This Row],[FOSA]])</f>
        <v>1.1398790864012365</v>
      </c>
      <c r="AA81">
        <f>LOG(Table1_1[[#This Row],[N-MeFOSA]])</f>
        <v>-1.2590819197516654</v>
      </c>
      <c r="AB81">
        <f>LOG(Table1_1[[#This Row],[N-EtFOSA]])</f>
        <v>-1.0787334523182106</v>
      </c>
      <c r="AC81">
        <f>LOG(Table1_1[[#This Row],[FOSAA]])</f>
        <v>-1.2491329082522813</v>
      </c>
      <c r="AD81">
        <f>LOG(Table1_1[[#This Row],[N-MeFOSAA]])</f>
        <v>0.94694327069782547</v>
      </c>
      <c r="AE81">
        <f>LOG(Table1_1[[#This Row],[N-EtFOSAA]])</f>
        <v>-1.2072737852778574</v>
      </c>
      <c r="AF81">
        <f>LOG(Table1_1[[#This Row],[4:2 FTS]])</f>
        <v>-0.70221853841397097</v>
      </c>
      <c r="AG81">
        <f>LOG(Table1_1[[#This Row],[6:2 FTS]])</f>
        <v>-1.3649411899435515</v>
      </c>
      <c r="AH81">
        <f>LOG(Table1_1[[#This Row],[8:2 FTS]])</f>
        <v>-0.11013827874181155</v>
      </c>
      <c r="AI81">
        <f>LOG(Table1_1[[#This Row],[10:2 FTS]])</f>
        <v>-1.0906147847844874</v>
      </c>
      <c r="AJ81">
        <f>LOG(Table1_1[[#This Row],[3:3 FTCA]])</f>
        <v>-1.0837753403332946</v>
      </c>
      <c r="AK81">
        <f>LOG(Table1_1[[#This Row],[5:3 FTCA]])</f>
        <v>0.22271647114758325</v>
      </c>
      <c r="AL81">
        <f>LOG(Table1_1[[#This Row],[7:3 FTCA]])</f>
        <v>1.503790683057181</v>
      </c>
      <c r="AM81">
        <f>LOG(Table1_1[[#This Row],[6:2 FTCA]])</f>
        <v>0.44870631990507992</v>
      </c>
      <c r="AN81">
        <f>LOG(Table1_1[[#This Row],[8:2 FTCA]])</f>
        <v>-1.5437287485364108</v>
      </c>
      <c r="AO81">
        <f>LOG(Table1_1[[#This Row],[10:2 FTCA]])</f>
        <v>-0.97196388476747508</v>
      </c>
      <c r="AP81">
        <f>LOG(Table1_1[[#This Row],[6:2 FTUCA]])</f>
        <v>-1.2508103581681707</v>
      </c>
      <c r="AQ81">
        <f>LOG(Table1_1[[#This Row],[8:2 FTUCA]])</f>
        <v>-1.3645328907349223</v>
      </c>
      <c r="AR81">
        <f>LOG(Table1_1[[#This Row],[ADONA]])</f>
        <v>-1.1457887398643734</v>
      </c>
      <c r="AS81">
        <f>LOG(Table1_1[[#This Row],[9Cl-PF3ONS]])</f>
        <v>-1.3043625413553637</v>
      </c>
      <c r="AT81">
        <f>LOG(Table1_1[[#This Row],[11Cl-PF3OUdS]])</f>
        <v>-1.249267733200238</v>
      </c>
      <c r="AU81">
        <f>LOG(Table1_1[[#This Row],[HFPO-DA]])</f>
        <v>-0.98892819385681785</v>
      </c>
      <c r="AV81">
        <f>LOG(Table1_1[[#This Row],[6:2 diPAP]])</f>
        <v>-1.1186312691636229</v>
      </c>
      <c r="AW81">
        <f>LOG(Table1_1[[#This Row],[8:2 diPAP]])</f>
        <v>-1.0233061367414407</v>
      </c>
      <c r="AX81">
        <f>LOG(Table1_1[[#This Row],[diSAmPAP]])</f>
        <v>-0.90027607205022353</v>
      </c>
    </row>
    <row r="82" spans="1:50">
      <c r="A82">
        <f>LOG(Table1_1[[#This Row],[PFBA]])</f>
        <v>-1.0188853441603738</v>
      </c>
      <c r="B82">
        <f>LOG(Table1_1[[#This Row],[PFPeA]])</f>
        <v>-1.286143553694387</v>
      </c>
      <c r="C82">
        <f>LOG(Table1_1[[#This Row],[PFHxA]])</f>
        <v>-0.88879995027591996</v>
      </c>
      <c r="D82">
        <f>LOG(Table1_1[[#This Row],[PFHpA]])</f>
        <v>-1.5332211114199052</v>
      </c>
      <c r="E82">
        <f>LOG(Table1_1[[#This Row],[PFOA]])</f>
        <v>-0.26201267366656922</v>
      </c>
      <c r="F82">
        <f>LOG(Table1_1[[#This Row],[PFNA]])</f>
        <v>-1.2951465742589254</v>
      </c>
      <c r="G82">
        <f>LOG(Table1_1[[#This Row],[PFDA]])</f>
        <v>0.60852603357719404</v>
      </c>
      <c r="H82">
        <f>LOG(Table1_1[[#This Row],[PFUnA]])</f>
        <v>0.79098847508881587</v>
      </c>
      <c r="I82">
        <f>LOG(Table1_1[[#This Row],[PFDoA]])</f>
        <v>-1.2330388884486794</v>
      </c>
      <c r="J82">
        <f>LOG(Table1_1[[#This Row],[PFTrDA]])</f>
        <v>0.61489721603313463</v>
      </c>
      <c r="K82">
        <f>LOG(Table1_1[[#This Row],[PFTeDA]])</f>
        <v>0.57287160220048017</v>
      </c>
      <c r="L82">
        <f>LOG(Table1_1[[#This Row],[PFHxDA]])</f>
        <v>-1.0590776700845377</v>
      </c>
      <c r="M82">
        <f>LOG(Table1_1[[#This Row],[PFPrS]])</f>
        <v>-1.2527831827684179</v>
      </c>
      <c r="N82">
        <f>LOG(Table1_1[[#This Row],[PFBS]])</f>
        <v>-0.78804744401690596</v>
      </c>
      <c r="O82">
        <f>LOG(Table1_1[[#This Row],[PFPeS]])</f>
        <v>-0.89704251530227141</v>
      </c>
      <c r="P82">
        <f>LOG(Table1_1[[#This Row],[PFHxS]])</f>
        <v>0.93449845124356767</v>
      </c>
      <c r="Q82">
        <f>LOG(Table1_1[[#This Row],[PFHpS]])</f>
        <v>0.23044892137827391</v>
      </c>
      <c r="R82">
        <f>LOG(Table1_1[[#This Row],[PFOS]])</f>
        <v>2.9196010237841108</v>
      </c>
      <c r="S82">
        <f>LOG(Table1_1[[#This Row],[PFNS]])</f>
        <v>-6.0980223551333534E-2</v>
      </c>
      <c r="T82">
        <f>LOG(Table1_1[[#This Row],[PFDS]])</f>
        <v>-0.26042765554990804</v>
      </c>
      <c r="U82">
        <f>LOG(Table1_1[[#This Row],[PFDoS]])</f>
        <v>-0.59181723200676006</v>
      </c>
      <c r="V82">
        <f>LOG(Table1_1[[#This Row],[Cl-PFOS]])</f>
        <v>-0.83726739629351543</v>
      </c>
      <c r="W82">
        <f>LOG(Table1_1[[#This Row],[PFEtCHxS]])</f>
        <v>-1.0188853441603738</v>
      </c>
      <c r="X82">
        <f>LOG(Table1_1[[#This Row],[FBSA]])</f>
        <v>2.1760912590556813</v>
      </c>
      <c r="Y82">
        <f>LOG(Table1_1[[#This Row],[FHxSA]])</f>
        <v>2.3802112417116059</v>
      </c>
      <c r="Z82">
        <f>LOG(Table1_1[[#This Row],[FOSA]])</f>
        <v>1.4409090820652177</v>
      </c>
      <c r="AA82">
        <f>LOG(Table1_1[[#This Row],[N-MeFOSA]])</f>
        <v>-1.2485742826351598</v>
      </c>
      <c r="AB82">
        <f>LOG(Table1_1[[#This Row],[N-EtFOSA]])</f>
        <v>-1.068225815201705</v>
      </c>
      <c r="AC82">
        <f>LOG(Table1_1[[#This Row],[FOSAA]])</f>
        <v>-1.2386252711357755</v>
      </c>
      <c r="AD82">
        <f>LOG(Table1_1[[#This Row],[N-MeFOSAA]])</f>
        <v>-1.1326613960695473</v>
      </c>
      <c r="AE82">
        <f>LOG(Table1_1[[#This Row],[N-EtFOSAA]])</f>
        <v>-1.1967661481613519</v>
      </c>
      <c r="AF82">
        <f>LOG(Table1_1[[#This Row],[4:2 FTS]])</f>
        <v>-1.2207324782918585</v>
      </c>
      <c r="AG82">
        <f>LOG(Table1_1[[#This Row],[6:2 FTS]])</f>
        <v>-0.22621355501880647</v>
      </c>
      <c r="AH82">
        <f>LOG(Table1_1[[#This Row],[8:2 FTS]])</f>
        <v>0.20411998265592479</v>
      </c>
      <c r="AI82">
        <f>LOG(Table1_1[[#This Row],[10:2 FTS]])</f>
        <v>-1.0801071476679818</v>
      </c>
      <c r="AJ82">
        <f>LOG(Table1_1[[#This Row],[3:3 FTCA]])</f>
        <v>-1.0732677032167888</v>
      </c>
      <c r="AK82">
        <f>LOG(Table1_1[[#This Row],[5:3 FTCA]])</f>
        <v>1.0934216851622351</v>
      </c>
      <c r="AL82">
        <f>LOG(Table1_1[[#This Row],[7:3 FTCA]])</f>
        <v>1.1303337684950061</v>
      </c>
      <c r="AM82">
        <f>LOG(Table1_1[[#This Row],[6:2 FTCA]])</f>
        <v>-0.19928292171761497</v>
      </c>
      <c r="AN82">
        <f>LOG(Table1_1[[#This Row],[8:2 FTCA]])</f>
        <v>-1.5332211114199052</v>
      </c>
      <c r="AO82">
        <f>LOG(Table1_1[[#This Row],[10:2 FTCA]])</f>
        <v>-0.96145624765096949</v>
      </c>
      <c r="AP82">
        <f>LOG(Table1_1[[#This Row],[6:2 FTUCA]])</f>
        <v>-1.2403027210516651</v>
      </c>
      <c r="AQ82">
        <f>LOG(Table1_1[[#This Row],[8:2 FTUCA]])</f>
        <v>-1.3540252536184167</v>
      </c>
      <c r="AR82">
        <f>LOG(Table1_1[[#This Row],[ADONA]])</f>
        <v>-1.1352811027478675</v>
      </c>
      <c r="AS82">
        <f>LOG(Table1_1[[#This Row],[9Cl-PF3ONS]])</f>
        <v>-1.2938549042388581</v>
      </c>
      <c r="AT82">
        <f>LOG(Table1_1[[#This Row],[11Cl-PF3OUdS]])</f>
        <v>-1.2387600960837324</v>
      </c>
      <c r="AU82">
        <f>LOG(Table1_1[[#This Row],[HFPO-DA]])</f>
        <v>-0.97842055674031225</v>
      </c>
      <c r="AV82">
        <f>LOG(Table1_1[[#This Row],[6:2 diPAP]])</f>
        <v>-1.1081236320471171</v>
      </c>
      <c r="AW82">
        <f>LOG(Table1_1[[#This Row],[8:2 diPAP]])</f>
        <v>-1.0127984996249351</v>
      </c>
      <c r="AX82">
        <f>LOG(Table1_1[[#This Row],[diSAmPAP]])</f>
        <v>-0.88976843493371782</v>
      </c>
    </row>
    <row r="83" spans="1:50">
      <c r="A83">
        <f>LOG(Table1_1[[#This Row],[PFBA]])</f>
        <v>-1.0219239906926503</v>
      </c>
      <c r="B83">
        <f>LOG(Table1_1[[#This Row],[PFPeA]])</f>
        <v>-1.2903217263127431</v>
      </c>
      <c r="C83">
        <f>LOG(Table1_1[[#This Row],[PFHxA]])</f>
        <v>-0.89183859680819655</v>
      </c>
      <c r="D83">
        <f>LOG(Table1_1[[#This Row],[PFHpA]])</f>
        <v>-1.0219239906926503</v>
      </c>
      <c r="E83">
        <f>LOG(Table1_1[[#This Row],[PFOA]])</f>
        <v>-0.37986394502624249</v>
      </c>
      <c r="F83">
        <f>LOG(Table1_1[[#This Row],[PFNA]])</f>
        <v>-0.78384945353167057</v>
      </c>
      <c r="G83">
        <f>LOG(Table1_1[[#This Row],[PFDA]])</f>
        <v>7.9181246047624818E-2</v>
      </c>
      <c r="H83">
        <f>LOG(Table1_1[[#This Row],[PFUnA]])</f>
        <v>0.39967372148103808</v>
      </c>
      <c r="I83">
        <f>LOG(Table1_1[[#This Row],[PFDoA]])</f>
        <v>-1.2372170610670352</v>
      </c>
      <c r="J83">
        <f>LOG(Table1_1[[#This Row],[PFTrDA]])</f>
        <v>0.11727129565576427</v>
      </c>
      <c r="K83">
        <f>LOG(Table1_1[[#This Row],[PFTeDA]])</f>
        <v>0.42324587393680785</v>
      </c>
      <c r="L83">
        <f>LOG(Table1_1[[#This Row],[PFHxDA]])</f>
        <v>-1.0632558427028937</v>
      </c>
      <c r="M83">
        <f>LOG(Table1_1[[#This Row],[PFPrS]])</f>
        <v>-1.2569613553867738</v>
      </c>
      <c r="N83">
        <f>LOG(Table1_1[[#This Row],[PFBS]])</f>
        <v>-0.79108609054918266</v>
      </c>
      <c r="O83">
        <f>LOG(Table1_1[[#This Row],[PFPeS]])</f>
        <v>-0.90008116183454789</v>
      </c>
      <c r="P83">
        <f>LOG(Table1_1[[#This Row],[PFHxS]])</f>
        <v>0.69897000433601886</v>
      </c>
      <c r="Q83">
        <f>LOG(Table1_1[[#This Row],[PFHpS]])</f>
        <v>-0.62398398202061278</v>
      </c>
      <c r="R83">
        <f>LOG(Table1_1[[#This Row],[PFOS]])</f>
        <v>2.0606978403536118</v>
      </c>
      <c r="S83">
        <f>LOG(Table1_1[[#This Row],[PFNS]])</f>
        <v>-0.86808589096871713</v>
      </c>
      <c r="T83">
        <f>LOG(Table1_1[[#This Row],[PFDS]])</f>
        <v>-0.71072596845725111</v>
      </c>
      <c r="U83">
        <f>LOG(Table1_1[[#This Row],[PFDoS]])</f>
        <v>-0.59485587853903654</v>
      </c>
      <c r="V83">
        <f>LOG(Table1_1[[#This Row],[Cl-PFOS]])</f>
        <v>-1.3557813361714028</v>
      </c>
      <c r="W83">
        <f>LOG(Table1_1[[#This Row],[PFEtCHxS]])</f>
        <v>-1.0219239906926503</v>
      </c>
      <c r="X83">
        <f>LOG(Table1_1[[#This Row],[FBSA]])</f>
        <v>1.146128035678238</v>
      </c>
      <c r="Y83">
        <f>LOG(Table1_1[[#This Row],[FHxSA]])</f>
        <v>1.4983105537896004</v>
      </c>
      <c r="Z83">
        <f>LOG(Table1_1[[#This Row],[FOSA]])</f>
        <v>0.61700034112089897</v>
      </c>
      <c r="AA83">
        <f>LOG(Table1_1[[#This Row],[N-MeFOSA]])</f>
        <v>-1.2527524552535156</v>
      </c>
      <c r="AB83">
        <f>LOG(Table1_1[[#This Row],[N-EtFOSA]])</f>
        <v>-1.0724039878200609</v>
      </c>
      <c r="AC83">
        <f>LOG(Table1_1[[#This Row],[FOSAA]])</f>
        <v>-1.2428034437541318</v>
      </c>
      <c r="AD83">
        <f>LOG(Table1_1[[#This Row],[N-MeFOSAA]])</f>
        <v>-1.1368395686879034</v>
      </c>
      <c r="AE83">
        <f>LOG(Table1_1[[#This Row],[N-EtFOSAA]])</f>
        <v>-1.2009443207797079</v>
      </c>
      <c r="AF83">
        <f>LOG(Table1_1[[#This Row],[4:2 FTS]])</f>
        <v>-1.2249106509102143</v>
      </c>
      <c r="AG83">
        <f>LOG(Table1_1[[#This Row],[6:2 FTS]])</f>
        <v>-0.13194363817695845</v>
      </c>
      <c r="AH83">
        <f>LOG(Table1_1[[#This Row],[8:2 FTS]])</f>
        <v>-0.82837678121974168</v>
      </c>
      <c r="AI83">
        <f>LOG(Table1_1[[#This Row],[10:2 FTS]])</f>
        <v>-1.0842853202863378</v>
      </c>
      <c r="AJ83">
        <f>LOG(Table1_1[[#This Row],[3:3 FTCA]])</f>
        <v>-1.0774458758351448</v>
      </c>
      <c r="AK83">
        <f>LOG(Table1_1[[#This Row],[5:3 FTCA]])</f>
        <v>-1.2617106803456397</v>
      </c>
      <c r="AL83">
        <f>LOG(Table1_1[[#This Row],[7:3 FTCA]])</f>
        <v>-0.7180152124094864</v>
      </c>
      <c r="AM83">
        <f>LOG(Table1_1[[#This Row],[6:2 FTCA]])</f>
        <v>0.51188336097887432</v>
      </c>
      <c r="AN83">
        <f>LOG(Table1_1[[#This Row],[8:2 FTCA]])</f>
        <v>9.691001300805642E-2</v>
      </c>
      <c r="AO83">
        <f>LOG(Table1_1[[#This Row],[10:2 FTCA]])</f>
        <v>-0.96563442026932556</v>
      </c>
      <c r="AP83">
        <f>LOG(Table1_1[[#This Row],[6:2 FTUCA]])</f>
        <v>-1.2444808936700211</v>
      </c>
      <c r="AQ83">
        <f>LOG(Table1_1[[#This Row],[8:2 FTUCA]])</f>
        <v>-1.3582034262367728</v>
      </c>
      <c r="AR83">
        <f>LOG(Table1_1[[#This Row],[ADONA]])</f>
        <v>-1.1394592753662236</v>
      </c>
      <c r="AS83">
        <f>LOG(Table1_1[[#This Row],[9Cl-PF3ONS]])</f>
        <v>-1.2980330768572141</v>
      </c>
      <c r="AT83">
        <f>LOG(Table1_1[[#This Row],[11Cl-PF3OUdS]])</f>
        <v>-1.2429382687020882</v>
      </c>
      <c r="AU83">
        <f>LOG(Table1_1[[#This Row],[HFPO-DA]])</f>
        <v>-0.98259872935866821</v>
      </c>
      <c r="AV83">
        <f>LOG(Table1_1[[#This Row],[6:2 diPAP]])</f>
        <v>-1.1123018046654731</v>
      </c>
      <c r="AW83">
        <f>LOG(Table1_1[[#This Row],[8:2 diPAP]])</f>
        <v>-1.0169766722432909</v>
      </c>
      <c r="AX83">
        <f>LOG(Table1_1[[#This Row],[diSAmPAP]])</f>
        <v>-0.89394660755207389</v>
      </c>
    </row>
    <row r="84" spans="1:50">
      <c r="A84">
        <f>LOG(Table1_1[[#This Row],[PFBA]])</f>
        <v>-1.5404379305705378</v>
      </c>
      <c r="B84">
        <f>LOG(Table1_1[[#This Row],[PFPeA]])</f>
        <v>-0.74767938686211</v>
      </c>
      <c r="C84">
        <f>LOG(Table1_1[[#This Row],[PFHxA]])</f>
        <v>-1.4103525366860841</v>
      </c>
      <c r="D84">
        <f>LOG(Table1_1[[#This Row],[PFHpA]])</f>
        <v>-0.99475694458762809</v>
      </c>
      <c r="E84">
        <f>LOG(Table1_1[[#This Row],[PFOA]])</f>
        <v>-0.27408836770495182</v>
      </c>
      <c r="F84">
        <f>LOG(Table1_1[[#This Row],[PFNA]])</f>
        <v>-0.19382002601611281</v>
      </c>
      <c r="G84">
        <f>LOG(Table1_1[[#This Row],[PFDA]])</f>
        <v>0.67486114073781156</v>
      </c>
      <c r="H84">
        <f>LOG(Table1_1[[#This Row],[PFUnA]])</f>
        <v>0.91381385238371671</v>
      </c>
      <c r="I84">
        <f>LOG(Table1_1[[#This Row],[PFDoA]])</f>
        <v>-1.2402557075993119</v>
      </c>
      <c r="J84">
        <f>LOG(Table1_1[[#This Row],[PFTrDA]])</f>
        <v>0.13672056715640679</v>
      </c>
      <c r="K84">
        <f>LOG(Table1_1[[#This Row],[PFTeDA]])</f>
        <v>0.52374646681156445</v>
      </c>
      <c r="L84">
        <f>LOG(Table1_1[[#This Row],[PFHxDA]])</f>
        <v>-1.0662944892351702</v>
      </c>
      <c r="M84">
        <f>LOG(Table1_1[[#This Row],[PFPrS]])</f>
        <v>-1.2600000019190505</v>
      </c>
      <c r="N84">
        <f>LOG(Table1_1[[#This Row],[PFBS]])</f>
        <v>-0.76391904444416037</v>
      </c>
      <c r="O84">
        <f>LOG(Table1_1[[#This Row],[PFPeS]])</f>
        <v>-0.87291411572952571</v>
      </c>
      <c r="P84">
        <f>LOG(Table1_1[[#This Row],[PFHxS]])</f>
        <v>1.1205739312058498</v>
      </c>
      <c r="Q84">
        <f>LOG(Table1_1[[#This Row],[PFHpS]])</f>
        <v>-0.19044028536473223</v>
      </c>
      <c r="R84">
        <f>LOG(Table1_1[[#This Row],[PFOS]])</f>
        <v>2.959994838328416</v>
      </c>
      <c r="S84">
        <f>LOG(Table1_1[[#This Row],[PFNS]])</f>
        <v>-7.5720713938118356E-2</v>
      </c>
      <c r="T84">
        <f>LOG(Table1_1[[#This Row],[PFDS]])</f>
        <v>-0.23507701535011155</v>
      </c>
      <c r="U84">
        <f>LOG(Table1_1[[#This Row],[PFDoS]])</f>
        <v>-0.56768883243401436</v>
      </c>
      <c r="V84">
        <f>LOG(Table1_1[[#This Row],[Cl-PFOS]])</f>
        <v>-0.81313899672076972</v>
      </c>
      <c r="W84">
        <f>LOG(Table1_1[[#This Row],[PFEtCHxS]])</f>
        <v>-0.99475694458762809</v>
      </c>
      <c r="X84">
        <f>LOG(Table1_1[[#This Row],[FBSA]])</f>
        <v>1.7810369386211318</v>
      </c>
      <c r="Y84">
        <f>LOG(Table1_1[[#This Row],[FHxSA]])</f>
        <v>1.9052560487484513</v>
      </c>
      <c r="Z84">
        <f>LOG(Table1_1[[#This Row],[FOSA]])</f>
        <v>1.2966651902615312</v>
      </c>
      <c r="AA84">
        <f>LOG(Table1_1[[#This Row],[N-MeFOSA]])</f>
        <v>-1.2557911017857923</v>
      </c>
      <c r="AB84">
        <f>LOG(Table1_1[[#This Row],[N-EtFOSA]])</f>
        <v>-1.0754426343523373</v>
      </c>
      <c r="AC84">
        <f>LOG(Table1_1[[#This Row],[FOSAA]])</f>
        <v>-1.2458420902864082</v>
      </c>
      <c r="AD84">
        <f>LOG(Table1_1[[#This Row],[N-MeFOSAA]])</f>
        <v>1.0755469613925308</v>
      </c>
      <c r="AE84">
        <f>LOG(Table1_1[[#This Row],[N-EtFOSAA]])</f>
        <v>-1.2039829673119844</v>
      </c>
      <c r="AF84">
        <f>LOG(Table1_1[[#This Row],[4:2 FTS]])</f>
        <v>-1.227949297442491</v>
      </c>
      <c r="AG84">
        <f>LOG(Table1_1[[#This Row],[6:2 FTS]])</f>
        <v>-1.3616503719776787</v>
      </c>
      <c r="AH84">
        <f>LOG(Table1_1[[#This Row],[8:2 FTS]])</f>
        <v>0.46538285144841829</v>
      </c>
      <c r="AI84">
        <f>LOG(Table1_1[[#This Row],[10:2 FTS]])</f>
        <v>-0.54164298083570472</v>
      </c>
      <c r="AJ84">
        <f>LOG(Table1_1[[#This Row],[3:3 FTCA]])</f>
        <v>-1.0804845223674213</v>
      </c>
      <c r="AK84">
        <f>LOG(Table1_1[[#This Row],[5:3 FTCA]])</f>
        <v>-0.7190683408950066</v>
      </c>
      <c r="AL84">
        <f>LOG(Table1_1[[#This Row],[7:3 FTCA]])</f>
        <v>0.21218760440395779</v>
      </c>
      <c r="AM84">
        <f>LOG(Table1_1[[#This Row],[6:2 FTCA]])</f>
        <v>0.55388302664387434</v>
      </c>
      <c r="AN84">
        <f>LOG(Table1_1[[#This Row],[8:2 FTCA]])</f>
        <v>-1.5404379305705378</v>
      </c>
      <c r="AO84">
        <f>LOG(Table1_1[[#This Row],[10:2 FTCA]])</f>
        <v>-0.96867306680160203</v>
      </c>
      <c r="AP84">
        <f>LOG(Table1_1[[#This Row],[6:2 FTUCA]])</f>
        <v>-1.2475195402022976</v>
      </c>
      <c r="AQ84">
        <f>LOG(Table1_1[[#This Row],[8:2 FTUCA]])</f>
        <v>-1.3612420727690493</v>
      </c>
      <c r="AR84">
        <f>LOG(Table1_1[[#This Row],[ADONA]])</f>
        <v>-1.1424979218985001</v>
      </c>
      <c r="AS84">
        <f>LOG(Table1_1[[#This Row],[9Cl-PF3ONS]])</f>
        <v>-1.3010717233894906</v>
      </c>
      <c r="AT84">
        <f>LOG(Table1_1[[#This Row],[11Cl-PF3OUdS]])</f>
        <v>-1.2459769152343649</v>
      </c>
      <c r="AU84">
        <f>LOG(Table1_1[[#This Row],[HFPO-DA]])</f>
        <v>-0.9856373758909448</v>
      </c>
      <c r="AV84">
        <f>LOG(Table1_1[[#This Row],[6:2 diPAP]])</f>
        <v>-1.1153404511977498</v>
      </c>
      <c r="AW84">
        <f>LOG(Table1_1[[#This Row],[8:2 diPAP]])</f>
        <v>-1.0200153187755676</v>
      </c>
      <c r="AX84">
        <f>LOG(Table1_1[[#This Row],[diSAmPAP]])</f>
        <v>-0.89698525408435037</v>
      </c>
    </row>
    <row r="85" spans="1:50">
      <c r="A85">
        <f>LOG(Table1_1[[#This Row],[PFBA]])</f>
        <v>-0.99631705217247524</v>
      </c>
      <c r="B85">
        <f>LOG(Table1_1[[#This Row],[PFPeA]])</f>
        <v>-0.74923949444695725</v>
      </c>
      <c r="C85">
        <f>LOG(Table1_1[[#This Row],[PFHxA]])</f>
        <v>-0.86623165828802129</v>
      </c>
      <c r="D85">
        <f>LOG(Table1_1[[#This Row],[PFHpA]])</f>
        <v>-0.99631705217247524</v>
      </c>
      <c r="E85">
        <f>LOG(Table1_1[[#This Row],[PFOA]])</f>
        <v>-0.38615817812393083</v>
      </c>
      <c r="F85">
        <f>LOG(Table1_1[[#This Row],[PFNA]])</f>
        <v>-0.2692177243336108</v>
      </c>
      <c r="G85">
        <f>LOG(Table1_1[[#This Row],[PFDA]])</f>
        <v>0.57518784492766106</v>
      </c>
      <c r="H85">
        <f>LOG(Table1_1[[#This Row],[PFUnA]])</f>
        <v>0.76937732607613851</v>
      </c>
      <c r="I85">
        <f>LOG(Table1_1[[#This Row],[PFDoA]])</f>
        <v>-1.2130886614942897</v>
      </c>
      <c r="J85">
        <f>LOG(Table1_1[[#This Row],[PFTrDA]])</f>
        <v>0.49692964807321494</v>
      </c>
      <c r="K85">
        <f>LOG(Table1_1[[#This Row],[PFTeDA]])</f>
        <v>0.85064623518306648</v>
      </c>
      <c r="L85">
        <f>LOG(Table1_1[[#This Row],[PFHxDA]])</f>
        <v>-1.039127443130148</v>
      </c>
      <c r="M85">
        <f>LOG(Table1_1[[#This Row],[PFPrS]])</f>
        <v>-1.2328329558140281</v>
      </c>
      <c r="N85">
        <f>LOG(Table1_1[[#This Row],[PFBS]])</f>
        <v>-0.76547915202900751</v>
      </c>
      <c r="O85">
        <f>LOG(Table1_1[[#This Row],[PFPeS]])</f>
        <v>-0.57024771999759194</v>
      </c>
      <c r="P85">
        <f>LOG(Table1_1[[#This Row],[PFHxS]])</f>
        <v>1.5065050324048721</v>
      </c>
      <c r="Q85">
        <f>LOG(Table1_1[[#This Row],[PFHpS]])</f>
        <v>4.1392685158225077E-2</v>
      </c>
      <c r="R85">
        <f>LOG(Table1_1[[#This Row],[PFOS]])</f>
        <v>2.9429995933660407</v>
      </c>
      <c r="S85">
        <f>LOG(Table1_1[[#This Row],[PFNS]])</f>
        <v>-0.13371266091580511</v>
      </c>
      <c r="T85">
        <f>LOG(Table1_1[[#This Row],[PFDS]])</f>
        <v>-4.6240308266771224E-2</v>
      </c>
      <c r="U85">
        <f>LOG(Table1_1[[#This Row],[PFDoS]])</f>
        <v>-0.5692489400188615</v>
      </c>
      <c r="V85">
        <f>LOG(Table1_1[[#This Row],[Cl-PFOS]])</f>
        <v>-0.81469910430561687</v>
      </c>
      <c r="W85">
        <f>LOG(Table1_1[[#This Row],[PFEtCHxS]])</f>
        <v>-0.99631705217247524</v>
      </c>
      <c r="X85">
        <f>LOG(Table1_1[[#This Row],[FBSA]])</f>
        <v>1.5538830266438743</v>
      </c>
      <c r="Y85">
        <f>LOG(Table1_1[[#This Row],[FHxSA]])</f>
        <v>1.4409090820652177</v>
      </c>
      <c r="Z85">
        <f>LOG(Table1_1[[#This Row],[FOSA]])</f>
        <v>0.83758843823551132</v>
      </c>
      <c r="AA85">
        <f>LOG(Table1_1[[#This Row],[N-MeFOSA]])</f>
        <v>-1.2286240556807699</v>
      </c>
      <c r="AB85">
        <f>LOG(Table1_1[[#This Row],[N-EtFOSA]])</f>
        <v>-1.0482755882473154</v>
      </c>
      <c r="AC85">
        <f>LOG(Table1_1[[#This Row],[FOSAA]])</f>
        <v>-1.2186750441813858</v>
      </c>
      <c r="AD85">
        <f>LOG(Table1_1[[#This Row],[N-MeFOSAA]])</f>
        <v>1.0128372247051722</v>
      </c>
      <c r="AE85">
        <f>LOG(Table1_1[[#This Row],[N-EtFOSAA]])</f>
        <v>-1.1768159212069622</v>
      </c>
      <c r="AF85">
        <f>LOG(Table1_1[[#This Row],[4:2 FTS]])</f>
        <v>-1.2007822513374689</v>
      </c>
      <c r="AG85">
        <f>LOG(Table1_1[[#This Row],[6:2 FTS]])</f>
        <v>-1.3344833258726563</v>
      </c>
      <c r="AH85">
        <f>LOG(Table1_1[[#This Row],[8:2 FTS]])</f>
        <v>0.34635297445063867</v>
      </c>
      <c r="AI85">
        <f>LOG(Table1_1[[#This Row],[10:2 FTS]])</f>
        <v>-0.54320308842055187</v>
      </c>
      <c r="AJ85">
        <f>LOG(Table1_1[[#This Row],[3:3 FTCA]])</f>
        <v>-1.0533174762623991</v>
      </c>
      <c r="AK85">
        <f>LOG(Table1_1[[#This Row],[5:3 FTCA]])</f>
        <v>-0.20065945054641829</v>
      </c>
      <c r="AL85">
        <f>LOG(Table1_1[[#This Row],[7:3 FTCA]])</f>
        <v>0.69372694892364695</v>
      </c>
      <c r="AM85">
        <f>LOG(Table1_1[[#This Row],[6:2 FTCA]])</f>
        <v>0.63848925695463732</v>
      </c>
      <c r="AN85">
        <f>LOG(Table1_1[[#This Row],[8:2 FTCA]])</f>
        <v>0.35983548233988799</v>
      </c>
      <c r="AO85">
        <f>LOG(Table1_1[[#This Row],[10:2 FTCA]])</f>
        <v>-0.94150602069657985</v>
      </c>
      <c r="AP85">
        <f>LOG(Table1_1[[#This Row],[6:2 FTUCA]])</f>
        <v>-1.2203524940972754</v>
      </c>
      <c r="AQ85">
        <f>LOG(Table1_1[[#This Row],[8:2 FTUCA]])</f>
        <v>-1.3340750266640271</v>
      </c>
      <c r="AR85">
        <f>LOG(Table1_1[[#This Row],[ADONA]])</f>
        <v>-1.1153308757934779</v>
      </c>
      <c r="AS85">
        <f>LOG(Table1_1[[#This Row],[9Cl-PF3ONS]])</f>
        <v>-1.2739046772844684</v>
      </c>
      <c r="AT85">
        <f>LOG(Table1_1[[#This Row],[11Cl-PF3OUdS]])</f>
        <v>-1.2188098691293427</v>
      </c>
      <c r="AU85">
        <f>LOG(Table1_1[[#This Row],[HFPO-DA]])</f>
        <v>-0.95847032978592261</v>
      </c>
      <c r="AV85">
        <f>LOG(Table1_1[[#This Row],[6:2 diPAP]])</f>
        <v>-1.0881734050927276</v>
      </c>
      <c r="AW85">
        <f>LOG(Table1_1[[#This Row],[8:2 diPAP]])</f>
        <v>-0.99284827267054532</v>
      </c>
      <c r="AX85">
        <f>LOG(Table1_1[[#This Row],[diSAmPAP]])</f>
        <v>-0.86981820797932818</v>
      </c>
    </row>
    <row r="86" spans="1:50">
      <c r="A86">
        <f>LOG(Table1_1[[#This Row],[PFBA]])</f>
        <v>-1.028209641945665</v>
      </c>
      <c r="B86">
        <f>LOG(Table1_1[[#This Row],[PFPeA]])</f>
        <v>-1.2677534343248447</v>
      </c>
      <c r="C86">
        <f>LOG(Table1_1[[#This Row],[PFHxA]])</f>
        <v>-1.3847455981659087</v>
      </c>
      <c r="D86">
        <f>LOG(Table1_1[[#This Row],[PFHpA]])</f>
        <v>-1.028209641945665</v>
      </c>
      <c r="E86">
        <f>LOG(Table1_1[[#This Row],[PFOA]])</f>
        <v>-0.53610701101409275</v>
      </c>
      <c r="F86">
        <f>LOG(Table1_1[[#This Row],[PFNA]])</f>
        <v>-0.79013510478468507</v>
      </c>
      <c r="G86">
        <f>LOG(Table1_1[[#This Row],[PFDA]])</f>
        <v>0.96801571399364172</v>
      </c>
      <c r="H86">
        <f>LOG(Table1_1[[#This Row],[PFUnA]])</f>
        <v>0.84073323461180671</v>
      </c>
      <c r="I86">
        <f>LOG(Table1_1[[#This Row],[PFDoA]])</f>
        <v>-1.2146487690791368</v>
      </c>
      <c r="J86">
        <f>LOG(Table1_1[[#This Row],[PFTrDA]])</f>
        <v>0.57634135020579291</v>
      </c>
      <c r="K86">
        <f>LOG(Table1_1[[#This Row],[PFTeDA]])</f>
        <v>1.0569048513364727</v>
      </c>
      <c r="L86">
        <f>LOG(Table1_1[[#This Row],[PFHxDA]])</f>
        <v>-1.0406875507149953</v>
      </c>
      <c r="M86">
        <f>LOG(Table1_1[[#This Row],[PFPrS]])</f>
        <v>-1.2343930633988753</v>
      </c>
      <c r="N86">
        <f>LOG(Table1_1[[#This Row],[PFBS]])</f>
        <v>-0.32882715728491674</v>
      </c>
      <c r="O86">
        <f>LOG(Table1_1[[#This Row],[PFPeS]])</f>
        <v>-0.9063668130875624</v>
      </c>
      <c r="P86">
        <f>LOG(Table1_1[[#This Row],[PFHxS]])</f>
        <v>1.3031960574204888</v>
      </c>
      <c r="Q86">
        <f>LOG(Table1_1[[#This Row],[PFHpS]])</f>
        <v>0.35793484700045375</v>
      </c>
      <c r="R86">
        <f>LOG(Table1_1[[#This Row],[PFOS]])</f>
        <v>3.5224442335063197</v>
      </c>
      <c r="S86">
        <f>LOG(Table1_1[[#This Row],[PFNS]])</f>
        <v>0.32428245529769262</v>
      </c>
      <c r="T86">
        <f>LOG(Table1_1[[#This Row],[PFDS]])</f>
        <v>0.20139712432045151</v>
      </c>
      <c r="U86">
        <f>LOG(Table1_1[[#This Row],[PFDoS]])</f>
        <v>-0.60114152979205115</v>
      </c>
      <c r="V86">
        <f>LOG(Table1_1[[#This Row],[Cl-PFOS]])</f>
        <v>-0.52432881167557033</v>
      </c>
      <c r="W86">
        <f>LOG(Table1_1[[#This Row],[PFEtCHxS]])</f>
        <v>-0.6777807052660807</v>
      </c>
      <c r="X86">
        <f>LOG(Table1_1[[#This Row],[FBSA]])</f>
        <v>2</v>
      </c>
      <c r="Y86">
        <f>LOG(Table1_1[[#This Row],[FHxSA]])</f>
        <v>1.916453948549925</v>
      </c>
      <c r="Z86">
        <f>LOG(Table1_1[[#This Row],[FOSA]])</f>
        <v>1.6294095991027189</v>
      </c>
      <c r="AA86">
        <f>LOG(Table1_1[[#This Row],[N-MeFOSA]])</f>
        <v>-1.2301841632656172</v>
      </c>
      <c r="AB86">
        <f>LOG(Table1_1[[#This Row],[N-EtFOSA]])</f>
        <v>-1.0498356958321624</v>
      </c>
      <c r="AC86">
        <f>LOG(Table1_1[[#This Row],[FOSAA]])</f>
        <v>-1.2202351517662331</v>
      </c>
      <c r="AD86">
        <f>LOG(Table1_1[[#This Row],[N-MeFOSAA]])</f>
        <v>0.94250410616808067</v>
      </c>
      <c r="AE86">
        <f>LOG(Table1_1[[#This Row],[N-EtFOSAA]])</f>
        <v>-1.1783760287918095</v>
      </c>
      <c r="AF86">
        <f>LOG(Table1_1[[#This Row],[4:2 FTS]])</f>
        <v>-1.2023423589223159</v>
      </c>
      <c r="AG86">
        <f>LOG(Table1_1[[#This Row],[6:2 FTS]])</f>
        <v>-0.84942208335280556</v>
      </c>
      <c r="AH86">
        <f>LOG(Table1_1[[#This Row],[8:2 FTS]])</f>
        <v>8.9905111439397931E-2</v>
      </c>
      <c r="AI86">
        <f>LOG(Table1_1[[#This Row],[10:2 FTS]])</f>
        <v>-0.57509567819374141</v>
      </c>
      <c r="AJ86">
        <f>LOG(Table1_1[[#This Row],[3:3 FTCA]])</f>
        <v>-1.0548775838472464</v>
      </c>
      <c r="AK86">
        <f>LOG(Table1_1[[#This Row],[5:3 FTCA]])</f>
        <v>0.67851837904011392</v>
      </c>
      <c r="AL86">
        <f>LOG(Table1_1[[#This Row],[7:3 FTCA]])</f>
        <v>1.5658478186735176</v>
      </c>
      <c r="AM86">
        <f>LOG(Table1_1[[#This Row],[6:2 FTCA]])</f>
        <v>0.47129171105893858</v>
      </c>
      <c r="AN86">
        <f>LOG(Table1_1[[#This Row],[8:2 FTCA]])</f>
        <v>0.60097289568674828</v>
      </c>
      <c r="AO86">
        <f>LOG(Table1_1[[#This Row],[10:2 FTCA]])</f>
        <v>-0.943066128281427</v>
      </c>
      <c r="AP86">
        <f>LOG(Table1_1[[#This Row],[6:2 FTUCA]])</f>
        <v>-1.2219126016821225</v>
      </c>
      <c r="AQ86">
        <f>LOG(Table1_1[[#This Row],[8:2 FTUCA]])</f>
        <v>-1.3356351342488741</v>
      </c>
      <c r="AR86">
        <f>LOG(Table1_1[[#This Row],[ADONA]])</f>
        <v>-1.1168909833783252</v>
      </c>
      <c r="AS86">
        <f>LOG(Table1_1[[#This Row],[9Cl-PF3ONS]])</f>
        <v>-1.2754647848693157</v>
      </c>
      <c r="AT86">
        <f>LOG(Table1_1[[#This Row],[11Cl-PF3OUdS]])</f>
        <v>-1.22036997671419</v>
      </c>
      <c r="AU86">
        <f>LOG(Table1_1[[#This Row],[HFPO-DA]])</f>
        <v>-0.96003043737076965</v>
      </c>
      <c r="AV86">
        <f>LOG(Table1_1[[#This Row],[6:2 diPAP]])</f>
        <v>-1.0897335126775747</v>
      </c>
      <c r="AW86">
        <f>LOG(Table1_1[[#This Row],[8:2 diPAP]])</f>
        <v>-0.99440838025539247</v>
      </c>
      <c r="AX86">
        <f>LOG(Table1_1[[#This Row],[diSAmPAP]])</f>
        <v>-0.87137831556417533</v>
      </c>
    </row>
    <row r="87" spans="1:50">
      <c r="A87">
        <f>LOG(Table1_1[[#This Row],[PFBA]])</f>
        <v>-1.5467235818235523</v>
      </c>
      <c r="B87">
        <f>LOG(Table1_1[[#This Row],[PFPeA]])</f>
        <v>-1.2996460240980343</v>
      </c>
      <c r="C87">
        <f>LOG(Table1_1[[#This Row],[PFHxA]])</f>
        <v>-1.4166381879390983</v>
      </c>
      <c r="D87">
        <f>LOG(Table1_1[[#This Row],[PFHpA]])</f>
        <v>-1.0468851908377101</v>
      </c>
      <c r="E87">
        <f>LOG(Table1_1[[#This Row],[PFOA]])</f>
        <v>-0.54515513999148979</v>
      </c>
      <c r="F87">
        <f>LOG(Table1_1[[#This Row],[PFNA]])</f>
        <v>-0.46092390120722343</v>
      </c>
      <c r="G87">
        <f>LOG(Table1_1[[#This Row],[PFDA]])</f>
        <v>0.54406804435027567</v>
      </c>
      <c r="H87">
        <f>LOG(Table1_1[[#This Row],[PFUnA]])</f>
        <v>0.77887447200273952</v>
      </c>
      <c r="I87">
        <f>LOG(Table1_1[[#This Row],[PFDoA]])</f>
        <v>-1.2465413588523264</v>
      </c>
      <c r="J87">
        <f>LOG(Table1_1[[#This Row],[PFTrDA]])</f>
        <v>7.554696139253074E-2</v>
      </c>
      <c r="K87">
        <f>LOG(Table1_1[[#This Row],[PFTeDA]])</f>
        <v>0.80753502806885324</v>
      </c>
      <c r="L87">
        <f>LOG(Table1_1[[#This Row],[PFHxDA]])</f>
        <v>-1.0725801404881847</v>
      </c>
      <c r="M87">
        <f>LOG(Table1_1[[#This Row],[PFPrS]])</f>
        <v>-1.266285653172065</v>
      </c>
      <c r="N87">
        <f>LOG(Table1_1[[#This Row],[PFBS]])</f>
        <v>-0.81604729069424231</v>
      </c>
      <c r="O87">
        <f>LOG(Table1_1[[#This Row],[PFPeS]])</f>
        <v>-0.92504236197960776</v>
      </c>
      <c r="P87">
        <f>LOG(Table1_1[[#This Row],[PFHxS]])</f>
        <v>0.76342799356293722</v>
      </c>
      <c r="Q87">
        <f>LOG(Table1_1[[#This Row],[PFHpS]])</f>
        <v>0.25527250510330607</v>
      </c>
      <c r="R87">
        <f>LOG(Table1_1[[#This Row],[PFOS]])</f>
        <v>2.9439888750737717</v>
      </c>
      <c r="S87">
        <f>LOG(Table1_1[[#This Row],[PFNS]])</f>
        <v>0.24551266781414982</v>
      </c>
      <c r="T87">
        <f>LOG(Table1_1[[#This Row],[PFDS]])</f>
        <v>0.29885307640970665</v>
      </c>
      <c r="U87">
        <f>LOG(Table1_1[[#This Row],[PFDoS]])</f>
        <v>8.6001717619175692E-3</v>
      </c>
      <c r="V87">
        <f>LOG(Table1_1[[#This Row],[Cl-PFOS]])</f>
        <v>-0.86526724297085178</v>
      </c>
      <c r="W87">
        <f>LOG(Table1_1[[#This Row],[PFEtCHxS]])</f>
        <v>-0.63451201510910027</v>
      </c>
      <c r="X87">
        <f>LOG(Table1_1[[#This Row],[FBSA]])</f>
        <v>1.2528530309798931</v>
      </c>
      <c r="Y87">
        <f>LOG(Table1_1[[#This Row],[FHxSA]])</f>
        <v>1.5575072019056579</v>
      </c>
      <c r="Z87">
        <f>LOG(Table1_1[[#This Row],[FOSA]])</f>
        <v>1.3579348470004537</v>
      </c>
      <c r="AA87">
        <f>LOG(Table1_1[[#This Row],[N-MeFOSA]])</f>
        <v>-1.2620767530388068</v>
      </c>
      <c r="AB87">
        <f>LOG(Table1_1[[#This Row],[N-EtFOSA]])</f>
        <v>-1.0817282856053521</v>
      </c>
      <c r="AC87">
        <f>LOG(Table1_1[[#This Row],[FOSAA]])</f>
        <v>-1.2521277415394227</v>
      </c>
      <c r="AD87">
        <f>LOG(Table1_1[[#This Row],[N-MeFOSAA]])</f>
        <v>-1.1461638664731943</v>
      </c>
      <c r="AE87">
        <f>LOG(Table1_1[[#This Row],[N-EtFOSAA]])</f>
        <v>-1.2102686185649989</v>
      </c>
      <c r="AF87">
        <f>LOG(Table1_1[[#This Row],[4:2 FTS]])</f>
        <v>-1.2342349486955055</v>
      </c>
      <c r="AG87">
        <f>LOG(Table1_1[[#This Row],[6:2 FTS]])</f>
        <v>-0.51427857351841999</v>
      </c>
      <c r="AH87">
        <f>LOG(Table1_1[[#This Row],[8:2 FTS]])</f>
        <v>7.554696139253074E-2</v>
      </c>
      <c r="AI87">
        <f>LOG(Table1_1[[#This Row],[10:2 FTS]])</f>
        <v>-0.59377122708578667</v>
      </c>
      <c r="AJ87">
        <f>LOG(Table1_1[[#This Row],[3:3 FTCA]])</f>
        <v>-1.0867701736204358</v>
      </c>
      <c r="AK87">
        <f>LOG(Table1_1[[#This Row],[5:3 FTCA]])</f>
        <v>1.2013971243204515</v>
      </c>
      <c r="AL87">
        <f>LOG(Table1_1[[#This Row],[7:3 FTCA]])</f>
        <v>0.74036268949424389</v>
      </c>
      <c r="AM87">
        <f>LOG(Table1_1[[#This Row],[6:2 FTCA]])</f>
        <v>-1.3414740319850895</v>
      </c>
      <c r="AN87">
        <f>LOG(Table1_1[[#This Row],[8:2 FTCA]])</f>
        <v>-1.5467235818235523</v>
      </c>
      <c r="AO87">
        <f>LOG(Table1_1[[#This Row],[10:2 FTCA]])</f>
        <v>-0.97495871805461654</v>
      </c>
      <c r="AP87">
        <f>LOG(Table1_1[[#This Row],[6:2 FTUCA]])</f>
        <v>-1.2538051914553121</v>
      </c>
      <c r="AQ87">
        <f>LOG(Table1_1[[#This Row],[8:2 FTUCA]])</f>
        <v>-1.3675277240220638</v>
      </c>
      <c r="AR87">
        <f>LOG(Table1_1[[#This Row],[ADONA]])</f>
        <v>-1.1487835731515146</v>
      </c>
      <c r="AS87">
        <f>LOG(Table1_1[[#This Row],[9Cl-PF3ONS]])</f>
        <v>-1.3073573746425051</v>
      </c>
      <c r="AT87">
        <f>LOG(Table1_1[[#This Row],[11Cl-PF3OUdS]])</f>
        <v>-1.2522625664873794</v>
      </c>
      <c r="AU87">
        <f>LOG(Table1_1[[#This Row],[HFPO-DA]])</f>
        <v>-0.9919230271439593</v>
      </c>
      <c r="AV87">
        <f>LOG(Table1_1[[#This Row],[6:2 diPAP]])</f>
        <v>-1.1216261024507643</v>
      </c>
      <c r="AW87">
        <f>LOG(Table1_1[[#This Row],[8:2 diPAP]])</f>
        <v>-1.0263009700285821</v>
      </c>
      <c r="AX87">
        <f>LOG(Table1_1[[#This Row],[diSAmPAP]])</f>
        <v>-0.90327090533736498</v>
      </c>
    </row>
    <row r="88" spans="1:50">
      <c r="A88">
        <f>LOG(Table1_1[[#This Row],[PFBA]])</f>
        <v>-1.5694412304772425</v>
      </c>
      <c r="B88">
        <f>LOG(Table1_1[[#This Row],[PFPeA]])</f>
        <v>-1.3210266240802349</v>
      </c>
      <c r="C88">
        <f>LOG(Table1_1[[#This Row],[PFHxA]])</f>
        <v>-1.4377071355435254</v>
      </c>
      <c r="D88">
        <f>LOG(Table1_1[[#This Row],[PFHpA]])</f>
        <v>-1.5694412304772425</v>
      </c>
      <c r="E88">
        <f>LOG(Table1_1[[#This Row],[PFOA]])</f>
        <v>-0.68402965454308229</v>
      </c>
      <c r="F88">
        <f>LOG(Table1_1[[#This Row],[PFNA]])</f>
        <v>-0.8124792791635369</v>
      </c>
      <c r="G88">
        <f>LOG(Table1_1[[#This Row],[PFDA]])</f>
        <v>0.36735592102601899</v>
      </c>
      <c r="H88">
        <f>LOG(Table1_1[[#This Row],[PFUnA]])</f>
        <v>0.66181268553726125</v>
      </c>
      <c r="I88">
        <f>LOG(Table1_1[[#This Row],[PFDoA]])</f>
        <v>1.0170333392987803</v>
      </c>
      <c r="J88">
        <f>LOG(Table1_1[[#This Row],[PFTrDA]])</f>
        <v>0.81424759573192018</v>
      </c>
      <c r="K88">
        <f>LOG(Table1_1[[#This Row],[PFTeDA]])</f>
        <v>0.7649229846498885</v>
      </c>
      <c r="L88">
        <f>LOG(Table1_1[[#This Row],[PFHxDA]])</f>
        <v>-1.0942041196321315</v>
      </c>
      <c r="M88">
        <f>LOG(Table1_1[[#This Row],[PFPrS]])</f>
        <v>-1.288192770958809</v>
      </c>
      <c r="N88">
        <f>LOG(Table1_1[[#This Row],[PFBS]])</f>
        <v>0.30749603791321289</v>
      </c>
      <c r="O88">
        <f>LOG(Table1_1[[#This Row],[PFPeS]])</f>
        <v>-0.92811799269387463</v>
      </c>
      <c r="P88">
        <f>LOG(Table1_1[[#This Row],[PFHxS]])</f>
        <v>0.64542226934909186</v>
      </c>
      <c r="Q88">
        <f>LOG(Table1_1[[#This Row],[PFHpS]])</f>
        <v>-0.19044028536473223</v>
      </c>
      <c r="R88">
        <f>LOG(Table1_1[[#This Row],[PFOS]])</f>
        <v>2.6803355134145632</v>
      </c>
      <c r="S88">
        <f>LOG(Table1_1[[#This Row],[PFNS]])</f>
        <v>-0.30980391997148632</v>
      </c>
      <c r="T88">
        <f>LOG(Table1_1[[#This Row],[PFDS]])</f>
        <v>0.31386722036915343</v>
      </c>
      <c r="U88">
        <f>LOG(Table1_1[[#This Row],[PFDoS]])</f>
        <v>-0.62251161662386734</v>
      </c>
      <c r="V88">
        <f>LOG(Table1_1[[#This Row],[Cl-PFOS]])</f>
        <v>-0.86806070478957542</v>
      </c>
      <c r="W88">
        <f>LOG(Table1_1[[#This Row],[PFEtCHxS]])</f>
        <v>-1.0506099933550872</v>
      </c>
      <c r="X88">
        <f>LOG(Table1_1[[#This Row],[FBSA]])</f>
        <v>1.5751878449276611</v>
      </c>
      <c r="Y88">
        <f>LOG(Table1_1[[#This Row],[FHxSA]])</f>
        <v>1.7874604745184151</v>
      </c>
      <c r="Z88">
        <f>LOG(Table1_1[[#This Row],[FOSA]])</f>
        <v>1.3344537511509309</v>
      </c>
      <c r="AA88">
        <f>LOG(Table1_1[[#This Row],[N-MeFOSA]])</f>
        <v>-1.2839966563652008</v>
      </c>
      <c r="AB88">
        <f>LOG(Table1_1[[#This Row],[N-EtFOSA]])</f>
        <v>-1.1023729087095586</v>
      </c>
      <c r="AC88">
        <f>LOG(Table1_1[[#This Row],[FOSAA]])</f>
        <v>-1.2757241303992111</v>
      </c>
      <c r="AD88">
        <f>LOG(Table1_1[[#This Row],[N-MeFOSAA]])</f>
        <v>-0.64975198166583714</v>
      </c>
      <c r="AE88">
        <f>LOG(Table1_1[[#This Row],[N-EtFOSAA]])</f>
        <v>-1.2328441339178196</v>
      </c>
      <c r="AF88">
        <f>LOG(Table1_1[[#This Row],[4:2 FTS]])</f>
        <v>-1.2557070168773237</v>
      </c>
      <c r="AG88">
        <f>LOG(Table1_1[[#This Row],[6:2 FTS]])</f>
        <v>-0.87127771566157319</v>
      </c>
      <c r="AH88">
        <f>LOG(Table1_1[[#This Row],[8:2 FTS]])</f>
        <v>-2.6410376572743116E-2</v>
      </c>
      <c r="AI88">
        <f>LOG(Table1_1[[#This Row],[10:2 FTS]])</f>
        <v>-1.1163385648463824</v>
      </c>
      <c r="AJ88">
        <f>LOG(Table1_1[[#This Row],[3:3 FTCA]])</f>
        <v>-1.1079053973095196</v>
      </c>
      <c r="AK88">
        <f>LOG(Table1_1[[#This Row],[5:3 FTCA]])</f>
        <v>-5.6011124926228104E-2</v>
      </c>
      <c r="AL88">
        <f>LOG(Table1_1[[#This Row],[7:3 FTCA]])</f>
        <v>0.2966651902615311</v>
      </c>
      <c r="AM88">
        <f>LOG(Table1_1[[#This Row],[6:2 FTCA]])</f>
        <v>-1.3630108981877709</v>
      </c>
      <c r="AN88">
        <f>LOG(Table1_1[[#This Row],[8:2 FTCA]])</f>
        <v>-1.5694412304772425</v>
      </c>
      <c r="AO88">
        <f>LOG(Table1_1[[#This Row],[10:2 FTCA]])</f>
        <v>-0.99567862621735737</v>
      </c>
      <c r="AP88">
        <f>LOG(Table1_1[[#This Row],[6:2 FTUCA]])</f>
        <v>-1.2757241303992111</v>
      </c>
      <c r="AQ88">
        <f>LOG(Table1_1[[#This Row],[8:2 FTUCA]])</f>
        <v>-1.3898723869240046</v>
      </c>
      <c r="AR88">
        <f>LOG(Table1_1[[#This Row],[ADONA]])</f>
        <v>-0.65169513695183934</v>
      </c>
      <c r="AS88">
        <f>LOG(Table1_1[[#This Row],[9Cl-PF3ONS]])</f>
        <v>-1.329754146925876</v>
      </c>
      <c r="AT88">
        <f>LOG(Table1_1[[#This Row],[11Cl-PF3OUdS]])</f>
        <v>-1.2757241303992111</v>
      </c>
      <c r="AU88">
        <f>LOG(Table1_1[[#This Row],[HFPO-DA]])</f>
        <v>-1.0132282657337552</v>
      </c>
      <c r="AV88">
        <f>LOG(Table1_1[[#This Row],[6:2 diPAP]])</f>
        <v>-1.1426675035687315</v>
      </c>
      <c r="AW88">
        <f>LOG(Table1_1[[#This Row],[8:2 diPAP]])</f>
        <v>-1.0481769646840879</v>
      </c>
      <c r="AX88">
        <f>LOG(Table1_1[[#This Row],[diSAmPAP]])</f>
        <v>-0.9244530386074693</v>
      </c>
    </row>
    <row r="89" spans="1:50">
      <c r="A89">
        <f>LOG(Table1_1[[#This Row],[PFBA]])</f>
        <v>-1.0291131048924635</v>
      </c>
      <c r="B89">
        <f>LOG(Table1_1[[#This Row],[PFPeA]])</f>
        <v>-1.3183215729900795</v>
      </c>
      <c r="C89">
        <f>LOG(Table1_1[[#This Row],[PFHxA]])</f>
        <v>-0.8990277110080096</v>
      </c>
      <c r="D89">
        <f>LOG(Table1_1[[#This Row],[PFHpA]])</f>
        <v>-1.0291131048924635</v>
      </c>
      <c r="E89">
        <f>LOG(Table1_1[[#This Row],[PFOA]])</f>
        <v>0.13672056715640679</v>
      </c>
      <c r="F89">
        <f>LOG(Table1_1[[#This Row],[PFNA]])</f>
        <v>-8.5128182459949631E-2</v>
      </c>
      <c r="G89">
        <f>LOG(Table1_1[[#This Row],[PFDA]])</f>
        <v>0.70070371714501933</v>
      </c>
      <c r="H89">
        <f>LOG(Table1_1[[#This Row],[PFUnA]])</f>
        <v>0.96707973414449711</v>
      </c>
      <c r="I89">
        <f>LOG(Table1_1[[#This Row],[PFDoA]])</f>
        <v>-1.2652169077443716</v>
      </c>
      <c r="J89">
        <f>LOG(Table1_1[[#This Row],[PFTrDA]])</f>
        <v>0.39967372148103808</v>
      </c>
      <c r="K89">
        <f>LOG(Table1_1[[#This Row],[PFTeDA]])</f>
        <v>0.7395723444500919</v>
      </c>
      <c r="L89">
        <f>LOG(Table1_1[[#This Row],[PFHxDA]])</f>
        <v>-1.0912556893802299</v>
      </c>
      <c r="M89">
        <f>LOG(Table1_1[[#This Row],[PFPrS]])</f>
        <v>-1.2849612020641101</v>
      </c>
      <c r="N89">
        <f>LOG(Table1_1[[#This Row],[PFBS]])</f>
        <v>-0.79827520474899571</v>
      </c>
      <c r="O89">
        <f>LOG(Table1_1[[#This Row],[PFPeS]])</f>
        <v>-0.90727027603436117</v>
      </c>
      <c r="P89">
        <f>LOG(Table1_1[[#This Row],[PFHxS]])</f>
        <v>1.3443922736851108</v>
      </c>
      <c r="Q89">
        <f>LOG(Table1_1[[#This Row],[PFHpS]])</f>
        <v>2.5305865264770262E-2</v>
      </c>
      <c r="R89">
        <f>LOG(Table1_1[[#This Row],[PFOS]])</f>
        <v>3.255272505103306</v>
      </c>
      <c r="S89">
        <f>LOG(Table1_1[[#This Row],[PFNS]])</f>
        <v>-2.502800570193105E-2</v>
      </c>
      <c r="T89">
        <f>LOG(Table1_1[[#This Row],[PFDS]])</f>
        <v>-0.18111458540599013</v>
      </c>
      <c r="U89">
        <f>LOG(Table1_1[[#This Row],[PFDoS]])</f>
        <v>-0.60204499273884982</v>
      </c>
      <c r="V89">
        <f>LOG(Table1_1[[#This Row],[Cl-PFOS]])</f>
        <v>-0.84749515702560507</v>
      </c>
      <c r="W89">
        <f>LOG(Table1_1[[#This Row],[PFEtCHxS]])</f>
        <v>-1.0291131048924635</v>
      </c>
      <c r="X89">
        <f>LOG(Table1_1[[#This Row],[FBSA]])</f>
        <v>1.8767949762007006</v>
      </c>
      <c r="Y89">
        <f>LOG(Table1_1[[#This Row],[FHxSA]])</f>
        <v>1.9925535178321356</v>
      </c>
      <c r="Z89">
        <f>LOG(Table1_1[[#This Row],[FOSA]])</f>
        <v>1.3926969532596658</v>
      </c>
      <c r="AA89">
        <f>LOG(Table1_1[[#This Row],[N-MeFOSA]])</f>
        <v>-1.280752301930852</v>
      </c>
      <c r="AB89">
        <f>LOG(Table1_1[[#This Row],[N-EtFOSA]])</f>
        <v>-1.1004038344973972</v>
      </c>
      <c r="AC89">
        <f>LOG(Table1_1[[#This Row],[FOSAA]])</f>
        <v>-1.2708032904314679</v>
      </c>
      <c r="AD89">
        <f>LOG(Table1_1[[#This Row],[N-MeFOSAA]])</f>
        <v>0.95760728706009524</v>
      </c>
      <c r="AE89">
        <f>LOG(Table1_1[[#This Row],[N-EtFOSAA]])</f>
        <v>-1.228944167457044</v>
      </c>
      <c r="AF89">
        <f>LOG(Table1_1[[#This Row],[4:2 FTS]])</f>
        <v>-1.2529104975875507</v>
      </c>
      <c r="AG89">
        <f>LOG(Table1_1[[#This Row],[6:2 FTS]])</f>
        <v>-0.85032554629960422</v>
      </c>
      <c r="AH89">
        <f>LOG(Table1_1[[#This Row],[8:2 FTS]])</f>
        <v>0.38560627359831223</v>
      </c>
      <c r="AI89">
        <f>LOG(Table1_1[[#This Row],[10:2 FTS]])</f>
        <v>-0.57599914114054007</v>
      </c>
      <c r="AJ89">
        <f>LOG(Table1_1[[#This Row],[3:3 FTCA]])</f>
        <v>-1.1054457225124812</v>
      </c>
      <c r="AK89">
        <f>LOG(Table1_1[[#This Row],[5:3 FTCA]])</f>
        <v>-1.2897105270229761</v>
      </c>
      <c r="AL89">
        <f>LOG(Table1_1[[#This Row],[7:3 FTCA]])</f>
        <v>0.19865708695442263</v>
      </c>
      <c r="AM89">
        <f>LOG(Table1_1[[#This Row],[6:2 FTCA]])</f>
        <v>0.40823996531184958</v>
      </c>
      <c r="AN89">
        <f>LOG(Table1_1[[#This Row],[8:2 FTCA]])</f>
        <v>-1.5653991307155977</v>
      </c>
      <c r="AO89">
        <f>LOG(Table1_1[[#This Row],[10:2 FTCA]])</f>
        <v>-0.99363426694666179</v>
      </c>
      <c r="AP89">
        <f>LOG(Table1_1[[#This Row],[6:2 FTUCA]])</f>
        <v>-1.2724807403473575</v>
      </c>
      <c r="AQ89">
        <f>LOG(Table1_1[[#This Row],[8:2 FTUCA]])</f>
        <v>-1.3862032729141089</v>
      </c>
      <c r="AR89">
        <f>LOG(Table1_1[[#This Row],[ADONA]])</f>
        <v>-1.1674591220435599</v>
      </c>
      <c r="AS89">
        <f>LOG(Table1_1[[#This Row],[9Cl-PF3ONS]])</f>
        <v>-1.3260329235345505</v>
      </c>
      <c r="AT89">
        <f>LOG(Table1_1[[#This Row],[11Cl-PF3OUdS]])</f>
        <v>-1.2709381153794246</v>
      </c>
      <c r="AU89">
        <f>LOG(Table1_1[[#This Row],[HFPO-DA]])</f>
        <v>-1.0105985760360046</v>
      </c>
      <c r="AV89">
        <f>LOG(Table1_1[[#This Row],[6:2 diPAP]])</f>
        <v>-1.1403016513428095</v>
      </c>
      <c r="AW89">
        <f>LOG(Table1_1[[#This Row],[8:2 diPAP]])</f>
        <v>-1.0449765189206273</v>
      </c>
      <c r="AX89">
        <f>LOG(Table1_1[[#This Row],[diSAmPAP]])</f>
        <v>-0.92194645422941013</v>
      </c>
    </row>
    <row r="90" spans="1:50">
      <c r="A90">
        <f>LOG(Table1_1[[#This Row],[PFBA]])</f>
        <v>-1.0496486567975856</v>
      </c>
      <c r="B90">
        <f>LOG(Table1_1[[#This Row],[PFPeA]])</f>
        <v>-1.3133551660810514</v>
      </c>
      <c r="C90">
        <f>LOG(Table1_1[[#This Row],[PFHxA]])</f>
        <v>-1.4303473299221157</v>
      </c>
      <c r="D90">
        <f>LOG(Table1_1[[#This Row],[PFHpA]])</f>
        <v>-1.0496486567975856</v>
      </c>
      <c r="E90">
        <f>LOG(Table1_1[[#This Row],[PFOA]])</f>
        <v>-1.7276612331454656E-2</v>
      </c>
      <c r="F90">
        <f>LOG(Table1_1[[#This Row],[PFNA]])</f>
        <v>0.55144999797287519</v>
      </c>
      <c r="G90">
        <f>LOG(Table1_1[[#This Row],[PFDA]])</f>
        <v>0.92376196082870032</v>
      </c>
      <c r="H90">
        <f>LOG(Table1_1[[#This Row],[PFUnA]])</f>
        <v>1.1072099696478683</v>
      </c>
      <c r="I90">
        <f>LOG(Table1_1[[#This Row],[PFDoA]])</f>
        <v>-1.2602505008353437</v>
      </c>
      <c r="J90">
        <f>LOG(Table1_1[[#This Row],[PFTrDA]])</f>
        <v>0.75891189239797352</v>
      </c>
      <c r="K90">
        <f>LOG(Table1_1[[#This Row],[PFTeDA]])</f>
        <v>1.3483048630481607</v>
      </c>
      <c r="L90">
        <f>LOG(Table1_1[[#This Row],[PFHxDA]])</f>
        <v>-4.5275209020937013E-2</v>
      </c>
      <c r="M90">
        <f>LOG(Table1_1[[#This Row],[PFPrS]])</f>
        <v>-1.2799947951550823</v>
      </c>
      <c r="N90">
        <f>LOG(Table1_1[[#This Row],[PFBS]])</f>
        <v>-0.81881075665411795</v>
      </c>
      <c r="O90">
        <f>LOG(Table1_1[[#This Row],[PFPeS]])</f>
        <v>-0.52724355068278772</v>
      </c>
      <c r="P90">
        <f>LOG(Table1_1[[#This Row],[PFHxS]])</f>
        <v>1.5932860670204574</v>
      </c>
      <c r="Q90">
        <f>LOG(Table1_1[[#This Row],[PFHpS]])</f>
        <v>0.4132997640812518</v>
      </c>
      <c r="R90">
        <f>LOG(Table1_1[[#This Row],[PFOS]])</f>
        <v>3.2430380486862944</v>
      </c>
      <c r="S90">
        <f>LOG(Table1_1[[#This Row],[PFNS]])</f>
        <v>0.75050839485134624</v>
      </c>
      <c r="T90">
        <f>LOG(Table1_1[[#This Row],[PFDS]])</f>
        <v>0.795184589682424</v>
      </c>
      <c r="U90">
        <f>LOG(Table1_1[[#This Row],[PFDoS]])</f>
        <v>0.48995847942483461</v>
      </c>
      <c r="V90">
        <f>LOG(Table1_1[[#This Row],[Cl-PFOS]])</f>
        <v>-0.49757288001556732</v>
      </c>
      <c r="W90">
        <f>LOG(Table1_1[[#This Row],[PFEtCHxS]])</f>
        <v>-0.40011692792631215</v>
      </c>
      <c r="X90">
        <f>LOG(Table1_1[[#This Row],[FBSA]])</f>
        <v>1.3944516808262162</v>
      </c>
      <c r="Y90">
        <f>LOG(Table1_1[[#This Row],[FHxSA]])</f>
        <v>1.5921767573958667</v>
      </c>
      <c r="Z90">
        <f>LOG(Table1_1[[#This Row],[FOSA]])</f>
        <v>1.0530784434834197</v>
      </c>
      <c r="AA90">
        <f>LOG(Table1_1[[#This Row],[N-MeFOSA]])</f>
        <v>-1.2757858950218242</v>
      </c>
      <c r="AB90">
        <f>LOG(Table1_1[[#This Row],[N-EtFOSA]])</f>
        <v>-1.0954374275883694</v>
      </c>
      <c r="AC90">
        <f>LOG(Table1_1[[#This Row],[FOSAA]])</f>
        <v>-1.2658368835224401</v>
      </c>
      <c r="AD90">
        <f>LOG(Table1_1[[#This Row],[N-MeFOSAA]])</f>
        <v>-1.1598730084562117</v>
      </c>
      <c r="AE90">
        <f>LOG(Table1_1[[#This Row],[N-EtFOSAA]])</f>
        <v>-1.2239777605480164</v>
      </c>
      <c r="AF90">
        <f>LOG(Table1_1[[#This Row],[4:2 FTS]])</f>
        <v>-1.2479440906785229</v>
      </c>
      <c r="AG90">
        <f>LOG(Table1_1[[#This Row],[6:2 FTS]])</f>
        <v>-0.56703070912559428</v>
      </c>
      <c r="AH90">
        <f>LOG(Table1_1[[#This Row],[8:2 FTS]])</f>
        <v>0.56702636615906032</v>
      </c>
      <c r="AI90">
        <f>LOG(Table1_1[[#This Row],[10:2 FTS]])</f>
        <v>-0.14630178822382564</v>
      </c>
      <c r="AJ90">
        <f>LOG(Table1_1[[#This Row],[3:3 FTCA]])</f>
        <v>-1.1004793156034531</v>
      </c>
      <c r="AK90">
        <f>LOG(Table1_1[[#This Row],[5:3 FTCA]])</f>
        <v>7.554696139253074E-2</v>
      </c>
      <c r="AL90">
        <f>LOG(Table1_1[[#This Row],[7:3 FTCA]])</f>
        <v>1.2837224705172217E-2</v>
      </c>
      <c r="AM90">
        <f>LOG(Table1_1[[#This Row],[6:2 FTCA]])</f>
        <v>-1.3551831739681071</v>
      </c>
      <c r="AN90">
        <f>LOG(Table1_1[[#This Row],[8:2 FTCA]])</f>
        <v>-1.5604327238065696</v>
      </c>
      <c r="AO90">
        <f>LOG(Table1_1[[#This Row],[10:2 FTCA]])</f>
        <v>-0.98866786003763396</v>
      </c>
      <c r="AP90">
        <f>LOG(Table1_1[[#This Row],[6:2 FTUCA]])</f>
        <v>-1.2675143334383294</v>
      </c>
      <c r="AQ90">
        <f>LOG(Table1_1[[#This Row],[8:2 FTUCA]])</f>
        <v>-1.3812368660050811</v>
      </c>
      <c r="AR90">
        <f>LOG(Table1_1[[#This Row],[ADONA]])</f>
        <v>-1.1624927151345321</v>
      </c>
      <c r="AS90">
        <f>LOG(Table1_1[[#This Row],[9Cl-PF3ONS]])</f>
        <v>-1.3210665166255224</v>
      </c>
      <c r="AT90">
        <f>LOG(Table1_1[[#This Row],[11Cl-PF3OUdS]])</f>
        <v>-1.2659717084703968</v>
      </c>
      <c r="AU90">
        <f>LOG(Table1_1[[#This Row],[HFPO-DA]])</f>
        <v>-1.0056321691269765</v>
      </c>
      <c r="AV90">
        <f>LOG(Table1_1[[#This Row],[6:2 diPAP]])</f>
        <v>-1.1353352444337816</v>
      </c>
      <c r="AW90">
        <f>LOG(Table1_1[[#This Row],[8:2 diPAP]])</f>
        <v>-1.0400101120115994</v>
      </c>
      <c r="AX90">
        <f>LOG(Table1_1[[#This Row],[diSAmPAP]])</f>
        <v>-0.9169800473203823</v>
      </c>
    </row>
    <row r="91" spans="1:50">
      <c r="A91">
        <f>LOG(Table1_1[[#This Row],[PFBA]])</f>
        <v>-1.5681625966754731</v>
      </c>
      <c r="B91">
        <f>LOG(Table1_1[[#This Row],[PFPeA]])</f>
        <v>-1.3210850389499549</v>
      </c>
      <c r="C91">
        <f>LOG(Table1_1[[#This Row],[PFHxA]])</f>
        <v>-0.89631166411995833</v>
      </c>
      <c r="D91">
        <f>LOG(Table1_1[[#This Row],[PFHpA]])</f>
        <v>-1.0263970580044124</v>
      </c>
      <c r="E91">
        <f>LOG(Table1_1[[#This Row],[PFOA]])</f>
        <v>-0.42365864979420714</v>
      </c>
      <c r="F91">
        <f>LOG(Table1_1[[#This Row],[PFNA]])</f>
        <v>-0.78832252084343246</v>
      </c>
      <c r="G91">
        <f>LOG(Table1_1[[#This Row],[PFDA]])</f>
        <v>0.26717172840301384</v>
      </c>
      <c r="H91">
        <f>LOG(Table1_1[[#This Row],[PFUnA]])</f>
        <v>0.42160392686983106</v>
      </c>
      <c r="I91">
        <f>LOG(Table1_1[[#This Row],[PFDoA]])</f>
        <v>-1.2679803737042472</v>
      </c>
      <c r="J91">
        <f>LOG(Table1_1[[#This Row],[PFTrDA]])</f>
        <v>0.2944662261615929</v>
      </c>
      <c r="K91">
        <f>LOG(Table1_1[[#This Row],[PFTeDA]])</f>
        <v>0.74585519517372889</v>
      </c>
      <c r="L91">
        <f>LOG(Table1_1[[#This Row],[PFHxDA]])</f>
        <v>-1.0940191553401055</v>
      </c>
      <c r="M91">
        <f>LOG(Table1_1[[#This Row],[PFPrS]])</f>
        <v>-1.2877246680239858</v>
      </c>
      <c r="N91">
        <f>LOG(Table1_1[[#This Row],[PFBS]])</f>
        <v>-0.46724562100750222</v>
      </c>
      <c r="O91">
        <f>LOG(Table1_1[[#This Row],[PFPeS]])</f>
        <v>-0.9045542291463099</v>
      </c>
      <c r="P91">
        <f>LOG(Table1_1[[#This Row],[PFHxS]])</f>
        <v>0.59106460702649921</v>
      </c>
      <c r="Q91">
        <f>LOG(Table1_1[[#This Row],[PFHpS]])</f>
        <v>-0.62845704933237478</v>
      </c>
      <c r="R91">
        <f>LOG(Table1_1[[#This Row],[PFOS]])</f>
        <v>2.6627578316815739</v>
      </c>
      <c r="S91">
        <f>LOG(Table1_1[[#This Row],[PFNS]])</f>
        <v>-0.48945498979338786</v>
      </c>
      <c r="T91">
        <f>LOG(Table1_1[[#This Row],[PFDS]])</f>
        <v>-0.36251027048748929</v>
      </c>
      <c r="U91">
        <f>LOG(Table1_1[[#This Row],[PFDoS]])</f>
        <v>-0.59932894585079866</v>
      </c>
      <c r="V91">
        <f>LOG(Table1_1[[#This Row],[Cl-PFOS]])</f>
        <v>-0.84477911013755391</v>
      </c>
      <c r="W91">
        <f>LOG(Table1_1[[#This Row],[PFEtCHxS]])</f>
        <v>-1.0263970580044124</v>
      </c>
      <c r="X91">
        <f>LOG(Table1_1[[#This Row],[FBSA]])</f>
        <v>1.5092025223311027</v>
      </c>
      <c r="Y91">
        <f>LOG(Table1_1[[#This Row],[FHxSA]])</f>
        <v>1.436162647040756</v>
      </c>
      <c r="Z91">
        <f>LOG(Table1_1[[#This Row],[FOSA]])</f>
        <v>1.2201080880400552</v>
      </c>
      <c r="AA91">
        <f>LOG(Table1_1[[#This Row],[N-MeFOSA]])</f>
        <v>-1.2835157678907276</v>
      </c>
      <c r="AB91">
        <f>LOG(Table1_1[[#This Row],[N-EtFOSA]])</f>
        <v>-1.1031673004572726</v>
      </c>
      <c r="AC91">
        <f>LOG(Table1_1[[#This Row],[FOSAA]])</f>
        <v>-1.2735667563913433</v>
      </c>
      <c r="AD91">
        <f>LOG(Table1_1[[#This Row],[N-MeFOSAA]])</f>
        <v>0.81023251799508411</v>
      </c>
      <c r="AE91">
        <f>LOG(Table1_1[[#This Row],[N-EtFOSAA]])</f>
        <v>-1.2317076334169197</v>
      </c>
      <c r="AF91">
        <f>LOG(Table1_1[[#This Row],[4:2 FTS]])</f>
        <v>-1.2556739635474261</v>
      </c>
      <c r="AG91">
        <f>LOG(Table1_1[[#This Row],[6:2 FTS]])</f>
        <v>-0.84760949941155306</v>
      </c>
      <c r="AH91">
        <f>LOG(Table1_1[[#This Row],[8:2 FTS]])</f>
        <v>3.342375548694973E-2</v>
      </c>
      <c r="AI91">
        <f>LOG(Table1_1[[#This Row],[10:2 FTS]])</f>
        <v>-0.57328309425248891</v>
      </c>
      <c r="AJ91">
        <f>LOG(Table1_1[[#This Row],[3:3 FTCA]])</f>
        <v>-1.1082091884723566</v>
      </c>
      <c r="AK91">
        <f>LOG(Table1_1[[#This Row],[5:3 FTCA]])</f>
        <v>0.64836001098093166</v>
      </c>
      <c r="AL91">
        <f>LOG(Table1_1[[#This Row],[7:3 FTCA]])</f>
        <v>1.0530784434834197</v>
      </c>
      <c r="AM91">
        <f>LOG(Table1_1[[#This Row],[6:2 FTCA]])</f>
        <v>0.41664050733828095</v>
      </c>
      <c r="AN91">
        <f>LOG(Table1_1[[#This Row],[8:2 FTCA]])</f>
        <v>-1.5681625966754731</v>
      </c>
      <c r="AO91">
        <f>LOG(Table1_1[[#This Row],[10:2 FTCA]])</f>
        <v>-0.99639773290653733</v>
      </c>
      <c r="AP91">
        <f>LOG(Table1_1[[#This Row],[6:2 FTUCA]])</f>
        <v>-1.2752442063072329</v>
      </c>
      <c r="AQ91">
        <f>LOG(Table1_1[[#This Row],[8:2 FTUCA]])</f>
        <v>-1.3889667388739846</v>
      </c>
      <c r="AR91">
        <f>LOG(Table1_1[[#This Row],[ADONA]])</f>
        <v>-1.1702225880034356</v>
      </c>
      <c r="AS91">
        <f>LOG(Table1_1[[#This Row],[9Cl-PF3ONS]])</f>
        <v>-1.3287963894944259</v>
      </c>
      <c r="AT91">
        <f>LOG(Table1_1[[#This Row],[11Cl-PF3OUdS]])</f>
        <v>-1.2737015813393002</v>
      </c>
      <c r="AU91">
        <f>LOG(Table1_1[[#This Row],[HFPO-DA]])</f>
        <v>-1.01336204199588</v>
      </c>
      <c r="AV91">
        <f>LOG(Table1_1[[#This Row],[6:2 diPAP]])</f>
        <v>-1.1430651173026851</v>
      </c>
      <c r="AW91">
        <f>LOG(Table1_1[[#This Row],[8:2 diPAP]])</f>
        <v>-1.0477399848805027</v>
      </c>
      <c r="AX91">
        <f>LOG(Table1_1[[#This Row],[diSAmPAP]])</f>
        <v>-0.92470992018928566</v>
      </c>
    </row>
    <row r="92" spans="1:50">
      <c r="A92">
        <f>LOG(Table1_1[[#This Row],[PFBA]])</f>
        <v>-1.0382226383687185</v>
      </c>
      <c r="B92">
        <f>LOG(Table1_1[[#This Row],[PFPeA]])</f>
        <v>-1.2978334401567817</v>
      </c>
      <c r="C92">
        <f>LOG(Table1_1[[#This Row],[PFHxA]])</f>
        <v>-0.90813724448426458</v>
      </c>
      <c r="D92">
        <f>LOG(Table1_1[[#This Row],[PFHpA]])</f>
        <v>-1.0382226383687185</v>
      </c>
      <c r="E92">
        <f>LOG(Table1_1[[#This Row],[PFOA]])</f>
        <v>-1.0382226383687185</v>
      </c>
      <c r="F92">
        <f>LOG(Table1_1[[#This Row],[PFNA]])</f>
        <v>-0.8001481012077386</v>
      </c>
      <c r="G92">
        <f>LOG(Table1_1[[#This Row],[PFDA]])</f>
        <v>0.59328606702045728</v>
      </c>
      <c r="H92">
        <f>LOG(Table1_1[[#This Row],[PFUnA]])</f>
        <v>0.53781909507327419</v>
      </c>
      <c r="I92">
        <f>LOG(Table1_1[[#This Row],[PFDoA]])</f>
        <v>-1.2447287749110738</v>
      </c>
      <c r="J92">
        <f>LOG(Table1_1[[#This Row],[PFTrDA]])</f>
        <v>0.24054924828259971</v>
      </c>
      <c r="K92">
        <f>LOG(Table1_1[[#This Row],[PFTeDA]])</f>
        <v>0.57287160220048017</v>
      </c>
      <c r="L92">
        <f>LOG(Table1_1[[#This Row],[PFHxDA]])</f>
        <v>-1.0707675565469321</v>
      </c>
      <c r="M92">
        <f>LOG(Table1_1[[#This Row],[PFPrS]])</f>
        <v>-1.2644730692308124</v>
      </c>
      <c r="N92">
        <f>LOG(Table1_1[[#This Row],[PFBS]])</f>
        <v>-0.8073847382252507</v>
      </c>
      <c r="O92">
        <f>LOG(Table1_1[[#This Row],[PFPeS]])</f>
        <v>-0.91637980951061604</v>
      </c>
      <c r="P92">
        <f>LOG(Table1_1[[#This Row],[PFHxS]])</f>
        <v>0.79934054945358168</v>
      </c>
      <c r="Q92">
        <f>LOG(Table1_1[[#This Row],[PFHpS]])</f>
        <v>-0.64028262969668093</v>
      </c>
      <c r="R92">
        <f>LOG(Table1_1[[#This Row],[PFOS]])</f>
        <v>2.7767011839884108</v>
      </c>
      <c r="S92">
        <f>LOG(Table1_1[[#This Row],[PFNS]])</f>
        <v>-0.52724355068278772</v>
      </c>
      <c r="T92">
        <f>LOG(Table1_1[[#This Row],[PFDS]])</f>
        <v>-0.72702461613331926</v>
      </c>
      <c r="U92">
        <f>LOG(Table1_1[[#This Row],[PFDoS]])</f>
        <v>-0.6111545262151048</v>
      </c>
      <c r="V92">
        <f>LOG(Table1_1[[#This Row],[Cl-PFOS]])</f>
        <v>-0.85660469050186006</v>
      </c>
      <c r="W92">
        <f>LOG(Table1_1[[#This Row],[PFEtCHxS]])</f>
        <v>-1.0382226383687185</v>
      </c>
      <c r="X92">
        <f>LOG(Table1_1[[#This Row],[FBSA]])</f>
        <v>1.6560982020128319</v>
      </c>
      <c r="Y92">
        <f>LOG(Table1_1[[#This Row],[FHxSA]])</f>
        <v>2.0334237554869499</v>
      </c>
      <c r="Z92">
        <f>LOG(Table1_1[[#This Row],[FOSA]])</f>
        <v>1.2329961103921538</v>
      </c>
      <c r="AA92">
        <f>LOG(Table1_1[[#This Row],[N-MeFOSA]])</f>
        <v>-1.2602641690975542</v>
      </c>
      <c r="AB92">
        <f>LOG(Table1_1[[#This Row],[N-EtFOSA]])</f>
        <v>-1.0799157016640994</v>
      </c>
      <c r="AC92">
        <f>LOG(Table1_1[[#This Row],[FOSAA]])</f>
        <v>-1.2503151575981701</v>
      </c>
      <c r="AD92">
        <f>LOG(Table1_1[[#This Row],[N-MeFOSAA]])</f>
        <v>-1.144351282531942</v>
      </c>
      <c r="AE92">
        <f>LOG(Table1_1[[#This Row],[N-EtFOSAA]])</f>
        <v>-1.2084560346237465</v>
      </c>
      <c r="AF92">
        <f>LOG(Table1_1[[#This Row],[4:2 FTS]])</f>
        <v>-1.2324223647542529</v>
      </c>
      <c r="AG92">
        <f>LOG(Table1_1[[#This Row],[6:2 FTS]])</f>
        <v>-1.3661234392894406</v>
      </c>
      <c r="AH92">
        <f>LOG(Table1_1[[#This Row],[8:2 FTS]])</f>
        <v>0.48000694295715063</v>
      </c>
      <c r="AI92">
        <f>LOG(Table1_1[[#This Row],[10:2 FTS]])</f>
        <v>-0.58510867461679494</v>
      </c>
      <c r="AJ92">
        <f>LOG(Table1_1[[#This Row],[3:3 FTCA]])</f>
        <v>-1.0849575896791834</v>
      </c>
      <c r="AK92">
        <f>LOG(Table1_1[[#This Row],[5:3 FTCA]])</f>
        <v>0.45024910831936105</v>
      </c>
      <c r="AL92">
        <f>LOG(Table1_1[[#This Row],[7:3 FTCA]])</f>
        <v>2.0453229787866576</v>
      </c>
      <c r="AM92">
        <f>LOG(Table1_1[[#This Row],[6:2 FTCA]])</f>
        <v>0.250420002308894</v>
      </c>
      <c r="AN92">
        <f>LOG(Table1_1[[#This Row],[8:2 FTCA]])</f>
        <v>1.3654879848908996</v>
      </c>
      <c r="AO92">
        <f>LOG(Table1_1[[#This Row],[10:2 FTCA]])</f>
        <v>-0.97314613411336404</v>
      </c>
      <c r="AP92">
        <f>LOG(Table1_1[[#This Row],[6:2 FTUCA]])</f>
        <v>-1.2519926075140597</v>
      </c>
      <c r="AQ92">
        <f>LOG(Table1_1[[#This Row],[8:2 FTUCA]])</f>
        <v>-1.3657151400808114</v>
      </c>
      <c r="AR92">
        <f>LOG(Table1_1[[#This Row],[ADONA]])</f>
        <v>-1.1469709892102622</v>
      </c>
      <c r="AS92">
        <f>LOG(Table1_1[[#This Row],[9Cl-PF3ONS]])</f>
        <v>-1.3055447907012527</v>
      </c>
      <c r="AT92">
        <f>LOG(Table1_1[[#This Row],[11Cl-PF3OUdS]])</f>
        <v>-1.2504499825461268</v>
      </c>
      <c r="AU92">
        <f>LOG(Table1_1[[#This Row],[HFPO-DA]])</f>
        <v>-0.9901104432027068</v>
      </c>
      <c r="AV92">
        <f>LOG(Table1_1[[#This Row],[6:2 diPAP]])</f>
        <v>-1.1198135185095117</v>
      </c>
      <c r="AW92">
        <f>LOG(Table1_1[[#This Row],[8:2 diPAP]])</f>
        <v>-1.0244883860873295</v>
      </c>
      <c r="AX92">
        <f>LOG(Table1_1[[#This Row],[diSAmPAP]])</f>
        <v>-0.90145832139611237</v>
      </c>
    </row>
    <row r="93" spans="1:50">
      <c r="A93">
        <f>LOG(Table1_1[[#This Row],[PFBA]])</f>
        <v>-1.0010603133223668</v>
      </c>
      <c r="B93">
        <f>LOG(Table1_1[[#This Row],[PFPeA]])</f>
        <v>-1.3096590205210878</v>
      </c>
      <c r="C93">
        <f>LOG(Table1_1[[#This Row],[PFHxA]])</f>
        <v>-0.87097491943791294</v>
      </c>
      <c r="D93">
        <f>LOG(Table1_1[[#This Row],[PFHpA]])</f>
        <v>-1.0010603133223668</v>
      </c>
      <c r="E93">
        <f>LOG(Table1_1[[#This Row],[PFOA]])</f>
        <v>-1.0010603133223668</v>
      </c>
      <c r="F93">
        <f>LOG(Table1_1[[#This Row],[PFNA]])</f>
        <v>-0.76298577616138696</v>
      </c>
      <c r="G93">
        <f>LOG(Table1_1[[#This Row],[PFDA]])</f>
        <v>0.15836249209524964</v>
      </c>
      <c r="H93">
        <f>LOG(Table1_1[[#This Row],[PFUnA]])</f>
        <v>0.4927603890268375</v>
      </c>
      <c r="I93">
        <f>LOG(Table1_1[[#This Row],[PFDoA]])</f>
        <v>1.7067177823367587</v>
      </c>
      <c r="J93">
        <f>LOG(Table1_1[[#This Row],[PFTrDA]])</f>
        <v>0.50105926221775143</v>
      </c>
      <c r="K93">
        <f>LOG(Table1_1[[#This Row],[PFTeDA]])</f>
        <v>0.95133751879591766</v>
      </c>
      <c r="L93">
        <f>LOG(Table1_1[[#This Row],[PFHxDA]])</f>
        <v>-1.0825931369112383</v>
      </c>
      <c r="M93">
        <f>LOG(Table1_1[[#This Row],[PFPrS]])</f>
        <v>-1.2762986495951185</v>
      </c>
      <c r="N93">
        <f>LOG(Table1_1[[#This Row],[PFBS]])</f>
        <v>-0.77022241317889906</v>
      </c>
      <c r="O93">
        <f>LOG(Table1_1[[#This Row],[PFPeS]])</f>
        <v>-0.87921748446426451</v>
      </c>
      <c r="P93">
        <f>LOG(Table1_1[[#This Row],[PFHxS]])</f>
        <v>0.84633711212980522</v>
      </c>
      <c r="Q93">
        <f>LOG(Table1_1[[#This Row],[PFHpS]])</f>
        <v>-0.60312030465032918</v>
      </c>
      <c r="R93">
        <f>LOG(Table1_1[[#This Row],[PFOS]])</f>
        <v>2.5237464668115646</v>
      </c>
      <c r="S93">
        <f>LOG(Table1_1[[#This Row],[PFNS]])</f>
        <v>-0.84722221359843364</v>
      </c>
      <c r="T93">
        <f>LOG(Table1_1[[#This Row],[PFDS]])</f>
        <v>-0.68986229108696762</v>
      </c>
      <c r="U93">
        <f>LOG(Table1_1[[#This Row],[PFDoS]])</f>
        <v>-0.57399220116875305</v>
      </c>
      <c r="V93">
        <f>LOG(Table1_1[[#This Row],[Cl-PFOS]])</f>
        <v>-1.3751186303797476</v>
      </c>
      <c r="W93">
        <f>LOG(Table1_1[[#This Row],[PFEtCHxS]])</f>
        <v>-1.0010603133223668</v>
      </c>
      <c r="X93">
        <f>LOG(Table1_1[[#This Row],[FBSA]])</f>
        <v>1.3579348470004537</v>
      </c>
      <c r="Y93">
        <f>LOG(Table1_1[[#This Row],[FHxSA]])</f>
        <v>1.8438554226231612</v>
      </c>
      <c r="Z93">
        <f>LOG(Table1_1[[#This Row],[FOSA]])</f>
        <v>1.2304489213782739</v>
      </c>
      <c r="AA93">
        <f>LOG(Table1_1[[#This Row],[N-MeFOSA]])</f>
        <v>-1.2720897494618604</v>
      </c>
      <c r="AB93">
        <f>LOG(Table1_1[[#This Row],[N-EtFOSA]])</f>
        <v>-1.0917412820284056</v>
      </c>
      <c r="AC93">
        <f>LOG(Table1_1[[#This Row],[FOSAA]])</f>
        <v>-1.2621407379624763</v>
      </c>
      <c r="AD93">
        <f>LOG(Table1_1[[#This Row],[N-MeFOSAA]])</f>
        <v>-1.1561768628962481</v>
      </c>
      <c r="AE93">
        <f>LOG(Table1_1[[#This Row],[N-EtFOSAA]])</f>
        <v>-1.2202816149880524</v>
      </c>
      <c r="AF93">
        <f>LOG(Table1_1[[#This Row],[4:2 FTS]])</f>
        <v>-1.2442479451185591</v>
      </c>
      <c r="AG93">
        <f>LOG(Table1_1[[#This Row],[6:2 FTS]])</f>
        <v>-1.3779490196537465</v>
      </c>
      <c r="AH93">
        <f>LOG(Table1_1[[#This Row],[8:2 FTS]])</f>
        <v>-0.19314197048118256</v>
      </c>
      <c r="AI93">
        <f>LOG(Table1_1[[#This Row],[10:2 FTS]])</f>
        <v>-0.54794634957044341</v>
      </c>
      <c r="AJ93">
        <f>LOG(Table1_1[[#This Row],[3:3 FTCA]])</f>
        <v>-1.0967831700434896</v>
      </c>
      <c r="AK93">
        <f>LOG(Table1_1[[#This Row],[5:3 FTCA]])</f>
        <v>-0.25414480482627105</v>
      </c>
      <c r="AL93">
        <f>LOG(Table1_1[[#This Row],[7:3 FTCA]])</f>
        <v>1.0374264979406236</v>
      </c>
      <c r="AM93">
        <f>LOG(Table1_1[[#This Row],[6:2 FTCA]])</f>
        <v>0.43933269383026263</v>
      </c>
      <c r="AN93">
        <f>LOG(Table1_1[[#This Row],[8:2 FTCA]])</f>
        <v>-1.5567365782466058</v>
      </c>
      <c r="AO93">
        <f>LOG(Table1_1[[#This Row],[10:2 FTCA]])</f>
        <v>-0.98497171447767007</v>
      </c>
      <c r="AP93">
        <f>LOG(Table1_1[[#This Row],[6:2 FTUCA]])</f>
        <v>-1.2638181878783656</v>
      </c>
      <c r="AQ93">
        <f>LOG(Table1_1[[#This Row],[8:2 FTUCA]])</f>
        <v>-1.3775407204451173</v>
      </c>
      <c r="AR93">
        <f>LOG(Table1_1[[#This Row],[ADONA]])</f>
        <v>-1.1587965695745683</v>
      </c>
      <c r="AS93">
        <f>LOG(Table1_1[[#This Row],[9Cl-PF3ONS]])</f>
        <v>-1.3173703710655587</v>
      </c>
      <c r="AT93">
        <f>LOG(Table1_1[[#This Row],[11Cl-PF3OUdS]])</f>
        <v>-1.262275562910433</v>
      </c>
      <c r="AU93">
        <f>LOG(Table1_1[[#This Row],[HFPO-DA]])</f>
        <v>-1.0019360235670129</v>
      </c>
      <c r="AV93">
        <f>LOG(Table1_1[[#This Row],[6:2 diPAP]])</f>
        <v>-1.1316390988738179</v>
      </c>
      <c r="AW93">
        <f>LOG(Table1_1[[#This Row],[8:2 diPAP]])</f>
        <v>-1.0363139664516356</v>
      </c>
      <c r="AX93">
        <f>LOG(Table1_1[[#This Row],[diSAmPAP]])</f>
        <v>-0.91328390176041852</v>
      </c>
    </row>
    <row r="94" spans="1:50">
      <c r="A94">
        <f>LOG(Table1_1[[#This Row],[PFBA]])</f>
        <v>-1.5525627723460502</v>
      </c>
      <c r="B94">
        <f>LOG(Table1_1[[#This Row],[PFPeA]])</f>
        <v>-1.3054852146205322</v>
      </c>
      <c r="C94">
        <f>LOG(Table1_1[[#This Row],[PFHxA]])</f>
        <v>-1.4224773784615963</v>
      </c>
      <c r="D94">
        <f>LOG(Table1_1[[#This Row],[PFHpA]])</f>
        <v>-0.14887674410638899</v>
      </c>
      <c r="E94">
        <f>LOG(Table1_1[[#This Row],[PFOA]])</f>
        <v>-0.14887674410638899</v>
      </c>
      <c r="F94">
        <f>LOG(Table1_1[[#This Row],[PFNA]])</f>
        <v>8.9197793054590815E-2</v>
      </c>
      <c r="G94">
        <f>LOG(Table1_1[[#This Row],[PFDA]])</f>
        <v>1.1303337684950061</v>
      </c>
      <c r="H94">
        <f>LOG(Table1_1[[#This Row],[PFUnA]])</f>
        <v>1.3010299956639813</v>
      </c>
      <c r="I94">
        <f>LOG(Table1_1[[#This Row],[PFDoA]])</f>
        <v>-1.2523805493748243</v>
      </c>
      <c r="J94">
        <f>LOG(Table1_1[[#This Row],[PFTrDA]])</f>
        <v>1.3636119798921444</v>
      </c>
      <c r="K94">
        <f>LOG(Table1_1[[#This Row],[PFTeDA]])</f>
        <v>1.5198279937757189</v>
      </c>
      <c r="L94">
        <f>LOG(Table1_1[[#This Row],[PFHxDA]])</f>
        <v>-1.0784193310106827</v>
      </c>
      <c r="M94">
        <f>LOG(Table1_1[[#This Row],[PFPrS]])</f>
        <v>-1.2721248436945629</v>
      </c>
      <c r="N94">
        <f>LOG(Table1_1[[#This Row],[PFBS]])</f>
        <v>-1.3217248722025825</v>
      </c>
      <c r="O94">
        <f>LOG(Table1_1[[#This Row],[PFPeS]])</f>
        <v>-2.7033915248286668E-2</v>
      </c>
      <c r="P94">
        <f>LOG(Table1_1[[#This Row],[PFHxS]])</f>
        <v>1.4440447959180762</v>
      </c>
      <c r="Q94">
        <f>LOG(Table1_1[[#This Row],[PFHpS]])</f>
        <v>0.70243053644552533</v>
      </c>
      <c r="R94">
        <f>LOG(Table1_1[[#This Row],[PFOS]])</f>
        <v>3.4828735836087539</v>
      </c>
      <c r="S94">
        <f>LOG(Table1_1[[#This Row],[PFNS]])</f>
        <v>0.81557774832426722</v>
      </c>
      <c r="T94">
        <f>LOG(Table1_1[[#This Row],[PFDS]])</f>
        <v>0.82930377283102497</v>
      </c>
      <c r="U94">
        <f>LOG(Table1_1[[#This Row],[PFDoS]])</f>
        <v>0.78461729263287538</v>
      </c>
      <c r="V94">
        <f>LOG(Table1_1[[#This Row],[Cl-PFOS]])</f>
        <v>3.2741203760469281E-2</v>
      </c>
      <c r="W94">
        <f>LOG(Table1_1[[#This Row],[PFEtCHxS]])</f>
        <v>-0.14887674410638899</v>
      </c>
      <c r="X94">
        <f>LOG(Table1_1[[#This Row],[FBSA]])</f>
        <v>1.8260748027008264</v>
      </c>
      <c r="Y94">
        <f>LOG(Table1_1[[#This Row],[FHxSA]])</f>
        <v>2.3031960574204891</v>
      </c>
      <c r="Z94">
        <f>LOG(Table1_1[[#This Row],[FOSA]])</f>
        <v>1.7007037171450194</v>
      </c>
      <c r="AA94">
        <f>LOG(Table1_1[[#This Row],[N-MeFOSA]])</f>
        <v>-1.2679159435613048</v>
      </c>
      <c r="AB94">
        <f>LOG(Table1_1[[#This Row],[N-EtFOSA]])</f>
        <v>-1.08756747612785</v>
      </c>
      <c r="AC94">
        <f>LOG(Table1_1[[#This Row],[FOSAA]])</f>
        <v>-1.2579669320619205</v>
      </c>
      <c r="AD94">
        <f>LOG(Table1_1[[#This Row],[N-MeFOSAA]])</f>
        <v>1.4487063199050798</v>
      </c>
      <c r="AE94">
        <f>LOG(Table1_1[[#This Row],[N-EtFOSAA]])</f>
        <v>-1.2161078090874968</v>
      </c>
      <c r="AF94">
        <f>LOG(Table1_1[[#This Row],[4:2 FTS]])</f>
        <v>-1.2400741392180035</v>
      </c>
      <c r="AG94">
        <f>LOG(Table1_1[[#This Row],[6:2 FTS]])</f>
        <v>2.9910814486470278E-2</v>
      </c>
      <c r="AH94">
        <f>LOG(Table1_1[[#This Row],[8:2 FTS]])</f>
        <v>0.63042787502502384</v>
      </c>
      <c r="AI94">
        <f>LOG(Table1_1[[#This Row],[10:2 FTS]])</f>
        <v>0.30423721964553446</v>
      </c>
      <c r="AJ94">
        <f>LOG(Table1_1[[#This Row],[3:3 FTCA]])</f>
        <v>-1.0926093641429337</v>
      </c>
      <c r="AK94">
        <f>LOG(Table1_1[[#This Row],[5:3 FTCA]])</f>
        <v>-1.2768741686534286</v>
      </c>
      <c r="AL94">
        <f>LOG(Table1_1[[#This Row],[7:3 FTCA]])</f>
        <v>1.3747483460101038</v>
      </c>
      <c r="AM94">
        <f>LOG(Table1_1[[#This Row],[6:2 FTCA]])</f>
        <v>-1.3473132225075874</v>
      </c>
      <c r="AN94">
        <f>LOG(Table1_1[[#This Row],[8:2 FTCA]])</f>
        <v>1.657055852857104</v>
      </c>
      <c r="AO94">
        <f>LOG(Table1_1[[#This Row],[10:2 FTCA]])</f>
        <v>-0.98079790857711446</v>
      </c>
      <c r="AP94">
        <f>LOG(Table1_1[[#This Row],[6:2 FTUCA]])</f>
        <v>-1.25964438197781</v>
      </c>
      <c r="AQ94">
        <f>LOG(Table1_1[[#This Row],[8:2 FTUCA]])</f>
        <v>-1.3733669145445617</v>
      </c>
      <c r="AR94">
        <f>LOG(Table1_1[[#This Row],[ADONA]])</f>
        <v>-1.1546227636740127</v>
      </c>
      <c r="AS94">
        <f>LOG(Table1_1[[#This Row],[9Cl-PF3ONS]])</f>
        <v>-1.313196565165003</v>
      </c>
      <c r="AT94">
        <f>LOG(Table1_1[[#This Row],[11Cl-PF3OUdS]])</f>
        <v>-1.2581017570098774</v>
      </c>
      <c r="AU94">
        <f>LOG(Table1_1[[#This Row],[HFPO-DA]])</f>
        <v>-0.99776221766645723</v>
      </c>
      <c r="AV94">
        <f>LOG(Table1_1[[#This Row],[6:2 diPAP]])</f>
        <v>-1.127465292973262</v>
      </c>
      <c r="AW94">
        <f>LOG(Table1_1[[#This Row],[8:2 diPAP]])</f>
        <v>-1.03214016055108</v>
      </c>
      <c r="AX94">
        <f>LOG(Table1_1[[#This Row],[diSAmPAP]])</f>
        <v>-0.9091100958598628</v>
      </c>
    </row>
    <row r="95" spans="1:50">
      <c r="A95">
        <f>LOG(Table1_1[[#This Row],[PFBA]])</f>
        <v>-1.5195742532002543</v>
      </c>
      <c r="B95">
        <f>LOG(Table1_1[[#This Row],[PFPeA]])</f>
        <v>-1.2724966954747361</v>
      </c>
      <c r="C95">
        <f>LOG(Table1_1[[#This Row],[PFHxA]])</f>
        <v>-1.3894888593158004</v>
      </c>
      <c r="D95">
        <f>LOG(Table1_1[[#This Row],[PFHpA]])</f>
        <v>-1.0340488324681627</v>
      </c>
      <c r="E95">
        <f>LOG(Table1_1[[#This Row],[PFOA]])</f>
        <v>-1.0340488324681627</v>
      </c>
      <c r="F95">
        <f>LOG(Table1_1[[#This Row],[PFNA]])</f>
        <v>-0.795974295307183</v>
      </c>
      <c r="G95">
        <f>LOG(Table1_1[[#This Row],[PFDA]])</f>
        <v>8.9905111439397931E-2</v>
      </c>
      <c r="H95">
        <f>LOG(Table1_1[[#This Row],[PFUnA]])</f>
        <v>0.20139712432045151</v>
      </c>
      <c r="I95">
        <f>LOG(Table1_1[[#This Row],[PFDoA]])</f>
        <v>1.1003705451175629</v>
      </c>
      <c r="J95">
        <f>LOG(Table1_1[[#This Row],[PFTrDA]])</f>
        <v>0.16136800223497488</v>
      </c>
      <c r="K95">
        <f>LOG(Table1_1[[#This Row],[PFTeDA]])</f>
        <v>0.6273658565927327</v>
      </c>
      <c r="L95">
        <f>LOG(Table1_1[[#This Row],[PFHxDA]])</f>
        <v>-1.0454308118648867</v>
      </c>
      <c r="M95">
        <f>LOG(Table1_1[[#This Row],[PFPrS]])</f>
        <v>-1.2391363245487668</v>
      </c>
      <c r="N95">
        <f>LOG(Table1_1[[#This Row],[PFBS]])</f>
        <v>-0.80321093232469509</v>
      </c>
      <c r="O95">
        <f>LOG(Table1_1[[#This Row],[PFPeS]])</f>
        <v>-0.91220600361006043</v>
      </c>
      <c r="P95">
        <f>LOG(Table1_1[[#This Row],[PFHxS]])</f>
        <v>0.44870631990507992</v>
      </c>
      <c r="Q95">
        <f>LOG(Table1_1[[#This Row],[PFHpS]])</f>
        <v>-0.33348201944511913</v>
      </c>
      <c r="R95">
        <f>LOG(Table1_1[[#This Row],[PFOS]])</f>
        <v>2.4927603890268375</v>
      </c>
      <c r="S95">
        <f>LOG(Table1_1[[#This Row],[PFNS]])</f>
        <v>-0.25727486869530169</v>
      </c>
      <c r="T95">
        <f>LOG(Table1_1[[#This Row],[PFDS]])</f>
        <v>-0.21824462534753111</v>
      </c>
      <c r="U95">
        <f>LOG(Table1_1[[#This Row],[PFDoS]])</f>
        <v>-0.60698072031454908</v>
      </c>
      <c r="V95">
        <f>LOG(Table1_1[[#This Row],[Cl-PFOS]])</f>
        <v>-0.85243088460130445</v>
      </c>
      <c r="W95">
        <f>LOG(Table1_1[[#This Row],[PFEtCHxS]])</f>
        <v>-1.0340488324681627</v>
      </c>
      <c r="X95">
        <f>LOG(Table1_1[[#This Row],[FBSA]])</f>
        <v>0.9885589568786155</v>
      </c>
      <c r="Y95">
        <f>LOG(Table1_1[[#This Row],[FHxSA]])</f>
        <v>1.5634810853944108</v>
      </c>
      <c r="Z95">
        <f>LOG(Table1_1[[#This Row],[FOSA]])</f>
        <v>0.7649229846498885</v>
      </c>
      <c r="AA95">
        <f>LOG(Table1_1[[#This Row],[N-MeFOSA]])</f>
        <v>-1.2349274244155088</v>
      </c>
      <c r="AB95">
        <f>LOG(Table1_1[[#This Row],[N-EtFOSA]])</f>
        <v>-1.0545789569820541</v>
      </c>
      <c r="AC95">
        <f>LOG(Table1_1[[#This Row],[FOSAA]])</f>
        <v>-1.2249784129161245</v>
      </c>
      <c r="AD95">
        <f>LOG(Table1_1[[#This Row],[N-MeFOSAA]])</f>
        <v>1.0644579892269184</v>
      </c>
      <c r="AE95">
        <f>LOG(Table1_1[[#This Row],[N-EtFOSAA]])</f>
        <v>-1.1831192899417009</v>
      </c>
      <c r="AF95">
        <f>LOG(Table1_1[[#This Row],[4:2 FTS]])</f>
        <v>-1.2070856200722073</v>
      </c>
      <c r="AG95">
        <f>LOG(Table1_1[[#This Row],[6:2 FTS]])</f>
        <v>-1.340786694607395</v>
      </c>
      <c r="AH95">
        <f>LOG(Table1_1[[#This Row],[8:2 FTS]])</f>
        <v>-0.84050162299525422</v>
      </c>
      <c r="AI95">
        <f>LOG(Table1_1[[#This Row],[10:2 FTS]])</f>
        <v>-0.58093486871623945</v>
      </c>
      <c r="AJ95">
        <f>LOG(Table1_1[[#This Row],[3:3 FTCA]])</f>
        <v>-1.0596208449971378</v>
      </c>
      <c r="AK95">
        <f>LOG(Table1_1[[#This Row],[5:3 FTCA]])</f>
        <v>-0.11125903931710739</v>
      </c>
      <c r="AL95">
        <f>LOG(Table1_1[[#This Row],[7:3 FTCA]])</f>
        <v>0.60422605308446997</v>
      </c>
      <c r="AM95">
        <f>LOG(Table1_1[[#This Row],[6:2 FTCA]])</f>
        <v>0.58994960132570773</v>
      </c>
      <c r="AN95">
        <f>LOG(Table1_1[[#This Row],[8:2 FTCA]])</f>
        <v>-1.5195742532002543</v>
      </c>
      <c r="AO95">
        <f>LOG(Table1_1[[#This Row],[10:2 FTCA]])</f>
        <v>-0.94780938943131854</v>
      </c>
      <c r="AP95">
        <f>LOG(Table1_1[[#This Row],[6:2 FTUCA]])</f>
        <v>-1.2266558628320141</v>
      </c>
      <c r="AQ95">
        <f>LOG(Table1_1[[#This Row],[8:2 FTUCA]])</f>
        <v>-1.3403783953987658</v>
      </c>
      <c r="AR95">
        <f>LOG(Table1_1[[#This Row],[ADONA]])</f>
        <v>-1.1216342445282166</v>
      </c>
      <c r="AS95">
        <f>LOG(Table1_1[[#This Row],[9Cl-PF3ONS]])</f>
        <v>-1.2802080460192071</v>
      </c>
      <c r="AT95">
        <f>LOG(Table1_1[[#This Row],[11Cl-PF3OUdS]])</f>
        <v>-1.2251132378640814</v>
      </c>
      <c r="AU95">
        <f>LOG(Table1_1[[#This Row],[HFPO-DA]])</f>
        <v>-0.9647736985206613</v>
      </c>
      <c r="AV95">
        <f>LOG(Table1_1[[#This Row],[6:2 diPAP]])</f>
        <v>-1.0944767738274663</v>
      </c>
      <c r="AW95">
        <f>LOG(Table1_1[[#This Row],[8:2 diPAP]])</f>
        <v>-0.99915164140528401</v>
      </c>
      <c r="AX95">
        <f>LOG(Table1_1[[#This Row],[diSAmPAP]])</f>
        <v>-0.87612157671406687</v>
      </c>
    </row>
    <row r="96" spans="1:50">
      <c r="A96">
        <f>LOG(Table1_1[[#This Row],[PFBA]])</f>
        <v>-1.0250326381516983</v>
      </c>
      <c r="B96">
        <f>LOG(Table1_1[[#This Row],[PFPeA]])</f>
        <v>-0.42031312625875833</v>
      </c>
      <c r="C96">
        <f>LOG(Table1_1[[#This Row],[PFHxA]])</f>
        <v>-0.89494724426724448</v>
      </c>
      <c r="D96">
        <f>LOG(Table1_1[[#This Row],[PFHpA]])</f>
        <v>-1.0250326381516983</v>
      </c>
      <c r="E96">
        <f>LOG(Table1_1[[#This Row],[PFOA]])</f>
        <v>-0.46470587995722945</v>
      </c>
      <c r="F96">
        <f>LOG(Table1_1[[#This Row],[PFNA]])</f>
        <v>-0.7869581009907185</v>
      </c>
      <c r="G96">
        <f>LOG(Table1_1[[#This Row],[PFDA]])</f>
        <v>0.3961993470957364</v>
      </c>
      <c r="H96">
        <f>LOG(Table1_1[[#This Row],[PFUnA]])</f>
        <v>0.5877109650189114</v>
      </c>
      <c r="I96">
        <f>LOG(Table1_1[[#This Row],[PFDoA]])</f>
        <v>-0.36720846101305055</v>
      </c>
      <c r="J96">
        <f>LOG(Table1_1[[#This Row],[PFTrDA]])</f>
        <v>0.28555730900777376</v>
      </c>
      <c r="K96">
        <f>LOG(Table1_1[[#This Row],[PFTeDA]])</f>
        <v>0.63042787502502384</v>
      </c>
      <c r="L96">
        <f>LOG(Table1_1[[#This Row],[PFHxDA]])</f>
        <v>-0.19324724264890894</v>
      </c>
      <c r="M96">
        <f>LOG(Table1_1[[#This Row],[PFPrS]])</f>
        <v>-0.38695275533278911</v>
      </c>
      <c r="N96">
        <f>LOG(Table1_1[[#This Row],[PFBS]])</f>
        <v>-0.79419473800823059</v>
      </c>
      <c r="O96">
        <f>LOG(Table1_1[[#This Row],[PFPeS]])</f>
        <v>-0.90318980929359594</v>
      </c>
      <c r="P96">
        <f>LOG(Table1_1[[#This Row],[PFHxS]])</f>
        <v>0.85369821177617433</v>
      </c>
      <c r="Q96">
        <f>LOG(Table1_1[[#This Row],[PFHpS]])</f>
        <v>-0.62709262947966071</v>
      </c>
      <c r="R96">
        <f>LOG(Table1_1[[#This Row],[PFOS]])</f>
        <v>2.7745169657285498</v>
      </c>
      <c r="S96">
        <f>LOG(Table1_1[[#This Row],[PFNS]])</f>
        <v>-0.52578373592374483</v>
      </c>
      <c r="T96">
        <f>LOG(Table1_1[[#This Row],[PFDS]])</f>
        <v>-0.71383461591629893</v>
      </c>
      <c r="U96">
        <f>LOG(Table1_1[[#This Row],[PFDoS]])</f>
        <v>-0.59796452599808469</v>
      </c>
      <c r="V96">
        <f>LOG(Table1_1[[#This Row],[Cl-PFOS]])</f>
        <v>-0.84341469028484006</v>
      </c>
      <c r="W96">
        <f>LOG(Table1_1[[#This Row],[PFEtCHxS]])</f>
        <v>-1.0250326381516983</v>
      </c>
      <c r="X96">
        <f>LOG(Table1_1[[#This Row],[FBSA]])</f>
        <v>1.6074550232146685</v>
      </c>
      <c r="Y96">
        <f>LOG(Table1_1[[#This Row],[FHxSA]])</f>
        <v>1.7458551951737289</v>
      </c>
      <c r="Z96">
        <f>LOG(Table1_1[[#This Row],[FOSA]])</f>
        <v>1.255272505103306</v>
      </c>
      <c r="AA96">
        <f>LOG(Table1_1[[#This Row],[N-MeFOSA]])</f>
        <v>-0.38274385519953086</v>
      </c>
      <c r="AB96">
        <f>LOG(Table1_1[[#This Row],[N-EtFOSA]])</f>
        <v>-0.20239538776607624</v>
      </c>
      <c r="AC96">
        <f>LOG(Table1_1[[#This Row],[FOSAA]])</f>
        <v>-0.37279484370014682</v>
      </c>
      <c r="AD96">
        <f>LOG(Table1_1[[#This Row],[N-MeFOSAA]])</f>
        <v>0.35602585719312274</v>
      </c>
      <c r="AE96">
        <f>LOG(Table1_1[[#This Row],[N-EtFOSAA]])</f>
        <v>-0.33093572072572314</v>
      </c>
      <c r="AF96">
        <f>LOG(Table1_1[[#This Row],[4:2 FTS]])</f>
        <v>-0.35490205085622967</v>
      </c>
      <c r="AG96">
        <f>LOG(Table1_1[[#This Row],[6:2 FTS]])</f>
        <v>-0.543633966870957</v>
      </c>
      <c r="AH96">
        <f>LOG(Table1_1[[#This Row],[8:2 FTS]])</f>
        <v>8.6001717619175692E-3</v>
      </c>
      <c r="AI96">
        <f>LOG(Table1_1[[#This Row],[10:2 FTS]])</f>
        <v>-0.57191867439977495</v>
      </c>
      <c r="AJ96">
        <f>LOG(Table1_1[[#This Row],[3:3 FTCA]])</f>
        <v>-0.56507922994858195</v>
      </c>
      <c r="AK96">
        <f>LOG(Table1_1[[#This Row],[5:3 FTCA]])</f>
        <v>0.49692964807321494</v>
      </c>
      <c r="AL96">
        <f>LOG(Table1_1[[#This Row],[7:3 FTCA]])</f>
        <v>0.93951925261861846</v>
      </c>
      <c r="AM96">
        <f>LOG(Table1_1[[#This Row],[6:2 FTCA]])</f>
        <v>6.8185861746161619E-2</v>
      </c>
      <c r="AN96">
        <f>LOG(Table1_1[[#This Row],[8:2 FTCA]])</f>
        <v>-0.66739068398427648</v>
      </c>
      <c r="AO96">
        <f>LOG(Table1_1[[#This Row],[10:2 FTCA]])</f>
        <v>-9.5625820215340718E-2</v>
      </c>
      <c r="AP96">
        <f>LOG(Table1_1[[#This Row],[6:2 FTUCA]])</f>
        <v>-0.37447229361603634</v>
      </c>
      <c r="AQ96">
        <f>LOG(Table1_1[[#This Row],[8:2 FTUCA]])</f>
        <v>-0.48819482618278798</v>
      </c>
      <c r="AR96">
        <f>LOG(Table1_1[[#This Row],[ADONA]])</f>
        <v>-0.26945067531223887</v>
      </c>
      <c r="AS96">
        <f>LOG(Table1_1[[#This Row],[9Cl-PF3ONS]])</f>
        <v>-0.4280244768032293</v>
      </c>
      <c r="AT96">
        <f>LOG(Table1_1[[#This Row],[11Cl-PF3OUdS]])</f>
        <v>-0.37292966864810362</v>
      </c>
      <c r="AU96">
        <f>LOG(Table1_1[[#This Row],[HFPO-DA]])</f>
        <v>-0.11259012930468353</v>
      </c>
      <c r="AV96">
        <f>LOG(Table1_1[[#This Row],[6:2 diPAP]])</f>
        <v>-0.2422932046114884</v>
      </c>
      <c r="AW96">
        <f>LOG(Table1_1[[#This Row],[8:2 diPAP]])</f>
        <v>-0.14696807218930619</v>
      </c>
      <c r="AX96">
        <f>LOG(Table1_1[[#This Row],[diSAmPAP]])</f>
        <v>-2.3938007498089005E-2</v>
      </c>
    </row>
    <row r="97" spans="1:50">
      <c r="A97">
        <f>LOG(Table1_1[[#This Row],[PFBA]])</f>
        <v>-1.5435465780295858</v>
      </c>
      <c r="B97">
        <f>LOG(Table1_1[[#This Row],[PFPeA]])</f>
        <v>-1.2964690203040679</v>
      </c>
      <c r="C97">
        <f>LOG(Table1_1[[#This Row],[PFHxA]])</f>
        <v>-0.92111001972704343</v>
      </c>
      <c r="D97">
        <f>LOG(Table1_1[[#This Row],[PFHpA]])</f>
        <v>-1.5435465780295858</v>
      </c>
      <c r="E97">
        <f>LOG(Table1_1[[#This Row],[PFOA]])</f>
        <v>-1.0511954136114974</v>
      </c>
      <c r="F97">
        <f>LOG(Table1_1[[#This Row],[PFNA]])</f>
        <v>-0.81312087645051745</v>
      </c>
      <c r="G97">
        <f>LOG(Table1_1[[#This Row],[PFDA]])</f>
        <v>0.35410843914740087</v>
      </c>
      <c r="H97">
        <f>LOG(Table1_1[[#This Row],[PFUnA]])</f>
        <v>0.38560627359831223</v>
      </c>
      <c r="I97">
        <f>LOG(Table1_1[[#This Row],[PFDoA]])</f>
        <v>1.3443922736851108</v>
      </c>
      <c r="J97">
        <f>LOG(Table1_1[[#This Row],[PFTrDA]])</f>
        <v>0.42975228000240795</v>
      </c>
      <c r="K97">
        <f>LOG(Table1_1[[#This Row],[PFTeDA]])</f>
        <v>0.67669360962486658</v>
      </c>
      <c r="L97">
        <f>LOG(Table1_1[[#This Row],[PFHxDA]])</f>
        <v>-1.0694031366942183</v>
      </c>
      <c r="M97">
        <f>LOG(Table1_1[[#This Row],[PFPrS]])</f>
        <v>-1.2631086493780983</v>
      </c>
      <c r="N97">
        <f>LOG(Table1_1[[#This Row],[PFBS]])</f>
        <v>-1.3127086778861181</v>
      </c>
      <c r="O97">
        <f>LOG(Table1_1[[#This Row],[PFPeS]])</f>
        <v>-0.92935258475339488</v>
      </c>
      <c r="P97">
        <f>LOG(Table1_1[[#This Row],[PFHxS]])</f>
        <v>0.78958071216442549</v>
      </c>
      <c r="Q97">
        <f>LOG(Table1_1[[#This Row],[PFHpS]])</f>
        <v>-0.65325540493945966</v>
      </c>
      <c r="R97">
        <f>LOG(Table1_1[[#This Row],[PFOS]])</f>
        <v>2.7275412570285562</v>
      </c>
      <c r="S97">
        <f>LOG(Table1_1[[#This Row],[PFNS]])</f>
        <v>-0.37263414340726736</v>
      </c>
      <c r="T97">
        <f>LOG(Table1_1[[#This Row],[PFDS]])</f>
        <v>-0.23507701535011155</v>
      </c>
      <c r="U97">
        <f>LOG(Table1_1[[#This Row],[PFDoS]])</f>
        <v>-0.62412730145788353</v>
      </c>
      <c r="V97">
        <f>LOG(Table1_1[[#This Row],[Cl-PFOS]])</f>
        <v>-0.86957746574463901</v>
      </c>
      <c r="W97">
        <f>LOG(Table1_1[[#This Row],[PFEtCHxS]])</f>
        <v>-1.0511954136114974</v>
      </c>
      <c r="X97">
        <f>LOG(Table1_1[[#This Row],[FBSA]])</f>
        <v>1.1492191126553799</v>
      </c>
      <c r="Y97">
        <f>LOG(Table1_1[[#This Row],[FHxSA]])</f>
        <v>1.5820633629117087</v>
      </c>
      <c r="Z97">
        <f>LOG(Table1_1[[#This Row],[FOSA]])</f>
        <v>1.1139433523068367</v>
      </c>
      <c r="AA97">
        <f>LOG(Table1_1[[#This Row],[N-MeFOSA]])</f>
        <v>-1.2588997492448404</v>
      </c>
      <c r="AB97">
        <f>LOG(Table1_1[[#This Row],[N-EtFOSA]])</f>
        <v>-1.0785512818113856</v>
      </c>
      <c r="AC97">
        <f>LOG(Table1_1[[#This Row],[FOSAA]])</f>
        <v>-1.2489507377454561</v>
      </c>
      <c r="AD97">
        <f>LOG(Table1_1[[#This Row],[N-MeFOSAA]])</f>
        <v>0.88986172125818841</v>
      </c>
      <c r="AE97">
        <f>LOG(Table1_1[[#This Row],[N-EtFOSAA]])</f>
        <v>-1.2070916147710324</v>
      </c>
      <c r="AF97">
        <f>LOG(Table1_1[[#This Row],[4:2 FTS]])</f>
        <v>-1.2310579449015389</v>
      </c>
      <c r="AG97">
        <f>LOG(Table1_1[[#This Row],[6:2 FTS]])</f>
        <v>-0.87240785501863793</v>
      </c>
      <c r="AH97">
        <f>LOG(Table1_1[[#This Row],[8:2 FTS]])</f>
        <v>9.3421685162235063E-2</v>
      </c>
      <c r="AI97">
        <f>LOG(Table1_1[[#This Row],[10:2 FTS]])</f>
        <v>-1.0904326142776624</v>
      </c>
      <c r="AJ97">
        <f>LOG(Table1_1[[#This Row],[3:3 FTCA]])</f>
        <v>-1.0835931698264694</v>
      </c>
      <c r="AK97">
        <f>LOG(Table1_1[[#This Row],[5:3 FTCA]])</f>
        <v>0.43616264704075602</v>
      </c>
      <c r="AL97">
        <f>LOG(Table1_1[[#This Row],[7:3 FTCA]])</f>
        <v>1.6937269489236468</v>
      </c>
      <c r="AM97">
        <f>LOG(Table1_1[[#This Row],[6:2 FTCA]])</f>
        <v>0.61384182187606928</v>
      </c>
      <c r="AN97">
        <f>LOG(Table1_1[[#This Row],[8:2 FTCA]])</f>
        <v>8.6001717619175692E-3</v>
      </c>
      <c r="AO97">
        <f>LOG(Table1_1[[#This Row],[10:2 FTCA]])</f>
        <v>-0.97178171426065008</v>
      </c>
      <c r="AP97">
        <f>LOG(Table1_1[[#This Row],[6:2 FTUCA]])</f>
        <v>-1.2506281876613456</v>
      </c>
      <c r="AQ97">
        <f>LOG(Table1_1[[#This Row],[8:2 FTUCA]])</f>
        <v>-1.3643507202280973</v>
      </c>
      <c r="AR97">
        <f>LOG(Table1_1[[#This Row],[ADONA]])</f>
        <v>-1.1456065693575481</v>
      </c>
      <c r="AS97">
        <f>LOG(Table1_1[[#This Row],[9Cl-PF3ONS]])</f>
        <v>-1.3041803708485387</v>
      </c>
      <c r="AT97">
        <f>LOG(Table1_1[[#This Row],[11Cl-PF3OUdS]])</f>
        <v>-1.249085562693413</v>
      </c>
      <c r="AU97">
        <f>LOG(Table1_1[[#This Row],[HFPO-DA]])</f>
        <v>-0.98874602334999284</v>
      </c>
      <c r="AV97">
        <f>LOG(Table1_1[[#This Row],[6:2 diPAP]])</f>
        <v>-1.1184490986567976</v>
      </c>
      <c r="AW97">
        <f>LOG(Table1_1[[#This Row],[8:2 diPAP]])</f>
        <v>-1.0231239662346154</v>
      </c>
      <c r="AX97">
        <f>LOG(Table1_1[[#This Row],[diSAmPAP]])</f>
        <v>-0.90009390154339841</v>
      </c>
    </row>
    <row r="98" spans="1:50">
      <c r="A98">
        <f>LOG(Table1_1[[#This Row],[PFBA]])</f>
        <v>-1.0142404391146103</v>
      </c>
      <c r="B98">
        <f>LOG(Table1_1[[#This Row],[PFPeA]])</f>
        <v>-1.3226317957638667</v>
      </c>
      <c r="C98">
        <f>LOG(Table1_1[[#This Row],[PFHxA]])</f>
        <v>-0.88415504523015642</v>
      </c>
      <c r="D98">
        <f>LOG(Table1_1[[#This Row],[PFHpA]])</f>
        <v>-1.0142404391146103</v>
      </c>
      <c r="E98">
        <f>LOG(Table1_1[[#This Row],[PFOA]])</f>
        <v>0.10720996964786837</v>
      </c>
      <c r="F98">
        <f>LOG(Table1_1[[#This Row],[PFNA]])</f>
        <v>0.35024801833416286</v>
      </c>
      <c r="G98">
        <f>LOG(Table1_1[[#This Row],[PFDA]])</f>
        <v>0.59328606702045728</v>
      </c>
      <c r="H98">
        <f>LOG(Table1_1[[#This Row],[PFUnA]])</f>
        <v>0.88479536394898095</v>
      </c>
      <c r="I98">
        <f>LOG(Table1_1[[#This Row],[PFDoA]])</f>
        <v>-1.2695271305181588</v>
      </c>
      <c r="J98">
        <f>LOG(Table1_1[[#This Row],[PFTrDA]])</f>
        <v>0.42324587393680785</v>
      </c>
      <c r="K98">
        <f>LOG(Table1_1[[#This Row],[PFTeDA]])</f>
        <v>0.88479536394898095</v>
      </c>
      <c r="L98">
        <f>LOG(Table1_1[[#This Row],[PFHxDA]])</f>
        <v>-1.0955659121540173</v>
      </c>
      <c r="M98">
        <f>LOG(Table1_1[[#This Row],[PFPrS]])</f>
        <v>-1.2892714248378974</v>
      </c>
      <c r="N98">
        <f>LOG(Table1_1[[#This Row],[PFBS]])</f>
        <v>-1.338871453345917</v>
      </c>
      <c r="O98">
        <f>LOG(Table1_1[[#This Row],[PFPeS]])</f>
        <v>-0.89239761025650799</v>
      </c>
      <c r="P98">
        <f>LOG(Table1_1[[#This Row],[PFHxS]])</f>
        <v>1.3654879848908996</v>
      </c>
      <c r="Q98">
        <f>LOG(Table1_1[[#This Row],[PFHpS]])</f>
        <v>7.1882007306125359E-2</v>
      </c>
      <c r="R98">
        <f>LOG(Table1_1[[#This Row],[PFOS]])</f>
        <v>2.8847953639489812</v>
      </c>
      <c r="S98">
        <f>LOG(Table1_1[[#This Row],[PFNS]])</f>
        <v>-7.0581074285707285E-2</v>
      </c>
      <c r="T98">
        <f>LOG(Table1_1[[#This Row],[PFDS]])</f>
        <v>-8.6945871262889137E-4</v>
      </c>
      <c r="U98">
        <f>LOG(Table1_1[[#This Row],[PFDoS]])</f>
        <v>-0.58717232696099653</v>
      </c>
      <c r="V98">
        <f>LOG(Table1_1[[#This Row],[Cl-PFOS]])</f>
        <v>-0.83262249124775189</v>
      </c>
      <c r="W98">
        <f>LOG(Table1_1[[#This Row],[PFEtCHxS]])</f>
        <v>-1.0142404391146103</v>
      </c>
      <c r="X98">
        <f>LOG(Table1_1[[#This Row],[FBSA]])</f>
        <v>1.5563025007672873</v>
      </c>
      <c r="Y98">
        <f>LOG(Table1_1[[#This Row],[FHxSA]])</f>
        <v>1.8169038393756602</v>
      </c>
      <c r="Z98">
        <f>LOG(Table1_1[[#This Row],[FOSA]])</f>
        <v>1.2068258760318498</v>
      </c>
      <c r="AA98">
        <f>LOG(Table1_1[[#This Row],[N-MeFOSA]])</f>
        <v>-1.2850625247046392</v>
      </c>
      <c r="AB98">
        <f>LOG(Table1_1[[#This Row],[N-EtFOSA]])</f>
        <v>-1.1047140572711844</v>
      </c>
      <c r="AC98">
        <f>LOG(Table1_1[[#This Row],[FOSAA]])</f>
        <v>-1.2751135132052551</v>
      </c>
      <c r="AD98">
        <f>LOG(Table1_1[[#This Row],[N-MeFOSAA]])</f>
        <v>0.94987770403687477</v>
      </c>
      <c r="AE98">
        <f>LOG(Table1_1[[#This Row],[N-EtFOSAA]])</f>
        <v>-1.2332543902308313</v>
      </c>
      <c r="AF98">
        <f>LOG(Table1_1[[#This Row],[4:2 FTS]])</f>
        <v>-1.2572207203613379</v>
      </c>
      <c r="AG98">
        <f>LOG(Table1_1[[#This Row],[6:2 FTS]])</f>
        <v>-0.83545288052175093</v>
      </c>
      <c r="AH98">
        <f>LOG(Table1_1[[#This Row],[8:2 FTS]])</f>
        <v>0.26007138798507479</v>
      </c>
      <c r="AI98">
        <f>LOG(Table1_1[[#This Row],[10:2 FTS]])</f>
        <v>-0.56112647536268689</v>
      </c>
      <c r="AJ98">
        <f>LOG(Table1_1[[#This Row],[3:3 FTCA]])</f>
        <v>-1.1097559452862682</v>
      </c>
      <c r="AK98">
        <f>LOG(Table1_1[[#This Row],[5:3 FTCA]])</f>
        <v>-1.2940207497967631</v>
      </c>
      <c r="AL98">
        <f>LOG(Table1_1[[#This Row],[7:3 FTCA]])</f>
        <v>-0.71033166083144617</v>
      </c>
      <c r="AM98">
        <f>LOG(Table1_1[[#This Row],[6:2 FTCA]])</f>
        <v>0.47567118832442967</v>
      </c>
      <c r="AN98">
        <f>LOG(Table1_1[[#This Row],[8:2 FTCA]])</f>
        <v>-1.5697093534893847</v>
      </c>
      <c r="AO98">
        <f>LOG(Table1_1[[#This Row],[10:2 FTCA]])</f>
        <v>-0.99794448972044902</v>
      </c>
      <c r="AP98">
        <f>LOG(Table1_1[[#This Row],[6:2 FTUCA]])</f>
        <v>-1.2767909631211447</v>
      </c>
      <c r="AQ98">
        <f>LOG(Table1_1[[#This Row],[8:2 FTUCA]])</f>
        <v>-1.3905134956878962</v>
      </c>
      <c r="AR98">
        <f>LOG(Table1_1[[#This Row],[ADONA]])</f>
        <v>-1.1717693448173472</v>
      </c>
      <c r="AS98">
        <f>LOG(Table1_1[[#This Row],[9Cl-PF3ONS]])</f>
        <v>-1.3303431463083375</v>
      </c>
      <c r="AT98">
        <f>LOG(Table1_1[[#This Row],[11Cl-PF3OUdS]])</f>
        <v>-1.2752483381532118</v>
      </c>
      <c r="AU98">
        <f>LOG(Table1_1[[#This Row],[HFPO-DA]])</f>
        <v>-1.0149087988097916</v>
      </c>
      <c r="AV98">
        <f>LOG(Table1_1[[#This Row],[6:2 diPAP]])</f>
        <v>-1.1446118741165967</v>
      </c>
      <c r="AW98">
        <f>LOG(Table1_1[[#This Row],[8:2 diPAP]])</f>
        <v>-1.0492867416944145</v>
      </c>
      <c r="AX98">
        <f>LOG(Table1_1[[#This Row],[diSAmPAP]])</f>
        <v>-0.92625667700319725</v>
      </c>
    </row>
    <row r="99" spans="1:50">
      <c r="A99">
        <f>LOG(Table1_1[[#This Row],[PFBA]])</f>
        <v>-1.0496486567975856</v>
      </c>
      <c r="B99">
        <f>LOG(Table1_1[[#This Row],[PFPeA]])</f>
        <v>-1.2856768212669796</v>
      </c>
      <c r="C99">
        <f>LOG(Table1_1[[#This Row],[PFHxA]])</f>
        <v>-0.91956326291313173</v>
      </c>
      <c r="D99">
        <f>LOG(Table1_1[[#This Row],[PFHpA]])</f>
        <v>-1.5327543789924978</v>
      </c>
      <c r="E99">
        <f>LOG(Table1_1[[#This Row],[PFOA]])</f>
        <v>0.45331834004703764</v>
      </c>
      <c r="F99">
        <f>LOG(Table1_1[[#This Row],[PFNA]])</f>
        <v>0.56466606425208932</v>
      </c>
      <c r="G99">
        <f>LOG(Table1_1[[#This Row],[PFDA]])</f>
        <v>0.82347422917030111</v>
      </c>
      <c r="H99">
        <f>LOG(Table1_1[[#This Row],[PFUnA]])</f>
        <v>1.0211892990699381</v>
      </c>
      <c r="I99">
        <f>LOG(Table1_1[[#This Row],[PFDoA]])</f>
        <v>-1.2325721560212719</v>
      </c>
      <c r="J99">
        <f>LOG(Table1_1[[#This Row],[PFTrDA]])</f>
        <v>0.29003461136251801</v>
      </c>
      <c r="K99">
        <f>LOG(Table1_1[[#This Row],[PFTeDA]])</f>
        <v>0.93500315145365476</v>
      </c>
      <c r="L99">
        <f>LOG(Table1_1[[#This Row],[PFHxDA]])</f>
        <v>-1.0586109376571302</v>
      </c>
      <c r="M99">
        <f>LOG(Table1_1[[#This Row],[PFPrS]])</f>
        <v>-1.2523164503410105</v>
      </c>
      <c r="N99">
        <f>LOG(Table1_1[[#This Row],[PFBS]])</f>
        <v>-1.3019164788490301</v>
      </c>
      <c r="O99">
        <f>LOG(Table1_1[[#This Row],[PFPeS]])</f>
        <v>-0.92780582793948319</v>
      </c>
      <c r="P99">
        <f>LOG(Table1_1[[#This Row],[PFHxS]])</f>
        <v>1.5809249756756194</v>
      </c>
      <c r="Q99">
        <f>LOG(Table1_1[[#This Row],[PFHpS]])</f>
        <v>-4.9635145623876928E-2</v>
      </c>
      <c r="R99">
        <f>LOG(Table1_1[[#This Row],[PFOS]])</f>
        <v>3.0934216851622351</v>
      </c>
      <c r="S99">
        <f>LOG(Table1_1[[#This Row],[PFNS]])</f>
        <v>-4.8176964684088018E-2</v>
      </c>
      <c r="T99">
        <f>LOG(Table1_1[[#This Row],[PFDS]])</f>
        <v>-6.8542129310994945E-2</v>
      </c>
      <c r="U99">
        <f>LOG(Table1_1[[#This Row],[PFDoS]])</f>
        <v>-0.62258054464397183</v>
      </c>
      <c r="V99">
        <f>LOG(Table1_1[[#This Row],[Cl-PFOS]])</f>
        <v>-0.86803070893072731</v>
      </c>
      <c r="W99">
        <f>LOG(Table1_1[[#This Row],[PFEtCHxS]])</f>
        <v>-1.0496486567975856</v>
      </c>
      <c r="X99">
        <f>LOG(Table1_1[[#This Row],[FBSA]])</f>
        <v>2.0492180226701815</v>
      </c>
      <c r="Y99">
        <f>LOG(Table1_1[[#This Row],[FHxSA]])</f>
        <v>2.1492191126553797</v>
      </c>
      <c r="Z99">
        <f>LOG(Table1_1[[#This Row],[FOSA]])</f>
        <v>1.3673559210260189</v>
      </c>
      <c r="AA99">
        <f>LOG(Table1_1[[#This Row],[N-MeFOSA]])</f>
        <v>-1.2481075502077521</v>
      </c>
      <c r="AB99">
        <f>LOG(Table1_1[[#This Row],[N-EtFOSA]])</f>
        <v>-1.0677590827742973</v>
      </c>
      <c r="AC99">
        <f>LOG(Table1_1[[#This Row],[FOSAA]])</f>
        <v>-1.2381585387083682</v>
      </c>
      <c r="AD99">
        <f>LOG(Table1_1[[#This Row],[N-MeFOSAA]])</f>
        <v>-1.1321946636421398</v>
      </c>
      <c r="AE99">
        <f>LOG(Table1_1[[#This Row],[N-EtFOSAA]])</f>
        <v>-1.1962994157339444</v>
      </c>
      <c r="AF99">
        <f>LOG(Table1_1[[#This Row],[4:2 FTS]])</f>
        <v>-1.220265745864451</v>
      </c>
      <c r="AG99">
        <f>LOG(Table1_1[[#This Row],[6:2 FTS]])</f>
        <v>-0.45345733652186898</v>
      </c>
      <c r="AH99">
        <f>LOG(Table1_1[[#This Row],[8:2 FTS]])</f>
        <v>0.59439255037542671</v>
      </c>
      <c r="AI99">
        <f>LOG(Table1_1[[#This Row],[10:2 FTS]])</f>
        <v>-0.5965346930456622</v>
      </c>
      <c r="AJ99">
        <f>LOG(Table1_1[[#This Row],[3:3 FTCA]])</f>
        <v>-1.0728009707893813</v>
      </c>
      <c r="AK99">
        <f>LOG(Table1_1[[#This Row],[5:3 FTCA]])</f>
        <v>0.13672056715640679</v>
      </c>
      <c r="AL99">
        <f>LOG(Table1_1[[#This Row],[7:3 FTCA]])</f>
        <v>0.7291647896927701</v>
      </c>
      <c r="AM99">
        <f>LOG(Table1_1[[#This Row],[6:2 FTCA]])</f>
        <v>0.31386722036915343</v>
      </c>
      <c r="AN99">
        <f>LOG(Table1_1[[#This Row],[8:2 FTCA]])</f>
        <v>-1.5327543789924978</v>
      </c>
      <c r="AO99">
        <f>LOG(Table1_1[[#This Row],[10:2 FTCA]])</f>
        <v>-0.96098951522356202</v>
      </c>
      <c r="AP99">
        <f>LOG(Table1_1[[#This Row],[6:2 FTUCA]])</f>
        <v>-1.2398359886242576</v>
      </c>
      <c r="AQ99">
        <f>LOG(Table1_1[[#This Row],[8:2 FTUCA]])</f>
        <v>-1.3535585211910093</v>
      </c>
      <c r="AR99">
        <f>LOG(Table1_1[[#This Row],[ADONA]])</f>
        <v>-1.1348143703204601</v>
      </c>
      <c r="AS99">
        <f>LOG(Table1_1[[#This Row],[9Cl-PF3ONS]])</f>
        <v>-1.2933881718114506</v>
      </c>
      <c r="AT99">
        <f>LOG(Table1_1[[#This Row],[11Cl-PF3OUdS]])</f>
        <v>-1.2382933636563249</v>
      </c>
      <c r="AU99">
        <f>LOG(Table1_1[[#This Row],[HFPO-DA]])</f>
        <v>-0.97795382431290478</v>
      </c>
      <c r="AV99">
        <f>LOG(Table1_1[[#This Row],[6:2 diPAP]])</f>
        <v>-1.1076568996197096</v>
      </c>
      <c r="AW99">
        <f>LOG(Table1_1[[#This Row],[8:2 diPAP]])</f>
        <v>-1.0123317671975276</v>
      </c>
      <c r="AX99">
        <f>LOG(Table1_1[[#This Row],[diSAmPAP]])</f>
        <v>-0.88930170250631035</v>
      </c>
    </row>
    <row r="100" spans="1:50">
      <c r="A100">
        <f>LOG(Table1_1[[#This Row],[PFBA]])</f>
        <v>-1.0508521656332237</v>
      </c>
      <c r="B100">
        <f>LOG(Table1_1[[#This Row],[PFPeA]])</f>
        <v>-1.3210850389499549</v>
      </c>
      <c r="C100">
        <f>LOG(Table1_1[[#This Row],[PFHxA]])</f>
        <v>-0.92076677174876986</v>
      </c>
      <c r="D100">
        <f>LOG(Table1_1[[#This Row],[PFHpA]])</f>
        <v>-1.5681625966754731</v>
      </c>
      <c r="E100">
        <f>LOG(Table1_1[[#This Row],[PFOA]])</f>
        <v>-0.43297363384093962</v>
      </c>
      <c r="F100">
        <f>LOG(Table1_1[[#This Row],[PFNA]])</f>
        <v>-0.3777859770337047</v>
      </c>
      <c r="G100">
        <f>LOG(Table1_1[[#This Row],[PFDA]])</f>
        <v>0.47712125471966244</v>
      </c>
      <c r="H100">
        <f>LOG(Table1_1[[#This Row],[PFUnA]])</f>
        <v>0.80208925788173269</v>
      </c>
      <c r="I100">
        <f>LOG(Table1_1[[#This Row],[PFDoA]])</f>
        <v>-1.2679803737042472</v>
      </c>
      <c r="J100">
        <f>LOG(Table1_1[[#This Row],[PFTrDA]])</f>
        <v>0.61489721603313463</v>
      </c>
      <c r="K100">
        <f>LOG(Table1_1[[#This Row],[PFTeDA]])</f>
        <v>1.0334237554869496</v>
      </c>
      <c r="L100">
        <f>LOG(Table1_1[[#This Row],[PFHxDA]])</f>
        <v>-1.0940191553401055</v>
      </c>
      <c r="M100">
        <f>LOG(Table1_1[[#This Row],[PFPrS]])</f>
        <v>-1.2877246680239858</v>
      </c>
      <c r="N100">
        <f>LOG(Table1_1[[#This Row],[PFBS]])</f>
        <v>-0.82001426548975598</v>
      </c>
      <c r="O100">
        <f>LOG(Table1_1[[#This Row],[PFPeS]])</f>
        <v>-0.92900933677512132</v>
      </c>
      <c r="P100">
        <f>LOG(Table1_1[[#This Row],[PFHxS]])</f>
        <v>1.0681858617461617</v>
      </c>
      <c r="Q100">
        <f>LOG(Table1_1[[#This Row],[PFHpS]])</f>
        <v>0.19589965240923377</v>
      </c>
      <c r="R100">
        <f>LOG(Table1_1[[#This Row],[PFOS]])</f>
        <v>2.7505083948513462</v>
      </c>
      <c r="S100">
        <f>LOG(Table1_1[[#This Row],[PFNS]])</f>
        <v>-0.21609642072726507</v>
      </c>
      <c r="T100">
        <f>LOG(Table1_1[[#This Row],[PFDS]])</f>
        <v>4.3213737826425782E-3</v>
      </c>
      <c r="U100">
        <f>LOG(Table1_1[[#This Row],[PFDoS]])</f>
        <v>-0.62378405347960997</v>
      </c>
      <c r="V100">
        <f>LOG(Table1_1[[#This Row],[Cl-PFOS]])</f>
        <v>-0.86923421776636534</v>
      </c>
      <c r="W100">
        <f>LOG(Table1_1[[#This Row],[PFEtCHxS]])</f>
        <v>-1.0508521656332237</v>
      </c>
      <c r="X100">
        <f>LOG(Table1_1[[#This Row],[FBSA]])</f>
        <v>1.8645110810583918</v>
      </c>
      <c r="Y100">
        <f>LOG(Table1_1[[#This Row],[FHxSA]])</f>
        <v>1.8095597146352678</v>
      </c>
      <c r="Z100">
        <f>LOG(Table1_1[[#This Row],[FOSA]])</f>
        <v>1.271841606536499</v>
      </c>
      <c r="AA100">
        <f>LOG(Table1_1[[#This Row],[N-MeFOSA]])</f>
        <v>-1.2835157678907276</v>
      </c>
      <c r="AB100">
        <f>LOG(Table1_1[[#This Row],[N-EtFOSA]])</f>
        <v>-1.1031673004572726</v>
      </c>
      <c r="AC100">
        <f>LOG(Table1_1[[#This Row],[FOSAA]])</f>
        <v>-1.2735667563913433</v>
      </c>
      <c r="AD100">
        <f>LOG(Table1_1[[#This Row],[N-MeFOSAA]])</f>
        <v>-1.1676028813251151</v>
      </c>
      <c r="AE100">
        <f>LOG(Table1_1[[#This Row],[N-EtFOSAA]])</f>
        <v>-1.2317076334169197</v>
      </c>
      <c r="AF100">
        <f>LOG(Table1_1[[#This Row],[4:2 FTS]])</f>
        <v>-1.2556739635474261</v>
      </c>
      <c r="AG100">
        <f>LOG(Table1_1[[#This Row],[6:2 FTS]])</f>
        <v>-0.87206460704036437</v>
      </c>
      <c r="AH100">
        <f>LOG(Table1_1[[#This Row],[8:2 FTS]])</f>
        <v>-0.14874165128092473</v>
      </c>
      <c r="AI100">
        <f>LOG(Table1_1[[#This Row],[10:2 FTS]])</f>
        <v>-0.59773820188130022</v>
      </c>
      <c r="AJ100">
        <f>LOG(Table1_1[[#This Row],[3:3 FTCA]])</f>
        <v>-1.1082091884723566</v>
      </c>
      <c r="AK100">
        <f>LOG(Table1_1[[#This Row],[5:3 FTCA]])</f>
        <v>-6.0480747381381476E-2</v>
      </c>
      <c r="AL100">
        <f>LOG(Table1_1[[#This Row],[7:3 FTCA]])</f>
        <v>1.0718820073061255</v>
      </c>
      <c r="AM100">
        <f>LOG(Table1_1[[#This Row],[6:2 FTCA]])</f>
        <v>0.53019969820308221</v>
      </c>
      <c r="AN100">
        <f>LOG(Table1_1[[#This Row],[8:2 FTCA]])</f>
        <v>-4.2871802323186915E-2</v>
      </c>
      <c r="AO100">
        <f>LOG(Table1_1[[#This Row],[10:2 FTCA]])</f>
        <v>-0.99639773290653733</v>
      </c>
      <c r="AP100">
        <f>LOG(Table1_1[[#This Row],[6:2 FTUCA]])</f>
        <v>-1.2752442063072329</v>
      </c>
      <c r="AQ100">
        <f>LOG(Table1_1[[#This Row],[8:2 FTUCA]])</f>
        <v>-1.3889667388739846</v>
      </c>
      <c r="AR100">
        <f>LOG(Table1_1[[#This Row],[ADONA]])</f>
        <v>-1.1702225880034356</v>
      </c>
      <c r="AS100">
        <f>LOG(Table1_1[[#This Row],[9Cl-PF3ONS]])</f>
        <v>-1.3287963894944259</v>
      </c>
      <c r="AT100">
        <f>LOG(Table1_1[[#This Row],[11Cl-PF3OUdS]])</f>
        <v>-1.2737015813393002</v>
      </c>
      <c r="AU100">
        <f>LOG(Table1_1[[#This Row],[HFPO-DA]])</f>
        <v>-1.01336204199588</v>
      </c>
      <c r="AV100">
        <f>LOG(Table1_1[[#This Row],[6:2 diPAP]])</f>
        <v>-1.1430651173026851</v>
      </c>
      <c r="AW100">
        <f>LOG(Table1_1[[#This Row],[8:2 diPAP]])</f>
        <v>-1.0477399848805027</v>
      </c>
      <c r="AX100">
        <f>LOG(Table1_1[[#This Row],[diSAmPAP]])</f>
        <v>-0.92470992018928566</v>
      </c>
    </row>
    <row r="101" spans="1:50">
      <c r="A101">
        <f>LOG(Table1_1[[#This Row],[PFBA]])</f>
        <v>-1.5693661055111112</v>
      </c>
      <c r="B101">
        <f>LOG(Table1_1[[#This Row],[PFPeA]])</f>
        <v>-1.322288547785593</v>
      </c>
      <c r="C101">
        <f>LOG(Table1_1[[#This Row],[PFHxA]])</f>
        <v>-0.88340722846010122</v>
      </c>
      <c r="D101">
        <f>LOG(Table1_1[[#This Row],[PFHpA]])</f>
        <v>-1.0134926223445553</v>
      </c>
      <c r="E101">
        <f>LOG(Table1_1[[#This Row],[PFOA]])</f>
        <v>-0.33254704711004607</v>
      </c>
      <c r="F101">
        <f>LOG(Table1_1[[#This Row],[PFNA]])</f>
        <v>-0.64616176738865905</v>
      </c>
      <c r="G101">
        <f>LOG(Table1_1[[#This Row],[PFDA]])</f>
        <v>0.23299611039215382</v>
      </c>
      <c r="H101">
        <f>LOG(Table1_1[[#This Row],[PFUnA]])</f>
        <v>0.46982201597816303</v>
      </c>
      <c r="I101">
        <f>LOG(Table1_1[[#This Row],[PFDoA]])</f>
        <v>-1.2691838825398853</v>
      </c>
      <c r="J101">
        <f>LOG(Table1_1[[#This Row],[PFTrDA]])</f>
        <v>-0.14387555575769967</v>
      </c>
      <c r="K101">
        <f>LOG(Table1_1[[#This Row],[PFTeDA]])</f>
        <v>0.4132997640812518</v>
      </c>
      <c r="L101">
        <f>LOG(Table1_1[[#This Row],[PFHxDA]])</f>
        <v>-1.0952226641757437</v>
      </c>
      <c r="M101">
        <f>LOG(Table1_1[[#This Row],[PFPrS]])</f>
        <v>-1.2889281768596239</v>
      </c>
      <c r="N101">
        <f>LOG(Table1_1[[#This Row],[PFBS]])</f>
        <v>-1.3385282053676435</v>
      </c>
      <c r="O101">
        <f>LOG(Table1_1[[#This Row],[PFPeS]])</f>
        <v>-0.89164979348645279</v>
      </c>
      <c r="P101">
        <f>LOG(Table1_1[[#This Row],[PFHxS]])</f>
        <v>0.96941591235398139</v>
      </c>
      <c r="Q101">
        <f>LOG(Table1_1[[#This Row],[PFHpS]])</f>
        <v>-9.0979145788843946E-2</v>
      </c>
      <c r="R101">
        <f>LOG(Table1_1[[#This Row],[PFOS]])</f>
        <v>2.5987905067631152</v>
      </c>
      <c r="S101">
        <f>LOG(Table1_1[[#This Row],[PFNS]])</f>
        <v>-0.45099673797421219</v>
      </c>
      <c r="T101">
        <f>LOG(Table1_1[[#This Row],[PFDS]])</f>
        <v>-0.70229460010915601</v>
      </c>
      <c r="U101">
        <f>LOG(Table1_1[[#This Row],[PFDoS]])</f>
        <v>-0.58642451019094155</v>
      </c>
      <c r="V101">
        <f>LOG(Table1_1[[#This Row],[Cl-PFOS]])</f>
        <v>-0.83187467447769681</v>
      </c>
      <c r="W101">
        <f>LOG(Table1_1[[#This Row],[PFEtCHxS]])</f>
        <v>-1.0134926223445553</v>
      </c>
      <c r="X101">
        <f>LOG(Table1_1[[#This Row],[FBSA]])</f>
        <v>1.9138138523837167</v>
      </c>
      <c r="Y101">
        <f>LOG(Table1_1[[#This Row],[FHxSA]])</f>
        <v>2.3598354823398879</v>
      </c>
      <c r="Z101">
        <f>LOG(Table1_1[[#This Row],[FOSA]])</f>
        <v>1.3926969532596658</v>
      </c>
      <c r="AA101">
        <f>LOG(Table1_1[[#This Row],[N-MeFOSA]])</f>
        <v>-1.2847192767263655</v>
      </c>
      <c r="AB101">
        <f>LOG(Table1_1[[#This Row],[N-EtFOSA]])</f>
        <v>-1.104370809292911</v>
      </c>
      <c r="AC101">
        <f>LOG(Table1_1[[#This Row],[FOSAA]])</f>
        <v>-1.2747702652269814</v>
      </c>
      <c r="AD101">
        <f>LOG(Table1_1[[#This Row],[N-MeFOSAA]])</f>
        <v>-1.1688063901607533</v>
      </c>
      <c r="AE101">
        <f>LOG(Table1_1[[#This Row],[N-EtFOSAA]])</f>
        <v>-1.2329111422525578</v>
      </c>
      <c r="AF101">
        <f>LOG(Table1_1[[#This Row],[4:2 FTS]])</f>
        <v>-1.2568774723830642</v>
      </c>
      <c r="AG101">
        <f>LOG(Table1_1[[#This Row],[6:2 FTS]])</f>
        <v>-0.43533393574791068</v>
      </c>
      <c r="AH101">
        <f>LOG(Table1_1[[#This Row],[8:2 FTS]])</f>
        <v>-2.6410376572743116E-2</v>
      </c>
      <c r="AI101">
        <f>LOG(Table1_1[[#This Row],[10:2 FTS]])</f>
        <v>-1.1162521417591877</v>
      </c>
      <c r="AJ101">
        <f>LOG(Table1_1[[#This Row],[3:3 FTCA]])</f>
        <v>-1.1094126973079947</v>
      </c>
      <c r="AK101">
        <f>LOG(Table1_1[[#This Row],[5:3 FTCA]])</f>
        <v>-0.59355134121887154</v>
      </c>
      <c r="AL101">
        <f>LOG(Table1_1[[#This Row],[7:3 FTCA]])</f>
        <v>0.18469143081759881</v>
      </c>
      <c r="AM101">
        <f>LOG(Table1_1[[#This Row],[6:2 FTCA]])</f>
        <v>0.34439227368511072</v>
      </c>
      <c r="AN101">
        <f>LOG(Table1_1[[#This Row],[8:2 FTCA]])</f>
        <v>-1.5693661055111112</v>
      </c>
      <c r="AO101">
        <f>LOG(Table1_1[[#This Row],[10:2 FTCA]])</f>
        <v>-0.99760124174217535</v>
      </c>
      <c r="AP101">
        <f>LOG(Table1_1[[#This Row],[6:2 FTUCA]])</f>
        <v>-1.276447715142871</v>
      </c>
      <c r="AQ101">
        <f>LOG(Table1_1[[#This Row],[8:2 FTUCA]])</f>
        <v>-1.3901702477096227</v>
      </c>
      <c r="AR101">
        <f>LOG(Table1_1[[#This Row],[ADONA]])</f>
        <v>-1.1714260968390737</v>
      </c>
      <c r="AS101">
        <f>LOG(Table1_1[[#This Row],[9Cl-PF3ONS]])</f>
        <v>-1.329999898330064</v>
      </c>
      <c r="AT101">
        <f>LOG(Table1_1[[#This Row],[11Cl-PF3OUdS]])</f>
        <v>-1.2749050901749384</v>
      </c>
      <c r="AU101">
        <f>LOG(Table1_1[[#This Row],[HFPO-DA]])</f>
        <v>-1.0145655508315181</v>
      </c>
      <c r="AV101">
        <f>LOG(Table1_1[[#This Row],[6:2 diPAP]])</f>
        <v>-1.144268626138323</v>
      </c>
      <c r="AW101">
        <f>LOG(Table1_1[[#This Row],[8:2 diPAP]])</f>
        <v>-1.0489434937161408</v>
      </c>
      <c r="AX101">
        <f>LOG(Table1_1[[#This Row],[diSAmPAP]])</f>
        <v>-0.9259134290249238</v>
      </c>
    </row>
    <row r="102" spans="1:50">
      <c r="A102">
        <f>LOG(Table1_1[[#This Row],[PFBA]])</f>
        <v>-1.0506099933550872</v>
      </c>
      <c r="B102">
        <f>LOG(Table1_1[[#This Row],[PFPeA]])</f>
        <v>-1.3210266240802349</v>
      </c>
      <c r="C102">
        <f>LOG(Table1_1[[#This Row],[PFHxA]])</f>
        <v>-1.4394955848049433</v>
      </c>
      <c r="D102">
        <f>LOG(Table1_1[[#This Row],[PFHpA]])</f>
        <v>-1.5694412304772425</v>
      </c>
      <c r="E102">
        <f>LOG(Table1_1[[#This Row],[PFOA]])</f>
        <v>-0.32605800136591223</v>
      </c>
      <c r="F102">
        <f>LOG(Table1_1[[#This Row],[PFNA]])</f>
        <v>-0.8124792791635369</v>
      </c>
      <c r="G102">
        <f>LOG(Table1_1[[#This Row],[PFDA]])</f>
        <v>0.47712125471966244</v>
      </c>
      <c r="H102">
        <f>LOG(Table1_1[[#This Row],[PFUnA]])</f>
        <v>0.77887447200273952</v>
      </c>
      <c r="I102">
        <f>LOG(Table1_1[[#This Row],[PFDoA]])</f>
        <v>0.94645226501307311</v>
      </c>
      <c r="J102">
        <f>LOG(Table1_1[[#This Row],[PFTrDA]])</f>
        <v>0.51982799377571876</v>
      </c>
      <c r="K102">
        <f>LOG(Table1_1[[#This Row],[PFTeDA]])</f>
        <v>0.84385542262316116</v>
      </c>
      <c r="L102">
        <f>LOG(Table1_1[[#This Row],[PFHxDA]])</f>
        <v>-1.0942041196321315</v>
      </c>
      <c r="M102">
        <f>LOG(Table1_1[[#This Row],[PFPrS]])</f>
        <v>-1.288192770958809</v>
      </c>
      <c r="N102">
        <f>LOG(Table1_1[[#This Row],[PFBS]])</f>
        <v>-1.3381873144627388</v>
      </c>
      <c r="O102">
        <f>LOG(Table1_1[[#This Row],[PFPeS]])</f>
        <v>-0.92811799269387463</v>
      </c>
      <c r="P102">
        <f>LOG(Table1_1[[#This Row],[PFHxS]])</f>
        <v>0.6830470382388496</v>
      </c>
      <c r="Q102">
        <f>LOG(Table1_1[[#This Row],[PFHpS]])</f>
        <v>-0.31695296176115045</v>
      </c>
      <c r="R102">
        <f>LOG(Table1_1[[#This Row],[PFOS]])</f>
        <v>2.5976951859255122</v>
      </c>
      <c r="S102">
        <f>LOG(Table1_1[[#This Row],[PFNS]])</f>
        <v>-0.2749054789185309</v>
      </c>
      <c r="T102">
        <f>LOG(Table1_1[[#This Row],[PFDS]])</f>
        <v>0.41830129131974547</v>
      </c>
      <c r="U102">
        <f>LOG(Table1_1[[#This Row],[PFDoS]])</f>
        <v>-0.62342304294348805</v>
      </c>
      <c r="V102">
        <f>LOG(Table1_1[[#This Row],[Cl-PFOS]])</f>
        <v>-0.86806070478957542</v>
      </c>
      <c r="W102">
        <f>LOG(Table1_1[[#This Row],[PFEtCHxS]])</f>
        <v>-1.0506099933550872</v>
      </c>
      <c r="X102">
        <f>LOG(Table1_1[[#This Row],[FBSA]])</f>
        <v>1.8007170782823851</v>
      </c>
      <c r="Y102">
        <f>LOG(Table1_1[[#This Row],[FHxSA]])</f>
        <v>1.9518230353159121</v>
      </c>
      <c r="Z102">
        <f>LOG(Table1_1[[#This Row],[FOSA]])</f>
        <v>0.91750550955254662</v>
      </c>
      <c r="AA102">
        <f>LOG(Table1_1[[#This Row],[N-MeFOSA]])</f>
        <v>-1.2839966563652008</v>
      </c>
      <c r="AB102">
        <f>LOG(Table1_1[[#This Row],[N-EtFOSA]])</f>
        <v>-1.1023729087095586</v>
      </c>
      <c r="AC102">
        <f>LOG(Table1_1[[#This Row],[FOSAA]])</f>
        <v>-1.2757241303992111</v>
      </c>
      <c r="AD102">
        <f>LOG(Table1_1[[#This Row],[N-MeFOSAA]])</f>
        <v>-0.64975198166583714</v>
      </c>
      <c r="AE102">
        <f>LOG(Table1_1[[#This Row],[N-EtFOSAA]])</f>
        <v>-1.2328441339178196</v>
      </c>
      <c r="AF102">
        <f>LOG(Table1_1[[#This Row],[4:2 FTS]])</f>
        <v>-1.2557070168773237</v>
      </c>
      <c r="AG102">
        <f>LOG(Table1_1[[#This Row],[6:2 FTS]])</f>
        <v>-0.87127771566157319</v>
      </c>
      <c r="AH102">
        <f>LOG(Table1_1[[#This Row],[8:2 FTS]])</f>
        <v>-0.18045606445813131</v>
      </c>
      <c r="AI102">
        <f>LOG(Table1_1[[#This Row],[10:2 FTS]])</f>
        <v>-1.1163385648463824</v>
      </c>
      <c r="AJ102">
        <f>LOG(Table1_1[[#This Row],[3:3 FTCA]])</f>
        <v>-1.1079053973095196</v>
      </c>
      <c r="AK102">
        <f>LOG(Table1_1[[#This Row],[5:3 FTCA]])</f>
        <v>0.78816837114116767</v>
      </c>
      <c r="AL102">
        <f>LOG(Table1_1[[#This Row],[7:3 FTCA]])</f>
        <v>1.1367205671564067</v>
      </c>
      <c r="AM102">
        <f>LOG(Table1_1[[#This Row],[6:2 FTCA]])</f>
        <v>-0.84466396253493825</v>
      </c>
      <c r="AN102">
        <f>LOG(Table1_1[[#This Row],[8:2 FTCA]])</f>
        <v>-1.5694412304772425</v>
      </c>
      <c r="AO102">
        <f>LOG(Table1_1[[#This Row],[10:2 FTCA]])</f>
        <v>-0.99567862621735737</v>
      </c>
      <c r="AP102">
        <f>LOG(Table1_1[[#This Row],[6:2 FTUCA]])</f>
        <v>-1.2757241303992111</v>
      </c>
      <c r="AQ102">
        <f>LOG(Table1_1[[#This Row],[8:2 FTUCA]])</f>
        <v>-1.3898723869240046</v>
      </c>
      <c r="AR102">
        <f>LOG(Table1_1[[#This Row],[ADONA]])</f>
        <v>-1.1706962271689751</v>
      </c>
      <c r="AS102">
        <f>LOG(Table1_1[[#This Row],[9Cl-PF3ONS]])</f>
        <v>-1.329754146925876</v>
      </c>
      <c r="AT102">
        <f>LOG(Table1_1[[#This Row],[11Cl-PF3OUdS]])</f>
        <v>-1.2757241303992111</v>
      </c>
      <c r="AU102">
        <f>LOG(Table1_1[[#This Row],[HFPO-DA]])</f>
        <v>-1.0132282657337552</v>
      </c>
      <c r="AV102">
        <f>LOG(Table1_1[[#This Row],[6:2 diPAP]])</f>
        <v>-1.1426675035687315</v>
      </c>
      <c r="AW102">
        <f>LOG(Table1_1[[#This Row],[8:2 diPAP]])</f>
        <v>-1.0481769646840879</v>
      </c>
      <c r="AX102">
        <f>LOG(Table1_1[[#This Row],[diSAmPAP]])</f>
        <v>-0.9244530386074693</v>
      </c>
    </row>
    <row r="103" spans="1:50">
      <c r="A103">
        <f>LOG(Table1_1[[#This Row],[PFBA]])</f>
        <v>-1.5406075122407692</v>
      </c>
      <c r="B103">
        <f>LOG(Table1_1[[#This Row],[PFPeA]])</f>
        <v>-1.2924298239020637</v>
      </c>
      <c r="C103">
        <f>LOG(Table1_1[[#This Row],[PFHxA]])</f>
        <v>-1.4094925379914167</v>
      </c>
      <c r="D103">
        <f>LOG(Table1_1[[#This Row],[PFHpA]])</f>
        <v>-1.0222763947111522</v>
      </c>
      <c r="E103">
        <f>LOG(Table1_1[[#This Row],[PFOA]])</f>
        <v>-1.0222763947111522</v>
      </c>
      <c r="F103">
        <f>LOG(Table1_1[[#This Row],[PFNA]])</f>
        <v>-0.78383409771400692</v>
      </c>
      <c r="G103">
        <f>LOG(Table1_1[[#This Row],[PFDA]])</f>
        <v>0.34635297445063867</v>
      </c>
      <c r="H103">
        <f>LOG(Table1_1[[#This Row],[PFUnA]])</f>
        <v>0.62324929039790045</v>
      </c>
      <c r="I103">
        <f>LOG(Table1_1[[#This Row],[PFDoA]])</f>
        <v>0.79588001734407521</v>
      </c>
      <c r="J103">
        <f>LOG(Table1_1[[#This Row],[PFTrDA]])</f>
        <v>0.54032947479087379</v>
      </c>
      <c r="K103">
        <f>LOG(Table1_1[[#This Row],[PFTeDA]])</f>
        <v>0.72672720902657229</v>
      </c>
      <c r="L103">
        <f>LOG(Table1_1[[#This Row],[PFHxDA]])</f>
        <v>-1.0655015487564323</v>
      </c>
      <c r="M103">
        <f>LOG(Table1_1[[#This Row],[PFPrS]])</f>
        <v>-1.2596373105057561</v>
      </c>
      <c r="N103">
        <f>LOG(Table1_1[[#This Row],[PFBS]])</f>
        <v>-0.790484985457369</v>
      </c>
      <c r="O103">
        <f>LOG(Table1_1[[#This Row],[PFPeS]])</f>
        <v>-0.89962945488243706</v>
      </c>
      <c r="P103">
        <f>LOG(Table1_1[[#This Row],[PFHxS]])</f>
        <v>0.66086547800386919</v>
      </c>
      <c r="Q103">
        <f>LOG(Table1_1[[#This Row],[PFHpS]])</f>
        <v>-0.23358715288760054</v>
      </c>
      <c r="R103">
        <f>LOG(Table1_1[[#This Row],[PFOS]])</f>
        <v>2.6848453616444123</v>
      </c>
      <c r="S103">
        <f>LOG(Table1_1[[#This Row],[PFNS]])</f>
        <v>-0.40120949323688493</v>
      </c>
      <c r="T103">
        <f>LOG(Table1_1[[#This Row],[PFDS]])</f>
        <v>0.54157924394658097</v>
      </c>
      <c r="U103">
        <f>LOG(Table1_1[[#This Row],[PFDoS]])</f>
        <v>-0.59431221332722239</v>
      </c>
      <c r="V103">
        <f>LOG(Table1_1[[#This Row],[Cl-PFOS]])</f>
        <v>-0.84013215290743337</v>
      </c>
      <c r="W103">
        <f>LOG(Table1_1[[#This Row],[PFEtCHxS]])</f>
        <v>-1.0222763947111522</v>
      </c>
      <c r="X103">
        <f>LOG(Table1_1[[#This Row],[FBSA]])</f>
        <v>1.5740312677277188</v>
      </c>
      <c r="Y103">
        <f>LOG(Table1_1[[#This Row],[FHxSA]])</f>
        <v>1.4785664955938433</v>
      </c>
      <c r="Z103">
        <f>LOG(Table1_1[[#This Row],[FOSA]])</f>
        <v>1.2329961103921538</v>
      </c>
      <c r="AA103">
        <f>LOG(Table1_1[[#This Row],[N-MeFOSA]])</f>
        <v>-1.2557070168773237</v>
      </c>
      <c r="AB103">
        <f>LOG(Table1_1[[#This Row],[N-EtFOSA]])</f>
        <v>-1.0757207139381184</v>
      </c>
      <c r="AC103">
        <f>LOG(Table1_1[[#This Row],[FOSAA]])</f>
        <v>-1.2441251443275085</v>
      </c>
      <c r="AD103">
        <f>LOG(Table1_1[[#This Row],[N-MeFOSAA]])</f>
        <v>-0.62069448224941803</v>
      </c>
      <c r="AE103">
        <f>LOG(Table1_1[[#This Row],[N-EtFOSAA]])</f>
        <v>-1.2041199826559248</v>
      </c>
      <c r="AF103">
        <f>LOG(Table1_1[[#This Row],[4:2 FTS]])</f>
        <v>-1.2291479883578558</v>
      </c>
      <c r="AG103">
        <f>LOG(Table1_1[[#This Row],[6:2 FTS]])</f>
        <v>-0.84314809892998888</v>
      </c>
      <c r="AH103">
        <f>LOG(Table1_1[[#This Row],[8:2 FTS]])</f>
        <v>0.14301480025409505</v>
      </c>
      <c r="AI103">
        <f>LOG(Table1_1[[#This Row],[10:2 FTS]])</f>
        <v>-1.0861861476162833</v>
      </c>
      <c r="AJ103">
        <f>LOG(Table1_1[[#This Row],[3:3 FTCA]])</f>
        <v>-1.080921907623926</v>
      </c>
      <c r="AK103">
        <f>LOG(Table1_1[[#This Row],[5:3 FTCA]])</f>
        <v>-0.74593554708566201</v>
      </c>
      <c r="AL103">
        <f>LOG(Table1_1[[#This Row],[7:3 FTCA]])</f>
        <v>0.56466606425208932</v>
      </c>
      <c r="AM103">
        <f>LOG(Table1_1[[#This Row],[6:2 FTCA]])</f>
        <v>-1.3353580244438745</v>
      </c>
      <c r="AN103">
        <f>LOG(Table1_1[[#This Row],[8:2 FTCA]])</f>
        <v>-1.5406075122407692</v>
      </c>
      <c r="AO103">
        <f>LOG(Table1_1[[#This Row],[10:2 FTCA]])</f>
        <v>-0.96859153574837586</v>
      </c>
      <c r="AP103">
        <f>LOG(Table1_1[[#This Row],[6:2 FTUCA]])</f>
        <v>-1.2479515521805615</v>
      </c>
      <c r="AQ103">
        <f>LOG(Table1_1[[#This Row],[8:2 FTUCA]])</f>
        <v>-1.3615107430453628</v>
      </c>
      <c r="AR103">
        <f>LOG(Table1_1[[#This Row],[ADONA]])</f>
        <v>-1.1426675035687315</v>
      </c>
      <c r="AS103">
        <f>LOG(Table1_1[[#This Row],[9Cl-PF3ONS]])</f>
        <v>-1.3010299956639813</v>
      </c>
      <c r="AT103">
        <f>LOG(Table1_1[[#This Row],[11Cl-PF3OUdS]])</f>
        <v>-1.2441251443275085</v>
      </c>
      <c r="AU103">
        <f>LOG(Table1_1[[#This Row],[HFPO-DA]])</f>
        <v>-0.4666092919824486</v>
      </c>
      <c r="AV103">
        <f>LOG(Table1_1[[#This Row],[6:2 diPAP]])</f>
        <v>-1.1163385648463824</v>
      </c>
      <c r="AW103">
        <f>LOG(Table1_1[[#This Row],[8:2 diPAP]])</f>
        <v>-1.0199966284162536</v>
      </c>
      <c r="AX103">
        <f>LOG(Table1_1[[#This Row],[diSAmPAP]])</f>
        <v>-0.89619627904404309</v>
      </c>
    </row>
    <row r="104" spans="1:50">
      <c r="A104">
        <f>LOG(Table1_1[[#This Row],[PFBA]])</f>
        <v>-1.0433514207947967</v>
      </c>
      <c r="B104">
        <f>LOG(Table1_1[[#This Row],[PFPeA]])</f>
        <v>-1.3129171553956294</v>
      </c>
      <c r="C104">
        <f>LOG(Table1_1[[#This Row],[PFHxA]])</f>
        <v>-1.4306260903849541</v>
      </c>
      <c r="D104">
        <f>LOG(Table1_1[[#This Row],[PFHpA]])</f>
        <v>-1.0433514207947967</v>
      </c>
      <c r="E104">
        <f>LOG(Table1_1[[#This Row],[PFOA]])</f>
        <v>-0.25963731050575611</v>
      </c>
      <c r="F104">
        <f>LOG(Table1_1[[#This Row],[PFNA]])</f>
        <v>-0.39685562737981767</v>
      </c>
      <c r="G104">
        <f>LOG(Table1_1[[#This Row],[PFDA]])</f>
        <v>0.59988307207368785</v>
      </c>
      <c r="H104">
        <f>LOG(Table1_1[[#This Row],[PFUnA]])</f>
        <v>0.84010609445675777</v>
      </c>
      <c r="I104">
        <f>LOG(Table1_1[[#This Row],[PFDoA]])</f>
        <v>1.0569048513364727</v>
      </c>
      <c r="J104">
        <f>LOG(Table1_1[[#This Row],[PFTrDA]])</f>
        <v>1.2837224705172217E-2</v>
      </c>
      <c r="K104">
        <f>LOG(Table1_1[[#This Row],[PFTeDA]])</f>
        <v>0.7307822756663892</v>
      </c>
      <c r="L104">
        <f>LOG(Table1_1[[#This Row],[PFHxDA]])</f>
        <v>-1.0861861476162833</v>
      </c>
      <c r="M104">
        <f>LOG(Table1_1[[#This Row],[PFPrS]])</f>
        <v>-1.2798406965940432</v>
      </c>
      <c r="N104">
        <f>LOG(Table1_1[[#This Row],[PFBS]])</f>
        <v>-0.81107151623914653</v>
      </c>
      <c r="O104">
        <f>LOG(Table1_1[[#This Row],[PFPeS]])</f>
        <v>-0.92081875395237522</v>
      </c>
      <c r="P104">
        <f>LOG(Table1_1[[#This Row],[PFHxS]])</f>
        <v>1.0293837776852097</v>
      </c>
      <c r="Q104">
        <f>LOG(Table1_1[[#This Row],[PFHpS]])</f>
        <v>7.1882007306125359E-2</v>
      </c>
      <c r="R104">
        <f>LOG(Table1_1[[#This Row],[PFOS]])</f>
        <v>2.8182258936139557</v>
      </c>
      <c r="S104">
        <f>LOG(Table1_1[[#This Row],[PFNS]])</f>
        <v>-0.52870828894106148</v>
      </c>
      <c r="T104">
        <f>LOG(Table1_1[[#This Row],[PFDS]])</f>
        <v>0.3344537511509309</v>
      </c>
      <c r="U104">
        <f>LOG(Table1_1[[#This Row],[PFDoS]])</f>
        <v>-0.61528825706171753</v>
      </c>
      <c r="V104">
        <f>LOG(Table1_1[[#This Row],[Cl-PFOS]])</f>
        <v>-0.86012091359876341</v>
      </c>
      <c r="W104">
        <f>LOG(Table1_1[[#This Row],[PFEtCHxS]])</f>
        <v>-1.0433514207947967</v>
      </c>
      <c r="X104">
        <f>LOG(Table1_1[[#This Row],[FBSA]])</f>
        <v>1.919601023784111</v>
      </c>
      <c r="Y104">
        <f>LOG(Table1_1[[#This Row],[FHxSA]])</f>
        <v>1.6608654780038692</v>
      </c>
      <c r="Z104">
        <f>LOG(Table1_1[[#This Row],[FOSA]])</f>
        <v>1.3010299956639813</v>
      </c>
      <c r="AA104">
        <f>LOG(Table1_1[[#This Row],[N-MeFOSA]])</f>
        <v>-1.2757241303992111</v>
      </c>
      <c r="AB104">
        <f>LOG(Table1_1[[#This Row],[N-EtFOSA]])</f>
        <v>-1.0969100130080565</v>
      </c>
      <c r="AC104">
        <f>LOG(Table1_1[[#This Row],[FOSAA]])</f>
        <v>-1.2676062401770316</v>
      </c>
      <c r="AD104">
        <f>LOG(Table1_1[[#This Row],[N-MeFOSAA]])</f>
        <v>-3.8578905933551705E-2</v>
      </c>
      <c r="AE104">
        <f>LOG(Table1_1[[#This Row],[N-EtFOSAA]])</f>
        <v>-1.2254830342714504</v>
      </c>
      <c r="AF104">
        <f>LOG(Table1_1[[#This Row],[4:2 FTS]])</f>
        <v>-1.2479515521805615</v>
      </c>
      <c r="AG104">
        <f>LOG(Table1_1[[#This Row],[6:2 FTS]])</f>
        <v>-0.22257317761068865</v>
      </c>
      <c r="AH104">
        <f>LOG(Table1_1[[#This Row],[8:2 FTS]])</f>
        <v>-2.0451625295904902E-2</v>
      </c>
      <c r="AI104">
        <f>LOG(Table1_1[[#This Row],[10:2 FTS]])</f>
        <v>-1.1079053973095196</v>
      </c>
      <c r="AJ104">
        <f>LOG(Table1_1[[#This Row],[3:3 FTCA]])</f>
        <v>-1.1023729087095586</v>
      </c>
      <c r="AK104">
        <f>LOG(Table1_1[[#This Row],[5:3 FTCA]])</f>
        <v>0.26007138798507479</v>
      </c>
      <c r="AL104">
        <f>LOG(Table1_1[[#This Row],[7:3 FTCA]])</f>
        <v>1.1760912590556813</v>
      </c>
      <c r="AM104">
        <f>LOG(Table1_1[[#This Row],[6:2 FTCA]])</f>
        <v>-1.3555614105321614</v>
      </c>
      <c r="AN104">
        <f>LOG(Table1_1[[#This Row],[8:2 FTCA]])</f>
        <v>-1.5622494371796121</v>
      </c>
      <c r="AO104">
        <f>LOG(Table1_1[[#This Row],[10:2 FTCA]])</f>
        <v>-0.98927613460822694</v>
      </c>
      <c r="AP104">
        <f>LOG(Table1_1[[#This Row],[6:2 FTUCA]])</f>
        <v>-1.2676062401770316</v>
      </c>
      <c r="AQ104">
        <f>LOG(Table1_1[[#This Row],[8:2 FTUCA]])</f>
        <v>-1.3819519032879073</v>
      </c>
      <c r="AR104">
        <f>LOG(Table1_1[[#This Row],[ADONA]])</f>
        <v>-1.1611509092627446</v>
      </c>
      <c r="AS104">
        <f>LOG(Table1_1[[#This Row],[9Cl-PF3ONS]])</f>
        <v>-1.3210266240802349</v>
      </c>
      <c r="AT104">
        <f>LOG(Table1_1[[#This Row],[11Cl-PF3OUdS]])</f>
        <v>-1.2676062401770316</v>
      </c>
      <c r="AU104">
        <f>LOG(Table1_1[[#This Row],[HFPO-DA]])</f>
        <v>-1.0065637695023884</v>
      </c>
      <c r="AV104">
        <f>LOG(Table1_1[[#This Row],[6:2 diPAP]])</f>
        <v>-1.1366771398795441</v>
      </c>
      <c r="AW104">
        <f>LOG(Table1_1[[#This Row],[8:2 diPAP]])</f>
        <v>-1.0409586076789064</v>
      </c>
      <c r="AX104">
        <f>LOG(Table1_1[[#This Row],[diSAmPAP]])</f>
        <v>-0.91721462968354994</v>
      </c>
    </row>
    <row r="105" spans="1:50">
      <c r="A105">
        <f>LOG(Table1_1[[#This Row],[PFBA]])</f>
        <v>-1.5428753736965912</v>
      </c>
      <c r="B105">
        <f>LOG(Table1_1[[#This Row],[PFPeA]])</f>
        <v>-1.2924298239020637</v>
      </c>
      <c r="C105">
        <f>LOG(Table1_1[[#This Row],[PFHxA]])</f>
        <v>-0.89279003035213167</v>
      </c>
      <c r="D105">
        <f>LOG(Table1_1[[#This Row],[PFHpA]])</f>
        <v>-1.024568191490737</v>
      </c>
      <c r="E105">
        <f>LOG(Table1_1[[#This Row],[PFOA]])</f>
        <v>-0.50168944621039946</v>
      </c>
      <c r="F105">
        <f>LOG(Table1_1[[#This Row],[PFNA]])</f>
        <v>-0.78515615195230215</v>
      </c>
      <c r="G105">
        <f>LOG(Table1_1[[#This Row],[PFDA]])</f>
        <v>0.24054924828259971</v>
      </c>
      <c r="H105">
        <f>LOG(Table1_1[[#This Row],[PFUnA]])</f>
        <v>0.31386722036915343</v>
      </c>
      <c r="I105">
        <f>LOG(Table1_1[[#This Row],[PFDoA]])</f>
        <v>0.41161970596323016</v>
      </c>
      <c r="J105">
        <f>LOG(Table1_1[[#This Row],[PFTrDA]])</f>
        <v>-0.48678239993206096</v>
      </c>
      <c r="K105">
        <f>LOG(Table1_1[[#This Row],[PFTeDA]])</f>
        <v>0.10037054511756291</v>
      </c>
      <c r="L105">
        <f>LOG(Table1_1[[#This Row],[PFHxDA]])</f>
        <v>-1.0680338852718274</v>
      </c>
      <c r="M105">
        <f>LOG(Table1_1[[#This Row],[PFPrS]])</f>
        <v>-1.2636034977233577</v>
      </c>
      <c r="N105">
        <f>LOG(Table1_1[[#This Row],[PFBS]])</f>
        <v>-0.79317412396815024</v>
      </c>
      <c r="O105">
        <f>LOG(Table1_1[[#This Row],[PFPeS]])</f>
        <v>-0.90135627418294306</v>
      </c>
      <c r="P105">
        <f>LOG(Table1_1[[#This Row],[PFHxS]])</f>
        <v>0.81690383937566025</v>
      </c>
      <c r="Q105">
        <f>LOG(Table1_1[[#This Row],[PFHpS]])</f>
        <v>-0.62525165398989613</v>
      </c>
      <c r="R105">
        <f>LOG(Table1_1[[#This Row],[PFOS]])</f>
        <v>2.2944662261615929</v>
      </c>
      <c r="S105">
        <f>LOG(Table1_1[[#This Row],[PFNS]])</f>
        <v>-0.86966623150499389</v>
      </c>
      <c r="T105">
        <f>LOG(Table1_1[[#This Row],[PFDS]])</f>
        <v>-0.29843201494407262</v>
      </c>
      <c r="U105">
        <f>LOG(Table1_1[[#This Row],[PFDoS]])</f>
        <v>-0.59602203633064521</v>
      </c>
      <c r="V105">
        <f>LOG(Table1_1[[#This Row],[Cl-PFOS]])</f>
        <v>-0.84163750790475034</v>
      </c>
      <c r="W105">
        <f>LOG(Table1_1[[#This Row],[PFEtCHxS]])</f>
        <v>-1.024568191490737</v>
      </c>
      <c r="X105">
        <f>LOG(Table1_1[[#This Row],[FBSA]])</f>
        <v>1.1583624920952498</v>
      </c>
      <c r="Y105">
        <f>LOG(Table1_1[[#This Row],[FHxSA]])</f>
        <v>1.8202014594856402</v>
      </c>
      <c r="Z105">
        <f>LOG(Table1_1[[#This Row],[FOSA]])</f>
        <v>0.99519629159717948</v>
      </c>
      <c r="AA105">
        <f>LOG(Table1_1[[#This Row],[N-MeFOSA]])</f>
        <v>-1.2557070168773237</v>
      </c>
      <c r="AB105">
        <f>LOG(Table1_1[[#This Row],[N-EtFOSA]])</f>
        <v>-1.0757207139381184</v>
      </c>
      <c r="AC105">
        <f>LOG(Table1_1[[#This Row],[FOSAA]])</f>
        <v>-1.2479515521805615</v>
      </c>
      <c r="AD105">
        <f>LOG(Table1_1[[#This Row],[N-MeFOSAA]])</f>
        <v>-0.62251161662386734</v>
      </c>
      <c r="AE105">
        <f>LOG(Table1_1[[#This Row],[N-EtFOSAA]])</f>
        <v>-1.2041199826559248</v>
      </c>
      <c r="AF105">
        <f>LOG(Table1_1[[#This Row],[4:2 FTS]])</f>
        <v>-1.2291479883578558</v>
      </c>
      <c r="AG105">
        <f>LOG(Table1_1[[#This Row],[6:2 FTS]])</f>
        <v>-0.84466396253493825</v>
      </c>
      <c r="AH105">
        <f>LOG(Table1_1[[#This Row],[8:2 FTS]])</f>
        <v>0.11727129565576427</v>
      </c>
      <c r="AI105">
        <f>LOG(Table1_1[[#This Row],[10:2 FTS]])</f>
        <v>-0.57024771999759194</v>
      </c>
      <c r="AJ105">
        <f>LOG(Table1_1[[#This Row],[3:3 FTCA]])</f>
        <v>-1.083546051450075</v>
      </c>
      <c r="AK105">
        <f>LOG(Table1_1[[#This Row],[5:3 FTCA]])</f>
        <v>-0.74836177955178806</v>
      </c>
      <c r="AL105">
        <f>LOG(Table1_1[[#This Row],[7:3 FTCA]])</f>
        <v>-0.10347378251044466</v>
      </c>
      <c r="AM105">
        <f>LOG(Table1_1[[#This Row],[6:2 FTCA]])</f>
        <v>-1.3367703654671323</v>
      </c>
      <c r="AN105">
        <f>LOG(Table1_1[[#This Row],[8:2 FTCA]])</f>
        <v>-1.5428753736965912</v>
      </c>
      <c r="AO105">
        <f>LOG(Table1_1[[#This Row],[10:2 FTCA]])</f>
        <v>-0.97061622231479039</v>
      </c>
      <c r="AP105">
        <f>LOG(Table1_1[[#This Row],[6:2 FTUCA]])</f>
        <v>-1.2479515521805615</v>
      </c>
      <c r="AQ105">
        <f>LOG(Table1_1[[#This Row],[8:2 FTUCA]])</f>
        <v>-1.3630108981877709</v>
      </c>
      <c r="AR105">
        <f>LOG(Table1_1[[#This Row],[ADONA]])</f>
        <v>-1.1426675035687315</v>
      </c>
      <c r="AS105">
        <f>LOG(Table1_1[[#This Row],[9Cl-PF3ONS]])</f>
        <v>-1.3023348373523256</v>
      </c>
      <c r="AT105">
        <f>LOG(Table1_1[[#This Row],[11Cl-PF3OUdS]])</f>
        <v>-1.2479515521805615</v>
      </c>
      <c r="AU105">
        <f>LOG(Table1_1[[#This Row],[HFPO-DA]])</f>
        <v>-0.98716277529482777</v>
      </c>
      <c r="AV105">
        <f>LOG(Table1_1[[#This Row],[6:2 diPAP]])</f>
        <v>-1.1163385648463824</v>
      </c>
      <c r="AW105">
        <f>LOG(Table1_1[[#This Row],[8:2 diPAP]])</f>
        <v>-1.0222763947111522</v>
      </c>
      <c r="AX105">
        <f>LOG(Table1_1[[#This Row],[diSAmPAP]])</f>
        <v>-0.89790947448816327</v>
      </c>
    </row>
    <row r="106" spans="1:50">
      <c r="A106">
        <f>LOG(Table1_1[[#This Row],[PFBA]])</f>
        <v>-1.5520671344078198</v>
      </c>
      <c r="B106">
        <f>LOG(Table1_1[[#This Row],[PFPeA]])</f>
        <v>-1.304956341178706</v>
      </c>
      <c r="C106">
        <f>LOG(Table1_1[[#This Row],[PFHxA]])</f>
        <v>-0.90308998699194354</v>
      </c>
      <c r="D106">
        <f>LOG(Table1_1[[#This Row],[PFHpA]])</f>
        <v>-1.0338582672609673</v>
      </c>
      <c r="E106">
        <f>LOG(Table1_1[[#This Row],[PFOA]])</f>
        <v>-0.44977164694490596</v>
      </c>
      <c r="F106">
        <f>LOG(Table1_1[[#This Row],[PFNA]])</f>
        <v>-0.79588001734407521</v>
      </c>
      <c r="G106">
        <f>LOG(Table1_1[[#This Row],[PFDA]])</f>
        <v>0.5877109650189114</v>
      </c>
      <c r="H106">
        <f>LOG(Table1_1[[#This Row],[PFUnA]])</f>
        <v>0.65321251377534373</v>
      </c>
      <c r="I106">
        <f>LOG(Table1_1[[#This Row],[PFDoA]])</f>
        <v>0.68930885912362017</v>
      </c>
      <c r="J106">
        <f>LOG(Table1_1[[#This Row],[PFTrDA]])</f>
        <v>0.30535136944662378</v>
      </c>
      <c r="K106">
        <f>LOG(Table1_1[[#This Row],[PFTeDA]])</f>
        <v>0.60097289568674828</v>
      </c>
      <c r="L106">
        <f>LOG(Table1_1[[#This Row],[PFHxDA]])</f>
        <v>-1.0783135245163979</v>
      </c>
      <c r="M106">
        <f>LOG(Table1_1[[#This Row],[PFPrS]])</f>
        <v>-1.2716462179787715</v>
      </c>
      <c r="N106">
        <f>LOG(Table1_1[[#This Row],[PFBS]])</f>
        <v>-1.3210266240802349</v>
      </c>
      <c r="O106">
        <f>LOG(Table1_1[[#This Row],[PFPeS]])</f>
        <v>-0.91186391129944877</v>
      </c>
      <c r="P106">
        <f>LOG(Table1_1[[#This Row],[PFHxS]])</f>
        <v>1.0863598306747482</v>
      </c>
      <c r="Q106">
        <f>LOG(Table1_1[[#This Row],[PFHpS]])</f>
        <v>-0.13194363817695845</v>
      </c>
      <c r="R106">
        <f>LOG(Table1_1[[#This Row],[PFOS]])</f>
        <v>2.6821450763738319</v>
      </c>
      <c r="S106">
        <f>LOG(Table1_1[[#This Row],[PFNS]])</f>
        <v>-0.53461714855158171</v>
      </c>
      <c r="T106">
        <f>LOG(Table1_1[[#This Row],[PFDS]])</f>
        <v>0.7307822756663892</v>
      </c>
      <c r="U106">
        <f>LOG(Table1_1[[#This Row],[PFDoS]])</f>
        <v>-0.6064247967304125</v>
      </c>
      <c r="V106">
        <f>LOG(Table1_1[[#This Row],[Cl-PFOS]])</f>
        <v>-0.85232367575890122</v>
      </c>
      <c r="W106">
        <f>LOG(Table1_1[[#This Row],[PFEtCHxS]])</f>
        <v>-1.0338582672609673</v>
      </c>
      <c r="X106">
        <f>LOG(Table1_1[[#This Row],[FBSA]])</f>
        <v>1.5314789170422551</v>
      </c>
      <c r="Y106">
        <f>LOG(Table1_1[[#This Row],[FHxSA]])</f>
        <v>1.5403294747908738</v>
      </c>
      <c r="Z106">
        <f>LOG(Table1_1[[#This Row],[FOSA]])</f>
        <v>1.2922560713564761</v>
      </c>
      <c r="AA106">
        <f>LOG(Table1_1[[#This Row],[N-MeFOSA]])</f>
        <v>-1.2676062401770316</v>
      </c>
      <c r="AB106">
        <f>LOG(Table1_1[[#This Row],[N-EtFOSA]])</f>
        <v>-1.0861861476162833</v>
      </c>
      <c r="AC106">
        <f>LOG(Table1_1[[#This Row],[FOSAA]])</f>
        <v>-1.2557070168773237</v>
      </c>
      <c r="AD106">
        <f>LOG(Table1_1[[#This Row],[N-MeFOSAA]])</f>
        <v>-0.63264407897398101</v>
      </c>
      <c r="AE106">
        <f>LOG(Table1_1[[#This Row],[N-EtFOSAA]])</f>
        <v>-1.2146701649892331</v>
      </c>
      <c r="AF106">
        <f>LOG(Table1_1[[#This Row],[4:2 FTS]])</f>
        <v>-1.2403321553103694</v>
      </c>
      <c r="AG106">
        <f>LOG(Table1_1[[#This Row],[6:2 FTS]])</f>
        <v>-0.85387196432176193</v>
      </c>
      <c r="AH106">
        <f>LOG(Table1_1[[#This Row],[8:2 FTS]])</f>
        <v>0.17609125905568124</v>
      </c>
      <c r="AI106">
        <f>LOG(Table1_1[[#This Row],[10:2 FTS]])</f>
        <v>-0.58004425151024208</v>
      </c>
      <c r="AJ106">
        <f>LOG(Table1_1[[#This Row],[3:3 FTCA]])</f>
        <v>-1.0915149811213503</v>
      </c>
      <c r="AK106">
        <f>LOG(Table1_1[[#This Row],[5:3 FTCA]])</f>
        <v>-0.36653154442041347</v>
      </c>
      <c r="AL106">
        <f>LOG(Table1_1[[#This Row],[7:3 FTCA]])</f>
        <v>0.28780172993022601</v>
      </c>
      <c r="AM106">
        <f>LOG(Table1_1[[#This Row],[6:2 FTCA]])</f>
        <v>-1.3467874862246563</v>
      </c>
      <c r="AN106">
        <f>LOG(Table1_1[[#This Row],[8:2 FTCA]])</f>
        <v>-1.5520671344078198</v>
      </c>
      <c r="AO106">
        <f>LOG(Table1_1[[#This Row],[10:2 FTCA]])</f>
        <v>-0.98088370955292725</v>
      </c>
      <c r="AP106">
        <f>LOG(Table1_1[[#This Row],[6:2 FTUCA]])</f>
        <v>-1.2596373105057561</v>
      </c>
      <c r="AQ106">
        <f>LOG(Table1_1[[#This Row],[8:2 FTUCA]])</f>
        <v>-1.3726341434072673</v>
      </c>
      <c r="AR106">
        <f>LOG(Table1_1[[#This Row],[ADONA]])</f>
        <v>-1.1549019599857431</v>
      </c>
      <c r="AS106">
        <f>LOG(Table1_1[[#This Row],[9Cl-PF3ONS]])</f>
        <v>-1.3129171553956294</v>
      </c>
      <c r="AT106">
        <f>LOG(Table1_1[[#This Row],[11Cl-PF3OUdS]])</f>
        <v>-1.2557070168773237</v>
      </c>
      <c r="AU106">
        <f>LOG(Table1_1[[#This Row],[HFPO-DA]])</f>
        <v>-0.99783393824349231</v>
      </c>
      <c r="AV106">
        <f>LOG(Table1_1[[#This Row],[6:2 diPAP]])</f>
        <v>-1.1278437272517072</v>
      </c>
      <c r="AW106">
        <f>LOG(Table1_1[[#This Row],[8:2 diPAP]])</f>
        <v>-1.031517051446065</v>
      </c>
      <c r="AX106">
        <f>LOG(Table1_1[[#This Row],[diSAmPAP]])</f>
        <v>-0.90833304240431545</v>
      </c>
    </row>
    <row r="107" spans="1:50">
      <c r="A107">
        <f>LOG(Table1_1[[#This Row],[PFBA]])</f>
        <v>-1.5816987086802545</v>
      </c>
      <c r="B107">
        <f>LOG(Table1_1[[#This Row],[PFPeA]])</f>
        <v>-1.3353580244438745</v>
      </c>
      <c r="C107">
        <f>LOG(Table1_1[[#This Row],[PFHxA]])</f>
        <v>-0.93367407463796215</v>
      </c>
      <c r="D107">
        <f>LOG(Table1_1[[#This Row],[PFHpA]])</f>
        <v>-1.5816987086802545</v>
      </c>
      <c r="E107">
        <f>LOG(Table1_1[[#This Row],[PFOA]])</f>
        <v>-0.57839607313016894</v>
      </c>
      <c r="F107">
        <f>LOG(Table1_1[[#This Row],[PFNA]])</f>
        <v>-0.82535880733955158</v>
      </c>
      <c r="G107">
        <f>LOG(Table1_1[[#This Row],[PFDA]])</f>
        <v>0.34242268082220628</v>
      </c>
      <c r="H107">
        <f>LOG(Table1_1[[#This Row],[PFUnA]])</f>
        <v>0.60852603357719404</v>
      </c>
      <c r="I107">
        <f>LOG(Table1_1[[#This Row],[PFDoA]])</f>
        <v>0.76192783842052902</v>
      </c>
      <c r="J107">
        <f>LOG(Table1_1[[#This Row],[PFTrDA]])</f>
        <v>0.10380372095595687</v>
      </c>
      <c r="K107">
        <f>LOG(Table1_1[[#This Row],[PFTeDA]])</f>
        <v>0.77378644498119353</v>
      </c>
      <c r="L107">
        <f>LOG(Table1_1[[#This Row],[PFHxDA]])</f>
        <v>-1.1079053973095196</v>
      </c>
      <c r="M107">
        <f>LOG(Table1_1[[#This Row],[PFPrS]])</f>
        <v>-1.3010299956639813</v>
      </c>
      <c r="N107">
        <f>LOG(Table1_1[[#This Row],[PFBS]])</f>
        <v>-1.3511522916271064</v>
      </c>
      <c r="O107">
        <f>LOG(Table1_1[[#This Row],[PFPeS]])</f>
        <v>-0.94119451332409321</v>
      </c>
      <c r="P107">
        <f>LOG(Table1_1[[#This Row],[PFHxS]])</f>
        <v>0.70329137811866138</v>
      </c>
      <c r="Q107">
        <f>LOG(Table1_1[[#This Row],[PFHpS]])</f>
        <v>-9.1514981121350217E-2</v>
      </c>
      <c r="R107">
        <f>LOG(Table1_1[[#This Row],[PFOS]])</f>
        <v>2.5211380837040362</v>
      </c>
      <c r="S107">
        <f>LOG(Table1_1[[#This Row],[PFNS]])</f>
        <v>-2.0451625295904902E-2</v>
      </c>
      <c r="T107">
        <f>LOG(Table1_1[[#This Row],[PFDS]])</f>
        <v>0.71683772329952444</v>
      </c>
      <c r="U107">
        <f>LOG(Table1_1[[#This Row],[PFDoS]])</f>
        <v>-0.63638802010785567</v>
      </c>
      <c r="V107">
        <f>LOG(Table1_1[[#This Row],[Cl-PFOS]])</f>
        <v>-0.88272870434423567</v>
      </c>
      <c r="W107">
        <f>LOG(Table1_1[[#This Row],[PFEtCHxS]])</f>
        <v>-1.0629838925351858</v>
      </c>
      <c r="X107">
        <f>LOG(Table1_1[[#This Row],[FBSA]])</f>
        <v>1.3138672203691535</v>
      </c>
      <c r="Y107">
        <f>LOG(Table1_1[[#This Row],[FHxSA]])</f>
        <v>1.61066016308988</v>
      </c>
      <c r="Z107">
        <f>LOG(Table1_1[[#This Row],[FOSA]])</f>
        <v>1.2810333672477277</v>
      </c>
      <c r="AA107">
        <f>LOG(Table1_1[[#This Row],[N-MeFOSA]])</f>
        <v>-1.2967086218813386</v>
      </c>
      <c r="AB107">
        <f>LOG(Table1_1[[#This Row],[N-EtFOSA]])</f>
        <v>-1.1163385648463824</v>
      </c>
      <c r="AC107">
        <f>LOG(Table1_1[[#This Row],[FOSAA]])</f>
        <v>-1.288192770958809</v>
      </c>
      <c r="AD107">
        <f>LOG(Table1_1[[#This Row],[N-MeFOSAA]])</f>
        <v>0.10380372095595687</v>
      </c>
      <c r="AE107">
        <f>LOG(Table1_1[[#This Row],[N-EtFOSAA]])</f>
        <v>-1.2441251443275085</v>
      </c>
      <c r="AF107">
        <f>LOG(Table1_1[[#This Row],[4:2 FTS]])</f>
        <v>-1.2676062401770316</v>
      </c>
      <c r="AG107">
        <f>LOG(Table1_1[[#This Row],[6:2 FTS]])</f>
        <v>-0.88438948832570019</v>
      </c>
      <c r="AH107">
        <f>LOG(Table1_1[[#This Row],[8:2 FTS]])</f>
        <v>4.1392685158225077E-2</v>
      </c>
      <c r="AI107">
        <f>LOG(Table1_1[[#This Row],[10:2 FTS]])</f>
        <v>-0.61083391563546752</v>
      </c>
      <c r="AJ107">
        <f>LOG(Table1_1[[#This Row],[3:3 FTCA]])</f>
        <v>-1.1220530483708118</v>
      </c>
      <c r="AK107">
        <f>LOG(Table1_1[[#This Row],[5:3 FTCA]])</f>
        <v>4.5322978786657475E-2</v>
      </c>
      <c r="AL107">
        <f>LOG(Table1_1[[#This Row],[7:3 FTCA]])</f>
        <v>0.63648789635336545</v>
      </c>
      <c r="AM107">
        <f>LOG(Table1_1[[#This Row],[6:2 FTCA]])</f>
        <v>-1.3772680348352808</v>
      </c>
      <c r="AN107">
        <f>LOG(Table1_1[[#This Row],[8:2 FTCA]])</f>
        <v>-1.5816987086802545</v>
      </c>
      <c r="AO107">
        <f>LOG(Table1_1[[#This Row],[10:2 FTCA]])</f>
        <v>0.26245108973042947</v>
      </c>
      <c r="AP107">
        <f>LOG(Table1_1[[#This Row],[6:2 FTUCA]])</f>
        <v>-1.288192770958809</v>
      </c>
      <c r="AQ107">
        <f>LOG(Table1_1[[#This Row],[8:2 FTUCA]])</f>
        <v>-1.4028535121663046</v>
      </c>
      <c r="AR107">
        <f>LOG(Table1_1[[#This Row],[ADONA]])</f>
        <v>-1.1837587000082168</v>
      </c>
      <c r="AS107">
        <f>LOG(Table1_1[[#This Row],[9Cl-PF3ONS]])</f>
        <v>-1.3424661124420139</v>
      </c>
      <c r="AT107">
        <f>LOG(Table1_1[[#This Row],[11Cl-PF3OUdS]])</f>
        <v>-1.288192770958809</v>
      </c>
      <c r="AU107">
        <f>LOG(Table1_1[[#This Row],[HFPO-DA]])</f>
        <v>-1.0268721464003014</v>
      </c>
      <c r="AV107">
        <f>LOG(Table1_1[[#This Row],[6:2 diPAP]])</f>
        <v>-1.1580151954098861</v>
      </c>
      <c r="AW107">
        <f>LOG(Table1_1[[#This Row],[8:2 diPAP]])</f>
        <v>-1.0604807473813815</v>
      </c>
      <c r="AX107">
        <f>LOG(Table1_1[[#This Row],[diSAmPAP]])</f>
        <v>-0.9393021596463883</v>
      </c>
    </row>
    <row r="108" spans="1:50">
      <c r="A108">
        <f>LOG(Table1_1[[#This Row],[PFBA]])</f>
        <v>-1.5567370125413049</v>
      </c>
      <c r="B108">
        <f>LOG(Table1_1[[#This Row],[PFPeA]])</f>
        <v>-1.3089185078770316</v>
      </c>
      <c r="C108">
        <f>LOG(Table1_1[[#This Row],[PFHxA]])</f>
        <v>-0.90833304240431545</v>
      </c>
      <c r="D108">
        <f>LOG(Table1_1[[#This Row],[PFHpA]])</f>
        <v>-1.0385789059335517</v>
      </c>
      <c r="E108">
        <f>LOG(Table1_1[[#This Row],[PFOA]])</f>
        <v>-9.4204119632131461E-2</v>
      </c>
      <c r="F108">
        <f>LOG(Table1_1[[#This Row],[PFNA]])</f>
        <v>-0.29499204066666401</v>
      </c>
      <c r="G108">
        <f>LOG(Table1_1[[#This Row],[PFDA]])</f>
        <v>0.39445168082621629</v>
      </c>
      <c r="H108">
        <f>LOG(Table1_1[[#This Row],[PFUnA]])</f>
        <v>0.67669360962486658</v>
      </c>
      <c r="I108">
        <f>LOG(Table1_1[[#This Row],[PFDoA]])</f>
        <v>0.9132839017604184</v>
      </c>
      <c r="J108">
        <f>LOG(Table1_1[[#This Row],[PFTrDA]])</f>
        <v>-3.5740369803151061E-2</v>
      </c>
      <c r="K108">
        <f>LOG(Table1_1[[#This Row],[PFTeDA]])</f>
        <v>0.69548167649019743</v>
      </c>
      <c r="L108">
        <f>LOG(Table1_1[[#This Row],[PFHxDA]])</f>
        <v>-1.083546051450075</v>
      </c>
      <c r="M108">
        <f>LOG(Table1_1[[#This Row],[PFPrS]])</f>
        <v>-1.2757241303992111</v>
      </c>
      <c r="N108">
        <f>LOG(Table1_1[[#This Row],[PFBS]])</f>
        <v>-0.80687540164553839</v>
      </c>
      <c r="O108">
        <f>LOG(Table1_1[[#This Row],[PFPeS]])</f>
        <v>-0.91542372206566902</v>
      </c>
      <c r="P108">
        <f>LOG(Table1_1[[#This Row],[PFHxS]])</f>
        <v>1.0043213737826426</v>
      </c>
      <c r="Q108">
        <f>LOG(Table1_1[[#This Row],[PFHpS]])</f>
        <v>-0.13194363817695845</v>
      </c>
      <c r="R108">
        <f>LOG(Table1_1[[#This Row],[PFOS]])</f>
        <v>2.5490032620257876</v>
      </c>
      <c r="S108">
        <f>LOG(Table1_1[[#This Row],[PFNS]])</f>
        <v>-0.88438948832570019</v>
      </c>
      <c r="T108">
        <f>LOG(Table1_1[[#This Row],[PFDS]])</f>
        <v>-2.6410376572743116E-2</v>
      </c>
      <c r="U108">
        <f>LOG(Table1_1[[#This Row],[PFDoS]])</f>
        <v>-0.61083391563546752</v>
      </c>
      <c r="V108">
        <f>LOG(Table1_1[[#This Row],[Cl-PFOS]])</f>
        <v>-0.85698519974590492</v>
      </c>
      <c r="W108">
        <f>LOG(Table1_1[[#This Row],[PFEtCHxS]])</f>
        <v>-1.0385789059335517</v>
      </c>
      <c r="X108">
        <f>LOG(Table1_1[[#This Row],[FBSA]])</f>
        <v>1.865103974641128</v>
      </c>
      <c r="Y108">
        <f>LOG(Table1_1[[#This Row],[FHxSA]])</f>
        <v>2.2671717284030137</v>
      </c>
      <c r="Z108">
        <f>LOG(Table1_1[[#This Row],[FOSA]])</f>
        <v>1.4800069429571505</v>
      </c>
      <c r="AA108">
        <f>LOG(Table1_1[[#This Row],[N-MeFOSA]])</f>
        <v>-1.2716462179787715</v>
      </c>
      <c r="AB108">
        <f>LOG(Table1_1[[#This Row],[N-EtFOSA]])</f>
        <v>-1.0915149811213503</v>
      </c>
      <c r="AC108">
        <f>LOG(Table1_1[[#This Row],[FOSAA]])</f>
        <v>-1.2636034977233577</v>
      </c>
      <c r="AD108">
        <f>LOG(Table1_1[[#This Row],[N-MeFOSAA]])</f>
        <v>-0.63732907027433305</v>
      </c>
      <c r="AE108">
        <f>LOG(Table1_1[[#This Row],[N-EtFOSAA]])</f>
        <v>-1.2182446253475312</v>
      </c>
      <c r="AF108">
        <f>LOG(Table1_1[[#This Row],[4:2 FTS]])</f>
        <v>-1.2441251443275085</v>
      </c>
      <c r="AG108">
        <f>LOG(Table1_1[[#This Row],[6:2 FTS]])</f>
        <v>-9.2588639225413813E-2</v>
      </c>
      <c r="AH108">
        <f>LOG(Table1_1[[#This Row],[8:2 FTS]])</f>
        <v>0.23044892137827391</v>
      </c>
      <c r="AI108">
        <f>LOG(Table1_1[[#This Row],[10:2 FTS]])</f>
        <v>-0.58502665202918203</v>
      </c>
      <c r="AJ108">
        <f>LOG(Table1_1[[#This Row],[3:3 FTCA]])</f>
        <v>-0.57839607313016894</v>
      </c>
      <c r="AK108">
        <f>LOG(Table1_1[[#This Row],[5:3 FTCA]])</f>
        <v>-0.76195389687120463</v>
      </c>
      <c r="AL108">
        <f>LOG(Table1_1[[#This Row],[7:3 FTCA]])</f>
        <v>-1.2518119729937995</v>
      </c>
      <c r="AM108">
        <f>LOG(Table1_1[[#This Row],[6:2 FTCA]])</f>
        <v>-1.3511522916271064</v>
      </c>
      <c r="AN108">
        <f>LOG(Table1_1[[#This Row],[8:2 FTCA]])</f>
        <v>-1.5567370125413049</v>
      </c>
      <c r="AO108">
        <f>LOG(Table1_1[[#This Row],[10:2 FTCA]])</f>
        <v>-0.98505965020706343</v>
      </c>
      <c r="AP108">
        <f>LOG(Table1_1[[#This Row],[6:2 FTUCA]])</f>
        <v>-1.2636034977233577</v>
      </c>
      <c r="AQ108">
        <f>LOG(Table1_1[[#This Row],[8:2 FTUCA]])</f>
        <v>-1.3772680348352808</v>
      </c>
      <c r="AR108">
        <f>LOG(Table1_1[[#This Row],[ADONA]])</f>
        <v>-1.1580151954098861</v>
      </c>
      <c r="AS108">
        <f>LOG(Table1_1[[#This Row],[9Cl-PF3ONS]])</f>
        <v>-1.3169529617611504</v>
      </c>
      <c r="AT108">
        <f>LOG(Table1_1[[#This Row],[11Cl-PF3OUdS]])</f>
        <v>-1.2636034977233577</v>
      </c>
      <c r="AU108">
        <f>LOG(Table1_1[[#This Row],[HFPO-DA]])</f>
        <v>-1.0021769192542744</v>
      </c>
      <c r="AV108">
        <f>LOG(Table1_1[[#This Row],[6:2 diPAP]])</f>
        <v>-1.1307682802690238</v>
      </c>
      <c r="AW108">
        <f>LOG(Table1_1[[#This Row],[8:2 diPAP]])</f>
        <v>-1.0362121726544447</v>
      </c>
      <c r="AX108">
        <f>LOG(Table1_1[[#This Row],[diSAmPAP]])</f>
        <v>-0.91364016932525183</v>
      </c>
    </row>
    <row r="109" spans="1:50">
      <c r="A109">
        <f>LOG(Table1_1[[#This Row],[PFBA]])</f>
        <v>-0.63544900464602805</v>
      </c>
      <c r="B109">
        <f>LOG(Table1_1[[#This Row],[PFPeA]])</f>
        <v>-1.304956341178706</v>
      </c>
      <c r="C109">
        <f>LOG(Table1_1[[#This Row],[PFHxA]])</f>
        <v>-1.4213607900319276</v>
      </c>
      <c r="D109">
        <f>LOG(Table1_1[[#This Row],[PFHpA]])</f>
        <v>-1.0338582672609673</v>
      </c>
      <c r="E109">
        <f>LOG(Table1_1[[#This Row],[PFOA]])</f>
        <v>-0.21609642072726507</v>
      </c>
      <c r="F109">
        <f>LOG(Table1_1[[#This Row],[PFNA]])</f>
        <v>-0.27002571430044436</v>
      </c>
      <c r="G109">
        <f>LOG(Table1_1[[#This Row],[PFDA]])</f>
        <v>0.70070371714501933</v>
      </c>
      <c r="H109">
        <f>LOG(Table1_1[[#This Row],[PFUnA]])</f>
        <v>0.98362628712453459</v>
      </c>
      <c r="I109">
        <f>LOG(Table1_1[[#This Row],[PFDoA]])</f>
        <v>1.3031960574204888</v>
      </c>
      <c r="J109">
        <f>LOG(Table1_1[[#This Row],[PFTrDA]])</f>
        <v>0.75587485567249146</v>
      </c>
      <c r="K109">
        <f>LOG(Table1_1[[#This Row],[PFTeDA]])</f>
        <v>1.0681858617461617</v>
      </c>
      <c r="L109">
        <f>LOG(Table1_1[[#This Row],[PFHxDA]])</f>
        <v>-1.0783135245163979</v>
      </c>
      <c r="M109">
        <f>LOG(Table1_1[[#This Row],[PFPrS]])</f>
        <v>-1.2716462179787715</v>
      </c>
      <c r="N109">
        <f>LOG(Table1_1[[#This Row],[PFBS]])</f>
        <v>-0.80271944187438071</v>
      </c>
      <c r="O109">
        <f>LOG(Table1_1[[#This Row],[PFPeS]])</f>
        <v>-0.91186391129944877</v>
      </c>
      <c r="P109">
        <f>LOG(Table1_1[[#This Row],[PFHxS]])</f>
        <v>0.9122220565324155</v>
      </c>
      <c r="Q109">
        <f>LOG(Table1_1[[#This Row],[PFHpS]])</f>
        <v>7.1882007306125359E-2</v>
      </c>
      <c r="R109">
        <f>LOG(Table1_1[[#This Row],[PFOS]])</f>
        <v>3.0969100130080562</v>
      </c>
      <c r="S109">
        <f>LOG(Table1_1[[#This Row],[PFNS]])</f>
        <v>0.12057393120584989</v>
      </c>
      <c r="T109">
        <f>LOG(Table1_1[[#This Row],[PFDS]])</f>
        <v>0.20951501454263097</v>
      </c>
      <c r="U109">
        <f>LOG(Table1_1[[#This Row],[PFDoS]])</f>
        <v>4.5322978786657475E-2</v>
      </c>
      <c r="V109">
        <f>LOG(Table1_1[[#This Row],[Cl-PFOS]])</f>
        <v>-0.8507808873446201</v>
      </c>
      <c r="W109">
        <f>LOG(Table1_1[[#This Row],[PFEtCHxS]])</f>
        <v>-1.0338582672609673</v>
      </c>
      <c r="X109">
        <f>LOG(Table1_1[[#This Row],[FBSA]])</f>
        <v>1.4828735836087537</v>
      </c>
      <c r="Y109">
        <f>LOG(Table1_1[[#This Row],[FHxSA]])</f>
        <v>1.8182258936139555</v>
      </c>
      <c r="Z109">
        <f>LOG(Table1_1[[#This Row],[FOSA]])</f>
        <v>1.0492180226701815</v>
      </c>
      <c r="AA109">
        <f>LOG(Table1_1[[#This Row],[N-MeFOSA]])</f>
        <v>-1.2676062401770316</v>
      </c>
      <c r="AB109">
        <f>LOG(Table1_1[[#This Row],[N-EtFOSA]])</f>
        <v>-1.0861861476162833</v>
      </c>
      <c r="AC109">
        <f>LOG(Table1_1[[#This Row],[FOSAA]])</f>
        <v>-1.2557070168773237</v>
      </c>
      <c r="AD109">
        <f>LOG(Table1_1[[#This Row],[N-MeFOSAA]])</f>
        <v>0.1553360374650618</v>
      </c>
      <c r="AE109">
        <f>LOG(Table1_1[[#This Row],[N-EtFOSAA]])</f>
        <v>-1.2146701649892331</v>
      </c>
      <c r="AF109">
        <f>LOG(Table1_1[[#This Row],[4:2 FTS]])</f>
        <v>-1.2403321553103694</v>
      </c>
      <c r="AG109">
        <f>LOG(Table1_1[[#This Row],[6:2 FTS]])</f>
        <v>-0.85387196432176193</v>
      </c>
      <c r="AH109">
        <f>LOG(Table1_1[[#This Row],[8:2 FTS]])</f>
        <v>0.5854607295085007</v>
      </c>
      <c r="AI109">
        <f>LOG(Table1_1[[#This Row],[10:2 FTS]])</f>
        <v>-0.58004425151024208</v>
      </c>
      <c r="AJ109">
        <f>LOG(Table1_1[[#This Row],[3:3 FTCA]])</f>
        <v>-1.0915149811213503</v>
      </c>
      <c r="AK109">
        <f>LOG(Table1_1[[#This Row],[5:3 FTCA]])</f>
        <v>0.33243845991560533</v>
      </c>
      <c r="AL109">
        <f>LOG(Table1_1[[#This Row],[7:3 FTCA]])</f>
        <v>0.15836249209524964</v>
      </c>
      <c r="AM109">
        <f>LOG(Table1_1[[#This Row],[6:2 FTCA]])</f>
        <v>-0.17457388223217687</v>
      </c>
      <c r="AN109">
        <f>LOG(Table1_1[[#This Row],[8:2 FTCA]])</f>
        <v>-1.1549019599857431</v>
      </c>
      <c r="AO109">
        <f>LOG(Table1_1[[#This Row],[10:2 FTCA]])</f>
        <v>0.13987908640123647</v>
      </c>
      <c r="AP109">
        <f>LOG(Table1_1[[#This Row],[6:2 FTUCA]])</f>
        <v>-1.2596373105057561</v>
      </c>
      <c r="AQ109">
        <f>LOG(Table1_1[[#This Row],[8:2 FTUCA]])</f>
        <v>-1.3726341434072673</v>
      </c>
      <c r="AR109">
        <f>LOG(Table1_1[[#This Row],[ADONA]])</f>
        <v>-1.1549019599857431</v>
      </c>
      <c r="AS109">
        <f>LOG(Table1_1[[#This Row],[9Cl-PF3ONS]])</f>
        <v>-1.1549019599857431</v>
      </c>
      <c r="AT109">
        <f>LOG(Table1_1[[#This Row],[11Cl-PF3OUdS]])</f>
        <v>-1.1549019599857431</v>
      </c>
      <c r="AU109">
        <f>LOG(Table1_1[[#This Row],[HFPO-DA]])</f>
        <v>-0.99567862621735737</v>
      </c>
      <c r="AV109">
        <f>LOG(Table1_1[[#This Row],[6:2 diPAP]])</f>
        <v>-1.1278437272517072</v>
      </c>
      <c r="AW109">
        <f>LOG(Table1_1[[#This Row],[8:2 diPAP]])</f>
        <v>-1.031517051446065</v>
      </c>
      <c r="AX109">
        <f>LOG(Table1_1[[#This Row],[diSAmPAP]])</f>
        <v>-0.90833304240431545</v>
      </c>
    </row>
    <row r="110" spans="1:50">
      <c r="A110">
        <f>LOG(Table1_1[[#This Row],[PFBA]])</f>
        <v>-1.1643094285075744</v>
      </c>
      <c r="B110">
        <f>LOG(Table1_1[[#This Row],[PFPeA]])</f>
        <v>-1.3142582613977363</v>
      </c>
      <c r="C110">
        <f>LOG(Table1_1[[#This Row],[PFHxA]])</f>
        <v>-0.91186391129944877</v>
      </c>
      <c r="D110">
        <f>LOG(Table1_1[[#This Row],[PFHpA]])</f>
        <v>-1.0433514207947967</v>
      </c>
      <c r="E110">
        <f>LOG(Table1_1[[#This Row],[PFOA]])</f>
        <v>-0.47495519296315475</v>
      </c>
      <c r="F110">
        <f>LOG(Table1_1[[#This Row],[PFNA]])</f>
        <v>-0.80410034759076621</v>
      </c>
      <c r="G110">
        <f>LOG(Table1_1[[#This Row],[PFDA]])</f>
        <v>0.64048143697042181</v>
      </c>
      <c r="H110">
        <f>LOG(Table1_1[[#This Row],[PFUnA]])</f>
        <v>0.91803033678488011</v>
      </c>
      <c r="I110">
        <f>LOG(Table1_1[[#This Row],[PFDoA]])</f>
        <v>1.3404441148401183</v>
      </c>
      <c r="J110">
        <f>LOG(Table1_1[[#This Row],[PFTrDA]])</f>
        <v>0.5502283530550941</v>
      </c>
      <c r="K110">
        <f>LOG(Table1_1[[#This Row],[PFTeDA]])</f>
        <v>1.2253092817258628</v>
      </c>
      <c r="L110">
        <f>LOG(Table1_1[[#This Row],[PFHxDA]])</f>
        <v>-1.0861861476162833</v>
      </c>
      <c r="M110">
        <f>LOG(Table1_1[[#This Row],[PFPrS]])</f>
        <v>-1.2798406965940432</v>
      </c>
      <c r="N110">
        <f>LOG(Table1_1[[#This Row],[PFBS]])</f>
        <v>-0.8124792791635369</v>
      </c>
      <c r="O110">
        <f>LOG(Table1_1[[#This Row],[PFPeS]])</f>
        <v>-0.92081875395237522</v>
      </c>
      <c r="P110">
        <f>LOG(Table1_1[[#This Row],[PFHxS]])</f>
        <v>1.0827853703164501</v>
      </c>
      <c r="Q110">
        <f>LOG(Table1_1[[#This Row],[PFHpS]])</f>
        <v>8.2785370316450071E-2</v>
      </c>
      <c r="R110">
        <f>LOG(Table1_1[[#This Row],[PFOS]])</f>
        <v>3.0606978403536118</v>
      </c>
      <c r="S110">
        <f>LOG(Table1_1[[#This Row],[PFNS]])</f>
        <v>0.20411998265592479</v>
      </c>
      <c r="T110">
        <f>LOG(Table1_1[[#This Row],[PFDS]])</f>
        <v>0.2528530309798932</v>
      </c>
      <c r="U110">
        <f>LOG(Table1_1[[#This Row],[PFDoS]])</f>
        <v>-0.61528825706171753</v>
      </c>
      <c r="V110">
        <f>LOG(Table1_1[[#This Row],[Cl-PFOS]])</f>
        <v>-0.86169730183371851</v>
      </c>
      <c r="W110">
        <f>LOG(Table1_1[[#This Row],[PFEtCHxS]])</f>
        <v>-0.64781748188863753</v>
      </c>
      <c r="X110">
        <f>LOG(Table1_1[[#This Row],[FBSA]])</f>
        <v>1.3979400086720377</v>
      </c>
      <c r="Y110">
        <f>LOG(Table1_1[[#This Row],[FHxSA]])</f>
        <v>1.4941545940184429</v>
      </c>
      <c r="Z110">
        <f>LOG(Table1_1[[#This Row],[FOSA]])</f>
        <v>0.93449845124356767</v>
      </c>
      <c r="AA110">
        <f>LOG(Table1_1[[#This Row],[N-MeFOSA]])</f>
        <v>-1.2757241303992111</v>
      </c>
      <c r="AB110">
        <f>LOG(Table1_1[[#This Row],[N-EtFOSA]])</f>
        <v>-1.0969100130080565</v>
      </c>
      <c r="AC110">
        <f>LOG(Table1_1[[#This Row],[FOSAA]])</f>
        <v>-1.2676062401770316</v>
      </c>
      <c r="AD110">
        <f>LOG(Table1_1[[#This Row],[N-MeFOSAA]])</f>
        <v>-0.14206473528057098</v>
      </c>
      <c r="AE110">
        <f>LOG(Table1_1[[#This Row],[N-EtFOSAA]])</f>
        <v>-1.2254830342714504</v>
      </c>
      <c r="AF110">
        <f>LOG(Table1_1[[#This Row],[4:2 FTS]])</f>
        <v>-1.2479515521805615</v>
      </c>
      <c r="AG110">
        <f>LOG(Table1_1[[#This Row],[6:2 FTS]])</f>
        <v>-0.86327943284359321</v>
      </c>
      <c r="AH110">
        <f>LOG(Table1_1[[#This Row],[8:2 FTS]])</f>
        <v>0.68663626926229337</v>
      </c>
      <c r="AI110">
        <f>LOG(Table1_1[[#This Row],[10:2 FTS]])</f>
        <v>-0.58922276662279016</v>
      </c>
      <c r="AJ110">
        <f>LOG(Table1_1[[#This Row],[3:3 FTCA]])</f>
        <v>-1.1023729087095586</v>
      </c>
      <c r="AK110">
        <f>LOG(Table1_1[[#This Row],[5:3 FTCA]])</f>
        <v>-0.64493179365114928</v>
      </c>
      <c r="AL110">
        <f>LOG(Table1_1[[#This Row],[7:3 FTCA]])</f>
        <v>-1.6824927962187056E-2</v>
      </c>
      <c r="AM110">
        <f>LOG(Table1_1[[#This Row],[6:2 FTCA]])</f>
        <v>-1.1643094285075744</v>
      </c>
      <c r="AN110">
        <f>LOG(Table1_1[[#This Row],[8:2 FTCA]])</f>
        <v>-0.64493179365114928</v>
      </c>
      <c r="AO110">
        <f>LOG(Table1_1[[#This Row],[10:2 FTCA]])</f>
        <v>-0.47108329972234525</v>
      </c>
      <c r="AP110">
        <f>LOG(Table1_1[[#This Row],[6:2 FTUCA]])</f>
        <v>-1.2676062401770316</v>
      </c>
      <c r="AQ110">
        <f>LOG(Table1_1[[#This Row],[8:2 FTUCA]])</f>
        <v>-1.3819519032879073</v>
      </c>
      <c r="AR110">
        <f>LOG(Table1_1[[#This Row],[ADONA]])</f>
        <v>-1.1643094285075744</v>
      </c>
      <c r="AS110">
        <f>LOG(Table1_1[[#This Row],[9Cl-PF3ONS]])</f>
        <v>-1.1643094285075744</v>
      </c>
      <c r="AT110">
        <f>LOG(Table1_1[[#This Row],[11Cl-PF3OUdS]])</f>
        <v>-1.1643094285075744</v>
      </c>
      <c r="AU110">
        <f>LOG(Table1_1[[#This Row],[HFPO-DA]])</f>
        <v>-1.0065637695023884</v>
      </c>
      <c r="AV110">
        <f>LOG(Table1_1[[#This Row],[6:2 diPAP]])</f>
        <v>0.13033376849500614</v>
      </c>
      <c r="AW110">
        <f>LOG(Table1_1[[#This Row],[8:2 diPAP]])</f>
        <v>-1.0409586076789064</v>
      </c>
      <c r="AX110">
        <f>LOG(Table1_1[[#This Row],[diSAmPAP]])</f>
        <v>-0.91721462968354994</v>
      </c>
    </row>
    <row r="111" spans="1:50">
      <c r="A111">
        <f>LOG(Table1_1[[#This Row],[PFBA]])</f>
        <v>-0.6655462488490691</v>
      </c>
      <c r="B111">
        <f>LOG(Table1_1[[#This Row],[PFPeA]])</f>
        <v>-1.3353580244438745</v>
      </c>
      <c r="C111">
        <f>LOG(Table1_1[[#This Row],[PFHxA]])</f>
        <v>-0.93367407463796215</v>
      </c>
      <c r="D111">
        <f>LOG(Table1_1[[#This Row],[PFHpA]])</f>
        <v>-1.0629838925351858</v>
      </c>
      <c r="E111">
        <f>LOG(Table1_1[[#This Row],[PFOA]])</f>
        <v>-0.30980391997148632</v>
      </c>
      <c r="F111">
        <f>LOG(Table1_1[[#This Row],[PFNA]])</f>
        <v>-0.82535880733955158</v>
      </c>
      <c r="G111">
        <f>LOG(Table1_1[[#This Row],[PFDA]])</f>
        <v>9.3421685162235063E-2</v>
      </c>
      <c r="H111">
        <f>LOG(Table1_1[[#This Row],[PFUnA]])</f>
        <v>0.4099331233312945</v>
      </c>
      <c r="I111">
        <f>LOG(Table1_1[[#This Row],[PFDoA]])</f>
        <v>0.71683772329952444</v>
      </c>
      <c r="J111">
        <f>LOG(Table1_1[[#This Row],[PFTrDA]])</f>
        <v>0.39967372148103808</v>
      </c>
      <c r="K111">
        <f>LOG(Table1_1[[#This Row],[PFTeDA]])</f>
        <v>0.83122969386706336</v>
      </c>
      <c r="L111">
        <f>LOG(Table1_1[[#This Row],[PFHxDA]])</f>
        <v>-1.1079053973095196</v>
      </c>
      <c r="M111">
        <f>LOG(Table1_1[[#This Row],[PFPrS]])</f>
        <v>-0.78251605578609373</v>
      </c>
      <c r="N111">
        <f>LOG(Table1_1[[#This Row],[PFBS]])</f>
        <v>-0.83268266525182388</v>
      </c>
      <c r="O111">
        <f>LOG(Table1_1[[#This Row],[PFPeS]])</f>
        <v>-0.94119451332409321</v>
      </c>
      <c r="P111">
        <f>LOG(Table1_1[[#This Row],[PFHxS]])</f>
        <v>0.82994669594163595</v>
      </c>
      <c r="Q111">
        <f>LOG(Table1_1[[#This Row],[PFHpS]])</f>
        <v>8.6359830674748214E-2</v>
      </c>
      <c r="R111">
        <f>LOG(Table1_1[[#This Row],[PFOS]])</f>
        <v>2.6928469192772302</v>
      </c>
      <c r="S111">
        <f>LOG(Table1_1[[#This Row],[PFNS]])</f>
        <v>-2.91883891274822E-2</v>
      </c>
      <c r="T111">
        <f>LOG(Table1_1[[#This Row],[PFDS]])</f>
        <v>0.10720996964786837</v>
      </c>
      <c r="U111">
        <f>LOG(Table1_1[[#This Row],[PFDoS]])</f>
        <v>-0.63638802010785567</v>
      </c>
      <c r="V111">
        <f>LOG(Table1_1[[#This Row],[Cl-PFOS]])</f>
        <v>-0.88107424717422334</v>
      </c>
      <c r="W111">
        <f>LOG(Table1_1[[#This Row],[PFEtCHxS]])</f>
        <v>-1.0629838925351858</v>
      </c>
      <c r="X111">
        <f>LOG(Table1_1[[#This Row],[FBSA]])</f>
        <v>0.64542226934909186</v>
      </c>
      <c r="Y111">
        <f>LOG(Table1_1[[#This Row],[FHxSA]])</f>
        <v>1.4065401804339552</v>
      </c>
      <c r="Z111">
        <f>LOG(Table1_1[[#This Row],[FOSA]])</f>
        <v>0.77378644498119353</v>
      </c>
      <c r="AA111">
        <f>LOG(Table1_1[[#This Row],[N-MeFOSA]])</f>
        <v>-1.2967086218813386</v>
      </c>
      <c r="AB111">
        <f>LOG(Table1_1[[#This Row],[N-EtFOSA]])</f>
        <v>-1.1163385648463824</v>
      </c>
      <c r="AC111">
        <f>LOG(Table1_1[[#This Row],[FOSAA]])</f>
        <v>-1.288192770958809</v>
      </c>
      <c r="AD111">
        <f>LOG(Table1_1[[#This Row],[N-MeFOSAA]])</f>
        <v>-0.66254073870934382</v>
      </c>
      <c r="AE111">
        <f>LOG(Table1_1[[#This Row],[N-EtFOSAA]])</f>
        <v>-1.2441251443275085</v>
      </c>
      <c r="AF111">
        <f>LOG(Table1_1[[#This Row],[4:2 FTS]])</f>
        <v>-1.2676062401770316</v>
      </c>
      <c r="AG111">
        <f>LOG(Table1_1[[#This Row],[6:2 FTS]])</f>
        <v>-0.55595520408192367</v>
      </c>
      <c r="AH111">
        <f>LOG(Table1_1[[#This Row],[8:2 FTS]])</f>
        <v>0.19865708695442263</v>
      </c>
      <c r="AI111">
        <f>LOG(Table1_1[[#This Row],[10:2 FTS]])</f>
        <v>-1.1278437272517072</v>
      </c>
      <c r="AJ111">
        <f>LOG(Table1_1[[#This Row],[3:3 FTCA]])</f>
        <v>-1.1220530483708118</v>
      </c>
      <c r="AK111">
        <f>LOG(Table1_1[[#This Row],[5:3 FTCA]])</f>
        <v>-0.23657200643706275</v>
      </c>
      <c r="AL111">
        <f>LOG(Table1_1[[#This Row],[7:3 FTCA]])</f>
        <v>0.11058971029924898</v>
      </c>
      <c r="AM111">
        <f>LOG(Table1_1[[#This Row],[6:2 FTCA]])</f>
        <v>-1.1837587000082168</v>
      </c>
      <c r="AN111">
        <f>LOG(Table1_1[[#This Row],[8:2 FTCA]])</f>
        <v>0.18469143081759881</v>
      </c>
      <c r="AO111">
        <f>LOG(Table1_1[[#This Row],[10:2 FTCA]])</f>
        <v>-1.0109953843014632</v>
      </c>
      <c r="AP111">
        <f>LOG(Table1_1[[#This Row],[6:2 FTUCA]])</f>
        <v>-1.288192770958809</v>
      </c>
      <c r="AQ111">
        <f>LOG(Table1_1[[#This Row],[8:2 FTUCA]])</f>
        <v>-1.4028535121663046</v>
      </c>
      <c r="AR111">
        <f>LOG(Table1_1[[#This Row],[ADONA]])</f>
        <v>-1.1837587000082168</v>
      </c>
      <c r="AS111">
        <f>LOG(Table1_1[[#This Row],[9Cl-PF3ONS]])</f>
        <v>-1.1837587000082168</v>
      </c>
      <c r="AT111">
        <f>LOG(Table1_1[[#This Row],[11Cl-PF3OUdS]])</f>
        <v>-1.1837587000082168</v>
      </c>
      <c r="AU111">
        <f>LOG(Table1_1[[#This Row],[HFPO-DA]])</f>
        <v>-1.0268721464003014</v>
      </c>
      <c r="AV111">
        <f>LOG(Table1_1[[#This Row],[6:2 diPAP]])</f>
        <v>-1.1580151954098861</v>
      </c>
      <c r="AW111">
        <f>LOG(Table1_1[[#This Row],[8:2 diPAP]])</f>
        <v>-1.0604807473813815</v>
      </c>
      <c r="AX111">
        <f>LOG(Table1_1[[#This Row],[diSAmPAP]])</f>
        <v>-0.9393021596463883</v>
      </c>
    </row>
    <row r="112" spans="1:50">
      <c r="A112">
        <f>LOG(Table1_1[[#This Row],[PFBA]])</f>
        <v>-1.1706962271689751</v>
      </c>
      <c r="B112">
        <f>LOG(Table1_1[[#This Row],[PFPeA]])</f>
        <v>-1.3223930472795069</v>
      </c>
      <c r="C112">
        <f>LOG(Table1_1[[#This Row],[PFHxA]])</f>
        <v>-0.92081875395237522</v>
      </c>
      <c r="D112">
        <f>LOG(Table1_1[[#This Row],[PFHpA]])</f>
        <v>-1.0506099933550872</v>
      </c>
      <c r="E112">
        <f>LOG(Table1_1[[#This Row],[PFOA]])</f>
        <v>-0.19517932127883766</v>
      </c>
      <c r="F112">
        <f>LOG(Table1_1[[#This Row],[PFNA]])</f>
        <v>-0.51004152057516539</v>
      </c>
      <c r="G112">
        <f>LOG(Table1_1[[#This Row],[PFDA]])</f>
        <v>0.56348108539441066</v>
      </c>
      <c r="H112">
        <f>LOG(Table1_1[[#This Row],[PFUnA]])</f>
        <v>0.61066016308987991</v>
      </c>
      <c r="I112">
        <f>LOG(Table1_1[[#This Row],[PFDoA]])</f>
        <v>0.87966920563205353</v>
      </c>
      <c r="J112">
        <f>LOG(Table1_1[[#This Row],[PFTrDA]])</f>
        <v>0.2944662261615929</v>
      </c>
      <c r="K112">
        <f>LOG(Table1_1[[#This Row],[PFTeDA]])</f>
        <v>0.8394780473741984</v>
      </c>
      <c r="L112">
        <f>LOG(Table1_1[[#This Row],[PFHxDA]])</f>
        <v>-1.0942041196321315</v>
      </c>
      <c r="M112">
        <f>LOG(Table1_1[[#This Row],[PFPrS]])</f>
        <v>-1.288192770958809</v>
      </c>
      <c r="N112">
        <f>LOG(Table1_1[[#This Row],[PFBS]])</f>
        <v>-0.81958736716167624</v>
      </c>
      <c r="O112">
        <f>LOG(Table1_1[[#This Row],[PFPeS]])</f>
        <v>-0.92811799269387463</v>
      </c>
      <c r="P112">
        <f>LOG(Table1_1[[#This Row],[PFHxS]])</f>
        <v>0.97589113640179281</v>
      </c>
      <c r="Q112">
        <f>LOG(Table1_1[[#This Row],[PFHpS]])</f>
        <v>0.3010299956639812</v>
      </c>
      <c r="R112">
        <f>LOG(Table1_1[[#This Row],[PFOS]])</f>
        <v>2.916453948549925</v>
      </c>
      <c r="S112">
        <f>LOG(Table1_1[[#This Row],[PFNS]])</f>
        <v>6.069784035361165E-2</v>
      </c>
      <c r="T112">
        <f>LOG(Table1_1[[#This Row],[PFDS]])</f>
        <v>-3.6212172654444715E-2</v>
      </c>
      <c r="U112">
        <f>LOG(Table1_1[[#This Row],[PFDoS]])</f>
        <v>-0.62342304294348805</v>
      </c>
      <c r="V112">
        <f>LOG(Table1_1[[#This Row],[Cl-PFOS]])</f>
        <v>-0.86966623150499389</v>
      </c>
      <c r="W112">
        <f>LOG(Table1_1[[#This Row],[PFEtCHxS]])</f>
        <v>-1.0506099933550872</v>
      </c>
      <c r="X112">
        <f>LOG(Table1_1[[#This Row],[FBSA]])</f>
        <v>1.2810333672477277</v>
      </c>
      <c r="Y112">
        <f>LOG(Table1_1[[#This Row],[FHxSA]])</f>
        <v>1.9258275746247424</v>
      </c>
      <c r="Z112">
        <f>LOG(Table1_1[[#This Row],[FOSA]])</f>
        <v>0.84073323461180671</v>
      </c>
      <c r="AA112">
        <f>LOG(Table1_1[[#This Row],[N-MeFOSA]])</f>
        <v>-1.2839966563652008</v>
      </c>
      <c r="AB112">
        <f>LOG(Table1_1[[#This Row],[N-EtFOSA]])</f>
        <v>-1.1051303432547475</v>
      </c>
      <c r="AC112">
        <f>LOG(Table1_1[[#This Row],[FOSAA]])</f>
        <v>-1.2757241303992111</v>
      </c>
      <c r="AD112">
        <f>LOG(Table1_1[[#This Row],[N-MeFOSAA]])</f>
        <v>-0.64975198166583714</v>
      </c>
      <c r="AE112">
        <f>LOG(Table1_1[[#This Row],[N-EtFOSAA]])</f>
        <v>-1.2328441339178196</v>
      </c>
      <c r="AF112">
        <f>LOG(Table1_1[[#This Row],[4:2 FTS]])</f>
        <v>-1.2557070168773237</v>
      </c>
      <c r="AG112">
        <f>LOG(Table1_1[[#This Row],[6:2 FTS]])</f>
        <v>-0.87127771566157319</v>
      </c>
      <c r="AH112">
        <f>LOG(Table1_1[[#This Row],[8:2 FTS]])</f>
        <v>0.48144262850230496</v>
      </c>
      <c r="AI112">
        <f>LOG(Table1_1[[#This Row],[10:2 FTS]])</f>
        <v>-0.59773861754531976</v>
      </c>
      <c r="AJ112">
        <f>LOG(Table1_1[[#This Row],[3:3 FTCA]])</f>
        <v>-1.1106982974936896</v>
      </c>
      <c r="AK112">
        <f>LOG(Table1_1[[#This Row],[5:3 FTCA]])</f>
        <v>-0.6526699846830496</v>
      </c>
      <c r="AL112">
        <f>LOG(Table1_1[[#This Row],[7:3 FTCA]])</f>
        <v>0.13033376849500614</v>
      </c>
      <c r="AM112">
        <f>LOG(Table1_1[[#This Row],[6:2 FTCA]])</f>
        <v>-1.1706962271689751</v>
      </c>
      <c r="AN112">
        <f>LOG(Table1_1[[#This Row],[8:2 FTCA]])</f>
        <v>0.30535136944662378</v>
      </c>
      <c r="AO112">
        <f>LOG(Table1_1[[#This Row],[10:2 FTCA]])</f>
        <v>-0.4788619162959637</v>
      </c>
      <c r="AP112">
        <f>LOG(Table1_1[[#This Row],[6:2 FTUCA]])</f>
        <v>-1.2757241303992111</v>
      </c>
      <c r="AQ112">
        <f>LOG(Table1_1[[#This Row],[8:2 FTUCA]])</f>
        <v>-1.3898723869240046</v>
      </c>
      <c r="AR112">
        <f>LOG(Table1_1[[#This Row],[ADONA]])</f>
        <v>-1.1706962271689751</v>
      </c>
      <c r="AS112">
        <f>LOG(Table1_1[[#This Row],[9Cl-PF3ONS]])</f>
        <v>-1.1706962271689751</v>
      </c>
      <c r="AT112">
        <f>LOG(Table1_1[[#This Row],[11Cl-PF3OUdS]])</f>
        <v>-1.1706962271689751</v>
      </c>
      <c r="AU112">
        <f>LOG(Table1_1[[#This Row],[HFPO-DA]])</f>
        <v>-1.0132282657337552</v>
      </c>
      <c r="AV112">
        <f>LOG(Table1_1[[#This Row],[6:2 diPAP]])</f>
        <v>-1.1426675035687315</v>
      </c>
      <c r="AW112">
        <f>LOG(Table1_1[[#This Row],[8:2 diPAP]])</f>
        <v>-1.0481769646840879</v>
      </c>
      <c r="AX112">
        <f>LOG(Table1_1[[#This Row],[diSAmPAP]])</f>
        <v>-0.92628164965387738</v>
      </c>
    </row>
    <row r="113" spans="1:50">
      <c r="A113">
        <f>LOG(Table1_1[[#This Row],[PFBA]])</f>
        <v>-0.65955588515988162</v>
      </c>
      <c r="B113">
        <f>LOG(Table1_1[[#This Row],[PFPeA]])</f>
        <v>-1.329754146925876</v>
      </c>
      <c r="C113">
        <f>LOG(Table1_1[[#This Row],[PFHxA]])</f>
        <v>-1.4467239538629006</v>
      </c>
      <c r="D113">
        <f>LOG(Table1_1[[#This Row],[PFHpA]])</f>
        <v>-1.5767541260631921</v>
      </c>
      <c r="E113">
        <f>LOG(Table1_1[[#This Row],[PFOA]])</f>
        <v>6.445798922691845E-2</v>
      </c>
      <c r="F113">
        <f>LOG(Table1_1[[#This Row],[PFNA]])</f>
        <v>-0.32148162095988608</v>
      </c>
      <c r="G113">
        <f>LOG(Table1_1[[#This Row],[PFDA]])</f>
        <v>0.16435285578443709</v>
      </c>
      <c r="H113">
        <f>LOG(Table1_1[[#This Row],[PFUnA]])</f>
        <v>0.3344537511509309</v>
      </c>
      <c r="I113">
        <f>LOG(Table1_1[[#This Row],[PFDoA]])</f>
        <v>0.98136550907854447</v>
      </c>
      <c r="J113">
        <f>LOG(Table1_1[[#This Row],[PFTrDA]])</f>
        <v>0.44870631990507992</v>
      </c>
      <c r="K113">
        <f>LOG(Table1_1[[#This Row],[PFTeDA]])</f>
        <v>0.90091306773766899</v>
      </c>
      <c r="L113">
        <f>LOG(Table1_1[[#This Row],[PFHxDA]])</f>
        <v>-1.1023729087095586</v>
      </c>
      <c r="M113">
        <f>LOG(Table1_1[[#This Row],[PFPrS]])</f>
        <v>-1.2967086218813386</v>
      </c>
      <c r="N113">
        <f>LOG(Table1_1[[#This Row],[PFBS]])</f>
        <v>-0.82681373158772598</v>
      </c>
      <c r="O113">
        <f>LOG(Table1_1[[#This Row],[PFPeS]])</f>
        <v>-0.31695296176115045</v>
      </c>
      <c r="P113">
        <f>LOG(Table1_1[[#This Row],[PFHxS]])</f>
        <v>1.7218106152125465</v>
      </c>
      <c r="Q113">
        <f>LOG(Table1_1[[#This Row],[PFHpS]])</f>
        <v>0.53275437899249778</v>
      </c>
      <c r="R113">
        <f>LOG(Table1_1[[#This Row],[PFOS]])</f>
        <v>2.7881683711411678</v>
      </c>
      <c r="S113">
        <f>LOG(Table1_1[[#This Row],[PFNS]])</f>
        <v>-9.745322068600859E-2</v>
      </c>
      <c r="T113">
        <f>LOG(Table1_1[[#This Row],[PFDS]])</f>
        <v>-0.15058058620310061</v>
      </c>
      <c r="U113">
        <f>LOG(Table1_1[[#This Row],[PFDoS]])</f>
        <v>-0.63078414258985716</v>
      </c>
      <c r="V113">
        <f>LOG(Table1_1[[#This Row],[Cl-PFOS]])</f>
        <v>-0.87614835903291421</v>
      </c>
      <c r="W113">
        <f>LOG(Table1_1[[#This Row],[PFEtCHxS]])</f>
        <v>-1.0579919469776868</v>
      </c>
      <c r="X113">
        <f>LOG(Table1_1[[#This Row],[FBSA]])</f>
        <v>1.2013971243204515</v>
      </c>
      <c r="Y113">
        <f>LOG(Table1_1[[#This Row],[FHxSA]])</f>
        <v>1.8356905714924256</v>
      </c>
      <c r="Z113">
        <f>LOG(Table1_1[[#This Row],[FOSA]])</f>
        <v>0.75587485567249146</v>
      </c>
      <c r="AA113">
        <f>LOG(Table1_1[[#This Row],[N-MeFOSA]])</f>
        <v>-1.2924298239020637</v>
      </c>
      <c r="AB113">
        <f>LOG(Table1_1[[#This Row],[N-EtFOSA]])</f>
        <v>-1.1106982974936896</v>
      </c>
      <c r="AC113">
        <f>LOG(Table1_1[[#This Row],[FOSAA]])</f>
        <v>-1.2798406965940432</v>
      </c>
      <c r="AD113">
        <f>LOG(Table1_1[[#This Row],[N-MeFOSAA]])</f>
        <v>-0.65757731917779372</v>
      </c>
      <c r="AE113">
        <f>LOG(Table1_1[[#This Row],[N-EtFOSAA]])</f>
        <v>-1.2403321553103694</v>
      </c>
      <c r="AF113">
        <f>LOG(Table1_1[[#This Row],[4:2 FTS]])</f>
        <v>-1.2636034977233577</v>
      </c>
      <c r="AG113">
        <f>LOG(Table1_1[[#This Row],[6:2 FTS]])</f>
        <v>-0.20273245916928356</v>
      </c>
      <c r="AH113">
        <f>LOG(Table1_1[[#This Row],[8:2 FTS]])</f>
        <v>6.069784035361165E-2</v>
      </c>
      <c r="AI113">
        <f>LOG(Table1_1[[#This Row],[10:2 FTS]])</f>
        <v>-0.60467360693064909</v>
      </c>
      <c r="AJ113">
        <f>LOG(Table1_1[[#This Row],[3:3 FTCA]])</f>
        <v>-1.1163385648463824</v>
      </c>
      <c r="AK113">
        <f>LOG(Table1_1[[#This Row],[5:3 FTCA]])</f>
        <v>-0.65955588515988162</v>
      </c>
      <c r="AL113">
        <f>LOG(Table1_1[[#This Row],[7:3 FTCA]])</f>
        <v>0.18469143081759881</v>
      </c>
      <c r="AM113">
        <f>LOG(Table1_1[[#This Row],[6:2 FTCA]])</f>
        <v>-1.1771783546968955</v>
      </c>
      <c r="AN113">
        <f>LOG(Table1_1[[#This Row],[8:2 FTCA]])</f>
        <v>7.1882007306125359E-2</v>
      </c>
      <c r="AO113">
        <f>LOG(Table1_1[[#This Row],[10:2 FTCA]])</f>
        <v>-1.0043648054024501</v>
      </c>
      <c r="AP113">
        <f>LOG(Table1_1[[#This Row],[6:2 FTUCA]])</f>
        <v>-1.2839966563652008</v>
      </c>
      <c r="AQ113">
        <f>LOG(Table1_1[[#This Row],[8:2 FTUCA]])</f>
        <v>-1.3963144503853002</v>
      </c>
      <c r="AR113">
        <f>LOG(Table1_1[[#This Row],[ADONA]])</f>
        <v>-1.1771783546968955</v>
      </c>
      <c r="AS113">
        <f>LOG(Table1_1[[#This Row],[9Cl-PF3ONS]])</f>
        <v>-1.1771783546968955</v>
      </c>
      <c r="AT113">
        <f>LOG(Table1_1[[#This Row],[11Cl-PF3OUdS]])</f>
        <v>-1.1771783546968955</v>
      </c>
      <c r="AU113">
        <f>LOG(Table1_1[[#This Row],[HFPO-DA]])</f>
        <v>-1.0222763947111522</v>
      </c>
      <c r="AV113">
        <f>LOG(Table1_1[[#This Row],[6:2 diPAP]])</f>
        <v>-1.1518108830086013</v>
      </c>
      <c r="AW113">
        <f>LOG(Table1_1[[#This Row],[8:2 diPAP]])</f>
        <v>-1.0555173278498313</v>
      </c>
      <c r="AX113">
        <f>LOG(Table1_1[[#This Row],[diSAmPAP]])</f>
        <v>-0.9318141382538383</v>
      </c>
    </row>
    <row r="114" spans="1:50">
      <c r="A114">
        <f>LOG(Table1_1[[#This Row],[PFBA]])</f>
        <v>-0.64397414280687726</v>
      </c>
      <c r="B114">
        <f>LOG(Table1_1[[#This Row],[PFPeA]])</f>
        <v>-1.3129171553956294</v>
      </c>
      <c r="C114">
        <f>LOG(Table1_1[[#This Row],[PFHxA]])</f>
        <v>-0.91186391129944877</v>
      </c>
      <c r="D114">
        <f>LOG(Table1_1[[#This Row],[PFHpA]])</f>
        <v>-1.0409586076789064</v>
      </c>
      <c r="E114">
        <f>LOG(Table1_1[[#This Row],[PFOA]])</f>
        <v>-0.48811663902112562</v>
      </c>
      <c r="F114">
        <f>LOG(Table1_1[[#This Row],[PFNA]])</f>
        <v>-0.80410034759076621</v>
      </c>
      <c r="G114">
        <f>LOG(Table1_1[[#This Row],[PFDA]])</f>
        <v>0.57287160220048017</v>
      </c>
      <c r="H114">
        <f>LOG(Table1_1[[#This Row],[PFUnA]])</f>
        <v>0.84880470105180372</v>
      </c>
      <c r="I114">
        <f>LOG(Table1_1[[#This Row],[PFDoA]])</f>
        <v>1.2922560713564761</v>
      </c>
      <c r="J114">
        <f>LOG(Table1_1[[#This Row],[PFTrDA]])</f>
        <v>0.55266821611219319</v>
      </c>
      <c r="K114">
        <f>LOG(Table1_1[[#This Row],[PFTeDA]])</f>
        <v>1.3304137733491908</v>
      </c>
      <c r="L114">
        <f>LOG(Table1_1[[#This Row],[PFHxDA]])</f>
        <v>-1.0861861476162833</v>
      </c>
      <c r="M114">
        <f>LOG(Table1_1[[#This Row],[PFPrS]])</f>
        <v>-1.2798406965940432</v>
      </c>
      <c r="N114">
        <f>LOG(Table1_1[[#This Row],[PFBS]])</f>
        <v>-0.81107151623914653</v>
      </c>
      <c r="O114">
        <f>LOG(Table1_1[[#This Row],[PFPeS]])</f>
        <v>-0.92081875395237522</v>
      </c>
      <c r="P114">
        <f>LOG(Table1_1[[#This Row],[PFHxS]])</f>
        <v>0.8286598965353198</v>
      </c>
      <c r="Q114">
        <f>LOG(Table1_1[[#This Row],[PFHpS]])</f>
        <v>3.342375548694973E-2</v>
      </c>
      <c r="R114">
        <f>LOG(Table1_1[[#This Row],[PFOS]])</f>
        <v>2.9637878273455551</v>
      </c>
      <c r="S114">
        <f>LOG(Table1_1[[#This Row],[PFNS]])</f>
        <v>-0.12667939818460122</v>
      </c>
      <c r="T114">
        <f>LOG(Table1_1[[#This Row],[PFDS]])</f>
        <v>-0.17134010346468015</v>
      </c>
      <c r="U114">
        <f>LOG(Table1_1[[#This Row],[PFDoS]])</f>
        <v>-0.61528825706171753</v>
      </c>
      <c r="V114">
        <f>LOG(Table1_1[[#This Row],[Cl-PFOS]])</f>
        <v>-0.86012091359876341</v>
      </c>
      <c r="W114">
        <f>LOG(Table1_1[[#This Row],[PFEtCHxS]])</f>
        <v>-1.0409586076789064</v>
      </c>
      <c r="X114">
        <f>LOG(Table1_1[[#This Row],[FBSA]])</f>
        <v>1.6170003411208989</v>
      </c>
      <c r="Y114">
        <f>LOG(Table1_1[[#This Row],[FHxSA]])</f>
        <v>1.9836262871245345</v>
      </c>
      <c r="Z114">
        <f>LOG(Table1_1[[#This Row],[FOSA]])</f>
        <v>1.2148438480476977</v>
      </c>
      <c r="AA114">
        <f>LOG(Table1_1[[#This Row],[N-MeFOSA]])</f>
        <v>-1.2757241303992111</v>
      </c>
      <c r="AB114">
        <f>LOG(Table1_1[[#This Row],[N-EtFOSA]])</f>
        <v>-1.0942041196321315</v>
      </c>
      <c r="AC114">
        <f>LOG(Table1_1[[#This Row],[FOSAA]])</f>
        <v>-1.2676062401770316</v>
      </c>
      <c r="AD114">
        <f>LOG(Table1_1[[#This Row],[N-MeFOSAA]])</f>
        <v>-9.1514981121350217E-2</v>
      </c>
      <c r="AE114">
        <f>LOG(Table1_1[[#This Row],[N-EtFOSAA]])</f>
        <v>-1.2254830342714504</v>
      </c>
      <c r="AF114">
        <f>LOG(Table1_1[[#This Row],[4:2 FTS]])</f>
        <v>-1.2479515521805615</v>
      </c>
      <c r="AG114">
        <f>LOG(Table1_1[[#This Row],[6:2 FTS]])</f>
        <v>-0.86327943284359321</v>
      </c>
      <c r="AH114">
        <f>LOG(Table1_1[[#This Row],[8:2 FTS]])</f>
        <v>-0.22767829327708025</v>
      </c>
      <c r="AI114">
        <f>LOG(Table1_1[[#This Row],[10:2 FTS]])</f>
        <v>-0.58922276662279016</v>
      </c>
      <c r="AJ114">
        <f>LOG(Table1_1[[#This Row],[3:3 FTCA]])</f>
        <v>-1.0996328713435297</v>
      </c>
      <c r="AK114">
        <f>LOG(Table1_1[[#This Row],[5:3 FTCA]])</f>
        <v>-6.7019178076801841E-2</v>
      </c>
      <c r="AL114">
        <f>LOG(Table1_1[[#This Row],[7:3 FTCA]])</f>
        <v>1.2648178230095364</v>
      </c>
      <c r="AM114">
        <f>LOG(Table1_1[[#This Row],[6:2 FTCA]])</f>
        <v>-1.1611509092627446</v>
      </c>
      <c r="AN114">
        <f>LOG(Table1_1[[#This Row],[8:2 FTCA]])</f>
        <v>-1.1611509092627446</v>
      </c>
      <c r="AO114">
        <f>LOG(Table1_1[[#This Row],[10:2 FTCA]])</f>
        <v>-8.7246696328677029E-2</v>
      </c>
      <c r="AP114">
        <f>LOG(Table1_1[[#This Row],[6:2 FTUCA]])</f>
        <v>-1.2676062401770316</v>
      </c>
      <c r="AQ114">
        <f>LOG(Table1_1[[#This Row],[8:2 FTUCA]])</f>
        <v>-1.3819519032879073</v>
      </c>
      <c r="AR114">
        <f>LOG(Table1_1[[#This Row],[ADONA]])</f>
        <v>-1.1611509092627446</v>
      </c>
      <c r="AS114">
        <f>LOG(Table1_1[[#This Row],[9Cl-PF3ONS]])</f>
        <v>-1.1611509092627446</v>
      </c>
      <c r="AT114">
        <f>LOG(Table1_1[[#This Row],[11Cl-PF3OUdS]])</f>
        <v>-1.1611509092627446</v>
      </c>
      <c r="AU114">
        <f>LOG(Table1_1[[#This Row],[HFPO-DA]])</f>
        <v>-1.0065637695023884</v>
      </c>
      <c r="AV114">
        <f>LOG(Table1_1[[#This Row],[6:2 diPAP]])</f>
        <v>-1.1366771398795441</v>
      </c>
      <c r="AW114">
        <f>LOG(Table1_1[[#This Row],[8:2 diPAP]])</f>
        <v>-1.0409586076789064</v>
      </c>
      <c r="AX114">
        <f>LOG(Table1_1[[#This Row],[diSAmPAP]])</f>
        <v>-0.91721462968354994</v>
      </c>
    </row>
    <row r="115" spans="1:50">
      <c r="A115">
        <f>LOG(Table1_1[[#This Row],[PFBA]])</f>
        <v>-0.65169513695183934</v>
      </c>
      <c r="B115">
        <f>LOG(Table1_1[[#This Row],[PFPeA]])</f>
        <v>-1.3210266240802349</v>
      </c>
      <c r="C115">
        <f>LOG(Table1_1[[#This Row],[PFHxA]])</f>
        <v>-1.4377071355435254</v>
      </c>
      <c r="D115">
        <f>LOG(Table1_1[[#This Row],[PFHpA]])</f>
        <v>-1.0506099933550872</v>
      </c>
      <c r="E115">
        <f>LOG(Table1_1[[#This Row],[PFOA]])</f>
        <v>9.3421685162235063E-2</v>
      </c>
      <c r="F115">
        <f>LOG(Table1_1[[#This Row],[PFNA]])</f>
        <v>-0.1778319206319825</v>
      </c>
      <c r="G115">
        <f>LOG(Table1_1[[#This Row],[PFDA]])</f>
        <v>0.69897000433601886</v>
      </c>
      <c r="H115">
        <f>LOG(Table1_1[[#This Row],[PFUnA]])</f>
        <v>0.70671778233675875</v>
      </c>
      <c r="I115">
        <f>LOG(Table1_1[[#This Row],[PFDoA]])</f>
        <v>0.86451108105839192</v>
      </c>
      <c r="J115">
        <f>LOG(Table1_1[[#This Row],[PFTrDA]])</f>
        <v>0.2355284469075489</v>
      </c>
      <c r="K115">
        <f>LOG(Table1_1[[#This Row],[PFTeDA]])</f>
        <v>0.75587485567249146</v>
      </c>
      <c r="L115">
        <f>LOG(Table1_1[[#This Row],[PFHxDA]])</f>
        <v>-1.0942041196321315</v>
      </c>
      <c r="M115">
        <f>LOG(Table1_1[[#This Row],[PFPrS]])</f>
        <v>-1.288192770958809</v>
      </c>
      <c r="N115">
        <f>LOG(Table1_1[[#This Row],[PFBS]])</f>
        <v>-0.81958736716167624</v>
      </c>
      <c r="O115">
        <f>LOG(Table1_1[[#This Row],[PFPeS]])</f>
        <v>-0.92811799269387463</v>
      </c>
      <c r="P115">
        <f>LOG(Table1_1[[#This Row],[PFHxS]])</f>
        <v>1.0969100130080565</v>
      </c>
      <c r="Q115">
        <f>LOG(Table1_1[[#This Row],[PFHpS]])</f>
        <v>0.22271647114758325</v>
      </c>
      <c r="R115">
        <f>LOG(Table1_1[[#This Row],[PFOS]])</f>
        <v>3.1105897102992488</v>
      </c>
      <c r="S115">
        <f>LOG(Table1_1[[#This Row],[PFNS]])</f>
        <v>0.19865708695442263</v>
      </c>
      <c r="T115">
        <f>LOG(Table1_1[[#This Row],[PFDS]])</f>
        <v>4.1392685158225077E-2</v>
      </c>
      <c r="U115">
        <f>LOG(Table1_1[[#This Row],[PFDoS]])</f>
        <v>-0.62251161662386734</v>
      </c>
      <c r="V115">
        <f>LOG(Table1_1[[#This Row],[Cl-PFOS]])</f>
        <v>-0.86806070478957542</v>
      </c>
      <c r="W115">
        <f>LOG(Table1_1[[#This Row],[PFEtCHxS]])</f>
        <v>-0.73754891026957059</v>
      </c>
      <c r="X115">
        <f>LOG(Table1_1[[#This Row],[FBSA]])</f>
        <v>1.4116197059632303</v>
      </c>
      <c r="Y115">
        <f>LOG(Table1_1[[#This Row],[FHxSA]])</f>
        <v>1.9175055095525466</v>
      </c>
      <c r="Z115">
        <f>LOG(Table1_1[[#This Row],[FOSA]])</f>
        <v>1.0863598306747482</v>
      </c>
      <c r="AA115">
        <f>LOG(Table1_1[[#This Row],[N-MeFOSA]])</f>
        <v>-1.2839966563652008</v>
      </c>
      <c r="AB115">
        <f>LOG(Table1_1[[#This Row],[N-EtFOSA]])</f>
        <v>-1.1023729087095586</v>
      </c>
      <c r="AC115">
        <f>LOG(Table1_1[[#This Row],[FOSAA]])</f>
        <v>-1.2757241303992111</v>
      </c>
      <c r="AD115">
        <f>LOG(Table1_1[[#This Row],[N-MeFOSAA]])</f>
        <v>-0.32605800136591223</v>
      </c>
      <c r="AE115">
        <f>LOG(Table1_1[[#This Row],[N-EtFOSAA]])</f>
        <v>-1.2328441339178196</v>
      </c>
      <c r="AF115">
        <f>LOG(Table1_1[[#This Row],[4:2 FTS]])</f>
        <v>-1.2557070168773237</v>
      </c>
      <c r="AG115">
        <f>LOG(Table1_1[[#This Row],[6:2 FTS]])</f>
        <v>-0.87127771566157319</v>
      </c>
      <c r="AH115">
        <f>LOG(Table1_1[[#This Row],[8:2 FTS]])</f>
        <v>0.59106460702649921</v>
      </c>
      <c r="AI115">
        <f>LOG(Table1_1[[#This Row],[10:2 FTS]])</f>
        <v>-0.59687947882418213</v>
      </c>
      <c r="AJ115">
        <f>LOG(Table1_1[[#This Row],[3:3 FTCA]])</f>
        <v>-1.1079053973095196</v>
      </c>
      <c r="AK115">
        <f>LOG(Table1_1[[#This Row],[5:3 FTCA]])</f>
        <v>-0.65169513695183934</v>
      </c>
      <c r="AL115">
        <f>LOG(Table1_1[[#This Row],[7:3 FTCA]])</f>
        <v>0.17609125905568124</v>
      </c>
      <c r="AM115">
        <f>LOG(Table1_1[[#This Row],[6:2 FTCA]])</f>
        <v>-1.1706962271689751</v>
      </c>
      <c r="AN115">
        <f>LOG(Table1_1[[#This Row],[8:2 FTCA]])</f>
        <v>-0.65169513695183934</v>
      </c>
      <c r="AO115">
        <f>LOG(Table1_1[[#This Row],[10:2 FTCA]])</f>
        <v>-0.47820835036087656</v>
      </c>
      <c r="AP115">
        <f>LOG(Table1_1[[#This Row],[6:2 FTUCA]])</f>
        <v>-1.2757241303992111</v>
      </c>
      <c r="AQ115">
        <f>LOG(Table1_1[[#This Row],[8:2 FTUCA]])</f>
        <v>-1.3898723869240046</v>
      </c>
      <c r="AR115">
        <f>LOG(Table1_1[[#This Row],[ADONA]])</f>
        <v>-1.1706962271689751</v>
      </c>
      <c r="AS115">
        <f>LOG(Table1_1[[#This Row],[9Cl-PF3ONS]])</f>
        <v>-1.1706962271689751</v>
      </c>
      <c r="AT115">
        <f>LOG(Table1_1[[#This Row],[11Cl-PF3OUdS]])</f>
        <v>-1.1706962271689751</v>
      </c>
      <c r="AU115">
        <f>LOG(Table1_1[[#This Row],[HFPO-DA]])</f>
        <v>-1.0132282657337552</v>
      </c>
      <c r="AV115">
        <f>LOG(Table1_1[[#This Row],[6:2 diPAP]])</f>
        <v>-1.1426675035687315</v>
      </c>
      <c r="AW115">
        <f>LOG(Table1_1[[#This Row],[8:2 diPAP]])</f>
        <v>-1.0481769646840879</v>
      </c>
      <c r="AX115">
        <f>LOG(Table1_1[[#This Row],[diSAmPAP]])</f>
        <v>-0.9244530386074693</v>
      </c>
    </row>
    <row r="116" spans="1:50">
      <c r="A116">
        <f>LOG(Table1_1[[#This Row],[PFBA]])</f>
        <v>-0.64685345378602066</v>
      </c>
      <c r="B116">
        <f>LOG(Table1_1[[#This Row],[PFPeA]])</f>
        <v>-1.3156035215809796</v>
      </c>
      <c r="C116">
        <f>LOG(Table1_1[[#This Row],[PFHxA]])</f>
        <v>-1.4341521813264824</v>
      </c>
      <c r="D116">
        <f>LOG(Table1_1[[#This Row],[PFHpA]])</f>
        <v>-1.5646334933873387</v>
      </c>
      <c r="E116">
        <f>LOG(Table1_1[[#This Row],[PFOA]])</f>
        <v>-0.4788619162959637</v>
      </c>
      <c r="F116">
        <f>LOG(Table1_1[[#This Row],[PFNA]])</f>
        <v>-1.3255981871547182</v>
      </c>
      <c r="G116">
        <f>LOG(Table1_1[[#This Row],[PFDA]])</f>
        <v>0.72015930340595691</v>
      </c>
      <c r="H116">
        <f>LOG(Table1_1[[#This Row],[PFUnA]])</f>
        <v>0.89320675305984798</v>
      </c>
      <c r="I116">
        <f>LOG(Table1_1[[#This Row],[PFDoA]])</f>
        <v>1.3617278360175928</v>
      </c>
      <c r="J116">
        <f>LOG(Table1_1[[#This Row],[PFTrDA]])</f>
        <v>0.72591163229504818</v>
      </c>
      <c r="K116">
        <f>LOG(Table1_1[[#This Row],[PFTeDA]])</f>
        <v>1.2810333672477277</v>
      </c>
      <c r="L116">
        <f>LOG(Table1_1[[#This Row],[PFHxDA]])</f>
        <v>-1.0888423912600234</v>
      </c>
      <c r="M116">
        <f>LOG(Table1_1[[#This Row],[PFPrS]])</f>
        <v>-1.2839966563652008</v>
      </c>
      <c r="N116">
        <f>LOG(Table1_1[[#This Row],[PFBS]])</f>
        <v>-0.81389162018679473</v>
      </c>
      <c r="O116">
        <f>LOG(Table1_1[[#This Row],[PFPeS]])</f>
        <v>-0.92263209471584351</v>
      </c>
      <c r="P116">
        <f>LOG(Table1_1[[#This Row],[PFHxS]])</f>
        <v>0.92012332629072391</v>
      </c>
      <c r="Q116">
        <f>LOG(Table1_1[[#This Row],[PFHpS]])</f>
        <v>-0.14874165128092473</v>
      </c>
      <c r="R116">
        <f>LOG(Table1_1[[#This Row],[PFOS]])</f>
        <v>3.1846914308175989</v>
      </c>
      <c r="S116">
        <f>LOG(Table1_1[[#This Row],[PFNS]])</f>
        <v>0.19865708695442263</v>
      </c>
      <c r="T116">
        <f>LOG(Table1_1[[#This Row],[PFDS]])</f>
        <v>0.23299611039215382</v>
      </c>
      <c r="U116">
        <f>LOG(Table1_1[[#This Row],[PFDoS]])</f>
        <v>-2.6136156026866902E-3</v>
      </c>
      <c r="V116">
        <f>LOG(Table1_1[[#This Row],[Cl-PFOS]])</f>
        <v>-0.86327943284359321</v>
      </c>
      <c r="W116">
        <f>LOG(Table1_1[[#This Row],[PFEtCHxS]])</f>
        <v>-1.0457574905606752</v>
      </c>
      <c r="X116">
        <f>LOG(Table1_1[[#This Row],[FBSA]])</f>
        <v>1.5237464668115646</v>
      </c>
      <c r="Y116">
        <f>LOG(Table1_1[[#This Row],[FHxSA]])</f>
        <v>1.546542663478131</v>
      </c>
      <c r="Z116">
        <f>LOG(Table1_1[[#This Row],[FOSA]])</f>
        <v>1</v>
      </c>
      <c r="AA116">
        <f>LOG(Table1_1[[#This Row],[N-MeFOSA]])</f>
        <v>-1.2798406965940432</v>
      </c>
      <c r="AB116">
        <f>LOG(Table1_1[[#This Row],[N-EtFOSA]])</f>
        <v>-1.0996328713435297</v>
      </c>
      <c r="AC116">
        <f>LOG(Table1_1[[#This Row],[FOSAA]])</f>
        <v>-1.2676062401770316</v>
      </c>
      <c r="AD116">
        <f>LOG(Table1_1[[#This Row],[N-MeFOSAA]])</f>
        <v>-4.4793462458058257E-2</v>
      </c>
      <c r="AE116">
        <f>LOG(Table1_1[[#This Row],[N-EtFOSAA]])</f>
        <v>-1.2291479883578558</v>
      </c>
      <c r="AF116">
        <f>LOG(Table1_1[[#This Row],[4:2 FTS]])</f>
        <v>-1.2518119729937995</v>
      </c>
      <c r="AG116">
        <f>LOG(Table1_1[[#This Row],[6:2 FTS]])</f>
        <v>-1.3851027839668655</v>
      </c>
      <c r="AH116">
        <f>LOG(Table1_1[[#This Row],[8:2 FTS]])</f>
        <v>0.3979400086720376</v>
      </c>
      <c r="AI116">
        <f>LOG(Table1_1[[#This Row],[10:2 FTS]])</f>
        <v>-0.59176003468815042</v>
      </c>
      <c r="AJ116">
        <f>LOG(Table1_1[[#This Row],[3:3 FTCA]])</f>
        <v>-1.1023729087095586</v>
      </c>
      <c r="AK116">
        <f>LOG(Table1_1[[#This Row],[5:3 FTCA]])</f>
        <v>1.0211892990699381</v>
      </c>
      <c r="AL116">
        <f>LOG(Table1_1[[#This Row],[7:3 FTCA]])</f>
        <v>1.7168377232995244</v>
      </c>
      <c r="AM116">
        <f>LOG(Table1_1[[#This Row],[6:2 FTCA]])</f>
        <v>-1.1643094285075744</v>
      </c>
      <c r="AN116">
        <f>LOG(Table1_1[[#This Row],[8:2 FTCA]])</f>
        <v>0.32014628611105395</v>
      </c>
      <c r="AO116">
        <f>LOG(Table1_1[[#This Row],[10:2 FTCA]])</f>
        <v>-0.99139982823808248</v>
      </c>
      <c r="AP116">
        <f>LOG(Table1_1[[#This Row],[6:2 FTUCA]])</f>
        <v>-1.2716462179787715</v>
      </c>
      <c r="AQ116">
        <f>LOG(Table1_1[[#This Row],[8:2 FTUCA]])</f>
        <v>-1.3851027839668655</v>
      </c>
      <c r="AR116">
        <f>LOG(Table1_1[[#This Row],[ADONA]])</f>
        <v>-1.1643094285075744</v>
      </c>
      <c r="AS116">
        <f>LOG(Table1_1[[#This Row],[9Cl-PF3ONS]])</f>
        <v>-1.1643094285075744</v>
      </c>
      <c r="AT116">
        <f>LOG(Table1_1[[#This Row],[11Cl-PF3OUdS]])</f>
        <v>-1.1643094285075744</v>
      </c>
      <c r="AU116">
        <f>LOG(Table1_1[[#This Row],[HFPO-DA]])</f>
        <v>-1.0087739243075051</v>
      </c>
      <c r="AV116">
        <f>LOG(Table1_1[[#This Row],[6:2 diPAP]])</f>
        <v>-1.1396619934290064</v>
      </c>
      <c r="AW116">
        <f>LOG(Table1_1[[#This Row],[8:2 diPAP]])</f>
        <v>-1.0433514207947967</v>
      </c>
      <c r="AX116">
        <f>LOG(Table1_1[[#This Row],[diSAmPAP]])</f>
        <v>-0.92081875395237522</v>
      </c>
    </row>
    <row r="117" spans="1:50">
      <c r="A117">
        <f>LOG(Table1_1[[#This Row],[PFBA]])</f>
        <v>-0.65955588515988162</v>
      </c>
      <c r="B117">
        <f>LOG(Table1_1[[#This Row],[PFPeA]])</f>
        <v>-1.3283644033978703</v>
      </c>
      <c r="C117">
        <f>LOG(Table1_1[[#This Row],[PFHxA]])</f>
        <v>-1.4467239538629006</v>
      </c>
      <c r="D117">
        <f>LOG(Table1_1[[#This Row],[PFHpA]])</f>
        <v>-1.0579919469776868</v>
      </c>
      <c r="E117">
        <f>LOG(Table1_1[[#This Row],[PFOA]])</f>
        <v>0.37291200297010657</v>
      </c>
      <c r="F117">
        <f>LOG(Table1_1[[#This Row],[PFNA]])</f>
        <v>-0.20901152491118416</v>
      </c>
      <c r="G117">
        <f>LOG(Table1_1[[#This Row],[PFDA]])</f>
        <v>0.52244423350631986</v>
      </c>
      <c r="H117">
        <f>LOG(Table1_1[[#This Row],[PFUnA]])</f>
        <v>0.57863920996807239</v>
      </c>
      <c r="I117">
        <f>LOG(Table1_1[[#This Row],[PFDoA]])</f>
        <v>0.95808584852108514</v>
      </c>
      <c r="J117">
        <f>LOG(Table1_1[[#This Row],[PFTrDA]])</f>
        <v>0.49136169383427269</v>
      </c>
      <c r="K117">
        <f>LOG(Table1_1[[#This Row],[PFTeDA]])</f>
        <v>1.0211892990699381</v>
      </c>
      <c r="L117">
        <f>LOG(Table1_1[[#This Row],[PFHxDA]])</f>
        <v>-1.1023729087095586</v>
      </c>
      <c r="M117">
        <f>LOG(Table1_1[[#This Row],[PFPrS]])</f>
        <v>-1.2967086218813386</v>
      </c>
      <c r="N117">
        <f>LOG(Table1_1[[#This Row],[PFBS]])</f>
        <v>-0.82681373158772598</v>
      </c>
      <c r="O117">
        <f>LOG(Table1_1[[#This Row],[PFPeS]])</f>
        <v>-0.93554201077308152</v>
      </c>
      <c r="P117">
        <f>LOG(Table1_1[[#This Row],[PFHxS]])</f>
        <v>1.2855573090077739</v>
      </c>
      <c r="Q117">
        <f>LOG(Table1_1[[#This Row],[PFHpS]])</f>
        <v>4.5322978786657475E-2</v>
      </c>
      <c r="R117">
        <f>LOG(Table1_1[[#This Row],[PFOS]])</f>
        <v>3.0606978403536118</v>
      </c>
      <c r="S117">
        <f>LOG(Table1_1[[#This Row],[PFNS]])</f>
        <v>-0.18976748200491589</v>
      </c>
      <c r="T117">
        <f>LOG(Table1_1[[#This Row],[PFDS]])</f>
        <v>-0.12033079436794646</v>
      </c>
      <c r="U117">
        <f>LOG(Table1_1[[#This Row],[PFDoS]])</f>
        <v>-0.62985715294889799</v>
      </c>
      <c r="V117">
        <f>LOG(Table1_1[[#This Row],[Cl-PFOS]])</f>
        <v>-0.87614835903291421</v>
      </c>
      <c r="W117">
        <f>LOG(Table1_1[[#This Row],[PFEtCHxS]])</f>
        <v>-1.0579919469776868</v>
      </c>
      <c r="X117">
        <f>LOG(Table1_1[[#This Row],[FBSA]])</f>
        <v>1.4548448600085102</v>
      </c>
      <c r="Y117">
        <f>LOG(Table1_1[[#This Row],[FHxSA]])</f>
        <v>1.8970770032094204</v>
      </c>
      <c r="Z117">
        <f>LOG(Table1_1[[#This Row],[FOSA]])</f>
        <v>1.2671717284030137</v>
      </c>
      <c r="AA117">
        <f>LOG(Table1_1[[#This Row],[N-MeFOSA]])</f>
        <v>-1.2924298239020637</v>
      </c>
      <c r="AB117">
        <f>LOG(Table1_1[[#This Row],[N-EtFOSA]])</f>
        <v>-1.1106982974936896</v>
      </c>
      <c r="AC117">
        <f>LOG(Table1_1[[#This Row],[FOSAA]])</f>
        <v>-1.2798406965940432</v>
      </c>
      <c r="AD117">
        <f>LOG(Table1_1[[#This Row],[N-MeFOSAA]])</f>
        <v>-0.33724216831842591</v>
      </c>
      <c r="AE117">
        <f>LOG(Table1_1[[#This Row],[N-EtFOSAA]])</f>
        <v>-1.2403321553103694</v>
      </c>
      <c r="AF117">
        <f>LOG(Table1_1[[#This Row],[4:2 FTS]])</f>
        <v>-1.2636034977233577</v>
      </c>
      <c r="AG117">
        <f>LOG(Table1_1[[#This Row],[6:2 FTS]])</f>
        <v>-0.16430942850757441</v>
      </c>
      <c r="AH117">
        <f>LOG(Table1_1[[#This Row],[8:2 FTS]])</f>
        <v>0.71180722904119109</v>
      </c>
      <c r="AI117">
        <f>LOG(Table1_1[[#This Row],[10:2 FTS]])</f>
        <v>-0.60380065290426366</v>
      </c>
      <c r="AJ117">
        <f>LOG(Table1_1[[#This Row],[3:3 FTCA]])</f>
        <v>-1.1163385648463824</v>
      </c>
      <c r="AK117">
        <f>LOG(Table1_1[[#This Row],[5:3 FTCA]])</f>
        <v>-0.65955588515988162</v>
      </c>
      <c r="AL117">
        <f>LOG(Table1_1[[#This Row],[7:3 FTCA]])</f>
        <v>0.62221402296629535</v>
      </c>
      <c r="AM117">
        <f>LOG(Table1_1[[#This Row],[6:2 FTCA]])</f>
        <v>-0.65955588515988162</v>
      </c>
      <c r="AN117">
        <f>LOG(Table1_1[[#This Row],[8:2 FTCA]])</f>
        <v>-1.1771783546968955</v>
      </c>
      <c r="AO117">
        <f>LOG(Table1_1[[#This Row],[10:2 FTCA]])</f>
        <v>-1.0043648054024501</v>
      </c>
      <c r="AP117">
        <f>LOG(Table1_1[[#This Row],[6:2 FTUCA]])</f>
        <v>-1.2839966563652008</v>
      </c>
      <c r="AQ117">
        <f>LOG(Table1_1[[#This Row],[8:2 FTUCA]])</f>
        <v>-1.3963144503853002</v>
      </c>
      <c r="AR117">
        <f>LOG(Table1_1[[#This Row],[ADONA]])</f>
        <v>-1.1771783546968955</v>
      </c>
      <c r="AS117">
        <f>LOG(Table1_1[[#This Row],[9Cl-PF3ONS]])</f>
        <v>-1.1771783546968955</v>
      </c>
      <c r="AT117">
        <f>LOG(Table1_1[[#This Row],[11Cl-PF3OUdS]])</f>
        <v>-1.1771783546968955</v>
      </c>
      <c r="AU117">
        <f>LOG(Table1_1[[#This Row],[HFPO-DA]])</f>
        <v>-1.0199966284162536</v>
      </c>
      <c r="AV117">
        <f>LOG(Table1_1[[#This Row],[6:2 diPAP]])</f>
        <v>-1.1518108830086013</v>
      </c>
      <c r="AW117">
        <f>LOG(Table1_1[[#This Row],[8:2 diPAP]])</f>
        <v>-1.0555173278498313</v>
      </c>
      <c r="AX117">
        <f>LOG(Table1_1[[#This Row],[diSAmPAP]])</f>
        <v>-0.9318141382538383</v>
      </c>
    </row>
    <row r="118" spans="1:50">
      <c r="A118">
        <f>LOG(Table1_1[[#This Row],[PFBA]])</f>
        <v>-1.1804560644581312</v>
      </c>
      <c r="B118">
        <f>LOG(Table1_1[[#This Row],[PFPeA]])</f>
        <v>-1.329754146925876</v>
      </c>
      <c r="C118">
        <f>LOG(Table1_1[[#This Row],[PFHxA]])</f>
        <v>-1.4467239538629006</v>
      </c>
      <c r="D118">
        <f>LOG(Table1_1[[#This Row],[PFHpA]])</f>
        <v>-1.5767541260631921</v>
      </c>
      <c r="E118">
        <f>LOG(Table1_1[[#This Row],[PFOA]])</f>
        <v>-0.48148606012211248</v>
      </c>
      <c r="F118">
        <f>LOG(Table1_1[[#This Row],[PFNA]])</f>
        <v>-1.3381873144627388</v>
      </c>
      <c r="G118">
        <f>LOG(Table1_1[[#This Row],[PFDA]])</f>
        <v>0.52633927738984398</v>
      </c>
      <c r="H118">
        <f>LOG(Table1_1[[#This Row],[PFUnA]])</f>
        <v>0.63447727016073152</v>
      </c>
      <c r="I118">
        <f>LOG(Table1_1[[#This Row],[PFDoA]])</f>
        <v>0.94299959336604045</v>
      </c>
      <c r="J118">
        <f>LOG(Table1_1[[#This Row],[PFTrDA]])</f>
        <v>0.51851393987788741</v>
      </c>
      <c r="K118">
        <f>LOG(Table1_1[[#This Row],[PFTeDA]])</f>
        <v>0.98989456371877305</v>
      </c>
      <c r="L118">
        <f>LOG(Table1_1[[#This Row],[PFHxDA]])</f>
        <v>-1.1023729087095586</v>
      </c>
      <c r="M118">
        <f>LOG(Table1_1[[#This Row],[PFPrS]])</f>
        <v>-1.2967086218813386</v>
      </c>
      <c r="N118">
        <f>LOG(Table1_1[[#This Row],[PFBS]])</f>
        <v>-0.82681373158772598</v>
      </c>
      <c r="O118">
        <f>LOG(Table1_1[[#This Row],[PFPeS]])</f>
        <v>-0.93554201077308152</v>
      </c>
      <c r="P118">
        <f>LOG(Table1_1[[#This Row],[PFHxS]])</f>
        <v>0.78746047451841505</v>
      </c>
      <c r="Q118">
        <f>LOG(Table1_1[[#This Row],[PFHpS]])</f>
        <v>0.13353890837021754</v>
      </c>
      <c r="R118">
        <f>LOG(Table1_1[[#This Row],[PFOS]])</f>
        <v>3.0211892990699383</v>
      </c>
      <c r="S118">
        <f>LOG(Table1_1[[#This Row],[PFNS]])</f>
        <v>0.35983548233988799</v>
      </c>
      <c r="T118">
        <f>LOG(Table1_1[[#This Row],[PFDS]])</f>
        <v>0.33845649360460484</v>
      </c>
      <c r="U118">
        <f>LOG(Table1_1[[#This Row],[PFDoS]])</f>
        <v>7.9181246047624818E-2</v>
      </c>
      <c r="V118">
        <f>LOG(Table1_1[[#This Row],[Cl-PFOS]])</f>
        <v>-0.87614835903291421</v>
      </c>
      <c r="W118">
        <f>LOG(Table1_1[[#This Row],[PFEtCHxS]])</f>
        <v>-1.0579919469776868</v>
      </c>
      <c r="X118">
        <f>LOG(Table1_1[[#This Row],[FBSA]])</f>
        <v>1.3364597338485296</v>
      </c>
      <c r="Y118">
        <f>LOG(Table1_1[[#This Row],[FHxSA]])</f>
        <v>1.8573324964312685</v>
      </c>
      <c r="Z118">
        <f>LOG(Table1_1[[#This Row],[FOSA]])</f>
        <v>0.97358962342725697</v>
      </c>
      <c r="AA118">
        <f>LOG(Table1_1[[#This Row],[N-MeFOSA]])</f>
        <v>-1.2924298239020637</v>
      </c>
      <c r="AB118">
        <f>LOG(Table1_1[[#This Row],[N-EtFOSA]])</f>
        <v>-1.1106982974936896</v>
      </c>
      <c r="AC118">
        <f>LOG(Table1_1[[#This Row],[FOSAA]])</f>
        <v>-1.2798406965940432</v>
      </c>
      <c r="AD118">
        <f>LOG(Table1_1[[#This Row],[N-MeFOSAA]])</f>
        <v>-0.17717835469689538</v>
      </c>
      <c r="AE118">
        <f>LOG(Table1_1[[#This Row],[N-EtFOSAA]])</f>
        <v>-1.2403321553103694</v>
      </c>
      <c r="AF118">
        <f>LOG(Table1_1[[#This Row],[4:2 FTS]])</f>
        <v>-1.2636034977233577</v>
      </c>
      <c r="AG118">
        <f>LOG(Table1_1[[#This Row],[6:2 FTS]])</f>
        <v>0.11058971029924898</v>
      </c>
      <c r="AH118">
        <f>LOG(Table1_1[[#This Row],[8:2 FTS]])</f>
        <v>0.14921911265537988</v>
      </c>
      <c r="AI118">
        <f>LOG(Table1_1[[#This Row],[10:2 FTS]])</f>
        <v>-0.60554831917378371</v>
      </c>
      <c r="AJ118">
        <f>LOG(Table1_1[[#This Row],[3:3 FTCA]])</f>
        <v>-1.1163385648463824</v>
      </c>
      <c r="AK118">
        <f>LOG(Table1_1[[#This Row],[5:3 FTCA]])</f>
        <v>-7.8313524516397934E-2</v>
      </c>
      <c r="AL118">
        <f>LOG(Table1_1[[#This Row],[7:3 FTCA]])</f>
        <v>1.0253058652647702</v>
      </c>
      <c r="AM118">
        <f>LOG(Table1_1[[#This Row],[6:2 FTCA]])</f>
        <v>-1.1804560644581312</v>
      </c>
      <c r="AN118">
        <f>LOG(Table1_1[[#This Row],[8:2 FTCA]])</f>
        <v>0.85430604180108061</v>
      </c>
      <c r="AO118">
        <f>LOG(Table1_1[[#This Row],[10:2 FTCA]])</f>
        <v>-1.0043648054024501</v>
      </c>
      <c r="AP118">
        <f>LOG(Table1_1[[#This Row],[6:2 FTUCA]])</f>
        <v>-1.2839966563652008</v>
      </c>
      <c r="AQ118">
        <f>LOG(Table1_1[[#This Row],[8:2 FTUCA]])</f>
        <v>-1.3979400086720375</v>
      </c>
      <c r="AR118">
        <f>LOG(Table1_1[[#This Row],[ADONA]])</f>
        <v>-1.1804560644581312</v>
      </c>
      <c r="AS118">
        <f>LOG(Table1_1[[#This Row],[9Cl-PF3ONS]])</f>
        <v>-1.1804560644581312</v>
      </c>
      <c r="AT118">
        <f>LOG(Table1_1[[#This Row],[11Cl-PF3OUdS]])</f>
        <v>-1.1804560644581312</v>
      </c>
      <c r="AU118">
        <f>LOG(Table1_1[[#This Row],[HFPO-DA]])</f>
        <v>-1.0222763947111522</v>
      </c>
      <c r="AV118">
        <f>LOG(Table1_1[[#This Row],[6:2 diPAP]])</f>
        <v>-1.1518108830086013</v>
      </c>
      <c r="AW118">
        <f>LOG(Table1_1[[#This Row],[8:2 diPAP]])</f>
        <v>-1.0555173278498313</v>
      </c>
      <c r="AX118">
        <f>LOG(Table1_1[[#This Row],[diSAmPAP]])</f>
        <v>-0.93367407463796215</v>
      </c>
    </row>
    <row r="119" spans="1:50">
      <c r="A119">
        <f>LOG(Table1_1[[#This Row],[PFBA]])</f>
        <v>-0.2636034977233575</v>
      </c>
      <c r="B119">
        <f>LOG(Table1_1[[#This Row],[PFPeA]])</f>
        <v>-0.9318141382538383</v>
      </c>
      <c r="C119">
        <f>LOG(Table1_1[[#This Row],[PFHxA]])</f>
        <v>-0.53017798402183702</v>
      </c>
      <c r="D119">
        <f>LOG(Table1_1[[#This Row],[PFHpA]])</f>
        <v>-1.1771783546968955</v>
      </c>
      <c r="E119">
        <f>LOG(Table1_1[[#This Row],[PFOA]])</f>
        <v>-0.66054855869355933</v>
      </c>
      <c r="F119">
        <f>LOG(Table1_1[[#This Row],[PFNA]])</f>
        <v>-0.94119451332409321</v>
      </c>
      <c r="G119">
        <f>LOG(Table1_1[[#This Row],[PFDA]])</f>
        <v>1.3802112417116059</v>
      </c>
      <c r="H119">
        <f>LOG(Table1_1[[#This Row],[PFUnA]])</f>
        <v>1.4955443375464486</v>
      </c>
      <c r="I119">
        <f>LOG(Table1_1[[#This Row],[PFDoA]])</f>
        <v>1.4593924877592308</v>
      </c>
      <c r="J119">
        <f>LOG(Table1_1[[#This Row],[PFTrDA]])</f>
        <v>1.1038037209559568</v>
      </c>
      <c r="K119">
        <f>LOG(Table1_1[[#This Row],[PFTeDA]])</f>
        <v>1.1818435879447726</v>
      </c>
      <c r="L119">
        <f>LOG(Table1_1[[#This Row],[PFHxDA]])</f>
        <v>-0.7044329000375209</v>
      </c>
      <c r="M119">
        <f>LOG(Table1_1[[#This Row],[PFPrS]])</f>
        <v>-0.78120200188826239</v>
      </c>
      <c r="N119">
        <f>LOG(Table1_1[[#This Row],[PFBS]])</f>
        <v>-0.42945706011810247</v>
      </c>
      <c r="O119">
        <f>LOG(Table1_1[[#This Row],[PFPeS]])</f>
        <v>-0.78120200188826239</v>
      </c>
      <c r="P119">
        <f>LOG(Table1_1[[#This Row],[PFHxS]])</f>
        <v>1.0755469613925308</v>
      </c>
      <c r="Q119">
        <f>LOG(Table1_1[[#This Row],[PFHpS]])</f>
        <v>0.44870631990507992</v>
      </c>
      <c r="R119">
        <f>LOG(Table1_1[[#This Row],[PFOS]])</f>
        <v>3.3324384599156054</v>
      </c>
      <c r="S119">
        <f>LOG(Table1_1[[#This Row],[PFNS]])</f>
        <v>0.90363251608423767</v>
      </c>
      <c r="T119">
        <f>LOG(Table1_1[[#This Row],[PFDS]])</f>
        <v>0.82994669594163595</v>
      </c>
      <c r="U119">
        <f>LOG(Table1_1[[#This Row],[PFDoS]])</f>
        <v>0.13987908640123647</v>
      </c>
      <c r="V119">
        <f>LOG(Table1_1[[#This Row],[Cl-PFOS]])</f>
        <v>-0.4788619162959637</v>
      </c>
      <c r="W119">
        <f>LOG(Table1_1[[#This Row],[PFEtCHxS]])</f>
        <v>-0.2636034977233575</v>
      </c>
      <c r="X119">
        <f>LOG(Table1_1[[#This Row],[FBSA]])</f>
        <v>2.1931245983544616</v>
      </c>
      <c r="Y119">
        <f>LOG(Table1_1[[#This Row],[FHxSA]])</f>
        <v>2.1238516409670858</v>
      </c>
      <c r="Z119">
        <f>LOG(Table1_1[[#This Row],[FOSA]])</f>
        <v>1.8948696567452525</v>
      </c>
      <c r="AA119">
        <f>LOG(Table1_1[[#This Row],[N-MeFOSA]])</f>
        <v>-0.78120200188826239</v>
      </c>
      <c r="AB119">
        <f>LOG(Table1_1[[#This Row],[N-EtFOSA]])</f>
        <v>-0.71331903064506974</v>
      </c>
      <c r="AC119">
        <f>LOG(Table1_1[[#This Row],[FOSAA]])</f>
        <v>-0.88438948832570019</v>
      </c>
      <c r="AD119">
        <f>LOG(Table1_1[[#This Row],[N-MeFOSAA]])</f>
        <v>-0.77858576215766129</v>
      </c>
      <c r="AE119">
        <f>LOG(Table1_1[[#This Row],[N-EtFOSAA]])</f>
        <v>-0.84163750790475034</v>
      </c>
      <c r="AF119">
        <f>LOG(Table1_1[[#This Row],[4:2 FTS]])</f>
        <v>-0.78120200188826239</v>
      </c>
      <c r="AG119">
        <f>LOG(Table1_1[[#This Row],[6:2 FTS]])</f>
        <v>-1</v>
      </c>
      <c r="AH119">
        <f>LOG(Table1_1[[#This Row],[8:2 FTS]])</f>
        <v>0.85973856619714695</v>
      </c>
      <c r="AI119">
        <f>LOG(Table1_1[[#This Row],[10:2 FTS]])</f>
        <v>0.19589965240923377</v>
      </c>
      <c r="AJ119">
        <f>LOG(Table1_1[[#This Row],[3:3 FTCA]])</f>
        <v>-0.71896663275227246</v>
      </c>
      <c r="AK119">
        <f>LOG(Table1_1[[#This Row],[5:3 FTCA]])</f>
        <v>-0.38457604711405613</v>
      </c>
      <c r="AL119">
        <f>LOG(Table1_1[[#This Row],[7:3 FTCA]])</f>
        <v>-0.78120200188826239</v>
      </c>
      <c r="AM119">
        <f>LOG(Table1_1[[#This Row],[6:2 FTCA]])</f>
        <v>-0.78120200188826239</v>
      </c>
      <c r="AN119">
        <f>LOG(Table1_1[[#This Row],[8:2 FTCA]])</f>
        <v>-0.78120200188826239</v>
      </c>
      <c r="AO119">
        <f>LOG(Table1_1[[#This Row],[10:2 FTCA]])</f>
        <v>-0.60730304674033431</v>
      </c>
      <c r="AP119">
        <f>LOG(Table1_1[[#This Row],[6:2 FTUCA]])</f>
        <v>-0.88605664769316317</v>
      </c>
      <c r="AQ119">
        <f>LOG(Table1_1[[#This Row],[8:2 FTUCA]])</f>
        <v>-1</v>
      </c>
      <c r="AR119">
        <f>LOG(Table1_1[[#This Row],[ADONA]])</f>
        <v>-0.83564714421556296</v>
      </c>
      <c r="AS119">
        <f>LOG(Table1_1[[#This Row],[9Cl-PF3ONS]])</f>
        <v>-0.78120200188826239</v>
      </c>
      <c r="AT119">
        <f>LOG(Table1_1[[#This Row],[11Cl-PF3OUdS]])</f>
        <v>-0.78120200188826239</v>
      </c>
      <c r="AU119">
        <f>LOG(Table1_1[[#This Row],[HFPO-DA]])</f>
        <v>-0.62433638603911468</v>
      </c>
      <c r="AV119">
        <f>LOG(Table1_1[[#This Row],[6:2 diPAP]])</f>
        <v>-0.75325529027615867</v>
      </c>
      <c r="AW119">
        <f>LOG(Table1_1[[#This Row],[8:2 diPAP]])</f>
        <v>-0.65856547542185984</v>
      </c>
      <c r="AX119">
        <f>LOG(Table1_1[[#This Row],[diSAmPAP]])</f>
        <v>-0.53536144090496718</v>
      </c>
    </row>
    <row r="120" spans="1:50">
      <c r="A120">
        <f>LOG(Table1_1[[#This Row],[PFBA]])</f>
        <v>-0.63827216398240705</v>
      </c>
      <c r="B120">
        <f>LOG(Table1_1[[#This Row],[PFPeA]])</f>
        <v>-1.30715308072277</v>
      </c>
      <c r="C120">
        <f>LOG(Table1_1[[#This Row],[PFHxA]])</f>
        <v>-1.4242350194632807</v>
      </c>
      <c r="D120">
        <f>LOG(Table1_1[[#This Row],[PFHpA]])</f>
        <v>-1.0362121726544447</v>
      </c>
      <c r="E120">
        <f>LOG(Table1_1[[#This Row],[PFOA]])</f>
        <v>-1.0362121726544447</v>
      </c>
      <c r="F120">
        <f>LOG(Table1_1[[#This Row],[PFNA]])</f>
        <v>-0.79723931260680003</v>
      </c>
      <c r="G120">
        <f>LOG(Table1_1[[#This Row],[PFDA]])</f>
        <v>0.47129171105893858</v>
      </c>
      <c r="H120">
        <f>LOG(Table1_1[[#This Row],[PFUnA]])</f>
        <v>0.6637009253896482</v>
      </c>
      <c r="I120">
        <f>LOG(Table1_1[[#This Row],[PFDoA]])</f>
        <v>0.6503075231319364</v>
      </c>
      <c r="J120">
        <f>LOG(Table1_1[[#This Row],[PFTrDA]])</f>
        <v>0.39967372148103808</v>
      </c>
      <c r="K120">
        <f>LOG(Table1_1[[#This Row],[PFTeDA]])</f>
        <v>0.47129171105893858</v>
      </c>
      <c r="L120">
        <f>LOG(Table1_1[[#This Row],[PFHxDA]])</f>
        <v>-1.080921907623926</v>
      </c>
      <c r="M120">
        <f>LOG(Table1_1[[#This Row],[PFPrS]])</f>
        <v>-1.1580151954098861</v>
      </c>
      <c r="N120">
        <f>LOG(Table1_1[[#This Row],[PFBS]])</f>
        <v>-0.8054856581175327</v>
      </c>
      <c r="O120">
        <f>LOG(Table1_1[[#This Row],[PFPeS]])</f>
        <v>-1.1580151954098861</v>
      </c>
      <c r="P120">
        <f>LOG(Table1_1[[#This Row],[PFHxS]])</f>
        <v>0.31386722036915343</v>
      </c>
      <c r="Q120">
        <f>LOG(Table1_1[[#This Row],[PFHpS]])</f>
        <v>7.554696139253074E-2</v>
      </c>
      <c r="R120">
        <f>LOG(Table1_1[[#This Row],[PFOS]])</f>
        <v>2.537819095073274</v>
      </c>
      <c r="S120">
        <f>LOG(Table1_1[[#This Row],[PFNS]])</f>
        <v>0.6503075231319364</v>
      </c>
      <c r="T120">
        <f>LOG(Table1_1[[#This Row],[PFDS]])</f>
        <v>0.46982201597816303</v>
      </c>
      <c r="U120">
        <f>LOG(Table1_1[[#This Row],[PFDoS]])</f>
        <v>-0.29242982390206362</v>
      </c>
      <c r="V120">
        <f>LOG(Table1_1[[#This Row],[Cl-PFOS]])</f>
        <v>-0.85387196432176193</v>
      </c>
      <c r="W120">
        <f>LOG(Table1_1[[#This Row],[PFEtCHxS]])</f>
        <v>-1.1580151954098861</v>
      </c>
      <c r="X120">
        <f>LOG(Table1_1[[#This Row],[FBSA]])</f>
        <v>1.0086001717619175</v>
      </c>
      <c r="Y120">
        <f>LOG(Table1_1[[#This Row],[FHxSA]])</f>
        <v>1.5646660642520893</v>
      </c>
      <c r="Z120">
        <f>LOG(Table1_1[[#This Row],[FOSA]])</f>
        <v>1.0863598306747482</v>
      </c>
      <c r="AA120">
        <f>LOG(Table1_1[[#This Row],[N-MeFOSA]])</f>
        <v>-1.1580151954098861</v>
      </c>
      <c r="AB120">
        <f>LOG(Table1_1[[#This Row],[N-EtFOSA]])</f>
        <v>-1.0888423912600234</v>
      </c>
      <c r="AC120">
        <f>LOG(Table1_1[[#This Row],[FOSAA]])</f>
        <v>-1.2596373105057561</v>
      </c>
      <c r="AD120">
        <f>LOG(Table1_1[[#This Row],[N-MeFOSAA]])</f>
        <v>-1.1549019599857431</v>
      </c>
      <c r="AE120">
        <f>LOG(Table1_1[[#This Row],[N-EtFOSAA]])</f>
        <v>-1.2182446253475312</v>
      </c>
      <c r="AF120">
        <f>LOG(Table1_1[[#This Row],[4:2 FTS]])</f>
        <v>-1.1580151954098861</v>
      </c>
      <c r="AG120">
        <f>LOG(Table1_1[[#This Row],[6:2 FTS]])</f>
        <v>-0.85698519974590492</v>
      </c>
      <c r="AH120">
        <f>LOG(Table1_1[[#This Row],[8:2 FTS]])</f>
        <v>-0.12784372725170717</v>
      </c>
      <c r="AI120">
        <f>LOG(Table1_1[[#This Row],[10:2 FTS]])</f>
        <v>-0.58252830679670697</v>
      </c>
      <c r="AJ120">
        <f>LOG(Table1_1[[#This Row],[3:3 FTCA]])</f>
        <v>-1.0942041196321315</v>
      </c>
      <c r="AK120">
        <f>LOG(Table1_1[[#This Row],[5:3 FTCA]])</f>
        <v>-0.76070052087310747</v>
      </c>
      <c r="AL120">
        <f>LOG(Table1_1[[#This Row],[7:3 FTCA]])</f>
        <v>0.5877109650189114</v>
      </c>
      <c r="AM120">
        <f>LOG(Table1_1[[#This Row],[6:2 FTCA]])</f>
        <v>-0.63827216398240705</v>
      </c>
      <c r="AN120">
        <f>LOG(Table1_1[[#This Row],[8:2 FTCA]])</f>
        <v>-1.1580151954098861</v>
      </c>
      <c r="AO120">
        <f>LOG(Table1_1[[#This Row],[10:2 FTCA]])</f>
        <v>-0.98296666070121963</v>
      </c>
      <c r="AP120">
        <f>LOG(Table1_1[[#This Row],[6:2 FTUCA]])</f>
        <v>-1.2596373105057561</v>
      </c>
      <c r="AQ120">
        <f>LOG(Table1_1[[#This Row],[8:2 FTUCA]])</f>
        <v>-1.3752024210392388</v>
      </c>
      <c r="AR120">
        <f>LOG(Table1_1[[#This Row],[ADONA]])</f>
        <v>-1.2111248842245832</v>
      </c>
      <c r="AS120">
        <f>LOG(Table1_1[[#This Row],[9Cl-PF3ONS]])</f>
        <v>-1.1580151954098861</v>
      </c>
      <c r="AT120">
        <f>LOG(Table1_1[[#This Row],[11Cl-PF3OUdS]])</f>
        <v>-1.1580151954098861</v>
      </c>
      <c r="AU120">
        <f>LOG(Table1_1[[#This Row],[HFPO-DA]])</f>
        <v>-1</v>
      </c>
      <c r="AV120">
        <f>LOG(Table1_1[[#This Row],[6:2 diPAP]])</f>
        <v>-1.1307682802690238</v>
      </c>
      <c r="AW120">
        <f>LOG(Table1_1[[#This Row],[8:2 diPAP]])</f>
        <v>-1.0338582672609673</v>
      </c>
      <c r="AX120">
        <f>LOG(Table1_1[[#This Row],[diSAmPAP]])</f>
        <v>-0.91186391129944877</v>
      </c>
    </row>
    <row r="121" spans="1:50">
      <c r="A121">
        <f>LOG(Table1_1[[#This Row],[PFBA]])</f>
        <v>-7.8313524516397934E-2</v>
      </c>
      <c r="B121">
        <f>LOG(Table1_1[[#This Row],[PFPeA]])</f>
        <v>-0.74836177955178806</v>
      </c>
      <c r="C121">
        <f>LOG(Table1_1[[#This Row],[PFHxA]])</f>
        <v>-0.86486734862322512</v>
      </c>
      <c r="D121">
        <f>LOG(Table1_1[[#This Row],[PFHpA]])</f>
        <v>-0.47690416174743222</v>
      </c>
      <c r="E121">
        <f>LOG(Table1_1[[#This Row],[PFOA]])</f>
        <v>-0.11918640771920865</v>
      </c>
      <c r="F121">
        <f>LOG(Table1_1[[#This Row],[PFNA]])</f>
        <v>-0.24033215531036956</v>
      </c>
      <c r="G121">
        <f>LOG(Table1_1[[#This Row],[PFDA]])</f>
        <v>0.14612803567823801</v>
      </c>
      <c r="H121">
        <f>LOG(Table1_1[[#This Row],[PFUnA]])</f>
        <v>0.5250448070368452</v>
      </c>
      <c r="I121">
        <f>LOG(Table1_1[[#This Row],[PFDoA]])</f>
        <v>0.78103693862113188</v>
      </c>
      <c r="J121">
        <f>LOG(Table1_1[[#This Row],[PFTrDA]])</f>
        <v>5.6904851336472557E-2</v>
      </c>
      <c r="K121">
        <f>LOG(Table1_1[[#This Row],[PFTeDA]])</f>
        <v>0.43775056282038799</v>
      </c>
      <c r="L121">
        <f>LOG(Table1_1[[#This Row],[PFHxDA]])</f>
        <v>-0.52143350440615666</v>
      </c>
      <c r="M121">
        <f>LOG(Table1_1[[#This Row],[PFPrS]])</f>
        <v>-0.59773861754531976</v>
      </c>
      <c r="N121">
        <f>LOG(Table1_1[[#This Row],[PFBS]])</f>
        <v>-0.76447155309245107</v>
      </c>
      <c r="O121">
        <f>LOG(Table1_1[[#This Row],[PFPeS]])</f>
        <v>-0.59773861754531976</v>
      </c>
      <c r="P121">
        <f>LOG(Table1_1[[#This Row],[PFHxS]])</f>
        <v>0.87737134586977406</v>
      </c>
      <c r="Q121">
        <f>LOG(Table1_1[[#This Row],[PFHpS]])</f>
        <v>0.22010808804005508</v>
      </c>
      <c r="R121">
        <f>LOG(Table1_1[[#This Row],[PFOS]])</f>
        <v>2.6263403673750423</v>
      </c>
      <c r="S121">
        <f>LOG(Table1_1[[#This Row],[PFNS]])</f>
        <v>-0.32330639037513342</v>
      </c>
      <c r="T121">
        <f>LOG(Table1_1[[#This Row],[PFDS]])</f>
        <v>-0.16749108729376366</v>
      </c>
      <c r="U121">
        <f>LOG(Table1_1[[#This Row],[PFDoS]])</f>
        <v>-0.56863623584101264</v>
      </c>
      <c r="V121">
        <f>LOG(Table1_1[[#This Row],[Cl-PFOS]])</f>
        <v>-0.81389162018679473</v>
      </c>
      <c r="W121">
        <f>LOG(Table1_1[[#This Row],[PFEtCHxS]])</f>
        <v>-0.59773861754531976</v>
      </c>
      <c r="X121">
        <f>LOG(Table1_1[[#This Row],[FBSA]])</f>
        <v>0.80140371001735511</v>
      </c>
      <c r="Y121">
        <f>LOG(Table1_1[[#This Row],[FHxSA]])</f>
        <v>1.8182258936139555</v>
      </c>
      <c r="Z121">
        <f>LOG(Table1_1[[#This Row],[FOSA]])</f>
        <v>0.88366143515361761</v>
      </c>
      <c r="AA121">
        <f>LOG(Table1_1[[#This Row],[N-MeFOSA]])</f>
        <v>-0.59773861754531976</v>
      </c>
      <c r="AB121">
        <f>LOG(Table1_1[[#This Row],[N-EtFOSA]])</f>
        <v>-0.53091470087687953</v>
      </c>
      <c r="AC121">
        <f>LOG(Table1_1[[#This Row],[FOSAA]])</f>
        <v>-0.70114692359029329</v>
      </c>
      <c r="AD121">
        <f>LOG(Table1_1[[#This Row],[N-MeFOSAA]])</f>
        <v>-0.59516628338006194</v>
      </c>
      <c r="AE121">
        <f>LOG(Table1_1[[#This Row],[N-EtFOSAA]])</f>
        <v>-0.65955588515988162</v>
      </c>
      <c r="AF121">
        <f>LOG(Table1_1[[#This Row],[4:2 FTS]])</f>
        <v>-0.59773861754531976</v>
      </c>
      <c r="AG121">
        <f>LOG(Table1_1[[#This Row],[6:2 FTS]])</f>
        <v>-0.29670862188133862</v>
      </c>
      <c r="AH121">
        <f>LOG(Table1_1[[#This Row],[8:2 FTS]])</f>
        <v>0.92272545799326</v>
      </c>
      <c r="AI121">
        <f>LOG(Table1_1[[#This Row],[10:2 FTS]])</f>
        <v>-0.54287537369659122</v>
      </c>
      <c r="AJ121">
        <f>LOG(Table1_1[[#This Row],[3:3 FTCA]])</f>
        <v>-0.53536144090496718</v>
      </c>
      <c r="AK121">
        <f>LOG(Table1_1[[#This Row],[5:3 FTCA]])</f>
        <v>-0.72010501998836185</v>
      </c>
      <c r="AL121">
        <f>LOG(Table1_1[[#This Row],[7:3 FTCA]])</f>
        <v>-0.59773861754531976</v>
      </c>
      <c r="AM121">
        <f>LOG(Table1_1[[#This Row],[6:2 FTCA]])</f>
        <v>-0.59773861754531976</v>
      </c>
      <c r="AN121">
        <f>LOG(Table1_1[[#This Row],[8:2 FTCA]])</f>
        <v>-0.59773861754531976</v>
      </c>
      <c r="AO121">
        <f>LOG(Table1_1[[#This Row],[10:2 FTCA]])</f>
        <v>-0.42365864979420714</v>
      </c>
      <c r="AP121">
        <f>LOG(Table1_1[[#This Row],[6:2 FTUCA]])</f>
        <v>-0.70223948890086607</v>
      </c>
      <c r="AQ121">
        <f>LOG(Table1_1[[#This Row],[8:2 FTUCA]])</f>
        <v>-0.81673015631719537</v>
      </c>
      <c r="AR121">
        <f>LOG(Table1_1[[#This Row],[ADONA]])</f>
        <v>-0.65169513695183934</v>
      </c>
      <c r="AS121">
        <f>LOG(Table1_1[[#This Row],[9Cl-PF3ONS]])</f>
        <v>-0.59773861754531976</v>
      </c>
      <c r="AT121">
        <f>LOG(Table1_1[[#This Row],[11Cl-PF3OUdS]])</f>
        <v>-0.59773861754531976</v>
      </c>
      <c r="AU121">
        <f>LOG(Table1_1[[#This Row],[HFPO-DA]])</f>
        <v>-0.44069198909298751</v>
      </c>
      <c r="AV121">
        <f>LOG(Table1_1[[#This Row],[6:2 diPAP]])</f>
        <v>-0.57024771999759194</v>
      </c>
      <c r="AW121">
        <f>LOG(Table1_1[[#This Row],[8:2 diPAP]])</f>
        <v>-0.47495519296315475</v>
      </c>
      <c r="AX121">
        <f>LOG(Table1_1[[#This Row],[diSAmPAP]])</f>
        <v>-0.35212823469376747</v>
      </c>
    </row>
    <row r="122" spans="1:50">
      <c r="A122">
        <f>LOG(Table1_1[[#This Row],[PFBA]])</f>
        <v>-0.64206515299954614</v>
      </c>
      <c r="B122">
        <f>LOG(Table1_1[[#This Row],[PFPeA]])</f>
        <v>-1.3111354319452082</v>
      </c>
      <c r="C122">
        <f>LOG(Table1_1[[#This Row],[PFHxA]])</f>
        <v>-0.91009488856060206</v>
      </c>
      <c r="D122">
        <f>LOG(Table1_1[[#This Row],[PFHpA]])</f>
        <v>-1.0385789059335517</v>
      </c>
      <c r="E122">
        <f>LOG(Table1_1[[#This Row],[PFOA]])</f>
        <v>-1.0385789059335517</v>
      </c>
      <c r="F122">
        <f>LOG(Table1_1[[#This Row],[PFNA]])</f>
        <v>-0.80134291304557737</v>
      </c>
      <c r="G122">
        <f>LOG(Table1_1[[#This Row],[PFDA]])</f>
        <v>-0.45345733652186898</v>
      </c>
      <c r="H122">
        <f>LOG(Table1_1[[#This Row],[PFUnA]])</f>
        <v>-0.28567024025476695</v>
      </c>
      <c r="I122">
        <f>LOG(Table1_1[[#This Row],[PFDoA]])</f>
        <v>2.1189299069938092E-2</v>
      </c>
      <c r="J122">
        <f>LOG(Table1_1[[#This Row],[PFTrDA]])</f>
        <v>-0.83564714421556296</v>
      </c>
      <c r="K122">
        <f>LOG(Table1_1[[#This Row],[PFTeDA]])</f>
        <v>-0.38721614328026455</v>
      </c>
      <c r="L122">
        <f>LOG(Table1_1[[#This Row],[PFHxDA]])</f>
        <v>-1.083546051450075</v>
      </c>
      <c r="M122">
        <f>LOG(Table1_1[[#This Row],[PFPrS]])</f>
        <v>-1.1611509092627446</v>
      </c>
      <c r="N122">
        <f>LOG(Table1_1[[#This Row],[PFBS]])</f>
        <v>-0.26201267366656922</v>
      </c>
      <c r="O122">
        <f>LOG(Table1_1[[#This Row],[PFPeS]])</f>
        <v>-1.1611509092627446</v>
      </c>
      <c r="P122">
        <f>LOG(Table1_1[[#This Row],[PFHxS]])</f>
        <v>0.31806333496276157</v>
      </c>
      <c r="Q122">
        <f>LOG(Table1_1[[#This Row],[PFHpS]])</f>
        <v>-0.22402566887063094</v>
      </c>
      <c r="R122">
        <f>LOG(Table1_1[[#This Row],[PFOS]])</f>
        <v>1.9717395908877782</v>
      </c>
      <c r="S122">
        <f>LOG(Table1_1[[#This Row],[PFNS]])</f>
        <v>-0.88605664769316317</v>
      </c>
      <c r="T122">
        <f>LOG(Table1_1[[#This Row],[PFDS]])</f>
        <v>-0.72815839346350109</v>
      </c>
      <c r="U122">
        <f>LOG(Table1_1[[#This Row],[PFDoS]])</f>
        <v>-1.1307682802690238</v>
      </c>
      <c r="V122">
        <f>LOG(Table1_1[[#This Row],[Cl-PFOS]])</f>
        <v>-1.3762339998660691</v>
      </c>
      <c r="W122">
        <f>LOG(Table1_1[[#This Row],[PFEtCHxS]])</f>
        <v>-1.1611509092627446</v>
      </c>
      <c r="X122">
        <f>LOG(Table1_1[[#This Row],[FBSA]])</f>
        <v>0.12057393120584989</v>
      </c>
      <c r="Y122">
        <f>LOG(Table1_1[[#This Row],[FHxSA]])</f>
        <v>1.3222192947339193</v>
      </c>
      <c r="Z122">
        <f>LOG(Table1_1[[#This Row],[FOSA]])</f>
        <v>0.456366033129043</v>
      </c>
      <c r="AA122">
        <f>LOG(Table1_1[[#This Row],[N-MeFOSA]])</f>
        <v>-1.1611509092627446</v>
      </c>
      <c r="AB122">
        <f>LOG(Table1_1[[#This Row],[N-EtFOSA]])</f>
        <v>-1.0942041196321315</v>
      </c>
      <c r="AC122">
        <f>LOG(Table1_1[[#This Row],[FOSAA]])</f>
        <v>-1.2636034977233577</v>
      </c>
      <c r="AD122">
        <f>LOG(Table1_1[[#This Row],[N-MeFOSAA]])</f>
        <v>-1.1580151954098861</v>
      </c>
      <c r="AE122">
        <f>LOG(Table1_1[[#This Row],[N-EtFOSAA]])</f>
        <v>-1.2218487496163564</v>
      </c>
      <c r="AF122">
        <f>LOG(Table1_1[[#This Row],[4:2 FTS]])</f>
        <v>-1.1611509092627446</v>
      </c>
      <c r="AG122">
        <f>LOG(Table1_1[[#This Row],[6:2 FTS]])</f>
        <v>-0.86012091359876341</v>
      </c>
      <c r="AH122">
        <f>LOG(Table1_1[[#This Row],[8:2 FTS]])</f>
        <v>-0.24184537803261005</v>
      </c>
      <c r="AI122">
        <f>LOG(Table1_1[[#This Row],[10:2 FTS]])</f>
        <v>-0.5867002359187482</v>
      </c>
      <c r="AJ122">
        <f>LOG(Table1_1[[#This Row],[3:3 FTCA]])</f>
        <v>-1.0969100130080565</v>
      </c>
      <c r="AK122">
        <f>LOG(Table1_1[[#This Row],[5:3 FTCA]])</f>
        <v>-1.2839966563652008</v>
      </c>
      <c r="AL122">
        <f>LOG(Table1_1[[#This Row],[7:3 FTCA]])</f>
        <v>-0.64206515299954614</v>
      </c>
      <c r="AM122">
        <f>LOG(Table1_1[[#This Row],[6:2 FTCA]])</f>
        <v>-1.1611509092627446</v>
      </c>
      <c r="AN122">
        <f>LOG(Table1_1[[#This Row],[8:2 FTCA]])</f>
        <v>-1.1611509092627446</v>
      </c>
      <c r="AO122">
        <f>LOG(Table1_1[[#This Row],[10:2 FTCA]])</f>
        <v>-0.98716277529482777</v>
      </c>
      <c r="AP122">
        <f>LOG(Table1_1[[#This Row],[6:2 FTUCA]])</f>
        <v>-1.2636034977233577</v>
      </c>
      <c r="AQ122">
        <f>LOG(Table1_1[[#This Row],[8:2 FTUCA]])</f>
        <v>-1.3788237182249647</v>
      </c>
      <c r="AR122">
        <f>LOG(Table1_1[[#This Row],[ADONA]])</f>
        <v>-1.2146701649892331</v>
      </c>
      <c r="AS122">
        <f>LOG(Table1_1[[#This Row],[9Cl-PF3ONS]])</f>
        <v>-1.1611509092627446</v>
      </c>
      <c r="AT122">
        <f>LOG(Table1_1[[#This Row],[11Cl-PF3OUdS]])</f>
        <v>-1.1611509092627446</v>
      </c>
      <c r="AU122">
        <f>LOG(Table1_1[[#This Row],[HFPO-DA]])</f>
        <v>-1.0021769192542744</v>
      </c>
      <c r="AV122">
        <f>LOG(Table1_1[[#This Row],[6:2 diPAP]])</f>
        <v>-1.133712660915805</v>
      </c>
      <c r="AW122">
        <f>LOG(Table1_1[[#This Row],[8:2 diPAP]])</f>
        <v>-1.0385789059335517</v>
      </c>
      <c r="AX122">
        <f>LOG(Table1_1[[#This Row],[diSAmPAP]])</f>
        <v>-0.91542372206566902</v>
      </c>
    </row>
    <row r="123" spans="1:50">
      <c r="A123">
        <f>LOG(Table1_1[[#This Row],[PFBA]])</f>
        <v>-1.0888423912600234</v>
      </c>
      <c r="B123">
        <f>LOG(Table1_1[[#This Row],[PFPeA]])</f>
        <v>-0.72124639904717103</v>
      </c>
      <c r="C123">
        <f>LOG(Table1_1[[#This Row],[PFHxA]])</f>
        <v>-0.83863199776502517</v>
      </c>
      <c r="D123">
        <f>LOG(Table1_1[[#This Row],[PFHpA]])</f>
        <v>-0.96859153574837586</v>
      </c>
      <c r="E123">
        <f>LOG(Table1_1[[#This Row],[PFOA]])</f>
        <v>-0.4145392704914993</v>
      </c>
      <c r="F123">
        <f>LOG(Table1_1[[#This Row],[PFNA]])</f>
        <v>-0.73048705578208373</v>
      </c>
      <c r="G123">
        <f>LOG(Table1_1[[#This Row],[PFDA]])</f>
        <v>0.6972293427597176</v>
      </c>
      <c r="H123">
        <f>LOG(Table1_1[[#This Row],[PFUnA]])</f>
        <v>0.91907809237607396</v>
      </c>
      <c r="I123">
        <f>LOG(Table1_1[[#This Row],[PFDoA]])</f>
        <v>0.99211148778694969</v>
      </c>
      <c r="J123">
        <f>LOG(Table1_1[[#This Row],[PFTrDA]])</f>
        <v>0.53655844257153007</v>
      </c>
      <c r="K123">
        <f>LOG(Table1_1[[#This Row],[PFTeDA]])</f>
        <v>0.8965262174895553</v>
      </c>
      <c r="L123">
        <f>LOG(Table1_1[[#This Row],[PFHxDA]])</f>
        <v>-1.0132282657337552</v>
      </c>
      <c r="M123">
        <f>LOG(Table1_1[[#This Row],[PFPrS]])</f>
        <v>-1.0888423912600234</v>
      </c>
      <c r="N123">
        <f>LOG(Table1_1[[#This Row],[PFBS]])</f>
        <v>-0.73754891026957059</v>
      </c>
      <c r="O123">
        <f>LOG(Table1_1[[#This Row],[PFPeS]])</f>
        <v>-1.0888423912600234</v>
      </c>
      <c r="P123">
        <f>LOG(Table1_1[[#This Row],[PFHxS]])</f>
        <v>0.86805636182304158</v>
      </c>
      <c r="Q123">
        <f>LOG(Table1_1[[#This Row],[PFHpS]])</f>
        <v>0.10380372095595687</v>
      </c>
      <c r="R123">
        <f>LOG(Table1_1[[#This Row],[PFOS]])</f>
        <v>2.9190780923760737</v>
      </c>
      <c r="S123">
        <f>LOG(Table1_1[[#This Row],[PFNS]])</f>
        <v>0.50920252233110286</v>
      </c>
      <c r="T123">
        <f>LOG(Table1_1[[#This Row],[PFDS]])</f>
        <v>0.45178643552429026</v>
      </c>
      <c r="U123">
        <f>LOG(Table1_1[[#This Row],[PFDoS]])</f>
        <v>-2.4568191490737076E-2</v>
      </c>
      <c r="V123">
        <f>LOG(Table1_1[[#This Row],[Cl-PFOS]])</f>
        <v>-0.78781239559604221</v>
      </c>
      <c r="W123">
        <f>LOG(Table1_1[[#This Row],[PFEtCHxS]])</f>
        <v>-0.57105570996442556</v>
      </c>
      <c r="X123">
        <f>LOG(Table1_1[[#This Row],[FBSA]])</f>
        <v>1.6848453616444126</v>
      </c>
      <c r="Y123">
        <f>LOG(Table1_1[[#This Row],[FHxSA]])</f>
        <v>1.7678976160180906</v>
      </c>
      <c r="Z123">
        <f>LOG(Table1_1[[#This Row],[FOSA]])</f>
        <v>1.0086001717619175</v>
      </c>
      <c r="AA123">
        <f>LOG(Table1_1[[#This Row],[N-MeFOSA]])</f>
        <v>-1.0888423912600234</v>
      </c>
      <c r="AB123">
        <f>LOG(Table1_1[[#This Row],[N-EtFOSA]])</f>
        <v>-1.0222763947111522</v>
      </c>
      <c r="AC123">
        <f>LOG(Table1_1[[#This Row],[FOSAA]])</f>
        <v>-1.1938200260161129</v>
      </c>
      <c r="AD123">
        <f>LOG(Table1_1[[#This Row],[N-MeFOSAA]])</f>
        <v>-1.0861861476162833</v>
      </c>
      <c r="AE123">
        <f>LOG(Table1_1[[#This Row],[N-EtFOSAA]])</f>
        <v>-1.1518108830086013</v>
      </c>
      <c r="AF123">
        <f>LOG(Table1_1[[#This Row],[4:2 FTS]])</f>
        <v>-1.0888423912600234</v>
      </c>
      <c r="AG123">
        <f>LOG(Table1_1[[#This Row],[6:2 FTS]])</f>
        <v>-0.790484985457369</v>
      </c>
      <c r="AH123">
        <f>LOG(Table1_1[[#This Row],[8:2 FTS]])</f>
        <v>0.67577834167408513</v>
      </c>
      <c r="AI123">
        <f>LOG(Table1_1[[#This Row],[10:2 FTS]])</f>
        <v>-0.51570016065321422</v>
      </c>
      <c r="AJ123">
        <f>LOG(Table1_1[[#This Row],[3:3 FTCA]])</f>
        <v>-1.0268721464003014</v>
      </c>
      <c r="AK123">
        <f>LOG(Table1_1[[#This Row],[5:3 FTCA]])</f>
        <v>0.60638136511060492</v>
      </c>
      <c r="AL123">
        <f>LOG(Table1_1[[#This Row],[7:3 FTCA]])</f>
        <v>0.89762709129044149</v>
      </c>
      <c r="AM123">
        <f>LOG(Table1_1[[#This Row],[6:2 FTCA]])</f>
        <v>-1.0888423912600234</v>
      </c>
      <c r="AN123">
        <f>LOG(Table1_1[[#This Row],[8:2 FTCA]])</f>
        <v>-1.0888423912600234</v>
      </c>
      <c r="AO123">
        <f>LOG(Table1_1[[#This Row],[10:2 FTCA]])</f>
        <v>-0.91542372206566902</v>
      </c>
      <c r="AP123">
        <f>LOG(Table1_1[[#This Row],[6:2 FTUCA]])</f>
        <v>-1.1938200260161129</v>
      </c>
      <c r="AQ123">
        <f>LOG(Table1_1[[#This Row],[8:2 FTUCA]])</f>
        <v>-1.3080348972326397</v>
      </c>
      <c r="AR123">
        <f>LOG(Table1_1[[#This Row],[ADONA]])</f>
        <v>-1.1426675035687315</v>
      </c>
      <c r="AS123">
        <f>LOG(Table1_1[[#This Row],[9Cl-PF3ONS]])</f>
        <v>-1.0888423912600234</v>
      </c>
      <c r="AT123">
        <f>LOG(Table1_1[[#This Row],[11Cl-PF3OUdS]])</f>
        <v>-1.0888423912600234</v>
      </c>
      <c r="AU123">
        <f>LOG(Table1_1[[#This Row],[HFPO-DA]])</f>
        <v>-0.9318141382538383</v>
      </c>
      <c r="AV123">
        <f>LOG(Table1_1[[#This Row],[6:2 diPAP]])</f>
        <v>-1.0629838925351858</v>
      </c>
      <c r="AW123">
        <f>LOG(Table1_1[[#This Row],[8:2 diPAP]])</f>
        <v>-0.96657624451305035</v>
      </c>
      <c r="AX123">
        <f>LOG(Table1_1[[#This Row],[diSAmPAP]])</f>
        <v>-0.84314809892998888</v>
      </c>
    </row>
    <row r="124" spans="1:50">
      <c r="A124">
        <f>LOG(Table1_1[[#This Row],[PFBA]])</f>
        <v>-0.61528825706171753</v>
      </c>
      <c r="B124">
        <f>LOG(Table1_1[[#This Row],[PFPeA]])</f>
        <v>-1.2839966563652008</v>
      </c>
      <c r="C124">
        <f>LOG(Table1_1[[#This Row],[PFHxA]])</f>
        <v>-0.88272870434423567</v>
      </c>
      <c r="D124">
        <f>LOG(Table1_1[[#This Row],[PFHpA]])</f>
        <v>-1.0132282657337552</v>
      </c>
      <c r="E124">
        <f>LOG(Table1_1[[#This Row],[PFOA]])</f>
        <v>-5.3547734986926908E-2</v>
      </c>
      <c r="F124">
        <f>LOG(Table1_1[[#This Row],[PFNA]])</f>
        <v>-0.77469071827413716</v>
      </c>
      <c r="G124">
        <f>LOG(Table1_1[[#This Row],[PFDA]])</f>
        <v>0.57170883180868759</v>
      </c>
      <c r="H124">
        <f>LOG(Table1_1[[#This Row],[PFUnA]])</f>
        <v>0.94743372188705077</v>
      </c>
      <c r="I124">
        <f>LOG(Table1_1[[#This Row],[PFDoA]])</f>
        <v>1.2174839442139063</v>
      </c>
      <c r="J124">
        <f>LOG(Table1_1[[#This Row],[PFTrDA]])</f>
        <v>0.72263392253381231</v>
      </c>
      <c r="K124">
        <f>LOG(Table1_1[[#This Row],[PFTeDA]])</f>
        <v>1.0170333392987803</v>
      </c>
      <c r="L124">
        <f>LOG(Table1_1[[#This Row],[PFHxDA]])</f>
        <v>-0.53910215724345223</v>
      </c>
      <c r="M124">
        <f>LOG(Table1_1[[#This Row],[PFPrS]])</f>
        <v>-1.133712660915805</v>
      </c>
      <c r="N124">
        <f>LOG(Table1_1[[#This Row],[PFBS]])</f>
        <v>-0.78251605578609373</v>
      </c>
      <c r="O124">
        <f>LOG(Table1_1[[#This Row],[PFPeS]])</f>
        <v>-0.61528825706171753</v>
      </c>
      <c r="P124">
        <f>LOG(Table1_1[[#This Row],[PFHxS]])</f>
        <v>1.1958996524092338</v>
      </c>
      <c r="Q124">
        <f>LOG(Table1_1[[#This Row],[PFHpS]])</f>
        <v>0.33845649360460484</v>
      </c>
      <c r="R124">
        <f>LOG(Table1_1[[#This Row],[PFOS]])</f>
        <v>2.885926339801431</v>
      </c>
      <c r="S124">
        <f>LOG(Table1_1[[#This Row],[PFNS]])</f>
        <v>0.60638136511060492</v>
      </c>
      <c r="T124">
        <f>LOG(Table1_1[[#This Row],[PFDS]])</f>
        <v>0.58092497567561929</v>
      </c>
      <c r="U124">
        <f>LOG(Table1_1[[#This Row],[PFDoS]])</f>
        <v>-9.5284454721319037E-2</v>
      </c>
      <c r="V124">
        <f>LOG(Table1_1[[#This Row],[Cl-PFOS]])</f>
        <v>-0.83120797968581828</v>
      </c>
      <c r="W124">
        <f>LOG(Table1_1[[#This Row],[PFEtCHxS]])</f>
        <v>-0.61528825706171753</v>
      </c>
      <c r="X124">
        <f>LOG(Table1_1[[#This Row],[FBSA]])</f>
        <v>1.2278867046136734</v>
      </c>
      <c r="Y124">
        <f>LOG(Table1_1[[#This Row],[FHxSA]])</f>
        <v>1.7379873263334309</v>
      </c>
      <c r="Z124">
        <f>LOG(Table1_1[[#This Row],[FOSA]])</f>
        <v>1.0606978403536116</v>
      </c>
      <c r="AA124">
        <f>LOG(Table1_1[[#This Row],[N-MeFOSA]])</f>
        <v>-1.133712660915805</v>
      </c>
      <c r="AB124">
        <f>LOG(Table1_1[[#This Row],[N-EtFOSA]])</f>
        <v>-1.0655015487564323</v>
      </c>
      <c r="AC124">
        <f>LOG(Table1_1[[#This Row],[FOSAA]])</f>
        <v>-1.2365720064370627</v>
      </c>
      <c r="AD124">
        <f>LOG(Table1_1[[#This Row],[N-MeFOSAA]])</f>
        <v>-1.1307682802690238</v>
      </c>
      <c r="AE124">
        <f>LOG(Table1_1[[#This Row],[N-EtFOSAA]])</f>
        <v>-1.1938200260161129</v>
      </c>
      <c r="AF124">
        <f>LOG(Table1_1[[#This Row],[4:2 FTS]])</f>
        <v>-1.133712660915805</v>
      </c>
      <c r="AG124">
        <f>LOG(Table1_1[[#This Row],[6:2 FTS]])</f>
        <v>-0.5072396109731625</v>
      </c>
      <c r="AH124">
        <f>LOG(Table1_1[[#This Row],[8:2 FTS]])</f>
        <v>0.33243845991560533</v>
      </c>
      <c r="AI124">
        <f>LOG(Table1_1[[#This Row],[10:2 FTS]])</f>
        <v>-0.55987839681219609</v>
      </c>
      <c r="AJ124">
        <f>LOG(Table1_1[[#This Row],[3:3 FTCA]])</f>
        <v>-1.0705810742857071</v>
      </c>
      <c r="AK124">
        <f>LOG(Table1_1[[#This Row],[5:3 FTCA]])</f>
        <v>-0.73754891026957059</v>
      </c>
      <c r="AL124">
        <f>LOG(Table1_1[[#This Row],[7:3 FTCA]])</f>
        <v>0.2528530309798932</v>
      </c>
      <c r="AM124">
        <f>LOG(Table1_1[[#This Row],[6:2 FTCA]])</f>
        <v>-0.61528825706171753</v>
      </c>
      <c r="AN124">
        <f>LOG(Table1_1[[#This Row],[8:2 FTCA]])</f>
        <v>-1.133712660915805</v>
      </c>
      <c r="AO124">
        <f>LOG(Table1_1[[#This Row],[10:2 FTCA]])</f>
        <v>-0.96058588082386287</v>
      </c>
      <c r="AP124">
        <f>LOG(Table1_1[[#This Row],[6:2 FTUCA]])</f>
        <v>-1.2403321553103694</v>
      </c>
      <c r="AQ124">
        <f>LOG(Table1_1[[#This Row],[8:2 FTUCA]])</f>
        <v>-1.3521282346937675</v>
      </c>
      <c r="AR124">
        <f>LOG(Table1_1[[#This Row],[ADONA]])</f>
        <v>-1.1870866433571443</v>
      </c>
      <c r="AS124">
        <f>LOG(Table1_1[[#This Row],[9Cl-PF3ONS]])</f>
        <v>-1.133712660915805</v>
      </c>
      <c r="AT124">
        <f>LOG(Table1_1[[#This Row],[11Cl-PF3OUdS]])</f>
        <v>-1.133712660915805</v>
      </c>
      <c r="AU124">
        <f>LOG(Table1_1[[#This Row],[HFPO-DA]])</f>
        <v>-0.97674754036628852</v>
      </c>
      <c r="AV124">
        <f>LOG(Table1_1[[#This Row],[6:2 diPAP]])</f>
        <v>-1.1051303432547475</v>
      </c>
      <c r="AW124">
        <f>LOG(Table1_1[[#This Row],[8:2 diPAP]])</f>
        <v>-1.0109953843014632</v>
      </c>
      <c r="AX124">
        <f>LOG(Table1_1[[#This Row],[diSAmPAP]])</f>
        <v>-0.88773023158272935</v>
      </c>
    </row>
    <row r="125" spans="1:50">
      <c r="A125">
        <f>LOG(Table1_1[[#This Row],[PFBA]])</f>
        <v>-0.65364702554936138</v>
      </c>
      <c r="B125">
        <f>LOG(Table1_1[[#This Row],[PFPeA]])</f>
        <v>-0.80410034759076621</v>
      </c>
      <c r="C125">
        <f>LOG(Table1_1[[#This Row],[PFHxA]])</f>
        <v>-0.92081875395237522</v>
      </c>
      <c r="D125">
        <f>LOG(Table1_1[[#This Row],[PFHpA]])</f>
        <v>-0.58169870868025453</v>
      </c>
      <c r="E125">
        <f>LOG(Table1_1[[#This Row],[PFOA]])</f>
        <v>0.55388302664387434</v>
      </c>
      <c r="F125">
        <f>LOG(Table1_1[[#This Row],[PFNA]])</f>
        <v>0.60097289568674828</v>
      </c>
      <c r="G125">
        <f>LOG(Table1_1[[#This Row],[PFDA]])</f>
        <v>0.88649072517248184</v>
      </c>
      <c r="H125">
        <f>LOG(Table1_1[[#This Row],[PFUnA]])</f>
        <v>0.96236933567002114</v>
      </c>
      <c r="I125">
        <f>LOG(Table1_1[[#This Row],[PFDoA]])</f>
        <v>0.90633504180509072</v>
      </c>
      <c r="J125">
        <f>LOG(Table1_1[[#This Row],[PFTrDA]])</f>
        <v>0.37657695705651195</v>
      </c>
      <c r="K125">
        <f>LOG(Table1_1[[#This Row],[PFTeDA]])</f>
        <v>0.88138465677057287</v>
      </c>
      <c r="L125">
        <f>LOG(Table1_1[[#This Row],[PFHxDA]])</f>
        <v>-1.0969100130080565</v>
      </c>
      <c r="M125">
        <f>LOG(Table1_1[[#This Row],[PFPrS]])</f>
        <v>-1.1706962271689751</v>
      </c>
      <c r="N125">
        <f>LOG(Table1_1[[#This Row],[PFBS]])</f>
        <v>-0.82102305270683062</v>
      </c>
      <c r="O125">
        <f>LOG(Table1_1[[#This Row],[PFPeS]])</f>
        <v>-0.65364702554936138</v>
      </c>
      <c r="P125">
        <f>LOG(Table1_1[[#This Row],[PFHxS]])</f>
        <v>1.4828735836087537</v>
      </c>
      <c r="Q125">
        <f>LOG(Table1_1[[#This Row],[PFHpS]])</f>
        <v>0.53147891704225514</v>
      </c>
      <c r="R125">
        <f>LOG(Table1_1[[#This Row],[PFOS]])</f>
        <v>2.8375884382355112</v>
      </c>
      <c r="S125">
        <f>LOG(Table1_1[[#This Row],[PFNS]])</f>
        <v>0.32633586092875144</v>
      </c>
      <c r="T125">
        <f>LOG(Table1_1[[#This Row],[PFDS]])</f>
        <v>0.21218760440395779</v>
      </c>
      <c r="U125">
        <f>LOG(Table1_1[[#This Row],[PFDoS]])</f>
        <v>-0.62433638603911468</v>
      </c>
      <c r="V125">
        <f>LOG(Table1_1[[#This Row],[Cl-PFOS]])</f>
        <v>-0.86966623150499389</v>
      </c>
      <c r="W125">
        <f>LOG(Table1_1[[#This Row],[PFEtCHxS]])</f>
        <v>-0.65364702554936138</v>
      </c>
      <c r="X125">
        <f>LOG(Table1_1[[#This Row],[FBSA]])</f>
        <v>1.5538830266438743</v>
      </c>
      <c r="Y125">
        <f>LOG(Table1_1[[#This Row],[FHxSA]])</f>
        <v>2.0569048513364727</v>
      </c>
      <c r="Z125">
        <f>LOG(Table1_1[[#This Row],[FOSA]])</f>
        <v>1.2121876044039579</v>
      </c>
      <c r="AA125">
        <f>LOG(Table1_1[[#This Row],[N-MeFOSA]])</f>
        <v>-1.1706962271689751</v>
      </c>
      <c r="AB125">
        <f>LOG(Table1_1[[#This Row],[N-EtFOSA]])</f>
        <v>-1.1051303432547475</v>
      </c>
      <c r="AC125">
        <f>LOG(Table1_1[[#This Row],[FOSAA]])</f>
        <v>-1.2757241303992111</v>
      </c>
      <c r="AD125">
        <f>LOG(Table1_1[[#This Row],[N-MeFOSAA]])</f>
        <v>-1.1706962271689751</v>
      </c>
      <c r="AE125">
        <f>LOG(Table1_1[[#This Row],[N-EtFOSAA]])</f>
        <v>-1.2328441339178196</v>
      </c>
      <c r="AF125">
        <f>LOG(Table1_1[[#This Row],[4:2 FTS]])</f>
        <v>-1.1706962271689751</v>
      </c>
      <c r="AG125">
        <f>LOG(Table1_1[[#This Row],[6:2 FTS]])</f>
        <v>-0.33441900898204685</v>
      </c>
      <c r="AH125">
        <f>LOG(Table1_1[[#This Row],[8:2 FTS]])</f>
        <v>1.0211892990699381</v>
      </c>
      <c r="AI125">
        <f>LOG(Table1_1[[#This Row],[10:2 FTS]])</f>
        <v>-0.59859945921845592</v>
      </c>
      <c r="AJ125">
        <f>LOG(Table1_1[[#This Row],[3:3 FTCA]])</f>
        <v>-1.1106982974936896</v>
      </c>
      <c r="AK125">
        <f>LOG(Table1_1[[#This Row],[5:3 FTCA]])</f>
        <v>-0.12959609472097294</v>
      </c>
      <c r="AL125">
        <f>LOG(Table1_1[[#This Row],[7:3 FTCA]])</f>
        <v>0.49831055378960049</v>
      </c>
      <c r="AM125">
        <f>LOG(Table1_1[[#This Row],[6:2 FTCA]])</f>
        <v>-1.1706962271689751</v>
      </c>
      <c r="AN125">
        <f>LOG(Table1_1[[#This Row],[8:2 FTCA]])</f>
        <v>-1.1706962271689751</v>
      </c>
      <c r="AO125">
        <f>LOG(Table1_1[[#This Row],[10:2 FTCA]])</f>
        <v>-0.99783393824349231</v>
      </c>
      <c r="AP125">
        <f>LOG(Table1_1[[#This Row],[6:2 FTUCA]])</f>
        <v>-1.2757241303992111</v>
      </c>
      <c r="AQ125">
        <f>LOG(Table1_1[[#This Row],[8:2 FTUCA]])</f>
        <v>-1.390939450069913</v>
      </c>
      <c r="AR125">
        <f>LOG(Table1_1[[#This Row],[ADONA]])</f>
        <v>-0.70774392864352398</v>
      </c>
      <c r="AS125">
        <f>LOG(Table1_1[[#This Row],[9Cl-PF3ONS]])</f>
        <v>-1.1706962271689751</v>
      </c>
      <c r="AT125">
        <f>LOG(Table1_1[[#This Row],[11Cl-PF3OUdS]])</f>
        <v>-1.1706962271689751</v>
      </c>
      <c r="AU125">
        <f>LOG(Table1_1[[#This Row],[HFPO-DA]])</f>
        <v>-1.0154726866562074</v>
      </c>
      <c r="AV125">
        <f>LOG(Table1_1[[#This Row],[6:2 diPAP]])</f>
        <v>-1.1456939581989194</v>
      </c>
      <c r="AW125">
        <f>LOG(Table1_1[[#This Row],[8:2 diPAP]])</f>
        <v>-1.0506099933550872</v>
      </c>
      <c r="AX125">
        <f>LOG(Table1_1[[#This Row],[diSAmPAP]])</f>
        <v>-0.92628164965387738</v>
      </c>
    </row>
    <row r="126" spans="1:50">
      <c r="A126">
        <f>LOG(Table1_1[[#This Row],[PFBA]])</f>
        <v>-0.62893213772826373</v>
      </c>
      <c r="B126">
        <f>LOG(Table1_1[[#This Row],[PFPeA]])</f>
        <v>-0.77989191195994489</v>
      </c>
      <c r="C126">
        <f>LOG(Table1_1[[#This Row],[PFHxA]])</f>
        <v>-0.89619627904404309</v>
      </c>
      <c r="D126">
        <f>LOG(Table1_1[[#This Row],[PFHpA]])</f>
        <v>0.36921585741014279</v>
      </c>
      <c r="E126">
        <f>LOG(Table1_1[[#This Row],[PFOA]])</f>
        <v>0.36361197989214433</v>
      </c>
      <c r="F126">
        <f>LOG(Table1_1[[#This Row],[PFNA]])</f>
        <v>0.1903316981702915</v>
      </c>
      <c r="G126">
        <f>LOG(Table1_1[[#This Row],[PFDA]])</f>
        <v>0.80140371001735511</v>
      </c>
      <c r="H126">
        <f>LOG(Table1_1[[#This Row],[PFUnA]])</f>
        <v>0.93145787068900499</v>
      </c>
      <c r="I126">
        <f>LOG(Table1_1[[#This Row],[PFDoA]])</f>
        <v>1.1958996524092338</v>
      </c>
      <c r="J126">
        <f>LOG(Table1_1[[#This Row],[PFTrDA]])</f>
        <v>0.61700034112089897</v>
      </c>
      <c r="K126">
        <f>LOG(Table1_1[[#This Row],[PFTeDA]])</f>
        <v>1.2455126678141499</v>
      </c>
      <c r="L126">
        <f>LOG(Table1_1[[#This Row],[PFHxDA]])</f>
        <v>-0.55284196865778079</v>
      </c>
      <c r="M126">
        <f>LOG(Table1_1[[#This Row],[PFPrS]])</f>
        <v>-1.1487416512809248</v>
      </c>
      <c r="N126">
        <f>LOG(Table1_1[[#This Row],[PFBS]])</f>
        <v>-0.79588001734407521</v>
      </c>
      <c r="O126">
        <f>LOG(Table1_1[[#This Row],[PFPeS]])</f>
        <v>-0.62893213772826373</v>
      </c>
      <c r="P126">
        <f>LOG(Table1_1[[#This Row],[PFHxS]])</f>
        <v>1.3654879848908996</v>
      </c>
      <c r="Q126">
        <f>LOG(Table1_1[[#This Row],[PFHpS]])</f>
        <v>0.60530504614110947</v>
      </c>
      <c r="R126">
        <f>LOG(Table1_1[[#This Row],[PFOS]])</f>
        <v>2.9309490311675228</v>
      </c>
      <c r="S126">
        <f>LOG(Table1_1[[#This Row],[PFNS]])</f>
        <v>0.45178643552429026</v>
      </c>
      <c r="T126">
        <f>LOG(Table1_1[[#This Row],[PFDS]])</f>
        <v>0.45178643552429026</v>
      </c>
      <c r="U126">
        <f>LOG(Table1_1[[#This Row],[PFDoS]])</f>
        <v>-0.23657200643706275</v>
      </c>
      <c r="V126">
        <f>LOG(Table1_1[[#This Row],[Cl-PFOS]])</f>
        <v>-0.84466396253493825</v>
      </c>
      <c r="W126">
        <f>LOG(Table1_1[[#This Row],[PFEtCHxS]])</f>
        <v>-0.62893213772826373</v>
      </c>
      <c r="X126">
        <f>LOG(Table1_1[[#This Row],[FBSA]])</f>
        <v>1.4377505628203879</v>
      </c>
      <c r="Y126">
        <f>LOG(Table1_1[[#This Row],[FHxSA]])</f>
        <v>2.0934216851622351</v>
      </c>
      <c r="Z126">
        <f>LOG(Table1_1[[#This Row],[FOSA]])</f>
        <v>1.3117538610557542</v>
      </c>
      <c r="AA126">
        <f>LOG(Table1_1[[#This Row],[N-MeFOSA]])</f>
        <v>-1.1487416512809248</v>
      </c>
      <c r="AB126">
        <f>LOG(Table1_1[[#This Row],[N-EtFOSA]])</f>
        <v>-1.080921907623926</v>
      </c>
      <c r="AC126">
        <f>LOG(Table1_1[[#This Row],[FOSAA]])</f>
        <v>-1.2518119729937995</v>
      </c>
      <c r="AD126">
        <f>LOG(Table1_1[[#This Row],[N-MeFOSAA]])</f>
        <v>-1.1456939581989194</v>
      </c>
      <c r="AE126">
        <f>LOG(Table1_1[[#This Row],[N-EtFOSAA]])</f>
        <v>-1.2076083105017461</v>
      </c>
      <c r="AF126">
        <f>LOG(Table1_1[[#This Row],[4:2 FTS]])</f>
        <v>-1.1487416512809248</v>
      </c>
      <c r="AG126">
        <f>LOG(Table1_1[[#This Row],[6:2 FTS]])</f>
        <v>-0.14387555575769967</v>
      </c>
      <c r="AH126">
        <f>LOG(Table1_1[[#This Row],[8:2 FTS]])</f>
        <v>0.87737134586977406</v>
      </c>
      <c r="AI126">
        <f>LOG(Table1_1[[#This Row],[10:2 FTS]])</f>
        <v>-0.57348873863542471</v>
      </c>
      <c r="AJ126">
        <f>LOG(Table1_1[[#This Row],[3:3 FTCA]])</f>
        <v>-1.0861861476162833</v>
      </c>
      <c r="AK126">
        <f>LOG(Table1_1[[#This Row],[5:3 FTCA]])</f>
        <v>-0.75080164260888715</v>
      </c>
      <c r="AL126">
        <f>LOG(Table1_1[[#This Row],[7:3 FTCA]])</f>
        <v>0.1903316981702915</v>
      </c>
      <c r="AM126">
        <f>LOG(Table1_1[[#This Row],[6:2 FTCA]])</f>
        <v>-1.1487416512809248</v>
      </c>
      <c r="AN126">
        <f>LOG(Table1_1[[#This Row],[8:2 FTCA]])</f>
        <v>-1.1487416512809248</v>
      </c>
      <c r="AO126">
        <f>LOG(Table1_1[[#This Row],[10:2 FTCA]])</f>
        <v>-0.97265039222524352</v>
      </c>
      <c r="AP126">
        <f>LOG(Table1_1[[#This Row],[6:2 FTUCA]])</f>
        <v>-1.2518119729937995</v>
      </c>
      <c r="AQ126">
        <f>LOG(Table1_1[[#This Row],[8:2 FTUCA]])</f>
        <v>-1.3660268442103265</v>
      </c>
      <c r="AR126">
        <f>LOG(Table1_1[[#This Row],[ADONA]])</f>
        <v>-1.2006594505464183</v>
      </c>
      <c r="AS126">
        <f>LOG(Table1_1[[#This Row],[9Cl-PF3ONS]])</f>
        <v>-1.1487416512809248</v>
      </c>
      <c r="AT126">
        <f>LOG(Table1_1[[#This Row],[11Cl-PF3OUdS]])</f>
        <v>-1.1487416512809248</v>
      </c>
      <c r="AU126">
        <f>LOG(Table1_1[[#This Row],[HFPO-DA]])</f>
        <v>-0.99139982823808248</v>
      </c>
      <c r="AV126">
        <f>LOG(Table1_1[[#This Row],[6:2 diPAP]])</f>
        <v>-1.1191864077192086</v>
      </c>
      <c r="AW126">
        <f>LOG(Table1_1[[#This Row],[8:2 diPAP]])</f>
        <v>-1.024568191490737</v>
      </c>
      <c r="AX126">
        <f>LOG(Table1_1[[#This Row],[diSAmPAP]])</f>
        <v>-0.90135627418294306</v>
      </c>
    </row>
    <row r="127" spans="1:50">
      <c r="A127">
        <f>LOG(Table1_1[[#This Row],[PFBA]])</f>
        <v>-0.64301859900686875</v>
      </c>
      <c r="B127">
        <f>LOG(Table1_1[[#This Row],[PFPeA]])</f>
        <v>-1.3120253799654444</v>
      </c>
      <c r="C127">
        <f>LOG(Table1_1[[#This Row],[PFHxA]])</f>
        <v>-1.4288737229156883</v>
      </c>
      <c r="D127">
        <f>LOG(Table1_1[[#This Row],[PFHpA]])</f>
        <v>-1.5590909179347823</v>
      </c>
      <c r="E127">
        <f>LOG(Table1_1[[#This Row],[PFOA]])</f>
        <v>0.15228834438305647</v>
      </c>
      <c r="F127">
        <f>LOG(Table1_1[[#This Row],[PFNA]])</f>
        <v>-0.80271944187438071</v>
      </c>
      <c r="G127">
        <f>LOG(Table1_1[[#This Row],[PFDA]])</f>
        <v>0.60422605308446997</v>
      </c>
      <c r="H127">
        <f>LOG(Table1_1[[#This Row],[PFUnA]])</f>
        <v>0.85973856619714695</v>
      </c>
      <c r="I127">
        <f>LOG(Table1_1[[#This Row],[PFDoA]])</f>
        <v>1.4199557484897578</v>
      </c>
      <c r="J127">
        <f>LOG(Table1_1[[#This Row],[PFTrDA]])</f>
        <v>0.86033800657099369</v>
      </c>
      <c r="K127">
        <f>LOG(Table1_1[[#This Row],[PFTeDA]])</f>
        <v>1.5514499979728751</v>
      </c>
      <c r="L127">
        <f>LOG(Table1_1[[#This Row],[PFHxDA]])</f>
        <v>-1.6373712875465501E-2</v>
      </c>
      <c r="M127">
        <f>LOG(Table1_1[[#This Row],[PFPrS]])</f>
        <v>-1.1611509092627446</v>
      </c>
      <c r="N127">
        <f>LOG(Table1_1[[#This Row],[PFBS]])</f>
        <v>-0.8096683018297085</v>
      </c>
      <c r="O127">
        <f>LOG(Table1_1[[#This Row],[PFPeS]])</f>
        <v>-0.64301859900686875</v>
      </c>
      <c r="P127">
        <f>LOG(Table1_1[[#This Row],[PFHxS]])</f>
        <v>1.4623979978989561</v>
      </c>
      <c r="Q127">
        <f>LOG(Table1_1[[#This Row],[PFHpS]])</f>
        <v>0.69635638873333205</v>
      </c>
      <c r="R127">
        <f>LOG(Table1_1[[#This Row],[PFOS]])</f>
        <v>2.9604707775342991</v>
      </c>
      <c r="S127">
        <f>LOG(Table1_1[[#This Row],[PFNS]])</f>
        <v>0.31806333496276157</v>
      </c>
      <c r="T127">
        <f>LOG(Table1_1[[#This Row],[PFDS]])</f>
        <v>0.3979400086720376</v>
      </c>
      <c r="U127">
        <f>LOG(Table1_1[[#This Row],[PFDoS]])</f>
        <v>6.069784035361165E-2</v>
      </c>
      <c r="V127">
        <f>LOG(Table1_1[[#This Row],[Cl-PFOS]])</f>
        <v>-0.85855022659953262</v>
      </c>
      <c r="W127">
        <f>LOG(Table1_1[[#This Row],[PFEtCHxS]])</f>
        <v>-0.64301859900686875</v>
      </c>
      <c r="X127">
        <f>LOG(Table1_1[[#This Row],[FBSA]])</f>
        <v>1.4132997640812519</v>
      </c>
      <c r="Y127">
        <f>LOG(Table1_1[[#This Row],[FHxSA]])</f>
        <v>1.9148718175400503</v>
      </c>
      <c r="Z127">
        <f>LOG(Table1_1[[#This Row],[FOSA]])</f>
        <v>1.110589710299249</v>
      </c>
      <c r="AA127">
        <f>LOG(Table1_1[[#This Row],[N-MeFOSA]])</f>
        <v>-1.1611509092627446</v>
      </c>
      <c r="AB127">
        <f>LOG(Table1_1[[#This Row],[N-EtFOSA]])</f>
        <v>-1.0942041196321315</v>
      </c>
      <c r="AC127">
        <f>LOG(Table1_1[[#This Row],[FOSAA]])</f>
        <v>-1.2636034977233577</v>
      </c>
      <c r="AD127">
        <f>LOG(Table1_1[[#This Row],[N-MeFOSAA]])</f>
        <v>-1.1580151954098861</v>
      </c>
      <c r="AE127">
        <f>LOG(Table1_1[[#This Row],[N-EtFOSAA]])</f>
        <v>-1.2218487496163564</v>
      </c>
      <c r="AF127">
        <f>LOG(Table1_1[[#This Row],[4:2 FTS]])</f>
        <v>-1.1611509092627446</v>
      </c>
      <c r="AG127">
        <f>LOG(Table1_1[[#This Row],[6:2 FTS]])</f>
        <v>-0.10568393731556154</v>
      </c>
      <c r="AH127">
        <f>LOG(Table1_1[[#This Row],[8:2 FTS]])</f>
        <v>0.56702636615906032</v>
      </c>
      <c r="AI127">
        <f>LOG(Table1_1[[#This Row],[10:2 FTS]])</f>
        <v>-0.5875394525700387</v>
      </c>
      <c r="AJ127">
        <f>LOG(Table1_1[[#This Row],[3:3 FTCA]])</f>
        <v>-1.0996328713435297</v>
      </c>
      <c r="AK127">
        <f>LOG(Table1_1[[#This Row],[5:3 FTCA]])</f>
        <v>0.51454775266028607</v>
      </c>
      <c r="AL127">
        <f>LOG(Table1_1[[#This Row],[7:3 FTCA]])</f>
        <v>1.1492191126553799</v>
      </c>
      <c r="AM127">
        <f>LOG(Table1_1[[#This Row],[6:2 FTCA]])</f>
        <v>-1.1611509092627446</v>
      </c>
      <c r="AN127">
        <f>LOG(Table1_1[[#This Row],[8:2 FTCA]])</f>
        <v>-1.1611509092627446</v>
      </c>
      <c r="AO127">
        <f>LOG(Table1_1[[#This Row],[10:2 FTCA]])</f>
        <v>-0.98716277529482777</v>
      </c>
      <c r="AP127">
        <f>LOG(Table1_1[[#This Row],[6:2 FTUCA]])</f>
        <v>-1.2676062401770316</v>
      </c>
      <c r="AQ127">
        <f>LOG(Table1_1[[#This Row],[8:2 FTUCA]])</f>
        <v>-1.3798639450262424</v>
      </c>
      <c r="AR127">
        <f>LOG(Table1_1[[#This Row],[ADONA]])</f>
        <v>-1.2146701649892331</v>
      </c>
      <c r="AS127">
        <f>LOG(Table1_1[[#This Row],[9Cl-PF3ONS]])</f>
        <v>-1.1611509092627446</v>
      </c>
      <c r="AT127">
        <f>LOG(Table1_1[[#This Row],[11Cl-PF3OUdS]])</f>
        <v>-1.1611509092627446</v>
      </c>
      <c r="AU127">
        <f>LOG(Table1_1[[#This Row],[HFPO-DA]])</f>
        <v>-1.0043648054024501</v>
      </c>
      <c r="AV127">
        <f>LOG(Table1_1[[#This Row],[6:2 diPAP]])</f>
        <v>-1.133712660915805</v>
      </c>
      <c r="AW127">
        <f>LOG(Table1_1[[#This Row],[8:2 diPAP]])</f>
        <v>-1.0385789059335517</v>
      </c>
      <c r="AX127">
        <f>LOG(Table1_1[[#This Row],[diSAmPAP]])</f>
        <v>-0.91542372206566902</v>
      </c>
    </row>
    <row r="128" spans="1:50">
      <c r="A128">
        <f>LOG(Table1_1[[#This Row],[PFBA]])</f>
        <v>-0.61708286491246911</v>
      </c>
      <c r="B128">
        <f>LOG(Table1_1[[#This Row],[PFPeA]])</f>
        <v>-1.288192770958809</v>
      </c>
      <c r="C128">
        <f>LOG(Table1_1[[#This Row],[PFHxA]])</f>
        <v>-0.88438948832570019</v>
      </c>
      <c r="D128">
        <f>LOG(Table1_1[[#This Row],[PFHpA]])</f>
        <v>-1.0154726866562074</v>
      </c>
      <c r="E128">
        <f>LOG(Table1_1[[#This Row],[PFOA]])</f>
        <v>-0.14569395819891939</v>
      </c>
      <c r="F128">
        <f>LOG(Table1_1[[#This Row],[PFNA]])</f>
        <v>-0.43179827593300502</v>
      </c>
      <c r="G128">
        <f>LOG(Table1_1[[#This Row],[PFDA]])</f>
        <v>0.5854607295085007</v>
      </c>
      <c r="H128">
        <f>LOG(Table1_1[[#This Row],[PFUnA]])</f>
        <v>0.83250891270623628</v>
      </c>
      <c r="I128">
        <f>LOG(Table1_1[[#This Row],[PFDoA]])</f>
        <v>1.3222192947339193</v>
      </c>
      <c r="J128">
        <f>LOG(Table1_1[[#This Row],[PFTrDA]])</f>
        <v>0.92531209149964955</v>
      </c>
      <c r="K128">
        <f>LOG(Table1_1[[#This Row],[PFTeDA]])</f>
        <v>1.2787536009528289</v>
      </c>
      <c r="L128">
        <f>LOG(Table1_1[[#This Row],[PFHxDA]])</f>
        <v>-1.0604807473813815</v>
      </c>
      <c r="M128">
        <f>LOG(Table1_1[[#This Row],[PFPrS]])</f>
        <v>-1.1366771398795441</v>
      </c>
      <c r="N128">
        <f>LOG(Table1_1[[#This Row],[PFBS]])</f>
        <v>-0.78383409771400692</v>
      </c>
      <c r="O128">
        <f>LOG(Table1_1[[#This Row],[PFPeS]])</f>
        <v>-1.1366771398795441</v>
      </c>
      <c r="P128">
        <f>LOG(Table1_1[[#This Row],[PFHxS]])</f>
        <v>0.9289076902439527</v>
      </c>
      <c r="Q128">
        <f>LOG(Table1_1[[#This Row],[PFHpS]])</f>
        <v>-7.8833949362261305E-2</v>
      </c>
      <c r="R128">
        <f>LOG(Table1_1[[#This Row],[PFOS]])</f>
        <v>3.0043213737826426</v>
      </c>
      <c r="S128">
        <f>LOG(Table1_1[[#This Row],[PFNS]])</f>
        <v>5.6904851336472557E-2</v>
      </c>
      <c r="T128">
        <f>LOG(Table1_1[[#This Row],[PFDS]])</f>
        <v>0.22788670461367352</v>
      </c>
      <c r="U128">
        <f>LOG(Table1_1[[#This Row],[PFDoS]])</f>
        <v>-0.25181197299379954</v>
      </c>
      <c r="V128">
        <f>LOG(Table1_1[[#This Row],[Cl-PFOS]])</f>
        <v>-0.83416237530987181</v>
      </c>
      <c r="W128">
        <f>LOG(Table1_1[[#This Row],[PFEtCHxS]])</f>
        <v>-0.61708286491246911</v>
      </c>
      <c r="X128">
        <f>LOG(Table1_1[[#This Row],[FBSA]])</f>
        <v>1.8585371975696392</v>
      </c>
      <c r="Y128">
        <f>LOG(Table1_1[[#This Row],[FHxSA]])</f>
        <v>2.0644579892269186</v>
      </c>
      <c r="Z128">
        <f>LOG(Table1_1[[#This Row],[FOSA]])</f>
        <v>1.2201080880400552</v>
      </c>
      <c r="AA128">
        <f>LOG(Table1_1[[#This Row],[N-MeFOSA]])</f>
        <v>-1.1366771398795441</v>
      </c>
      <c r="AB128">
        <f>LOG(Table1_1[[#This Row],[N-EtFOSA]])</f>
        <v>-1.0680338852718274</v>
      </c>
      <c r="AC128">
        <f>LOG(Table1_1[[#This Row],[FOSAA]])</f>
        <v>-1.2403321553103694</v>
      </c>
      <c r="AD128">
        <f>LOG(Table1_1[[#This Row],[N-MeFOSAA]])</f>
        <v>-1.133712660915805</v>
      </c>
      <c r="AE128">
        <f>LOG(Table1_1[[#This Row],[N-EtFOSAA]])</f>
        <v>-1.1972262747080242</v>
      </c>
      <c r="AF128">
        <f>LOG(Table1_1[[#This Row],[4:2 FTS]])</f>
        <v>-1.1366771398795441</v>
      </c>
      <c r="AG128">
        <f>LOG(Table1_1[[#This Row],[6:2 FTS]])</f>
        <v>-0.41680122603137726</v>
      </c>
      <c r="AH128">
        <f>LOG(Table1_1[[#This Row],[8:2 FTS]])</f>
        <v>0.47129171105893858</v>
      </c>
      <c r="AI128">
        <f>LOG(Table1_1[[#This Row],[10:2 FTS]])</f>
        <v>-0.56224943717961195</v>
      </c>
      <c r="AJ128">
        <f>LOG(Table1_1[[#This Row],[3:3 FTCA]])</f>
        <v>-1.0731432910503076</v>
      </c>
      <c r="AK128">
        <f>LOG(Table1_1[[#This Row],[5:3 FTCA]])</f>
        <v>0.45024910831936105</v>
      </c>
      <c r="AL128">
        <f>LOG(Table1_1[[#This Row],[7:3 FTCA]])</f>
        <v>1.6394864892685861</v>
      </c>
      <c r="AM128">
        <f>LOG(Table1_1[[#This Row],[6:2 FTCA]])</f>
        <v>-1.1366771398795441</v>
      </c>
      <c r="AN128">
        <f>LOG(Table1_1[[#This Row],[8:2 FTCA]])</f>
        <v>-1.1366771398795441</v>
      </c>
      <c r="AO128">
        <f>LOG(Table1_1[[#This Row],[10:2 FTCA]])</f>
        <v>-0.96257350205937642</v>
      </c>
      <c r="AP128">
        <f>LOG(Table1_1[[#This Row],[6:2 FTUCA]])</f>
        <v>-1.2403321553103694</v>
      </c>
      <c r="AQ128">
        <f>LOG(Table1_1[[#This Row],[8:2 FTUCA]])</f>
        <v>-1.3545777306509081</v>
      </c>
      <c r="AR128">
        <f>LOG(Table1_1[[#This Row],[ADONA]])</f>
        <v>-1.1904402853647322</v>
      </c>
      <c r="AS128">
        <f>LOG(Table1_1[[#This Row],[9Cl-PF3ONS]])</f>
        <v>-1.1366771398795441</v>
      </c>
      <c r="AT128">
        <f>LOG(Table1_1[[#This Row],[11Cl-PF3OUdS]])</f>
        <v>-1.1366771398795441</v>
      </c>
      <c r="AU128">
        <f>LOG(Table1_1[[#This Row],[HFPO-DA]])</f>
        <v>-0.97881070093006195</v>
      </c>
      <c r="AV128">
        <f>LOG(Table1_1[[#This Row],[6:2 diPAP]])</f>
        <v>-1.1079053973095196</v>
      </c>
      <c r="AW128">
        <f>LOG(Table1_1[[#This Row],[8:2 diPAP]])</f>
        <v>-1.0132282657337552</v>
      </c>
      <c r="AX128">
        <f>LOG(Table1_1[[#This Row],[diSAmPAP]])</f>
        <v>-0.89109687233268664</v>
      </c>
    </row>
    <row r="129" spans="1:50">
      <c r="A129">
        <f>LOG(Table1_1[[#This Row],[PFBA]])</f>
        <v>-1.1771783546968955</v>
      </c>
      <c r="B129">
        <f>LOG(Table1_1[[#This Row],[PFPeA]])</f>
        <v>-1.3283644033978703</v>
      </c>
      <c r="C129">
        <f>LOG(Table1_1[[#This Row],[PFHxA]])</f>
        <v>-0.92628164965387738</v>
      </c>
      <c r="D129">
        <f>LOG(Table1_1[[#This Row],[PFHpA]])</f>
        <v>-1.575118363368933</v>
      </c>
      <c r="E129">
        <f>LOG(Table1_1[[#This Row],[PFOA]])</f>
        <v>-0.10790539730951958</v>
      </c>
      <c r="F129">
        <f>LOG(Table1_1[[#This Row],[PFNA]])</f>
        <v>-0.41005039867429227</v>
      </c>
      <c r="G129">
        <f>LOG(Table1_1[[#This Row],[PFDA]])</f>
        <v>0.58206336291170868</v>
      </c>
      <c r="H129">
        <f>LOG(Table1_1[[#This Row],[PFUnA]])</f>
        <v>0.83378437465647892</v>
      </c>
      <c r="I129">
        <f>LOG(Table1_1[[#This Row],[PFDoA]])</f>
        <v>1.0899051114393981</v>
      </c>
      <c r="J129">
        <f>LOG(Table1_1[[#This Row],[PFTrDA]])</f>
        <v>0.60530504614110947</v>
      </c>
      <c r="K129">
        <f>LOG(Table1_1[[#This Row],[PFTeDA]])</f>
        <v>1.1238516409670858</v>
      </c>
      <c r="L129">
        <f>LOG(Table1_1[[#This Row],[PFHxDA]])</f>
        <v>-1.1023729087095586</v>
      </c>
      <c r="M129">
        <f>LOG(Table1_1[[#This Row],[PFPrS]])</f>
        <v>-1.1771783546968955</v>
      </c>
      <c r="N129">
        <f>LOG(Table1_1[[#This Row],[PFBS]])</f>
        <v>-1.344381416458778</v>
      </c>
      <c r="O129">
        <f>LOG(Table1_1[[#This Row],[PFPeS]])</f>
        <v>-0.65856547542185984</v>
      </c>
      <c r="P129">
        <f>LOG(Table1_1[[#This Row],[PFHxS]])</f>
        <v>1.0413926851582251</v>
      </c>
      <c r="Q129">
        <f>LOG(Table1_1[[#This Row],[PFHpS]])</f>
        <v>0.53781909507327419</v>
      </c>
      <c r="R129">
        <f>LOG(Table1_1[[#This Row],[PFOS]])</f>
        <v>2.8898617212581885</v>
      </c>
      <c r="S129">
        <f>LOG(Table1_1[[#This Row],[PFNS]])</f>
        <v>0.73479982958884693</v>
      </c>
      <c r="T129">
        <f>LOG(Table1_1[[#This Row],[PFDS]])</f>
        <v>0.78318869107525757</v>
      </c>
      <c r="U129">
        <f>LOG(Table1_1[[#This Row],[PFDoS]])</f>
        <v>0.2576785748691845</v>
      </c>
      <c r="V129">
        <f>LOG(Table1_1[[#This Row],[Cl-PFOS]])</f>
        <v>-0.87451873429940596</v>
      </c>
      <c r="W129">
        <f>LOG(Table1_1[[#This Row],[PFEtCHxS]])</f>
        <v>-0.65856547542185984</v>
      </c>
      <c r="X129">
        <f>LOG(Table1_1[[#This Row],[FBSA]])</f>
        <v>1.209515014542631</v>
      </c>
      <c r="Y129">
        <f>LOG(Table1_1[[#This Row],[FHxSA]])</f>
        <v>1.4345689040341987</v>
      </c>
      <c r="Z129">
        <f>LOG(Table1_1[[#This Row],[FOSA]])</f>
        <v>0.9493900066449128</v>
      </c>
      <c r="AA129">
        <f>LOG(Table1_1[[#This Row],[N-MeFOSA]])</f>
        <v>-1.1771783546968955</v>
      </c>
      <c r="AB129">
        <f>LOG(Table1_1[[#This Row],[N-EtFOSA]])</f>
        <v>-1.1106982974936896</v>
      </c>
      <c r="AC129">
        <f>LOG(Table1_1[[#This Row],[FOSAA]])</f>
        <v>-1.2798406965940432</v>
      </c>
      <c r="AD129">
        <f>LOG(Table1_1[[#This Row],[N-MeFOSAA]])</f>
        <v>-1.1739251972991736</v>
      </c>
      <c r="AE129">
        <f>LOG(Table1_1[[#This Row],[N-EtFOSAA]])</f>
        <v>-1.2403321553103694</v>
      </c>
      <c r="AF129">
        <f>LOG(Table1_1[[#This Row],[4:2 FTS]])</f>
        <v>-1.1771783546968955</v>
      </c>
      <c r="AG129">
        <f>LOG(Table1_1[[#This Row],[6:2 FTS]])</f>
        <v>-0.11013827874181155</v>
      </c>
      <c r="AH129">
        <f>LOG(Table1_1[[#This Row],[8:2 FTS]])</f>
        <v>0.57518784492766106</v>
      </c>
      <c r="AI129">
        <f>LOG(Table1_1[[#This Row],[10:2 FTS]])</f>
        <v>-0.60380065290426366</v>
      </c>
      <c r="AJ129">
        <f>LOG(Table1_1[[#This Row],[3:3 FTCA]])</f>
        <v>-1.1163385648463824</v>
      </c>
      <c r="AK129">
        <f>LOG(Table1_1[[#This Row],[5:3 FTCA]])</f>
        <v>-0.27901425584626094</v>
      </c>
      <c r="AL129">
        <f>LOG(Table1_1[[#This Row],[7:3 FTCA]])</f>
        <v>1.8727388274726688</v>
      </c>
      <c r="AM129">
        <f>LOG(Table1_1[[#This Row],[6:2 FTCA]])</f>
        <v>-1.1771783546968955</v>
      </c>
      <c r="AN129">
        <f>LOG(Table1_1[[#This Row],[8:2 FTCA]])</f>
        <v>-1.1771783546968955</v>
      </c>
      <c r="AO129">
        <f>LOG(Table1_1[[#This Row],[10:2 FTCA]])</f>
        <v>-1.0043648054024501</v>
      </c>
      <c r="AP129">
        <f>LOG(Table1_1[[#This Row],[6:2 FTUCA]])</f>
        <v>-1.2839966563652008</v>
      </c>
      <c r="AQ129">
        <f>LOG(Table1_1[[#This Row],[8:2 FTUCA]])</f>
        <v>-1.3963144503853002</v>
      </c>
      <c r="AR129">
        <f>LOG(Table1_1[[#This Row],[ADONA]])</f>
        <v>-0.71331903064506974</v>
      </c>
      <c r="AS129">
        <f>LOG(Table1_1[[#This Row],[9Cl-PF3ONS]])</f>
        <v>-1.1771783546968955</v>
      </c>
      <c r="AT129">
        <f>LOG(Table1_1[[#This Row],[11Cl-PF3OUdS]])</f>
        <v>-1.1771783546968955</v>
      </c>
      <c r="AU129">
        <f>LOG(Table1_1[[#This Row],[HFPO-DA]])</f>
        <v>-1.0199966284162536</v>
      </c>
      <c r="AV129">
        <f>LOG(Table1_1[[#This Row],[6:2 diPAP]])</f>
        <v>-1.1518108830086013</v>
      </c>
      <c r="AW129">
        <f>LOG(Table1_1[[#This Row],[8:2 diPAP]])</f>
        <v>-1.0555173278498313</v>
      </c>
      <c r="AX129">
        <f>LOG(Table1_1[[#This Row],[diSAmPAP]])</f>
        <v>-0.9318141382538383</v>
      </c>
    </row>
    <row r="130" spans="1:50">
      <c r="A130">
        <f>LOG(Table1_1[[#This Row],[PFBA]])</f>
        <v>-0.62069448224941803</v>
      </c>
      <c r="B130">
        <f>LOG(Table1_1[[#This Row],[PFPeA]])</f>
        <v>-1.288192770958809</v>
      </c>
      <c r="C130">
        <f>LOG(Table1_1[[#This Row],[PFHxA]])</f>
        <v>-1.4072682336060378</v>
      </c>
      <c r="D130">
        <f>LOG(Table1_1[[#This Row],[PFHpA]])</f>
        <v>-1.0177287669604316</v>
      </c>
      <c r="E130">
        <f>LOG(Table1_1[[#This Row],[PFOA]])</f>
        <v>-0.20551195334083039</v>
      </c>
      <c r="F130">
        <f>LOG(Table1_1[[#This Row],[PFNA]])</f>
        <v>-1.3010299956639813</v>
      </c>
      <c r="G130">
        <f>LOG(Table1_1[[#This Row],[PFDA]])</f>
        <v>0.53529412004277055</v>
      </c>
      <c r="H130">
        <f>LOG(Table1_1[[#This Row],[PFUnA]])</f>
        <v>0.83569057149242554</v>
      </c>
      <c r="I130">
        <f>LOG(Table1_1[[#This Row],[PFDoA]])</f>
        <v>1.1238516409670858</v>
      </c>
      <c r="J130">
        <f>LOG(Table1_1[[#This Row],[PFTrDA]])</f>
        <v>0.54777470538782258</v>
      </c>
      <c r="K130">
        <f>LOG(Table1_1[[#This Row],[PFTeDA]])</f>
        <v>1.0791812460476249</v>
      </c>
      <c r="L130">
        <f>LOG(Table1_1[[#This Row],[PFHxDA]])</f>
        <v>-1.0629838925351858</v>
      </c>
      <c r="M130">
        <f>LOG(Table1_1[[#This Row],[PFPrS]])</f>
        <v>-1.1396619934290064</v>
      </c>
      <c r="N130">
        <f>LOG(Table1_1[[#This Row],[PFBS]])</f>
        <v>-1.3062730510763532</v>
      </c>
      <c r="O130">
        <f>LOG(Table1_1[[#This Row],[PFPeS]])</f>
        <v>-1.1396619934290064</v>
      </c>
      <c r="P130">
        <f>LOG(Table1_1[[#This Row],[PFHxS]])</f>
        <v>1.0334237554869496</v>
      </c>
      <c r="Q130">
        <f>LOG(Table1_1[[#This Row],[PFHpS]])</f>
        <v>0.20682587603184974</v>
      </c>
      <c r="R130">
        <f>LOG(Table1_1[[#This Row],[PFOS]])</f>
        <v>2.9965116721541785</v>
      </c>
      <c r="S130">
        <f>LOG(Table1_1[[#This Row],[PFNS]])</f>
        <v>0.40140054078154408</v>
      </c>
      <c r="T130">
        <f>LOG(Table1_1[[#This Row],[PFDS]])</f>
        <v>0.33243845991560533</v>
      </c>
      <c r="U130">
        <f>LOG(Table1_1[[#This Row],[PFDoS]])</f>
        <v>-0.20551195334083039</v>
      </c>
      <c r="V130">
        <f>LOG(Table1_1[[#This Row],[Cl-PFOS]])</f>
        <v>-0.83713700667807389</v>
      </c>
      <c r="W130">
        <f>LOG(Table1_1[[#This Row],[PFEtCHxS]])</f>
        <v>-0.62069448224941803</v>
      </c>
      <c r="X130">
        <f>LOG(Table1_1[[#This Row],[FBSA]])</f>
        <v>1.4502491083193612</v>
      </c>
      <c r="Y130">
        <f>LOG(Table1_1[[#This Row],[FHxSA]])</f>
        <v>1.7371926427047373</v>
      </c>
      <c r="Z130">
        <f>LOG(Table1_1[[#This Row],[FOSA]])</f>
        <v>0.9566485792052033</v>
      </c>
      <c r="AA130">
        <f>LOG(Table1_1[[#This Row],[N-MeFOSA]])</f>
        <v>-1.1396619934290064</v>
      </c>
      <c r="AB130">
        <f>LOG(Table1_1[[#This Row],[N-EtFOSA]])</f>
        <v>-1.0731432910503076</v>
      </c>
      <c r="AC130">
        <f>LOG(Table1_1[[#This Row],[FOSAA]])</f>
        <v>-1.2441251443275085</v>
      </c>
      <c r="AD130">
        <f>LOG(Table1_1[[#This Row],[N-MeFOSAA]])</f>
        <v>-1.1366771398795441</v>
      </c>
      <c r="AE130">
        <f>LOG(Table1_1[[#This Row],[N-EtFOSAA]])</f>
        <v>-1.2006594505464183</v>
      </c>
      <c r="AF130">
        <f>LOG(Table1_1[[#This Row],[4:2 FTS]])</f>
        <v>-1.1396619934290064</v>
      </c>
      <c r="AG130">
        <f>LOG(Table1_1[[#This Row],[6:2 FTS]])</f>
        <v>-0.14935376481693349</v>
      </c>
      <c r="AH130">
        <f>LOG(Table1_1[[#This Row],[8:2 FTS]])</f>
        <v>0.63848925695463732</v>
      </c>
      <c r="AI130">
        <f>LOG(Table1_1[[#This Row],[10:2 FTS]])</f>
        <v>-0.56543109596580121</v>
      </c>
      <c r="AJ130">
        <f>LOG(Table1_1[[#This Row],[3:3 FTCA]])</f>
        <v>-1.0783135245163979</v>
      </c>
      <c r="AK130">
        <f>LOG(Table1_1[[#This Row],[5:3 FTCA]])</f>
        <v>1.0413926851582251</v>
      </c>
      <c r="AL130">
        <f>LOG(Table1_1[[#This Row],[7:3 FTCA]])</f>
        <v>0.82930377283102497</v>
      </c>
      <c r="AM130">
        <f>LOG(Table1_1[[#This Row],[6:2 FTCA]])</f>
        <v>-1.1396619934290064</v>
      </c>
      <c r="AN130">
        <f>LOG(Table1_1[[#This Row],[8:2 FTCA]])</f>
        <v>-1.1396619934290064</v>
      </c>
      <c r="AO130">
        <f>LOG(Table1_1[[#This Row],[10:2 FTCA]])</f>
        <v>-0.96457026181545169</v>
      </c>
      <c r="AP130">
        <f>LOG(Table1_1[[#This Row],[6:2 FTUCA]])</f>
        <v>-1.2441251443275085</v>
      </c>
      <c r="AQ130">
        <f>LOG(Table1_1[[#This Row],[8:2 FTUCA]])</f>
        <v>-1.3580304022979406</v>
      </c>
      <c r="AR130">
        <f>LOG(Table1_1[[#This Row],[ADONA]])</f>
        <v>-0.67468962828893886</v>
      </c>
      <c r="AS130">
        <f>LOG(Table1_1[[#This Row],[9Cl-PF3ONS]])</f>
        <v>-1.1396619934290064</v>
      </c>
      <c r="AT130">
        <f>LOG(Table1_1[[#This Row],[11Cl-PF3OUdS]])</f>
        <v>-1.1396619934290064</v>
      </c>
      <c r="AU130">
        <f>LOG(Table1_1[[#This Row],[HFPO-DA]])</f>
        <v>-0.98296666070121963</v>
      </c>
      <c r="AV130">
        <f>LOG(Table1_1[[#This Row],[6:2 diPAP]])</f>
        <v>-1.1106982974936896</v>
      </c>
      <c r="AW130">
        <f>LOG(Table1_1[[#This Row],[8:2 diPAP]])</f>
        <v>-1.0177287669604316</v>
      </c>
      <c r="AX130">
        <f>LOG(Table1_1[[#This Row],[diSAmPAP]])</f>
        <v>-0.89448981523002602</v>
      </c>
    </row>
    <row r="131" spans="1:50">
      <c r="A131">
        <f>LOG(Table1_1[[#This Row],[PFBA]])</f>
        <v>-0.63544900464602805</v>
      </c>
      <c r="B131">
        <f>LOG(Table1_1[[#This Row],[PFPeA]])</f>
        <v>-1.3053948010664314</v>
      </c>
      <c r="C131">
        <f>LOG(Table1_1[[#This Row],[PFHxA]])</f>
        <v>-1.4219341161639085</v>
      </c>
      <c r="D131">
        <f>LOG(Table1_1[[#This Row],[PFHpA]])</f>
        <v>-1.5520671344078198</v>
      </c>
      <c r="E131">
        <f>LOG(Table1_1[[#This Row],[PFOA]])</f>
        <v>-0.22694530663573742</v>
      </c>
      <c r="F131">
        <f>LOG(Table1_1[[#This Row],[PFNA]])</f>
        <v>-1.3142582613977363</v>
      </c>
      <c r="G131">
        <f>LOG(Table1_1[[#This Row],[PFDA]])</f>
        <v>0.52633927738984398</v>
      </c>
      <c r="H131">
        <f>LOG(Table1_1[[#This Row],[PFUnA]])</f>
        <v>1.1003705451175629</v>
      </c>
      <c r="I131">
        <f>LOG(Table1_1[[#This Row],[PFDoA]])</f>
        <v>1.2648178230095364</v>
      </c>
      <c r="J131">
        <f>LOG(Table1_1[[#This Row],[PFTrDA]])</f>
        <v>0.58433122436753082</v>
      </c>
      <c r="K131">
        <f>LOG(Table1_1[[#This Row],[PFTeDA]])</f>
        <v>0.9703468762300933</v>
      </c>
      <c r="L131">
        <f>LOG(Table1_1[[#This Row],[PFHxDA]])</f>
        <v>-1.0783135245163979</v>
      </c>
      <c r="M131">
        <f>LOG(Table1_1[[#This Row],[PFPrS]])</f>
        <v>-1.1549019599857431</v>
      </c>
      <c r="N131">
        <f>LOG(Table1_1[[#This Row],[PFBS]])</f>
        <v>-0.80271944187438071</v>
      </c>
      <c r="O131">
        <f>LOG(Table1_1[[#This Row],[PFPeS]])</f>
        <v>-0.63544900464602805</v>
      </c>
      <c r="P131">
        <f>LOG(Table1_1[[#This Row],[PFHxS]])</f>
        <v>1.110589710299249</v>
      </c>
      <c r="Q131">
        <f>LOG(Table1_1[[#This Row],[PFHpS]])</f>
        <v>0.58658730467175491</v>
      </c>
      <c r="R131">
        <f>LOG(Table1_1[[#This Row],[PFOS]])</f>
        <v>2.7581546219673898</v>
      </c>
      <c r="S131">
        <f>LOG(Table1_1[[#This Row],[PFNS]])</f>
        <v>0.11394335230683679</v>
      </c>
      <c r="T131">
        <f>LOG(Table1_1[[#This Row],[PFDS]])</f>
        <v>0.19589965240923377</v>
      </c>
      <c r="U131">
        <f>LOG(Table1_1[[#This Row],[PFDoS]])</f>
        <v>-0.6064247967304125</v>
      </c>
      <c r="V131">
        <f>LOG(Table1_1[[#This Row],[Cl-PFOS]])</f>
        <v>-0.85232367575890122</v>
      </c>
      <c r="W131">
        <f>LOG(Table1_1[[#This Row],[PFEtCHxS]])</f>
        <v>-0.63544900464602805</v>
      </c>
      <c r="X131">
        <f>LOG(Table1_1[[#This Row],[FBSA]])</f>
        <v>1.4899584794248346</v>
      </c>
      <c r="Y131">
        <f>LOG(Table1_1[[#This Row],[FHxSA]])</f>
        <v>2.1303337684950061</v>
      </c>
      <c r="Z131">
        <f>LOG(Table1_1[[#This Row],[FOSA]])</f>
        <v>1.0569048513364727</v>
      </c>
      <c r="AA131">
        <f>LOG(Table1_1[[#This Row],[N-MeFOSA]])</f>
        <v>-1.1549019599857431</v>
      </c>
      <c r="AB131">
        <f>LOG(Table1_1[[#This Row],[N-EtFOSA]])</f>
        <v>-1.0861861476162833</v>
      </c>
      <c r="AC131">
        <f>LOG(Table1_1[[#This Row],[FOSAA]])</f>
        <v>-1.2596373105057561</v>
      </c>
      <c r="AD131">
        <f>LOG(Table1_1[[#This Row],[N-MeFOSAA]])</f>
        <v>-0.63357704277402727</v>
      </c>
      <c r="AE131">
        <f>LOG(Table1_1[[#This Row],[N-EtFOSAA]])</f>
        <v>-1.2146701649892331</v>
      </c>
      <c r="AF131">
        <f>LOG(Table1_1[[#This Row],[4:2 FTS]])</f>
        <v>-1.1549019599857431</v>
      </c>
      <c r="AG131">
        <f>LOG(Table1_1[[#This Row],[6:2 FTS]])</f>
        <v>-6.6006836168757702E-2</v>
      </c>
      <c r="AH131">
        <f>LOG(Table1_1[[#This Row],[8:2 FTS]])</f>
        <v>0.60638136511060492</v>
      </c>
      <c r="AI131">
        <f>LOG(Table1_1[[#This Row],[10:2 FTS]])</f>
        <v>-0.58087069225802435</v>
      </c>
      <c r="AJ131">
        <f>LOG(Table1_1[[#This Row],[3:3 FTCA]])</f>
        <v>-1.0915149811213503</v>
      </c>
      <c r="AK131">
        <f>LOG(Table1_1[[#This Row],[5:3 FTCA]])</f>
        <v>-1.2757241303992111</v>
      </c>
      <c r="AL131">
        <f>LOG(Table1_1[[#This Row],[7:3 FTCA]])</f>
        <v>0.45788189673399232</v>
      </c>
      <c r="AM131">
        <f>LOG(Table1_1[[#This Row],[6:2 FTCA]])</f>
        <v>-0.24260397120697583</v>
      </c>
      <c r="AN131">
        <f>LOG(Table1_1[[#This Row],[8:2 FTCA]])</f>
        <v>-1.1549019599857431</v>
      </c>
      <c r="AO131">
        <f>LOG(Table1_1[[#This Row],[10:2 FTCA]])</f>
        <v>-0.98088370955292725</v>
      </c>
      <c r="AP131">
        <f>LOG(Table1_1[[#This Row],[6:2 FTUCA]])</f>
        <v>-1.2596373105057561</v>
      </c>
      <c r="AQ131">
        <f>LOG(Table1_1[[#This Row],[8:2 FTUCA]])</f>
        <v>-1.3731465853332743</v>
      </c>
      <c r="AR131">
        <f>LOG(Table1_1[[#This Row],[ADONA]])</f>
        <v>-1.2076083105017461</v>
      </c>
      <c r="AS131">
        <f>LOG(Table1_1[[#This Row],[9Cl-PF3ONS]])</f>
        <v>-1.1549019599857431</v>
      </c>
      <c r="AT131">
        <f>LOG(Table1_1[[#This Row],[11Cl-PF3OUdS]])</f>
        <v>-1.1549019599857431</v>
      </c>
      <c r="AU131">
        <f>LOG(Table1_1[[#This Row],[HFPO-DA]])</f>
        <v>-0.99783393824349231</v>
      </c>
      <c r="AV131">
        <f>LOG(Table1_1[[#This Row],[6:2 diPAP]])</f>
        <v>-1.1278437272517072</v>
      </c>
      <c r="AW131">
        <f>LOG(Table1_1[[#This Row],[8:2 diPAP]])</f>
        <v>-1.031517051446065</v>
      </c>
      <c r="AX131">
        <f>LOG(Table1_1[[#This Row],[diSAmPAP]])</f>
        <v>-0.90833304240431545</v>
      </c>
    </row>
    <row r="132" spans="1:50">
      <c r="A132">
        <f>LOG(Table1_1[[#This Row],[PFBA]])</f>
        <v>-0.66354026615147055</v>
      </c>
      <c r="B132">
        <f>LOG(Table1_1[[#This Row],[PFPeA]])</f>
        <v>-1.3330142816703394</v>
      </c>
      <c r="C132">
        <f>LOG(Table1_1[[#This Row],[PFHxA]])</f>
        <v>-0.9318141382538383</v>
      </c>
      <c r="D132">
        <f>LOG(Table1_1[[#This Row],[PFHpA]])</f>
        <v>-1.0629838925351858</v>
      </c>
      <c r="E132">
        <f>LOG(Table1_1[[#This Row],[PFOA]])</f>
        <v>1.703333929878037E-2</v>
      </c>
      <c r="F132">
        <f>LOG(Table1_1[[#This Row],[PFNA]])</f>
        <v>-0.51712641639124624</v>
      </c>
      <c r="G132">
        <f>LOG(Table1_1[[#This Row],[PFDA]])</f>
        <v>0.50379068305718111</v>
      </c>
      <c r="H132">
        <f>LOG(Table1_1[[#This Row],[PFUnA]])</f>
        <v>0.76937732607613851</v>
      </c>
      <c r="I132">
        <f>LOG(Table1_1[[#This Row],[PFDoA]])</f>
        <v>1.1613680022349748</v>
      </c>
      <c r="J132">
        <f>LOG(Table1_1[[#This Row],[PFTrDA]])</f>
        <v>0.54530711646582408</v>
      </c>
      <c r="K132">
        <f>LOG(Table1_1[[#This Row],[PFTeDA]])</f>
        <v>0.96941591235398139</v>
      </c>
      <c r="L132">
        <f>LOG(Table1_1[[#This Row],[PFHxDA]])</f>
        <v>-1.1051303432547475</v>
      </c>
      <c r="M132">
        <f>LOG(Table1_1[[#This Row],[PFPrS]])</f>
        <v>-1.1837587000082168</v>
      </c>
      <c r="N132">
        <f>LOG(Table1_1[[#This Row],[PFBS]])</f>
        <v>-0.35951856302957819</v>
      </c>
      <c r="O132">
        <f>LOG(Table1_1[[#This Row],[PFPeS]])</f>
        <v>-0.66354026615147055</v>
      </c>
      <c r="P132">
        <f>LOG(Table1_1[[#This Row],[PFHxS]])</f>
        <v>1.1818435879447726</v>
      </c>
      <c r="Q132">
        <f>LOG(Table1_1[[#This Row],[PFHpS]])</f>
        <v>0.44404479591807622</v>
      </c>
      <c r="R132">
        <f>LOG(Table1_1[[#This Row],[PFOS]])</f>
        <v>2.9537596917332287</v>
      </c>
      <c r="S132">
        <f>LOG(Table1_1[[#This Row],[PFNS]])</f>
        <v>0.28780172993022601</v>
      </c>
      <c r="T132">
        <f>LOG(Table1_1[[#This Row],[PFDS]])</f>
        <v>0.48144262850230496</v>
      </c>
      <c r="U132">
        <f>LOG(Table1_1[[#This Row],[PFDoS]])</f>
        <v>6.445798922691845E-2</v>
      </c>
      <c r="V132">
        <f>LOG(Table1_1[[#This Row],[Cl-PFOS]])</f>
        <v>-0.87942606879415008</v>
      </c>
      <c r="W132">
        <f>LOG(Table1_1[[#This Row],[PFEtCHxS]])</f>
        <v>-0.66354026615147055</v>
      </c>
      <c r="X132">
        <f>LOG(Table1_1[[#This Row],[FBSA]])</f>
        <v>1.4955443375464486</v>
      </c>
      <c r="Y132">
        <f>LOG(Table1_1[[#This Row],[FHxSA]])</f>
        <v>1.8481891169913987</v>
      </c>
      <c r="Z132">
        <f>LOG(Table1_1[[#This Row],[FOSA]])</f>
        <v>1.0644579892269184</v>
      </c>
      <c r="AA132">
        <f>LOG(Table1_1[[#This Row],[N-MeFOSA]])</f>
        <v>-1.1837587000082168</v>
      </c>
      <c r="AB132">
        <f>LOG(Table1_1[[#This Row],[N-EtFOSA]])</f>
        <v>-1.1163385648463824</v>
      </c>
      <c r="AC132">
        <f>LOG(Table1_1[[#This Row],[FOSAA]])</f>
        <v>-1.2839966563652008</v>
      </c>
      <c r="AD132">
        <f>LOG(Table1_1[[#This Row],[N-MeFOSAA]])</f>
        <v>-1.1804560644581312</v>
      </c>
      <c r="AE132">
        <f>LOG(Table1_1[[#This Row],[N-EtFOSAA]])</f>
        <v>-1.2441251443275085</v>
      </c>
      <c r="AF132">
        <f>LOG(Table1_1[[#This Row],[4:2 FTS]])</f>
        <v>-1.1837587000082168</v>
      </c>
      <c r="AG132">
        <f>LOG(Table1_1[[#This Row],[6:2 FTS]])</f>
        <v>0.10380372095595687</v>
      </c>
      <c r="AH132">
        <f>LOG(Table1_1[[#This Row],[8:2 FTS]])</f>
        <v>0.58206336291170868</v>
      </c>
      <c r="AI132">
        <f>LOG(Table1_1[[#This Row],[10:2 FTS]])</f>
        <v>-0.27984069659404309</v>
      </c>
      <c r="AJ132">
        <f>LOG(Table1_1[[#This Row],[3:3 FTCA]])</f>
        <v>-1.1191864077192086</v>
      </c>
      <c r="AK132">
        <f>LOG(Table1_1[[#This Row],[5:3 FTCA]])</f>
        <v>-8.3546051450074932E-2</v>
      </c>
      <c r="AL132">
        <f>LOG(Table1_1[[#This Row],[7:3 FTCA]])</f>
        <v>-1.1837587000082168</v>
      </c>
      <c r="AM132">
        <f>LOG(Table1_1[[#This Row],[6:2 FTCA]])</f>
        <v>-1.1837587000082168</v>
      </c>
      <c r="AN132">
        <f>LOG(Table1_1[[#This Row],[8:2 FTCA]])</f>
        <v>-1.1837587000082168</v>
      </c>
      <c r="AO132">
        <f>LOG(Table1_1[[#This Row],[10:2 FTCA]])</f>
        <v>-1.0087739243075051</v>
      </c>
      <c r="AP132">
        <f>LOG(Table1_1[[#This Row],[6:2 FTUCA]])</f>
        <v>-1.288192770958809</v>
      </c>
      <c r="AQ132">
        <f>LOG(Table1_1[[#This Row],[8:2 FTUCA]])</f>
        <v>-1.401209493236885</v>
      </c>
      <c r="AR132">
        <f>LOG(Table1_1[[#This Row],[ADONA]])</f>
        <v>-1.2365720064370627</v>
      </c>
      <c r="AS132">
        <f>LOG(Table1_1[[#This Row],[9Cl-PF3ONS]])</f>
        <v>-1.1837587000082168</v>
      </c>
      <c r="AT132">
        <f>LOG(Table1_1[[#This Row],[11Cl-PF3OUdS]])</f>
        <v>-1.1837587000082168</v>
      </c>
      <c r="AU132">
        <f>LOG(Table1_1[[#This Row],[HFPO-DA]])</f>
        <v>-1.024568191490737</v>
      </c>
      <c r="AV132">
        <f>LOG(Table1_1[[#This Row],[6:2 diPAP]])</f>
        <v>-1.1549019599857431</v>
      </c>
      <c r="AW132">
        <f>LOG(Table1_1[[#This Row],[8:2 diPAP]])</f>
        <v>-1.0604807473813815</v>
      </c>
      <c r="AX132">
        <f>LOG(Table1_1[[#This Row],[diSAmPAP]])</f>
        <v>-0.93741801577183692</v>
      </c>
    </row>
    <row r="133" spans="1:50">
      <c r="A133">
        <f>LOG(Table1_1[[#This Row],[PFBA]])</f>
        <v>-0.64493179365114928</v>
      </c>
      <c r="B133">
        <f>LOG(Table1_1[[#This Row],[PFPeA]])</f>
        <v>-1.3142582613977363</v>
      </c>
      <c r="C133">
        <f>LOG(Table1_1[[#This Row],[PFHxA]])</f>
        <v>-0.91364016932525183</v>
      </c>
      <c r="D133">
        <f>LOG(Table1_1[[#This Row],[PFHpA]])</f>
        <v>-1.5614576512138894</v>
      </c>
      <c r="E133">
        <f>LOG(Table1_1[[#This Row],[PFOA]])</f>
        <v>-0.21041928783557454</v>
      </c>
      <c r="F133">
        <f>LOG(Table1_1[[#This Row],[PFNA]])</f>
        <v>-0.8054856581175327</v>
      </c>
      <c r="G133">
        <f>LOG(Table1_1[[#This Row],[PFDA]])</f>
        <v>0.73399928653838686</v>
      </c>
      <c r="H133">
        <f>LOG(Table1_1[[#This Row],[PFUnA]])</f>
        <v>0.95085145888854639</v>
      </c>
      <c r="I133">
        <f>LOG(Table1_1[[#This Row],[PFDoA]])</f>
        <v>1.4785664955938433</v>
      </c>
      <c r="J133">
        <f>LOG(Table1_1[[#This Row],[PFTrDA]])</f>
        <v>0.80955971463526777</v>
      </c>
      <c r="K133">
        <f>LOG(Table1_1[[#This Row],[PFTeDA]])</f>
        <v>1.4409090820652177</v>
      </c>
      <c r="L133">
        <f>LOG(Table1_1[[#This Row],[PFHxDA]])</f>
        <v>-1.0861861476162833</v>
      </c>
      <c r="M133">
        <f>LOG(Table1_1[[#This Row],[PFPrS]])</f>
        <v>-1.1643094285075744</v>
      </c>
      <c r="N133">
        <f>LOG(Table1_1[[#This Row],[PFBS]])</f>
        <v>-0.29073003902416922</v>
      </c>
      <c r="O133">
        <f>LOG(Table1_1[[#This Row],[PFPeS]])</f>
        <v>-0.64493179365114928</v>
      </c>
      <c r="P133">
        <f>LOG(Table1_1[[#This Row],[PFHxS]])</f>
        <v>0.98407703390283086</v>
      </c>
      <c r="Q133">
        <f>LOG(Table1_1[[#This Row],[PFHpS]])</f>
        <v>2.9383777685209667E-2</v>
      </c>
      <c r="R133">
        <f>LOG(Table1_1[[#This Row],[PFOS]])</f>
        <v>2.8813846567705728</v>
      </c>
      <c r="S133">
        <f>LOG(Table1_1[[#This Row],[PFNS]])</f>
        <v>0.24797326636180664</v>
      </c>
      <c r="T133">
        <f>LOG(Table1_1[[#This Row],[PFDS]])</f>
        <v>0.37839790094813769</v>
      </c>
      <c r="U133">
        <f>LOG(Table1_1[[#This Row],[PFDoS]])</f>
        <v>-0.25570701687732372</v>
      </c>
      <c r="V133">
        <f>LOG(Table1_1[[#This Row],[Cl-PFOS]])</f>
        <v>-0.86169730183371851</v>
      </c>
      <c r="W133">
        <f>LOG(Table1_1[[#This Row],[PFEtCHxS]])</f>
        <v>-0.64493179365114928</v>
      </c>
      <c r="X133">
        <f>LOG(Table1_1[[#This Row],[FBSA]])</f>
        <v>1.4913616938342726</v>
      </c>
      <c r="Y133">
        <f>LOG(Table1_1[[#This Row],[FHxSA]])</f>
        <v>1.6263403673750423</v>
      </c>
      <c r="Z133">
        <f>LOG(Table1_1[[#This Row],[FOSA]])</f>
        <v>0.94250410616808067</v>
      </c>
      <c r="AA133">
        <f>LOG(Table1_1[[#This Row],[N-MeFOSA]])</f>
        <v>-1.1643094285075744</v>
      </c>
      <c r="AB133">
        <f>LOG(Table1_1[[#This Row],[N-EtFOSA]])</f>
        <v>-1.0969100130080565</v>
      </c>
      <c r="AC133">
        <f>LOG(Table1_1[[#This Row],[FOSAA]])</f>
        <v>-1.2676062401770316</v>
      </c>
      <c r="AD133">
        <f>LOG(Table1_1[[#This Row],[N-MeFOSAA]])</f>
        <v>-1.1611509092627446</v>
      </c>
      <c r="AE133">
        <f>LOG(Table1_1[[#This Row],[N-EtFOSAA]])</f>
        <v>-1.2254830342714504</v>
      </c>
      <c r="AF133">
        <f>LOG(Table1_1[[#This Row],[4:2 FTS]])</f>
        <v>-1.1643094285075744</v>
      </c>
      <c r="AG133">
        <f>LOG(Table1_1[[#This Row],[6:2 FTS]])</f>
        <v>-0.40120949323688493</v>
      </c>
      <c r="AH133">
        <f>LOG(Table1_1[[#This Row],[8:2 FTS]])</f>
        <v>0.47856649559384334</v>
      </c>
      <c r="AI133">
        <f>LOG(Table1_1[[#This Row],[10:2 FTS]])</f>
        <v>-0.5900668766687055</v>
      </c>
      <c r="AJ133">
        <f>LOG(Table1_1[[#This Row],[3:3 FTCA]])</f>
        <v>-1.1023729087095586</v>
      </c>
      <c r="AK133">
        <f>LOG(Table1_1[[#This Row],[5:3 FTCA]])</f>
        <v>0.10720996964786837</v>
      </c>
      <c r="AL133">
        <f>LOG(Table1_1[[#This Row],[7:3 FTCA]])</f>
        <v>0.92012332629072391</v>
      </c>
      <c r="AM133">
        <f>LOG(Table1_1[[#This Row],[6:2 FTCA]])</f>
        <v>-1.1643094285075744</v>
      </c>
      <c r="AN133">
        <f>LOG(Table1_1[[#This Row],[8:2 FTCA]])</f>
        <v>-1.1643094285075744</v>
      </c>
      <c r="AO133">
        <f>LOG(Table1_1[[#This Row],[10:2 FTCA]])</f>
        <v>-0.98927613460822694</v>
      </c>
      <c r="AP133">
        <f>LOG(Table1_1[[#This Row],[6:2 FTUCA]])</f>
        <v>-1.2676062401770316</v>
      </c>
      <c r="AQ133">
        <f>LOG(Table1_1[[#This Row],[8:2 FTUCA]])</f>
        <v>-1.3819519032879073</v>
      </c>
      <c r="AR133">
        <f>LOG(Table1_1[[#This Row],[ADONA]])</f>
        <v>-1.2182446253475312</v>
      </c>
      <c r="AS133">
        <f>LOG(Table1_1[[#This Row],[9Cl-PF3ONS]])</f>
        <v>-1.1643094285075744</v>
      </c>
      <c r="AT133">
        <f>LOG(Table1_1[[#This Row],[11Cl-PF3OUdS]])</f>
        <v>-1.1643094285075744</v>
      </c>
      <c r="AU133">
        <f>LOG(Table1_1[[#This Row],[HFPO-DA]])</f>
        <v>-1.0065637695023884</v>
      </c>
      <c r="AV133">
        <f>LOG(Table1_1[[#This Row],[6:2 diPAP]])</f>
        <v>-1.1366771398795441</v>
      </c>
      <c r="AW133">
        <f>LOG(Table1_1[[#This Row],[8:2 diPAP]])</f>
        <v>-1.0409586076789064</v>
      </c>
      <c r="AX133">
        <f>LOG(Table1_1[[#This Row],[diSAmPAP]])</f>
        <v>-0.91721462968354994</v>
      </c>
    </row>
    <row r="134" spans="1:50">
      <c r="A134">
        <f>LOG(Table1_1[[#This Row],[PFBA]])</f>
        <v>-0.66354026615147055</v>
      </c>
      <c r="B134">
        <f>LOG(Table1_1[[#This Row],[PFPeA]])</f>
        <v>-1.3334820194451191</v>
      </c>
      <c r="C134">
        <f>LOG(Table1_1[[#This Row],[PFHxA]])</f>
        <v>-0.9318141382538383</v>
      </c>
      <c r="D134">
        <f>LOG(Table1_1[[#This Row],[PFHpA]])</f>
        <v>-1.0629838925351858</v>
      </c>
      <c r="E134">
        <f>LOG(Table1_1[[#This Row],[PFOA]])</f>
        <v>0.35602585719312274</v>
      </c>
      <c r="F134">
        <f>LOG(Table1_1[[#This Row],[PFNA]])</f>
        <v>0.10037054511756291</v>
      </c>
      <c r="G134">
        <f>LOG(Table1_1[[#This Row],[PFDA]])</f>
        <v>0.98452731334379262</v>
      </c>
      <c r="H134">
        <f>LOG(Table1_1[[#This Row],[PFUnA]])</f>
        <v>1.0453229787866574</v>
      </c>
      <c r="I134">
        <f>LOG(Table1_1[[#This Row],[PFDoA]])</f>
        <v>1.4440447959180762</v>
      </c>
      <c r="J134">
        <f>LOG(Table1_1[[#This Row],[PFTrDA]])</f>
        <v>0.81090428066870035</v>
      </c>
      <c r="K134">
        <f>LOG(Table1_1[[#This Row],[PFTeDA]])</f>
        <v>1.4082399653118496</v>
      </c>
      <c r="L134">
        <f>LOG(Table1_1[[#This Row],[PFHxDA]])</f>
        <v>-0.5875394525700387</v>
      </c>
      <c r="M134">
        <f>LOG(Table1_1[[#This Row],[PFPrS]])</f>
        <v>-1.1837587000082168</v>
      </c>
      <c r="N134">
        <f>LOG(Table1_1[[#This Row],[PFBS]])</f>
        <v>-0.83120797968581828</v>
      </c>
      <c r="O134">
        <f>LOG(Table1_1[[#This Row],[PFPeS]])</f>
        <v>-0.66354026615147055</v>
      </c>
      <c r="P134">
        <f>LOG(Table1_1[[#This Row],[PFHxS]])</f>
        <v>1.3944516808262162</v>
      </c>
      <c r="Q134">
        <f>LOG(Table1_1[[#This Row],[PFHpS]])</f>
        <v>0.35024801833416286</v>
      </c>
      <c r="R134">
        <f>LOG(Table1_1[[#This Row],[PFOS]])</f>
        <v>2.9827233876685453</v>
      </c>
      <c r="S134">
        <f>LOG(Table1_1[[#This Row],[PFNS]])</f>
        <v>0.42813479402878885</v>
      </c>
      <c r="T134">
        <f>LOG(Table1_1[[#This Row],[PFDS]])</f>
        <v>0.46982201597816303</v>
      </c>
      <c r="U134">
        <f>LOG(Table1_1[[#This Row],[PFDoS]])</f>
        <v>6.069784035361165E-2</v>
      </c>
      <c r="V134">
        <f>LOG(Table1_1[[#This Row],[Cl-PFOS]])</f>
        <v>-0.88107424717422334</v>
      </c>
      <c r="W134">
        <f>LOG(Table1_1[[#This Row],[PFEtCHxS]])</f>
        <v>-0.66354026615147055</v>
      </c>
      <c r="X134">
        <f>LOG(Table1_1[[#This Row],[FBSA]])</f>
        <v>1.5171958979499742</v>
      </c>
      <c r="Y134">
        <f>LOG(Table1_1[[#This Row],[FHxSA]])</f>
        <v>1.7993405494535817</v>
      </c>
      <c r="Z134">
        <f>LOG(Table1_1[[#This Row],[FOSA]])</f>
        <v>1.1398790864012365</v>
      </c>
      <c r="AA134">
        <f>LOG(Table1_1[[#This Row],[N-MeFOSA]])</f>
        <v>-1.1837587000082168</v>
      </c>
      <c r="AB134">
        <f>LOG(Table1_1[[#This Row],[N-EtFOSA]])</f>
        <v>-1.1163385648463824</v>
      </c>
      <c r="AC134">
        <f>LOG(Table1_1[[#This Row],[FOSAA]])</f>
        <v>-1.2839966563652008</v>
      </c>
      <c r="AD134">
        <f>LOG(Table1_1[[#This Row],[N-MeFOSAA]])</f>
        <v>-0.66154350639539516</v>
      </c>
      <c r="AE134">
        <f>LOG(Table1_1[[#This Row],[N-EtFOSAA]])</f>
        <v>-1.2441251443275085</v>
      </c>
      <c r="AF134">
        <f>LOG(Table1_1[[#This Row],[4:2 FTS]])</f>
        <v>-1.1837587000082168</v>
      </c>
      <c r="AG134">
        <f>LOG(Table1_1[[#This Row],[6:2 FTS]])</f>
        <v>0.13033376849500614</v>
      </c>
      <c r="AH134">
        <f>LOG(Table1_1[[#This Row],[8:2 FTS]])</f>
        <v>0.73639650227664244</v>
      </c>
      <c r="AI134">
        <f>LOG(Table1_1[[#This Row],[10:2 FTS]])</f>
        <v>-0.60906489289662091</v>
      </c>
      <c r="AJ134">
        <f>LOG(Table1_1[[#This Row],[3:3 FTCA]])</f>
        <v>-1.1191864077192086</v>
      </c>
      <c r="AK134">
        <f>LOG(Table1_1[[#This Row],[5:3 FTCA]])</f>
        <v>-0.78648224300369507</v>
      </c>
      <c r="AL134">
        <f>LOG(Table1_1[[#This Row],[7:3 FTCA]])</f>
        <v>0.43775056282038799</v>
      </c>
      <c r="AM134">
        <f>LOG(Table1_1[[#This Row],[6:2 FTCA]])</f>
        <v>-1.1837587000082168</v>
      </c>
      <c r="AN134">
        <f>LOG(Table1_1[[#This Row],[8:2 FTCA]])</f>
        <v>-1.1837587000082168</v>
      </c>
      <c r="AO134">
        <f>LOG(Table1_1[[#This Row],[10:2 FTCA]])</f>
        <v>-1.0087739243075051</v>
      </c>
      <c r="AP134">
        <f>LOG(Table1_1[[#This Row],[6:2 FTUCA]])</f>
        <v>-1.288192770958809</v>
      </c>
      <c r="AQ134">
        <f>LOG(Table1_1[[#This Row],[8:2 FTUCA]])</f>
        <v>-1.401209493236885</v>
      </c>
      <c r="AR134">
        <f>LOG(Table1_1[[#This Row],[ADONA]])</f>
        <v>-1.2365720064370627</v>
      </c>
      <c r="AS134">
        <f>LOG(Table1_1[[#This Row],[9Cl-PF3ONS]])</f>
        <v>-1.1837587000082168</v>
      </c>
      <c r="AT134">
        <f>LOG(Table1_1[[#This Row],[11Cl-PF3OUdS]])</f>
        <v>-1.1837587000082168</v>
      </c>
      <c r="AU134">
        <f>LOG(Table1_1[[#This Row],[HFPO-DA]])</f>
        <v>-1.024568191490737</v>
      </c>
      <c r="AV134">
        <f>LOG(Table1_1[[#This Row],[6:2 diPAP]])</f>
        <v>-1.1549019599857431</v>
      </c>
      <c r="AW134">
        <f>LOG(Table1_1[[#This Row],[8:2 diPAP]])</f>
        <v>-1.0604807473813815</v>
      </c>
      <c r="AX134">
        <f>LOG(Table1_1[[#This Row],[diSAmPAP]])</f>
        <v>-0.93741801577183692</v>
      </c>
    </row>
    <row r="135" spans="1:50">
      <c r="A135">
        <f>LOG(Table1_1[[#This Row],[PFBA]])</f>
        <v>-0.63544900464602805</v>
      </c>
      <c r="B135">
        <f>LOG(Table1_1[[#This Row],[PFPeA]])</f>
        <v>-1.304956341178706</v>
      </c>
      <c r="C135">
        <f>LOG(Table1_1[[#This Row],[PFHxA]])</f>
        <v>-1.4219341161639085</v>
      </c>
      <c r="D135">
        <f>LOG(Table1_1[[#This Row],[PFHpA]])</f>
        <v>-1.5520671344078198</v>
      </c>
      <c r="E135">
        <f>LOG(Table1_1[[#This Row],[PFOA]])</f>
        <v>0.48429983934678583</v>
      </c>
      <c r="F135">
        <f>LOG(Table1_1[[#This Row],[PFNA]])</f>
        <v>0.47129171105893858</v>
      </c>
      <c r="G135">
        <f>LOG(Table1_1[[#This Row],[PFDA]])</f>
        <v>0.85853719756963909</v>
      </c>
      <c r="H135">
        <f>LOG(Table1_1[[#This Row],[PFUnA]])</f>
        <v>1.0043213737826426</v>
      </c>
      <c r="I135">
        <f>LOG(Table1_1[[#This Row],[PFDoA]])</f>
        <v>1.3502480183341627</v>
      </c>
      <c r="J135">
        <f>LOG(Table1_1[[#This Row],[PFTrDA]])</f>
        <v>0.48287358360875376</v>
      </c>
      <c r="K135">
        <f>LOG(Table1_1[[#This Row],[PFTeDA]])</f>
        <v>1.1875207208364631</v>
      </c>
      <c r="L135">
        <f>LOG(Table1_1[[#This Row],[PFHxDA]])</f>
        <v>-0.55909091793478227</v>
      </c>
      <c r="M135">
        <f>LOG(Table1_1[[#This Row],[PFPrS]])</f>
        <v>-1.1549019599857431</v>
      </c>
      <c r="N135">
        <f>LOG(Table1_1[[#This Row],[PFBS]])</f>
        <v>-0.80271944187438071</v>
      </c>
      <c r="O135">
        <f>LOG(Table1_1[[#This Row],[PFPeS]])</f>
        <v>-0.63544900464602805</v>
      </c>
      <c r="P135">
        <f>LOG(Table1_1[[#This Row],[PFHxS]])</f>
        <v>1.7331972651065695</v>
      </c>
      <c r="Q135">
        <f>LOG(Table1_1[[#This Row],[PFHpS]])</f>
        <v>0.71516735784845786</v>
      </c>
      <c r="R135">
        <f>LOG(Table1_1[[#This Row],[PFOS]])</f>
        <v>2.8195439355418688</v>
      </c>
      <c r="S135">
        <f>LOG(Table1_1[[#This Row],[PFNS]])</f>
        <v>0.54530711646582408</v>
      </c>
      <c r="T135">
        <f>LOG(Table1_1[[#This Row],[PFDS]])</f>
        <v>0.56348108539441066</v>
      </c>
      <c r="U135">
        <f>LOG(Table1_1[[#This Row],[PFDoS]])</f>
        <v>-0.17979854051435976</v>
      </c>
      <c r="V135">
        <f>LOG(Table1_1[[#This Row],[Cl-PFOS]])</f>
        <v>-0.85232367575890122</v>
      </c>
      <c r="W135">
        <f>LOG(Table1_1[[#This Row],[PFEtCHxS]])</f>
        <v>-0.29670862188133862</v>
      </c>
      <c r="X135">
        <f>LOG(Table1_1[[#This Row],[FBSA]])</f>
        <v>1.2576785748691846</v>
      </c>
      <c r="Y135">
        <f>LOG(Table1_1[[#This Row],[FHxSA]])</f>
        <v>1.705007959333336</v>
      </c>
      <c r="Z135">
        <f>LOG(Table1_1[[#This Row],[FOSA]])</f>
        <v>1.110589710299249</v>
      </c>
      <c r="AA135">
        <f>LOG(Table1_1[[#This Row],[N-MeFOSA]])</f>
        <v>-1.1549019599857431</v>
      </c>
      <c r="AB135">
        <f>LOG(Table1_1[[#This Row],[N-EtFOSA]])</f>
        <v>-1.0861861476162833</v>
      </c>
      <c r="AC135">
        <f>LOG(Table1_1[[#This Row],[FOSAA]])</f>
        <v>-1.2557070168773237</v>
      </c>
      <c r="AD135">
        <f>LOG(Table1_1[[#This Row],[N-MeFOSAA]])</f>
        <v>-1.1518108830086013</v>
      </c>
      <c r="AE135">
        <f>LOG(Table1_1[[#This Row],[N-EtFOSAA]])</f>
        <v>-1.2146701649892331</v>
      </c>
      <c r="AF135">
        <f>LOG(Table1_1[[#This Row],[4:2 FTS]])</f>
        <v>-1.1549019599857431</v>
      </c>
      <c r="AG135">
        <f>LOG(Table1_1[[#This Row],[6:2 FTS]])</f>
        <v>3.7426497940623665E-2</v>
      </c>
      <c r="AH135">
        <f>LOG(Table1_1[[#This Row],[8:2 FTS]])</f>
        <v>0.89542254603940796</v>
      </c>
      <c r="AI135">
        <f>LOG(Table1_1[[#This Row],[10:2 FTS]])</f>
        <v>-0.58087069225802435</v>
      </c>
      <c r="AJ135">
        <f>LOG(Table1_1[[#This Row],[3:3 FTCA]])</f>
        <v>-1.0915149811213503</v>
      </c>
      <c r="AK135">
        <f>LOG(Table1_1[[#This Row],[5:3 FTCA]])</f>
        <v>-1.2757241303992111</v>
      </c>
      <c r="AL135">
        <f>LOG(Table1_1[[#This Row],[7:3 FTCA]])</f>
        <v>0.31597034545691771</v>
      </c>
      <c r="AM135">
        <f>LOG(Table1_1[[#This Row],[6:2 FTCA]])</f>
        <v>-1.1549019599857431</v>
      </c>
      <c r="AN135">
        <f>LOG(Table1_1[[#This Row],[8:2 FTCA]])</f>
        <v>-1.1549019599857431</v>
      </c>
      <c r="AO135">
        <f>LOG(Table1_1[[#This Row],[10:2 FTCA]])</f>
        <v>-0.98088370955292725</v>
      </c>
      <c r="AP135">
        <f>LOG(Table1_1[[#This Row],[6:2 FTUCA]])</f>
        <v>-1.2596373105057561</v>
      </c>
      <c r="AQ135">
        <f>LOG(Table1_1[[#This Row],[8:2 FTUCA]])</f>
        <v>-1.3731465853332743</v>
      </c>
      <c r="AR135">
        <f>LOG(Table1_1[[#This Row],[ADONA]])</f>
        <v>-1.2076083105017461</v>
      </c>
      <c r="AS135">
        <f>LOG(Table1_1[[#This Row],[9Cl-PF3ONS]])</f>
        <v>-1.1549019599857431</v>
      </c>
      <c r="AT135">
        <f>LOG(Table1_1[[#This Row],[11Cl-PF3OUdS]])</f>
        <v>-1.1549019599857431</v>
      </c>
      <c r="AU135">
        <f>LOG(Table1_1[[#This Row],[HFPO-DA]])</f>
        <v>-0.99783393824349231</v>
      </c>
      <c r="AV135">
        <f>LOG(Table1_1[[#This Row],[6:2 diPAP]])</f>
        <v>-1.1278437272517072</v>
      </c>
      <c r="AW135">
        <f>LOG(Table1_1[[#This Row],[8:2 diPAP]])</f>
        <v>-1.031517051446065</v>
      </c>
      <c r="AX135">
        <f>LOG(Table1_1[[#This Row],[diSAmPAP]])</f>
        <v>-0.90833304240431545</v>
      </c>
    </row>
    <row r="136" spans="1:50">
      <c r="A136">
        <f>LOG(Table1_1[[#This Row],[PFBA]])</f>
        <v>-0.6020599913279624</v>
      </c>
      <c r="B136">
        <f>LOG(Table1_1[[#This Row],[PFPeA]])</f>
        <v>-1.2716462179787715</v>
      </c>
      <c r="C136">
        <f>LOG(Table1_1[[#This Row],[PFHxA]])</f>
        <v>-1.3882766919926581</v>
      </c>
      <c r="D136">
        <f>LOG(Table1_1[[#This Row],[PFHpA]])</f>
        <v>-1.518557371497695</v>
      </c>
      <c r="E136">
        <f>LOG(Table1_1[[#This Row],[PFOA]])</f>
        <v>-0.44009337496388751</v>
      </c>
      <c r="F136">
        <f>LOG(Table1_1[[#This Row],[PFNA]])</f>
        <v>-0.76195389687120463</v>
      </c>
      <c r="G136">
        <f>LOG(Table1_1[[#This Row],[PFDA]])</f>
        <v>0.30749603791321289</v>
      </c>
      <c r="H136">
        <f>LOG(Table1_1[[#This Row],[PFUnA]])</f>
        <v>0.45178643552429026</v>
      </c>
      <c r="I136">
        <f>LOG(Table1_1[[#This Row],[PFDoA]])</f>
        <v>0.82994669594163595</v>
      </c>
      <c r="J136">
        <f>LOG(Table1_1[[#This Row],[PFTrDA]])</f>
        <v>0.456366033129043</v>
      </c>
      <c r="K136">
        <f>LOG(Table1_1[[#This Row],[PFTeDA]])</f>
        <v>0.90200289135072942</v>
      </c>
      <c r="L136">
        <f>LOG(Table1_1[[#This Row],[PFHxDA]])</f>
        <v>-1.0433514207947967</v>
      </c>
      <c r="M136">
        <f>LOG(Table1_1[[#This Row],[PFPrS]])</f>
        <v>-1.1220530483708118</v>
      </c>
      <c r="N136">
        <f>LOG(Table1_1[[#This Row],[PFBS]])</f>
        <v>-0.769551078621726</v>
      </c>
      <c r="O136">
        <f>LOG(Table1_1[[#This Row],[PFPeS]])</f>
        <v>-1.1220530483708118</v>
      </c>
      <c r="P136">
        <f>LOG(Table1_1[[#This Row],[PFHxS]])</f>
        <v>0.85612444424230028</v>
      </c>
      <c r="Q136">
        <f>LOG(Table1_1[[#This Row],[PFHpS]])</f>
        <v>0.22010808804005508</v>
      </c>
      <c r="R136">
        <f>LOG(Table1_1[[#This Row],[PFOS]])</f>
        <v>2.6444385894678386</v>
      </c>
      <c r="S136">
        <f>LOG(Table1_1[[#This Row],[PFNS]])</f>
        <v>0.16136800223497488</v>
      </c>
      <c r="T136">
        <f>LOG(Table1_1[[#This Row],[PFDS]])</f>
        <v>0.13987908640123647</v>
      </c>
      <c r="U136">
        <f>LOG(Table1_1[[#This Row],[PFDoS]])</f>
        <v>0.16731733474817609</v>
      </c>
      <c r="V136">
        <f>LOG(Table1_1[[#This Row],[Cl-PFOS]])</f>
        <v>-1.3367703654671323</v>
      </c>
      <c r="W136">
        <f>LOG(Table1_1[[#This Row],[PFEtCHxS]])</f>
        <v>-0.6020599913279624</v>
      </c>
      <c r="X136">
        <f>LOG(Table1_1[[#This Row],[FBSA]])</f>
        <v>1.3909351071033791</v>
      </c>
      <c r="Y136">
        <f>LOG(Table1_1[[#This Row],[FHxSA]])</f>
        <v>1.7411515988517852</v>
      </c>
      <c r="Z136">
        <f>LOG(Table1_1[[#This Row],[FOSA]])</f>
        <v>0.87966920563205353</v>
      </c>
      <c r="AA136">
        <f>LOG(Table1_1[[#This Row],[N-MeFOSA]])</f>
        <v>-1.1220530483708118</v>
      </c>
      <c r="AB136">
        <f>LOG(Table1_1[[#This Row],[N-EtFOSA]])</f>
        <v>-1.0530567293021746</v>
      </c>
      <c r="AC136">
        <f>LOG(Table1_1[[#This Row],[FOSAA]])</f>
        <v>-1.2254830342714504</v>
      </c>
      <c r="AD136">
        <f>LOG(Table1_1[[#This Row],[N-MeFOSAA]])</f>
        <v>-1.1191864077192086</v>
      </c>
      <c r="AE136">
        <f>LOG(Table1_1[[#This Row],[N-EtFOSAA]])</f>
        <v>-1.1837587000082168</v>
      </c>
      <c r="AF136">
        <f>LOG(Table1_1[[#This Row],[4:2 FTS]])</f>
        <v>-1.1220530483708118</v>
      </c>
      <c r="AG136">
        <f>LOG(Table1_1[[#This Row],[6:2 FTS]])</f>
        <v>-0.82102305270683062</v>
      </c>
      <c r="AH136">
        <f>LOG(Table1_1[[#This Row],[8:2 FTS]])</f>
        <v>0.20951501454263097</v>
      </c>
      <c r="AI136">
        <f>LOG(Table1_1[[#This Row],[10:2 FTS]])</f>
        <v>-0.54668165995296236</v>
      </c>
      <c r="AJ136">
        <f>LOG(Table1_1[[#This Row],[3:3 FTCA]])</f>
        <v>-1.0579919469776868</v>
      </c>
      <c r="AK136">
        <f>LOG(Table1_1[[#This Row],[5:3 FTCA]])</f>
        <v>0.85672889038288258</v>
      </c>
      <c r="AL136">
        <f>LOG(Table1_1[[#This Row],[7:3 FTCA]])</f>
        <v>0.73878055848436919</v>
      </c>
      <c r="AM136">
        <f>LOG(Table1_1[[#This Row],[6:2 FTCA]])</f>
        <v>-1.1220530483708118</v>
      </c>
      <c r="AN136">
        <f>LOG(Table1_1[[#This Row],[8:2 FTCA]])</f>
        <v>-1.1220530483708118</v>
      </c>
      <c r="AO136">
        <f>LOG(Table1_1[[#This Row],[10:2 FTCA]])</f>
        <v>-0.94692155651658028</v>
      </c>
      <c r="AP136">
        <f>LOG(Table1_1[[#This Row],[6:2 FTUCA]])</f>
        <v>-1.2254830342714504</v>
      </c>
      <c r="AQ136">
        <f>LOG(Table1_1[[#This Row],[8:2 FTUCA]])</f>
        <v>-1.339608901597533</v>
      </c>
      <c r="AR136">
        <f>LOG(Table1_1[[#This Row],[ADONA]])</f>
        <v>-1.1739251972991736</v>
      </c>
      <c r="AS136">
        <f>LOG(Table1_1[[#This Row],[9Cl-PF3ONS]])</f>
        <v>-1.1220530483708118</v>
      </c>
      <c r="AT136">
        <f>LOG(Table1_1[[#This Row],[11Cl-PF3OUdS]])</f>
        <v>-1.1220530483708118</v>
      </c>
      <c r="AU136">
        <f>LOG(Table1_1[[#This Row],[HFPO-DA]])</f>
        <v>-0.96457026181545169</v>
      </c>
      <c r="AV136">
        <f>LOG(Table1_1[[#This Row],[6:2 diPAP]])</f>
        <v>-1.0942041196321315</v>
      </c>
      <c r="AW136">
        <f>LOG(Table1_1[[#This Row],[8:2 diPAP]])</f>
        <v>-0.99783393824349231</v>
      </c>
      <c r="AX136">
        <f>LOG(Table1_1[[#This Row],[diSAmPAP]])</f>
        <v>-0.87451873429940596</v>
      </c>
    </row>
    <row r="137" spans="1:50">
      <c r="A137">
        <f>LOG(Table1_1[[#This Row],[PFBA]])</f>
        <v>-0.6685727034792569</v>
      </c>
      <c r="B137">
        <f>LOG(Table1_1[[#This Row],[PFPeA]])</f>
        <v>-1.3381873144627388</v>
      </c>
      <c r="C137">
        <f>LOG(Table1_1[[#This Row],[PFHxA]])</f>
        <v>-0.93741801577183692</v>
      </c>
      <c r="D137">
        <f>LOG(Table1_1[[#This Row],[PFHpA]])</f>
        <v>-1.0680338852718274</v>
      </c>
      <c r="E137">
        <f>LOG(Table1_1[[#This Row],[PFOA]])</f>
        <v>-0.30803489723263966</v>
      </c>
      <c r="F137">
        <f>LOG(Table1_1[[#This Row],[PFNA]])</f>
        <v>-0.82827354634676886</v>
      </c>
      <c r="G137">
        <f>LOG(Table1_1[[#This Row],[PFDA]])</f>
        <v>0.49692964807321494</v>
      </c>
      <c r="H137">
        <f>LOG(Table1_1[[#This Row],[PFUnA]])</f>
        <v>0.64246452024212131</v>
      </c>
      <c r="I137">
        <f>LOG(Table1_1[[#This Row],[PFDoA]])</f>
        <v>0.74115159885178505</v>
      </c>
      <c r="J137">
        <f>LOG(Table1_1[[#This Row],[PFTrDA]])</f>
        <v>0.3979400086720376</v>
      </c>
      <c r="K137">
        <f>LOG(Table1_1[[#This Row],[PFTeDA]])</f>
        <v>0.83758843823551132</v>
      </c>
      <c r="L137">
        <f>LOG(Table1_1[[#This Row],[PFHxDA]])</f>
        <v>-1.1106982974936896</v>
      </c>
      <c r="M137">
        <f>LOG(Table1_1[[#This Row],[PFPrS]])</f>
        <v>-1.1870866433571443</v>
      </c>
      <c r="N137">
        <f>LOG(Table1_1[[#This Row],[PFBS]])</f>
        <v>-0.83564714421556296</v>
      </c>
      <c r="O137">
        <f>LOG(Table1_1[[#This Row],[PFPeS]])</f>
        <v>-0.6685727034792569</v>
      </c>
      <c r="P137">
        <f>LOG(Table1_1[[#This Row],[PFHxS]])</f>
        <v>0.89265103387730027</v>
      </c>
      <c r="Q137">
        <f>LOG(Table1_1[[#This Row],[PFHpS]])</f>
        <v>6.8185861746161619E-2</v>
      </c>
      <c r="R137">
        <f>LOG(Table1_1[[#This Row],[PFOS]])</f>
        <v>2.7535830588929064</v>
      </c>
      <c r="S137">
        <f>LOG(Table1_1[[#This Row],[PFNS]])</f>
        <v>0.20139712432045151</v>
      </c>
      <c r="T137">
        <f>LOG(Table1_1[[#This Row],[PFDS]])</f>
        <v>0.2944662261615929</v>
      </c>
      <c r="U137">
        <f>LOG(Table1_1[[#This Row],[PFDoS]])</f>
        <v>-0.20134935455473107</v>
      </c>
      <c r="V137">
        <f>LOG(Table1_1[[#This Row],[Cl-PFOS]])</f>
        <v>-0.88438948832570019</v>
      </c>
      <c r="W137">
        <f>LOG(Table1_1[[#This Row],[PFEtCHxS]])</f>
        <v>-0.6685727034792569</v>
      </c>
      <c r="X137">
        <f>LOG(Table1_1[[#This Row],[FBSA]])</f>
        <v>1.2278867046136734</v>
      </c>
      <c r="Y137">
        <f>LOG(Table1_1[[#This Row],[FHxSA]])</f>
        <v>1.7168377232995244</v>
      </c>
      <c r="Z137">
        <f>LOG(Table1_1[[#This Row],[FOSA]])</f>
        <v>0.795184589682424</v>
      </c>
      <c r="AA137">
        <f>LOG(Table1_1[[#This Row],[N-MeFOSA]])</f>
        <v>-1.1870866433571443</v>
      </c>
      <c r="AB137">
        <f>LOG(Table1_1[[#This Row],[N-EtFOSA]])</f>
        <v>-1.1191864077192086</v>
      </c>
      <c r="AC137">
        <f>LOG(Table1_1[[#This Row],[FOSAA]])</f>
        <v>-1.2924298239020637</v>
      </c>
      <c r="AD137">
        <f>LOG(Table1_1[[#This Row],[N-MeFOSAA]])</f>
        <v>-1.1837587000082168</v>
      </c>
      <c r="AE137">
        <f>LOG(Table1_1[[#This Row],[N-EtFOSAA]])</f>
        <v>-1.2479515521805615</v>
      </c>
      <c r="AF137">
        <f>LOG(Table1_1[[#This Row],[4:2 FTS]])</f>
        <v>-1.1870866433571443</v>
      </c>
      <c r="AG137">
        <f>LOG(Table1_1[[#This Row],[6:2 FTS]])</f>
        <v>-0.43651891460558934</v>
      </c>
      <c r="AH137">
        <f>LOG(Table1_1[[#This Row],[8:2 FTS]])</f>
        <v>0.55630250076728727</v>
      </c>
      <c r="AI137">
        <f>LOG(Table1_1[[#This Row],[10:2 FTS]])</f>
        <v>-0.61350103444934689</v>
      </c>
      <c r="AJ137">
        <f>LOG(Table1_1[[#This Row],[3:3 FTCA]])</f>
        <v>-1.1249387366082999</v>
      </c>
      <c r="AK137">
        <f>LOG(Table1_1[[#This Row],[5:3 FTCA]])</f>
        <v>0.32014628611105395</v>
      </c>
      <c r="AL137">
        <f>LOG(Table1_1[[#This Row],[7:3 FTCA]])</f>
        <v>0.78318869107525757</v>
      </c>
      <c r="AM137">
        <f>LOG(Table1_1[[#This Row],[6:2 FTCA]])</f>
        <v>-1.1870866433571443</v>
      </c>
      <c r="AN137">
        <f>LOG(Table1_1[[#This Row],[8:2 FTCA]])</f>
        <v>-1.1870866433571443</v>
      </c>
      <c r="AO137">
        <f>LOG(Table1_1[[#This Row],[10:2 FTCA]])</f>
        <v>-1.0132282657337552</v>
      </c>
      <c r="AP137">
        <f>LOG(Table1_1[[#This Row],[6:2 FTUCA]])</f>
        <v>-1.2924298239020637</v>
      </c>
      <c r="AQ137">
        <f>LOG(Table1_1[[#This Row],[8:2 FTUCA]])</f>
        <v>-1.4061603389187287</v>
      </c>
      <c r="AR137">
        <f>LOG(Table1_1[[#This Row],[ADONA]])</f>
        <v>-0.72353819582675583</v>
      </c>
      <c r="AS137">
        <f>LOG(Table1_1[[#This Row],[9Cl-PF3ONS]])</f>
        <v>-1.1870866433571443</v>
      </c>
      <c r="AT137">
        <f>LOG(Table1_1[[#This Row],[11Cl-PF3OUdS]])</f>
        <v>-1.1870866433571443</v>
      </c>
      <c r="AU137">
        <f>LOG(Table1_1[[#This Row],[HFPO-DA]])</f>
        <v>-1.031517051446065</v>
      </c>
      <c r="AV137">
        <f>LOG(Table1_1[[#This Row],[6:2 diPAP]])</f>
        <v>-1.1611509092627446</v>
      </c>
      <c r="AW137">
        <f>LOG(Table1_1[[#This Row],[8:2 diPAP]])</f>
        <v>-1.0655015487564323</v>
      </c>
      <c r="AX137">
        <f>LOG(Table1_1[[#This Row],[diSAmPAP]])</f>
        <v>-0.94119451332409321</v>
      </c>
    </row>
    <row r="138" spans="1:50">
      <c r="A138">
        <f>LOG(Table1_1[[#This Row],[PFBA]])</f>
        <v>-1.1549019599857431</v>
      </c>
      <c r="B138">
        <f>LOG(Table1_1[[#This Row],[PFPeA]])</f>
        <v>-1.3045183235098026</v>
      </c>
      <c r="C138">
        <f>LOG(Table1_1[[#This Row],[PFHxA]])</f>
        <v>-1.4219341161639085</v>
      </c>
      <c r="D138">
        <f>LOG(Table1_1[[#This Row],[PFHpA]])</f>
        <v>-1.0338582672609673</v>
      </c>
      <c r="E138">
        <f>LOG(Table1_1[[#This Row],[PFOA]])</f>
        <v>-0.30715308072276998</v>
      </c>
      <c r="F138">
        <f>LOG(Table1_1[[#This Row],[PFNA]])</f>
        <v>-1.3138107657559763</v>
      </c>
      <c r="G138">
        <f>LOG(Table1_1[[#This Row],[PFDA]])</f>
        <v>0.69108149212296843</v>
      </c>
      <c r="H138">
        <f>LOG(Table1_1[[#This Row],[PFUnA]])</f>
        <v>0.97818051693741392</v>
      </c>
      <c r="I138">
        <f>LOG(Table1_1[[#This Row],[PFDoA]])</f>
        <v>1.2600713879850747</v>
      </c>
      <c r="J138">
        <f>LOG(Table1_1[[#This Row],[PFTrDA]])</f>
        <v>0.61909333062674277</v>
      </c>
      <c r="K138">
        <f>LOG(Table1_1[[#This Row],[PFTeDA]])</f>
        <v>1.0253058652647702</v>
      </c>
      <c r="L138">
        <f>LOG(Table1_1[[#This Row],[PFHxDA]])</f>
        <v>-1.0783135245163979</v>
      </c>
      <c r="M138">
        <f>LOG(Table1_1[[#This Row],[PFPrS]])</f>
        <v>-1.1549019599857431</v>
      </c>
      <c r="N138">
        <f>LOG(Table1_1[[#This Row],[PFBS]])</f>
        <v>-0.80271944187438071</v>
      </c>
      <c r="O138">
        <f>LOG(Table1_1[[#This Row],[PFPeS]])</f>
        <v>-1.1549019599857431</v>
      </c>
      <c r="P138">
        <f>LOG(Table1_1[[#This Row],[PFHxS]])</f>
        <v>0.83442070368153254</v>
      </c>
      <c r="Q138">
        <f>LOG(Table1_1[[#This Row],[PFHpS]])</f>
        <v>-0.11350927482751812</v>
      </c>
      <c r="R138">
        <f>LOG(Table1_1[[#This Row],[PFOS]])</f>
        <v>3.0293837776852097</v>
      </c>
      <c r="S138">
        <f>LOG(Table1_1[[#This Row],[PFNS]])</f>
        <v>0.61278385671973545</v>
      </c>
      <c r="T138">
        <f>LOG(Table1_1[[#This Row],[PFDS]])</f>
        <v>0.73479982958884693</v>
      </c>
      <c r="U138">
        <f>LOG(Table1_1[[#This Row],[PFDoS]])</f>
        <v>0.11058971029924898</v>
      </c>
      <c r="V138">
        <f>LOG(Table1_1[[#This Row],[Cl-PFOS]])</f>
        <v>-0.85232367575890122</v>
      </c>
      <c r="W138">
        <f>LOG(Table1_1[[#This Row],[PFEtCHxS]])</f>
        <v>-0.63544900464602805</v>
      </c>
      <c r="X138">
        <f>LOG(Table1_1[[#This Row],[FBSA]])</f>
        <v>1.287801729930226</v>
      </c>
      <c r="Y138">
        <f>LOG(Table1_1[[#This Row],[FHxSA]])</f>
        <v>1.6551384348113822</v>
      </c>
      <c r="Z138">
        <f>LOG(Table1_1[[#This Row],[FOSA]])</f>
        <v>1.0170333392987803</v>
      </c>
      <c r="AA138">
        <f>LOG(Table1_1[[#This Row],[N-MeFOSA]])</f>
        <v>-1.1549019599857431</v>
      </c>
      <c r="AB138">
        <f>LOG(Table1_1[[#This Row],[N-EtFOSA]])</f>
        <v>-1.0861861476162833</v>
      </c>
      <c r="AC138">
        <f>LOG(Table1_1[[#This Row],[FOSAA]])</f>
        <v>-1.2557070168773237</v>
      </c>
      <c r="AD138">
        <f>LOG(Table1_1[[#This Row],[N-MeFOSAA]])</f>
        <v>-1.1518108830086013</v>
      </c>
      <c r="AE138">
        <f>LOG(Table1_1[[#This Row],[N-EtFOSAA]])</f>
        <v>-1.2146701649892331</v>
      </c>
      <c r="AF138">
        <f>LOG(Table1_1[[#This Row],[4:2 FTS]])</f>
        <v>-1.1549019599857431</v>
      </c>
      <c r="AG138">
        <f>LOG(Table1_1[[#This Row],[6:2 FTS]])</f>
        <v>-0.50307035192678506</v>
      </c>
      <c r="AH138">
        <f>LOG(Table1_1[[#This Row],[8:2 FTS]])</f>
        <v>0.65417654187796048</v>
      </c>
      <c r="AI138">
        <f>LOG(Table1_1[[#This Row],[10:2 FTS]])</f>
        <v>-8.9375595110798803E-2</v>
      </c>
      <c r="AJ138">
        <f>LOG(Table1_1[[#This Row],[3:3 FTCA]])</f>
        <v>-1.0915149811213503</v>
      </c>
      <c r="AK138">
        <f>LOG(Table1_1[[#This Row],[5:3 FTCA]])</f>
        <v>4.3213737826425782E-3</v>
      </c>
      <c r="AL138">
        <f>LOG(Table1_1[[#This Row],[7:3 FTCA]])</f>
        <v>0.44560420327359757</v>
      </c>
      <c r="AM138">
        <f>LOG(Table1_1[[#This Row],[6:2 FTCA]])</f>
        <v>-1.1549019599857431</v>
      </c>
      <c r="AN138">
        <f>LOG(Table1_1[[#This Row],[8:2 FTCA]])</f>
        <v>-1.1549019599857431</v>
      </c>
      <c r="AO138">
        <f>LOG(Table1_1[[#This Row],[10:2 FTCA]])</f>
        <v>-0.98088370955292725</v>
      </c>
      <c r="AP138">
        <f>LOG(Table1_1[[#This Row],[6:2 FTUCA]])</f>
        <v>-1.2596373105057561</v>
      </c>
      <c r="AQ138">
        <f>LOG(Table1_1[[#This Row],[8:2 FTUCA]])</f>
        <v>-1.3726341434072673</v>
      </c>
      <c r="AR138">
        <f>LOG(Table1_1[[#This Row],[ADONA]])</f>
        <v>-1.2076083105017461</v>
      </c>
      <c r="AS138">
        <f>LOG(Table1_1[[#This Row],[9Cl-PF3ONS]])</f>
        <v>-1.1549019599857431</v>
      </c>
      <c r="AT138">
        <f>LOG(Table1_1[[#This Row],[11Cl-PF3OUdS]])</f>
        <v>-1.1549019599857431</v>
      </c>
      <c r="AU138">
        <f>LOG(Table1_1[[#This Row],[HFPO-DA]])</f>
        <v>-0.99783393824349231</v>
      </c>
      <c r="AV138">
        <f>LOG(Table1_1[[#This Row],[6:2 diPAP]])</f>
        <v>-1.1278437272517072</v>
      </c>
      <c r="AW138">
        <f>LOG(Table1_1[[#This Row],[8:2 diPAP]])</f>
        <v>-1.031517051446065</v>
      </c>
      <c r="AX138">
        <f>LOG(Table1_1[[#This Row],[diSAmPAP]])</f>
        <v>-0.90833304240431545</v>
      </c>
    </row>
    <row r="139" spans="1:50">
      <c r="A139">
        <f>LOG(Table1_1[[#This Row],[PFBA]])</f>
        <v>-1.1771783546968955</v>
      </c>
      <c r="B139">
        <f>LOG(Table1_1[[#This Row],[PFPeA]])</f>
        <v>-1.3292904047762029</v>
      </c>
      <c r="C139">
        <f>LOG(Table1_1[[#This Row],[PFHxA]])</f>
        <v>-1.4461169733561257</v>
      </c>
      <c r="D139">
        <f>LOG(Table1_1[[#This Row],[PFHpA]])</f>
        <v>-0.6777807052660807</v>
      </c>
      <c r="E139">
        <f>LOG(Table1_1[[#This Row],[PFOA]])</f>
        <v>-0.15181088300860132</v>
      </c>
      <c r="F139">
        <f>LOG(Table1_1[[#This Row],[PFNA]])</f>
        <v>-1.3381873144627388</v>
      </c>
      <c r="G139">
        <f>LOG(Table1_1[[#This Row],[PFDA]])</f>
        <v>0.5502283530550941</v>
      </c>
      <c r="H139">
        <f>LOG(Table1_1[[#This Row],[PFUnA]])</f>
        <v>0.72835378202122847</v>
      </c>
      <c r="I139">
        <f>LOG(Table1_1[[#This Row],[PFDoA]])</f>
        <v>0.99651167215417868</v>
      </c>
      <c r="J139">
        <f>LOG(Table1_1[[#This Row],[PFTrDA]])</f>
        <v>0.26717172840301384</v>
      </c>
      <c r="K139">
        <f>LOG(Table1_1[[#This Row],[PFTeDA]])</f>
        <v>1.0644579892269184</v>
      </c>
      <c r="L139">
        <f>LOG(Table1_1[[#This Row],[PFHxDA]])</f>
        <v>-1.1023729087095586</v>
      </c>
      <c r="M139">
        <f>LOG(Table1_1[[#This Row],[PFPrS]])</f>
        <v>-1.1771783546968955</v>
      </c>
      <c r="N139">
        <f>LOG(Table1_1[[#This Row],[PFBS]])</f>
        <v>-0.82681373158772598</v>
      </c>
      <c r="O139">
        <f>LOG(Table1_1[[#This Row],[PFPeS]])</f>
        <v>-0.65955588515988162</v>
      </c>
      <c r="P139">
        <f>LOG(Table1_1[[#This Row],[PFHxS]])</f>
        <v>1.1271047983648077</v>
      </c>
      <c r="Q139">
        <f>LOG(Table1_1[[#This Row],[PFHpS]])</f>
        <v>0.5250448070368452</v>
      </c>
      <c r="R139">
        <f>LOG(Table1_1[[#This Row],[PFOS]])</f>
        <v>2.8247764624755458</v>
      </c>
      <c r="S139">
        <f>LOG(Table1_1[[#This Row],[PFNS]])</f>
        <v>0.75663610824584804</v>
      </c>
      <c r="T139">
        <f>LOG(Table1_1[[#This Row],[PFDS]])</f>
        <v>0.72098574415373906</v>
      </c>
      <c r="U139">
        <f>LOG(Table1_1[[#This Row],[PFDoS]])</f>
        <v>0.33645973384852951</v>
      </c>
      <c r="V139">
        <f>LOG(Table1_1[[#This Row],[Cl-PFOS]])</f>
        <v>-0.87614835903291421</v>
      </c>
      <c r="W139">
        <f>LOG(Table1_1[[#This Row],[PFEtCHxS]])</f>
        <v>-0.65955588515988162</v>
      </c>
      <c r="X139">
        <f>LOG(Table1_1[[#This Row],[FBSA]])</f>
        <v>1.2013971243204515</v>
      </c>
      <c r="Y139">
        <f>LOG(Table1_1[[#This Row],[FHxSA]])</f>
        <v>1.8530895298518655</v>
      </c>
      <c r="Z139">
        <f>LOG(Table1_1[[#This Row],[FOSA]])</f>
        <v>0.91434315711944081</v>
      </c>
      <c r="AA139">
        <f>LOG(Table1_1[[#This Row],[N-MeFOSA]])</f>
        <v>-1.1771783546968955</v>
      </c>
      <c r="AB139">
        <f>LOG(Table1_1[[#This Row],[N-EtFOSA]])</f>
        <v>-1.1106982974936896</v>
      </c>
      <c r="AC139">
        <f>LOG(Table1_1[[#This Row],[FOSAA]])</f>
        <v>-1.2798406965940432</v>
      </c>
      <c r="AD139">
        <f>LOG(Table1_1[[#This Row],[N-MeFOSAA]])</f>
        <v>-1.1771783546968955</v>
      </c>
      <c r="AE139">
        <f>LOG(Table1_1[[#This Row],[N-EtFOSAA]])</f>
        <v>-1.2403321553103694</v>
      </c>
      <c r="AF139">
        <f>LOG(Table1_1[[#This Row],[4:2 FTS]])</f>
        <v>-1.1771783546968955</v>
      </c>
      <c r="AG139">
        <f>LOG(Table1_1[[#This Row],[6:2 FTS]])</f>
        <v>-0.18708664335714442</v>
      </c>
      <c r="AH139">
        <f>LOG(Table1_1[[#This Row],[8:2 FTS]])</f>
        <v>0.4927603890268375</v>
      </c>
      <c r="AI139">
        <f>LOG(Table1_1[[#This Row],[10:2 FTS]])</f>
        <v>-0.60467360693064909</v>
      </c>
      <c r="AJ139">
        <f>LOG(Table1_1[[#This Row],[3:3 FTCA]])</f>
        <v>-1.1163385648463824</v>
      </c>
      <c r="AK139">
        <f>LOG(Table1_1[[#This Row],[5:3 FTCA]])</f>
        <v>7.554696139253074E-2</v>
      </c>
      <c r="AL139">
        <f>LOG(Table1_1[[#This Row],[7:3 FTCA]])</f>
        <v>0.48144262850230496</v>
      </c>
      <c r="AM139">
        <f>LOG(Table1_1[[#This Row],[6:2 FTCA]])</f>
        <v>-1.1771783546968955</v>
      </c>
      <c r="AN139">
        <f>LOG(Table1_1[[#This Row],[8:2 FTCA]])</f>
        <v>-1.1771783546968955</v>
      </c>
      <c r="AO139">
        <f>LOG(Table1_1[[#This Row],[10:2 FTCA]])</f>
        <v>-1.0043648054024501</v>
      </c>
      <c r="AP139">
        <f>LOG(Table1_1[[#This Row],[6:2 FTUCA]])</f>
        <v>-1.2839966563652008</v>
      </c>
      <c r="AQ139">
        <f>LOG(Table1_1[[#This Row],[8:2 FTUCA]])</f>
        <v>-1.3968556273798178</v>
      </c>
      <c r="AR139">
        <f>LOG(Table1_1[[#This Row],[ADONA]])</f>
        <v>-1.2328441339178196</v>
      </c>
      <c r="AS139">
        <f>LOG(Table1_1[[#This Row],[9Cl-PF3ONS]])</f>
        <v>-1.1771783546968955</v>
      </c>
      <c r="AT139">
        <f>LOG(Table1_1[[#This Row],[11Cl-PF3OUdS]])</f>
        <v>-1.1771783546968955</v>
      </c>
      <c r="AU139">
        <f>LOG(Table1_1[[#This Row],[HFPO-DA]])</f>
        <v>-1.0222763947111522</v>
      </c>
      <c r="AV139">
        <f>LOG(Table1_1[[#This Row],[6:2 diPAP]])</f>
        <v>-1.1518108830086013</v>
      </c>
      <c r="AW139">
        <f>LOG(Table1_1[[#This Row],[8:2 diPAP]])</f>
        <v>-1.0555173278498313</v>
      </c>
      <c r="AX139">
        <f>LOG(Table1_1[[#This Row],[diSAmPAP]])</f>
        <v>-0.93367407463796215</v>
      </c>
    </row>
    <row r="140" spans="1:50">
      <c r="A140">
        <f>LOG(Table1_1[[#This Row],[PFBA]])</f>
        <v>-0.63357704277402727</v>
      </c>
      <c r="B140">
        <f>LOG(Table1_1[[#This Row],[PFPeA]])</f>
        <v>-0.78515615195230215</v>
      </c>
      <c r="C140">
        <f>LOG(Table1_1[[#This Row],[PFHxA]])</f>
        <v>-0.90135627418294306</v>
      </c>
      <c r="D140">
        <f>LOG(Table1_1[[#This Row],[PFHpA]])</f>
        <v>-1.031517051446065</v>
      </c>
      <c r="E140">
        <f>LOG(Table1_1[[#This Row],[PFOA]])</f>
        <v>-0.61261017366127057</v>
      </c>
      <c r="F140">
        <f>LOG(Table1_1[[#This Row],[PFNA]])</f>
        <v>-0.79317412396815024</v>
      </c>
      <c r="G140">
        <f>LOG(Table1_1[[#This Row],[PFDA]])</f>
        <v>0.11058971029924898</v>
      </c>
      <c r="H140">
        <f>LOG(Table1_1[[#This Row],[PFUnA]])</f>
        <v>0.20411998265592479</v>
      </c>
      <c r="I140">
        <f>LOG(Table1_1[[#This Row],[PFDoA]])</f>
        <v>0.43456890403419873</v>
      </c>
      <c r="J140">
        <f>LOG(Table1_1[[#This Row],[PFTrDA]])</f>
        <v>-0.14266750356873156</v>
      </c>
      <c r="K140">
        <f>LOG(Table1_1[[#This Row],[PFTeDA]])</f>
        <v>0.4132997640812518</v>
      </c>
      <c r="L140">
        <f>LOG(Table1_1[[#This Row],[PFHxDA]])</f>
        <v>-1.0757207139381184</v>
      </c>
      <c r="M140">
        <f>LOG(Table1_1[[#This Row],[PFPrS]])</f>
        <v>-1.1518108830086013</v>
      </c>
      <c r="N140">
        <f>LOG(Table1_1[[#This Row],[PFBS]])</f>
        <v>-0.80134291304557737</v>
      </c>
      <c r="O140">
        <f>LOG(Table1_1[[#This Row],[PFPeS]])</f>
        <v>-1.1518108830086013</v>
      </c>
      <c r="P140">
        <f>LOG(Table1_1[[#This Row],[PFHxS]])</f>
        <v>0.84880470105180372</v>
      </c>
      <c r="Q140">
        <f>LOG(Table1_1[[#This Row],[PFHpS]])</f>
        <v>-0.31336373073770663</v>
      </c>
      <c r="R140">
        <f>LOG(Table1_1[[#This Row],[PFOS]])</f>
        <v>2.2405492482825999</v>
      </c>
      <c r="S140">
        <f>LOG(Table1_1[[#This Row],[PFNS]])</f>
        <v>-0.87778412172717335</v>
      </c>
      <c r="T140">
        <f>LOG(Table1_1[[#This Row],[PFDS]])</f>
        <v>-0.72010501998836185</v>
      </c>
      <c r="U140">
        <f>LOG(Table1_1[[#This Row],[PFDoS]])</f>
        <v>-0.60467360693064909</v>
      </c>
      <c r="V140">
        <f>LOG(Table1_1[[#This Row],[Cl-PFOS]])</f>
        <v>-1.368556230986828</v>
      </c>
      <c r="W140">
        <f>LOG(Table1_1[[#This Row],[PFEtCHxS]])</f>
        <v>-1.1518108830086013</v>
      </c>
      <c r="X140">
        <f>LOG(Table1_1[[#This Row],[FBSA]])</f>
        <v>0.97081161087251777</v>
      </c>
      <c r="Y140">
        <f>LOG(Table1_1[[#This Row],[FHxSA]])</f>
        <v>1.481442628502305</v>
      </c>
      <c r="Z140">
        <f>LOG(Table1_1[[#This Row],[FOSA]])</f>
        <v>0.5250448070368452</v>
      </c>
      <c r="AA140">
        <f>LOG(Table1_1[[#This Row],[N-MeFOSA]])</f>
        <v>-1.1518108830086013</v>
      </c>
      <c r="AB140">
        <f>LOG(Table1_1[[#This Row],[N-EtFOSA]])</f>
        <v>-1.0861861476162833</v>
      </c>
      <c r="AC140">
        <f>LOG(Table1_1[[#This Row],[FOSAA]])</f>
        <v>-1.2557070168773237</v>
      </c>
      <c r="AD140">
        <f>LOG(Table1_1[[#This Row],[N-MeFOSAA]])</f>
        <v>-1.1487416512809248</v>
      </c>
      <c r="AE140">
        <f>LOG(Table1_1[[#This Row],[N-EtFOSAA]])</f>
        <v>-1.2146701649892331</v>
      </c>
      <c r="AF140">
        <f>LOG(Table1_1[[#This Row],[4:2 FTS]])</f>
        <v>-1.1518108830086013</v>
      </c>
      <c r="AG140">
        <f>LOG(Table1_1[[#This Row],[6:2 FTS]])</f>
        <v>-0.40230481407448765</v>
      </c>
      <c r="AH140">
        <f>LOG(Table1_1[[#This Row],[8:2 FTS]])</f>
        <v>0.3222192947339193</v>
      </c>
      <c r="AI140">
        <f>LOG(Table1_1[[#This Row],[10:2 FTS]])</f>
        <v>-1.0969100130080565</v>
      </c>
      <c r="AJ140">
        <f>LOG(Table1_1[[#This Row],[3:3 FTCA]])</f>
        <v>-1.0915149811213503</v>
      </c>
      <c r="AK140">
        <f>LOG(Table1_1[[#This Row],[5:3 FTCA]])</f>
        <v>0.2966651902615311</v>
      </c>
      <c r="AL140">
        <f>LOG(Table1_1[[#This Row],[7:3 FTCA]])</f>
        <v>0.2966651902615311</v>
      </c>
      <c r="AM140">
        <f>LOG(Table1_1[[#This Row],[6:2 FTCA]])</f>
        <v>-1.1518108830086013</v>
      </c>
      <c r="AN140">
        <f>LOG(Table1_1[[#This Row],[8:2 FTCA]])</f>
        <v>-1.1518108830086013</v>
      </c>
      <c r="AO140">
        <f>LOG(Table1_1[[#This Row],[10:2 FTCA]])</f>
        <v>-0.97881070093006195</v>
      </c>
      <c r="AP140">
        <f>LOG(Table1_1[[#This Row],[6:2 FTUCA]])</f>
        <v>-1.2557070168773237</v>
      </c>
      <c r="AQ140">
        <f>LOG(Table1_1[[#This Row],[8:2 FTUCA]])</f>
        <v>-1.3711004355793934</v>
      </c>
      <c r="AR140">
        <f>LOG(Table1_1[[#This Row],[ADONA]])</f>
        <v>-0.68824613894424569</v>
      </c>
      <c r="AS140">
        <f>LOG(Table1_1[[#This Row],[9Cl-PF3ONS]])</f>
        <v>-1.1518108830086013</v>
      </c>
      <c r="AT140">
        <f>LOG(Table1_1[[#This Row],[11Cl-PF3OUdS]])</f>
        <v>-1.1518108830086013</v>
      </c>
      <c r="AU140">
        <f>LOG(Table1_1[[#This Row],[HFPO-DA]])</f>
        <v>-0.99567862621735737</v>
      </c>
      <c r="AV140">
        <f>LOG(Table1_1[[#This Row],[6:2 diPAP]])</f>
        <v>-1.1249387366082999</v>
      </c>
      <c r="AW140">
        <f>LOG(Table1_1[[#This Row],[8:2 diPAP]])</f>
        <v>-1.0291883891274822</v>
      </c>
      <c r="AX140">
        <f>LOG(Table1_1[[#This Row],[diSAmPAP]])</f>
        <v>-0.90657831483776496</v>
      </c>
    </row>
    <row r="141" spans="1:50">
      <c r="A141">
        <f>LOG(Table1_1[[#This Row],[PFBA]])</f>
        <v>0.12710479836480765</v>
      </c>
      <c r="B141">
        <f>LOG(Table1_1[[#This Row],[PFPeA]])</f>
        <v>-0.32605800136591223</v>
      </c>
      <c r="C141">
        <f>LOG(Table1_1[[#This Row],[PFHxA]])</f>
        <v>-0.44249279809434211</v>
      </c>
      <c r="D141">
        <f>LOG(Table1_1[[#This Row],[PFHpA]])</f>
        <v>0.12710479836480765</v>
      </c>
      <c r="E141">
        <f>LOG(Table1_1[[#This Row],[PFOA]])</f>
        <v>0.22788670461367352</v>
      </c>
      <c r="F141">
        <f>LOG(Table1_1[[#This Row],[PFNA]])</f>
        <v>-0.17392519729917355</v>
      </c>
      <c r="G141">
        <f>LOG(Table1_1[[#This Row],[PFDA]])</f>
        <v>0.54900326202578786</v>
      </c>
      <c r="H141">
        <f>LOG(Table1_1[[#This Row],[PFUnA]])</f>
        <v>0.74818802700620035</v>
      </c>
      <c r="I141">
        <f>LOG(Table1_1[[#This Row],[PFDoA]])</f>
        <v>1.1398790864012365</v>
      </c>
      <c r="J141">
        <f>LOG(Table1_1[[#This Row],[PFTrDA]])</f>
        <v>0.12710479836480765</v>
      </c>
      <c r="K141">
        <f>LOG(Table1_1[[#This Row],[PFTeDA]])</f>
        <v>0.84695532501982396</v>
      </c>
      <c r="L141">
        <f>LOG(Table1_1[[#This Row],[PFHxDA]])</f>
        <v>-9.9632871343529689E-2</v>
      </c>
      <c r="M141">
        <f>LOG(Table1_1[[#This Row],[PFPrS]])</f>
        <v>-0.17392519729917355</v>
      </c>
      <c r="N141">
        <f>LOG(Table1_1[[#This Row],[PFBS]])</f>
        <v>-0.17392519729917355</v>
      </c>
      <c r="O141">
        <f>LOG(Table1_1[[#This Row],[PFPeS]])</f>
        <v>-0.14874165128092473</v>
      </c>
      <c r="P141">
        <f>LOG(Table1_1[[#This Row],[PFHxS]])</f>
        <v>1.3364597338485296</v>
      </c>
      <c r="Q141">
        <f>LOG(Table1_1[[#This Row],[PFHpS]])</f>
        <v>0.5428254269591799</v>
      </c>
      <c r="R141">
        <f>LOG(Table1_1[[#This Row],[PFOS]])</f>
        <v>3.0569048513364727</v>
      </c>
      <c r="S141">
        <f>LOG(Table1_1[[#This Row],[PFNS]])</f>
        <v>0.12710479836480765</v>
      </c>
      <c r="T141">
        <f>LOG(Table1_1[[#This Row],[PFDS]])</f>
        <v>0.12710479836480765</v>
      </c>
      <c r="U141">
        <f>LOG(Table1_1[[#This Row],[PFDoS]])</f>
        <v>0.1553360374650618</v>
      </c>
      <c r="V141">
        <f>LOG(Table1_1[[#This Row],[Cl-PFOS]])</f>
        <v>-8.8842391260023412E-2</v>
      </c>
      <c r="W141">
        <f>LOG(Table1_1[[#This Row],[PFEtCHxS]])</f>
        <v>-0.27164621797877153</v>
      </c>
      <c r="X141">
        <f>LOG(Table1_1[[#This Row],[FBSA]])</f>
        <v>1.1958996524092338</v>
      </c>
      <c r="Y141">
        <f>LOG(Table1_1[[#This Row],[FHxSA]])</f>
        <v>1.7015679850559273</v>
      </c>
      <c r="Z141">
        <f>LOG(Table1_1[[#This Row],[FOSA]])</f>
        <v>1.1038037209559568</v>
      </c>
      <c r="AA141">
        <f>LOG(Table1_1[[#This Row],[N-MeFOSA]])</f>
        <v>-0.28819277095880896</v>
      </c>
      <c r="AB141">
        <f>LOG(Table1_1[[#This Row],[N-EtFOSA]])</f>
        <v>0.12710479836480765</v>
      </c>
      <c r="AC141">
        <f>LOG(Table1_1[[#This Row],[FOSAA]])</f>
        <v>0.12710479836480765</v>
      </c>
      <c r="AD141">
        <f>LOG(Table1_1[[#This Row],[N-MeFOSAA]])</f>
        <v>-0.17069622716897506</v>
      </c>
      <c r="AE141">
        <f>LOG(Table1_1[[#This Row],[N-EtFOSAA]])</f>
        <v>-0.17392519729917355</v>
      </c>
      <c r="AF141">
        <f>LOG(Table1_1[[#This Row],[4:2 FTS]])</f>
        <v>-0.17392519729917355</v>
      </c>
      <c r="AG141">
        <f>LOG(Table1_1[[#This Row],[6:2 FTS]])</f>
        <v>-0.17392519729917355</v>
      </c>
      <c r="AH141">
        <f>LOG(Table1_1[[#This Row],[8:2 FTS]])</f>
        <v>0.86569605991607057</v>
      </c>
      <c r="AI141">
        <f>LOG(Table1_1[[#This Row],[10:2 FTS]])</f>
        <v>0.42732378635724722</v>
      </c>
      <c r="AJ141">
        <f>LOG(Table1_1[[#This Row],[3:3 FTCA]])</f>
        <v>0.12710479836480765</v>
      </c>
      <c r="AK141">
        <f>LOG(Table1_1[[#This Row],[5:3 FTCA]])</f>
        <v>-0.17392519729917355</v>
      </c>
      <c r="AL141">
        <f>LOG(Table1_1[[#This Row],[7:3 FTCA]])</f>
        <v>0.12710479836480765</v>
      </c>
      <c r="AM141">
        <f>LOG(Table1_1[[#This Row],[6:2 FTCA]])</f>
        <v>0.12710479836480765</v>
      </c>
      <c r="AN141">
        <f>LOG(Table1_1[[#This Row],[8:2 FTCA]])</f>
        <v>-0.17392519729917355</v>
      </c>
      <c r="AO141">
        <f>LOG(Table1_1[[#This Row],[10:2 FTCA]])</f>
        <v>0.12710479836480765</v>
      </c>
      <c r="AP141">
        <f>LOG(Table1_1[[#This Row],[6:2 FTUCA]])</f>
        <v>-0.27984069659404309</v>
      </c>
      <c r="AQ141">
        <f>LOG(Table1_1[[#This Row],[8:2 FTUCA]])</f>
        <v>-0.39361863488939502</v>
      </c>
      <c r="AR141">
        <f>LOG(Table1_1[[#This Row],[ADONA]])</f>
        <v>-0.22914798835785583</v>
      </c>
      <c r="AS141">
        <f>LOG(Table1_1[[#This Row],[9Cl-PF3ONS]])</f>
        <v>0.12710479836480765</v>
      </c>
      <c r="AT141">
        <f>LOG(Table1_1[[#This Row],[11Cl-PF3OUdS]])</f>
        <v>0.12710479836480765</v>
      </c>
      <c r="AU141">
        <f>LOG(Table1_1[[#This Row],[HFPO-DA]])</f>
        <v>-1.7728766960431602E-2</v>
      </c>
      <c r="AV141">
        <f>LOG(Table1_1[[#This Row],[6:2 diPAP]])</f>
        <v>0.12710479836480765</v>
      </c>
      <c r="AW141">
        <f>LOG(Table1_1[[#This Row],[8:2 diPAP]])</f>
        <v>0.12710479836480765</v>
      </c>
      <c r="AX141">
        <f>LOG(Table1_1[[#This Row],[diSAmPAP]])</f>
        <v>0.12710479836480765</v>
      </c>
    </row>
    <row r="142" spans="1:50">
      <c r="A142">
        <f>LOG(Table1_1[[#This Row],[PFBA]])</f>
        <v>-0.61528825706171753</v>
      </c>
      <c r="B142">
        <f>LOG(Table1_1[[#This Row],[PFPeA]])</f>
        <v>-1.0680338852718274</v>
      </c>
      <c r="C142">
        <f>LOG(Table1_1[[#This Row],[PFHxA]])</f>
        <v>-0.88272870434423567</v>
      </c>
      <c r="D142">
        <f>LOG(Table1_1[[#This Row],[PFHpA]])</f>
        <v>-0.61528825706171753</v>
      </c>
      <c r="E142">
        <f>LOG(Table1_1[[#This Row],[PFOA]])</f>
        <v>-0.29157909986528724</v>
      </c>
      <c r="F142">
        <f>LOG(Table1_1[[#This Row],[PFNA]])</f>
        <v>-0.61528825706171753</v>
      </c>
      <c r="G142">
        <f>LOG(Table1_1[[#This Row],[PFDA]])</f>
        <v>-0.24872089601665776</v>
      </c>
      <c r="H142">
        <f>LOG(Table1_1[[#This Row],[PFUnA]])</f>
        <v>-0.14996674231023099</v>
      </c>
      <c r="I142">
        <f>LOG(Table1_1[[#This Row],[PFDoA]])</f>
        <v>0.3222192947339193</v>
      </c>
      <c r="J142">
        <f>LOG(Table1_1[[#This Row],[PFTrDA]])</f>
        <v>-0.27818938478745336</v>
      </c>
      <c r="K142">
        <f>LOG(Table1_1[[#This Row],[PFTeDA]])</f>
        <v>6.445798922691845E-2</v>
      </c>
      <c r="L142">
        <f>LOG(Table1_1[[#This Row],[PFHxDA]])</f>
        <v>-0.84013215290743337</v>
      </c>
      <c r="M142">
        <f>LOG(Table1_1[[#This Row],[PFPrS]])</f>
        <v>-0.91721462968354994</v>
      </c>
      <c r="N142">
        <f>LOG(Table1_1[[#This Row],[PFBS]])</f>
        <v>-0.61528825706171753</v>
      </c>
      <c r="O142">
        <f>LOG(Table1_1[[#This Row],[PFPeS]])</f>
        <v>-0.89109687233268664</v>
      </c>
      <c r="P142">
        <f>LOG(Table1_1[[#This Row],[PFHxS]])</f>
        <v>0.84509804001425681</v>
      </c>
      <c r="Q142">
        <f>LOG(Table1_1[[#This Row],[PFHpS]])</f>
        <v>5.3078443483419682E-2</v>
      </c>
      <c r="R142">
        <f>LOG(Table1_1[[#This Row],[PFOS]])</f>
        <v>2.2013971243204513</v>
      </c>
      <c r="S142">
        <f>LOG(Table1_1[[#This Row],[PFNS]])</f>
        <v>-0.61528825706171753</v>
      </c>
      <c r="T142">
        <f>LOG(Table1_1[[#This Row],[PFDS]])</f>
        <v>-0.61528825706171753</v>
      </c>
      <c r="U142">
        <f>LOG(Table1_1[[#This Row],[PFDoS]])</f>
        <v>-0.58586263781552328</v>
      </c>
      <c r="V142">
        <f>LOG(Table1_1[[#This Row],[Cl-PFOS]])</f>
        <v>-0.83120797968581828</v>
      </c>
      <c r="W142">
        <f>LOG(Table1_1[[#This Row],[PFEtCHxS]])</f>
        <v>-1.0132282657337552</v>
      </c>
      <c r="X142">
        <f>LOG(Table1_1[[#This Row],[FBSA]])</f>
        <v>0.64345267648618742</v>
      </c>
      <c r="Y142">
        <f>LOG(Table1_1[[#This Row],[FHxSA]])</f>
        <v>1.2810333672477277</v>
      </c>
      <c r="Z142">
        <f>LOG(Table1_1[[#This Row],[FOSA]])</f>
        <v>0.48713837547718647</v>
      </c>
      <c r="AA142">
        <f>LOG(Table1_1[[#This Row],[N-MeFOSA]])</f>
        <v>-1.0291883891274822</v>
      </c>
      <c r="AB142">
        <f>LOG(Table1_1[[#This Row],[N-EtFOSA]])</f>
        <v>-0.61528825706171753</v>
      </c>
      <c r="AC142">
        <f>LOG(Table1_1[[#This Row],[FOSAA]])</f>
        <v>-0.61528825706171753</v>
      </c>
      <c r="AD142">
        <f>LOG(Table1_1[[#This Row],[N-MeFOSAA]])</f>
        <v>-0.91364016932525183</v>
      </c>
      <c r="AE142">
        <f>LOG(Table1_1[[#This Row],[N-EtFOSAA]])</f>
        <v>-0.91721462968354994</v>
      </c>
      <c r="AF142">
        <f>LOG(Table1_1[[#This Row],[4:2 FTS]])</f>
        <v>-0.91721462968354994</v>
      </c>
      <c r="AG142">
        <f>LOG(Table1_1[[#This Row],[6:2 FTS]])</f>
        <v>-0.61528825706171753</v>
      </c>
      <c r="AH142">
        <f>LOG(Table1_1[[#This Row],[8:2 FTS]])</f>
        <v>-0.19178902707577791</v>
      </c>
      <c r="AI142">
        <f>LOG(Table1_1[[#This Row],[10:2 FTS]])</f>
        <v>-0.61528825706171753</v>
      </c>
      <c r="AJ142">
        <f>LOG(Table1_1[[#This Row],[3:3 FTCA]])</f>
        <v>-0.61528825706171753</v>
      </c>
      <c r="AK142">
        <f>LOG(Table1_1[[#This Row],[5:3 FTCA]])</f>
        <v>-0.91721462968354994</v>
      </c>
      <c r="AL142">
        <f>LOG(Table1_1[[#This Row],[7:3 FTCA]])</f>
        <v>4.3213737826425782E-3</v>
      </c>
      <c r="AM142">
        <f>LOG(Table1_1[[#This Row],[6:2 FTCA]])</f>
        <v>-0.61528825706171753</v>
      </c>
      <c r="AN142">
        <f>LOG(Table1_1[[#This Row],[8:2 FTCA]])</f>
        <v>-0.91721462968354994</v>
      </c>
      <c r="AO142">
        <f>LOG(Table1_1[[#This Row],[10:2 FTCA]])</f>
        <v>-0.61528825706171753</v>
      </c>
      <c r="AP142">
        <f>LOG(Table1_1[[#This Row],[6:2 FTUCA]])</f>
        <v>-1.0222763947111522</v>
      </c>
      <c r="AQ142">
        <f>LOG(Table1_1[[#This Row],[8:2 FTUCA]])</f>
        <v>-1.1366771398795441</v>
      </c>
      <c r="AR142">
        <f>LOG(Table1_1[[#This Row],[ADONA]])</f>
        <v>-0.97061622231479039</v>
      </c>
      <c r="AS142">
        <f>LOG(Table1_1[[#This Row],[9Cl-PF3ONS]])</f>
        <v>-0.61528825706171753</v>
      </c>
      <c r="AT142">
        <f>LOG(Table1_1[[#This Row],[11Cl-PF3OUdS]])</f>
        <v>-0.61528825706171753</v>
      </c>
      <c r="AU142">
        <f>LOG(Table1_1[[#This Row],[HFPO-DA]])</f>
        <v>-0.75945075171740029</v>
      </c>
      <c r="AV142">
        <f>LOG(Table1_1[[#This Row],[6:2 diPAP]])</f>
        <v>-0.61528825706171753</v>
      </c>
      <c r="AW142">
        <f>LOG(Table1_1[[#This Row],[8:2 diPAP]])</f>
        <v>-0.61528825706171753</v>
      </c>
      <c r="AX142">
        <f>LOG(Table1_1[[#This Row],[diSAmPAP]])</f>
        <v>-0.61528825706171753</v>
      </c>
    </row>
    <row r="143" spans="1:50">
      <c r="A143">
        <f>LOG(Table1_1[[#This Row],[PFBA]])</f>
        <v>9.1666957595684564E-2</v>
      </c>
      <c r="B143">
        <f>LOG(Table1_1[[#This Row],[PFPeA]])</f>
        <v>-0.36001575195841146</v>
      </c>
      <c r="C143">
        <f>LOG(Table1_1[[#This Row],[PFHxA]])</f>
        <v>-0.4762535331884355</v>
      </c>
      <c r="D143">
        <f>LOG(Table1_1[[#This Row],[PFHpA]])</f>
        <v>-0.20760831050174613</v>
      </c>
      <c r="E143">
        <f>LOG(Table1_1[[#This Row],[PFOA]])</f>
        <v>-0.6064247967304125</v>
      </c>
      <c r="F143">
        <f>LOG(Table1_1[[#This Row],[PFNA]])</f>
        <v>9.1666957595684564E-2</v>
      </c>
      <c r="G143">
        <f>LOG(Table1_1[[#This Row],[PFDA]])</f>
        <v>1.0827853703164501</v>
      </c>
      <c r="H143">
        <f>LOG(Table1_1[[#This Row],[PFUnA]])</f>
        <v>1.320146286111054</v>
      </c>
      <c r="I143">
        <f>LOG(Table1_1[[#This Row],[PFDoA]])</f>
        <v>1.6580113966571124</v>
      </c>
      <c r="J143">
        <f>LOG(Table1_1[[#This Row],[PFTrDA]])</f>
        <v>1.1875207208364631</v>
      </c>
      <c r="K143">
        <f>LOG(Table1_1[[#This Row],[PFTeDA]])</f>
        <v>1.5514499979728751</v>
      </c>
      <c r="L143">
        <f>LOG(Table1_1[[#This Row],[PFHxDA]])</f>
        <v>-0.13371266091580511</v>
      </c>
      <c r="M143">
        <f>LOG(Table1_1[[#This Row],[PFPrS]])</f>
        <v>-0.20760831050174613</v>
      </c>
      <c r="N143">
        <f>LOG(Table1_1[[#This Row],[PFBS]])</f>
        <v>9.1666957595684564E-2</v>
      </c>
      <c r="O143">
        <f>LOG(Table1_1[[#This Row],[PFPeS]])</f>
        <v>-0.18375870000821692</v>
      </c>
      <c r="P143">
        <f>LOG(Table1_1[[#This Row],[PFHxS]])</f>
        <v>1.3180633349627615</v>
      </c>
      <c r="Q143">
        <f>LOG(Table1_1[[#This Row],[PFHpS]])</f>
        <v>0.51454775266028607</v>
      </c>
      <c r="R143">
        <f>LOG(Table1_1[[#This Row],[PFOS]])</f>
        <v>3.4913616938342726</v>
      </c>
      <c r="S143">
        <f>LOG(Table1_1[[#This Row],[PFNS]])</f>
        <v>0.50242711998443268</v>
      </c>
      <c r="T143">
        <f>LOG(Table1_1[[#This Row],[PFDS]])</f>
        <v>0.42324587393680785</v>
      </c>
      <c r="U143">
        <f>LOG(Table1_1[[#This Row],[PFDoS]])</f>
        <v>0.12221587827282664</v>
      </c>
      <c r="V143">
        <f>LOG(Table1_1[[#This Row],[Cl-PFOS]])</f>
        <v>-0.12493873660829995</v>
      </c>
      <c r="W143">
        <f>LOG(Table1_1[[#This Row],[PFEtCHxS]])</f>
        <v>-0.30583370406680177</v>
      </c>
      <c r="X143">
        <f>LOG(Table1_1[[#This Row],[FBSA]])</f>
        <v>2.1271047983648077</v>
      </c>
      <c r="Y143">
        <f>LOG(Table1_1[[#This Row],[FHxSA]])</f>
        <v>2.2966651902615309</v>
      </c>
      <c r="Z143">
        <f>LOG(Table1_1[[#This Row],[FOSA]])</f>
        <v>1.4313637641589874</v>
      </c>
      <c r="AA143">
        <f>LOG(Table1_1[[#This Row],[N-MeFOSA]])</f>
        <v>-0.32239304727950685</v>
      </c>
      <c r="AB143">
        <f>LOG(Table1_1[[#This Row],[N-EtFOSA]])</f>
        <v>9.1666957595684564E-2</v>
      </c>
      <c r="AC143">
        <f>LOG(Table1_1[[#This Row],[FOSAA]])</f>
        <v>9.1666957595684564E-2</v>
      </c>
      <c r="AD143">
        <f>LOG(Table1_1[[#This Row],[N-MeFOSAA]])</f>
        <v>-0.20760831050174613</v>
      </c>
      <c r="AE143">
        <f>LOG(Table1_1[[#This Row],[N-EtFOSAA]])</f>
        <v>-0.20760831050174613</v>
      </c>
      <c r="AF143">
        <f>LOG(Table1_1[[#This Row],[4:2 FTS]])</f>
        <v>-0.20760831050174613</v>
      </c>
      <c r="AG143">
        <f>LOG(Table1_1[[#This Row],[6:2 FTS]])</f>
        <v>-0.20760831050174613</v>
      </c>
      <c r="AH143">
        <f>LOG(Table1_1[[#This Row],[8:2 FTS]])</f>
        <v>0.85430604180108061</v>
      </c>
      <c r="AI143">
        <f>LOG(Table1_1[[#This Row],[10:2 FTS]])</f>
        <v>0.39357520326958756</v>
      </c>
      <c r="AJ143">
        <f>LOG(Table1_1[[#This Row],[3:3 FTCA]])</f>
        <v>9.1666957595684564E-2</v>
      </c>
      <c r="AK143">
        <f>LOG(Table1_1[[#This Row],[5:3 FTCA]])</f>
        <v>-0.20760831050174613</v>
      </c>
      <c r="AL143">
        <f>LOG(Table1_1[[#This Row],[7:3 FTCA]])</f>
        <v>9.1666957595684564E-2</v>
      </c>
      <c r="AM143">
        <f>LOG(Table1_1[[#This Row],[6:2 FTCA]])</f>
        <v>9.1666957595684564E-2</v>
      </c>
      <c r="AN143">
        <f>LOG(Table1_1[[#This Row],[8:2 FTCA]])</f>
        <v>-0.20760831050174613</v>
      </c>
      <c r="AO143">
        <f>LOG(Table1_1[[#This Row],[10:2 FTCA]])</f>
        <v>9.1666957595684564E-2</v>
      </c>
      <c r="AP143">
        <f>LOG(Table1_1[[#This Row],[6:2 FTUCA]])</f>
        <v>-0.31381076575597633</v>
      </c>
      <c r="AQ143">
        <f>LOG(Table1_1[[#This Row],[8:2 FTUCA]])</f>
        <v>-0.42770939384858242</v>
      </c>
      <c r="AR143">
        <f>LOG(Table1_1[[#This Row],[ADONA]])</f>
        <v>-0.2636034977233575</v>
      </c>
      <c r="AS143">
        <f>LOG(Table1_1[[#This Row],[9Cl-PF3ONS]])</f>
        <v>9.1666957595684564E-2</v>
      </c>
      <c r="AT143">
        <f>LOG(Table1_1[[#This Row],[11Cl-PF3OUdS]])</f>
        <v>9.1666957595684564E-2</v>
      </c>
      <c r="AU143">
        <f>LOG(Table1_1[[#This Row],[HFPO-DA]])</f>
        <v>-5.305672930217456E-2</v>
      </c>
      <c r="AV143">
        <f>LOG(Table1_1[[#This Row],[6:2 diPAP]])</f>
        <v>9.1666957595684564E-2</v>
      </c>
      <c r="AW143">
        <f>LOG(Table1_1[[#This Row],[8:2 diPAP]])</f>
        <v>9.1666957595684564E-2</v>
      </c>
      <c r="AX143">
        <f>LOG(Table1_1[[#This Row],[diSAmPAP]])</f>
        <v>9.1666957595684564E-2</v>
      </c>
    </row>
    <row r="144" spans="1:50">
      <c r="A144">
        <f>LOG(Table1_1[[#This Row],[PFBA]])</f>
        <v>-0.63078414258985716</v>
      </c>
      <c r="B144">
        <f>LOG(Table1_1[[#This Row],[PFPeA]])</f>
        <v>-1.083546051450075</v>
      </c>
      <c r="C144">
        <f>LOG(Table1_1[[#This Row],[PFHxA]])</f>
        <v>-0.89790947448816327</v>
      </c>
      <c r="D144">
        <f>LOG(Table1_1[[#This Row],[PFHpA]])</f>
        <v>-0.63078414258985716</v>
      </c>
      <c r="E144">
        <f>LOG(Table1_1[[#This Row],[PFOA]])</f>
        <v>-0.68824613894424569</v>
      </c>
      <c r="F144">
        <f>LOG(Table1_1[[#This Row],[PFNA]])</f>
        <v>-0.63078414258985716</v>
      </c>
      <c r="G144">
        <f>LOG(Table1_1[[#This Row],[PFDA]])</f>
        <v>0.27415784926367981</v>
      </c>
      <c r="H144">
        <f>LOG(Table1_1[[#This Row],[PFUnA]])</f>
        <v>0.48000694295715063</v>
      </c>
      <c r="I144">
        <f>LOG(Table1_1[[#This Row],[PFDoA]])</f>
        <v>0.83442070368153254</v>
      </c>
      <c r="J144">
        <f>LOG(Table1_1[[#This Row],[PFTrDA]])</f>
        <v>0.48995847942483461</v>
      </c>
      <c r="K144">
        <f>LOG(Table1_1[[#This Row],[PFTeDA]])</f>
        <v>0.6444385894678385</v>
      </c>
      <c r="L144">
        <f>LOG(Table1_1[[#This Row],[PFHxDA]])</f>
        <v>-0.85542579239038363</v>
      </c>
      <c r="M144">
        <f>LOG(Table1_1[[#This Row],[PFPrS]])</f>
        <v>-0.9318141382538383</v>
      </c>
      <c r="N144">
        <f>LOG(Table1_1[[#This Row],[PFBS]])</f>
        <v>-0.63078414258985716</v>
      </c>
      <c r="O144">
        <f>LOG(Table1_1[[#This Row],[PFPeS]])</f>
        <v>-0.90657831483776496</v>
      </c>
      <c r="P144">
        <f>LOG(Table1_1[[#This Row],[PFHxS]])</f>
        <v>0.64147411050409953</v>
      </c>
      <c r="Q144">
        <f>LOG(Table1_1[[#This Row],[PFHpS]])</f>
        <v>0.10037054511756291</v>
      </c>
      <c r="R144">
        <f>LOG(Table1_1[[#This Row],[PFOS]])</f>
        <v>2.6364878963533656</v>
      </c>
      <c r="S144">
        <f>LOG(Table1_1[[#This Row],[PFNS]])</f>
        <v>6.445798922691845E-2</v>
      </c>
      <c r="T144">
        <f>LOG(Table1_1[[#This Row],[PFDS]])</f>
        <v>8.6001717619175692E-3</v>
      </c>
      <c r="U144">
        <f>LOG(Table1_1[[#This Row],[PFDoS]])</f>
        <v>-0.60119226979673546</v>
      </c>
      <c r="V144">
        <f>LOG(Table1_1[[#This Row],[Cl-PFOS]])</f>
        <v>-0.84618513565547104</v>
      </c>
      <c r="W144">
        <f>LOG(Table1_1[[#This Row],[PFEtCHxS]])</f>
        <v>-1.0291883891274822</v>
      </c>
      <c r="X144">
        <f>LOG(Table1_1[[#This Row],[FBSA]])</f>
        <v>1.3560258571931227</v>
      </c>
      <c r="Y144">
        <f>LOG(Table1_1[[#This Row],[FHxSA]])</f>
        <v>1.8041394323353503</v>
      </c>
      <c r="Z144">
        <f>LOG(Table1_1[[#This Row],[FOSA]])</f>
        <v>0.90741136077458617</v>
      </c>
      <c r="AA144">
        <f>LOG(Table1_1[[#This Row],[N-MeFOSA]])</f>
        <v>-1.0457574905606752</v>
      </c>
      <c r="AB144">
        <f>LOG(Table1_1[[#This Row],[N-EtFOSA]])</f>
        <v>-0.63078414258985716</v>
      </c>
      <c r="AC144">
        <f>LOG(Table1_1[[#This Row],[FOSAA]])</f>
        <v>-0.63078414258985716</v>
      </c>
      <c r="AD144">
        <f>LOG(Table1_1[[#This Row],[N-MeFOSAA]])</f>
        <v>-0.92811799269387463</v>
      </c>
      <c r="AE144">
        <f>LOG(Table1_1[[#This Row],[N-EtFOSAA]])</f>
        <v>-0.9318141382538383</v>
      </c>
      <c r="AF144">
        <f>LOG(Table1_1[[#This Row],[4:2 FTS]])</f>
        <v>-0.9318141382538383</v>
      </c>
      <c r="AG144">
        <f>LOG(Table1_1[[#This Row],[6:2 FTS]])</f>
        <v>-0.9318141382538383</v>
      </c>
      <c r="AH144">
        <f>LOG(Table1_1[[#This Row],[8:2 FTS]])</f>
        <v>-0.14086170270546919</v>
      </c>
      <c r="AI144">
        <f>LOG(Table1_1[[#This Row],[10:2 FTS]])</f>
        <v>-0.63078414258985716</v>
      </c>
      <c r="AJ144">
        <f>LOG(Table1_1[[#This Row],[3:3 FTCA]])</f>
        <v>-0.63078414258985716</v>
      </c>
      <c r="AK144">
        <f>LOG(Table1_1[[#This Row],[5:3 FTCA]])</f>
        <v>-0.63078414258985716</v>
      </c>
      <c r="AL144">
        <f>LOG(Table1_1[[#This Row],[7:3 FTCA]])</f>
        <v>0.32837960343873768</v>
      </c>
      <c r="AM144">
        <f>LOG(Table1_1[[#This Row],[6:2 FTCA]])</f>
        <v>-0.63078414258985716</v>
      </c>
      <c r="AN144">
        <f>LOG(Table1_1[[#This Row],[8:2 FTCA]])</f>
        <v>-0.9318141382538383</v>
      </c>
      <c r="AO144">
        <f>LOG(Table1_1[[#This Row],[10:2 FTCA]])</f>
        <v>-0.63078414258985716</v>
      </c>
      <c r="AP144">
        <f>LOG(Table1_1[[#This Row],[6:2 FTUCA]])</f>
        <v>-1.0362121726544447</v>
      </c>
      <c r="AQ144">
        <f>LOG(Table1_1[[#This Row],[8:2 FTUCA]])</f>
        <v>-1.1518108830086013</v>
      </c>
      <c r="AR144">
        <f>LOG(Table1_1[[#This Row],[ADONA]])</f>
        <v>-0.98505965020706343</v>
      </c>
      <c r="AS144">
        <f>LOG(Table1_1[[#This Row],[9Cl-PF3ONS]])</f>
        <v>-0.63078414258985716</v>
      </c>
      <c r="AT144">
        <f>LOG(Table1_1[[#This Row],[11Cl-PF3OUdS]])</f>
        <v>-0.63078414258985716</v>
      </c>
      <c r="AU144">
        <f>LOG(Table1_1[[#This Row],[HFPO-DA]])</f>
        <v>-0.77469071827413716</v>
      </c>
      <c r="AV144">
        <f>LOG(Table1_1[[#This Row],[6:2 diPAP]])</f>
        <v>-0.63078414258985716</v>
      </c>
      <c r="AW144">
        <f>LOG(Table1_1[[#This Row],[8:2 diPAP]])</f>
        <v>-0.63078414258985716</v>
      </c>
      <c r="AX144">
        <f>LOG(Table1_1[[#This Row],[diSAmPAP]])</f>
        <v>-0.63078414258985716</v>
      </c>
    </row>
    <row r="145" spans="1:50">
      <c r="A145">
        <f>LOG(Table1_1[[#This Row],[PFBA]])</f>
        <v>-0.67468962828893886</v>
      </c>
      <c r="B145">
        <f>LOG(Table1_1[[#This Row],[PFPeA]])</f>
        <v>-1.1278437272517072</v>
      </c>
      <c r="C145">
        <f>LOG(Table1_1[[#This Row],[PFHxA]])</f>
        <v>-0.57348873863542471</v>
      </c>
      <c r="D145">
        <f>LOG(Table1_1[[#This Row],[PFHpA]])</f>
        <v>-0.97469413473522981</v>
      </c>
      <c r="E145">
        <f>LOG(Table1_1[[#This Row],[PFOA]])</f>
        <v>-0.50031291738159622</v>
      </c>
      <c r="F145">
        <f>LOG(Table1_1[[#This Row],[PFNA]])</f>
        <v>-0.97469413473522981</v>
      </c>
      <c r="G145">
        <f>LOG(Table1_1[[#This Row],[PFDA]])</f>
        <v>0.77670118398841093</v>
      </c>
      <c r="H145">
        <f>LOG(Table1_1[[#This Row],[PFUnA]])</f>
        <v>0.85612444424230028</v>
      </c>
      <c r="I145">
        <f>LOG(Table1_1[[#This Row],[PFDoA]])</f>
        <v>1.3617278360175928</v>
      </c>
      <c r="J145">
        <f>LOG(Table1_1[[#This Row],[PFTrDA]])</f>
        <v>0.57287160220048017</v>
      </c>
      <c r="K145">
        <f>LOG(Table1_1[[#This Row],[PFTeDA]])</f>
        <v>1.2201080880400552</v>
      </c>
      <c r="L145">
        <f>LOG(Table1_1[[#This Row],[PFHxDA]])</f>
        <v>-0.89962945488243706</v>
      </c>
      <c r="M145">
        <f>LOG(Table1_1[[#This Row],[PFPrS]])</f>
        <v>-0.97469413473522981</v>
      </c>
      <c r="N145">
        <f>LOG(Table1_1[[#This Row],[PFBS]])</f>
        <v>-0.97469413473522981</v>
      </c>
      <c r="O145">
        <f>LOG(Table1_1[[#This Row],[PFPeS]])</f>
        <v>-0.9507819773298184</v>
      </c>
      <c r="P145">
        <f>LOG(Table1_1[[#This Row],[PFHxS]])</f>
        <v>0.78461729263287538</v>
      </c>
      <c r="Q145">
        <f>LOG(Table1_1[[#This Row],[PFHpS]])</f>
        <v>8.6001717619175692E-3</v>
      </c>
      <c r="R145">
        <f>LOG(Table1_1[[#This Row],[PFOS]])</f>
        <v>2.8286598965353198</v>
      </c>
      <c r="S145">
        <f>LOG(Table1_1[[#This Row],[PFNS]])</f>
        <v>0.15836249209524964</v>
      </c>
      <c r="T145">
        <f>LOG(Table1_1[[#This Row],[PFDS]])</f>
        <v>8.6359830674748214E-2</v>
      </c>
      <c r="U145">
        <f>LOG(Table1_1[[#This Row],[PFDoS]])</f>
        <v>-0.64493179365114928</v>
      </c>
      <c r="V145">
        <f>LOG(Table1_1[[#This Row],[Cl-PFOS]])</f>
        <v>-0.89109687233268664</v>
      </c>
      <c r="W145">
        <f>LOG(Table1_1[[#This Row],[PFEtCHxS]])</f>
        <v>-1.0731432910503076</v>
      </c>
      <c r="X145">
        <f>LOG(Table1_1[[#This Row],[FBSA]])</f>
        <v>1.7596678446896306</v>
      </c>
      <c r="Y145">
        <f>LOG(Table1_1[[#This Row],[FHxSA]])</f>
        <v>1.8481891169913987</v>
      </c>
      <c r="Z145">
        <f>LOG(Table1_1[[#This Row],[FOSA]])</f>
        <v>0.99122607569249488</v>
      </c>
      <c r="AA145">
        <f>LOG(Table1_1[[#This Row],[N-MeFOSA]])</f>
        <v>-1.0888423912600234</v>
      </c>
      <c r="AB145">
        <f>LOG(Table1_1[[#This Row],[N-EtFOSA]])</f>
        <v>-0.67468962828893886</v>
      </c>
      <c r="AC145">
        <f>LOG(Table1_1[[#This Row],[FOSAA]])</f>
        <v>-0.67468962828893886</v>
      </c>
      <c r="AD145">
        <f>LOG(Table1_1[[#This Row],[N-MeFOSAA]])</f>
        <v>-0.97265039222524352</v>
      </c>
      <c r="AE145">
        <f>LOG(Table1_1[[#This Row],[N-EtFOSAA]])</f>
        <v>-0.97469413473522981</v>
      </c>
      <c r="AF145">
        <f>LOG(Table1_1[[#This Row],[4:2 FTS]])</f>
        <v>-0.97469413473522981</v>
      </c>
      <c r="AG145">
        <f>LOG(Table1_1[[#This Row],[6:2 FTS]])</f>
        <v>-0.67468962828893886</v>
      </c>
      <c r="AH145">
        <f>LOG(Table1_1[[#This Row],[8:2 FTS]])</f>
        <v>0.44090908206521767</v>
      </c>
      <c r="AI145">
        <f>LOG(Table1_1[[#This Row],[10:2 FTS]])</f>
        <v>-0.67468962828893886</v>
      </c>
      <c r="AJ145">
        <f>LOG(Table1_1[[#This Row],[3:3 FTCA]])</f>
        <v>-0.67468962828893886</v>
      </c>
      <c r="AK145">
        <f>LOG(Table1_1[[#This Row],[5:3 FTCA]])</f>
        <v>-0.97469413473522981</v>
      </c>
      <c r="AL145">
        <f>LOG(Table1_1[[#This Row],[7:3 FTCA]])</f>
        <v>0.37657695705651195</v>
      </c>
      <c r="AM145">
        <f>LOG(Table1_1[[#This Row],[6:2 FTCA]])</f>
        <v>-0.67468962828893886</v>
      </c>
      <c r="AN145">
        <f>LOG(Table1_1[[#This Row],[8:2 FTCA]])</f>
        <v>-0.97469413473522981</v>
      </c>
      <c r="AO145">
        <f>LOG(Table1_1[[#This Row],[10:2 FTCA]])</f>
        <v>-0.67468962828893886</v>
      </c>
      <c r="AP145">
        <f>LOG(Table1_1[[#This Row],[6:2 FTUCA]])</f>
        <v>-1.080921907623926</v>
      </c>
      <c r="AQ145">
        <f>LOG(Table1_1[[#This Row],[8:2 FTUCA]])</f>
        <v>-1.1938200260161129</v>
      </c>
      <c r="AR145">
        <f>LOG(Table1_1[[#This Row],[ADONA]])</f>
        <v>-1.0291883891274822</v>
      </c>
      <c r="AS145">
        <f>LOG(Table1_1[[#This Row],[9Cl-PF3ONS]])</f>
        <v>-0.67468962828893886</v>
      </c>
      <c r="AT145">
        <f>LOG(Table1_1[[#This Row],[11Cl-PF3OUdS]])</f>
        <v>-0.67468962828893886</v>
      </c>
      <c r="AU145">
        <f>LOG(Table1_1[[#This Row],[HFPO-DA]])</f>
        <v>-0.81815641205522749</v>
      </c>
      <c r="AV145">
        <f>LOG(Table1_1[[#This Row],[6:2 diPAP]])</f>
        <v>-0.67468962828893886</v>
      </c>
      <c r="AW145">
        <f>LOG(Table1_1[[#This Row],[8:2 diPAP]])</f>
        <v>-0.67468962828893886</v>
      </c>
      <c r="AX145">
        <f>LOG(Table1_1[[#This Row],[diSAmPAP]])</f>
        <v>-0.67468962828893886</v>
      </c>
    </row>
    <row r="146" spans="1:50">
      <c r="A146">
        <f>LOG(Table1_1[[#This Row],[PFBA]])</f>
        <v>-0.65462626944091162</v>
      </c>
      <c r="B146">
        <f>LOG(Table1_1[[#This Row],[PFPeA]])</f>
        <v>-1.1079053973095196</v>
      </c>
      <c r="C146">
        <f>LOG(Table1_1[[#This Row],[PFHxA]])</f>
        <v>-0.92263209471584351</v>
      </c>
      <c r="D146">
        <f>LOG(Table1_1[[#This Row],[PFHpA]])</f>
        <v>-0.95663772197887054</v>
      </c>
      <c r="E146">
        <f>LOG(Table1_1[[#This Row],[PFOA]])</f>
        <v>-1.3540867249661557</v>
      </c>
      <c r="F146">
        <f>LOG(Table1_1[[#This Row],[PFNA]])</f>
        <v>-0.10679324694015198</v>
      </c>
      <c r="G146">
        <f>LOG(Table1_1[[#This Row],[PFDA]])</f>
        <v>0.90363251608423767</v>
      </c>
      <c r="H146">
        <f>LOG(Table1_1[[#This Row],[PFUnA]])</f>
        <v>1.1553360374650619</v>
      </c>
      <c r="I146">
        <f>LOG(Table1_1[[#This Row],[PFDoA]])</f>
        <v>1.7201593034059568</v>
      </c>
      <c r="J146">
        <f>LOG(Table1_1[[#This Row],[PFTrDA]])</f>
        <v>1.0644579892269184</v>
      </c>
      <c r="K146">
        <f>LOG(Table1_1[[#This Row],[PFTeDA]])</f>
        <v>1.3654879848908996</v>
      </c>
      <c r="L146">
        <f>LOG(Table1_1[[#This Row],[PFHxDA]])</f>
        <v>-8.3309926200514969E-3</v>
      </c>
      <c r="M146">
        <f>LOG(Table1_1[[#This Row],[PFPrS]])</f>
        <v>-0.95663772197887054</v>
      </c>
      <c r="N146">
        <f>LOG(Table1_1[[#This Row],[PFBS]])</f>
        <v>-0.65462626944091162</v>
      </c>
      <c r="O146">
        <f>LOG(Table1_1[[#This Row],[PFPeS]])</f>
        <v>-0.92996213339224498</v>
      </c>
      <c r="P146">
        <f>LOG(Table1_1[[#This Row],[PFHxS]])</f>
        <v>1.1139433523068367</v>
      </c>
      <c r="Q146">
        <f>LOG(Table1_1[[#This Row],[PFHpS]])</f>
        <v>-0.19722627470802431</v>
      </c>
      <c r="R146">
        <f>LOG(Table1_1[[#This Row],[PFOS]])</f>
        <v>2.8267225201689921</v>
      </c>
      <c r="S146">
        <f>LOG(Table1_1[[#This Row],[PFNS]])</f>
        <v>-0.11407366019856895</v>
      </c>
      <c r="T146">
        <f>LOG(Table1_1[[#This Row],[PFDS]])</f>
        <v>-3.0507515046188267E-3</v>
      </c>
      <c r="U146">
        <f>LOG(Table1_1[[#This Row],[PFDoS]])</f>
        <v>-0.62525165398989613</v>
      </c>
      <c r="V146">
        <f>LOG(Table1_1[[#This Row],[Cl-PFOS]])</f>
        <v>-0.87127771566157319</v>
      </c>
      <c r="W146">
        <f>LOG(Table1_1[[#This Row],[PFEtCHxS]])</f>
        <v>-1.0530567293021746</v>
      </c>
      <c r="X146">
        <f>LOG(Table1_1[[#This Row],[FBSA]])</f>
        <v>1.4727564493172123</v>
      </c>
      <c r="Y146">
        <f>LOG(Table1_1[[#This Row],[FHxSA]])</f>
        <v>1.5065050324048721</v>
      </c>
      <c r="Z146">
        <f>LOG(Table1_1[[#This Row],[FOSA]])</f>
        <v>1.0899051114393981</v>
      </c>
      <c r="AA146">
        <f>LOG(Table1_1[[#This Row],[N-MeFOSA]])</f>
        <v>-1.0705810742857071</v>
      </c>
      <c r="AB146">
        <f>LOG(Table1_1[[#This Row],[N-EtFOSA]])</f>
        <v>-0.65462626944091162</v>
      </c>
      <c r="AC146">
        <f>LOG(Table1_1[[#This Row],[FOSAA]])</f>
        <v>-0.65462626944091162</v>
      </c>
      <c r="AD146">
        <f>LOG(Table1_1[[#This Row],[N-MeFOSAA]])</f>
        <v>-0.95272513261582048</v>
      </c>
      <c r="AE146">
        <f>LOG(Table1_1[[#This Row],[N-EtFOSAA]])</f>
        <v>-0.95663772197887054</v>
      </c>
      <c r="AF146">
        <f>LOG(Table1_1[[#This Row],[4:2 FTS]])</f>
        <v>-0.95663772197887054</v>
      </c>
      <c r="AG146">
        <f>LOG(Table1_1[[#This Row],[6:2 FTS]])</f>
        <v>-0.95663772197887054</v>
      </c>
      <c r="AH146">
        <f>LOG(Table1_1[[#This Row],[8:2 FTS]])</f>
        <v>0.54900326202578786</v>
      </c>
      <c r="AI146">
        <f>LOG(Table1_1[[#This Row],[10:2 FTS]])</f>
        <v>-0.65462626944091162</v>
      </c>
      <c r="AJ146">
        <f>LOG(Table1_1[[#This Row],[3:3 FTCA]])</f>
        <v>-0.65462626944091162</v>
      </c>
      <c r="AK146">
        <f>LOG(Table1_1[[#This Row],[5:3 FTCA]])</f>
        <v>-0.65462626944091162</v>
      </c>
      <c r="AL146">
        <f>LOG(Table1_1[[#This Row],[7:3 FTCA]])</f>
        <v>-0.65462626944091162</v>
      </c>
      <c r="AM146">
        <f>LOG(Table1_1[[#This Row],[6:2 FTCA]])</f>
        <v>-0.65462626944091162</v>
      </c>
      <c r="AN146">
        <f>LOG(Table1_1[[#This Row],[8:2 FTCA]])</f>
        <v>-0.95663772197887054</v>
      </c>
      <c r="AO146">
        <f>LOG(Table1_1[[#This Row],[10:2 FTCA]])</f>
        <v>-0.65462626944091162</v>
      </c>
      <c r="AP146">
        <f>LOG(Table1_1[[#This Row],[6:2 FTUCA]])</f>
        <v>-1.0604807473813815</v>
      </c>
      <c r="AQ146">
        <f>LOG(Table1_1[[#This Row],[8:2 FTUCA]])</f>
        <v>-1.1739251972991736</v>
      </c>
      <c r="AR146">
        <f>LOG(Table1_1[[#This Row],[ADONA]])</f>
        <v>-1.0109953843014632</v>
      </c>
      <c r="AS146">
        <f>LOG(Table1_1[[#This Row],[9Cl-PF3ONS]])</f>
        <v>-0.65462626944091162</v>
      </c>
      <c r="AT146">
        <f>LOG(Table1_1[[#This Row],[11Cl-PF3OUdS]])</f>
        <v>-0.65462626944091162</v>
      </c>
      <c r="AU146">
        <f>LOG(Table1_1[[#This Row],[HFPO-DA]])</f>
        <v>-0.79860287567954846</v>
      </c>
      <c r="AV146">
        <f>LOG(Table1_1[[#This Row],[6:2 diPAP]])</f>
        <v>-0.65462626944091162</v>
      </c>
      <c r="AW146">
        <f>LOG(Table1_1[[#This Row],[8:2 diPAP]])</f>
        <v>-0.65462626944091162</v>
      </c>
      <c r="AX146">
        <f>LOG(Table1_1[[#This Row],[diSAmPAP]])</f>
        <v>-0.65462626944091162</v>
      </c>
    </row>
    <row r="147" spans="1:50">
      <c r="A147">
        <f>LOG(Table1_1[[#This Row],[PFBA]])</f>
        <v>-0.4934949675951279</v>
      </c>
      <c r="B147">
        <f>LOG(Table1_1[[#This Row],[PFPeA]])</f>
        <v>-0.94500413847085851</v>
      </c>
      <c r="C147">
        <f>LOG(Table1_1[[#This Row],[PFHxA]])</f>
        <v>-0.76070052087310747</v>
      </c>
      <c r="D147">
        <f>LOG(Table1_1[[#This Row],[PFHpA]])</f>
        <v>-0.79452496325910915</v>
      </c>
      <c r="E147">
        <f>LOG(Table1_1[[#This Row],[PFOA]])</f>
        <v>-1.1938200260161129</v>
      </c>
      <c r="F147">
        <f>LOG(Table1_1[[#This Row],[PFNA]])</f>
        <v>-0.79452496325910915</v>
      </c>
      <c r="G147">
        <f>LOG(Table1_1[[#This Row],[PFDA]])</f>
        <v>1.5477747053878226</v>
      </c>
      <c r="H147">
        <f>LOG(Table1_1[[#This Row],[PFUnA]])</f>
        <v>1.6009728956867482</v>
      </c>
      <c r="I147">
        <f>LOG(Table1_1[[#This Row],[PFDoA]])</f>
        <v>1.6364878963533653</v>
      </c>
      <c r="J147">
        <f>LOG(Table1_1[[#This Row],[PFTrDA]])</f>
        <v>1.5514499979728751</v>
      </c>
      <c r="K147">
        <f>LOG(Table1_1[[#This Row],[PFTeDA]])</f>
        <v>1.5809249756756194</v>
      </c>
      <c r="L147">
        <f>LOG(Table1_1[[#This Row],[PFHxDA]])</f>
        <v>-0.7178312216953584</v>
      </c>
      <c r="M147">
        <f>LOG(Table1_1[[#This Row],[PFPrS]])</f>
        <v>-0.79452496325910915</v>
      </c>
      <c r="N147">
        <f>LOG(Table1_1[[#This Row],[PFBS]])</f>
        <v>-0.4934949675951279</v>
      </c>
      <c r="O147">
        <f>LOG(Table1_1[[#This Row],[PFPeS]])</f>
        <v>-0.44129142946683431</v>
      </c>
      <c r="P147">
        <f>LOG(Table1_1[[#This Row],[PFHxS]])</f>
        <v>-1.0680338852718274</v>
      </c>
      <c r="Q147">
        <f>LOG(Table1_1[[#This Row],[PFHpS]])</f>
        <v>-1.024568191490737</v>
      </c>
      <c r="R147">
        <f>LOG(Table1_1[[#This Row],[PFOS]])</f>
        <v>3.6875289612146345</v>
      </c>
      <c r="S147">
        <f>LOG(Table1_1[[#This Row],[PFNS]])</f>
        <v>0.1903316981702915</v>
      </c>
      <c r="T147">
        <f>LOG(Table1_1[[#This Row],[PFDS]])</f>
        <v>6.069784035361165E-2</v>
      </c>
      <c r="U147">
        <f>LOG(Table1_1[[#This Row],[PFDoS]])</f>
        <v>7.9181246047624818E-2</v>
      </c>
      <c r="V147">
        <f>LOG(Table1_1[[#This Row],[Cl-PFOS]])</f>
        <v>-0.70996538863748193</v>
      </c>
      <c r="W147">
        <f>LOG(Table1_1[[#This Row],[PFEtCHxS]])</f>
        <v>-1.1938200260161129</v>
      </c>
      <c r="X147">
        <f>LOG(Table1_1[[#This Row],[FBSA]])</f>
        <v>2.869818207979328</v>
      </c>
      <c r="Y147">
        <f>LOG(Table1_1[[#This Row],[FHxSA]])</f>
        <v>1.8796692056320534</v>
      </c>
      <c r="Z147">
        <f>LOG(Table1_1[[#This Row],[FOSA]])</f>
        <v>1.8382192219076259</v>
      </c>
      <c r="AA147">
        <f>LOG(Table1_1[[#This Row],[N-MeFOSA]])</f>
        <v>-0.90833304240431545</v>
      </c>
      <c r="AB147">
        <f>LOG(Table1_1[[#This Row],[N-EtFOSA]])</f>
        <v>-0.4934949675951279</v>
      </c>
      <c r="AC147">
        <f>LOG(Table1_1[[#This Row],[FOSAA]])</f>
        <v>-0.4934949675951279</v>
      </c>
      <c r="AD147">
        <f>LOG(Table1_1[[#This Row],[N-MeFOSAA]])</f>
        <v>-0.79182747333287828</v>
      </c>
      <c r="AE147">
        <f>LOG(Table1_1[[#This Row],[N-EtFOSAA]])</f>
        <v>-0.79452496325910915</v>
      </c>
      <c r="AF147">
        <f>LOG(Table1_1[[#This Row],[4:2 FTS]])</f>
        <v>-0.79452496325910915</v>
      </c>
      <c r="AG147">
        <f>LOG(Table1_1[[#This Row],[6:2 FTS]])</f>
        <v>-0.79452496325910915</v>
      </c>
      <c r="AH147">
        <f>LOG(Table1_1[[#This Row],[8:2 FTS]])</f>
        <v>1.1931245983544616</v>
      </c>
      <c r="AI147">
        <f>LOG(Table1_1[[#This Row],[10:2 FTS]])</f>
        <v>0.13987908640123647</v>
      </c>
      <c r="AJ147">
        <f>LOG(Table1_1[[#This Row],[3:3 FTCA]])</f>
        <v>-0.4934949675951279</v>
      </c>
      <c r="AK147">
        <f>LOG(Table1_1[[#This Row],[5:3 FTCA]])</f>
        <v>0.5976951859255123</v>
      </c>
      <c r="AL147">
        <f>LOG(Table1_1[[#This Row],[7:3 FTCA]])</f>
        <v>-0.4934949675951279</v>
      </c>
      <c r="AM147">
        <f>LOG(Table1_1[[#This Row],[6:2 FTCA]])</f>
        <v>-0.4934949675951279</v>
      </c>
      <c r="AN147">
        <f>LOG(Table1_1[[#This Row],[8:2 FTCA]])</f>
        <v>-0.79452496325910915</v>
      </c>
      <c r="AO147">
        <f>LOG(Table1_1[[#This Row],[10:2 FTCA]])</f>
        <v>-0.4934949675951279</v>
      </c>
      <c r="AP147">
        <f>LOG(Table1_1[[#This Row],[6:2 FTUCA]])</f>
        <v>-0.89962945488243706</v>
      </c>
      <c r="AQ147">
        <f>LOG(Table1_1[[#This Row],[8:2 FTUCA]])</f>
        <v>-1.0132282657337552</v>
      </c>
      <c r="AR147">
        <f>LOG(Table1_1[[#This Row],[ADONA]])</f>
        <v>-0.84924356013969104</v>
      </c>
      <c r="AS147">
        <f>LOG(Table1_1[[#This Row],[9Cl-PF3ONS]])</f>
        <v>-0.4934949675951279</v>
      </c>
      <c r="AT147">
        <f>LOG(Table1_1[[#This Row],[11Cl-PF3OUdS]])</f>
        <v>-0.4934949675951279</v>
      </c>
      <c r="AU147">
        <f>LOG(Table1_1[[#This Row],[HFPO-DA]])</f>
        <v>-0.63732907027433305</v>
      </c>
      <c r="AV147">
        <f>LOG(Table1_1[[#This Row],[6:2 diPAP]])</f>
        <v>-0.4934949675951279</v>
      </c>
      <c r="AW147">
        <f>LOG(Table1_1[[#This Row],[8:2 diPAP]])</f>
        <v>-0.4934949675951279</v>
      </c>
      <c r="AX147">
        <f>LOG(Table1_1[[#This Row],[diSAmPAP]])</f>
        <v>-0.4934949675951279</v>
      </c>
    </row>
    <row r="148" spans="1:50">
      <c r="A148">
        <f>LOG(Table1_1[[#This Row],[PFBA]])</f>
        <v>-0.65757731917779372</v>
      </c>
      <c r="B148">
        <f>LOG(Table1_1[[#This Row],[PFPeA]])</f>
        <v>-1.1106982974936896</v>
      </c>
      <c r="C148">
        <f>LOG(Table1_1[[#This Row],[PFHxA]])</f>
        <v>-0.9244530386074693</v>
      </c>
      <c r="D148">
        <f>LOG(Table1_1[[#This Row],[PFHpA]])</f>
        <v>-0.65757731917779372</v>
      </c>
      <c r="E148">
        <f>LOG(Table1_1[[#This Row],[PFOA]])</f>
        <v>-0.2865094569060575</v>
      </c>
      <c r="F148">
        <f>LOG(Table1_1[[#This Row],[PFNA]])</f>
        <v>-0.95860731484177497</v>
      </c>
      <c r="G148">
        <f>LOG(Table1_1[[#This Row],[PFDA]])</f>
        <v>0.2576785748691845</v>
      </c>
      <c r="H148">
        <f>LOG(Table1_1[[#This Row],[PFUnA]])</f>
        <v>0.49136169383427269</v>
      </c>
      <c r="I148">
        <f>LOG(Table1_1[[#This Row],[PFDoA]])</f>
        <v>0.79098847508881587</v>
      </c>
      <c r="J148">
        <f>LOG(Table1_1[[#This Row],[PFTrDA]])</f>
        <v>0.57518784492766106</v>
      </c>
      <c r="K148">
        <f>LOG(Table1_1[[#This Row],[PFTeDA]])</f>
        <v>0.47567118832442967</v>
      </c>
      <c r="L148">
        <f>LOG(Table1_1[[#This Row],[PFHxDA]])</f>
        <v>-0.88272870434423567</v>
      </c>
      <c r="M148">
        <f>LOG(Table1_1[[#This Row],[PFPrS]])</f>
        <v>-0.95860731484177497</v>
      </c>
      <c r="N148">
        <f>LOG(Table1_1[[#This Row],[PFBS]])</f>
        <v>-0.65757731917779372</v>
      </c>
      <c r="O148">
        <f>LOG(Table1_1[[#This Row],[PFPeS]])</f>
        <v>-0.93367407463796215</v>
      </c>
      <c r="P148">
        <f>LOG(Table1_1[[#This Row],[PFHxS]])</f>
        <v>0.63948648926858609</v>
      </c>
      <c r="Q148">
        <f>LOG(Table1_1[[#This Row],[PFHpS]])</f>
        <v>3.342375548694973E-2</v>
      </c>
      <c r="R148">
        <f>LOG(Table1_1[[#This Row],[PFOS]])</f>
        <v>2.5611013836490559</v>
      </c>
      <c r="S148">
        <f>LOG(Table1_1[[#This Row],[PFNS]])</f>
        <v>0.17318626841227402</v>
      </c>
      <c r="T148">
        <f>LOG(Table1_1[[#This Row],[PFDS]])</f>
        <v>3.342375548694973E-2</v>
      </c>
      <c r="U148">
        <f>LOG(Table1_1[[#This Row],[PFDoS]])</f>
        <v>-0.29073003902416922</v>
      </c>
      <c r="V148">
        <f>LOG(Table1_1[[#This Row],[Cl-PFOS]])</f>
        <v>-0.87451873429940596</v>
      </c>
      <c r="W148">
        <f>LOG(Table1_1[[#This Row],[PFEtCHxS]])</f>
        <v>-1.0555173278498313</v>
      </c>
      <c r="X148">
        <f>LOG(Table1_1[[#This Row],[FBSA]])</f>
        <v>1.2201080880400552</v>
      </c>
      <c r="Y148">
        <f>LOG(Table1_1[[#This Row],[FHxSA]])</f>
        <v>1.436162647040756</v>
      </c>
      <c r="Z148">
        <f>LOG(Table1_1[[#This Row],[FOSA]])</f>
        <v>0.73559889969817993</v>
      </c>
      <c r="AA148">
        <f>LOG(Table1_1[[#This Row],[N-MeFOSA]])</f>
        <v>-1.0731432910503076</v>
      </c>
      <c r="AB148">
        <f>LOG(Table1_1[[#This Row],[N-EtFOSA]])</f>
        <v>-0.65757731917779372</v>
      </c>
      <c r="AC148">
        <f>LOG(Table1_1[[#This Row],[FOSAA]])</f>
        <v>-0.65757731917779372</v>
      </c>
      <c r="AD148">
        <f>LOG(Table1_1[[#This Row],[N-MeFOSAA]])</f>
        <v>-0.95663772197887054</v>
      </c>
      <c r="AE148">
        <f>LOG(Table1_1[[#This Row],[N-EtFOSAA]])</f>
        <v>-0.95860731484177497</v>
      </c>
      <c r="AF148">
        <f>LOG(Table1_1[[#This Row],[4:2 FTS]])</f>
        <v>-0.95860731484177497</v>
      </c>
      <c r="AG148">
        <f>LOG(Table1_1[[#This Row],[6:2 FTS]])</f>
        <v>-0.95860731484177497</v>
      </c>
      <c r="AH148">
        <f>LOG(Table1_1[[#This Row],[8:2 FTS]])</f>
        <v>-0.13966199342900631</v>
      </c>
      <c r="AI148">
        <f>LOG(Table1_1[[#This Row],[10:2 FTS]])</f>
        <v>-0.35654732351381258</v>
      </c>
      <c r="AJ148">
        <f>LOG(Table1_1[[#This Row],[3:3 FTCA]])</f>
        <v>-0.65757731917779372</v>
      </c>
      <c r="AK148">
        <f>LOG(Table1_1[[#This Row],[5:3 FTCA]])</f>
        <v>-0.65757731917779372</v>
      </c>
      <c r="AL148">
        <f>LOG(Table1_1[[#This Row],[7:3 FTCA]])</f>
        <v>0.24054924828259971</v>
      </c>
      <c r="AM148">
        <f>LOG(Table1_1[[#This Row],[6:2 FTCA]])</f>
        <v>-0.65757731917779372</v>
      </c>
      <c r="AN148">
        <f>LOG(Table1_1[[#This Row],[8:2 FTCA]])</f>
        <v>-0.95860731484177497</v>
      </c>
      <c r="AO148">
        <f>LOG(Table1_1[[#This Row],[10:2 FTCA]])</f>
        <v>-0.65757731917779372</v>
      </c>
      <c r="AP148">
        <f>LOG(Table1_1[[#This Row],[6:2 FTUCA]])</f>
        <v>-1.0629838925351858</v>
      </c>
      <c r="AQ148">
        <f>LOG(Table1_1[[#This Row],[8:2 FTUCA]])</f>
        <v>-1.1771783546968955</v>
      </c>
      <c r="AR148">
        <f>LOG(Table1_1[[#This Row],[ADONA]])</f>
        <v>-1.0132282657337552</v>
      </c>
      <c r="AS148">
        <f>LOG(Table1_1[[#This Row],[9Cl-PF3ONS]])</f>
        <v>-0.65757731917779372</v>
      </c>
      <c r="AT148">
        <f>LOG(Table1_1[[#This Row],[11Cl-PF3OUdS]])</f>
        <v>-0.65757731917779372</v>
      </c>
      <c r="AU148">
        <f>LOG(Table1_1[[#This Row],[HFPO-DA]])</f>
        <v>-0.80134291304557737</v>
      </c>
      <c r="AV148">
        <f>LOG(Table1_1[[#This Row],[6:2 diPAP]])</f>
        <v>-0.65757731917779372</v>
      </c>
      <c r="AW148">
        <f>LOG(Table1_1[[#This Row],[8:2 diPAP]])</f>
        <v>-0.65757731917779372</v>
      </c>
      <c r="AX148">
        <f>LOG(Table1_1[[#This Row],[diSAmPAP]])</f>
        <v>-0.65757731917779372</v>
      </c>
    </row>
    <row r="149" spans="1:50">
      <c r="A149">
        <f>LOG(Table1_1[[#This Row],[PFBA]])</f>
        <v>-0.96257350205937642</v>
      </c>
      <c r="B149">
        <f>LOG(Table1_1[[#This Row],[PFPeA]])</f>
        <v>-1.1135092748275182</v>
      </c>
      <c r="C149">
        <f>LOG(Table1_1[[#This Row],[PFHxA]])</f>
        <v>-1.2291479883578558</v>
      </c>
      <c r="D149">
        <f>LOG(Table1_1[[#This Row],[PFHpA]])</f>
        <v>-0.66154350639539516</v>
      </c>
      <c r="E149">
        <f>LOG(Table1_1[[#This Row],[PFOA]])</f>
        <v>-0.26841123481326129</v>
      </c>
      <c r="F149">
        <f>LOG(Table1_1[[#This Row],[PFNA]])</f>
        <v>-0.96257350205937642</v>
      </c>
      <c r="G149">
        <f>LOG(Table1_1[[#This Row],[PFDA]])</f>
        <v>0.32428245529769262</v>
      </c>
      <c r="H149">
        <f>LOG(Table1_1[[#This Row],[PFUnA]])</f>
        <v>0.66275783168157409</v>
      </c>
      <c r="I149">
        <f>LOG(Table1_1[[#This Row],[PFDoA]])</f>
        <v>0.92839585225671384</v>
      </c>
      <c r="J149">
        <f>LOG(Table1_1[[#This Row],[PFTrDA]])</f>
        <v>0.41161970596323016</v>
      </c>
      <c r="K149">
        <f>LOG(Table1_1[[#This Row],[PFTeDA]])</f>
        <v>0.98811284026835189</v>
      </c>
      <c r="L149">
        <f>LOG(Table1_1[[#This Row],[PFHxDA]])</f>
        <v>-0.88605664769316317</v>
      </c>
      <c r="M149">
        <f>LOG(Table1_1[[#This Row],[PFPrS]])</f>
        <v>-0.96257350205937642</v>
      </c>
      <c r="N149">
        <f>LOG(Table1_1[[#This Row],[PFBS]])</f>
        <v>-0.96257350205937642</v>
      </c>
      <c r="O149">
        <f>LOG(Table1_1[[#This Row],[PFPeS]])</f>
        <v>-0.93741801577183692</v>
      </c>
      <c r="P149">
        <f>LOG(Table1_1[[#This Row],[PFHxS]])</f>
        <v>1.1492191126553799</v>
      </c>
      <c r="Q149">
        <f>LOG(Table1_1[[#This Row],[PFHpS]])</f>
        <v>2.9383777685209667E-2</v>
      </c>
      <c r="R149">
        <f>LOG(Table1_1[[#This Row],[PFOS]])</f>
        <v>2.7015679850559273</v>
      </c>
      <c r="S149">
        <f>LOG(Table1_1[[#This Row],[PFNS]])</f>
        <v>0.37291200297010657</v>
      </c>
      <c r="T149">
        <f>LOG(Table1_1[[#This Row],[PFDS]])</f>
        <v>0.31175386105575426</v>
      </c>
      <c r="U149">
        <f>LOG(Table1_1[[#This Row],[PFDoS]])</f>
        <v>-0.10072681268239618</v>
      </c>
      <c r="V149">
        <f>LOG(Table1_1[[#This Row],[Cl-PFOS]])</f>
        <v>-0.54975089168063895</v>
      </c>
      <c r="W149">
        <f>LOG(Table1_1[[#This Row],[PFEtCHxS]])</f>
        <v>-1.0604807473813815</v>
      </c>
      <c r="X149">
        <f>LOG(Table1_1[[#This Row],[FBSA]])</f>
        <v>1.4517864355242902</v>
      </c>
      <c r="Y149">
        <f>LOG(Table1_1[[#This Row],[FHxSA]])</f>
        <v>1.8115750058705933</v>
      </c>
      <c r="Z149">
        <f>LOG(Table1_1[[#This Row],[FOSA]])</f>
        <v>0.98045789227610014</v>
      </c>
      <c r="AA149">
        <f>LOG(Table1_1[[#This Row],[N-MeFOSA]])</f>
        <v>-1.0757207139381184</v>
      </c>
      <c r="AB149">
        <f>LOG(Table1_1[[#This Row],[N-EtFOSA]])</f>
        <v>-0.66154350639539516</v>
      </c>
      <c r="AC149">
        <f>LOG(Table1_1[[#This Row],[FOSAA]])</f>
        <v>-0.66154350639539516</v>
      </c>
      <c r="AD149">
        <f>LOG(Table1_1[[#This Row],[N-MeFOSAA]])</f>
        <v>-0.96058588082386287</v>
      </c>
      <c r="AE149">
        <f>LOG(Table1_1[[#This Row],[N-EtFOSAA]])</f>
        <v>-0.96257350205937642</v>
      </c>
      <c r="AF149">
        <f>LOG(Table1_1[[#This Row],[4:2 FTS]])</f>
        <v>-0.96257350205937642</v>
      </c>
      <c r="AG149">
        <f>LOG(Table1_1[[#This Row],[6:2 FTS]])</f>
        <v>-0.29756946355447472</v>
      </c>
      <c r="AH149">
        <f>LOG(Table1_1[[#This Row],[8:2 FTS]])</f>
        <v>0.43136376415898736</v>
      </c>
      <c r="AI149">
        <f>LOG(Table1_1[[#This Row],[10:2 FTS]])</f>
        <v>-0.36051351073141397</v>
      </c>
      <c r="AJ149">
        <f>LOG(Table1_1[[#This Row],[3:3 FTCA]])</f>
        <v>-0.66154350639539516</v>
      </c>
      <c r="AK149">
        <f>LOG(Table1_1[[#This Row],[5:3 FTCA]])</f>
        <v>-0.96257350205937642</v>
      </c>
      <c r="AL149">
        <f>LOG(Table1_1[[#This Row],[7:3 FTCA]])</f>
        <v>0.35218251811136247</v>
      </c>
      <c r="AM149">
        <f>LOG(Table1_1[[#This Row],[6:2 FTCA]])</f>
        <v>-0.66154350639539516</v>
      </c>
      <c r="AN149">
        <f>LOG(Table1_1[[#This Row],[8:2 FTCA]])</f>
        <v>-0.96257350205937642</v>
      </c>
      <c r="AO149">
        <f>LOG(Table1_1[[#This Row],[10:2 FTCA]])</f>
        <v>-0.66154350639539516</v>
      </c>
      <c r="AP149">
        <f>LOG(Table1_1[[#This Row],[6:2 FTUCA]])</f>
        <v>-1.0680338852718274</v>
      </c>
      <c r="AQ149">
        <f>LOG(Table1_1[[#This Row],[8:2 FTUCA]])</f>
        <v>-1.1804560644581312</v>
      </c>
      <c r="AR149">
        <f>LOG(Table1_1[[#This Row],[ADONA]])</f>
        <v>-1.0177287669604316</v>
      </c>
      <c r="AS149">
        <f>LOG(Table1_1[[#This Row],[9Cl-PF3ONS]])</f>
        <v>-0.66154350639539516</v>
      </c>
      <c r="AT149">
        <f>LOG(Table1_1[[#This Row],[11Cl-PF3OUdS]])</f>
        <v>-0.66154350639539516</v>
      </c>
      <c r="AU149">
        <f>LOG(Table1_1[[#This Row],[HFPO-DA]])</f>
        <v>-0.8054856581175327</v>
      </c>
      <c r="AV149">
        <f>LOG(Table1_1[[#This Row],[6:2 diPAP]])</f>
        <v>-0.66154350639539516</v>
      </c>
      <c r="AW149">
        <f>LOG(Table1_1[[#This Row],[8:2 diPAP]])</f>
        <v>-0.66154350639539516</v>
      </c>
      <c r="AX149">
        <f>LOG(Table1_1[[#This Row],[diSAmPAP]])</f>
        <v>-0.66154350639539516</v>
      </c>
    </row>
    <row r="150" spans="1:50">
      <c r="A150">
        <f>LOG(Table1_1[[#This Row],[PFBA]])</f>
        <v>-0.6706021206389573</v>
      </c>
      <c r="B150">
        <f>LOG(Table1_1[[#This Row],[PFPeA]])</f>
        <v>-0.6706021206389573</v>
      </c>
      <c r="C150">
        <f>LOG(Table1_1[[#This Row],[PFHxA]])</f>
        <v>-0.93741801577183692</v>
      </c>
      <c r="D150">
        <f>LOG(Table1_1[[#This Row],[PFHpA]])</f>
        <v>-0.6706021206389573</v>
      </c>
      <c r="E150">
        <f>LOG(Table1_1[[#This Row],[PFOA]])</f>
        <v>-0.52724355068278772</v>
      </c>
      <c r="F150">
        <f>LOG(Table1_1[[#This Row],[PFNA]])</f>
        <v>-0.82973828460504262</v>
      </c>
      <c r="G150">
        <f>LOG(Table1_1[[#This Row],[PFDA]])</f>
        <v>0.5250448070368452</v>
      </c>
      <c r="H150">
        <f>LOG(Table1_1[[#This Row],[PFUnA]])</f>
        <v>0.74036268949424389</v>
      </c>
      <c r="I150">
        <f>LOG(Table1_1[[#This Row],[PFDoA]])</f>
        <v>1.3324384599156054</v>
      </c>
      <c r="J150">
        <f>LOG(Table1_1[[#This Row],[PFTrDA]])</f>
        <v>0.71349054309394255</v>
      </c>
      <c r="K150">
        <f>LOG(Table1_1[[#This Row],[PFTeDA]])</f>
        <v>1.3180633349627615</v>
      </c>
      <c r="L150">
        <f>LOG(Table1_1[[#This Row],[PFHxDA]])</f>
        <v>-0.59431221332722239</v>
      </c>
      <c r="M150">
        <f>LOG(Table1_1[[#This Row],[PFPrS]])</f>
        <v>-0.36957212497497616</v>
      </c>
      <c r="N150">
        <f>LOG(Table1_1[[#This Row],[PFBS]])</f>
        <v>-0.83713700667807389</v>
      </c>
      <c r="O150">
        <f>LOG(Table1_1[[#This Row],[PFPeS]])</f>
        <v>-0.94692155651658028</v>
      </c>
      <c r="P150">
        <f>LOG(Table1_1[[#This Row],[PFHxS]])</f>
        <v>0.9232440186302765</v>
      </c>
      <c r="Q150">
        <f>LOG(Table1_1[[#This Row],[PFHpS]])</f>
        <v>0.19865708695442263</v>
      </c>
      <c r="R150">
        <f>LOG(Table1_1[[#This Row],[PFOS]])</f>
        <v>2.7084209001347128</v>
      </c>
      <c r="S150">
        <f>LOG(Table1_1[[#This Row],[PFNS]])</f>
        <v>4.5322978786657475E-2</v>
      </c>
      <c r="T150">
        <f>LOG(Table1_1[[#This Row],[PFDS]])</f>
        <v>0.13672056715640679</v>
      </c>
      <c r="U150">
        <f>LOG(Table1_1[[#This Row],[PFDoS]])</f>
        <v>-0.64111379559413095</v>
      </c>
      <c r="V150">
        <f>LOG(Table1_1[[#This Row],[Cl-PFOS]])</f>
        <v>-0.88605664769316317</v>
      </c>
      <c r="W150">
        <f>LOG(Table1_1[[#This Row],[PFEtCHxS]])</f>
        <v>-1.0680338852718274</v>
      </c>
      <c r="X150">
        <f>LOG(Table1_1[[#This Row],[FBSA]])</f>
        <v>1.5390760987927767</v>
      </c>
      <c r="Y150">
        <f>LOG(Table1_1[[#This Row],[FHxSA]])</f>
        <v>1.8215135284047732</v>
      </c>
      <c r="Z150">
        <f>LOG(Table1_1[[#This Row],[FOSA]])</f>
        <v>0.83378437465647892</v>
      </c>
      <c r="AA150">
        <f>LOG(Table1_1[[#This Row],[N-MeFOSA]])</f>
        <v>-0.78383409771400692</v>
      </c>
      <c r="AB150">
        <f>LOG(Table1_1[[#This Row],[N-EtFOSA]])</f>
        <v>-0.36957212497497616</v>
      </c>
      <c r="AC150">
        <f>LOG(Table1_1[[#This Row],[FOSAA]])</f>
        <v>-0.36957212497497616</v>
      </c>
      <c r="AD150">
        <f>LOG(Table1_1[[#This Row],[N-MeFOSAA]])</f>
        <v>-0.66756154008439472</v>
      </c>
      <c r="AE150">
        <f>LOG(Table1_1[[#This Row],[N-EtFOSAA]])</f>
        <v>-0.6706021206389573</v>
      </c>
      <c r="AF150">
        <f>LOG(Table1_1[[#This Row],[4:2 FTS]])</f>
        <v>-0.6706021206389573</v>
      </c>
      <c r="AG150">
        <f>LOG(Table1_1[[#This Row],[6:2 FTS]])</f>
        <v>-0.6706021206389573</v>
      </c>
      <c r="AH150">
        <f>LOG(Table1_1[[#This Row],[8:2 FTS]])</f>
        <v>0.16136800223497488</v>
      </c>
      <c r="AI150">
        <f>LOG(Table1_1[[#This Row],[10:2 FTS]])</f>
        <v>-0.36957212497497616</v>
      </c>
      <c r="AJ150">
        <f>LOG(Table1_1[[#This Row],[3:3 FTCA]])</f>
        <v>-0.60818307638675118</v>
      </c>
      <c r="AK150">
        <f>LOG(Table1_1[[#This Row],[5:3 FTCA]])</f>
        <v>0.54654266347813107</v>
      </c>
      <c r="AL150">
        <f>LOG(Table1_1[[#This Row],[7:3 FTCA]])</f>
        <v>0.8394780473741984</v>
      </c>
      <c r="AM150">
        <f>LOG(Table1_1[[#This Row],[6:2 FTCA]])</f>
        <v>-0.36957212497497616</v>
      </c>
      <c r="AN150">
        <f>LOG(Table1_1[[#This Row],[8:2 FTCA]])</f>
        <v>-0.36957212497497616</v>
      </c>
      <c r="AO150">
        <f>LOG(Table1_1[[#This Row],[10:2 FTCA]])</f>
        <v>-0.36957212497497616</v>
      </c>
      <c r="AP150">
        <f>LOG(Table1_1[[#This Row],[6:2 FTUCA]])</f>
        <v>-0.36957212497497616</v>
      </c>
      <c r="AQ150">
        <f>LOG(Table1_1[[#This Row],[8:2 FTUCA]])</f>
        <v>-0.36957212497497616</v>
      </c>
      <c r="AR150">
        <f>LOG(Table1_1[[#This Row],[ADONA]])</f>
        <v>-0.6706021206389573</v>
      </c>
      <c r="AS150">
        <f>LOG(Table1_1[[#This Row],[9Cl-PF3ONS]])</f>
        <v>-0.36957212497497616</v>
      </c>
      <c r="AT150">
        <f>LOG(Table1_1[[#This Row],[11Cl-PF3OUdS]])</f>
        <v>-0.36957212497497616</v>
      </c>
      <c r="AU150">
        <f>LOG(Table1_1[[#This Row],[HFPO-DA]])</f>
        <v>-0.5135695211455662</v>
      </c>
      <c r="AV150">
        <f>LOG(Table1_1[[#This Row],[6:2 diPAP]])</f>
        <v>-0.36957212497497616</v>
      </c>
      <c r="AW150">
        <f>LOG(Table1_1[[#This Row],[8:2 diPAP]])</f>
        <v>-0.36957212497497616</v>
      </c>
      <c r="AX150">
        <f>LOG(Table1_1[[#This Row],[diSAmPAP]])</f>
        <v>-0.36957212497497616</v>
      </c>
    </row>
    <row r="151" spans="1:50">
      <c r="A151">
        <f>LOG(Table1_1[[#This Row],[PFBA]])</f>
        <v>-0.66454209931061581</v>
      </c>
      <c r="B151">
        <f>LOG(Table1_1[[#This Row],[PFPeA]])</f>
        <v>-0.66454209931061581</v>
      </c>
      <c r="C151">
        <f>LOG(Table1_1[[#This Row],[PFHxA]])</f>
        <v>-0.9318141382538383</v>
      </c>
      <c r="D151">
        <f>LOG(Table1_1[[#This Row],[PFHpA]])</f>
        <v>-9.7997108649270553E-2</v>
      </c>
      <c r="E151">
        <f>LOG(Table1_1[[#This Row],[PFOA]])</f>
        <v>-2.7797161620935564E-2</v>
      </c>
      <c r="F151">
        <f>LOG(Table1_1[[#This Row],[PFNA]])</f>
        <v>-0.82390874094431876</v>
      </c>
      <c r="G151">
        <f>LOG(Table1_1[[#This Row],[PFDA]])</f>
        <v>0.66745295288995399</v>
      </c>
      <c r="H151">
        <f>LOG(Table1_1[[#This Row],[PFUnA]])</f>
        <v>0.85186960072976636</v>
      </c>
      <c r="I151">
        <f>LOG(Table1_1[[#This Row],[PFDoA]])</f>
        <v>0.85247999363685634</v>
      </c>
      <c r="J151">
        <f>LOG(Table1_1[[#This Row],[PFTrDA]])</f>
        <v>0.10720996964786837</v>
      </c>
      <c r="K151">
        <f>LOG(Table1_1[[#This Row],[PFTeDA]])</f>
        <v>0.61489721603313463</v>
      </c>
      <c r="L151">
        <f>LOG(Table1_1[[#This Row],[PFHxDA]])</f>
        <v>-0.58838029403676984</v>
      </c>
      <c r="M151">
        <f>LOG(Table1_1[[#This Row],[PFPrS]])</f>
        <v>-0.36351210364663455</v>
      </c>
      <c r="N151">
        <f>LOG(Table1_1[[#This Row],[PFBS]])</f>
        <v>-0.83120797968581828</v>
      </c>
      <c r="O151">
        <f>LOG(Table1_1[[#This Row],[PFPeS]])</f>
        <v>-0.94119451332409321</v>
      </c>
      <c r="P151">
        <f>LOG(Table1_1[[#This Row],[PFHxS]])</f>
        <v>1.0453229787866574</v>
      </c>
      <c r="Q151">
        <f>LOG(Table1_1[[#This Row],[PFHpS]])</f>
        <v>0.43775056282038799</v>
      </c>
      <c r="R151">
        <f>LOG(Table1_1[[#This Row],[PFOS]])</f>
        <v>2.7427251313046983</v>
      </c>
      <c r="S151">
        <f>LOG(Table1_1[[#This Row],[PFNS]])</f>
        <v>0.12057393120584989</v>
      </c>
      <c r="T151">
        <f>LOG(Table1_1[[#This Row],[PFDS]])</f>
        <v>7.1882007306125359E-2</v>
      </c>
      <c r="U151">
        <f>LOG(Table1_1[[#This Row],[PFDoS]])</f>
        <v>-0.63544900464602805</v>
      </c>
      <c r="V151">
        <f>LOG(Table1_1[[#This Row],[Cl-PFOS]])</f>
        <v>-0.88107424717422334</v>
      </c>
      <c r="W151">
        <f>LOG(Table1_1[[#This Row],[PFEtCHxS]])</f>
        <v>-0.64589156085259902</v>
      </c>
      <c r="X151">
        <f>LOG(Table1_1[[#This Row],[FBSA]])</f>
        <v>1.4742162640762553</v>
      </c>
      <c r="Y151">
        <f>LOG(Table1_1[[#This Row],[FHxSA]])</f>
        <v>2.1492191126553797</v>
      </c>
      <c r="Z151">
        <f>LOG(Table1_1[[#This Row],[FOSA]])</f>
        <v>1.2148438480476977</v>
      </c>
      <c r="AA151">
        <f>LOG(Table1_1[[#This Row],[N-MeFOSA]])</f>
        <v>-0.77858576215766129</v>
      </c>
      <c r="AB151">
        <f>LOG(Table1_1[[#This Row],[N-EtFOSA]])</f>
        <v>-0.36351210364663455</v>
      </c>
      <c r="AC151">
        <f>LOG(Table1_1[[#This Row],[FOSAA]])</f>
        <v>-0.36351210364663455</v>
      </c>
      <c r="AD151">
        <f>LOG(Table1_1[[#This Row],[N-MeFOSAA]])</f>
        <v>-0.66254073870934382</v>
      </c>
      <c r="AE151">
        <f>LOG(Table1_1[[#This Row],[N-EtFOSAA]])</f>
        <v>-0.66454209931061581</v>
      </c>
      <c r="AF151">
        <f>LOG(Table1_1[[#This Row],[4:2 FTS]])</f>
        <v>-0.66454209931061581</v>
      </c>
      <c r="AG151">
        <f>LOG(Table1_1[[#This Row],[6:2 FTS]])</f>
        <v>-0.18842499412940666</v>
      </c>
      <c r="AH151">
        <f>LOG(Table1_1[[#This Row],[8:2 FTS]])</f>
        <v>0.80685802951881747</v>
      </c>
      <c r="AI151">
        <f>LOG(Table1_1[[#This Row],[10:2 FTS]])</f>
        <v>-0.36351210364663455</v>
      </c>
      <c r="AJ151">
        <f>LOG(Table1_1[[#This Row],[3:3 FTCA]])</f>
        <v>-0.60292945004059129</v>
      </c>
      <c r="AK151">
        <f>LOG(Table1_1[[#This Row],[5:3 FTCA]])</f>
        <v>-0.66454209931061581</v>
      </c>
      <c r="AL151">
        <f>LOG(Table1_1[[#This Row],[7:3 FTCA]])</f>
        <v>-0.11577123036739606</v>
      </c>
      <c r="AM151">
        <f>LOG(Table1_1[[#This Row],[6:2 FTCA]])</f>
        <v>-0.36351210364663455</v>
      </c>
      <c r="AN151">
        <f>LOG(Table1_1[[#This Row],[8:2 FTCA]])</f>
        <v>-0.36351210364663455</v>
      </c>
      <c r="AO151">
        <f>LOG(Table1_1[[#This Row],[10:2 FTCA]])</f>
        <v>-0.36351210364663455</v>
      </c>
      <c r="AP151">
        <f>LOG(Table1_1[[#This Row],[6:2 FTUCA]])</f>
        <v>-0.36351210364663455</v>
      </c>
      <c r="AQ151">
        <f>LOG(Table1_1[[#This Row],[8:2 FTUCA]])</f>
        <v>-0.36351210364663455</v>
      </c>
      <c r="AR151">
        <f>LOG(Table1_1[[#This Row],[ADONA]])</f>
        <v>-0.14630178822382564</v>
      </c>
      <c r="AS151">
        <f>LOG(Table1_1[[#This Row],[9Cl-PF3ONS]])</f>
        <v>-0.36351210364663455</v>
      </c>
      <c r="AT151">
        <f>LOG(Table1_1[[#This Row],[11Cl-PF3OUdS]])</f>
        <v>-0.36351210364663455</v>
      </c>
      <c r="AU151">
        <f>LOG(Table1_1[[#This Row],[HFPO-DA]])</f>
        <v>-0.50793839548740105</v>
      </c>
      <c r="AV151">
        <f>LOG(Table1_1[[#This Row],[6:2 diPAP]])</f>
        <v>-0.36351210364663455</v>
      </c>
      <c r="AW151">
        <f>LOG(Table1_1[[#This Row],[8:2 diPAP]])</f>
        <v>-0.36351210364663455</v>
      </c>
      <c r="AX151">
        <f>LOG(Table1_1[[#This Row],[diSAmPAP]])</f>
        <v>-0.36351210364663455</v>
      </c>
    </row>
    <row r="152" spans="1:50">
      <c r="A152">
        <f>LOG(Table1_1[[#This Row],[PFBA]])</f>
        <v>-0.64878365466065802</v>
      </c>
      <c r="B152">
        <f>LOG(Table1_1[[#This Row],[PFPeA]])</f>
        <v>-0.64878365466065802</v>
      </c>
      <c r="C152">
        <f>LOG(Table1_1[[#This Row],[PFHxA]])</f>
        <v>-0.91542372206566902</v>
      </c>
      <c r="D152">
        <f>LOG(Table1_1[[#This Row],[PFHpA]])</f>
        <v>-0.64878365466065802</v>
      </c>
      <c r="E152">
        <f>LOG(Table1_1[[#This Row],[PFOA]])</f>
        <v>-0.30627305107635305</v>
      </c>
      <c r="F152">
        <f>LOG(Table1_1[[#This Row],[PFNA]])</f>
        <v>-0.80826960663714364</v>
      </c>
      <c r="G152">
        <f>LOG(Table1_1[[#This Row],[PFDA]])</f>
        <v>0.55630250076728727</v>
      </c>
      <c r="H152">
        <f>LOG(Table1_1[[#This Row],[PFUnA]])</f>
        <v>0.70329137811866138</v>
      </c>
      <c r="I152">
        <f>LOG(Table1_1[[#This Row],[PFDoA]])</f>
        <v>1.0863598306747482</v>
      </c>
      <c r="J152">
        <f>LOG(Table1_1[[#This Row],[PFTrDA]])</f>
        <v>0.39269695325966575</v>
      </c>
      <c r="K152">
        <f>LOG(Table1_1[[#This Row],[PFTeDA]])</f>
        <v>0.95520653754194174</v>
      </c>
      <c r="L152">
        <f>LOG(Table1_1[[#This Row],[PFHxDA]])</f>
        <v>-0.57186520597121115</v>
      </c>
      <c r="M152">
        <f>LOG(Table1_1[[#This Row],[PFPrS]])</f>
        <v>-0.34727030393075242</v>
      </c>
      <c r="N152">
        <f>LOG(Table1_1[[#This Row],[PFBS]])</f>
        <v>-0.81530856918240124</v>
      </c>
      <c r="O152">
        <f>LOG(Table1_1[[#This Row],[PFPeS]])</f>
        <v>-0.9244530386074693</v>
      </c>
      <c r="P152">
        <f>LOG(Table1_1[[#This Row],[PFHxS]])</f>
        <v>0.77158748088125539</v>
      </c>
      <c r="Q152">
        <f>LOG(Table1_1[[#This Row],[PFHpS]])</f>
        <v>0.13033376849500614</v>
      </c>
      <c r="R152">
        <f>LOG(Table1_1[[#This Row],[PFOS]])</f>
        <v>2.6848453616444123</v>
      </c>
      <c r="S152">
        <f>LOG(Table1_1[[#This Row],[PFNS]])</f>
        <v>0.11727129565576427</v>
      </c>
      <c r="T152">
        <f>LOG(Table1_1[[#This Row],[PFDS]])</f>
        <v>4.5322978786657475E-2</v>
      </c>
      <c r="U152">
        <f>LOG(Table1_1[[#This Row],[PFDoS]])</f>
        <v>-0.61888491929014944</v>
      </c>
      <c r="V152">
        <f>LOG(Table1_1[[#This Row],[Cl-PFOS]])</f>
        <v>-0.86486734862322512</v>
      </c>
      <c r="W152">
        <f>LOG(Table1_1[[#This Row],[PFEtCHxS]])</f>
        <v>-0.74472749489669399</v>
      </c>
      <c r="X152">
        <f>LOG(Table1_1[[#This Row],[FBSA]])</f>
        <v>1.6095944092252201</v>
      </c>
      <c r="Y152">
        <f>LOG(Table1_1[[#This Row],[FHxSA]])</f>
        <v>2.0413926851582249</v>
      </c>
      <c r="Z152">
        <f>LOG(Table1_1[[#This Row],[FOSA]])</f>
        <v>1.1553360374650619</v>
      </c>
      <c r="AA152">
        <f>LOG(Table1_1[[#This Row],[N-MeFOSA]])</f>
        <v>-0.76195389687120463</v>
      </c>
      <c r="AB152">
        <f>LOG(Table1_1[[#This Row],[N-EtFOSA]])</f>
        <v>-0.34727030393075242</v>
      </c>
      <c r="AC152">
        <f>LOG(Table1_1[[#This Row],[FOSAA]])</f>
        <v>-0.34727030393075242</v>
      </c>
      <c r="AD152">
        <f>LOG(Table1_1[[#This Row],[N-MeFOSAA]])</f>
        <v>-0.64589156085259902</v>
      </c>
      <c r="AE152">
        <f>LOG(Table1_1[[#This Row],[N-EtFOSAA]])</f>
        <v>-0.64878365466065802</v>
      </c>
      <c r="AF152">
        <f>LOG(Table1_1[[#This Row],[4:2 FTS]])</f>
        <v>-0.64878365466065802</v>
      </c>
      <c r="AG152">
        <f>LOG(Table1_1[[#This Row],[6:2 FTS]])</f>
        <v>-0.64878365466065802</v>
      </c>
      <c r="AH152">
        <f>LOG(Table1_1[[#This Row],[8:2 FTS]])</f>
        <v>0.49136169383427269</v>
      </c>
      <c r="AI152">
        <f>LOG(Table1_1[[#This Row],[10:2 FTS]])</f>
        <v>-0.34727030393075242</v>
      </c>
      <c r="AJ152">
        <f>LOG(Table1_1[[#This Row],[3:3 FTCA]])</f>
        <v>-0.5867002359187482</v>
      </c>
      <c r="AK152">
        <f>LOG(Table1_1[[#This Row],[5:3 FTCA]])</f>
        <v>-0.24260397120697583</v>
      </c>
      <c r="AL152">
        <f>LOG(Table1_1[[#This Row],[7:3 FTCA]])</f>
        <v>0.36735592102601899</v>
      </c>
      <c r="AM152">
        <f>LOG(Table1_1[[#This Row],[6:2 FTCA]])</f>
        <v>-0.34727030393075242</v>
      </c>
      <c r="AN152">
        <f>LOG(Table1_1[[#This Row],[8:2 FTCA]])</f>
        <v>-0.34727030393075242</v>
      </c>
      <c r="AO152">
        <f>LOG(Table1_1[[#This Row],[10:2 FTCA]])</f>
        <v>-0.34727030393075242</v>
      </c>
      <c r="AP152">
        <f>LOG(Table1_1[[#This Row],[6:2 FTUCA]])</f>
        <v>-0.34727030393075242</v>
      </c>
      <c r="AQ152">
        <f>LOG(Table1_1[[#This Row],[8:2 FTUCA]])</f>
        <v>-0.34727030393075242</v>
      </c>
      <c r="AR152">
        <f>LOG(Table1_1[[#This Row],[ADONA]])</f>
        <v>-0.64878365466065802</v>
      </c>
      <c r="AS152">
        <f>LOG(Table1_1[[#This Row],[9Cl-PF3ONS]])</f>
        <v>-0.34727030393075242</v>
      </c>
      <c r="AT152">
        <f>LOG(Table1_1[[#This Row],[11Cl-PF3OUdS]])</f>
        <v>-0.34727030393075242</v>
      </c>
      <c r="AU152">
        <f>LOG(Table1_1[[#This Row],[HFPO-DA]])</f>
        <v>-0.49147028102871343</v>
      </c>
      <c r="AV152">
        <f>LOG(Table1_1[[#This Row],[6:2 diPAP]])</f>
        <v>-0.34727030393075242</v>
      </c>
      <c r="AW152">
        <f>LOG(Table1_1[[#This Row],[8:2 diPAP]])</f>
        <v>-0.34727030393075242</v>
      </c>
      <c r="AX152">
        <f>LOG(Table1_1[[#This Row],[diSAmPAP]])</f>
        <v>-0.34727030393075242</v>
      </c>
    </row>
    <row r="153" spans="1:50">
      <c r="A153">
        <f>LOG(Table1_1[[#This Row],[PFBA]])</f>
        <v>-0.66254073870934382</v>
      </c>
      <c r="B153">
        <f>LOG(Table1_1[[#This Row],[PFPeA]])</f>
        <v>-0.66254073870934382</v>
      </c>
      <c r="C153">
        <f>LOG(Table1_1[[#This Row],[PFHxA]])</f>
        <v>-0.92996213339224498</v>
      </c>
      <c r="D153">
        <f>LOG(Table1_1[[#This Row],[PFHpA]])</f>
        <v>-0.66254073870934382</v>
      </c>
      <c r="E153">
        <f>LOG(Table1_1[[#This Row],[PFOA]])</f>
        <v>-0.29413628771608075</v>
      </c>
      <c r="F153">
        <f>LOG(Table1_1[[#This Row],[PFNA]])</f>
        <v>-0.8224635000701378</v>
      </c>
      <c r="G153">
        <f>LOG(Table1_1[[#This Row],[PFDA]])</f>
        <v>0.44560420327359757</v>
      </c>
      <c r="H153">
        <f>LOG(Table1_1[[#This Row],[PFUnA]])</f>
        <v>0.72835378202122847</v>
      </c>
      <c r="I153">
        <f>LOG(Table1_1[[#This Row],[PFDoA]])</f>
        <v>1.2253092817258628</v>
      </c>
      <c r="J153">
        <f>LOG(Table1_1[[#This Row],[PFTrDA]])</f>
        <v>0.75511226639507123</v>
      </c>
      <c r="K153">
        <f>LOG(Table1_1[[#This Row],[PFTeDA]])</f>
        <v>1.1875207208364631</v>
      </c>
      <c r="L153">
        <f>LOG(Table1_1[[#This Row],[PFHxDA]])</f>
        <v>-0.5867002359187482</v>
      </c>
      <c r="M153">
        <f>LOG(Table1_1[[#This Row],[PFPrS]])</f>
        <v>-0.36201021921531473</v>
      </c>
      <c r="N153">
        <f>LOG(Table1_1[[#This Row],[PFBS]])</f>
        <v>-0.82973828460504262</v>
      </c>
      <c r="O153">
        <f>LOG(Table1_1[[#This Row],[PFPeS]])</f>
        <v>-0.9393021596463883</v>
      </c>
      <c r="P153">
        <f>LOG(Table1_1[[#This Row],[PFHxS]])</f>
        <v>0.77742682238931138</v>
      </c>
      <c r="Q153">
        <f>LOG(Table1_1[[#This Row],[PFHpS]])</f>
        <v>0.2528530309798932</v>
      </c>
      <c r="R153">
        <f>LOG(Table1_1[[#This Row],[PFOS]])</f>
        <v>2.7427251313046983</v>
      </c>
      <c r="S153">
        <f>LOG(Table1_1[[#This Row],[PFNS]])</f>
        <v>2.5305865264770262E-2</v>
      </c>
      <c r="T153">
        <f>LOG(Table1_1[[#This Row],[PFDS]])</f>
        <v>-2.7334407733889104E-2</v>
      </c>
      <c r="U153">
        <f>LOG(Table1_1[[#This Row],[PFDoS]])</f>
        <v>-0.63357704277402727</v>
      </c>
      <c r="V153">
        <f>LOG(Table1_1[[#This Row],[Cl-PFOS]])</f>
        <v>-0.87942606879415008</v>
      </c>
      <c r="W153">
        <f>LOG(Table1_1[[#This Row],[PFEtCHxS]])</f>
        <v>-0.66756154008439472</v>
      </c>
      <c r="X153">
        <f>LOG(Table1_1[[#This Row],[FBSA]])</f>
        <v>1.6283889300503116</v>
      </c>
      <c r="Y153">
        <f>LOG(Table1_1[[#This Row],[FHxSA]])</f>
        <v>2.0791812460476247</v>
      </c>
      <c r="Z153">
        <f>LOG(Table1_1[[#This Row],[FOSA]])</f>
        <v>1.0606978403536116</v>
      </c>
      <c r="AA153">
        <f>LOG(Table1_1[[#This Row],[N-MeFOSA]])</f>
        <v>-0.77598518862713595</v>
      </c>
      <c r="AB153">
        <f>LOG(Table1_1[[#This Row],[N-EtFOSA]])</f>
        <v>-0.36201021921531473</v>
      </c>
      <c r="AC153">
        <f>LOG(Table1_1[[#This Row],[FOSAA]])</f>
        <v>-0.36201021921531473</v>
      </c>
      <c r="AD153">
        <f>LOG(Table1_1[[#This Row],[N-MeFOSAA]])</f>
        <v>-0.66054855869355933</v>
      </c>
      <c r="AE153">
        <f>LOG(Table1_1[[#This Row],[N-EtFOSAA]])</f>
        <v>-0.66254073870934382</v>
      </c>
      <c r="AF153">
        <f>LOG(Table1_1[[#This Row],[4:2 FTS]])</f>
        <v>-0.66254073870934382</v>
      </c>
      <c r="AG153">
        <f>LOG(Table1_1[[#This Row],[6:2 FTS]])</f>
        <v>-0.66254073870934382</v>
      </c>
      <c r="AH153">
        <f>LOG(Table1_1[[#This Row],[8:2 FTS]])</f>
        <v>0.24303804868629444</v>
      </c>
      <c r="AI153">
        <f>LOG(Table1_1[[#This Row],[10:2 FTS]])</f>
        <v>-0.36201021921531473</v>
      </c>
      <c r="AJ153">
        <f>LOG(Table1_1[[#This Row],[3:3 FTCA]])</f>
        <v>-0.60119226979673546</v>
      </c>
      <c r="AK153">
        <f>LOG(Table1_1[[#This Row],[5:3 FTCA]])</f>
        <v>-0.10072681268239618</v>
      </c>
      <c r="AL153">
        <f>LOG(Table1_1[[#This Row],[7:3 FTCA]])</f>
        <v>0.74585519517372889</v>
      </c>
      <c r="AM153">
        <f>LOG(Table1_1[[#This Row],[6:2 FTCA]])</f>
        <v>-0.36201021921531473</v>
      </c>
      <c r="AN153">
        <f>LOG(Table1_1[[#This Row],[8:2 FTCA]])</f>
        <v>-0.36201021921531473</v>
      </c>
      <c r="AO153">
        <f>LOG(Table1_1[[#This Row],[10:2 FTCA]])</f>
        <v>-0.36201021921531473</v>
      </c>
      <c r="AP153">
        <f>LOG(Table1_1[[#This Row],[6:2 FTUCA]])</f>
        <v>-0.36201021921531473</v>
      </c>
      <c r="AQ153">
        <f>LOG(Table1_1[[#This Row],[8:2 FTUCA]])</f>
        <v>-0.36201021921531473</v>
      </c>
      <c r="AR153">
        <f>LOG(Table1_1[[#This Row],[ADONA]])</f>
        <v>-0.66254073870934382</v>
      </c>
      <c r="AS153">
        <f>LOG(Table1_1[[#This Row],[9Cl-PF3ONS]])</f>
        <v>-0.36201021921531473</v>
      </c>
      <c r="AT153">
        <f>LOG(Table1_1[[#This Row],[11Cl-PF3OUdS]])</f>
        <v>-0.36201021921531473</v>
      </c>
      <c r="AU153">
        <f>LOG(Table1_1[[#This Row],[HFPO-DA]])</f>
        <v>-0.50584540598155725</v>
      </c>
      <c r="AV153">
        <f>LOG(Table1_1[[#This Row],[6:2 diPAP]])</f>
        <v>-0.36201021921531473</v>
      </c>
      <c r="AW153">
        <f>LOG(Table1_1[[#This Row],[8:2 diPAP]])</f>
        <v>-0.36201021921531473</v>
      </c>
      <c r="AX153">
        <f>LOG(Table1_1[[#This Row],[diSAmPAP]])</f>
        <v>-0.36201021921531473</v>
      </c>
    </row>
    <row r="154" spans="1:50">
      <c r="A154">
        <f>LOG(Table1_1[[#This Row],[PFBA]])</f>
        <v>-0.63171311509786898</v>
      </c>
      <c r="B154">
        <f>LOG(Table1_1[[#This Row],[PFPeA]])</f>
        <v>-0.63171311509786898</v>
      </c>
      <c r="C154">
        <f>LOG(Table1_1[[#This Row],[PFHxA]])</f>
        <v>-0.89962945488243706</v>
      </c>
      <c r="D154">
        <f>LOG(Table1_1[[#This Row],[PFHpA]])</f>
        <v>-0.63171311509786898</v>
      </c>
      <c r="E154">
        <f>LOG(Table1_1[[#This Row],[PFOA]])</f>
        <v>-4.8662481204082321E-2</v>
      </c>
      <c r="F154">
        <f>LOG(Table1_1[[#This Row],[PFNA]])</f>
        <v>-0.33818731446273875</v>
      </c>
      <c r="G154">
        <f>LOG(Table1_1[[#This Row],[PFDA]])</f>
        <v>0.5250448070368452</v>
      </c>
      <c r="H154">
        <f>LOG(Table1_1[[#This Row],[PFUnA]])</f>
        <v>0.68663626926229337</v>
      </c>
      <c r="I154">
        <f>LOG(Table1_1[[#This Row],[PFDoA]])</f>
        <v>0.81023251799508411</v>
      </c>
      <c r="J154">
        <f>LOG(Table1_1[[#This Row],[PFTrDA]])</f>
        <v>0.44870631990507992</v>
      </c>
      <c r="K154">
        <f>LOG(Table1_1[[#This Row],[PFTeDA]])</f>
        <v>0.82412583391654892</v>
      </c>
      <c r="L154">
        <f>LOG(Table1_1[[#This Row],[PFHxDA]])</f>
        <v>-0.55595520408192367</v>
      </c>
      <c r="M154">
        <f>LOG(Table1_1[[#This Row],[PFPrS]])</f>
        <v>-0.33068311943388784</v>
      </c>
      <c r="N154">
        <f>LOG(Table1_1[[#This Row],[PFBS]])</f>
        <v>-0.79860287567954846</v>
      </c>
      <c r="O154">
        <f>LOG(Table1_1[[#This Row],[PFPeS]])</f>
        <v>-0.6020599913279624</v>
      </c>
      <c r="P154">
        <f>LOG(Table1_1[[#This Row],[PFHxS]])</f>
        <v>1.3673559210260189</v>
      </c>
      <c r="Q154">
        <f>LOG(Table1_1[[#This Row],[PFHpS]])</f>
        <v>0.48713837547718647</v>
      </c>
      <c r="R154">
        <f>LOG(Table1_1[[#This Row],[PFOS]])</f>
        <v>2.7226339225338121</v>
      </c>
      <c r="S154">
        <f>LOG(Table1_1[[#This Row],[PFNS]])</f>
        <v>0.14301480025409505</v>
      </c>
      <c r="T154">
        <f>LOG(Table1_1[[#This Row],[PFDS]])</f>
        <v>0.11727129565576427</v>
      </c>
      <c r="U154">
        <f>LOG(Table1_1[[#This Row],[PFDoS]])</f>
        <v>-0.60292945004059129</v>
      </c>
      <c r="V154">
        <f>LOG(Table1_1[[#This Row],[Cl-PFOS]])</f>
        <v>-0.8477116556169435</v>
      </c>
      <c r="W154">
        <f>LOG(Table1_1[[#This Row],[PFEtCHxS]])</f>
        <v>-0.59345981956604488</v>
      </c>
      <c r="X154">
        <f>LOG(Table1_1[[#This Row],[FBSA]])</f>
        <v>1.2810333672477277</v>
      </c>
      <c r="Y154">
        <f>LOG(Table1_1[[#This Row],[FHxSA]])</f>
        <v>1.9484129657786009</v>
      </c>
      <c r="Z154">
        <f>LOG(Table1_1[[#This Row],[FOSA]])</f>
        <v>0.97127584873810524</v>
      </c>
      <c r="AA154">
        <f>LOG(Table1_1[[#This Row],[N-MeFOSA]])</f>
        <v>-0.74472749489669399</v>
      </c>
      <c r="AB154">
        <f>LOG(Table1_1[[#This Row],[N-EtFOSA]])</f>
        <v>-0.33068311943388784</v>
      </c>
      <c r="AC154">
        <f>LOG(Table1_1[[#This Row],[FOSAA]])</f>
        <v>-0.33068311943388784</v>
      </c>
      <c r="AD154">
        <f>LOG(Table1_1[[#This Row],[N-MeFOSAA]])</f>
        <v>-0.62893213772826373</v>
      </c>
      <c r="AE154">
        <f>LOG(Table1_1[[#This Row],[N-EtFOSAA]])</f>
        <v>-0.63171311509786898</v>
      </c>
      <c r="AF154">
        <f>LOG(Table1_1[[#This Row],[4:2 FTS]])</f>
        <v>-0.63171311509786898</v>
      </c>
      <c r="AG154">
        <f>LOG(Table1_1[[#This Row],[6:2 FTS]])</f>
        <v>0.22788670461367352</v>
      </c>
      <c r="AH154">
        <f>LOG(Table1_1[[#This Row],[8:2 FTS]])</f>
        <v>0.58658730467175491</v>
      </c>
      <c r="AI154">
        <f>LOG(Table1_1[[#This Row],[10:2 FTS]])</f>
        <v>-0.33068311943388784</v>
      </c>
      <c r="AJ154">
        <f>LOG(Table1_1[[#This Row],[3:3 FTCA]])</f>
        <v>-0.56944123047724249</v>
      </c>
      <c r="AK154">
        <f>LOG(Table1_1[[#This Row],[5:3 FTCA]])</f>
        <v>-0.63171311509786898</v>
      </c>
      <c r="AL154">
        <f>LOG(Table1_1[[#This Row],[7:3 FTCA]])</f>
        <v>-0.27002571430044436</v>
      </c>
      <c r="AM154">
        <f>LOG(Table1_1[[#This Row],[6:2 FTCA]])</f>
        <v>-0.33068311943388784</v>
      </c>
      <c r="AN154">
        <f>LOG(Table1_1[[#This Row],[8:2 FTCA]])</f>
        <v>-0.33068311943388784</v>
      </c>
      <c r="AO154">
        <f>LOG(Table1_1[[#This Row],[10:2 FTCA]])</f>
        <v>-0.33068311943388784</v>
      </c>
      <c r="AP154">
        <f>LOG(Table1_1[[#This Row],[6:2 FTUCA]])</f>
        <v>-0.33068311943388784</v>
      </c>
      <c r="AQ154">
        <f>LOG(Table1_1[[#This Row],[8:2 FTUCA]])</f>
        <v>-0.33068311943388784</v>
      </c>
      <c r="AR154">
        <f>LOG(Table1_1[[#This Row],[ADONA]])</f>
        <v>-0.63171311509786898</v>
      </c>
      <c r="AS154">
        <f>LOG(Table1_1[[#This Row],[9Cl-PF3ONS]])</f>
        <v>-0.33068311943388784</v>
      </c>
      <c r="AT154">
        <f>LOG(Table1_1[[#This Row],[11Cl-PF3OUdS]])</f>
        <v>-0.33068311943388784</v>
      </c>
      <c r="AU154">
        <f>LOG(Table1_1[[#This Row],[HFPO-DA]])</f>
        <v>-0.47495519296315475</v>
      </c>
      <c r="AV154">
        <f>LOG(Table1_1[[#This Row],[6:2 diPAP]])</f>
        <v>-0.33068311943388784</v>
      </c>
      <c r="AW154">
        <f>LOG(Table1_1[[#This Row],[8:2 diPAP]])</f>
        <v>-0.33068311943388784</v>
      </c>
      <c r="AX154">
        <f>LOG(Table1_1[[#This Row],[diSAmPAP]])</f>
        <v>-0.33068311943388784</v>
      </c>
    </row>
    <row r="155" spans="1:50">
      <c r="A155">
        <f>LOG(Table1_1[[#This Row],[PFBA]])</f>
        <v>-0.679853713888946</v>
      </c>
      <c r="B155">
        <f>LOG(Table1_1[[#This Row],[PFPeA]])</f>
        <v>-0.679853713888946</v>
      </c>
      <c r="C155">
        <f>LOG(Table1_1[[#This Row],[PFHxA]])</f>
        <v>-0.94692155651658028</v>
      </c>
      <c r="D155">
        <f>LOG(Table1_1[[#This Row],[PFHpA]])</f>
        <v>-0.679853713888946</v>
      </c>
      <c r="E155">
        <f>LOG(Table1_1[[#This Row],[PFOA]])</f>
        <v>0.34242268082220628</v>
      </c>
      <c r="F155">
        <f>LOG(Table1_1[[#This Row],[PFNA]])</f>
        <v>8.6359830674748214E-2</v>
      </c>
      <c r="G155">
        <f>LOG(Table1_1[[#This Row],[PFDA]])</f>
        <v>0.57403126772771884</v>
      </c>
      <c r="H155">
        <f>LOG(Table1_1[[#This Row],[PFUnA]])</f>
        <v>0.57287160220048017</v>
      </c>
      <c r="I155">
        <f>LOG(Table1_1[[#This Row],[PFDoA]])</f>
        <v>0.83122969386706336</v>
      </c>
      <c r="J155">
        <f>LOG(Table1_1[[#This Row],[PFTrDA]])</f>
        <v>0.2355284469075489</v>
      </c>
      <c r="K155">
        <f>LOG(Table1_1[[#This Row],[PFTeDA]])</f>
        <v>0.79865064544526898</v>
      </c>
      <c r="L155">
        <f>LOG(Table1_1[[#This Row],[PFHxDA]])</f>
        <v>-0.60292945004059129</v>
      </c>
      <c r="M155">
        <f>LOG(Table1_1[[#This Row],[PFPrS]])</f>
        <v>-0.3783045376707212</v>
      </c>
      <c r="N155">
        <f>LOG(Table1_1[[#This Row],[PFBS]])</f>
        <v>-0.84618513565547104</v>
      </c>
      <c r="O155">
        <f>LOG(Table1_1[[#This Row],[PFPeS]])</f>
        <v>-0.64397414280687726</v>
      </c>
      <c r="P155">
        <f>LOG(Table1_1[[#This Row],[PFHxS]])</f>
        <v>1.3692158574101427</v>
      </c>
      <c r="Q155">
        <f>LOG(Table1_1[[#This Row],[PFHpS]])</f>
        <v>0.45024910831936105</v>
      </c>
      <c r="R155">
        <f>LOG(Table1_1[[#This Row],[PFOS]])</f>
        <v>2.5658478186735176</v>
      </c>
      <c r="S155">
        <f>LOG(Table1_1[[#This Row],[PFNS]])</f>
        <v>3.342375548694973E-2</v>
      </c>
      <c r="T155">
        <f>LOG(Table1_1[[#This Row],[PFDS]])</f>
        <v>-5.305672930217456E-2</v>
      </c>
      <c r="U155">
        <f>LOG(Table1_1[[#This Row],[PFDoS]])</f>
        <v>-0.65072247253204474</v>
      </c>
      <c r="V155">
        <f>LOG(Table1_1[[#This Row],[Cl-PFOS]])</f>
        <v>-0.89619627904404309</v>
      </c>
      <c r="W155">
        <f>LOG(Table1_1[[#This Row],[PFEtCHxS]])</f>
        <v>-0.60380065290426366</v>
      </c>
      <c r="X155">
        <f>LOG(Table1_1[[#This Row],[FBSA]])</f>
        <v>1.4983105537896004</v>
      </c>
      <c r="Y155">
        <f>LOG(Table1_1[[#This Row],[FHxSA]])</f>
        <v>2</v>
      </c>
      <c r="Z155">
        <f>LOG(Table1_1[[#This Row],[FOSA]])</f>
        <v>1.0211892990699381</v>
      </c>
      <c r="AA155">
        <f>LOG(Table1_1[[#This Row],[N-MeFOSA]])</f>
        <v>-0.79317412396815024</v>
      </c>
      <c r="AB155">
        <f>LOG(Table1_1[[#This Row],[N-EtFOSA]])</f>
        <v>-0.3783045376707212</v>
      </c>
      <c r="AC155">
        <f>LOG(Table1_1[[#This Row],[FOSAA]])</f>
        <v>-0.3783045376707212</v>
      </c>
      <c r="AD155">
        <f>LOG(Table1_1[[#This Row],[N-MeFOSAA]])</f>
        <v>-0.67674789982831285</v>
      </c>
      <c r="AE155">
        <f>LOG(Table1_1[[#This Row],[N-EtFOSAA]])</f>
        <v>-0.679853713888946</v>
      </c>
      <c r="AF155">
        <f>LOG(Table1_1[[#This Row],[4:2 FTS]])</f>
        <v>-0.679853713888946</v>
      </c>
      <c r="AG155">
        <f>LOG(Table1_1[[#This Row],[6:2 FTS]])</f>
        <v>-0.13018179202067184</v>
      </c>
      <c r="AH155">
        <f>LOG(Table1_1[[#This Row],[8:2 FTS]])</f>
        <v>0.53402610605613499</v>
      </c>
      <c r="AI155">
        <f>LOG(Table1_1[[#This Row],[10:2 FTS]])</f>
        <v>-0.3783045376707212</v>
      </c>
      <c r="AJ155">
        <f>LOG(Table1_1[[#This Row],[3:3 FTCA]])</f>
        <v>-0.61708286491246911</v>
      </c>
      <c r="AK155">
        <f>LOG(Table1_1[[#This Row],[5:3 FTCA]])</f>
        <v>-0.679853713888946</v>
      </c>
      <c r="AL155">
        <f>LOG(Table1_1[[#This Row],[7:3 FTCA]])</f>
        <v>0.250420002308894</v>
      </c>
      <c r="AM155">
        <f>LOG(Table1_1[[#This Row],[6:2 FTCA]])</f>
        <v>-0.3783045376707212</v>
      </c>
      <c r="AN155">
        <f>LOG(Table1_1[[#This Row],[8:2 FTCA]])</f>
        <v>-0.3783045376707212</v>
      </c>
      <c r="AO155">
        <f>LOG(Table1_1[[#This Row],[10:2 FTCA]])</f>
        <v>-0.3783045376707212</v>
      </c>
      <c r="AP155">
        <f>LOG(Table1_1[[#This Row],[6:2 FTUCA]])</f>
        <v>-0.3783045376707212</v>
      </c>
      <c r="AQ155">
        <f>LOG(Table1_1[[#This Row],[8:2 FTUCA]])</f>
        <v>-0.3783045376707212</v>
      </c>
      <c r="AR155">
        <f>LOG(Table1_1[[#This Row],[ADONA]])</f>
        <v>-0.679853713888946</v>
      </c>
      <c r="AS155">
        <f>LOG(Table1_1[[#This Row],[9Cl-PF3ONS]])</f>
        <v>-0.3783045376707212</v>
      </c>
      <c r="AT155">
        <f>LOG(Table1_1[[#This Row],[11Cl-PF3OUdS]])</f>
        <v>-0.3783045376707212</v>
      </c>
      <c r="AU155">
        <f>LOG(Table1_1[[#This Row],[HFPO-DA]])</f>
        <v>-0.52287874528033762</v>
      </c>
      <c r="AV155">
        <f>LOG(Table1_1[[#This Row],[6:2 diPAP]])</f>
        <v>-0.3783045376707212</v>
      </c>
      <c r="AW155">
        <f>LOG(Table1_1[[#This Row],[8:2 diPAP]])</f>
        <v>-0.3783045376707212</v>
      </c>
      <c r="AX155">
        <f>LOG(Table1_1[[#This Row],[diSAmPAP]])</f>
        <v>-0.3783045376707212</v>
      </c>
    </row>
    <row r="156" spans="1:50">
      <c r="A156">
        <f>LOG(Table1_1[[#This Row],[PFBA]])</f>
        <v>-0.6706021206389573</v>
      </c>
      <c r="B156">
        <f>LOG(Table1_1[[#This Row],[PFPeA]])</f>
        <v>-0.6706021206389573</v>
      </c>
      <c r="C156">
        <f>LOG(Table1_1[[#This Row],[PFHxA]])</f>
        <v>-0.9393021596463883</v>
      </c>
      <c r="D156">
        <f>LOG(Table1_1[[#This Row],[PFHpA]])</f>
        <v>-0.6706021206389573</v>
      </c>
      <c r="E156">
        <f>LOG(Table1_1[[#This Row],[PFOA]])</f>
        <v>-0.38404994834359901</v>
      </c>
      <c r="F156">
        <f>LOG(Table1_1[[#This Row],[PFNA]])</f>
        <v>-0.83120797968581828</v>
      </c>
      <c r="G156">
        <f>LOG(Table1_1[[#This Row],[PFDA]])</f>
        <v>0.47712125471966244</v>
      </c>
      <c r="H156">
        <f>LOG(Table1_1[[#This Row],[PFUnA]])</f>
        <v>0.76566855475901408</v>
      </c>
      <c r="I156">
        <f>LOG(Table1_1[[#This Row],[PFDoA]])</f>
        <v>1.2355284469075489</v>
      </c>
      <c r="J156">
        <f>LOG(Table1_1[[#This Row],[PFTrDA]])</f>
        <v>0.76863810124761445</v>
      </c>
      <c r="K156">
        <f>LOG(Table1_1[[#This Row],[PFTeDA]])</f>
        <v>1.4638929889859074</v>
      </c>
      <c r="L156">
        <f>LOG(Table1_1[[#This Row],[PFHxDA]])</f>
        <v>-0.59516628338006194</v>
      </c>
      <c r="M156">
        <f>LOG(Table1_1[[#This Row],[PFPrS]])</f>
        <v>-0.37008096449645816</v>
      </c>
      <c r="N156">
        <f>LOG(Table1_1[[#This Row],[PFBS]])</f>
        <v>-0.83863199776502517</v>
      </c>
      <c r="O156">
        <f>LOG(Table1_1[[#This Row],[PFPeS]])</f>
        <v>-0.94692155651658028</v>
      </c>
      <c r="P156">
        <f>LOG(Table1_1[[#This Row],[PFHxS]])</f>
        <v>0.86033800657099369</v>
      </c>
      <c r="Q156">
        <f>LOG(Table1_1[[#This Row],[PFHpS]])</f>
        <v>-4.5275209020937013E-2</v>
      </c>
      <c r="R156">
        <f>LOG(Table1_1[[#This Row],[PFOS]])</f>
        <v>2.8175653695597807</v>
      </c>
      <c r="S156">
        <f>LOG(Table1_1[[#This Row],[PFNS]])</f>
        <v>-0.12033079436794646</v>
      </c>
      <c r="T156">
        <f>LOG(Table1_1[[#This Row],[PFDS]])</f>
        <v>-8.7246696328677029E-2</v>
      </c>
      <c r="U156">
        <f>LOG(Table1_1[[#This Row],[PFDoS]])</f>
        <v>-0.64206515299954614</v>
      </c>
      <c r="V156">
        <f>LOG(Table1_1[[#This Row],[Cl-PFOS]])</f>
        <v>-0.88773023158272935</v>
      </c>
      <c r="W156">
        <f>LOG(Table1_1[[#This Row],[PFEtCHxS]])</f>
        <v>-0.76700388960784616</v>
      </c>
      <c r="X156">
        <f>LOG(Table1_1[[#This Row],[FBSA]])</f>
        <v>1.9132839017604184</v>
      </c>
      <c r="Y156">
        <f>LOG(Table1_1[[#This Row],[FHxSA]])</f>
        <v>1.6803355134145632</v>
      </c>
      <c r="Z156">
        <f>LOG(Table1_1[[#This Row],[FOSA]])</f>
        <v>0.88309335857568994</v>
      </c>
      <c r="AA156">
        <f>LOG(Table1_1[[#This Row],[N-MeFOSA]])</f>
        <v>-0.78383409771400692</v>
      </c>
      <c r="AB156">
        <f>LOG(Table1_1[[#This Row],[N-EtFOSA]])</f>
        <v>-0.37008096449645816</v>
      </c>
      <c r="AC156">
        <f>LOG(Table1_1[[#This Row],[FOSAA]])</f>
        <v>-0.37008096449645816</v>
      </c>
      <c r="AD156">
        <f>LOG(Table1_1[[#This Row],[N-MeFOSAA]])</f>
        <v>-0.6685727034792569</v>
      </c>
      <c r="AE156">
        <f>LOG(Table1_1[[#This Row],[N-EtFOSAA]])</f>
        <v>-0.6706021206389573</v>
      </c>
      <c r="AF156">
        <f>LOG(Table1_1[[#This Row],[4:2 FTS]])</f>
        <v>-0.6706021206389573</v>
      </c>
      <c r="AG156">
        <f>LOG(Table1_1[[#This Row],[6:2 FTS]])</f>
        <v>-0.6706021206389573</v>
      </c>
      <c r="AH156">
        <f>LOG(Table1_1[[#This Row],[8:2 FTS]])</f>
        <v>0.38738982633872943</v>
      </c>
      <c r="AI156">
        <f>LOG(Table1_1[[#This Row],[10:2 FTS]])</f>
        <v>-0.37008096449645816</v>
      </c>
      <c r="AJ156">
        <f>LOG(Table1_1[[#This Row],[3:3 FTCA]])</f>
        <v>-0.60906489289662091</v>
      </c>
      <c r="AK156">
        <f>LOG(Table1_1[[#This Row],[5:3 FTCA]])</f>
        <v>0.55509444857831913</v>
      </c>
      <c r="AL156">
        <f>LOG(Table1_1[[#This Row],[7:3 FTCA]])</f>
        <v>1.9827233876685453</v>
      </c>
      <c r="AM156">
        <f>LOG(Table1_1[[#This Row],[6:2 FTCA]])</f>
        <v>-0.37008096449645816</v>
      </c>
      <c r="AN156">
        <f>LOG(Table1_1[[#This Row],[8:2 FTCA]])</f>
        <v>-0.37008096449645816</v>
      </c>
      <c r="AO156">
        <f>LOG(Table1_1[[#This Row],[10:2 FTCA]])</f>
        <v>-0.37008096449645816</v>
      </c>
      <c r="AP156">
        <f>LOG(Table1_1[[#This Row],[6:2 FTUCA]])</f>
        <v>-0.37008096449645816</v>
      </c>
      <c r="AQ156">
        <f>LOG(Table1_1[[#This Row],[8:2 FTUCA]])</f>
        <v>-0.37008096449645816</v>
      </c>
      <c r="AR156">
        <f>LOG(Table1_1[[#This Row],[ADONA]])</f>
        <v>-0.6706021206389573</v>
      </c>
      <c r="AS156">
        <f>LOG(Table1_1[[#This Row],[9Cl-PF3ONS]])</f>
        <v>-0.37008096449645816</v>
      </c>
      <c r="AT156">
        <f>LOG(Table1_1[[#This Row],[11Cl-PF3OUdS]])</f>
        <v>-0.37008096449645816</v>
      </c>
      <c r="AU156">
        <f>LOG(Table1_1[[#This Row],[HFPO-DA]])</f>
        <v>-0.51427857351841999</v>
      </c>
      <c r="AV156">
        <f>LOG(Table1_1[[#This Row],[6:2 diPAP]])</f>
        <v>-0.37008096449645816</v>
      </c>
      <c r="AW156">
        <f>LOG(Table1_1[[#This Row],[8:2 diPAP]])</f>
        <v>-0.37008096449645816</v>
      </c>
      <c r="AX156">
        <f>LOG(Table1_1[[#This Row],[diSAmPAP]])</f>
        <v>-0.37008096449645816</v>
      </c>
    </row>
    <row r="157" spans="1:50">
      <c r="A157">
        <f>LOG(Table1_1[[#This Row],[PFBA]])</f>
        <v>-0.6685727034792569</v>
      </c>
      <c r="B157">
        <f>LOG(Table1_1[[#This Row],[PFPeA]])</f>
        <v>-0.6685727034792569</v>
      </c>
      <c r="C157">
        <f>LOG(Table1_1[[#This Row],[PFHxA]])</f>
        <v>-0.93741801577183692</v>
      </c>
      <c r="D157">
        <f>LOG(Table1_1[[#This Row],[PFHpA]])</f>
        <v>-0.6685727034792569</v>
      </c>
      <c r="E157">
        <f>LOG(Table1_1[[#This Row],[PFOA]])</f>
        <v>-0.41116827440579273</v>
      </c>
      <c r="F157">
        <f>LOG(Table1_1[[#This Row],[PFNA]])</f>
        <v>-0.44009337496388751</v>
      </c>
      <c r="G157">
        <f>LOG(Table1_1[[#This Row],[PFDA]])</f>
        <v>0.62324929039790045</v>
      </c>
      <c r="H157">
        <f>LOG(Table1_1[[#This Row],[PFUnA]])</f>
        <v>0.82672252016899206</v>
      </c>
      <c r="I157">
        <f>LOG(Table1_1[[#This Row],[PFDoA]])</f>
        <v>1.1903316981702914</v>
      </c>
      <c r="J157">
        <f>LOG(Table1_1[[#This Row],[PFTrDA]])</f>
        <v>0.58994960132570773</v>
      </c>
      <c r="K157">
        <f>LOG(Table1_1[[#This Row],[PFTeDA]])</f>
        <v>1.2988530764097066</v>
      </c>
      <c r="L157">
        <f>LOG(Table1_1[[#This Row],[PFHxDA]])</f>
        <v>-0.59260909552926844</v>
      </c>
      <c r="M157">
        <f>LOG(Table1_1[[#This Row],[PFPrS]])</f>
        <v>-0.36804917374078305</v>
      </c>
      <c r="N157">
        <f>LOG(Table1_1[[#This Row],[PFBS]])</f>
        <v>-0.83564714421556296</v>
      </c>
      <c r="O157">
        <f>LOG(Table1_1[[#This Row],[PFPeS]])</f>
        <v>-0.94500413847085851</v>
      </c>
      <c r="P157">
        <f>LOG(Table1_1[[#This Row],[PFHxS]])</f>
        <v>0.72997428569955558</v>
      </c>
      <c r="Q157">
        <f>LOG(Table1_1[[#This Row],[PFHpS]])</f>
        <v>1.2837224705172217E-2</v>
      </c>
      <c r="R157">
        <f>LOG(Table1_1[[#This Row],[PFOS]])</f>
        <v>2.7558748556724915</v>
      </c>
      <c r="S157">
        <f>LOG(Table1_1[[#This Row],[PFNS]])</f>
        <v>9.3421685162235063E-2</v>
      </c>
      <c r="T157">
        <f>LOG(Table1_1[[#This Row],[PFDS]])</f>
        <v>0.13033376849500614</v>
      </c>
      <c r="U157">
        <f>LOG(Table1_1[[#This Row],[PFDoS]])</f>
        <v>-0.64016451766011195</v>
      </c>
      <c r="V157">
        <f>LOG(Table1_1[[#This Row],[Cl-PFOS]])</f>
        <v>-0.88605664769316317</v>
      </c>
      <c r="W157">
        <f>LOG(Table1_1[[#This Row],[PFEtCHxS]])</f>
        <v>-0.60380065290426366</v>
      </c>
      <c r="X157">
        <f>LOG(Table1_1[[#This Row],[FBSA]])</f>
        <v>1.7234556720351857</v>
      </c>
      <c r="Y157">
        <f>LOG(Table1_1[[#This Row],[FHxSA]])</f>
        <v>1.7686381012476144</v>
      </c>
      <c r="Z157">
        <f>LOG(Table1_1[[#This Row],[FOSA]])</f>
        <v>1.1139433523068367</v>
      </c>
      <c r="AA157">
        <f>LOG(Table1_1[[#This Row],[N-MeFOSA]])</f>
        <v>-0.78251605578609373</v>
      </c>
      <c r="AB157">
        <f>LOG(Table1_1[[#This Row],[N-EtFOSA]])</f>
        <v>-0.36804917374078305</v>
      </c>
      <c r="AC157">
        <f>LOG(Table1_1[[#This Row],[FOSAA]])</f>
        <v>-0.36804917374078305</v>
      </c>
      <c r="AD157">
        <f>LOG(Table1_1[[#This Row],[N-MeFOSAA]])</f>
        <v>-0.66655272550324962</v>
      </c>
      <c r="AE157">
        <f>LOG(Table1_1[[#This Row],[N-EtFOSAA]])</f>
        <v>-0.6685727034792569</v>
      </c>
      <c r="AF157">
        <f>LOG(Table1_1[[#This Row],[4:2 FTS]])</f>
        <v>-0.6685727034792569</v>
      </c>
      <c r="AG157">
        <f>LOG(Table1_1[[#This Row],[6:2 FTS]])</f>
        <v>-0.6685727034792569</v>
      </c>
      <c r="AH157">
        <f>LOG(Table1_1[[#This Row],[8:2 FTS]])</f>
        <v>0.39269695325966575</v>
      </c>
      <c r="AI157">
        <f>LOG(Table1_1[[#This Row],[10:2 FTS]])</f>
        <v>-0.36804917374078305</v>
      </c>
      <c r="AJ157">
        <f>LOG(Table1_1[[#This Row],[3:3 FTCA]])</f>
        <v>-0.60730304674033431</v>
      </c>
      <c r="AK157">
        <f>LOG(Table1_1[[#This Row],[5:3 FTCA]])</f>
        <v>-0.30715308072276998</v>
      </c>
      <c r="AL157">
        <f>LOG(Table1_1[[#This Row],[7:3 FTCA]])</f>
        <v>0.86687781433749889</v>
      </c>
      <c r="AM157">
        <f>LOG(Table1_1[[#This Row],[6:2 FTCA]])</f>
        <v>-0.36804917374078305</v>
      </c>
      <c r="AN157">
        <f>LOG(Table1_1[[#This Row],[8:2 FTCA]])</f>
        <v>-0.36804917374078305</v>
      </c>
      <c r="AO157">
        <f>LOG(Table1_1[[#This Row],[10:2 FTCA]])</f>
        <v>-0.36804917374078305</v>
      </c>
      <c r="AP157">
        <f>LOG(Table1_1[[#This Row],[6:2 FTUCA]])</f>
        <v>-0.36804917374078305</v>
      </c>
      <c r="AQ157">
        <f>LOG(Table1_1[[#This Row],[8:2 FTUCA]])</f>
        <v>-0.36804917374078305</v>
      </c>
      <c r="AR157">
        <f>LOG(Table1_1[[#This Row],[ADONA]])</f>
        <v>-0.6685727034792569</v>
      </c>
      <c r="AS157">
        <f>LOG(Table1_1[[#This Row],[9Cl-PF3ONS]])</f>
        <v>-0.36804917374078305</v>
      </c>
      <c r="AT157">
        <f>LOG(Table1_1[[#This Row],[11Cl-PF3OUdS]])</f>
        <v>-0.36804917374078305</v>
      </c>
      <c r="AU157">
        <f>LOG(Table1_1[[#This Row],[HFPO-DA]])</f>
        <v>-0.51215487988856445</v>
      </c>
      <c r="AV157">
        <f>LOG(Table1_1[[#This Row],[6:2 diPAP]])</f>
        <v>-0.36804917374078305</v>
      </c>
      <c r="AW157">
        <f>LOG(Table1_1[[#This Row],[8:2 diPAP]])</f>
        <v>-0.36804917374078305</v>
      </c>
      <c r="AX157">
        <f>LOG(Table1_1[[#This Row],[diSAmPAP]])</f>
        <v>-0.36804917374078305</v>
      </c>
    </row>
    <row r="158" spans="1:50">
      <c r="A158">
        <f>LOG(Table1_1[[#This Row],[PFBA]])</f>
        <v>-1.5504158951490832</v>
      </c>
      <c r="B158">
        <f>LOG(Table1_1[[#This Row],[PFPeA]])</f>
        <v>-1.303338337423565</v>
      </c>
      <c r="C158">
        <f>LOG(Table1_1[[#This Row],[PFHxA]])</f>
        <v>-0.42136079003192767</v>
      </c>
      <c r="D158">
        <f>LOG(Table1_1[[#This Row],[PFHpA]])</f>
        <v>-1.0124622672185497</v>
      </c>
      <c r="E158">
        <f>LOG(Table1_1[[#This Row],[PFOA]])</f>
        <v>0.34439227368511072</v>
      </c>
      <c r="F158">
        <f>LOG(Table1_1[[#This Row],[PFNA]])</f>
        <v>0.81023251799508411</v>
      </c>
      <c r="G158">
        <f>LOG(Table1_1[[#This Row],[PFDA]])</f>
        <v>1.0569048513364727</v>
      </c>
      <c r="H158">
        <f>LOG(Table1_1[[#This Row],[PFUnA]])</f>
        <v>1.2380461031287955</v>
      </c>
      <c r="I158">
        <f>LOG(Table1_1[[#This Row],[PFDoA]])</f>
        <v>-0.39902710431325172</v>
      </c>
      <c r="J158">
        <f>LOG(Table1_1[[#This Row],[PFTrDA]])</f>
        <v>0.85853719756963909</v>
      </c>
      <c r="K158">
        <f>LOG(Table1_1[[#This Row],[PFTeDA]])</f>
        <v>0.99122607569249488</v>
      </c>
      <c r="L158">
        <f>LOG(Table1_1[[#This Row],[PFHxDA]])</f>
        <v>-1.0762724538137156</v>
      </c>
      <c r="M158">
        <f>LOG(Table1_1[[#This Row],[PFPrS]])</f>
        <v>-1.2699779664975959</v>
      </c>
      <c r="N158">
        <f>LOG(Table1_1[[#This Row],[PFBS]])</f>
        <v>-0.78162436707508187</v>
      </c>
      <c r="O158">
        <f>LOG(Table1_1[[#This Row],[PFPeS]])</f>
        <v>-0.35457773065090809</v>
      </c>
      <c r="P158">
        <f>LOG(Table1_1[[#This Row],[PFHxS]])</f>
        <v>1.2227164711475833</v>
      </c>
      <c r="Q158">
        <f>LOG(Table1_1[[#This Row],[PFHpS]])</f>
        <v>0.86864443839482575</v>
      </c>
      <c r="R158">
        <f>LOG(Table1_1[[#This Row],[PFOS]])</f>
        <v>3.2430380486862944</v>
      </c>
      <c r="S158">
        <f>LOG(Table1_1[[#This Row],[PFNS]])</f>
        <v>0.13033376849500614</v>
      </c>
      <c r="T158">
        <f>LOG(Table1_1[[#This Row],[PFDS]])</f>
        <v>0.67577834167408513</v>
      </c>
      <c r="U158">
        <f>LOG(Table1_1[[#This Row],[PFDoS]])</f>
        <v>4.5322978786657475E-2</v>
      </c>
      <c r="V158">
        <f>LOG(Table1_1[[#This Row],[Cl-PFOS]])</f>
        <v>-0.83084431935169134</v>
      </c>
      <c r="W158">
        <f>LOG(Table1_1[[#This Row],[PFEtCHxS]])</f>
        <v>-0.239577516576788</v>
      </c>
      <c r="X158">
        <f>LOG(Table1_1[[#This Row],[FBSA]])</f>
        <v>2.2671717284030137</v>
      </c>
      <c r="Y158">
        <f>LOG(Table1_1[[#This Row],[FHxSA]])</f>
        <v>3.0211892990699383</v>
      </c>
      <c r="Z158">
        <f>LOG(Table1_1[[#This Row],[FOSA]])</f>
        <v>1.9703468762300933</v>
      </c>
      <c r="AA158">
        <f>LOG(Table1_1[[#This Row],[N-MeFOSA]])</f>
        <v>-1.2657690663643377</v>
      </c>
      <c r="AB158">
        <f>LOG(Table1_1[[#This Row],[N-EtFOSA]])</f>
        <v>-1.0854205989308829</v>
      </c>
      <c r="AC158">
        <f>LOG(Table1_1[[#This Row],[FOSAA]])</f>
        <v>-1.2558200548649534</v>
      </c>
      <c r="AD158">
        <f>LOG(Table1_1[[#This Row],[N-MeFOSAA]])</f>
        <v>-1.1498561797987252</v>
      </c>
      <c r="AE158">
        <f>LOG(Table1_1[[#This Row],[N-EtFOSAA]])</f>
        <v>-1.2139609318905298</v>
      </c>
      <c r="AF158">
        <f>LOG(Table1_1[[#This Row],[4:2 FTS]])</f>
        <v>-1.2379272620210364</v>
      </c>
      <c r="AG158">
        <f>LOG(Table1_1[[#This Row],[6:2 FTS]])</f>
        <v>0.58994960132570773</v>
      </c>
      <c r="AH158">
        <f>LOG(Table1_1[[#This Row],[8:2 FTS]])</f>
        <v>1.1789769472931695</v>
      </c>
      <c r="AI158">
        <f>LOG(Table1_1[[#This Row],[10:2 FTS]])</f>
        <v>-0.55934830346662623</v>
      </c>
      <c r="AJ158">
        <f>LOG(Table1_1[[#This Row],[3:3 FTCA]])</f>
        <v>-1.0904624869459667</v>
      </c>
      <c r="AK158">
        <f>LOG(Table1_1[[#This Row],[5:3 FTCA]])</f>
        <v>0.41664050733828095</v>
      </c>
      <c r="AL158">
        <f>LOG(Table1_1[[#This Row],[7:3 FTCA]])</f>
        <v>-0.70855348893538561</v>
      </c>
      <c r="AM158">
        <f>LOG(Table1_1[[#This Row],[6:2 FTCA]])</f>
        <v>0.63346845557958653</v>
      </c>
      <c r="AN158">
        <f>LOG(Table1_1[[#This Row],[8:2 FTCA]])</f>
        <v>0.44870631990507992</v>
      </c>
      <c r="AO158">
        <f>LOG(Table1_1[[#This Row],[10:2 FTCA]])</f>
        <v>-0.97865103138014742</v>
      </c>
      <c r="AP158">
        <f>LOG(Table1_1[[#This Row],[6:2 FTUCA]])</f>
        <v>-1.257497504780843</v>
      </c>
      <c r="AQ158">
        <f>LOG(Table1_1[[#This Row],[8:2 FTUCA]])</f>
        <v>-1.3712200373475947</v>
      </c>
      <c r="AR158">
        <f>LOG(Table1_1[[#This Row],[ADONA]])</f>
        <v>-1.1524758864770455</v>
      </c>
      <c r="AS158">
        <f>LOG(Table1_1[[#This Row],[9Cl-PF3ONS]])</f>
        <v>-1.311049687968036</v>
      </c>
      <c r="AT158">
        <f>LOG(Table1_1[[#This Row],[11Cl-PF3OUdS]])</f>
        <v>-1.2559548798129103</v>
      </c>
      <c r="AU158">
        <f>LOG(Table1_1[[#This Row],[HFPO-DA]])</f>
        <v>-0.99561534046949018</v>
      </c>
      <c r="AV158">
        <f>LOG(Table1_1[[#This Row],[6:2 diPAP]])</f>
        <v>-1.125318415776295</v>
      </c>
      <c r="AW158">
        <f>LOG(Table1_1[[#This Row],[8:2 diPAP]])</f>
        <v>-1.0299932833541128</v>
      </c>
      <c r="AX158">
        <f>LOG(Table1_1[[#This Row],[diSAmPAP]])</f>
        <v>-0.90696321866289575</v>
      </c>
    </row>
    <row r="159" spans="1:50">
      <c r="A159">
        <f>LOG(Table1_1[[#This Row],[PFBA]])</f>
        <v>-1.5309762070964372</v>
      </c>
      <c r="B159">
        <f>LOG(Table1_1[[#This Row],[PFPeA]])</f>
        <v>-1.283898649370919</v>
      </c>
      <c r="C159">
        <f>LOG(Table1_1[[#This Row],[PFHxA]])</f>
        <v>-1.4008908132119833</v>
      </c>
      <c r="D159">
        <f>LOG(Table1_1[[#This Row],[PFHpA]])</f>
        <v>-1.5309762070964372</v>
      </c>
      <c r="E159">
        <f>LOG(Table1_1[[#This Row],[PFOA]])</f>
        <v>0.16731733474817609</v>
      </c>
      <c r="F159">
        <f>LOG(Table1_1[[#This Row],[PFNA]])</f>
        <v>0.47129171105893858</v>
      </c>
      <c r="G159">
        <f>LOG(Table1_1[[#This Row],[PFDA]])</f>
        <v>0.88138465677057287</v>
      </c>
      <c r="H159">
        <f>LOG(Table1_1[[#This Row],[PFUnA]])</f>
        <v>1.2068258760318498</v>
      </c>
      <c r="I159">
        <f>LOG(Table1_1[[#This Row],[PFDoA]])</f>
        <v>-1.2307939841252111</v>
      </c>
      <c r="J159">
        <f>LOG(Table1_1[[#This Row],[PFTrDA]])</f>
        <v>0.85672889038288258</v>
      </c>
      <c r="K159">
        <f>LOG(Table1_1[[#This Row],[PFTeDA]])</f>
        <v>0.88705437805095699</v>
      </c>
      <c r="L159">
        <f>LOG(Table1_1[[#This Row],[PFHxDA]])</f>
        <v>-1.0568327657610697</v>
      </c>
      <c r="M159">
        <f>LOG(Table1_1[[#This Row],[PFPrS]])</f>
        <v>-1.2505382784449497</v>
      </c>
      <c r="N159">
        <f>LOG(Table1_1[[#This Row],[PFBS]])</f>
        <v>-1.3001383069529693</v>
      </c>
      <c r="O159">
        <f>LOG(Table1_1[[#This Row],[PFPeS]])</f>
        <v>-0.58838029403676984</v>
      </c>
      <c r="P159">
        <f>LOG(Table1_1[[#This Row],[PFHxS]])</f>
        <v>1.5797835966168101</v>
      </c>
      <c r="Q159">
        <f>LOG(Table1_1[[#This Row],[PFHpS]])</f>
        <v>0.99825933842369874</v>
      </c>
      <c r="R159">
        <f>LOG(Table1_1[[#This Row],[PFOS]])</f>
        <v>3.1003705451175629</v>
      </c>
      <c r="S159">
        <f>LOG(Table1_1[[#This Row],[PFNS]])</f>
        <v>0.43616264704075602</v>
      </c>
      <c r="T159">
        <f>LOG(Table1_1[[#This Row],[PFDS]])</f>
        <v>1.1367205671564067</v>
      </c>
      <c r="U159">
        <f>LOG(Table1_1[[#This Row],[PFDoS]])</f>
        <v>0.63447727016073152</v>
      </c>
      <c r="V159">
        <f>LOG(Table1_1[[#This Row],[Cl-PFOS]])</f>
        <v>-0.13489602535887207</v>
      </c>
      <c r="W159">
        <f>LOG(Table1_1[[#This Row],[PFEtCHxS]])</f>
        <v>-0.42365864979420714</v>
      </c>
      <c r="X159">
        <f>LOG(Table1_1[[#This Row],[FBSA]])</f>
        <v>1.146128035678238</v>
      </c>
      <c r="Y159">
        <f>LOG(Table1_1[[#This Row],[FHxSA]])</f>
        <v>2.2671717284030137</v>
      </c>
      <c r="Z159">
        <f>LOG(Table1_1[[#This Row],[FOSA]])</f>
        <v>1.2304489213782739</v>
      </c>
      <c r="AA159">
        <f>LOG(Table1_1[[#This Row],[N-MeFOSA]])</f>
        <v>-1.2463293783116915</v>
      </c>
      <c r="AB159">
        <f>LOG(Table1_1[[#This Row],[N-EtFOSA]])</f>
        <v>-1.065980910878237</v>
      </c>
      <c r="AC159">
        <f>LOG(Table1_1[[#This Row],[FOSAA]])</f>
        <v>-1.2363803668123075</v>
      </c>
      <c r="AD159">
        <f>LOG(Table1_1[[#This Row],[N-MeFOSAA]])</f>
        <v>1.0086001717619175</v>
      </c>
      <c r="AE159">
        <f>LOG(Table1_1[[#This Row],[N-EtFOSAA]])</f>
        <v>-1.1945212438378838</v>
      </c>
      <c r="AF159">
        <f>LOG(Table1_1[[#This Row],[4:2 FTS]])</f>
        <v>-1.2184875739683902</v>
      </c>
      <c r="AG159">
        <f>LOG(Table1_1[[#This Row],[6:2 FTS]])</f>
        <v>-0.86391918046319705</v>
      </c>
      <c r="AH159">
        <f>LOG(Table1_1[[#This Row],[8:2 FTS]])</f>
        <v>0.84135947045485493</v>
      </c>
      <c r="AI159">
        <f>LOG(Table1_1[[#This Row],[10:2 FTS]])</f>
        <v>-0.18842499412940666</v>
      </c>
      <c r="AJ159">
        <f>LOG(Table1_1[[#This Row],[3:3 FTCA]])</f>
        <v>-1.0710227988933207</v>
      </c>
      <c r="AK159">
        <f>LOG(Table1_1[[#This Row],[5:3 FTCA]])</f>
        <v>-0.76701813536343477</v>
      </c>
      <c r="AL159">
        <f>LOG(Table1_1[[#This Row],[7:3 FTCA]])</f>
        <v>0.68663626926229337</v>
      </c>
      <c r="AM159">
        <f>LOG(Table1_1[[#This Row],[6:2 FTCA]])</f>
        <v>0.54406804435027567</v>
      </c>
      <c r="AN159">
        <f>LOG(Table1_1[[#This Row],[8:2 FTCA]])</f>
        <v>-1.5309762070964372</v>
      </c>
      <c r="AO159">
        <f>LOG(Table1_1[[#This Row],[10:2 FTCA]])</f>
        <v>-0.95921134332750135</v>
      </c>
      <c r="AP159">
        <f>LOG(Table1_1[[#This Row],[6:2 FTUCA]])</f>
        <v>-1.238057816728197</v>
      </c>
      <c r="AQ159">
        <f>LOG(Table1_1[[#This Row],[8:2 FTUCA]])</f>
        <v>-1.3517803492949487</v>
      </c>
      <c r="AR159">
        <f>LOG(Table1_1[[#This Row],[ADONA]])</f>
        <v>-1.1330361984243995</v>
      </c>
      <c r="AS159">
        <f>LOG(Table1_1[[#This Row],[9Cl-PF3ONS]])</f>
        <v>-1.2916099999153901</v>
      </c>
      <c r="AT159">
        <f>LOG(Table1_1[[#This Row],[11Cl-PF3OUdS]])</f>
        <v>-1.2365151917602641</v>
      </c>
      <c r="AU159">
        <f>LOG(Table1_1[[#This Row],[HFPO-DA]])</f>
        <v>-0.97617565241684412</v>
      </c>
      <c r="AV159">
        <f>LOG(Table1_1[[#This Row],[6:2 diPAP]])</f>
        <v>-1.105878727723649</v>
      </c>
      <c r="AW159">
        <f>LOG(Table1_1[[#This Row],[8:2 diPAP]])</f>
        <v>-1.0105535953014668</v>
      </c>
      <c r="AX159">
        <f>LOG(Table1_1[[#This Row],[diSAmPAP]])</f>
        <v>-0.88752353061024969</v>
      </c>
    </row>
    <row r="160" spans="1:50">
      <c r="A160">
        <f>LOG(Table1_1[[#This Row],[PFBA]])</f>
        <v>-1.0063233933788727</v>
      </c>
      <c r="B160">
        <f>LOG(Table1_1[[#This Row],[PFPeA]])</f>
        <v>-1.3337258136703096</v>
      </c>
      <c r="C160">
        <f>LOG(Table1_1[[#This Row],[PFHxA]])</f>
        <v>-0.87623799949441894</v>
      </c>
      <c r="D160">
        <f>LOG(Table1_1[[#This Row],[PFHpA]])</f>
        <v>-1.0063233933788727</v>
      </c>
      <c r="E160">
        <f>LOG(Table1_1[[#This Row],[PFOA]])</f>
        <v>0.65321251377534373</v>
      </c>
      <c r="F160">
        <f>LOG(Table1_1[[#This Row],[PFNA]])</f>
        <v>1.541579243946581</v>
      </c>
      <c r="G160">
        <f>LOG(Table1_1[[#This Row],[PFDA]])</f>
        <v>1.5250448070368452</v>
      </c>
      <c r="H160">
        <f>LOG(Table1_1[[#This Row],[PFUnA]])</f>
        <v>1.3996737214810382</v>
      </c>
      <c r="I160">
        <f>LOG(Table1_1[[#This Row],[PFDoA]])</f>
        <v>-1.2806211484246017</v>
      </c>
      <c r="J160">
        <f>LOG(Table1_1[[#This Row],[PFTrDA]])</f>
        <v>0.77378644498119353</v>
      </c>
      <c r="K160">
        <f>LOG(Table1_1[[#This Row],[PFTeDA]])</f>
        <v>0.74036268949424389</v>
      </c>
      <c r="L160">
        <f>LOG(Table1_1[[#This Row],[PFHxDA]])</f>
        <v>-1.10665993006046</v>
      </c>
      <c r="M160">
        <f>LOG(Table1_1[[#This Row],[PFPrS]])</f>
        <v>-1.3003654427443403</v>
      </c>
      <c r="N160">
        <f>LOG(Table1_1[[#This Row],[PFBS]])</f>
        <v>-0.77548549323540505</v>
      </c>
      <c r="O160">
        <f>LOG(Table1_1[[#This Row],[PFPeS]])</f>
        <v>-0.20551195334083039</v>
      </c>
      <c r="P160">
        <f>LOG(Table1_1[[#This Row],[PFHxS]])</f>
        <v>1.9680157139936418</v>
      </c>
      <c r="Q160">
        <f>LOG(Table1_1[[#This Row],[PFHpS]])</f>
        <v>1.0899051114393981</v>
      </c>
      <c r="R160">
        <f>LOG(Table1_1[[#This Row],[PFOS]])</f>
        <v>3.5224442335063197</v>
      </c>
      <c r="S160">
        <f>LOG(Table1_1[[#This Row],[PFNS]])</f>
        <v>0.39093510710337914</v>
      </c>
      <c r="T160">
        <f>LOG(Table1_1[[#This Row],[PFDS]])</f>
        <v>0.3222192947339193</v>
      </c>
      <c r="U160">
        <f>LOG(Table1_1[[#This Row],[PFDoS]])</f>
        <v>-0.23582386760966931</v>
      </c>
      <c r="V160">
        <f>LOG(Table1_1[[#This Row],[Cl-PFOS]])</f>
        <v>0.10720996964786837</v>
      </c>
      <c r="W160">
        <f>LOG(Table1_1[[#This Row],[PFEtCHxS]])</f>
        <v>-0.39469495385889053</v>
      </c>
      <c r="X160">
        <f>LOG(Table1_1[[#This Row],[FBSA]])</f>
        <v>1.9100905455940682</v>
      </c>
      <c r="Y160">
        <f>LOG(Table1_1[[#This Row],[FHxSA]])</f>
        <v>2.6031443726201822</v>
      </c>
      <c r="Z160">
        <f>LOG(Table1_1[[#This Row],[FOSA]])</f>
        <v>1.6222140229662954</v>
      </c>
      <c r="AA160">
        <f>LOG(Table1_1[[#This Row],[N-MeFOSA]])</f>
        <v>-1.2961565426110822</v>
      </c>
      <c r="AB160">
        <f>LOG(Table1_1[[#This Row],[N-EtFOSA]])</f>
        <v>-1.1158080751776274</v>
      </c>
      <c r="AC160">
        <f>LOG(Table1_1[[#This Row],[FOSAA]])</f>
        <v>-0.71172755309474312</v>
      </c>
      <c r="AD160">
        <f>LOG(Table1_1[[#This Row],[N-MeFOSAA]])</f>
        <v>-1.1802436560454699</v>
      </c>
      <c r="AE160">
        <f>LOG(Table1_1[[#This Row],[N-EtFOSAA]])</f>
        <v>-1.2443484081372742</v>
      </c>
      <c r="AF160">
        <f>LOG(Table1_1[[#This Row],[4:2 FTS]])</f>
        <v>-1.2683147382677809</v>
      </c>
      <c r="AG160">
        <f>LOG(Table1_1[[#This Row],[6:2 FTS]])</f>
        <v>-0.18375870000821692</v>
      </c>
      <c r="AH160">
        <f>LOG(Table1_1[[#This Row],[8:2 FTS]])</f>
        <v>1.6434526764861874</v>
      </c>
      <c r="AI160">
        <f>LOG(Table1_1[[#This Row],[10:2 FTS]])</f>
        <v>6.8185861746161619E-2</v>
      </c>
      <c r="AJ160">
        <f>LOG(Table1_1[[#This Row],[3:3 FTCA]])</f>
        <v>-1.1208499631927111</v>
      </c>
      <c r="AK160">
        <f>LOG(Table1_1[[#This Row],[5:3 FTCA]])</f>
        <v>1.0086001717619175</v>
      </c>
      <c r="AL160">
        <f>LOG(Table1_1[[#This Row],[7:3 FTCA]])</f>
        <v>1.2787536009528289</v>
      </c>
      <c r="AM160">
        <f>LOG(Table1_1[[#This Row],[6:2 FTCA]])</f>
        <v>0.56584781867351763</v>
      </c>
      <c r="AN160">
        <f>LOG(Table1_1[[#This Row],[8:2 FTCA]])</f>
        <v>-0.16367588429324828</v>
      </c>
      <c r="AO160">
        <f>LOG(Table1_1[[#This Row],[10:2 FTCA]])</f>
        <v>-1.009038507626892</v>
      </c>
      <c r="AP160">
        <f>LOG(Table1_1[[#This Row],[6:2 FTUCA]])</f>
        <v>-1.2878849810275874</v>
      </c>
      <c r="AQ160">
        <f>LOG(Table1_1[[#This Row],[8:2 FTUCA]])</f>
        <v>-1.4016075135943393</v>
      </c>
      <c r="AR160">
        <f>LOG(Table1_1[[#This Row],[ADONA]])</f>
        <v>-1.1828633627237901</v>
      </c>
      <c r="AS160">
        <f>LOG(Table1_1[[#This Row],[9Cl-PF3ONS]])</f>
        <v>-1.3414371642147804</v>
      </c>
      <c r="AT160">
        <f>LOG(Table1_1[[#This Row],[11Cl-PF3OUdS]])</f>
        <v>-1.286342356059655</v>
      </c>
      <c r="AU160">
        <f>LOG(Table1_1[[#This Row],[HFPO-DA]])</f>
        <v>-1.0260028167162347</v>
      </c>
      <c r="AV160">
        <f>LOG(Table1_1[[#This Row],[6:2 diPAP]])</f>
        <v>-1.1557058920230396</v>
      </c>
      <c r="AW160">
        <f>LOG(Table1_1[[#This Row],[8:2 diPAP]])</f>
        <v>-1.0603807596008574</v>
      </c>
      <c r="AX160">
        <f>LOG(Table1_1[[#This Row],[diSAmPAP]])</f>
        <v>-0.93735069490964029</v>
      </c>
    </row>
    <row r="161" spans="1:50">
      <c r="A161">
        <f>LOG(Table1_1[[#This Row],[PFBA]])</f>
        <v>-0.69897000433601875</v>
      </c>
      <c r="B161">
        <f>LOG(Table1_1[[#This Row],[PFPeA]])</f>
        <v>-1.3690638809358084</v>
      </c>
      <c r="C161">
        <f>LOG(Table1_1[[#This Row],[PFHxA]])</f>
        <v>-0.96657624451305035</v>
      </c>
      <c r="D161">
        <f>LOG(Table1_1[[#This Row],[PFHpA]])</f>
        <v>-1.0969100130080565</v>
      </c>
      <c r="E161">
        <f>LOG(Table1_1[[#This Row],[PFOA]])</f>
        <v>0.33041377334919086</v>
      </c>
      <c r="F161">
        <f>LOG(Table1_1[[#This Row],[PFNA]])</f>
        <v>0.70842090013471271</v>
      </c>
      <c r="G161">
        <f>LOG(Table1_1[[#This Row],[PFDA]])</f>
        <v>1</v>
      </c>
      <c r="H161">
        <f>LOG(Table1_1[[#This Row],[PFUnA]])</f>
        <v>0.87157293554587878</v>
      </c>
      <c r="I161">
        <f>LOG(Table1_1[[#This Row],[PFDoA]])</f>
        <v>0.7888751157754168</v>
      </c>
      <c r="J161">
        <f>LOG(Table1_1[[#This Row],[PFTrDA]])</f>
        <v>0.14301480025409505</v>
      </c>
      <c r="K161">
        <f>LOG(Table1_1[[#This Row],[PFTeDA]])</f>
        <v>0.22788670461367352</v>
      </c>
      <c r="L161">
        <f>LOG(Table1_1[[#This Row],[PFHxDA]])</f>
        <v>-1.1426675035687315</v>
      </c>
      <c r="M161">
        <f>LOG(Table1_1[[#This Row],[PFPrS]])</f>
        <v>-1.3353580244438745</v>
      </c>
      <c r="N161">
        <f>LOG(Table1_1[[#This Row],[PFBS]])</f>
        <v>-0.86646109162978246</v>
      </c>
      <c r="O161">
        <f>LOG(Table1_1[[#This Row],[PFPeS]])</f>
        <v>-0.4788619162959637</v>
      </c>
      <c r="P161">
        <f>LOG(Table1_1[[#This Row],[PFHxS]])</f>
        <v>1.5118833609788744</v>
      </c>
      <c r="Q161">
        <f>LOG(Table1_1[[#This Row],[PFHpS]])</f>
        <v>0.81224469680036926</v>
      </c>
      <c r="R161">
        <f>LOG(Table1_1[[#This Row],[PFOS]])</f>
        <v>2.9537596917332287</v>
      </c>
      <c r="S161">
        <f>LOG(Table1_1[[#This Row],[PFNS]])</f>
        <v>-0.12090412049992724</v>
      </c>
      <c r="T161">
        <f>LOG(Table1_1[[#This Row],[PFDS]])</f>
        <v>-7.8885122130503398E-3</v>
      </c>
      <c r="U161">
        <f>LOG(Table1_1[[#This Row],[PFDoS]])</f>
        <v>-0.6706021206389573</v>
      </c>
      <c r="V161">
        <f>LOG(Table1_1[[#This Row],[Cl-PFOS]])</f>
        <v>-0.40230481407448765</v>
      </c>
      <c r="W161">
        <f>LOG(Table1_1[[#This Row],[PFEtCHxS]])</f>
        <v>-0.4762535331884355</v>
      </c>
      <c r="X161">
        <f>LOG(Table1_1[[#This Row],[FBSA]])</f>
        <v>1.6919651027673603</v>
      </c>
      <c r="Y161">
        <f>LOG(Table1_1[[#This Row],[FHxSA]])</f>
        <v>2.5575072019056577</v>
      </c>
      <c r="Z161">
        <f>LOG(Table1_1[[#This Row],[FOSA]])</f>
        <v>1.4517864355242902</v>
      </c>
      <c r="AA161">
        <f>LOG(Table1_1[[#This Row],[N-MeFOSA]])</f>
        <v>-1.3311483519174814</v>
      </c>
      <c r="AB161">
        <f>LOG(Table1_1[[#This Row],[N-EtFOSA]])</f>
        <v>-1.1518108830086013</v>
      </c>
      <c r="AC161">
        <f>LOG(Table1_1[[#This Row],[FOSAA]])</f>
        <v>-0.80271944187438071</v>
      </c>
      <c r="AD161">
        <f>LOG(Table1_1[[#This Row],[N-MeFOSAA]])</f>
        <v>-0.69680394257951106</v>
      </c>
      <c r="AE161">
        <f>LOG(Table1_1[[#This Row],[N-EtFOSAA]])</f>
        <v>-1.2798406965940432</v>
      </c>
      <c r="AF161">
        <f>LOG(Table1_1[[#This Row],[4:2 FTS]])</f>
        <v>-1.3036436112666678</v>
      </c>
      <c r="AG161">
        <f>LOG(Table1_1[[#This Row],[6:2 FTS]])</f>
        <v>-0.42021640338318983</v>
      </c>
      <c r="AH161">
        <f>LOG(Table1_1[[#This Row],[8:2 FTS]])</f>
        <v>0.94546858513181975</v>
      </c>
      <c r="AI161">
        <f>LOG(Table1_1[[#This Row],[10:2 FTS]])</f>
        <v>-0.64397414280687726</v>
      </c>
      <c r="AJ161">
        <f>LOG(Table1_1[[#This Row],[3:3 FTCA]])</f>
        <v>-1.1549019599857431</v>
      </c>
      <c r="AK161">
        <f>LOG(Table1_1[[#This Row],[5:3 FTCA]])</f>
        <v>4.5322978786657475E-2</v>
      </c>
      <c r="AL161">
        <f>LOG(Table1_1[[#This Row],[7:3 FTCA]])</f>
        <v>1.2528530309798931</v>
      </c>
      <c r="AM161">
        <f>LOG(Table1_1[[#This Row],[6:2 FTCA]])</f>
        <v>-0.32148162095988608</v>
      </c>
      <c r="AN161">
        <f>LOG(Table1_1[[#This Row],[8:2 FTCA]])</f>
        <v>0.39967372148103808</v>
      </c>
      <c r="AO161">
        <f>LOG(Table1_1[[#This Row],[10:2 FTCA]])</f>
        <v>-1.0433514207947967</v>
      </c>
      <c r="AP161">
        <f>LOG(Table1_1[[#This Row],[6:2 FTUCA]])</f>
        <v>-1.3223930472795069</v>
      </c>
      <c r="AQ161">
        <f>LOG(Table1_1[[#This Row],[8:2 FTUCA]])</f>
        <v>-1.4377071355435254</v>
      </c>
      <c r="AR161">
        <f>LOG(Table1_1[[#This Row],[ADONA]])</f>
        <v>-1.2182446253475312</v>
      </c>
      <c r="AS161">
        <f>LOG(Table1_1[[#This Row],[9Cl-PF3ONS]])</f>
        <v>-1.2182446253475312</v>
      </c>
      <c r="AT161">
        <f>LOG(Table1_1[[#This Row],[11Cl-PF3OUdS]])</f>
        <v>-1.2182446253475312</v>
      </c>
      <c r="AU161">
        <f>LOG(Table1_1[[#This Row],[HFPO-DA]])</f>
        <v>-1.0604807473813815</v>
      </c>
      <c r="AV161">
        <f>LOG(Table1_1[[#This Row],[6:2 diPAP]])</f>
        <v>-1.1904402853647322</v>
      </c>
      <c r="AW161">
        <f>LOG(Table1_1[[#This Row],[8:2 diPAP]])</f>
        <v>-1.0942041196321315</v>
      </c>
      <c r="AX161">
        <f>LOG(Table1_1[[#This Row],[diSAmPAP]])</f>
        <v>-0.97265039222524352</v>
      </c>
    </row>
    <row r="162" spans="1:50">
      <c r="A162">
        <f>LOG(Table1_1[[#This Row],[PFBA]])</f>
        <v>-0.96257350205937642</v>
      </c>
      <c r="B162">
        <f>LOG(Table1_1[[#This Row],[PFPeA]])</f>
        <v>-1.1135092748275182</v>
      </c>
      <c r="C162">
        <f>LOG(Table1_1[[#This Row],[PFHxA]])</f>
        <v>-1.2291479883578558</v>
      </c>
      <c r="D162">
        <f>LOG(Table1_1[[#This Row],[PFHpA]])</f>
        <v>-0.66054855869355933</v>
      </c>
      <c r="E162">
        <f>LOG(Table1_1[[#This Row],[PFOA]])</f>
        <v>0.57403126772771884</v>
      </c>
      <c r="F162">
        <f>LOG(Table1_1[[#This Row],[PFNA]])</f>
        <v>0.54777470538782258</v>
      </c>
      <c r="G162">
        <f>LOG(Table1_1[[#This Row],[PFDA]])</f>
        <v>1.0128372247051722</v>
      </c>
      <c r="H162">
        <f>LOG(Table1_1[[#This Row],[PFUnA]])</f>
        <v>0.78746047451841505</v>
      </c>
      <c r="I162">
        <f>LOG(Table1_1[[#This Row],[PFDoA]])</f>
        <v>0.73559889969817993</v>
      </c>
      <c r="J162">
        <f>LOG(Table1_1[[#This Row],[PFTrDA]])</f>
        <v>0.43933269383026263</v>
      </c>
      <c r="K162">
        <f>LOG(Table1_1[[#This Row],[PFTeDA]])</f>
        <v>0.38916608436453248</v>
      </c>
      <c r="L162">
        <f>LOG(Table1_1[[#This Row],[PFHxDA]])</f>
        <v>-0.88605664769316317</v>
      </c>
      <c r="M162">
        <f>LOG(Table1_1[[#This Row],[PFPrS]])</f>
        <v>-0.96257350205937642</v>
      </c>
      <c r="N162">
        <f>LOG(Table1_1[[#This Row],[PFBS]])</f>
        <v>-0.66054855869355933</v>
      </c>
      <c r="O162">
        <f>LOG(Table1_1[[#This Row],[PFPeS]])</f>
        <v>-0.22329881601158919</v>
      </c>
      <c r="P162">
        <f>LOG(Table1_1[[#This Row],[PFHxS]])</f>
        <v>1.8363241157067516</v>
      </c>
      <c r="Q162">
        <f>LOG(Table1_1[[#This Row],[PFHpS]])</f>
        <v>0.81756536955978076</v>
      </c>
      <c r="R162">
        <f>LOG(Table1_1[[#This Row],[PFOS]])</f>
        <v>2.8500332576897689</v>
      </c>
      <c r="S162">
        <f>LOG(Table1_1[[#This Row],[PFNS]])</f>
        <v>-0.12726117252733121</v>
      </c>
      <c r="T162">
        <f>LOG(Table1_1[[#This Row],[PFDS]])</f>
        <v>9.691001300805642E-2</v>
      </c>
      <c r="U162">
        <f>LOG(Table1_1[[#This Row],[PFDoS]])</f>
        <v>-0.63171311509786898</v>
      </c>
      <c r="V162">
        <f>LOG(Table1_1[[#This Row],[Cl-PFOS]])</f>
        <v>-0.27901425584626094</v>
      </c>
      <c r="W162">
        <f>LOG(Table1_1[[#This Row],[PFEtCHxS]])</f>
        <v>-0.36051351073141397</v>
      </c>
      <c r="X162">
        <f>LOG(Table1_1[[#This Row],[FBSA]])</f>
        <v>1.670245853074124</v>
      </c>
      <c r="Y162">
        <f>LOG(Table1_1[[#This Row],[FHxSA]])</f>
        <v>2.762678563727436</v>
      </c>
      <c r="Z162">
        <f>LOG(Table1_1[[#This Row],[FOSA]])</f>
        <v>1.414973347970818</v>
      </c>
      <c r="AA162">
        <f>LOG(Table1_1[[#This Row],[N-MeFOSA]])</f>
        <v>-1.0757207139381184</v>
      </c>
      <c r="AB162">
        <f>LOG(Table1_1[[#This Row],[N-EtFOSA]])</f>
        <v>-0.66054855869355933</v>
      </c>
      <c r="AC162">
        <f>LOG(Table1_1[[#This Row],[FOSAA]])</f>
        <v>-0.66054855869355933</v>
      </c>
      <c r="AD162">
        <f>LOG(Table1_1[[#This Row],[N-MeFOSAA]])</f>
        <v>-0.95860731484177497</v>
      </c>
      <c r="AE162">
        <f>LOG(Table1_1[[#This Row],[N-EtFOSAA]])</f>
        <v>-0.96257350205937642</v>
      </c>
      <c r="AF162">
        <f>LOG(Table1_1[[#This Row],[4:2 FTS]])</f>
        <v>-0.96257350205937642</v>
      </c>
      <c r="AG162">
        <f>LOG(Table1_1[[#This Row],[6:2 FTS]])</f>
        <v>-6.1230850587887945E-3</v>
      </c>
      <c r="AH162">
        <f>LOG(Table1_1[[#This Row],[8:2 FTS]])</f>
        <v>1.2624510897304295</v>
      </c>
      <c r="AI162">
        <f>LOG(Table1_1[[#This Row],[10:2 FTS]])</f>
        <v>-0.36001575195841146</v>
      </c>
      <c r="AJ162">
        <f>LOG(Table1_1[[#This Row],[3:3 FTCA]])</f>
        <v>-0.66054855869355933</v>
      </c>
      <c r="AK162">
        <f>LOG(Table1_1[[#This Row],[5:3 FTCA]])</f>
        <v>-0.96257350205937642</v>
      </c>
      <c r="AL162">
        <f>LOG(Table1_1[[#This Row],[7:3 FTCA]])</f>
        <v>-0.66054855869355933</v>
      </c>
      <c r="AM162">
        <f>LOG(Table1_1[[#This Row],[6:2 FTCA]])</f>
        <v>-0.66054855869355933</v>
      </c>
      <c r="AN162">
        <f>LOG(Table1_1[[#This Row],[8:2 FTCA]])</f>
        <v>-0.96257350205937642</v>
      </c>
      <c r="AO162">
        <f>LOG(Table1_1[[#This Row],[10:2 FTCA]])</f>
        <v>-0.66054855869355933</v>
      </c>
      <c r="AP162">
        <f>LOG(Table1_1[[#This Row],[6:2 FTUCA]])</f>
        <v>-1.0680338852718274</v>
      </c>
      <c r="AQ162">
        <f>LOG(Table1_1[[#This Row],[8:2 FTUCA]])</f>
        <v>-1.1804560644581312</v>
      </c>
      <c r="AR162">
        <f>LOG(Table1_1[[#This Row],[ADONA]])</f>
        <v>-1.0154726866562074</v>
      </c>
      <c r="AS162">
        <f>LOG(Table1_1[[#This Row],[9Cl-PF3ONS]])</f>
        <v>-0.66054855869355933</v>
      </c>
      <c r="AT162">
        <f>LOG(Table1_1[[#This Row],[11Cl-PF3OUdS]])</f>
        <v>-0.66054855869355933</v>
      </c>
      <c r="AU162">
        <f>LOG(Table1_1[[#This Row],[HFPO-DA]])</f>
        <v>-0.8054856581175327</v>
      </c>
      <c r="AV162">
        <f>LOG(Table1_1[[#This Row],[6:2 diPAP]])</f>
        <v>-0.66054855869355933</v>
      </c>
      <c r="AW162">
        <f>LOG(Table1_1[[#This Row],[8:2 diPAP]])</f>
        <v>-0.66054855869355933</v>
      </c>
      <c r="AX162">
        <f>LOG(Table1_1[[#This Row],[diSAmPAP]])</f>
        <v>-0.66054855869355933</v>
      </c>
    </row>
    <row r="163" spans="1:50">
      <c r="A163">
        <f>LOG(Table1_1[[#This Row],[PFBA]])</f>
        <v>-0.61350103444934689</v>
      </c>
      <c r="B163">
        <f>LOG(Table1_1[[#This Row],[PFPeA]])</f>
        <v>-1.0655015487564323</v>
      </c>
      <c r="C163">
        <f>LOG(Table1_1[[#This Row],[PFHxA]])</f>
        <v>-1.1804560644581312</v>
      </c>
      <c r="D163">
        <f>LOG(Table1_1[[#This Row],[PFHpA]])</f>
        <v>-0.61350103444934689</v>
      </c>
      <c r="E163">
        <f>LOG(Table1_1[[#This Row],[PFOA]])</f>
        <v>0.12385164096708581</v>
      </c>
      <c r="F163">
        <f>LOG(Table1_1[[#This Row],[PFNA]])</f>
        <v>0.31386722036915343</v>
      </c>
      <c r="G163">
        <f>LOG(Table1_1[[#This Row],[PFDA]])</f>
        <v>0.78746047451841505</v>
      </c>
      <c r="H163">
        <f>LOG(Table1_1[[#This Row],[PFUnA]])</f>
        <v>0.99782308074572545</v>
      </c>
      <c r="I163">
        <f>LOG(Table1_1[[#This Row],[PFDoA]])</f>
        <v>1.0211892990699381</v>
      </c>
      <c r="J163">
        <f>LOG(Table1_1[[#This Row],[PFTrDA]])</f>
        <v>0.89872518158949355</v>
      </c>
      <c r="K163">
        <f>LOG(Table1_1[[#This Row],[PFTeDA]])</f>
        <v>0.52633927738984398</v>
      </c>
      <c r="L163">
        <f>LOG(Table1_1[[#This Row],[PFHxDA]])</f>
        <v>-0.83863199776502517</v>
      </c>
      <c r="M163">
        <f>LOG(Table1_1[[#This Row],[PFPrS]])</f>
        <v>-0.91364016932525183</v>
      </c>
      <c r="N163">
        <f>LOG(Table1_1[[#This Row],[PFBS]])</f>
        <v>-0.61350103444934689</v>
      </c>
      <c r="O163">
        <f>LOG(Table1_1[[#This Row],[PFPeS]])</f>
        <v>-0.51855737149769499</v>
      </c>
      <c r="P163">
        <f>LOG(Table1_1[[#This Row],[PFHxS]])</f>
        <v>1.6159500516564009</v>
      </c>
      <c r="Q163">
        <f>LOG(Table1_1[[#This Row],[PFHpS]])</f>
        <v>0.52762990087133865</v>
      </c>
      <c r="R163">
        <f>LOG(Table1_1[[#This Row],[PFOS]])</f>
        <v>2.8162412999917832</v>
      </c>
      <c r="S163">
        <f>LOG(Table1_1[[#This Row],[PFNS]])</f>
        <v>-0.31069114087637978</v>
      </c>
      <c r="T163">
        <f>LOG(Table1_1[[#This Row],[PFDS]])</f>
        <v>-0.61350103444934689</v>
      </c>
      <c r="U163">
        <f>LOG(Table1_1[[#This Row],[PFDoS]])</f>
        <v>-0.5841922723644567</v>
      </c>
      <c r="V163">
        <f>LOG(Table1_1[[#This Row],[Cl-PFOS]])</f>
        <v>-0.82973828460504262</v>
      </c>
      <c r="W163">
        <f>LOG(Table1_1[[#This Row],[PFEtCHxS]])</f>
        <v>-0.69897000433601875</v>
      </c>
      <c r="X163">
        <f>LOG(Table1_1[[#This Row],[FBSA]])</f>
        <v>2.2900346113625178</v>
      </c>
      <c r="Y163">
        <f>LOG(Table1_1[[#This Row],[FHxSA]])</f>
        <v>2.8609366207000937</v>
      </c>
      <c r="Z163">
        <f>LOG(Table1_1[[#This Row],[FOSA]])</f>
        <v>1.2695129442179163</v>
      </c>
      <c r="AA163">
        <f>LOG(Table1_1[[#This Row],[N-MeFOSA]])</f>
        <v>-1.0268721464003014</v>
      </c>
      <c r="AB163">
        <f>LOG(Table1_1[[#This Row],[N-EtFOSA]])</f>
        <v>-0.61350103444934689</v>
      </c>
      <c r="AC163">
        <f>LOG(Table1_1[[#This Row],[FOSAA]])</f>
        <v>-0.61350103444934689</v>
      </c>
      <c r="AD163">
        <f>LOG(Table1_1[[#This Row],[N-MeFOSAA]])</f>
        <v>-0.91186391129944877</v>
      </c>
      <c r="AE163">
        <f>LOG(Table1_1[[#This Row],[N-EtFOSAA]])</f>
        <v>-0.91364016932525183</v>
      </c>
      <c r="AF163">
        <f>LOG(Table1_1[[#This Row],[4:2 FTS]])</f>
        <v>-0.91364016932525183</v>
      </c>
      <c r="AG163">
        <f>LOG(Table1_1[[#This Row],[6:2 FTS]])</f>
        <v>-0.2865094569060575</v>
      </c>
      <c r="AH163">
        <f>LOG(Table1_1[[#This Row],[8:2 FTS]])</f>
        <v>1.2041199826559248</v>
      </c>
      <c r="AI163">
        <f>LOG(Table1_1[[#This Row],[10:2 FTS]])</f>
        <v>-0.61350103444934689</v>
      </c>
      <c r="AJ163">
        <f>LOG(Table1_1[[#This Row],[3:3 FTCA]])</f>
        <v>-0.61350103444934689</v>
      </c>
      <c r="AK163">
        <f>LOG(Table1_1[[#This Row],[5:3 FTCA]])</f>
        <v>-0.91364016932525183</v>
      </c>
      <c r="AL163">
        <f>LOG(Table1_1[[#This Row],[7:3 FTCA]])</f>
        <v>0.81690383937566025</v>
      </c>
      <c r="AM163">
        <f>LOG(Table1_1[[#This Row],[6:2 FTCA]])</f>
        <v>-0.61350103444934689</v>
      </c>
      <c r="AN163">
        <f>LOG(Table1_1[[#This Row],[8:2 FTCA]])</f>
        <v>-0.91364016932525183</v>
      </c>
      <c r="AO163">
        <f>LOG(Table1_1[[#This Row],[10:2 FTCA]])</f>
        <v>-0.61350103444934689</v>
      </c>
      <c r="AP163">
        <f>LOG(Table1_1[[#This Row],[6:2 FTUCA]])</f>
        <v>-1.0199966284162536</v>
      </c>
      <c r="AQ163">
        <f>LOG(Table1_1[[#This Row],[8:2 FTUCA]])</f>
        <v>-1.133712660915805</v>
      </c>
      <c r="AR163">
        <f>LOG(Table1_1[[#This Row],[ADONA]])</f>
        <v>-0.96859153574837586</v>
      </c>
      <c r="AS163">
        <f>LOG(Table1_1[[#This Row],[9Cl-PF3ONS]])</f>
        <v>-0.61350103444934689</v>
      </c>
      <c r="AT163">
        <f>LOG(Table1_1[[#This Row],[11Cl-PF3OUdS]])</f>
        <v>-0.61350103444934689</v>
      </c>
      <c r="AU163">
        <f>LOG(Table1_1[[#This Row],[HFPO-DA]])</f>
        <v>-0.75696195131370558</v>
      </c>
      <c r="AV163">
        <f>LOG(Table1_1[[#This Row],[6:2 diPAP]])</f>
        <v>-0.61350103444934689</v>
      </c>
      <c r="AW163">
        <f>LOG(Table1_1[[#This Row],[8:2 diPAP]])</f>
        <v>-0.61350103444934689</v>
      </c>
      <c r="AX163">
        <f>LOG(Table1_1[[#This Row],[diSAmPAP]])</f>
        <v>-0.61350103444934689</v>
      </c>
    </row>
    <row r="164" spans="1:50">
      <c r="A164">
        <f>LOG(Table1_1[[#This Row],[PFBA]])</f>
        <v>-0.59260909552926844</v>
      </c>
      <c r="B164">
        <f>LOG(Table1_1[[#This Row],[PFPeA]])</f>
        <v>-1.0433514207947967</v>
      </c>
      <c r="C164">
        <f>LOG(Table1_1[[#This Row],[PFHxA]])</f>
        <v>-0.86012091359876341</v>
      </c>
      <c r="D164">
        <f>LOG(Table1_1[[#This Row],[PFHpA]])</f>
        <v>-0.89279003035213167</v>
      </c>
      <c r="E164">
        <f>LOG(Table1_1[[#This Row],[PFOA]])</f>
        <v>0.4668676203541095</v>
      </c>
      <c r="F164">
        <f>LOG(Table1_1[[#This Row],[PFNA]])</f>
        <v>0.36548798489089962</v>
      </c>
      <c r="G164">
        <f>LOG(Table1_1[[#This Row],[PFDA]])</f>
        <v>0.82672252016899206</v>
      </c>
      <c r="H164">
        <f>LOG(Table1_1[[#This Row],[PFUnA]])</f>
        <v>0.88761730033573616</v>
      </c>
      <c r="I164">
        <f>LOG(Table1_1[[#This Row],[PFDoA]])</f>
        <v>1.1986570869544226</v>
      </c>
      <c r="J164">
        <f>LOG(Table1_1[[#This Row],[PFTrDA]])</f>
        <v>0.87273882747266884</v>
      </c>
      <c r="K164">
        <f>LOG(Table1_1[[#This Row],[PFTeDA]])</f>
        <v>1.1335389083702174</v>
      </c>
      <c r="L164">
        <f>LOG(Table1_1[[#This Row],[PFHxDA]])</f>
        <v>-0.81673015631719537</v>
      </c>
      <c r="M164">
        <f>LOG(Table1_1[[#This Row],[PFPrS]])</f>
        <v>-0.89279003035213167</v>
      </c>
      <c r="N164">
        <f>LOG(Table1_1[[#This Row],[PFBS]])</f>
        <v>-0.59260909552926844</v>
      </c>
      <c r="O164">
        <f>LOG(Table1_1[[#This Row],[PFPeS]])</f>
        <v>-0.43651891460558934</v>
      </c>
      <c r="P164">
        <f>LOG(Table1_1[[#This Row],[PFHxS]])</f>
        <v>1.7803173121401512</v>
      </c>
      <c r="Q164">
        <f>LOG(Table1_1[[#This Row],[PFHpS]])</f>
        <v>0.42975228000240795</v>
      </c>
      <c r="R164">
        <f>LOG(Table1_1[[#This Row],[PFOS]])</f>
        <v>2.8597385661971471</v>
      </c>
      <c r="S164">
        <f>LOG(Table1_1[[#This Row],[PFNS]])</f>
        <v>-0.59260909552926844</v>
      </c>
      <c r="T164">
        <f>LOG(Table1_1[[#This Row],[PFDS]])</f>
        <v>-0.18045606445813131</v>
      </c>
      <c r="U164">
        <f>LOG(Table1_1[[#This Row],[PFDoS]])</f>
        <v>-0.56304266933055036</v>
      </c>
      <c r="V164">
        <f>LOG(Table1_1[[#This Row],[Cl-PFOS]])</f>
        <v>-0.80826960663714364</v>
      </c>
      <c r="W164">
        <f>LOG(Table1_1[[#This Row],[PFEtCHxS]])</f>
        <v>-0.98927613460822694</v>
      </c>
      <c r="X164">
        <f>LOG(Table1_1[[#This Row],[FBSA]])</f>
        <v>1.9020028913507294</v>
      </c>
      <c r="Y164">
        <f>LOG(Table1_1[[#This Row],[FHxSA]])</f>
        <v>2.4456042032735974</v>
      </c>
      <c r="Z164">
        <f>LOG(Table1_1[[#This Row],[FOSA]])</f>
        <v>1.0644579892269184</v>
      </c>
      <c r="AA164">
        <f>LOG(Table1_1[[#This Row],[N-MeFOSA]])</f>
        <v>-1.0065637695023884</v>
      </c>
      <c r="AB164">
        <f>LOG(Table1_1[[#This Row],[N-EtFOSA]])</f>
        <v>-0.59260909552926844</v>
      </c>
      <c r="AC164">
        <f>LOG(Table1_1[[#This Row],[FOSAA]])</f>
        <v>-0.59260909552926844</v>
      </c>
      <c r="AD164">
        <f>LOG(Table1_1[[#This Row],[N-MeFOSAA]])</f>
        <v>-0.89109687233268664</v>
      </c>
      <c r="AE164">
        <f>LOG(Table1_1[[#This Row],[N-EtFOSAA]])</f>
        <v>-0.89279003035213167</v>
      </c>
      <c r="AF164">
        <f>LOG(Table1_1[[#This Row],[4:2 FTS]])</f>
        <v>-0.89279003035213167</v>
      </c>
      <c r="AG164">
        <f>LOG(Table1_1[[#This Row],[6:2 FTS]])</f>
        <v>-7.1604147743286189E-2</v>
      </c>
      <c r="AH164">
        <f>LOG(Table1_1[[#This Row],[8:2 FTS]])</f>
        <v>1.0606978403536116</v>
      </c>
      <c r="AI164">
        <f>LOG(Table1_1[[#This Row],[10:2 FTS]])</f>
        <v>-0.29242982390206362</v>
      </c>
      <c r="AJ164">
        <f>LOG(Table1_1[[#This Row],[3:3 FTCA]])</f>
        <v>-0.59260909552926844</v>
      </c>
      <c r="AK164">
        <f>LOG(Table1_1[[#This Row],[5:3 FTCA]])</f>
        <v>-0.89279003035213167</v>
      </c>
      <c r="AL164">
        <f>LOG(Table1_1[[#This Row],[7:3 FTCA]])</f>
        <v>0.82801506422397686</v>
      </c>
      <c r="AM164">
        <f>LOG(Table1_1[[#This Row],[6:2 FTCA]])</f>
        <v>-0.59260909552926844</v>
      </c>
      <c r="AN164">
        <f>LOG(Table1_1[[#This Row],[8:2 FTCA]])</f>
        <v>-0.89279003035213167</v>
      </c>
      <c r="AO164">
        <f>LOG(Table1_1[[#This Row],[10:2 FTCA]])</f>
        <v>-0.59260909552926844</v>
      </c>
      <c r="AP164">
        <f>LOG(Table1_1[[#This Row],[6:2 FTUCA]])</f>
        <v>-0.99783393824349231</v>
      </c>
      <c r="AQ164">
        <f>LOG(Table1_1[[#This Row],[8:2 FTUCA]])</f>
        <v>-1.1106982974936896</v>
      </c>
      <c r="AR164">
        <f>LOG(Table1_1[[#This Row],[ADONA]])</f>
        <v>-0.94692155651658028</v>
      </c>
      <c r="AS164">
        <f>LOG(Table1_1[[#This Row],[9Cl-PF3ONS]])</f>
        <v>-0.59260909552926844</v>
      </c>
      <c r="AT164">
        <f>LOG(Table1_1[[#This Row],[11Cl-PF3OUdS]])</f>
        <v>-0.59260909552926844</v>
      </c>
      <c r="AU164">
        <f>LOG(Table1_1[[#This Row],[HFPO-DA]])</f>
        <v>-0.73636393141189183</v>
      </c>
      <c r="AV164">
        <f>LOG(Table1_1[[#This Row],[6:2 diPAP]])</f>
        <v>-0.59260909552926844</v>
      </c>
      <c r="AW164">
        <f>LOG(Table1_1[[#This Row],[8:2 diPAP]])</f>
        <v>-0.59260909552926844</v>
      </c>
      <c r="AX164">
        <f>LOG(Table1_1[[#This Row],[diSAmPAP]])</f>
        <v>-0.59260909552926844</v>
      </c>
    </row>
    <row r="165" spans="1:50">
      <c r="A165">
        <f>LOG(Table1_1[[#This Row],[PFBA]])</f>
        <v>-0.60554831917378371</v>
      </c>
      <c r="B165">
        <f>LOG(Table1_1[[#This Row],[PFPeA]])</f>
        <v>-1.0579919469776868</v>
      </c>
      <c r="C165">
        <f>LOG(Table1_1[[#This Row],[PFHxA]])</f>
        <v>-0.8728952016351923</v>
      </c>
      <c r="D165">
        <f>LOG(Table1_1[[#This Row],[PFHpA]])</f>
        <v>-0.60554831917378371</v>
      </c>
      <c r="E165">
        <f>LOG(Table1_1[[#This Row],[PFOA]])</f>
        <v>0.73158876518673865</v>
      </c>
      <c r="F165">
        <f>LOG(Table1_1[[#This Row],[PFNA]])</f>
        <v>0.87621784059164221</v>
      </c>
      <c r="G165">
        <f>LOG(Table1_1[[#This Row],[PFDA]])</f>
        <v>1.0453229787866574</v>
      </c>
      <c r="H165">
        <f>LOG(Table1_1[[#This Row],[PFUnA]])</f>
        <v>0.98766626492627463</v>
      </c>
      <c r="I165">
        <f>LOG(Table1_1[[#This Row],[PFDoA]])</f>
        <v>0.85369821177617433</v>
      </c>
      <c r="J165">
        <f>LOG(Table1_1[[#This Row],[PFTrDA]])</f>
        <v>0.57749179983722532</v>
      </c>
      <c r="K165">
        <f>LOG(Table1_1[[#This Row],[PFTeDA]])</f>
        <v>0.40312052117581787</v>
      </c>
      <c r="L165">
        <f>LOG(Table1_1[[#This Row],[PFHxDA]])</f>
        <v>-0.83120797968581828</v>
      </c>
      <c r="M165">
        <f>LOG(Table1_1[[#This Row],[PFPrS]])</f>
        <v>-0.90657831483776496</v>
      </c>
      <c r="N165">
        <f>LOG(Table1_1[[#This Row],[PFBS]])</f>
        <v>-0.60554831917378371</v>
      </c>
      <c r="O165">
        <f>LOG(Table1_1[[#This Row],[PFPeS]])</f>
        <v>-0.36151074304536268</v>
      </c>
      <c r="P165">
        <f>LOG(Table1_1[[#This Row],[PFHxS]])</f>
        <v>1.7972675408307164</v>
      </c>
      <c r="Q165">
        <f>LOG(Table1_1[[#This Row],[PFHpS]])</f>
        <v>0.80955971463526777</v>
      </c>
      <c r="R165">
        <f>LOG(Table1_1[[#This Row],[PFOS]])</f>
        <v>2.9079485216122722</v>
      </c>
      <c r="S165">
        <f>LOG(Table1_1[[#This Row],[PFNS]])</f>
        <v>-0.14569395819891939</v>
      </c>
      <c r="T165">
        <f>LOG(Table1_1[[#This Row],[PFDS]])</f>
        <v>-0.1752235375244543</v>
      </c>
      <c r="U165">
        <f>LOG(Table1_1[[#This Row],[PFDoS]])</f>
        <v>-0.5767541260631921</v>
      </c>
      <c r="V165">
        <f>LOG(Table1_1[[#This Row],[Cl-PFOS]])</f>
        <v>-0.4841261562883209</v>
      </c>
      <c r="W165">
        <f>LOG(Table1_1[[#This Row],[PFEtCHxS]])</f>
        <v>-0.4762535331884355</v>
      </c>
      <c r="X165">
        <f>LOG(Table1_1[[#This Row],[FBSA]])</f>
        <v>1.7323937598229686</v>
      </c>
      <c r="Y165">
        <f>LOG(Table1_1[[#This Row],[FHxSA]])</f>
        <v>2.5831987739686229</v>
      </c>
      <c r="Z165">
        <f>LOG(Table1_1[[#This Row],[FOSA]])</f>
        <v>1.1303337684950061</v>
      </c>
      <c r="AA165">
        <f>LOG(Table1_1[[#This Row],[N-MeFOSA]])</f>
        <v>-1.0199966284162536</v>
      </c>
      <c r="AB165">
        <f>LOG(Table1_1[[#This Row],[N-EtFOSA]])</f>
        <v>-0.60554831917378371</v>
      </c>
      <c r="AC165">
        <f>LOG(Table1_1[[#This Row],[FOSAA]])</f>
        <v>-0.60554831917378371</v>
      </c>
      <c r="AD165">
        <f>LOG(Table1_1[[#This Row],[N-MeFOSAA]])</f>
        <v>-0.90483064856824491</v>
      </c>
      <c r="AE165">
        <f>LOG(Table1_1[[#This Row],[N-EtFOSAA]])</f>
        <v>-0.90657831483776496</v>
      </c>
      <c r="AF165">
        <f>LOG(Table1_1[[#This Row],[4:2 FTS]])</f>
        <v>-0.90657831483776496</v>
      </c>
      <c r="AG165">
        <f>LOG(Table1_1[[#This Row],[6:2 FTS]])</f>
        <v>0.15228834438305647</v>
      </c>
      <c r="AH165">
        <f>LOG(Table1_1[[#This Row],[8:2 FTS]])</f>
        <v>1.307496037913213</v>
      </c>
      <c r="AI165">
        <f>LOG(Table1_1[[#This Row],[10:2 FTS]])</f>
        <v>-0.60554831917378371</v>
      </c>
      <c r="AJ165">
        <f>LOG(Table1_1[[#This Row],[3:3 FTCA]])</f>
        <v>-0.60554831917378371</v>
      </c>
      <c r="AK165">
        <f>LOG(Table1_1[[#This Row],[5:3 FTCA]])</f>
        <v>-2.2276394711152253E-2</v>
      </c>
      <c r="AL165">
        <f>LOG(Table1_1[[#This Row],[7:3 FTCA]])</f>
        <v>-0.60554831917378371</v>
      </c>
      <c r="AM165">
        <f>LOG(Table1_1[[#This Row],[6:2 FTCA]])</f>
        <v>-0.60554831917378371</v>
      </c>
      <c r="AN165">
        <f>LOG(Table1_1[[#This Row],[8:2 FTCA]])</f>
        <v>-0.90657831483776496</v>
      </c>
      <c r="AO165">
        <f>LOG(Table1_1[[#This Row],[10:2 FTCA]])</f>
        <v>-0.60554831917378371</v>
      </c>
      <c r="AP165">
        <f>LOG(Table1_1[[#This Row],[6:2 FTUCA]])</f>
        <v>-1.0109953843014632</v>
      </c>
      <c r="AQ165">
        <f>LOG(Table1_1[[#This Row],[8:2 FTUCA]])</f>
        <v>-1.1249387366082999</v>
      </c>
      <c r="AR165">
        <f>LOG(Table1_1[[#This Row],[ADONA]])</f>
        <v>-0.96058588082386287</v>
      </c>
      <c r="AS165">
        <f>LOG(Table1_1[[#This Row],[9Cl-PF3ONS]])</f>
        <v>-0.60554831917378371</v>
      </c>
      <c r="AT165">
        <f>LOG(Table1_1[[#This Row],[11Cl-PF3OUdS]])</f>
        <v>-0.60554831917378371</v>
      </c>
      <c r="AU165">
        <f>LOG(Table1_1[[#This Row],[HFPO-DA]])</f>
        <v>-0.74957999769110606</v>
      </c>
      <c r="AV165">
        <f>LOG(Table1_1[[#This Row],[6:2 diPAP]])</f>
        <v>-0.60554831917378371</v>
      </c>
      <c r="AW165">
        <f>LOG(Table1_1[[#This Row],[8:2 diPAP]])</f>
        <v>-0.60554831917378371</v>
      </c>
      <c r="AX165">
        <f>LOG(Table1_1[[#This Row],[diSAmPAP]])</f>
        <v>-0.60554831917378371</v>
      </c>
    </row>
    <row r="166" spans="1:50">
      <c r="A166">
        <f>LOG(Table1_1[[#This Row],[PFBA]])</f>
        <v>-0.66655272550324962</v>
      </c>
      <c r="B166">
        <f>LOG(Table1_1[[#This Row],[PFPeA]])</f>
        <v>-0.66655272550324962</v>
      </c>
      <c r="C166">
        <f>LOG(Table1_1[[#This Row],[PFHxA]])</f>
        <v>-0.93554201077308152</v>
      </c>
      <c r="D166">
        <f>LOG(Table1_1[[#This Row],[PFHpA]])</f>
        <v>-0.66655272550324962</v>
      </c>
      <c r="E166">
        <f>LOG(Table1_1[[#This Row],[PFOA]])</f>
        <v>0.32014628611105395</v>
      </c>
      <c r="F166">
        <f>LOG(Table1_1[[#This Row],[PFNA]])</f>
        <v>0.55870857053316569</v>
      </c>
      <c r="G166">
        <f>LOG(Table1_1[[#This Row],[PFDA]])</f>
        <v>0.70156798505592743</v>
      </c>
      <c r="H166">
        <f>LOG(Table1_1[[#This Row],[PFUnA]])</f>
        <v>0.92737036303902354</v>
      </c>
      <c r="I166">
        <f>LOG(Table1_1[[#This Row],[PFDoA]])</f>
        <v>0.96331551138611127</v>
      </c>
      <c r="J166">
        <f>LOG(Table1_1[[#This Row],[PFTrDA]])</f>
        <v>0.4132997640812518</v>
      </c>
      <c r="K166">
        <f>LOG(Table1_1[[#This Row],[PFTeDA]])</f>
        <v>0.74741180788642325</v>
      </c>
      <c r="L166">
        <f>LOG(Table1_1[[#This Row],[PFHxDA]])</f>
        <v>-0.59091263055216492</v>
      </c>
      <c r="M166">
        <f>LOG(Table1_1[[#This Row],[PFPrS]])</f>
        <v>-0.36552272983926842</v>
      </c>
      <c r="N166">
        <f>LOG(Table1_1[[#This Row],[PFBS]])</f>
        <v>-0.83416237530987181</v>
      </c>
      <c r="O166">
        <f>LOG(Table1_1[[#This Row],[PFPeS]])</f>
        <v>-0.94309514866352739</v>
      </c>
      <c r="P166">
        <f>LOG(Table1_1[[#This Row],[PFHxS]])</f>
        <v>1.6232492903979006</v>
      </c>
      <c r="Q166">
        <f>LOG(Table1_1[[#This Row],[PFHpS]])</f>
        <v>0.56110138364905604</v>
      </c>
      <c r="R166">
        <f>LOG(Table1_1[[#This Row],[PFOS]])</f>
        <v>2.8494194137968996</v>
      </c>
      <c r="S166">
        <f>LOG(Table1_1[[#This Row],[PFNS]])</f>
        <v>-0.18243463044021921</v>
      </c>
      <c r="T166">
        <f>LOG(Table1_1[[#This Row],[PFDS]])</f>
        <v>4.3213737826425782E-3</v>
      </c>
      <c r="U166">
        <f>LOG(Table1_1[[#This Row],[PFDoS]])</f>
        <v>-0.29242982390206362</v>
      </c>
      <c r="V166">
        <f>LOG(Table1_1[[#This Row],[Cl-PFOS]])</f>
        <v>-0.88272870434423567</v>
      </c>
      <c r="W166">
        <f>LOG(Table1_1[[#This Row],[PFEtCHxS]])</f>
        <v>-0.63638802010785567</v>
      </c>
      <c r="X166">
        <f>LOG(Table1_1[[#This Row],[FBSA]])</f>
        <v>1.2504200023088941</v>
      </c>
      <c r="Y166">
        <f>LOG(Table1_1[[#This Row],[FHxSA]])</f>
        <v>1.75815462196739</v>
      </c>
      <c r="Z166">
        <f>LOG(Table1_1[[#This Row],[FOSA]])</f>
        <v>0.85369821177617433</v>
      </c>
      <c r="AA166">
        <f>LOG(Table1_1[[#This Row],[N-MeFOSA]])</f>
        <v>-0.77989191195994489</v>
      </c>
      <c r="AB166">
        <f>LOG(Table1_1[[#This Row],[N-EtFOSA]])</f>
        <v>-0.36552272983926842</v>
      </c>
      <c r="AC166">
        <f>LOG(Table1_1[[#This Row],[FOSAA]])</f>
        <v>-0.36552272983926842</v>
      </c>
      <c r="AD166">
        <f>LOG(Table1_1[[#This Row],[N-MeFOSAA]])</f>
        <v>-0.66454209931061581</v>
      </c>
      <c r="AE166">
        <f>LOG(Table1_1[[#This Row],[N-EtFOSAA]])</f>
        <v>-0.66655272550324962</v>
      </c>
      <c r="AF166">
        <f>LOG(Table1_1[[#This Row],[4:2 FTS]])</f>
        <v>-0.66655272550324962</v>
      </c>
      <c r="AG166">
        <f>LOG(Table1_1[[#This Row],[6:2 FTS]])</f>
        <v>-0.28819277095880896</v>
      </c>
      <c r="AH166">
        <f>LOG(Table1_1[[#This Row],[8:2 FTS]])</f>
        <v>1.1613680022349748</v>
      </c>
      <c r="AI166">
        <f>LOG(Table1_1[[#This Row],[10:2 FTS]])</f>
        <v>1.703333929878037E-2</v>
      </c>
      <c r="AJ166">
        <f>LOG(Table1_1[[#This Row],[3:3 FTCA]])</f>
        <v>-0.60467360693064909</v>
      </c>
      <c r="AK166">
        <f>LOG(Table1_1[[#This Row],[5:3 FTCA]])</f>
        <v>-0.66655272550324962</v>
      </c>
      <c r="AL166">
        <f>LOG(Table1_1[[#This Row],[7:3 FTCA]])</f>
        <v>1.0253058652647702</v>
      </c>
      <c r="AM166">
        <f>LOG(Table1_1[[#This Row],[6:2 FTCA]])</f>
        <v>-0.36552272983926842</v>
      </c>
      <c r="AN166">
        <f>LOG(Table1_1[[#This Row],[8:2 FTCA]])</f>
        <v>-0.36552272983926842</v>
      </c>
      <c r="AO166">
        <f>LOG(Table1_1[[#This Row],[10:2 FTCA]])</f>
        <v>-0.36552272983926842</v>
      </c>
      <c r="AP166">
        <f>LOG(Table1_1[[#This Row],[6:2 FTUCA]])</f>
        <v>-0.36552272983926842</v>
      </c>
      <c r="AQ166">
        <f>LOG(Table1_1[[#This Row],[8:2 FTUCA]])</f>
        <v>-0.36552272983926842</v>
      </c>
      <c r="AR166">
        <f>LOG(Table1_1[[#This Row],[ADONA]])</f>
        <v>-0.66655272550324962</v>
      </c>
      <c r="AS166">
        <f>LOG(Table1_1[[#This Row],[9Cl-PF3ONS]])</f>
        <v>-0.36552272983926842</v>
      </c>
      <c r="AT166">
        <f>LOG(Table1_1[[#This Row],[11Cl-PF3OUdS]])</f>
        <v>-0.36552272983926842</v>
      </c>
      <c r="AU166">
        <f>LOG(Table1_1[[#This Row],[HFPO-DA]])</f>
        <v>-0.51004152057516539</v>
      </c>
      <c r="AV166">
        <f>LOG(Table1_1[[#This Row],[6:2 diPAP]])</f>
        <v>-0.36552272983926842</v>
      </c>
      <c r="AW166">
        <f>LOG(Table1_1[[#This Row],[8:2 diPAP]])</f>
        <v>-0.36552272983926842</v>
      </c>
      <c r="AX166">
        <f>LOG(Table1_1[[#This Row],[diSAmPAP]])</f>
        <v>-0.36552272983926842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60F8-1B46-478E-ABBB-ED7A239802A2}">
  <dimension ref="A3:AZ44"/>
  <sheetViews>
    <sheetView topLeftCell="A4" workbookViewId="0">
      <selection activeCell="G6" sqref="G6"/>
    </sheetView>
  </sheetViews>
  <sheetFormatPr defaultRowHeight="15.6"/>
  <cols>
    <col min="1" max="1" width="16.25" bestFit="1" customWidth="1"/>
    <col min="2" max="2" width="15.5" bestFit="1" customWidth="1"/>
    <col min="3" max="25" width="11.875" bestFit="1" customWidth="1"/>
    <col min="26" max="26" width="12.375" bestFit="1" customWidth="1"/>
    <col min="27" max="34" width="11.875" bestFit="1" customWidth="1"/>
    <col min="35" max="35" width="14" bestFit="1" customWidth="1"/>
    <col min="36" max="67" width="11.875" bestFit="1" customWidth="1"/>
    <col min="68" max="68" width="14" bestFit="1" customWidth="1"/>
    <col min="69" max="102" width="11.875" bestFit="1" customWidth="1"/>
  </cols>
  <sheetData>
    <row r="3" spans="1:51">
      <c r="A3" s="4" t="s">
        <v>321</v>
      </c>
      <c r="B3" s="4" t="s">
        <v>322</v>
      </c>
    </row>
    <row r="4" spans="1:51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34</v>
      </c>
      <c r="AG4">
        <v>35</v>
      </c>
      <c r="AH4">
        <v>36</v>
      </c>
      <c r="AI4">
        <v>37</v>
      </c>
      <c r="AJ4">
        <v>38</v>
      </c>
      <c r="AK4">
        <v>39</v>
      </c>
      <c r="AL4">
        <v>40</v>
      </c>
      <c r="AM4">
        <v>41</v>
      </c>
      <c r="AN4">
        <v>42</v>
      </c>
      <c r="AO4">
        <v>43</v>
      </c>
      <c r="AP4">
        <v>44</v>
      </c>
      <c r="AQ4">
        <v>45</v>
      </c>
      <c r="AR4">
        <v>46</v>
      </c>
      <c r="AS4">
        <v>51</v>
      </c>
      <c r="AT4">
        <v>52</v>
      </c>
      <c r="AU4">
        <v>53</v>
      </c>
      <c r="AV4">
        <v>54</v>
      </c>
      <c r="AW4">
        <v>55</v>
      </c>
      <c r="AX4">
        <v>56</v>
      </c>
      <c r="AY4">
        <v>57</v>
      </c>
    </row>
    <row r="5" spans="1:51">
      <c r="A5" s="4" t="s">
        <v>323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43</v>
      </c>
      <c r="W5" t="s">
        <v>44</v>
      </c>
      <c r="X5" t="s">
        <v>45</v>
      </c>
      <c r="Y5" t="s">
        <v>46</v>
      </c>
      <c r="Z5" t="s">
        <v>41</v>
      </c>
      <c r="AA5" t="s">
        <v>42</v>
      </c>
      <c r="AB5" t="s">
        <v>37</v>
      </c>
      <c r="AC5" t="s">
        <v>40</v>
      </c>
      <c r="AD5" t="s">
        <v>38</v>
      </c>
      <c r="AE5" t="s">
        <v>39</v>
      </c>
      <c r="AF5" t="s">
        <v>58</v>
      </c>
      <c r="AG5" t="s">
        <v>55</v>
      </c>
      <c r="AH5" t="s">
        <v>56</v>
      </c>
      <c r="AI5" t="s">
        <v>57</v>
      </c>
      <c r="AJ5" t="s">
        <v>47</v>
      </c>
      <c r="AK5" t="s">
        <v>48</v>
      </c>
      <c r="AL5" t="s">
        <v>49</v>
      </c>
      <c r="AM5" t="s">
        <v>50</v>
      </c>
      <c r="AN5" t="s">
        <v>51</v>
      </c>
      <c r="AO5" t="s">
        <v>52</v>
      </c>
      <c r="AP5" t="s">
        <v>53</v>
      </c>
      <c r="AQ5" t="s">
        <v>54</v>
      </c>
      <c r="AR5" t="s">
        <v>59</v>
      </c>
      <c r="AS5" t="s">
        <v>35</v>
      </c>
      <c r="AT5" t="s">
        <v>36</v>
      </c>
      <c r="AU5" t="s">
        <v>24</v>
      </c>
      <c r="AV5" t="s">
        <v>33</v>
      </c>
      <c r="AW5" t="s">
        <v>34</v>
      </c>
      <c r="AX5" t="s">
        <v>60</v>
      </c>
      <c r="AY5" t="s">
        <v>61</v>
      </c>
    </row>
    <row r="6" spans="1:51">
      <c r="A6" s="5" t="s">
        <v>119</v>
      </c>
      <c r="B6">
        <v>0.14192936748092405</v>
      </c>
      <c r="C6">
        <v>9.586800422979902E-2</v>
      </c>
      <c r="D6">
        <v>0.14706861512449559</v>
      </c>
      <c r="E6">
        <v>0.14237363997998073</v>
      </c>
      <c r="F6">
        <v>1.9295722831224478</v>
      </c>
      <c r="G6">
        <v>2.3289579415689632</v>
      </c>
      <c r="H6">
        <v>6.2072727272727288</v>
      </c>
      <c r="I6">
        <v>9.0609740259740246</v>
      </c>
      <c r="J6">
        <v>11.591305382825029</v>
      </c>
      <c r="K6">
        <v>4.8623886363636384</v>
      </c>
      <c r="L6">
        <v>8.3710519480519476</v>
      </c>
      <c r="M6">
        <v>0.1444579808151305</v>
      </c>
      <c r="N6">
        <v>0.40133458435586411</v>
      </c>
      <c r="O6">
        <v>0.40986562649227465</v>
      </c>
      <c r="P6">
        <v>33.896298701298697</v>
      </c>
      <c r="Q6">
        <v>4.1065886460692065</v>
      </c>
      <c r="R6">
        <v>945.51948051948057</v>
      </c>
      <c r="S6">
        <v>1.4005724172972229</v>
      </c>
      <c r="T6">
        <v>2.5404287411468407</v>
      </c>
      <c r="U6">
        <v>0.7109718995712031</v>
      </c>
      <c r="V6">
        <v>9.635090685416213E-2</v>
      </c>
      <c r="W6">
        <v>0.67930591177877242</v>
      </c>
      <c r="X6">
        <v>8.2712692513291799</v>
      </c>
      <c r="Y6">
        <v>0.40710821175657702</v>
      </c>
      <c r="Z6">
        <v>1.3623372520030088</v>
      </c>
      <c r="AA6">
        <v>0.10148125607390879</v>
      </c>
      <c r="AB6">
        <v>20.09058441558442</v>
      </c>
      <c r="AC6">
        <v>0.15114022463236146</v>
      </c>
      <c r="AD6">
        <v>8.1636132039783538E-2</v>
      </c>
      <c r="AE6">
        <v>0.16239360425671756</v>
      </c>
      <c r="AF6">
        <v>0.15103109817961996</v>
      </c>
      <c r="AG6">
        <v>0.12604610962223636</v>
      </c>
      <c r="AH6">
        <v>0.14375481422102093</v>
      </c>
      <c r="AI6">
        <v>0.14676541460288101</v>
      </c>
      <c r="AJ6">
        <v>0.1353010187705066</v>
      </c>
      <c r="AK6">
        <v>2.185346237677928</v>
      </c>
      <c r="AL6">
        <v>14.157839598495469</v>
      </c>
      <c r="AM6">
        <v>0.81422763252194974</v>
      </c>
      <c r="AN6">
        <v>0.67244406496675668</v>
      </c>
      <c r="AO6">
        <v>0.25447713001278416</v>
      </c>
      <c r="AP6">
        <v>0.12491631810870601</v>
      </c>
      <c r="AQ6">
        <v>0.11280719359812541</v>
      </c>
      <c r="AR6">
        <v>0.16527232382329426</v>
      </c>
      <c r="AS6">
        <v>58.235779220779214</v>
      </c>
      <c r="AT6">
        <v>203.14220779220776</v>
      </c>
      <c r="AU6">
        <v>0.13060952495371581</v>
      </c>
      <c r="AV6">
        <v>0.28162358377134716</v>
      </c>
      <c r="AW6">
        <v>0.24577464285929601</v>
      </c>
      <c r="AX6">
        <v>0.17075469851369204</v>
      </c>
      <c r="AY6">
        <v>0.19362764644162958</v>
      </c>
    </row>
    <row r="7" spans="1:51">
      <c r="A7" s="5" t="s">
        <v>246</v>
      </c>
      <c r="B7">
        <v>0.19745485614289648</v>
      </c>
      <c r="C7">
        <v>6.6174222273054764E-2</v>
      </c>
      <c r="D7">
        <v>9.6322667070244949E-2</v>
      </c>
      <c r="E7">
        <v>0.16207657009793849</v>
      </c>
      <c r="F7">
        <v>0.25149323676460517</v>
      </c>
      <c r="G7">
        <v>0.17732754508075646</v>
      </c>
      <c r="H7">
        <v>1.466</v>
      </c>
      <c r="I7">
        <v>2.2576666666666667</v>
      </c>
      <c r="J7">
        <v>5.538333333333334</v>
      </c>
      <c r="K7">
        <v>1.9138333333333335</v>
      </c>
      <c r="L7">
        <v>2.6950000000000003</v>
      </c>
      <c r="M7">
        <v>0.11176128732708934</v>
      </c>
      <c r="N7">
        <v>0.25955364304889222</v>
      </c>
      <c r="O7">
        <v>0.10498392419222487</v>
      </c>
      <c r="P7">
        <v>3.7816666666666663</v>
      </c>
      <c r="Q7">
        <v>0.95350000000000001</v>
      </c>
      <c r="R7">
        <v>284.28333333333336</v>
      </c>
      <c r="S7">
        <v>1.3409166666666665</v>
      </c>
      <c r="T7">
        <v>1.0140833333333334</v>
      </c>
      <c r="U7">
        <v>0.30886389791648688</v>
      </c>
      <c r="V7">
        <v>9.1429110725264162E-2</v>
      </c>
      <c r="W7">
        <v>0.1320210159206292</v>
      </c>
      <c r="X7">
        <v>0.59222952014642316</v>
      </c>
      <c r="Y7">
        <v>0.28324353546332443</v>
      </c>
      <c r="Z7">
        <v>2.0150000000000001</v>
      </c>
      <c r="AA7">
        <v>8.9016084403218065E-2</v>
      </c>
      <c r="AB7">
        <v>6.2450000000000001</v>
      </c>
      <c r="AC7">
        <v>0.14426152920509125</v>
      </c>
      <c r="AD7">
        <v>7.7453341700288184E-2</v>
      </c>
      <c r="AE7">
        <v>0.15778172421589817</v>
      </c>
      <c r="AF7">
        <v>0.13465819786863595</v>
      </c>
      <c r="AG7">
        <v>8.4262140357241222E-2</v>
      </c>
      <c r="AH7">
        <v>0.14790926857949085</v>
      </c>
      <c r="AI7">
        <v>0.14909178084894334</v>
      </c>
      <c r="AJ7">
        <v>0.15736207175192121</v>
      </c>
      <c r="AK7">
        <v>0.26241666666666669</v>
      </c>
      <c r="AL7">
        <v>2.1663333333333332</v>
      </c>
      <c r="AM7">
        <v>0.81424999999999992</v>
      </c>
      <c r="AN7">
        <v>8.6121522809563159E-2</v>
      </c>
      <c r="AO7">
        <v>0.16937820480667629</v>
      </c>
      <c r="AP7">
        <v>7.3723255797310275E-2</v>
      </c>
      <c r="AQ7">
        <v>5.6603168463136407E-2</v>
      </c>
      <c r="AR7">
        <v>0.1540749128662344</v>
      </c>
      <c r="AS7">
        <v>10.826666666666668</v>
      </c>
      <c r="AT7">
        <v>34.06666666666667</v>
      </c>
      <c r="AU7">
        <v>9.0693090757684933E-2</v>
      </c>
      <c r="AV7">
        <v>0.12433588680071912</v>
      </c>
      <c r="AW7">
        <v>8.4909903431271819E-2</v>
      </c>
      <c r="AX7">
        <v>0.16344925545028818</v>
      </c>
      <c r="AY7">
        <v>0.17891803369541123</v>
      </c>
    </row>
    <row r="8" spans="1:51">
      <c r="A8" s="5" t="s">
        <v>244</v>
      </c>
      <c r="B8">
        <v>0.71733633437311273</v>
      </c>
      <c r="C8">
        <v>0.22783161598666182</v>
      </c>
      <c r="D8">
        <v>0.22296711379094755</v>
      </c>
      <c r="E8">
        <v>0.53837986330178766</v>
      </c>
      <c r="F8">
        <v>0.61496319663512089</v>
      </c>
      <c r="G8">
        <v>0.66383306294643785</v>
      </c>
      <c r="H8">
        <v>14.973333333333334</v>
      </c>
      <c r="I8">
        <v>20.175000000000001</v>
      </c>
      <c r="J8">
        <v>22.915987788837153</v>
      </c>
      <c r="K8">
        <v>14.88</v>
      </c>
      <c r="L8">
        <v>21.96166666666667</v>
      </c>
      <c r="M8">
        <v>0.3839132765836244</v>
      </c>
      <c r="N8">
        <v>0.46961221506532086</v>
      </c>
      <c r="O8">
        <v>0.51410832130950324</v>
      </c>
      <c r="P8">
        <v>14.970916666666666</v>
      </c>
      <c r="Q8">
        <v>2.7274166666666666</v>
      </c>
      <c r="R8">
        <v>2453.8333333333335</v>
      </c>
      <c r="S8">
        <v>3.5158333333333336</v>
      </c>
      <c r="T8">
        <v>3.2216666666666662</v>
      </c>
      <c r="U8">
        <v>1.9491666666666665</v>
      </c>
      <c r="V8">
        <v>0.32100569518834327</v>
      </c>
      <c r="W8">
        <v>0.52113321393153911</v>
      </c>
      <c r="X8">
        <v>8.3283333333333331</v>
      </c>
      <c r="Y8">
        <v>1.7335540805993694</v>
      </c>
      <c r="Z8">
        <v>4.9961666666666673</v>
      </c>
      <c r="AA8">
        <v>0.31238306761377649</v>
      </c>
      <c r="AB8">
        <v>40.824999999999996</v>
      </c>
      <c r="AC8">
        <v>0.54678532461697837</v>
      </c>
      <c r="AD8">
        <v>0.26441025088898024</v>
      </c>
      <c r="AE8">
        <v>0.57762326716072532</v>
      </c>
      <c r="AF8">
        <v>0.46266943303583657</v>
      </c>
      <c r="AG8">
        <v>0.28592416926611502</v>
      </c>
      <c r="AH8">
        <v>0.56043645172839196</v>
      </c>
      <c r="AI8">
        <v>0.56153246833975412</v>
      </c>
      <c r="AJ8">
        <v>0.57654935737406687</v>
      </c>
      <c r="AK8">
        <v>0.98430997307170742</v>
      </c>
      <c r="AL8">
        <v>4.5023333333333335</v>
      </c>
      <c r="AM8">
        <v>0.55982425968254745</v>
      </c>
      <c r="AN8">
        <v>7.8780833333333327</v>
      </c>
      <c r="AO8">
        <v>0.6040867745804227</v>
      </c>
      <c r="AP8">
        <v>0.25333318407677557</v>
      </c>
      <c r="AQ8">
        <v>0.19488808669348845</v>
      </c>
      <c r="AR8">
        <v>0.56934415764802071</v>
      </c>
      <c r="AS8">
        <v>186.67166666666665</v>
      </c>
      <c r="AT8">
        <v>120.64999999999999</v>
      </c>
      <c r="AU8">
        <v>0.32032351189807212</v>
      </c>
      <c r="AV8">
        <v>0.55396732816892735</v>
      </c>
      <c r="AW8">
        <v>0.43346319663512095</v>
      </c>
      <c r="AX8">
        <v>0.59056111047248483</v>
      </c>
      <c r="AY8">
        <v>0.62587987124169586</v>
      </c>
    </row>
    <row r="28" spans="1:52">
      <c r="A28" s="6" t="s">
        <v>324</v>
      </c>
      <c r="B28" s="6" t="s">
        <v>5</v>
      </c>
      <c r="C28" s="6" t="s">
        <v>12</v>
      </c>
      <c r="D28" s="6" t="s">
        <v>13</v>
      </c>
      <c r="E28" s="6" t="s">
        <v>14</v>
      </c>
      <c r="F28" s="6" t="s">
        <v>15</v>
      </c>
      <c r="G28" s="6" t="s">
        <v>16</v>
      </c>
      <c r="H28" s="6" t="s">
        <v>17</v>
      </c>
      <c r="I28" s="6" t="s">
        <v>18</v>
      </c>
      <c r="J28" s="6" t="s">
        <v>19</v>
      </c>
      <c r="K28" s="6" t="s">
        <v>20</v>
      </c>
      <c r="L28" s="6" t="s">
        <v>21</v>
      </c>
      <c r="M28" s="6" t="s">
        <v>22</v>
      </c>
      <c r="N28" s="6" t="s">
        <v>23</v>
      </c>
      <c r="O28" s="6" t="s">
        <v>25</v>
      </c>
      <c r="P28" s="6" t="s">
        <v>26</v>
      </c>
      <c r="Q28" s="6" t="s">
        <v>27</v>
      </c>
      <c r="R28" s="6" t="s">
        <v>28</v>
      </c>
      <c r="S28" s="6" t="s">
        <v>29</v>
      </c>
      <c r="T28" s="6" t="s">
        <v>30</v>
      </c>
      <c r="U28" s="6" t="s">
        <v>31</v>
      </c>
      <c r="V28" s="6" t="s">
        <v>32</v>
      </c>
      <c r="W28" s="6" t="s">
        <v>43</v>
      </c>
      <c r="X28" s="6" t="s">
        <v>44</v>
      </c>
      <c r="Y28" s="6" t="s">
        <v>45</v>
      </c>
      <c r="Z28" s="6" t="s">
        <v>46</v>
      </c>
      <c r="AA28" s="6" t="s">
        <v>41</v>
      </c>
      <c r="AB28" s="6" t="s">
        <v>42</v>
      </c>
      <c r="AC28" s="6" t="s">
        <v>37</v>
      </c>
      <c r="AD28" s="6" t="s">
        <v>40</v>
      </c>
      <c r="AE28" s="6" t="s">
        <v>38</v>
      </c>
      <c r="AF28" s="6" t="s">
        <v>39</v>
      </c>
      <c r="AG28" s="6" t="s">
        <v>58</v>
      </c>
      <c r="AH28" s="6" t="s">
        <v>55</v>
      </c>
      <c r="AI28" s="6" t="s">
        <v>56</v>
      </c>
      <c r="AJ28" s="6" t="s">
        <v>57</v>
      </c>
      <c r="AK28" s="6" t="s">
        <v>47</v>
      </c>
      <c r="AL28" s="6" t="s">
        <v>48</v>
      </c>
      <c r="AM28" s="6" t="s">
        <v>49</v>
      </c>
      <c r="AN28" s="6" t="s">
        <v>50</v>
      </c>
      <c r="AO28" s="6" t="s">
        <v>51</v>
      </c>
      <c r="AP28" s="6" t="s">
        <v>52</v>
      </c>
      <c r="AQ28" s="6" t="s">
        <v>53</v>
      </c>
      <c r="AR28" s="6" t="s">
        <v>54</v>
      </c>
      <c r="AS28" s="6" t="s">
        <v>59</v>
      </c>
      <c r="AT28" s="6" t="s">
        <v>35</v>
      </c>
      <c r="AU28" s="6" t="s">
        <v>36</v>
      </c>
      <c r="AV28" s="6" t="s">
        <v>24</v>
      </c>
      <c r="AW28" s="6" t="s">
        <v>33</v>
      </c>
      <c r="AX28" s="6" t="s">
        <v>34</v>
      </c>
      <c r="AY28" s="6" t="s">
        <v>60</v>
      </c>
      <c r="AZ28" s="6" t="s">
        <v>61</v>
      </c>
    </row>
    <row r="29" spans="1:52">
      <c r="A29" s="8" t="s">
        <v>325</v>
      </c>
      <c r="B29" s="6" t="s">
        <v>115</v>
      </c>
      <c r="C29" s="7">
        <v>0.217</v>
      </c>
      <c r="D29" s="7">
        <v>4.6350000000000002E-2</v>
      </c>
      <c r="E29" s="7">
        <v>0.11700000000000001</v>
      </c>
      <c r="F29" s="7">
        <v>8.6999999999999994E-2</v>
      </c>
      <c r="G29" s="7">
        <v>1.83</v>
      </c>
      <c r="H29" s="7">
        <v>4.3899999999999997</v>
      </c>
      <c r="I29" s="7">
        <v>6.11</v>
      </c>
      <c r="J29" s="7">
        <v>7.39</v>
      </c>
      <c r="K29" s="7">
        <v>7.73</v>
      </c>
      <c r="L29" s="7">
        <v>2.4900000000000002</v>
      </c>
      <c r="M29" s="7">
        <v>5.78</v>
      </c>
      <c r="N29" s="7">
        <v>7.85E-2</v>
      </c>
      <c r="O29" s="7">
        <v>0.14749999999999999</v>
      </c>
      <c r="P29" s="7">
        <v>0.77900000000000003</v>
      </c>
      <c r="Q29" s="7">
        <v>35.1</v>
      </c>
      <c r="R29" s="7">
        <v>5.23</v>
      </c>
      <c r="S29" s="7">
        <v>1670</v>
      </c>
      <c r="T29" s="7">
        <v>3.25</v>
      </c>
      <c r="U29" s="7">
        <v>4.49</v>
      </c>
      <c r="V29" s="7">
        <v>2.91</v>
      </c>
      <c r="W29" s="7">
        <v>5.3999999999999999E-2</v>
      </c>
      <c r="X29" s="7">
        <v>0.82199999999999995</v>
      </c>
      <c r="Y29" s="7">
        <v>6.73</v>
      </c>
      <c r="Z29" s="7">
        <v>0.59099999999999997</v>
      </c>
      <c r="AA29" s="7">
        <v>0.82</v>
      </c>
      <c r="AB29" s="7">
        <v>5.7000000000000002E-2</v>
      </c>
      <c r="AC29" s="7">
        <v>48</v>
      </c>
      <c r="AD29" s="7">
        <v>5.1999999999999998E-2</v>
      </c>
      <c r="AE29" s="7">
        <v>5.0500000000000003E-2</v>
      </c>
      <c r="AF29" s="7">
        <v>7.6499999999999999E-2</v>
      </c>
      <c r="AG29" s="7">
        <v>9.4E-2</v>
      </c>
      <c r="AH29" s="7">
        <v>6.6000000000000003E-2</v>
      </c>
      <c r="AI29" s="7">
        <v>6.6000000000000003E-2</v>
      </c>
      <c r="AJ29" s="7">
        <v>6.6000000000000003E-2</v>
      </c>
      <c r="AK29" s="7">
        <v>7.5999999999999998E-2</v>
      </c>
      <c r="AL29" s="7">
        <v>12.4</v>
      </c>
      <c r="AM29" s="7">
        <v>9.48</v>
      </c>
      <c r="AN29" s="7">
        <v>6.6000000000000003E-2</v>
      </c>
      <c r="AO29" s="7">
        <v>6.6000000000000003E-2</v>
      </c>
      <c r="AP29" s="7">
        <v>1.82</v>
      </c>
      <c r="AQ29" s="7">
        <v>5.1499999999999997E-2</v>
      </c>
      <c r="AR29" s="7">
        <v>3.9699999999999999E-2</v>
      </c>
      <c r="AS29" s="7">
        <v>7.0000000000000007E-2</v>
      </c>
      <c r="AT29" s="7">
        <v>25.3</v>
      </c>
      <c r="AU29" s="7">
        <v>105</v>
      </c>
      <c r="AV29" s="7">
        <v>0.05</v>
      </c>
      <c r="AW29" s="7">
        <v>0.48199999999999998</v>
      </c>
      <c r="AX29" s="7">
        <v>0.48699999999999999</v>
      </c>
      <c r="AY29" s="7">
        <v>8.6999999999999994E-2</v>
      </c>
      <c r="AZ29" s="7">
        <v>0.11550000000000001</v>
      </c>
    </row>
    <row r="30" spans="1:52">
      <c r="A30" s="8"/>
      <c r="B30" s="6" t="s">
        <v>139</v>
      </c>
      <c r="C30" s="7">
        <v>0.14924999999999999</v>
      </c>
      <c r="D30" s="7">
        <v>4.7174999999999995E-2</v>
      </c>
      <c r="E30" s="7">
        <v>0.30752499999999999</v>
      </c>
      <c r="F30" s="7">
        <v>5.9775000000000002E-2</v>
      </c>
      <c r="G30" s="7">
        <v>4.8549999999999995</v>
      </c>
      <c r="H30" s="7">
        <v>2.6685000000000003</v>
      </c>
      <c r="I30" s="7">
        <v>8.1850000000000005</v>
      </c>
      <c r="J30" s="7">
        <v>9.1850000000000005</v>
      </c>
      <c r="K30" s="7">
        <v>12.55</v>
      </c>
      <c r="L30" s="7">
        <v>4.9249999999999998</v>
      </c>
      <c r="M30" s="7">
        <v>5.2050000000000001</v>
      </c>
      <c r="N30" s="7">
        <v>7.9250000000000001E-2</v>
      </c>
      <c r="O30" s="7">
        <v>1.7608250000000001</v>
      </c>
      <c r="P30" s="7">
        <v>2.6269999999999998</v>
      </c>
      <c r="Q30" s="7">
        <v>48</v>
      </c>
      <c r="R30" s="7">
        <v>14.379999999999999</v>
      </c>
      <c r="S30" s="7">
        <v>1935</v>
      </c>
      <c r="T30" s="7">
        <v>2.44</v>
      </c>
      <c r="U30" s="7">
        <v>4.51</v>
      </c>
      <c r="V30" s="7">
        <v>1.6985000000000001</v>
      </c>
      <c r="W30" s="7">
        <v>5.475E-2</v>
      </c>
      <c r="X30" s="7">
        <v>4.0510000000000002</v>
      </c>
      <c r="Y30" s="7">
        <v>8.91</v>
      </c>
      <c r="Z30" s="7">
        <v>0.61324999999999996</v>
      </c>
      <c r="AA30" s="7">
        <v>1.1892500000000001</v>
      </c>
      <c r="AB30" s="7">
        <v>5.7749999999999996E-2</v>
      </c>
      <c r="AC30" s="7">
        <v>30.35</v>
      </c>
      <c r="AD30" s="7">
        <v>0.117675</v>
      </c>
      <c r="AE30" s="7">
        <v>5.1375000000000004E-2</v>
      </c>
      <c r="AF30" s="7">
        <v>7.775E-2</v>
      </c>
      <c r="AG30" s="7">
        <v>9.5500000000000002E-2</v>
      </c>
      <c r="AH30" s="7">
        <v>6.6750000000000004E-2</v>
      </c>
      <c r="AI30" s="7">
        <v>6.6750000000000004E-2</v>
      </c>
      <c r="AJ30" s="7">
        <v>6.6750000000000004E-2</v>
      </c>
      <c r="AK30" s="7">
        <v>7.6999999999999999E-2</v>
      </c>
      <c r="AL30" s="7">
        <v>6.6750000000000004E-2</v>
      </c>
      <c r="AM30" s="7">
        <v>7.01</v>
      </c>
      <c r="AN30" s="7">
        <v>6.6750000000000004E-2</v>
      </c>
      <c r="AO30" s="7">
        <v>3.9899999999999998</v>
      </c>
      <c r="AP30" s="7">
        <v>0.51424999999999998</v>
      </c>
      <c r="AQ30" s="7">
        <v>5.2350000000000001E-2</v>
      </c>
      <c r="AR30" s="7">
        <v>4.0300000000000002E-2</v>
      </c>
      <c r="AS30" s="7">
        <v>7.1000000000000008E-2</v>
      </c>
      <c r="AT30" s="7">
        <v>43.15</v>
      </c>
      <c r="AU30" s="7">
        <v>259.5</v>
      </c>
      <c r="AV30" s="7">
        <v>5.0900000000000001E-2</v>
      </c>
      <c r="AW30" s="7">
        <v>1.0004999999999999</v>
      </c>
      <c r="AX30" s="7">
        <v>0.62</v>
      </c>
      <c r="AY30" s="7">
        <v>8.8499999999999995E-2</v>
      </c>
      <c r="AZ30" s="7">
        <v>0.11724999999999999</v>
      </c>
    </row>
    <row r="31" spans="1:52">
      <c r="A31" s="8"/>
      <c r="B31" s="6" t="s">
        <v>131</v>
      </c>
      <c r="C31" s="7">
        <v>7.4093471059611379E-2</v>
      </c>
      <c r="D31" s="7">
        <v>4.8938389778626891E-2</v>
      </c>
      <c r="E31" s="7">
        <v>8.8776881030278823E-2</v>
      </c>
      <c r="F31" s="7">
        <v>6.6625765904746198E-2</v>
      </c>
      <c r="G31" s="7">
        <v>2.0783</v>
      </c>
      <c r="H31" s="7">
        <v>6.8867000000000003</v>
      </c>
      <c r="I31" s="7">
        <v>12.934000000000001</v>
      </c>
      <c r="J31" s="7">
        <v>14.688999999999998</v>
      </c>
      <c r="K31" s="7">
        <v>2.3891224668324744</v>
      </c>
      <c r="L31" s="7">
        <v>4.99</v>
      </c>
      <c r="M31" s="7">
        <v>6.5400000000000009</v>
      </c>
      <c r="N31" s="7">
        <v>8.2582856630396898E-2</v>
      </c>
      <c r="O31" s="7">
        <v>0.14859925090566622</v>
      </c>
      <c r="P31" s="7">
        <v>0.63670000000000004</v>
      </c>
      <c r="Q31" s="7">
        <v>52.4</v>
      </c>
      <c r="R31" s="7">
        <v>9.1169999999999991</v>
      </c>
      <c r="S31" s="7">
        <v>1886.9</v>
      </c>
      <c r="T31" s="7">
        <v>1.9761</v>
      </c>
      <c r="U31" s="7">
        <v>4.7222000000000008</v>
      </c>
      <c r="V31" s="7">
        <v>1.9924499999999994</v>
      </c>
      <c r="W31" s="7">
        <v>5.6889976667591102E-2</v>
      </c>
      <c r="X31" s="7">
        <v>0.88336593478504732</v>
      </c>
      <c r="Y31" s="7">
        <v>14.254000000000001</v>
      </c>
      <c r="Z31" s="7">
        <v>0.95034637671611699</v>
      </c>
      <c r="AA31" s="7">
        <v>1.1998150738231916</v>
      </c>
      <c r="AB31" s="7">
        <v>6.0119599606444793E-2</v>
      </c>
      <c r="AC31" s="7">
        <v>28.001999999999999</v>
      </c>
      <c r="AD31" s="7">
        <v>7.9818010417290947E-2</v>
      </c>
      <c r="AE31" s="7">
        <v>5.3389720358050473E-2</v>
      </c>
      <c r="AF31" s="7">
        <v>8.08470827784806E-2</v>
      </c>
      <c r="AG31" s="7">
        <v>9.94510043762762E-2</v>
      </c>
      <c r="AH31" s="7">
        <v>6.9283561617081615E-2</v>
      </c>
      <c r="AI31" s="7">
        <v>5.2219740478089006E-2</v>
      </c>
      <c r="AJ31" s="7">
        <v>5.7456919139763196E-2</v>
      </c>
      <c r="AK31" s="7">
        <v>7.9945716143906984E-2</v>
      </c>
      <c r="AL31" s="7">
        <v>2.3649128065619895</v>
      </c>
      <c r="AM31" s="7">
        <v>8.4655634980352712</v>
      </c>
      <c r="AN31" s="7">
        <v>1.8164854626471958</v>
      </c>
      <c r="AO31" s="7">
        <v>1.2397752668721898</v>
      </c>
      <c r="AP31" s="7">
        <v>0.10338981270374355</v>
      </c>
      <c r="AQ31" s="7">
        <v>5.4411060024464344E-2</v>
      </c>
      <c r="AR31" s="7">
        <v>4.186025893052607E-2</v>
      </c>
      <c r="AS31" s="7">
        <v>7.3733215464957036E-2</v>
      </c>
      <c r="AT31" s="7">
        <v>44.430999999999997</v>
      </c>
      <c r="AU31" s="7">
        <v>252.91</v>
      </c>
      <c r="AV31" s="7">
        <v>5.2880248909707418E-2</v>
      </c>
      <c r="AW31" s="7">
        <v>0.67106235621581956</v>
      </c>
      <c r="AX31" s="7">
        <v>0.46720000000000006</v>
      </c>
      <c r="AY31" s="7">
        <v>9.1908627381170255E-2</v>
      </c>
      <c r="AZ31" s="7">
        <v>0.12192906844606363</v>
      </c>
    </row>
    <row r="32" spans="1:52">
      <c r="A32" s="8"/>
      <c r="B32" s="6" t="s">
        <v>122</v>
      </c>
      <c r="C32" s="7">
        <v>0.10804048077941636</v>
      </c>
      <c r="D32" s="7">
        <v>0.10615620755951712</v>
      </c>
      <c r="E32" s="7">
        <v>0.4942829172738854</v>
      </c>
      <c r="F32" s="7">
        <v>0.18996986907970737</v>
      </c>
      <c r="G32" s="7">
        <v>2.6835000000000004</v>
      </c>
      <c r="H32" s="7">
        <v>1.6809166666666666</v>
      </c>
      <c r="I32" s="7">
        <v>3.6808333333333336</v>
      </c>
      <c r="J32" s="7">
        <v>4.4366666666666665</v>
      </c>
      <c r="K32" s="7">
        <v>3.8654641920442709</v>
      </c>
      <c r="L32" s="7">
        <v>1.8078333333333332</v>
      </c>
      <c r="M32" s="7">
        <v>2.1730833333333335</v>
      </c>
      <c r="N32" s="7">
        <v>8.3813307358475989E-2</v>
      </c>
      <c r="O32" s="7">
        <v>0.29724205428840172</v>
      </c>
      <c r="P32" s="7">
        <v>0.60734977946125901</v>
      </c>
      <c r="Q32" s="7">
        <v>37.616666666666674</v>
      </c>
      <c r="R32" s="7">
        <v>3.4224999999999999</v>
      </c>
      <c r="S32" s="7">
        <v>679.58333333333337</v>
      </c>
      <c r="T32" s="7">
        <v>0.89166666666666672</v>
      </c>
      <c r="U32" s="7">
        <v>1.6011183275375001</v>
      </c>
      <c r="V32" s="7">
        <v>0.24590143897777192</v>
      </c>
      <c r="W32" s="7">
        <v>5.7689843758520092E-2</v>
      </c>
      <c r="X32" s="7">
        <v>1.2163972491624242</v>
      </c>
      <c r="Y32" s="7">
        <v>3.1033333333333335</v>
      </c>
      <c r="Z32" s="7">
        <v>0.13880091919288357</v>
      </c>
      <c r="AA32" s="7">
        <v>6.0871666666666657</v>
      </c>
      <c r="AB32" s="7">
        <v>0.12890729701487377</v>
      </c>
      <c r="AC32" s="7">
        <v>39.816666666666663</v>
      </c>
      <c r="AD32" s="7">
        <v>5.5451708604224992E-2</v>
      </c>
      <c r="AE32" s="7">
        <v>5.4169629714988815E-2</v>
      </c>
      <c r="AF32" s="7">
        <v>8.2114558174458993E-2</v>
      </c>
      <c r="AG32" s="7">
        <v>0.11998876199167124</v>
      </c>
      <c r="AH32" s="7">
        <v>7.0263364776061668E-2</v>
      </c>
      <c r="AI32" s="7">
        <v>5.5796203540070755E-2</v>
      </c>
      <c r="AJ32" s="7">
        <v>6.0277749647157618E-2</v>
      </c>
      <c r="AK32" s="7">
        <v>9.596310467240031E-2</v>
      </c>
      <c r="AL32" s="7">
        <v>0.4171644840639071</v>
      </c>
      <c r="AM32" s="7">
        <v>7.7435833333333308</v>
      </c>
      <c r="AN32" s="7">
        <v>1.6001125</v>
      </c>
      <c r="AO32" s="7">
        <v>0.5713989521205568</v>
      </c>
      <c r="AP32" s="7">
        <v>0.2923546678338016</v>
      </c>
      <c r="AQ32" s="7">
        <v>5.5236141139248567E-2</v>
      </c>
      <c r="AR32" s="7">
        <v>4.2507148822001961E-2</v>
      </c>
      <c r="AS32" s="7">
        <v>7.489498506004412E-2</v>
      </c>
      <c r="AT32" s="7">
        <v>20.976666666666667</v>
      </c>
      <c r="AU32" s="7">
        <v>106.66666666666667</v>
      </c>
      <c r="AV32" s="7">
        <v>5.3614845219487395E-2</v>
      </c>
      <c r="AW32" s="7">
        <v>0.13968347514399174</v>
      </c>
      <c r="AX32" s="7">
        <v>0.37333333333333329</v>
      </c>
      <c r="AY32" s="7">
        <v>9.3265928181283653E-2</v>
      </c>
      <c r="AZ32" s="7">
        <v>0.1237485220058685</v>
      </c>
    </row>
    <row r="33" spans="1:52">
      <c r="A33" s="8"/>
      <c r="B33" s="6" t="s">
        <v>165</v>
      </c>
      <c r="C33" s="7">
        <v>0.10339547154133777</v>
      </c>
      <c r="D33" s="7">
        <v>4.8560431451708283E-2</v>
      </c>
      <c r="E33" s="7">
        <v>5.2928942484592643E-2</v>
      </c>
      <c r="F33" s="7">
        <v>7.3325471541337756E-2</v>
      </c>
      <c r="G33" s="7">
        <v>3.8420000000000001</v>
      </c>
      <c r="H33" s="7">
        <v>2.5640000000000001</v>
      </c>
      <c r="I33" s="7">
        <v>4.1859999999999999</v>
      </c>
      <c r="J33" s="7">
        <v>5.7340000000000009</v>
      </c>
      <c r="K33" s="7">
        <v>7.1279227073860056</v>
      </c>
      <c r="L33" s="7">
        <v>4.1159999999999997</v>
      </c>
      <c r="M33" s="7">
        <v>6.218</v>
      </c>
      <c r="N33" s="7">
        <v>8.1896561664257558E-2</v>
      </c>
      <c r="O33" s="7">
        <v>0.23479</v>
      </c>
      <c r="P33" s="7">
        <v>0.38825023075452225</v>
      </c>
      <c r="Q33" s="7">
        <v>30.339999999999996</v>
      </c>
      <c r="R33" s="7">
        <v>4.8199999999999994</v>
      </c>
      <c r="S33" s="7">
        <v>1293.4000000000001</v>
      </c>
      <c r="T33" s="7">
        <v>2.2964000000000002</v>
      </c>
      <c r="U33" s="7">
        <v>2.7808000000000002</v>
      </c>
      <c r="V33" s="7">
        <v>1.2474000000000001</v>
      </c>
      <c r="W33" s="7">
        <v>5.6465388124835737E-2</v>
      </c>
      <c r="X33" s="7">
        <v>0.81699999999999995</v>
      </c>
      <c r="Y33" s="7">
        <v>1.3260000000000001</v>
      </c>
      <c r="Z33" s="7">
        <v>0.25467015881179889</v>
      </c>
      <c r="AA33" s="7">
        <v>0.61599999999999999</v>
      </c>
      <c r="AB33" s="7">
        <v>5.9761272030551905E-2</v>
      </c>
      <c r="AC33" s="7">
        <v>16.259999999999998</v>
      </c>
      <c r="AD33" s="7">
        <v>5.4170326301576865E-2</v>
      </c>
      <c r="AE33" s="7">
        <v>5.2923751487516421E-2</v>
      </c>
      <c r="AF33" s="7">
        <v>8.0125608744086724E-2</v>
      </c>
      <c r="AG33" s="7">
        <v>9.8628571332128795E-2</v>
      </c>
      <c r="AH33" s="7">
        <v>9.9632505077051722E-2</v>
      </c>
      <c r="AI33" s="7">
        <v>6.4164750914257565E-2</v>
      </c>
      <c r="AJ33" s="7">
        <v>6.5566672818988175E-2</v>
      </c>
      <c r="AK33" s="7">
        <v>7.9224478056833122E-2</v>
      </c>
      <c r="AL33" s="7">
        <v>5.3071999999999999</v>
      </c>
      <c r="AM33" s="7">
        <v>26.063099999999999</v>
      </c>
      <c r="AN33" s="7">
        <v>1.0925</v>
      </c>
      <c r="AO33" s="7">
        <v>2.2064730020308208</v>
      </c>
      <c r="AP33" s="7">
        <v>0.27158217219875158</v>
      </c>
      <c r="AQ33" s="7">
        <v>5.3924951441524302E-2</v>
      </c>
      <c r="AR33" s="7">
        <v>4.1503780447798948E-2</v>
      </c>
      <c r="AS33" s="7">
        <v>7.3096083733574249E-2</v>
      </c>
      <c r="AT33" s="7">
        <v>17.68</v>
      </c>
      <c r="AU33" s="7">
        <v>118.62</v>
      </c>
      <c r="AV33" s="7">
        <v>5.2422803085742445E-2</v>
      </c>
      <c r="AW33" s="7">
        <v>0.31260235630887412</v>
      </c>
      <c r="AX33" s="7">
        <v>0.3286</v>
      </c>
      <c r="AY33" s="7">
        <v>9.1097724398488844E-2</v>
      </c>
      <c r="AZ33" s="7">
        <v>0.12098120893561104</v>
      </c>
    </row>
    <row r="34" spans="1:52">
      <c r="A34" s="8"/>
      <c r="B34" s="6" t="s">
        <v>215</v>
      </c>
      <c r="C34" s="7">
        <v>0.15491930212867094</v>
      </c>
      <c r="D34" s="7">
        <v>6.948673554700921E-2</v>
      </c>
      <c r="E34" s="7">
        <v>9.6545816568041842E-2</v>
      </c>
      <c r="F34" s="7">
        <v>8.7419302128670939E-2</v>
      </c>
      <c r="G34" s="7">
        <v>0.90549999999999997</v>
      </c>
      <c r="H34" s="7">
        <v>0.504</v>
      </c>
      <c r="I34" s="7">
        <v>4.1500000000000004</v>
      </c>
      <c r="J34" s="7">
        <v>7.49</v>
      </c>
      <c r="K34" s="7">
        <v>6.7503630460597197</v>
      </c>
      <c r="L34" s="7">
        <v>4.0324999999999998</v>
      </c>
      <c r="M34" s="7">
        <v>6.9024999999999999</v>
      </c>
      <c r="N34" s="7">
        <v>7.8483432533957342E-2</v>
      </c>
      <c r="O34" s="7">
        <v>0.49755326399271471</v>
      </c>
      <c r="P34" s="7">
        <v>0.20300000000000001</v>
      </c>
      <c r="Q34" s="7">
        <v>25.1</v>
      </c>
      <c r="R34" s="7">
        <v>0.89000000000000012</v>
      </c>
      <c r="S34" s="7">
        <v>603.25</v>
      </c>
      <c r="T34" s="7">
        <v>0.60099999999999998</v>
      </c>
      <c r="U34" s="7">
        <v>1.1897499999999999</v>
      </c>
      <c r="V34" s="7">
        <v>0.47684373562476989</v>
      </c>
      <c r="W34" s="7">
        <v>5.4217027077313934E-2</v>
      </c>
      <c r="X34" s="7">
        <v>0.34939425139823616</v>
      </c>
      <c r="Y34" s="7">
        <v>7.4725000000000001</v>
      </c>
      <c r="Z34" s="7">
        <v>0.24816413856166161</v>
      </c>
      <c r="AA34" s="7">
        <v>1.9556544348151839</v>
      </c>
      <c r="AB34" s="7">
        <v>5.7197373359536147E-2</v>
      </c>
      <c r="AC34" s="7">
        <v>28.875000000000004</v>
      </c>
      <c r="AD34" s="7">
        <v>5.1913887432164074E-2</v>
      </c>
      <c r="AE34" s="7">
        <v>5.0721805722575841E-2</v>
      </c>
      <c r="AF34" s="7">
        <v>7.6819308411753051E-2</v>
      </c>
      <c r="AG34" s="7">
        <v>9.4459767292763119E-2</v>
      </c>
      <c r="AH34" s="7">
        <v>6.5890756031285747E-2</v>
      </c>
      <c r="AI34" s="7">
        <v>5.6173822161348787E-2</v>
      </c>
      <c r="AJ34" s="7">
        <v>5.9156115418293784E-2</v>
      </c>
      <c r="AK34" s="7">
        <v>0.23601644528304586</v>
      </c>
      <c r="AL34" s="7">
        <v>1.2530000000000001</v>
      </c>
      <c r="AM34" s="7">
        <v>39.4</v>
      </c>
      <c r="AN34" s="7">
        <v>1.60425</v>
      </c>
      <c r="AO34" s="7">
        <v>0.20785061947255201</v>
      </c>
      <c r="AP34" s="7">
        <v>0.46715062315467781</v>
      </c>
      <c r="AQ34" s="7">
        <v>5.1692361984695887E-2</v>
      </c>
      <c r="AR34" s="7">
        <v>3.9796190237710832E-2</v>
      </c>
      <c r="AS34" s="7">
        <v>7.0065566452384348E-2</v>
      </c>
      <c r="AT34" s="7">
        <v>59.20000000000001</v>
      </c>
      <c r="AU34" s="7">
        <v>166.5</v>
      </c>
      <c r="AV34" s="7">
        <v>5.0235786391282948E-2</v>
      </c>
      <c r="AW34" s="7">
        <v>0.13281884838158964</v>
      </c>
      <c r="AX34" s="7">
        <v>8.7419302128670939E-2</v>
      </c>
      <c r="AY34" s="7">
        <v>8.7240484305678018E-2</v>
      </c>
      <c r="AZ34" s="7">
        <v>0.1159077306150629</v>
      </c>
    </row>
    <row r="35" spans="1:52">
      <c r="A35" s="8"/>
      <c r="B35" s="6" t="s">
        <v>226</v>
      </c>
      <c r="C35" s="7">
        <v>6.8892893769036012E-2</v>
      </c>
      <c r="D35" s="7">
        <v>7.2091526870051575E-2</v>
      </c>
      <c r="E35" s="7">
        <v>9.5147213485642812E-2</v>
      </c>
      <c r="F35" s="7">
        <v>9.9245597449751879E-2</v>
      </c>
      <c r="G35" s="7">
        <v>0.55777807100823684</v>
      </c>
      <c r="H35" s="7">
        <v>0.66665763386398291</v>
      </c>
      <c r="I35" s="7">
        <v>3.7680645161290318</v>
      </c>
      <c r="J35" s="7">
        <v>5.9348387096774191</v>
      </c>
      <c r="K35" s="7">
        <v>7.0167449998081661</v>
      </c>
      <c r="L35" s="7">
        <v>3.3778387096774201</v>
      </c>
      <c r="M35" s="7">
        <v>7.1138709677419358</v>
      </c>
      <c r="N35" s="7">
        <v>0.12821741006143164</v>
      </c>
      <c r="O35" s="7">
        <v>1.0424830968072736</v>
      </c>
      <c r="P35" s="7">
        <v>0.16646488533912707</v>
      </c>
      <c r="Q35" s="7">
        <v>13.667096774193551</v>
      </c>
      <c r="R35" s="7">
        <v>1.0091984353115431</v>
      </c>
      <c r="S35" s="7">
        <v>834.54838709677415</v>
      </c>
      <c r="T35" s="7">
        <v>1.0328113633474918</v>
      </c>
      <c r="U35" s="7">
        <v>1.6687614905214039</v>
      </c>
      <c r="V35" s="7">
        <v>0.57550528100747878</v>
      </c>
      <c r="W35" s="7">
        <v>7.4673451557055764E-2</v>
      </c>
      <c r="X35" s="7">
        <v>0.27038330482746548</v>
      </c>
      <c r="Y35" s="7">
        <v>1.6186078008249154</v>
      </c>
      <c r="Z35" s="7">
        <v>0.27636671487443942</v>
      </c>
      <c r="AA35" s="7">
        <v>3.9074545304927262</v>
      </c>
      <c r="AB35" s="7">
        <v>7.4152599260079735E-2</v>
      </c>
      <c r="AC35" s="7">
        <v>19.687096774193552</v>
      </c>
      <c r="AD35" s="7">
        <v>6.7310213659586435E-2</v>
      </c>
      <c r="AE35" s="7">
        <v>6.5813249840424887E-2</v>
      </c>
      <c r="AF35" s="7">
        <v>9.9698967339737751E-2</v>
      </c>
      <c r="AG35" s="7">
        <v>0.13025371634831345</v>
      </c>
      <c r="AH35" s="7">
        <v>9.0446281974231629E-2</v>
      </c>
      <c r="AI35" s="7">
        <v>5.9286637266730058E-2</v>
      </c>
      <c r="AJ35" s="7">
        <v>6.7293676303005062E-2</v>
      </c>
      <c r="AK35" s="7">
        <v>9.3223274195068553E-2</v>
      </c>
      <c r="AL35" s="7">
        <v>2.3588251150465998</v>
      </c>
      <c r="AM35" s="7">
        <v>14.765376231869354</v>
      </c>
      <c r="AN35" s="7">
        <v>1.8819625137047593</v>
      </c>
      <c r="AO35" s="7">
        <v>2.5785433089476544</v>
      </c>
      <c r="AP35" s="7">
        <v>0.18334331619890409</v>
      </c>
      <c r="AQ35" s="7">
        <v>6.707256793485826E-2</v>
      </c>
      <c r="AR35" s="7">
        <v>5.1611944320580819E-2</v>
      </c>
      <c r="AS35" s="7">
        <v>9.0920789080780662E-2</v>
      </c>
      <c r="AT35" s="7">
        <v>54.952903225806445</v>
      </c>
      <c r="AU35" s="7">
        <v>85.167741935483861</v>
      </c>
      <c r="AV35" s="7">
        <v>6.5165884628851076E-2</v>
      </c>
      <c r="AW35" s="7">
        <v>0.1762044758596284</v>
      </c>
      <c r="AX35" s="7">
        <v>0.1315114965230732</v>
      </c>
      <c r="AY35" s="7">
        <v>0.11324271452656871</v>
      </c>
      <c r="AZ35" s="7">
        <v>0.15034803691980891</v>
      </c>
    </row>
    <row r="36" spans="1:52">
      <c r="A36" s="8"/>
      <c r="B36" s="6" t="s">
        <v>183</v>
      </c>
      <c r="C36" s="7">
        <v>4.0194686384235102E-2</v>
      </c>
      <c r="D36" s="7">
        <v>5.6419553751793812E-2</v>
      </c>
      <c r="E36" s="7">
        <v>0.16305312499999999</v>
      </c>
      <c r="F36" s="7">
        <v>5.18071863842351E-2</v>
      </c>
      <c r="G36" s="7">
        <v>3.0580000000000007</v>
      </c>
      <c r="H36" s="7">
        <v>7.6193750000000016</v>
      </c>
      <c r="I36" s="7">
        <v>14.137499999999999</v>
      </c>
      <c r="J36" s="7">
        <v>20.51125</v>
      </c>
      <c r="K36" s="7">
        <v>22.043750000000003</v>
      </c>
      <c r="L36" s="7">
        <v>8.5856250000000003</v>
      </c>
      <c r="M36" s="7">
        <v>8.91</v>
      </c>
      <c r="N36" s="7">
        <v>8.3176995251699373E-2</v>
      </c>
      <c r="O36" s="7">
        <v>0.17932405762340839</v>
      </c>
      <c r="P36" s="7">
        <v>1.026375</v>
      </c>
      <c r="Q36" s="7">
        <v>63.943750000000009</v>
      </c>
      <c r="R36" s="7">
        <v>7.9050000000000011</v>
      </c>
      <c r="S36" s="7">
        <v>1419.875</v>
      </c>
      <c r="T36" s="7">
        <v>1.7253124999999998</v>
      </c>
      <c r="U36" s="7">
        <v>7.3106249999999999</v>
      </c>
      <c r="V36" s="7">
        <v>0.92537500000000017</v>
      </c>
      <c r="W36" s="7">
        <v>5.7337409502643523E-2</v>
      </c>
      <c r="X36" s="7">
        <v>0.50790312500000001</v>
      </c>
      <c r="Y36" s="7">
        <v>22.993750000000006</v>
      </c>
      <c r="Z36" s="7">
        <v>0.39596875000000004</v>
      </c>
      <c r="AA36" s="7">
        <v>0.8430361178560235</v>
      </c>
      <c r="AB36" s="7">
        <v>6.0599897286725837E-2</v>
      </c>
      <c r="AC36" s="7">
        <v>22.956249999999997</v>
      </c>
      <c r="AD36" s="7">
        <v>8.7768831513046985E-2</v>
      </c>
      <c r="AE36" s="7">
        <v>5.3765400257552873E-2</v>
      </c>
      <c r="AF36" s="7">
        <v>8.1507888313538529E-2</v>
      </c>
      <c r="AG36" s="7">
        <v>0.10022078654975455</v>
      </c>
      <c r="AH36" s="7">
        <v>7.9853903460587766E-2</v>
      </c>
      <c r="AI36" s="7">
        <v>4.8478691633591385E-2</v>
      </c>
      <c r="AJ36" s="7">
        <v>5.4978460353191094E-2</v>
      </c>
      <c r="AK36" s="7">
        <v>8.0512586027662397E-2</v>
      </c>
      <c r="AL36" s="7">
        <v>2.9699374999999995</v>
      </c>
      <c r="AM36" s="7">
        <v>11.513593750000002</v>
      </c>
      <c r="AN36" s="7">
        <v>4.4809900947252644E-2</v>
      </c>
      <c r="AO36" s="7">
        <v>2.7935311384235099E-2</v>
      </c>
      <c r="AP36" s="7">
        <v>0.1042161000918618</v>
      </c>
      <c r="AQ36" s="7">
        <v>5.4853970183912394E-2</v>
      </c>
      <c r="AR36" s="7">
        <v>4.219331454712047E-2</v>
      </c>
      <c r="AS36" s="7">
        <v>7.4380823157571746E-2</v>
      </c>
      <c r="AT36" s="7">
        <v>136.79374999999999</v>
      </c>
      <c r="AU36" s="7">
        <v>433.75</v>
      </c>
      <c r="AV36" s="7">
        <v>5.3267890161725839E-2</v>
      </c>
      <c r="AW36" s="7">
        <v>0.56787500000000002</v>
      </c>
      <c r="AX36" s="7">
        <v>0.23225000000000007</v>
      </c>
      <c r="AY36" s="7">
        <v>9.2564602819958458E-2</v>
      </c>
      <c r="AZ36" s="7">
        <v>0.12280287009063445</v>
      </c>
    </row>
    <row r="37" spans="1:52">
      <c r="A37" s="8" t="s">
        <v>326</v>
      </c>
      <c r="B37" s="6" t="s">
        <v>131</v>
      </c>
      <c r="C37" s="7">
        <v>0.21436666666666668</v>
      </c>
      <c r="D37" s="7">
        <v>0.1672666666666667</v>
      </c>
      <c r="E37" s="7">
        <v>0.12653333333333333</v>
      </c>
      <c r="F37" s="7">
        <v>0.21316666666666664</v>
      </c>
      <c r="G37" s="7">
        <v>2.2840000000000003</v>
      </c>
      <c r="H37" s="7">
        <v>2.7368333333333328</v>
      </c>
      <c r="I37" s="7">
        <v>6.8333333333333321</v>
      </c>
      <c r="J37" s="7">
        <v>8.6166666666666671</v>
      </c>
      <c r="K37" s="7">
        <v>12.368</v>
      </c>
      <c r="L37" s="7">
        <v>4.8586666666666671</v>
      </c>
      <c r="M37" s="7">
        <v>6.7573333333333334</v>
      </c>
      <c r="N37" s="7">
        <v>0.21596666666666664</v>
      </c>
      <c r="O37" s="7">
        <v>0.18616666666666667</v>
      </c>
      <c r="P37" s="7">
        <v>0.4220666666666667</v>
      </c>
      <c r="Q37" s="7">
        <v>49.866666666666667</v>
      </c>
      <c r="R37" s="7">
        <v>7.2351666666666663</v>
      </c>
      <c r="S37" s="7">
        <v>756.93333333333328</v>
      </c>
      <c r="T37" s="7">
        <v>0.8964333333333333</v>
      </c>
      <c r="U37" s="7">
        <v>1.5754333333333335</v>
      </c>
      <c r="V37" s="7">
        <v>0.75990000000000002</v>
      </c>
      <c r="W37" s="7">
        <v>0.18130000000000004</v>
      </c>
      <c r="X37" s="7">
        <v>0.72746666666666671</v>
      </c>
      <c r="Y37" s="7">
        <v>14.517999999999999</v>
      </c>
      <c r="Z37" s="7">
        <v>0.57956666666666667</v>
      </c>
      <c r="AA37" s="7">
        <v>0.18226666666666663</v>
      </c>
      <c r="AB37" s="7">
        <v>0.18130000000000004</v>
      </c>
      <c r="AC37" s="7">
        <v>12.863333333333332</v>
      </c>
      <c r="AD37" s="7">
        <v>0.36253333333333337</v>
      </c>
      <c r="AE37" s="7">
        <v>0.13960000000000003</v>
      </c>
      <c r="AF37" s="7">
        <v>0.36253333333333337</v>
      </c>
      <c r="AG37" s="7">
        <v>0.26010000000000005</v>
      </c>
      <c r="AH37" s="7">
        <v>0.26786666666666664</v>
      </c>
      <c r="AI37" s="7">
        <v>0.36253333333333337</v>
      </c>
      <c r="AJ37" s="7">
        <v>0.36253333333333337</v>
      </c>
      <c r="AK37" s="7">
        <v>0.24936666666666665</v>
      </c>
      <c r="AL37" s="7">
        <v>1.5902999999999998</v>
      </c>
      <c r="AM37" s="7">
        <v>3.387</v>
      </c>
      <c r="AN37" s="7">
        <v>0.36253333333333337</v>
      </c>
      <c r="AO37" s="7">
        <v>0.31496666666666667</v>
      </c>
      <c r="AP37" s="7">
        <v>0.36253333333333337</v>
      </c>
      <c r="AQ37" s="7">
        <v>0.3047333333333333</v>
      </c>
      <c r="AR37" s="7">
        <v>0.29609999999999997</v>
      </c>
      <c r="AS37" s="7">
        <v>0.36253333333333337</v>
      </c>
      <c r="AT37" s="7">
        <v>55.233333333333334</v>
      </c>
      <c r="AU37" s="7">
        <v>275.06000000000006</v>
      </c>
      <c r="AV37" s="7">
        <v>0.31496666666666667</v>
      </c>
      <c r="AW37" s="7">
        <v>0.54969999999999997</v>
      </c>
      <c r="AX37" s="7">
        <v>0.37196666666666661</v>
      </c>
      <c r="AY37" s="7">
        <v>0.36253333333333337</v>
      </c>
      <c r="AZ37" s="7">
        <v>0.36253333333333337</v>
      </c>
    </row>
    <row r="38" spans="1:52">
      <c r="A38" s="8"/>
      <c r="B38" s="6" t="s">
        <v>122</v>
      </c>
      <c r="C38" s="7">
        <v>0.254</v>
      </c>
      <c r="D38" s="7">
        <v>8.9499999999999996E-2</v>
      </c>
      <c r="E38" s="7">
        <v>0.13700000000000001</v>
      </c>
      <c r="F38" s="7">
        <v>0.254</v>
      </c>
      <c r="G38" s="7">
        <v>3.7</v>
      </c>
      <c r="H38" s="7">
        <v>2.69</v>
      </c>
      <c r="I38" s="7">
        <v>3.97</v>
      </c>
      <c r="J38" s="7">
        <v>4.79</v>
      </c>
      <c r="K38" s="7">
        <v>4.51</v>
      </c>
      <c r="L38" s="7">
        <v>1.28</v>
      </c>
      <c r="M38" s="7">
        <v>0.90500000000000003</v>
      </c>
      <c r="N38" s="7">
        <v>0.1515</v>
      </c>
      <c r="O38" s="7">
        <v>0.254</v>
      </c>
      <c r="P38" s="7">
        <v>0.32400000000000001</v>
      </c>
      <c r="Q38" s="7">
        <v>44.4</v>
      </c>
      <c r="R38" s="7">
        <v>5.91</v>
      </c>
      <c r="S38" s="7">
        <v>662</v>
      </c>
      <c r="T38" s="7">
        <v>1.48</v>
      </c>
      <c r="U38" s="7">
        <v>0.70899999999999996</v>
      </c>
      <c r="V38" s="7">
        <v>0.27200000000000002</v>
      </c>
      <c r="W38" s="7">
        <v>0.127</v>
      </c>
      <c r="X38" s="7">
        <v>2.2400000000000002</v>
      </c>
      <c r="Y38" s="7">
        <v>9.48</v>
      </c>
      <c r="Z38" s="7">
        <v>0.51</v>
      </c>
      <c r="AA38" s="7">
        <v>0.128</v>
      </c>
      <c r="AB38" s="7">
        <v>0.127</v>
      </c>
      <c r="AC38" s="7">
        <v>11.2</v>
      </c>
      <c r="AD38" s="7">
        <v>0.254</v>
      </c>
      <c r="AE38" s="7">
        <v>9.8000000000000004E-2</v>
      </c>
      <c r="AF38" s="7">
        <v>0.254</v>
      </c>
      <c r="AG38" s="7">
        <v>0.1825</v>
      </c>
      <c r="AH38" s="7">
        <v>0.112</v>
      </c>
      <c r="AI38" s="7">
        <v>0.254</v>
      </c>
      <c r="AJ38" s="7">
        <v>0.254</v>
      </c>
      <c r="AK38" s="7">
        <v>0.254</v>
      </c>
      <c r="AL38" s="7">
        <v>0.254</v>
      </c>
      <c r="AM38" s="7">
        <v>7.93</v>
      </c>
      <c r="AN38" s="7">
        <v>0.254</v>
      </c>
      <c r="AO38" s="7">
        <v>0.127</v>
      </c>
      <c r="AP38" s="7">
        <v>0.254</v>
      </c>
      <c r="AQ38" s="7">
        <v>0.1</v>
      </c>
      <c r="AR38" s="7">
        <v>7.6999999999999999E-2</v>
      </c>
      <c r="AS38" s="7">
        <v>0.254</v>
      </c>
      <c r="AT38" s="7">
        <v>12.5</v>
      </c>
      <c r="AU38" s="7">
        <v>75.900000000000006</v>
      </c>
      <c r="AV38" s="7">
        <v>0.127</v>
      </c>
      <c r="AW38" s="7">
        <v>0.1545</v>
      </c>
      <c r="AX38" s="7">
        <v>0.47199999999999998</v>
      </c>
      <c r="AY38" s="7">
        <v>0.254</v>
      </c>
      <c r="AZ38" s="7">
        <v>0.254</v>
      </c>
    </row>
    <row r="39" spans="1:52">
      <c r="A39" s="8"/>
      <c r="B39" s="6" t="s">
        <v>165</v>
      </c>
      <c r="C39" s="7">
        <v>0.23050000000000001</v>
      </c>
      <c r="D39" s="7">
        <v>0.15666666666666665</v>
      </c>
      <c r="E39" s="7">
        <v>0.12433333333333334</v>
      </c>
      <c r="F39" s="7">
        <v>0.23050000000000001</v>
      </c>
      <c r="G39" s="7">
        <v>12.443333333333333</v>
      </c>
      <c r="H39" s="7">
        <v>3.03</v>
      </c>
      <c r="I39" s="7">
        <v>3.9899999999999998</v>
      </c>
      <c r="J39" s="7">
        <v>18.603333333333335</v>
      </c>
      <c r="K39" s="7">
        <v>6.4833333333333334</v>
      </c>
      <c r="L39" s="7">
        <v>37.463333333333331</v>
      </c>
      <c r="M39" s="7">
        <v>8.0499999999999989</v>
      </c>
      <c r="N39" s="7">
        <v>0.1825</v>
      </c>
      <c r="O39" s="7">
        <v>0.20633333333333334</v>
      </c>
      <c r="P39" s="7">
        <v>0.6153333333333334</v>
      </c>
      <c r="Q39" s="7">
        <v>154.06666666666666</v>
      </c>
      <c r="R39" s="7">
        <v>6.31</v>
      </c>
      <c r="S39" s="7">
        <v>1613.3333333333333</v>
      </c>
      <c r="T39" s="7">
        <v>1.1459999999999999</v>
      </c>
      <c r="U39" s="7">
        <v>1.3933333333333333</v>
      </c>
      <c r="V39" s="7">
        <v>0.3706666666666667</v>
      </c>
      <c r="W39" s="7">
        <v>0.15316666666666667</v>
      </c>
      <c r="X39" s="7">
        <v>2.3613333333333331</v>
      </c>
      <c r="Y39" s="7">
        <v>1.7736666666666665</v>
      </c>
      <c r="Z39" s="7">
        <v>0.38633333333333336</v>
      </c>
      <c r="AA39" s="7">
        <v>0.154</v>
      </c>
      <c r="AB39" s="7">
        <v>0.15316666666666667</v>
      </c>
      <c r="AC39" s="7">
        <v>34.616666666666667</v>
      </c>
      <c r="AD39" s="7">
        <v>0.38100000000000001</v>
      </c>
      <c r="AE39" s="7">
        <v>0.11783333333333333</v>
      </c>
      <c r="AF39" s="7">
        <v>0.30633333333333335</v>
      </c>
      <c r="AG39" s="7">
        <v>0.21966666666666668</v>
      </c>
      <c r="AH39" s="7">
        <v>0.17700000000000002</v>
      </c>
      <c r="AI39" s="7">
        <v>0.30633333333333335</v>
      </c>
      <c r="AJ39" s="7">
        <v>0.30633333333333335</v>
      </c>
      <c r="AK39" s="7">
        <v>0.24216666666666664</v>
      </c>
      <c r="AL39" s="7">
        <v>7.8746666666666671</v>
      </c>
      <c r="AM39" s="7">
        <v>139.72333333333333</v>
      </c>
      <c r="AN39" s="7">
        <v>0.30633333333333335</v>
      </c>
      <c r="AO39" s="7">
        <v>0.22900000000000001</v>
      </c>
      <c r="AP39" s="7">
        <v>0.30633333333333335</v>
      </c>
      <c r="AQ39" s="7">
        <v>0.21233333333333335</v>
      </c>
      <c r="AR39" s="7">
        <v>0.19833333333333333</v>
      </c>
      <c r="AS39" s="7">
        <v>0.30633333333333335</v>
      </c>
      <c r="AT39" s="7">
        <v>30.603333333333339</v>
      </c>
      <c r="AU39" s="7">
        <v>304</v>
      </c>
      <c r="AV39" s="7">
        <v>0.26899999999999996</v>
      </c>
      <c r="AW39" s="7">
        <v>0.14000000000000001</v>
      </c>
      <c r="AX39" s="7">
        <v>0.29933333333333328</v>
      </c>
      <c r="AY39" s="7">
        <v>0.30633333333333335</v>
      </c>
      <c r="AZ39" s="7">
        <v>0.30633333333333335</v>
      </c>
    </row>
    <row r="40" spans="1:52">
      <c r="A40" s="8"/>
      <c r="B40" s="6" t="s">
        <v>176</v>
      </c>
      <c r="C40" s="7">
        <v>0.22525000000000001</v>
      </c>
      <c r="D40" s="7">
        <v>0.11537500000000001</v>
      </c>
      <c r="E40" s="7">
        <v>0.15137499999999998</v>
      </c>
      <c r="F40" s="7">
        <v>0.16700000000000001</v>
      </c>
      <c r="G40" s="7">
        <v>1.9350000000000001</v>
      </c>
      <c r="H40" s="7">
        <v>0.69987500000000002</v>
      </c>
      <c r="I40" s="7">
        <v>8.620000000000001</v>
      </c>
      <c r="J40" s="7">
        <v>10.59</v>
      </c>
      <c r="K40" s="7">
        <v>11.75</v>
      </c>
      <c r="L40" s="7">
        <v>5.5827499999999999</v>
      </c>
      <c r="M40" s="7">
        <v>6.5025000000000004</v>
      </c>
      <c r="N40" s="7">
        <v>0.16725000000000001</v>
      </c>
      <c r="O40" s="7">
        <v>0.18087500000000001</v>
      </c>
      <c r="P40" s="7">
        <v>0.35112500000000002</v>
      </c>
      <c r="Q40" s="7">
        <v>19.274999999999999</v>
      </c>
      <c r="R40" s="7">
        <v>5.7850000000000001</v>
      </c>
      <c r="S40" s="7">
        <v>729.25</v>
      </c>
      <c r="T40" s="7">
        <v>0.67149999999999999</v>
      </c>
      <c r="U40" s="7">
        <v>1.4764999999999999</v>
      </c>
      <c r="V40" s="7">
        <v>0.30662500000000004</v>
      </c>
      <c r="W40" s="7">
        <v>0.140375</v>
      </c>
      <c r="X40" s="7">
        <v>1.0215000000000001</v>
      </c>
      <c r="Y40" s="7">
        <v>22.825000000000003</v>
      </c>
      <c r="Z40" s="7">
        <v>1.6335000000000002</v>
      </c>
      <c r="AA40" s="7">
        <v>0.14125000000000001</v>
      </c>
      <c r="AB40" s="7">
        <v>0.140375</v>
      </c>
      <c r="AC40" s="7">
        <v>24.3</v>
      </c>
      <c r="AD40" s="7">
        <v>0.28075</v>
      </c>
      <c r="AE40" s="7">
        <v>0.108125</v>
      </c>
      <c r="AF40" s="7">
        <v>0.28075</v>
      </c>
      <c r="AG40" s="7">
        <v>0.201375</v>
      </c>
      <c r="AH40" s="7">
        <v>0.13037499999999999</v>
      </c>
      <c r="AI40" s="7">
        <v>0.28075</v>
      </c>
      <c r="AJ40" s="7">
        <v>0.28075</v>
      </c>
      <c r="AK40" s="7">
        <v>0.23375000000000001</v>
      </c>
      <c r="AL40" s="7">
        <v>3.5273750000000001</v>
      </c>
      <c r="AM40" s="7">
        <v>1.11975</v>
      </c>
      <c r="AN40" s="7">
        <v>0.28075</v>
      </c>
      <c r="AO40" s="7">
        <v>0.19587500000000002</v>
      </c>
      <c r="AP40" s="7">
        <v>0.28075</v>
      </c>
      <c r="AQ40" s="7">
        <v>0.17762499999999998</v>
      </c>
      <c r="AR40" s="7">
        <v>0.16237499999999999</v>
      </c>
      <c r="AS40" s="7">
        <v>0.28075</v>
      </c>
      <c r="AT40" s="7">
        <v>112.47500000000001</v>
      </c>
      <c r="AU40" s="7">
        <v>791</v>
      </c>
      <c r="AV40" s="7">
        <v>0.19587500000000002</v>
      </c>
      <c r="AW40" s="7">
        <v>0.12062500000000001</v>
      </c>
      <c r="AX40" s="7">
        <v>0.32324999999999998</v>
      </c>
      <c r="AY40" s="7">
        <v>0.28075</v>
      </c>
      <c r="AZ40" s="7">
        <v>0.28075</v>
      </c>
    </row>
    <row r="41" spans="1:52">
      <c r="A41" s="8"/>
      <c r="B41" s="6" t="s">
        <v>210</v>
      </c>
      <c r="C41" s="7">
        <v>0.23075000000000001</v>
      </c>
      <c r="D41" s="7">
        <v>0.1535</v>
      </c>
      <c r="E41" s="7">
        <v>0.1245</v>
      </c>
      <c r="F41" s="7">
        <v>0.23075000000000001</v>
      </c>
      <c r="G41" s="7">
        <v>0.74550000000000005</v>
      </c>
      <c r="H41" s="7">
        <v>1.4849999999999999</v>
      </c>
      <c r="I41" s="7">
        <v>10.015000000000001</v>
      </c>
      <c r="J41" s="7">
        <v>14.2</v>
      </c>
      <c r="K41" s="7">
        <v>14.899999999999999</v>
      </c>
      <c r="L41" s="7">
        <v>4.6449999999999996</v>
      </c>
      <c r="M41" s="7">
        <v>6.3599999999999994</v>
      </c>
      <c r="N41" s="7">
        <v>0.20374999999999999</v>
      </c>
      <c r="O41" s="7">
        <v>0.19500000000000001</v>
      </c>
      <c r="P41" s="7">
        <v>0.19525000000000001</v>
      </c>
      <c r="Q41" s="7">
        <v>36.549999999999997</v>
      </c>
      <c r="R41" s="7">
        <v>7.0150000000000006</v>
      </c>
      <c r="S41" s="7">
        <v>1680</v>
      </c>
      <c r="T41" s="7">
        <v>2.81</v>
      </c>
      <c r="U41" s="7">
        <v>2.0049999999999999</v>
      </c>
      <c r="V41" s="7">
        <v>0.2465</v>
      </c>
      <c r="W41" s="7">
        <v>0.17125000000000001</v>
      </c>
      <c r="X41" s="7">
        <v>0.23075000000000001</v>
      </c>
      <c r="Y41" s="7">
        <v>6.5649999999999995</v>
      </c>
      <c r="Z41" s="7">
        <v>0.46124999999999999</v>
      </c>
      <c r="AA41" s="7">
        <v>0.17199999999999999</v>
      </c>
      <c r="AB41" s="7">
        <v>0.17125000000000001</v>
      </c>
      <c r="AC41" s="7">
        <v>14.2</v>
      </c>
      <c r="AD41" s="7">
        <v>0.34199999999999997</v>
      </c>
      <c r="AE41" s="7">
        <v>0.13175000000000001</v>
      </c>
      <c r="AF41" s="7">
        <v>0.34199999999999997</v>
      </c>
      <c r="AG41" s="7">
        <v>0.24525000000000002</v>
      </c>
      <c r="AH41" s="7">
        <v>0.502</v>
      </c>
      <c r="AI41" s="7">
        <v>0.34199999999999997</v>
      </c>
      <c r="AJ41" s="7">
        <v>0.34199999999999997</v>
      </c>
      <c r="AK41" s="7">
        <v>0.24775</v>
      </c>
      <c r="AL41" s="7">
        <v>0.23075000000000001</v>
      </c>
      <c r="AM41" s="7">
        <v>2.2999999999999998</v>
      </c>
      <c r="AN41" s="7">
        <v>0.34199999999999997</v>
      </c>
      <c r="AO41" s="7">
        <v>0.28249999999999997</v>
      </c>
      <c r="AP41" s="7">
        <v>0.34199999999999997</v>
      </c>
      <c r="AQ41" s="7">
        <v>0.26950000000000002</v>
      </c>
      <c r="AR41" s="7">
        <v>0.25874999999999998</v>
      </c>
      <c r="AS41" s="7">
        <v>0.34199999999999997</v>
      </c>
      <c r="AT41" s="7">
        <v>73.099999999999994</v>
      </c>
      <c r="AU41" s="7">
        <v>71.5</v>
      </c>
      <c r="AV41" s="7">
        <v>0.28249999999999997</v>
      </c>
      <c r="AW41" s="7">
        <v>0.47150000000000003</v>
      </c>
      <c r="AX41" s="7">
        <v>0.42899999999999999</v>
      </c>
      <c r="AY41" s="7">
        <v>0.34199999999999997</v>
      </c>
      <c r="AZ41" s="7">
        <v>0.34199999999999997</v>
      </c>
    </row>
    <row r="42" spans="1:52">
      <c r="A42" s="8"/>
      <c r="B42" s="6" t="s">
        <v>215</v>
      </c>
      <c r="C42" s="7">
        <v>0.22800000000000001</v>
      </c>
      <c r="D42" s="7">
        <v>8.0500000000000002E-2</v>
      </c>
      <c r="E42" s="7">
        <v>8.1500000000000003E-2</v>
      </c>
      <c r="F42" s="7">
        <v>0.15116666666666667</v>
      </c>
      <c r="G42" s="7">
        <v>0.93900000000000006</v>
      </c>
      <c r="H42" s="7">
        <v>0.36316666666666664</v>
      </c>
      <c r="I42" s="7">
        <v>5.7366666666666672</v>
      </c>
      <c r="J42" s="7">
        <v>13.213333333333333</v>
      </c>
      <c r="K42" s="7">
        <v>35.966666666666669</v>
      </c>
      <c r="L42" s="7">
        <v>6.2600000000000007</v>
      </c>
      <c r="M42" s="7">
        <v>18.666666666666668</v>
      </c>
      <c r="N42" s="7">
        <v>0.13583333333333333</v>
      </c>
      <c r="O42" s="7">
        <v>0.87083333333333324</v>
      </c>
      <c r="P42" s="7">
        <v>0.27383333333333332</v>
      </c>
      <c r="Q42" s="7">
        <v>42.266666666666673</v>
      </c>
      <c r="R42" s="7">
        <v>3.2233333333333332</v>
      </c>
      <c r="S42" s="7">
        <v>542.33333333333337</v>
      </c>
      <c r="T42" s="7">
        <v>0.99633333333333329</v>
      </c>
      <c r="U42" s="7">
        <v>1.406666666666667</v>
      </c>
      <c r="V42" s="7">
        <v>0.40850000000000003</v>
      </c>
      <c r="W42" s="7">
        <v>0.11416666666666665</v>
      </c>
      <c r="X42" s="7">
        <v>0.33783333333333337</v>
      </c>
      <c r="Y42" s="7">
        <v>14.536666666666667</v>
      </c>
      <c r="Z42" s="7">
        <v>0.3818333333333333</v>
      </c>
      <c r="AA42" s="7">
        <v>0.11483333333333333</v>
      </c>
      <c r="AB42" s="7">
        <v>0.11416666666666665</v>
      </c>
      <c r="AC42" s="7">
        <v>18.166666666666668</v>
      </c>
      <c r="AD42" s="7">
        <v>0.29850000000000004</v>
      </c>
      <c r="AE42" s="7">
        <v>8.7833333333333333E-2</v>
      </c>
      <c r="AF42" s="7">
        <v>0.22800000000000001</v>
      </c>
      <c r="AG42" s="7">
        <v>0.16366666666666665</v>
      </c>
      <c r="AH42" s="7">
        <v>0.10066666666666668</v>
      </c>
      <c r="AI42" s="7">
        <v>0.22800000000000001</v>
      </c>
      <c r="AJ42" s="7">
        <v>0.22800000000000001</v>
      </c>
      <c r="AK42" s="7">
        <v>0.22800000000000001</v>
      </c>
      <c r="AL42" s="7">
        <v>3.19</v>
      </c>
      <c r="AM42" s="7">
        <v>24.866666666666664</v>
      </c>
      <c r="AN42" s="7">
        <v>0.22800000000000001</v>
      </c>
      <c r="AO42" s="7">
        <v>0.11416666666666665</v>
      </c>
      <c r="AP42" s="7">
        <v>0.22800000000000001</v>
      </c>
      <c r="AQ42" s="7">
        <v>8.9499999999999982E-2</v>
      </c>
      <c r="AR42" s="7">
        <v>6.9000000000000006E-2</v>
      </c>
      <c r="AS42" s="7">
        <v>0.22800000000000001</v>
      </c>
      <c r="AT42" s="7">
        <v>121.66666666666667</v>
      </c>
      <c r="AU42" s="7">
        <v>383.66666666666669</v>
      </c>
      <c r="AV42" s="7">
        <v>0.11416666666666665</v>
      </c>
      <c r="AW42" s="7">
        <v>0.13866666666666666</v>
      </c>
      <c r="AX42" s="7">
        <v>0.15833333333333335</v>
      </c>
      <c r="AY42" s="7">
        <v>0.22800000000000001</v>
      </c>
      <c r="AZ42" s="7">
        <v>0.22800000000000001</v>
      </c>
    </row>
    <row r="43" spans="1:52">
      <c r="A43" s="8"/>
      <c r="B43" s="6" t="s">
        <v>226</v>
      </c>
      <c r="C43" s="7">
        <v>0.26512244897959181</v>
      </c>
      <c r="D43" s="7">
        <v>0.11171938775510207</v>
      </c>
      <c r="E43" s="7">
        <v>0.11345408163265309</v>
      </c>
      <c r="F43" s="7">
        <v>0.21808775510204076</v>
      </c>
      <c r="G43" s="7">
        <v>0.812423469387755</v>
      </c>
      <c r="H43" s="7">
        <v>0.4648489795918368</v>
      </c>
      <c r="I43" s="7">
        <v>5.0356326530612234</v>
      </c>
      <c r="J43" s="7">
        <v>7.6101224489795918</v>
      </c>
      <c r="K43" s="7">
        <v>15.449795918367348</v>
      </c>
      <c r="L43" s="7">
        <v>4.7031224489795918</v>
      </c>
      <c r="M43" s="7">
        <v>13.027551020408163</v>
      </c>
      <c r="N43" s="7">
        <v>0.2055816326530612</v>
      </c>
      <c r="O43" s="7">
        <v>0.21580918367346943</v>
      </c>
      <c r="P43" s="7">
        <v>0.18072448979591835</v>
      </c>
      <c r="Q43" s="7">
        <v>13.119704081632653</v>
      </c>
      <c r="R43" s="7">
        <v>1.9154591836734685</v>
      </c>
      <c r="S43" s="7">
        <v>878.09591836734683</v>
      </c>
      <c r="T43" s="7">
        <v>1.9613061224489794</v>
      </c>
      <c r="U43" s="7">
        <v>1.9462040816326533</v>
      </c>
      <c r="V43" s="7">
        <v>0.644591836734694</v>
      </c>
      <c r="W43" s="7">
        <v>0.12733673469387752</v>
      </c>
      <c r="X43" s="7">
        <v>0.46007551020408166</v>
      </c>
      <c r="Y43" s="7">
        <v>3.8743061224489788</v>
      </c>
      <c r="Z43" s="7">
        <v>0.44719387755102036</v>
      </c>
      <c r="AA43" s="7">
        <v>0.24799999999999994</v>
      </c>
      <c r="AB43" s="7">
        <v>0.12309183673469389</v>
      </c>
      <c r="AC43" s="7">
        <v>13.31938775510204</v>
      </c>
      <c r="AD43" s="7">
        <v>0.19784693877551018</v>
      </c>
      <c r="AE43" s="7">
        <v>0.10842857142857143</v>
      </c>
      <c r="AF43" s="7">
        <v>0.21714285714285711</v>
      </c>
      <c r="AG43" s="7">
        <v>0.18618367346938774</v>
      </c>
      <c r="AH43" s="7">
        <v>0.14462244897959181</v>
      </c>
      <c r="AI43" s="7">
        <v>0.20860204081632649</v>
      </c>
      <c r="AJ43" s="7">
        <v>0.20860204081632649</v>
      </c>
      <c r="AK43" s="7">
        <v>0.18635714285714289</v>
      </c>
      <c r="AL43" s="7">
        <v>1.4559591836734695</v>
      </c>
      <c r="AM43" s="7">
        <v>8.5859999999999985</v>
      </c>
      <c r="AN43" s="7">
        <v>0.24090816326530615</v>
      </c>
      <c r="AO43" s="7">
        <v>0.4500306122448981</v>
      </c>
      <c r="AP43" s="7">
        <v>0.28856122448979593</v>
      </c>
      <c r="AQ43" s="7">
        <v>0.14508163265306123</v>
      </c>
      <c r="AR43" s="7">
        <v>0.12802653061224487</v>
      </c>
      <c r="AS43" s="7">
        <v>0.23794897959183675</v>
      </c>
      <c r="AT43" s="7">
        <v>47.014693877551018</v>
      </c>
      <c r="AU43" s="7">
        <v>70.979591836734713</v>
      </c>
      <c r="AV43" s="7">
        <v>0.16441836734693874</v>
      </c>
      <c r="AW43" s="7">
        <v>0.16604897959183673</v>
      </c>
      <c r="AX43" s="7">
        <v>0.19584693877551021</v>
      </c>
      <c r="AY43" s="7">
        <v>0.22521428571428573</v>
      </c>
      <c r="AZ43" s="7">
        <v>0.24732653061224494</v>
      </c>
    </row>
    <row r="44" spans="1:52">
      <c r="A44" s="8"/>
      <c r="B44" s="6" t="s">
        <v>183</v>
      </c>
      <c r="C44" s="7">
        <v>0.20987500000000001</v>
      </c>
      <c r="D44" s="7">
        <v>0.17658750000000001</v>
      </c>
      <c r="E44" s="7">
        <v>0.2172</v>
      </c>
      <c r="F44" s="7">
        <v>0.2427125</v>
      </c>
      <c r="G44" s="7">
        <v>2.7037499999999999</v>
      </c>
      <c r="H44" s="7">
        <v>3.1325000000000003</v>
      </c>
      <c r="I44" s="7">
        <v>5.1400000000000006</v>
      </c>
      <c r="J44" s="7">
        <v>7.5200000000000005</v>
      </c>
      <c r="K44" s="7">
        <v>8.5749999999999993</v>
      </c>
      <c r="L44" s="7">
        <v>2.42998125</v>
      </c>
      <c r="M44" s="7">
        <v>6.0162500000000003</v>
      </c>
      <c r="N44" s="7">
        <v>0.203375</v>
      </c>
      <c r="O44" s="7">
        <v>0.14275000000000002</v>
      </c>
      <c r="P44" s="7">
        <v>0.35462500000000002</v>
      </c>
      <c r="Q44" s="7">
        <v>44.087499999999999</v>
      </c>
      <c r="R44" s="7">
        <v>3.5974999999999997</v>
      </c>
      <c r="S44" s="7">
        <v>527.375</v>
      </c>
      <c r="T44" s="7">
        <v>0.87075000000000014</v>
      </c>
      <c r="U44" s="7">
        <v>1.4137500000000001</v>
      </c>
      <c r="V44" s="7">
        <v>0.71899999999999997</v>
      </c>
      <c r="W44" s="7">
        <v>0.17056250000000001</v>
      </c>
      <c r="X44" s="7">
        <v>0.73075000000000001</v>
      </c>
      <c r="Y44" s="7">
        <v>12.24</v>
      </c>
      <c r="Z44" s="7">
        <v>0.47037499999999999</v>
      </c>
      <c r="AA44" s="7">
        <v>0.17156250000000001</v>
      </c>
      <c r="AB44" s="7">
        <v>0.16700000000000001</v>
      </c>
      <c r="AC44" s="7">
        <v>24.337500000000002</v>
      </c>
      <c r="AD44" s="7">
        <v>0.3086875</v>
      </c>
      <c r="AE44" s="7">
        <v>0.13750000000000001</v>
      </c>
      <c r="AF44" s="7">
        <v>0.3188125</v>
      </c>
      <c r="AG44" s="7">
        <v>0.24474999999999997</v>
      </c>
      <c r="AH44" s="7">
        <v>0.18481250000000002</v>
      </c>
      <c r="AI44" s="7">
        <v>0.31431249999999999</v>
      </c>
      <c r="AJ44" s="7">
        <v>0.31431249999999999</v>
      </c>
      <c r="AK44" s="7">
        <v>0.19668749999999999</v>
      </c>
      <c r="AL44" s="7">
        <v>0.92862500000000003</v>
      </c>
      <c r="AM44" s="7">
        <v>13.385375000000002</v>
      </c>
      <c r="AN44" s="7">
        <v>0.52825000000000011</v>
      </c>
      <c r="AO44" s="7">
        <v>0.31431249999999999</v>
      </c>
      <c r="AP44" s="7">
        <v>0.32756249999999998</v>
      </c>
      <c r="AQ44" s="7">
        <v>0.3085</v>
      </c>
      <c r="AR44" s="7">
        <v>0.30371249999999994</v>
      </c>
      <c r="AS44" s="7">
        <v>0.31606249999999997</v>
      </c>
      <c r="AT44" s="7">
        <v>116.32500000000002</v>
      </c>
      <c r="AU44" s="7">
        <v>486.25</v>
      </c>
      <c r="AV44" s="7">
        <v>0.31431249999999999</v>
      </c>
      <c r="AW44" s="7">
        <v>0.14118750000000002</v>
      </c>
      <c r="AX44" s="7">
        <v>0.140375</v>
      </c>
      <c r="AY44" s="7">
        <v>0.32306249999999997</v>
      </c>
      <c r="AZ44" s="7">
        <v>0.33474999999999999</v>
      </c>
    </row>
  </sheetData>
  <mergeCells count="2">
    <mergeCell ref="A37:A44"/>
    <mergeCell ref="A29:A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A0D3-9783-4314-A479-9ACF4CECE11D}">
  <dimension ref="A1:N8301"/>
  <sheetViews>
    <sheetView workbookViewId="0">
      <selection activeCell="C1" sqref="C1:C1048576"/>
    </sheetView>
  </sheetViews>
  <sheetFormatPr defaultRowHeight="15.6"/>
  <cols>
    <col min="1" max="1" width="21.75" bestFit="1" customWidth="1"/>
    <col min="2" max="2" width="10" customWidth="1"/>
    <col min="3" max="3" width="13.25" style="2" customWidth="1"/>
    <col min="4" max="4" width="15.375" customWidth="1"/>
    <col min="5" max="5" width="8" customWidth="1"/>
    <col min="6" max="6" width="9.125" bestFit="1" customWidth="1"/>
    <col min="7" max="7" width="5.75" bestFit="1" customWidth="1"/>
    <col min="8" max="8" width="8.125" bestFit="1" customWidth="1"/>
    <col min="9" max="9" width="12.25" bestFit="1" customWidth="1"/>
    <col min="10" max="10" width="11.25" bestFit="1" customWidth="1"/>
    <col min="11" max="11" width="22.25" bestFit="1" customWidth="1"/>
    <col min="12" max="12" width="11.25" bestFit="1" customWidth="1"/>
    <col min="13" max="13" width="7.75" customWidth="1"/>
    <col min="14" max="14" width="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327</v>
      </c>
      <c r="L1" s="1" t="s">
        <v>328</v>
      </c>
      <c r="M1" s="1" t="s">
        <v>329</v>
      </c>
      <c r="N1" s="1" t="s">
        <v>330</v>
      </c>
    </row>
    <row r="2" spans="1:14">
      <c r="A2" t="s">
        <v>225</v>
      </c>
      <c r="B2" t="str">
        <f>_xlfn.XLOOKUP(A2,'[1]Tissue Data'!$A:$A,'[1]Tissue Data'!$C:$C)</f>
        <v>Down</v>
      </c>
      <c r="C2" s="2">
        <f>_xlfn.XLOOKUP(A2,'[1]Tissue Data'!$A:$A,'[1]Tissue Data'!$D:$D)</f>
        <v>44314</v>
      </c>
      <c r="D2" s="2" t="str">
        <f>_xlfn.XLOOKUP(A2,'[1]Tissue Data'!$A:$A,'[1]Tissue Data'!$F:$F)</f>
        <v>Pumpkinseed</v>
      </c>
      <c r="E2" t="str">
        <f>_xlfn.XLOOKUP(A2,'[1]Tissue Data'!$A:$A,'[1]Tissue Data'!$H:$H)</f>
        <v>Lepomis</v>
      </c>
      <c r="F2" t="str">
        <f>_xlfn.XLOOKUP(A2,'[1]Tissue Data'!$A:$A,'[1]Tissue Data'!$I:$I)</f>
        <v>gibbosus</v>
      </c>
      <c r="G2" t="str">
        <f>_xlfn.XLOOKUP(A2,'[1]Tissue Data'!$A:$A,'[1]Tissue Data'!J:J)</f>
        <v>U</v>
      </c>
      <c r="H2" t="str">
        <f>_xlfn.XLOOKUP(A2,'[1]Tissue Data'!$A:$A,'[1]Tissue Data'!K:K)</f>
        <v>Whole Body</v>
      </c>
      <c r="I2">
        <f>_xlfn.XLOOKUP(A2,'[1]Tissue Data'!$A:$A,'[1]Tissue Data'!L:L)</f>
        <v>8</v>
      </c>
      <c r="J2">
        <f>_xlfn.XLOOKUP(A2,'[1]Tissue Data'!$A:$A,'[1]Tissue Data'!M:M)</f>
        <v>11.81</v>
      </c>
      <c r="K2" t="s">
        <v>12</v>
      </c>
      <c r="L2" t="str">
        <f>_xlfn.XLOOKUP(K2,[2]analyte_order!$B:$B,[2]analyte_order!$C:$C)</f>
        <v>375-22-4</v>
      </c>
      <c r="M2">
        <f>_xlfn.XLOOKUP(L2,[2]analyte_order!$C:$C,[2]analyte_order!$E:$E)</f>
        <v>1</v>
      </c>
      <c r="N2">
        <v>0.245</v>
      </c>
    </row>
    <row r="3" spans="1:14">
      <c r="A3" t="s">
        <v>225</v>
      </c>
      <c r="B3" t="str">
        <f>_xlfn.XLOOKUP(A3,'[1]Tissue Data'!$A:$A,'[1]Tissue Data'!$C:$C)</f>
        <v>Down</v>
      </c>
      <c r="C3" s="2">
        <f>_xlfn.XLOOKUP(A3,'[1]Tissue Data'!$A:$A,'[1]Tissue Data'!$D:$D)</f>
        <v>44314</v>
      </c>
      <c r="D3" s="2" t="str">
        <f>_xlfn.XLOOKUP(A3,'[1]Tissue Data'!$A:$A,'[1]Tissue Data'!$F:$F)</f>
        <v>Pumpkinseed</v>
      </c>
      <c r="E3" t="str">
        <f>_xlfn.XLOOKUP(A3,'[1]Tissue Data'!$A:$A,'[1]Tissue Data'!$H:$H)</f>
        <v>Lepomis</v>
      </c>
      <c r="F3" t="str">
        <f>_xlfn.XLOOKUP(A3,'[1]Tissue Data'!$A:$A,'[1]Tissue Data'!$I:$I)</f>
        <v>gibbosus</v>
      </c>
      <c r="G3" t="str">
        <f>_xlfn.XLOOKUP(A3,'[1]Tissue Data'!$A:$A,'[1]Tissue Data'!J:J)</f>
        <v>U</v>
      </c>
      <c r="H3" t="str">
        <f>_xlfn.XLOOKUP(A3,'[1]Tissue Data'!$A:$A,'[1]Tissue Data'!K:K)</f>
        <v>Whole Body</v>
      </c>
      <c r="I3">
        <f>_xlfn.XLOOKUP(A3,'[1]Tissue Data'!$A:$A,'[1]Tissue Data'!L:L)</f>
        <v>8</v>
      </c>
      <c r="J3">
        <f>_xlfn.XLOOKUP(A3,'[1]Tissue Data'!$A:$A,'[1]Tissue Data'!M:M)</f>
        <v>11.81</v>
      </c>
      <c r="K3" t="s">
        <v>13</v>
      </c>
      <c r="L3" t="str">
        <f>_xlfn.XLOOKUP(K3,[2]analyte_order!$B:$B,[2]analyte_order!$C:$C)</f>
        <v>2706-90-3</v>
      </c>
      <c r="M3">
        <f>_xlfn.XLOOKUP(L3,[2]analyte_order!$C:$C,[2]analyte_order!$E:$E)</f>
        <v>2</v>
      </c>
      <c r="N3">
        <v>0.16103301360215763</v>
      </c>
    </row>
    <row r="4" spans="1:14">
      <c r="A4" t="s">
        <v>225</v>
      </c>
      <c r="B4" t="str">
        <f>_xlfn.XLOOKUP(A4,'[1]Tissue Data'!$A:$A,'[1]Tissue Data'!$C:$C)</f>
        <v>Down</v>
      </c>
      <c r="C4" s="2">
        <f>_xlfn.XLOOKUP(A4,'[1]Tissue Data'!$A:$A,'[1]Tissue Data'!$D:$D)</f>
        <v>44314</v>
      </c>
      <c r="D4" s="2" t="str">
        <f>_xlfn.XLOOKUP(A4,'[1]Tissue Data'!$A:$A,'[1]Tissue Data'!$F:$F)</f>
        <v>Pumpkinseed</v>
      </c>
      <c r="E4" t="str">
        <f>_xlfn.XLOOKUP(A4,'[1]Tissue Data'!$A:$A,'[1]Tissue Data'!$H:$H)</f>
        <v>Lepomis</v>
      </c>
      <c r="F4" t="str">
        <f>_xlfn.XLOOKUP(A4,'[1]Tissue Data'!$A:$A,'[1]Tissue Data'!$I:$I)</f>
        <v>gibbosus</v>
      </c>
      <c r="G4" t="str">
        <f>_xlfn.XLOOKUP(A4,'[1]Tissue Data'!$A:$A,'[1]Tissue Data'!J:J)</f>
        <v>U</v>
      </c>
      <c r="H4" t="str">
        <f>_xlfn.XLOOKUP(A4,'[1]Tissue Data'!$A:$A,'[1]Tissue Data'!K:K)</f>
        <v>Whole Body</v>
      </c>
      <c r="I4">
        <f>_xlfn.XLOOKUP(A4,'[1]Tissue Data'!$A:$A,'[1]Tissue Data'!L:L)</f>
        <v>8</v>
      </c>
      <c r="J4">
        <f>_xlfn.XLOOKUP(A4,'[1]Tissue Data'!$A:$A,'[1]Tissue Data'!M:M)</f>
        <v>11.81</v>
      </c>
      <c r="K4" t="s">
        <v>14</v>
      </c>
      <c r="L4" t="str">
        <f>_xlfn.XLOOKUP(K4,[2]analyte_order!$B:$B,[2]analyte_order!$C:$C)</f>
        <v>307-24-4</v>
      </c>
      <c r="M4">
        <f>_xlfn.XLOOKUP(L4,[2]analyte_order!$C:$C,[2]analyte_order!$E:$E)</f>
        <v>3</v>
      </c>
      <c r="N4">
        <v>0.12300499753782922</v>
      </c>
    </row>
    <row r="5" spans="1:14">
      <c r="A5" t="s">
        <v>225</v>
      </c>
      <c r="B5" t="str">
        <f>_xlfn.XLOOKUP(A5,'[1]Tissue Data'!$A:$A,'[1]Tissue Data'!$C:$C)</f>
        <v>Down</v>
      </c>
      <c r="C5" s="2">
        <f>_xlfn.XLOOKUP(A5,'[1]Tissue Data'!$A:$A,'[1]Tissue Data'!$D:$D)</f>
        <v>44314</v>
      </c>
      <c r="D5" s="2" t="str">
        <f>_xlfn.XLOOKUP(A5,'[1]Tissue Data'!$A:$A,'[1]Tissue Data'!$F:$F)</f>
        <v>Pumpkinseed</v>
      </c>
      <c r="E5" t="str">
        <f>_xlfn.XLOOKUP(A5,'[1]Tissue Data'!$A:$A,'[1]Tissue Data'!$H:$H)</f>
        <v>Lepomis</v>
      </c>
      <c r="F5" t="str">
        <f>_xlfn.XLOOKUP(A5,'[1]Tissue Data'!$A:$A,'[1]Tissue Data'!$I:$I)</f>
        <v>gibbosus</v>
      </c>
      <c r="G5" t="str">
        <f>_xlfn.XLOOKUP(A5,'[1]Tissue Data'!$A:$A,'[1]Tissue Data'!J:J)</f>
        <v>U</v>
      </c>
      <c r="H5" t="str">
        <f>_xlfn.XLOOKUP(A5,'[1]Tissue Data'!$A:$A,'[1]Tissue Data'!K:K)</f>
        <v>Whole Body</v>
      </c>
      <c r="I5">
        <f>_xlfn.XLOOKUP(A5,'[1]Tissue Data'!$A:$A,'[1]Tissue Data'!L:L)</f>
        <v>8</v>
      </c>
      <c r="J5">
        <f>_xlfn.XLOOKUP(A5,'[1]Tissue Data'!$A:$A,'[1]Tissue Data'!M:M)</f>
        <v>11.81</v>
      </c>
      <c r="K5" t="s">
        <v>15</v>
      </c>
      <c r="L5" t="str">
        <f>_xlfn.XLOOKUP(K5,[2]analyte_order!$B:$B,[2]analyte_order!$C:$C)</f>
        <v>375-85-9</v>
      </c>
      <c r="M5">
        <f>_xlfn.XLOOKUP(L5,[2]analyte_order!$C:$C,[2]analyte_order!$E:$E)</f>
        <v>4</v>
      </c>
      <c r="N5">
        <v>9.116693679092383E-2</v>
      </c>
    </row>
    <row r="6" spans="1:14">
      <c r="A6" t="s">
        <v>225</v>
      </c>
      <c r="B6" t="str">
        <f>_xlfn.XLOOKUP(A6,'[1]Tissue Data'!$A:$A,'[1]Tissue Data'!$C:$C)</f>
        <v>Down</v>
      </c>
      <c r="C6" s="2">
        <f>_xlfn.XLOOKUP(A6,'[1]Tissue Data'!$A:$A,'[1]Tissue Data'!$D:$D)</f>
        <v>44314</v>
      </c>
      <c r="D6" s="2" t="str">
        <f>_xlfn.XLOOKUP(A6,'[1]Tissue Data'!$A:$A,'[1]Tissue Data'!$F:$F)</f>
        <v>Pumpkinseed</v>
      </c>
      <c r="E6" t="str">
        <f>_xlfn.XLOOKUP(A6,'[1]Tissue Data'!$A:$A,'[1]Tissue Data'!$H:$H)</f>
        <v>Lepomis</v>
      </c>
      <c r="F6" t="str">
        <f>_xlfn.XLOOKUP(A6,'[1]Tissue Data'!$A:$A,'[1]Tissue Data'!$I:$I)</f>
        <v>gibbosus</v>
      </c>
      <c r="G6" t="str">
        <f>_xlfn.XLOOKUP(A6,'[1]Tissue Data'!$A:$A,'[1]Tissue Data'!J:J)</f>
        <v>U</v>
      </c>
      <c r="H6" t="str">
        <f>_xlfn.XLOOKUP(A6,'[1]Tissue Data'!$A:$A,'[1]Tissue Data'!K:K)</f>
        <v>Whole Body</v>
      </c>
      <c r="I6">
        <f>_xlfn.XLOOKUP(A6,'[1]Tissue Data'!$A:$A,'[1]Tissue Data'!L:L)</f>
        <v>8</v>
      </c>
      <c r="J6">
        <f>_xlfn.XLOOKUP(A6,'[1]Tissue Data'!$A:$A,'[1]Tissue Data'!M:M)</f>
        <v>11.81</v>
      </c>
      <c r="K6" t="s">
        <v>16</v>
      </c>
      <c r="L6" t="str">
        <f>_xlfn.XLOOKUP(K6,[2]analyte_order!$B:$B,[2]analyte_order!$C:$C)</f>
        <v>335-67-1</v>
      </c>
      <c r="M6">
        <f>_xlfn.XLOOKUP(L6,[2]analyte_order!$C:$C,[2]analyte_order!$E:$E)</f>
        <v>5</v>
      </c>
      <c r="N6">
        <v>1.8</v>
      </c>
    </row>
    <row r="7" spans="1:14">
      <c r="A7" t="s">
        <v>225</v>
      </c>
      <c r="B7" t="str">
        <f>_xlfn.XLOOKUP(A7,'[1]Tissue Data'!$A:$A,'[1]Tissue Data'!$C:$C)</f>
        <v>Down</v>
      </c>
      <c r="C7" s="2">
        <f>_xlfn.XLOOKUP(A7,'[1]Tissue Data'!$A:$A,'[1]Tissue Data'!$D:$D)</f>
        <v>44314</v>
      </c>
      <c r="D7" s="2" t="str">
        <f>_xlfn.XLOOKUP(A7,'[1]Tissue Data'!$A:$A,'[1]Tissue Data'!$F:$F)</f>
        <v>Pumpkinseed</v>
      </c>
      <c r="E7" t="str">
        <f>_xlfn.XLOOKUP(A7,'[1]Tissue Data'!$A:$A,'[1]Tissue Data'!$H:$H)</f>
        <v>Lepomis</v>
      </c>
      <c r="F7" t="str">
        <f>_xlfn.XLOOKUP(A7,'[1]Tissue Data'!$A:$A,'[1]Tissue Data'!$I:$I)</f>
        <v>gibbosus</v>
      </c>
      <c r="G7" t="str">
        <f>_xlfn.XLOOKUP(A7,'[1]Tissue Data'!$A:$A,'[1]Tissue Data'!J:J)</f>
        <v>U</v>
      </c>
      <c r="H7" t="str">
        <f>_xlfn.XLOOKUP(A7,'[1]Tissue Data'!$A:$A,'[1]Tissue Data'!K:K)</f>
        <v>Whole Body</v>
      </c>
      <c r="I7">
        <f>_xlfn.XLOOKUP(A7,'[1]Tissue Data'!$A:$A,'[1]Tissue Data'!L:L)</f>
        <v>8</v>
      </c>
      <c r="J7">
        <f>_xlfn.XLOOKUP(A7,'[1]Tissue Data'!$A:$A,'[1]Tissue Data'!M:M)</f>
        <v>11.81</v>
      </c>
      <c r="K7" t="s">
        <v>17</v>
      </c>
      <c r="L7" t="str">
        <f>_xlfn.XLOOKUP(K7,[2]analyte_order!$B:$B,[2]analyte_order!$C:$C)</f>
        <v>375-95-1</v>
      </c>
      <c r="M7">
        <f>_xlfn.XLOOKUP(L7,[2]analyte_order!$C:$C,[2]analyte_order!$E:$E)</f>
        <v>6</v>
      </c>
      <c r="N7">
        <v>1.76</v>
      </c>
    </row>
    <row r="8" spans="1:14">
      <c r="A8" t="s">
        <v>225</v>
      </c>
      <c r="B8" t="str">
        <f>_xlfn.XLOOKUP(A8,'[1]Tissue Data'!$A:$A,'[1]Tissue Data'!$C:$C)</f>
        <v>Down</v>
      </c>
      <c r="C8" s="2">
        <f>_xlfn.XLOOKUP(A8,'[1]Tissue Data'!$A:$A,'[1]Tissue Data'!$D:$D)</f>
        <v>44314</v>
      </c>
      <c r="D8" s="2" t="str">
        <f>_xlfn.XLOOKUP(A8,'[1]Tissue Data'!$A:$A,'[1]Tissue Data'!$F:$F)</f>
        <v>Pumpkinseed</v>
      </c>
      <c r="E8" t="str">
        <f>_xlfn.XLOOKUP(A8,'[1]Tissue Data'!$A:$A,'[1]Tissue Data'!$H:$H)</f>
        <v>Lepomis</v>
      </c>
      <c r="F8" t="str">
        <f>_xlfn.XLOOKUP(A8,'[1]Tissue Data'!$A:$A,'[1]Tissue Data'!$I:$I)</f>
        <v>gibbosus</v>
      </c>
      <c r="G8" t="str">
        <f>_xlfn.XLOOKUP(A8,'[1]Tissue Data'!$A:$A,'[1]Tissue Data'!J:J)</f>
        <v>U</v>
      </c>
      <c r="H8" t="str">
        <f>_xlfn.XLOOKUP(A8,'[1]Tissue Data'!$A:$A,'[1]Tissue Data'!K:K)</f>
        <v>Whole Body</v>
      </c>
      <c r="I8">
        <f>_xlfn.XLOOKUP(A8,'[1]Tissue Data'!$A:$A,'[1]Tissue Data'!L:L)</f>
        <v>8</v>
      </c>
      <c r="J8">
        <f>_xlfn.XLOOKUP(A8,'[1]Tissue Data'!$A:$A,'[1]Tissue Data'!M:M)</f>
        <v>11.81</v>
      </c>
      <c r="K8" t="s">
        <v>18</v>
      </c>
      <c r="L8" t="str">
        <f>_xlfn.XLOOKUP(K8,[2]analyte_order!$B:$B,[2]analyte_order!$C:$C)</f>
        <v>335-76-2</v>
      </c>
      <c r="M8">
        <f>_xlfn.XLOOKUP(L8,[2]analyte_order!$C:$C,[2]analyte_order!$E:$E)</f>
        <v>7</v>
      </c>
      <c r="N8">
        <v>4.8099999999999996</v>
      </c>
    </row>
    <row r="9" spans="1:14">
      <c r="A9" t="s">
        <v>225</v>
      </c>
      <c r="B9" t="str">
        <f>_xlfn.XLOOKUP(A9,'[1]Tissue Data'!$A:$A,'[1]Tissue Data'!$C:$C)</f>
        <v>Down</v>
      </c>
      <c r="C9" s="2">
        <f>_xlfn.XLOOKUP(A9,'[1]Tissue Data'!$A:$A,'[1]Tissue Data'!$D:$D)</f>
        <v>44314</v>
      </c>
      <c r="D9" s="2" t="str">
        <f>_xlfn.XLOOKUP(A9,'[1]Tissue Data'!$A:$A,'[1]Tissue Data'!$F:$F)</f>
        <v>Pumpkinseed</v>
      </c>
      <c r="E9" t="str">
        <f>_xlfn.XLOOKUP(A9,'[1]Tissue Data'!$A:$A,'[1]Tissue Data'!$H:$H)</f>
        <v>Lepomis</v>
      </c>
      <c r="F9" t="str">
        <f>_xlfn.XLOOKUP(A9,'[1]Tissue Data'!$A:$A,'[1]Tissue Data'!$I:$I)</f>
        <v>gibbosus</v>
      </c>
      <c r="G9" t="str">
        <f>_xlfn.XLOOKUP(A9,'[1]Tissue Data'!$A:$A,'[1]Tissue Data'!J:J)</f>
        <v>U</v>
      </c>
      <c r="H9" t="str">
        <f>_xlfn.XLOOKUP(A9,'[1]Tissue Data'!$A:$A,'[1]Tissue Data'!K:K)</f>
        <v>Whole Body</v>
      </c>
      <c r="I9">
        <f>_xlfn.XLOOKUP(A9,'[1]Tissue Data'!$A:$A,'[1]Tissue Data'!L:L)</f>
        <v>8</v>
      </c>
      <c r="J9">
        <f>_xlfn.XLOOKUP(A9,'[1]Tissue Data'!$A:$A,'[1]Tissue Data'!M:M)</f>
        <v>11.81</v>
      </c>
      <c r="K9" t="s">
        <v>19</v>
      </c>
      <c r="L9" t="str">
        <f>_xlfn.XLOOKUP(K9,[2]analyte_order!$B:$B,[2]analyte_order!$C:$C)</f>
        <v>2058-94-8</v>
      </c>
      <c r="M9">
        <f>_xlfn.XLOOKUP(L9,[2]analyte_order!$C:$C,[2]analyte_order!$E:$E)</f>
        <v>8</v>
      </c>
      <c r="N9">
        <v>6.48</v>
      </c>
    </row>
    <row r="10" spans="1:14">
      <c r="A10" t="s">
        <v>225</v>
      </c>
      <c r="B10" t="str">
        <f>_xlfn.XLOOKUP(A10,'[1]Tissue Data'!$A:$A,'[1]Tissue Data'!$C:$C)</f>
        <v>Down</v>
      </c>
      <c r="C10" s="2">
        <f>_xlfn.XLOOKUP(A10,'[1]Tissue Data'!$A:$A,'[1]Tissue Data'!$D:$D)</f>
        <v>44314</v>
      </c>
      <c r="D10" s="2" t="str">
        <f>_xlfn.XLOOKUP(A10,'[1]Tissue Data'!$A:$A,'[1]Tissue Data'!$F:$F)</f>
        <v>Pumpkinseed</v>
      </c>
      <c r="E10" t="str">
        <f>_xlfn.XLOOKUP(A10,'[1]Tissue Data'!$A:$A,'[1]Tissue Data'!$H:$H)</f>
        <v>Lepomis</v>
      </c>
      <c r="F10" t="str">
        <f>_xlfn.XLOOKUP(A10,'[1]Tissue Data'!$A:$A,'[1]Tissue Data'!$I:$I)</f>
        <v>gibbosus</v>
      </c>
      <c r="G10" t="str">
        <f>_xlfn.XLOOKUP(A10,'[1]Tissue Data'!$A:$A,'[1]Tissue Data'!J:J)</f>
        <v>U</v>
      </c>
      <c r="H10" t="str">
        <f>_xlfn.XLOOKUP(A10,'[1]Tissue Data'!$A:$A,'[1]Tissue Data'!K:K)</f>
        <v>Whole Body</v>
      </c>
      <c r="I10">
        <f>_xlfn.XLOOKUP(A10,'[1]Tissue Data'!$A:$A,'[1]Tissue Data'!L:L)</f>
        <v>8</v>
      </c>
      <c r="J10">
        <f>_xlfn.XLOOKUP(A10,'[1]Tissue Data'!$A:$A,'[1]Tissue Data'!M:M)</f>
        <v>11.81</v>
      </c>
      <c r="K10" t="s">
        <v>20</v>
      </c>
      <c r="L10" t="str">
        <f>_xlfn.XLOOKUP(K10,[2]analyte_order!$B:$B,[2]analyte_order!$C:$C)</f>
        <v>307-55-1</v>
      </c>
      <c r="M10">
        <f>_xlfn.XLOOKUP(L10,[2]analyte_order!$C:$C,[2]analyte_order!$E:$E)</f>
        <v>9</v>
      </c>
      <c r="N10">
        <v>43</v>
      </c>
    </row>
    <row r="11" spans="1:14">
      <c r="A11" t="s">
        <v>225</v>
      </c>
      <c r="B11" t="str">
        <f>_xlfn.XLOOKUP(A11,'[1]Tissue Data'!$A:$A,'[1]Tissue Data'!$C:$C)</f>
        <v>Down</v>
      </c>
      <c r="C11" s="2">
        <f>_xlfn.XLOOKUP(A11,'[1]Tissue Data'!$A:$A,'[1]Tissue Data'!$D:$D)</f>
        <v>44314</v>
      </c>
      <c r="D11" s="2" t="str">
        <f>_xlfn.XLOOKUP(A11,'[1]Tissue Data'!$A:$A,'[1]Tissue Data'!$F:$F)</f>
        <v>Pumpkinseed</v>
      </c>
      <c r="E11" t="str">
        <f>_xlfn.XLOOKUP(A11,'[1]Tissue Data'!$A:$A,'[1]Tissue Data'!$H:$H)</f>
        <v>Lepomis</v>
      </c>
      <c r="F11" t="str">
        <f>_xlfn.XLOOKUP(A11,'[1]Tissue Data'!$A:$A,'[1]Tissue Data'!$I:$I)</f>
        <v>gibbosus</v>
      </c>
      <c r="G11" t="str">
        <f>_xlfn.XLOOKUP(A11,'[1]Tissue Data'!$A:$A,'[1]Tissue Data'!J:J)</f>
        <v>U</v>
      </c>
      <c r="H11" t="str">
        <f>_xlfn.XLOOKUP(A11,'[1]Tissue Data'!$A:$A,'[1]Tissue Data'!K:K)</f>
        <v>Whole Body</v>
      </c>
      <c r="I11">
        <f>_xlfn.XLOOKUP(A11,'[1]Tissue Data'!$A:$A,'[1]Tissue Data'!L:L)</f>
        <v>8</v>
      </c>
      <c r="J11">
        <f>_xlfn.XLOOKUP(A11,'[1]Tissue Data'!$A:$A,'[1]Tissue Data'!M:M)</f>
        <v>11.81</v>
      </c>
      <c r="K11" t="s">
        <v>21</v>
      </c>
      <c r="L11" t="str">
        <f>_xlfn.XLOOKUP(K11,[2]analyte_order!$B:$B,[2]analyte_order!$C:$C)</f>
        <v>72629-94-8</v>
      </c>
      <c r="M11">
        <f>_xlfn.XLOOKUP(L11,[2]analyte_order!$C:$C,[2]analyte_order!$E:$E)</f>
        <v>10</v>
      </c>
      <c r="N11">
        <v>2.04</v>
      </c>
    </row>
    <row r="12" spans="1:14">
      <c r="A12" t="s">
        <v>225</v>
      </c>
      <c r="B12" t="str">
        <f>_xlfn.XLOOKUP(A12,'[1]Tissue Data'!$A:$A,'[1]Tissue Data'!$C:$C)</f>
        <v>Down</v>
      </c>
      <c r="C12" s="2">
        <f>_xlfn.XLOOKUP(A12,'[1]Tissue Data'!$A:$A,'[1]Tissue Data'!$D:$D)</f>
        <v>44314</v>
      </c>
      <c r="D12" s="2" t="str">
        <f>_xlfn.XLOOKUP(A12,'[1]Tissue Data'!$A:$A,'[1]Tissue Data'!$F:$F)</f>
        <v>Pumpkinseed</v>
      </c>
      <c r="E12" t="str">
        <f>_xlfn.XLOOKUP(A12,'[1]Tissue Data'!$A:$A,'[1]Tissue Data'!$H:$H)</f>
        <v>Lepomis</v>
      </c>
      <c r="F12" t="str">
        <f>_xlfn.XLOOKUP(A12,'[1]Tissue Data'!$A:$A,'[1]Tissue Data'!$I:$I)</f>
        <v>gibbosus</v>
      </c>
      <c r="G12" t="str">
        <f>_xlfn.XLOOKUP(A12,'[1]Tissue Data'!$A:$A,'[1]Tissue Data'!J:J)</f>
        <v>U</v>
      </c>
      <c r="H12" t="str">
        <f>_xlfn.XLOOKUP(A12,'[1]Tissue Data'!$A:$A,'[1]Tissue Data'!K:K)</f>
        <v>Whole Body</v>
      </c>
      <c r="I12">
        <f>_xlfn.XLOOKUP(A12,'[1]Tissue Data'!$A:$A,'[1]Tissue Data'!L:L)</f>
        <v>8</v>
      </c>
      <c r="J12">
        <f>_xlfn.XLOOKUP(A12,'[1]Tissue Data'!$A:$A,'[1]Tissue Data'!M:M)</f>
        <v>11.81</v>
      </c>
      <c r="K12" t="s">
        <v>22</v>
      </c>
      <c r="L12" t="str">
        <f>_xlfn.XLOOKUP(K12,[2]analyte_order!$B:$B,[2]analyte_order!$C:$C)</f>
        <v>376-06-7</v>
      </c>
      <c r="M12">
        <f>_xlfn.XLOOKUP(L12,[2]analyte_order!$C:$C,[2]analyte_order!$E:$E)</f>
        <v>11</v>
      </c>
      <c r="N12">
        <v>8.61</v>
      </c>
    </row>
    <row r="13" spans="1:14">
      <c r="A13" t="s">
        <v>225</v>
      </c>
      <c r="B13" t="str">
        <f>_xlfn.XLOOKUP(A13,'[1]Tissue Data'!$A:$A,'[1]Tissue Data'!$C:$C)</f>
        <v>Down</v>
      </c>
      <c r="C13" s="2">
        <f>_xlfn.XLOOKUP(A13,'[1]Tissue Data'!$A:$A,'[1]Tissue Data'!$D:$D)</f>
        <v>44314</v>
      </c>
      <c r="D13" s="2" t="str">
        <f>_xlfn.XLOOKUP(A13,'[1]Tissue Data'!$A:$A,'[1]Tissue Data'!$F:$F)</f>
        <v>Pumpkinseed</v>
      </c>
      <c r="E13" t="str">
        <f>_xlfn.XLOOKUP(A13,'[1]Tissue Data'!$A:$A,'[1]Tissue Data'!$H:$H)</f>
        <v>Lepomis</v>
      </c>
      <c r="F13" t="str">
        <f>_xlfn.XLOOKUP(A13,'[1]Tissue Data'!$A:$A,'[1]Tissue Data'!$I:$I)</f>
        <v>gibbosus</v>
      </c>
      <c r="G13" t="str">
        <f>_xlfn.XLOOKUP(A13,'[1]Tissue Data'!$A:$A,'[1]Tissue Data'!J:J)</f>
        <v>U</v>
      </c>
      <c r="H13" t="str">
        <f>_xlfn.XLOOKUP(A13,'[1]Tissue Data'!$A:$A,'[1]Tissue Data'!K:K)</f>
        <v>Whole Body</v>
      </c>
      <c r="I13">
        <f>_xlfn.XLOOKUP(A13,'[1]Tissue Data'!$A:$A,'[1]Tissue Data'!L:L)</f>
        <v>8</v>
      </c>
      <c r="J13">
        <f>_xlfn.XLOOKUP(A13,'[1]Tissue Data'!$A:$A,'[1]Tissue Data'!M:M)</f>
        <v>11.81</v>
      </c>
      <c r="K13" t="s">
        <v>23</v>
      </c>
      <c r="L13" t="str">
        <f>_xlfn.XLOOKUP(K13,[2]analyte_order!$B:$B,[2]analyte_order!$C:$C)</f>
        <v>67905-19-5</v>
      </c>
      <c r="M13">
        <f>_xlfn.XLOOKUP(L13,[2]analyte_order!$C:$C,[2]analyte_order!$E:$E)</f>
        <v>12</v>
      </c>
      <c r="N13">
        <v>8.3479659501746462E-2</v>
      </c>
    </row>
    <row r="14" spans="1:14">
      <c r="A14" t="s">
        <v>225</v>
      </c>
      <c r="B14" t="str">
        <f>_xlfn.XLOOKUP(A14,'[1]Tissue Data'!$A:$A,'[1]Tissue Data'!$C:$C)</f>
        <v>Down</v>
      </c>
      <c r="C14" s="2">
        <f>_xlfn.XLOOKUP(A14,'[1]Tissue Data'!$A:$A,'[1]Tissue Data'!$D:$D)</f>
        <v>44314</v>
      </c>
      <c r="D14" s="2" t="str">
        <f>_xlfn.XLOOKUP(A14,'[1]Tissue Data'!$A:$A,'[1]Tissue Data'!$F:$F)</f>
        <v>Pumpkinseed</v>
      </c>
      <c r="E14" t="str">
        <f>_xlfn.XLOOKUP(A14,'[1]Tissue Data'!$A:$A,'[1]Tissue Data'!$H:$H)</f>
        <v>Lepomis</v>
      </c>
      <c r="F14" t="str">
        <f>_xlfn.XLOOKUP(A14,'[1]Tissue Data'!$A:$A,'[1]Tissue Data'!$I:$I)</f>
        <v>gibbosus</v>
      </c>
      <c r="G14" t="str">
        <f>_xlfn.XLOOKUP(A14,'[1]Tissue Data'!$A:$A,'[1]Tissue Data'!J:J)</f>
        <v>U</v>
      </c>
      <c r="H14" t="str">
        <f>_xlfn.XLOOKUP(A14,'[1]Tissue Data'!$A:$A,'[1]Tissue Data'!K:K)</f>
        <v>Whole Body</v>
      </c>
      <c r="I14">
        <f>_xlfn.XLOOKUP(A14,'[1]Tissue Data'!$A:$A,'[1]Tissue Data'!L:L)</f>
        <v>8</v>
      </c>
      <c r="J14">
        <f>_xlfn.XLOOKUP(A14,'[1]Tissue Data'!$A:$A,'[1]Tissue Data'!M:M)</f>
        <v>11.81</v>
      </c>
      <c r="K14" t="s">
        <v>24</v>
      </c>
      <c r="L14" t="str">
        <f>_xlfn.XLOOKUP(K14,[2]analyte_order!$B:$B,[2]analyte_order!$C:$C)</f>
        <v>423-41-6</v>
      </c>
      <c r="M14">
        <f>_xlfn.XLOOKUP(L14,[2]analyte_order!$C:$C,[2]analyte_order!$E:$E)</f>
        <v>53</v>
      </c>
      <c r="N14">
        <v>5.3441071388432293E-2</v>
      </c>
    </row>
    <row r="15" spans="1:14">
      <c r="A15" t="s">
        <v>225</v>
      </c>
      <c r="B15" t="str">
        <f>_xlfn.XLOOKUP(A15,'[1]Tissue Data'!$A:$A,'[1]Tissue Data'!$C:$C)</f>
        <v>Down</v>
      </c>
      <c r="C15" s="2">
        <f>_xlfn.XLOOKUP(A15,'[1]Tissue Data'!$A:$A,'[1]Tissue Data'!$D:$D)</f>
        <v>44314</v>
      </c>
      <c r="D15" s="2" t="str">
        <f>_xlfn.XLOOKUP(A15,'[1]Tissue Data'!$A:$A,'[1]Tissue Data'!$F:$F)</f>
        <v>Pumpkinseed</v>
      </c>
      <c r="E15" t="str">
        <f>_xlfn.XLOOKUP(A15,'[1]Tissue Data'!$A:$A,'[1]Tissue Data'!$H:$H)</f>
        <v>Lepomis</v>
      </c>
      <c r="F15" t="str">
        <f>_xlfn.XLOOKUP(A15,'[1]Tissue Data'!$A:$A,'[1]Tissue Data'!$I:$I)</f>
        <v>gibbosus</v>
      </c>
      <c r="G15" t="str">
        <f>_xlfn.XLOOKUP(A15,'[1]Tissue Data'!$A:$A,'[1]Tissue Data'!J:J)</f>
        <v>U</v>
      </c>
      <c r="H15" t="str">
        <f>_xlfn.XLOOKUP(A15,'[1]Tissue Data'!$A:$A,'[1]Tissue Data'!K:K)</f>
        <v>Whole Body</v>
      </c>
      <c r="I15">
        <f>_xlfn.XLOOKUP(A15,'[1]Tissue Data'!$A:$A,'[1]Tissue Data'!L:L)</f>
        <v>8</v>
      </c>
      <c r="J15">
        <f>_xlfn.XLOOKUP(A15,'[1]Tissue Data'!$A:$A,'[1]Tissue Data'!M:M)</f>
        <v>11.81</v>
      </c>
      <c r="K15" t="s">
        <v>25</v>
      </c>
      <c r="L15" t="str">
        <f>_xlfn.XLOOKUP(K15,[2]analyte_order!$B:$B,[2]analyte_order!$C:$C)</f>
        <v>375-73-5</v>
      </c>
      <c r="M15">
        <f>_xlfn.XLOOKUP(L15,[2]analyte_order!$C:$C,[2]analyte_order!$E:$E)</f>
        <v>14</v>
      </c>
      <c r="N15">
        <v>23</v>
      </c>
    </row>
    <row r="16" spans="1:14">
      <c r="A16" t="s">
        <v>225</v>
      </c>
      <c r="B16" t="str">
        <f>_xlfn.XLOOKUP(A16,'[1]Tissue Data'!$A:$A,'[1]Tissue Data'!$C:$C)</f>
        <v>Down</v>
      </c>
      <c r="C16" s="2">
        <f>_xlfn.XLOOKUP(A16,'[1]Tissue Data'!$A:$A,'[1]Tissue Data'!$D:$D)</f>
        <v>44314</v>
      </c>
      <c r="D16" s="2" t="str">
        <f>_xlfn.XLOOKUP(A16,'[1]Tissue Data'!$A:$A,'[1]Tissue Data'!$F:$F)</f>
        <v>Pumpkinseed</v>
      </c>
      <c r="E16" t="str">
        <f>_xlfn.XLOOKUP(A16,'[1]Tissue Data'!$A:$A,'[1]Tissue Data'!$H:$H)</f>
        <v>Lepomis</v>
      </c>
      <c r="F16" t="str">
        <f>_xlfn.XLOOKUP(A16,'[1]Tissue Data'!$A:$A,'[1]Tissue Data'!$I:$I)</f>
        <v>gibbosus</v>
      </c>
      <c r="G16" t="str">
        <f>_xlfn.XLOOKUP(A16,'[1]Tissue Data'!$A:$A,'[1]Tissue Data'!J:J)</f>
        <v>U</v>
      </c>
      <c r="H16" t="str">
        <f>_xlfn.XLOOKUP(A16,'[1]Tissue Data'!$A:$A,'[1]Tissue Data'!K:K)</f>
        <v>Whole Body</v>
      </c>
      <c r="I16">
        <f>_xlfn.XLOOKUP(A16,'[1]Tissue Data'!$A:$A,'[1]Tissue Data'!L:L)</f>
        <v>8</v>
      </c>
      <c r="J16">
        <f>_xlfn.XLOOKUP(A16,'[1]Tissue Data'!$A:$A,'[1]Tissue Data'!M:M)</f>
        <v>11.81</v>
      </c>
      <c r="K16" t="s">
        <v>26</v>
      </c>
      <c r="L16" t="str">
        <f>_xlfn.XLOOKUP(K16,[2]analyte_order!$B:$B,[2]analyte_order!$C:$C)</f>
        <v>2706-91-4</v>
      </c>
      <c r="M16">
        <f>_xlfn.XLOOKUP(L16,[2]analyte_order!$C:$C,[2]analyte_order!$E:$E)</f>
        <v>15</v>
      </c>
      <c r="N16">
        <v>0.31900000000000001</v>
      </c>
    </row>
    <row r="17" spans="1:14">
      <c r="A17" t="s">
        <v>225</v>
      </c>
      <c r="B17" t="str">
        <f>_xlfn.XLOOKUP(A17,'[1]Tissue Data'!$A:$A,'[1]Tissue Data'!$C:$C)</f>
        <v>Down</v>
      </c>
      <c r="C17" s="2">
        <f>_xlfn.XLOOKUP(A17,'[1]Tissue Data'!$A:$A,'[1]Tissue Data'!$D:$D)</f>
        <v>44314</v>
      </c>
      <c r="D17" s="2" t="str">
        <f>_xlfn.XLOOKUP(A17,'[1]Tissue Data'!$A:$A,'[1]Tissue Data'!$F:$F)</f>
        <v>Pumpkinseed</v>
      </c>
      <c r="E17" t="str">
        <f>_xlfn.XLOOKUP(A17,'[1]Tissue Data'!$A:$A,'[1]Tissue Data'!$H:$H)</f>
        <v>Lepomis</v>
      </c>
      <c r="F17" t="str">
        <f>_xlfn.XLOOKUP(A17,'[1]Tissue Data'!$A:$A,'[1]Tissue Data'!$I:$I)</f>
        <v>gibbosus</v>
      </c>
      <c r="G17" t="str">
        <f>_xlfn.XLOOKUP(A17,'[1]Tissue Data'!$A:$A,'[1]Tissue Data'!J:J)</f>
        <v>U</v>
      </c>
      <c r="H17" t="str">
        <f>_xlfn.XLOOKUP(A17,'[1]Tissue Data'!$A:$A,'[1]Tissue Data'!K:K)</f>
        <v>Whole Body</v>
      </c>
      <c r="I17">
        <f>_xlfn.XLOOKUP(A17,'[1]Tissue Data'!$A:$A,'[1]Tissue Data'!L:L)</f>
        <v>8</v>
      </c>
      <c r="J17">
        <f>_xlfn.XLOOKUP(A17,'[1]Tissue Data'!$A:$A,'[1]Tissue Data'!M:M)</f>
        <v>11.81</v>
      </c>
      <c r="K17" t="s">
        <v>27</v>
      </c>
      <c r="L17" t="str">
        <f>_xlfn.XLOOKUP(K17,[2]analyte_order!$B:$B,[2]analyte_order!$C:$C)</f>
        <v>355-46-4</v>
      </c>
      <c r="M17">
        <f>_xlfn.XLOOKUP(L17,[2]analyte_order!$C:$C,[2]analyte_order!$E:$E)</f>
        <v>16</v>
      </c>
      <c r="N17">
        <v>46.2</v>
      </c>
    </row>
    <row r="18" spans="1:14">
      <c r="A18" t="s">
        <v>225</v>
      </c>
      <c r="B18" t="str">
        <f>_xlfn.XLOOKUP(A18,'[1]Tissue Data'!$A:$A,'[1]Tissue Data'!$C:$C)</f>
        <v>Down</v>
      </c>
      <c r="C18" s="2">
        <f>_xlfn.XLOOKUP(A18,'[1]Tissue Data'!$A:$A,'[1]Tissue Data'!$D:$D)</f>
        <v>44314</v>
      </c>
      <c r="D18" s="2" t="str">
        <f>_xlfn.XLOOKUP(A18,'[1]Tissue Data'!$A:$A,'[1]Tissue Data'!$F:$F)</f>
        <v>Pumpkinseed</v>
      </c>
      <c r="E18" t="str">
        <f>_xlfn.XLOOKUP(A18,'[1]Tissue Data'!$A:$A,'[1]Tissue Data'!$H:$H)</f>
        <v>Lepomis</v>
      </c>
      <c r="F18" t="str">
        <f>_xlfn.XLOOKUP(A18,'[1]Tissue Data'!$A:$A,'[1]Tissue Data'!$I:$I)</f>
        <v>gibbosus</v>
      </c>
      <c r="G18" t="str">
        <f>_xlfn.XLOOKUP(A18,'[1]Tissue Data'!$A:$A,'[1]Tissue Data'!J:J)</f>
        <v>U</v>
      </c>
      <c r="H18" t="str">
        <f>_xlfn.XLOOKUP(A18,'[1]Tissue Data'!$A:$A,'[1]Tissue Data'!K:K)</f>
        <v>Whole Body</v>
      </c>
      <c r="I18">
        <f>_xlfn.XLOOKUP(A18,'[1]Tissue Data'!$A:$A,'[1]Tissue Data'!L:L)</f>
        <v>8</v>
      </c>
      <c r="J18">
        <f>_xlfn.XLOOKUP(A18,'[1]Tissue Data'!$A:$A,'[1]Tissue Data'!M:M)</f>
        <v>11.81</v>
      </c>
      <c r="K18" t="s">
        <v>28</v>
      </c>
      <c r="L18" t="str">
        <f>_xlfn.XLOOKUP(K18,[2]analyte_order!$B:$B,[2]analyte_order!$C:$C)</f>
        <v>375-92-8</v>
      </c>
      <c r="M18">
        <f>_xlfn.XLOOKUP(L18,[2]analyte_order!$C:$C,[2]analyte_order!$E:$E)</f>
        <v>17</v>
      </c>
      <c r="N18">
        <v>1.45</v>
      </c>
    </row>
    <row r="19" spans="1:14">
      <c r="A19" t="s">
        <v>225</v>
      </c>
      <c r="B19" t="str">
        <f>_xlfn.XLOOKUP(A19,'[1]Tissue Data'!$A:$A,'[1]Tissue Data'!$C:$C)</f>
        <v>Down</v>
      </c>
      <c r="C19" s="2">
        <f>_xlfn.XLOOKUP(A19,'[1]Tissue Data'!$A:$A,'[1]Tissue Data'!$D:$D)</f>
        <v>44314</v>
      </c>
      <c r="D19" s="2" t="str">
        <f>_xlfn.XLOOKUP(A19,'[1]Tissue Data'!$A:$A,'[1]Tissue Data'!$F:$F)</f>
        <v>Pumpkinseed</v>
      </c>
      <c r="E19" t="str">
        <f>_xlfn.XLOOKUP(A19,'[1]Tissue Data'!$A:$A,'[1]Tissue Data'!$H:$H)</f>
        <v>Lepomis</v>
      </c>
      <c r="F19" t="str">
        <f>_xlfn.XLOOKUP(A19,'[1]Tissue Data'!$A:$A,'[1]Tissue Data'!$I:$I)</f>
        <v>gibbosus</v>
      </c>
      <c r="G19" t="str">
        <f>_xlfn.XLOOKUP(A19,'[1]Tissue Data'!$A:$A,'[1]Tissue Data'!J:J)</f>
        <v>U</v>
      </c>
      <c r="H19" t="str">
        <f>_xlfn.XLOOKUP(A19,'[1]Tissue Data'!$A:$A,'[1]Tissue Data'!K:K)</f>
        <v>Whole Body</v>
      </c>
      <c r="I19">
        <f>_xlfn.XLOOKUP(A19,'[1]Tissue Data'!$A:$A,'[1]Tissue Data'!L:L)</f>
        <v>8</v>
      </c>
      <c r="J19">
        <f>_xlfn.XLOOKUP(A19,'[1]Tissue Data'!$A:$A,'[1]Tissue Data'!M:M)</f>
        <v>11.81</v>
      </c>
      <c r="K19" t="s">
        <v>29</v>
      </c>
      <c r="L19" t="str">
        <f>_xlfn.XLOOKUP(K19,[2]analyte_order!$B:$B,[2]analyte_order!$C:$C)</f>
        <v>1763-23-1</v>
      </c>
      <c r="M19">
        <f>_xlfn.XLOOKUP(L19,[2]analyte_order!$C:$C,[2]analyte_order!$E:$E)</f>
        <v>18</v>
      </c>
      <c r="N19">
        <v>1180</v>
      </c>
    </row>
    <row r="20" spans="1:14">
      <c r="A20" t="s">
        <v>225</v>
      </c>
      <c r="B20" t="str">
        <f>_xlfn.XLOOKUP(A20,'[1]Tissue Data'!$A:$A,'[1]Tissue Data'!$C:$C)</f>
        <v>Down</v>
      </c>
      <c r="C20" s="2">
        <f>_xlfn.XLOOKUP(A20,'[1]Tissue Data'!$A:$A,'[1]Tissue Data'!$D:$D)</f>
        <v>44314</v>
      </c>
      <c r="D20" s="2" t="str">
        <f>_xlfn.XLOOKUP(A20,'[1]Tissue Data'!$A:$A,'[1]Tissue Data'!$F:$F)</f>
        <v>Pumpkinseed</v>
      </c>
      <c r="E20" t="str">
        <f>_xlfn.XLOOKUP(A20,'[1]Tissue Data'!$A:$A,'[1]Tissue Data'!$H:$H)</f>
        <v>Lepomis</v>
      </c>
      <c r="F20" t="str">
        <f>_xlfn.XLOOKUP(A20,'[1]Tissue Data'!$A:$A,'[1]Tissue Data'!$I:$I)</f>
        <v>gibbosus</v>
      </c>
      <c r="G20" t="str">
        <f>_xlfn.XLOOKUP(A20,'[1]Tissue Data'!$A:$A,'[1]Tissue Data'!J:J)</f>
        <v>U</v>
      </c>
      <c r="H20" t="str">
        <f>_xlfn.XLOOKUP(A20,'[1]Tissue Data'!$A:$A,'[1]Tissue Data'!K:K)</f>
        <v>Whole Body</v>
      </c>
      <c r="I20">
        <f>_xlfn.XLOOKUP(A20,'[1]Tissue Data'!$A:$A,'[1]Tissue Data'!L:L)</f>
        <v>8</v>
      </c>
      <c r="J20">
        <f>_xlfn.XLOOKUP(A20,'[1]Tissue Data'!$A:$A,'[1]Tissue Data'!M:M)</f>
        <v>11.81</v>
      </c>
      <c r="K20" t="s">
        <v>30</v>
      </c>
      <c r="L20" t="str">
        <f>_xlfn.XLOOKUP(K20,[2]analyte_order!$B:$B,[2]analyte_order!$C:$C)</f>
        <v>68259-12-1</v>
      </c>
      <c r="M20">
        <f>_xlfn.XLOOKUP(L20,[2]analyte_order!$C:$C,[2]analyte_order!$E:$E)</f>
        <v>19</v>
      </c>
      <c r="N20">
        <v>2.76</v>
      </c>
    </row>
    <row r="21" spans="1:14">
      <c r="A21" t="s">
        <v>225</v>
      </c>
      <c r="B21" t="str">
        <f>_xlfn.XLOOKUP(A21,'[1]Tissue Data'!$A:$A,'[1]Tissue Data'!$C:$C)</f>
        <v>Down</v>
      </c>
      <c r="C21" s="2">
        <f>_xlfn.XLOOKUP(A21,'[1]Tissue Data'!$A:$A,'[1]Tissue Data'!$D:$D)</f>
        <v>44314</v>
      </c>
      <c r="D21" s="2" t="str">
        <f>_xlfn.XLOOKUP(A21,'[1]Tissue Data'!$A:$A,'[1]Tissue Data'!$F:$F)</f>
        <v>Pumpkinseed</v>
      </c>
      <c r="E21" t="str">
        <f>_xlfn.XLOOKUP(A21,'[1]Tissue Data'!$A:$A,'[1]Tissue Data'!$H:$H)</f>
        <v>Lepomis</v>
      </c>
      <c r="F21" t="str">
        <f>_xlfn.XLOOKUP(A21,'[1]Tissue Data'!$A:$A,'[1]Tissue Data'!$I:$I)</f>
        <v>gibbosus</v>
      </c>
      <c r="G21" t="str">
        <f>_xlfn.XLOOKUP(A21,'[1]Tissue Data'!$A:$A,'[1]Tissue Data'!J:J)</f>
        <v>U</v>
      </c>
      <c r="H21" t="str">
        <f>_xlfn.XLOOKUP(A21,'[1]Tissue Data'!$A:$A,'[1]Tissue Data'!K:K)</f>
        <v>Whole Body</v>
      </c>
      <c r="I21">
        <f>_xlfn.XLOOKUP(A21,'[1]Tissue Data'!$A:$A,'[1]Tissue Data'!L:L)</f>
        <v>8</v>
      </c>
      <c r="J21">
        <f>_xlfn.XLOOKUP(A21,'[1]Tissue Data'!$A:$A,'[1]Tissue Data'!M:M)</f>
        <v>11.81</v>
      </c>
      <c r="K21" t="s">
        <v>31</v>
      </c>
      <c r="L21" t="str">
        <f>_xlfn.XLOOKUP(K21,[2]analyte_order!$B:$B,[2]analyte_order!$C:$C)</f>
        <v>335-77-3</v>
      </c>
      <c r="M21">
        <f>_xlfn.XLOOKUP(L21,[2]analyte_order!$C:$C,[2]analyte_order!$E:$E)</f>
        <v>20</v>
      </c>
      <c r="N21">
        <v>3.03</v>
      </c>
    </row>
    <row r="22" spans="1:14">
      <c r="A22" t="s">
        <v>225</v>
      </c>
      <c r="B22" t="str">
        <f>_xlfn.XLOOKUP(A22,'[1]Tissue Data'!$A:$A,'[1]Tissue Data'!$C:$C)</f>
        <v>Down</v>
      </c>
      <c r="C22" s="2">
        <f>_xlfn.XLOOKUP(A22,'[1]Tissue Data'!$A:$A,'[1]Tissue Data'!$D:$D)</f>
        <v>44314</v>
      </c>
      <c r="D22" s="2" t="str">
        <f>_xlfn.XLOOKUP(A22,'[1]Tissue Data'!$A:$A,'[1]Tissue Data'!$F:$F)</f>
        <v>Pumpkinseed</v>
      </c>
      <c r="E22" t="str">
        <f>_xlfn.XLOOKUP(A22,'[1]Tissue Data'!$A:$A,'[1]Tissue Data'!$H:$H)</f>
        <v>Lepomis</v>
      </c>
      <c r="F22" t="str">
        <f>_xlfn.XLOOKUP(A22,'[1]Tissue Data'!$A:$A,'[1]Tissue Data'!$I:$I)</f>
        <v>gibbosus</v>
      </c>
      <c r="G22" t="str">
        <f>_xlfn.XLOOKUP(A22,'[1]Tissue Data'!$A:$A,'[1]Tissue Data'!J:J)</f>
        <v>U</v>
      </c>
      <c r="H22" t="str">
        <f>_xlfn.XLOOKUP(A22,'[1]Tissue Data'!$A:$A,'[1]Tissue Data'!K:K)</f>
        <v>Whole Body</v>
      </c>
      <c r="I22">
        <f>_xlfn.XLOOKUP(A22,'[1]Tissue Data'!$A:$A,'[1]Tissue Data'!L:L)</f>
        <v>8</v>
      </c>
      <c r="J22">
        <f>_xlfn.XLOOKUP(A22,'[1]Tissue Data'!$A:$A,'[1]Tissue Data'!M:M)</f>
        <v>11.81</v>
      </c>
      <c r="K22" t="s">
        <v>32</v>
      </c>
      <c r="L22" t="str">
        <f>_xlfn.XLOOKUP(K22,[2]analyte_order!$B:$B,[2]analyte_order!$C:$C)</f>
        <v>79780-39-5</v>
      </c>
      <c r="M22">
        <f>_xlfn.XLOOKUP(L22,[2]analyte_order!$C:$C,[2]analyte_order!$E:$E)</f>
        <v>21</v>
      </c>
      <c r="N22">
        <v>0.875</v>
      </c>
    </row>
    <row r="23" spans="1:14">
      <c r="A23" t="s">
        <v>225</v>
      </c>
      <c r="B23" t="str">
        <f>_xlfn.XLOOKUP(A23,'[1]Tissue Data'!$A:$A,'[1]Tissue Data'!$C:$C)</f>
        <v>Down</v>
      </c>
      <c r="C23" s="2">
        <f>_xlfn.XLOOKUP(A23,'[1]Tissue Data'!$A:$A,'[1]Tissue Data'!$D:$D)</f>
        <v>44314</v>
      </c>
      <c r="D23" s="2" t="str">
        <f>_xlfn.XLOOKUP(A23,'[1]Tissue Data'!$A:$A,'[1]Tissue Data'!$F:$F)</f>
        <v>Pumpkinseed</v>
      </c>
      <c r="E23" t="str">
        <f>_xlfn.XLOOKUP(A23,'[1]Tissue Data'!$A:$A,'[1]Tissue Data'!$H:$H)</f>
        <v>Lepomis</v>
      </c>
      <c r="F23" t="str">
        <f>_xlfn.XLOOKUP(A23,'[1]Tissue Data'!$A:$A,'[1]Tissue Data'!$I:$I)</f>
        <v>gibbosus</v>
      </c>
      <c r="G23" t="str">
        <f>_xlfn.XLOOKUP(A23,'[1]Tissue Data'!$A:$A,'[1]Tissue Data'!J:J)</f>
        <v>U</v>
      </c>
      <c r="H23" t="str">
        <f>_xlfn.XLOOKUP(A23,'[1]Tissue Data'!$A:$A,'[1]Tissue Data'!K:K)</f>
        <v>Whole Body</v>
      </c>
      <c r="I23">
        <f>_xlfn.XLOOKUP(A23,'[1]Tissue Data'!$A:$A,'[1]Tissue Data'!L:L)</f>
        <v>8</v>
      </c>
      <c r="J23">
        <f>_xlfn.XLOOKUP(A23,'[1]Tissue Data'!$A:$A,'[1]Tissue Data'!M:M)</f>
        <v>11.81</v>
      </c>
      <c r="K23" t="s">
        <v>33</v>
      </c>
      <c r="L23" t="str">
        <f>_xlfn.XLOOKUP(K23,[2]analyte_order!$B:$B,[2]analyte_order!$C:$C)</f>
        <v>777011-38-8</v>
      </c>
      <c r="M23">
        <f>_xlfn.XLOOKUP(L23,[2]analyte_order!$C:$C,[2]analyte_order!$E:$E)</f>
        <v>54</v>
      </c>
      <c r="N23">
        <v>0.13850176587410859</v>
      </c>
    </row>
    <row r="24" spans="1:14">
      <c r="A24" t="s">
        <v>225</v>
      </c>
      <c r="B24" t="str">
        <f>_xlfn.XLOOKUP(A24,'[1]Tissue Data'!$A:$A,'[1]Tissue Data'!$C:$C)</f>
        <v>Down</v>
      </c>
      <c r="C24" s="2">
        <f>_xlfn.XLOOKUP(A24,'[1]Tissue Data'!$A:$A,'[1]Tissue Data'!$D:$D)</f>
        <v>44314</v>
      </c>
      <c r="D24" s="2" t="str">
        <f>_xlfn.XLOOKUP(A24,'[1]Tissue Data'!$A:$A,'[1]Tissue Data'!$F:$F)</f>
        <v>Pumpkinseed</v>
      </c>
      <c r="E24" t="str">
        <f>_xlfn.XLOOKUP(A24,'[1]Tissue Data'!$A:$A,'[1]Tissue Data'!$H:$H)</f>
        <v>Lepomis</v>
      </c>
      <c r="F24" t="str">
        <f>_xlfn.XLOOKUP(A24,'[1]Tissue Data'!$A:$A,'[1]Tissue Data'!$I:$I)</f>
        <v>gibbosus</v>
      </c>
      <c r="G24" t="str">
        <f>_xlfn.XLOOKUP(A24,'[1]Tissue Data'!$A:$A,'[1]Tissue Data'!J:J)</f>
        <v>U</v>
      </c>
      <c r="H24" t="str">
        <f>_xlfn.XLOOKUP(A24,'[1]Tissue Data'!$A:$A,'[1]Tissue Data'!K:K)</f>
        <v>Whole Body</v>
      </c>
      <c r="I24">
        <f>_xlfn.XLOOKUP(A24,'[1]Tissue Data'!$A:$A,'[1]Tissue Data'!L:L)</f>
        <v>8</v>
      </c>
      <c r="J24">
        <f>_xlfn.XLOOKUP(A24,'[1]Tissue Data'!$A:$A,'[1]Tissue Data'!M:M)</f>
        <v>11.81</v>
      </c>
      <c r="K24" t="s">
        <v>34</v>
      </c>
      <c r="L24" t="str">
        <f>_xlfn.XLOOKUP(K24,[2]analyte_order!$B:$B,[2]analyte_order!$C:$C)</f>
        <v>646-83-3</v>
      </c>
      <c r="M24">
        <f>_xlfn.XLOOKUP(L24,[2]analyte_order!$C:$C,[2]analyte_order!$E:$E)</f>
        <v>55</v>
      </c>
      <c r="N24">
        <v>9.116693679092383E-2</v>
      </c>
    </row>
    <row r="25" spans="1:14">
      <c r="A25" t="s">
        <v>225</v>
      </c>
      <c r="B25" t="str">
        <f>_xlfn.XLOOKUP(A25,'[1]Tissue Data'!$A:$A,'[1]Tissue Data'!$C:$C)</f>
        <v>Down</v>
      </c>
      <c r="C25" s="2">
        <f>_xlfn.XLOOKUP(A25,'[1]Tissue Data'!$A:$A,'[1]Tissue Data'!$D:$D)</f>
        <v>44314</v>
      </c>
      <c r="D25" s="2" t="str">
        <f>_xlfn.XLOOKUP(A25,'[1]Tissue Data'!$A:$A,'[1]Tissue Data'!$F:$F)</f>
        <v>Pumpkinseed</v>
      </c>
      <c r="E25" t="str">
        <f>_xlfn.XLOOKUP(A25,'[1]Tissue Data'!$A:$A,'[1]Tissue Data'!$H:$H)</f>
        <v>Lepomis</v>
      </c>
      <c r="F25" t="str">
        <f>_xlfn.XLOOKUP(A25,'[1]Tissue Data'!$A:$A,'[1]Tissue Data'!$I:$I)</f>
        <v>gibbosus</v>
      </c>
      <c r="G25" t="str">
        <f>_xlfn.XLOOKUP(A25,'[1]Tissue Data'!$A:$A,'[1]Tissue Data'!J:J)</f>
        <v>U</v>
      </c>
      <c r="H25" t="str">
        <f>_xlfn.XLOOKUP(A25,'[1]Tissue Data'!$A:$A,'[1]Tissue Data'!K:K)</f>
        <v>Whole Body</v>
      </c>
      <c r="I25">
        <f>_xlfn.XLOOKUP(A25,'[1]Tissue Data'!$A:$A,'[1]Tissue Data'!L:L)</f>
        <v>8</v>
      </c>
      <c r="J25">
        <f>_xlfn.XLOOKUP(A25,'[1]Tissue Data'!$A:$A,'[1]Tissue Data'!M:M)</f>
        <v>11.81</v>
      </c>
      <c r="K25" t="s">
        <v>35</v>
      </c>
      <c r="L25" t="str">
        <f>_xlfn.XLOOKUP(K25,[2]analyte_order!$B:$B,[2]analyte_order!$C:$C)</f>
        <v>30334-69-1</v>
      </c>
      <c r="M25">
        <f>_xlfn.XLOOKUP(L25,[2]analyte_order!$C:$C,[2]analyte_order!$E:$E)</f>
        <v>51</v>
      </c>
      <c r="N25">
        <v>37.700000000000003</v>
      </c>
    </row>
    <row r="26" spans="1:14">
      <c r="A26" t="s">
        <v>225</v>
      </c>
      <c r="B26" t="str">
        <f>_xlfn.XLOOKUP(A26,'[1]Tissue Data'!$A:$A,'[1]Tissue Data'!$C:$C)</f>
        <v>Down</v>
      </c>
      <c r="C26" s="2">
        <f>_xlfn.XLOOKUP(A26,'[1]Tissue Data'!$A:$A,'[1]Tissue Data'!$D:$D)</f>
        <v>44314</v>
      </c>
      <c r="D26" s="2" t="str">
        <f>_xlfn.XLOOKUP(A26,'[1]Tissue Data'!$A:$A,'[1]Tissue Data'!$F:$F)</f>
        <v>Pumpkinseed</v>
      </c>
      <c r="E26" t="str">
        <f>_xlfn.XLOOKUP(A26,'[1]Tissue Data'!$A:$A,'[1]Tissue Data'!$H:$H)</f>
        <v>Lepomis</v>
      </c>
      <c r="F26" t="str">
        <f>_xlfn.XLOOKUP(A26,'[1]Tissue Data'!$A:$A,'[1]Tissue Data'!$I:$I)</f>
        <v>gibbosus</v>
      </c>
      <c r="G26" t="str">
        <f>_xlfn.XLOOKUP(A26,'[1]Tissue Data'!$A:$A,'[1]Tissue Data'!J:J)</f>
        <v>U</v>
      </c>
      <c r="H26" t="str">
        <f>_xlfn.XLOOKUP(A26,'[1]Tissue Data'!$A:$A,'[1]Tissue Data'!K:K)</f>
        <v>Whole Body</v>
      </c>
      <c r="I26">
        <f>_xlfn.XLOOKUP(A26,'[1]Tissue Data'!$A:$A,'[1]Tissue Data'!L:L)</f>
        <v>8</v>
      </c>
      <c r="J26">
        <f>_xlfn.XLOOKUP(A26,'[1]Tissue Data'!$A:$A,'[1]Tissue Data'!M:M)</f>
        <v>11.81</v>
      </c>
      <c r="K26" t="s">
        <v>36</v>
      </c>
      <c r="L26" t="str">
        <f>_xlfn.XLOOKUP(K26,[2]analyte_order!$B:$B,[2]analyte_order!$C:$C)</f>
        <v>41997-13-1</v>
      </c>
      <c r="M26">
        <f>_xlfn.XLOOKUP(L26,[2]analyte_order!$C:$C,[2]analyte_order!$E:$E)</f>
        <v>52</v>
      </c>
      <c r="N26">
        <v>55.1</v>
      </c>
    </row>
    <row r="27" spans="1:14">
      <c r="A27" t="s">
        <v>225</v>
      </c>
      <c r="B27" t="str">
        <f>_xlfn.XLOOKUP(A27,'[1]Tissue Data'!$A:$A,'[1]Tissue Data'!$C:$C)</f>
        <v>Down</v>
      </c>
      <c r="C27" s="2">
        <f>_xlfn.XLOOKUP(A27,'[1]Tissue Data'!$A:$A,'[1]Tissue Data'!$D:$D)</f>
        <v>44314</v>
      </c>
      <c r="D27" s="2" t="str">
        <f>_xlfn.XLOOKUP(A27,'[1]Tissue Data'!$A:$A,'[1]Tissue Data'!$F:$F)</f>
        <v>Pumpkinseed</v>
      </c>
      <c r="E27" t="str">
        <f>_xlfn.XLOOKUP(A27,'[1]Tissue Data'!$A:$A,'[1]Tissue Data'!$H:$H)</f>
        <v>Lepomis</v>
      </c>
      <c r="F27" t="str">
        <f>_xlfn.XLOOKUP(A27,'[1]Tissue Data'!$A:$A,'[1]Tissue Data'!$I:$I)</f>
        <v>gibbosus</v>
      </c>
      <c r="G27" t="str">
        <f>_xlfn.XLOOKUP(A27,'[1]Tissue Data'!$A:$A,'[1]Tissue Data'!J:J)</f>
        <v>U</v>
      </c>
      <c r="H27" t="str">
        <f>_xlfn.XLOOKUP(A27,'[1]Tissue Data'!$A:$A,'[1]Tissue Data'!K:K)</f>
        <v>Whole Body</v>
      </c>
      <c r="I27">
        <f>_xlfn.XLOOKUP(A27,'[1]Tissue Data'!$A:$A,'[1]Tissue Data'!L:L)</f>
        <v>8</v>
      </c>
      <c r="J27">
        <f>_xlfn.XLOOKUP(A27,'[1]Tissue Data'!$A:$A,'[1]Tissue Data'!M:M)</f>
        <v>11.81</v>
      </c>
      <c r="K27" t="s">
        <v>37</v>
      </c>
      <c r="L27" t="str">
        <f>_xlfn.XLOOKUP(K27,[2]analyte_order!$B:$B,[2]analyte_order!$C:$C)</f>
        <v>754-91-6</v>
      </c>
      <c r="M27">
        <f>_xlfn.XLOOKUP(L27,[2]analyte_order!$C:$C,[2]analyte_order!$E:$E)</f>
        <v>28</v>
      </c>
      <c r="N27">
        <v>19.5</v>
      </c>
    </row>
    <row r="28" spans="1:14">
      <c r="A28" t="s">
        <v>225</v>
      </c>
      <c r="B28" t="str">
        <f>_xlfn.XLOOKUP(A28,'[1]Tissue Data'!$A:$A,'[1]Tissue Data'!$C:$C)</f>
        <v>Down</v>
      </c>
      <c r="C28" s="2">
        <f>_xlfn.XLOOKUP(A28,'[1]Tissue Data'!$A:$A,'[1]Tissue Data'!$D:$D)</f>
        <v>44314</v>
      </c>
      <c r="D28" s="2" t="str">
        <f>_xlfn.XLOOKUP(A28,'[1]Tissue Data'!$A:$A,'[1]Tissue Data'!$F:$F)</f>
        <v>Pumpkinseed</v>
      </c>
      <c r="E28" t="str">
        <f>_xlfn.XLOOKUP(A28,'[1]Tissue Data'!$A:$A,'[1]Tissue Data'!$H:$H)</f>
        <v>Lepomis</v>
      </c>
      <c r="F28" t="str">
        <f>_xlfn.XLOOKUP(A28,'[1]Tissue Data'!$A:$A,'[1]Tissue Data'!$I:$I)</f>
        <v>gibbosus</v>
      </c>
      <c r="G28" t="str">
        <f>_xlfn.XLOOKUP(A28,'[1]Tissue Data'!$A:$A,'[1]Tissue Data'!J:J)</f>
        <v>U</v>
      </c>
      <c r="H28" t="str">
        <f>_xlfn.XLOOKUP(A28,'[1]Tissue Data'!$A:$A,'[1]Tissue Data'!K:K)</f>
        <v>Whole Body</v>
      </c>
      <c r="I28">
        <f>_xlfn.XLOOKUP(A28,'[1]Tissue Data'!$A:$A,'[1]Tissue Data'!L:L)</f>
        <v>8</v>
      </c>
      <c r="J28">
        <f>_xlfn.XLOOKUP(A28,'[1]Tissue Data'!$A:$A,'[1]Tissue Data'!M:M)</f>
        <v>11.81</v>
      </c>
      <c r="K28" t="s">
        <v>38</v>
      </c>
      <c r="L28" t="str">
        <f>_xlfn.XLOOKUP(K28,[2]analyte_order!$B:$B,[2]analyte_order!$C:$C)</f>
        <v>31506-32-8</v>
      </c>
      <c r="M28">
        <f>_xlfn.XLOOKUP(L28,[2]analyte_order!$C:$C,[2]analyte_order!$E:$E)</f>
        <v>30</v>
      </c>
      <c r="N28">
        <v>5.3961505333881235E-2</v>
      </c>
    </row>
    <row r="29" spans="1:14">
      <c r="A29" t="s">
        <v>225</v>
      </c>
      <c r="B29" t="str">
        <f>_xlfn.XLOOKUP(A29,'[1]Tissue Data'!$A:$A,'[1]Tissue Data'!$C:$C)</f>
        <v>Down</v>
      </c>
      <c r="C29" s="2">
        <f>_xlfn.XLOOKUP(A29,'[1]Tissue Data'!$A:$A,'[1]Tissue Data'!$D:$D)</f>
        <v>44314</v>
      </c>
      <c r="D29" s="2" t="str">
        <f>_xlfn.XLOOKUP(A29,'[1]Tissue Data'!$A:$A,'[1]Tissue Data'!$F:$F)</f>
        <v>Pumpkinseed</v>
      </c>
      <c r="E29" t="str">
        <f>_xlfn.XLOOKUP(A29,'[1]Tissue Data'!$A:$A,'[1]Tissue Data'!$H:$H)</f>
        <v>Lepomis</v>
      </c>
      <c r="F29" t="str">
        <f>_xlfn.XLOOKUP(A29,'[1]Tissue Data'!$A:$A,'[1]Tissue Data'!$I:$I)</f>
        <v>gibbosus</v>
      </c>
      <c r="G29" t="str">
        <f>_xlfn.XLOOKUP(A29,'[1]Tissue Data'!$A:$A,'[1]Tissue Data'!J:J)</f>
        <v>U</v>
      </c>
      <c r="H29" t="str">
        <f>_xlfn.XLOOKUP(A29,'[1]Tissue Data'!$A:$A,'[1]Tissue Data'!K:K)</f>
        <v>Whole Body</v>
      </c>
      <c r="I29">
        <f>_xlfn.XLOOKUP(A29,'[1]Tissue Data'!$A:$A,'[1]Tissue Data'!L:L)</f>
        <v>8</v>
      </c>
      <c r="J29">
        <f>_xlfn.XLOOKUP(A29,'[1]Tissue Data'!$A:$A,'[1]Tissue Data'!M:M)</f>
        <v>11.81</v>
      </c>
      <c r="K29" t="s">
        <v>39</v>
      </c>
      <c r="L29" t="str">
        <f>_xlfn.XLOOKUP(K29,[2]analyte_order!$B:$B,[2]analyte_order!$C:$C)</f>
        <v>4151-50-2</v>
      </c>
      <c r="M29">
        <f>_xlfn.XLOOKUP(L29,[2]analyte_order!$C:$C,[2]analyte_order!$E:$E)</f>
        <v>31</v>
      </c>
      <c r="N29">
        <v>8.1739602964351746E-2</v>
      </c>
    </row>
    <row r="30" spans="1:14">
      <c r="A30" t="s">
        <v>225</v>
      </c>
      <c r="B30" t="str">
        <f>_xlfn.XLOOKUP(A30,'[1]Tissue Data'!$A:$A,'[1]Tissue Data'!$C:$C)</f>
        <v>Down</v>
      </c>
      <c r="C30" s="2">
        <f>_xlfn.XLOOKUP(A30,'[1]Tissue Data'!$A:$A,'[1]Tissue Data'!$D:$D)</f>
        <v>44314</v>
      </c>
      <c r="D30" s="2" t="str">
        <f>_xlfn.XLOOKUP(A30,'[1]Tissue Data'!$A:$A,'[1]Tissue Data'!$F:$F)</f>
        <v>Pumpkinseed</v>
      </c>
      <c r="E30" t="str">
        <f>_xlfn.XLOOKUP(A30,'[1]Tissue Data'!$A:$A,'[1]Tissue Data'!$H:$H)</f>
        <v>Lepomis</v>
      </c>
      <c r="F30" t="str">
        <f>_xlfn.XLOOKUP(A30,'[1]Tissue Data'!$A:$A,'[1]Tissue Data'!$I:$I)</f>
        <v>gibbosus</v>
      </c>
      <c r="G30" t="str">
        <f>_xlfn.XLOOKUP(A30,'[1]Tissue Data'!$A:$A,'[1]Tissue Data'!J:J)</f>
        <v>U</v>
      </c>
      <c r="H30" t="str">
        <f>_xlfn.XLOOKUP(A30,'[1]Tissue Data'!$A:$A,'[1]Tissue Data'!K:K)</f>
        <v>Whole Body</v>
      </c>
      <c r="I30">
        <f>_xlfn.XLOOKUP(A30,'[1]Tissue Data'!$A:$A,'[1]Tissue Data'!L:L)</f>
        <v>8</v>
      </c>
      <c r="J30">
        <f>_xlfn.XLOOKUP(A30,'[1]Tissue Data'!$A:$A,'[1]Tissue Data'!M:M)</f>
        <v>11.81</v>
      </c>
      <c r="K30" t="s">
        <v>40</v>
      </c>
      <c r="L30" t="str">
        <f>_xlfn.XLOOKUP(K30,[2]analyte_order!$B:$B,[2]analyte_order!$C:$C)</f>
        <v>2806-24-8</v>
      </c>
      <c r="M30">
        <f>_xlfn.XLOOKUP(L30,[2]analyte_order!$C:$C,[2]analyte_order!$E:$E)</f>
        <v>29</v>
      </c>
      <c r="N30">
        <v>5.521194770186974E-2</v>
      </c>
    </row>
    <row r="31" spans="1:14">
      <c r="A31" t="s">
        <v>225</v>
      </c>
      <c r="B31" t="str">
        <f>_xlfn.XLOOKUP(A31,'[1]Tissue Data'!$A:$A,'[1]Tissue Data'!$C:$C)</f>
        <v>Down</v>
      </c>
      <c r="C31" s="2">
        <f>_xlfn.XLOOKUP(A31,'[1]Tissue Data'!$A:$A,'[1]Tissue Data'!$D:$D)</f>
        <v>44314</v>
      </c>
      <c r="D31" s="2" t="str">
        <f>_xlfn.XLOOKUP(A31,'[1]Tissue Data'!$A:$A,'[1]Tissue Data'!$F:$F)</f>
        <v>Pumpkinseed</v>
      </c>
      <c r="E31" t="str">
        <f>_xlfn.XLOOKUP(A31,'[1]Tissue Data'!$A:$A,'[1]Tissue Data'!$H:$H)</f>
        <v>Lepomis</v>
      </c>
      <c r="F31" t="str">
        <f>_xlfn.XLOOKUP(A31,'[1]Tissue Data'!$A:$A,'[1]Tissue Data'!$I:$I)</f>
        <v>gibbosus</v>
      </c>
      <c r="G31" t="str">
        <f>_xlfn.XLOOKUP(A31,'[1]Tissue Data'!$A:$A,'[1]Tissue Data'!J:J)</f>
        <v>U</v>
      </c>
      <c r="H31" t="str">
        <f>_xlfn.XLOOKUP(A31,'[1]Tissue Data'!$A:$A,'[1]Tissue Data'!K:K)</f>
        <v>Whole Body</v>
      </c>
      <c r="I31">
        <f>_xlfn.XLOOKUP(A31,'[1]Tissue Data'!$A:$A,'[1]Tissue Data'!L:L)</f>
        <v>8</v>
      </c>
      <c r="J31">
        <f>_xlfn.XLOOKUP(A31,'[1]Tissue Data'!$A:$A,'[1]Tissue Data'!M:M)</f>
        <v>11.81</v>
      </c>
      <c r="K31" t="s">
        <v>41</v>
      </c>
      <c r="L31" t="str">
        <f>_xlfn.XLOOKUP(K31,[2]analyte_order!$B:$B,[2]analyte_order!$C:$C)</f>
        <v>2355-31-9</v>
      </c>
      <c r="M31">
        <f>_xlfn.XLOOKUP(L31,[2]analyte_order!$C:$C,[2]analyte_order!$E:$E)</f>
        <v>26</v>
      </c>
      <c r="N31">
        <v>7.046881086552291E-2</v>
      </c>
    </row>
    <row r="32" spans="1:14">
      <c r="A32" t="s">
        <v>225</v>
      </c>
      <c r="B32" t="str">
        <f>_xlfn.XLOOKUP(A32,'[1]Tissue Data'!$A:$A,'[1]Tissue Data'!$C:$C)</f>
        <v>Down</v>
      </c>
      <c r="C32" s="2">
        <f>_xlfn.XLOOKUP(A32,'[1]Tissue Data'!$A:$A,'[1]Tissue Data'!$D:$D)</f>
        <v>44314</v>
      </c>
      <c r="D32" s="2" t="str">
        <f>_xlfn.XLOOKUP(A32,'[1]Tissue Data'!$A:$A,'[1]Tissue Data'!$F:$F)</f>
        <v>Pumpkinseed</v>
      </c>
      <c r="E32" t="str">
        <f>_xlfn.XLOOKUP(A32,'[1]Tissue Data'!$A:$A,'[1]Tissue Data'!$H:$H)</f>
        <v>Lepomis</v>
      </c>
      <c r="F32" t="str">
        <f>_xlfn.XLOOKUP(A32,'[1]Tissue Data'!$A:$A,'[1]Tissue Data'!$I:$I)</f>
        <v>gibbosus</v>
      </c>
      <c r="G32" t="str">
        <f>_xlfn.XLOOKUP(A32,'[1]Tissue Data'!$A:$A,'[1]Tissue Data'!J:J)</f>
        <v>U</v>
      </c>
      <c r="H32" t="str">
        <f>_xlfn.XLOOKUP(A32,'[1]Tissue Data'!$A:$A,'[1]Tissue Data'!K:K)</f>
        <v>Whole Body</v>
      </c>
      <c r="I32">
        <f>_xlfn.XLOOKUP(A32,'[1]Tissue Data'!$A:$A,'[1]Tissue Data'!L:L)</f>
        <v>8</v>
      </c>
      <c r="J32">
        <f>_xlfn.XLOOKUP(A32,'[1]Tissue Data'!$A:$A,'[1]Tissue Data'!M:M)</f>
        <v>11.81</v>
      </c>
      <c r="K32" t="s">
        <v>42</v>
      </c>
      <c r="L32" t="str">
        <f>_xlfn.XLOOKUP(K32,[2]analyte_order!$B:$B,[2]analyte_order!$C:$C)</f>
        <v>2991-50-6</v>
      </c>
      <c r="M32">
        <f>_xlfn.XLOOKUP(L32,[2]analyte_order!$C:$C,[2]analyte_order!$E:$E)</f>
        <v>27</v>
      </c>
      <c r="N32">
        <v>6.0798405682658721E-2</v>
      </c>
    </row>
    <row r="33" spans="1:14">
      <c r="A33" t="s">
        <v>225</v>
      </c>
      <c r="B33" t="str">
        <f>_xlfn.XLOOKUP(A33,'[1]Tissue Data'!$A:$A,'[1]Tissue Data'!$C:$C)</f>
        <v>Down</v>
      </c>
      <c r="C33" s="2">
        <f>_xlfn.XLOOKUP(A33,'[1]Tissue Data'!$A:$A,'[1]Tissue Data'!$D:$D)</f>
        <v>44314</v>
      </c>
      <c r="D33" s="2" t="str">
        <f>_xlfn.XLOOKUP(A33,'[1]Tissue Data'!$A:$A,'[1]Tissue Data'!$F:$F)</f>
        <v>Pumpkinseed</v>
      </c>
      <c r="E33" t="str">
        <f>_xlfn.XLOOKUP(A33,'[1]Tissue Data'!$A:$A,'[1]Tissue Data'!$H:$H)</f>
        <v>Lepomis</v>
      </c>
      <c r="F33" t="str">
        <f>_xlfn.XLOOKUP(A33,'[1]Tissue Data'!$A:$A,'[1]Tissue Data'!$I:$I)</f>
        <v>gibbosus</v>
      </c>
      <c r="G33" t="str">
        <f>_xlfn.XLOOKUP(A33,'[1]Tissue Data'!$A:$A,'[1]Tissue Data'!J:J)</f>
        <v>U</v>
      </c>
      <c r="H33" t="str">
        <f>_xlfn.XLOOKUP(A33,'[1]Tissue Data'!$A:$A,'[1]Tissue Data'!K:K)</f>
        <v>Whole Body</v>
      </c>
      <c r="I33">
        <f>_xlfn.XLOOKUP(A33,'[1]Tissue Data'!$A:$A,'[1]Tissue Data'!L:L)</f>
        <v>8</v>
      </c>
      <c r="J33">
        <f>_xlfn.XLOOKUP(A33,'[1]Tissue Data'!$A:$A,'[1]Tissue Data'!M:M)</f>
        <v>11.81</v>
      </c>
      <c r="K33" t="s">
        <v>43</v>
      </c>
      <c r="L33" t="str">
        <f>_xlfn.XLOOKUP(K33,[2]analyte_order!$B:$B,[2]analyte_order!$C:$C)</f>
        <v>757124-72-4</v>
      </c>
      <c r="M33">
        <f>_xlfn.XLOOKUP(L33,[2]analyte_order!$C:$C,[2]analyte_order!$E:$E)</f>
        <v>22</v>
      </c>
      <c r="N33">
        <v>5.7534171130059583E-2</v>
      </c>
    </row>
    <row r="34" spans="1:14">
      <c r="A34" t="s">
        <v>225</v>
      </c>
      <c r="B34" t="str">
        <f>_xlfn.XLOOKUP(A34,'[1]Tissue Data'!$A:$A,'[1]Tissue Data'!$C:$C)</f>
        <v>Down</v>
      </c>
      <c r="C34" s="2">
        <f>_xlfn.XLOOKUP(A34,'[1]Tissue Data'!$A:$A,'[1]Tissue Data'!$D:$D)</f>
        <v>44314</v>
      </c>
      <c r="D34" s="2" t="str">
        <f>_xlfn.XLOOKUP(A34,'[1]Tissue Data'!$A:$A,'[1]Tissue Data'!$F:$F)</f>
        <v>Pumpkinseed</v>
      </c>
      <c r="E34" t="str">
        <f>_xlfn.XLOOKUP(A34,'[1]Tissue Data'!$A:$A,'[1]Tissue Data'!$H:$H)</f>
        <v>Lepomis</v>
      </c>
      <c r="F34" t="str">
        <f>_xlfn.XLOOKUP(A34,'[1]Tissue Data'!$A:$A,'[1]Tissue Data'!$I:$I)</f>
        <v>gibbosus</v>
      </c>
      <c r="G34" t="str">
        <f>_xlfn.XLOOKUP(A34,'[1]Tissue Data'!$A:$A,'[1]Tissue Data'!J:J)</f>
        <v>U</v>
      </c>
      <c r="H34" t="str">
        <f>_xlfn.XLOOKUP(A34,'[1]Tissue Data'!$A:$A,'[1]Tissue Data'!K:K)</f>
        <v>Whole Body</v>
      </c>
      <c r="I34">
        <f>_xlfn.XLOOKUP(A34,'[1]Tissue Data'!$A:$A,'[1]Tissue Data'!L:L)</f>
        <v>8</v>
      </c>
      <c r="J34">
        <f>_xlfn.XLOOKUP(A34,'[1]Tissue Data'!$A:$A,'[1]Tissue Data'!M:M)</f>
        <v>11.81</v>
      </c>
      <c r="K34" t="s">
        <v>44</v>
      </c>
      <c r="L34" t="str">
        <f>_xlfn.XLOOKUP(K34,[2]analyte_order!$B:$B,[2]analyte_order!$C:$C)</f>
        <v>27619-97-2</v>
      </c>
      <c r="M34">
        <f>_xlfn.XLOOKUP(L34,[2]analyte_order!$C:$C,[2]analyte_order!$E:$E)</f>
        <v>23</v>
      </c>
      <c r="N34">
        <v>0.31900000000000001</v>
      </c>
    </row>
    <row r="35" spans="1:14">
      <c r="A35" t="s">
        <v>225</v>
      </c>
      <c r="B35" t="str">
        <f>_xlfn.XLOOKUP(A35,'[1]Tissue Data'!$A:$A,'[1]Tissue Data'!$C:$C)</f>
        <v>Down</v>
      </c>
      <c r="C35" s="2">
        <f>_xlfn.XLOOKUP(A35,'[1]Tissue Data'!$A:$A,'[1]Tissue Data'!$D:$D)</f>
        <v>44314</v>
      </c>
      <c r="D35" s="2" t="str">
        <f>_xlfn.XLOOKUP(A35,'[1]Tissue Data'!$A:$A,'[1]Tissue Data'!$F:$F)</f>
        <v>Pumpkinseed</v>
      </c>
      <c r="E35" t="str">
        <f>_xlfn.XLOOKUP(A35,'[1]Tissue Data'!$A:$A,'[1]Tissue Data'!$H:$H)</f>
        <v>Lepomis</v>
      </c>
      <c r="F35" t="str">
        <f>_xlfn.XLOOKUP(A35,'[1]Tissue Data'!$A:$A,'[1]Tissue Data'!$I:$I)</f>
        <v>gibbosus</v>
      </c>
      <c r="G35" t="str">
        <f>_xlfn.XLOOKUP(A35,'[1]Tissue Data'!$A:$A,'[1]Tissue Data'!J:J)</f>
        <v>U</v>
      </c>
      <c r="H35" t="str">
        <f>_xlfn.XLOOKUP(A35,'[1]Tissue Data'!$A:$A,'[1]Tissue Data'!K:K)</f>
        <v>Whole Body</v>
      </c>
      <c r="I35">
        <f>_xlfn.XLOOKUP(A35,'[1]Tissue Data'!$A:$A,'[1]Tissue Data'!L:L)</f>
        <v>8</v>
      </c>
      <c r="J35">
        <f>_xlfn.XLOOKUP(A35,'[1]Tissue Data'!$A:$A,'[1]Tissue Data'!M:M)</f>
        <v>11.81</v>
      </c>
      <c r="K35" t="s">
        <v>45</v>
      </c>
      <c r="L35" t="str">
        <f>_xlfn.XLOOKUP(K35,[2]analyte_order!$B:$B,[2]analyte_order!$C:$C)</f>
        <v>39108-34-4</v>
      </c>
      <c r="M35">
        <f>_xlfn.XLOOKUP(L35,[2]analyte_order!$C:$C,[2]analyte_order!$E:$E)</f>
        <v>24</v>
      </c>
      <c r="N35">
        <v>2.71</v>
      </c>
    </row>
    <row r="36" spans="1:14">
      <c r="A36" t="s">
        <v>225</v>
      </c>
      <c r="B36" t="str">
        <f>_xlfn.XLOOKUP(A36,'[1]Tissue Data'!$A:$A,'[1]Tissue Data'!$C:$C)</f>
        <v>Down</v>
      </c>
      <c r="C36" s="2">
        <f>_xlfn.XLOOKUP(A36,'[1]Tissue Data'!$A:$A,'[1]Tissue Data'!$D:$D)</f>
        <v>44314</v>
      </c>
      <c r="D36" s="2" t="str">
        <f>_xlfn.XLOOKUP(A36,'[1]Tissue Data'!$A:$A,'[1]Tissue Data'!$F:$F)</f>
        <v>Pumpkinseed</v>
      </c>
      <c r="E36" t="str">
        <f>_xlfn.XLOOKUP(A36,'[1]Tissue Data'!$A:$A,'[1]Tissue Data'!$H:$H)</f>
        <v>Lepomis</v>
      </c>
      <c r="F36" t="str">
        <f>_xlfn.XLOOKUP(A36,'[1]Tissue Data'!$A:$A,'[1]Tissue Data'!$I:$I)</f>
        <v>gibbosus</v>
      </c>
      <c r="G36" t="str">
        <f>_xlfn.XLOOKUP(A36,'[1]Tissue Data'!$A:$A,'[1]Tissue Data'!J:J)</f>
        <v>U</v>
      </c>
      <c r="H36" t="str">
        <f>_xlfn.XLOOKUP(A36,'[1]Tissue Data'!$A:$A,'[1]Tissue Data'!K:K)</f>
        <v>Whole Body</v>
      </c>
      <c r="I36">
        <f>_xlfn.XLOOKUP(A36,'[1]Tissue Data'!$A:$A,'[1]Tissue Data'!L:L)</f>
        <v>8</v>
      </c>
      <c r="J36">
        <f>_xlfn.XLOOKUP(A36,'[1]Tissue Data'!$A:$A,'[1]Tissue Data'!M:M)</f>
        <v>11.81</v>
      </c>
      <c r="K36" t="s">
        <v>46</v>
      </c>
      <c r="L36" t="str">
        <f>_xlfn.XLOOKUP(K36,[2]analyte_order!$B:$B,[2]analyte_order!$C:$C)</f>
        <v>120226-60-0</v>
      </c>
      <c r="M36">
        <f>_xlfn.XLOOKUP(L36,[2]analyte_order!$C:$C,[2]analyte_order!$E:$E)</f>
        <v>25</v>
      </c>
      <c r="N36">
        <v>0.25879228577795782</v>
      </c>
    </row>
    <row r="37" spans="1:14">
      <c r="A37" t="s">
        <v>225</v>
      </c>
      <c r="B37" t="str">
        <f>_xlfn.XLOOKUP(A37,'[1]Tissue Data'!$A:$A,'[1]Tissue Data'!$C:$C)</f>
        <v>Down</v>
      </c>
      <c r="C37" s="2">
        <f>_xlfn.XLOOKUP(A37,'[1]Tissue Data'!$A:$A,'[1]Tissue Data'!$D:$D)</f>
        <v>44314</v>
      </c>
      <c r="D37" s="2" t="str">
        <f>_xlfn.XLOOKUP(A37,'[1]Tissue Data'!$A:$A,'[1]Tissue Data'!$F:$F)</f>
        <v>Pumpkinseed</v>
      </c>
      <c r="E37" t="str">
        <f>_xlfn.XLOOKUP(A37,'[1]Tissue Data'!$A:$A,'[1]Tissue Data'!$H:$H)</f>
        <v>Lepomis</v>
      </c>
      <c r="F37" t="str">
        <f>_xlfn.XLOOKUP(A37,'[1]Tissue Data'!$A:$A,'[1]Tissue Data'!$I:$I)</f>
        <v>gibbosus</v>
      </c>
      <c r="G37" t="str">
        <f>_xlfn.XLOOKUP(A37,'[1]Tissue Data'!$A:$A,'[1]Tissue Data'!J:J)</f>
        <v>U</v>
      </c>
      <c r="H37" t="str">
        <f>_xlfn.XLOOKUP(A37,'[1]Tissue Data'!$A:$A,'[1]Tissue Data'!K:K)</f>
        <v>Whole Body</v>
      </c>
      <c r="I37">
        <f>_xlfn.XLOOKUP(A37,'[1]Tissue Data'!$A:$A,'[1]Tissue Data'!L:L)</f>
        <v>8</v>
      </c>
      <c r="J37">
        <f>_xlfn.XLOOKUP(A37,'[1]Tissue Data'!$A:$A,'[1]Tissue Data'!M:M)</f>
        <v>11.81</v>
      </c>
      <c r="K37" t="s">
        <v>47</v>
      </c>
      <c r="L37" t="str">
        <f>_xlfn.XLOOKUP(K37,[2]analyte_order!$B:$B,[2]analyte_order!$C:$C)</f>
        <v>356-02-5</v>
      </c>
      <c r="M37">
        <f>_xlfn.XLOOKUP(L37,[2]analyte_order!$C:$C,[2]analyte_order!$E:$E)</f>
        <v>38</v>
      </c>
      <c r="N37">
        <v>8.0796144244401069E-2</v>
      </c>
    </row>
    <row r="38" spans="1:14">
      <c r="A38" t="s">
        <v>225</v>
      </c>
      <c r="B38" t="str">
        <f>_xlfn.XLOOKUP(A38,'[1]Tissue Data'!$A:$A,'[1]Tissue Data'!$C:$C)</f>
        <v>Down</v>
      </c>
      <c r="C38" s="2">
        <f>_xlfn.XLOOKUP(A38,'[1]Tissue Data'!$A:$A,'[1]Tissue Data'!$D:$D)</f>
        <v>44314</v>
      </c>
      <c r="D38" s="2" t="str">
        <f>_xlfn.XLOOKUP(A38,'[1]Tissue Data'!$A:$A,'[1]Tissue Data'!$F:$F)</f>
        <v>Pumpkinseed</v>
      </c>
      <c r="E38" t="str">
        <f>_xlfn.XLOOKUP(A38,'[1]Tissue Data'!$A:$A,'[1]Tissue Data'!$H:$H)</f>
        <v>Lepomis</v>
      </c>
      <c r="F38" t="str">
        <f>_xlfn.XLOOKUP(A38,'[1]Tissue Data'!$A:$A,'[1]Tissue Data'!$I:$I)</f>
        <v>gibbosus</v>
      </c>
      <c r="G38" t="str">
        <f>_xlfn.XLOOKUP(A38,'[1]Tissue Data'!$A:$A,'[1]Tissue Data'!J:J)</f>
        <v>U</v>
      </c>
      <c r="H38" t="str">
        <f>_xlfn.XLOOKUP(A38,'[1]Tissue Data'!$A:$A,'[1]Tissue Data'!K:K)</f>
        <v>Whole Body</v>
      </c>
      <c r="I38">
        <f>_xlfn.XLOOKUP(A38,'[1]Tissue Data'!$A:$A,'[1]Tissue Data'!L:L)</f>
        <v>8</v>
      </c>
      <c r="J38">
        <f>_xlfn.XLOOKUP(A38,'[1]Tissue Data'!$A:$A,'[1]Tissue Data'!M:M)</f>
        <v>11.81</v>
      </c>
      <c r="K38" t="s">
        <v>48</v>
      </c>
      <c r="L38" t="str">
        <f>_xlfn.XLOOKUP(K38,[2]analyte_order!$B:$B,[2]analyte_order!$C:$C)</f>
        <v>914637-49-3</v>
      </c>
      <c r="M38">
        <f>_xlfn.XLOOKUP(L38,[2]analyte_order!$C:$C,[2]analyte_order!$E:$E)</f>
        <v>39</v>
      </c>
      <c r="N38">
        <v>0.17199901762803887</v>
      </c>
    </row>
    <row r="39" spans="1:14">
      <c r="A39" t="s">
        <v>225</v>
      </c>
      <c r="B39" t="str">
        <f>_xlfn.XLOOKUP(A39,'[1]Tissue Data'!$A:$A,'[1]Tissue Data'!$C:$C)</f>
        <v>Down</v>
      </c>
      <c r="C39" s="2">
        <f>_xlfn.XLOOKUP(A39,'[1]Tissue Data'!$A:$A,'[1]Tissue Data'!$D:$D)</f>
        <v>44314</v>
      </c>
      <c r="D39" s="2" t="str">
        <f>_xlfn.XLOOKUP(A39,'[1]Tissue Data'!$A:$A,'[1]Tissue Data'!$F:$F)</f>
        <v>Pumpkinseed</v>
      </c>
      <c r="E39" t="str">
        <f>_xlfn.XLOOKUP(A39,'[1]Tissue Data'!$A:$A,'[1]Tissue Data'!$H:$H)</f>
        <v>Lepomis</v>
      </c>
      <c r="F39" t="str">
        <f>_xlfn.XLOOKUP(A39,'[1]Tissue Data'!$A:$A,'[1]Tissue Data'!$I:$I)</f>
        <v>gibbosus</v>
      </c>
      <c r="G39" t="str">
        <f>_xlfn.XLOOKUP(A39,'[1]Tissue Data'!$A:$A,'[1]Tissue Data'!J:J)</f>
        <v>U</v>
      </c>
      <c r="H39" t="str">
        <f>_xlfn.XLOOKUP(A39,'[1]Tissue Data'!$A:$A,'[1]Tissue Data'!K:K)</f>
        <v>Whole Body</v>
      </c>
      <c r="I39">
        <f>_xlfn.XLOOKUP(A39,'[1]Tissue Data'!$A:$A,'[1]Tissue Data'!L:L)</f>
        <v>8</v>
      </c>
      <c r="J39">
        <f>_xlfn.XLOOKUP(A39,'[1]Tissue Data'!$A:$A,'[1]Tissue Data'!M:M)</f>
        <v>11.81</v>
      </c>
      <c r="K39" t="s">
        <v>49</v>
      </c>
      <c r="L39" t="str">
        <f>_xlfn.XLOOKUP(K39,[2]analyte_order!$B:$B,[2]analyte_order!$C:$C)</f>
        <v>812-70-4</v>
      </c>
      <c r="M39">
        <f>_xlfn.XLOOKUP(L39,[2]analyte_order!$C:$C,[2]analyte_order!$E:$E)</f>
        <v>40</v>
      </c>
      <c r="N39">
        <v>5.6408688944935274E-2</v>
      </c>
    </row>
    <row r="40" spans="1:14">
      <c r="A40" t="s">
        <v>225</v>
      </c>
      <c r="B40" t="str">
        <f>_xlfn.XLOOKUP(A40,'[1]Tissue Data'!$A:$A,'[1]Tissue Data'!$C:$C)</f>
        <v>Down</v>
      </c>
      <c r="C40" s="2">
        <f>_xlfn.XLOOKUP(A40,'[1]Tissue Data'!$A:$A,'[1]Tissue Data'!$D:$D)</f>
        <v>44314</v>
      </c>
      <c r="D40" s="2" t="str">
        <f>_xlfn.XLOOKUP(A40,'[1]Tissue Data'!$A:$A,'[1]Tissue Data'!$F:$F)</f>
        <v>Pumpkinseed</v>
      </c>
      <c r="E40" t="str">
        <f>_xlfn.XLOOKUP(A40,'[1]Tissue Data'!$A:$A,'[1]Tissue Data'!$H:$H)</f>
        <v>Lepomis</v>
      </c>
      <c r="F40" t="str">
        <f>_xlfn.XLOOKUP(A40,'[1]Tissue Data'!$A:$A,'[1]Tissue Data'!$I:$I)</f>
        <v>gibbosus</v>
      </c>
      <c r="G40" t="str">
        <f>_xlfn.XLOOKUP(A40,'[1]Tissue Data'!$A:$A,'[1]Tissue Data'!J:J)</f>
        <v>U</v>
      </c>
      <c r="H40" t="str">
        <f>_xlfn.XLOOKUP(A40,'[1]Tissue Data'!$A:$A,'[1]Tissue Data'!K:K)</f>
        <v>Whole Body</v>
      </c>
      <c r="I40">
        <f>_xlfn.XLOOKUP(A40,'[1]Tissue Data'!$A:$A,'[1]Tissue Data'!L:L)</f>
        <v>8</v>
      </c>
      <c r="J40">
        <f>_xlfn.XLOOKUP(A40,'[1]Tissue Data'!$A:$A,'[1]Tissue Data'!M:M)</f>
        <v>11.81</v>
      </c>
      <c r="K40" t="s">
        <v>50</v>
      </c>
      <c r="L40" t="str">
        <f>_xlfn.XLOOKUP(K40,[2]analyte_order!$B:$B,[2]analyte_order!$C:$C)</f>
        <v>53826-12-3</v>
      </c>
      <c r="M40">
        <f>_xlfn.XLOOKUP(L40,[2]analyte_order!$C:$C,[2]analyte_order!$E:$E)</f>
        <v>41</v>
      </c>
      <c r="N40">
        <v>4.07</v>
      </c>
    </row>
    <row r="41" spans="1:14">
      <c r="A41" t="s">
        <v>225</v>
      </c>
      <c r="B41" t="str">
        <f>_xlfn.XLOOKUP(A41,'[1]Tissue Data'!$A:$A,'[1]Tissue Data'!$C:$C)</f>
        <v>Down</v>
      </c>
      <c r="C41" s="2">
        <f>_xlfn.XLOOKUP(A41,'[1]Tissue Data'!$A:$A,'[1]Tissue Data'!$D:$D)</f>
        <v>44314</v>
      </c>
      <c r="D41" s="2" t="str">
        <f>_xlfn.XLOOKUP(A41,'[1]Tissue Data'!$A:$A,'[1]Tissue Data'!$F:$F)</f>
        <v>Pumpkinseed</v>
      </c>
      <c r="E41" t="str">
        <f>_xlfn.XLOOKUP(A41,'[1]Tissue Data'!$A:$A,'[1]Tissue Data'!$H:$H)</f>
        <v>Lepomis</v>
      </c>
      <c r="F41" t="str">
        <f>_xlfn.XLOOKUP(A41,'[1]Tissue Data'!$A:$A,'[1]Tissue Data'!$I:$I)</f>
        <v>gibbosus</v>
      </c>
      <c r="G41" t="str">
        <f>_xlfn.XLOOKUP(A41,'[1]Tissue Data'!$A:$A,'[1]Tissue Data'!J:J)</f>
        <v>U</v>
      </c>
      <c r="H41" t="str">
        <f>_xlfn.XLOOKUP(A41,'[1]Tissue Data'!$A:$A,'[1]Tissue Data'!K:K)</f>
        <v>Whole Body</v>
      </c>
      <c r="I41">
        <f>_xlfn.XLOOKUP(A41,'[1]Tissue Data'!$A:$A,'[1]Tissue Data'!L:L)</f>
        <v>8</v>
      </c>
      <c r="J41">
        <f>_xlfn.XLOOKUP(A41,'[1]Tissue Data'!$A:$A,'[1]Tissue Data'!M:M)</f>
        <v>11.81</v>
      </c>
      <c r="K41" t="s">
        <v>51</v>
      </c>
      <c r="L41" t="str">
        <f>_xlfn.XLOOKUP(K41,[2]analyte_order!$B:$B,[2]analyte_order!$C:$C)</f>
        <v>27854-31-5</v>
      </c>
      <c r="M41">
        <f>_xlfn.XLOOKUP(L41,[2]analyte_order!$C:$C,[2]analyte_order!$E:$E)</f>
        <v>42</v>
      </c>
      <c r="N41">
        <v>2.8018006238676056E-2</v>
      </c>
    </row>
    <row r="42" spans="1:14">
      <c r="A42" t="s">
        <v>225</v>
      </c>
      <c r="B42" t="str">
        <f>_xlfn.XLOOKUP(A42,'[1]Tissue Data'!$A:$A,'[1]Tissue Data'!$C:$C)</f>
        <v>Down</v>
      </c>
      <c r="C42" s="2">
        <f>_xlfn.XLOOKUP(A42,'[1]Tissue Data'!$A:$A,'[1]Tissue Data'!$D:$D)</f>
        <v>44314</v>
      </c>
      <c r="D42" s="2" t="str">
        <f>_xlfn.XLOOKUP(A42,'[1]Tissue Data'!$A:$A,'[1]Tissue Data'!$F:$F)</f>
        <v>Pumpkinseed</v>
      </c>
      <c r="E42" t="str">
        <f>_xlfn.XLOOKUP(A42,'[1]Tissue Data'!$A:$A,'[1]Tissue Data'!$H:$H)</f>
        <v>Lepomis</v>
      </c>
      <c r="F42" t="str">
        <f>_xlfn.XLOOKUP(A42,'[1]Tissue Data'!$A:$A,'[1]Tissue Data'!$I:$I)</f>
        <v>gibbosus</v>
      </c>
      <c r="G42" t="str">
        <f>_xlfn.XLOOKUP(A42,'[1]Tissue Data'!$A:$A,'[1]Tissue Data'!J:J)</f>
        <v>U</v>
      </c>
      <c r="H42" t="str">
        <f>_xlfn.XLOOKUP(A42,'[1]Tissue Data'!$A:$A,'[1]Tissue Data'!K:K)</f>
        <v>Whole Body</v>
      </c>
      <c r="I42">
        <f>_xlfn.XLOOKUP(A42,'[1]Tissue Data'!$A:$A,'[1]Tissue Data'!L:L)</f>
        <v>8</v>
      </c>
      <c r="J42">
        <f>_xlfn.XLOOKUP(A42,'[1]Tissue Data'!$A:$A,'[1]Tissue Data'!M:M)</f>
        <v>11.81</v>
      </c>
      <c r="K42" t="s">
        <v>52</v>
      </c>
      <c r="L42" t="str">
        <f>_xlfn.XLOOKUP(K42,[2]analyte_order!$B:$B,[2]analyte_order!$C:$C)</f>
        <v>53826-13-4</v>
      </c>
      <c r="M42">
        <f>_xlfn.XLOOKUP(L42,[2]analyte_order!$C:$C,[2]analyte_order!$E:$E)</f>
        <v>43</v>
      </c>
      <c r="N42">
        <v>0.10452064748253544</v>
      </c>
    </row>
    <row r="43" spans="1:14">
      <c r="A43" t="s">
        <v>225</v>
      </c>
      <c r="B43" t="str">
        <f>_xlfn.XLOOKUP(A43,'[1]Tissue Data'!$A:$A,'[1]Tissue Data'!$C:$C)</f>
        <v>Down</v>
      </c>
      <c r="C43" s="2">
        <f>_xlfn.XLOOKUP(A43,'[1]Tissue Data'!$A:$A,'[1]Tissue Data'!$D:$D)</f>
        <v>44314</v>
      </c>
      <c r="D43" s="2" t="str">
        <f>_xlfn.XLOOKUP(A43,'[1]Tissue Data'!$A:$A,'[1]Tissue Data'!$F:$F)</f>
        <v>Pumpkinseed</v>
      </c>
      <c r="E43" t="str">
        <f>_xlfn.XLOOKUP(A43,'[1]Tissue Data'!$A:$A,'[1]Tissue Data'!$H:$H)</f>
        <v>Lepomis</v>
      </c>
      <c r="F43" t="str">
        <f>_xlfn.XLOOKUP(A43,'[1]Tissue Data'!$A:$A,'[1]Tissue Data'!$I:$I)</f>
        <v>gibbosus</v>
      </c>
      <c r="G43" t="str">
        <f>_xlfn.XLOOKUP(A43,'[1]Tissue Data'!$A:$A,'[1]Tissue Data'!J:J)</f>
        <v>U</v>
      </c>
      <c r="H43" t="str">
        <f>_xlfn.XLOOKUP(A43,'[1]Tissue Data'!$A:$A,'[1]Tissue Data'!K:K)</f>
        <v>Whole Body</v>
      </c>
      <c r="I43">
        <f>_xlfn.XLOOKUP(A43,'[1]Tissue Data'!$A:$A,'[1]Tissue Data'!L:L)</f>
        <v>8</v>
      </c>
      <c r="J43">
        <f>_xlfn.XLOOKUP(A43,'[1]Tissue Data'!$A:$A,'[1]Tissue Data'!M:M)</f>
        <v>11.81</v>
      </c>
      <c r="K43" t="s">
        <v>53</v>
      </c>
      <c r="L43" t="str">
        <f>_xlfn.XLOOKUP(K43,[2]analyte_order!$B:$B,[2]analyte_order!$C:$C)</f>
        <v>161094-75-3</v>
      </c>
      <c r="M43">
        <f>_xlfn.XLOOKUP(L43,[2]analyte_order!$C:$C,[2]analyte_order!$E:$E)</f>
        <v>44</v>
      </c>
      <c r="N43">
        <v>5.4999104460653377E-2</v>
      </c>
    </row>
    <row r="44" spans="1:14">
      <c r="A44" t="s">
        <v>225</v>
      </c>
      <c r="B44" t="str">
        <f>_xlfn.XLOOKUP(A44,'[1]Tissue Data'!$A:$A,'[1]Tissue Data'!$C:$C)</f>
        <v>Down</v>
      </c>
      <c r="C44" s="2">
        <f>_xlfn.XLOOKUP(A44,'[1]Tissue Data'!$A:$A,'[1]Tissue Data'!$D:$D)</f>
        <v>44314</v>
      </c>
      <c r="D44" s="2" t="str">
        <f>_xlfn.XLOOKUP(A44,'[1]Tissue Data'!$A:$A,'[1]Tissue Data'!$F:$F)</f>
        <v>Pumpkinseed</v>
      </c>
      <c r="E44" t="str">
        <f>_xlfn.XLOOKUP(A44,'[1]Tissue Data'!$A:$A,'[1]Tissue Data'!$H:$H)</f>
        <v>Lepomis</v>
      </c>
      <c r="F44" t="str">
        <f>_xlfn.XLOOKUP(A44,'[1]Tissue Data'!$A:$A,'[1]Tissue Data'!$I:$I)</f>
        <v>gibbosus</v>
      </c>
      <c r="G44" t="str">
        <f>_xlfn.XLOOKUP(A44,'[1]Tissue Data'!$A:$A,'[1]Tissue Data'!J:J)</f>
        <v>U</v>
      </c>
      <c r="H44" t="str">
        <f>_xlfn.XLOOKUP(A44,'[1]Tissue Data'!$A:$A,'[1]Tissue Data'!K:K)</f>
        <v>Whole Body</v>
      </c>
      <c r="I44">
        <f>_xlfn.XLOOKUP(A44,'[1]Tissue Data'!$A:$A,'[1]Tissue Data'!L:L)</f>
        <v>8</v>
      </c>
      <c r="J44">
        <f>_xlfn.XLOOKUP(A44,'[1]Tissue Data'!$A:$A,'[1]Tissue Data'!M:M)</f>
        <v>11.81</v>
      </c>
      <c r="K44" t="s">
        <v>54</v>
      </c>
      <c r="L44" t="str">
        <f>_xlfn.XLOOKUP(K44,[2]analyte_order!$B:$B,[2]analyte_order!$C:$C)</f>
        <v>70887-84-2</v>
      </c>
      <c r="M44">
        <f>_xlfn.XLOOKUP(L44,[2]analyte_order!$C:$C,[2]analyte_order!$E:$E)</f>
        <v>45</v>
      </c>
      <c r="N44">
        <v>4.2328520160930756E-2</v>
      </c>
    </row>
    <row r="45" spans="1:14">
      <c r="A45" t="s">
        <v>225</v>
      </c>
      <c r="B45" t="str">
        <f>_xlfn.XLOOKUP(A45,'[1]Tissue Data'!$A:$A,'[1]Tissue Data'!$C:$C)</f>
        <v>Down</v>
      </c>
      <c r="C45" s="2">
        <f>_xlfn.XLOOKUP(A45,'[1]Tissue Data'!$A:$A,'[1]Tissue Data'!$D:$D)</f>
        <v>44314</v>
      </c>
      <c r="D45" s="2" t="str">
        <f>_xlfn.XLOOKUP(A45,'[1]Tissue Data'!$A:$A,'[1]Tissue Data'!$F:$F)</f>
        <v>Pumpkinseed</v>
      </c>
      <c r="E45" t="str">
        <f>_xlfn.XLOOKUP(A45,'[1]Tissue Data'!$A:$A,'[1]Tissue Data'!$H:$H)</f>
        <v>Lepomis</v>
      </c>
      <c r="F45" t="str">
        <f>_xlfn.XLOOKUP(A45,'[1]Tissue Data'!$A:$A,'[1]Tissue Data'!$I:$I)</f>
        <v>gibbosus</v>
      </c>
      <c r="G45" t="str">
        <f>_xlfn.XLOOKUP(A45,'[1]Tissue Data'!$A:$A,'[1]Tissue Data'!J:J)</f>
        <v>U</v>
      </c>
      <c r="H45" t="str">
        <f>_xlfn.XLOOKUP(A45,'[1]Tissue Data'!$A:$A,'[1]Tissue Data'!K:K)</f>
        <v>Whole Body</v>
      </c>
      <c r="I45">
        <f>_xlfn.XLOOKUP(A45,'[1]Tissue Data'!$A:$A,'[1]Tissue Data'!L:L)</f>
        <v>8</v>
      </c>
      <c r="J45">
        <f>_xlfn.XLOOKUP(A45,'[1]Tissue Data'!$A:$A,'[1]Tissue Data'!M:M)</f>
        <v>11.81</v>
      </c>
      <c r="K45" t="s">
        <v>55</v>
      </c>
      <c r="L45" t="str">
        <f>_xlfn.XLOOKUP(K45,[2]analyte_order!$B:$B,[2]analyte_order!$C:$C)</f>
        <v>919005-14-4</v>
      </c>
      <c r="M45">
        <f>_xlfn.XLOOKUP(L45,[2]analyte_order!$C:$C,[2]analyte_order!$E:$E)</f>
        <v>35</v>
      </c>
      <c r="N45">
        <v>7.004501559669013E-2</v>
      </c>
    </row>
    <row r="46" spans="1:14">
      <c r="A46" t="s">
        <v>225</v>
      </c>
      <c r="B46" t="str">
        <f>_xlfn.XLOOKUP(A46,'[1]Tissue Data'!$A:$A,'[1]Tissue Data'!$C:$C)</f>
        <v>Down</v>
      </c>
      <c r="C46" s="2">
        <f>_xlfn.XLOOKUP(A46,'[1]Tissue Data'!$A:$A,'[1]Tissue Data'!$D:$D)</f>
        <v>44314</v>
      </c>
      <c r="D46" s="2" t="str">
        <f>_xlfn.XLOOKUP(A46,'[1]Tissue Data'!$A:$A,'[1]Tissue Data'!$F:$F)</f>
        <v>Pumpkinseed</v>
      </c>
      <c r="E46" t="str">
        <f>_xlfn.XLOOKUP(A46,'[1]Tissue Data'!$A:$A,'[1]Tissue Data'!$H:$H)</f>
        <v>Lepomis</v>
      </c>
      <c r="F46" t="str">
        <f>_xlfn.XLOOKUP(A46,'[1]Tissue Data'!$A:$A,'[1]Tissue Data'!$I:$I)</f>
        <v>gibbosus</v>
      </c>
      <c r="G46" t="str">
        <f>_xlfn.XLOOKUP(A46,'[1]Tissue Data'!$A:$A,'[1]Tissue Data'!J:J)</f>
        <v>U</v>
      </c>
      <c r="H46" t="str">
        <f>_xlfn.XLOOKUP(A46,'[1]Tissue Data'!$A:$A,'[1]Tissue Data'!K:K)</f>
        <v>Whole Body</v>
      </c>
      <c r="I46">
        <f>_xlfn.XLOOKUP(A46,'[1]Tissue Data'!$A:$A,'[1]Tissue Data'!L:L)</f>
        <v>8</v>
      </c>
      <c r="J46">
        <f>_xlfn.XLOOKUP(A46,'[1]Tissue Data'!$A:$A,'[1]Tissue Data'!M:M)</f>
        <v>11.81</v>
      </c>
      <c r="K46" t="s">
        <v>56</v>
      </c>
      <c r="L46" t="str">
        <f>_xlfn.XLOOKUP(K46,[2]analyte_order!$B:$B,[2]analyte_order!$C:$C)</f>
        <v>756426-58-1</v>
      </c>
      <c r="M46">
        <f>_xlfn.XLOOKUP(L46,[2]analyte_order!$C:$C,[2]analyte_order!$E:$E)</f>
        <v>36</v>
      </c>
      <c r="N46">
        <v>4.8618710370351342E-2</v>
      </c>
    </row>
    <row r="47" spans="1:14">
      <c r="A47" t="s">
        <v>225</v>
      </c>
      <c r="B47" t="str">
        <f>_xlfn.XLOOKUP(A47,'[1]Tissue Data'!$A:$A,'[1]Tissue Data'!$C:$C)</f>
        <v>Down</v>
      </c>
      <c r="C47" s="2">
        <f>_xlfn.XLOOKUP(A47,'[1]Tissue Data'!$A:$A,'[1]Tissue Data'!$D:$D)</f>
        <v>44314</v>
      </c>
      <c r="D47" s="2" t="str">
        <f>_xlfn.XLOOKUP(A47,'[1]Tissue Data'!$A:$A,'[1]Tissue Data'!$F:$F)</f>
        <v>Pumpkinseed</v>
      </c>
      <c r="E47" t="str">
        <f>_xlfn.XLOOKUP(A47,'[1]Tissue Data'!$A:$A,'[1]Tissue Data'!$H:$H)</f>
        <v>Lepomis</v>
      </c>
      <c r="F47" t="str">
        <f>_xlfn.XLOOKUP(A47,'[1]Tissue Data'!$A:$A,'[1]Tissue Data'!$I:$I)</f>
        <v>gibbosus</v>
      </c>
      <c r="G47" t="str">
        <f>_xlfn.XLOOKUP(A47,'[1]Tissue Data'!$A:$A,'[1]Tissue Data'!J:J)</f>
        <v>U</v>
      </c>
      <c r="H47" t="str">
        <f>_xlfn.XLOOKUP(A47,'[1]Tissue Data'!$A:$A,'[1]Tissue Data'!K:K)</f>
        <v>Whole Body</v>
      </c>
      <c r="I47">
        <f>_xlfn.XLOOKUP(A47,'[1]Tissue Data'!$A:$A,'[1]Tissue Data'!L:L)</f>
        <v>8</v>
      </c>
      <c r="J47">
        <f>_xlfn.XLOOKUP(A47,'[1]Tissue Data'!$A:$A,'[1]Tissue Data'!M:M)</f>
        <v>11.81</v>
      </c>
      <c r="K47" t="s">
        <v>57</v>
      </c>
      <c r="L47" t="str">
        <f>_xlfn.XLOOKUP(K47,[2]analyte_order!$B:$B,[2]analyte_order!$C:$C)</f>
        <v>763051-92-9</v>
      </c>
      <c r="M47">
        <f>_xlfn.XLOOKUP(L47,[2]analyte_order!$C:$C,[2]analyte_order!$E:$E)</f>
        <v>37</v>
      </c>
      <c r="N47">
        <v>5.5194810038524757E-2</v>
      </c>
    </row>
    <row r="48" spans="1:14">
      <c r="A48" t="s">
        <v>225</v>
      </c>
      <c r="B48" t="str">
        <f>_xlfn.XLOOKUP(A48,'[1]Tissue Data'!$A:$A,'[1]Tissue Data'!$C:$C)</f>
        <v>Down</v>
      </c>
      <c r="C48" s="2">
        <f>_xlfn.XLOOKUP(A48,'[1]Tissue Data'!$A:$A,'[1]Tissue Data'!$D:$D)</f>
        <v>44314</v>
      </c>
      <c r="D48" s="2" t="str">
        <f>_xlfn.XLOOKUP(A48,'[1]Tissue Data'!$A:$A,'[1]Tissue Data'!$F:$F)</f>
        <v>Pumpkinseed</v>
      </c>
      <c r="E48" t="str">
        <f>_xlfn.XLOOKUP(A48,'[1]Tissue Data'!$A:$A,'[1]Tissue Data'!$H:$H)</f>
        <v>Lepomis</v>
      </c>
      <c r="F48" t="str">
        <f>_xlfn.XLOOKUP(A48,'[1]Tissue Data'!$A:$A,'[1]Tissue Data'!$I:$I)</f>
        <v>gibbosus</v>
      </c>
      <c r="G48" t="str">
        <f>_xlfn.XLOOKUP(A48,'[1]Tissue Data'!$A:$A,'[1]Tissue Data'!J:J)</f>
        <v>U</v>
      </c>
      <c r="H48" t="str">
        <f>_xlfn.XLOOKUP(A48,'[1]Tissue Data'!$A:$A,'[1]Tissue Data'!K:K)</f>
        <v>Whole Body</v>
      </c>
      <c r="I48">
        <f>_xlfn.XLOOKUP(A48,'[1]Tissue Data'!$A:$A,'[1]Tissue Data'!L:L)</f>
        <v>8</v>
      </c>
      <c r="J48">
        <f>_xlfn.XLOOKUP(A48,'[1]Tissue Data'!$A:$A,'[1]Tissue Data'!M:M)</f>
        <v>11.81</v>
      </c>
      <c r="K48" t="s">
        <v>58</v>
      </c>
      <c r="L48" t="str">
        <f>_xlfn.XLOOKUP(K48,[2]analyte_order!$B:$B,[2]analyte_order!$C:$C)</f>
        <v>13252-13-6</v>
      </c>
      <c r="M48">
        <f>_xlfn.XLOOKUP(L48,[2]analyte_order!$C:$C,[2]analyte_order!$E:$E)</f>
        <v>34</v>
      </c>
      <c r="N48">
        <v>0.10051659821501951</v>
      </c>
    </row>
    <row r="49" spans="1:14">
      <c r="A49" t="s">
        <v>225</v>
      </c>
      <c r="B49" t="str">
        <f>_xlfn.XLOOKUP(A49,'[1]Tissue Data'!$A:$A,'[1]Tissue Data'!$C:$C)</f>
        <v>Down</v>
      </c>
      <c r="C49" s="2">
        <f>_xlfn.XLOOKUP(A49,'[1]Tissue Data'!$A:$A,'[1]Tissue Data'!$D:$D)</f>
        <v>44314</v>
      </c>
      <c r="D49" s="2" t="str">
        <f>_xlfn.XLOOKUP(A49,'[1]Tissue Data'!$A:$A,'[1]Tissue Data'!$F:$F)</f>
        <v>Pumpkinseed</v>
      </c>
      <c r="E49" t="str">
        <f>_xlfn.XLOOKUP(A49,'[1]Tissue Data'!$A:$A,'[1]Tissue Data'!$H:$H)</f>
        <v>Lepomis</v>
      </c>
      <c r="F49" t="str">
        <f>_xlfn.XLOOKUP(A49,'[1]Tissue Data'!$A:$A,'[1]Tissue Data'!$I:$I)</f>
        <v>gibbosus</v>
      </c>
      <c r="G49" t="str">
        <f>_xlfn.XLOOKUP(A49,'[1]Tissue Data'!$A:$A,'[1]Tissue Data'!J:J)</f>
        <v>U</v>
      </c>
      <c r="H49" t="str">
        <f>_xlfn.XLOOKUP(A49,'[1]Tissue Data'!$A:$A,'[1]Tissue Data'!K:K)</f>
        <v>Whole Body</v>
      </c>
      <c r="I49">
        <f>_xlfn.XLOOKUP(A49,'[1]Tissue Data'!$A:$A,'[1]Tissue Data'!L:L)</f>
        <v>8</v>
      </c>
      <c r="J49">
        <f>_xlfn.XLOOKUP(A49,'[1]Tissue Data'!$A:$A,'[1]Tissue Data'!M:M)</f>
        <v>11.81</v>
      </c>
      <c r="K49" t="s">
        <v>59</v>
      </c>
      <c r="L49" t="str">
        <f>_xlfn.XLOOKUP(K49,[2]analyte_order!$B:$B,[2]analyte_order!$C:$C)</f>
        <v>57677-95-9</v>
      </c>
      <c r="M49">
        <f>_xlfn.XLOOKUP(L49,[2]analyte_order!$C:$C,[2]analyte_order!$E:$E)</f>
        <v>46</v>
      </c>
      <c r="N49">
        <v>7.456494588812411E-2</v>
      </c>
    </row>
    <row r="50" spans="1:14">
      <c r="A50" t="s">
        <v>225</v>
      </c>
      <c r="B50" t="str">
        <f>_xlfn.XLOOKUP(A50,'[1]Tissue Data'!$A:$A,'[1]Tissue Data'!$C:$C)</f>
        <v>Down</v>
      </c>
      <c r="C50" s="2">
        <f>_xlfn.XLOOKUP(A50,'[1]Tissue Data'!$A:$A,'[1]Tissue Data'!$D:$D)</f>
        <v>44314</v>
      </c>
      <c r="D50" s="2" t="str">
        <f>_xlfn.XLOOKUP(A50,'[1]Tissue Data'!$A:$A,'[1]Tissue Data'!$F:$F)</f>
        <v>Pumpkinseed</v>
      </c>
      <c r="E50" t="str">
        <f>_xlfn.XLOOKUP(A50,'[1]Tissue Data'!$A:$A,'[1]Tissue Data'!$H:$H)</f>
        <v>Lepomis</v>
      </c>
      <c r="F50" t="str">
        <f>_xlfn.XLOOKUP(A50,'[1]Tissue Data'!$A:$A,'[1]Tissue Data'!$I:$I)</f>
        <v>gibbosus</v>
      </c>
      <c r="G50" t="str">
        <f>_xlfn.XLOOKUP(A50,'[1]Tissue Data'!$A:$A,'[1]Tissue Data'!J:J)</f>
        <v>U</v>
      </c>
      <c r="H50" t="str">
        <f>_xlfn.XLOOKUP(A50,'[1]Tissue Data'!$A:$A,'[1]Tissue Data'!K:K)</f>
        <v>Whole Body</v>
      </c>
      <c r="I50">
        <f>_xlfn.XLOOKUP(A50,'[1]Tissue Data'!$A:$A,'[1]Tissue Data'!L:L)</f>
        <v>8</v>
      </c>
      <c r="J50">
        <f>_xlfn.XLOOKUP(A50,'[1]Tissue Data'!$A:$A,'[1]Tissue Data'!M:M)</f>
        <v>11.81</v>
      </c>
      <c r="K50" t="s">
        <v>60</v>
      </c>
      <c r="L50" t="str">
        <f>_xlfn.XLOOKUP(K50,[2]analyte_order!$B:$B,[2]analyte_order!$C:$C)</f>
        <v>678-41-1</v>
      </c>
      <c r="M50">
        <f>_xlfn.XLOOKUP(L50,[2]analyte_order!$C:$C,[2]analyte_order!$E:$E)</f>
        <v>56</v>
      </c>
      <c r="N50">
        <v>9.2866662834908562E-2</v>
      </c>
    </row>
    <row r="51" spans="1:14">
      <c r="A51" t="s">
        <v>225</v>
      </c>
      <c r="B51" t="str">
        <f>_xlfn.XLOOKUP(A51,'[1]Tissue Data'!$A:$A,'[1]Tissue Data'!$C:$C)</f>
        <v>Down</v>
      </c>
      <c r="C51" s="2">
        <f>_xlfn.XLOOKUP(A51,'[1]Tissue Data'!$A:$A,'[1]Tissue Data'!$D:$D)</f>
        <v>44314</v>
      </c>
      <c r="D51" s="2" t="str">
        <f>_xlfn.XLOOKUP(A51,'[1]Tissue Data'!$A:$A,'[1]Tissue Data'!$F:$F)</f>
        <v>Pumpkinseed</v>
      </c>
      <c r="E51" t="str">
        <f>_xlfn.XLOOKUP(A51,'[1]Tissue Data'!$A:$A,'[1]Tissue Data'!$H:$H)</f>
        <v>Lepomis</v>
      </c>
      <c r="F51" t="str">
        <f>_xlfn.XLOOKUP(A51,'[1]Tissue Data'!$A:$A,'[1]Tissue Data'!$I:$I)</f>
        <v>gibbosus</v>
      </c>
      <c r="G51" t="str">
        <f>_xlfn.XLOOKUP(A51,'[1]Tissue Data'!$A:$A,'[1]Tissue Data'!J:J)</f>
        <v>U</v>
      </c>
      <c r="H51" t="str">
        <f>_xlfn.XLOOKUP(A51,'[1]Tissue Data'!$A:$A,'[1]Tissue Data'!K:K)</f>
        <v>Whole Body</v>
      </c>
      <c r="I51">
        <f>_xlfn.XLOOKUP(A51,'[1]Tissue Data'!$A:$A,'[1]Tissue Data'!L:L)</f>
        <v>8</v>
      </c>
      <c r="J51">
        <f>_xlfn.XLOOKUP(A51,'[1]Tissue Data'!$A:$A,'[1]Tissue Data'!M:M)</f>
        <v>11.81</v>
      </c>
      <c r="K51" t="s">
        <v>61</v>
      </c>
      <c r="L51" t="str">
        <f>_xlfn.XLOOKUP(K51,[2]analyte_order!$B:$B,[2]analyte_order!$C:$C)</f>
        <v>2965-52-8</v>
      </c>
      <c r="M51">
        <f>_xlfn.XLOOKUP(L51,[2]analyte_order!$C:$C,[2]analyte_order!$E:$E)</f>
        <v>57</v>
      </c>
      <c r="N51">
        <v>0.12327922745017464</v>
      </c>
    </row>
    <row r="52" spans="1:14">
      <c r="A52" t="s">
        <v>229</v>
      </c>
      <c r="B52" t="str">
        <f>_xlfn.XLOOKUP(A52,'[1]Tissue Data'!$A:$A,'[1]Tissue Data'!$C:$C)</f>
        <v>Down</v>
      </c>
      <c r="C52" s="2">
        <f>_xlfn.XLOOKUP(A52,'[1]Tissue Data'!$A:$A,'[1]Tissue Data'!$D:$D)</f>
        <v>44314</v>
      </c>
      <c r="D52" s="2" t="str">
        <f>_xlfn.XLOOKUP(A52,'[1]Tissue Data'!$A:$A,'[1]Tissue Data'!$F:$F)</f>
        <v>Pumpkinseed</v>
      </c>
      <c r="E52" t="str">
        <f>_xlfn.XLOOKUP(A52,'[1]Tissue Data'!$A:$A,'[1]Tissue Data'!$H:$H)</f>
        <v>Lepomis</v>
      </c>
      <c r="F52" t="str">
        <f>_xlfn.XLOOKUP(A52,'[1]Tissue Data'!$A:$A,'[1]Tissue Data'!$I:$I)</f>
        <v>gibbosus</v>
      </c>
      <c r="G52" t="str">
        <f>_xlfn.XLOOKUP(A52,'[1]Tissue Data'!$A:$A,'[1]Tissue Data'!J:J)</f>
        <v>U</v>
      </c>
      <c r="H52" t="str">
        <f>_xlfn.XLOOKUP(A52,'[1]Tissue Data'!$A:$A,'[1]Tissue Data'!K:K)</f>
        <v>Whole Body</v>
      </c>
      <c r="I52">
        <f>_xlfn.XLOOKUP(A52,'[1]Tissue Data'!$A:$A,'[1]Tissue Data'!L:L)</f>
        <v>8.5</v>
      </c>
      <c r="J52">
        <f>_xlfn.XLOOKUP(A52,'[1]Tissue Data'!$A:$A,'[1]Tissue Data'!M:M)</f>
        <v>12.37</v>
      </c>
      <c r="K52" t="s">
        <v>12</v>
      </c>
      <c r="L52" t="str">
        <f>_xlfn.XLOOKUP(K52,[2]analyte_order!$B:$B,[2]analyte_order!$C:$C)</f>
        <v>375-22-4</v>
      </c>
      <c r="M52">
        <f>_xlfn.XLOOKUP(L52,[2]analyte_order!$C:$C,[2]analyte_order!$E:$E)</f>
        <v>1</v>
      </c>
      <c r="N52">
        <v>9.4359404487313892E-2</v>
      </c>
    </row>
    <row r="53" spans="1:14">
      <c r="A53" t="s">
        <v>229</v>
      </c>
      <c r="B53" t="str">
        <f>_xlfn.XLOOKUP(A53,'[1]Tissue Data'!$A:$A,'[1]Tissue Data'!$C:$C)</f>
        <v>Down</v>
      </c>
      <c r="C53" s="2">
        <f>_xlfn.XLOOKUP(A53,'[1]Tissue Data'!$A:$A,'[1]Tissue Data'!$D:$D)</f>
        <v>44314</v>
      </c>
      <c r="D53" s="2" t="str">
        <f>_xlfn.XLOOKUP(A53,'[1]Tissue Data'!$A:$A,'[1]Tissue Data'!$F:$F)</f>
        <v>Pumpkinseed</v>
      </c>
      <c r="E53" t="str">
        <f>_xlfn.XLOOKUP(A53,'[1]Tissue Data'!$A:$A,'[1]Tissue Data'!$H:$H)</f>
        <v>Lepomis</v>
      </c>
      <c r="F53" t="str">
        <f>_xlfn.XLOOKUP(A53,'[1]Tissue Data'!$A:$A,'[1]Tissue Data'!$I:$I)</f>
        <v>gibbosus</v>
      </c>
      <c r="G53" t="str">
        <f>_xlfn.XLOOKUP(A53,'[1]Tissue Data'!$A:$A,'[1]Tissue Data'!J:J)</f>
        <v>U</v>
      </c>
      <c r="H53" t="str">
        <f>_xlfn.XLOOKUP(A53,'[1]Tissue Data'!$A:$A,'[1]Tissue Data'!K:K)</f>
        <v>Whole Body</v>
      </c>
      <c r="I53">
        <f>_xlfn.XLOOKUP(A53,'[1]Tissue Data'!$A:$A,'[1]Tissue Data'!L:L)</f>
        <v>8.5</v>
      </c>
      <c r="J53">
        <f>_xlfn.XLOOKUP(A53,'[1]Tissue Data'!$A:$A,'[1]Tissue Data'!M:M)</f>
        <v>12.37</v>
      </c>
      <c r="K53" t="s">
        <v>13</v>
      </c>
      <c r="L53" t="str">
        <f>_xlfn.XLOOKUP(K53,[2]analyte_order!$B:$B,[2]analyte_order!$C:$C)</f>
        <v>2706-90-3</v>
      </c>
      <c r="M53">
        <f>_xlfn.XLOOKUP(L53,[2]analyte_order!$C:$C,[2]analyte_order!$E:$E)</f>
        <v>2</v>
      </c>
      <c r="N53">
        <v>4.8797882909744739E-2</v>
      </c>
    </row>
    <row r="54" spans="1:14">
      <c r="A54" t="s">
        <v>229</v>
      </c>
      <c r="B54" t="str">
        <f>_xlfn.XLOOKUP(A54,'[1]Tissue Data'!$A:$A,'[1]Tissue Data'!$C:$C)</f>
        <v>Down</v>
      </c>
      <c r="C54" s="2">
        <f>_xlfn.XLOOKUP(A54,'[1]Tissue Data'!$A:$A,'[1]Tissue Data'!$D:$D)</f>
        <v>44314</v>
      </c>
      <c r="D54" s="2" t="str">
        <f>_xlfn.XLOOKUP(A54,'[1]Tissue Data'!$A:$A,'[1]Tissue Data'!$F:$F)</f>
        <v>Pumpkinseed</v>
      </c>
      <c r="E54" t="str">
        <f>_xlfn.XLOOKUP(A54,'[1]Tissue Data'!$A:$A,'[1]Tissue Data'!$H:$H)</f>
        <v>Lepomis</v>
      </c>
      <c r="F54" t="str">
        <f>_xlfn.XLOOKUP(A54,'[1]Tissue Data'!$A:$A,'[1]Tissue Data'!$I:$I)</f>
        <v>gibbosus</v>
      </c>
      <c r="G54" t="str">
        <f>_xlfn.XLOOKUP(A54,'[1]Tissue Data'!$A:$A,'[1]Tissue Data'!J:J)</f>
        <v>U</v>
      </c>
      <c r="H54" t="str">
        <f>_xlfn.XLOOKUP(A54,'[1]Tissue Data'!$A:$A,'[1]Tissue Data'!K:K)</f>
        <v>Whole Body</v>
      </c>
      <c r="I54">
        <f>_xlfn.XLOOKUP(A54,'[1]Tissue Data'!$A:$A,'[1]Tissue Data'!L:L)</f>
        <v>8.5</v>
      </c>
      <c r="J54">
        <f>_xlfn.XLOOKUP(A54,'[1]Tissue Data'!$A:$A,'[1]Tissue Data'!M:M)</f>
        <v>12.37</v>
      </c>
      <c r="K54" t="s">
        <v>14</v>
      </c>
      <c r="L54" t="str">
        <f>_xlfn.XLOOKUP(K54,[2]analyte_order!$B:$B,[2]analyte_order!$C:$C)</f>
        <v>307-24-4</v>
      </c>
      <c r="M54">
        <f>_xlfn.XLOOKUP(L54,[2]analyte_order!$C:$C,[2]analyte_order!$E:$E)</f>
        <v>3</v>
      </c>
      <c r="N54">
        <v>0.12731236482422417</v>
      </c>
    </row>
    <row r="55" spans="1:14">
      <c r="A55" t="s">
        <v>229</v>
      </c>
      <c r="B55" t="str">
        <f>_xlfn.XLOOKUP(A55,'[1]Tissue Data'!$A:$A,'[1]Tissue Data'!$C:$C)</f>
        <v>Down</v>
      </c>
      <c r="C55" s="2">
        <f>_xlfn.XLOOKUP(A55,'[1]Tissue Data'!$A:$A,'[1]Tissue Data'!$D:$D)</f>
        <v>44314</v>
      </c>
      <c r="D55" s="2" t="str">
        <f>_xlfn.XLOOKUP(A55,'[1]Tissue Data'!$A:$A,'[1]Tissue Data'!$F:$F)</f>
        <v>Pumpkinseed</v>
      </c>
      <c r="E55" t="str">
        <f>_xlfn.XLOOKUP(A55,'[1]Tissue Data'!$A:$A,'[1]Tissue Data'!$H:$H)</f>
        <v>Lepomis</v>
      </c>
      <c r="F55" t="str">
        <f>_xlfn.XLOOKUP(A55,'[1]Tissue Data'!$A:$A,'[1]Tissue Data'!$I:$I)</f>
        <v>gibbosus</v>
      </c>
      <c r="G55" t="str">
        <f>_xlfn.XLOOKUP(A55,'[1]Tissue Data'!$A:$A,'[1]Tissue Data'!J:J)</f>
        <v>U</v>
      </c>
      <c r="H55" t="str">
        <f>_xlfn.XLOOKUP(A55,'[1]Tissue Data'!$A:$A,'[1]Tissue Data'!K:K)</f>
        <v>Whole Body</v>
      </c>
      <c r="I55">
        <f>_xlfn.XLOOKUP(A55,'[1]Tissue Data'!$A:$A,'[1]Tissue Data'!L:L)</f>
        <v>8.5</v>
      </c>
      <c r="J55">
        <f>_xlfn.XLOOKUP(A55,'[1]Tissue Data'!$A:$A,'[1]Tissue Data'!M:M)</f>
        <v>12.37</v>
      </c>
      <c r="K55" t="s">
        <v>15</v>
      </c>
      <c r="L55" t="str">
        <f>_xlfn.XLOOKUP(K55,[2]analyte_order!$B:$B,[2]analyte_order!$C:$C)</f>
        <v>375-85-9</v>
      </c>
      <c r="M55">
        <f>_xlfn.XLOOKUP(L55,[2]analyte_order!$C:$C,[2]analyte_order!$E:$E)</f>
        <v>4</v>
      </c>
      <c r="N55">
        <v>9.4359404487313892E-2</v>
      </c>
    </row>
    <row r="56" spans="1:14">
      <c r="A56" t="s">
        <v>229</v>
      </c>
      <c r="B56" t="str">
        <f>_xlfn.XLOOKUP(A56,'[1]Tissue Data'!$A:$A,'[1]Tissue Data'!$C:$C)</f>
        <v>Down</v>
      </c>
      <c r="C56" s="2">
        <f>_xlfn.XLOOKUP(A56,'[1]Tissue Data'!$A:$A,'[1]Tissue Data'!$D:$D)</f>
        <v>44314</v>
      </c>
      <c r="D56" s="2" t="str">
        <f>_xlfn.XLOOKUP(A56,'[1]Tissue Data'!$A:$A,'[1]Tissue Data'!$F:$F)</f>
        <v>Pumpkinseed</v>
      </c>
      <c r="E56" t="str">
        <f>_xlfn.XLOOKUP(A56,'[1]Tissue Data'!$A:$A,'[1]Tissue Data'!$H:$H)</f>
        <v>Lepomis</v>
      </c>
      <c r="F56" t="str">
        <f>_xlfn.XLOOKUP(A56,'[1]Tissue Data'!$A:$A,'[1]Tissue Data'!$I:$I)</f>
        <v>gibbosus</v>
      </c>
      <c r="G56" t="str">
        <f>_xlfn.XLOOKUP(A56,'[1]Tissue Data'!$A:$A,'[1]Tissue Data'!J:J)</f>
        <v>U</v>
      </c>
      <c r="H56" t="str">
        <f>_xlfn.XLOOKUP(A56,'[1]Tissue Data'!$A:$A,'[1]Tissue Data'!K:K)</f>
        <v>Whole Body</v>
      </c>
      <c r="I56">
        <f>_xlfn.XLOOKUP(A56,'[1]Tissue Data'!$A:$A,'[1]Tissue Data'!L:L)</f>
        <v>8.5</v>
      </c>
      <c r="J56">
        <f>_xlfn.XLOOKUP(A56,'[1]Tissue Data'!$A:$A,'[1]Tissue Data'!M:M)</f>
        <v>12.37</v>
      </c>
      <c r="K56" t="s">
        <v>16</v>
      </c>
      <c r="L56" t="str">
        <f>_xlfn.XLOOKUP(K56,[2]analyte_order!$B:$B,[2]analyte_order!$C:$C)</f>
        <v>335-67-1</v>
      </c>
      <c r="M56">
        <f>_xlfn.XLOOKUP(L56,[2]analyte_order!$C:$C,[2]analyte_order!$E:$E)</f>
        <v>5</v>
      </c>
      <c r="N56">
        <v>0.29599999999999999</v>
      </c>
    </row>
    <row r="57" spans="1:14">
      <c r="A57" t="s">
        <v>229</v>
      </c>
      <c r="B57" t="str">
        <f>_xlfn.XLOOKUP(A57,'[1]Tissue Data'!$A:$A,'[1]Tissue Data'!$C:$C)</f>
        <v>Down</v>
      </c>
      <c r="C57" s="2">
        <f>_xlfn.XLOOKUP(A57,'[1]Tissue Data'!$A:$A,'[1]Tissue Data'!$D:$D)</f>
        <v>44314</v>
      </c>
      <c r="D57" s="2" t="str">
        <f>_xlfn.XLOOKUP(A57,'[1]Tissue Data'!$A:$A,'[1]Tissue Data'!$F:$F)</f>
        <v>Pumpkinseed</v>
      </c>
      <c r="E57" t="str">
        <f>_xlfn.XLOOKUP(A57,'[1]Tissue Data'!$A:$A,'[1]Tissue Data'!$H:$H)</f>
        <v>Lepomis</v>
      </c>
      <c r="F57" t="str">
        <f>_xlfn.XLOOKUP(A57,'[1]Tissue Data'!$A:$A,'[1]Tissue Data'!$I:$I)</f>
        <v>gibbosus</v>
      </c>
      <c r="G57" t="str">
        <f>_xlfn.XLOOKUP(A57,'[1]Tissue Data'!$A:$A,'[1]Tissue Data'!J:J)</f>
        <v>U</v>
      </c>
      <c r="H57" t="str">
        <f>_xlfn.XLOOKUP(A57,'[1]Tissue Data'!$A:$A,'[1]Tissue Data'!K:K)</f>
        <v>Whole Body</v>
      </c>
      <c r="I57">
        <f>_xlfn.XLOOKUP(A57,'[1]Tissue Data'!$A:$A,'[1]Tissue Data'!L:L)</f>
        <v>8.5</v>
      </c>
      <c r="J57">
        <f>_xlfn.XLOOKUP(A57,'[1]Tissue Data'!$A:$A,'[1]Tissue Data'!M:M)</f>
        <v>12.37</v>
      </c>
      <c r="K57" t="s">
        <v>17</v>
      </c>
      <c r="L57" t="str">
        <f>_xlfn.XLOOKUP(K57,[2]analyte_order!$B:$B,[2]analyte_order!$C:$C)</f>
        <v>375-95-1</v>
      </c>
      <c r="M57">
        <f>_xlfn.XLOOKUP(L57,[2]analyte_order!$C:$C,[2]analyte_order!$E:$E)</f>
        <v>6</v>
      </c>
      <c r="N57">
        <v>1.74</v>
      </c>
    </row>
    <row r="58" spans="1:14">
      <c r="A58" t="s">
        <v>229</v>
      </c>
      <c r="B58" t="str">
        <f>_xlfn.XLOOKUP(A58,'[1]Tissue Data'!$A:$A,'[1]Tissue Data'!$C:$C)</f>
        <v>Down</v>
      </c>
      <c r="C58" s="2">
        <f>_xlfn.XLOOKUP(A58,'[1]Tissue Data'!$A:$A,'[1]Tissue Data'!$D:$D)</f>
        <v>44314</v>
      </c>
      <c r="D58" s="2" t="str">
        <f>_xlfn.XLOOKUP(A58,'[1]Tissue Data'!$A:$A,'[1]Tissue Data'!$F:$F)</f>
        <v>Pumpkinseed</v>
      </c>
      <c r="E58" t="str">
        <f>_xlfn.XLOOKUP(A58,'[1]Tissue Data'!$A:$A,'[1]Tissue Data'!$H:$H)</f>
        <v>Lepomis</v>
      </c>
      <c r="F58" t="str">
        <f>_xlfn.XLOOKUP(A58,'[1]Tissue Data'!$A:$A,'[1]Tissue Data'!$I:$I)</f>
        <v>gibbosus</v>
      </c>
      <c r="G58" t="str">
        <f>_xlfn.XLOOKUP(A58,'[1]Tissue Data'!$A:$A,'[1]Tissue Data'!J:J)</f>
        <v>U</v>
      </c>
      <c r="H58" t="str">
        <f>_xlfn.XLOOKUP(A58,'[1]Tissue Data'!$A:$A,'[1]Tissue Data'!K:K)</f>
        <v>Whole Body</v>
      </c>
      <c r="I58">
        <f>_xlfn.XLOOKUP(A58,'[1]Tissue Data'!$A:$A,'[1]Tissue Data'!L:L)</f>
        <v>8.5</v>
      </c>
      <c r="J58">
        <f>_xlfn.XLOOKUP(A58,'[1]Tissue Data'!$A:$A,'[1]Tissue Data'!M:M)</f>
        <v>12.37</v>
      </c>
      <c r="K58" t="s">
        <v>18</v>
      </c>
      <c r="L58" t="str">
        <f>_xlfn.XLOOKUP(K58,[2]analyte_order!$B:$B,[2]analyte_order!$C:$C)</f>
        <v>335-76-2</v>
      </c>
      <c r="M58">
        <f>_xlfn.XLOOKUP(L58,[2]analyte_order!$C:$C,[2]analyte_order!$E:$E)</f>
        <v>7</v>
      </c>
      <c r="N58">
        <v>4.93</v>
      </c>
    </row>
    <row r="59" spans="1:14">
      <c r="A59" t="s">
        <v>229</v>
      </c>
      <c r="B59" t="str">
        <f>_xlfn.XLOOKUP(A59,'[1]Tissue Data'!$A:$A,'[1]Tissue Data'!$C:$C)</f>
        <v>Down</v>
      </c>
      <c r="C59" s="2">
        <f>_xlfn.XLOOKUP(A59,'[1]Tissue Data'!$A:$A,'[1]Tissue Data'!$D:$D)</f>
        <v>44314</v>
      </c>
      <c r="D59" s="2" t="str">
        <f>_xlfn.XLOOKUP(A59,'[1]Tissue Data'!$A:$A,'[1]Tissue Data'!$F:$F)</f>
        <v>Pumpkinseed</v>
      </c>
      <c r="E59" t="str">
        <f>_xlfn.XLOOKUP(A59,'[1]Tissue Data'!$A:$A,'[1]Tissue Data'!$H:$H)</f>
        <v>Lepomis</v>
      </c>
      <c r="F59" t="str">
        <f>_xlfn.XLOOKUP(A59,'[1]Tissue Data'!$A:$A,'[1]Tissue Data'!$I:$I)</f>
        <v>gibbosus</v>
      </c>
      <c r="G59" t="str">
        <f>_xlfn.XLOOKUP(A59,'[1]Tissue Data'!$A:$A,'[1]Tissue Data'!J:J)</f>
        <v>U</v>
      </c>
      <c r="H59" t="str">
        <f>_xlfn.XLOOKUP(A59,'[1]Tissue Data'!$A:$A,'[1]Tissue Data'!K:K)</f>
        <v>Whole Body</v>
      </c>
      <c r="I59">
        <f>_xlfn.XLOOKUP(A59,'[1]Tissue Data'!$A:$A,'[1]Tissue Data'!L:L)</f>
        <v>8.5</v>
      </c>
      <c r="J59">
        <f>_xlfn.XLOOKUP(A59,'[1]Tissue Data'!$A:$A,'[1]Tissue Data'!M:M)</f>
        <v>12.37</v>
      </c>
      <c r="K59" t="s">
        <v>19</v>
      </c>
      <c r="L59" t="str">
        <f>_xlfn.XLOOKUP(K59,[2]analyte_order!$B:$B,[2]analyte_order!$C:$C)</f>
        <v>2058-94-8</v>
      </c>
      <c r="M59">
        <f>_xlfn.XLOOKUP(L59,[2]analyte_order!$C:$C,[2]analyte_order!$E:$E)</f>
        <v>8</v>
      </c>
      <c r="N59">
        <v>11.1</v>
      </c>
    </row>
    <row r="60" spans="1:14">
      <c r="A60" t="s">
        <v>229</v>
      </c>
      <c r="B60" t="str">
        <f>_xlfn.XLOOKUP(A60,'[1]Tissue Data'!$A:$A,'[1]Tissue Data'!$C:$C)</f>
        <v>Down</v>
      </c>
      <c r="C60" s="2">
        <f>_xlfn.XLOOKUP(A60,'[1]Tissue Data'!$A:$A,'[1]Tissue Data'!$D:$D)</f>
        <v>44314</v>
      </c>
      <c r="D60" s="2" t="str">
        <f>_xlfn.XLOOKUP(A60,'[1]Tissue Data'!$A:$A,'[1]Tissue Data'!$F:$F)</f>
        <v>Pumpkinseed</v>
      </c>
      <c r="E60" t="str">
        <f>_xlfn.XLOOKUP(A60,'[1]Tissue Data'!$A:$A,'[1]Tissue Data'!$H:$H)</f>
        <v>Lepomis</v>
      </c>
      <c r="F60" t="str">
        <f>_xlfn.XLOOKUP(A60,'[1]Tissue Data'!$A:$A,'[1]Tissue Data'!$I:$I)</f>
        <v>gibbosus</v>
      </c>
      <c r="G60" t="str">
        <f>_xlfn.XLOOKUP(A60,'[1]Tissue Data'!$A:$A,'[1]Tissue Data'!J:J)</f>
        <v>U</v>
      </c>
      <c r="H60" t="str">
        <f>_xlfn.XLOOKUP(A60,'[1]Tissue Data'!$A:$A,'[1]Tissue Data'!K:K)</f>
        <v>Whole Body</v>
      </c>
      <c r="I60">
        <f>_xlfn.XLOOKUP(A60,'[1]Tissue Data'!$A:$A,'[1]Tissue Data'!L:L)</f>
        <v>8.5</v>
      </c>
      <c r="J60">
        <f>_xlfn.XLOOKUP(A60,'[1]Tissue Data'!$A:$A,'[1]Tissue Data'!M:M)</f>
        <v>12.37</v>
      </c>
      <c r="K60" t="s">
        <v>20</v>
      </c>
      <c r="L60" t="str">
        <f>_xlfn.XLOOKUP(K60,[2]analyte_order!$B:$B,[2]analyte_order!$C:$C)</f>
        <v>307-55-1</v>
      </c>
      <c r="M60">
        <f>_xlfn.XLOOKUP(L60,[2]analyte_order!$C:$C,[2]analyte_order!$E:$E)</f>
        <v>9</v>
      </c>
      <c r="N60">
        <v>29.2</v>
      </c>
    </row>
    <row r="61" spans="1:14">
      <c r="A61" t="s">
        <v>229</v>
      </c>
      <c r="B61" t="str">
        <f>_xlfn.XLOOKUP(A61,'[1]Tissue Data'!$A:$A,'[1]Tissue Data'!$C:$C)</f>
        <v>Down</v>
      </c>
      <c r="C61" s="2">
        <f>_xlfn.XLOOKUP(A61,'[1]Tissue Data'!$A:$A,'[1]Tissue Data'!$D:$D)</f>
        <v>44314</v>
      </c>
      <c r="D61" s="2" t="str">
        <f>_xlfn.XLOOKUP(A61,'[1]Tissue Data'!$A:$A,'[1]Tissue Data'!$F:$F)</f>
        <v>Pumpkinseed</v>
      </c>
      <c r="E61" t="str">
        <f>_xlfn.XLOOKUP(A61,'[1]Tissue Data'!$A:$A,'[1]Tissue Data'!$H:$H)</f>
        <v>Lepomis</v>
      </c>
      <c r="F61" t="str">
        <f>_xlfn.XLOOKUP(A61,'[1]Tissue Data'!$A:$A,'[1]Tissue Data'!$I:$I)</f>
        <v>gibbosus</v>
      </c>
      <c r="G61" t="str">
        <f>_xlfn.XLOOKUP(A61,'[1]Tissue Data'!$A:$A,'[1]Tissue Data'!J:J)</f>
        <v>U</v>
      </c>
      <c r="H61" t="str">
        <f>_xlfn.XLOOKUP(A61,'[1]Tissue Data'!$A:$A,'[1]Tissue Data'!K:K)</f>
        <v>Whole Body</v>
      </c>
      <c r="I61">
        <f>_xlfn.XLOOKUP(A61,'[1]Tissue Data'!$A:$A,'[1]Tissue Data'!L:L)</f>
        <v>8.5</v>
      </c>
      <c r="J61">
        <f>_xlfn.XLOOKUP(A61,'[1]Tissue Data'!$A:$A,'[1]Tissue Data'!M:M)</f>
        <v>12.37</v>
      </c>
      <c r="K61" t="s">
        <v>21</v>
      </c>
      <c r="L61" t="str">
        <f>_xlfn.XLOOKUP(K61,[2]analyte_order!$B:$B,[2]analyte_order!$C:$C)</f>
        <v>72629-94-8</v>
      </c>
      <c r="M61">
        <f>_xlfn.XLOOKUP(L61,[2]analyte_order!$C:$C,[2]analyte_order!$E:$E)</f>
        <v>10</v>
      </c>
      <c r="N61">
        <v>11</v>
      </c>
    </row>
    <row r="62" spans="1:14">
      <c r="A62" t="s">
        <v>229</v>
      </c>
      <c r="B62" t="str">
        <f>_xlfn.XLOOKUP(A62,'[1]Tissue Data'!$A:$A,'[1]Tissue Data'!$C:$C)</f>
        <v>Down</v>
      </c>
      <c r="C62" s="2">
        <f>_xlfn.XLOOKUP(A62,'[1]Tissue Data'!$A:$A,'[1]Tissue Data'!$D:$D)</f>
        <v>44314</v>
      </c>
      <c r="D62" s="2" t="str">
        <f>_xlfn.XLOOKUP(A62,'[1]Tissue Data'!$A:$A,'[1]Tissue Data'!$F:$F)</f>
        <v>Pumpkinseed</v>
      </c>
      <c r="E62" t="str">
        <f>_xlfn.XLOOKUP(A62,'[1]Tissue Data'!$A:$A,'[1]Tissue Data'!$H:$H)</f>
        <v>Lepomis</v>
      </c>
      <c r="F62" t="str">
        <f>_xlfn.XLOOKUP(A62,'[1]Tissue Data'!$A:$A,'[1]Tissue Data'!$I:$I)</f>
        <v>gibbosus</v>
      </c>
      <c r="G62" t="str">
        <f>_xlfn.XLOOKUP(A62,'[1]Tissue Data'!$A:$A,'[1]Tissue Data'!J:J)</f>
        <v>U</v>
      </c>
      <c r="H62" t="str">
        <f>_xlfn.XLOOKUP(A62,'[1]Tissue Data'!$A:$A,'[1]Tissue Data'!K:K)</f>
        <v>Whole Body</v>
      </c>
      <c r="I62">
        <f>_xlfn.XLOOKUP(A62,'[1]Tissue Data'!$A:$A,'[1]Tissue Data'!L:L)</f>
        <v>8.5</v>
      </c>
      <c r="J62">
        <f>_xlfn.XLOOKUP(A62,'[1]Tissue Data'!$A:$A,'[1]Tissue Data'!M:M)</f>
        <v>12.37</v>
      </c>
      <c r="K62" t="s">
        <v>22</v>
      </c>
      <c r="L62" t="str">
        <f>_xlfn.XLOOKUP(K62,[2]analyte_order!$B:$B,[2]analyte_order!$C:$C)</f>
        <v>376-06-7</v>
      </c>
      <c r="M62">
        <f>_xlfn.XLOOKUP(L62,[2]analyte_order!$C:$C,[2]analyte_order!$E:$E)</f>
        <v>11</v>
      </c>
      <c r="N62">
        <v>7.28</v>
      </c>
    </row>
    <row r="63" spans="1:14">
      <c r="A63" t="s">
        <v>229</v>
      </c>
      <c r="B63" t="str">
        <f>_xlfn.XLOOKUP(A63,'[1]Tissue Data'!$A:$A,'[1]Tissue Data'!$C:$C)</f>
        <v>Down</v>
      </c>
      <c r="C63" s="2">
        <f>_xlfn.XLOOKUP(A63,'[1]Tissue Data'!$A:$A,'[1]Tissue Data'!$D:$D)</f>
        <v>44314</v>
      </c>
      <c r="D63" s="2" t="str">
        <f>_xlfn.XLOOKUP(A63,'[1]Tissue Data'!$A:$A,'[1]Tissue Data'!$F:$F)</f>
        <v>Pumpkinseed</v>
      </c>
      <c r="E63" t="str">
        <f>_xlfn.XLOOKUP(A63,'[1]Tissue Data'!$A:$A,'[1]Tissue Data'!$H:$H)</f>
        <v>Lepomis</v>
      </c>
      <c r="F63" t="str">
        <f>_xlfn.XLOOKUP(A63,'[1]Tissue Data'!$A:$A,'[1]Tissue Data'!$I:$I)</f>
        <v>gibbosus</v>
      </c>
      <c r="G63" t="str">
        <f>_xlfn.XLOOKUP(A63,'[1]Tissue Data'!$A:$A,'[1]Tissue Data'!J:J)</f>
        <v>U</v>
      </c>
      <c r="H63" t="str">
        <f>_xlfn.XLOOKUP(A63,'[1]Tissue Data'!$A:$A,'[1]Tissue Data'!K:K)</f>
        <v>Whole Body</v>
      </c>
      <c r="I63">
        <f>_xlfn.XLOOKUP(A63,'[1]Tissue Data'!$A:$A,'[1]Tissue Data'!L:L)</f>
        <v>8.5</v>
      </c>
      <c r="J63">
        <f>_xlfn.XLOOKUP(A63,'[1]Tissue Data'!$A:$A,'[1]Tissue Data'!M:M)</f>
        <v>12.37</v>
      </c>
      <c r="K63" t="s">
        <v>23</v>
      </c>
      <c r="L63" t="str">
        <f>_xlfn.XLOOKUP(K63,[2]analyte_order!$B:$B,[2]analyte_order!$C:$C)</f>
        <v>67905-19-5</v>
      </c>
      <c r="M63">
        <f>_xlfn.XLOOKUP(L63,[2]analyte_order!$C:$C,[2]analyte_order!$E:$E)</f>
        <v>12</v>
      </c>
      <c r="N63">
        <v>8.231270315944085E-2</v>
      </c>
    </row>
    <row r="64" spans="1:14">
      <c r="A64" t="s">
        <v>229</v>
      </c>
      <c r="B64" t="str">
        <f>_xlfn.XLOOKUP(A64,'[1]Tissue Data'!$A:$A,'[1]Tissue Data'!$C:$C)</f>
        <v>Down</v>
      </c>
      <c r="C64" s="2">
        <f>_xlfn.XLOOKUP(A64,'[1]Tissue Data'!$A:$A,'[1]Tissue Data'!$D:$D)</f>
        <v>44314</v>
      </c>
      <c r="D64" s="2" t="str">
        <f>_xlfn.XLOOKUP(A64,'[1]Tissue Data'!$A:$A,'[1]Tissue Data'!$F:$F)</f>
        <v>Pumpkinseed</v>
      </c>
      <c r="E64" t="str">
        <f>_xlfn.XLOOKUP(A64,'[1]Tissue Data'!$A:$A,'[1]Tissue Data'!$H:$H)</f>
        <v>Lepomis</v>
      </c>
      <c r="F64" t="str">
        <f>_xlfn.XLOOKUP(A64,'[1]Tissue Data'!$A:$A,'[1]Tissue Data'!$I:$I)</f>
        <v>gibbosus</v>
      </c>
      <c r="G64" t="str">
        <f>_xlfn.XLOOKUP(A64,'[1]Tissue Data'!$A:$A,'[1]Tissue Data'!J:J)</f>
        <v>U</v>
      </c>
      <c r="H64" t="str">
        <f>_xlfn.XLOOKUP(A64,'[1]Tissue Data'!$A:$A,'[1]Tissue Data'!K:K)</f>
        <v>Whole Body</v>
      </c>
      <c r="I64">
        <f>_xlfn.XLOOKUP(A64,'[1]Tissue Data'!$A:$A,'[1]Tissue Data'!L:L)</f>
        <v>8.5</v>
      </c>
      <c r="J64">
        <f>_xlfn.XLOOKUP(A64,'[1]Tissue Data'!$A:$A,'[1]Tissue Data'!M:M)</f>
        <v>12.37</v>
      </c>
      <c r="K64" t="s">
        <v>24</v>
      </c>
      <c r="L64" t="str">
        <f>_xlfn.XLOOKUP(K64,[2]analyte_order!$B:$B,[2]analyte_order!$C:$C)</f>
        <v>423-41-6</v>
      </c>
      <c r="M64">
        <f>_xlfn.XLOOKUP(L64,[2]analyte_order!$C:$C,[2]analyte_order!$E:$E)</f>
        <v>53</v>
      </c>
      <c r="N64">
        <v>5.269402237591167E-2</v>
      </c>
    </row>
    <row r="65" spans="1:14">
      <c r="A65" t="s">
        <v>229</v>
      </c>
      <c r="B65" t="str">
        <f>_xlfn.XLOOKUP(A65,'[1]Tissue Data'!$A:$A,'[1]Tissue Data'!$C:$C)</f>
        <v>Down</v>
      </c>
      <c r="C65" s="2">
        <f>_xlfn.XLOOKUP(A65,'[1]Tissue Data'!$A:$A,'[1]Tissue Data'!$D:$D)</f>
        <v>44314</v>
      </c>
      <c r="D65" s="2" t="str">
        <f>_xlfn.XLOOKUP(A65,'[1]Tissue Data'!$A:$A,'[1]Tissue Data'!$F:$F)</f>
        <v>Pumpkinseed</v>
      </c>
      <c r="E65" t="str">
        <f>_xlfn.XLOOKUP(A65,'[1]Tissue Data'!$A:$A,'[1]Tissue Data'!$H:$H)</f>
        <v>Lepomis</v>
      </c>
      <c r="F65" t="str">
        <f>_xlfn.XLOOKUP(A65,'[1]Tissue Data'!$A:$A,'[1]Tissue Data'!$I:$I)</f>
        <v>gibbosus</v>
      </c>
      <c r="G65" t="str">
        <f>_xlfn.XLOOKUP(A65,'[1]Tissue Data'!$A:$A,'[1]Tissue Data'!J:J)</f>
        <v>U</v>
      </c>
      <c r="H65" t="str">
        <f>_xlfn.XLOOKUP(A65,'[1]Tissue Data'!$A:$A,'[1]Tissue Data'!K:K)</f>
        <v>Whole Body</v>
      </c>
      <c r="I65">
        <f>_xlfn.XLOOKUP(A65,'[1]Tissue Data'!$A:$A,'[1]Tissue Data'!L:L)</f>
        <v>8.5</v>
      </c>
      <c r="J65">
        <f>_xlfn.XLOOKUP(A65,'[1]Tissue Data'!$A:$A,'[1]Tissue Data'!M:M)</f>
        <v>12.37</v>
      </c>
      <c r="K65" t="s">
        <v>25</v>
      </c>
      <c r="L65" t="str">
        <f>_xlfn.XLOOKUP(K65,[2]analyte_order!$B:$B,[2]analyte_order!$C:$C)</f>
        <v>375-73-5</v>
      </c>
      <c r="M65">
        <f>_xlfn.XLOOKUP(L65,[2]analyte_order!$C:$C,[2]analyte_order!$E:$E)</f>
        <v>14</v>
      </c>
      <c r="N65">
        <v>3.33</v>
      </c>
    </row>
    <row r="66" spans="1:14">
      <c r="A66" t="s">
        <v>229</v>
      </c>
      <c r="B66" t="str">
        <f>_xlfn.XLOOKUP(A66,'[1]Tissue Data'!$A:$A,'[1]Tissue Data'!$C:$C)</f>
        <v>Down</v>
      </c>
      <c r="C66" s="2">
        <f>_xlfn.XLOOKUP(A66,'[1]Tissue Data'!$A:$A,'[1]Tissue Data'!$D:$D)</f>
        <v>44314</v>
      </c>
      <c r="D66" s="2" t="str">
        <f>_xlfn.XLOOKUP(A66,'[1]Tissue Data'!$A:$A,'[1]Tissue Data'!$F:$F)</f>
        <v>Pumpkinseed</v>
      </c>
      <c r="E66" t="str">
        <f>_xlfn.XLOOKUP(A66,'[1]Tissue Data'!$A:$A,'[1]Tissue Data'!$H:$H)</f>
        <v>Lepomis</v>
      </c>
      <c r="F66" t="str">
        <f>_xlfn.XLOOKUP(A66,'[1]Tissue Data'!$A:$A,'[1]Tissue Data'!$I:$I)</f>
        <v>gibbosus</v>
      </c>
      <c r="G66" t="str">
        <f>_xlfn.XLOOKUP(A66,'[1]Tissue Data'!$A:$A,'[1]Tissue Data'!J:J)</f>
        <v>U</v>
      </c>
      <c r="H66" t="str">
        <f>_xlfn.XLOOKUP(A66,'[1]Tissue Data'!$A:$A,'[1]Tissue Data'!K:K)</f>
        <v>Whole Body</v>
      </c>
      <c r="I66">
        <f>_xlfn.XLOOKUP(A66,'[1]Tissue Data'!$A:$A,'[1]Tissue Data'!L:L)</f>
        <v>8.5</v>
      </c>
      <c r="J66">
        <f>_xlfn.XLOOKUP(A66,'[1]Tissue Data'!$A:$A,'[1]Tissue Data'!M:M)</f>
        <v>12.37</v>
      </c>
      <c r="K66" t="s">
        <v>26</v>
      </c>
      <c r="L66" t="str">
        <f>_xlfn.XLOOKUP(K66,[2]analyte_order!$B:$B,[2]analyte_order!$C:$C)</f>
        <v>2706-91-4</v>
      </c>
      <c r="M66">
        <f>_xlfn.XLOOKUP(L66,[2]analyte_order!$C:$C,[2]analyte_order!$E:$E)</f>
        <v>15</v>
      </c>
      <c r="N66">
        <v>0.12491886229007131</v>
      </c>
    </row>
    <row r="67" spans="1:14">
      <c r="A67" t="s">
        <v>229</v>
      </c>
      <c r="B67" t="str">
        <f>_xlfn.XLOOKUP(A67,'[1]Tissue Data'!$A:$A,'[1]Tissue Data'!$C:$C)</f>
        <v>Down</v>
      </c>
      <c r="C67" s="2">
        <f>_xlfn.XLOOKUP(A67,'[1]Tissue Data'!$A:$A,'[1]Tissue Data'!$D:$D)</f>
        <v>44314</v>
      </c>
      <c r="D67" s="2" t="str">
        <f>_xlfn.XLOOKUP(A67,'[1]Tissue Data'!$A:$A,'[1]Tissue Data'!$F:$F)</f>
        <v>Pumpkinseed</v>
      </c>
      <c r="E67" t="str">
        <f>_xlfn.XLOOKUP(A67,'[1]Tissue Data'!$A:$A,'[1]Tissue Data'!$H:$H)</f>
        <v>Lepomis</v>
      </c>
      <c r="F67" t="str">
        <f>_xlfn.XLOOKUP(A67,'[1]Tissue Data'!$A:$A,'[1]Tissue Data'!$I:$I)</f>
        <v>gibbosus</v>
      </c>
      <c r="G67" t="str">
        <f>_xlfn.XLOOKUP(A67,'[1]Tissue Data'!$A:$A,'[1]Tissue Data'!J:J)</f>
        <v>U</v>
      </c>
      <c r="H67" t="str">
        <f>_xlfn.XLOOKUP(A67,'[1]Tissue Data'!$A:$A,'[1]Tissue Data'!K:K)</f>
        <v>Whole Body</v>
      </c>
      <c r="I67">
        <f>_xlfn.XLOOKUP(A67,'[1]Tissue Data'!$A:$A,'[1]Tissue Data'!L:L)</f>
        <v>8.5</v>
      </c>
      <c r="J67">
        <f>_xlfn.XLOOKUP(A67,'[1]Tissue Data'!$A:$A,'[1]Tissue Data'!M:M)</f>
        <v>12.37</v>
      </c>
      <c r="K67" t="s">
        <v>27</v>
      </c>
      <c r="L67" t="str">
        <f>_xlfn.XLOOKUP(K67,[2]analyte_order!$B:$B,[2]analyte_order!$C:$C)</f>
        <v>355-46-4</v>
      </c>
      <c r="M67">
        <f>_xlfn.XLOOKUP(L67,[2]analyte_order!$C:$C,[2]analyte_order!$E:$E)</f>
        <v>16</v>
      </c>
      <c r="N67">
        <v>16.399999999999999</v>
      </c>
    </row>
    <row r="68" spans="1:14">
      <c r="A68" t="s">
        <v>229</v>
      </c>
      <c r="B68" t="str">
        <f>_xlfn.XLOOKUP(A68,'[1]Tissue Data'!$A:$A,'[1]Tissue Data'!$C:$C)</f>
        <v>Down</v>
      </c>
      <c r="C68" s="2">
        <f>_xlfn.XLOOKUP(A68,'[1]Tissue Data'!$A:$A,'[1]Tissue Data'!$D:$D)</f>
        <v>44314</v>
      </c>
      <c r="D68" s="2" t="str">
        <f>_xlfn.XLOOKUP(A68,'[1]Tissue Data'!$A:$A,'[1]Tissue Data'!$F:$F)</f>
        <v>Pumpkinseed</v>
      </c>
      <c r="E68" t="str">
        <f>_xlfn.XLOOKUP(A68,'[1]Tissue Data'!$A:$A,'[1]Tissue Data'!$H:$H)</f>
        <v>Lepomis</v>
      </c>
      <c r="F68" t="str">
        <f>_xlfn.XLOOKUP(A68,'[1]Tissue Data'!$A:$A,'[1]Tissue Data'!$I:$I)</f>
        <v>gibbosus</v>
      </c>
      <c r="G68" t="str">
        <f>_xlfn.XLOOKUP(A68,'[1]Tissue Data'!$A:$A,'[1]Tissue Data'!J:J)</f>
        <v>U</v>
      </c>
      <c r="H68" t="str">
        <f>_xlfn.XLOOKUP(A68,'[1]Tissue Data'!$A:$A,'[1]Tissue Data'!K:K)</f>
        <v>Whole Body</v>
      </c>
      <c r="I68">
        <f>_xlfn.XLOOKUP(A68,'[1]Tissue Data'!$A:$A,'[1]Tissue Data'!L:L)</f>
        <v>8.5</v>
      </c>
      <c r="J68">
        <f>_xlfn.XLOOKUP(A68,'[1]Tissue Data'!$A:$A,'[1]Tissue Data'!M:M)</f>
        <v>12.37</v>
      </c>
      <c r="K68" t="s">
        <v>28</v>
      </c>
      <c r="L68" t="str">
        <f>_xlfn.XLOOKUP(K68,[2]analyte_order!$B:$B,[2]analyte_order!$C:$C)</f>
        <v>375-92-8</v>
      </c>
      <c r="M68">
        <f>_xlfn.XLOOKUP(L68,[2]analyte_order!$C:$C,[2]analyte_order!$E:$E)</f>
        <v>17</v>
      </c>
      <c r="N68">
        <v>0.82699999999999996</v>
      </c>
    </row>
    <row r="69" spans="1:14">
      <c r="A69" t="s">
        <v>229</v>
      </c>
      <c r="B69" t="str">
        <f>_xlfn.XLOOKUP(A69,'[1]Tissue Data'!$A:$A,'[1]Tissue Data'!$C:$C)</f>
        <v>Down</v>
      </c>
      <c r="C69" s="2">
        <f>_xlfn.XLOOKUP(A69,'[1]Tissue Data'!$A:$A,'[1]Tissue Data'!$D:$D)</f>
        <v>44314</v>
      </c>
      <c r="D69" s="2" t="str">
        <f>_xlfn.XLOOKUP(A69,'[1]Tissue Data'!$A:$A,'[1]Tissue Data'!$F:$F)</f>
        <v>Pumpkinseed</v>
      </c>
      <c r="E69" t="str">
        <f>_xlfn.XLOOKUP(A69,'[1]Tissue Data'!$A:$A,'[1]Tissue Data'!$H:$H)</f>
        <v>Lepomis</v>
      </c>
      <c r="F69" t="str">
        <f>_xlfn.XLOOKUP(A69,'[1]Tissue Data'!$A:$A,'[1]Tissue Data'!$I:$I)</f>
        <v>gibbosus</v>
      </c>
      <c r="G69" t="str">
        <f>_xlfn.XLOOKUP(A69,'[1]Tissue Data'!$A:$A,'[1]Tissue Data'!J:J)</f>
        <v>U</v>
      </c>
      <c r="H69" t="str">
        <f>_xlfn.XLOOKUP(A69,'[1]Tissue Data'!$A:$A,'[1]Tissue Data'!K:K)</f>
        <v>Whole Body</v>
      </c>
      <c r="I69">
        <f>_xlfn.XLOOKUP(A69,'[1]Tissue Data'!$A:$A,'[1]Tissue Data'!L:L)</f>
        <v>8.5</v>
      </c>
      <c r="J69">
        <f>_xlfn.XLOOKUP(A69,'[1]Tissue Data'!$A:$A,'[1]Tissue Data'!M:M)</f>
        <v>12.37</v>
      </c>
      <c r="K69" t="s">
        <v>29</v>
      </c>
      <c r="L69" t="str">
        <f>_xlfn.XLOOKUP(K69,[2]analyte_order!$B:$B,[2]analyte_order!$C:$C)</f>
        <v>1763-23-1</v>
      </c>
      <c r="M69">
        <f>_xlfn.XLOOKUP(L69,[2]analyte_order!$C:$C,[2]analyte_order!$E:$E)</f>
        <v>18</v>
      </c>
      <c r="N69">
        <v>1020</v>
      </c>
    </row>
    <row r="70" spans="1:14">
      <c r="A70" t="s">
        <v>229</v>
      </c>
      <c r="B70" t="str">
        <f>_xlfn.XLOOKUP(A70,'[1]Tissue Data'!$A:$A,'[1]Tissue Data'!$C:$C)</f>
        <v>Down</v>
      </c>
      <c r="C70" s="2">
        <f>_xlfn.XLOOKUP(A70,'[1]Tissue Data'!$A:$A,'[1]Tissue Data'!$D:$D)</f>
        <v>44314</v>
      </c>
      <c r="D70" s="2" t="str">
        <f>_xlfn.XLOOKUP(A70,'[1]Tissue Data'!$A:$A,'[1]Tissue Data'!$F:$F)</f>
        <v>Pumpkinseed</v>
      </c>
      <c r="E70" t="str">
        <f>_xlfn.XLOOKUP(A70,'[1]Tissue Data'!$A:$A,'[1]Tissue Data'!$H:$H)</f>
        <v>Lepomis</v>
      </c>
      <c r="F70" t="str">
        <f>_xlfn.XLOOKUP(A70,'[1]Tissue Data'!$A:$A,'[1]Tissue Data'!$I:$I)</f>
        <v>gibbosus</v>
      </c>
      <c r="G70" t="str">
        <f>_xlfn.XLOOKUP(A70,'[1]Tissue Data'!$A:$A,'[1]Tissue Data'!J:J)</f>
        <v>U</v>
      </c>
      <c r="H70" t="str">
        <f>_xlfn.XLOOKUP(A70,'[1]Tissue Data'!$A:$A,'[1]Tissue Data'!K:K)</f>
        <v>Whole Body</v>
      </c>
      <c r="I70">
        <f>_xlfn.XLOOKUP(A70,'[1]Tissue Data'!$A:$A,'[1]Tissue Data'!L:L)</f>
        <v>8.5</v>
      </c>
      <c r="J70">
        <f>_xlfn.XLOOKUP(A70,'[1]Tissue Data'!$A:$A,'[1]Tissue Data'!M:M)</f>
        <v>12.37</v>
      </c>
      <c r="K70" t="s">
        <v>30</v>
      </c>
      <c r="L70" t="str">
        <f>_xlfn.XLOOKUP(K70,[2]analyte_order!$B:$B,[2]analyte_order!$C:$C)</f>
        <v>68259-12-1</v>
      </c>
      <c r="M70">
        <f>_xlfn.XLOOKUP(L70,[2]analyte_order!$C:$C,[2]analyte_order!$E:$E)</f>
        <v>19</v>
      </c>
      <c r="N70">
        <v>0.98899999999999999</v>
      </c>
    </row>
    <row r="71" spans="1:14">
      <c r="A71" t="s">
        <v>229</v>
      </c>
      <c r="B71" t="str">
        <f>_xlfn.XLOOKUP(A71,'[1]Tissue Data'!$A:$A,'[1]Tissue Data'!$C:$C)</f>
        <v>Down</v>
      </c>
      <c r="C71" s="2">
        <f>_xlfn.XLOOKUP(A71,'[1]Tissue Data'!$A:$A,'[1]Tissue Data'!$D:$D)</f>
        <v>44314</v>
      </c>
      <c r="D71" s="2" t="str">
        <f>_xlfn.XLOOKUP(A71,'[1]Tissue Data'!$A:$A,'[1]Tissue Data'!$F:$F)</f>
        <v>Pumpkinseed</v>
      </c>
      <c r="E71" t="str">
        <f>_xlfn.XLOOKUP(A71,'[1]Tissue Data'!$A:$A,'[1]Tissue Data'!$H:$H)</f>
        <v>Lepomis</v>
      </c>
      <c r="F71" t="str">
        <f>_xlfn.XLOOKUP(A71,'[1]Tissue Data'!$A:$A,'[1]Tissue Data'!$I:$I)</f>
        <v>gibbosus</v>
      </c>
      <c r="G71" t="str">
        <f>_xlfn.XLOOKUP(A71,'[1]Tissue Data'!$A:$A,'[1]Tissue Data'!J:J)</f>
        <v>U</v>
      </c>
      <c r="H71" t="str">
        <f>_xlfn.XLOOKUP(A71,'[1]Tissue Data'!$A:$A,'[1]Tissue Data'!K:K)</f>
        <v>Whole Body</v>
      </c>
      <c r="I71">
        <f>_xlfn.XLOOKUP(A71,'[1]Tissue Data'!$A:$A,'[1]Tissue Data'!L:L)</f>
        <v>8.5</v>
      </c>
      <c r="J71">
        <f>_xlfn.XLOOKUP(A71,'[1]Tissue Data'!$A:$A,'[1]Tissue Data'!M:M)</f>
        <v>12.37</v>
      </c>
      <c r="K71" t="s">
        <v>31</v>
      </c>
      <c r="L71" t="str">
        <f>_xlfn.XLOOKUP(K71,[2]analyte_order!$B:$B,[2]analyte_order!$C:$C)</f>
        <v>335-77-3</v>
      </c>
      <c r="M71">
        <f>_xlfn.XLOOKUP(L71,[2]analyte_order!$C:$C,[2]analyte_order!$E:$E)</f>
        <v>20</v>
      </c>
      <c r="N71">
        <v>0.95799999999999996</v>
      </c>
    </row>
    <row r="72" spans="1:14">
      <c r="A72" t="s">
        <v>229</v>
      </c>
      <c r="B72" t="str">
        <f>_xlfn.XLOOKUP(A72,'[1]Tissue Data'!$A:$A,'[1]Tissue Data'!$C:$C)</f>
        <v>Down</v>
      </c>
      <c r="C72" s="2">
        <f>_xlfn.XLOOKUP(A72,'[1]Tissue Data'!$A:$A,'[1]Tissue Data'!$D:$D)</f>
        <v>44314</v>
      </c>
      <c r="D72" s="2" t="str">
        <f>_xlfn.XLOOKUP(A72,'[1]Tissue Data'!$A:$A,'[1]Tissue Data'!$F:$F)</f>
        <v>Pumpkinseed</v>
      </c>
      <c r="E72" t="str">
        <f>_xlfn.XLOOKUP(A72,'[1]Tissue Data'!$A:$A,'[1]Tissue Data'!$H:$H)</f>
        <v>Lepomis</v>
      </c>
      <c r="F72" t="str">
        <f>_xlfn.XLOOKUP(A72,'[1]Tissue Data'!$A:$A,'[1]Tissue Data'!$I:$I)</f>
        <v>gibbosus</v>
      </c>
      <c r="G72" t="str">
        <f>_xlfn.XLOOKUP(A72,'[1]Tissue Data'!$A:$A,'[1]Tissue Data'!J:J)</f>
        <v>U</v>
      </c>
      <c r="H72" t="str">
        <f>_xlfn.XLOOKUP(A72,'[1]Tissue Data'!$A:$A,'[1]Tissue Data'!K:K)</f>
        <v>Whole Body</v>
      </c>
      <c r="I72">
        <f>_xlfn.XLOOKUP(A72,'[1]Tissue Data'!$A:$A,'[1]Tissue Data'!L:L)</f>
        <v>8.5</v>
      </c>
      <c r="J72">
        <f>_xlfn.XLOOKUP(A72,'[1]Tissue Data'!$A:$A,'[1]Tissue Data'!M:M)</f>
        <v>12.37</v>
      </c>
      <c r="K72" t="s">
        <v>32</v>
      </c>
      <c r="L72" t="str">
        <f>_xlfn.XLOOKUP(K72,[2]analyte_order!$B:$B,[2]analyte_order!$C:$C)</f>
        <v>79780-39-5</v>
      </c>
      <c r="M72">
        <f>_xlfn.XLOOKUP(L72,[2]analyte_order!$C:$C,[2]analyte_order!$E:$E)</f>
        <v>21</v>
      </c>
      <c r="N72">
        <v>0.25226285320974001</v>
      </c>
    </row>
    <row r="73" spans="1:14">
      <c r="A73" t="s">
        <v>229</v>
      </c>
      <c r="B73" t="str">
        <f>_xlfn.XLOOKUP(A73,'[1]Tissue Data'!$A:$A,'[1]Tissue Data'!$C:$C)</f>
        <v>Down</v>
      </c>
      <c r="C73" s="2">
        <f>_xlfn.XLOOKUP(A73,'[1]Tissue Data'!$A:$A,'[1]Tissue Data'!$D:$D)</f>
        <v>44314</v>
      </c>
      <c r="D73" s="2" t="str">
        <f>_xlfn.XLOOKUP(A73,'[1]Tissue Data'!$A:$A,'[1]Tissue Data'!$F:$F)</f>
        <v>Pumpkinseed</v>
      </c>
      <c r="E73" t="str">
        <f>_xlfn.XLOOKUP(A73,'[1]Tissue Data'!$A:$A,'[1]Tissue Data'!$H:$H)</f>
        <v>Lepomis</v>
      </c>
      <c r="F73" t="str">
        <f>_xlfn.XLOOKUP(A73,'[1]Tissue Data'!$A:$A,'[1]Tissue Data'!$I:$I)</f>
        <v>gibbosus</v>
      </c>
      <c r="G73" t="str">
        <f>_xlfn.XLOOKUP(A73,'[1]Tissue Data'!$A:$A,'[1]Tissue Data'!J:J)</f>
        <v>U</v>
      </c>
      <c r="H73" t="str">
        <f>_xlfn.XLOOKUP(A73,'[1]Tissue Data'!$A:$A,'[1]Tissue Data'!K:K)</f>
        <v>Whole Body</v>
      </c>
      <c r="I73">
        <f>_xlfn.XLOOKUP(A73,'[1]Tissue Data'!$A:$A,'[1]Tissue Data'!L:L)</f>
        <v>8.5</v>
      </c>
      <c r="J73">
        <f>_xlfn.XLOOKUP(A73,'[1]Tissue Data'!$A:$A,'[1]Tissue Data'!M:M)</f>
        <v>12.37</v>
      </c>
      <c r="K73" t="s">
        <v>33</v>
      </c>
      <c r="L73" t="str">
        <f>_xlfn.XLOOKUP(K73,[2]analyte_order!$B:$B,[2]analyte_order!$C:$C)</f>
        <v>777011-38-8</v>
      </c>
      <c r="M73">
        <f>_xlfn.XLOOKUP(L73,[2]analyte_order!$C:$C,[2]analyte_order!$E:$E)</f>
        <v>54</v>
      </c>
      <c r="N73">
        <v>0.14335179625804151</v>
      </c>
    </row>
    <row r="74" spans="1:14">
      <c r="A74" t="s">
        <v>229</v>
      </c>
      <c r="B74" t="str">
        <f>_xlfn.XLOOKUP(A74,'[1]Tissue Data'!$A:$A,'[1]Tissue Data'!$C:$C)</f>
        <v>Down</v>
      </c>
      <c r="C74" s="2">
        <f>_xlfn.XLOOKUP(A74,'[1]Tissue Data'!$A:$A,'[1]Tissue Data'!$D:$D)</f>
        <v>44314</v>
      </c>
      <c r="D74" s="2" t="str">
        <f>_xlfn.XLOOKUP(A74,'[1]Tissue Data'!$A:$A,'[1]Tissue Data'!$F:$F)</f>
        <v>Pumpkinseed</v>
      </c>
      <c r="E74" t="str">
        <f>_xlfn.XLOOKUP(A74,'[1]Tissue Data'!$A:$A,'[1]Tissue Data'!$H:$H)</f>
        <v>Lepomis</v>
      </c>
      <c r="F74" t="str">
        <f>_xlfn.XLOOKUP(A74,'[1]Tissue Data'!$A:$A,'[1]Tissue Data'!$I:$I)</f>
        <v>gibbosus</v>
      </c>
      <c r="G74" t="str">
        <f>_xlfn.XLOOKUP(A74,'[1]Tissue Data'!$A:$A,'[1]Tissue Data'!J:J)</f>
        <v>U</v>
      </c>
      <c r="H74" t="str">
        <f>_xlfn.XLOOKUP(A74,'[1]Tissue Data'!$A:$A,'[1]Tissue Data'!K:K)</f>
        <v>Whole Body</v>
      </c>
      <c r="I74">
        <f>_xlfn.XLOOKUP(A74,'[1]Tissue Data'!$A:$A,'[1]Tissue Data'!L:L)</f>
        <v>8.5</v>
      </c>
      <c r="J74">
        <f>_xlfn.XLOOKUP(A74,'[1]Tissue Data'!$A:$A,'[1]Tissue Data'!M:M)</f>
        <v>12.37</v>
      </c>
      <c r="K74" t="s">
        <v>34</v>
      </c>
      <c r="L74" t="str">
        <f>_xlfn.XLOOKUP(K74,[2]analyte_order!$B:$B,[2]analyte_order!$C:$C)</f>
        <v>646-83-3</v>
      </c>
      <c r="M74">
        <f>_xlfn.XLOOKUP(L74,[2]analyte_order!$C:$C,[2]analyte_order!$E:$E)</f>
        <v>55</v>
      </c>
      <c r="N74">
        <v>9.4359404487313892E-2</v>
      </c>
    </row>
    <row r="75" spans="1:14">
      <c r="A75" t="s">
        <v>229</v>
      </c>
      <c r="B75" t="str">
        <f>_xlfn.XLOOKUP(A75,'[1]Tissue Data'!$A:$A,'[1]Tissue Data'!$C:$C)</f>
        <v>Down</v>
      </c>
      <c r="C75" s="2">
        <f>_xlfn.XLOOKUP(A75,'[1]Tissue Data'!$A:$A,'[1]Tissue Data'!$D:$D)</f>
        <v>44314</v>
      </c>
      <c r="D75" s="2" t="str">
        <f>_xlfn.XLOOKUP(A75,'[1]Tissue Data'!$A:$A,'[1]Tissue Data'!$F:$F)</f>
        <v>Pumpkinseed</v>
      </c>
      <c r="E75" t="str">
        <f>_xlfn.XLOOKUP(A75,'[1]Tissue Data'!$A:$A,'[1]Tissue Data'!$H:$H)</f>
        <v>Lepomis</v>
      </c>
      <c r="F75" t="str">
        <f>_xlfn.XLOOKUP(A75,'[1]Tissue Data'!$A:$A,'[1]Tissue Data'!$I:$I)</f>
        <v>gibbosus</v>
      </c>
      <c r="G75" t="str">
        <f>_xlfn.XLOOKUP(A75,'[1]Tissue Data'!$A:$A,'[1]Tissue Data'!J:J)</f>
        <v>U</v>
      </c>
      <c r="H75" t="str">
        <f>_xlfn.XLOOKUP(A75,'[1]Tissue Data'!$A:$A,'[1]Tissue Data'!K:K)</f>
        <v>Whole Body</v>
      </c>
      <c r="I75">
        <f>_xlfn.XLOOKUP(A75,'[1]Tissue Data'!$A:$A,'[1]Tissue Data'!L:L)</f>
        <v>8.5</v>
      </c>
      <c r="J75">
        <f>_xlfn.XLOOKUP(A75,'[1]Tissue Data'!$A:$A,'[1]Tissue Data'!M:M)</f>
        <v>12.37</v>
      </c>
      <c r="K75" t="s">
        <v>35</v>
      </c>
      <c r="L75" t="str">
        <f>_xlfn.XLOOKUP(K75,[2]analyte_order!$B:$B,[2]analyte_order!$C:$C)</f>
        <v>30334-69-1</v>
      </c>
      <c r="M75">
        <f>_xlfn.XLOOKUP(L75,[2]analyte_order!$C:$C,[2]analyte_order!$E:$E)</f>
        <v>51</v>
      </c>
      <c r="N75">
        <v>146</v>
      </c>
    </row>
    <row r="76" spans="1:14">
      <c r="A76" t="s">
        <v>229</v>
      </c>
      <c r="B76" t="str">
        <f>_xlfn.XLOOKUP(A76,'[1]Tissue Data'!$A:$A,'[1]Tissue Data'!$C:$C)</f>
        <v>Down</v>
      </c>
      <c r="C76" s="2">
        <f>_xlfn.XLOOKUP(A76,'[1]Tissue Data'!$A:$A,'[1]Tissue Data'!$D:$D)</f>
        <v>44314</v>
      </c>
      <c r="D76" s="2" t="str">
        <f>_xlfn.XLOOKUP(A76,'[1]Tissue Data'!$A:$A,'[1]Tissue Data'!$F:$F)</f>
        <v>Pumpkinseed</v>
      </c>
      <c r="E76" t="str">
        <f>_xlfn.XLOOKUP(A76,'[1]Tissue Data'!$A:$A,'[1]Tissue Data'!$H:$H)</f>
        <v>Lepomis</v>
      </c>
      <c r="F76" t="str">
        <f>_xlfn.XLOOKUP(A76,'[1]Tissue Data'!$A:$A,'[1]Tissue Data'!$I:$I)</f>
        <v>gibbosus</v>
      </c>
      <c r="G76" t="str">
        <f>_xlfn.XLOOKUP(A76,'[1]Tissue Data'!$A:$A,'[1]Tissue Data'!J:J)</f>
        <v>U</v>
      </c>
      <c r="H76" t="str">
        <f>_xlfn.XLOOKUP(A76,'[1]Tissue Data'!$A:$A,'[1]Tissue Data'!K:K)</f>
        <v>Whole Body</v>
      </c>
      <c r="I76">
        <f>_xlfn.XLOOKUP(A76,'[1]Tissue Data'!$A:$A,'[1]Tissue Data'!L:L)</f>
        <v>8.5</v>
      </c>
      <c r="J76">
        <f>_xlfn.XLOOKUP(A76,'[1]Tissue Data'!$A:$A,'[1]Tissue Data'!M:M)</f>
        <v>12.37</v>
      </c>
      <c r="K76" t="s">
        <v>36</v>
      </c>
      <c r="L76" t="str">
        <f>_xlfn.XLOOKUP(K76,[2]analyte_order!$B:$B,[2]analyte_order!$C:$C)</f>
        <v>41997-13-1</v>
      </c>
      <c r="M76">
        <f>_xlfn.XLOOKUP(L76,[2]analyte_order!$C:$C,[2]analyte_order!$E:$E)</f>
        <v>52</v>
      </c>
      <c r="N76">
        <v>81.099999999999994</v>
      </c>
    </row>
    <row r="77" spans="1:14">
      <c r="A77" t="s">
        <v>229</v>
      </c>
      <c r="B77" t="str">
        <f>_xlfn.XLOOKUP(A77,'[1]Tissue Data'!$A:$A,'[1]Tissue Data'!$C:$C)</f>
        <v>Down</v>
      </c>
      <c r="C77" s="2">
        <f>_xlfn.XLOOKUP(A77,'[1]Tissue Data'!$A:$A,'[1]Tissue Data'!$D:$D)</f>
        <v>44314</v>
      </c>
      <c r="D77" s="2" t="str">
        <f>_xlfn.XLOOKUP(A77,'[1]Tissue Data'!$A:$A,'[1]Tissue Data'!$F:$F)</f>
        <v>Pumpkinseed</v>
      </c>
      <c r="E77" t="str">
        <f>_xlfn.XLOOKUP(A77,'[1]Tissue Data'!$A:$A,'[1]Tissue Data'!$H:$H)</f>
        <v>Lepomis</v>
      </c>
      <c r="F77" t="str">
        <f>_xlfn.XLOOKUP(A77,'[1]Tissue Data'!$A:$A,'[1]Tissue Data'!$I:$I)</f>
        <v>gibbosus</v>
      </c>
      <c r="G77" t="str">
        <f>_xlfn.XLOOKUP(A77,'[1]Tissue Data'!$A:$A,'[1]Tissue Data'!J:J)</f>
        <v>U</v>
      </c>
      <c r="H77" t="str">
        <f>_xlfn.XLOOKUP(A77,'[1]Tissue Data'!$A:$A,'[1]Tissue Data'!K:K)</f>
        <v>Whole Body</v>
      </c>
      <c r="I77">
        <f>_xlfn.XLOOKUP(A77,'[1]Tissue Data'!$A:$A,'[1]Tissue Data'!L:L)</f>
        <v>8.5</v>
      </c>
      <c r="J77">
        <f>_xlfn.XLOOKUP(A77,'[1]Tissue Data'!$A:$A,'[1]Tissue Data'!M:M)</f>
        <v>12.37</v>
      </c>
      <c r="K77" t="s">
        <v>37</v>
      </c>
      <c r="L77" t="str">
        <f>_xlfn.XLOOKUP(K77,[2]analyte_order!$B:$B,[2]analyte_order!$C:$C)</f>
        <v>754-91-6</v>
      </c>
      <c r="M77">
        <f>_xlfn.XLOOKUP(L77,[2]analyte_order!$C:$C,[2]analyte_order!$E:$E)</f>
        <v>28</v>
      </c>
      <c r="N77">
        <v>26.2</v>
      </c>
    </row>
    <row r="78" spans="1:14">
      <c r="A78" t="s">
        <v>229</v>
      </c>
      <c r="B78" t="str">
        <f>_xlfn.XLOOKUP(A78,'[1]Tissue Data'!$A:$A,'[1]Tissue Data'!$C:$C)</f>
        <v>Down</v>
      </c>
      <c r="C78" s="2">
        <f>_xlfn.XLOOKUP(A78,'[1]Tissue Data'!$A:$A,'[1]Tissue Data'!$D:$D)</f>
        <v>44314</v>
      </c>
      <c r="D78" s="2" t="str">
        <f>_xlfn.XLOOKUP(A78,'[1]Tissue Data'!$A:$A,'[1]Tissue Data'!$F:$F)</f>
        <v>Pumpkinseed</v>
      </c>
      <c r="E78" t="str">
        <f>_xlfn.XLOOKUP(A78,'[1]Tissue Data'!$A:$A,'[1]Tissue Data'!$H:$H)</f>
        <v>Lepomis</v>
      </c>
      <c r="F78" t="str">
        <f>_xlfn.XLOOKUP(A78,'[1]Tissue Data'!$A:$A,'[1]Tissue Data'!$I:$I)</f>
        <v>gibbosus</v>
      </c>
      <c r="G78" t="str">
        <f>_xlfn.XLOOKUP(A78,'[1]Tissue Data'!$A:$A,'[1]Tissue Data'!J:J)</f>
        <v>U</v>
      </c>
      <c r="H78" t="str">
        <f>_xlfn.XLOOKUP(A78,'[1]Tissue Data'!$A:$A,'[1]Tissue Data'!K:K)</f>
        <v>Whole Body</v>
      </c>
      <c r="I78">
        <f>_xlfn.XLOOKUP(A78,'[1]Tissue Data'!$A:$A,'[1]Tissue Data'!L:L)</f>
        <v>8.5</v>
      </c>
      <c r="J78">
        <f>_xlfn.XLOOKUP(A78,'[1]Tissue Data'!$A:$A,'[1]Tissue Data'!M:M)</f>
        <v>12.37</v>
      </c>
      <c r="K78" t="s">
        <v>38</v>
      </c>
      <c r="L78" t="str">
        <f>_xlfn.XLOOKUP(K78,[2]analyte_order!$B:$B,[2]analyte_order!$C:$C)</f>
        <v>31506-32-8</v>
      </c>
      <c r="M78">
        <f>_xlfn.XLOOKUP(L78,[2]analyte_order!$C:$C,[2]analyte_order!$E:$E)</f>
        <v>30</v>
      </c>
      <c r="N78">
        <v>5.3207181211507297E-2</v>
      </c>
    </row>
    <row r="79" spans="1:14">
      <c r="A79" t="s">
        <v>229</v>
      </c>
      <c r="B79" t="str">
        <f>_xlfn.XLOOKUP(A79,'[1]Tissue Data'!$A:$A,'[1]Tissue Data'!$C:$C)</f>
        <v>Down</v>
      </c>
      <c r="C79" s="2">
        <f>_xlfn.XLOOKUP(A79,'[1]Tissue Data'!$A:$A,'[1]Tissue Data'!$D:$D)</f>
        <v>44314</v>
      </c>
      <c r="D79" s="2" t="str">
        <f>_xlfn.XLOOKUP(A79,'[1]Tissue Data'!$A:$A,'[1]Tissue Data'!$F:$F)</f>
        <v>Pumpkinseed</v>
      </c>
      <c r="E79" t="str">
        <f>_xlfn.XLOOKUP(A79,'[1]Tissue Data'!$A:$A,'[1]Tissue Data'!$H:$H)</f>
        <v>Lepomis</v>
      </c>
      <c r="F79" t="str">
        <f>_xlfn.XLOOKUP(A79,'[1]Tissue Data'!$A:$A,'[1]Tissue Data'!$I:$I)</f>
        <v>gibbosus</v>
      </c>
      <c r="G79" t="str">
        <f>_xlfn.XLOOKUP(A79,'[1]Tissue Data'!$A:$A,'[1]Tissue Data'!J:J)</f>
        <v>U</v>
      </c>
      <c r="H79" t="str">
        <f>_xlfn.XLOOKUP(A79,'[1]Tissue Data'!$A:$A,'[1]Tissue Data'!K:K)</f>
        <v>Whole Body</v>
      </c>
      <c r="I79">
        <f>_xlfn.XLOOKUP(A79,'[1]Tissue Data'!$A:$A,'[1]Tissue Data'!L:L)</f>
        <v>8.5</v>
      </c>
      <c r="J79">
        <f>_xlfn.XLOOKUP(A79,'[1]Tissue Data'!$A:$A,'[1]Tissue Data'!M:M)</f>
        <v>12.37</v>
      </c>
      <c r="K79" t="s">
        <v>39</v>
      </c>
      <c r="L79" t="str">
        <f>_xlfn.XLOOKUP(K79,[2]analyte_order!$B:$B,[2]analyte_order!$C:$C)</f>
        <v>4151-50-2</v>
      </c>
      <c r="M79">
        <f>_xlfn.XLOOKUP(L79,[2]analyte_order!$C:$C,[2]analyte_order!$E:$E)</f>
        <v>31</v>
      </c>
      <c r="N79">
        <v>8.0596970751114258E-2</v>
      </c>
    </row>
    <row r="80" spans="1:14">
      <c r="A80" t="s">
        <v>229</v>
      </c>
      <c r="B80" t="str">
        <f>_xlfn.XLOOKUP(A80,'[1]Tissue Data'!$A:$A,'[1]Tissue Data'!$C:$C)</f>
        <v>Down</v>
      </c>
      <c r="C80" s="2">
        <f>_xlfn.XLOOKUP(A80,'[1]Tissue Data'!$A:$A,'[1]Tissue Data'!$D:$D)</f>
        <v>44314</v>
      </c>
      <c r="D80" s="2" t="str">
        <f>_xlfn.XLOOKUP(A80,'[1]Tissue Data'!$A:$A,'[1]Tissue Data'!$F:$F)</f>
        <v>Pumpkinseed</v>
      </c>
      <c r="E80" t="str">
        <f>_xlfn.XLOOKUP(A80,'[1]Tissue Data'!$A:$A,'[1]Tissue Data'!$H:$H)</f>
        <v>Lepomis</v>
      </c>
      <c r="F80" t="str">
        <f>_xlfn.XLOOKUP(A80,'[1]Tissue Data'!$A:$A,'[1]Tissue Data'!$I:$I)</f>
        <v>gibbosus</v>
      </c>
      <c r="G80" t="str">
        <f>_xlfn.XLOOKUP(A80,'[1]Tissue Data'!$A:$A,'[1]Tissue Data'!J:J)</f>
        <v>U</v>
      </c>
      <c r="H80" t="str">
        <f>_xlfn.XLOOKUP(A80,'[1]Tissue Data'!$A:$A,'[1]Tissue Data'!K:K)</f>
        <v>Whole Body</v>
      </c>
      <c r="I80">
        <f>_xlfn.XLOOKUP(A80,'[1]Tissue Data'!$A:$A,'[1]Tissue Data'!L:L)</f>
        <v>8.5</v>
      </c>
      <c r="J80">
        <f>_xlfn.XLOOKUP(A80,'[1]Tissue Data'!$A:$A,'[1]Tissue Data'!M:M)</f>
        <v>12.37</v>
      </c>
      <c r="K80" t="s">
        <v>40</v>
      </c>
      <c r="L80" t="str">
        <f>_xlfn.XLOOKUP(K80,[2]analyte_order!$B:$B,[2]analyte_order!$C:$C)</f>
        <v>2806-24-8</v>
      </c>
      <c r="M80">
        <f>_xlfn.XLOOKUP(L80,[2]analyte_order!$C:$C,[2]analyte_order!$E:$E)</f>
        <v>29</v>
      </c>
      <c r="N80">
        <v>5.4440143732779583E-2</v>
      </c>
    </row>
    <row r="81" spans="1:14">
      <c r="A81" t="s">
        <v>229</v>
      </c>
      <c r="B81" t="str">
        <f>_xlfn.XLOOKUP(A81,'[1]Tissue Data'!$A:$A,'[1]Tissue Data'!$C:$C)</f>
        <v>Down</v>
      </c>
      <c r="C81" s="2">
        <f>_xlfn.XLOOKUP(A81,'[1]Tissue Data'!$A:$A,'[1]Tissue Data'!$D:$D)</f>
        <v>44314</v>
      </c>
      <c r="D81" s="2" t="str">
        <f>_xlfn.XLOOKUP(A81,'[1]Tissue Data'!$A:$A,'[1]Tissue Data'!$F:$F)</f>
        <v>Pumpkinseed</v>
      </c>
      <c r="E81" t="str">
        <f>_xlfn.XLOOKUP(A81,'[1]Tissue Data'!$A:$A,'[1]Tissue Data'!$H:$H)</f>
        <v>Lepomis</v>
      </c>
      <c r="F81" t="str">
        <f>_xlfn.XLOOKUP(A81,'[1]Tissue Data'!$A:$A,'[1]Tissue Data'!$I:$I)</f>
        <v>gibbosus</v>
      </c>
      <c r="G81" t="str">
        <f>_xlfn.XLOOKUP(A81,'[1]Tissue Data'!$A:$A,'[1]Tissue Data'!J:J)</f>
        <v>U</v>
      </c>
      <c r="H81" t="str">
        <f>_xlfn.XLOOKUP(A81,'[1]Tissue Data'!$A:$A,'[1]Tissue Data'!K:K)</f>
        <v>Whole Body</v>
      </c>
      <c r="I81">
        <f>_xlfn.XLOOKUP(A81,'[1]Tissue Data'!$A:$A,'[1]Tissue Data'!L:L)</f>
        <v>8.5</v>
      </c>
      <c r="J81">
        <f>_xlfn.XLOOKUP(A81,'[1]Tissue Data'!$A:$A,'[1]Tissue Data'!M:M)</f>
        <v>12.37</v>
      </c>
      <c r="K81" t="s">
        <v>41</v>
      </c>
      <c r="L81" t="str">
        <f>_xlfn.XLOOKUP(K81,[2]analyte_order!$B:$B,[2]analyte_order!$C:$C)</f>
        <v>2355-31-9</v>
      </c>
      <c r="M81">
        <f>_xlfn.XLOOKUP(L81,[2]analyte_order!$C:$C,[2]analyte_order!$E:$E)</f>
        <v>26</v>
      </c>
      <c r="N81">
        <v>2.8</v>
      </c>
    </row>
    <row r="82" spans="1:14">
      <c r="A82" t="s">
        <v>229</v>
      </c>
      <c r="B82" t="str">
        <f>_xlfn.XLOOKUP(A82,'[1]Tissue Data'!$A:$A,'[1]Tissue Data'!$C:$C)</f>
        <v>Down</v>
      </c>
      <c r="C82" s="2">
        <f>_xlfn.XLOOKUP(A82,'[1]Tissue Data'!$A:$A,'[1]Tissue Data'!$D:$D)</f>
        <v>44314</v>
      </c>
      <c r="D82" s="2" t="str">
        <f>_xlfn.XLOOKUP(A82,'[1]Tissue Data'!$A:$A,'[1]Tissue Data'!$F:$F)</f>
        <v>Pumpkinseed</v>
      </c>
      <c r="E82" t="str">
        <f>_xlfn.XLOOKUP(A82,'[1]Tissue Data'!$A:$A,'[1]Tissue Data'!$H:$H)</f>
        <v>Lepomis</v>
      </c>
      <c r="F82" t="str">
        <f>_xlfn.XLOOKUP(A82,'[1]Tissue Data'!$A:$A,'[1]Tissue Data'!$I:$I)</f>
        <v>gibbosus</v>
      </c>
      <c r="G82" t="str">
        <f>_xlfn.XLOOKUP(A82,'[1]Tissue Data'!$A:$A,'[1]Tissue Data'!J:J)</f>
        <v>U</v>
      </c>
      <c r="H82" t="str">
        <f>_xlfn.XLOOKUP(A82,'[1]Tissue Data'!$A:$A,'[1]Tissue Data'!K:K)</f>
        <v>Whole Body</v>
      </c>
      <c r="I82">
        <f>_xlfn.XLOOKUP(A82,'[1]Tissue Data'!$A:$A,'[1]Tissue Data'!L:L)</f>
        <v>8.5</v>
      </c>
      <c r="J82">
        <f>_xlfn.XLOOKUP(A82,'[1]Tissue Data'!$A:$A,'[1]Tissue Data'!M:M)</f>
        <v>12.37</v>
      </c>
      <c r="K82" t="s">
        <v>42</v>
      </c>
      <c r="L82" t="str">
        <f>_xlfn.XLOOKUP(K82,[2]analyte_order!$B:$B,[2]analyte_order!$C:$C)</f>
        <v>2991-50-6</v>
      </c>
      <c r="M82">
        <f>_xlfn.XLOOKUP(L82,[2]analyte_order!$C:$C,[2]analyte_order!$E:$E)</f>
        <v>27</v>
      </c>
      <c r="N82">
        <v>5.9948509006786874E-2</v>
      </c>
    </row>
    <row r="83" spans="1:14">
      <c r="A83" t="s">
        <v>229</v>
      </c>
      <c r="B83" t="str">
        <f>_xlfn.XLOOKUP(A83,'[1]Tissue Data'!$A:$A,'[1]Tissue Data'!$C:$C)</f>
        <v>Down</v>
      </c>
      <c r="C83" s="2">
        <f>_xlfn.XLOOKUP(A83,'[1]Tissue Data'!$A:$A,'[1]Tissue Data'!$D:$D)</f>
        <v>44314</v>
      </c>
      <c r="D83" s="2" t="str">
        <f>_xlfn.XLOOKUP(A83,'[1]Tissue Data'!$A:$A,'[1]Tissue Data'!$F:$F)</f>
        <v>Pumpkinseed</v>
      </c>
      <c r="E83" t="str">
        <f>_xlfn.XLOOKUP(A83,'[1]Tissue Data'!$A:$A,'[1]Tissue Data'!$H:$H)</f>
        <v>Lepomis</v>
      </c>
      <c r="F83" t="str">
        <f>_xlfn.XLOOKUP(A83,'[1]Tissue Data'!$A:$A,'[1]Tissue Data'!$I:$I)</f>
        <v>gibbosus</v>
      </c>
      <c r="G83" t="str">
        <f>_xlfn.XLOOKUP(A83,'[1]Tissue Data'!$A:$A,'[1]Tissue Data'!J:J)</f>
        <v>U</v>
      </c>
      <c r="H83" t="str">
        <f>_xlfn.XLOOKUP(A83,'[1]Tissue Data'!$A:$A,'[1]Tissue Data'!K:K)</f>
        <v>Whole Body</v>
      </c>
      <c r="I83">
        <f>_xlfn.XLOOKUP(A83,'[1]Tissue Data'!$A:$A,'[1]Tissue Data'!L:L)</f>
        <v>8.5</v>
      </c>
      <c r="J83">
        <f>_xlfn.XLOOKUP(A83,'[1]Tissue Data'!$A:$A,'[1]Tissue Data'!M:M)</f>
        <v>12.37</v>
      </c>
      <c r="K83" t="s">
        <v>43</v>
      </c>
      <c r="L83" t="str">
        <f>_xlfn.XLOOKUP(K83,[2]analyte_order!$B:$B,[2]analyte_order!$C:$C)</f>
        <v>757124-72-4</v>
      </c>
      <c r="M83">
        <f>_xlfn.XLOOKUP(L83,[2]analyte_order!$C:$C,[2]analyte_order!$E:$E)</f>
        <v>22</v>
      </c>
      <c r="N83">
        <v>5.6729904961507295E-2</v>
      </c>
    </row>
    <row r="84" spans="1:14">
      <c r="A84" t="s">
        <v>229</v>
      </c>
      <c r="B84" t="str">
        <f>_xlfn.XLOOKUP(A84,'[1]Tissue Data'!$A:$A,'[1]Tissue Data'!$C:$C)</f>
        <v>Down</v>
      </c>
      <c r="C84" s="2">
        <f>_xlfn.XLOOKUP(A84,'[1]Tissue Data'!$A:$A,'[1]Tissue Data'!$D:$D)</f>
        <v>44314</v>
      </c>
      <c r="D84" s="2" t="str">
        <f>_xlfn.XLOOKUP(A84,'[1]Tissue Data'!$A:$A,'[1]Tissue Data'!$F:$F)</f>
        <v>Pumpkinseed</v>
      </c>
      <c r="E84" t="str">
        <f>_xlfn.XLOOKUP(A84,'[1]Tissue Data'!$A:$A,'[1]Tissue Data'!$H:$H)</f>
        <v>Lepomis</v>
      </c>
      <c r="F84" t="str">
        <f>_xlfn.XLOOKUP(A84,'[1]Tissue Data'!$A:$A,'[1]Tissue Data'!$I:$I)</f>
        <v>gibbosus</v>
      </c>
      <c r="G84" t="str">
        <f>_xlfn.XLOOKUP(A84,'[1]Tissue Data'!$A:$A,'[1]Tissue Data'!J:J)</f>
        <v>U</v>
      </c>
      <c r="H84" t="str">
        <f>_xlfn.XLOOKUP(A84,'[1]Tissue Data'!$A:$A,'[1]Tissue Data'!K:K)</f>
        <v>Whole Body</v>
      </c>
      <c r="I84">
        <f>_xlfn.XLOOKUP(A84,'[1]Tissue Data'!$A:$A,'[1]Tissue Data'!L:L)</f>
        <v>8.5</v>
      </c>
      <c r="J84">
        <f>_xlfn.XLOOKUP(A84,'[1]Tissue Data'!$A:$A,'[1]Tissue Data'!M:M)</f>
        <v>12.37</v>
      </c>
      <c r="K84" t="s">
        <v>44</v>
      </c>
      <c r="L84" t="str">
        <f>_xlfn.XLOOKUP(K84,[2]analyte_order!$B:$B,[2]analyte_order!$C:$C)</f>
        <v>27619-97-2</v>
      </c>
      <c r="M84">
        <f>_xlfn.XLOOKUP(L84,[2]analyte_order!$C:$C,[2]analyte_order!$E:$E)</f>
        <v>23</v>
      </c>
      <c r="N84">
        <v>0.375</v>
      </c>
    </row>
    <row r="85" spans="1:14">
      <c r="A85" t="s">
        <v>229</v>
      </c>
      <c r="B85" t="str">
        <f>_xlfn.XLOOKUP(A85,'[1]Tissue Data'!$A:$A,'[1]Tissue Data'!$C:$C)</f>
        <v>Down</v>
      </c>
      <c r="C85" s="2">
        <f>_xlfn.XLOOKUP(A85,'[1]Tissue Data'!$A:$A,'[1]Tissue Data'!$D:$D)</f>
        <v>44314</v>
      </c>
      <c r="D85" s="2" t="str">
        <f>_xlfn.XLOOKUP(A85,'[1]Tissue Data'!$A:$A,'[1]Tissue Data'!$F:$F)</f>
        <v>Pumpkinseed</v>
      </c>
      <c r="E85" t="str">
        <f>_xlfn.XLOOKUP(A85,'[1]Tissue Data'!$A:$A,'[1]Tissue Data'!$H:$H)</f>
        <v>Lepomis</v>
      </c>
      <c r="F85" t="str">
        <f>_xlfn.XLOOKUP(A85,'[1]Tissue Data'!$A:$A,'[1]Tissue Data'!$I:$I)</f>
        <v>gibbosus</v>
      </c>
      <c r="G85" t="str">
        <f>_xlfn.XLOOKUP(A85,'[1]Tissue Data'!$A:$A,'[1]Tissue Data'!J:J)</f>
        <v>U</v>
      </c>
      <c r="H85" t="str">
        <f>_xlfn.XLOOKUP(A85,'[1]Tissue Data'!$A:$A,'[1]Tissue Data'!K:K)</f>
        <v>Whole Body</v>
      </c>
      <c r="I85">
        <f>_xlfn.XLOOKUP(A85,'[1]Tissue Data'!$A:$A,'[1]Tissue Data'!L:L)</f>
        <v>8.5</v>
      </c>
      <c r="J85">
        <f>_xlfn.XLOOKUP(A85,'[1]Tissue Data'!$A:$A,'[1]Tissue Data'!M:M)</f>
        <v>12.37</v>
      </c>
      <c r="K85" t="s">
        <v>45</v>
      </c>
      <c r="L85" t="str">
        <f>_xlfn.XLOOKUP(K85,[2]analyte_order!$B:$B,[2]analyte_order!$C:$C)</f>
        <v>39108-34-4</v>
      </c>
      <c r="M85">
        <f>_xlfn.XLOOKUP(L85,[2]analyte_order!$C:$C,[2]analyte_order!$E:$E)</f>
        <v>24</v>
      </c>
      <c r="N85">
        <v>1.95</v>
      </c>
    </row>
    <row r="86" spans="1:14">
      <c r="A86" t="s">
        <v>229</v>
      </c>
      <c r="B86" t="str">
        <f>_xlfn.XLOOKUP(A86,'[1]Tissue Data'!$A:$A,'[1]Tissue Data'!$C:$C)</f>
        <v>Down</v>
      </c>
      <c r="C86" s="2">
        <f>_xlfn.XLOOKUP(A86,'[1]Tissue Data'!$A:$A,'[1]Tissue Data'!$D:$D)</f>
        <v>44314</v>
      </c>
      <c r="D86" s="2" t="str">
        <f>_xlfn.XLOOKUP(A86,'[1]Tissue Data'!$A:$A,'[1]Tissue Data'!$F:$F)</f>
        <v>Pumpkinseed</v>
      </c>
      <c r="E86" t="str">
        <f>_xlfn.XLOOKUP(A86,'[1]Tissue Data'!$A:$A,'[1]Tissue Data'!$H:$H)</f>
        <v>Lepomis</v>
      </c>
      <c r="F86" t="str">
        <f>_xlfn.XLOOKUP(A86,'[1]Tissue Data'!$A:$A,'[1]Tissue Data'!$I:$I)</f>
        <v>gibbosus</v>
      </c>
      <c r="G86" t="str">
        <f>_xlfn.XLOOKUP(A86,'[1]Tissue Data'!$A:$A,'[1]Tissue Data'!J:J)</f>
        <v>U</v>
      </c>
      <c r="H86" t="str">
        <f>_xlfn.XLOOKUP(A86,'[1]Tissue Data'!$A:$A,'[1]Tissue Data'!K:K)</f>
        <v>Whole Body</v>
      </c>
      <c r="I86">
        <f>_xlfn.XLOOKUP(A86,'[1]Tissue Data'!$A:$A,'[1]Tissue Data'!L:L)</f>
        <v>8.5</v>
      </c>
      <c r="J86">
        <f>_xlfn.XLOOKUP(A86,'[1]Tissue Data'!$A:$A,'[1]Tissue Data'!M:M)</f>
        <v>12.37</v>
      </c>
      <c r="K86" t="s">
        <v>46</v>
      </c>
      <c r="L86" t="str">
        <f>_xlfn.XLOOKUP(K86,[2]analyte_order!$B:$B,[2]analyte_order!$C:$C)</f>
        <v>120226-60-0</v>
      </c>
      <c r="M86">
        <f>_xlfn.XLOOKUP(L86,[2]analyte_order!$C:$C,[2]analyte_order!$E:$E)</f>
        <v>25</v>
      </c>
      <c r="N86">
        <v>0.26785462834975882</v>
      </c>
    </row>
    <row r="87" spans="1:14">
      <c r="A87" t="s">
        <v>229</v>
      </c>
      <c r="B87" t="str">
        <f>_xlfn.XLOOKUP(A87,'[1]Tissue Data'!$A:$A,'[1]Tissue Data'!$C:$C)</f>
        <v>Down</v>
      </c>
      <c r="C87" s="2">
        <f>_xlfn.XLOOKUP(A87,'[1]Tissue Data'!$A:$A,'[1]Tissue Data'!$D:$D)</f>
        <v>44314</v>
      </c>
      <c r="D87" s="2" t="str">
        <f>_xlfn.XLOOKUP(A87,'[1]Tissue Data'!$A:$A,'[1]Tissue Data'!$F:$F)</f>
        <v>Pumpkinseed</v>
      </c>
      <c r="E87" t="str">
        <f>_xlfn.XLOOKUP(A87,'[1]Tissue Data'!$A:$A,'[1]Tissue Data'!$H:$H)</f>
        <v>Lepomis</v>
      </c>
      <c r="F87" t="str">
        <f>_xlfn.XLOOKUP(A87,'[1]Tissue Data'!$A:$A,'[1]Tissue Data'!$I:$I)</f>
        <v>gibbosus</v>
      </c>
      <c r="G87" t="str">
        <f>_xlfn.XLOOKUP(A87,'[1]Tissue Data'!$A:$A,'[1]Tissue Data'!J:J)</f>
        <v>U</v>
      </c>
      <c r="H87" t="str">
        <f>_xlfn.XLOOKUP(A87,'[1]Tissue Data'!$A:$A,'[1]Tissue Data'!K:K)</f>
        <v>Whole Body</v>
      </c>
      <c r="I87">
        <f>_xlfn.XLOOKUP(A87,'[1]Tissue Data'!$A:$A,'[1]Tissue Data'!L:L)</f>
        <v>8.5</v>
      </c>
      <c r="J87">
        <f>_xlfn.XLOOKUP(A87,'[1]Tissue Data'!$A:$A,'[1]Tissue Data'!M:M)</f>
        <v>12.37</v>
      </c>
      <c r="K87" t="s">
        <v>47</v>
      </c>
      <c r="L87" t="str">
        <f>_xlfn.XLOOKUP(K87,[2]analyte_order!$B:$B,[2]analyte_order!$C:$C)</f>
        <v>356-02-5</v>
      </c>
      <c r="M87">
        <f>_xlfn.XLOOKUP(L87,[2]analyte_order!$C:$C,[2]analyte_order!$E:$E)</f>
        <v>38</v>
      </c>
      <c r="N87">
        <v>7.9666700574858182E-2</v>
      </c>
    </row>
    <row r="88" spans="1:14">
      <c r="A88" t="s">
        <v>229</v>
      </c>
      <c r="B88" t="str">
        <f>_xlfn.XLOOKUP(A88,'[1]Tissue Data'!$A:$A,'[1]Tissue Data'!$C:$C)</f>
        <v>Down</v>
      </c>
      <c r="C88" s="2">
        <f>_xlfn.XLOOKUP(A88,'[1]Tissue Data'!$A:$A,'[1]Tissue Data'!$D:$D)</f>
        <v>44314</v>
      </c>
      <c r="D88" s="2" t="str">
        <f>_xlfn.XLOOKUP(A88,'[1]Tissue Data'!$A:$A,'[1]Tissue Data'!$F:$F)</f>
        <v>Pumpkinseed</v>
      </c>
      <c r="E88" t="str">
        <f>_xlfn.XLOOKUP(A88,'[1]Tissue Data'!$A:$A,'[1]Tissue Data'!$H:$H)</f>
        <v>Lepomis</v>
      </c>
      <c r="F88" t="str">
        <f>_xlfn.XLOOKUP(A88,'[1]Tissue Data'!$A:$A,'[1]Tissue Data'!$I:$I)</f>
        <v>gibbosus</v>
      </c>
      <c r="G88" t="str">
        <f>_xlfn.XLOOKUP(A88,'[1]Tissue Data'!$A:$A,'[1]Tissue Data'!J:J)</f>
        <v>U</v>
      </c>
      <c r="H88" t="str">
        <f>_xlfn.XLOOKUP(A88,'[1]Tissue Data'!$A:$A,'[1]Tissue Data'!K:K)</f>
        <v>Whole Body</v>
      </c>
      <c r="I88">
        <f>_xlfn.XLOOKUP(A88,'[1]Tissue Data'!$A:$A,'[1]Tissue Data'!L:L)</f>
        <v>8.5</v>
      </c>
      <c r="J88">
        <f>_xlfn.XLOOKUP(A88,'[1]Tissue Data'!$A:$A,'[1]Tissue Data'!M:M)</f>
        <v>12.37</v>
      </c>
      <c r="K88" t="s">
        <v>48</v>
      </c>
      <c r="L88" t="str">
        <f>_xlfn.XLOOKUP(K88,[2]analyte_order!$B:$B,[2]analyte_order!$C:$C)</f>
        <v>914637-49-3</v>
      </c>
      <c r="M88">
        <f>_xlfn.XLOOKUP(L88,[2]analyte_order!$C:$C,[2]analyte_order!$E:$E)</f>
        <v>39</v>
      </c>
      <c r="N88">
        <v>7.86</v>
      </c>
    </row>
    <row r="89" spans="1:14">
      <c r="A89" t="s">
        <v>229</v>
      </c>
      <c r="B89" t="str">
        <f>_xlfn.XLOOKUP(A89,'[1]Tissue Data'!$A:$A,'[1]Tissue Data'!$C:$C)</f>
        <v>Down</v>
      </c>
      <c r="C89" s="2">
        <f>_xlfn.XLOOKUP(A89,'[1]Tissue Data'!$A:$A,'[1]Tissue Data'!$D:$D)</f>
        <v>44314</v>
      </c>
      <c r="D89" s="2" t="str">
        <f>_xlfn.XLOOKUP(A89,'[1]Tissue Data'!$A:$A,'[1]Tissue Data'!$F:$F)</f>
        <v>Pumpkinseed</v>
      </c>
      <c r="E89" t="str">
        <f>_xlfn.XLOOKUP(A89,'[1]Tissue Data'!$A:$A,'[1]Tissue Data'!$H:$H)</f>
        <v>Lepomis</v>
      </c>
      <c r="F89" t="str">
        <f>_xlfn.XLOOKUP(A89,'[1]Tissue Data'!$A:$A,'[1]Tissue Data'!$I:$I)</f>
        <v>gibbosus</v>
      </c>
      <c r="G89" t="str">
        <f>_xlfn.XLOOKUP(A89,'[1]Tissue Data'!$A:$A,'[1]Tissue Data'!J:J)</f>
        <v>U</v>
      </c>
      <c r="H89" t="str">
        <f>_xlfn.XLOOKUP(A89,'[1]Tissue Data'!$A:$A,'[1]Tissue Data'!K:K)</f>
        <v>Whole Body</v>
      </c>
      <c r="I89">
        <f>_xlfn.XLOOKUP(A89,'[1]Tissue Data'!$A:$A,'[1]Tissue Data'!L:L)</f>
        <v>8.5</v>
      </c>
      <c r="J89">
        <f>_xlfn.XLOOKUP(A89,'[1]Tissue Data'!$A:$A,'[1]Tissue Data'!M:M)</f>
        <v>12.37</v>
      </c>
      <c r="K89" t="s">
        <v>49</v>
      </c>
      <c r="L89" t="str">
        <f>_xlfn.XLOOKUP(K89,[2]analyte_order!$B:$B,[2]analyte_order!$C:$C)</f>
        <v>812-70-4</v>
      </c>
      <c r="M89">
        <f>_xlfn.XLOOKUP(L89,[2]analyte_order!$C:$C,[2]analyte_order!$E:$E)</f>
        <v>40</v>
      </c>
      <c r="N89">
        <v>79.7</v>
      </c>
    </row>
    <row r="90" spans="1:14">
      <c r="A90" t="s">
        <v>229</v>
      </c>
      <c r="B90" t="str">
        <f>_xlfn.XLOOKUP(A90,'[1]Tissue Data'!$A:$A,'[1]Tissue Data'!$C:$C)</f>
        <v>Down</v>
      </c>
      <c r="C90" s="2">
        <f>_xlfn.XLOOKUP(A90,'[1]Tissue Data'!$A:$A,'[1]Tissue Data'!$D:$D)</f>
        <v>44314</v>
      </c>
      <c r="D90" s="2" t="str">
        <f>_xlfn.XLOOKUP(A90,'[1]Tissue Data'!$A:$A,'[1]Tissue Data'!$F:$F)</f>
        <v>Pumpkinseed</v>
      </c>
      <c r="E90" t="str">
        <f>_xlfn.XLOOKUP(A90,'[1]Tissue Data'!$A:$A,'[1]Tissue Data'!$H:$H)</f>
        <v>Lepomis</v>
      </c>
      <c r="F90" t="str">
        <f>_xlfn.XLOOKUP(A90,'[1]Tissue Data'!$A:$A,'[1]Tissue Data'!$I:$I)</f>
        <v>gibbosus</v>
      </c>
      <c r="G90" t="str">
        <f>_xlfn.XLOOKUP(A90,'[1]Tissue Data'!$A:$A,'[1]Tissue Data'!J:J)</f>
        <v>U</v>
      </c>
      <c r="H90" t="str">
        <f>_xlfn.XLOOKUP(A90,'[1]Tissue Data'!$A:$A,'[1]Tissue Data'!K:K)</f>
        <v>Whole Body</v>
      </c>
      <c r="I90">
        <f>_xlfn.XLOOKUP(A90,'[1]Tissue Data'!$A:$A,'[1]Tissue Data'!L:L)</f>
        <v>8.5</v>
      </c>
      <c r="J90">
        <f>_xlfn.XLOOKUP(A90,'[1]Tissue Data'!$A:$A,'[1]Tissue Data'!M:M)</f>
        <v>12.37</v>
      </c>
      <c r="K90" t="s">
        <v>50</v>
      </c>
      <c r="L90" t="str">
        <f>_xlfn.XLOOKUP(K90,[2]analyte_order!$B:$B,[2]analyte_order!$C:$C)</f>
        <v>53826-12-3</v>
      </c>
      <c r="M90">
        <f>_xlfn.XLOOKUP(L90,[2]analyte_order!$C:$C,[2]analyte_order!$E:$E)</f>
        <v>41</v>
      </c>
      <c r="N90">
        <v>4.37</v>
      </c>
    </row>
    <row r="91" spans="1:14">
      <c r="A91" t="s">
        <v>229</v>
      </c>
      <c r="B91" t="str">
        <f>_xlfn.XLOOKUP(A91,'[1]Tissue Data'!$A:$A,'[1]Tissue Data'!$C:$C)</f>
        <v>Down</v>
      </c>
      <c r="C91" s="2">
        <f>_xlfn.XLOOKUP(A91,'[1]Tissue Data'!$A:$A,'[1]Tissue Data'!$D:$D)</f>
        <v>44314</v>
      </c>
      <c r="D91" s="2" t="str">
        <f>_xlfn.XLOOKUP(A91,'[1]Tissue Data'!$A:$A,'[1]Tissue Data'!$F:$F)</f>
        <v>Pumpkinseed</v>
      </c>
      <c r="E91" t="str">
        <f>_xlfn.XLOOKUP(A91,'[1]Tissue Data'!$A:$A,'[1]Tissue Data'!$H:$H)</f>
        <v>Lepomis</v>
      </c>
      <c r="F91" t="str">
        <f>_xlfn.XLOOKUP(A91,'[1]Tissue Data'!$A:$A,'[1]Tissue Data'!$I:$I)</f>
        <v>gibbosus</v>
      </c>
      <c r="G91" t="str">
        <f>_xlfn.XLOOKUP(A91,'[1]Tissue Data'!$A:$A,'[1]Tissue Data'!J:J)</f>
        <v>U</v>
      </c>
      <c r="H91" t="str">
        <f>_xlfn.XLOOKUP(A91,'[1]Tissue Data'!$A:$A,'[1]Tissue Data'!K:K)</f>
        <v>Whole Body</v>
      </c>
      <c r="I91">
        <f>_xlfn.XLOOKUP(A91,'[1]Tissue Data'!$A:$A,'[1]Tissue Data'!L:L)</f>
        <v>8.5</v>
      </c>
      <c r="J91">
        <f>_xlfn.XLOOKUP(A91,'[1]Tissue Data'!$A:$A,'[1]Tissue Data'!M:M)</f>
        <v>12.37</v>
      </c>
      <c r="K91" t="s">
        <v>51</v>
      </c>
      <c r="L91" t="str">
        <f>_xlfn.XLOOKUP(K91,[2]analyte_order!$B:$B,[2]analyte_order!$C:$C)</f>
        <v>27854-31-5</v>
      </c>
      <c r="M91">
        <f>_xlfn.XLOOKUP(L91,[2]analyte_order!$C:$C,[2]analyte_order!$E:$E)</f>
        <v>42</v>
      </c>
      <c r="N91">
        <v>1.05</v>
      </c>
    </row>
    <row r="92" spans="1:14">
      <c r="A92" t="s">
        <v>229</v>
      </c>
      <c r="B92" t="str">
        <f>_xlfn.XLOOKUP(A92,'[1]Tissue Data'!$A:$A,'[1]Tissue Data'!$C:$C)</f>
        <v>Down</v>
      </c>
      <c r="C92" s="2">
        <f>_xlfn.XLOOKUP(A92,'[1]Tissue Data'!$A:$A,'[1]Tissue Data'!$D:$D)</f>
        <v>44314</v>
      </c>
      <c r="D92" s="2" t="str">
        <f>_xlfn.XLOOKUP(A92,'[1]Tissue Data'!$A:$A,'[1]Tissue Data'!$F:$F)</f>
        <v>Pumpkinseed</v>
      </c>
      <c r="E92" t="str">
        <f>_xlfn.XLOOKUP(A92,'[1]Tissue Data'!$A:$A,'[1]Tissue Data'!$H:$H)</f>
        <v>Lepomis</v>
      </c>
      <c r="F92" t="str">
        <f>_xlfn.XLOOKUP(A92,'[1]Tissue Data'!$A:$A,'[1]Tissue Data'!$I:$I)</f>
        <v>gibbosus</v>
      </c>
      <c r="G92" t="str">
        <f>_xlfn.XLOOKUP(A92,'[1]Tissue Data'!$A:$A,'[1]Tissue Data'!J:J)</f>
        <v>U</v>
      </c>
      <c r="H92" t="str">
        <f>_xlfn.XLOOKUP(A92,'[1]Tissue Data'!$A:$A,'[1]Tissue Data'!K:K)</f>
        <v>Whole Body</v>
      </c>
      <c r="I92">
        <f>_xlfn.XLOOKUP(A92,'[1]Tissue Data'!$A:$A,'[1]Tissue Data'!L:L)</f>
        <v>8.5</v>
      </c>
      <c r="J92">
        <f>_xlfn.XLOOKUP(A92,'[1]Tissue Data'!$A:$A,'[1]Tissue Data'!M:M)</f>
        <v>12.37</v>
      </c>
      <c r="K92" t="s">
        <v>52</v>
      </c>
      <c r="L92" t="str">
        <f>_xlfn.XLOOKUP(K92,[2]analyte_order!$B:$B,[2]analyte_order!$C:$C)</f>
        <v>53826-13-4</v>
      </c>
      <c r="M92">
        <f>_xlfn.XLOOKUP(L92,[2]analyte_order!$C:$C,[2]analyte_order!$E:$E)</f>
        <v>43</v>
      </c>
      <c r="N92">
        <v>0.10305956063563615</v>
      </c>
    </row>
    <row r="93" spans="1:14">
      <c r="A93" t="s">
        <v>229</v>
      </c>
      <c r="B93" t="str">
        <f>_xlfn.XLOOKUP(A93,'[1]Tissue Data'!$A:$A,'[1]Tissue Data'!$C:$C)</f>
        <v>Down</v>
      </c>
      <c r="C93" s="2">
        <f>_xlfn.XLOOKUP(A93,'[1]Tissue Data'!$A:$A,'[1]Tissue Data'!$D:$D)</f>
        <v>44314</v>
      </c>
      <c r="D93" s="2" t="str">
        <f>_xlfn.XLOOKUP(A93,'[1]Tissue Data'!$A:$A,'[1]Tissue Data'!$F:$F)</f>
        <v>Pumpkinseed</v>
      </c>
      <c r="E93" t="str">
        <f>_xlfn.XLOOKUP(A93,'[1]Tissue Data'!$A:$A,'[1]Tissue Data'!$H:$H)</f>
        <v>Lepomis</v>
      </c>
      <c r="F93" t="str">
        <f>_xlfn.XLOOKUP(A93,'[1]Tissue Data'!$A:$A,'[1]Tissue Data'!$I:$I)</f>
        <v>gibbosus</v>
      </c>
      <c r="G93" t="str">
        <f>_xlfn.XLOOKUP(A93,'[1]Tissue Data'!$A:$A,'[1]Tissue Data'!J:J)</f>
        <v>U</v>
      </c>
      <c r="H93" t="str">
        <f>_xlfn.XLOOKUP(A93,'[1]Tissue Data'!$A:$A,'[1]Tissue Data'!K:K)</f>
        <v>Whole Body</v>
      </c>
      <c r="I93">
        <f>_xlfn.XLOOKUP(A93,'[1]Tissue Data'!$A:$A,'[1]Tissue Data'!L:L)</f>
        <v>8.5</v>
      </c>
      <c r="J93">
        <f>_xlfn.XLOOKUP(A93,'[1]Tissue Data'!$A:$A,'[1]Tissue Data'!M:M)</f>
        <v>12.37</v>
      </c>
      <c r="K93" t="s">
        <v>53</v>
      </c>
      <c r="L93" t="str">
        <f>_xlfn.XLOOKUP(K93,[2]analyte_order!$B:$B,[2]analyte_order!$C:$C)</f>
        <v>161094-75-3</v>
      </c>
      <c r="M93">
        <f>_xlfn.XLOOKUP(L93,[2]analyte_order!$C:$C,[2]analyte_order!$E:$E)</f>
        <v>44</v>
      </c>
      <c r="N93">
        <v>5.4230275812398705E-2</v>
      </c>
    </row>
    <row r="94" spans="1:14">
      <c r="A94" t="s">
        <v>229</v>
      </c>
      <c r="B94" t="str">
        <f>_xlfn.XLOOKUP(A94,'[1]Tissue Data'!$A:$A,'[1]Tissue Data'!$C:$C)</f>
        <v>Down</v>
      </c>
      <c r="C94" s="2">
        <f>_xlfn.XLOOKUP(A94,'[1]Tissue Data'!$A:$A,'[1]Tissue Data'!$D:$D)</f>
        <v>44314</v>
      </c>
      <c r="D94" s="2" t="str">
        <f>_xlfn.XLOOKUP(A94,'[1]Tissue Data'!$A:$A,'[1]Tissue Data'!$F:$F)</f>
        <v>Pumpkinseed</v>
      </c>
      <c r="E94" t="str">
        <f>_xlfn.XLOOKUP(A94,'[1]Tissue Data'!$A:$A,'[1]Tissue Data'!$H:$H)</f>
        <v>Lepomis</v>
      </c>
      <c r="F94" t="str">
        <f>_xlfn.XLOOKUP(A94,'[1]Tissue Data'!$A:$A,'[1]Tissue Data'!$I:$I)</f>
        <v>gibbosus</v>
      </c>
      <c r="G94" t="str">
        <f>_xlfn.XLOOKUP(A94,'[1]Tissue Data'!$A:$A,'[1]Tissue Data'!J:J)</f>
        <v>U</v>
      </c>
      <c r="H94" t="str">
        <f>_xlfn.XLOOKUP(A94,'[1]Tissue Data'!$A:$A,'[1]Tissue Data'!K:K)</f>
        <v>Whole Body</v>
      </c>
      <c r="I94">
        <f>_xlfn.XLOOKUP(A94,'[1]Tissue Data'!$A:$A,'[1]Tissue Data'!L:L)</f>
        <v>8.5</v>
      </c>
      <c r="J94">
        <f>_xlfn.XLOOKUP(A94,'[1]Tissue Data'!$A:$A,'[1]Tissue Data'!M:M)</f>
        <v>12.37</v>
      </c>
      <c r="K94" t="s">
        <v>54</v>
      </c>
      <c r="L94" t="str">
        <f>_xlfn.XLOOKUP(K94,[2]analyte_order!$B:$B,[2]analyte_order!$C:$C)</f>
        <v>70887-84-2</v>
      </c>
      <c r="M94">
        <f>_xlfn.XLOOKUP(L94,[2]analyte_order!$C:$C,[2]analyte_order!$E:$E)</f>
        <v>45</v>
      </c>
      <c r="N94">
        <v>4.1736812727562807E-2</v>
      </c>
    </row>
    <row r="95" spans="1:14">
      <c r="A95" t="s">
        <v>229</v>
      </c>
      <c r="B95" t="str">
        <f>_xlfn.XLOOKUP(A95,'[1]Tissue Data'!$A:$A,'[1]Tissue Data'!$C:$C)</f>
        <v>Down</v>
      </c>
      <c r="C95" s="2">
        <f>_xlfn.XLOOKUP(A95,'[1]Tissue Data'!$A:$A,'[1]Tissue Data'!$D:$D)</f>
        <v>44314</v>
      </c>
      <c r="D95" s="2" t="str">
        <f>_xlfn.XLOOKUP(A95,'[1]Tissue Data'!$A:$A,'[1]Tissue Data'!$F:$F)</f>
        <v>Pumpkinseed</v>
      </c>
      <c r="E95" t="str">
        <f>_xlfn.XLOOKUP(A95,'[1]Tissue Data'!$A:$A,'[1]Tissue Data'!$H:$H)</f>
        <v>Lepomis</v>
      </c>
      <c r="F95" t="str">
        <f>_xlfn.XLOOKUP(A95,'[1]Tissue Data'!$A:$A,'[1]Tissue Data'!$I:$I)</f>
        <v>gibbosus</v>
      </c>
      <c r="G95" t="str">
        <f>_xlfn.XLOOKUP(A95,'[1]Tissue Data'!$A:$A,'[1]Tissue Data'!J:J)</f>
        <v>U</v>
      </c>
      <c r="H95" t="str">
        <f>_xlfn.XLOOKUP(A95,'[1]Tissue Data'!$A:$A,'[1]Tissue Data'!K:K)</f>
        <v>Whole Body</v>
      </c>
      <c r="I95">
        <f>_xlfn.XLOOKUP(A95,'[1]Tissue Data'!$A:$A,'[1]Tissue Data'!L:L)</f>
        <v>8.5</v>
      </c>
      <c r="J95">
        <f>_xlfn.XLOOKUP(A95,'[1]Tissue Data'!$A:$A,'[1]Tissue Data'!M:M)</f>
        <v>12.37</v>
      </c>
      <c r="K95" t="s">
        <v>55</v>
      </c>
      <c r="L95" t="str">
        <f>_xlfn.XLOOKUP(K95,[2]analyte_order!$B:$B,[2]analyte_order!$C:$C)</f>
        <v>919005-14-4</v>
      </c>
      <c r="M95">
        <f>_xlfn.XLOOKUP(L95,[2]analyte_order!$C:$C,[2]analyte_order!$E:$E)</f>
        <v>35</v>
      </c>
      <c r="N95">
        <v>6.9065861205245327E-2</v>
      </c>
    </row>
    <row r="96" spans="1:14">
      <c r="A96" t="s">
        <v>229</v>
      </c>
      <c r="B96" t="str">
        <f>_xlfn.XLOOKUP(A96,'[1]Tissue Data'!$A:$A,'[1]Tissue Data'!$C:$C)</f>
        <v>Down</v>
      </c>
      <c r="C96" s="2">
        <f>_xlfn.XLOOKUP(A96,'[1]Tissue Data'!$A:$A,'[1]Tissue Data'!$D:$D)</f>
        <v>44314</v>
      </c>
      <c r="D96" s="2" t="str">
        <f>_xlfn.XLOOKUP(A96,'[1]Tissue Data'!$A:$A,'[1]Tissue Data'!$F:$F)</f>
        <v>Pumpkinseed</v>
      </c>
      <c r="E96" t="str">
        <f>_xlfn.XLOOKUP(A96,'[1]Tissue Data'!$A:$A,'[1]Tissue Data'!$H:$H)</f>
        <v>Lepomis</v>
      </c>
      <c r="F96" t="str">
        <f>_xlfn.XLOOKUP(A96,'[1]Tissue Data'!$A:$A,'[1]Tissue Data'!$I:$I)</f>
        <v>gibbosus</v>
      </c>
      <c r="G96" t="str">
        <f>_xlfn.XLOOKUP(A96,'[1]Tissue Data'!$A:$A,'[1]Tissue Data'!J:J)</f>
        <v>U</v>
      </c>
      <c r="H96" t="str">
        <f>_xlfn.XLOOKUP(A96,'[1]Tissue Data'!$A:$A,'[1]Tissue Data'!K:K)</f>
        <v>Whole Body</v>
      </c>
      <c r="I96">
        <f>_xlfn.XLOOKUP(A96,'[1]Tissue Data'!$A:$A,'[1]Tissue Data'!L:L)</f>
        <v>8.5</v>
      </c>
      <c r="J96">
        <f>_xlfn.XLOOKUP(A96,'[1]Tissue Data'!$A:$A,'[1]Tissue Data'!M:M)</f>
        <v>12.37</v>
      </c>
      <c r="K96" t="s">
        <v>56</v>
      </c>
      <c r="L96" t="str">
        <f>_xlfn.XLOOKUP(K96,[2]analyte_order!$B:$B,[2]analyte_order!$C:$C)</f>
        <v>756426-58-1</v>
      </c>
      <c r="M96">
        <f>_xlfn.XLOOKUP(L96,[2]analyte_order!$C:$C,[2]analyte_order!$E:$E)</f>
        <v>36</v>
      </c>
      <c r="N96">
        <v>4.7939072806422206E-2</v>
      </c>
    </row>
    <row r="97" spans="1:14">
      <c r="A97" t="s">
        <v>229</v>
      </c>
      <c r="B97" t="str">
        <f>_xlfn.XLOOKUP(A97,'[1]Tissue Data'!$A:$A,'[1]Tissue Data'!$C:$C)</f>
        <v>Down</v>
      </c>
      <c r="C97" s="2">
        <f>_xlfn.XLOOKUP(A97,'[1]Tissue Data'!$A:$A,'[1]Tissue Data'!$D:$D)</f>
        <v>44314</v>
      </c>
      <c r="D97" s="2" t="str">
        <f>_xlfn.XLOOKUP(A97,'[1]Tissue Data'!$A:$A,'[1]Tissue Data'!$F:$F)</f>
        <v>Pumpkinseed</v>
      </c>
      <c r="E97" t="str">
        <f>_xlfn.XLOOKUP(A97,'[1]Tissue Data'!$A:$A,'[1]Tissue Data'!$H:$H)</f>
        <v>Lepomis</v>
      </c>
      <c r="F97" t="str">
        <f>_xlfn.XLOOKUP(A97,'[1]Tissue Data'!$A:$A,'[1]Tissue Data'!$I:$I)</f>
        <v>gibbosus</v>
      </c>
      <c r="G97" t="str">
        <f>_xlfn.XLOOKUP(A97,'[1]Tissue Data'!$A:$A,'[1]Tissue Data'!J:J)</f>
        <v>U</v>
      </c>
      <c r="H97" t="str">
        <f>_xlfn.XLOOKUP(A97,'[1]Tissue Data'!$A:$A,'[1]Tissue Data'!K:K)</f>
        <v>Whole Body</v>
      </c>
      <c r="I97">
        <f>_xlfn.XLOOKUP(A97,'[1]Tissue Data'!$A:$A,'[1]Tissue Data'!L:L)</f>
        <v>8.5</v>
      </c>
      <c r="J97">
        <f>_xlfn.XLOOKUP(A97,'[1]Tissue Data'!$A:$A,'[1]Tissue Data'!M:M)</f>
        <v>12.37</v>
      </c>
      <c r="K97" t="s">
        <v>57</v>
      </c>
      <c r="L97" t="str">
        <f>_xlfn.XLOOKUP(K97,[2]analyte_order!$B:$B,[2]analyte_order!$C:$C)</f>
        <v>763051-92-9</v>
      </c>
      <c r="M97">
        <f>_xlfn.XLOOKUP(L97,[2]analyte_order!$C:$C,[2]analyte_order!$E:$E)</f>
        <v>37</v>
      </c>
      <c r="N97">
        <v>5.4423245635636143E-2</v>
      </c>
    </row>
    <row r="98" spans="1:14">
      <c r="A98" t="s">
        <v>229</v>
      </c>
      <c r="B98" t="str">
        <f>_xlfn.XLOOKUP(A98,'[1]Tissue Data'!$A:$A,'[1]Tissue Data'!$C:$C)</f>
        <v>Down</v>
      </c>
      <c r="C98" s="2">
        <f>_xlfn.XLOOKUP(A98,'[1]Tissue Data'!$A:$A,'[1]Tissue Data'!$D:$D)</f>
        <v>44314</v>
      </c>
      <c r="D98" s="2" t="str">
        <f>_xlfn.XLOOKUP(A98,'[1]Tissue Data'!$A:$A,'[1]Tissue Data'!$F:$F)</f>
        <v>Pumpkinseed</v>
      </c>
      <c r="E98" t="str">
        <f>_xlfn.XLOOKUP(A98,'[1]Tissue Data'!$A:$A,'[1]Tissue Data'!$H:$H)</f>
        <v>Lepomis</v>
      </c>
      <c r="F98" t="str">
        <f>_xlfn.XLOOKUP(A98,'[1]Tissue Data'!$A:$A,'[1]Tissue Data'!$I:$I)</f>
        <v>gibbosus</v>
      </c>
      <c r="G98" t="str">
        <f>_xlfn.XLOOKUP(A98,'[1]Tissue Data'!$A:$A,'[1]Tissue Data'!J:J)</f>
        <v>U</v>
      </c>
      <c r="H98" t="str">
        <f>_xlfn.XLOOKUP(A98,'[1]Tissue Data'!$A:$A,'[1]Tissue Data'!K:K)</f>
        <v>Whole Body</v>
      </c>
      <c r="I98">
        <f>_xlfn.XLOOKUP(A98,'[1]Tissue Data'!$A:$A,'[1]Tissue Data'!L:L)</f>
        <v>8.5</v>
      </c>
      <c r="J98">
        <f>_xlfn.XLOOKUP(A98,'[1]Tissue Data'!$A:$A,'[1]Tissue Data'!M:M)</f>
        <v>12.37</v>
      </c>
      <c r="K98" t="s">
        <v>58</v>
      </c>
      <c r="L98" t="str">
        <f>_xlfn.XLOOKUP(K98,[2]analyte_order!$B:$B,[2]analyte_order!$C:$C)</f>
        <v>13252-13-6</v>
      </c>
      <c r="M98">
        <f>_xlfn.XLOOKUP(L98,[2]analyte_order!$C:$C,[2]analyte_order!$E:$E)</f>
        <v>34</v>
      </c>
      <c r="N98">
        <v>9.9111483693780408E-2</v>
      </c>
    </row>
    <row r="99" spans="1:14">
      <c r="A99" t="s">
        <v>229</v>
      </c>
      <c r="B99" t="str">
        <f>_xlfn.XLOOKUP(A99,'[1]Tissue Data'!$A:$A,'[1]Tissue Data'!$C:$C)</f>
        <v>Down</v>
      </c>
      <c r="C99" s="2">
        <f>_xlfn.XLOOKUP(A99,'[1]Tissue Data'!$A:$A,'[1]Tissue Data'!$D:$D)</f>
        <v>44314</v>
      </c>
      <c r="D99" s="2" t="str">
        <f>_xlfn.XLOOKUP(A99,'[1]Tissue Data'!$A:$A,'[1]Tissue Data'!$F:$F)</f>
        <v>Pumpkinseed</v>
      </c>
      <c r="E99" t="str">
        <f>_xlfn.XLOOKUP(A99,'[1]Tissue Data'!$A:$A,'[1]Tissue Data'!$H:$H)</f>
        <v>Lepomis</v>
      </c>
      <c r="F99" t="str">
        <f>_xlfn.XLOOKUP(A99,'[1]Tissue Data'!$A:$A,'[1]Tissue Data'!$I:$I)</f>
        <v>gibbosus</v>
      </c>
      <c r="G99" t="str">
        <f>_xlfn.XLOOKUP(A99,'[1]Tissue Data'!$A:$A,'[1]Tissue Data'!J:J)</f>
        <v>U</v>
      </c>
      <c r="H99" t="str">
        <f>_xlfn.XLOOKUP(A99,'[1]Tissue Data'!$A:$A,'[1]Tissue Data'!K:K)</f>
        <v>Whole Body</v>
      </c>
      <c r="I99">
        <f>_xlfn.XLOOKUP(A99,'[1]Tissue Data'!$A:$A,'[1]Tissue Data'!L:L)</f>
        <v>8.5</v>
      </c>
      <c r="J99">
        <f>_xlfn.XLOOKUP(A99,'[1]Tissue Data'!$A:$A,'[1]Tissue Data'!M:M)</f>
        <v>12.37</v>
      </c>
      <c r="K99" t="s">
        <v>59</v>
      </c>
      <c r="L99" t="str">
        <f>_xlfn.XLOOKUP(K99,[2]analyte_order!$B:$B,[2]analyte_order!$C:$C)</f>
        <v>57677-95-9</v>
      </c>
      <c r="M99">
        <f>_xlfn.XLOOKUP(L99,[2]analyte_order!$C:$C,[2]analyte_order!$E:$E)</f>
        <v>46</v>
      </c>
      <c r="N99">
        <v>7.3522607706138582E-2</v>
      </c>
    </row>
    <row r="100" spans="1:14">
      <c r="A100" t="s">
        <v>229</v>
      </c>
      <c r="B100" t="str">
        <f>_xlfn.XLOOKUP(A100,'[1]Tissue Data'!$A:$A,'[1]Tissue Data'!$C:$C)</f>
        <v>Down</v>
      </c>
      <c r="C100" s="2">
        <f>_xlfn.XLOOKUP(A100,'[1]Tissue Data'!$A:$A,'[1]Tissue Data'!$D:$D)</f>
        <v>44314</v>
      </c>
      <c r="D100" s="2" t="str">
        <f>_xlfn.XLOOKUP(A100,'[1]Tissue Data'!$A:$A,'[1]Tissue Data'!$F:$F)</f>
        <v>Pumpkinseed</v>
      </c>
      <c r="E100" t="str">
        <f>_xlfn.XLOOKUP(A100,'[1]Tissue Data'!$A:$A,'[1]Tissue Data'!$H:$H)</f>
        <v>Lepomis</v>
      </c>
      <c r="F100" t="str">
        <f>_xlfn.XLOOKUP(A100,'[1]Tissue Data'!$A:$A,'[1]Tissue Data'!$I:$I)</f>
        <v>gibbosus</v>
      </c>
      <c r="G100" t="str">
        <f>_xlfn.XLOOKUP(A100,'[1]Tissue Data'!$A:$A,'[1]Tissue Data'!J:J)</f>
        <v>U</v>
      </c>
      <c r="H100" t="str">
        <f>_xlfn.XLOOKUP(A100,'[1]Tissue Data'!$A:$A,'[1]Tissue Data'!K:K)</f>
        <v>Whole Body</v>
      </c>
      <c r="I100">
        <f>_xlfn.XLOOKUP(A100,'[1]Tissue Data'!$A:$A,'[1]Tissue Data'!L:L)</f>
        <v>8.5</v>
      </c>
      <c r="J100">
        <f>_xlfn.XLOOKUP(A100,'[1]Tissue Data'!$A:$A,'[1]Tissue Data'!M:M)</f>
        <v>12.37</v>
      </c>
      <c r="K100" t="s">
        <v>60</v>
      </c>
      <c r="L100" t="str">
        <f>_xlfn.XLOOKUP(K100,[2]analyte_order!$B:$B,[2]analyte_order!$C:$C)</f>
        <v>678-41-1</v>
      </c>
      <c r="M100">
        <f>_xlfn.XLOOKUP(L100,[2]analyte_order!$C:$C,[2]analyte_order!$E:$E)</f>
        <v>56</v>
      </c>
      <c r="N100">
        <v>9.1568486227208271E-2</v>
      </c>
    </row>
    <row r="101" spans="1:14">
      <c r="A101" t="s">
        <v>229</v>
      </c>
      <c r="B101" t="str">
        <f>_xlfn.XLOOKUP(A101,'[1]Tissue Data'!$A:$A,'[1]Tissue Data'!$C:$C)</f>
        <v>Down</v>
      </c>
      <c r="C101" s="2">
        <f>_xlfn.XLOOKUP(A101,'[1]Tissue Data'!$A:$A,'[1]Tissue Data'!$D:$D)</f>
        <v>44314</v>
      </c>
      <c r="D101" s="2" t="str">
        <f>_xlfn.XLOOKUP(A101,'[1]Tissue Data'!$A:$A,'[1]Tissue Data'!$F:$F)</f>
        <v>Pumpkinseed</v>
      </c>
      <c r="E101" t="str">
        <f>_xlfn.XLOOKUP(A101,'[1]Tissue Data'!$A:$A,'[1]Tissue Data'!$H:$H)</f>
        <v>Lepomis</v>
      </c>
      <c r="F101" t="str">
        <f>_xlfn.XLOOKUP(A101,'[1]Tissue Data'!$A:$A,'[1]Tissue Data'!$I:$I)</f>
        <v>gibbosus</v>
      </c>
      <c r="G101" t="str">
        <f>_xlfn.XLOOKUP(A101,'[1]Tissue Data'!$A:$A,'[1]Tissue Data'!J:J)</f>
        <v>U</v>
      </c>
      <c r="H101" t="str">
        <f>_xlfn.XLOOKUP(A101,'[1]Tissue Data'!$A:$A,'[1]Tissue Data'!K:K)</f>
        <v>Whole Body</v>
      </c>
      <c r="I101">
        <f>_xlfn.XLOOKUP(A101,'[1]Tissue Data'!$A:$A,'[1]Tissue Data'!L:L)</f>
        <v>8.5</v>
      </c>
      <c r="J101">
        <f>_xlfn.XLOOKUP(A101,'[1]Tissue Data'!$A:$A,'[1]Tissue Data'!M:M)</f>
        <v>12.37</v>
      </c>
      <c r="K101" t="s">
        <v>61</v>
      </c>
      <c r="L101" t="str">
        <f>_xlfn.XLOOKUP(K101,[2]analyte_order!$B:$B,[2]analyte_order!$C:$C)</f>
        <v>2965-52-8</v>
      </c>
      <c r="M101">
        <f>_xlfn.XLOOKUP(L101,[2]analyte_order!$C:$C,[2]analyte_order!$E:$E)</f>
        <v>57</v>
      </c>
      <c r="N101">
        <v>0.12155591572123177</v>
      </c>
    </row>
    <row r="102" spans="1:14">
      <c r="A102" t="s">
        <v>230</v>
      </c>
      <c r="B102" t="str">
        <f>_xlfn.XLOOKUP(A102,'[1]Tissue Data'!$A:$A,'[1]Tissue Data'!$C:$C)</f>
        <v>Down</v>
      </c>
      <c r="C102" s="2">
        <f>_xlfn.XLOOKUP(A102,'[1]Tissue Data'!$A:$A,'[1]Tissue Data'!$D:$D)</f>
        <v>44314</v>
      </c>
      <c r="D102" s="2" t="str">
        <f>_xlfn.XLOOKUP(A102,'[1]Tissue Data'!$A:$A,'[1]Tissue Data'!$F:$F)</f>
        <v>Pumpkinseed</v>
      </c>
      <c r="E102" t="str">
        <f>_xlfn.XLOOKUP(A102,'[1]Tissue Data'!$A:$A,'[1]Tissue Data'!$H:$H)</f>
        <v>Lepomis</v>
      </c>
      <c r="F102" t="str">
        <f>_xlfn.XLOOKUP(A102,'[1]Tissue Data'!$A:$A,'[1]Tissue Data'!$I:$I)</f>
        <v>gibbosus</v>
      </c>
      <c r="G102" t="str">
        <f>_xlfn.XLOOKUP(A102,'[1]Tissue Data'!$A:$A,'[1]Tissue Data'!J:J)</f>
        <v>U</v>
      </c>
      <c r="H102" t="str">
        <f>_xlfn.XLOOKUP(A102,'[1]Tissue Data'!$A:$A,'[1]Tissue Data'!K:K)</f>
        <v>Whole Body</v>
      </c>
      <c r="I102">
        <f>_xlfn.XLOOKUP(A102,'[1]Tissue Data'!$A:$A,'[1]Tissue Data'!L:L)</f>
        <v>8</v>
      </c>
      <c r="J102">
        <f>_xlfn.XLOOKUP(A102,'[1]Tissue Data'!$A:$A,'[1]Tissue Data'!M:M)</f>
        <v>10.71</v>
      </c>
      <c r="K102" t="s">
        <v>12</v>
      </c>
      <c r="L102" t="str">
        <f>_xlfn.XLOOKUP(K102,[2]analyte_order!$B:$B,[2]analyte_order!$C:$C)</f>
        <v>375-22-4</v>
      </c>
      <c r="M102">
        <f>_xlfn.XLOOKUP(L102,[2]analyte_order!$C:$C,[2]analyte_order!$E:$E)</f>
        <v>1</v>
      </c>
      <c r="N102">
        <v>9.6670247046186875E-2</v>
      </c>
    </row>
    <row r="103" spans="1:14">
      <c r="A103" t="s">
        <v>230</v>
      </c>
      <c r="B103" t="str">
        <f>_xlfn.XLOOKUP(A103,'[1]Tissue Data'!$A:$A,'[1]Tissue Data'!$C:$C)</f>
        <v>Down</v>
      </c>
      <c r="C103" s="2">
        <f>_xlfn.XLOOKUP(A103,'[1]Tissue Data'!$A:$A,'[1]Tissue Data'!$D:$D)</f>
        <v>44314</v>
      </c>
      <c r="D103" s="2" t="str">
        <f>_xlfn.XLOOKUP(A103,'[1]Tissue Data'!$A:$A,'[1]Tissue Data'!$F:$F)</f>
        <v>Pumpkinseed</v>
      </c>
      <c r="E103" t="str">
        <f>_xlfn.XLOOKUP(A103,'[1]Tissue Data'!$A:$A,'[1]Tissue Data'!$H:$H)</f>
        <v>Lepomis</v>
      </c>
      <c r="F103" t="str">
        <f>_xlfn.XLOOKUP(A103,'[1]Tissue Data'!$A:$A,'[1]Tissue Data'!$I:$I)</f>
        <v>gibbosus</v>
      </c>
      <c r="G103" t="str">
        <f>_xlfn.XLOOKUP(A103,'[1]Tissue Data'!$A:$A,'[1]Tissue Data'!J:J)</f>
        <v>U</v>
      </c>
      <c r="H103" t="str">
        <f>_xlfn.XLOOKUP(A103,'[1]Tissue Data'!$A:$A,'[1]Tissue Data'!K:K)</f>
        <v>Whole Body</v>
      </c>
      <c r="I103">
        <f>_xlfn.XLOOKUP(A103,'[1]Tissue Data'!$A:$A,'[1]Tissue Data'!L:L)</f>
        <v>8</v>
      </c>
      <c r="J103">
        <f>_xlfn.XLOOKUP(A103,'[1]Tissue Data'!$A:$A,'[1]Tissue Data'!M:M)</f>
        <v>10.71</v>
      </c>
      <c r="K103" t="s">
        <v>13</v>
      </c>
      <c r="L103" t="str">
        <f>_xlfn.XLOOKUP(K103,[2]analyte_order!$B:$B,[2]analyte_order!$C:$C)</f>
        <v>2706-90-3</v>
      </c>
      <c r="M103">
        <f>_xlfn.XLOOKUP(L103,[2]analyte_order!$C:$C,[2]analyte_order!$E:$E)</f>
        <v>2</v>
      </c>
      <c r="N103">
        <v>5.0506678557873774E-2</v>
      </c>
    </row>
    <row r="104" spans="1:14">
      <c r="A104" t="s">
        <v>230</v>
      </c>
      <c r="B104" t="str">
        <f>_xlfn.XLOOKUP(A104,'[1]Tissue Data'!$A:$A,'[1]Tissue Data'!$C:$C)</f>
        <v>Down</v>
      </c>
      <c r="C104" s="2">
        <f>_xlfn.XLOOKUP(A104,'[1]Tissue Data'!$A:$A,'[1]Tissue Data'!$D:$D)</f>
        <v>44314</v>
      </c>
      <c r="D104" s="2" t="str">
        <f>_xlfn.XLOOKUP(A104,'[1]Tissue Data'!$A:$A,'[1]Tissue Data'!$F:$F)</f>
        <v>Pumpkinseed</v>
      </c>
      <c r="E104" t="str">
        <f>_xlfn.XLOOKUP(A104,'[1]Tissue Data'!$A:$A,'[1]Tissue Data'!$H:$H)</f>
        <v>Lepomis</v>
      </c>
      <c r="F104" t="str">
        <f>_xlfn.XLOOKUP(A104,'[1]Tissue Data'!$A:$A,'[1]Tissue Data'!$I:$I)</f>
        <v>gibbosus</v>
      </c>
      <c r="G104" t="str">
        <f>_xlfn.XLOOKUP(A104,'[1]Tissue Data'!$A:$A,'[1]Tissue Data'!J:J)</f>
        <v>U</v>
      </c>
      <c r="H104" t="str">
        <f>_xlfn.XLOOKUP(A104,'[1]Tissue Data'!$A:$A,'[1]Tissue Data'!K:K)</f>
        <v>Whole Body</v>
      </c>
      <c r="I104">
        <f>_xlfn.XLOOKUP(A104,'[1]Tissue Data'!$A:$A,'[1]Tissue Data'!L:L)</f>
        <v>8</v>
      </c>
      <c r="J104">
        <f>_xlfn.XLOOKUP(A104,'[1]Tissue Data'!$A:$A,'[1]Tissue Data'!M:M)</f>
        <v>10.71</v>
      </c>
      <c r="K104" t="s">
        <v>14</v>
      </c>
      <c r="L104" t="str">
        <f>_xlfn.XLOOKUP(K104,[2]analyte_order!$B:$B,[2]analyte_order!$C:$C)</f>
        <v>307-24-4</v>
      </c>
      <c r="M104">
        <f>_xlfn.XLOOKUP(L104,[2]analyte_order!$C:$C,[2]analyte_order!$E:$E)</f>
        <v>3</v>
      </c>
      <c r="N104">
        <v>3.8579504492189144E-2</v>
      </c>
    </row>
    <row r="105" spans="1:14">
      <c r="A105" t="s">
        <v>230</v>
      </c>
      <c r="B105" t="str">
        <f>_xlfn.XLOOKUP(A105,'[1]Tissue Data'!$A:$A,'[1]Tissue Data'!$C:$C)</f>
        <v>Down</v>
      </c>
      <c r="C105" s="2">
        <f>_xlfn.XLOOKUP(A105,'[1]Tissue Data'!$A:$A,'[1]Tissue Data'!$D:$D)</f>
        <v>44314</v>
      </c>
      <c r="D105" s="2" t="str">
        <f>_xlfn.XLOOKUP(A105,'[1]Tissue Data'!$A:$A,'[1]Tissue Data'!$F:$F)</f>
        <v>Pumpkinseed</v>
      </c>
      <c r="E105" t="str">
        <f>_xlfn.XLOOKUP(A105,'[1]Tissue Data'!$A:$A,'[1]Tissue Data'!$H:$H)</f>
        <v>Lepomis</v>
      </c>
      <c r="F105" t="str">
        <f>_xlfn.XLOOKUP(A105,'[1]Tissue Data'!$A:$A,'[1]Tissue Data'!$I:$I)</f>
        <v>gibbosus</v>
      </c>
      <c r="G105" t="str">
        <f>_xlfn.XLOOKUP(A105,'[1]Tissue Data'!$A:$A,'[1]Tissue Data'!J:J)</f>
        <v>U</v>
      </c>
      <c r="H105" t="str">
        <f>_xlfn.XLOOKUP(A105,'[1]Tissue Data'!$A:$A,'[1]Tissue Data'!K:K)</f>
        <v>Whole Body</v>
      </c>
      <c r="I105">
        <f>_xlfn.XLOOKUP(A105,'[1]Tissue Data'!$A:$A,'[1]Tissue Data'!L:L)</f>
        <v>8</v>
      </c>
      <c r="J105">
        <f>_xlfn.XLOOKUP(A105,'[1]Tissue Data'!$A:$A,'[1]Tissue Data'!M:M)</f>
        <v>10.71</v>
      </c>
      <c r="K105" t="s">
        <v>15</v>
      </c>
      <c r="L105" t="str">
        <f>_xlfn.XLOOKUP(K105,[2]analyte_order!$B:$B,[2]analyte_order!$C:$C)</f>
        <v>375-85-9</v>
      </c>
      <c r="M105">
        <f>_xlfn.XLOOKUP(L105,[2]analyte_order!$C:$C,[2]analyte_order!$E:$E)</f>
        <v>4</v>
      </c>
      <c r="N105">
        <v>9.6670247046186875E-2</v>
      </c>
    </row>
    <row r="106" spans="1:14">
      <c r="A106" t="s">
        <v>230</v>
      </c>
      <c r="B106" t="str">
        <f>_xlfn.XLOOKUP(A106,'[1]Tissue Data'!$A:$A,'[1]Tissue Data'!$C:$C)</f>
        <v>Down</v>
      </c>
      <c r="C106" s="2">
        <f>_xlfn.XLOOKUP(A106,'[1]Tissue Data'!$A:$A,'[1]Tissue Data'!$D:$D)</f>
        <v>44314</v>
      </c>
      <c r="D106" s="2" t="str">
        <f>_xlfn.XLOOKUP(A106,'[1]Tissue Data'!$A:$A,'[1]Tissue Data'!$F:$F)</f>
        <v>Pumpkinseed</v>
      </c>
      <c r="E106" t="str">
        <f>_xlfn.XLOOKUP(A106,'[1]Tissue Data'!$A:$A,'[1]Tissue Data'!$H:$H)</f>
        <v>Lepomis</v>
      </c>
      <c r="F106" t="str">
        <f>_xlfn.XLOOKUP(A106,'[1]Tissue Data'!$A:$A,'[1]Tissue Data'!$I:$I)</f>
        <v>gibbosus</v>
      </c>
      <c r="G106" t="str">
        <f>_xlfn.XLOOKUP(A106,'[1]Tissue Data'!$A:$A,'[1]Tissue Data'!J:J)</f>
        <v>U</v>
      </c>
      <c r="H106" t="str">
        <f>_xlfn.XLOOKUP(A106,'[1]Tissue Data'!$A:$A,'[1]Tissue Data'!K:K)</f>
        <v>Whole Body</v>
      </c>
      <c r="I106">
        <f>_xlfn.XLOOKUP(A106,'[1]Tissue Data'!$A:$A,'[1]Tissue Data'!L:L)</f>
        <v>8</v>
      </c>
      <c r="J106">
        <f>_xlfn.XLOOKUP(A106,'[1]Tissue Data'!$A:$A,'[1]Tissue Data'!M:M)</f>
        <v>10.71</v>
      </c>
      <c r="K106" t="s">
        <v>16</v>
      </c>
      <c r="L106" t="str">
        <f>_xlfn.XLOOKUP(K106,[2]analyte_order!$B:$B,[2]analyte_order!$C:$C)</f>
        <v>335-67-1</v>
      </c>
      <c r="M106">
        <f>_xlfn.XLOOKUP(L106,[2]analyte_order!$C:$C,[2]analyte_order!$E:$E)</f>
        <v>5</v>
      </c>
      <c r="N106">
        <v>9.6670247046186875E-2</v>
      </c>
    </row>
    <row r="107" spans="1:14">
      <c r="A107" t="s">
        <v>230</v>
      </c>
      <c r="B107" t="str">
        <f>_xlfn.XLOOKUP(A107,'[1]Tissue Data'!$A:$A,'[1]Tissue Data'!$C:$C)</f>
        <v>Down</v>
      </c>
      <c r="C107" s="2">
        <f>_xlfn.XLOOKUP(A107,'[1]Tissue Data'!$A:$A,'[1]Tissue Data'!$D:$D)</f>
        <v>44314</v>
      </c>
      <c r="D107" s="2" t="str">
        <f>_xlfn.XLOOKUP(A107,'[1]Tissue Data'!$A:$A,'[1]Tissue Data'!$F:$F)</f>
        <v>Pumpkinseed</v>
      </c>
      <c r="E107" t="str">
        <f>_xlfn.XLOOKUP(A107,'[1]Tissue Data'!$A:$A,'[1]Tissue Data'!$H:$H)</f>
        <v>Lepomis</v>
      </c>
      <c r="F107" t="str">
        <f>_xlfn.XLOOKUP(A107,'[1]Tissue Data'!$A:$A,'[1]Tissue Data'!$I:$I)</f>
        <v>gibbosus</v>
      </c>
      <c r="G107" t="str">
        <f>_xlfn.XLOOKUP(A107,'[1]Tissue Data'!$A:$A,'[1]Tissue Data'!J:J)</f>
        <v>U</v>
      </c>
      <c r="H107" t="str">
        <f>_xlfn.XLOOKUP(A107,'[1]Tissue Data'!$A:$A,'[1]Tissue Data'!K:K)</f>
        <v>Whole Body</v>
      </c>
      <c r="I107">
        <f>_xlfn.XLOOKUP(A107,'[1]Tissue Data'!$A:$A,'[1]Tissue Data'!L:L)</f>
        <v>8</v>
      </c>
      <c r="J107">
        <f>_xlfn.XLOOKUP(A107,'[1]Tissue Data'!$A:$A,'[1]Tissue Data'!M:M)</f>
        <v>10.71</v>
      </c>
      <c r="K107" t="s">
        <v>17</v>
      </c>
      <c r="L107" t="str">
        <f>_xlfn.XLOOKUP(K107,[2]analyte_order!$B:$B,[2]analyte_order!$C:$C)</f>
        <v>375-95-1</v>
      </c>
      <c r="M107">
        <f>_xlfn.XLOOKUP(L107,[2]analyte_order!$C:$C,[2]analyte_order!$E:$E)</f>
        <v>6</v>
      </c>
      <c r="N107">
        <v>4.9470441770287268E-2</v>
      </c>
    </row>
    <row r="108" spans="1:14">
      <c r="A108" t="s">
        <v>230</v>
      </c>
      <c r="B108" t="str">
        <f>_xlfn.XLOOKUP(A108,'[1]Tissue Data'!$A:$A,'[1]Tissue Data'!$C:$C)</f>
        <v>Down</v>
      </c>
      <c r="C108" s="2">
        <f>_xlfn.XLOOKUP(A108,'[1]Tissue Data'!$A:$A,'[1]Tissue Data'!$D:$D)</f>
        <v>44314</v>
      </c>
      <c r="D108" s="2" t="str">
        <f>_xlfn.XLOOKUP(A108,'[1]Tissue Data'!$A:$A,'[1]Tissue Data'!$F:$F)</f>
        <v>Pumpkinseed</v>
      </c>
      <c r="E108" t="str">
        <f>_xlfn.XLOOKUP(A108,'[1]Tissue Data'!$A:$A,'[1]Tissue Data'!$H:$H)</f>
        <v>Lepomis</v>
      </c>
      <c r="F108" t="str">
        <f>_xlfn.XLOOKUP(A108,'[1]Tissue Data'!$A:$A,'[1]Tissue Data'!$I:$I)</f>
        <v>gibbosus</v>
      </c>
      <c r="G108" t="str">
        <f>_xlfn.XLOOKUP(A108,'[1]Tissue Data'!$A:$A,'[1]Tissue Data'!J:J)</f>
        <v>U</v>
      </c>
      <c r="H108" t="str">
        <f>_xlfn.XLOOKUP(A108,'[1]Tissue Data'!$A:$A,'[1]Tissue Data'!K:K)</f>
        <v>Whole Body</v>
      </c>
      <c r="I108">
        <f>_xlfn.XLOOKUP(A108,'[1]Tissue Data'!$A:$A,'[1]Tissue Data'!L:L)</f>
        <v>8</v>
      </c>
      <c r="J108">
        <f>_xlfn.XLOOKUP(A108,'[1]Tissue Data'!$A:$A,'[1]Tissue Data'!M:M)</f>
        <v>10.71</v>
      </c>
      <c r="K108" t="s">
        <v>18</v>
      </c>
      <c r="L108" t="str">
        <f>_xlfn.XLOOKUP(K108,[2]analyte_order!$B:$B,[2]analyte_order!$C:$C)</f>
        <v>335-76-2</v>
      </c>
      <c r="M108">
        <f>_xlfn.XLOOKUP(L108,[2]analyte_order!$C:$C,[2]analyte_order!$E:$E)</f>
        <v>7</v>
      </c>
      <c r="N108">
        <v>1.61</v>
      </c>
    </row>
    <row r="109" spans="1:14">
      <c r="A109" t="s">
        <v>230</v>
      </c>
      <c r="B109" t="str">
        <f>_xlfn.XLOOKUP(A109,'[1]Tissue Data'!$A:$A,'[1]Tissue Data'!$C:$C)</f>
        <v>Down</v>
      </c>
      <c r="C109" s="2">
        <f>_xlfn.XLOOKUP(A109,'[1]Tissue Data'!$A:$A,'[1]Tissue Data'!$D:$D)</f>
        <v>44314</v>
      </c>
      <c r="D109" s="2" t="str">
        <f>_xlfn.XLOOKUP(A109,'[1]Tissue Data'!$A:$A,'[1]Tissue Data'!$F:$F)</f>
        <v>Pumpkinseed</v>
      </c>
      <c r="E109" t="str">
        <f>_xlfn.XLOOKUP(A109,'[1]Tissue Data'!$A:$A,'[1]Tissue Data'!$H:$H)</f>
        <v>Lepomis</v>
      </c>
      <c r="F109" t="str">
        <f>_xlfn.XLOOKUP(A109,'[1]Tissue Data'!$A:$A,'[1]Tissue Data'!$I:$I)</f>
        <v>gibbosus</v>
      </c>
      <c r="G109" t="str">
        <f>_xlfn.XLOOKUP(A109,'[1]Tissue Data'!$A:$A,'[1]Tissue Data'!J:J)</f>
        <v>U</v>
      </c>
      <c r="H109" t="str">
        <f>_xlfn.XLOOKUP(A109,'[1]Tissue Data'!$A:$A,'[1]Tissue Data'!K:K)</f>
        <v>Whole Body</v>
      </c>
      <c r="I109">
        <f>_xlfn.XLOOKUP(A109,'[1]Tissue Data'!$A:$A,'[1]Tissue Data'!L:L)</f>
        <v>8</v>
      </c>
      <c r="J109">
        <f>_xlfn.XLOOKUP(A109,'[1]Tissue Data'!$A:$A,'[1]Tissue Data'!M:M)</f>
        <v>10.71</v>
      </c>
      <c r="K109" t="s">
        <v>19</v>
      </c>
      <c r="L109" t="str">
        <f>_xlfn.XLOOKUP(K109,[2]analyte_order!$B:$B,[2]analyte_order!$C:$C)</f>
        <v>2058-94-8</v>
      </c>
      <c r="M109">
        <f>_xlfn.XLOOKUP(L109,[2]analyte_order!$C:$C,[2]analyte_order!$E:$E)</f>
        <v>8</v>
      </c>
      <c r="N109">
        <v>4.03</v>
      </c>
    </row>
    <row r="110" spans="1:14">
      <c r="A110" t="s">
        <v>230</v>
      </c>
      <c r="B110" t="str">
        <f>_xlfn.XLOOKUP(A110,'[1]Tissue Data'!$A:$A,'[1]Tissue Data'!$C:$C)</f>
        <v>Down</v>
      </c>
      <c r="C110" s="2">
        <f>_xlfn.XLOOKUP(A110,'[1]Tissue Data'!$A:$A,'[1]Tissue Data'!$D:$D)</f>
        <v>44314</v>
      </c>
      <c r="D110" s="2" t="str">
        <f>_xlfn.XLOOKUP(A110,'[1]Tissue Data'!$A:$A,'[1]Tissue Data'!$F:$F)</f>
        <v>Pumpkinseed</v>
      </c>
      <c r="E110" t="str">
        <f>_xlfn.XLOOKUP(A110,'[1]Tissue Data'!$A:$A,'[1]Tissue Data'!$H:$H)</f>
        <v>Lepomis</v>
      </c>
      <c r="F110" t="str">
        <f>_xlfn.XLOOKUP(A110,'[1]Tissue Data'!$A:$A,'[1]Tissue Data'!$I:$I)</f>
        <v>gibbosus</v>
      </c>
      <c r="G110" t="str">
        <f>_xlfn.XLOOKUP(A110,'[1]Tissue Data'!$A:$A,'[1]Tissue Data'!J:J)</f>
        <v>U</v>
      </c>
      <c r="H110" t="str">
        <f>_xlfn.XLOOKUP(A110,'[1]Tissue Data'!$A:$A,'[1]Tissue Data'!K:K)</f>
        <v>Whole Body</v>
      </c>
      <c r="I110">
        <f>_xlfn.XLOOKUP(A110,'[1]Tissue Data'!$A:$A,'[1]Tissue Data'!L:L)</f>
        <v>8</v>
      </c>
      <c r="J110">
        <f>_xlfn.XLOOKUP(A110,'[1]Tissue Data'!$A:$A,'[1]Tissue Data'!M:M)</f>
        <v>10.71</v>
      </c>
      <c r="K110" t="s">
        <v>20</v>
      </c>
      <c r="L110" t="str">
        <f>_xlfn.XLOOKUP(K110,[2]analyte_order!$B:$B,[2]analyte_order!$C:$C)</f>
        <v>307-55-1</v>
      </c>
      <c r="M110">
        <f>_xlfn.XLOOKUP(L110,[2]analyte_order!$C:$C,[2]analyte_order!$E:$E)</f>
        <v>9</v>
      </c>
      <c r="N110">
        <v>5.7075992791465704E-2</v>
      </c>
    </row>
    <row r="111" spans="1:14">
      <c r="A111" t="s">
        <v>230</v>
      </c>
      <c r="B111" t="str">
        <f>_xlfn.XLOOKUP(A111,'[1]Tissue Data'!$A:$A,'[1]Tissue Data'!$C:$C)</f>
        <v>Down</v>
      </c>
      <c r="C111" s="2">
        <f>_xlfn.XLOOKUP(A111,'[1]Tissue Data'!$A:$A,'[1]Tissue Data'!$D:$D)</f>
        <v>44314</v>
      </c>
      <c r="D111" s="2" t="str">
        <f>_xlfn.XLOOKUP(A111,'[1]Tissue Data'!$A:$A,'[1]Tissue Data'!$F:$F)</f>
        <v>Pumpkinseed</v>
      </c>
      <c r="E111" t="str">
        <f>_xlfn.XLOOKUP(A111,'[1]Tissue Data'!$A:$A,'[1]Tissue Data'!$H:$H)</f>
        <v>Lepomis</v>
      </c>
      <c r="F111" t="str">
        <f>_xlfn.XLOOKUP(A111,'[1]Tissue Data'!$A:$A,'[1]Tissue Data'!$I:$I)</f>
        <v>gibbosus</v>
      </c>
      <c r="G111" t="str">
        <f>_xlfn.XLOOKUP(A111,'[1]Tissue Data'!$A:$A,'[1]Tissue Data'!J:J)</f>
        <v>U</v>
      </c>
      <c r="H111" t="str">
        <f>_xlfn.XLOOKUP(A111,'[1]Tissue Data'!$A:$A,'[1]Tissue Data'!K:K)</f>
        <v>Whole Body</v>
      </c>
      <c r="I111">
        <f>_xlfn.XLOOKUP(A111,'[1]Tissue Data'!$A:$A,'[1]Tissue Data'!L:L)</f>
        <v>8</v>
      </c>
      <c r="J111">
        <f>_xlfn.XLOOKUP(A111,'[1]Tissue Data'!$A:$A,'[1]Tissue Data'!M:M)</f>
        <v>10.71</v>
      </c>
      <c r="K111" t="s">
        <v>21</v>
      </c>
      <c r="L111" t="str">
        <f>_xlfn.XLOOKUP(K111,[2]analyte_order!$B:$B,[2]analyte_order!$C:$C)</f>
        <v>72629-94-8</v>
      </c>
      <c r="M111">
        <f>_xlfn.XLOOKUP(L111,[2]analyte_order!$C:$C,[2]analyte_order!$E:$E)</f>
        <v>10</v>
      </c>
      <c r="N111">
        <v>3.45</v>
      </c>
    </row>
    <row r="112" spans="1:14">
      <c r="A112" t="s">
        <v>230</v>
      </c>
      <c r="B112" t="str">
        <f>_xlfn.XLOOKUP(A112,'[1]Tissue Data'!$A:$A,'[1]Tissue Data'!$C:$C)</f>
        <v>Down</v>
      </c>
      <c r="C112" s="2">
        <f>_xlfn.XLOOKUP(A112,'[1]Tissue Data'!$A:$A,'[1]Tissue Data'!$D:$D)</f>
        <v>44314</v>
      </c>
      <c r="D112" s="2" t="str">
        <f>_xlfn.XLOOKUP(A112,'[1]Tissue Data'!$A:$A,'[1]Tissue Data'!$F:$F)</f>
        <v>Pumpkinseed</v>
      </c>
      <c r="E112" t="str">
        <f>_xlfn.XLOOKUP(A112,'[1]Tissue Data'!$A:$A,'[1]Tissue Data'!$H:$H)</f>
        <v>Lepomis</v>
      </c>
      <c r="F112" t="str">
        <f>_xlfn.XLOOKUP(A112,'[1]Tissue Data'!$A:$A,'[1]Tissue Data'!$I:$I)</f>
        <v>gibbosus</v>
      </c>
      <c r="G112" t="str">
        <f>_xlfn.XLOOKUP(A112,'[1]Tissue Data'!$A:$A,'[1]Tissue Data'!J:J)</f>
        <v>U</v>
      </c>
      <c r="H112" t="str">
        <f>_xlfn.XLOOKUP(A112,'[1]Tissue Data'!$A:$A,'[1]Tissue Data'!K:K)</f>
        <v>Whole Body</v>
      </c>
      <c r="I112">
        <f>_xlfn.XLOOKUP(A112,'[1]Tissue Data'!$A:$A,'[1]Tissue Data'!L:L)</f>
        <v>8</v>
      </c>
      <c r="J112">
        <f>_xlfn.XLOOKUP(A112,'[1]Tissue Data'!$A:$A,'[1]Tissue Data'!M:M)</f>
        <v>10.71</v>
      </c>
      <c r="K112" t="s">
        <v>22</v>
      </c>
      <c r="L112" t="str">
        <f>_xlfn.XLOOKUP(K112,[2]analyte_order!$B:$B,[2]analyte_order!$C:$C)</f>
        <v>376-06-7</v>
      </c>
      <c r="M112">
        <f>_xlfn.XLOOKUP(L112,[2]analyte_order!$C:$C,[2]analyte_order!$E:$E)</f>
        <v>11</v>
      </c>
      <c r="N112">
        <v>5.68</v>
      </c>
    </row>
    <row r="113" spans="1:14">
      <c r="A113" t="s">
        <v>230</v>
      </c>
      <c r="B113" t="str">
        <f>_xlfn.XLOOKUP(A113,'[1]Tissue Data'!$A:$A,'[1]Tissue Data'!$C:$C)</f>
        <v>Down</v>
      </c>
      <c r="C113" s="2">
        <f>_xlfn.XLOOKUP(A113,'[1]Tissue Data'!$A:$A,'[1]Tissue Data'!$D:$D)</f>
        <v>44314</v>
      </c>
      <c r="D113" s="2" t="str">
        <f>_xlfn.XLOOKUP(A113,'[1]Tissue Data'!$A:$A,'[1]Tissue Data'!$F:$F)</f>
        <v>Pumpkinseed</v>
      </c>
      <c r="E113" t="str">
        <f>_xlfn.XLOOKUP(A113,'[1]Tissue Data'!$A:$A,'[1]Tissue Data'!$H:$H)</f>
        <v>Lepomis</v>
      </c>
      <c r="F113" t="str">
        <f>_xlfn.XLOOKUP(A113,'[1]Tissue Data'!$A:$A,'[1]Tissue Data'!$I:$I)</f>
        <v>gibbosus</v>
      </c>
      <c r="G113" t="str">
        <f>_xlfn.XLOOKUP(A113,'[1]Tissue Data'!$A:$A,'[1]Tissue Data'!J:J)</f>
        <v>U</v>
      </c>
      <c r="H113" t="str">
        <f>_xlfn.XLOOKUP(A113,'[1]Tissue Data'!$A:$A,'[1]Tissue Data'!K:K)</f>
        <v>Whole Body</v>
      </c>
      <c r="I113">
        <f>_xlfn.XLOOKUP(A113,'[1]Tissue Data'!$A:$A,'[1]Tissue Data'!L:L)</f>
        <v>8</v>
      </c>
      <c r="J113">
        <f>_xlfn.XLOOKUP(A113,'[1]Tissue Data'!$A:$A,'[1]Tissue Data'!M:M)</f>
        <v>10.71</v>
      </c>
      <c r="K113" t="s">
        <v>23</v>
      </c>
      <c r="L113" t="str">
        <f>_xlfn.XLOOKUP(K113,[2]analyte_order!$B:$B,[2]analyte_order!$C:$C)</f>
        <v>67905-19-5</v>
      </c>
      <c r="M113">
        <f>_xlfn.XLOOKUP(L113,[2]analyte_order!$C:$C,[2]analyte_order!$E:$E)</f>
        <v>12</v>
      </c>
      <c r="N113">
        <v>8.5195114865799976E-2</v>
      </c>
    </row>
    <row r="114" spans="1:14">
      <c r="A114" t="s">
        <v>230</v>
      </c>
      <c r="B114" t="str">
        <f>_xlfn.XLOOKUP(A114,'[1]Tissue Data'!$A:$A,'[1]Tissue Data'!$C:$C)</f>
        <v>Down</v>
      </c>
      <c r="C114" s="2">
        <f>_xlfn.XLOOKUP(A114,'[1]Tissue Data'!$A:$A,'[1]Tissue Data'!$D:$D)</f>
        <v>44314</v>
      </c>
      <c r="D114" s="2" t="str">
        <f>_xlfn.XLOOKUP(A114,'[1]Tissue Data'!$A:$A,'[1]Tissue Data'!$F:$F)</f>
        <v>Pumpkinseed</v>
      </c>
      <c r="E114" t="str">
        <f>_xlfn.XLOOKUP(A114,'[1]Tissue Data'!$A:$A,'[1]Tissue Data'!$H:$H)</f>
        <v>Lepomis</v>
      </c>
      <c r="F114" t="str">
        <f>_xlfn.XLOOKUP(A114,'[1]Tissue Data'!$A:$A,'[1]Tissue Data'!$I:$I)</f>
        <v>gibbosus</v>
      </c>
      <c r="G114" t="str">
        <f>_xlfn.XLOOKUP(A114,'[1]Tissue Data'!$A:$A,'[1]Tissue Data'!J:J)</f>
        <v>U</v>
      </c>
      <c r="H114" t="str">
        <f>_xlfn.XLOOKUP(A114,'[1]Tissue Data'!$A:$A,'[1]Tissue Data'!K:K)</f>
        <v>Whole Body</v>
      </c>
      <c r="I114">
        <f>_xlfn.XLOOKUP(A114,'[1]Tissue Data'!$A:$A,'[1]Tissue Data'!L:L)</f>
        <v>8</v>
      </c>
      <c r="J114">
        <f>_xlfn.XLOOKUP(A114,'[1]Tissue Data'!$A:$A,'[1]Tissue Data'!M:M)</f>
        <v>10.71</v>
      </c>
      <c r="K114" t="s">
        <v>24</v>
      </c>
      <c r="L114" t="str">
        <f>_xlfn.XLOOKUP(K114,[2]analyte_order!$B:$B,[2]analyte_order!$C:$C)</f>
        <v>423-41-6</v>
      </c>
      <c r="M114">
        <f>_xlfn.XLOOKUP(L114,[2]analyte_order!$C:$C,[2]analyte_order!$E:$E)</f>
        <v>53</v>
      </c>
      <c r="N114">
        <v>5.4539252347976512E-2</v>
      </c>
    </row>
    <row r="115" spans="1:14">
      <c r="A115" t="s">
        <v>230</v>
      </c>
      <c r="B115" t="str">
        <f>_xlfn.XLOOKUP(A115,'[1]Tissue Data'!$A:$A,'[1]Tissue Data'!$C:$C)</f>
        <v>Down</v>
      </c>
      <c r="C115" s="2">
        <f>_xlfn.XLOOKUP(A115,'[1]Tissue Data'!$A:$A,'[1]Tissue Data'!$D:$D)</f>
        <v>44314</v>
      </c>
      <c r="D115" s="2" t="str">
        <f>_xlfn.XLOOKUP(A115,'[1]Tissue Data'!$A:$A,'[1]Tissue Data'!$F:$F)</f>
        <v>Pumpkinseed</v>
      </c>
      <c r="E115" t="str">
        <f>_xlfn.XLOOKUP(A115,'[1]Tissue Data'!$A:$A,'[1]Tissue Data'!$H:$H)</f>
        <v>Lepomis</v>
      </c>
      <c r="F115" t="str">
        <f>_xlfn.XLOOKUP(A115,'[1]Tissue Data'!$A:$A,'[1]Tissue Data'!$I:$I)</f>
        <v>gibbosus</v>
      </c>
      <c r="G115" t="str">
        <f>_xlfn.XLOOKUP(A115,'[1]Tissue Data'!$A:$A,'[1]Tissue Data'!J:J)</f>
        <v>U</v>
      </c>
      <c r="H115" t="str">
        <f>_xlfn.XLOOKUP(A115,'[1]Tissue Data'!$A:$A,'[1]Tissue Data'!K:K)</f>
        <v>Whole Body</v>
      </c>
      <c r="I115">
        <f>_xlfn.XLOOKUP(A115,'[1]Tissue Data'!$A:$A,'[1]Tissue Data'!L:L)</f>
        <v>8</v>
      </c>
      <c r="J115">
        <f>_xlfn.XLOOKUP(A115,'[1]Tissue Data'!$A:$A,'[1]Tissue Data'!M:M)</f>
        <v>10.71</v>
      </c>
      <c r="K115" t="s">
        <v>25</v>
      </c>
      <c r="L115" t="str">
        <f>_xlfn.XLOOKUP(K115,[2]analyte_order!$B:$B,[2]analyte_order!$C:$C)</f>
        <v>375-73-5</v>
      </c>
      <c r="M115">
        <f>_xlfn.XLOOKUP(L115,[2]analyte_order!$C:$C,[2]analyte_order!$E:$E)</f>
        <v>14</v>
      </c>
      <c r="N115">
        <v>0.16448667761842101</v>
      </c>
    </row>
    <row r="116" spans="1:14">
      <c r="A116" t="s">
        <v>230</v>
      </c>
      <c r="B116" t="str">
        <f>_xlfn.XLOOKUP(A116,'[1]Tissue Data'!$A:$A,'[1]Tissue Data'!$C:$C)</f>
        <v>Down</v>
      </c>
      <c r="C116" s="2">
        <f>_xlfn.XLOOKUP(A116,'[1]Tissue Data'!$A:$A,'[1]Tissue Data'!$D:$D)</f>
        <v>44314</v>
      </c>
      <c r="D116" s="2" t="str">
        <f>_xlfn.XLOOKUP(A116,'[1]Tissue Data'!$A:$A,'[1]Tissue Data'!$F:$F)</f>
        <v>Pumpkinseed</v>
      </c>
      <c r="E116" t="str">
        <f>_xlfn.XLOOKUP(A116,'[1]Tissue Data'!$A:$A,'[1]Tissue Data'!$H:$H)</f>
        <v>Lepomis</v>
      </c>
      <c r="F116" t="str">
        <f>_xlfn.XLOOKUP(A116,'[1]Tissue Data'!$A:$A,'[1]Tissue Data'!$I:$I)</f>
        <v>gibbosus</v>
      </c>
      <c r="G116" t="str">
        <f>_xlfn.XLOOKUP(A116,'[1]Tissue Data'!$A:$A,'[1]Tissue Data'!J:J)</f>
        <v>U</v>
      </c>
      <c r="H116" t="str">
        <f>_xlfn.XLOOKUP(A116,'[1]Tissue Data'!$A:$A,'[1]Tissue Data'!K:K)</f>
        <v>Whole Body</v>
      </c>
      <c r="I116">
        <f>_xlfn.XLOOKUP(A116,'[1]Tissue Data'!$A:$A,'[1]Tissue Data'!L:L)</f>
        <v>8</v>
      </c>
      <c r="J116">
        <f>_xlfn.XLOOKUP(A116,'[1]Tissue Data'!$A:$A,'[1]Tissue Data'!M:M)</f>
        <v>10.71</v>
      </c>
      <c r="K116" t="s">
        <v>26</v>
      </c>
      <c r="L116" t="str">
        <f>_xlfn.XLOOKUP(K116,[2]analyte_order!$B:$B,[2]analyte_order!$C:$C)</f>
        <v>2706-91-4</v>
      </c>
      <c r="M116">
        <f>_xlfn.XLOOKUP(L116,[2]analyte_order!$C:$C,[2]analyte_order!$E:$E)</f>
        <v>15</v>
      </c>
      <c r="N116">
        <v>0.12797809973390978</v>
      </c>
    </row>
    <row r="117" spans="1:14">
      <c r="A117" t="s">
        <v>230</v>
      </c>
      <c r="B117" t="str">
        <f>_xlfn.XLOOKUP(A117,'[1]Tissue Data'!$A:$A,'[1]Tissue Data'!$C:$C)</f>
        <v>Down</v>
      </c>
      <c r="C117" s="2">
        <f>_xlfn.XLOOKUP(A117,'[1]Tissue Data'!$A:$A,'[1]Tissue Data'!$D:$D)</f>
        <v>44314</v>
      </c>
      <c r="D117" s="2" t="str">
        <f>_xlfn.XLOOKUP(A117,'[1]Tissue Data'!$A:$A,'[1]Tissue Data'!$F:$F)</f>
        <v>Pumpkinseed</v>
      </c>
      <c r="E117" t="str">
        <f>_xlfn.XLOOKUP(A117,'[1]Tissue Data'!$A:$A,'[1]Tissue Data'!$H:$H)</f>
        <v>Lepomis</v>
      </c>
      <c r="F117" t="str">
        <f>_xlfn.XLOOKUP(A117,'[1]Tissue Data'!$A:$A,'[1]Tissue Data'!$I:$I)</f>
        <v>gibbosus</v>
      </c>
      <c r="G117" t="str">
        <f>_xlfn.XLOOKUP(A117,'[1]Tissue Data'!$A:$A,'[1]Tissue Data'!J:J)</f>
        <v>U</v>
      </c>
      <c r="H117" t="str">
        <f>_xlfn.XLOOKUP(A117,'[1]Tissue Data'!$A:$A,'[1]Tissue Data'!K:K)</f>
        <v>Whole Body</v>
      </c>
      <c r="I117">
        <f>_xlfn.XLOOKUP(A117,'[1]Tissue Data'!$A:$A,'[1]Tissue Data'!L:L)</f>
        <v>8</v>
      </c>
      <c r="J117">
        <f>_xlfn.XLOOKUP(A117,'[1]Tissue Data'!$A:$A,'[1]Tissue Data'!M:M)</f>
        <v>10.71</v>
      </c>
      <c r="K117" t="s">
        <v>27</v>
      </c>
      <c r="L117" t="str">
        <f>_xlfn.XLOOKUP(K117,[2]analyte_order!$B:$B,[2]analyte_order!$C:$C)</f>
        <v>355-46-4</v>
      </c>
      <c r="M117">
        <f>_xlfn.XLOOKUP(L117,[2]analyte_order!$C:$C,[2]analyte_order!$E:$E)</f>
        <v>16</v>
      </c>
      <c r="N117">
        <v>3.78</v>
      </c>
    </row>
    <row r="118" spans="1:14">
      <c r="A118" t="s">
        <v>230</v>
      </c>
      <c r="B118" t="str">
        <f>_xlfn.XLOOKUP(A118,'[1]Tissue Data'!$A:$A,'[1]Tissue Data'!$C:$C)</f>
        <v>Down</v>
      </c>
      <c r="C118" s="2">
        <f>_xlfn.XLOOKUP(A118,'[1]Tissue Data'!$A:$A,'[1]Tissue Data'!$D:$D)</f>
        <v>44314</v>
      </c>
      <c r="D118" s="2" t="str">
        <f>_xlfn.XLOOKUP(A118,'[1]Tissue Data'!$A:$A,'[1]Tissue Data'!$F:$F)</f>
        <v>Pumpkinseed</v>
      </c>
      <c r="E118" t="str">
        <f>_xlfn.XLOOKUP(A118,'[1]Tissue Data'!$A:$A,'[1]Tissue Data'!$H:$H)</f>
        <v>Lepomis</v>
      </c>
      <c r="F118" t="str">
        <f>_xlfn.XLOOKUP(A118,'[1]Tissue Data'!$A:$A,'[1]Tissue Data'!$I:$I)</f>
        <v>gibbosus</v>
      </c>
      <c r="G118" t="str">
        <f>_xlfn.XLOOKUP(A118,'[1]Tissue Data'!$A:$A,'[1]Tissue Data'!J:J)</f>
        <v>U</v>
      </c>
      <c r="H118" t="str">
        <f>_xlfn.XLOOKUP(A118,'[1]Tissue Data'!$A:$A,'[1]Tissue Data'!K:K)</f>
        <v>Whole Body</v>
      </c>
      <c r="I118">
        <f>_xlfn.XLOOKUP(A118,'[1]Tissue Data'!$A:$A,'[1]Tissue Data'!L:L)</f>
        <v>8</v>
      </c>
      <c r="J118">
        <f>_xlfn.XLOOKUP(A118,'[1]Tissue Data'!$A:$A,'[1]Tissue Data'!M:M)</f>
        <v>10.71</v>
      </c>
      <c r="K118" t="s">
        <v>28</v>
      </c>
      <c r="L118" t="str">
        <f>_xlfn.XLOOKUP(K118,[2]analyte_order!$B:$B,[2]analyte_order!$C:$C)</f>
        <v>375-92-8</v>
      </c>
      <c r="M118">
        <f>_xlfn.XLOOKUP(L118,[2]analyte_order!$C:$C,[2]analyte_order!$E:$E)</f>
        <v>17</v>
      </c>
      <c r="N118">
        <v>0.24167561761546721</v>
      </c>
    </row>
    <row r="119" spans="1:14">
      <c r="A119" t="s">
        <v>230</v>
      </c>
      <c r="B119" t="str">
        <f>_xlfn.XLOOKUP(A119,'[1]Tissue Data'!$A:$A,'[1]Tissue Data'!$C:$C)</f>
        <v>Down</v>
      </c>
      <c r="C119" s="2">
        <f>_xlfn.XLOOKUP(A119,'[1]Tissue Data'!$A:$A,'[1]Tissue Data'!$D:$D)</f>
        <v>44314</v>
      </c>
      <c r="D119" s="2" t="str">
        <f>_xlfn.XLOOKUP(A119,'[1]Tissue Data'!$A:$A,'[1]Tissue Data'!$F:$F)</f>
        <v>Pumpkinseed</v>
      </c>
      <c r="E119" t="str">
        <f>_xlfn.XLOOKUP(A119,'[1]Tissue Data'!$A:$A,'[1]Tissue Data'!$H:$H)</f>
        <v>Lepomis</v>
      </c>
      <c r="F119" t="str">
        <f>_xlfn.XLOOKUP(A119,'[1]Tissue Data'!$A:$A,'[1]Tissue Data'!$I:$I)</f>
        <v>gibbosus</v>
      </c>
      <c r="G119" t="str">
        <f>_xlfn.XLOOKUP(A119,'[1]Tissue Data'!$A:$A,'[1]Tissue Data'!J:J)</f>
        <v>U</v>
      </c>
      <c r="H119" t="str">
        <f>_xlfn.XLOOKUP(A119,'[1]Tissue Data'!$A:$A,'[1]Tissue Data'!K:K)</f>
        <v>Whole Body</v>
      </c>
      <c r="I119">
        <f>_xlfn.XLOOKUP(A119,'[1]Tissue Data'!$A:$A,'[1]Tissue Data'!L:L)</f>
        <v>8</v>
      </c>
      <c r="J119">
        <f>_xlfn.XLOOKUP(A119,'[1]Tissue Data'!$A:$A,'[1]Tissue Data'!M:M)</f>
        <v>10.71</v>
      </c>
      <c r="K119" t="s">
        <v>29</v>
      </c>
      <c r="L119" t="str">
        <f>_xlfn.XLOOKUP(K119,[2]analyte_order!$B:$B,[2]analyte_order!$C:$C)</f>
        <v>1763-23-1</v>
      </c>
      <c r="M119">
        <f>_xlfn.XLOOKUP(L119,[2]analyte_order!$C:$C,[2]analyte_order!$E:$E)</f>
        <v>18</v>
      </c>
      <c r="N119">
        <v>560</v>
      </c>
    </row>
    <row r="120" spans="1:14">
      <c r="A120" t="s">
        <v>230</v>
      </c>
      <c r="B120" t="str">
        <f>_xlfn.XLOOKUP(A120,'[1]Tissue Data'!$A:$A,'[1]Tissue Data'!$C:$C)</f>
        <v>Down</v>
      </c>
      <c r="C120" s="2">
        <f>_xlfn.XLOOKUP(A120,'[1]Tissue Data'!$A:$A,'[1]Tissue Data'!$D:$D)</f>
        <v>44314</v>
      </c>
      <c r="D120" s="2" t="str">
        <f>_xlfn.XLOOKUP(A120,'[1]Tissue Data'!$A:$A,'[1]Tissue Data'!$F:$F)</f>
        <v>Pumpkinseed</v>
      </c>
      <c r="E120" t="str">
        <f>_xlfn.XLOOKUP(A120,'[1]Tissue Data'!$A:$A,'[1]Tissue Data'!$H:$H)</f>
        <v>Lepomis</v>
      </c>
      <c r="F120" t="str">
        <f>_xlfn.XLOOKUP(A120,'[1]Tissue Data'!$A:$A,'[1]Tissue Data'!$I:$I)</f>
        <v>gibbosus</v>
      </c>
      <c r="G120" t="str">
        <f>_xlfn.XLOOKUP(A120,'[1]Tissue Data'!$A:$A,'[1]Tissue Data'!J:J)</f>
        <v>U</v>
      </c>
      <c r="H120" t="str">
        <f>_xlfn.XLOOKUP(A120,'[1]Tissue Data'!$A:$A,'[1]Tissue Data'!K:K)</f>
        <v>Whole Body</v>
      </c>
      <c r="I120">
        <f>_xlfn.XLOOKUP(A120,'[1]Tissue Data'!$A:$A,'[1]Tissue Data'!L:L)</f>
        <v>8</v>
      </c>
      <c r="J120">
        <f>_xlfn.XLOOKUP(A120,'[1]Tissue Data'!$A:$A,'[1]Tissue Data'!M:M)</f>
        <v>10.71</v>
      </c>
      <c r="K120" t="s">
        <v>30</v>
      </c>
      <c r="L120" t="str">
        <f>_xlfn.XLOOKUP(K120,[2]analyte_order!$B:$B,[2]analyte_order!$C:$C)</f>
        <v>68259-12-1</v>
      </c>
      <c r="M120">
        <f>_xlfn.XLOOKUP(L120,[2]analyte_order!$C:$C,[2]analyte_order!$E:$E)</f>
        <v>19</v>
      </c>
      <c r="N120">
        <v>0.38</v>
      </c>
    </row>
    <row r="121" spans="1:14">
      <c r="A121" t="s">
        <v>230</v>
      </c>
      <c r="B121" t="str">
        <f>_xlfn.XLOOKUP(A121,'[1]Tissue Data'!$A:$A,'[1]Tissue Data'!$C:$C)</f>
        <v>Down</v>
      </c>
      <c r="C121" s="2">
        <f>_xlfn.XLOOKUP(A121,'[1]Tissue Data'!$A:$A,'[1]Tissue Data'!$D:$D)</f>
        <v>44314</v>
      </c>
      <c r="D121" s="2" t="str">
        <f>_xlfn.XLOOKUP(A121,'[1]Tissue Data'!$A:$A,'[1]Tissue Data'!$F:$F)</f>
        <v>Pumpkinseed</v>
      </c>
      <c r="E121" t="str">
        <f>_xlfn.XLOOKUP(A121,'[1]Tissue Data'!$A:$A,'[1]Tissue Data'!$H:$H)</f>
        <v>Lepomis</v>
      </c>
      <c r="F121" t="str">
        <f>_xlfn.XLOOKUP(A121,'[1]Tissue Data'!$A:$A,'[1]Tissue Data'!$I:$I)</f>
        <v>gibbosus</v>
      </c>
      <c r="G121" t="str">
        <f>_xlfn.XLOOKUP(A121,'[1]Tissue Data'!$A:$A,'[1]Tissue Data'!J:J)</f>
        <v>U</v>
      </c>
      <c r="H121" t="str">
        <f>_xlfn.XLOOKUP(A121,'[1]Tissue Data'!$A:$A,'[1]Tissue Data'!K:K)</f>
        <v>Whole Body</v>
      </c>
      <c r="I121">
        <f>_xlfn.XLOOKUP(A121,'[1]Tissue Data'!$A:$A,'[1]Tissue Data'!L:L)</f>
        <v>8</v>
      </c>
      <c r="J121">
        <f>_xlfn.XLOOKUP(A121,'[1]Tissue Data'!$A:$A,'[1]Tissue Data'!M:M)</f>
        <v>10.71</v>
      </c>
      <c r="K121" t="s">
        <v>31</v>
      </c>
      <c r="L121" t="str">
        <f>_xlfn.XLOOKUP(K121,[2]analyte_order!$B:$B,[2]analyte_order!$C:$C)</f>
        <v>335-77-3</v>
      </c>
      <c r="M121">
        <f>_xlfn.XLOOKUP(L121,[2]analyte_order!$C:$C,[2]analyte_order!$E:$E)</f>
        <v>20</v>
      </c>
      <c r="N121">
        <v>0.47099999999999997</v>
      </c>
    </row>
    <row r="122" spans="1:14">
      <c r="A122" t="s">
        <v>230</v>
      </c>
      <c r="B122" t="str">
        <f>_xlfn.XLOOKUP(A122,'[1]Tissue Data'!$A:$A,'[1]Tissue Data'!$C:$C)</f>
        <v>Down</v>
      </c>
      <c r="C122" s="2">
        <f>_xlfn.XLOOKUP(A122,'[1]Tissue Data'!$A:$A,'[1]Tissue Data'!$D:$D)</f>
        <v>44314</v>
      </c>
      <c r="D122" s="2" t="str">
        <f>_xlfn.XLOOKUP(A122,'[1]Tissue Data'!$A:$A,'[1]Tissue Data'!$F:$F)</f>
        <v>Pumpkinseed</v>
      </c>
      <c r="E122" t="str">
        <f>_xlfn.XLOOKUP(A122,'[1]Tissue Data'!$A:$A,'[1]Tissue Data'!$H:$H)</f>
        <v>Lepomis</v>
      </c>
      <c r="F122" t="str">
        <f>_xlfn.XLOOKUP(A122,'[1]Tissue Data'!$A:$A,'[1]Tissue Data'!$I:$I)</f>
        <v>gibbosus</v>
      </c>
      <c r="G122" t="str">
        <f>_xlfn.XLOOKUP(A122,'[1]Tissue Data'!$A:$A,'[1]Tissue Data'!J:J)</f>
        <v>U</v>
      </c>
      <c r="H122" t="str">
        <f>_xlfn.XLOOKUP(A122,'[1]Tissue Data'!$A:$A,'[1]Tissue Data'!K:K)</f>
        <v>Whole Body</v>
      </c>
      <c r="I122">
        <f>_xlfn.XLOOKUP(A122,'[1]Tissue Data'!$A:$A,'[1]Tissue Data'!L:L)</f>
        <v>8</v>
      </c>
      <c r="J122">
        <f>_xlfn.XLOOKUP(A122,'[1]Tissue Data'!$A:$A,'[1]Tissue Data'!M:M)</f>
        <v>10.71</v>
      </c>
      <c r="K122" t="s">
        <v>32</v>
      </c>
      <c r="L122" t="str">
        <f>_xlfn.XLOOKUP(K122,[2]analyte_order!$B:$B,[2]analyte_order!$C:$C)</f>
        <v>79780-39-5</v>
      </c>
      <c r="M122">
        <f>_xlfn.XLOOKUP(L122,[2]analyte_order!$C:$C,[2]analyte_order!$E:$E)</f>
        <v>21</v>
      </c>
      <c r="N122">
        <v>0.2584407190026316</v>
      </c>
    </row>
    <row r="123" spans="1:14">
      <c r="A123" t="s">
        <v>230</v>
      </c>
      <c r="B123" t="str">
        <f>_xlfn.XLOOKUP(A123,'[1]Tissue Data'!$A:$A,'[1]Tissue Data'!$C:$C)</f>
        <v>Down</v>
      </c>
      <c r="C123" s="2">
        <f>_xlfn.XLOOKUP(A123,'[1]Tissue Data'!$A:$A,'[1]Tissue Data'!$D:$D)</f>
        <v>44314</v>
      </c>
      <c r="D123" s="2" t="str">
        <f>_xlfn.XLOOKUP(A123,'[1]Tissue Data'!$A:$A,'[1]Tissue Data'!$F:$F)</f>
        <v>Pumpkinseed</v>
      </c>
      <c r="E123" t="str">
        <f>_xlfn.XLOOKUP(A123,'[1]Tissue Data'!$A:$A,'[1]Tissue Data'!$H:$H)</f>
        <v>Lepomis</v>
      </c>
      <c r="F123" t="str">
        <f>_xlfn.XLOOKUP(A123,'[1]Tissue Data'!$A:$A,'[1]Tissue Data'!$I:$I)</f>
        <v>gibbosus</v>
      </c>
      <c r="G123" t="str">
        <f>_xlfn.XLOOKUP(A123,'[1]Tissue Data'!$A:$A,'[1]Tissue Data'!J:J)</f>
        <v>U</v>
      </c>
      <c r="H123" t="str">
        <f>_xlfn.XLOOKUP(A123,'[1]Tissue Data'!$A:$A,'[1]Tissue Data'!K:K)</f>
        <v>Whole Body</v>
      </c>
      <c r="I123">
        <f>_xlfn.XLOOKUP(A123,'[1]Tissue Data'!$A:$A,'[1]Tissue Data'!L:L)</f>
        <v>8</v>
      </c>
      <c r="J123">
        <f>_xlfn.XLOOKUP(A123,'[1]Tissue Data'!$A:$A,'[1]Tissue Data'!M:M)</f>
        <v>10.71</v>
      </c>
      <c r="K123" t="s">
        <v>33</v>
      </c>
      <c r="L123" t="str">
        <f>_xlfn.XLOOKUP(K123,[2]analyte_order!$B:$B,[2]analyte_order!$C:$C)</f>
        <v>777011-38-8</v>
      </c>
      <c r="M123">
        <f>_xlfn.XLOOKUP(L123,[2]analyte_order!$C:$C,[2]analyte_order!$E:$E)</f>
        <v>54</v>
      </c>
      <c r="N123">
        <v>0.14686245249293234</v>
      </c>
    </row>
    <row r="124" spans="1:14">
      <c r="A124" t="s">
        <v>230</v>
      </c>
      <c r="B124" t="str">
        <f>_xlfn.XLOOKUP(A124,'[1]Tissue Data'!$A:$A,'[1]Tissue Data'!$C:$C)</f>
        <v>Down</v>
      </c>
      <c r="C124" s="2">
        <f>_xlfn.XLOOKUP(A124,'[1]Tissue Data'!$A:$A,'[1]Tissue Data'!$D:$D)</f>
        <v>44314</v>
      </c>
      <c r="D124" s="2" t="str">
        <f>_xlfn.XLOOKUP(A124,'[1]Tissue Data'!$A:$A,'[1]Tissue Data'!$F:$F)</f>
        <v>Pumpkinseed</v>
      </c>
      <c r="E124" t="str">
        <f>_xlfn.XLOOKUP(A124,'[1]Tissue Data'!$A:$A,'[1]Tissue Data'!$H:$H)</f>
        <v>Lepomis</v>
      </c>
      <c r="F124" t="str">
        <f>_xlfn.XLOOKUP(A124,'[1]Tissue Data'!$A:$A,'[1]Tissue Data'!$I:$I)</f>
        <v>gibbosus</v>
      </c>
      <c r="G124" t="str">
        <f>_xlfn.XLOOKUP(A124,'[1]Tissue Data'!$A:$A,'[1]Tissue Data'!J:J)</f>
        <v>U</v>
      </c>
      <c r="H124" t="str">
        <f>_xlfn.XLOOKUP(A124,'[1]Tissue Data'!$A:$A,'[1]Tissue Data'!K:K)</f>
        <v>Whole Body</v>
      </c>
      <c r="I124">
        <f>_xlfn.XLOOKUP(A124,'[1]Tissue Data'!$A:$A,'[1]Tissue Data'!L:L)</f>
        <v>8</v>
      </c>
      <c r="J124">
        <f>_xlfn.XLOOKUP(A124,'[1]Tissue Data'!$A:$A,'[1]Tissue Data'!M:M)</f>
        <v>10.71</v>
      </c>
      <c r="K124" t="s">
        <v>34</v>
      </c>
      <c r="L124" t="str">
        <f>_xlfn.XLOOKUP(K124,[2]analyte_order!$B:$B,[2]analyte_order!$C:$C)</f>
        <v>646-83-3</v>
      </c>
      <c r="M124">
        <f>_xlfn.XLOOKUP(L124,[2]analyte_order!$C:$C,[2]analyte_order!$E:$E)</f>
        <v>55</v>
      </c>
      <c r="N124">
        <v>9.6670247046186875E-2</v>
      </c>
    </row>
    <row r="125" spans="1:14">
      <c r="A125" t="s">
        <v>230</v>
      </c>
      <c r="B125" t="str">
        <f>_xlfn.XLOOKUP(A125,'[1]Tissue Data'!$A:$A,'[1]Tissue Data'!$C:$C)</f>
        <v>Down</v>
      </c>
      <c r="C125" s="2">
        <f>_xlfn.XLOOKUP(A125,'[1]Tissue Data'!$A:$A,'[1]Tissue Data'!$D:$D)</f>
        <v>44314</v>
      </c>
      <c r="D125" s="2" t="str">
        <f>_xlfn.XLOOKUP(A125,'[1]Tissue Data'!$A:$A,'[1]Tissue Data'!$F:$F)</f>
        <v>Pumpkinseed</v>
      </c>
      <c r="E125" t="str">
        <f>_xlfn.XLOOKUP(A125,'[1]Tissue Data'!$A:$A,'[1]Tissue Data'!$H:$H)</f>
        <v>Lepomis</v>
      </c>
      <c r="F125" t="str">
        <f>_xlfn.XLOOKUP(A125,'[1]Tissue Data'!$A:$A,'[1]Tissue Data'!$I:$I)</f>
        <v>gibbosus</v>
      </c>
      <c r="G125" t="str">
        <f>_xlfn.XLOOKUP(A125,'[1]Tissue Data'!$A:$A,'[1]Tissue Data'!J:J)</f>
        <v>U</v>
      </c>
      <c r="H125" t="str">
        <f>_xlfn.XLOOKUP(A125,'[1]Tissue Data'!$A:$A,'[1]Tissue Data'!K:K)</f>
        <v>Whole Body</v>
      </c>
      <c r="I125">
        <f>_xlfn.XLOOKUP(A125,'[1]Tissue Data'!$A:$A,'[1]Tissue Data'!L:L)</f>
        <v>8</v>
      </c>
      <c r="J125">
        <f>_xlfn.XLOOKUP(A125,'[1]Tissue Data'!$A:$A,'[1]Tissue Data'!M:M)</f>
        <v>10.71</v>
      </c>
      <c r="K125" t="s">
        <v>35</v>
      </c>
      <c r="L125" t="str">
        <f>_xlfn.XLOOKUP(K125,[2]analyte_order!$B:$B,[2]analyte_order!$C:$C)</f>
        <v>30334-69-1</v>
      </c>
      <c r="M125">
        <f>_xlfn.XLOOKUP(L125,[2]analyte_order!$C:$C,[2]analyte_order!$E:$E)</f>
        <v>51</v>
      </c>
      <c r="N125">
        <v>61</v>
      </c>
    </row>
    <row r="126" spans="1:14">
      <c r="A126" t="s">
        <v>230</v>
      </c>
      <c r="B126" t="str">
        <f>_xlfn.XLOOKUP(A126,'[1]Tissue Data'!$A:$A,'[1]Tissue Data'!$C:$C)</f>
        <v>Down</v>
      </c>
      <c r="C126" s="2">
        <f>_xlfn.XLOOKUP(A126,'[1]Tissue Data'!$A:$A,'[1]Tissue Data'!$D:$D)</f>
        <v>44314</v>
      </c>
      <c r="D126" s="2" t="str">
        <f>_xlfn.XLOOKUP(A126,'[1]Tissue Data'!$A:$A,'[1]Tissue Data'!$F:$F)</f>
        <v>Pumpkinseed</v>
      </c>
      <c r="E126" t="str">
        <f>_xlfn.XLOOKUP(A126,'[1]Tissue Data'!$A:$A,'[1]Tissue Data'!$H:$H)</f>
        <v>Lepomis</v>
      </c>
      <c r="F126" t="str">
        <f>_xlfn.XLOOKUP(A126,'[1]Tissue Data'!$A:$A,'[1]Tissue Data'!$I:$I)</f>
        <v>gibbosus</v>
      </c>
      <c r="G126" t="str">
        <f>_xlfn.XLOOKUP(A126,'[1]Tissue Data'!$A:$A,'[1]Tissue Data'!J:J)</f>
        <v>U</v>
      </c>
      <c r="H126" t="str">
        <f>_xlfn.XLOOKUP(A126,'[1]Tissue Data'!$A:$A,'[1]Tissue Data'!K:K)</f>
        <v>Whole Body</v>
      </c>
      <c r="I126">
        <f>_xlfn.XLOOKUP(A126,'[1]Tissue Data'!$A:$A,'[1]Tissue Data'!L:L)</f>
        <v>8</v>
      </c>
      <c r="J126">
        <f>_xlfn.XLOOKUP(A126,'[1]Tissue Data'!$A:$A,'[1]Tissue Data'!M:M)</f>
        <v>10.71</v>
      </c>
      <c r="K126" t="s">
        <v>36</v>
      </c>
      <c r="L126" t="str">
        <f>_xlfn.XLOOKUP(K126,[2]analyte_order!$B:$B,[2]analyte_order!$C:$C)</f>
        <v>41997-13-1</v>
      </c>
      <c r="M126">
        <f>_xlfn.XLOOKUP(L126,[2]analyte_order!$C:$C,[2]analyte_order!$E:$E)</f>
        <v>52</v>
      </c>
      <c r="N126">
        <v>49.5</v>
      </c>
    </row>
    <row r="127" spans="1:14">
      <c r="A127" t="s">
        <v>230</v>
      </c>
      <c r="B127" t="str">
        <f>_xlfn.XLOOKUP(A127,'[1]Tissue Data'!$A:$A,'[1]Tissue Data'!$C:$C)</f>
        <v>Down</v>
      </c>
      <c r="C127" s="2">
        <f>_xlfn.XLOOKUP(A127,'[1]Tissue Data'!$A:$A,'[1]Tissue Data'!$D:$D)</f>
        <v>44314</v>
      </c>
      <c r="D127" s="2" t="str">
        <f>_xlfn.XLOOKUP(A127,'[1]Tissue Data'!$A:$A,'[1]Tissue Data'!$F:$F)</f>
        <v>Pumpkinseed</v>
      </c>
      <c r="E127" t="str">
        <f>_xlfn.XLOOKUP(A127,'[1]Tissue Data'!$A:$A,'[1]Tissue Data'!$H:$H)</f>
        <v>Lepomis</v>
      </c>
      <c r="F127" t="str">
        <f>_xlfn.XLOOKUP(A127,'[1]Tissue Data'!$A:$A,'[1]Tissue Data'!$I:$I)</f>
        <v>gibbosus</v>
      </c>
      <c r="G127" t="str">
        <f>_xlfn.XLOOKUP(A127,'[1]Tissue Data'!$A:$A,'[1]Tissue Data'!J:J)</f>
        <v>U</v>
      </c>
      <c r="H127" t="str">
        <f>_xlfn.XLOOKUP(A127,'[1]Tissue Data'!$A:$A,'[1]Tissue Data'!K:K)</f>
        <v>Whole Body</v>
      </c>
      <c r="I127">
        <f>_xlfn.XLOOKUP(A127,'[1]Tissue Data'!$A:$A,'[1]Tissue Data'!L:L)</f>
        <v>8</v>
      </c>
      <c r="J127">
        <f>_xlfn.XLOOKUP(A127,'[1]Tissue Data'!$A:$A,'[1]Tissue Data'!M:M)</f>
        <v>10.71</v>
      </c>
      <c r="K127" t="s">
        <v>37</v>
      </c>
      <c r="L127" t="str">
        <f>_xlfn.XLOOKUP(K127,[2]analyte_order!$B:$B,[2]analyte_order!$C:$C)</f>
        <v>754-91-6</v>
      </c>
      <c r="M127">
        <f>_xlfn.XLOOKUP(L127,[2]analyte_order!$C:$C,[2]analyte_order!$E:$E)</f>
        <v>28</v>
      </c>
      <c r="N127">
        <v>13.8</v>
      </c>
    </row>
    <row r="128" spans="1:14">
      <c r="A128" t="s">
        <v>230</v>
      </c>
      <c r="B128" t="str">
        <f>_xlfn.XLOOKUP(A128,'[1]Tissue Data'!$A:$A,'[1]Tissue Data'!$C:$C)</f>
        <v>Down</v>
      </c>
      <c r="C128" s="2">
        <f>_xlfn.XLOOKUP(A128,'[1]Tissue Data'!$A:$A,'[1]Tissue Data'!$D:$D)</f>
        <v>44314</v>
      </c>
      <c r="D128" s="2" t="str">
        <f>_xlfn.XLOOKUP(A128,'[1]Tissue Data'!$A:$A,'[1]Tissue Data'!$F:$F)</f>
        <v>Pumpkinseed</v>
      </c>
      <c r="E128" t="str">
        <f>_xlfn.XLOOKUP(A128,'[1]Tissue Data'!$A:$A,'[1]Tissue Data'!$H:$H)</f>
        <v>Lepomis</v>
      </c>
      <c r="F128" t="str">
        <f>_xlfn.XLOOKUP(A128,'[1]Tissue Data'!$A:$A,'[1]Tissue Data'!$I:$I)</f>
        <v>gibbosus</v>
      </c>
      <c r="G128" t="str">
        <f>_xlfn.XLOOKUP(A128,'[1]Tissue Data'!$A:$A,'[1]Tissue Data'!J:J)</f>
        <v>U</v>
      </c>
      <c r="H128" t="str">
        <f>_xlfn.XLOOKUP(A128,'[1]Tissue Data'!$A:$A,'[1]Tissue Data'!K:K)</f>
        <v>Whole Body</v>
      </c>
      <c r="I128">
        <f>_xlfn.XLOOKUP(A128,'[1]Tissue Data'!$A:$A,'[1]Tissue Data'!L:L)</f>
        <v>8</v>
      </c>
      <c r="J128">
        <f>_xlfn.XLOOKUP(A128,'[1]Tissue Data'!$A:$A,'[1]Tissue Data'!M:M)</f>
        <v>10.71</v>
      </c>
      <c r="K128" t="s">
        <v>38</v>
      </c>
      <c r="L128" t="str">
        <f>_xlfn.XLOOKUP(K128,[2]analyte_order!$B:$B,[2]analyte_order!$C:$C)</f>
        <v>31506-32-8</v>
      </c>
      <c r="M128">
        <f>_xlfn.XLOOKUP(L128,[2]analyte_order!$C:$C,[2]analyte_order!$E:$E)</f>
        <v>30</v>
      </c>
      <c r="N128">
        <v>5.5070380889075281E-2</v>
      </c>
    </row>
    <row r="129" spans="1:14">
      <c r="A129" t="s">
        <v>230</v>
      </c>
      <c r="B129" t="str">
        <f>_xlfn.XLOOKUP(A129,'[1]Tissue Data'!$A:$A,'[1]Tissue Data'!$C:$C)</f>
        <v>Down</v>
      </c>
      <c r="C129" s="2">
        <f>_xlfn.XLOOKUP(A129,'[1]Tissue Data'!$A:$A,'[1]Tissue Data'!$D:$D)</f>
        <v>44314</v>
      </c>
      <c r="D129" s="2" t="str">
        <f>_xlfn.XLOOKUP(A129,'[1]Tissue Data'!$A:$A,'[1]Tissue Data'!$F:$F)</f>
        <v>Pumpkinseed</v>
      </c>
      <c r="E129" t="str">
        <f>_xlfn.XLOOKUP(A129,'[1]Tissue Data'!$A:$A,'[1]Tissue Data'!$H:$H)</f>
        <v>Lepomis</v>
      </c>
      <c r="F129" t="str">
        <f>_xlfn.XLOOKUP(A129,'[1]Tissue Data'!$A:$A,'[1]Tissue Data'!$I:$I)</f>
        <v>gibbosus</v>
      </c>
      <c r="G129" t="str">
        <f>_xlfn.XLOOKUP(A129,'[1]Tissue Data'!$A:$A,'[1]Tissue Data'!J:J)</f>
        <v>U</v>
      </c>
      <c r="H129" t="str">
        <f>_xlfn.XLOOKUP(A129,'[1]Tissue Data'!$A:$A,'[1]Tissue Data'!K:K)</f>
        <v>Whole Body</v>
      </c>
      <c r="I129">
        <f>_xlfn.XLOOKUP(A129,'[1]Tissue Data'!$A:$A,'[1]Tissue Data'!L:L)</f>
        <v>8</v>
      </c>
      <c r="J129">
        <f>_xlfn.XLOOKUP(A129,'[1]Tissue Data'!$A:$A,'[1]Tissue Data'!M:M)</f>
        <v>10.71</v>
      </c>
      <c r="K129" t="s">
        <v>39</v>
      </c>
      <c r="L129" t="str">
        <f>_xlfn.XLOOKUP(K129,[2]analyte_order!$B:$B,[2]analyte_order!$C:$C)</f>
        <v>4151-50-2</v>
      </c>
      <c r="M129">
        <f>_xlfn.XLOOKUP(L129,[2]analyte_order!$C:$C,[2]analyte_order!$E:$E)</f>
        <v>31</v>
      </c>
      <c r="N129">
        <v>8.341930124292303E-2</v>
      </c>
    </row>
    <row r="130" spans="1:14">
      <c r="A130" t="s">
        <v>230</v>
      </c>
      <c r="B130" t="str">
        <f>_xlfn.XLOOKUP(A130,'[1]Tissue Data'!$A:$A,'[1]Tissue Data'!$C:$C)</f>
        <v>Down</v>
      </c>
      <c r="C130" s="2">
        <f>_xlfn.XLOOKUP(A130,'[1]Tissue Data'!$A:$A,'[1]Tissue Data'!$D:$D)</f>
        <v>44314</v>
      </c>
      <c r="D130" s="2" t="str">
        <f>_xlfn.XLOOKUP(A130,'[1]Tissue Data'!$A:$A,'[1]Tissue Data'!$F:$F)</f>
        <v>Pumpkinseed</v>
      </c>
      <c r="E130" t="str">
        <f>_xlfn.XLOOKUP(A130,'[1]Tissue Data'!$A:$A,'[1]Tissue Data'!$H:$H)</f>
        <v>Lepomis</v>
      </c>
      <c r="F130" t="str">
        <f>_xlfn.XLOOKUP(A130,'[1]Tissue Data'!$A:$A,'[1]Tissue Data'!$I:$I)</f>
        <v>gibbosus</v>
      </c>
      <c r="G130" t="str">
        <f>_xlfn.XLOOKUP(A130,'[1]Tissue Data'!$A:$A,'[1]Tissue Data'!J:J)</f>
        <v>U</v>
      </c>
      <c r="H130" t="str">
        <f>_xlfn.XLOOKUP(A130,'[1]Tissue Data'!$A:$A,'[1]Tissue Data'!K:K)</f>
        <v>Whole Body</v>
      </c>
      <c r="I130">
        <f>_xlfn.XLOOKUP(A130,'[1]Tissue Data'!$A:$A,'[1]Tissue Data'!L:L)</f>
        <v>8</v>
      </c>
      <c r="J130">
        <f>_xlfn.XLOOKUP(A130,'[1]Tissue Data'!$A:$A,'[1]Tissue Data'!M:M)</f>
        <v>10.71</v>
      </c>
      <c r="K130" t="s">
        <v>40</v>
      </c>
      <c r="L130" t="str">
        <f>_xlfn.XLOOKUP(K130,[2]analyte_order!$B:$B,[2]analyte_order!$C:$C)</f>
        <v>2806-24-8</v>
      </c>
      <c r="M130">
        <f>_xlfn.XLOOKUP(L130,[2]analyte_order!$C:$C,[2]analyte_order!$E:$E)</f>
        <v>29</v>
      </c>
      <c r="N130">
        <v>5.6346519074229398E-2</v>
      </c>
    </row>
    <row r="131" spans="1:14">
      <c r="A131" t="s">
        <v>230</v>
      </c>
      <c r="B131" t="str">
        <f>_xlfn.XLOOKUP(A131,'[1]Tissue Data'!$A:$A,'[1]Tissue Data'!$C:$C)</f>
        <v>Down</v>
      </c>
      <c r="C131" s="2">
        <f>_xlfn.XLOOKUP(A131,'[1]Tissue Data'!$A:$A,'[1]Tissue Data'!$D:$D)</f>
        <v>44314</v>
      </c>
      <c r="D131" s="2" t="str">
        <f>_xlfn.XLOOKUP(A131,'[1]Tissue Data'!$A:$A,'[1]Tissue Data'!$F:$F)</f>
        <v>Pumpkinseed</v>
      </c>
      <c r="E131" t="str">
        <f>_xlfn.XLOOKUP(A131,'[1]Tissue Data'!$A:$A,'[1]Tissue Data'!$H:$H)</f>
        <v>Lepomis</v>
      </c>
      <c r="F131" t="str">
        <f>_xlfn.XLOOKUP(A131,'[1]Tissue Data'!$A:$A,'[1]Tissue Data'!$I:$I)</f>
        <v>gibbosus</v>
      </c>
      <c r="G131" t="str">
        <f>_xlfn.XLOOKUP(A131,'[1]Tissue Data'!$A:$A,'[1]Tissue Data'!J:J)</f>
        <v>U</v>
      </c>
      <c r="H131" t="str">
        <f>_xlfn.XLOOKUP(A131,'[1]Tissue Data'!$A:$A,'[1]Tissue Data'!K:K)</f>
        <v>Whole Body</v>
      </c>
      <c r="I131">
        <f>_xlfn.XLOOKUP(A131,'[1]Tissue Data'!$A:$A,'[1]Tissue Data'!L:L)</f>
        <v>8</v>
      </c>
      <c r="J131">
        <f>_xlfn.XLOOKUP(A131,'[1]Tissue Data'!$A:$A,'[1]Tissue Data'!M:M)</f>
        <v>10.71</v>
      </c>
      <c r="K131" t="s">
        <v>41</v>
      </c>
      <c r="L131" t="str">
        <f>_xlfn.XLOOKUP(K131,[2]analyte_order!$B:$B,[2]analyte_order!$C:$C)</f>
        <v>2355-31-9</v>
      </c>
      <c r="M131">
        <f>_xlfn.XLOOKUP(L131,[2]analyte_order!$C:$C,[2]analyte_order!$E:$E)</f>
        <v>26</v>
      </c>
      <c r="N131">
        <v>8.85</v>
      </c>
    </row>
    <row r="132" spans="1:14">
      <c r="A132" t="s">
        <v>230</v>
      </c>
      <c r="B132" t="str">
        <f>_xlfn.XLOOKUP(A132,'[1]Tissue Data'!$A:$A,'[1]Tissue Data'!$C:$C)</f>
        <v>Down</v>
      </c>
      <c r="C132" s="2">
        <f>_xlfn.XLOOKUP(A132,'[1]Tissue Data'!$A:$A,'[1]Tissue Data'!$D:$D)</f>
        <v>44314</v>
      </c>
      <c r="D132" s="2" t="str">
        <f>_xlfn.XLOOKUP(A132,'[1]Tissue Data'!$A:$A,'[1]Tissue Data'!$F:$F)</f>
        <v>Pumpkinseed</v>
      </c>
      <c r="E132" t="str">
        <f>_xlfn.XLOOKUP(A132,'[1]Tissue Data'!$A:$A,'[1]Tissue Data'!$H:$H)</f>
        <v>Lepomis</v>
      </c>
      <c r="F132" t="str">
        <f>_xlfn.XLOOKUP(A132,'[1]Tissue Data'!$A:$A,'[1]Tissue Data'!$I:$I)</f>
        <v>gibbosus</v>
      </c>
      <c r="G132" t="str">
        <f>_xlfn.XLOOKUP(A132,'[1]Tissue Data'!$A:$A,'[1]Tissue Data'!J:J)</f>
        <v>U</v>
      </c>
      <c r="H132" t="str">
        <f>_xlfn.XLOOKUP(A132,'[1]Tissue Data'!$A:$A,'[1]Tissue Data'!K:K)</f>
        <v>Whole Body</v>
      </c>
      <c r="I132">
        <f>_xlfn.XLOOKUP(A132,'[1]Tissue Data'!$A:$A,'[1]Tissue Data'!L:L)</f>
        <v>8</v>
      </c>
      <c r="J132">
        <f>_xlfn.XLOOKUP(A132,'[1]Tissue Data'!$A:$A,'[1]Tissue Data'!M:M)</f>
        <v>10.71</v>
      </c>
      <c r="K132" t="s">
        <v>42</v>
      </c>
      <c r="L132" t="str">
        <f>_xlfn.XLOOKUP(K132,[2]analyte_order!$B:$B,[2]analyte_order!$C:$C)</f>
        <v>2991-50-6</v>
      </c>
      <c r="M132">
        <f>_xlfn.XLOOKUP(L132,[2]analyte_order!$C:$C,[2]analyte_order!$E:$E)</f>
        <v>27</v>
      </c>
      <c r="N132">
        <v>6.2047775310861815E-2</v>
      </c>
    </row>
    <row r="133" spans="1:14">
      <c r="A133" t="s">
        <v>230</v>
      </c>
      <c r="B133" t="str">
        <f>_xlfn.XLOOKUP(A133,'[1]Tissue Data'!$A:$A,'[1]Tissue Data'!$C:$C)</f>
        <v>Down</v>
      </c>
      <c r="C133" s="2">
        <f>_xlfn.XLOOKUP(A133,'[1]Tissue Data'!$A:$A,'[1]Tissue Data'!$D:$D)</f>
        <v>44314</v>
      </c>
      <c r="D133" s="2" t="str">
        <f>_xlfn.XLOOKUP(A133,'[1]Tissue Data'!$A:$A,'[1]Tissue Data'!$F:$F)</f>
        <v>Pumpkinseed</v>
      </c>
      <c r="E133" t="str">
        <f>_xlfn.XLOOKUP(A133,'[1]Tissue Data'!$A:$A,'[1]Tissue Data'!$H:$H)</f>
        <v>Lepomis</v>
      </c>
      <c r="F133" t="str">
        <f>_xlfn.XLOOKUP(A133,'[1]Tissue Data'!$A:$A,'[1]Tissue Data'!$I:$I)</f>
        <v>gibbosus</v>
      </c>
      <c r="G133" t="str">
        <f>_xlfn.XLOOKUP(A133,'[1]Tissue Data'!$A:$A,'[1]Tissue Data'!J:J)</f>
        <v>U</v>
      </c>
      <c r="H133" t="str">
        <f>_xlfn.XLOOKUP(A133,'[1]Tissue Data'!$A:$A,'[1]Tissue Data'!K:K)</f>
        <v>Whole Body</v>
      </c>
      <c r="I133">
        <f>_xlfn.XLOOKUP(A133,'[1]Tissue Data'!$A:$A,'[1]Tissue Data'!L:L)</f>
        <v>8</v>
      </c>
      <c r="J133">
        <f>_xlfn.XLOOKUP(A133,'[1]Tissue Data'!$A:$A,'[1]Tissue Data'!M:M)</f>
        <v>10.71</v>
      </c>
      <c r="K133" t="s">
        <v>43</v>
      </c>
      <c r="L133" t="str">
        <f>_xlfn.XLOOKUP(K133,[2]analyte_order!$B:$B,[2]analyte_order!$C:$C)</f>
        <v>757124-72-4</v>
      </c>
      <c r="M133">
        <f>_xlfn.XLOOKUP(L133,[2]analyte_order!$C:$C,[2]analyte_order!$E:$E)</f>
        <v>22</v>
      </c>
      <c r="N133">
        <v>0.19850957592631577</v>
      </c>
    </row>
    <row r="134" spans="1:14">
      <c r="A134" t="s">
        <v>230</v>
      </c>
      <c r="B134" t="str">
        <f>_xlfn.XLOOKUP(A134,'[1]Tissue Data'!$A:$A,'[1]Tissue Data'!$C:$C)</f>
        <v>Down</v>
      </c>
      <c r="C134" s="2">
        <f>_xlfn.XLOOKUP(A134,'[1]Tissue Data'!$A:$A,'[1]Tissue Data'!$D:$D)</f>
        <v>44314</v>
      </c>
      <c r="D134" s="2" t="str">
        <f>_xlfn.XLOOKUP(A134,'[1]Tissue Data'!$A:$A,'[1]Tissue Data'!$F:$F)</f>
        <v>Pumpkinseed</v>
      </c>
      <c r="E134" t="str">
        <f>_xlfn.XLOOKUP(A134,'[1]Tissue Data'!$A:$A,'[1]Tissue Data'!$H:$H)</f>
        <v>Lepomis</v>
      </c>
      <c r="F134" t="str">
        <f>_xlfn.XLOOKUP(A134,'[1]Tissue Data'!$A:$A,'[1]Tissue Data'!$I:$I)</f>
        <v>gibbosus</v>
      </c>
      <c r="G134" t="str">
        <f>_xlfn.XLOOKUP(A134,'[1]Tissue Data'!$A:$A,'[1]Tissue Data'!J:J)</f>
        <v>U</v>
      </c>
      <c r="H134" t="str">
        <f>_xlfn.XLOOKUP(A134,'[1]Tissue Data'!$A:$A,'[1]Tissue Data'!K:K)</f>
        <v>Whole Body</v>
      </c>
      <c r="I134">
        <f>_xlfn.XLOOKUP(A134,'[1]Tissue Data'!$A:$A,'[1]Tissue Data'!L:L)</f>
        <v>8</v>
      </c>
      <c r="J134">
        <f>_xlfn.XLOOKUP(A134,'[1]Tissue Data'!$A:$A,'[1]Tissue Data'!M:M)</f>
        <v>10.71</v>
      </c>
      <c r="K134" t="s">
        <v>44</v>
      </c>
      <c r="L134" t="str">
        <f>_xlfn.XLOOKUP(K134,[2]analyte_order!$B:$B,[2]analyte_order!$C:$C)</f>
        <v>27619-97-2</v>
      </c>
      <c r="M134">
        <f>_xlfn.XLOOKUP(L134,[2]analyte_order!$C:$C,[2]analyte_order!$E:$E)</f>
        <v>23</v>
      </c>
      <c r="N134">
        <v>4.315775150089117E-2</v>
      </c>
    </row>
    <row r="135" spans="1:14">
      <c r="A135" t="s">
        <v>230</v>
      </c>
      <c r="B135" t="str">
        <f>_xlfn.XLOOKUP(A135,'[1]Tissue Data'!$A:$A,'[1]Tissue Data'!$C:$C)</f>
        <v>Down</v>
      </c>
      <c r="C135" s="2">
        <f>_xlfn.XLOOKUP(A135,'[1]Tissue Data'!$A:$A,'[1]Tissue Data'!$D:$D)</f>
        <v>44314</v>
      </c>
      <c r="D135" s="2" t="str">
        <f>_xlfn.XLOOKUP(A135,'[1]Tissue Data'!$A:$A,'[1]Tissue Data'!$F:$F)</f>
        <v>Pumpkinseed</v>
      </c>
      <c r="E135" t="str">
        <f>_xlfn.XLOOKUP(A135,'[1]Tissue Data'!$A:$A,'[1]Tissue Data'!$H:$H)</f>
        <v>Lepomis</v>
      </c>
      <c r="F135" t="str">
        <f>_xlfn.XLOOKUP(A135,'[1]Tissue Data'!$A:$A,'[1]Tissue Data'!$I:$I)</f>
        <v>gibbosus</v>
      </c>
      <c r="G135" t="str">
        <f>_xlfn.XLOOKUP(A135,'[1]Tissue Data'!$A:$A,'[1]Tissue Data'!J:J)</f>
        <v>U</v>
      </c>
      <c r="H135" t="str">
        <f>_xlfn.XLOOKUP(A135,'[1]Tissue Data'!$A:$A,'[1]Tissue Data'!K:K)</f>
        <v>Whole Body</v>
      </c>
      <c r="I135">
        <f>_xlfn.XLOOKUP(A135,'[1]Tissue Data'!$A:$A,'[1]Tissue Data'!L:L)</f>
        <v>8</v>
      </c>
      <c r="J135">
        <f>_xlfn.XLOOKUP(A135,'[1]Tissue Data'!$A:$A,'[1]Tissue Data'!M:M)</f>
        <v>10.71</v>
      </c>
      <c r="K135" t="s">
        <v>45</v>
      </c>
      <c r="L135" t="str">
        <f>_xlfn.XLOOKUP(K135,[2]analyte_order!$B:$B,[2]analyte_order!$C:$C)</f>
        <v>39108-34-4</v>
      </c>
      <c r="M135">
        <f>_xlfn.XLOOKUP(L135,[2]analyte_order!$C:$C,[2]analyte_order!$E:$E)</f>
        <v>24</v>
      </c>
      <c r="N135">
        <v>0.77600000000000002</v>
      </c>
    </row>
    <row r="136" spans="1:14">
      <c r="A136" t="s">
        <v>230</v>
      </c>
      <c r="B136" t="str">
        <f>_xlfn.XLOOKUP(A136,'[1]Tissue Data'!$A:$A,'[1]Tissue Data'!$C:$C)</f>
        <v>Down</v>
      </c>
      <c r="C136" s="2">
        <f>_xlfn.XLOOKUP(A136,'[1]Tissue Data'!$A:$A,'[1]Tissue Data'!$D:$D)</f>
        <v>44314</v>
      </c>
      <c r="D136" s="2" t="str">
        <f>_xlfn.XLOOKUP(A136,'[1]Tissue Data'!$A:$A,'[1]Tissue Data'!$F:$F)</f>
        <v>Pumpkinseed</v>
      </c>
      <c r="E136" t="str">
        <f>_xlfn.XLOOKUP(A136,'[1]Tissue Data'!$A:$A,'[1]Tissue Data'!$H:$H)</f>
        <v>Lepomis</v>
      </c>
      <c r="F136" t="str">
        <f>_xlfn.XLOOKUP(A136,'[1]Tissue Data'!$A:$A,'[1]Tissue Data'!$I:$I)</f>
        <v>gibbosus</v>
      </c>
      <c r="G136" t="str">
        <f>_xlfn.XLOOKUP(A136,'[1]Tissue Data'!$A:$A,'[1]Tissue Data'!J:J)</f>
        <v>U</v>
      </c>
      <c r="H136" t="str">
        <f>_xlfn.XLOOKUP(A136,'[1]Tissue Data'!$A:$A,'[1]Tissue Data'!K:K)</f>
        <v>Whole Body</v>
      </c>
      <c r="I136">
        <f>_xlfn.XLOOKUP(A136,'[1]Tissue Data'!$A:$A,'[1]Tissue Data'!L:L)</f>
        <v>8</v>
      </c>
      <c r="J136">
        <f>_xlfn.XLOOKUP(A136,'[1]Tissue Data'!$A:$A,'[1]Tissue Data'!M:M)</f>
        <v>10.71</v>
      </c>
      <c r="K136" t="s">
        <v>46</v>
      </c>
      <c r="L136" t="str">
        <f>_xlfn.XLOOKUP(K136,[2]analyte_order!$B:$B,[2]analyte_order!$C:$C)</f>
        <v>120226-60-0</v>
      </c>
      <c r="M136">
        <f>_xlfn.XLOOKUP(L136,[2]analyte_order!$C:$C,[2]analyte_order!$E:$E)</f>
        <v>25</v>
      </c>
      <c r="N136">
        <v>8.1168069196896619E-2</v>
      </c>
    </row>
    <row r="137" spans="1:14">
      <c r="A137" t="s">
        <v>230</v>
      </c>
      <c r="B137" t="str">
        <f>_xlfn.XLOOKUP(A137,'[1]Tissue Data'!$A:$A,'[1]Tissue Data'!$C:$C)</f>
        <v>Down</v>
      </c>
      <c r="C137" s="2">
        <f>_xlfn.XLOOKUP(A137,'[1]Tissue Data'!$A:$A,'[1]Tissue Data'!$D:$D)</f>
        <v>44314</v>
      </c>
      <c r="D137" s="2" t="str">
        <f>_xlfn.XLOOKUP(A137,'[1]Tissue Data'!$A:$A,'[1]Tissue Data'!$F:$F)</f>
        <v>Pumpkinseed</v>
      </c>
      <c r="E137" t="str">
        <f>_xlfn.XLOOKUP(A137,'[1]Tissue Data'!$A:$A,'[1]Tissue Data'!$H:$H)</f>
        <v>Lepomis</v>
      </c>
      <c r="F137" t="str">
        <f>_xlfn.XLOOKUP(A137,'[1]Tissue Data'!$A:$A,'[1]Tissue Data'!$I:$I)</f>
        <v>gibbosus</v>
      </c>
      <c r="G137" t="str">
        <f>_xlfn.XLOOKUP(A137,'[1]Tissue Data'!$A:$A,'[1]Tissue Data'!J:J)</f>
        <v>U</v>
      </c>
      <c r="H137" t="str">
        <f>_xlfn.XLOOKUP(A137,'[1]Tissue Data'!$A:$A,'[1]Tissue Data'!K:K)</f>
        <v>Whole Body</v>
      </c>
      <c r="I137">
        <f>_xlfn.XLOOKUP(A137,'[1]Tissue Data'!$A:$A,'[1]Tissue Data'!L:L)</f>
        <v>8</v>
      </c>
      <c r="J137">
        <f>_xlfn.XLOOKUP(A137,'[1]Tissue Data'!$A:$A,'[1]Tissue Data'!M:M)</f>
        <v>10.71</v>
      </c>
      <c r="K137" t="s">
        <v>47</v>
      </c>
      <c r="L137" t="str">
        <f>_xlfn.XLOOKUP(K137,[2]analyte_order!$B:$B,[2]analyte_order!$C:$C)</f>
        <v>356-02-5</v>
      </c>
      <c r="M137">
        <f>_xlfn.XLOOKUP(L137,[2]analyte_order!$C:$C,[2]analyte_order!$E:$E)</f>
        <v>38</v>
      </c>
      <c r="N137">
        <v>8.2456455029880471E-2</v>
      </c>
    </row>
    <row r="138" spans="1:14">
      <c r="A138" t="s">
        <v>230</v>
      </c>
      <c r="B138" t="str">
        <f>_xlfn.XLOOKUP(A138,'[1]Tissue Data'!$A:$A,'[1]Tissue Data'!$C:$C)</f>
        <v>Down</v>
      </c>
      <c r="C138" s="2">
        <f>_xlfn.XLOOKUP(A138,'[1]Tissue Data'!$A:$A,'[1]Tissue Data'!$D:$D)</f>
        <v>44314</v>
      </c>
      <c r="D138" s="2" t="str">
        <f>_xlfn.XLOOKUP(A138,'[1]Tissue Data'!$A:$A,'[1]Tissue Data'!$F:$F)</f>
        <v>Pumpkinseed</v>
      </c>
      <c r="E138" t="str">
        <f>_xlfn.XLOOKUP(A138,'[1]Tissue Data'!$A:$A,'[1]Tissue Data'!$H:$H)</f>
        <v>Lepomis</v>
      </c>
      <c r="F138" t="str">
        <f>_xlfn.XLOOKUP(A138,'[1]Tissue Data'!$A:$A,'[1]Tissue Data'!$I:$I)</f>
        <v>gibbosus</v>
      </c>
      <c r="G138" t="str">
        <f>_xlfn.XLOOKUP(A138,'[1]Tissue Data'!$A:$A,'[1]Tissue Data'!J:J)</f>
        <v>U</v>
      </c>
      <c r="H138" t="str">
        <f>_xlfn.XLOOKUP(A138,'[1]Tissue Data'!$A:$A,'[1]Tissue Data'!K:K)</f>
        <v>Whole Body</v>
      </c>
      <c r="I138">
        <f>_xlfn.XLOOKUP(A138,'[1]Tissue Data'!$A:$A,'[1]Tissue Data'!L:L)</f>
        <v>8</v>
      </c>
      <c r="J138">
        <f>_xlfn.XLOOKUP(A138,'[1]Tissue Data'!$A:$A,'[1]Tissue Data'!M:M)</f>
        <v>10.71</v>
      </c>
      <c r="K138" t="s">
        <v>48</v>
      </c>
      <c r="L138" t="str">
        <f>_xlfn.XLOOKUP(K138,[2]analyte_order!$B:$B,[2]analyte_order!$C:$C)</f>
        <v>914637-49-3</v>
      </c>
      <c r="M138">
        <f>_xlfn.XLOOKUP(L138,[2]analyte_order!$C:$C,[2]analyte_order!$E:$E)</f>
        <v>39</v>
      </c>
      <c r="N138">
        <v>1.67</v>
      </c>
    </row>
    <row r="139" spans="1:14">
      <c r="A139" t="s">
        <v>230</v>
      </c>
      <c r="B139" t="str">
        <f>_xlfn.XLOOKUP(A139,'[1]Tissue Data'!$A:$A,'[1]Tissue Data'!$C:$C)</f>
        <v>Down</v>
      </c>
      <c r="C139" s="2">
        <f>_xlfn.XLOOKUP(A139,'[1]Tissue Data'!$A:$A,'[1]Tissue Data'!$D:$D)</f>
        <v>44314</v>
      </c>
      <c r="D139" s="2" t="str">
        <f>_xlfn.XLOOKUP(A139,'[1]Tissue Data'!$A:$A,'[1]Tissue Data'!$F:$F)</f>
        <v>Pumpkinseed</v>
      </c>
      <c r="E139" t="str">
        <f>_xlfn.XLOOKUP(A139,'[1]Tissue Data'!$A:$A,'[1]Tissue Data'!$H:$H)</f>
        <v>Lepomis</v>
      </c>
      <c r="F139" t="str">
        <f>_xlfn.XLOOKUP(A139,'[1]Tissue Data'!$A:$A,'[1]Tissue Data'!$I:$I)</f>
        <v>gibbosus</v>
      </c>
      <c r="G139" t="str">
        <f>_xlfn.XLOOKUP(A139,'[1]Tissue Data'!$A:$A,'[1]Tissue Data'!J:J)</f>
        <v>U</v>
      </c>
      <c r="H139" t="str">
        <f>_xlfn.XLOOKUP(A139,'[1]Tissue Data'!$A:$A,'[1]Tissue Data'!K:K)</f>
        <v>Whole Body</v>
      </c>
      <c r="I139">
        <f>_xlfn.XLOOKUP(A139,'[1]Tissue Data'!$A:$A,'[1]Tissue Data'!L:L)</f>
        <v>8</v>
      </c>
      <c r="J139">
        <f>_xlfn.XLOOKUP(A139,'[1]Tissue Data'!$A:$A,'[1]Tissue Data'!M:M)</f>
        <v>10.71</v>
      </c>
      <c r="K139" t="s">
        <v>49</v>
      </c>
      <c r="L139" t="str">
        <f>_xlfn.XLOOKUP(K139,[2]analyte_order!$B:$B,[2]analyte_order!$C:$C)</f>
        <v>812-70-4</v>
      </c>
      <c r="M139">
        <f>_xlfn.XLOOKUP(L139,[2]analyte_order!$C:$C,[2]analyte_order!$E:$E)</f>
        <v>40</v>
      </c>
      <c r="N139">
        <v>31.9</v>
      </c>
    </row>
    <row r="140" spans="1:14">
      <c r="A140" t="s">
        <v>230</v>
      </c>
      <c r="B140" t="str">
        <f>_xlfn.XLOOKUP(A140,'[1]Tissue Data'!$A:$A,'[1]Tissue Data'!$C:$C)</f>
        <v>Down</v>
      </c>
      <c r="C140" s="2">
        <f>_xlfn.XLOOKUP(A140,'[1]Tissue Data'!$A:$A,'[1]Tissue Data'!$D:$D)</f>
        <v>44314</v>
      </c>
      <c r="D140" s="2" t="str">
        <f>_xlfn.XLOOKUP(A140,'[1]Tissue Data'!$A:$A,'[1]Tissue Data'!$F:$F)</f>
        <v>Pumpkinseed</v>
      </c>
      <c r="E140" t="str">
        <f>_xlfn.XLOOKUP(A140,'[1]Tissue Data'!$A:$A,'[1]Tissue Data'!$H:$H)</f>
        <v>Lepomis</v>
      </c>
      <c r="F140" t="str">
        <f>_xlfn.XLOOKUP(A140,'[1]Tissue Data'!$A:$A,'[1]Tissue Data'!$I:$I)</f>
        <v>gibbosus</v>
      </c>
      <c r="G140" t="str">
        <f>_xlfn.XLOOKUP(A140,'[1]Tissue Data'!$A:$A,'[1]Tissue Data'!J:J)</f>
        <v>U</v>
      </c>
      <c r="H140" t="str">
        <f>_xlfn.XLOOKUP(A140,'[1]Tissue Data'!$A:$A,'[1]Tissue Data'!K:K)</f>
        <v>Whole Body</v>
      </c>
      <c r="I140">
        <f>_xlfn.XLOOKUP(A140,'[1]Tissue Data'!$A:$A,'[1]Tissue Data'!L:L)</f>
        <v>8</v>
      </c>
      <c r="J140">
        <f>_xlfn.XLOOKUP(A140,'[1]Tissue Data'!$A:$A,'[1]Tissue Data'!M:M)</f>
        <v>10.71</v>
      </c>
      <c r="K140" t="s">
        <v>50</v>
      </c>
      <c r="L140" t="str">
        <f>_xlfn.XLOOKUP(K140,[2]analyte_order!$B:$B,[2]analyte_order!$C:$C)</f>
        <v>53826-12-3</v>
      </c>
      <c r="M140">
        <f>_xlfn.XLOOKUP(L140,[2]analyte_order!$C:$C,[2]analyte_order!$E:$E)</f>
        <v>41</v>
      </c>
      <c r="N140">
        <v>2.81</v>
      </c>
    </row>
    <row r="141" spans="1:14">
      <c r="A141" t="s">
        <v>230</v>
      </c>
      <c r="B141" t="str">
        <f>_xlfn.XLOOKUP(A141,'[1]Tissue Data'!$A:$A,'[1]Tissue Data'!$C:$C)</f>
        <v>Down</v>
      </c>
      <c r="C141" s="2">
        <f>_xlfn.XLOOKUP(A141,'[1]Tissue Data'!$A:$A,'[1]Tissue Data'!$D:$D)</f>
        <v>44314</v>
      </c>
      <c r="D141" s="2" t="str">
        <f>_xlfn.XLOOKUP(A141,'[1]Tissue Data'!$A:$A,'[1]Tissue Data'!$F:$F)</f>
        <v>Pumpkinseed</v>
      </c>
      <c r="E141" t="str">
        <f>_xlfn.XLOOKUP(A141,'[1]Tissue Data'!$A:$A,'[1]Tissue Data'!$H:$H)</f>
        <v>Lepomis</v>
      </c>
      <c r="F141" t="str">
        <f>_xlfn.XLOOKUP(A141,'[1]Tissue Data'!$A:$A,'[1]Tissue Data'!$I:$I)</f>
        <v>gibbosus</v>
      </c>
      <c r="G141" t="str">
        <f>_xlfn.XLOOKUP(A141,'[1]Tissue Data'!$A:$A,'[1]Tissue Data'!J:J)</f>
        <v>U</v>
      </c>
      <c r="H141" t="str">
        <f>_xlfn.XLOOKUP(A141,'[1]Tissue Data'!$A:$A,'[1]Tissue Data'!K:K)</f>
        <v>Whole Body</v>
      </c>
      <c r="I141">
        <f>_xlfn.XLOOKUP(A141,'[1]Tissue Data'!$A:$A,'[1]Tissue Data'!L:L)</f>
        <v>8</v>
      </c>
      <c r="J141">
        <f>_xlfn.XLOOKUP(A141,'[1]Tissue Data'!$A:$A,'[1]Tissue Data'!M:M)</f>
        <v>10.71</v>
      </c>
      <c r="K141" t="s">
        <v>51</v>
      </c>
      <c r="L141" t="str">
        <f>_xlfn.XLOOKUP(K141,[2]analyte_order!$B:$B,[2]analyte_order!$C:$C)</f>
        <v>27854-31-5</v>
      </c>
      <c r="M141">
        <f>_xlfn.XLOOKUP(L141,[2]analyte_order!$C:$C,[2]analyte_order!$E:$E)</f>
        <v>42</v>
      </c>
      <c r="N141">
        <v>2.8593758935549666E-2</v>
      </c>
    </row>
    <row r="142" spans="1:14">
      <c r="A142" t="s">
        <v>230</v>
      </c>
      <c r="B142" t="str">
        <f>_xlfn.XLOOKUP(A142,'[1]Tissue Data'!$A:$A,'[1]Tissue Data'!$C:$C)</f>
        <v>Down</v>
      </c>
      <c r="C142" s="2">
        <f>_xlfn.XLOOKUP(A142,'[1]Tissue Data'!$A:$A,'[1]Tissue Data'!$D:$D)</f>
        <v>44314</v>
      </c>
      <c r="D142" s="2" t="str">
        <f>_xlfn.XLOOKUP(A142,'[1]Tissue Data'!$A:$A,'[1]Tissue Data'!$F:$F)</f>
        <v>Pumpkinseed</v>
      </c>
      <c r="E142" t="str">
        <f>_xlfn.XLOOKUP(A142,'[1]Tissue Data'!$A:$A,'[1]Tissue Data'!$H:$H)</f>
        <v>Lepomis</v>
      </c>
      <c r="F142" t="str">
        <f>_xlfn.XLOOKUP(A142,'[1]Tissue Data'!$A:$A,'[1]Tissue Data'!$I:$I)</f>
        <v>gibbosus</v>
      </c>
      <c r="G142" t="str">
        <f>_xlfn.XLOOKUP(A142,'[1]Tissue Data'!$A:$A,'[1]Tissue Data'!J:J)</f>
        <v>U</v>
      </c>
      <c r="H142" t="str">
        <f>_xlfn.XLOOKUP(A142,'[1]Tissue Data'!$A:$A,'[1]Tissue Data'!K:K)</f>
        <v>Whole Body</v>
      </c>
      <c r="I142">
        <f>_xlfn.XLOOKUP(A142,'[1]Tissue Data'!$A:$A,'[1]Tissue Data'!L:L)</f>
        <v>8</v>
      </c>
      <c r="J142">
        <f>_xlfn.XLOOKUP(A142,'[1]Tissue Data'!$A:$A,'[1]Tissue Data'!M:M)</f>
        <v>10.71</v>
      </c>
      <c r="K142" t="s">
        <v>52</v>
      </c>
      <c r="L142" t="str">
        <f>_xlfn.XLOOKUP(K142,[2]analyte_order!$B:$B,[2]analyte_order!$C:$C)</f>
        <v>53826-13-4</v>
      </c>
      <c r="M142">
        <f>_xlfn.XLOOKUP(L142,[2]analyte_order!$C:$C,[2]analyte_order!$E:$E)</f>
        <v>43</v>
      </c>
      <c r="N142">
        <v>0.10666848213409522</v>
      </c>
    </row>
    <row r="143" spans="1:14">
      <c r="A143" t="s">
        <v>230</v>
      </c>
      <c r="B143" t="str">
        <f>_xlfn.XLOOKUP(A143,'[1]Tissue Data'!$A:$A,'[1]Tissue Data'!$C:$C)</f>
        <v>Down</v>
      </c>
      <c r="C143" s="2">
        <f>_xlfn.XLOOKUP(A143,'[1]Tissue Data'!$A:$A,'[1]Tissue Data'!$D:$D)</f>
        <v>44314</v>
      </c>
      <c r="D143" s="2" t="str">
        <f>_xlfn.XLOOKUP(A143,'[1]Tissue Data'!$A:$A,'[1]Tissue Data'!$F:$F)</f>
        <v>Pumpkinseed</v>
      </c>
      <c r="E143" t="str">
        <f>_xlfn.XLOOKUP(A143,'[1]Tissue Data'!$A:$A,'[1]Tissue Data'!$H:$H)</f>
        <v>Lepomis</v>
      </c>
      <c r="F143" t="str">
        <f>_xlfn.XLOOKUP(A143,'[1]Tissue Data'!$A:$A,'[1]Tissue Data'!$I:$I)</f>
        <v>gibbosus</v>
      </c>
      <c r="G143" t="str">
        <f>_xlfn.XLOOKUP(A143,'[1]Tissue Data'!$A:$A,'[1]Tissue Data'!J:J)</f>
        <v>U</v>
      </c>
      <c r="H143" t="str">
        <f>_xlfn.XLOOKUP(A143,'[1]Tissue Data'!$A:$A,'[1]Tissue Data'!K:K)</f>
        <v>Whole Body</v>
      </c>
      <c r="I143">
        <f>_xlfn.XLOOKUP(A143,'[1]Tissue Data'!$A:$A,'[1]Tissue Data'!L:L)</f>
        <v>8</v>
      </c>
      <c r="J143">
        <f>_xlfn.XLOOKUP(A143,'[1]Tissue Data'!$A:$A,'[1]Tissue Data'!M:M)</f>
        <v>10.71</v>
      </c>
      <c r="K143" t="s">
        <v>53</v>
      </c>
      <c r="L143" t="str">
        <f>_xlfn.XLOOKUP(K143,[2]analyte_order!$B:$B,[2]analyte_order!$C:$C)</f>
        <v>161094-75-3</v>
      </c>
      <c r="M143">
        <f>_xlfn.XLOOKUP(L143,[2]analyte_order!$C:$C,[2]analyte_order!$E:$E)</f>
        <v>44</v>
      </c>
      <c r="N143">
        <v>5.612930203606626E-2</v>
      </c>
    </row>
    <row r="144" spans="1:14">
      <c r="A144" t="s">
        <v>230</v>
      </c>
      <c r="B144" t="str">
        <f>_xlfn.XLOOKUP(A144,'[1]Tissue Data'!$A:$A,'[1]Tissue Data'!$C:$C)</f>
        <v>Down</v>
      </c>
      <c r="C144" s="2">
        <f>_xlfn.XLOOKUP(A144,'[1]Tissue Data'!$A:$A,'[1]Tissue Data'!$D:$D)</f>
        <v>44314</v>
      </c>
      <c r="D144" s="2" t="str">
        <f>_xlfn.XLOOKUP(A144,'[1]Tissue Data'!$A:$A,'[1]Tissue Data'!$F:$F)</f>
        <v>Pumpkinseed</v>
      </c>
      <c r="E144" t="str">
        <f>_xlfn.XLOOKUP(A144,'[1]Tissue Data'!$A:$A,'[1]Tissue Data'!$H:$H)</f>
        <v>Lepomis</v>
      </c>
      <c r="F144" t="str">
        <f>_xlfn.XLOOKUP(A144,'[1]Tissue Data'!$A:$A,'[1]Tissue Data'!$I:$I)</f>
        <v>gibbosus</v>
      </c>
      <c r="G144" t="str">
        <f>_xlfn.XLOOKUP(A144,'[1]Tissue Data'!$A:$A,'[1]Tissue Data'!J:J)</f>
        <v>U</v>
      </c>
      <c r="H144" t="str">
        <f>_xlfn.XLOOKUP(A144,'[1]Tissue Data'!$A:$A,'[1]Tissue Data'!K:K)</f>
        <v>Whole Body</v>
      </c>
      <c r="I144">
        <f>_xlfn.XLOOKUP(A144,'[1]Tissue Data'!$A:$A,'[1]Tissue Data'!L:L)</f>
        <v>8</v>
      </c>
      <c r="J144">
        <f>_xlfn.XLOOKUP(A144,'[1]Tissue Data'!$A:$A,'[1]Tissue Data'!M:M)</f>
        <v>10.71</v>
      </c>
      <c r="K144" t="s">
        <v>54</v>
      </c>
      <c r="L144" t="str">
        <f>_xlfn.XLOOKUP(K144,[2]analyte_order!$B:$B,[2]analyte_order!$C:$C)</f>
        <v>70887-84-2</v>
      </c>
      <c r="M144">
        <f>_xlfn.XLOOKUP(L144,[2]analyte_order!$C:$C,[2]analyte_order!$E:$E)</f>
        <v>45</v>
      </c>
      <c r="N144">
        <v>4.319834506673307E-2</v>
      </c>
    </row>
    <row r="145" spans="1:14">
      <c r="A145" t="s">
        <v>230</v>
      </c>
      <c r="B145" t="str">
        <f>_xlfn.XLOOKUP(A145,'[1]Tissue Data'!$A:$A,'[1]Tissue Data'!$C:$C)</f>
        <v>Down</v>
      </c>
      <c r="C145" s="2">
        <f>_xlfn.XLOOKUP(A145,'[1]Tissue Data'!$A:$A,'[1]Tissue Data'!$D:$D)</f>
        <v>44314</v>
      </c>
      <c r="D145" s="2" t="str">
        <f>_xlfn.XLOOKUP(A145,'[1]Tissue Data'!$A:$A,'[1]Tissue Data'!$F:$F)</f>
        <v>Pumpkinseed</v>
      </c>
      <c r="E145" t="str">
        <f>_xlfn.XLOOKUP(A145,'[1]Tissue Data'!$A:$A,'[1]Tissue Data'!$H:$H)</f>
        <v>Lepomis</v>
      </c>
      <c r="F145" t="str">
        <f>_xlfn.XLOOKUP(A145,'[1]Tissue Data'!$A:$A,'[1]Tissue Data'!$I:$I)</f>
        <v>gibbosus</v>
      </c>
      <c r="G145" t="str">
        <f>_xlfn.XLOOKUP(A145,'[1]Tissue Data'!$A:$A,'[1]Tissue Data'!J:J)</f>
        <v>U</v>
      </c>
      <c r="H145" t="str">
        <f>_xlfn.XLOOKUP(A145,'[1]Tissue Data'!$A:$A,'[1]Tissue Data'!K:K)</f>
        <v>Whole Body</v>
      </c>
      <c r="I145">
        <f>_xlfn.XLOOKUP(A145,'[1]Tissue Data'!$A:$A,'[1]Tissue Data'!L:L)</f>
        <v>8</v>
      </c>
      <c r="J145">
        <f>_xlfn.XLOOKUP(A145,'[1]Tissue Data'!$A:$A,'[1]Tissue Data'!M:M)</f>
        <v>10.71</v>
      </c>
      <c r="K145" t="s">
        <v>55</v>
      </c>
      <c r="L145" t="str">
        <f>_xlfn.XLOOKUP(K145,[2]analyte_order!$B:$B,[2]analyte_order!$C:$C)</f>
        <v>919005-14-4</v>
      </c>
      <c r="M145">
        <f>_xlfn.XLOOKUP(L145,[2]analyte_order!$C:$C,[2]analyte_order!$E:$E)</f>
        <v>35</v>
      </c>
      <c r="N145">
        <v>7.148439733887417E-2</v>
      </c>
    </row>
    <row r="146" spans="1:14">
      <c r="A146" t="s">
        <v>230</v>
      </c>
      <c r="B146" t="str">
        <f>_xlfn.XLOOKUP(A146,'[1]Tissue Data'!$A:$A,'[1]Tissue Data'!$C:$C)</f>
        <v>Down</v>
      </c>
      <c r="C146" s="2">
        <f>_xlfn.XLOOKUP(A146,'[1]Tissue Data'!$A:$A,'[1]Tissue Data'!$D:$D)</f>
        <v>44314</v>
      </c>
      <c r="D146" s="2" t="str">
        <f>_xlfn.XLOOKUP(A146,'[1]Tissue Data'!$A:$A,'[1]Tissue Data'!$F:$F)</f>
        <v>Pumpkinseed</v>
      </c>
      <c r="E146" t="str">
        <f>_xlfn.XLOOKUP(A146,'[1]Tissue Data'!$A:$A,'[1]Tissue Data'!$H:$H)</f>
        <v>Lepomis</v>
      </c>
      <c r="F146" t="str">
        <f>_xlfn.XLOOKUP(A146,'[1]Tissue Data'!$A:$A,'[1]Tissue Data'!$I:$I)</f>
        <v>gibbosus</v>
      </c>
      <c r="G146" t="str">
        <f>_xlfn.XLOOKUP(A146,'[1]Tissue Data'!$A:$A,'[1]Tissue Data'!J:J)</f>
        <v>U</v>
      </c>
      <c r="H146" t="str">
        <f>_xlfn.XLOOKUP(A146,'[1]Tissue Data'!$A:$A,'[1]Tissue Data'!K:K)</f>
        <v>Whole Body</v>
      </c>
      <c r="I146">
        <f>_xlfn.XLOOKUP(A146,'[1]Tissue Data'!$A:$A,'[1]Tissue Data'!L:L)</f>
        <v>8</v>
      </c>
      <c r="J146">
        <f>_xlfn.XLOOKUP(A146,'[1]Tissue Data'!$A:$A,'[1]Tissue Data'!M:M)</f>
        <v>10.71</v>
      </c>
      <c r="K146" t="s">
        <v>56</v>
      </c>
      <c r="L146" t="str">
        <f>_xlfn.XLOOKUP(K146,[2]analyte_order!$B:$B,[2]analyte_order!$C:$C)</f>
        <v>756426-58-1</v>
      </c>
      <c r="M146">
        <f>_xlfn.XLOOKUP(L146,[2]analyte_order!$C:$C,[2]analyte_order!$E:$E)</f>
        <v>36</v>
      </c>
      <c r="N146">
        <v>4.961779479398197E-2</v>
      </c>
    </row>
    <row r="147" spans="1:14">
      <c r="A147" t="s">
        <v>230</v>
      </c>
      <c r="B147" t="str">
        <f>_xlfn.XLOOKUP(A147,'[1]Tissue Data'!$A:$A,'[1]Tissue Data'!$C:$C)</f>
        <v>Down</v>
      </c>
      <c r="C147" s="2">
        <f>_xlfn.XLOOKUP(A147,'[1]Tissue Data'!$A:$A,'[1]Tissue Data'!$D:$D)</f>
        <v>44314</v>
      </c>
      <c r="D147" s="2" t="str">
        <f>_xlfn.XLOOKUP(A147,'[1]Tissue Data'!$A:$A,'[1]Tissue Data'!$F:$F)</f>
        <v>Pumpkinseed</v>
      </c>
      <c r="E147" t="str">
        <f>_xlfn.XLOOKUP(A147,'[1]Tissue Data'!$A:$A,'[1]Tissue Data'!$H:$H)</f>
        <v>Lepomis</v>
      </c>
      <c r="F147" t="str">
        <f>_xlfn.XLOOKUP(A147,'[1]Tissue Data'!$A:$A,'[1]Tissue Data'!$I:$I)</f>
        <v>gibbosus</v>
      </c>
      <c r="G147" t="str">
        <f>_xlfn.XLOOKUP(A147,'[1]Tissue Data'!$A:$A,'[1]Tissue Data'!J:J)</f>
        <v>U</v>
      </c>
      <c r="H147" t="str">
        <f>_xlfn.XLOOKUP(A147,'[1]Tissue Data'!$A:$A,'[1]Tissue Data'!K:K)</f>
        <v>Whole Body</v>
      </c>
      <c r="I147">
        <f>_xlfn.XLOOKUP(A147,'[1]Tissue Data'!$A:$A,'[1]Tissue Data'!L:L)</f>
        <v>8</v>
      </c>
      <c r="J147">
        <f>_xlfn.XLOOKUP(A147,'[1]Tissue Data'!$A:$A,'[1]Tissue Data'!M:M)</f>
        <v>10.71</v>
      </c>
      <c r="K147" t="s">
        <v>57</v>
      </c>
      <c r="L147" t="str">
        <f>_xlfn.XLOOKUP(K147,[2]analyte_order!$B:$B,[2]analyte_order!$C:$C)</f>
        <v>763051-92-9</v>
      </c>
      <c r="M147">
        <f>_xlfn.XLOOKUP(L147,[2]analyte_order!$C:$C,[2]analyte_order!$E:$E)</f>
        <v>37</v>
      </c>
      <c r="N147">
        <v>5.6329029242503673E-2</v>
      </c>
    </row>
    <row r="148" spans="1:14">
      <c r="A148" t="s">
        <v>230</v>
      </c>
      <c r="B148" t="str">
        <f>_xlfn.XLOOKUP(A148,'[1]Tissue Data'!$A:$A,'[1]Tissue Data'!$C:$C)</f>
        <v>Down</v>
      </c>
      <c r="C148" s="2">
        <f>_xlfn.XLOOKUP(A148,'[1]Tissue Data'!$A:$A,'[1]Tissue Data'!$D:$D)</f>
        <v>44314</v>
      </c>
      <c r="D148" s="2" t="str">
        <f>_xlfn.XLOOKUP(A148,'[1]Tissue Data'!$A:$A,'[1]Tissue Data'!$F:$F)</f>
        <v>Pumpkinseed</v>
      </c>
      <c r="E148" t="str">
        <f>_xlfn.XLOOKUP(A148,'[1]Tissue Data'!$A:$A,'[1]Tissue Data'!$H:$H)</f>
        <v>Lepomis</v>
      </c>
      <c r="F148" t="str">
        <f>_xlfn.XLOOKUP(A148,'[1]Tissue Data'!$A:$A,'[1]Tissue Data'!$I:$I)</f>
        <v>gibbosus</v>
      </c>
      <c r="G148" t="str">
        <f>_xlfn.XLOOKUP(A148,'[1]Tissue Data'!$A:$A,'[1]Tissue Data'!J:J)</f>
        <v>U</v>
      </c>
      <c r="H148" t="str">
        <f>_xlfn.XLOOKUP(A148,'[1]Tissue Data'!$A:$A,'[1]Tissue Data'!K:K)</f>
        <v>Whole Body</v>
      </c>
      <c r="I148">
        <f>_xlfn.XLOOKUP(A148,'[1]Tissue Data'!$A:$A,'[1]Tissue Data'!L:L)</f>
        <v>8</v>
      </c>
      <c r="J148">
        <f>_xlfn.XLOOKUP(A148,'[1]Tissue Data'!$A:$A,'[1]Tissue Data'!M:M)</f>
        <v>10.71</v>
      </c>
      <c r="K148" t="s">
        <v>58</v>
      </c>
      <c r="L148" t="str">
        <f>_xlfn.XLOOKUP(K148,[2]analyte_order!$B:$B,[2]analyte_order!$C:$C)</f>
        <v>13252-13-6</v>
      </c>
      <c r="M148">
        <f>_xlfn.XLOOKUP(L148,[2]analyte_order!$C:$C,[2]analyte_order!$E:$E)</f>
        <v>34</v>
      </c>
      <c r="N148">
        <v>0.1025821521309499</v>
      </c>
    </row>
    <row r="149" spans="1:14">
      <c r="A149" t="s">
        <v>230</v>
      </c>
      <c r="B149" t="str">
        <f>_xlfn.XLOOKUP(A149,'[1]Tissue Data'!$A:$A,'[1]Tissue Data'!$C:$C)</f>
        <v>Down</v>
      </c>
      <c r="C149" s="2">
        <f>_xlfn.XLOOKUP(A149,'[1]Tissue Data'!$A:$A,'[1]Tissue Data'!$D:$D)</f>
        <v>44314</v>
      </c>
      <c r="D149" s="2" t="str">
        <f>_xlfn.XLOOKUP(A149,'[1]Tissue Data'!$A:$A,'[1]Tissue Data'!$F:$F)</f>
        <v>Pumpkinseed</v>
      </c>
      <c r="E149" t="str">
        <f>_xlfn.XLOOKUP(A149,'[1]Tissue Data'!$A:$A,'[1]Tissue Data'!$H:$H)</f>
        <v>Lepomis</v>
      </c>
      <c r="F149" t="str">
        <f>_xlfn.XLOOKUP(A149,'[1]Tissue Data'!$A:$A,'[1]Tissue Data'!$I:$I)</f>
        <v>gibbosus</v>
      </c>
      <c r="G149" t="str">
        <f>_xlfn.XLOOKUP(A149,'[1]Tissue Data'!$A:$A,'[1]Tissue Data'!J:J)</f>
        <v>U</v>
      </c>
      <c r="H149" t="str">
        <f>_xlfn.XLOOKUP(A149,'[1]Tissue Data'!$A:$A,'[1]Tissue Data'!K:K)</f>
        <v>Whole Body</v>
      </c>
      <c r="I149">
        <f>_xlfn.XLOOKUP(A149,'[1]Tissue Data'!$A:$A,'[1]Tissue Data'!L:L)</f>
        <v>8</v>
      </c>
      <c r="J149">
        <f>_xlfn.XLOOKUP(A149,'[1]Tissue Data'!$A:$A,'[1]Tissue Data'!M:M)</f>
        <v>10.71</v>
      </c>
      <c r="K149" t="s">
        <v>59</v>
      </c>
      <c r="L149" t="str">
        <f>_xlfn.XLOOKUP(K149,[2]analyte_order!$B:$B,[2]analyte_order!$C:$C)</f>
        <v>57677-95-9</v>
      </c>
      <c r="M149">
        <f>_xlfn.XLOOKUP(L149,[2]analyte_order!$C:$C,[2]analyte_order!$E:$E)</f>
        <v>46</v>
      </c>
      <c r="N149">
        <v>7.609720940186622E-2</v>
      </c>
    </row>
    <row r="150" spans="1:14">
      <c r="A150" t="s">
        <v>230</v>
      </c>
      <c r="B150" t="str">
        <f>_xlfn.XLOOKUP(A150,'[1]Tissue Data'!$A:$A,'[1]Tissue Data'!$C:$C)</f>
        <v>Down</v>
      </c>
      <c r="C150" s="2">
        <f>_xlfn.XLOOKUP(A150,'[1]Tissue Data'!$A:$A,'[1]Tissue Data'!$D:$D)</f>
        <v>44314</v>
      </c>
      <c r="D150" s="2" t="str">
        <f>_xlfn.XLOOKUP(A150,'[1]Tissue Data'!$A:$A,'[1]Tissue Data'!$F:$F)</f>
        <v>Pumpkinseed</v>
      </c>
      <c r="E150" t="str">
        <f>_xlfn.XLOOKUP(A150,'[1]Tissue Data'!$A:$A,'[1]Tissue Data'!$H:$H)</f>
        <v>Lepomis</v>
      </c>
      <c r="F150" t="str">
        <f>_xlfn.XLOOKUP(A150,'[1]Tissue Data'!$A:$A,'[1]Tissue Data'!$I:$I)</f>
        <v>gibbosus</v>
      </c>
      <c r="G150" t="str">
        <f>_xlfn.XLOOKUP(A150,'[1]Tissue Data'!$A:$A,'[1]Tissue Data'!J:J)</f>
        <v>U</v>
      </c>
      <c r="H150" t="str">
        <f>_xlfn.XLOOKUP(A150,'[1]Tissue Data'!$A:$A,'[1]Tissue Data'!K:K)</f>
        <v>Whole Body</v>
      </c>
      <c r="I150">
        <f>_xlfn.XLOOKUP(A150,'[1]Tissue Data'!$A:$A,'[1]Tissue Data'!L:L)</f>
        <v>8</v>
      </c>
      <c r="J150">
        <f>_xlfn.XLOOKUP(A150,'[1]Tissue Data'!$A:$A,'[1]Tissue Data'!M:M)</f>
        <v>10.71</v>
      </c>
      <c r="K150" t="s">
        <v>60</v>
      </c>
      <c r="L150" t="str">
        <f>_xlfn.XLOOKUP(K150,[2]analyte_order!$B:$B,[2]analyte_order!$C:$C)</f>
        <v>678-41-1</v>
      </c>
      <c r="M150">
        <f>_xlfn.XLOOKUP(L150,[2]analyte_order!$C:$C,[2]analyte_order!$E:$E)</f>
        <v>56</v>
      </c>
      <c r="N150">
        <v>9.4775015310861813E-2</v>
      </c>
    </row>
    <row r="151" spans="1:14">
      <c r="A151" t="s">
        <v>230</v>
      </c>
      <c r="B151" t="str">
        <f>_xlfn.XLOOKUP(A151,'[1]Tissue Data'!$A:$A,'[1]Tissue Data'!$C:$C)</f>
        <v>Down</v>
      </c>
      <c r="C151" s="2">
        <f>_xlfn.XLOOKUP(A151,'[1]Tissue Data'!$A:$A,'[1]Tissue Data'!$D:$D)</f>
        <v>44314</v>
      </c>
      <c r="D151" s="2" t="str">
        <f>_xlfn.XLOOKUP(A151,'[1]Tissue Data'!$A:$A,'[1]Tissue Data'!$F:$F)</f>
        <v>Pumpkinseed</v>
      </c>
      <c r="E151" t="str">
        <f>_xlfn.XLOOKUP(A151,'[1]Tissue Data'!$A:$A,'[1]Tissue Data'!$H:$H)</f>
        <v>Lepomis</v>
      </c>
      <c r="F151" t="str">
        <f>_xlfn.XLOOKUP(A151,'[1]Tissue Data'!$A:$A,'[1]Tissue Data'!$I:$I)</f>
        <v>gibbosus</v>
      </c>
      <c r="G151" t="str">
        <f>_xlfn.XLOOKUP(A151,'[1]Tissue Data'!$A:$A,'[1]Tissue Data'!J:J)</f>
        <v>U</v>
      </c>
      <c r="H151" t="str">
        <f>_xlfn.XLOOKUP(A151,'[1]Tissue Data'!$A:$A,'[1]Tissue Data'!K:K)</f>
        <v>Whole Body</v>
      </c>
      <c r="I151">
        <f>_xlfn.XLOOKUP(A151,'[1]Tissue Data'!$A:$A,'[1]Tissue Data'!L:L)</f>
        <v>8</v>
      </c>
      <c r="J151">
        <f>_xlfn.XLOOKUP(A151,'[1]Tissue Data'!$A:$A,'[1]Tissue Data'!M:M)</f>
        <v>10.71</v>
      </c>
      <c r="K151" t="s">
        <v>61</v>
      </c>
      <c r="L151" t="str">
        <f>_xlfn.XLOOKUP(K151,[2]analyte_order!$B:$B,[2]analyte_order!$C:$C)</f>
        <v>2965-52-8</v>
      </c>
      <c r="M151">
        <f>_xlfn.XLOOKUP(L151,[2]analyte_order!$C:$C,[2]analyte_order!$E:$E)</f>
        <v>57</v>
      </c>
      <c r="N151">
        <v>0.12581253931641853</v>
      </c>
    </row>
    <row r="152" spans="1:14">
      <c r="A152" t="s">
        <v>231</v>
      </c>
      <c r="B152" t="str">
        <f>_xlfn.XLOOKUP(A152,'[1]Tissue Data'!$A:$A,'[1]Tissue Data'!$C:$C)</f>
        <v>Down</v>
      </c>
      <c r="C152" s="2">
        <f>_xlfn.XLOOKUP(A152,'[1]Tissue Data'!$A:$A,'[1]Tissue Data'!$D:$D)</f>
        <v>44314</v>
      </c>
      <c r="D152" s="2" t="str">
        <f>_xlfn.XLOOKUP(A152,'[1]Tissue Data'!$A:$A,'[1]Tissue Data'!$F:$F)</f>
        <v>Pumpkinseed</v>
      </c>
      <c r="E152" t="str">
        <f>_xlfn.XLOOKUP(A152,'[1]Tissue Data'!$A:$A,'[1]Tissue Data'!$H:$H)</f>
        <v>Lepomis</v>
      </c>
      <c r="F152" t="str">
        <f>_xlfn.XLOOKUP(A152,'[1]Tissue Data'!$A:$A,'[1]Tissue Data'!$I:$I)</f>
        <v>gibbosus</v>
      </c>
      <c r="G152" t="str">
        <f>_xlfn.XLOOKUP(A152,'[1]Tissue Data'!$A:$A,'[1]Tissue Data'!J:J)</f>
        <v>U</v>
      </c>
      <c r="H152" t="str">
        <f>_xlfn.XLOOKUP(A152,'[1]Tissue Data'!$A:$A,'[1]Tissue Data'!K:K)</f>
        <v>Whole Body</v>
      </c>
      <c r="I152">
        <f>_xlfn.XLOOKUP(A152,'[1]Tissue Data'!$A:$A,'[1]Tissue Data'!L:L)</f>
        <v>7.5</v>
      </c>
      <c r="J152">
        <f>_xlfn.XLOOKUP(A152,'[1]Tissue Data'!$A:$A,'[1]Tissue Data'!M:M)</f>
        <v>7.52</v>
      </c>
      <c r="K152" t="s">
        <v>12</v>
      </c>
      <c r="L152" t="str">
        <f>_xlfn.XLOOKUP(K152,[2]analyte_order!$B:$B,[2]analyte_order!$C:$C)</f>
        <v>375-22-4</v>
      </c>
      <c r="M152">
        <f>_xlfn.XLOOKUP(L152,[2]analyte_order!$C:$C,[2]analyte_order!$E:$E)</f>
        <v>1</v>
      </c>
      <c r="N152">
        <v>9.5744680851063829E-2</v>
      </c>
    </row>
    <row r="153" spans="1:14">
      <c r="A153" t="s">
        <v>231</v>
      </c>
      <c r="B153" t="str">
        <f>_xlfn.XLOOKUP(A153,'[1]Tissue Data'!$A:$A,'[1]Tissue Data'!$C:$C)</f>
        <v>Down</v>
      </c>
      <c r="C153" s="2">
        <f>_xlfn.XLOOKUP(A153,'[1]Tissue Data'!$A:$A,'[1]Tissue Data'!$D:$D)</f>
        <v>44314</v>
      </c>
      <c r="D153" s="2" t="str">
        <f>_xlfn.XLOOKUP(A153,'[1]Tissue Data'!$A:$A,'[1]Tissue Data'!$F:$F)</f>
        <v>Pumpkinseed</v>
      </c>
      <c r="E153" t="str">
        <f>_xlfn.XLOOKUP(A153,'[1]Tissue Data'!$A:$A,'[1]Tissue Data'!$H:$H)</f>
        <v>Lepomis</v>
      </c>
      <c r="F153" t="str">
        <f>_xlfn.XLOOKUP(A153,'[1]Tissue Data'!$A:$A,'[1]Tissue Data'!$I:$I)</f>
        <v>gibbosus</v>
      </c>
      <c r="G153" t="str">
        <f>_xlfn.XLOOKUP(A153,'[1]Tissue Data'!$A:$A,'[1]Tissue Data'!J:J)</f>
        <v>U</v>
      </c>
      <c r="H153" t="str">
        <f>_xlfn.XLOOKUP(A153,'[1]Tissue Data'!$A:$A,'[1]Tissue Data'!K:K)</f>
        <v>Whole Body</v>
      </c>
      <c r="I153">
        <f>_xlfn.XLOOKUP(A153,'[1]Tissue Data'!$A:$A,'[1]Tissue Data'!L:L)</f>
        <v>7.5</v>
      </c>
      <c r="J153">
        <f>_xlfn.XLOOKUP(A153,'[1]Tissue Data'!$A:$A,'[1]Tissue Data'!M:M)</f>
        <v>7.52</v>
      </c>
      <c r="K153" t="s">
        <v>13</v>
      </c>
      <c r="L153" t="str">
        <f>_xlfn.XLOOKUP(K153,[2]analyte_order!$B:$B,[2]analyte_order!$C:$C)</f>
        <v>2706-90-3</v>
      </c>
      <c r="M153">
        <f>_xlfn.XLOOKUP(L153,[2]analyte_order!$C:$C,[2]analyte_order!$E:$E)</f>
        <v>2</v>
      </c>
      <c r="N153">
        <v>5.1743576808270679E-2</v>
      </c>
    </row>
    <row r="154" spans="1:14">
      <c r="A154" t="s">
        <v>231</v>
      </c>
      <c r="B154" t="str">
        <f>_xlfn.XLOOKUP(A154,'[1]Tissue Data'!$A:$A,'[1]Tissue Data'!$C:$C)</f>
        <v>Down</v>
      </c>
      <c r="C154" s="2">
        <f>_xlfn.XLOOKUP(A154,'[1]Tissue Data'!$A:$A,'[1]Tissue Data'!$D:$D)</f>
        <v>44314</v>
      </c>
      <c r="D154" s="2" t="str">
        <f>_xlfn.XLOOKUP(A154,'[1]Tissue Data'!$A:$A,'[1]Tissue Data'!$F:$F)</f>
        <v>Pumpkinseed</v>
      </c>
      <c r="E154" t="str">
        <f>_xlfn.XLOOKUP(A154,'[1]Tissue Data'!$A:$A,'[1]Tissue Data'!$H:$H)</f>
        <v>Lepomis</v>
      </c>
      <c r="F154" t="str">
        <f>_xlfn.XLOOKUP(A154,'[1]Tissue Data'!$A:$A,'[1]Tissue Data'!$I:$I)</f>
        <v>gibbosus</v>
      </c>
      <c r="G154" t="str">
        <f>_xlfn.XLOOKUP(A154,'[1]Tissue Data'!$A:$A,'[1]Tissue Data'!J:J)</f>
        <v>U</v>
      </c>
      <c r="H154" t="str">
        <f>_xlfn.XLOOKUP(A154,'[1]Tissue Data'!$A:$A,'[1]Tissue Data'!K:K)</f>
        <v>Whole Body</v>
      </c>
      <c r="I154">
        <f>_xlfn.XLOOKUP(A154,'[1]Tissue Data'!$A:$A,'[1]Tissue Data'!L:L)</f>
        <v>7.5</v>
      </c>
      <c r="J154">
        <f>_xlfn.XLOOKUP(A154,'[1]Tissue Data'!$A:$A,'[1]Tissue Data'!M:M)</f>
        <v>7.52</v>
      </c>
      <c r="K154" t="s">
        <v>14</v>
      </c>
      <c r="L154" t="str">
        <f>_xlfn.XLOOKUP(K154,[2]analyte_order!$B:$B,[2]analyte_order!$C:$C)</f>
        <v>307-24-4</v>
      </c>
      <c r="M154">
        <f>_xlfn.XLOOKUP(L154,[2]analyte_order!$C:$C,[2]analyte_order!$E:$E)</f>
        <v>3</v>
      </c>
      <c r="N154">
        <v>0.12918141869079255</v>
      </c>
    </row>
    <row r="155" spans="1:14">
      <c r="A155" t="s">
        <v>231</v>
      </c>
      <c r="B155" t="str">
        <f>_xlfn.XLOOKUP(A155,'[1]Tissue Data'!$A:$A,'[1]Tissue Data'!$C:$C)</f>
        <v>Down</v>
      </c>
      <c r="C155" s="2">
        <f>_xlfn.XLOOKUP(A155,'[1]Tissue Data'!$A:$A,'[1]Tissue Data'!$D:$D)</f>
        <v>44314</v>
      </c>
      <c r="D155" s="2" t="str">
        <f>_xlfn.XLOOKUP(A155,'[1]Tissue Data'!$A:$A,'[1]Tissue Data'!$F:$F)</f>
        <v>Pumpkinseed</v>
      </c>
      <c r="E155" t="str">
        <f>_xlfn.XLOOKUP(A155,'[1]Tissue Data'!$A:$A,'[1]Tissue Data'!$H:$H)</f>
        <v>Lepomis</v>
      </c>
      <c r="F155" t="str">
        <f>_xlfn.XLOOKUP(A155,'[1]Tissue Data'!$A:$A,'[1]Tissue Data'!$I:$I)</f>
        <v>gibbosus</v>
      </c>
      <c r="G155" t="str">
        <f>_xlfn.XLOOKUP(A155,'[1]Tissue Data'!$A:$A,'[1]Tissue Data'!J:J)</f>
        <v>U</v>
      </c>
      <c r="H155" t="str">
        <f>_xlfn.XLOOKUP(A155,'[1]Tissue Data'!$A:$A,'[1]Tissue Data'!K:K)</f>
        <v>Whole Body</v>
      </c>
      <c r="I155">
        <f>_xlfn.XLOOKUP(A155,'[1]Tissue Data'!$A:$A,'[1]Tissue Data'!L:L)</f>
        <v>7.5</v>
      </c>
      <c r="J155">
        <f>_xlfn.XLOOKUP(A155,'[1]Tissue Data'!$A:$A,'[1]Tissue Data'!M:M)</f>
        <v>7.52</v>
      </c>
      <c r="K155" t="s">
        <v>15</v>
      </c>
      <c r="L155" t="str">
        <f>_xlfn.XLOOKUP(K155,[2]analyte_order!$B:$B,[2]analyte_order!$C:$C)</f>
        <v>375-85-9</v>
      </c>
      <c r="M155">
        <f>_xlfn.XLOOKUP(L155,[2]analyte_order!$C:$C,[2]analyte_order!$E:$E)</f>
        <v>4</v>
      </c>
      <c r="N155">
        <v>2.9294014256420267E-2</v>
      </c>
    </row>
    <row r="156" spans="1:14">
      <c r="A156" t="s">
        <v>231</v>
      </c>
      <c r="B156" t="str">
        <f>_xlfn.XLOOKUP(A156,'[1]Tissue Data'!$A:$A,'[1]Tissue Data'!$C:$C)</f>
        <v>Down</v>
      </c>
      <c r="C156" s="2">
        <f>_xlfn.XLOOKUP(A156,'[1]Tissue Data'!$A:$A,'[1]Tissue Data'!$D:$D)</f>
        <v>44314</v>
      </c>
      <c r="D156" s="2" t="str">
        <f>_xlfn.XLOOKUP(A156,'[1]Tissue Data'!$A:$A,'[1]Tissue Data'!$F:$F)</f>
        <v>Pumpkinseed</v>
      </c>
      <c r="E156" t="str">
        <f>_xlfn.XLOOKUP(A156,'[1]Tissue Data'!$A:$A,'[1]Tissue Data'!$H:$H)</f>
        <v>Lepomis</v>
      </c>
      <c r="F156" t="str">
        <f>_xlfn.XLOOKUP(A156,'[1]Tissue Data'!$A:$A,'[1]Tissue Data'!$I:$I)</f>
        <v>gibbosus</v>
      </c>
      <c r="G156" t="str">
        <f>_xlfn.XLOOKUP(A156,'[1]Tissue Data'!$A:$A,'[1]Tissue Data'!J:J)</f>
        <v>U</v>
      </c>
      <c r="H156" t="str">
        <f>_xlfn.XLOOKUP(A156,'[1]Tissue Data'!$A:$A,'[1]Tissue Data'!K:K)</f>
        <v>Whole Body</v>
      </c>
      <c r="I156">
        <f>_xlfn.XLOOKUP(A156,'[1]Tissue Data'!$A:$A,'[1]Tissue Data'!L:L)</f>
        <v>7.5</v>
      </c>
      <c r="J156">
        <f>_xlfn.XLOOKUP(A156,'[1]Tissue Data'!$A:$A,'[1]Tissue Data'!M:M)</f>
        <v>7.52</v>
      </c>
      <c r="K156" t="s">
        <v>16</v>
      </c>
      <c r="L156" t="str">
        <f>_xlfn.XLOOKUP(K156,[2]analyte_order!$B:$B,[2]analyte_order!$C:$C)</f>
        <v>335-67-1</v>
      </c>
      <c r="M156">
        <f>_xlfn.XLOOKUP(L156,[2]analyte_order!$C:$C,[2]analyte_order!$E:$E)</f>
        <v>5</v>
      </c>
      <c r="N156">
        <v>0.54700000000000004</v>
      </c>
    </row>
    <row r="157" spans="1:14">
      <c r="A157" t="s">
        <v>231</v>
      </c>
      <c r="B157" t="str">
        <f>_xlfn.XLOOKUP(A157,'[1]Tissue Data'!$A:$A,'[1]Tissue Data'!$C:$C)</f>
        <v>Down</v>
      </c>
      <c r="C157" s="2">
        <f>_xlfn.XLOOKUP(A157,'[1]Tissue Data'!$A:$A,'[1]Tissue Data'!$D:$D)</f>
        <v>44314</v>
      </c>
      <c r="D157" s="2" t="str">
        <f>_xlfn.XLOOKUP(A157,'[1]Tissue Data'!$A:$A,'[1]Tissue Data'!$F:$F)</f>
        <v>Pumpkinseed</v>
      </c>
      <c r="E157" t="str">
        <f>_xlfn.XLOOKUP(A157,'[1]Tissue Data'!$A:$A,'[1]Tissue Data'!$H:$H)</f>
        <v>Lepomis</v>
      </c>
      <c r="F157" t="str">
        <f>_xlfn.XLOOKUP(A157,'[1]Tissue Data'!$A:$A,'[1]Tissue Data'!$I:$I)</f>
        <v>gibbosus</v>
      </c>
      <c r="G157" t="str">
        <f>_xlfn.XLOOKUP(A157,'[1]Tissue Data'!$A:$A,'[1]Tissue Data'!J:J)</f>
        <v>U</v>
      </c>
      <c r="H157" t="str">
        <f>_xlfn.XLOOKUP(A157,'[1]Tissue Data'!$A:$A,'[1]Tissue Data'!K:K)</f>
        <v>Whole Body</v>
      </c>
      <c r="I157">
        <f>_xlfn.XLOOKUP(A157,'[1]Tissue Data'!$A:$A,'[1]Tissue Data'!L:L)</f>
        <v>7.5</v>
      </c>
      <c r="J157">
        <f>_xlfn.XLOOKUP(A157,'[1]Tissue Data'!$A:$A,'[1]Tissue Data'!M:M)</f>
        <v>7.52</v>
      </c>
      <c r="K157" t="s">
        <v>17</v>
      </c>
      <c r="L157" t="str">
        <f>_xlfn.XLOOKUP(K157,[2]analyte_order!$B:$B,[2]analyte_order!$C:$C)</f>
        <v>375-95-1</v>
      </c>
      <c r="M157">
        <f>_xlfn.XLOOKUP(L157,[2]analyte_order!$C:$C,[2]analyte_order!$E:$E)</f>
        <v>6</v>
      </c>
      <c r="N157">
        <v>5.0681962793233074E-2</v>
      </c>
    </row>
    <row r="158" spans="1:14">
      <c r="A158" t="s">
        <v>231</v>
      </c>
      <c r="B158" t="str">
        <f>_xlfn.XLOOKUP(A158,'[1]Tissue Data'!$A:$A,'[1]Tissue Data'!$C:$C)</f>
        <v>Down</v>
      </c>
      <c r="C158" s="2">
        <f>_xlfn.XLOOKUP(A158,'[1]Tissue Data'!$A:$A,'[1]Tissue Data'!$D:$D)</f>
        <v>44314</v>
      </c>
      <c r="D158" s="2" t="str">
        <f>_xlfn.XLOOKUP(A158,'[1]Tissue Data'!$A:$A,'[1]Tissue Data'!$F:$F)</f>
        <v>Pumpkinseed</v>
      </c>
      <c r="E158" t="str">
        <f>_xlfn.XLOOKUP(A158,'[1]Tissue Data'!$A:$A,'[1]Tissue Data'!$H:$H)</f>
        <v>Lepomis</v>
      </c>
      <c r="F158" t="str">
        <f>_xlfn.XLOOKUP(A158,'[1]Tissue Data'!$A:$A,'[1]Tissue Data'!$I:$I)</f>
        <v>gibbosus</v>
      </c>
      <c r="G158" t="str">
        <f>_xlfn.XLOOKUP(A158,'[1]Tissue Data'!$A:$A,'[1]Tissue Data'!J:J)</f>
        <v>U</v>
      </c>
      <c r="H158" t="str">
        <f>_xlfn.XLOOKUP(A158,'[1]Tissue Data'!$A:$A,'[1]Tissue Data'!K:K)</f>
        <v>Whole Body</v>
      </c>
      <c r="I158">
        <f>_xlfn.XLOOKUP(A158,'[1]Tissue Data'!$A:$A,'[1]Tissue Data'!L:L)</f>
        <v>7.5</v>
      </c>
      <c r="J158">
        <f>_xlfn.XLOOKUP(A158,'[1]Tissue Data'!$A:$A,'[1]Tissue Data'!M:M)</f>
        <v>7.52</v>
      </c>
      <c r="K158" t="s">
        <v>18</v>
      </c>
      <c r="L158" t="str">
        <f>_xlfn.XLOOKUP(K158,[2]analyte_order!$B:$B,[2]analyte_order!$C:$C)</f>
        <v>335-76-2</v>
      </c>
      <c r="M158">
        <f>_xlfn.XLOOKUP(L158,[2]analyte_order!$C:$C,[2]analyte_order!$E:$E)</f>
        <v>7</v>
      </c>
      <c r="N158">
        <v>4.0599999999999996</v>
      </c>
    </row>
    <row r="159" spans="1:14">
      <c r="A159" t="s">
        <v>231</v>
      </c>
      <c r="B159" t="str">
        <f>_xlfn.XLOOKUP(A159,'[1]Tissue Data'!$A:$A,'[1]Tissue Data'!$C:$C)</f>
        <v>Down</v>
      </c>
      <c r="C159" s="2">
        <f>_xlfn.XLOOKUP(A159,'[1]Tissue Data'!$A:$A,'[1]Tissue Data'!$D:$D)</f>
        <v>44314</v>
      </c>
      <c r="D159" s="2" t="str">
        <f>_xlfn.XLOOKUP(A159,'[1]Tissue Data'!$A:$A,'[1]Tissue Data'!$F:$F)</f>
        <v>Pumpkinseed</v>
      </c>
      <c r="E159" t="str">
        <f>_xlfn.XLOOKUP(A159,'[1]Tissue Data'!$A:$A,'[1]Tissue Data'!$H:$H)</f>
        <v>Lepomis</v>
      </c>
      <c r="F159" t="str">
        <f>_xlfn.XLOOKUP(A159,'[1]Tissue Data'!$A:$A,'[1]Tissue Data'!$I:$I)</f>
        <v>gibbosus</v>
      </c>
      <c r="G159" t="str">
        <f>_xlfn.XLOOKUP(A159,'[1]Tissue Data'!$A:$A,'[1]Tissue Data'!J:J)</f>
        <v>U</v>
      </c>
      <c r="H159" t="str">
        <f>_xlfn.XLOOKUP(A159,'[1]Tissue Data'!$A:$A,'[1]Tissue Data'!K:K)</f>
        <v>Whole Body</v>
      </c>
      <c r="I159">
        <f>_xlfn.XLOOKUP(A159,'[1]Tissue Data'!$A:$A,'[1]Tissue Data'!L:L)</f>
        <v>7.5</v>
      </c>
      <c r="J159">
        <f>_xlfn.XLOOKUP(A159,'[1]Tissue Data'!$A:$A,'[1]Tissue Data'!M:M)</f>
        <v>7.52</v>
      </c>
      <c r="K159" t="s">
        <v>19</v>
      </c>
      <c r="L159" t="str">
        <f>_xlfn.XLOOKUP(K159,[2]analyte_order!$B:$B,[2]analyte_order!$C:$C)</f>
        <v>2058-94-8</v>
      </c>
      <c r="M159">
        <f>_xlfn.XLOOKUP(L159,[2]analyte_order!$C:$C,[2]analyte_order!$E:$E)</f>
        <v>8</v>
      </c>
      <c r="N159">
        <v>6.18</v>
      </c>
    </row>
    <row r="160" spans="1:14">
      <c r="A160" t="s">
        <v>231</v>
      </c>
      <c r="B160" t="str">
        <f>_xlfn.XLOOKUP(A160,'[1]Tissue Data'!$A:$A,'[1]Tissue Data'!$C:$C)</f>
        <v>Down</v>
      </c>
      <c r="C160" s="2">
        <f>_xlfn.XLOOKUP(A160,'[1]Tissue Data'!$A:$A,'[1]Tissue Data'!$D:$D)</f>
        <v>44314</v>
      </c>
      <c r="D160" s="2" t="str">
        <f>_xlfn.XLOOKUP(A160,'[1]Tissue Data'!$A:$A,'[1]Tissue Data'!$F:$F)</f>
        <v>Pumpkinseed</v>
      </c>
      <c r="E160" t="str">
        <f>_xlfn.XLOOKUP(A160,'[1]Tissue Data'!$A:$A,'[1]Tissue Data'!$H:$H)</f>
        <v>Lepomis</v>
      </c>
      <c r="F160" t="str">
        <f>_xlfn.XLOOKUP(A160,'[1]Tissue Data'!$A:$A,'[1]Tissue Data'!$I:$I)</f>
        <v>gibbosus</v>
      </c>
      <c r="G160" t="str">
        <f>_xlfn.XLOOKUP(A160,'[1]Tissue Data'!$A:$A,'[1]Tissue Data'!J:J)</f>
        <v>U</v>
      </c>
      <c r="H160" t="str">
        <f>_xlfn.XLOOKUP(A160,'[1]Tissue Data'!$A:$A,'[1]Tissue Data'!K:K)</f>
        <v>Whole Body</v>
      </c>
      <c r="I160">
        <f>_xlfn.XLOOKUP(A160,'[1]Tissue Data'!$A:$A,'[1]Tissue Data'!L:L)</f>
        <v>7.5</v>
      </c>
      <c r="J160">
        <f>_xlfn.XLOOKUP(A160,'[1]Tissue Data'!$A:$A,'[1]Tissue Data'!M:M)</f>
        <v>7.52</v>
      </c>
      <c r="K160" t="s">
        <v>20</v>
      </c>
      <c r="L160" t="str">
        <f>_xlfn.XLOOKUP(K160,[2]analyte_order!$B:$B,[2]analyte_order!$C:$C)</f>
        <v>307-55-1</v>
      </c>
      <c r="M160">
        <f>_xlfn.XLOOKUP(L160,[2]analyte_order!$C:$C,[2]analyte_order!$E:$E)</f>
        <v>9</v>
      </c>
      <c r="N160">
        <v>5.8473772206766916E-2</v>
      </c>
    </row>
    <row r="161" spans="1:14">
      <c r="A161" t="s">
        <v>231</v>
      </c>
      <c r="B161" t="str">
        <f>_xlfn.XLOOKUP(A161,'[1]Tissue Data'!$A:$A,'[1]Tissue Data'!$C:$C)</f>
        <v>Down</v>
      </c>
      <c r="C161" s="2">
        <f>_xlfn.XLOOKUP(A161,'[1]Tissue Data'!$A:$A,'[1]Tissue Data'!$D:$D)</f>
        <v>44314</v>
      </c>
      <c r="D161" s="2" t="str">
        <f>_xlfn.XLOOKUP(A161,'[1]Tissue Data'!$A:$A,'[1]Tissue Data'!$F:$F)</f>
        <v>Pumpkinseed</v>
      </c>
      <c r="E161" t="str">
        <f>_xlfn.XLOOKUP(A161,'[1]Tissue Data'!$A:$A,'[1]Tissue Data'!$H:$H)</f>
        <v>Lepomis</v>
      </c>
      <c r="F161" t="str">
        <f>_xlfn.XLOOKUP(A161,'[1]Tissue Data'!$A:$A,'[1]Tissue Data'!$I:$I)</f>
        <v>gibbosus</v>
      </c>
      <c r="G161" t="str">
        <f>_xlfn.XLOOKUP(A161,'[1]Tissue Data'!$A:$A,'[1]Tissue Data'!J:J)</f>
        <v>U</v>
      </c>
      <c r="H161" t="str">
        <f>_xlfn.XLOOKUP(A161,'[1]Tissue Data'!$A:$A,'[1]Tissue Data'!K:K)</f>
        <v>Whole Body</v>
      </c>
      <c r="I161">
        <f>_xlfn.XLOOKUP(A161,'[1]Tissue Data'!$A:$A,'[1]Tissue Data'!L:L)</f>
        <v>7.5</v>
      </c>
      <c r="J161">
        <f>_xlfn.XLOOKUP(A161,'[1]Tissue Data'!$A:$A,'[1]Tissue Data'!M:M)</f>
        <v>7.52</v>
      </c>
      <c r="K161" t="s">
        <v>21</v>
      </c>
      <c r="L161" t="str">
        <f>_xlfn.XLOOKUP(K161,[2]analyte_order!$B:$B,[2]analyte_order!$C:$C)</f>
        <v>72629-94-8</v>
      </c>
      <c r="M161">
        <f>_xlfn.XLOOKUP(L161,[2]analyte_order!$C:$C,[2]analyte_order!$E:$E)</f>
        <v>10</v>
      </c>
      <c r="N161">
        <v>4.12</v>
      </c>
    </row>
    <row r="162" spans="1:14">
      <c r="A162" t="s">
        <v>231</v>
      </c>
      <c r="B162" t="str">
        <f>_xlfn.XLOOKUP(A162,'[1]Tissue Data'!$A:$A,'[1]Tissue Data'!$C:$C)</f>
        <v>Down</v>
      </c>
      <c r="C162" s="2">
        <f>_xlfn.XLOOKUP(A162,'[1]Tissue Data'!$A:$A,'[1]Tissue Data'!$D:$D)</f>
        <v>44314</v>
      </c>
      <c r="D162" s="2" t="str">
        <f>_xlfn.XLOOKUP(A162,'[1]Tissue Data'!$A:$A,'[1]Tissue Data'!$F:$F)</f>
        <v>Pumpkinseed</v>
      </c>
      <c r="E162" t="str">
        <f>_xlfn.XLOOKUP(A162,'[1]Tissue Data'!$A:$A,'[1]Tissue Data'!$H:$H)</f>
        <v>Lepomis</v>
      </c>
      <c r="F162" t="str">
        <f>_xlfn.XLOOKUP(A162,'[1]Tissue Data'!$A:$A,'[1]Tissue Data'!$I:$I)</f>
        <v>gibbosus</v>
      </c>
      <c r="G162" t="str">
        <f>_xlfn.XLOOKUP(A162,'[1]Tissue Data'!$A:$A,'[1]Tissue Data'!J:J)</f>
        <v>U</v>
      </c>
      <c r="H162" t="str">
        <f>_xlfn.XLOOKUP(A162,'[1]Tissue Data'!$A:$A,'[1]Tissue Data'!K:K)</f>
        <v>Whole Body</v>
      </c>
      <c r="I162">
        <f>_xlfn.XLOOKUP(A162,'[1]Tissue Data'!$A:$A,'[1]Tissue Data'!L:L)</f>
        <v>7.5</v>
      </c>
      <c r="J162">
        <f>_xlfn.XLOOKUP(A162,'[1]Tissue Data'!$A:$A,'[1]Tissue Data'!M:M)</f>
        <v>7.52</v>
      </c>
      <c r="K162" t="s">
        <v>22</v>
      </c>
      <c r="L162" t="str">
        <f>_xlfn.XLOOKUP(K162,[2]analyte_order!$B:$B,[2]analyte_order!$C:$C)</f>
        <v>376-06-7</v>
      </c>
      <c r="M162">
        <f>_xlfn.XLOOKUP(L162,[2]analyte_order!$C:$C,[2]analyte_order!$E:$E)</f>
        <v>11</v>
      </c>
      <c r="N162">
        <v>3.74</v>
      </c>
    </row>
    <row r="163" spans="1:14">
      <c r="A163" t="s">
        <v>231</v>
      </c>
      <c r="B163" t="str">
        <f>_xlfn.XLOOKUP(A163,'[1]Tissue Data'!$A:$A,'[1]Tissue Data'!$C:$C)</f>
        <v>Down</v>
      </c>
      <c r="C163" s="2">
        <f>_xlfn.XLOOKUP(A163,'[1]Tissue Data'!$A:$A,'[1]Tissue Data'!$D:$D)</f>
        <v>44314</v>
      </c>
      <c r="D163" s="2" t="str">
        <f>_xlfn.XLOOKUP(A163,'[1]Tissue Data'!$A:$A,'[1]Tissue Data'!$F:$F)</f>
        <v>Pumpkinseed</v>
      </c>
      <c r="E163" t="str">
        <f>_xlfn.XLOOKUP(A163,'[1]Tissue Data'!$A:$A,'[1]Tissue Data'!$H:$H)</f>
        <v>Lepomis</v>
      </c>
      <c r="F163" t="str">
        <f>_xlfn.XLOOKUP(A163,'[1]Tissue Data'!$A:$A,'[1]Tissue Data'!$I:$I)</f>
        <v>gibbosus</v>
      </c>
      <c r="G163" t="str">
        <f>_xlfn.XLOOKUP(A163,'[1]Tissue Data'!$A:$A,'[1]Tissue Data'!J:J)</f>
        <v>U</v>
      </c>
      <c r="H163" t="str">
        <f>_xlfn.XLOOKUP(A163,'[1]Tissue Data'!$A:$A,'[1]Tissue Data'!K:K)</f>
        <v>Whole Body</v>
      </c>
      <c r="I163">
        <f>_xlfn.XLOOKUP(A163,'[1]Tissue Data'!$A:$A,'[1]Tissue Data'!L:L)</f>
        <v>7.5</v>
      </c>
      <c r="J163">
        <f>_xlfn.XLOOKUP(A163,'[1]Tissue Data'!$A:$A,'[1]Tissue Data'!M:M)</f>
        <v>7.52</v>
      </c>
      <c r="K163" t="s">
        <v>23</v>
      </c>
      <c r="L163" t="str">
        <f>_xlfn.XLOOKUP(K163,[2]analyte_order!$B:$B,[2]analyte_order!$C:$C)</f>
        <v>67905-19-5</v>
      </c>
      <c r="M163">
        <f>_xlfn.XLOOKUP(L163,[2]analyte_order!$C:$C,[2]analyte_order!$E:$E)</f>
        <v>12</v>
      </c>
      <c r="N163">
        <v>8.7281525842105245E-2</v>
      </c>
    </row>
    <row r="164" spans="1:14">
      <c r="A164" t="s">
        <v>231</v>
      </c>
      <c r="B164" t="str">
        <f>_xlfn.XLOOKUP(A164,'[1]Tissue Data'!$A:$A,'[1]Tissue Data'!$C:$C)</f>
        <v>Down</v>
      </c>
      <c r="C164" s="2">
        <f>_xlfn.XLOOKUP(A164,'[1]Tissue Data'!$A:$A,'[1]Tissue Data'!$D:$D)</f>
        <v>44314</v>
      </c>
      <c r="D164" s="2" t="str">
        <f>_xlfn.XLOOKUP(A164,'[1]Tissue Data'!$A:$A,'[1]Tissue Data'!$F:$F)</f>
        <v>Pumpkinseed</v>
      </c>
      <c r="E164" t="str">
        <f>_xlfn.XLOOKUP(A164,'[1]Tissue Data'!$A:$A,'[1]Tissue Data'!$H:$H)</f>
        <v>Lepomis</v>
      </c>
      <c r="F164" t="str">
        <f>_xlfn.XLOOKUP(A164,'[1]Tissue Data'!$A:$A,'[1]Tissue Data'!$I:$I)</f>
        <v>gibbosus</v>
      </c>
      <c r="G164" t="str">
        <f>_xlfn.XLOOKUP(A164,'[1]Tissue Data'!$A:$A,'[1]Tissue Data'!J:J)</f>
        <v>U</v>
      </c>
      <c r="H164" t="str">
        <f>_xlfn.XLOOKUP(A164,'[1]Tissue Data'!$A:$A,'[1]Tissue Data'!K:K)</f>
        <v>Whole Body</v>
      </c>
      <c r="I164">
        <f>_xlfn.XLOOKUP(A164,'[1]Tissue Data'!$A:$A,'[1]Tissue Data'!L:L)</f>
        <v>7.5</v>
      </c>
      <c r="J164">
        <f>_xlfn.XLOOKUP(A164,'[1]Tissue Data'!$A:$A,'[1]Tissue Data'!M:M)</f>
        <v>7.52</v>
      </c>
      <c r="K164" t="s">
        <v>24</v>
      </c>
      <c r="L164" t="str">
        <f>_xlfn.XLOOKUP(K164,[2]analyte_order!$B:$B,[2]analyte_order!$C:$C)</f>
        <v>423-41-6</v>
      </c>
      <c r="M164">
        <f>_xlfn.XLOOKUP(L164,[2]analyte_order!$C:$C,[2]analyte_order!$E:$E)</f>
        <v>53</v>
      </c>
      <c r="N164">
        <v>5.5874907507518799E-2</v>
      </c>
    </row>
    <row r="165" spans="1:14">
      <c r="A165" t="s">
        <v>231</v>
      </c>
      <c r="B165" t="str">
        <f>_xlfn.XLOOKUP(A165,'[1]Tissue Data'!$A:$A,'[1]Tissue Data'!$C:$C)</f>
        <v>Down</v>
      </c>
      <c r="C165" s="2">
        <f>_xlfn.XLOOKUP(A165,'[1]Tissue Data'!$A:$A,'[1]Tissue Data'!$D:$D)</f>
        <v>44314</v>
      </c>
      <c r="D165" s="2" t="str">
        <f>_xlfn.XLOOKUP(A165,'[1]Tissue Data'!$A:$A,'[1]Tissue Data'!$F:$F)</f>
        <v>Pumpkinseed</v>
      </c>
      <c r="E165" t="str">
        <f>_xlfn.XLOOKUP(A165,'[1]Tissue Data'!$A:$A,'[1]Tissue Data'!$H:$H)</f>
        <v>Lepomis</v>
      </c>
      <c r="F165" t="str">
        <f>_xlfn.XLOOKUP(A165,'[1]Tissue Data'!$A:$A,'[1]Tissue Data'!$I:$I)</f>
        <v>gibbosus</v>
      </c>
      <c r="G165" t="str">
        <f>_xlfn.XLOOKUP(A165,'[1]Tissue Data'!$A:$A,'[1]Tissue Data'!J:J)</f>
        <v>U</v>
      </c>
      <c r="H165" t="str">
        <f>_xlfn.XLOOKUP(A165,'[1]Tissue Data'!$A:$A,'[1]Tissue Data'!K:K)</f>
        <v>Whole Body</v>
      </c>
      <c r="I165">
        <f>_xlfn.XLOOKUP(A165,'[1]Tissue Data'!$A:$A,'[1]Tissue Data'!L:L)</f>
        <v>7.5</v>
      </c>
      <c r="J165">
        <f>_xlfn.XLOOKUP(A165,'[1]Tissue Data'!$A:$A,'[1]Tissue Data'!M:M)</f>
        <v>7.52</v>
      </c>
      <c r="K165" t="s">
        <v>25</v>
      </c>
      <c r="L165" t="str">
        <f>_xlfn.XLOOKUP(K165,[2]analyte_order!$B:$B,[2]analyte_order!$C:$C)</f>
        <v>375-73-5</v>
      </c>
      <c r="M165">
        <f>_xlfn.XLOOKUP(L165,[2]analyte_order!$C:$C,[2]analyte_order!$E:$E)</f>
        <v>14</v>
      </c>
      <c r="N165">
        <v>0.1629118051731383</v>
      </c>
    </row>
    <row r="166" spans="1:14">
      <c r="A166" t="s">
        <v>231</v>
      </c>
      <c r="B166" t="str">
        <f>_xlfn.XLOOKUP(A166,'[1]Tissue Data'!$A:$A,'[1]Tissue Data'!$C:$C)</f>
        <v>Down</v>
      </c>
      <c r="C166" s="2">
        <f>_xlfn.XLOOKUP(A166,'[1]Tissue Data'!$A:$A,'[1]Tissue Data'!$D:$D)</f>
        <v>44314</v>
      </c>
      <c r="D166" s="2" t="str">
        <f>_xlfn.XLOOKUP(A166,'[1]Tissue Data'!$A:$A,'[1]Tissue Data'!$F:$F)</f>
        <v>Pumpkinseed</v>
      </c>
      <c r="E166" t="str">
        <f>_xlfn.XLOOKUP(A166,'[1]Tissue Data'!$A:$A,'[1]Tissue Data'!$H:$H)</f>
        <v>Lepomis</v>
      </c>
      <c r="F166" t="str">
        <f>_xlfn.XLOOKUP(A166,'[1]Tissue Data'!$A:$A,'[1]Tissue Data'!$I:$I)</f>
        <v>gibbosus</v>
      </c>
      <c r="G166" t="str">
        <f>_xlfn.XLOOKUP(A166,'[1]Tissue Data'!$A:$A,'[1]Tissue Data'!J:J)</f>
        <v>U</v>
      </c>
      <c r="H166" t="str">
        <f>_xlfn.XLOOKUP(A166,'[1]Tissue Data'!$A:$A,'[1]Tissue Data'!K:K)</f>
        <v>Whole Body</v>
      </c>
      <c r="I166">
        <f>_xlfn.XLOOKUP(A166,'[1]Tissue Data'!$A:$A,'[1]Tissue Data'!L:L)</f>
        <v>7.5</v>
      </c>
      <c r="J166">
        <f>_xlfn.XLOOKUP(A166,'[1]Tissue Data'!$A:$A,'[1]Tissue Data'!M:M)</f>
        <v>7.52</v>
      </c>
      <c r="K166" t="s">
        <v>26</v>
      </c>
      <c r="L166" t="str">
        <f>_xlfn.XLOOKUP(K166,[2]analyte_order!$B:$B,[2]analyte_order!$C:$C)</f>
        <v>2706-91-4</v>
      </c>
      <c r="M166">
        <f>_xlfn.XLOOKUP(L166,[2]analyte_order!$C:$C,[2]analyte_order!$E:$E)</f>
        <v>15</v>
      </c>
      <c r="N166">
        <v>0.1267527775024149</v>
      </c>
    </row>
    <row r="167" spans="1:14">
      <c r="A167" t="s">
        <v>231</v>
      </c>
      <c r="B167" t="str">
        <f>_xlfn.XLOOKUP(A167,'[1]Tissue Data'!$A:$A,'[1]Tissue Data'!$C:$C)</f>
        <v>Down</v>
      </c>
      <c r="C167" s="2">
        <f>_xlfn.XLOOKUP(A167,'[1]Tissue Data'!$A:$A,'[1]Tissue Data'!$D:$D)</f>
        <v>44314</v>
      </c>
      <c r="D167" s="2" t="str">
        <f>_xlfn.XLOOKUP(A167,'[1]Tissue Data'!$A:$A,'[1]Tissue Data'!$F:$F)</f>
        <v>Pumpkinseed</v>
      </c>
      <c r="E167" t="str">
        <f>_xlfn.XLOOKUP(A167,'[1]Tissue Data'!$A:$A,'[1]Tissue Data'!$H:$H)</f>
        <v>Lepomis</v>
      </c>
      <c r="F167" t="str">
        <f>_xlfn.XLOOKUP(A167,'[1]Tissue Data'!$A:$A,'[1]Tissue Data'!$I:$I)</f>
        <v>gibbosus</v>
      </c>
      <c r="G167" t="str">
        <f>_xlfn.XLOOKUP(A167,'[1]Tissue Data'!$A:$A,'[1]Tissue Data'!J:J)</f>
        <v>U</v>
      </c>
      <c r="H167" t="str">
        <f>_xlfn.XLOOKUP(A167,'[1]Tissue Data'!$A:$A,'[1]Tissue Data'!K:K)</f>
        <v>Whole Body</v>
      </c>
      <c r="I167">
        <f>_xlfn.XLOOKUP(A167,'[1]Tissue Data'!$A:$A,'[1]Tissue Data'!L:L)</f>
        <v>7.5</v>
      </c>
      <c r="J167">
        <f>_xlfn.XLOOKUP(A167,'[1]Tissue Data'!$A:$A,'[1]Tissue Data'!M:M)</f>
        <v>7.52</v>
      </c>
      <c r="K167" t="s">
        <v>27</v>
      </c>
      <c r="L167" t="str">
        <f>_xlfn.XLOOKUP(K167,[2]analyte_order!$B:$B,[2]analyte_order!$C:$C)</f>
        <v>355-46-4</v>
      </c>
      <c r="M167">
        <f>_xlfn.XLOOKUP(L167,[2]analyte_order!$C:$C,[2]analyte_order!$E:$E)</f>
        <v>16</v>
      </c>
      <c r="N167">
        <v>8.6</v>
      </c>
    </row>
    <row r="168" spans="1:14">
      <c r="A168" t="s">
        <v>231</v>
      </c>
      <c r="B168" t="str">
        <f>_xlfn.XLOOKUP(A168,'[1]Tissue Data'!$A:$A,'[1]Tissue Data'!$C:$C)</f>
        <v>Down</v>
      </c>
      <c r="C168" s="2">
        <f>_xlfn.XLOOKUP(A168,'[1]Tissue Data'!$A:$A,'[1]Tissue Data'!$D:$D)</f>
        <v>44314</v>
      </c>
      <c r="D168" s="2" t="str">
        <f>_xlfn.XLOOKUP(A168,'[1]Tissue Data'!$A:$A,'[1]Tissue Data'!$F:$F)</f>
        <v>Pumpkinseed</v>
      </c>
      <c r="E168" t="str">
        <f>_xlfn.XLOOKUP(A168,'[1]Tissue Data'!$A:$A,'[1]Tissue Data'!$H:$H)</f>
        <v>Lepomis</v>
      </c>
      <c r="F168" t="str">
        <f>_xlfn.XLOOKUP(A168,'[1]Tissue Data'!$A:$A,'[1]Tissue Data'!$I:$I)</f>
        <v>gibbosus</v>
      </c>
      <c r="G168" t="str">
        <f>_xlfn.XLOOKUP(A168,'[1]Tissue Data'!$A:$A,'[1]Tissue Data'!J:J)</f>
        <v>U</v>
      </c>
      <c r="H168" t="str">
        <f>_xlfn.XLOOKUP(A168,'[1]Tissue Data'!$A:$A,'[1]Tissue Data'!K:K)</f>
        <v>Whole Body</v>
      </c>
      <c r="I168">
        <f>_xlfn.XLOOKUP(A168,'[1]Tissue Data'!$A:$A,'[1]Tissue Data'!L:L)</f>
        <v>7.5</v>
      </c>
      <c r="J168">
        <f>_xlfn.XLOOKUP(A168,'[1]Tissue Data'!$A:$A,'[1]Tissue Data'!M:M)</f>
        <v>7.52</v>
      </c>
      <c r="K168" t="s">
        <v>28</v>
      </c>
      <c r="L168" t="str">
        <f>_xlfn.XLOOKUP(K168,[2]analyte_order!$B:$B,[2]analyte_order!$C:$C)</f>
        <v>375-92-8</v>
      </c>
      <c r="M168">
        <f>_xlfn.XLOOKUP(L168,[2]analyte_order!$C:$C,[2]analyte_order!$E:$E)</f>
        <v>17</v>
      </c>
      <c r="N168">
        <v>1.7</v>
      </c>
    </row>
    <row r="169" spans="1:14">
      <c r="A169" t="s">
        <v>231</v>
      </c>
      <c r="B169" t="str">
        <f>_xlfn.XLOOKUP(A169,'[1]Tissue Data'!$A:$A,'[1]Tissue Data'!$C:$C)</f>
        <v>Down</v>
      </c>
      <c r="C169" s="2">
        <f>_xlfn.XLOOKUP(A169,'[1]Tissue Data'!$A:$A,'[1]Tissue Data'!$D:$D)</f>
        <v>44314</v>
      </c>
      <c r="D169" s="2" t="str">
        <f>_xlfn.XLOOKUP(A169,'[1]Tissue Data'!$A:$A,'[1]Tissue Data'!$F:$F)</f>
        <v>Pumpkinseed</v>
      </c>
      <c r="E169" t="str">
        <f>_xlfn.XLOOKUP(A169,'[1]Tissue Data'!$A:$A,'[1]Tissue Data'!$H:$H)</f>
        <v>Lepomis</v>
      </c>
      <c r="F169" t="str">
        <f>_xlfn.XLOOKUP(A169,'[1]Tissue Data'!$A:$A,'[1]Tissue Data'!$I:$I)</f>
        <v>gibbosus</v>
      </c>
      <c r="G169" t="str">
        <f>_xlfn.XLOOKUP(A169,'[1]Tissue Data'!$A:$A,'[1]Tissue Data'!J:J)</f>
        <v>U</v>
      </c>
      <c r="H169" t="str">
        <f>_xlfn.XLOOKUP(A169,'[1]Tissue Data'!$A:$A,'[1]Tissue Data'!K:K)</f>
        <v>Whole Body</v>
      </c>
      <c r="I169">
        <f>_xlfn.XLOOKUP(A169,'[1]Tissue Data'!$A:$A,'[1]Tissue Data'!L:L)</f>
        <v>7.5</v>
      </c>
      <c r="J169">
        <f>_xlfn.XLOOKUP(A169,'[1]Tissue Data'!$A:$A,'[1]Tissue Data'!M:M)</f>
        <v>7.52</v>
      </c>
      <c r="K169" t="s">
        <v>29</v>
      </c>
      <c r="L169" t="str">
        <f>_xlfn.XLOOKUP(K169,[2]analyte_order!$B:$B,[2]analyte_order!$C:$C)</f>
        <v>1763-23-1</v>
      </c>
      <c r="M169">
        <f>_xlfn.XLOOKUP(L169,[2]analyte_order!$C:$C,[2]analyte_order!$E:$E)</f>
        <v>18</v>
      </c>
      <c r="N169">
        <v>831</v>
      </c>
    </row>
    <row r="170" spans="1:14">
      <c r="A170" t="s">
        <v>231</v>
      </c>
      <c r="B170" t="str">
        <f>_xlfn.XLOOKUP(A170,'[1]Tissue Data'!$A:$A,'[1]Tissue Data'!$C:$C)</f>
        <v>Down</v>
      </c>
      <c r="C170" s="2">
        <f>_xlfn.XLOOKUP(A170,'[1]Tissue Data'!$A:$A,'[1]Tissue Data'!$D:$D)</f>
        <v>44314</v>
      </c>
      <c r="D170" s="2" t="str">
        <f>_xlfn.XLOOKUP(A170,'[1]Tissue Data'!$A:$A,'[1]Tissue Data'!$F:$F)</f>
        <v>Pumpkinseed</v>
      </c>
      <c r="E170" t="str">
        <f>_xlfn.XLOOKUP(A170,'[1]Tissue Data'!$A:$A,'[1]Tissue Data'!$H:$H)</f>
        <v>Lepomis</v>
      </c>
      <c r="F170" t="str">
        <f>_xlfn.XLOOKUP(A170,'[1]Tissue Data'!$A:$A,'[1]Tissue Data'!$I:$I)</f>
        <v>gibbosus</v>
      </c>
      <c r="G170" t="str">
        <f>_xlfn.XLOOKUP(A170,'[1]Tissue Data'!$A:$A,'[1]Tissue Data'!J:J)</f>
        <v>U</v>
      </c>
      <c r="H170" t="str">
        <f>_xlfn.XLOOKUP(A170,'[1]Tissue Data'!$A:$A,'[1]Tissue Data'!K:K)</f>
        <v>Whole Body</v>
      </c>
      <c r="I170">
        <f>_xlfn.XLOOKUP(A170,'[1]Tissue Data'!$A:$A,'[1]Tissue Data'!L:L)</f>
        <v>7.5</v>
      </c>
      <c r="J170">
        <f>_xlfn.XLOOKUP(A170,'[1]Tissue Data'!$A:$A,'[1]Tissue Data'!M:M)</f>
        <v>7.52</v>
      </c>
      <c r="K170" t="s">
        <v>30</v>
      </c>
      <c r="L170" t="str">
        <f>_xlfn.XLOOKUP(K170,[2]analyte_order!$B:$B,[2]analyte_order!$C:$C)</f>
        <v>68259-12-1</v>
      </c>
      <c r="M170">
        <f>_xlfn.XLOOKUP(L170,[2]analyte_order!$C:$C,[2]analyte_order!$E:$E)</f>
        <v>19</v>
      </c>
      <c r="N170">
        <v>0.86899999999999999</v>
      </c>
    </row>
    <row r="171" spans="1:14">
      <c r="A171" t="s">
        <v>231</v>
      </c>
      <c r="B171" t="str">
        <f>_xlfn.XLOOKUP(A171,'[1]Tissue Data'!$A:$A,'[1]Tissue Data'!$C:$C)</f>
        <v>Down</v>
      </c>
      <c r="C171" s="2">
        <f>_xlfn.XLOOKUP(A171,'[1]Tissue Data'!$A:$A,'[1]Tissue Data'!$D:$D)</f>
        <v>44314</v>
      </c>
      <c r="D171" s="2" t="str">
        <f>_xlfn.XLOOKUP(A171,'[1]Tissue Data'!$A:$A,'[1]Tissue Data'!$F:$F)</f>
        <v>Pumpkinseed</v>
      </c>
      <c r="E171" t="str">
        <f>_xlfn.XLOOKUP(A171,'[1]Tissue Data'!$A:$A,'[1]Tissue Data'!$H:$H)</f>
        <v>Lepomis</v>
      </c>
      <c r="F171" t="str">
        <f>_xlfn.XLOOKUP(A171,'[1]Tissue Data'!$A:$A,'[1]Tissue Data'!$I:$I)</f>
        <v>gibbosus</v>
      </c>
      <c r="G171" t="str">
        <f>_xlfn.XLOOKUP(A171,'[1]Tissue Data'!$A:$A,'[1]Tissue Data'!J:J)</f>
        <v>U</v>
      </c>
      <c r="H171" t="str">
        <f>_xlfn.XLOOKUP(A171,'[1]Tissue Data'!$A:$A,'[1]Tissue Data'!K:K)</f>
        <v>Whole Body</v>
      </c>
      <c r="I171">
        <f>_xlfn.XLOOKUP(A171,'[1]Tissue Data'!$A:$A,'[1]Tissue Data'!L:L)</f>
        <v>7.5</v>
      </c>
      <c r="J171">
        <f>_xlfn.XLOOKUP(A171,'[1]Tissue Data'!$A:$A,'[1]Tissue Data'!M:M)</f>
        <v>7.52</v>
      </c>
      <c r="K171" t="s">
        <v>31</v>
      </c>
      <c r="L171" t="str">
        <f>_xlfn.XLOOKUP(K171,[2]analyte_order!$B:$B,[2]analyte_order!$C:$C)</f>
        <v>335-77-3</v>
      </c>
      <c r="M171">
        <f>_xlfn.XLOOKUP(L171,[2]analyte_order!$C:$C,[2]analyte_order!$E:$E)</f>
        <v>20</v>
      </c>
      <c r="N171">
        <v>0.54900000000000004</v>
      </c>
    </row>
    <row r="172" spans="1:14">
      <c r="A172" t="s">
        <v>231</v>
      </c>
      <c r="B172" t="str">
        <f>_xlfn.XLOOKUP(A172,'[1]Tissue Data'!$A:$A,'[1]Tissue Data'!$C:$C)</f>
        <v>Down</v>
      </c>
      <c r="C172" s="2">
        <f>_xlfn.XLOOKUP(A172,'[1]Tissue Data'!$A:$A,'[1]Tissue Data'!$D:$D)</f>
        <v>44314</v>
      </c>
      <c r="D172" s="2" t="str">
        <f>_xlfn.XLOOKUP(A172,'[1]Tissue Data'!$A:$A,'[1]Tissue Data'!$F:$F)</f>
        <v>Pumpkinseed</v>
      </c>
      <c r="E172" t="str">
        <f>_xlfn.XLOOKUP(A172,'[1]Tissue Data'!$A:$A,'[1]Tissue Data'!$H:$H)</f>
        <v>Lepomis</v>
      </c>
      <c r="F172" t="str">
        <f>_xlfn.XLOOKUP(A172,'[1]Tissue Data'!$A:$A,'[1]Tissue Data'!$I:$I)</f>
        <v>gibbosus</v>
      </c>
      <c r="G172" t="str">
        <f>_xlfn.XLOOKUP(A172,'[1]Tissue Data'!$A:$A,'[1]Tissue Data'!J:J)</f>
        <v>U</v>
      </c>
      <c r="H172" t="str">
        <f>_xlfn.XLOOKUP(A172,'[1]Tissue Data'!$A:$A,'[1]Tissue Data'!K:K)</f>
        <v>Whole Body</v>
      </c>
      <c r="I172">
        <f>_xlfn.XLOOKUP(A172,'[1]Tissue Data'!$A:$A,'[1]Tissue Data'!L:L)</f>
        <v>7.5</v>
      </c>
      <c r="J172">
        <f>_xlfn.XLOOKUP(A172,'[1]Tissue Data'!$A:$A,'[1]Tissue Data'!M:M)</f>
        <v>7.52</v>
      </c>
      <c r="K172" t="s">
        <v>32</v>
      </c>
      <c r="L172" t="str">
        <f>_xlfn.XLOOKUP(K172,[2]analyte_order!$B:$B,[2]analyte_order!$C:$C)</f>
        <v>79780-39-5</v>
      </c>
      <c r="M172">
        <f>_xlfn.XLOOKUP(L172,[2]analyte_order!$C:$C,[2]analyte_order!$E:$E)</f>
        <v>21</v>
      </c>
      <c r="N172">
        <v>0.25596628658664899</v>
      </c>
    </row>
    <row r="173" spans="1:14">
      <c r="A173" t="s">
        <v>231</v>
      </c>
      <c r="B173" t="str">
        <f>_xlfn.XLOOKUP(A173,'[1]Tissue Data'!$A:$A,'[1]Tissue Data'!$C:$C)</f>
        <v>Down</v>
      </c>
      <c r="C173" s="2">
        <f>_xlfn.XLOOKUP(A173,'[1]Tissue Data'!$A:$A,'[1]Tissue Data'!$D:$D)</f>
        <v>44314</v>
      </c>
      <c r="D173" s="2" t="str">
        <f>_xlfn.XLOOKUP(A173,'[1]Tissue Data'!$A:$A,'[1]Tissue Data'!$F:$F)</f>
        <v>Pumpkinseed</v>
      </c>
      <c r="E173" t="str">
        <f>_xlfn.XLOOKUP(A173,'[1]Tissue Data'!$A:$A,'[1]Tissue Data'!$H:$H)</f>
        <v>Lepomis</v>
      </c>
      <c r="F173" t="str">
        <f>_xlfn.XLOOKUP(A173,'[1]Tissue Data'!$A:$A,'[1]Tissue Data'!$I:$I)</f>
        <v>gibbosus</v>
      </c>
      <c r="G173" t="str">
        <f>_xlfn.XLOOKUP(A173,'[1]Tissue Data'!$A:$A,'[1]Tissue Data'!J:J)</f>
        <v>U</v>
      </c>
      <c r="H173" t="str">
        <f>_xlfn.XLOOKUP(A173,'[1]Tissue Data'!$A:$A,'[1]Tissue Data'!K:K)</f>
        <v>Whole Body</v>
      </c>
      <c r="I173">
        <f>_xlfn.XLOOKUP(A173,'[1]Tissue Data'!$A:$A,'[1]Tissue Data'!L:L)</f>
        <v>7.5</v>
      </c>
      <c r="J173">
        <f>_xlfn.XLOOKUP(A173,'[1]Tissue Data'!$A:$A,'[1]Tissue Data'!M:M)</f>
        <v>7.52</v>
      </c>
      <c r="K173" t="s">
        <v>33</v>
      </c>
      <c r="L173" t="str">
        <f>_xlfn.XLOOKUP(K173,[2]analyte_order!$B:$B,[2]analyte_order!$C:$C)</f>
        <v>777011-38-8</v>
      </c>
      <c r="M173">
        <f>_xlfn.XLOOKUP(L173,[2]analyte_order!$C:$C,[2]analyte_order!$E:$E)</f>
        <v>54</v>
      </c>
      <c r="N173">
        <v>0.14545632262863831</v>
      </c>
    </row>
    <row r="174" spans="1:14">
      <c r="A174" t="s">
        <v>231</v>
      </c>
      <c r="B174" t="str">
        <f>_xlfn.XLOOKUP(A174,'[1]Tissue Data'!$A:$A,'[1]Tissue Data'!$C:$C)</f>
        <v>Down</v>
      </c>
      <c r="C174" s="2">
        <f>_xlfn.XLOOKUP(A174,'[1]Tissue Data'!$A:$A,'[1]Tissue Data'!$D:$D)</f>
        <v>44314</v>
      </c>
      <c r="D174" s="2" t="str">
        <f>_xlfn.XLOOKUP(A174,'[1]Tissue Data'!$A:$A,'[1]Tissue Data'!$F:$F)</f>
        <v>Pumpkinseed</v>
      </c>
      <c r="E174" t="str">
        <f>_xlfn.XLOOKUP(A174,'[1]Tissue Data'!$A:$A,'[1]Tissue Data'!$H:$H)</f>
        <v>Lepomis</v>
      </c>
      <c r="F174" t="str">
        <f>_xlfn.XLOOKUP(A174,'[1]Tissue Data'!$A:$A,'[1]Tissue Data'!$I:$I)</f>
        <v>gibbosus</v>
      </c>
      <c r="G174" t="str">
        <f>_xlfn.XLOOKUP(A174,'[1]Tissue Data'!$A:$A,'[1]Tissue Data'!J:J)</f>
        <v>U</v>
      </c>
      <c r="H174" t="str">
        <f>_xlfn.XLOOKUP(A174,'[1]Tissue Data'!$A:$A,'[1]Tissue Data'!K:K)</f>
        <v>Whole Body</v>
      </c>
      <c r="I174">
        <f>_xlfn.XLOOKUP(A174,'[1]Tissue Data'!$A:$A,'[1]Tissue Data'!L:L)</f>
        <v>7.5</v>
      </c>
      <c r="J174">
        <f>_xlfn.XLOOKUP(A174,'[1]Tissue Data'!$A:$A,'[1]Tissue Data'!M:M)</f>
        <v>7.52</v>
      </c>
      <c r="K174" t="s">
        <v>34</v>
      </c>
      <c r="L174" t="str">
        <f>_xlfn.XLOOKUP(K174,[2]analyte_order!$B:$B,[2]analyte_order!$C:$C)</f>
        <v>646-83-3</v>
      </c>
      <c r="M174">
        <f>_xlfn.XLOOKUP(L174,[2]analyte_order!$C:$C,[2]analyte_order!$E:$E)</f>
        <v>55</v>
      </c>
      <c r="N174">
        <v>9.5744680851063829E-2</v>
      </c>
    </row>
    <row r="175" spans="1:14">
      <c r="A175" t="s">
        <v>231</v>
      </c>
      <c r="B175" t="str">
        <f>_xlfn.XLOOKUP(A175,'[1]Tissue Data'!$A:$A,'[1]Tissue Data'!$C:$C)</f>
        <v>Down</v>
      </c>
      <c r="C175" s="2">
        <f>_xlfn.XLOOKUP(A175,'[1]Tissue Data'!$A:$A,'[1]Tissue Data'!$D:$D)</f>
        <v>44314</v>
      </c>
      <c r="D175" s="2" t="str">
        <f>_xlfn.XLOOKUP(A175,'[1]Tissue Data'!$A:$A,'[1]Tissue Data'!$F:$F)</f>
        <v>Pumpkinseed</v>
      </c>
      <c r="E175" t="str">
        <f>_xlfn.XLOOKUP(A175,'[1]Tissue Data'!$A:$A,'[1]Tissue Data'!$H:$H)</f>
        <v>Lepomis</v>
      </c>
      <c r="F175" t="str">
        <f>_xlfn.XLOOKUP(A175,'[1]Tissue Data'!$A:$A,'[1]Tissue Data'!$I:$I)</f>
        <v>gibbosus</v>
      </c>
      <c r="G175" t="str">
        <f>_xlfn.XLOOKUP(A175,'[1]Tissue Data'!$A:$A,'[1]Tissue Data'!J:J)</f>
        <v>U</v>
      </c>
      <c r="H175" t="str">
        <f>_xlfn.XLOOKUP(A175,'[1]Tissue Data'!$A:$A,'[1]Tissue Data'!K:K)</f>
        <v>Whole Body</v>
      </c>
      <c r="I175">
        <f>_xlfn.XLOOKUP(A175,'[1]Tissue Data'!$A:$A,'[1]Tissue Data'!L:L)</f>
        <v>7.5</v>
      </c>
      <c r="J175">
        <f>_xlfn.XLOOKUP(A175,'[1]Tissue Data'!$A:$A,'[1]Tissue Data'!M:M)</f>
        <v>7.52</v>
      </c>
      <c r="K175" t="s">
        <v>35</v>
      </c>
      <c r="L175" t="str">
        <f>_xlfn.XLOOKUP(K175,[2]analyte_order!$B:$B,[2]analyte_order!$C:$C)</f>
        <v>30334-69-1</v>
      </c>
      <c r="M175">
        <f>_xlfn.XLOOKUP(L175,[2]analyte_order!$C:$C,[2]analyte_order!$E:$E)</f>
        <v>51</v>
      </c>
      <c r="N175">
        <v>150</v>
      </c>
    </row>
    <row r="176" spans="1:14">
      <c r="A176" t="s">
        <v>231</v>
      </c>
      <c r="B176" t="str">
        <f>_xlfn.XLOOKUP(A176,'[1]Tissue Data'!$A:$A,'[1]Tissue Data'!$C:$C)</f>
        <v>Down</v>
      </c>
      <c r="C176" s="2">
        <f>_xlfn.XLOOKUP(A176,'[1]Tissue Data'!$A:$A,'[1]Tissue Data'!$D:$D)</f>
        <v>44314</v>
      </c>
      <c r="D176" s="2" t="str">
        <f>_xlfn.XLOOKUP(A176,'[1]Tissue Data'!$A:$A,'[1]Tissue Data'!$F:$F)</f>
        <v>Pumpkinseed</v>
      </c>
      <c r="E176" t="str">
        <f>_xlfn.XLOOKUP(A176,'[1]Tissue Data'!$A:$A,'[1]Tissue Data'!$H:$H)</f>
        <v>Lepomis</v>
      </c>
      <c r="F176" t="str">
        <f>_xlfn.XLOOKUP(A176,'[1]Tissue Data'!$A:$A,'[1]Tissue Data'!$I:$I)</f>
        <v>gibbosus</v>
      </c>
      <c r="G176" t="str">
        <f>_xlfn.XLOOKUP(A176,'[1]Tissue Data'!$A:$A,'[1]Tissue Data'!J:J)</f>
        <v>U</v>
      </c>
      <c r="H176" t="str">
        <f>_xlfn.XLOOKUP(A176,'[1]Tissue Data'!$A:$A,'[1]Tissue Data'!K:K)</f>
        <v>Whole Body</v>
      </c>
      <c r="I176">
        <f>_xlfn.XLOOKUP(A176,'[1]Tissue Data'!$A:$A,'[1]Tissue Data'!L:L)</f>
        <v>7.5</v>
      </c>
      <c r="J176">
        <f>_xlfn.XLOOKUP(A176,'[1]Tissue Data'!$A:$A,'[1]Tissue Data'!M:M)</f>
        <v>7.52</v>
      </c>
      <c r="K176" t="s">
        <v>36</v>
      </c>
      <c r="L176" t="str">
        <f>_xlfn.XLOOKUP(K176,[2]analyte_order!$B:$B,[2]analyte_order!$C:$C)</f>
        <v>41997-13-1</v>
      </c>
      <c r="M176">
        <f>_xlfn.XLOOKUP(L176,[2]analyte_order!$C:$C,[2]analyte_order!$E:$E)</f>
        <v>52</v>
      </c>
      <c r="N176">
        <v>240</v>
      </c>
    </row>
    <row r="177" spans="1:14">
      <c r="A177" t="s">
        <v>231</v>
      </c>
      <c r="B177" t="str">
        <f>_xlfn.XLOOKUP(A177,'[1]Tissue Data'!$A:$A,'[1]Tissue Data'!$C:$C)</f>
        <v>Down</v>
      </c>
      <c r="C177" s="2">
        <f>_xlfn.XLOOKUP(A177,'[1]Tissue Data'!$A:$A,'[1]Tissue Data'!$D:$D)</f>
        <v>44314</v>
      </c>
      <c r="D177" s="2" t="str">
        <f>_xlfn.XLOOKUP(A177,'[1]Tissue Data'!$A:$A,'[1]Tissue Data'!$F:$F)</f>
        <v>Pumpkinseed</v>
      </c>
      <c r="E177" t="str">
        <f>_xlfn.XLOOKUP(A177,'[1]Tissue Data'!$A:$A,'[1]Tissue Data'!$H:$H)</f>
        <v>Lepomis</v>
      </c>
      <c r="F177" t="str">
        <f>_xlfn.XLOOKUP(A177,'[1]Tissue Data'!$A:$A,'[1]Tissue Data'!$I:$I)</f>
        <v>gibbosus</v>
      </c>
      <c r="G177" t="str">
        <f>_xlfn.XLOOKUP(A177,'[1]Tissue Data'!$A:$A,'[1]Tissue Data'!J:J)</f>
        <v>U</v>
      </c>
      <c r="H177" t="str">
        <f>_xlfn.XLOOKUP(A177,'[1]Tissue Data'!$A:$A,'[1]Tissue Data'!K:K)</f>
        <v>Whole Body</v>
      </c>
      <c r="I177">
        <f>_xlfn.XLOOKUP(A177,'[1]Tissue Data'!$A:$A,'[1]Tissue Data'!L:L)</f>
        <v>7.5</v>
      </c>
      <c r="J177">
        <f>_xlfn.XLOOKUP(A177,'[1]Tissue Data'!$A:$A,'[1]Tissue Data'!M:M)</f>
        <v>7.52</v>
      </c>
      <c r="K177" t="s">
        <v>37</v>
      </c>
      <c r="L177" t="str">
        <f>_xlfn.XLOOKUP(K177,[2]analyte_order!$B:$B,[2]analyte_order!$C:$C)</f>
        <v>754-91-6</v>
      </c>
      <c r="M177">
        <f>_xlfn.XLOOKUP(L177,[2]analyte_order!$C:$C,[2]analyte_order!$E:$E)</f>
        <v>28</v>
      </c>
      <c r="N177">
        <v>27.6</v>
      </c>
    </row>
    <row r="178" spans="1:14">
      <c r="A178" t="s">
        <v>231</v>
      </c>
      <c r="B178" t="str">
        <f>_xlfn.XLOOKUP(A178,'[1]Tissue Data'!$A:$A,'[1]Tissue Data'!$C:$C)</f>
        <v>Down</v>
      </c>
      <c r="C178" s="2">
        <f>_xlfn.XLOOKUP(A178,'[1]Tissue Data'!$A:$A,'[1]Tissue Data'!$D:$D)</f>
        <v>44314</v>
      </c>
      <c r="D178" s="2" t="str">
        <f>_xlfn.XLOOKUP(A178,'[1]Tissue Data'!$A:$A,'[1]Tissue Data'!$F:$F)</f>
        <v>Pumpkinseed</v>
      </c>
      <c r="E178" t="str">
        <f>_xlfn.XLOOKUP(A178,'[1]Tissue Data'!$A:$A,'[1]Tissue Data'!$H:$H)</f>
        <v>Lepomis</v>
      </c>
      <c r="F178" t="str">
        <f>_xlfn.XLOOKUP(A178,'[1]Tissue Data'!$A:$A,'[1]Tissue Data'!$I:$I)</f>
        <v>gibbosus</v>
      </c>
      <c r="G178" t="str">
        <f>_xlfn.XLOOKUP(A178,'[1]Tissue Data'!$A:$A,'[1]Tissue Data'!J:J)</f>
        <v>U</v>
      </c>
      <c r="H178" t="str">
        <f>_xlfn.XLOOKUP(A178,'[1]Tissue Data'!$A:$A,'[1]Tissue Data'!K:K)</f>
        <v>Whole Body</v>
      </c>
      <c r="I178">
        <f>_xlfn.XLOOKUP(A178,'[1]Tissue Data'!$A:$A,'[1]Tissue Data'!L:L)</f>
        <v>7.5</v>
      </c>
      <c r="J178">
        <f>_xlfn.XLOOKUP(A178,'[1]Tissue Data'!$A:$A,'[1]Tissue Data'!M:M)</f>
        <v>7.52</v>
      </c>
      <c r="K178" t="s">
        <v>38</v>
      </c>
      <c r="L178" t="str">
        <f>_xlfn.XLOOKUP(K178,[2]analyte_order!$B:$B,[2]analyte_order!$C:$C)</f>
        <v>31506-32-8</v>
      </c>
      <c r="M178">
        <f>_xlfn.XLOOKUP(L178,[2]analyte_order!$C:$C,[2]analyte_order!$E:$E)</f>
        <v>30</v>
      </c>
      <c r="N178">
        <v>5.6419043278195483E-2</v>
      </c>
    </row>
    <row r="179" spans="1:14">
      <c r="A179" t="s">
        <v>231</v>
      </c>
      <c r="B179" t="str">
        <f>_xlfn.XLOOKUP(A179,'[1]Tissue Data'!$A:$A,'[1]Tissue Data'!$C:$C)</f>
        <v>Down</v>
      </c>
      <c r="C179" s="2">
        <f>_xlfn.XLOOKUP(A179,'[1]Tissue Data'!$A:$A,'[1]Tissue Data'!$D:$D)</f>
        <v>44314</v>
      </c>
      <c r="D179" s="2" t="str">
        <f>_xlfn.XLOOKUP(A179,'[1]Tissue Data'!$A:$A,'[1]Tissue Data'!$F:$F)</f>
        <v>Pumpkinseed</v>
      </c>
      <c r="E179" t="str">
        <f>_xlfn.XLOOKUP(A179,'[1]Tissue Data'!$A:$A,'[1]Tissue Data'!$H:$H)</f>
        <v>Lepomis</v>
      </c>
      <c r="F179" t="str">
        <f>_xlfn.XLOOKUP(A179,'[1]Tissue Data'!$A:$A,'[1]Tissue Data'!$I:$I)</f>
        <v>gibbosus</v>
      </c>
      <c r="G179" t="str">
        <f>_xlfn.XLOOKUP(A179,'[1]Tissue Data'!$A:$A,'[1]Tissue Data'!J:J)</f>
        <v>U</v>
      </c>
      <c r="H179" t="str">
        <f>_xlfn.XLOOKUP(A179,'[1]Tissue Data'!$A:$A,'[1]Tissue Data'!K:K)</f>
        <v>Whole Body</v>
      </c>
      <c r="I179">
        <f>_xlfn.XLOOKUP(A179,'[1]Tissue Data'!$A:$A,'[1]Tissue Data'!L:L)</f>
        <v>7.5</v>
      </c>
      <c r="J179">
        <f>_xlfn.XLOOKUP(A179,'[1]Tissue Data'!$A:$A,'[1]Tissue Data'!M:M)</f>
        <v>7.52</v>
      </c>
      <c r="K179" t="s">
        <v>39</v>
      </c>
      <c r="L179" t="str">
        <f>_xlfn.XLOOKUP(K179,[2]analyte_order!$B:$B,[2]analyte_order!$C:$C)</f>
        <v>4151-50-2</v>
      </c>
      <c r="M179">
        <f>_xlfn.XLOOKUP(L179,[2]analyte_order!$C:$C,[2]analyte_order!$E:$E)</f>
        <v>31</v>
      </c>
      <c r="N179">
        <v>8.5462222906015017E-2</v>
      </c>
    </row>
    <row r="180" spans="1:14">
      <c r="A180" t="s">
        <v>231</v>
      </c>
      <c r="B180" t="str">
        <f>_xlfn.XLOOKUP(A180,'[1]Tissue Data'!$A:$A,'[1]Tissue Data'!$C:$C)</f>
        <v>Down</v>
      </c>
      <c r="C180" s="2">
        <f>_xlfn.XLOOKUP(A180,'[1]Tissue Data'!$A:$A,'[1]Tissue Data'!$D:$D)</f>
        <v>44314</v>
      </c>
      <c r="D180" s="2" t="str">
        <f>_xlfn.XLOOKUP(A180,'[1]Tissue Data'!$A:$A,'[1]Tissue Data'!$F:$F)</f>
        <v>Pumpkinseed</v>
      </c>
      <c r="E180" t="str">
        <f>_xlfn.XLOOKUP(A180,'[1]Tissue Data'!$A:$A,'[1]Tissue Data'!$H:$H)</f>
        <v>Lepomis</v>
      </c>
      <c r="F180" t="str">
        <f>_xlfn.XLOOKUP(A180,'[1]Tissue Data'!$A:$A,'[1]Tissue Data'!$I:$I)</f>
        <v>gibbosus</v>
      </c>
      <c r="G180" t="str">
        <f>_xlfn.XLOOKUP(A180,'[1]Tissue Data'!$A:$A,'[1]Tissue Data'!J:J)</f>
        <v>U</v>
      </c>
      <c r="H180" t="str">
        <f>_xlfn.XLOOKUP(A180,'[1]Tissue Data'!$A:$A,'[1]Tissue Data'!K:K)</f>
        <v>Whole Body</v>
      </c>
      <c r="I180">
        <f>_xlfn.XLOOKUP(A180,'[1]Tissue Data'!$A:$A,'[1]Tissue Data'!L:L)</f>
        <v>7.5</v>
      </c>
      <c r="J180">
        <f>_xlfn.XLOOKUP(A180,'[1]Tissue Data'!$A:$A,'[1]Tissue Data'!M:M)</f>
        <v>7.52</v>
      </c>
      <c r="K180" t="s">
        <v>40</v>
      </c>
      <c r="L180" t="str">
        <f>_xlfn.XLOOKUP(K180,[2]analyte_order!$B:$B,[2]analyte_order!$C:$C)</f>
        <v>2806-24-8</v>
      </c>
      <c r="M180">
        <f>_xlfn.XLOOKUP(L180,[2]analyte_order!$C:$C,[2]analyte_order!$E:$E)</f>
        <v>29</v>
      </c>
      <c r="N180">
        <v>5.7726433827067672E-2</v>
      </c>
    </row>
    <row r="181" spans="1:14">
      <c r="A181" t="s">
        <v>231</v>
      </c>
      <c r="B181" t="str">
        <f>_xlfn.XLOOKUP(A181,'[1]Tissue Data'!$A:$A,'[1]Tissue Data'!$C:$C)</f>
        <v>Down</v>
      </c>
      <c r="C181" s="2">
        <f>_xlfn.XLOOKUP(A181,'[1]Tissue Data'!$A:$A,'[1]Tissue Data'!$D:$D)</f>
        <v>44314</v>
      </c>
      <c r="D181" s="2" t="str">
        <f>_xlfn.XLOOKUP(A181,'[1]Tissue Data'!$A:$A,'[1]Tissue Data'!$F:$F)</f>
        <v>Pumpkinseed</v>
      </c>
      <c r="E181" t="str">
        <f>_xlfn.XLOOKUP(A181,'[1]Tissue Data'!$A:$A,'[1]Tissue Data'!$H:$H)</f>
        <v>Lepomis</v>
      </c>
      <c r="F181" t="str">
        <f>_xlfn.XLOOKUP(A181,'[1]Tissue Data'!$A:$A,'[1]Tissue Data'!$I:$I)</f>
        <v>gibbosus</v>
      </c>
      <c r="G181" t="str">
        <f>_xlfn.XLOOKUP(A181,'[1]Tissue Data'!$A:$A,'[1]Tissue Data'!J:J)</f>
        <v>U</v>
      </c>
      <c r="H181" t="str">
        <f>_xlfn.XLOOKUP(A181,'[1]Tissue Data'!$A:$A,'[1]Tissue Data'!K:K)</f>
        <v>Whole Body</v>
      </c>
      <c r="I181">
        <f>_xlfn.XLOOKUP(A181,'[1]Tissue Data'!$A:$A,'[1]Tissue Data'!L:L)</f>
        <v>7.5</v>
      </c>
      <c r="J181">
        <f>_xlfn.XLOOKUP(A181,'[1]Tissue Data'!$A:$A,'[1]Tissue Data'!M:M)</f>
        <v>7.52</v>
      </c>
      <c r="K181" t="s">
        <v>41</v>
      </c>
      <c r="L181" t="str">
        <f>_xlfn.XLOOKUP(K181,[2]analyte_order!$B:$B,[2]analyte_order!$C:$C)</f>
        <v>2355-31-9</v>
      </c>
      <c r="M181">
        <f>_xlfn.XLOOKUP(L181,[2]analyte_order!$C:$C,[2]analyte_order!$E:$E)</f>
        <v>26</v>
      </c>
      <c r="N181">
        <v>7.3678131575187975E-2</v>
      </c>
    </row>
    <row r="182" spans="1:14">
      <c r="A182" t="s">
        <v>231</v>
      </c>
      <c r="B182" t="str">
        <f>_xlfn.XLOOKUP(A182,'[1]Tissue Data'!$A:$A,'[1]Tissue Data'!$C:$C)</f>
        <v>Down</v>
      </c>
      <c r="C182" s="2">
        <f>_xlfn.XLOOKUP(A182,'[1]Tissue Data'!$A:$A,'[1]Tissue Data'!$D:$D)</f>
        <v>44314</v>
      </c>
      <c r="D182" s="2" t="str">
        <f>_xlfn.XLOOKUP(A182,'[1]Tissue Data'!$A:$A,'[1]Tissue Data'!$F:$F)</f>
        <v>Pumpkinseed</v>
      </c>
      <c r="E182" t="str">
        <f>_xlfn.XLOOKUP(A182,'[1]Tissue Data'!$A:$A,'[1]Tissue Data'!$H:$H)</f>
        <v>Lepomis</v>
      </c>
      <c r="F182" t="str">
        <f>_xlfn.XLOOKUP(A182,'[1]Tissue Data'!$A:$A,'[1]Tissue Data'!$I:$I)</f>
        <v>gibbosus</v>
      </c>
      <c r="G182" t="str">
        <f>_xlfn.XLOOKUP(A182,'[1]Tissue Data'!$A:$A,'[1]Tissue Data'!J:J)</f>
        <v>U</v>
      </c>
      <c r="H182" t="str">
        <f>_xlfn.XLOOKUP(A182,'[1]Tissue Data'!$A:$A,'[1]Tissue Data'!K:K)</f>
        <v>Whole Body</v>
      </c>
      <c r="I182">
        <f>_xlfn.XLOOKUP(A182,'[1]Tissue Data'!$A:$A,'[1]Tissue Data'!L:L)</f>
        <v>7.5</v>
      </c>
      <c r="J182">
        <f>_xlfn.XLOOKUP(A182,'[1]Tissue Data'!$A:$A,'[1]Tissue Data'!M:M)</f>
        <v>7.52</v>
      </c>
      <c r="K182" t="s">
        <v>42</v>
      </c>
      <c r="L182" t="str">
        <f>_xlfn.XLOOKUP(K182,[2]analyte_order!$B:$B,[2]analyte_order!$C:$C)</f>
        <v>2991-50-6</v>
      </c>
      <c r="M182">
        <f>_xlfn.XLOOKUP(L182,[2]analyte_order!$C:$C,[2]analyte_order!$E:$E)</f>
        <v>27</v>
      </c>
      <c r="N182">
        <v>6.3567312665413531E-2</v>
      </c>
    </row>
    <row r="183" spans="1:14">
      <c r="A183" t="s">
        <v>231</v>
      </c>
      <c r="B183" t="str">
        <f>_xlfn.XLOOKUP(A183,'[1]Tissue Data'!$A:$A,'[1]Tissue Data'!$C:$C)</f>
        <v>Down</v>
      </c>
      <c r="C183" s="2">
        <f>_xlfn.XLOOKUP(A183,'[1]Tissue Data'!$A:$A,'[1]Tissue Data'!$D:$D)</f>
        <v>44314</v>
      </c>
      <c r="D183" s="2" t="str">
        <f>_xlfn.XLOOKUP(A183,'[1]Tissue Data'!$A:$A,'[1]Tissue Data'!$F:$F)</f>
        <v>Pumpkinseed</v>
      </c>
      <c r="E183" t="str">
        <f>_xlfn.XLOOKUP(A183,'[1]Tissue Data'!$A:$A,'[1]Tissue Data'!$H:$H)</f>
        <v>Lepomis</v>
      </c>
      <c r="F183" t="str">
        <f>_xlfn.XLOOKUP(A183,'[1]Tissue Data'!$A:$A,'[1]Tissue Data'!$I:$I)</f>
        <v>gibbosus</v>
      </c>
      <c r="G183" t="str">
        <f>_xlfn.XLOOKUP(A183,'[1]Tissue Data'!$A:$A,'[1]Tissue Data'!J:J)</f>
        <v>U</v>
      </c>
      <c r="H183" t="str">
        <f>_xlfn.XLOOKUP(A183,'[1]Tissue Data'!$A:$A,'[1]Tissue Data'!K:K)</f>
        <v>Whole Body</v>
      </c>
      <c r="I183">
        <f>_xlfn.XLOOKUP(A183,'[1]Tissue Data'!$A:$A,'[1]Tissue Data'!L:L)</f>
        <v>7.5</v>
      </c>
      <c r="J183">
        <f>_xlfn.XLOOKUP(A183,'[1]Tissue Data'!$A:$A,'[1]Tissue Data'!M:M)</f>
        <v>7.52</v>
      </c>
      <c r="K183" t="s">
        <v>43</v>
      </c>
      <c r="L183" t="str">
        <f>_xlfn.XLOOKUP(K183,[2]analyte_order!$B:$B,[2]analyte_order!$C:$C)</f>
        <v>757124-72-4</v>
      </c>
      <c r="M183">
        <f>_xlfn.XLOOKUP(L183,[2]analyte_order!$C:$C,[2]analyte_order!$E:$E)</f>
        <v>22</v>
      </c>
      <c r="N183">
        <v>6.0154416947368415E-2</v>
      </c>
    </row>
    <row r="184" spans="1:14">
      <c r="A184" t="s">
        <v>231</v>
      </c>
      <c r="B184" t="str">
        <f>_xlfn.XLOOKUP(A184,'[1]Tissue Data'!$A:$A,'[1]Tissue Data'!$C:$C)</f>
        <v>Down</v>
      </c>
      <c r="C184" s="2">
        <f>_xlfn.XLOOKUP(A184,'[1]Tissue Data'!$A:$A,'[1]Tissue Data'!$D:$D)</f>
        <v>44314</v>
      </c>
      <c r="D184" s="2" t="str">
        <f>_xlfn.XLOOKUP(A184,'[1]Tissue Data'!$A:$A,'[1]Tissue Data'!$F:$F)</f>
        <v>Pumpkinseed</v>
      </c>
      <c r="E184" t="str">
        <f>_xlfn.XLOOKUP(A184,'[1]Tissue Data'!$A:$A,'[1]Tissue Data'!$H:$H)</f>
        <v>Lepomis</v>
      </c>
      <c r="F184" t="str">
        <f>_xlfn.XLOOKUP(A184,'[1]Tissue Data'!$A:$A,'[1]Tissue Data'!$I:$I)</f>
        <v>gibbosus</v>
      </c>
      <c r="G184" t="str">
        <f>_xlfn.XLOOKUP(A184,'[1]Tissue Data'!$A:$A,'[1]Tissue Data'!J:J)</f>
        <v>U</v>
      </c>
      <c r="H184" t="str">
        <f>_xlfn.XLOOKUP(A184,'[1]Tissue Data'!$A:$A,'[1]Tissue Data'!K:K)</f>
        <v>Whole Body</v>
      </c>
      <c r="I184">
        <f>_xlfn.XLOOKUP(A184,'[1]Tissue Data'!$A:$A,'[1]Tissue Data'!L:L)</f>
        <v>7.5</v>
      </c>
      <c r="J184">
        <f>_xlfn.XLOOKUP(A184,'[1]Tissue Data'!$A:$A,'[1]Tissue Data'!M:M)</f>
        <v>7.52</v>
      </c>
      <c r="K184" t="s">
        <v>44</v>
      </c>
      <c r="L184" t="str">
        <f>_xlfn.XLOOKUP(K184,[2]analyte_order!$B:$B,[2]analyte_order!$C:$C)</f>
        <v>27619-97-2</v>
      </c>
      <c r="M184">
        <f>_xlfn.XLOOKUP(L184,[2]analyte_order!$C:$C,[2]analyte_order!$E:$E)</f>
        <v>23</v>
      </c>
      <c r="N184">
        <v>0.59399999999999997</v>
      </c>
    </row>
    <row r="185" spans="1:14">
      <c r="A185" t="s">
        <v>231</v>
      </c>
      <c r="B185" t="str">
        <f>_xlfn.XLOOKUP(A185,'[1]Tissue Data'!$A:$A,'[1]Tissue Data'!$C:$C)</f>
        <v>Down</v>
      </c>
      <c r="C185" s="2">
        <f>_xlfn.XLOOKUP(A185,'[1]Tissue Data'!$A:$A,'[1]Tissue Data'!$D:$D)</f>
        <v>44314</v>
      </c>
      <c r="D185" s="2" t="str">
        <f>_xlfn.XLOOKUP(A185,'[1]Tissue Data'!$A:$A,'[1]Tissue Data'!$F:$F)</f>
        <v>Pumpkinseed</v>
      </c>
      <c r="E185" t="str">
        <f>_xlfn.XLOOKUP(A185,'[1]Tissue Data'!$A:$A,'[1]Tissue Data'!$H:$H)</f>
        <v>Lepomis</v>
      </c>
      <c r="F185" t="str">
        <f>_xlfn.XLOOKUP(A185,'[1]Tissue Data'!$A:$A,'[1]Tissue Data'!$I:$I)</f>
        <v>gibbosus</v>
      </c>
      <c r="G185" t="str">
        <f>_xlfn.XLOOKUP(A185,'[1]Tissue Data'!$A:$A,'[1]Tissue Data'!J:J)</f>
        <v>U</v>
      </c>
      <c r="H185" t="str">
        <f>_xlfn.XLOOKUP(A185,'[1]Tissue Data'!$A:$A,'[1]Tissue Data'!K:K)</f>
        <v>Whole Body</v>
      </c>
      <c r="I185">
        <f>_xlfn.XLOOKUP(A185,'[1]Tissue Data'!$A:$A,'[1]Tissue Data'!L:L)</f>
        <v>7.5</v>
      </c>
      <c r="J185">
        <f>_xlfn.XLOOKUP(A185,'[1]Tissue Data'!$A:$A,'[1]Tissue Data'!M:M)</f>
        <v>7.52</v>
      </c>
      <c r="K185" t="s">
        <v>45</v>
      </c>
      <c r="L185" t="str">
        <f>_xlfn.XLOOKUP(K185,[2]analyte_order!$B:$B,[2]analyte_order!$C:$C)</f>
        <v>39108-34-4</v>
      </c>
      <c r="M185">
        <f>_xlfn.XLOOKUP(L185,[2]analyte_order!$C:$C,[2]analyte_order!$E:$E)</f>
        <v>24</v>
      </c>
      <c r="N185">
        <v>1.6</v>
      </c>
    </row>
    <row r="186" spans="1:14">
      <c r="A186" t="s">
        <v>231</v>
      </c>
      <c r="B186" t="str">
        <f>_xlfn.XLOOKUP(A186,'[1]Tissue Data'!$A:$A,'[1]Tissue Data'!$C:$C)</f>
        <v>Down</v>
      </c>
      <c r="C186" s="2">
        <f>_xlfn.XLOOKUP(A186,'[1]Tissue Data'!$A:$A,'[1]Tissue Data'!$D:$D)</f>
        <v>44314</v>
      </c>
      <c r="D186" s="2" t="str">
        <f>_xlfn.XLOOKUP(A186,'[1]Tissue Data'!$A:$A,'[1]Tissue Data'!$F:$F)</f>
        <v>Pumpkinseed</v>
      </c>
      <c r="E186" t="str">
        <f>_xlfn.XLOOKUP(A186,'[1]Tissue Data'!$A:$A,'[1]Tissue Data'!$H:$H)</f>
        <v>Lepomis</v>
      </c>
      <c r="F186" t="str">
        <f>_xlfn.XLOOKUP(A186,'[1]Tissue Data'!$A:$A,'[1]Tissue Data'!$I:$I)</f>
        <v>gibbosus</v>
      </c>
      <c r="G186" t="str">
        <f>_xlfn.XLOOKUP(A186,'[1]Tissue Data'!$A:$A,'[1]Tissue Data'!J:J)</f>
        <v>U</v>
      </c>
      <c r="H186" t="str">
        <f>_xlfn.XLOOKUP(A186,'[1]Tissue Data'!$A:$A,'[1]Tissue Data'!K:K)</f>
        <v>Whole Body</v>
      </c>
      <c r="I186">
        <f>_xlfn.XLOOKUP(A186,'[1]Tissue Data'!$A:$A,'[1]Tissue Data'!L:L)</f>
        <v>7.5</v>
      </c>
      <c r="J186">
        <f>_xlfn.XLOOKUP(A186,'[1]Tissue Data'!$A:$A,'[1]Tissue Data'!M:M)</f>
        <v>7.52</v>
      </c>
      <c r="K186" t="s">
        <v>46</v>
      </c>
      <c r="L186" t="str">
        <f>_xlfn.XLOOKUP(K186,[2]analyte_order!$B:$B,[2]analyte_order!$C:$C)</f>
        <v>120226-60-0</v>
      </c>
      <c r="M186">
        <f>_xlfn.XLOOKUP(L186,[2]analyte_order!$C:$C,[2]analyte_order!$E:$E)</f>
        <v>25</v>
      </c>
      <c r="N186">
        <v>8.3155858646616537E-2</v>
      </c>
    </row>
    <row r="187" spans="1:14">
      <c r="A187" t="s">
        <v>231</v>
      </c>
      <c r="B187" t="str">
        <f>_xlfn.XLOOKUP(A187,'[1]Tissue Data'!$A:$A,'[1]Tissue Data'!$C:$C)</f>
        <v>Down</v>
      </c>
      <c r="C187" s="2">
        <f>_xlfn.XLOOKUP(A187,'[1]Tissue Data'!$A:$A,'[1]Tissue Data'!$D:$D)</f>
        <v>44314</v>
      </c>
      <c r="D187" s="2" t="str">
        <f>_xlfn.XLOOKUP(A187,'[1]Tissue Data'!$A:$A,'[1]Tissue Data'!$F:$F)</f>
        <v>Pumpkinseed</v>
      </c>
      <c r="E187" t="str">
        <f>_xlfn.XLOOKUP(A187,'[1]Tissue Data'!$A:$A,'[1]Tissue Data'!$H:$H)</f>
        <v>Lepomis</v>
      </c>
      <c r="F187" t="str">
        <f>_xlfn.XLOOKUP(A187,'[1]Tissue Data'!$A:$A,'[1]Tissue Data'!$I:$I)</f>
        <v>gibbosus</v>
      </c>
      <c r="G187" t="str">
        <f>_xlfn.XLOOKUP(A187,'[1]Tissue Data'!$A:$A,'[1]Tissue Data'!J:J)</f>
        <v>U</v>
      </c>
      <c r="H187" t="str">
        <f>_xlfn.XLOOKUP(A187,'[1]Tissue Data'!$A:$A,'[1]Tissue Data'!K:K)</f>
        <v>Whole Body</v>
      </c>
      <c r="I187">
        <f>_xlfn.XLOOKUP(A187,'[1]Tissue Data'!$A:$A,'[1]Tissue Data'!L:L)</f>
        <v>7.5</v>
      </c>
      <c r="J187">
        <f>_xlfn.XLOOKUP(A187,'[1]Tissue Data'!$A:$A,'[1]Tissue Data'!M:M)</f>
        <v>7.52</v>
      </c>
      <c r="K187" t="s">
        <v>47</v>
      </c>
      <c r="L187" t="str">
        <f>_xlfn.XLOOKUP(K187,[2]analyte_order!$B:$B,[2]analyte_order!$C:$C)</f>
        <v>356-02-5</v>
      </c>
      <c r="M187">
        <f>_xlfn.XLOOKUP(L187,[2]analyte_order!$C:$C,[2]analyte_order!$E:$E)</f>
        <v>38</v>
      </c>
      <c r="N187">
        <v>8.4475796785714277E-2</v>
      </c>
    </row>
    <row r="188" spans="1:14">
      <c r="A188" t="s">
        <v>231</v>
      </c>
      <c r="B188" t="str">
        <f>_xlfn.XLOOKUP(A188,'[1]Tissue Data'!$A:$A,'[1]Tissue Data'!$C:$C)</f>
        <v>Down</v>
      </c>
      <c r="C188" s="2">
        <f>_xlfn.XLOOKUP(A188,'[1]Tissue Data'!$A:$A,'[1]Tissue Data'!$D:$D)</f>
        <v>44314</v>
      </c>
      <c r="D188" s="2" t="str">
        <f>_xlfn.XLOOKUP(A188,'[1]Tissue Data'!$A:$A,'[1]Tissue Data'!$F:$F)</f>
        <v>Pumpkinseed</v>
      </c>
      <c r="E188" t="str">
        <f>_xlfn.XLOOKUP(A188,'[1]Tissue Data'!$A:$A,'[1]Tissue Data'!$H:$H)</f>
        <v>Lepomis</v>
      </c>
      <c r="F188" t="str">
        <f>_xlfn.XLOOKUP(A188,'[1]Tissue Data'!$A:$A,'[1]Tissue Data'!$I:$I)</f>
        <v>gibbosus</v>
      </c>
      <c r="G188" t="str">
        <f>_xlfn.XLOOKUP(A188,'[1]Tissue Data'!$A:$A,'[1]Tissue Data'!J:J)</f>
        <v>U</v>
      </c>
      <c r="H188" t="str">
        <f>_xlfn.XLOOKUP(A188,'[1]Tissue Data'!$A:$A,'[1]Tissue Data'!K:K)</f>
        <v>Whole Body</v>
      </c>
      <c r="I188">
        <f>_xlfn.XLOOKUP(A188,'[1]Tissue Data'!$A:$A,'[1]Tissue Data'!L:L)</f>
        <v>7.5</v>
      </c>
      <c r="J188">
        <f>_xlfn.XLOOKUP(A188,'[1]Tissue Data'!$A:$A,'[1]Tissue Data'!M:M)</f>
        <v>7.52</v>
      </c>
      <c r="K188" t="s">
        <v>48</v>
      </c>
      <c r="L188" t="str">
        <f>_xlfn.XLOOKUP(K188,[2]analyte_order!$B:$B,[2]analyte_order!$C:$C)</f>
        <v>914637-49-3</v>
      </c>
      <c r="M188">
        <f>_xlfn.XLOOKUP(L188,[2]analyte_order!$C:$C,[2]analyte_order!$E:$E)</f>
        <v>39</v>
      </c>
      <c r="N188">
        <v>12.4</v>
      </c>
    </row>
    <row r="189" spans="1:14">
      <c r="A189" t="s">
        <v>231</v>
      </c>
      <c r="B189" t="str">
        <f>_xlfn.XLOOKUP(A189,'[1]Tissue Data'!$A:$A,'[1]Tissue Data'!$C:$C)</f>
        <v>Down</v>
      </c>
      <c r="C189" s="2">
        <f>_xlfn.XLOOKUP(A189,'[1]Tissue Data'!$A:$A,'[1]Tissue Data'!$D:$D)</f>
        <v>44314</v>
      </c>
      <c r="D189" s="2" t="str">
        <f>_xlfn.XLOOKUP(A189,'[1]Tissue Data'!$A:$A,'[1]Tissue Data'!$F:$F)</f>
        <v>Pumpkinseed</v>
      </c>
      <c r="E189" t="str">
        <f>_xlfn.XLOOKUP(A189,'[1]Tissue Data'!$A:$A,'[1]Tissue Data'!$H:$H)</f>
        <v>Lepomis</v>
      </c>
      <c r="F189" t="str">
        <f>_xlfn.XLOOKUP(A189,'[1]Tissue Data'!$A:$A,'[1]Tissue Data'!$I:$I)</f>
        <v>gibbosus</v>
      </c>
      <c r="G189" t="str">
        <f>_xlfn.XLOOKUP(A189,'[1]Tissue Data'!$A:$A,'[1]Tissue Data'!J:J)</f>
        <v>U</v>
      </c>
      <c r="H189" t="str">
        <f>_xlfn.XLOOKUP(A189,'[1]Tissue Data'!$A:$A,'[1]Tissue Data'!K:K)</f>
        <v>Whole Body</v>
      </c>
      <c r="I189">
        <f>_xlfn.XLOOKUP(A189,'[1]Tissue Data'!$A:$A,'[1]Tissue Data'!L:L)</f>
        <v>7.5</v>
      </c>
      <c r="J189">
        <f>_xlfn.XLOOKUP(A189,'[1]Tissue Data'!$A:$A,'[1]Tissue Data'!M:M)</f>
        <v>7.52</v>
      </c>
      <c r="K189" t="s">
        <v>49</v>
      </c>
      <c r="L189" t="str">
        <f>_xlfn.XLOOKUP(K189,[2]analyte_order!$B:$B,[2]analyte_order!$C:$C)</f>
        <v>812-70-4</v>
      </c>
      <c r="M189">
        <f>_xlfn.XLOOKUP(L189,[2]analyte_order!$C:$C,[2]analyte_order!$E:$E)</f>
        <v>40</v>
      </c>
      <c r="N189">
        <v>13.5</v>
      </c>
    </row>
    <row r="190" spans="1:14">
      <c r="A190" t="s">
        <v>231</v>
      </c>
      <c r="B190" t="str">
        <f>_xlfn.XLOOKUP(A190,'[1]Tissue Data'!$A:$A,'[1]Tissue Data'!$C:$C)</f>
        <v>Down</v>
      </c>
      <c r="C190" s="2">
        <f>_xlfn.XLOOKUP(A190,'[1]Tissue Data'!$A:$A,'[1]Tissue Data'!$D:$D)</f>
        <v>44314</v>
      </c>
      <c r="D190" s="2" t="str">
        <f>_xlfn.XLOOKUP(A190,'[1]Tissue Data'!$A:$A,'[1]Tissue Data'!$F:$F)</f>
        <v>Pumpkinseed</v>
      </c>
      <c r="E190" t="str">
        <f>_xlfn.XLOOKUP(A190,'[1]Tissue Data'!$A:$A,'[1]Tissue Data'!$H:$H)</f>
        <v>Lepomis</v>
      </c>
      <c r="F190" t="str">
        <f>_xlfn.XLOOKUP(A190,'[1]Tissue Data'!$A:$A,'[1]Tissue Data'!$I:$I)</f>
        <v>gibbosus</v>
      </c>
      <c r="G190" t="str">
        <f>_xlfn.XLOOKUP(A190,'[1]Tissue Data'!$A:$A,'[1]Tissue Data'!J:J)</f>
        <v>U</v>
      </c>
      <c r="H190" t="str">
        <f>_xlfn.XLOOKUP(A190,'[1]Tissue Data'!$A:$A,'[1]Tissue Data'!K:K)</f>
        <v>Whole Body</v>
      </c>
      <c r="I190">
        <f>_xlfn.XLOOKUP(A190,'[1]Tissue Data'!$A:$A,'[1]Tissue Data'!L:L)</f>
        <v>7.5</v>
      </c>
      <c r="J190">
        <f>_xlfn.XLOOKUP(A190,'[1]Tissue Data'!$A:$A,'[1]Tissue Data'!M:M)</f>
        <v>7.52</v>
      </c>
      <c r="K190" t="s">
        <v>50</v>
      </c>
      <c r="L190" t="str">
        <f>_xlfn.XLOOKUP(K190,[2]analyte_order!$B:$B,[2]analyte_order!$C:$C)</f>
        <v>53826-12-3</v>
      </c>
      <c r="M190">
        <f>_xlfn.XLOOKUP(L190,[2]analyte_order!$C:$C,[2]analyte_order!$E:$E)</f>
        <v>41</v>
      </c>
      <c r="N190">
        <v>0.63200000000000001</v>
      </c>
    </row>
    <row r="191" spans="1:14">
      <c r="A191" t="s">
        <v>231</v>
      </c>
      <c r="B191" t="str">
        <f>_xlfn.XLOOKUP(A191,'[1]Tissue Data'!$A:$A,'[1]Tissue Data'!$C:$C)</f>
        <v>Down</v>
      </c>
      <c r="C191" s="2">
        <f>_xlfn.XLOOKUP(A191,'[1]Tissue Data'!$A:$A,'[1]Tissue Data'!$D:$D)</f>
        <v>44314</v>
      </c>
      <c r="D191" s="2" t="str">
        <f>_xlfn.XLOOKUP(A191,'[1]Tissue Data'!$A:$A,'[1]Tissue Data'!$F:$F)</f>
        <v>Pumpkinseed</v>
      </c>
      <c r="E191" t="str">
        <f>_xlfn.XLOOKUP(A191,'[1]Tissue Data'!$A:$A,'[1]Tissue Data'!$H:$H)</f>
        <v>Lepomis</v>
      </c>
      <c r="F191" t="str">
        <f>_xlfn.XLOOKUP(A191,'[1]Tissue Data'!$A:$A,'[1]Tissue Data'!$I:$I)</f>
        <v>gibbosus</v>
      </c>
      <c r="G191" t="str">
        <f>_xlfn.XLOOKUP(A191,'[1]Tissue Data'!$A:$A,'[1]Tissue Data'!J:J)</f>
        <v>U</v>
      </c>
      <c r="H191" t="str">
        <f>_xlfn.XLOOKUP(A191,'[1]Tissue Data'!$A:$A,'[1]Tissue Data'!K:K)</f>
        <v>Whole Body</v>
      </c>
      <c r="I191">
        <f>_xlfn.XLOOKUP(A191,'[1]Tissue Data'!$A:$A,'[1]Tissue Data'!L:L)</f>
        <v>7.5</v>
      </c>
      <c r="J191">
        <f>_xlfn.XLOOKUP(A191,'[1]Tissue Data'!$A:$A,'[1]Tissue Data'!M:M)</f>
        <v>7.52</v>
      </c>
      <c r="K191" t="s">
        <v>51</v>
      </c>
      <c r="L191" t="str">
        <f>_xlfn.XLOOKUP(K191,[2]analyte_order!$B:$B,[2]analyte_order!$C:$C)</f>
        <v>27854-31-5</v>
      </c>
      <c r="M191">
        <f>_xlfn.XLOOKUP(L191,[2]analyte_order!$C:$C,[2]analyte_order!$E:$E)</f>
        <v>42</v>
      </c>
      <c r="N191">
        <v>2.9294014256420267E-2</v>
      </c>
    </row>
    <row r="192" spans="1:14">
      <c r="A192" t="s">
        <v>231</v>
      </c>
      <c r="B192" t="str">
        <f>_xlfn.XLOOKUP(A192,'[1]Tissue Data'!$A:$A,'[1]Tissue Data'!$C:$C)</f>
        <v>Down</v>
      </c>
      <c r="C192" s="2">
        <f>_xlfn.XLOOKUP(A192,'[1]Tissue Data'!$A:$A,'[1]Tissue Data'!$D:$D)</f>
        <v>44314</v>
      </c>
      <c r="D192" s="2" t="str">
        <f>_xlfn.XLOOKUP(A192,'[1]Tissue Data'!$A:$A,'[1]Tissue Data'!$F:$F)</f>
        <v>Pumpkinseed</v>
      </c>
      <c r="E192" t="str">
        <f>_xlfn.XLOOKUP(A192,'[1]Tissue Data'!$A:$A,'[1]Tissue Data'!$H:$H)</f>
        <v>Lepomis</v>
      </c>
      <c r="F192" t="str">
        <f>_xlfn.XLOOKUP(A192,'[1]Tissue Data'!$A:$A,'[1]Tissue Data'!$I:$I)</f>
        <v>gibbosus</v>
      </c>
      <c r="G192" t="str">
        <f>_xlfn.XLOOKUP(A192,'[1]Tissue Data'!$A:$A,'[1]Tissue Data'!J:J)</f>
        <v>U</v>
      </c>
      <c r="H192" t="str">
        <f>_xlfn.XLOOKUP(A192,'[1]Tissue Data'!$A:$A,'[1]Tissue Data'!K:K)</f>
        <v>Whole Body</v>
      </c>
      <c r="I192">
        <f>_xlfn.XLOOKUP(A192,'[1]Tissue Data'!$A:$A,'[1]Tissue Data'!L:L)</f>
        <v>7.5</v>
      </c>
      <c r="J192">
        <f>_xlfn.XLOOKUP(A192,'[1]Tissue Data'!$A:$A,'[1]Tissue Data'!M:M)</f>
        <v>7.52</v>
      </c>
      <c r="K192" t="s">
        <v>52</v>
      </c>
      <c r="L192" t="str">
        <f>_xlfn.XLOOKUP(K192,[2]analyte_order!$B:$B,[2]analyte_order!$C:$C)</f>
        <v>53826-13-4</v>
      </c>
      <c r="M192">
        <f>_xlfn.XLOOKUP(L192,[2]analyte_order!$C:$C,[2]analyte_order!$E:$E)</f>
        <v>43</v>
      </c>
      <c r="N192">
        <v>0.10928077149248121</v>
      </c>
    </row>
    <row r="193" spans="1:14">
      <c r="A193" t="s">
        <v>231</v>
      </c>
      <c r="B193" t="str">
        <f>_xlfn.XLOOKUP(A193,'[1]Tissue Data'!$A:$A,'[1]Tissue Data'!$C:$C)</f>
        <v>Down</v>
      </c>
      <c r="C193" s="2">
        <f>_xlfn.XLOOKUP(A193,'[1]Tissue Data'!$A:$A,'[1]Tissue Data'!$D:$D)</f>
        <v>44314</v>
      </c>
      <c r="D193" s="2" t="str">
        <f>_xlfn.XLOOKUP(A193,'[1]Tissue Data'!$A:$A,'[1]Tissue Data'!$F:$F)</f>
        <v>Pumpkinseed</v>
      </c>
      <c r="E193" t="str">
        <f>_xlfn.XLOOKUP(A193,'[1]Tissue Data'!$A:$A,'[1]Tissue Data'!$H:$H)</f>
        <v>Lepomis</v>
      </c>
      <c r="F193" t="str">
        <f>_xlfn.XLOOKUP(A193,'[1]Tissue Data'!$A:$A,'[1]Tissue Data'!$I:$I)</f>
        <v>gibbosus</v>
      </c>
      <c r="G193" t="str">
        <f>_xlfn.XLOOKUP(A193,'[1]Tissue Data'!$A:$A,'[1]Tissue Data'!J:J)</f>
        <v>U</v>
      </c>
      <c r="H193" t="str">
        <f>_xlfn.XLOOKUP(A193,'[1]Tissue Data'!$A:$A,'[1]Tissue Data'!K:K)</f>
        <v>Whole Body</v>
      </c>
      <c r="I193">
        <f>_xlfn.XLOOKUP(A193,'[1]Tissue Data'!$A:$A,'[1]Tissue Data'!L:L)</f>
        <v>7.5</v>
      </c>
      <c r="J193">
        <f>_xlfn.XLOOKUP(A193,'[1]Tissue Data'!$A:$A,'[1]Tissue Data'!M:M)</f>
        <v>7.52</v>
      </c>
      <c r="K193" t="s">
        <v>53</v>
      </c>
      <c r="L193" t="str">
        <f>_xlfn.XLOOKUP(K193,[2]analyte_order!$B:$B,[2]analyte_order!$C:$C)</f>
        <v>161094-75-3</v>
      </c>
      <c r="M193">
        <f>_xlfn.XLOOKUP(L193,[2]analyte_order!$C:$C,[2]analyte_order!$E:$E)</f>
        <v>44</v>
      </c>
      <c r="N193">
        <v>5.7503897187969916E-2</v>
      </c>
    </row>
    <row r="194" spans="1:14">
      <c r="A194" t="s">
        <v>231</v>
      </c>
      <c r="B194" t="str">
        <f>_xlfn.XLOOKUP(A194,'[1]Tissue Data'!$A:$A,'[1]Tissue Data'!$C:$C)</f>
        <v>Down</v>
      </c>
      <c r="C194" s="2">
        <f>_xlfn.XLOOKUP(A194,'[1]Tissue Data'!$A:$A,'[1]Tissue Data'!$D:$D)</f>
        <v>44314</v>
      </c>
      <c r="D194" s="2" t="str">
        <f>_xlfn.XLOOKUP(A194,'[1]Tissue Data'!$A:$A,'[1]Tissue Data'!$F:$F)</f>
        <v>Pumpkinseed</v>
      </c>
      <c r="E194" t="str">
        <f>_xlfn.XLOOKUP(A194,'[1]Tissue Data'!$A:$A,'[1]Tissue Data'!$H:$H)</f>
        <v>Lepomis</v>
      </c>
      <c r="F194" t="str">
        <f>_xlfn.XLOOKUP(A194,'[1]Tissue Data'!$A:$A,'[1]Tissue Data'!$I:$I)</f>
        <v>gibbosus</v>
      </c>
      <c r="G194" t="str">
        <f>_xlfn.XLOOKUP(A194,'[1]Tissue Data'!$A:$A,'[1]Tissue Data'!J:J)</f>
        <v>U</v>
      </c>
      <c r="H194" t="str">
        <f>_xlfn.XLOOKUP(A194,'[1]Tissue Data'!$A:$A,'[1]Tissue Data'!K:K)</f>
        <v>Whole Body</v>
      </c>
      <c r="I194">
        <f>_xlfn.XLOOKUP(A194,'[1]Tissue Data'!$A:$A,'[1]Tissue Data'!L:L)</f>
        <v>7.5</v>
      </c>
      <c r="J194">
        <f>_xlfn.XLOOKUP(A194,'[1]Tissue Data'!$A:$A,'[1]Tissue Data'!M:M)</f>
        <v>7.52</v>
      </c>
      <c r="K194" t="s">
        <v>54</v>
      </c>
      <c r="L194" t="str">
        <f>_xlfn.XLOOKUP(K194,[2]analyte_order!$B:$B,[2]analyte_order!$C:$C)</f>
        <v>70887-84-2</v>
      </c>
      <c r="M194">
        <f>_xlfn.XLOOKUP(L194,[2]analyte_order!$C:$C,[2]analyte_order!$E:$E)</f>
        <v>45</v>
      </c>
      <c r="N194">
        <v>4.4256263721428567E-2</v>
      </c>
    </row>
    <row r="195" spans="1:14">
      <c r="A195" t="s">
        <v>231</v>
      </c>
      <c r="B195" t="str">
        <f>_xlfn.XLOOKUP(A195,'[1]Tissue Data'!$A:$A,'[1]Tissue Data'!$C:$C)</f>
        <v>Down</v>
      </c>
      <c r="C195" s="2">
        <f>_xlfn.XLOOKUP(A195,'[1]Tissue Data'!$A:$A,'[1]Tissue Data'!$D:$D)</f>
        <v>44314</v>
      </c>
      <c r="D195" s="2" t="str">
        <f>_xlfn.XLOOKUP(A195,'[1]Tissue Data'!$A:$A,'[1]Tissue Data'!$F:$F)</f>
        <v>Pumpkinseed</v>
      </c>
      <c r="E195" t="str">
        <f>_xlfn.XLOOKUP(A195,'[1]Tissue Data'!$A:$A,'[1]Tissue Data'!$H:$H)</f>
        <v>Lepomis</v>
      </c>
      <c r="F195" t="str">
        <f>_xlfn.XLOOKUP(A195,'[1]Tissue Data'!$A:$A,'[1]Tissue Data'!$I:$I)</f>
        <v>gibbosus</v>
      </c>
      <c r="G195" t="str">
        <f>_xlfn.XLOOKUP(A195,'[1]Tissue Data'!$A:$A,'[1]Tissue Data'!J:J)</f>
        <v>U</v>
      </c>
      <c r="H195" t="str">
        <f>_xlfn.XLOOKUP(A195,'[1]Tissue Data'!$A:$A,'[1]Tissue Data'!K:K)</f>
        <v>Whole Body</v>
      </c>
      <c r="I195">
        <f>_xlfn.XLOOKUP(A195,'[1]Tissue Data'!$A:$A,'[1]Tissue Data'!L:L)</f>
        <v>7.5</v>
      </c>
      <c r="J195">
        <f>_xlfn.XLOOKUP(A195,'[1]Tissue Data'!$A:$A,'[1]Tissue Data'!M:M)</f>
        <v>7.52</v>
      </c>
      <c r="K195" t="s">
        <v>55</v>
      </c>
      <c r="L195" t="str">
        <f>_xlfn.XLOOKUP(K195,[2]analyte_order!$B:$B,[2]analyte_order!$C:$C)</f>
        <v>919005-14-4</v>
      </c>
      <c r="M195">
        <f>_xlfn.XLOOKUP(L195,[2]analyte_order!$C:$C,[2]analyte_order!$E:$E)</f>
        <v>35</v>
      </c>
      <c r="N195">
        <v>7.3235035641050675E-2</v>
      </c>
    </row>
    <row r="196" spans="1:14">
      <c r="A196" t="s">
        <v>231</v>
      </c>
      <c r="B196" t="str">
        <f>_xlfn.XLOOKUP(A196,'[1]Tissue Data'!$A:$A,'[1]Tissue Data'!$C:$C)</f>
        <v>Down</v>
      </c>
      <c r="C196" s="2">
        <f>_xlfn.XLOOKUP(A196,'[1]Tissue Data'!$A:$A,'[1]Tissue Data'!$D:$D)</f>
        <v>44314</v>
      </c>
      <c r="D196" s="2" t="str">
        <f>_xlfn.XLOOKUP(A196,'[1]Tissue Data'!$A:$A,'[1]Tissue Data'!$F:$F)</f>
        <v>Pumpkinseed</v>
      </c>
      <c r="E196" t="str">
        <f>_xlfn.XLOOKUP(A196,'[1]Tissue Data'!$A:$A,'[1]Tissue Data'!$H:$H)</f>
        <v>Lepomis</v>
      </c>
      <c r="F196" t="str">
        <f>_xlfn.XLOOKUP(A196,'[1]Tissue Data'!$A:$A,'[1]Tissue Data'!$I:$I)</f>
        <v>gibbosus</v>
      </c>
      <c r="G196" t="str">
        <f>_xlfn.XLOOKUP(A196,'[1]Tissue Data'!$A:$A,'[1]Tissue Data'!J:J)</f>
        <v>U</v>
      </c>
      <c r="H196" t="str">
        <f>_xlfn.XLOOKUP(A196,'[1]Tissue Data'!$A:$A,'[1]Tissue Data'!K:K)</f>
        <v>Whole Body</v>
      </c>
      <c r="I196">
        <f>_xlfn.XLOOKUP(A196,'[1]Tissue Data'!$A:$A,'[1]Tissue Data'!L:L)</f>
        <v>7.5</v>
      </c>
      <c r="J196">
        <f>_xlfn.XLOOKUP(A196,'[1]Tissue Data'!$A:$A,'[1]Tissue Data'!M:M)</f>
        <v>7.52</v>
      </c>
      <c r="K196" t="s">
        <v>56</v>
      </c>
      <c r="L196" t="str">
        <f>_xlfn.XLOOKUP(K196,[2]analyte_order!$B:$B,[2]analyte_order!$C:$C)</f>
        <v>756426-58-1</v>
      </c>
      <c r="M196">
        <f>_xlfn.XLOOKUP(L196,[2]analyte_order!$C:$C,[2]analyte_order!$E:$E)</f>
        <v>36</v>
      </c>
      <c r="N196">
        <v>5.0832924462406011E-2</v>
      </c>
    </row>
    <row r="197" spans="1:14">
      <c r="A197" t="s">
        <v>231</v>
      </c>
      <c r="B197" t="str">
        <f>_xlfn.XLOOKUP(A197,'[1]Tissue Data'!$A:$A,'[1]Tissue Data'!$C:$C)</f>
        <v>Down</v>
      </c>
      <c r="C197" s="2">
        <f>_xlfn.XLOOKUP(A197,'[1]Tissue Data'!$A:$A,'[1]Tissue Data'!$D:$D)</f>
        <v>44314</v>
      </c>
      <c r="D197" s="2" t="str">
        <f>_xlfn.XLOOKUP(A197,'[1]Tissue Data'!$A:$A,'[1]Tissue Data'!$F:$F)</f>
        <v>Pumpkinseed</v>
      </c>
      <c r="E197" t="str">
        <f>_xlfn.XLOOKUP(A197,'[1]Tissue Data'!$A:$A,'[1]Tissue Data'!$H:$H)</f>
        <v>Lepomis</v>
      </c>
      <c r="F197" t="str">
        <f>_xlfn.XLOOKUP(A197,'[1]Tissue Data'!$A:$A,'[1]Tissue Data'!$I:$I)</f>
        <v>gibbosus</v>
      </c>
      <c r="G197" t="str">
        <f>_xlfn.XLOOKUP(A197,'[1]Tissue Data'!$A:$A,'[1]Tissue Data'!J:J)</f>
        <v>U</v>
      </c>
      <c r="H197" t="str">
        <f>_xlfn.XLOOKUP(A197,'[1]Tissue Data'!$A:$A,'[1]Tissue Data'!K:K)</f>
        <v>Whole Body</v>
      </c>
      <c r="I197">
        <f>_xlfn.XLOOKUP(A197,'[1]Tissue Data'!$A:$A,'[1]Tissue Data'!L:L)</f>
        <v>7.5</v>
      </c>
      <c r="J197">
        <f>_xlfn.XLOOKUP(A197,'[1]Tissue Data'!$A:$A,'[1]Tissue Data'!M:M)</f>
        <v>7.52</v>
      </c>
      <c r="K197" t="s">
        <v>57</v>
      </c>
      <c r="L197" t="str">
        <f>_xlfn.XLOOKUP(K197,[2]analyte_order!$B:$B,[2]analyte_order!$C:$C)</f>
        <v>763051-92-9</v>
      </c>
      <c r="M197">
        <f>_xlfn.XLOOKUP(L197,[2]analyte_order!$C:$C,[2]analyte_order!$E:$E)</f>
        <v>37</v>
      </c>
      <c r="N197">
        <v>5.7708515672932323E-2</v>
      </c>
    </row>
    <row r="198" spans="1:14">
      <c r="A198" t="s">
        <v>231</v>
      </c>
      <c r="B198" t="str">
        <f>_xlfn.XLOOKUP(A198,'[1]Tissue Data'!$A:$A,'[1]Tissue Data'!$C:$C)</f>
        <v>Down</v>
      </c>
      <c r="C198" s="2">
        <f>_xlfn.XLOOKUP(A198,'[1]Tissue Data'!$A:$A,'[1]Tissue Data'!$D:$D)</f>
        <v>44314</v>
      </c>
      <c r="D198" s="2" t="str">
        <f>_xlfn.XLOOKUP(A198,'[1]Tissue Data'!$A:$A,'[1]Tissue Data'!$F:$F)</f>
        <v>Pumpkinseed</v>
      </c>
      <c r="E198" t="str">
        <f>_xlfn.XLOOKUP(A198,'[1]Tissue Data'!$A:$A,'[1]Tissue Data'!$H:$H)</f>
        <v>Lepomis</v>
      </c>
      <c r="F198" t="str">
        <f>_xlfn.XLOOKUP(A198,'[1]Tissue Data'!$A:$A,'[1]Tissue Data'!$I:$I)</f>
        <v>gibbosus</v>
      </c>
      <c r="G198" t="str">
        <f>_xlfn.XLOOKUP(A198,'[1]Tissue Data'!$A:$A,'[1]Tissue Data'!J:J)</f>
        <v>U</v>
      </c>
      <c r="H198" t="str">
        <f>_xlfn.XLOOKUP(A198,'[1]Tissue Data'!$A:$A,'[1]Tissue Data'!K:K)</f>
        <v>Whole Body</v>
      </c>
      <c r="I198">
        <f>_xlfn.XLOOKUP(A198,'[1]Tissue Data'!$A:$A,'[1]Tissue Data'!L:L)</f>
        <v>7.5</v>
      </c>
      <c r="J198">
        <f>_xlfn.XLOOKUP(A198,'[1]Tissue Data'!$A:$A,'[1]Tissue Data'!M:M)</f>
        <v>7.52</v>
      </c>
      <c r="K198" t="s">
        <v>58</v>
      </c>
      <c r="L198" t="str">
        <f>_xlfn.XLOOKUP(K198,[2]analyte_order!$B:$B,[2]analyte_order!$C:$C)</f>
        <v>13252-13-6</v>
      </c>
      <c r="M198">
        <f>_xlfn.XLOOKUP(L198,[2]analyte_order!$C:$C,[2]analyte_order!$E:$E)</f>
        <v>34</v>
      </c>
      <c r="N198">
        <v>0.10509436810150377</v>
      </c>
    </row>
    <row r="199" spans="1:14">
      <c r="A199" t="s">
        <v>231</v>
      </c>
      <c r="B199" t="str">
        <f>_xlfn.XLOOKUP(A199,'[1]Tissue Data'!$A:$A,'[1]Tissue Data'!$C:$C)</f>
        <v>Down</v>
      </c>
      <c r="C199" s="2">
        <f>_xlfn.XLOOKUP(A199,'[1]Tissue Data'!$A:$A,'[1]Tissue Data'!$D:$D)</f>
        <v>44314</v>
      </c>
      <c r="D199" s="2" t="str">
        <f>_xlfn.XLOOKUP(A199,'[1]Tissue Data'!$A:$A,'[1]Tissue Data'!$F:$F)</f>
        <v>Pumpkinseed</v>
      </c>
      <c r="E199" t="str">
        <f>_xlfn.XLOOKUP(A199,'[1]Tissue Data'!$A:$A,'[1]Tissue Data'!$H:$H)</f>
        <v>Lepomis</v>
      </c>
      <c r="F199" t="str">
        <f>_xlfn.XLOOKUP(A199,'[1]Tissue Data'!$A:$A,'[1]Tissue Data'!$I:$I)</f>
        <v>gibbosus</v>
      </c>
      <c r="G199" t="str">
        <f>_xlfn.XLOOKUP(A199,'[1]Tissue Data'!$A:$A,'[1]Tissue Data'!J:J)</f>
        <v>U</v>
      </c>
      <c r="H199" t="str">
        <f>_xlfn.XLOOKUP(A199,'[1]Tissue Data'!$A:$A,'[1]Tissue Data'!K:K)</f>
        <v>Whole Body</v>
      </c>
      <c r="I199">
        <f>_xlfn.XLOOKUP(A199,'[1]Tissue Data'!$A:$A,'[1]Tissue Data'!L:L)</f>
        <v>7.5</v>
      </c>
      <c r="J199">
        <f>_xlfn.XLOOKUP(A199,'[1]Tissue Data'!$A:$A,'[1]Tissue Data'!M:M)</f>
        <v>7.52</v>
      </c>
      <c r="K199" t="s">
        <v>59</v>
      </c>
      <c r="L199" t="str">
        <f>_xlfn.XLOOKUP(K199,[2]analyte_order!$B:$B,[2]analyte_order!$C:$C)</f>
        <v>57677-95-9</v>
      </c>
      <c r="M199">
        <f>_xlfn.XLOOKUP(L199,[2]analyte_order!$C:$C,[2]analyte_order!$E:$E)</f>
        <v>46</v>
      </c>
      <c r="N199">
        <v>7.7960814530075195E-2</v>
      </c>
    </row>
    <row r="200" spans="1:14">
      <c r="A200" t="s">
        <v>231</v>
      </c>
      <c r="B200" t="str">
        <f>_xlfn.XLOOKUP(A200,'[1]Tissue Data'!$A:$A,'[1]Tissue Data'!$C:$C)</f>
        <v>Down</v>
      </c>
      <c r="C200" s="2">
        <f>_xlfn.XLOOKUP(A200,'[1]Tissue Data'!$A:$A,'[1]Tissue Data'!$D:$D)</f>
        <v>44314</v>
      </c>
      <c r="D200" s="2" t="str">
        <f>_xlfn.XLOOKUP(A200,'[1]Tissue Data'!$A:$A,'[1]Tissue Data'!$F:$F)</f>
        <v>Pumpkinseed</v>
      </c>
      <c r="E200" t="str">
        <f>_xlfn.XLOOKUP(A200,'[1]Tissue Data'!$A:$A,'[1]Tissue Data'!$H:$H)</f>
        <v>Lepomis</v>
      </c>
      <c r="F200" t="str">
        <f>_xlfn.XLOOKUP(A200,'[1]Tissue Data'!$A:$A,'[1]Tissue Data'!$I:$I)</f>
        <v>gibbosus</v>
      </c>
      <c r="G200" t="str">
        <f>_xlfn.XLOOKUP(A200,'[1]Tissue Data'!$A:$A,'[1]Tissue Data'!J:J)</f>
        <v>U</v>
      </c>
      <c r="H200" t="str">
        <f>_xlfn.XLOOKUP(A200,'[1]Tissue Data'!$A:$A,'[1]Tissue Data'!K:K)</f>
        <v>Whole Body</v>
      </c>
      <c r="I200">
        <f>_xlfn.XLOOKUP(A200,'[1]Tissue Data'!$A:$A,'[1]Tissue Data'!L:L)</f>
        <v>7.5</v>
      </c>
      <c r="J200">
        <f>_xlfn.XLOOKUP(A200,'[1]Tissue Data'!$A:$A,'[1]Tissue Data'!M:M)</f>
        <v>7.52</v>
      </c>
      <c r="K200" t="s">
        <v>60</v>
      </c>
      <c r="L200" t="str">
        <f>_xlfn.XLOOKUP(K200,[2]analyte_order!$B:$B,[2]analyte_order!$C:$C)</f>
        <v>678-41-1</v>
      </c>
      <c r="M200">
        <f>_xlfn.XLOOKUP(L200,[2]analyte_order!$C:$C,[2]analyte_order!$E:$E)</f>
        <v>56</v>
      </c>
      <c r="N200">
        <v>9.7096036093984955E-2</v>
      </c>
    </row>
    <row r="201" spans="1:14">
      <c r="A201" t="s">
        <v>231</v>
      </c>
      <c r="B201" t="str">
        <f>_xlfn.XLOOKUP(A201,'[1]Tissue Data'!$A:$A,'[1]Tissue Data'!$C:$C)</f>
        <v>Down</v>
      </c>
      <c r="C201" s="2">
        <f>_xlfn.XLOOKUP(A201,'[1]Tissue Data'!$A:$A,'[1]Tissue Data'!$D:$D)</f>
        <v>44314</v>
      </c>
      <c r="D201" s="2" t="str">
        <f>_xlfn.XLOOKUP(A201,'[1]Tissue Data'!$A:$A,'[1]Tissue Data'!$F:$F)</f>
        <v>Pumpkinseed</v>
      </c>
      <c r="E201" t="str">
        <f>_xlfn.XLOOKUP(A201,'[1]Tissue Data'!$A:$A,'[1]Tissue Data'!$H:$H)</f>
        <v>Lepomis</v>
      </c>
      <c r="F201" t="str">
        <f>_xlfn.XLOOKUP(A201,'[1]Tissue Data'!$A:$A,'[1]Tissue Data'!$I:$I)</f>
        <v>gibbosus</v>
      </c>
      <c r="G201" t="str">
        <f>_xlfn.XLOOKUP(A201,'[1]Tissue Data'!$A:$A,'[1]Tissue Data'!J:J)</f>
        <v>U</v>
      </c>
      <c r="H201" t="str">
        <f>_xlfn.XLOOKUP(A201,'[1]Tissue Data'!$A:$A,'[1]Tissue Data'!K:K)</f>
        <v>Whole Body</v>
      </c>
      <c r="I201">
        <f>_xlfn.XLOOKUP(A201,'[1]Tissue Data'!$A:$A,'[1]Tissue Data'!L:L)</f>
        <v>7.5</v>
      </c>
      <c r="J201">
        <f>_xlfn.XLOOKUP(A201,'[1]Tissue Data'!$A:$A,'[1]Tissue Data'!M:M)</f>
        <v>7.52</v>
      </c>
      <c r="K201" t="s">
        <v>61</v>
      </c>
      <c r="L201" t="str">
        <f>_xlfn.XLOOKUP(K201,[2]analyte_order!$B:$B,[2]analyte_order!$C:$C)</f>
        <v>2965-52-8</v>
      </c>
      <c r="M201">
        <f>_xlfn.XLOOKUP(L201,[2]analyte_order!$C:$C,[2]analyte_order!$E:$E)</f>
        <v>57</v>
      </c>
      <c r="N201">
        <v>0.12889366272824918</v>
      </c>
    </row>
    <row r="202" spans="1:14">
      <c r="A202" t="s">
        <v>232</v>
      </c>
      <c r="B202" t="str">
        <f>_xlfn.XLOOKUP(A202,'[1]Tissue Data'!$A:$A,'[1]Tissue Data'!$C:$C)</f>
        <v>Down</v>
      </c>
      <c r="C202" s="2">
        <f>_xlfn.XLOOKUP(A202,'[1]Tissue Data'!$A:$A,'[1]Tissue Data'!$D:$D)</f>
        <v>44314</v>
      </c>
      <c r="D202" s="2" t="str">
        <f>_xlfn.XLOOKUP(A202,'[1]Tissue Data'!$A:$A,'[1]Tissue Data'!$F:$F)</f>
        <v>Pumpkinseed</v>
      </c>
      <c r="E202" t="str">
        <f>_xlfn.XLOOKUP(A202,'[1]Tissue Data'!$A:$A,'[1]Tissue Data'!$H:$H)</f>
        <v>Lepomis</v>
      </c>
      <c r="F202" t="str">
        <f>_xlfn.XLOOKUP(A202,'[1]Tissue Data'!$A:$A,'[1]Tissue Data'!$I:$I)</f>
        <v>gibbosus</v>
      </c>
      <c r="G202" t="str">
        <f>_xlfn.XLOOKUP(A202,'[1]Tissue Data'!$A:$A,'[1]Tissue Data'!J:J)</f>
        <v>U</v>
      </c>
      <c r="H202" t="str">
        <f>_xlfn.XLOOKUP(A202,'[1]Tissue Data'!$A:$A,'[1]Tissue Data'!K:K)</f>
        <v>Whole Body</v>
      </c>
      <c r="I202">
        <f>_xlfn.XLOOKUP(A202,'[1]Tissue Data'!$A:$A,'[1]Tissue Data'!L:L)</f>
        <v>7.5</v>
      </c>
      <c r="J202">
        <f>_xlfn.XLOOKUP(A202,'[1]Tissue Data'!$A:$A,'[1]Tissue Data'!M:M)</f>
        <v>5.73</v>
      </c>
      <c r="K202" t="s">
        <v>12</v>
      </c>
      <c r="L202" t="str">
        <f>_xlfn.XLOOKUP(K202,[2]analyte_order!$B:$B,[2]analyte_order!$C:$C)</f>
        <v>375-22-4</v>
      </c>
      <c r="M202">
        <f>_xlfn.XLOOKUP(L202,[2]analyte_order!$C:$C,[2]analyte_order!$E:$E)</f>
        <v>1</v>
      </c>
      <c r="N202">
        <v>9.5077118106908928E-2</v>
      </c>
    </row>
    <row r="203" spans="1:14">
      <c r="A203" t="s">
        <v>232</v>
      </c>
      <c r="B203" t="str">
        <f>_xlfn.XLOOKUP(A203,'[1]Tissue Data'!$A:$A,'[1]Tissue Data'!$C:$C)</f>
        <v>Down</v>
      </c>
      <c r="C203" s="2">
        <f>_xlfn.XLOOKUP(A203,'[1]Tissue Data'!$A:$A,'[1]Tissue Data'!$D:$D)</f>
        <v>44314</v>
      </c>
      <c r="D203" s="2" t="str">
        <f>_xlfn.XLOOKUP(A203,'[1]Tissue Data'!$A:$A,'[1]Tissue Data'!$F:$F)</f>
        <v>Pumpkinseed</v>
      </c>
      <c r="E203" t="str">
        <f>_xlfn.XLOOKUP(A203,'[1]Tissue Data'!$A:$A,'[1]Tissue Data'!$H:$H)</f>
        <v>Lepomis</v>
      </c>
      <c r="F203" t="str">
        <f>_xlfn.XLOOKUP(A203,'[1]Tissue Data'!$A:$A,'[1]Tissue Data'!$I:$I)</f>
        <v>gibbosus</v>
      </c>
      <c r="G203" t="str">
        <f>_xlfn.XLOOKUP(A203,'[1]Tissue Data'!$A:$A,'[1]Tissue Data'!J:J)</f>
        <v>U</v>
      </c>
      <c r="H203" t="str">
        <f>_xlfn.XLOOKUP(A203,'[1]Tissue Data'!$A:$A,'[1]Tissue Data'!K:K)</f>
        <v>Whole Body</v>
      </c>
      <c r="I203">
        <f>_xlfn.XLOOKUP(A203,'[1]Tissue Data'!$A:$A,'[1]Tissue Data'!L:L)</f>
        <v>7.5</v>
      </c>
      <c r="J203">
        <f>_xlfn.XLOOKUP(A203,'[1]Tissue Data'!$A:$A,'[1]Tissue Data'!M:M)</f>
        <v>5.73</v>
      </c>
      <c r="K203" t="s">
        <v>13</v>
      </c>
      <c r="L203" t="str">
        <f>_xlfn.XLOOKUP(K203,[2]analyte_order!$B:$B,[2]analyte_order!$C:$C)</f>
        <v>2706-90-3</v>
      </c>
      <c r="M203">
        <f>_xlfn.XLOOKUP(L203,[2]analyte_order!$C:$C,[2]analyte_order!$E:$E)</f>
        <v>2</v>
      </c>
      <c r="N203">
        <v>5.1248159583510644E-2</v>
      </c>
    </row>
    <row r="204" spans="1:14">
      <c r="A204" t="s">
        <v>232</v>
      </c>
      <c r="B204" t="str">
        <f>_xlfn.XLOOKUP(A204,'[1]Tissue Data'!$A:$A,'[1]Tissue Data'!$C:$C)</f>
        <v>Down</v>
      </c>
      <c r="C204" s="2">
        <f>_xlfn.XLOOKUP(A204,'[1]Tissue Data'!$A:$A,'[1]Tissue Data'!$D:$D)</f>
        <v>44314</v>
      </c>
      <c r="D204" s="2" t="str">
        <f>_xlfn.XLOOKUP(A204,'[1]Tissue Data'!$A:$A,'[1]Tissue Data'!$F:$F)</f>
        <v>Pumpkinseed</v>
      </c>
      <c r="E204" t="str">
        <f>_xlfn.XLOOKUP(A204,'[1]Tissue Data'!$A:$A,'[1]Tissue Data'!$H:$H)</f>
        <v>Lepomis</v>
      </c>
      <c r="F204" t="str">
        <f>_xlfn.XLOOKUP(A204,'[1]Tissue Data'!$A:$A,'[1]Tissue Data'!$I:$I)</f>
        <v>gibbosus</v>
      </c>
      <c r="G204" t="str">
        <f>_xlfn.XLOOKUP(A204,'[1]Tissue Data'!$A:$A,'[1]Tissue Data'!J:J)</f>
        <v>U</v>
      </c>
      <c r="H204" t="str">
        <f>_xlfn.XLOOKUP(A204,'[1]Tissue Data'!$A:$A,'[1]Tissue Data'!K:K)</f>
        <v>Whole Body</v>
      </c>
      <c r="I204">
        <f>_xlfn.XLOOKUP(A204,'[1]Tissue Data'!$A:$A,'[1]Tissue Data'!L:L)</f>
        <v>7.5</v>
      </c>
      <c r="J204">
        <f>_xlfn.XLOOKUP(A204,'[1]Tissue Data'!$A:$A,'[1]Tissue Data'!M:M)</f>
        <v>5.73</v>
      </c>
      <c r="K204" t="s">
        <v>14</v>
      </c>
      <c r="L204" t="str">
        <f>_xlfn.XLOOKUP(K204,[2]analyte_order!$B:$B,[2]analyte_order!$C:$C)</f>
        <v>307-24-4</v>
      </c>
      <c r="M204">
        <f>_xlfn.XLOOKUP(L204,[2]analyte_order!$C:$C,[2]analyte_order!$E:$E)</f>
        <v>3</v>
      </c>
      <c r="N204">
        <v>0.12828072424397316</v>
      </c>
    </row>
    <row r="205" spans="1:14">
      <c r="A205" t="s">
        <v>232</v>
      </c>
      <c r="B205" t="str">
        <f>_xlfn.XLOOKUP(A205,'[1]Tissue Data'!$A:$A,'[1]Tissue Data'!$C:$C)</f>
        <v>Down</v>
      </c>
      <c r="C205" s="2">
        <f>_xlfn.XLOOKUP(A205,'[1]Tissue Data'!$A:$A,'[1]Tissue Data'!$D:$D)</f>
        <v>44314</v>
      </c>
      <c r="D205" s="2" t="str">
        <f>_xlfn.XLOOKUP(A205,'[1]Tissue Data'!$A:$A,'[1]Tissue Data'!$F:$F)</f>
        <v>Pumpkinseed</v>
      </c>
      <c r="E205" t="str">
        <f>_xlfn.XLOOKUP(A205,'[1]Tissue Data'!$A:$A,'[1]Tissue Data'!$H:$H)</f>
        <v>Lepomis</v>
      </c>
      <c r="F205" t="str">
        <f>_xlfn.XLOOKUP(A205,'[1]Tissue Data'!$A:$A,'[1]Tissue Data'!$I:$I)</f>
        <v>gibbosus</v>
      </c>
      <c r="G205" t="str">
        <f>_xlfn.XLOOKUP(A205,'[1]Tissue Data'!$A:$A,'[1]Tissue Data'!J:J)</f>
        <v>U</v>
      </c>
      <c r="H205" t="str">
        <f>_xlfn.XLOOKUP(A205,'[1]Tissue Data'!$A:$A,'[1]Tissue Data'!K:K)</f>
        <v>Whole Body</v>
      </c>
      <c r="I205">
        <f>_xlfn.XLOOKUP(A205,'[1]Tissue Data'!$A:$A,'[1]Tissue Data'!L:L)</f>
        <v>7.5</v>
      </c>
      <c r="J205">
        <f>_xlfn.XLOOKUP(A205,'[1]Tissue Data'!$A:$A,'[1]Tissue Data'!M:M)</f>
        <v>5.73</v>
      </c>
      <c r="K205" t="s">
        <v>15</v>
      </c>
      <c r="L205" t="str">
        <f>_xlfn.XLOOKUP(K205,[2]analyte_order!$B:$B,[2]analyte_order!$C:$C)</f>
        <v>375-85-9</v>
      </c>
      <c r="M205">
        <f>_xlfn.XLOOKUP(L205,[2]analyte_order!$C:$C,[2]analyte_order!$E:$E)</f>
        <v>4</v>
      </c>
      <c r="N205">
        <v>9.5077118106908928E-2</v>
      </c>
    </row>
    <row r="206" spans="1:14">
      <c r="A206" t="s">
        <v>232</v>
      </c>
      <c r="B206" t="str">
        <f>_xlfn.XLOOKUP(A206,'[1]Tissue Data'!$A:$A,'[1]Tissue Data'!$C:$C)</f>
        <v>Down</v>
      </c>
      <c r="C206" s="2">
        <f>_xlfn.XLOOKUP(A206,'[1]Tissue Data'!$A:$A,'[1]Tissue Data'!$D:$D)</f>
        <v>44314</v>
      </c>
      <c r="D206" s="2" t="str">
        <f>_xlfn.XLOOKUP(A206,'[1]Tissue Data'!$A:$A,'[1]Tissue Data'!$F:$F)</f>
        <v>Pumpkinseed</v>
      </c>
      <c r="E206" t="str">
        <f>_xlfn.XLOOKUP(A206,'[1]Tissue Data'!$A:$A,'[1]Tissue Data'!$H:$H)</f>
        <v>Lepomis</v>
      </c>
      <c r="F206" t="str">
        <f>_xlfn.XLOOKUP(A206,'[1]Tissue Data'!$A:$A,'[1]Tissue Data'!$I:$I)</f>
        <v>gibbosus</v>
      </c>
      <c r="G206" t="str">
        <f>_xlfn.XLOOKUP(A206,'[1]Tissue Data'!$A:$A,'[1]Tissue Data'!J:J)</f>
        <v>U</v>
      </c>
      <c r="H206" t="str">
        <f>_xlfn.XLOOKUP(A206,'[1]Tissue Data'!$A:$A,'[1]Tissue Data'!K:K)</f>
        <v>Whole Body</v>
      </c>
      <c r="I206">
        <f>_xlfn.XLOOKUP(A206,'[1]Tissue Data'!$A:$A,'[1]Tissue Data'!L:L)</f>
        <v>7.5</v>
      </c>
      <c r="J206">
        <f>_xlfn.XLOOKUP(A206,'[1]Tissue Data'!$A:$A,'[1]Tissue Data'!M:M)</f>
        <v>5.73</v>
      </c>
      <c r="K206" t="s">
        <v>16</v>
      </c>
      <c r="L206" t="str">
        <f>_xlfn.XLOOKUP(K206,[2]analyte_order!$B:$B,[2]analyte_order!$C:$C)</f>
        <v>335-67-1</v>
      </c>
      <c r="M206">
        <f>_xlfn.XLOOKUP(L206,[2]analyte_order!$C:$C,[2]analyte_order!$E:$E)</f>
        <v>5</v>
      </c>
      <c r="N206">
        <v>0.41699999999999998</v>
      </c>
    </row>
    <row r="207" spans="1:14">
      <c r="A207" t="s">
        <v>232</v>
      </c>
      <c r="B207" t="str">
        <f>_xlfn.XLOOKUP(A207,'[1]Tissue Data'!$A:$A,'[1]Tissue Data'!$C:$C)</f>
        <v>Down</v>
      </c>
      <c r="C207" s="2">
        <f>_xlfn.XLOOKUP(A207,'[1]Tissue Data'!$A:$A,'[1]Tissue Data'!$D:$D)</f>
        <v>44314</v>
      </c>
      <c r="D207" s="2" t="str">
        <f>_xlfn.XLOOKUP(A207,'[1]Tissue Data'!$A:$A,'[1]Tissue Data'!$F:$F)</f>
        <v>Pumpkinseed</v>
      </c>
      <c r="E207" t="str">
        <f>_xlfn.XLOOKUP(A207,'[1]Tissue Data'!$A:$A,'[1]Tissue Data'!$H:$H)</f>
        <v>Lepomis</v>
      </c>
      <c r="F207" t="str">
        <f>_xlfn.XLOOKUP(A207,'[1]Tissue Data'!$A:$A,'[1]Tissue Data'!$I:$I)</f>
        <v>gibbosus</v>
      </c>
      <c r="G207" t="str">
        <f>_xlfn.XLOOKUP(A207,'[1]Tissue Data'!$A:$A,'[1]Tissue Data'!J:J)</f>
        <v>U</v>
      </c>
      <c r="H207" t="str">
        <f>_xlfn.XLOOKUP(A207,'[1]Tissue Data'!$A:$A,'[1]Tissue Data'!K:K)</f>
        <v>Whole Body</v>
      </c>
      <c r="I207">
        <f>_xlfn.XLOOKUP(A207,'[1]Tissue Data'!$A:$A,'[1]Tissue Data'!L:L)</f>
        <v>7.5</v>
      </c>
      <c r="J207">
        <f>_xlfn.XLOOKUP(A207,'[1]Tissue Data'!$A:$A,'[1]Tissue Data'!M:M)</f>
        <v>5.73</v>
      </c>
      <c r="K207" t="s">
        <v>17</v>
      </c>
      <c r="L207" t="str">
        <f>_xlfn.XLOOKUP(K207,[2]analyte_order!$B:$B,[2]analyte_order!$C:$C)</f>
        <v>375-95-1</v>
      </c>
      <c r="M207">
        <f>_xlfn.XLOOKUP(L207,[2]analyte_order!$C:$C,[2]analyte_order!$E:$E)</f>
        <v>6</v>
      </c>
      <c r="N207">
        <v>0.16449418369918653</v>
      </c>
    </row>
    <row r="208" spans="1:14">
      <c r="A208" t="s">
        <v>232</v>
      </c>
      <c r="B208" t="str">
        <f>_xlfn.XLOOKUP(A208,'[1]Tissue Data'!$A:$A,'[1]Tissue Data'!$C:$C)</f>
        <v>Down</v>
      </c>
      <c r="C208" s="2">
        <f>_xlfn.XLOOKUP(A208,'[1]Tissue Data'!$A:$A,'[1]Tissue Data'!$D:$D)</f>
        <v>44314</v>
      </c>
      <c r="D208" s="2" t="str">
        <f>_xlfn.XLOOKUP(A208,'[1]Tissue Data'!$A:$A,'[1]Tissue Data'!$F:$F)</f>
        <v>Pumpkinseed</v>
      </c>
      <c r="E208" t="str">
        <f>_xlfn.XLOOKUP(A208,'[1]Tissue Data'!$A:$A,'[1]Tissue Data'!$H:$H)</f>
        <v>Lepomis</v>
      </c>
      <c r="F208" t="str">
        <f>_xlfn.XLOOKUP(A208,'[1]Tissue Data'!$A:$A,'[1]Tissue Data'!$I:$I)</f>
        <v>gibbosus</v>
      </c>
      <c r="G208" t="str">
        <f>_xlfn.XLOOKUP(A208,'[1]Tissue Data'!$A:$A,'[1]Tissue Data'!J:J)</f>
        <v>U</v>
      </c>
      <c r="H208" t="str">
        <f>_xlfn.XLOOKUP(A208,'[1]Tissue Data'!$A:$A,'[1]Tissue Data'!K:K)</f>
        <v>Whole Body</v>
      </c>
      <c r="I208">
        <f>_xlfn.XLOOKUP(A208,'[1]Tissue Data'!$A:$A,'[1]Tissue Data'!L:L)</f>
        <v>7.5</v>
      </c>
      <c r="J208">
        <f>_xlfn.XLOOKUP(A208,'[1]Tissue Data'!$A:$A,'[1]Tissue Data'!M:M)</f>
        <v>5.73</v>
      </c>
      <c r="K208" t="s">
        <v>18</v>
      </c>
      <c r="L208" t="str">
        <f>_xlfn.XLOOKUP(K208,[2]analyte_order!$B:$B,[2]analyte_order!$C:$C)</f>
        <v>335-76-2</v>
      </c>
      <c r="M208">
        <f>_xlfn.XLOOKUP(L208,[2]analyte_order!$C:$C,[2]analyte_order!$E:$E)</f>
        <v>7</v>
      </c>
      <c r="N208">
        <v>1.2</v>
      </c>
    </row>
    <row r="209" spans="1:14">
      <c r="A209" t="s">
        <v>232</v>
      </c>
      <c r="B209" t="str">
        <f>_xlfn.XLOOKUP(A209,'[1]Tissue Data'!$A:$A,'[1]Tissue Data'!$C:$C)</f>
        <v>Down</v>
      </c>
      <c r="C209" s="2">
        <f>_xlfn.XLOOKUP(A209,'[1]Tissue Data'!$A:$A,'[1]Tissue Data'!$D:$D)</f>
        <v>44314</v>
      </c>
      <c r="D209" s="2" t="str">
        <f>_xlfn.XLOOKUP(A209,'[1]Tissue Data'!$A:$A,'[1]Tissue Data'!$F:$F)</f>
        <v>Pumpkinseed</v>
      </c>
      <c r="E209" t="str">
        <f>_xlfn.XLOOKUP(A209,'[1]Tissue Data'!$A:$A,'[1]Tissue Data'!$H:$H)</f>
        <v>Lepomis</v>
      </c>
      <c r="F209" t="str">
        <f>_xlfn.XLOOKUP(A209,'[1]Tissue Data'!$A:$A,'[1]Tissue Data'!$I:$I)</f>
        <v>gibbosus</v>
      </c>
      <c r="G209" t="str">
        <f>_xlfn.XLOOKUP(A209,'[1]Tissue Data'!$A:$A,'[1]Tissue Data'!J:J)</f>
        <v>U</v>
      </c>
      <c r="H209" t="str">
        <f>_xlfn.XLOOKUP(A209,'[1]Tissue Data'!$A:$A,'[1]Tissue Data'!K:K)</f>
        <v>Whole Body</v>
      </c>
      <c r="I209">
        <f>_xlfn.XLOOKUP(A209,'[1]Tissue Data'!$A:$A,'[1]Tissue Data'!L:L)</f>
        <v>7.5</v>
      </c>
      <c r="J209">
        <f>_xlfn.XLOOKUP(A209,'[1]Tissue Data'!$A:$A,'[1]Tissue Data'!M:M)</f>
        <v>5.73</v>
      </c>
      <c r="K209" t="s">
        <v>19</v>
      </c>
      <c r="L209" t="str">
        <f>_xlfn.XLOOKUP(K209,[2]analyte_order!$B:$B,[2]analyte_order!$C:$C)</f>
        <v>2058-94-8</v>
      </c>
      <c r="M209">
        <f>_xlfn.XLOOKUP(L209,[2]analyte_order!$C:$C,[2]analyte_order!$E:$E)</f>
        <v>8</v>
      </c>
      <c r="N209">
        <v>2.5099999999999998</v>
      </c>
    </row>
    <row r="210" spans="1:14">
      <c r="A210" t="s">
        <v>232</v>
      </c>
      <c r="B210" t="str">
        <f>_xlfn.XLOOKUP(A210,'[1]Tissue Data'!$A:$A,'[1]Tissue Data'!$C:$C)</f>
        <v>Down</v>
      </c>
      <c r="C210" s="2">
        <f>_xlfn.XLOOKUP(A210,'[1]Tissue Data'!$A:$A,'[1]Tissue Data'!$D:$D)</f>
        <v>44314</v>
      </c>
      <c r="D210" s="2" t="str">
        <f>_xlfn.XLOOKUP(A210,'[1]Tissue Data'!$A:$A,'[1]Tissue Data'!$F:$F)</f>
        <v>Pumpkinseed</v>
      </c>
      <c r="E210" t="str">
        <f>_xlfn.XLOOKUP(A210,'[1]Tissue Data'!$A:$A,'[1]Tissue Data'!$H:$H)</f>
        <v>Lepomis</v>
      </c>
      <c r="F210" t="str">
        <f>_xlfn.XLOOKUP(A210,'[1]Tissue Data'!$A:$A,'[1]Tissue Data'!$I:$I)</f>
        <v>gibbosus</v>
      </c>
      <c r="G210" t="str">
        <f>_xlfn.XLOOKUP(A210,'[1]Tissue Data'!$A:$A,'[1]Tissue Data'!J:J)</f>
        <v>U</v>
      </c>
      <c r="H210" t="str">
        <f>_xlfn.XLOOKUP(A210,'[1]Tissue Data'!$A:$A,'[1]Tissue Data'!K:K)</f>
        <v>Whole Body</v>
      </c>
      <c r="I210">
        <f>_xlfn.XLOOKUP(A210,'[1]Tissue Data'!$A:$A,'[1]Tissue Data'!L:L)</f>
        <v>7.5</v>
      </c>
      <c r="J210">
        <f>_xlfn.XLOOKUP(A210,'[1]Tissue Data'!$A:$A,'[1]Tissue Data'!M:M)</f>
        <v>5.73</v>
      </c>
      <c r="K210" t="s">
        <v>20</v>
      </c>
      <c r="L210" t="str">
        <f>_xlfn.XLOOKUP(K210,[2]analyte_order!$B:$B,[2]analyte_order!$C:$C)</f>
        <v>307-55-1</v>
      </c>
      <c r="M210">
        <f>_xlfn.XLOOKUP(L210,[2]analyte_order!$C:$C,[2]analyte_order!$E:$E)</f>
        <v>9</v>
      </c>
      <c r="N210">
        <v>5.7913916940957454E-2</v>
      </c>
    </row>
    <row r="211" spans="1:14">
      <c r="A211" t="s">
        <v>232</v>
      </c>
      <c r="B211" t="str">
        <f>_xlfn.XLOOKUP(A211,'[1]Tissue Data'!$A:$A,'[1]Tissue Data'!$C:$C)</f>
        <v>Down</v>
      </c>
      <c r="C211" s="2">
        <f>_xlfn.XLOOKUP(A211,'[1]Tissue Data'!$A:$A,'[1]Tissue Data'!$D:$D)</f>
        <v>44314</v>
      </c>
      <c r="D211" s="2" t="str">
        <f>_xlfn.XLOOKUP(A211,'[1]Tissue Data'!$A:$A,'[1]Tissue Data'!$F:$F)</f>
        <v>Pumpkinseed</v>
      </c>
      <c r="E211" t="str">
        <f>_xlfn.XLOOKUP(A211,'[1]Tissue Data'!$A:$A,'[1]Tissue Data'!$H:$H)</f>
        <v>Lepomis</v>
      </c>
      <c r="F211" t="str">
        <f>_xlfn.XLOOKUP(A211,'[1]Tissue Data'!$A:$A,'[1]Tissue Data'!$I:$I)</f>
        <v>gibbosus</v>
      </c>
      <c r="G211" t="str">
        <f>_xlfn.XLOOKUP(A211,'[1]Tissue Data'!$A:$A,'[1]Tissue Data'!J:J)</f>
        <v>U</v>
      </c>
      <c r="H211" t="str">
        <f>_xlfn.XLOOKUP(A211,'[1]Tissue Data'!$A:$A,'[1]Tissue Data'!K:K)</f>
        <v>Whole Body</v>
      </c>
      <c r="I211">
        <f>_xlfn.XLOOKUP(A211,'[1]Tissue Data'!$A:$A,'[1]Tissue Data'!L:L)</f>
        <v>7.5</v>
      </c>
      <c r="J211">
        <f>_xlfn.XLOOKUP(A211,'[1]Tissue Data'!$A:$A,'[1]Tissue Data'!M:M)</f>
        <v>5.73</v>
      </c>
      <c r="K211" t="s">
        <v>21</v>
      </c>
      <c r="L211" t="str">
        <f>_xlfn.XLOOKUP(K211,[2]analyte_order!$B:$B,[2]analyte_order!$C:$C)</f>
        <v>72629-94-8</v>
      </c>
      <c r="M211">
        <f>_xlfn.XLOOKUP(L211,[2]analyte_order!$C:$C,[2]analyte_order!$E:$E)</f>
        <v>10</v>
      </c>
      <c r="N211">
        <v>1.31</v>
      </c>
    </row>
    <row r="212" spans="1:14">
      <c r="A212" t="s">
        <v>232</v>
      </c>
      <c r="B212" t="str">
        <f>_xlfn.XLOOKUP(A212,'[1]Tissue Data'!$A:$A,'[1]Tissue Data'!$C:$C)</f>
        <v>Down</v>
      </c>
      <c r="C212" s="2">
        <f>_xlfn.XLOOKUP(A212,'[1]Tissue Data'!$A:$A,'[1]Tissue Data'!$D:$D)</f>
        <v>44314</v>
      </c>
      <c r="D212" s="2" t="str">
        <f>_xlfn.XLOOKUP(A212,'[1]Tissue Data'!$A:$A,'[1]Tissue Data'!$F:$F)</f>
        <v>Pumpkinseed</v>
      </c>
      <c r="E212" t="str">
        <f>_xlfn.XLOOKUP(A212,'[1]Tissue Data'!$A:$A,'[1]Tissue Data'!$H:$H)</f>
        <v>Lepomis</v>
      </c>
      <c r="F212" t="str">
        <f>_xlfn.XLOOKUP(A212,'[1]Tissue Data'!$A:$A,'[1]Tissue Data'!$I:$I)</f>
        <v>gibbosus</v>
      </c>
      <c r="G212" t="str">
        <f>_xlfn.XLOOKUP(A212,'[1]Tissue Data'!$A:$A,'[1]Tissue Data'!J:J)</f>
        <v>U</v>
      </c>
      <c r="H212" t="str">
        <f>_xlfn.XLOOKUP(A212,'[1]Tissue Data'!$A:$A,'[1]Tissue Data'!K:K)</f>
        <v>Whole Body</v>
      </c>
      <c r="I212">
        <f>_xlfn.XLOOKUP(A212,'[1]Tissue Data'!$A:$A,'[1]Tissue Data'!L:L)</f>
        <v>7.5</v>
      </c>
      <c r="J212">
        <f>_xlfn.XLOOKUP(A212,'[1]Tissue Data'!$A:$A,'[1]Tissue Data'!M:M)</f>
        <v>5.73</v>
      </c>
      <c r="K212" t="s">
        <v>22</v>
      </c>
      <c r="L212" t="str">
        <f>_xlfn.XLOOKUP(K212,[2]analyte_order!$B:$B,[2]analyte_order!$C:$C)</f>
        <v>376-06-7</v>
      </c>
      <c r="M212">
        <f>_xlfn.XLOOKUP(L212,[2]analyte_order!$C:$C,[2]analyte_order!$E:$E)</f>
        <v>11</v>
      </c>
      <c r="N212">
        <v>2.65</v>
      </c>
    </row>
    <row r="213" spans="1:14">
      <c r="A213" t="s">
        <v>232</v>
      </c>
      <c r="B213" t="str">
        <f>_xlfn.XLOOKUP(A213,'[1]Tissue Data'!$A:$A,'[1]Tissue Data'!$C:$C)</f>
        <v>Down</v>
      </c>
      <c r="C213" s="2">
        <f>_xlfn.XLOOKUP(A213,'[1]Tissue Data'!$A:$A,'[1]Tissue Data'!$D:$D)</f>
        <v>44314</v>
      </c>
      <c r="D213" s="2" t="str">
        <f>_xlfn.XLOOKUP(A213,'[1]Tissue Data'!$A:$A,'[1]Tissue Data'!$F:$F)</f>
        <v>Pumpkinseed</v>
      </c>
      <c r="E213" t="str">
        <f>_xlfn.XLOOKUP(A213,'[1]Tissue Data'!$A:$A,'[1]Tissue Data'!$H:$H)</f>
        <v>Lepomis</v>
      </c>
      <c r="F213" t="str">
        <f>_xlfn.XLOOKUP(A213,'[1]Tissue Data'!$A:$A,'[1]Tissue Data'!$I:$I)</f>
        <v>gibbosus</v>
      </c>
      <c r="G213" t="str">
        <f>_xlfn.XLOOKUP(A213,'[1]Tissue Data'!$A:$A,'[1]Tissue Data'!J:J)</f>
        <v>U</v>
      </c>
      <c r="H213" t="str">
        <f>_xlfn.XLOOKUP(A213,'[1]Tissue Data'!$A:$A,'[1]Tissue Data'!K:K)</f>
        <v>Whole Body</v>
      </c>
      <c r="I213">
        <f>_xlfn.XLOOKUP(A213,'[1]Tissue Data'!$A:$A,'[1]Tissue Data'!L:L)</f>
        <v>7.5</v>
      </c>
      <c r="J213">
        <f>_xlfn.XLOOKUP(A213,'[1]Tissue Data'!$A:$A,'[1]Tissue Data'!M:M)</f>
        <v>5.73</v>
      </c>
      <c r="K213" t="s">
        <v>23</v>
      </c>
      <c r="L213" t="str">
        <f>_xlfn.XLOOKUP(K213,[2]analyte_order!$B:$B,[2]analyte_order!$C:$C)</f>
        <v>67905-19-5</v>
      </c>
      <c r="M213">
        <f>_xlfn.XLOOKUP(L213,[2]analyte_order!$C:$C,[2]analyte_order!$E:$E)</f>
        <v>12</v>
      </c>
      <c r="N213">
        <v>8.6445851658510653E-2</v>
      </c>
    </row>
    <row r="214" spans="1:14">
      <c r="A214" t="s">
        <v>232</v>
      </c>
      <c r="B214" t="str">
        <f>_xlfn.XLOOKUP(A214,'[1]Tissue Data'!$A:$A,'[1]Tissue Data'!$C:$C)</f>
        <v>Down</v>
      </c>
      <c r="C214" s="2">
        <f>_xlfn.XLOOKUP(A214,'[1]Tissue Data'!$A:$A,'[1]Tissue Data'!$D:$D)</f>
        <v>44314</v>
      </c>
      <c r="D214" s="2" t="str">
        <f>_xlfn.XLOOKUP(A214,'[1]Tissue Data'!$A:$A,'[1]Tissue Data'!$F:$F)</f>
        <v>Pumpkinseed</v>
      </c>
      <c r="E214" t="str">
        <f>_xlfn.XLOOKUP(A214,'[1]Tissue Data'!$A:$A,'[1]Tissue Data'!$H:$H)</f>
        <v>Lepomis</v>
      </c>
      <c r="F214" t="str">
        <f>_xlfn.XLOOKUP(A214,'[1]Tissue Data'!$A:$A,'[1]Tissue Data'!$I:$I)</f>
        <v>gibbosus</v>
      </c>
      <c r="G214" t="str">
        <f>_xlfn.XLOOKUP(A214,'[1]Tissue Data'!$A:$A,'[1]Tissue Data'!J:J)</f>
        <v>U</v>
      </c>
      <c r="H214" t="str">
        <f>_xlfn.XLOOKUP(A214,'[1]Tissue Data'!$A:$A,'[1]Tissue Data'!K:K)</f>
        <v>Whole Body</v>
      </c>
      <c r="I214">
        <f>_xlfn.XLOOKUP(A214,'[1]Tissue Data'!$A:$A,'[1]Tissue Data'!L:L)</f>
        <v>7.5</v>
      </c>
      <c r="J214">
        <f>_xlfn.XLOOKUP(A214,'[1]Tissue Data'!$A:$A,'[1]Tissue Data'!M:M)</f>
        <v>5.73</v>
      </c>
      <c r="K214" t="s">
        <v>24</v>
      </c>
      <c r="L214" t="str">
        <f>_xlfn.XLOOKUP(K214,[2]analyte_order!$B:$B,[2]analyte_order!$C:$C)</f>
        <v>423-41-6</v>
      </c>
      <c r="M214">
        <f>_xlfn.XLOOKUP(L214,[2]analyte_order!$C:$C,[2]analyte_order!$E:$E)</f>
        <v>53</v>
      </c>
      <c r="N214">
        <v>5.5339934988829789E-2</v>
      </c>
    </row>
    <row r="215" spans="1:14">
      <c r="A215" t="s">
        <v>232</v>
      </c>
      <c r="B215" t="str">
        <f>_xlfn.XLOOKUP(A215,'[1]Tissue Data'!$A:$A,'[1]Tissue Data'!$C:$C)</f>
        <v>Down</v>
      </c>
      <c r="C215" s="2">
        <f>_xlfn.XLOOKUP(A215,'[1]Tissue Data'!$A:$A,'[1]Tissue Data'!$D:$D)</f>
        <v>44314</v>
      </c>
      <c r="D215" s="2" t="str">
        <f>_xlfn.XLOOKUP(A215,'[1]Tissue Data'!$A:$A,'[1]Tissue Data'!$F:$F)</f>
        <v>Pumpkinseed</v>
      </c>
      <c r="E215" t="str">
        <f>_xlfn.XLOOKUP(A215,'[1]Tissue Data'!$A:$A,'[1]Tissue Data'!$H:$H)</f>
        <v>Lepomis</v>
      </c>
      <c r="F215" t="str">
        <f>_xlfn.XLOOKUP(A215,'[1]Tissue Data'!$A:$A,'[1]Tissue Data'!$I:$I)</f>
        <v>gibbosus</v>
      </c>
      <c r="G215" t="str">
        <f>_xlfn.XLOOKUP(A215,'[1]Tissue Data'!$A:$A,'[1]Tissue Data'!J:J)</f>
        <v>U</v>
      </c>
      <c r="H215" t="str">
        <f>_xlfn.XLOOKUP(A215,'[1]Tissue Data'!$A:$A,'[1]Tissue Data'!K:K)</f>
        <v>Whole Body</v>
      </c>
      <c r="I215">
        <f>_xlfn.XLOOKUP(A215,'[1]Tissue Data'!$A:$A,'[1]Tissue Data'!L:L)</f>
        <v>7.5</v>
      </c>
      <c r="J215">
        <f>_xlfn.XLOOKUP(A215,'[1]Tissue Data'!$A:$A,'[1]Tissue Data'!M:M)</f>
        <v>5.73</v>
      </c>
      <c r="K215" t="s">
        <v>25</v>
      </c>
      <c r="L215" t="str">
        <f>_xlfn.XLOOKUP(K215,[2]analyte_order!$B:$B,[2]analyte_order!$C:$C)</f>
        <v>375-73-5</v>
      </c>
      <c r="M215">
        <f>_xlfn.XLOOKUP(L215,[2]analyte_order!$C:$C,[2]analyte_order!$E:$E)</f>
        <v>14</v>
      </c>
      <c r="N215">
        <v>0.16177593161076481</v>
      </c>
    </row>
    <row r="216" spans="1:14">
      <c r="A216" t="s">
        <v>232</v>
      </c>
      <c r="B216" t="str">
        <f>_xlfn.XLOOKUP(A216,'[1]Tissue Data'!$A:$A,'[1]Tissue Data'!$C:$C)</f>
        <v>Down</v>
      </c>
      <c r="C216" s="2">
        <f>_xlfn.XLOOKUP(A216,'[1]Tissue Data'!$A:$A,'[1]Tissue Data'!$D:$D)</f>
        <v>44314</v>
      </c>
      <c r="D216" s="2" t="str">
        <f>_xlfn.XLOOKUP(A216,'[1]Tissue Data'!$A:$A,'[1]Tissue Data'!$F:$F)</f>
        <v>Pumpkinseed</v>
      </c>
      <c r="E216" t="str">
        <f>_xlfn.XLOOKUP(A216,'[1]Tissue Data'!$A:$A,'[1]Tissue Data'!$H:$H)</f>
        <v>Lepomis</v>
      </c>
      <c r="F216" t="str">
        <f>_xlfn.XLOOKUP(A216,'[1]Tissue Data'!$A:$A,'[1]Tissue Data'!$I:$I)</f>
        <v>gibbosus</v>
      </c>
      <c r="G216" t="str">
        <f>_xlfn.XLOOKUP(A216,'[1]Tissue Data'!$A:$A,'[1]Tissue Data'!J:J)</f>
        <v>U</v>
      </c>
      <c r="H216" t="str">
        <f>_xlfn.XLOOKUP(A216,'[1]Tissue Data'!$A:$A,'[1]Tissue Data'!K:K)</f>
        <v>Whole Body</v>
      </c>
      <c r="I216">
        <f>_xlfn.XLOOKUP(A216,'[1]Tissue Data'!$A:$A,'[1]Tissue Data'!L:L)</f>
        <v>7.5</v>
      </c>
      <c r="J216">
        <f>_xlfn.XLOOKUP(A216,'[1]Tissue Data'!$A:$A,'[1]Tissue Data'!M:M)</f>
        <v>5.73</v>
      </c>
      <c r="K216" t="s">
        <v>26</v>
      </c>
      <c r="L216" t="str">
        <f>_xlfn.XLOOKUP(K216,[2]analyte_order!$B:$B,[2]analyte_order!$C:$C)</f>
        <v>2706-91-4</v>
      </c>
      <c r="M216">
        <f>_xlfn.XLOOKUP(L216,[2]analyte_order!$C:$C,[2]analyte_order!$E:$E)</f>
        <v>15</v>
      </c>
      <c r="N216">
        <v>0.12586901632397002</v>
      </c>
    </row>
    <row r="217" spans="1:14">
      <c r="A217" t="s">
        <v>232</v>
      </c>
      <c r="B217" t="str">
        <f>_xlfn.XLOOKUP(A217,'[1]Tissue Data'!$A:$A,'[1]Tissue Data'!$C:$C)</f>
        <v>Down</v>
      </c>
      <c r="C217" s="2">
        <f>_xlfn.XLOOKUP(A217,'[1]Tissue Data'!$A:$A,'[1]Tissue Data'!$D:$D)</f>
        <v>44314</v>
      </c>
      <c r="D217" s="2" t="str">
        <f>_xlfn.XLOOKUP(A217,'[1]Tissue Data'!$A:$A,'[1]Tissue Data'!$F:$F)</f>
        <v>Pumpkinseed</v>
      </c>
      <c r="E217" t="str">
        <f>_xlfn.XLOOKUP(A217,'[1]Tissue Data'!$A:$A,'[1]Tissue Data'!$H:$H)</f>
        <v>Lepomis</v>
      </c>
      <c r="F217" t="str">
        <f>_xlfn.XLOOKUP(A217,'[1]Tissue Data'!$A:$A,'[1]Tissue Data'!$I:$I)</f>
        <v>gibbosus</v>
      </c>
      <c r="G217" t="str">
        <f>_xlfn.XLOOKUP(A217,'[1]Tissue Data'!$A:$A,'[1]Tissue Data'!J:J)</f>
        <v>U</v>
      </c>
      <c r="H217" t="str">
        <f>_xlfn.XLOOKUP(A217,'[1]Tissue Data'!$A:$A,'[1]Tissue Data'!K:K)</f>
        <v>Whole Body</v>
      </c>
      <c r="I217">
        <f>_xlfn.XLOOKUP(A217,'[1]Tissue Data'!$A:$A,'[1]Tissue Data'!L:L)</f>
        <v>7.5</v>
      </c>
      <c r="J217">
        <f>_xlfn.XLOOKUP(A217,'[1]Tissue Data'!$A:$A,'[1]Tissue Data'!M:M)</f>
        <v>5.73</v>
      </c>
      <c r="K217" t="s">
        <v>27</v>
      </c>
      <c r="L217" t="str">
        <f>_xlfn.XLOOKUP(K217,[2]analyte_order!$B:$B,[2]analyte_order!$C:$C)</f>
        <v>355-46-4</v>
      </c>
      <c r="M217">
        <f>_xlfn.XLOOKUP(L217,[2]analyte_order!$C:$C,[2]analyte_order!$E:$E)</f>
        <v>16</v>
      </c>
      <c r="N217">
        <v>5</v>
      </c>
    </row>
    <row r="218" spans="1:14">
      <c r="A218" t="s">
        <v>232</v>
      </c>
      <c r="B218" t="str">
        <f>_xlfn.XLOOKUP(A218,'[1]Tissue Data'!$A:$A,'[1]Tissue Data'!$C:$C)</f>
        <v>Down</v>
      </c>
      <c r="C218" s="2">
        <f>_xlfn.XLOOKUP(A218,'[1]Tissue Data'!$A:$A,'[1]Tissue Data'!$D:$D)</f>
        <v>44314</v>
      </c>
      <c r="D218" s="2" t="str">
        <f>_xlfn.XLOOKUP(A218,'[1]Tissue Data'!$A:$A,'[1]Tissue Data'!$F:$F)</f>
        <v>Pumpkinseed</v>
      </c>
      <c r="E218" t="str">
        <f>_xlfn.XLOOKUP(A218,'[1]Tissue Data'!$A:$A,'[1]Tissue Data'!$H:$H)</f>
        <v>Lepomis</v>
      </c>
      <c r="F218" t="str">
        <f>_xlfn.XLOOKUP(A218,'[1]Tissue Data'!$A:$A,'[1]Tissue Data'!$I:$I)</f>
        <v>gibbosus</v>
      </c>
      <c r="G218" t="str">
        <f>_xlfn.XLOOKUP(A218,'[1]Tissue Data'!$A:$A,'[1]Tissue Data'!J:J)</f>
        <v>U</v>
      </c>
      <c r="H218" t="str">
        <f>_xlfn.XLOOKUP(A218,'[1]Tissue Data'!$A:$A,'[1]Tissue Data'!K:K)</f>
        <v>Whole Body</v>
      </c>
      <c r="I218">
        <f>_xlfn.XLOOKUP(A218,'[1]Tissue Data'!$A:$A,'[1]Tissue Data'!L:L)</f>
        <v>7.5</v>
      </c>
      <c r="J218">
        <f>_xlfn.XLOOKUP(A218,'[1]Tissue Data'!$A:$A,'[1]Tissue Data'!M:M)</f>
        <v>5.73</v>
      </c>
      <c r="K218" t="s">
        <v>28</v>
      </c>
      <c r="L218" t="str">
        <f>_xlfn.XLOOKUP(K218,[2]analyte_order!$B:$B,[2]analyte_order!$C:$C)</f>
        <v>375-92-8</v>
      </c>
      <c r="M218">
        <f>_xlfn.XLOOKUP(L218,[2]analyte_order!$C:$C,[2]analyte_order!$E:$E)</f>
        <v>17</v>
      </c>
      <c r="N218">
        <v>0.23769279526727233</v>
      </c>
    </row>
    <row r="219" spans="1:14">
      <c r="A219" t="s">
        <v>232</v>
      </c>
      <c r="B219" t="str">
        <f>_xlfn.XLOOKUP(A219,'[1]Tissue Data'!$A:$A,'[1]Tissue Data'!$C:$C)</f>
        <v>Down</v>
      </c>
      <c r="C219" s="2">
        <f>_xlfn.XLOOKUP(A219,'[1]Tissue Data'!$A:$A,'[1]Tissue Data'!$D:$D)</f>
        <v>44314</v>
      </c>
      <c r="D219" s="2" t="str">
        <f>_xlfn.XLOOKUP(A219,'[1]Tissue Data'!$A:$A,'[1]Tissue Data'!$F:$F)</f>
        <v>Pumpkinseed</v>
      </c>
      <c r="E219" t="str">
        <f>_xlfn.XLOOKUP(A219,'[1]Tissue Data'!$A:$A,'[1]Tissue Data'!$H:$H)</f>
        <v>Lepomis</v>
      </c>
      <c r="F219" t="str">
        <f>_xlfn.XLOOKUP(A219,'[1]Tissue Data'!$A:$A,'[1]Tissue Data'!$I:$I)</f>
        <v>gibbosus</v>
      </c>
      <c r="G219" t="str">
        <f>_xlfn.XLOOKUP(A219,'[1]Tissue Data'!$A:$A,'[1]Tissue Data'!J:J)</f>
        <v>U</v>
      </c>
      <c r="H219" t="str">
        <f>_xlfn.XLOOKUP(A219,'[1]Tissue Data'!$A:$A,'[1]Tissue Data'!K:K)</f>
        <v>Whole Body</v>
      </c>
      <c r="I219">
        <f>_xlfn.XLOOKUP(A219,'[1]Tissue Data'!$A:$A,'[1]Tissue Data'!L:L)</f>
        <v>7.5</v>
      </c>
      <c r="J219">
        <f>_xlfn.XLOOKUP(A219,'[1]Tissue Data'!$A:$A,'[1]Tissue Data'!M:M)</f>
        <v>5.73</v>
      </c>
      <c r="K219" t="s">
        <v>29</v>
      </c>
      <c r="L219" t="str">
        <f>_xlfn.XLOOKUP(K219,[2]analyte_order!$B:$B,[2]analyte_order!$C:$C)</f>
        <v>1763-23-1</v>
      </c>
      <c r="M219">
        <f>_xlfn.XLOOKUP(L219,[2]analyte_order!$C:$C,[2]analyte_order!$E:$E)</f>
        <v>18</v>
      </c>
      <c r="N219">
        <v>115</v>
      </c>
    </row>
    <row r="220" spans="1:14">
      <c r="A220" t="s">
        <v>232</v>
      </c>
      <c r="B220" t="str">
        <f>_xlfn.XLOOKUP(A220,'[1]Tissue Data'!$A:$A,'[1]Tissue Data'!$C:$C)</f>
        <v>Down</v>
      </c>
      <c r="C220" s="2">
        <f>_xlfn.XLOOKUP(A220,'[1]Tissue Data'!$A:$A,'[1]Tissue Data'!$D:$D)</f>
        <v>44314</v>
      </c>
      <c r="D220" s="2" t="str">
        <f>_xlfn.XLOOKUP(A220,'[1]Tissue Data'!$A:$A,'[1]Tissue Data'!$F:$F)</f>
        <v>Pumpkinseed</v>
      </c>
      <c r="E220" t="str">
        <f>_xlfn.XLOOKUP(A220,'[1]Tissue Data'!$A:$A,'[1]Tissue Data'!$H:$H)</f>
        <v>Lepomis</v>
      </c>
      <c r="F220" t="str">
        <f>_xlfn.XLOOKUP(A220,'[1]Tissue Data'!$A:$A,'[1]Tissue Data'!$I:$I)</f>
        <v>gibbosus</v>
      </c>
      <c r="G220" t="str">
        <f>_xlfn.XLOOKUP(A220,'[1]Tissue Data'!$A:$A,'[1]Tissue Data'!J:J)</f>
        <v>U</v>
      </c>
      <c r="H220" t="str">
        <f>_xlfn.XLOOKUP(A220,'[1]Tissue Data'!$A:$A,'[1]Tissue Data'!K:K)</f>
        <v>Whole Body</v>
      </c>
      <c r="I220">
        <f>_xlfn.XLOOKUP(A220,'[1]Tissue Data'!$A:$A,'[1]Tissue Data'!L:L)</f>
        <v>7.5</v>
      </c>
      <c r="J220">
        <f>_xlfn.XLOOKUP(A220,'[1]Tissue Data'!$A:$A,'[1]Tissue Data'!M:M)</f>
        <v>5.73</v>
      </c>
      <c r="K220" t="s">
        <v>30</v>
      </c>
      <c r="L220" t="str">
        <f>_xlfn.XLOOKUP(K220,[2]analyte_order!$B:$B,[2]analyte_order!$C:$C)</f>
        <v>68259-12-1</v>
      </c>
      <c r="M220">
        <f>_xlfn.XLOOKUP(L220,[2]analyte_order!$C:$C,[2]analyte_order!$E:$E)</f>
        <v>19</v>
      </c>
      <c r="N220">
        <v>0.13549214213290725</v>
      </c>
    </row>
    <row r="221" spans="1:14">
      <c r="A221" t="s">
        <v>232</v>
      </c>
      <c r="B221" t="str">
        <f>_xlfn.XLOOKUP(A221,'[1]Tissue Data'!$A:$A,'[1]Tissue Data'!$C:$C)</f>
        <v>Down</v>
      </c>
      <c r="C221" s="2">
        <f>_xlfn.XLOOKUP(A221,'[1]Tissue Data'!$A:$A,'[1]Tissue Data'!$D:$D)</f>
        <v>44314</v>
      </c>
      <c r="D221" s="2" t="str">
        <f>_xlfn.XLOOKUP(A221,'[1]Tissue Data'!$A:$A,'[1]Tissue Data'!$F:$F)</f>
        <v>Pumpkinseed</v>
      </c>
      <c r="E221" t="str">
        <f>_xlfn.XLOOKUP(A221,'[1]Tissue Data'!$A:$A,'[1]Tissue Data'!$H:$H)</f>
        <v>Lepomis</v>
      </c>
      <c r="F221" t="str">
        <f>_xlfn.XLOOKUP(A221,'[1]Tissue Data'!$A:$A,'[1]Tissue Data'!$I:$I)</f>
        <v>gibbosus</v>
      </c>
      <c r="G221" t="str">
        <f>_xlfn.XLOOKUP(A221,'[1]Tissue Data'!$A:$A,'[1]Tissue Data'!J:J)</f>
        <v>U</v>
      </c>
      <c r="H221" t="str">
        <f>_xlfn.XLOOKUP(A221,'[1]Tissue Data'!$A:$A,'[1]Tissue Data'!K:K)</f>
        <v>Whole Body</v>
      </c>
      <c r="I221">
        <f>_xlfn.XLOOKUP(A221,'[1]Tissue Data'!$A:$A,'[1]Tissue Data'!L:L)</f>
        <v>7.5</v>
      </c>
      <c r="J221">
        <f>_xlfn.XLOOKUP(A221,'[1]Tissue Data'!$A:$A,'[1]Tissue Data'!M:M)</f>
        <v>5.73</v>
      </c>
      <c r="K221" t="s">
        <v>31</v>
      </c>
      <c r="L221" t="str">
        <f>_xlfn.XLOOKUP(K221,[2]analyte_order!$B:$B,[2]analyte_order!$C:$C)</f>
        <v>335-77-3</v>
      </c>
      <c r="M221">
        <f>_xlfn.XLOOKUP(L221,[2]analyte_order!$C:$C,[2]analyte_order!$E:$E)</f>
        <v>20</v>
      </c>
      <c r="N221">
        <v>0.19465879541073311</v>
      </c>
    </row>
    <row r="222" spans="1:14">
      <c r="A222" t="s">
        <v>232</v>
      </c>
      <c r="B222" t="str">
        <f>_xlfn.XLOOKUP(A222,'[1]Tissue Data'!$A:$A,'[1]Tissue Data'!$C:$C)</f>
        <v>Down</v>
      </c>
      <c r="C222" s="2">
        <f>_xlfn.XLOOKUP(A222,'[1]Tissue Data'!$A:$A,'[1]Tissue Data'!$D:$D)</f>
        <v>44314</v>
      </c>
      <c r="D222" s="2" t="str">
        <f>_xlfn.XLOOKUP(A222,'[1]Tissue Data'!$A:$A,'[1]Tissue Data'!$F:$F)</f>
        <v>Pumpkinseed</v>
      </c>
      <c r="E222" t="str">
        <f>_xlfn.XLOOKUP(A222,'[1]Tissue Data'!$A:$A,'[1]Tissue Data'!$H:$H)</f>
        <v>Lepomis</v>
      </c>
      <c r="F222" t="str">
        <f>_xlfn.XLOOKUP(A222,'[1]Tissue Data'!$A:$A,'[1]Tissue Data'!$I:$I)</f>
        <v>gibbosus</v>
      </c>
      <c r="G222" t="str">
        <f>_xlfn.XLOOKUP(A222,'[1]Tissue Data'!$A:$A,'[1]Tissue Data'!J:J)</f>
        <v>U</v>
      </c>
      <c r="H222" t="str">
        <f>_xlfn.XLOOKUP(A222,'[1]Tissue Data'!$A:$A,'[1]Tissue Data'!K:K)</f>
        <v>Whole Body</v>
      </c>
      <c r="I222">
        <f>_xlfn.XLOOKUP(A222,'[1]Tissue Data'!$A:$A,'[1]Tissue Data'!L:L)</f>
        <v>7.5</v>
      </c>
      <c r="J222">
        <f>_xlfn.XLOOKUP(A222,'[1]Tissue Data'!$A:$A,'[1]Tissue Data'!M:M)</f>
        <v>5.73</v>
      </c>
      <c r="K222" t="s">
        <v>32</v>
      </c>
      <c r="L222" t="str">
        <f>_xlfn.XLOOKUP(K222,[2]analyte_order!$B:$B,[2]analyte_order!$C:$C)</f>
        <v>79780-39-5</v>
      </c>
      <c r="M222">
        <f>_xlfn.XLOOKUP(L222,[2]analyte_order!$C:$C,[2]analyte_order!$E:$E)</f>
        <v>21</v>
      </c>
      <c r="N222">
        <v>0.2541816072168287</v>
      </c>
    </row>
    <row r="223" spans="1:14">
      <c r="A223" t="s">
        <v>232</v>
      </c>
      <c r="B223" t="str">
        <f>_xlfn.XLOOKUP(A223,'[1]Tissue Data'!$A:$A,'[1]Tissue Data'!$C:$C)</f>
        <v>Down</v>
      </c>
      <c r="C223" s="2">
        <f>_xlfn.XLOOKUP(A223,'[1]Tissue Data'!$A:$A,'[1]Tissue Data'!$D:$D)</f>
        <v>44314</v>
      </c>
      <c r="D223" s="2" t="str">
        <f>_xlfn.XLOOKUP(A223,'[1]Tissue Data'!$A:$A,'[1]Tissue Data'!$F:$F)</f>
        <v>Pumpkinseed</v>
      </c>
      <c r="E223" t="str">
        <f>_xlfn.XLOOKUP(A223,'[1]Tissue Data'!$A:$A,'[1]Tissue Data'!$H:$H)</f>
        <v>Lepomis</v>
      </c>
      <c r="F223" t="str">
        <f>_xlfn.XLOOKUP(A223,'[1]Tissue Data'!$A:$A,'[1]Tissue Data'!$I:$I)</f>
        <v>gibbosus</v>
      </c>
      <c r="G223" t="str">
        <f>_xlfn.XLOOKUP(A223,'[1]Tissue Data'!$A:$A,'[1]Tissue Data'!J:J)</f>
        <v>U</v>
      </c>
      <c r="H223" t="str">
        <f>_xlfn.XLOOKUP(A223,'[1]Tissue Data'!$A:$A,'[1]Tissue Data'!K:K)</f>
        <v>Whole Body</v>
      </c>
      <c r="I223">
        <f>_xlfn.XLOOKUP(A223,'[1]Tissue Data'!$A:$A,'[1]Tissue Data'!L:L)</f>
        <v>7.5</v>
      </c>
      <c r="J223">
        <f>_xlfn.XLOOKUP(A223,'[1]Tissue Data'!$A:$A,'[1]Tissue Data'!M:M)</f>
        <v>5.73</v>
      </c>
      <c r="K223" t="s">
        <v>33</v>
      </c>
      <c r="L223" t="str">
        <f>_xlfn.XLOOKUP(K223,[2]analyte_order!$B:$B,[2]analyte_order!$C:$C)</f>
        <v>777011-38-8</v>
      </c>
      <c r="M223">
        <f>_xlfn.XLOOKUP(L223,[2]analyte_order!$C:$C,[2]analyte_order!$E:$E)</f>
        <v>54</v>
      </c>
      <c r="N223">
        <v>4.407767352382979E-2</v>
      </c>
    </row>
    <row r="224" spans="1:14">
      <c r="A224" t="s">
        <v>232</v>
      </c>
      <c r="B224" t="str">
        <f>_xlfn.XLOOKUP(A224,'[1]Tissue Data'!$A:$A,'[1]Tissue Data'!$C:$C)</f>
        <v>Down</v>
      </c>
      <c r="C224" s="2">
        <f>_xlfn.XLOOKUP(A224,'[1]Tissue Data'!$A:$A,'[1]Tissue Data'!$D:$D)</f>
        <v>44314</v>
      </c>
      <c r="D224" s="2" t="str">
        <f>_xlfn.XLOOKUP(A224,'[1]Tissue Data'!$A:$A,'[1]Tissue Data'!$F:$F)</f>
        <v>Pumpkinseed</v>
      </c>
      <c r="E224" t="str">
        <f>_xlfn.XLOOKUP(A224,'[1]Tissue Data'!$A:$A,'[1]Tissue Data'!$H:$H)</f>
        <v>Lepomis</v>
      </c>
      <c r="F224" t="str">
        <f>_xlfn.XLOOKUP(A224,'[1]Tissue Data'!$A:$A,'[1]Tissue Data'!$I:$I)</f>
        <v>gibbosus</v>
      </c>
      <c r="G224" t="str">
        <f>_xlfn.XLOOKUP(A224,'[1]Tissue Data'!$A:$A,'[1]Tissue Data'!J:J)</f>
        <v>U</v>
      </c>
      <c r="H224" t="str">
        <f>_xlfn.XLOOKUP(A224,'[1]Tissue Data'!$A:$A,'[1]Tissue Data'!K:K)</f>
        <v>Whole Body</v>
      </c>
      <c r="I224">
        <f>_xlfn.XLOOKUP(A224,'[1]Tissue Data'!$A:$A,'[1]Tissue Data'!L:L)</f>
        <v>7.5</v>
      </c>
      <c r="J224">
        <f>_xlfn.XLOOKUP(A224,'[1]Tissue Data'!$A:$A,'[1]Tissue Data'!M:M)</f>
        <v>5.73</v>
      </c>
      <c r="K224" t="s">
        <v>34</v>
      </c>
      <c r="L224" t="str">
        <f>_xlfn.XLOOKUP(K224,[2]analyte_order!$B:$B,[2]analyte_order!$C:$C)</f>
        <v>646-83-3</v>
      </c>
      <c r="M224">
        <f>_xlfn.XLOOKUP(L224,[2]analyte_order!$C:$C,[2]analyte_order!$E:$E)</f>
        <v>55</v>
      </c>
      <c r="N224">
        <v>9.5077118106908928E-2</v>
      </c>
    </row>
    <row r="225" spans="1:14">
      <c r="A225" t="s">
        <v>232</v>
      </c>
      <c r="B225" t="str">
        <f>_xlfn.XLOOKUP(A225,'[1]Tissue Data'!$A:$A,'[1]Tissue Data'!$C:$C)</f>
        <v>Down</v>
      </c>
      <c r="C225" s="2">
        <f>_xlfn.XLOOKUP(A225,'[1]Tissue Data'!$A:$A,'[1]Tissue Data'!$D:$D)</f>
        <v>44314</v>
      </c>
      <c r="D225" s="2" t="str">
        <f>_xlfn.XLOOKUP(A225,'[1]Tissue Data'!$A:$A,'[1]Tissue Data'!$F:$F)</f>
        <v>Pumpkinseed</v>
      </c>
      <c r="E225" t="str">
        <f>_xlfn.XLOOKUP(A225,'[1]Tissue Data'!$A:$A,'[1]Tissue Data'!$H:$H)</f>
        <v>Lepomis</v>
      </c>
      <c r="F225" t="str">
        <f>_xlfn.XLOOKUP(A225,'[1]Tissue Data'!$A:$A,'[1]Tissue Data'!$I:$I)</f>
        <v>gibbosus</v>
      </c>
      <c r="G225" t="str">
        <f>_xlfn.XLOOKUP(A225,'[1]Tissue Data'!$A:$A,'[1]Tissue Data'!J:J)</f>
        <v>U</v>
      </c>
      <c r="H225" t="str">
        <f>_xlfn.XLOOKUP(A225,'[1]Tissue Data'!$A:$A,'[1]Tissue Data'!K:K)</f>
        <v>Whole Body</v>
      </c>
      <c r="I225">
        <f>_xlfn.XLOOKUP(A225,'[1]Tissue Data'!$A:$A,'[1]Tissue Data'!L:L)</f>
        <v>7.5</v>
      </c>
      <c r="J225">
        <f>_xlfn.XLOOKUP(A225,'[1]Tissue Data'!$A:$A,'[1]Tissue Data'!M:M)</f>
        <v>5.73</v>
      </c>
      <c r="K225" t="s">
        <v>35</v>
      </c>
      <c r="L225" t="str">
        <f>_xlfn.XLOOKUP(K225,[2]analyte_order!$B:$B,[2]analyte_order!$C:$C)</f>
        <v>30334-69-1</v>
      </c>
      <c r="M225">
        <f>_xlfn.XLOOKUP(L225,[2]analyte_order!$C:$C,[2]analyte_order!$E:$E)</f>
        <v>51</v>
      </c>
      <c r="N225">
        <v>14</v>
      </c>
    </row>
    <row r="226" spans="1:14">
      <c r="A226" t="s">
        <v>232</v>
      </c>
      <c r="B226" t="str">
        <f>_xlfn.XLOOKUP(A226,'[1]Tissue Data'!$A:$A,'[1]Tissue Data'!$C:$C)</f>
        <v>Down</v>
      </c>
      <c r="C226" s="2">
        <f>_xlfn.XLOOKUP(A226,'[1]Tissue Data'!$A:$A,'[1]Tissue Data'!$D:$D)</f>
        <v>44314</v>
      </c>
      <c r="D226" s="2" t="str">
        <f>_xlfn.XLOOKUP(A226,'[1]Tissue Data'!$A:$A,'[1]Tissue Data'!$F:$F)</f>
        <v>Pumpkinseed</v>
      </c>
      <c r="E226" t="str">
        <f>_xlfn.XLOOKUP(A226,'[1]Tissue Data'!$A:$A,'[1]Tissue Data'!$H:$H)</f>
        <v>Lepomis</v>
      </c>
      <c r="F226" t="str">
        <f>_xlfn.XLOOKUP(A226,'[1]Tissue Data'!$A:$A,'[1]Tissue Data'!$I:$I)</f>
        <v>gibbosus</v>
      </c>
      <c r="G226" t="str">
        <f>_xlfn.XLOOKUP(A226,'[1]Tissue Data'!$A:$A,'[1]Tissue Data'!J:J)</f>
        <v>U</v>
      </c>
      <c r="H226" t="str">
        <f>_xlfn.XLOOKUP(A226,'[1]Tissue Data'!$A:$A,'[1]Tissue Data'!K:K)</f>
        <v>Whole Body</v>
      </c>
      <c r="I226">
        <f>_xlfn.XLOOKUP(A226,'[1]Tissue Data'!$A:$A,'[1]Tissue Data'!L:L)</f>
        <v>7.5</v>
      </c>
      <c r="J226">
        <f>_xlfn.XLOOKUP(A226,'[1]Tissue Data'!$A:$A,'[1]Tissue Data'!M:M)</f>
        <v>5.73</v>
      </c>
      <c r="K226" t="s">
        <v>36</v>
      </c>
      <c r="L226" t="str">
        <f>_xlfn.XLOOKUP(K226,[2]analyte_order!$B:$B,[2]analyte_order!$C:$C)</f>
        <v>41997-13-1</v>
      </c>
      <c r="M226">
        <f>_xlfn.XLOOKUP(L226,[2]analyte_order!$C:$C,[2]analyte_order!$E:$E)</f>
        <v>52</v>
      </c>
      <c r="N226">
        <v>31.5</v>
      </c>
    </row>
    <row r="227" spans="1:14">
      <c r="A227" t="s">
        <v>232</v>
      </c>
      <c r="B227" t="str">
        <f>_xlfn.XLOOKUP(A227,'[1]Tissue Data'!$A:$A,'[1]Tissue Data'!$C:$C)</f>
        <v>Down</v>
      </c>
      <c r="C227" s="2">
        <f>_xlfn.XLOOKUP(A227,'[1]Tissue Data'!$A:$A,'[1]Tissue Data'!$D:$D)</f>
        <v>44314</v>
      </c>
      <c r="D227" s="2" t="str">
        <f>_xlfn.XLOOKUP(A227,'[1]Tissue Data'!$A:$A,'[1]Tissue Data'!$F:$F)</f>
        <v>Pumpkinseed</v>
      </c>
      <c r="E227" t="str">
        <f>_xlfn.XLOOKUP(A227,'[1]Tissue Data'!$A:$A,'[1]Tissue Data'!$H:$H)</f>
        <v>Lepomis</v>
      </c>
      <c r="F227" t="str">
        <f>_xlfn.XLOOKUP(A227,'[1]Tissue Data'!$A:$A,'[1]Tissue Data'!$I:$I)</f>
        <v>gibbosus</v>
      </c>
      <c r="G227" t="str">
        <f>_xlfn.XLOOKUP(A227,'[1]Tissue Data'!$A:$A,'[1]Tissue Data'!J:J)</f>
        <v>U</v>
      </c>
      <c r="H227" t="str">
        <f>_xlfn.XLOOKUP(A227,'[1]Tissue Data'!$A:$A,'[1]Tissue Data'!K:K)</f>
        <v>Whole Body</v>
      </c>
      <c r="I227">
        <f>_xlfn.XLOOKUP(A227,'[1]Tissue Data'!$A:$A,'[1]Tissue Data'!L:L)</f>
        <v>7.5</v>
      </c>
      <c r="J227">
        <f>_xlfn.XLOOKUP(A227,'[1]Tissue Data'!$A:$A,'[1]Tissue Data'!M:M)</f>
        <v>5.73</v>
      </c>
      <c r="K227" t="s">
        <v>37</v>
      </c>
      <c r="L227" t="str">
        <f>_xlfn.XLOOKUP(K227,[2]analyte_order!$B:$B,[2]analyte_order!$C:$C)</f>
        <v>754-91-6</v>
      </c>
      <c r="M227">
        <f>_xlfn.XLOOKUP(L227,[2]analyte_order!$C:$C,[2]analyte_order!$E:$E)</f>
        <v>28</v>
      </c>
      <c r="N227">
        <v>4.1399999999999997</v>
      </c>
    </row>
    <row r="228" spans="1:14">
      <c r="A228" t="s">
        <v>232</v>
      </c>
      <c r="B228" t="str">
        <f>_xlfn.XLOOKUP(A228,'[1]Tissue Data'!$A:$A,'[1]Tissue Data'!$C:$C)</f>
        <v>Down</v>
      </c>
      <c r="C228" s="2">
        <f>_xlfn.XLOOKUP(A228,'[1]Tissue Data'!$A:$A,'[1]Tissue Data'!$D:$D)</f>
        <v>44314</v>
      </c>
      <c r="D228" s="2" t="str">
        <f>_xlfn.XLOOKUP(A228,'[1]Tissue Data'!$A:$A,'[1]Tissue Data'!$F:$F)</f>
        <v>Pumpkinseed</v>
      </c>
      <c r="E228" t="str">
        <f>_xlfn.XLOOKUP(A228,'[1]Tissue Data'!$A:$A,'[1]Tissue Data'!$H:$H)</f>
        <v>Lepomis</v>
      </c>
      <c r="F228" t="str">
        <f>_xlfn.XLOOKUP(A228,'[1]Tissue Data'!$A:$A,'[1]Tissue Data'!$I:$I)</f>
        <v>gibbosus</v>
      </c>
      <c r="G228" t="str">
        <f>_xlfn.XLOOKUP(A228,'[1]Tissue Data'!$A:$A,'[1]Tissue Data'!J:J)</f>
        <v>U</v>
      </c>
      <c r="H228" t="str">
        <f>_xlfn.XLOOKUP(A228,'[1]Tissue Data'!$A:$A,'[1]Tissue Data'!K:K)</f>
        <v>Whole Body</v>
      </c>
      <c r="I228">
        <f>_xlfn.XLOOKUP(A228,'[1]Tissue Data'!$A:$A,'[1]Tissue Data'!L:L)</f>
        <v>7.5</v>
      </c>
      <c r="J228">
        <f>_xlfn.XLOOKUP(A228,'[1]Tissue Data'!$A:$A,'[1]Tissue Data'!M:M)</f>
        <v>5.73</v>
      </c>
      <c r="K228" t="s">
        <v>38</v>
      </c>
      <c r="L228" t="str">
        <f>_xlfn.XLOOKUP(K228,[2]analyte_order!$B:$B,[2]analyte_order!$C:$C)</f>
        <v>31506-32-8</v>
      </c>
      <c r="M228">
        <f>_xlfn.XLOOKUP(L228,[2]analyte_order!$C:$C,[2]analyte_order!$E:$E)</f>
        <v>30</v>
      </c>
      <c r="N228">
        <v>5.5878860948936175E-2</v>
      </c>
    </row>
    <row r="229" spans="1:14">
      <c r="A229" t="s">
        <v>232</v>
      </c>
      <c r="B229" t="str">
        <f>_xlfn.XLOOKUP(A229,'[1]Tissue Data'!$A:$A,'[1]Tissue Data'!$C:$C)</f>
        <v>Down</v>
      </c>
      <c r="C229" s="2">
        <f>_xlfn.XLOOKUP(A229,'[1]Tissue Data'!$A:$A,'[1]Tissue Data'!$D:$D)</f>
        <v>44314</v>
      </c>
      <c r="D229" s="2" t="str">
        <f>_xlfn.XLOOKUP(A229,'[1]Tissue Data'!$A:$A,'[1]Tissue Data'!$F:$F)</f>
        <v>Pumpkinseed</v>
      </c>
      <c r="E229" t="str">
        <f>_xlfn.XLOOKUP(A229,'[1]Tissue Data'!$A:$A,'[1]Tissue Data'!$H:$H)</f>
        <v>Lepomis</v>
      </c>
      <c r="F229" t="str">
        <f>_xlfn.XLOOKUP(A229,'[1]Tissue Data'!$A:$A,'[1]Tissue Data'!$I:$I)</f>
        <v>gibbosus</v>
      </c>
      <c r="G229" t="str">
        <f>_xlfn.XLOOKUP(A229,'[1]Tissue Data'!$A:$A,'[1]Tissue Data'!J:J)</f>
        <v>U</v>
      </c>
      <c r="H229" t="str">
        <f>_xlfn.XLOOKUP(A229,'[1]Tissue Data'!$A:$A,'[1]Tissue Data'!K:K)</f>
        <v>Whole Body</v>
      </c>
      <c r="I229">
        <f>_xlfn.XLOOKUP(A229,'[1]Tissue Data'!$A:$A,'[1]Tissue Data'!L:L)</f>
        <v>7.5</v>
      </c>
      <c r="J229">
        <f>_xlfn.XLOOKUP(A229,'[1]Tissue Data'!$A:$A,'[1]Tissue Data'!M:M)</f>
        <v>5.73</v>
      </c>
      <c r="K229" t="s">
        <v>39</v>
      </c>
      <c r="L229" t="str">
        <f>_xlfn.XLOOKUP(K229,[2]analyte_order!$B:$B,[2]analyte_order!$C:$C)</f>
        <v>4151-50-2</v>
      </c>
      <c r="M229">
        <f>_xlfn.XLOOKUP(L229,[2]analyte_order!$C:$C,[2]analyte_order!$E:$E)</f>
        <v>31</v>
      </c>
      <c r="N229">
        <v>8.4643967580319154E-2</v>
      </c>
    </row>
    <row r="230" spans="1:14">
      <c r="A230" t="s">
        <v>232</v>
      </c>
      <c r="B230" t="str">
        <f>_xlfn.XLOOKUP(A230,'[1]Tissue Data'!$A:$A,'[1]Tissue Data'!$C:$C)</f>
        <v>Down</v>
      </c>
      <c r="C230" s="2">
        <f>_xlfn.XLOOKUP(A230,'[1]Tissue Data'!$A:$A,'[1]Tissue Data'!$D:$D)</f>
        <v>44314</v>
      </c>
      <c r="D230" s="2" t="str">
        <f>_xlfn.XLOOKUP(A230,'[1]Tissue Data'!$A:$A,'[1]Tissue Data'!$F:$F)</f>
        <v>Pumpkinseed</v>
      </c>
      <c r="E230" t="str">
        <f>_xlfn.XLOOKUP(A230,'[1]Tissue Data'!$A:$A,'[1]Tissue Data'!$H:$H)</f>
        <v>Lepomis</v>
      </c>
      <c r="F230" t="str">
        <f>_xlfn.XLOOKUP(A230,'[1]Tissue Data'!$A:$A,'[1]Tissue Data'!$I:$I)</f>
        <v>gibbosus</v>
      </c>
      <c r="G230" t="str">
        <f>_xlfn.XLOOKUP(A230,'[1]Tissue Data'!$A:$A,'[1]Tissue Data'!J:J)</f>
        <v>U</v>
      </c>
      <c r="H230" t="str">
        <f>_xlfn.XLOOKUP(A230,'[1]Tissue Data'!$A:$A,'[1]Tissue Data'!K:K)</f>
        <v>Whole Body</v>
      </c>
      <c r="I230">
        <f>_xlfn.XLOOKUP(A230,'[1]Tissue Data'!$A:$A,'[1]Tissue Data'!L:L)</f>
        <v>7.5</v>
      </c>
      <c r="J230">
        <f>_xlfn.XLOOKUP(A230,'[1]Tissue Data'!$A:$A,'[1]Tissue Data'!M:M)</f>
        <v>5.73</v>
      </c>
      <c r="K230" t="s">
        <v>40</v>
      </c>
      <c r="L230" t="str">
        <f>_xlfn.XLOOKUP(K230,[2]analyte_order!$B:$B,[2]analyte_order!$C:$C)</f>
        <v>2806-24-8</v>
      </c>
      <c r="M230">
        <f>_xlfn.XLOOKUP(L230,[2]analyte_order!$C:$C,[2]analyte_order!$E:$E)</f>
        <v>29</v>
      </c>
      <c r="N230">
        <v>5.7173733928723394E-2</v>
      </c>
    </row>
    <row r="231" spans="1:14">
      <c r="A231" t="s">
        <v>232</v>
      </c>
      <c r="B231" t="str">
        <f>_xlfn.XLOOKUP(A231,'[1]Tissue Data'!$A:$A,'[1]Tissue Data'!$C:$C)</f>
        <v>Down</v>
      </c>
      <c r="C231" s="2">
        <f>_xlfn.XLOOKUP(A231,'[1]Tissue Data'!$A:$A,'[1]Tissue Data'!$D:$D)</f>
        <v>44314</v>
      </c>
      <c r="D231" s="2" t="str">
        <f>_xlfn.XLOOKUP(A231,'[1]Tissue Data'!$A:$A,'[1]Tissue Data'!$F:$F)</f>
        <v>Pumpkinseed</v>
      </c>
      <c r="E231" t="str">
        <f>_xlfn.XLOOKUP(A231,'[1]Tissue Data'!$A:$A,'[1]Tissue Data'!$H:$H)</f>
        <v>Lepomis</v>
      </c>
      <c r="F231" t="str">
        <f>_xlfn.XLOOKUP(A231,'[1]Tissue Data'!$A:$A,'[1]Tissue Data'!$I:$I)</f>
        <v>gibbosus</v>
      </c>
      <c r="G231" t="str">
        <f>_xlfn.XLOOKUP(A231,'[1]Tissue Data'!$A:$A,'[1]Tissue Data'!J:J)</f>
        <v>U</v>
      </c>
      <c r="H231" t="str">
        <f>_xlfn.XLOOKUP(A231,'[1]Tissue Data'!$A:$A,'[1]Tissue Data'!K:K)</f>
        <v>Whole Body</v>
      </c>
      <c r="I231">
        <f>_xlfn.XLOOKUP(A231,'[1]Tissue Data'!$A:$A,'[1]Tissue Data'!L:L)</f>
        <v>7.5</v>
      </c>
      <c r="J231">
        <f>_xlfn.XLOOKUP(A231,'[1]Tissue Data'!$A:$A,'[1]Tissue Data'!M:M)</f>
        <v>5.73</v>
      </c>
      <c r="K231" t="s">
        <v>41</v>
      </c>
      <c r="L231" t="str">
        <f>_xlfn.XLOOKUP(K231,[2]analyte_order!$B:$B,[2]analyte_order!$C:$C)</f>
        <v>2355-31-9</v>
      </c>
      <c r="M231">
        <f>_xlfn.XLOOKUP(L231,[2]analyte_order!$C:$C,[2]analyte_order!$E:$E)</f>
        <v>26</v>
      </c>
      <c r="N231">
        <v>7.2972702655851068E-2</v>
      </c>
    </row>
    <row r="232" spans="1:14">
      <c r="A232" t="s">
        <v>232</v>
      </c>
      <c r="B232" t="str">
        <f>_xlfn.XLOOKUP(A232,'[1]Tissue Data'!$A:$A,'[1]Tissue Data'!$C:$C)</f>
        <v>Down</v>
      </c>
      <c r="C232" s="2">
        <f>_xlfn.XLOOKUP(A232,'[1]Tissue Data'!$A:$A,'[1]Tissue Data'!$D:$D)</f>
        <v>44314</v>
      </c>
      <c r="D232" s="2" t="str">
        <f>_xlfn.XLOOKUP(A232,'[1]Tissue Data'!$A:$A,'[1]Tissue Data'!$F:$F)</f>
        <v>Pumpkinseed</v>
      </c>
      <c r="E232" t="str">
        <f>_xlfn.XLOOKUP(A232,'[1]Tissue Data'!$A:$A,'[1]Tissue Data'!$H:$H)</f>
        <v>Lepomis</v>
      </c>
      <c r="F232" t="str">
        <f>_xlfn.XLOOKUP(A232,'[1]Tissue Data'!$A:$A,'[1]Tissue Data'!$I:$I)</f>
        <v>gibbosus</v>
      </c>
      <c r="G232" t="str">
        <f>_xlfn.XLOOKUP(A232,'[1]Tissue Data'!$A:$A,'[1]Tissue Data'!J:J)</f>
        <v>U</v>
      </c>
      <c r="H232" t="str">
        <f>_xlfn.XLOOKUP(A232,'[1]Tissue Data'!$A:$A,'[1]Tissue Data'!K:K)</f>
        <v>Whole Body</v>
      </c>
      <c r="I232">
        <f>_xlfn.XLOOKUP(A232,'[1]Tissue Data'!$A:$A,'[1]Tissue Data'!L:L)</f>
        <v>7.5</v>
      </c>
      <c r="J232">
        <f>_xlfn.XLOOKUP(A232,'[1]Tissue Data'!$A:$A,'[1]Tissue Data'!M:M)</f>
        <v>5.73</v>
      </c>
      <c r="K232" t="s">
        <v>42</v>
      </c>
      <c r="L232" t="str">
        <f>_xlfn.XLOOKUP(K232,[2]analyte_order!$B:$B,[2]analyte_order!$C:$C)</f>
        <v>2991-50-6</v>
      </c>
      <c r="M232">
        <f>_xlfn.XLOOKUP(L232,[2]analyte_order!$C:$C,[2]analyte_order!$E:$E)</f>
        <v>27</v>
      </c>
      <c r="N232">
        <v>6.2958689459042552E-2</v>
      </c>
    </row>
    <row r="233" spans="1:14">
      <c r="A233" t="s">
        <v>232</v>
      </c>
      <c r="B233" t="str">
        <f>_xlfn.XLOOKUP(A233,'[1]Tissue Data'!$A:$A,'[1]Tissue Data'!$C:$C)</f>
        <v>Down</v>
      </c>
      <c r="C233" s="2">
        <f>_xlfn.XLOOKUP(A233,'[1]Tissue Data'!$A:$A,'[1]Tissue Data'!$D:$D)</f>
        <v>44314</v>
      </c>
      <c r="D233" s="2" t="str">
        <f>_xlfn.XLOOKUP(A233,'[1]Tissue Data'!$A:$A,'[1]Tissue Data'!$F:$F)</f>
        <v>Pumpkinseed</v>
      </c>
      <c r="E233" t="str">
        <f>_xlfn.XLOOKUP(A233,'[1]Tissue Data'!$A:$A,'[1]Tissue Data'!$H:$H)</f>
        <v>Lepomis</v>
      </c>
      <c r="F233" t="str">
        <f>_xlfn.XLOOKUP(A233,'[1]Tissue Data'!$A:$A,'[1]Tissue Data'!$I:$I)</f>
        <v>gibbosus</v>
      </c>
      <c r="G233" t="str">
        <f>_xlfn.XLOOKUP(A233,'[1]Tissue Data'!$A:$A,'[1]Tissue Data'!J:J)</f>
        <v>U</v>
      </c>
      <c r="H233" t="str">
        <f>_xlfn.XLOOKUP(A233,'[1]Tissue Data'!$A:$A,'[1]Tissue Data'!K:K)</f>
        <v>Whole Body</v>
      </c>
      <c r="I233">
        <f>_xlfn.XLOOKUP(A233,'[1]Tissue Data'!$A:$A,'[1]Tissue Data'!L:L)</f>
        <v>7.5</v>
      </c>
      <c r="J233">
        <f>_xlfn.XLOOKUP(A233,'[1]Tissue Data'!$A:$A,'[1]Tissue Data'!M:M)</f>
        <v>5.73</v>
      </c>
      <c r="K233" t="s">
        <v>43</v>
      </c>
      <c r="L233" t="str">
        <f>_xlfn.XLOOKUP(K233,[2]analyte_order!$B:$B,[2]analyte_order!$C:$C)</f>
        <v>757124-72-4</v>
      </c>
      <c r="M233">
        <f>_xlfn.XLOOKUP(L233,[2]analyte_order!$C:$C,[2]analyte_order!$E:$E)</f>
        <v>22</v>
      </c>
      <c r="N233">
        <v>5.9578470402127659E-2</v>
      </c>
    </row>
    <row r="234" spans="1:14">
      <c r="A234" t="s">
        <v>232</v>
      </c>
      <c r="B234" t="str">
        <f>_xlfn.XLOOKUP(A234,'[1]Tissue Data'!$A:$A,'[1]Tissue Data'!$C:$C)</f>
        <v>Down</v>
      </c>
      <c r="C234" s="2">
        <f>_xlfn.XLOOKUP(A234,'[1]Tissue Data'!$A:$A,'[1]Tissue Data'!$D:$D)</f>
        <v>44314</v>
      </c>
      <c r="D234" s="2" t="str">
        <f>_xlfn.XLOOKUP(A234,'[1]Tissue Data'!$A:$A,'[1]Tissue Data'!$F:$F)</f>
        <v>Pumpkinseed</v>
      </c>
      <c r="E234" t="str">
        <f>_xlfn.XLOOKUP(A234,'[1]Tissue Data'!$A:$A,'[1]Tissue Data'!$H:$H)</f>
        <v>Lepomis</v>
      </c>
      <c r="F234" t="str">
        <f>_xlfn.XLOOKUP(A234,'[1]Tissue Data'!$A:$A,'[1]Tissue Data'!$I:$I)</f>
        <v>gibbosus</v>
      </c>
      <c r="G234" t="str">
        <f>_xlfn.XLOOKUP(A234,'[1]Tissue Data'!$A:$A,'[1]Tissue Data'!J:J)</f>
        <v>U</v>
      </c>
      <c r="H234" t="str">
        <f>_xlfn.XLOOKUP(A234,'[1]Tissue Data'!$A:$A,'[1]Tissue Data'!K:K)</f>
        <v>Whole Body</v>
      </c>
      <c r="I234">
        <f>_xlfn.XLOOKUP(A234,'[1]Tissue Data'!$A:$A,'[1]Tissue Data'!L:L)</f>
        <v>7.5</v>
      </c>
      <c r="J234">
        <f>_xlfn.XLOOKUP(A234,'[1]Tissue Data'!$A:$A,'[1]Tissue Data'!M:M)</f>
        <v>5.73</v>
      </c>
      <c r="K234" t="s">
        <v>44</v>
      </c>
      <c r="L234" t="str">
        <f>_xlfn.XLOOKUP(K234,[2]analyte_order!$B:$B,[2]analyte_order!$C:$C)</f>
        <v>27619-97-2</v>
      </c>
      <c r="M234">
        <f>_xlfn.XLOOKUP(L234,[2]analyte_order!$C:$C,[2]analyte_order!$E:$E)</f>
        <v>23</v>
      </c>
      <c r="N234">
        <v>0.73799999999999999</v>
      </c>
    </row>
    <row r="235" spans="1:14">
      <c r="A235" t="s">
        <v>232</v>
      </c>
      <c r="B235" t="str">
        <f>_xlfn.XLOOKUP(A235,'[1]Tissue Data'!$A:$A,'[1]Tissue Data'!$C:$C)</f>
        <v>Down</v>
      </c>
      <c r="C235" s="2">
        <f>_xlfn.XLOOKUP(A235,'[1]Tissue Data'!$A:$A,'[1]Tissue Data'!$D:$D)</f>
        <v>44314</v>
      </c>
      <c r="D235" s="2" t="str">
        <f>_xlfn.XLOOKUP(A235,'[1]Tissue Data'!$A:$A,'[1]Tissue Data'!$F:$F)</f>
        <v>Pumpkinseed</v>
      </c>
      <c r="E235" t="str">
        <f>_xlfn.XLOOKUP(A235,'[1]Tissue Data'!$A:$A,'[1]Tissue Data'!$H:$H)</f>
        <v>Lepomis</v>
      </c>
      <c r="F235" t="str">
        <f>_xlfn.XLOOKUP(A235,'[1]Tissue Data'!$A:$A,'[1]Tissue Data'!$I:$I)</f>
        <v>gibbosus</v>
      </c>
      <c r="G235" t="str">
        <f>_xlfn.XLOOKUP(A235,'[1]Tissue Data'!$A:$A,'[1]Tissue Data'!J:J)</f>
        <v>U</v>
      </c>
      <c r="H235" t="str">
        <f>_xlfn.XLOOKUP(A235,'[1]Tissue Data'!$A:$A,'[1]Tissue Data'!K:K)</f>
        <v>Whole Body</v>
      </c>
      <c r="I235">
        <f>_xlfn.XLOOKUP(A235,'[1]Tissue Data'!$A:$A,'[1]Tissue Data'!L:L)</f>
        <v>7.5</v>
      </c>
      <c r="J235">
        <f>_xlfn.XLOOKUP(A235,'[1]Tissue Data'!$A:$A,'[1]Tissue Data'!M:M)</f>
        <v>5.73</v>
      </c>
      <c r="K235" t="s">
        <v>45</v>
      </c>
      <c r="L235" t="str">
        <f>_xlfn.XLOOKUP(K235,[2]analyte_order!$B:$B,[2]analyte_order!$C:$C)</f>
        <v>39108-34-4</v>
      </c>
      <c r="M235">
        <f>_xlfn.XLOOKUP(L235,[2]analyte_order!$C:$C,[2]analyte_order!$E:$E)</f>
        <v>24</v>
      </c>
      <c r="N235">
        <v>0.14846470469381998</v>
      </c>
    </row>
    <row r="236" spans="1:14">
      <c r="A236" t="s">
        <v>232</v>
      </c>
      <c r="B236" t="str">
        <f>_xlfn.XLOOKUP(A236,'[1]Tissue Data'!$A:$A,'[1]Tissue Data'!$C:$C)</f>
        <v>Down</v>
      </c>
      <c r="C236" s="2">
        <f>_xlfn.XLOOKUP(A236,'[1]Tissue Data'!$A:$A,'[1]Tissue Data'!$D:$D)</f>
        <v>44314</v>
      </c>
      <c r="D236" s="2" t="str">
        <f>_xlfn.XLOOKUP(A236,'[1]Tissue Data'!$A:$A,'[1]Tissue Data'!$F:$F)</f>
        <v>Pumpkinseed</v>
      </c>
      <c r="E236" t="str">
        <f>_xlfn.XLOOKUP(A236,'[1]Tissue Data'!$A:$A,'[1]Tissue Data'!$H:$H)</f>
        <v>Lepomis</v>
      </c>
      <c r="F236" t="str">
        <f>_xlfn.XLOOKUP(A236,'[1]Tissue Data'!$A:$A,'[1]Tissue Data'!$I:$I)</f>
        <v>gibbosus</v>
      </c>
      <c r="G236" t="str">
        <f>_xlfn.XLOOKUP(A236,'[1]Tissue Data'!$A:$A,'[1]Tissue Data'!J:J)</f>
        <v>U</v>
      </c>
      <c r="H236" t="str">
        <f>_xlfn.XLOOKUP(A236,'[1]Tissue Data'!$A:$A,'[1]Tissue Data'!K:K)</f>
        <v>Whole Body</v>
      </c>
      <c r="I236">
        <f>_xlfn.XLOOKUP(A236,'[1]Tissue Data'!$A:$A,'[1]Tissue Data'!L:L)</f>
        <v>7.5</v>
      </c>
      <c r="J236">
        <f>_xlfn.XLOOKUP(A236,'[1]Tissue Data'!$A:$A,'[1]Tissue Data'!M:M)</f>
        <v>5.73</v>
      </c>
      <c r="K236" t="s">
        <v>46</v>
      </c>
      <c r="L236" t="str">
        <f>_xlfn.XLOOKUP(K236,[2]analyte_order!$B:$B,[2]analyte_order!$C:$C)</f>
        <v>120226-60-0</v>
      </c>
      <c r="M236">
        <f>_xlfn.XLOOKUP(L236,[2]analyte_order!$C:$C,[2]analyte_order!$E:$E)</f>
        <v>25</v>
      </c>
      <c r="N236">
        <v>8.2359685531914889E-2</v>
      </c>
    </row>
    <row r="237" spans="1:14">
      <c r="A237" t="s">
        <v>232</v>
      </c>
      <c r="B237" t="str">
        <f>_xlfn.XLOOKUP(A237,'[1]Tissue Data'!$A:$A,'[1]Tissue Data'!$C:$C)</f>
        <v>Down</v>
      </c>
      <c r="C237" s="2">
        <f>_xlfn.XLOOKUP(A237,'[1]Tissue Data'!$A:$A,'[1]Tissue Data'!$D:$D)</f>
        <v>44314</v>
      </c>
      <c r="D237" s="2" t="str">
        <f>_xlfn.XLOOKUP(A237,'[1]Tissue Data'!$A:$A,'[1]Tissue Data'!$F:$F)</f>
        <v>Pumpkinseed</v>
      </c>
      <c r="E237" t="str">
        <f>_xlfn.XLOOKUP(A237,'[1]Tissue Data'!$A:$A,'[1]Tissue Data'!$H:$H)</f>
        <v>Lepomis</v>
      </c>
      <c r="F237" t="str">
        <f>_xlfn.XLOOKUP(A237,'[1]Tissue Data'!$A:$A,'[1]Tissue Data'!$I:$I)</f>
        <v>gibbosus</v>
      </c>
      <c r="G237" t="str">
        <f>_xlfn.XLOOKUP(A237,'[1]Tissue Data'!$A:$A,'[1]Tissue Data'!J:J)</f>
        <v>U</v>
      </c>
      <c r="H237" t="str">
        <f>_xlfn.XLOOKUP(A237,'[1]Tissue Data'!$A:$A,'[1]Tissue Data'!K:K)</f>
        <v>Whole Body</v>
      </c>
      <c r="I237">
        <f>_xlfn.XLOOKUP(A237,'[1]Tissue Data'!$A:$A,'[1]Tissue Data'!L:L)</f>
        <v>7.5</v>
      </c>
      <c r="J237">
        <f>_xlfn.XLOOKUP(A237,'[1]Tissue Data'!$A:$A,'[1]Tissue Data'!M:M)</f>
        <v>5.73</v>
      </c>
      <c r="K237" t="s">
        <v>47</v>
      </c>
      <c r="L237" t="str">
        <f>_xlfn.XLOOKUP(K237,[2]analyte_order!$B:$B,[2]analyte_order!$C:$C)</f>
        <v>356-02-5</v>
      </c>
      <c r="M237">
        <f>_xlfn.XLOOKUP(L237,[2]analyte_order!$C:$C,[2]analyte_order!$E:$E)</f>
        <v>38</v>
      </c>
      <c r="N237">
        <v>8.3666985965425544E-2</v>
      </c>
    </row>
    <row r="238" spans="1:14">
      <c r="A238" t="s">
        <v>232</v>
      </c>
      <c r="B238" t="str">
        <f>_xlfn.XLOOKUP(A238,'[1]Tissue Data'!$A:$A,'[1]Tissue Data'!$C:$C)</f>
        <v>Down</v>
      </c>
      <c r="C238" s="2">
        <f>_xlfn.XLOOKUP(A238,'[1]Tissue Data'!$A:$A,'[1]Tissue Data'!$D:$D)</f>
        <v>44314</v>
      </c>
      <c r="D238" s="2" t="str">
        <f>_xlfn.XLOOKUP(A238,'[1]Tissue Data'!$A:$A,'[1]Tissue Data'!$F:$F)</f>
        <v>Pumpkinseed</v>
      </c>
      <c r="E238" t="str">
        <f>_xlfn.XLOOKUP(A238,'[1]Tissue Data'!$A:$A,'[1]Tissue Data'!$H:$H)</f>
        <v>Lepomis</v>
      </c>
      <c r="F238" t="str">
        <f>_xlfn.XLOOKUP(A238,'[1]Tissue Data'!$A:$A,'[1]Tissue Data'!$I:$I)</f>
        <v>gibbosus</v>
      </c>
      <c r="G238" t="str">
        <f>_xlfn.XLOOKUP(A238,'[1]Tissue Data'!$A:$A,'[1]Tissue Data'!J:J)</f>
        <v>U</v>
      </c>
      <c r="H238" t="str">
        <f>_xlfn.XLOOKUP(A238,'[1]Tissue Data'!$A:$A,'[1]Tissue Data'!K:K)</f>
        <v>Whole Body</v>
      </c>
      <c r="I238">
        <f>_xlfn.XLOOKUP(A238,'[1]Tissue Data'!$A:$A,'[1]Tissue Data'!L:L)</f>
        <v>7.5</v>
      </c>
      <c r="J238">
        <f>_xlfn.XLOOKUP(A238,'[1]Tissue Data'!$A:$A,'[1]Tissue Data'!M:M)</f>
        <v>5.73</v>
      </c>
      <c r="K238" t="s">
        <v>48</v>
      </c>
      <c r="L238" t="str">
        <f>_xlfn.XLOOKUP(K238,[2]analyte_order!$B:$B,[2]analyte_order!$C:$C)</f>
        <v>914637-49-3</v>
      </c>
      <c r="M238">
        <f>_xlfn.XLOOKUP(L238,[2]analyte_order!$C:$C,[2]analyte_order!$E:$E)</f>
        <v>39</v>
      </c>
      <c r="N238">
        <v>5.4738049710638302E-2</v>
      </c>
    </row>
    <row r="239" spans="1:14">
      <c r="A239" t="s">
        <v>232</v>
      </c>
      <c r="B239" t="str">
        <f>_xlfn.XLOOKUP(A239,'[1]Tissue Data'!$A:$A,'[1]Tissue Data'!$C:$C)</f>
        <v>Down</v>
      </c>
      <c r="C239" s="2">
        <f>_xlfn.XLOOKUP(A239,'[1]Tissue Data'!$A:$A,'[1]Tissue Data'!$D:$D)</f>
        <v>44314</v>
      </c>
      <c r="D239" s="2" t="str">
        <f>_xlfn.XLOOKUP(A239,'[1]Tissue Data'!$A:$A,'[1]Tissue Data'!$F:$F)</f>
        <v>Pumpkinseed</v>
      </c>
      <c r="E239" t="str">
        <f>_xlfn.XLOOKUP(A239,'[1]Tissue Data'!$A:$A,'[1]Tissue Data'!$H:$H)</f>
        <v>Lepomis</v>
      </c>
      <c r="F239" t="str">
        <f>_xlfn.XLOOKUP(A239,'[1]Tissue Data'!$A:$A,'[1]Tissue Data'!$I:$I)</f>
        <v>gibbosus</v>
      </c>
      <c r="G239" t="str">
        <f>_xlfn.XLOOKUP(A239,'[1]Tissue Data'!$A:$A,'[1]Tissue Data'!J:J)</f>
        <v>U</v>
      </c>
      <c r="H239" t="str">
        <f>_xlfn.XLOOKUP(A239,'[1]Tissue Data'!$A:$A,'[1]Tissue Data'!K:K)</f>
        <v>Whole Body</v>
      </c>
      <c r="I239">
        <f>_xlfn.XLOOKUP(A239,'[1]Tissue Data'!$A:$A,'[1]Tissue Data'!L:L)</f>
        <v>7.5</v>
      </c>
      <c r="J239">
        <f>_xlfn.XLOOKUP(A239,'[1]Tissue Data'!$A:$A,'[1]Tissue Data'!M:M)</f>
        <v>5.73</v>
      </c>
      <c r="K239" t="s">
        <v>49</v>
      </c>
      <c r="L239" t="str">
        <f>_xlfn.XLOOKUP(K239,[2]analyte_order!$B:$B,[2]analyte_order!$C:$C)</f>
        <v>812-70-4</v>
      </c>
      <c r="M239">
        <f>_xlfn.XLOOKUP(L239,[2]analyte_order!$C:$C,[2]analyte_order!$E:$E)</f>
        <v>40</v>
      </c>
      <c r="N239">
        <v>0.19141888738928792</v>
      </c>
    </row>
    <row r="240" spans="1:14">
      <c r="A240" t="s">
        <v>232</v>
      </c>
      <c r="B240" t="str">
        <f>_xlfn.XLOOKUP(A240,'[1]Tissue Data'!$A:$A,'[1]Tissue Data'!$C:$C)</f>
        <v>Down</v>
      </c>
      <c r="C240" s="2">
        <f>_xlfn.XLOOKUP(A240,'[1]Tissue Data'!$A:$A,'[1]Tissue Data'!$D:$D)</f>
        <v>44314</v>
      </c>
      <c r="D240" s="2" t="str">
        <f>_xlfn.XLOOKUP(A240,'[1]Tissue Data'!$A:$A,'[1]Tissue Data'!$F:$F)</f>
        <v>Pumpkinseed</v>
      </c>
      <c r="E240" t="str">
        <f>_xlfn.XLOOKUP(A240,'[1]Tissue Data'!$A:$A,'[1]Tissue Data'!$H:$H)</f>
        <v>Lepomis</v>
      </c>
      <c r="F240" t="str">
        <f>_xlfn.XLOOKUP(A240,'[1]Tissue Data'!$A:$A,'[1]Tissue Data'!$I:$I)</f>
        <v>gibbosus</v>
      </c>
      <c r="G240" t="str">
        <f>_xlfn.XLOOKUP(A240,'[1]Tissue Data'!$A:$A,'[1]Tissue Data'!J:J)</f>
        <v>U</v>
      </c>
      <c r="H240" t="str">
        <f>_xlfn.XLOOKUP(A240,'[1]Tissue Data'!$A:$A,'[1]Tissue Data'!K:K)</f>
        <v>Whole Body</v>
      </c>
      <c r="I240">
        <f>_xlfn.XLOOKUP(A240,'[1]Tissue Data'!$A:$A,'[1]Tissue Data'!L:L)</f>
        <v>7.5</v>
      </c>
      <c r="J240">
        <f>_xlfn.XLOOKUP(A240,'[1]Tissue Data'!$A:$A,'[1]Tissue Data'!M:M)</f>
        <v>5.73</v>
      </c>
      <c r="K240" t="s">
        <v>50</v>
      </c>
      <c r="L240" t="str">
        <f>_xlfn.XLOOKUP(K240,[2]analyte_order!$B:$B,[2]analyte_order!$C:$C)</f>
        <v>53826-12-3</v>
      </c>
      <c r="M240">
        <f>_xlfn.XLOOKUP(L240,[2]analyte_order!$C:$C,[2]analyte_order!$E:$E)</f>
        <v>41</v>
      </c>
      <c r="N240">
        <v>3.25</v>
      </c>
    </row>
    <row r="241" spans="1:14">
      <c r="A241" t="s">
        <v>232</v>
      </c>
      <c r="B241" t="str">
        <f>_xlfn.XLOOKUP(A241,'[1]Tissue Data'!$A:$A,'[1]Tissue Data'!$C:$C)</f>
        <v>Down</v>
      </c>
      <c r="C241" s="2">
        <f>_xlfn.XLOOKUP(A241,'[1]Tissue Data'!$A:$A,'[1]Tissue Data'!$D:$D)</f>
        <v>44314</v>
      </c>
      <c r="D241" s="2" t="str">
        <f>_xlfn.XLOOKUP(A241,'[1]Tissue Data'!$A:$A,'[1]Tissue Data'!$F:$F)</f>
        <v>Pumpkinseed</v>
      </c>
      <c r="E241" t="str">
        <f>_xlfn.XLOOKUP(A241,'[1]Tissue Data'!$A:$A,'[1]Tissue Data'!$H:$H)</f>
        <v>Lepomis</v>
      </c>
      <c r="F241" t="str">
        <f>_xlfn.XLOOKUP(A241,'[1]Tissue Data'!$A:$A,'[1]Tissue Data'!$I:$I)</f>
        <v>gibbosus</v>
      </c>
      <c r="G241" t="str">
        <f>_xlfn.XLOOKUP(A241,'[1]Tissue Data'!$A:$A,'[1]Tissue Data'!J:J)</f>
        <v>U</v>
      </c>
      <c r="H241" t="str">
        <f>_xlfn.XLOOKUP(A241,'[1]Tissue Data'!$A:$A,'[1]Tissue Data'!K:K)</f>
        <v>Whole Body</v>
      </c>
      <c r="I241">
        <f>_xlfn.XLOOKUP(A241,'[1]Tissue Data'!$A:$A,'[1]Tissue Data'!L:L)</f>
        <v>7.5</v>
      </c>
      <c r="J241">
        <f>_xlfn.XLOOKUP(A241,'[1]Tissue Data'!$A:$A,'[1]Tissue Data'!M:M)</f>
        <v>5.73</v>
      </c>
      <c r="K241" t="s">
        <v>51</v>
      </c>
      <c r="L241" t="str">
        <f>_xlfn.XLOOKUP(K241,[2]analyte_order!$B:$B,[2]analyte_order!$C:$C)</f>
        <v>27854-31-5</v>
      </c>
      <c r="M241">
        <f>_xlfn.XLOOKUP(L241,[2]analyte_order!$C:$C,[2]analyte_order!$E:$E)</f>
        <v>42</v>
      </c>
      <c r="N241">
        <v>1.25</v>
      </c>
    </row>
    <row r="242" spans="1:14">
      <c r="A242" t="s">
        <v>232</v>
      </c>
      <c r="B242" t="str">
        <f>_xlfn.XLOOKUP(A242,'[1]Tissue Data'!$A:$A,'[1]Tissue Data'!$C:$C)</f>
        <v>Down</v>
      </c>
      <c r="C242" s="2">
        <f>_xlfn.XLOOKUP(A242,'[1]Tissue Data'!$A:$A,'[1]Tissue Data'!$D:$D)</f>
        <v>44314</v>
      </c>
      <c r="D242" s="2" t="str">
        <f>_xlfn.XLOOKUP(A242,'[1]Tissue Data'!$A:$A,'[1]Tissue Data'!$F:$F)</f>
        <v>Pumpkinseed</v>
      </c>
      <c r="E242" t="str">
        <f>_xlfn.XLOOKUP(A242,'[1]Tissue Data'!$A:$A,'[1]Tissue Data'!$H:$H)</f>
        <v>Lepomis</v>
      </c>
      <c r="F242" t="str">
        <f>_xlfn.XLOOKUP(A242,'[1]Tissue Data'!$A:$A,'[1]Tissue Data'!$I:$I)</f>
        <v>gibbosus</v>
      </c>
      <c r="G242" t="str">
        <f>_xlfn.XLOOKUP(A242,'[1]Tissue Data'!$A:$A,'[1]Tissue Data'!J:J)</f>
        <v>U</v>
      </c>
      <c r="H242" t="str">
        <f>_xlfn.XLOOKUP(A242,'[1]Tissue Data'!$A:$A,'[1]Tissue Data'!K:K)</f>
        <v>Whole Body</v>
      </c>
      <c r="I242">
        <f>_xlfn.XLOOKUP(A242,'[1]Tissue Data'!$A:$A,'[1]Tissue Data'!L:L)</f>
        <v>7.5</v>
      </c>
      <c r="J242">
        <f>_xlfn.XLOOKUP(A242,'[1]Tissue Data'!$A:$A,'[1]Tissue Data'!M:M)</f>
        <v>5.73</v>
      </c>
      <c r="K242" t="s">
        <v>52</v>
      </c>
      <c r="L242" t="str">
        <f>_xlfn.XLOOKUP(K242,[2]analyte_order!$B:$B,[2]analyte_order!$C:$C)</f>
        <v>53826-13-4</v>
      </c>
      <c r="M242">
        <f>_xlfn.XLOOKUP(L242,[2]analyte_order!$C:$C,[2]analyte_order!$E:$E)</f>
        <v>43</v>
      </c>
      <c r="N242">
        <v>0.10823446623351064</v>
      </c>
    </row>
    <row r="243" spans="1:14">
      <c r="A243" t="s">
        <v>232</v>
      </c>
      <c r="B243" t="str">
        <f>_xlfn.XLOOKUP(A243,'[1]Tissue Data'!$A:$A,'[1]Tissue Data'!$C:$C)</f>
        <v>Down</v>
      </c>
      <c r="C243" s="2">
        <f>_xlfn.XLOOKUP(A243,'[1]Tissue Data'!$A:$A,'[1]Tissue Data'!$D:$D)</f>
        <v>44314</v>
      </c>
      <c r="D243" s="2" t="str">
        <f>_xlfn.XLOOKUP(A243,'[1]Tissue Data'!$A:$A,'[1]Tissue Data'!$F:$F)</f>
        <v>Pumpkinseed</v>
      </c>
      <c r="E243" t="str">
        <f>_xlfn.XLOOKUP(A243,'[1]Tissue Data'!$A:$A,'[1]Tissue Data'!$H:$H)</f>
        <v>Lepomis</v>
      </c>
      <c r="F243" t="str">
        <f>_xlfn.XLOOKUP(A243,'[1]Tissue Data'!$A:$A,'[1]Tissue Data'!$I:$I)</f>
        <v>gibbosus</v>
      </c>
      <c r="G243" t="str">
        <f>_xlfn.XLOOKUP(A243,'[1]Tissue Data'!$A:$A,'[1]Tissue Data'!J:J)</f>
        <v>U</v>
      </c>
      <c r="H243" t="str">
        <f>_xlfn.XLOOKUP(A243,'[1]Tissue Data'!$A:$A,'[1]Tissue Data'!K:K)</f>
        <v>Whole Body</v>
      </c>
      <c r="I243">
        <f>_xlfn.XLOOKUP(A243,'[1]Tissue Data'!$A:$A,'[1]Tissue Data'!L:L)</f>
        <v>7.5</v>
      </c>
      <c r="J243">
        <f>_xlfn.XLOOKUP(A243,'[1]Tissue Data'!$A:$A,'[1]Tissue Data'!M:M)</f>
        <v>5.73</v>
      </c>
      <c r="K243" t="s">
        <v>53</v>
      </c>
      <c r="L243" t="str">
        <f>_xlfn.XLOOKUP(K243,[2]analyte_order!$B:$B,[2]analyte_order!$C:$C)</f>
        <v>161094-75-3</v>
      </c>
      <c r="M243">
        <f>_xlfn.XLOOKUP(L243,[2]analyte_order!$C:$C,[2]analyte_order!$E:$E)</f>
        <v>44</v>
      </c>
      <c r="N243">
        <v>5.6953327959574467E-2</v>
      </c>
    </row>
    <row r="244" spans="1:14">
      <c r="A244" t="s">
        <v>232</v>
      </c>
      <c r="B244" t="str">
        <f>_xlfn.XLOOKUP(A244,'[1]Tissue Data'!$A:$A,'[1]Tissue Data'!$C:$C)</f>
        <v>Down</v>
      </c>
      <c r="C244" s="2">
        <f>_xlfn.XLOOKUP(A244,'[1]Tissue Data'!$A:$A,'[1]Tissue Data'!$D:$D)</f>
        <v>44314</v>
      </c>
      <c r="D244" s="2" t="str">
        <f>_xlfn.XLOOKUP(A244,'[1]Tissue Data'!$A:$A,'[1]Tissue Data'!$F:$F)</f>
        <v>Pumpkinseed</v>
      </c>
      <c r="E244" t="str">
        <f>_xlfn.XLOOKUP(A244,'[1]Tissue Data'!$A:$A,'[1]Tissue Data'!$H:$H)</f>
        <v>Lepomis</v>
      </c>
      <c r="F244" t="str">
        <f>_xlfn.XLOOKUP(A244,'[1]Tissue Data'!$A:$A,'[1]Tissue Data'!$I:$I)</f>
        <v>gibbosus</v>
      </c>
      <c r="G244" t="str">
        <f>_xlfn.XLOOKUP(A244,'[1]Tissue Data'!$A:$A,'[1]Tissue Data'!J:J)</f>
        <v>U</v>
      </c>
      <c r="H244" t="str">
        <f>_xlfn.XLOOKUP(A244,'[1]Tissue Data'!$A:$A,'[1]Tissue Data'!K:K)</f>
        <v>Whole Body</v>
      </c>
      <c r="I244">
        <f>_xlfn.XLOOKUP(A244,'[1]Tissue Data'!$A:$A,'[1]Tissue Data'!L:L)</f>
        <v>7.5</v>
      </c>
      <c r="J244">
        <f>_xlfn.XLOOKUP(A244,'[1]Tissue Data'!$A:$A,'[1]Tissue Data'!M:M)</f>
        <v>5.73</v>
      </c>
      <c r="K244" t="s">
        <v>54</v>
      </c>
      <c r="L244" t="str">
        <f>_xlfn.XLOOKUP(K244,[2]analyte_order!$B:$B,[2]analyte_order!$C:$C)</f>
        <v>70887-84-2</v>
      </c>
      <c r="M244">
        <f>_xlfn.XLOOKUP(L244,[2]analyte_order!$C:$C,[2]analyte_order!$E:$E)</f>
        <v>45</v>
      </c>
      <c r="N244">
        <v>4.3832533536861708E-2</v>
      </c>
    </row>
    <row r="245" spans="1:14">
      <c r="A245" t="s">
        <v>232</v>
      </c>
      <c r="B245" t="str">
        <f>_xlfn.XLOOKUP(A245,'[1]Tissue Data'!$A:$A,'[1]Tissue Data'!$C:$C)</f>
        <v>Down</v>
      </c>
      <c r="C245" s="2">
        <f>_xlfn.XLOOKUP(A245,'[1]Tissue Data'!$A:$A,'[1]Tissue Data'!$D:$D)</f>
        <v>44314</v>
      </c>
      <c r="D245" s="2" t="str">
        <f>_xlfn.XLOOKUP(A245,'[1]Tissue Data'!$A:$A,'[1]Tissue Data'!$F:$F)</f>
        <v>Pumpkinseed</v>
      </c>
      <c r="E245" t="str">
        <f>_xlfn.XLOOKUP(A245,'[1]Tissue Data'!$A:$A,'[1]Tissue Data'!$H:$H)</f>
        <v>Lepomis</v>
      </c>
      <c r="F245" t="str">
        <f>_xlfn.XLOOKUP(A245,'[1]Tissue Data'!$A:$A,'[1]Tissue Data'!$I:$I)</f>
        <v>gibbosus</v>
      </c>
      <c r="G245" t="str">
        <f>_xlfn.XLOOKUP(A245,'[1]Tissue Data'!$A:$A,'[1]Tissue Data'!J:J)</f>
        <v>U</v>
      </c>
      <c r="H245" t="str">
        <f>_xlfn.XLOOKUP(A245,'[1]Tissue Data'!$A:$A,'[1]Tissue Data'!K:K)</f>
        <v>Whole Body</v>
      </c>
      <c r="I245">
        <f>_xlfn.XLOOKUP(A245,'[1]Tissue Data'!$A:$A,'[1]Tissue Data'!L:L)</f>
        <v>7.5</v>
      </c>
      <c r="J245">
        <f>_xlfn.XLOOKUP(A245,'[1]Tissue Data'!$A:$A,'[1]Tissue Data'!M:M)</f>
        <v>5.73</v>
      </c>
      <c r="K245" t="s">
        <v>55</v>
      </c>
      <c r="L245" t="str">
        <f>_xlfn.XLOOKUP(K245,[2]analyte_order!$B:$B,[2]analyte_order!$C:$C)</f>
        <v>919005-14-4</v>
      </c>
      <c r="M245">
        <f>_xlfn.XLOOKUP(L245,[2]analyte_order!$C:$C,[2]analyte_order!$E:$E)</f>
        <v>35</v>
      </c>
      <c r="N245">
        <v>7.2533849129593819E-2</v>
      </c>
    </row>
    <row r="246" spans="1:14">
      <c r="A246" t="s">
        <v>232</v>
      </c>
      <c r="B246" t="str">
        <f>_xlfn.XLOOKUP(A246,'[1]Tissue Data'!$A:$A,'[1]Tissue Data'!$C:$C)</f>
        <v>Down</v>
      </c>
      <c r="C246" s="2">
        <f>_xlfn.XLOOKUP(A246,'[1]Tissue Data'!$A:$A,'[1]Tissue Data'!$D:$D)</f>
        <v>44314</v>
      </c>
      <c r="D246" s="2" t="str">
        <f>_xlfn.XLOOKUP(A246,'[1]Tissue Data'!$A:$A,'[1]Tissue Data'!$F:$F)</f>
        <v>Pumpkinseed</v>
      </c>
      <c r="E246" t="str">
        <f>_xlfn.XLOOKUP(A246,'[1]Tissue Data'!$A:$A,'[1]Tissue Data'!$H:$H)</f>
        <v>Lepomis</v>
      </c>
      <c r="F246" t="str">
        <f>_xlfn.XLOOKUP(A246,'[1]Tissue Data'!$A:$A,'[1]Tissue Data'!$I:$I)</f>
        <v>gibbosus</v>
      </c>
      <c r="G246" t="str">
        <f>_xlfn.XLOOKUP(A246,'[1]Tissue Data'!$A:$A,'[1]Tissue Data'!J:J)</f>
        <v>U</v>
      </c>
      <c r="H246" t="str">
        <f>_xlfn.XLOOKUP(A246,'[1]Tissue Data'!$A:$A,'[1]Tissue Data'!K:K)</f>
        <v>Whole Body</v>
      </c>
      <c r="I246">
        <f>_xlfn.XLOOKUP(A246,'[1]Tissue Data'!$A:$A,'[1]Tissue Data'!L:L)</f>
        <v>7.5</v>
      </c>
      <c r="J246">
        <f>_xlfn.XLOOKUP(A246,'[1]Tissue Data'!$A:$A,'[1]Tissue Data'!M:M)</f>
        <v>5.73</v>
      </c>
      <c r="K246" t="s">
        <v>56</v>
      </c>
      <c r="L246" t="str">
        <f>_xlfn.XLOOKUP(K246,[2]analyte_order!$B:$B,[2]analyte_order!$C:$C)</f>
        <v>756426-58-1</v>
      </c>
      <c r="M246">
        <f>_xlfn.XLOOKUP(L246,[2]analyte_order!$C:$C,[2]analyte_order!$E:$E)</f>
        <v>36</v>
      </c>
      <c r="N246">
        <v>5.0346226249468086E-2</v>
      </c>
    </row>
    <row r="247" spans="1:14">
      <c r="A247" t="s">
        <v>232</v>
      </c>
      <c r="B247" t="str">
        <f>_xlfn.XLOOKUP(A247,'[1]Tissue Data'!$A:$A,'[1]Tissue Data'!$C:$C)</f>
        <v>Down</v>
      </c>
      <c r="C247" s="2">
        <f>_xlfn.XLOOKUP(A247,'[1]Tissue Data'!$A:$A,'[1]Tissue Data'!$D:$D)</f>
        <v>44314</v>
      </c>
      <c r="D247" s="2" t="str">
        <f>_xlfn.XLOOKUP(A247,'[1]Tissue Data'!$A:$A,'[1]Tissue Data'!$F:$F)</f>
        <v>Pumpkinseed</v>
      </c>
      <c r="E247" t="str">
        <f>_xlfn.XLOOKUP(A247,'[1]Tissue Data'!$A:$A,'[1]Tissue Data'!$H:$H)</f>
        <v>Lepomis</v>
      </c>
      <c r="F247" t="str">
        <f>_xlfn.XLOOKUP(A247,'[1]Tissue Data'!$A:$A,'[1]Tissue Data'!$I:$I)</f>
        <v>gibbosus</v>
      </c>
      <c r="G247" t="str">
        <f>_xlfn.XLOOKUP(A247,'[1]Tissue Data'!$A:$A,'[1]Tissue Data'!J:J)</f>
        <v>U</v>
      </c>
      <c r="H247" t="str">
        <f>_xlfn.XLOOKUP(A247,'[1]Tissue Data'!$A:$A,'[1]Tissue Data'!K:K)</f>
        <v>Whole Body</v>
      </c>
      <c r="I247">
        <f>_xlfn.XLOOKUP(A247,'[1]Tissue Data'!$A:$A,'[1]Tissue Data'!L:L)</f>
        <v>7.5</v>
      </c>
      <c r="J247">
        <f>_xlfn.XLOOKUP(A247,'[1]Tissue Data'!$A:$A,'[1]Tissue Data'!M:M)</f>
        <v>5.73</v>
      </c>
      <c r="K247" t="s">
        <v>57</v>
      </c>
      <c r="L247" t="str">
        <f>_xlfn.XLOOKUP(K247,[2]analyte_order!$B:$B,[2]analyte_order!$C:$C)</f>
        <v>763051-92-9</v>
      </c>
      <c r="M247">
        <f>_xlfn.XLOOKUP(L247,[2]analyte_order!$C:$C,[2]analyte_order!$E:$E)</f>
        <v>37</v>
      </c>
      <c r="N247">
        <v>5.7155987331382989E-2</v>
      </c>
    </row>
    <row r="248" spans="1:14">
      <c r="A248" t="s">
        <v>232</v>
      </c>
      <c r="B248" t="str">
        <f>_xlfn.XLOOKUP(A248,'[1]Tissue Data'!$A:$A,'[1]Tissue Data'!$C:$C)</f>
        <v>Down</v>
      </c>
      <c r="C248" s="2">
        <f>_xlfn.XLOOKUP(A248,'[1]Tissue Data'!$A:$A,'[1]Tissue Data'!$D:$D)</f>
        <v>44314</v>
      </c>
      <c r="D248" s="2" t="str">
        <f>_xlfn.XLOOKUP(A248,'[1]Tissue Data'!$A:$A,'[1]Tissue Data'!$F:$F)</f>
        <v>Pumpkinseed</v>
      </c>
      <c r="E248" t="str">
        <f>_xlfn.XLOOKUP(A248,'[1]Tissue Data'!$A:$A,'[1]Tissue Data'!$H:$H)</f>
        <v>Lepomis</v>
      </c>
      <c r="F248" t="str">
        <f>_xlfn.XLOOKUP(A248,'[1]Tissue Data'!$A:$A,'[1]Tissue Data'!$I:$I)</f>
        <v>gibbosus</v>
      </c>
      <c r="G248" t="str">
        <f>_xlfn.XLOOKUP(A248,'[1]Tissue Data'!$A:$A,'[1]Tissue Data'!J:J)</f>
        <v>U</v>
      </c>
      <c r="H248" t="str">
        <f>_xlfn.XLOOKUP(A248,'[1]Tissue Data'!$A:$A,'[1]Tissue Data'!K:K)</f>
        <v>Whole Body</v>
      </c>
      <c r="I248">
        <f>_xlfn.XLOOKUP(A248,'[1]Tissue Data'!$A:$A,'[1]Tissue Data'!L:L)</f>
        <v>7.5</v>
      </c>
      <c r="J248">
        <f>_xlfn.XLOOKUP(A248,'[1]Tissue Data'!$A:$A,'[1]Tissue Data'!M:M)</f>
        <v>5.73</v>
      </c>
      <c r="K248" t="s">
        <v>58</v>
      </c>
      <c r="L248" t="str">
        <f>_xlfn.XLOOKUP(K248,[2]analyte_order!$B:$B,[2]analyte_order!$C:$C)</f>
        <v>13252-13-6</v>
      </c>
      <c r="M248">
        <f>_xlfn.XLOOKUP(L248,[2]analyte_order!$C:$C,[2]analyte_order!$E:$E)</f>
        <v>34</v>
      </c>
      <c r="N248">
        <v>0.1040881454281915</v>
      </c>
    </row>
    <row r="249" spans="1:14">
      <c r="A249" t="s">
        <v>232</v>
      </c>
      <c r="B249" t="str">
        <f>_xlfn.XLOOKUP(A249,'[1]Tissue Data'!$A:$A,'[1]Tissue Data'!$C:$C)</f>
        <v>Down</v>
      </c>
      <c r="C249" s="2">
        <f>_xlfn.XLOOKUP(A249,'[1]Tissue Data'!$A:$A,'[1]Tissue Data'!$D:$D)</f>
        <v>44314</v>
      </c>
      <c r="D249" s="2" t="str">
        <f>_xlfn.XLOOKUP(A249,'[1]Tissue Data'!$A:$A,'[1]Tissue Data'!$F:$F)</f>
        <v>Pumpkinseed</v>
      </c>
      <c r="E249" t="str">
        <f>_xlfn.XLOOKUP(A249,'[1]Tissue Data'!$A:$A,'[1]Tissue Data'!$H:$H)</f>
        <v>Lepomis</v>
      </c>
      <c r="F249" t="str">
        <f>_xlfn.XLOOKUP(A249,'[1]Tissue Data'!$A:$A,'[1]Tissue Data'!$I:$I)</f>
        <v>gibbosus</v>
      </c>
      <c r="G249" t="str">
        <f>_xlfn.XLOOKUP(A249,'[1]Tissue Data'!$A:$A,'[1]Tissue Data'!J:J)</f>
        <v>U</v>
      </c>
      <c r="H249" t="str">
        <f>_xlfn.XLOOKUP(A249,'[1]Tissue Data'!$A:$A,'[1]Tissue Data'!K:K)</f>
        <v>Whole Body</v>
      </c>
      <c r="I249">
        <f>_xlfn.XLOOKUP(A249,'[1]Tissue Data'!$A:$A,'[1]Tissue Data'!L:L)</f>
        <v>7.5</v>
      </c>
      <c r="J249">
        <f>_xlfn.XLOOKUP(A249,'[1]Tissue Data'!$A:$A,'[1]Tissue Data'!M:M)</f>
        <v>5.73</v>
      </c>
      <c r="K249" t="s">
        <v>59</v>
      </c>
      <c r="L249" t="str">
        <f>_xlfn.XLOOKUP(K249,[2]analyte_order!$B:$B,[2]analyte_order!$C:$C)</f>
        <v>57677-95-9</v>
      </c>
      <c r="M249">
        <f>_xlfn.XLOOKUP(L249,[2]analyte_order!$C:$C,[2]analyte_order!$E:$E)</f>
        <v>46</v>
      </c>
      <c r="N249">
        <v>7.721438119946808E-2</v>
      </c>
    </row>
    <row r="250" spans="1:14">
      <c r="A250" t="s">
        <v>232</v>
      </c>
      <c r="B250" t="str">
        <f>_xlfn.XLOOKUP(A250,'[1]Tissue Data'!$A:$A,'[1]Tissue Data'!$C:$C)</f>
        <v>Down</v>
      </c>
      <c r="C250" s="2">
        <f>_xlfn.XLOOKUP(A250,'[1]Tissue Data'!$A:$A,'[1]Tissue Data'!$D:$D)</f>
        <v>44314</v>
      </c>
      <c r="D250" s="2" t="str">
        <f>_xlfn.XLOOKUP(A250,'[1]Tissue Data'!$A:$A,'[1]Tissue Data'!$F:$F)</f>
        <v>Pumpkinseed</v>
      </c>
      <c r="E250" t="str">
        <f>_xlfn.XLOOKUP(A250,'[1]Tissue Data'!$A:$A,'[1]Tissue Data'!$H:$H)</f>
        <v>Lepomis</v>
      </c>
      <c r="F250" t="str">
        <f>_xlfn.XLOOKUP(A250,'[1]Tissue Data'!$A:$A,'[1]Tissue Data'!$I:$I)</f>
        <v>gibbosus</v>
      </c>
      <c r="G250" t="str">
        <f>_xlfn.XLOOKUP(A250,'[1]Tissue Data'!$A:$A,'[1]Tissue Data'!J:J)</f>
        <v>U</v>
      </c>
      <c r="H250" t="str">
        <f>_xlfn.XLOOKUP(A250,'[1]Tissue Data'!$A:$A,'[1]Tissue Data'!K:K)</f>
        <v>Whole Body</v>
      </c>
      <c r="I250">
        <f>_xlfn.XLOOKUP(A250,'[1]Tissue Data'!$A:$A,'[1]Tissue Data'!L:L)</f>
        <v>7.5</v>
      </c>
      <c r="J250">
        <f>_xlfn.XLOOKUP(A250,'[1]Tissue Data'!$A:$A,'[1]Tissue Data'!M:M)</f>
        <v>5.73</v>
      </c>
      <c r="K250" t="s">
        <v>60</v>
      </c>
      <c r="L250" t="str">
        <f>_xlfn.XLOOKUP(K250,[2]analyte_order!$B:$B,[2]analyte_order!$C:$C)</f>
        <v>678-41-1</v>
      </c>
      <c r="M250">
        <f>_xlfn.XLOOKUP(L250,[2]analyte_order!$C:$C,[2]analyte_order!$E:$E)</f>
        <v>56</v>
      </c>
      <c r="N250">
        <v>9.6166393195212779E-2</v>
      </c>
    </row>
    <row r="251" spans="1:14">
      <c r="A251" t="s">
        <v>232</v>
      </c>
      <c r="B251" t="str">
        <f>_xlfn.XLOOKUP(A251,'[1]Tissue Data'!$A:$A,'[1]Tissue Data'!$C:$C)</f>
        <v>Down</v>
      </c>
      <c r="C251" s="2">
        <f>_xlfn.XLOOKUP(A251,'[1]Tissue Data'!$A:$A,'[1]Tissue Data'!$D:$D)</f>
        <v>44314</v>
      </c>
      <c r="D251" s="2" t="str">
        <f>_xlfn.XLOOKUP(A251,'[1]Tissue Data'!$A:$A,'[1]Tissue Data'!$F:$F)</f>
        <v>Pumpkinseed</v>
      </c>
      <c r="E251" t="str">
        <f>_xlfn.XLOOKUP(A251,'[1]Tissue Data'!$A:$A,'[1]Tissue Data'!$H:$H)</f>
        <v>Lepomis</v>
      </c>
      <c r="F251" t="str">
        <f>_xlfn.XLOOKUP(A251,'[1]Tissue Data'!$A:$A,'[1]Tissue Data'!$I:$I)</f>
        <v>gibbosus</v>
      </c>
      <c r="G251" t="str">
        <f>_xlfn.XLOOKUP(A251,'[1]Tissue Data'!$A:$A,'[1]Tissue Data'!J:J)</f>
        <v>U</v>
      </c>
      <c r="H251" t="str">
        <f>_xlfn.XLOOKUP(A251,'[1]Tissue Data'!$A:$A,'[1]Tissue Data'!K:K)</f>
        <v>Whole Body</v>
      </c>
      <c r="I251">
        <f>_xlfn.XLOOKUP(A251,'[1]Tissue Data'!$A:$A,'[1]Tissue Data'!L:L)</f>
        <v>7.5</v>
      </c>
      <c r="J251">
        <f>_xlfn.XLOOKUP(A251,'[1]Tissue Data'!$A:$A,'[1]Tissue Data'!M:M)</f>
        <v>5.73</v>
      </c>
      <c r="K251" t="s">
        <v>61</v>
      </c>
      <c r="L251" t="str">
        <f>_xlfn.XLOOKUP(K251,[2]analyte_order!$B:$B,[2]analyte_order!$C:$C)</f>
        <v>2965-52-8</v>
      </c>
      <c r="M251">
        <f>_xlfn.XLOOKUP(L251,[2]analyte_order!$C:$C,[2]analyte_order!$E:$E)</f>
        <v>57</v>
      </c>
      <c r="N251">
        <v>0.1276595744680851</v>
      </c>
    </row>
    <row r="252" spans="1:14">
      <c r="A252" t="s">
        <v>233</v>
      </c>
      <c r="B252" t="str">
        <f>_xlfn.XLOOKUP(A252,'[1]Tissue Data'!$A:$A,'[1]Tissue Data'!$C:$C)</f>
        <v>Down</v>
      </c>
      <c r="C252" s="2">
        <f>_xlfn.XLOOKUP(A252,'[1]Tissue Data'!$A:$A,'[1]Tissue Data'!$D:$D)</f>
        <v>44314</v>
      </c>
      <c r="D252" s="2" t="str">
        <f>_xlfn.XLOOKUP(A252,'[1]Tissue Data'!$A:$A,'[1]Tissue Data'!$F:$F)</f>
        <v>Pumpkinseed</v>
      </c>
      <c r="E252" t="str">
        <f>_xlfn.XLOOKUP(A252,'[1]Tissue Data'!$A:$A,'[1]Tissue Data'!$H:$H)</f>
        <v>Lepomis</v>
      </c>
      <c r="F252" t="str">
        <f>_xlfn.XLOOKUP(A252,'[1]Tissue Data'!$A:$A,'[1]Tissue Data'!$I:$I)</f>
        <v>gibbosus</v>
      </c>
      <c r="G252" t="str">
        <f>_xlfn.XLOOKUP(A252,'[1]Tissue Data'!$A:$A,'[1]Tissue Data'!J:J)</f>
        <v>U</v>
      </c>
      <c r="H252" t="str">
        <f>_xlfn.XLOOKUP(A252,'[1]Tissue Data'!$A:$A,'[1]Tissue Data'!K:K)</f>
        <v>Whole Body</v>
      </c>
      <c r="I252">
        <f>_xlfn.XLOOKUP(A252,'[1]Tissue Data'!$A:$A,'[1]Tissue Data'!L:L)</f>
        <v>6.5</v>
      </c>
      <c r="J252">
        <f>_xlfn.XLOOKUP(A252,'[1]Tissue Data'!$A:$A,'[1]Tissue Data'!M:M)</f>
        <v>5.57</v>
      </c>
      <c r="K252" t="s">
        <v>12</v>
      </c>
      <c r="L252" t="str">
        <f>_xlfn.XLOOKUP(K252,[2]analyte_order!$B:$B,[2]analyte_order!$C:$C)</f>
        <v>375-22-4</v>
      </c>
      <c r="M252">
        <f>_xlfn.XLOOKUP(L252,[2]analyte_order!$C:$C,[2]analyte_order!$E:$E)</f>
        <v>1</v>
      </c>
      <c r="N252">
        <v>2.8811247911184525E-2</v>
      </c>
    </row>
    <row r="253" spans="1:14">
      <c r="A253" t="s">
        <v>233</v>
      </c>
      <c r="B253" t="str">
        <f>_xlfn.XLOOKUP(A253,'[1]Tissue Data'!$A:$A,'[1]Tissue Data'!$C:$C)</f>
        <v>Down</v>
      </c>
      <c r="C253" s="2">
        <f>_xlfn.XLOOKUP(A253,'[1]Tissue Data'!$A:$A,'[1]Tissue Data'!$D:$D)</f>
        <v>44314</v>
      </c>
      <c r="D253" s="2" t="str">
        <f>_xlfn.XLOOKUP(A253,'[1]Tissue Data'!$A:$A,'[1]Tissue Data'!$F:$F)</f>
        <v>Pumpkinseed</v>
      </c>
      <c r="E253" t="str">
        <f>_xlfn.XLOOKUP(A253,'[1]Tissue Data'!$A:$A,'[1]Tissue Data'!$H:$H)</f>
        <v>Lepomis</v>
      </c>
      <c r="F253" t="str">
        <f>_xlfn.XLOOKUP(A253,'[1]Tissue Data'!$A:$A,'[1]Tissue Data'!$I:$I)</f>
        <v>gibbosus</v>
      </c>
      <c r="G253" t="str">
        <f>_xlfn.XLOOKUP(A253,'[1]Tissue Data'!$A:$A,'[1]Tissue Data'!J:J)</f>
        <v>U</v>
      </c>
      <c r="H253" t="str">
        <f>_xlfn.XLOOKUP(A253,'[1]Tissue Data'!$A:$A,'[1]Tissue Data'!K:K)</f>
        <v>Whole Body</v>
      </c>
      <c r="I253">
        <f>_xlfn.XLOOKUP(A253,'[1]Tissue Data'!$A:$A,'[1]Tissue Data'!L:L)</f>
        <v>6.5</v>
      </c>
      <c r="J253">
        <f>_xlfn.XLOOKUP(A253,'[1]Tissue Data'!$A:$A,'[1]Tissue Data'!M:M)</f>
        <v>5.57</v>
      </c>
      <c r="K253" t="s">
        <v>13</v>
      </c>
      <c r="L253" t="str">
        <f>_xlfn.XLOOKUP(K253,[2]analyte_order!$B:$B,[2]analyte_order!$C:$C)</f>
        <v>2706-90-3</v>
      </c>
      <c r="M253">
        <f>_xlfn.XLOOKUP(L253,[2]analyte_order!$C:$C,[2]analyte_order!$E:$E)</f>
        <v>2</v>
      </c>
      <c r="N253">
        <v>0.17878069166447369</v>
      </c>
    </row>
    <row r="254" spans="1:14">
      <c r="A254" t="s">
        <v>233</v>
      </c>
      <c r="B254" t="str">
        <f>_xlfn.XLOOKUP(A254,'[1]Tissue Data'!$A:$A,'[1]Tissue Data'!$C:$C)</f>
        <v>Down</v>
      </c>
      <c r="C254" s="2">
        <f>_xlfn.XLOOKUP(A254,'[1]Tissue Data'!$A:$A,'[1]Tissue Data'!$D:$D)</f>
        <v>44314</v>
      </c>
      <c r="D254" s="2" t="str">
        <f>_xlfn.XLOOKUP(A254,'[1]Tissue Data'!$A:$A,'[1]Tissue Data'!$F:$F)</f>
        <v>Pumpkinseed</v>
      </c>
      <c r="E254" t="str">
        <f>_xlfn.XLOOKUP(A254,'[1]Tissue Data'!$A:$A,'[1]Tissue Data'!$H:$H)</f>
        <v>Lepomis</v>
      </c>
      <c r="F254" t="str">
        <f>_xlfn.XLOOKUP(A254,'[1]Tissue Data'!$A:$A,'[1]Tissue Data'!$I:$I)</f>
        <v>gibbosus</v>
      </c>
      <c r="G254" t="str">
        <f>_xlfn.XLOOKUP(A254,'[1]Tissue Data'!$A:$A,'[1]Tissue Data'!J:J)</f>
        <v>U</v>
      </c>
      <c r="H254" t="str">
        <f>_xlfn.XLOOKUP(A254,'[1]Tissue Data'!$A:$A,'[1]Tissue Data'!K:K)</f>
        <v>Whole Body</v>
      </c>
      <c r="I254">
        <f>_xlfn.XLOOKUP(A254,'[1]Tissue Data'!$A:$A,'[1]Tissue Data'!L:L)</f>
        <v>6.5</v>
      </c>
      <c r="J254">
        <f>_xlfn.XLOOKUP(A254,'[1]Tissue Data'!$A:$A,'[1]Tissue Data'!M:M)</f>
        <v>5.57</v>
      </c>
      <c r="K254" t="s">
        <v>14</v>
      </c>
      <c r="L254" t="str">
        <f>_xlfn.XLOOKUP(K254,[2]analyte_order!$B:$B,[2]analyte_order!$C:$C)</f>
        <v>307-24-4</v>
      </c>
      <c r="M254">
        <f>_xlfn.XLOOKUP(L254,[2]analyte_order!$C:$C,[2]analyte_order!$E:$E)</f>
        <v>3</v>
      </c>
      <c r="N254">
        <v>3.8872946740597929E-2</v>
      </c>
    </row>
    <row r="255" spans="1:14">
      <c r="A255" t="s">
        <v>233</v>
      </c>
      <c r="B255" t="str">
        <f>_xlfn.XLOOKUP(A255,'[1]Tissue Data'!$A:$A,'[1]Tissue Data'!$C:$C)</f>
        <v>Down</v>
      </c>
      <c r="C255" s="2">
        <f>_xlfn.XLOOKUP(A255,'[1]Tissue Data'!$A:$A,'[1]Tissue Data'!$D:$D)</f>
        <v>44314</v>
      </c>
      <c r="D255" s="2" t="str">
        <f>_xlfn.XLOOKUP(A255,'[1]Tissue Data'!$A:$A,'[1]Tissue Data'!$F:$F)</f>
        <v>Pumpkinseed</v>
      </c>
      <c r="E255" t="str">
        <f>_xlfn.XLOOKUP(A255,'[1]Tissue Data'!$A:$A,'[1]Tissue Data'!$H:$H)</f>
        <v>Lepomis</v>
      </c>
      <c r="F255" t="str">
        <f>_xlfn.XLOOKUP(A255,'[1]Tissue Data'!$A:$A,'[1]Tissue Data'!$I:$I)</f>
        <v>gibbosus</v>
      </c>
      <c r="G255" t="str">
        <f>_xlfn.XLOOKUP(A255,'[1]Tissue Data'!$A:$A,'[1]Tissue Data'!J:J)</f>
        <v>U</v>
      </c>
      <c r="H255" t="str">
        <f>_xlfn.XLOOKUP(A255,'[1]Tissue Data'!$A:$A,'[1]Tissue Data'!K:K)</f>
        <v>Whole Body</v>
      </c>
      <c r="I255">
        <f>_xlfn.XLOOKUP(A255,'[1]Tissue Data'!$A:$A,'[1]Tissue Data'!L:L)</f>
        <v>6.5</v>
      </c>
      <c r="J255">
        <f>_xlfn.XLOOKUP(A255,'[1]Tissue Data'!$A:$A,'[1]Tissue Data'!M:M)</f>
        <v>5.57</v>
      </c>
      <c r="K255" t="s">
        <v>15</v>
      </c>
      <c r="L255" t="str">
        <f>_xlfn.XLOOKUP(K255,[2]analyte_order!$B:$B,[2]analyte_order!$C:$C)</f>
        <v>375-85-9</v>
      </c>
      <c r="M255">
        <f>_xlfn.XLOOKUP(L255,[2]analyte_order!$C:$C,[2]analyte_order!$E:$E)</f>
        <v>4</v>
      </c>
      <c r="N255">
        <v>0.10121457489878542</v>
      </c>
    </row>
    <row r="256" spans="1:14">
      <c r="A256" t="s">
        <v>233</v>
      </c>
      <c r="B256" t="str">
        <f>_xlfn.XLOOKUP(A256,'[1]Tissue Data'!$A:$A,'[1]Tissue Data'!$C:$C)</f>
        <v>Down</v>
      </c>
      <c r="C256" s="2">
        <f>_xlfn.XLOOKUP(A256,'[1]Tissue Data'!$A:$A,'[1]Tissue Data'!$D:$D)</f>
        <v>44314</v>
      </c>
      <c r="D256" s="2" t="str">
        <f>_xlfn.XLOOKUP(A256,'[1]Tissue Data'!$A:$A,'[1]Tissue Data'!$F:$F)</f>
        <v>Pumpkinseed</v>
      </c>
      <c r="E256" t="str">
        <f>_xlfn.XLOOKUP(A256,'[1]Tissue Data'!$A:$A,'[1]Tissue Data'!$H:$H)</f>
        <v>Lepomis</v>
      </c>
      <c r="F256" t="str">
        <f>_xlfn.XLOOKUP(A256,'[1]Tissue Data'!$A:$A,'[1]Tissue Data'!$I:$I)</f>
        <v>gibbosus</v>
      </c>
      <c r="G256" t="str">
        <f>_xlfn.XLOOKUP(A256,'[1]Tissue Data'!$A:$A,'[1]Tissue Data'!J:J)</f>
        <v>U</v>
      </c>
      <c r="H256" t="str">
        <f>_xlfn.XLOOKUP(A256,'[1]Tissue Data'!$A:$A,'[1]Tissue Data'!K:K)</f>
        <v>Whole Body</v>
      </c>
      <c r="I256">
        <f>_xlfn.XLOOKUP(A256,'[1]Tissue Data'!$A:$A,'[1]Tissue Data'!L:L)</f>
        <v>6.5</v>
      </c>
      <c r="J256">
        <f>_xlfn.XLOOKUP(A256,'[1]Tissue Data'!$A:$A,'[1]Tissue Data'!M:M)</f>
        <v>5.57</v>
      </c>
      <c r="K256" t="s">
        <v>16</v>
      </c>
      <c r="L256" t="str">
        <f>_xlfn.XLOOKUP(K256,[2]analyte_order!$B:$B,[2]analyte_order!$C:$C)</f>
        <v>335-67-1</v>
      </c>
      <c r="M256">
        <f>_xlfn.XLOOKUP(L256,[2]analyte_order!$C:$C,[2]analyte_order!$E:$E)</f>
        <v>5</v>
      </c>
      <c r="N256">
        <v>0.53200000000000003</v>
      </c>
    </row>
    <row r="257" spans="1:14">
      <c r="A257" t="s">
        <v>233</v>
      </c>
      <c r="B257" t="str">
        <f>_xlfn.XLOOKUP(A257,'[1]Tissue Data'!$A:$A,'[1]Tissue Data'!$C:$C)</f>
        <v>Down</v>
      </c>
      <c r="C257" s="2">
        <f>_xlfn.XLOOKUP(A257,'[1]Tissue Data'!$A:$A,'[1]Tissue Data'!$D:$D)</f>
        <v>44314</v>
      </c>
      <c r="D257" s="2" t="str">
        <f>_xlfn.XLOOKUP(A257,'[1]Tissue Data'!$A:$A,'[1]Tissue Data'!$F:$F)</f>
        <v>Pumpkinseed</v>
      </c>
      <c r="E257" t="str">
        <f>_xlfn.XLOOKUP(A257,'[1]Tissue Data'!$A:$A,'[1]Tissue Data'!$H:$H)</f>
        <v>Lepomis</v>
      </c>
      <c r="F257" t="str">
        <f>_xlfn.XLOOKUP(A257,'[1]Tissue Data'!$A:$A,'[1]Tissue Data'!$I:$I)</f>
        <v>gibbosus</v>
      </c>
      <c r="G257" t="str">
        <f>_xlfn.XLOOKUP(A257,'[1]Tissue Data'!$A:$A,'[1]Tissue Data'!J:J)</f>
        <v>U</v>
      </c>
      <c r="H257" t="str">
        <f>_xlfn.XLOOKUP(A257,'[1]Tissue Data'!$A:$A,'[1]Tissue Data'!K:K)</f>
        <v>Whole Body</v>
      </c>
      <c r="I257">
        <f>_xlfn.XLOOKUP(A257,'[1]Tissue Data'!$A:$A,'[1]Tissue Data'!L:L)</f>
        <v>6.5</v>
      </c>
      <c r="J257">
        <f>_xlfn.XLOOKUP(A257,'[1]Tissue Data'!$A:$A,'[1]Tissue Data'!M:M)</f>
        <v>5.57</v>
      </c>
      <c r="K257" t="s">
        <v>17</v>
      </c>
      <c r="L257" t="str">
        <f>_xlfn.XLOOKUP(K257,[2]analyte_order!$B:$B,[2]analyte_order!$C:$C)</f>
        <v>375-95-1</v>
      </c>
      <c r="M257">
        <f>_xlfn.XLOOKUP(L257,[2]analyte_order!$C:$C,[2]analyte_order!$E:$E)</f>
        <v>6</v>
      </c>
      <c r="N257">
        <v>0.64</v>
      </c>
    </row>
    <row r="258" spans="1:14">
      <c r="A258" t="s">
        <v>233</v>
      </c>
      <c r="B258" t="str">
        <f>_xlfn.XLOOKUP(A258,'[1]Tissue Data'!$A:$A,'[1]Tissue Data'!$C:$C)</f>
        <v>Down</v>
      </c>
      <c r="C258" s="2">
        <f>_xlfn.XLOOKUP(A258,'[1]Tissue Data'!$A:$A,'[1]Tissue Data'!$D:$D)</f>
        <v>44314</v>
      </c>
      <c r="D258" s="2" t="str">
        <f>_xlfn.XLOOKUP(A258,'[1]Tissue Data'!$A:$A,'[1]Tissue Data'!$F:$F)</f>
        <v>Pumpkinseed</v>
      </c>
      <c r="E258" t="str">
        <f>_xlfn.XLOOKUP(A258,'[1]Tissue Data'!$A:$A,'[1]Tissue Data'!$H:$H)</f>
        <v>Lepomis</v>
      </c>
      <c r="F258" t="str">
        <f>_xlfn.XLOOKUP(A258,'[1]Tissue Data'!$A:$A,'[1]Tissue Data'!$I:$I)</f>
        <v>gibbosus</v>
      </c>
      <c r="G258" t="str">
        <f>_xlfn.XLOOKUP(A258,'[1]Tissue Data'!$A:$A,'[1]Tissue Data'!J:J)</f>
        <v>U</v>
      </c>
      <c r="H258" t="str">
        <f>_xlfn.XLOOKUP(A258,'[1]Tissue Data'!$A:$A,'[1]Tissue Data'!K:K)</f>
        <v>Whole Body</v>
      </c>
      <c r="I258">
        <f>_xlfn.XLOOKUP(A258,'[1]Tissue Data'!$A:$A,'[1]Tissue Data'!L:L)</f>
        <v>6.5</v>
      </c>
      <c r="J258">
        <f>_xlfn.XLOOKUP(A258,'[1]Tissue Data'!$A:$A,'[1]Tissue Data'!M:M)</f>
        <v>5.57</v>
      </c>
      <c r="K258" t="s">
        <v>18</v>
      </c>
      <c r="L258" t="str">
        <f>_xlfn.XLOOKUP(K258,[2]analyte_order!$B:$B,[2]analyte_order!$C:$C)</f>
        <v>335-76-2</v>
      </c>
      <c r="M258">
        <f>_xlfn.XLOOKUP(L258,[2]analyte_order!$C:$C,[2]analyte_order!$E:$E)</f>
        <v>7</v>
      </c>
      <c r="N258">
        <v>4.7300000000000004</v>
      </c>
    </row>
    <row r="259" spans="1:14">
      <c r="A259" t="s">
        <v>233</v>
      </c>
      <c r="B259" t="str">
        <f>_xlfn.XLOOKUP(A259,'[1]Tissue Data'!$A:$A,'[1]Tissue Data'!$C:$C)</f>
        <v>Down</v>
      </c>
      <c r="C259" s="2">
        <f>_xlfn.XLOOKUP(A259,'[1]Tissue Data'!$A:$A,'[1]Tissue Data'!$D:$D)</f>
        <v>44314</v>
      </c>
      <c r="D259" s="2" t="str">
        <f>_xlfn.XLOOKUP(A259,'[1]Tissue Data'!$A:$A,'[1]Tissue Data'!$F:$F)</f>
        <v>Pumpkinseed</v>
      </c>
      <c r="E259" t="str">
        <f>_xlfn.XLOOKUP(A259,'[1]Tissue Data'!$A:$A,'[1]Tissue Data'!$H:$H)</f>
        <v>Lepomis</v>
      </c>
      <c r="F259" t="str">
        <f>_xlfn.XLOOKUP(A259,'[1]Tissue Data'!$A:$A,'[1]Tissue Data'!$I:$I)</f>
        <v>gibbosus</v>
      </c>
      <c r="G259" t="str">
        <f>_xlfn.XLOOKUP(A259,'[1]Tissue Data'!$A:$A,'[1]Tissue Data'!J:J)</f>
        <v>U</v>
      </c>
      <c r="H259" t="str">
        <f>_xlfn.XLOOKUP(A259,'[1]Tissue Data'!$A:$A,'[1]Tissue Data'!K:K)</f>
        <v>Whole Body</v>
      </c>
      <c r="I259">
        <f>_xlfn.XLOOKUP(A259,'[1]Tissue Data'!$A:$A,'[1]Tissue Data'!L:L)</f>
        <v>6.5</v>
      </c>
      <c r="J259">
        <f>_xlfn.XLOOKUP(A259,'[1]Tissue Data'!$A:$A,'[1]Tissue Data'!M:M)</f>
        <v>5.57</v>
      </c>
      <c r="K259" t="s">
        <v>19</v>
      </c>
      <c r="L259" t="str">
        <f>_xlfn.XLOOKUP(K259,[2]analyte_order!$B:$B,[2]analyte_order!$C:$C)</f>
        <v>2058-94-8</v>
      </c>
      <c r="M259">
        <f>_xlfn.XLOOKUP(L259,[2]analyte_order!$C:$C,[2]analyte_order!$E:$E)</f>
        <v>8</v>
      </c>
      <c r="N259">
        <v>8.1999999999999993</v>
      </c>
    </row>
    <row r="260" spans="1:14">
      <c r="A260" t="s">
        <v>233</v>
      </c>
      <c r="B260" t="str">
        <f>_xlfn.XLOOKUP(A260,'[1]Tissue Data'!$A:$A,'[1]Tissue Data'!$C:$C)</f>
        <v>Down</v>
      </c>
      <c r="C260" s="2">
        <f>_xlfn.XLOOKUP(A260,'[1]Tissue Data'!$A:$A,'[1]Tissue Data'!$D:$D)</f>
        <v>44314</v>
      </c>
      <c r="D260" s="2" t="str">
        <f>_xlfn.XLOOKUP(A260,'[1]Tissue Data'!$A:$A,'[1]Tissue Data'!$F:$F)</f>
        <v>Pumpkinseed</v>
      </c>
      <c r="E260" t="str">
        <f>_xlfn.XLOOKUP(A260,'[1]Tissue Data'!$A:$A,'[1]Tissue Data'!$H:$H)</f>
        <v>Lepomis</v>
      </c>
      <c r="F260" t="str">
        <f>_xlfn.XLOOKUP(A260,'[1]Tissue Data'!$A:$A,'[1]Tissue Data'!$I:$I)</f>
        <v>gibbosus</v>
      </c>
      <c r="G260" t="str">
        <f>_xlfn.XLOOKUP(A260,'[1]Tissue Data'!$A:$A,'[1]Tissue Data'!J:J)</f>
        <v>U</v>
      </c>
      <c r="H260" t="str">
        <f>_xlfn.XLOOKUP(A260,'[1]Tissue Data'!$A:$A,'[1]Tissue Data'!K:K)</f>
        <v>Whole Body</v>
      </c>
      <c r="I260">
        <f>_xlfn.XLOOKUP(A260,'[1]Tissue Data'!$A:$A,'[1]Tissue Data'!L:L)</f>
        <v>6.5</v>
      </c>
      <c r="J260">
        <f>_xlfn.XLOOKUP(A260,'[1]Tissue Data'!$A:$A,'[1]Tissue Data'!M:M)</f>
        <v>5.57</v>
      </c>
      <c r="K260" t="s">
        <v>20</v>
      </c>
      <c r="L260" t="str">
        <f>_xlfn.XLOOKUP(K260,[2]analyte_order!$B:$B,[2]analyte_order!$C:$C)</f>
        <v>307-55-1</v>
      </c>
      <c r="M260">
        <f>_xlfn.XLOOKUP(L260,[2]analyte_order!$C:$C,[2]analyte_order!$E:$E)</f>
        <v>9</v>
      </c>
      <c r="N260">
        <v>5.7510122464081985E-2</v>
      </c>
    </row>
    <row r="261" spans="1:14">
      <c r="A261" t="s">
        <v>233</v>
      </c>
      <c r="B261" t="str">
        <f>_xlfn.XLOOKUP(A261,'[1]Tissue Data'!$A:$A,'[1]Tissue Data'!$C:$C)</f>
        <v>Down</v>
      </c>
      <c r="C261" s="2">
        <f>_xlfn.XLOOKUP(A261,'[1]Tissue Data'!$A:$A,'[1]Tissue Data'!$D:$D)</f>
        <v>44314</v>
      </c>
      <c r="D261" s="2" t="str">
        <f>_xlfn.XLOOKUP(A261,'[1]Tissue Data'!$A:$A,'[1]Tissue Data'!$F:$F)</f>
        <v>Pumpkinseed</v>
      </c>
      <c r="E261" t="str">
        <f>_xlfn.XLOOKUP(A261,'[1]Tissue Data'!$A:$A,'[1]Tissue Data'!$H:$H)</f>
        <v>Lepomis</v>
      </c>
      <c r="F261" t="str">
        <f>_xlfn.XLOOKUP(A261,'[1]Tissue Data'!$A:$A,'[1]Tissue Data'!$I:$I)</f>
        <v>gibbosus</v>
      </c>
      <c r="G261" t="str">
        <f>_xlfn.XLOOKUP(A261,'[1]Tissue Data'!$A:$A,'[1]Tissue Data'!J:J)</f>
        <v>U</v>
      </c>
      <c r="H261" t="str">
        <f>_xlfn.XLOOKUP(A261,'[1]Tissue Data'!$A:$A,'[1]Tissue Data'!K:K)</f>
        <v>Whole Body</v>
      </c>
      <c r="I261">
        <f>_xlfn.XLOOKUP(A261,'[1]Tissue Data'!$A:$A,'[1]Tissue Data'!L:L)</f>
        <v>6.5</v>
      </c>
      <c r="J261">
        <f>_xlfn.XLOOKUP(A261,'[1]Tissue Data'!$A:$A,'[1]Tissue Data'!M:M)</f>
        <v>5.57</v>
      </c>
      <c r="K261" t="s">
        <v>21</v>
      </c>
      <c r="L261" t="str">
        <f>_xlfn.XLOOKUP(K261,[2]analyte_order!$B:$B,[2]analyte_order!$C:$C)</f>
        <v>72629-94-8</v>
      </c>
      <c r="M261">
        <f>_xlfn.XLOOKUP(L261,[2]analyte_order!$C:$C,[2]analyte_order!$E:$E)</f>
        <v>10</v>
      </c>
      <c r="N261">
        <v>1.37</v>
      </c>
    </row>
    <row r="262" spans="1:14">
      <c r="A262" t="s">
        <v>233</v>
      </c>
      <c r="B262" t="str">
        <f>_xlfn.XLOOKUP(A262,'[1]Tissue Data'!$A:$A,'[1]Tissue Data'!$C:$C)</f>
        <v>Down</v>
      </c>
      <c r="C262" s="2">
        <f>_xlfn.XLOOKUP(A262,'[1]Tissue Data'!$A:$A,'[1]Tissue Data'!$D:$D)</f>
        <v>44314</v>
      </c>
      <c r="D262" s="2" t="str">
        <f>_xlfn.XLOOKUP(A262,'[1]Tissue Data'!$A:$A,'[1]Tissue Data'!$F:$F)</f>
        <v>Pumpkinseed</v>
      </c>
      <c r="E262" t="str">
        <f>_xlfn.XLOOKUP(A262,'[1]Tissue Data'!$A:$A,'[1]Tissue Data'!$H:$H)</f>
        <v>Lepomis</v>
      </c>
      <c r="F262" t="str">
        <f>_xlfn.XLOOKUP(A262,'[1]Tissue Data'!$A:$A,'[1]Tissue Data'!$I:$I)</f>
        <v>gibbosus</v>
      </c>
      <c r="G262" t="str">
        <f>_xlfn.XLOOKUP(A262,'[1]Tissue Data'!$A:$A,'[1]Tissue Data'!J:J)</f>
        <v>U</v>
      </c>
      <c r="H262" t="str">
        <f>_xlfn.XLOOKUP(A262,'[1]Tissue Data'!$A:$A,'[1]Tissue Data'!K:K)</f>
        <v>Whole Body</v>
      </c>
      <c r="I262">
        <f>_xlfn.XLOOKUP(A262,'[1]Tissue Data'!$A:$A,'[1]Tissue Data'!L:L)</f>
        <v>6.5</v>
      </c>
      <c r="J262">
        <f>_xlfn.XLOOKUP(A262,'[1]Tissue Data'!$A:$A,'[1]Tissue Data'!M:M)</f>
        <v>5.57</v>
      </c>
      <c r="K262" t="s">
        <v>22</v>
      </c>
      <c r="L262" t="str">
        <f>_xlfn.XLOOKUP(K262,[2]analyte_order!$B:$B,[2]analyte_order!$C:$C)</f>
        <v>376-06-7</v>
      </c>
      <c r="M262">
        <f>_xlfn.XLOOKUP(L262,[2]analyte_order!$C:$C,[2]analyte_order!$E:$E)</f>
        <v>11</v>
      </c>
      <c r="N262">
        <v>3.34</v>
      </c>
    </row>
    <row r="263" spans="1:14">
      <c r="A263" t="s">
        <v>233</v>
      </c>
      <c r="B263" t="str">
        <f>_xlfn.XLOOKUP(A263,'[1]Tissue Data'!$A:$A,'[1]Tissue Data'!$C:$C)</f>
        <v>Down</v>
      </c>
      <c r="C263" s="2">
        <f>_xlfn.XLOOKUP(A263,'[1]Tissue Data'!$A:$A,'[1]Tissue Data'!$D:$D)</f>
        <v>44314</v>
      </c>
      <c r="D263" s="2" t="str">
        <f>_xlfn.XLOOKUP(A263,'[1]Tissue Data'!$A:$A,'[1]Tissue Data'!$F:$F)</f>
        <v>Pumpkinseed</v>
      </c>
      <c r="E263" t="str">
        <f>_xlfn.XLOOKUP(A263,'[1]Tissue Data'!$A:$A,'[1]Tissue Data'!$H:$H)</f>
        <v>Lepomis</v>
      </c>
      <c r="F263" t="str">
        <f>_xlfn.XLOOKUP(A263,'[1]Tissue Data'!$A:$A,'[1]Tissue Data'!$I:$I)</f>
        <v>gibbosus</v>
      </c>
      <c r="G263" t="str">
        <f>_xlfn.XLOOKUP(A263,'[1]Tissue Data'!$A:$A,'[1]Tissue Data'!J:J)</f>
        <v>U</v>
      </c>
      <c r="H263" t="str">
        <f>_xlfn.XLOOKUP(A263,'[1]Tissue Data'!$A:$A,'[1]Tissue Data'!K:K)</f>
        <v>Whole Body</v>
      </c>
      <c r="I263">
        <f>_xlfn.XLOOKUP(A263,'[1]Tissue Data'!$A:$A,'[1]Tissue Data'!L:L)</f>
        <v>6.5</v>
      </c>
      <c r="J263">
        <f>_xlfn.XLOOKUP(A263,'[1]Tissue Data'!$A:$A,'[1]Tissue Data'!M:M)</f>
        <v>5.57</v>
      </c>
      <c r="K263" t="s">
        <v>23</v>
      </c>
      <c r="L263" t="str">
        <f>_xlfn.XLOOKUP(K263,[2]analyte_order!$B:$B,[2]analyte_order!$C:$C)</f>
        <v>67905-19-5</v>
      </c>
      <c r="M263">
        <f>_xlfn.XLOOKUP(L263,[2]analyte_order!$C:$C,[2]analyte_order!$E:$E)</f>
        <v>12</v>
      </c>
      <c r="N263">
        <v>8.5843123345658148E-2</v>
      </c>
    </row>
    <row r="264" spans="1:14">
      <c r="A264" t="s">
        <v>233</v>
      </c>
      <c r="B264" t="str">
        <f>_xlfn.XLOOKUP(A264,'[1]Tissue Data'!$A:$A,'[1]Tissue Data'!$C:$C)</f>
        <v>Down</v>
      </c>
      <c r="C264" s="2">
        <f>_xlfn.XLOOKUP(A264,'[1]Tissue Data'!$A:$A,'[1]Tissue Data'!$D:$D)</f>
        <v>44314</v>
      </c>
      <c r="D264" s="2" t="str">
        <f>_xlfn.XLOOKUP(A264,'[1]Tissue Data'!$A:$A,'[1]Tissue Data'!$F:$F)</f>
        <v>Pumpkinseed</v>
      </c>
      <c r="E264" t="str">
        <f>_xlfn.XLOOKUP(A264,'[1]Tissue Data'!$A:$A,'[1]Tissue Data'!$H:$H)</f>
        <v>Lepomis</v>
      </c>
      <c r="F264" t="str">
        <f>_xlfn.XLOOKUP(A264,'[1]Tissue Data'!$A:$A,'[1]Tissue Data'!$I:$I)</f>
        <v>gibbosus</v>
      </c>
      <c r="G264" t="str">
        <f>_xlfn.XLOOKUP(A264,'[1]Tissue Data'!$A:$A,'[1]Tissue Data'!J:J)</f>
        <v>U</v>
      </c>
      <c r="H264" t="str">
        <f>_xlfn.XLOOKUP(A264,'[1]Tissue Data'!$A:$A,'[1]Tissue Data'!K:K)</f>
        <v>Whole Body</v>
      </c>
      <c r="I264">
        <f>_xlfn.XLOOKUP(A264,'[1]Tissue Data'!$A:$A,'[1]Tissue Data'!L:L)</f>
        <v>6.5</v>
      </c>
      <c r="J264">
        <f>_xlfn.XLOOKUP(A264,'[1]Tissue Data'!$A:$A,'[1]Tissue Data'!M:M)</f>
        <v>5.57</v>
      </c>
      <c r="K264" t="s">
        <v>24</v>
      </c>
      <c r="L264" t="str">
        <f>_xlfn.XLOOKUP(K264,[2]analyte_order!$B:$B,[2]analyte_order!$C:$C)</f>
        <v>423-41-6</v>
      </c>
      <c r="M264">
        <f>_xlfn.XLOOKUP(L264,[2]analyte_order!$C:$C,[2]analyte_order!$E:$E)</f>
        <v>53</v>
      </c>
      <c r="N264">
        <v>5.4954087142932602E-2</v>
      </c>
    </row>
    <row r="265" spans="1:14">
      <c r="A265" t="s">
        <v>233</v>
      </c>
      <c r="B265" t="str">
        <f>_xlfn.XLOOKUP(A265,'[1]Tissue Data'!$A:$A,'[1]Tissue Data'!$C:$C)</f>
        <v>Down</v>
      </c>
      <c r="C265" s="2">
        <f>_xlfn.XLOOKUP(A265,'[1]Tissue Data'!$A:$A,'[1]Tissue Data'!$D:$D)</f>
        <v>44314</v>
      </c>
      <c r="D265" s="2" t="str">
        <f>_xlfn.XLOOKUP(A265,'[1]Tissue Data'!$A:$A,'[1]Tissue Data'!$F:$F)</f>
        <v>Pumpkinseed</v>
      </c>
      <c r="E265" t="str">
        <f>_xlfn.XLOOKUP(A265,'[1]Tissue Data'!$A:$A,'[1]Tissue Data'!$H:$H)</f>
        <v>Lepomis</v>
      </c>
      <c r="F265" t="str">
        <f>_xlfn.XLOOKUP(A265,'[1]Tissue Data'!$A:$A,'[1]Tissue Data'!$I:$I)</f>
        <v>gibbosus</v>
      </c>
      <c r="G265" t="str">
        <f>_xlfn.XLOOKUP(A265,'[1]Tissue Data'!$A:$A,'[1]Tissue Data'!J:J)</f>
        <v>U</v>
      </c>
      <c r="H265" t="str">
        <f>_xlfn.XLOOKUP(A265,'[1]Tissue Data'!$A:$A,'[1]Tissue Data'!K:K)</f>
        <v>Whole Body</v>
      </c>
      <c r="I265">
        <f>_xlfn.XLOOKUP(A265,'[1]Tissue Data'!$A:$A,'[1]Tissue Data'!L:L)</f>
        <v>6.5</v>
      </c>
      <c r="J265">
        <f>_xlfn.XLOOKUP(A265,'[1]Tissue Data'!$A:$A,'[1]Tissue Data'!M:M)</f>
        <v>5.57</v>
      </c>
      <c r="K265" t="s">
        <v>25</v>
      </c>
      <c r="L265" t="str">
        <f>_xlfn.XLOOKUP(K265,[2]analyte_order!$B:$B,[2]analyte_order!$C:$C)</f>
        <v>375-73-5</v>
      </c>
      <c r="M265">
        <f>_xlfn.XLOOKUP(L265,[2]analyte_order!$C:$C,[2]analyte_order!$E:$E)</f>
        <v>14</v>
      </c>
      <c r="N265">
        <v>0.17221895733552628</v>
      </c>
    </row>
    <row r="266" spans="1:14">
      <c r="A266" t="s">
        <v>233</v>
      </c>
      <c r="B266" t="str">
        <f>_xlfn.XLOOKUP(A266,'[1]Tissue Data'!$A:$A,'[1]Tissue Data'!$C:$C)</f>
        <v>Down</v>
      </c>
      <c r="C266" s="2">
        <f>_xlfn.XLOOKUP(A266,'[1]Tissue Data'!$A:$A,'[1]Tissue Data'!$D:$D)</f>
        <v>44314</v>
      </c>
      <c r="D266" s="2" t="str">
        <f>_xlfn.XLOOKUP(A266,'[1]Tissue Data'!$A:$A,'[1]Tissue Data'!$F:$F)</f>
        <v>Pumpkinseed</v>
      </c>
      <c r="E266" t="str">
        <f>_xlfn.XLOOKUP(A266,'[1]Tissue Data'!$A:$A,'[1]Tissue Data'!$H:$H)</f>
        <v>Lepomis</v>
      </c>
      <c r="F266" t="str">
        <f>_xlfn.XLOOKUP(A266,'[1]Tissue Data'!$A:$A,'[1]Tissue Data'!$I:$I)</f>
        <v>gibbosus</v>
      </c>
      <c r="G266" t="str">
        <f>_xlfn.XLOOKUP(A266,'[1]Tissue Data'!$A:$A,'[1]Tissue Data'!J:J)</f>
        <v>U</v>
      </c>
      <c r="H266" t="str">
        <f>_xlfn.XLOOKUP(A266,'[1]Tissue Data'!$A:$A,'[1]Tissue Data'!K:K)</f>
        <v>Whole Body</v>
      </c>
      <c r="I266">
        <f>_xlfn.XLOOKUP(A266,'[1]Tissue Data'!$A:$A,'[1]Tissue Data'!L:L)</f>
        <v>6.5</v>
      </c>
      <c r="J266">
        <f>_xlfn.XLOOKUP(A266,'[1]Tissue Data'!$A:$A,'[1]Tissue Data'!M:M)</f>
        <v>5.57</v>
      </c>
      <c r="K266" t="s">
        <v>26</v>
      </c>
      <c r="L266" t="str">
        <f>_xlfn.XLOOKUP(K266,[2]analyte_order!$B:$B,[2]analyte_order!$C:$C)</f>
        <v>2706-91-4</v>
      </c>
      <c r="M266">
        <f>_xlfn.XLOOKUP(L266,[2]analyte_order!$C:$C,[2]analyte_order!$E:$E)</f>
        <v>15</v>
      </c>
      <c r="N266">
        <v>0.1339941642513158</v>
      </c>
    </row>
    <row r="267" spans="1:14">
      <c r="A267" t="s">
        <v>233</v>
      </c>
      <c r="B267" t="str">
        <f>_xlfn.XLOOKUP(A267,'[1]Tissue Data'!$A:$A,'[1]Tissue Data'!$C:$C)</f>
        <v>Down</v>
      </c>
      <c r="C267" s="2">
        <f>_xlfn.XLOOKUP(A267,'[1]Tissue Data'!$A:$A,'[1]Tissue Data'!$D:$D)</f>
        <v>44314</v>
      </c>
      <c r="D267" s="2" t="str">
        <f>_xlfn.XLOOKUP(A267,'[1]Tissue Data'!$A:$A,'[1]Tissue Data'!$F:$F)</f>
        <v>Pumpkinseed</v>
      </c>
      <c r="E267" t="str">
        <f>_xlfn.XLOOKUP(A267,'[1]Tissue Data'!$A:$A,'[1]Tissue Data'!$H:$H)</f>
        <v>Lepomis</v>
      </c>
      <c r="F267" t="str">
        <f>_xlfn.XLOOKUP(A267,'[1]Tissue Data'!$A:$A,'[1]Tissue Data'!$I:$I)</f>
        <v>gibbosus</v>
      </c>
      <c r="G267" t="str">
        <f>_xlfn.XLOOKUP(A267,'[1]Tissue Data'!$A:$A,'[1]Tissue Data'!J:J)</f>
        <v>U</v>
      </c>
      <c r="H267" t="str">
        <f>_xlfn.XLOOKUP(A267,'[1]Tissue Data'!$A:$A,'[1]Tissue Data'!K:K)</f>
        <v>Whole Body</v>
      </c>
      <c r="I267">
        <f>_xlfn.XLOOKUP(A267,'[1]Tissue Data'!$A:$A,'[1]Tissue Data'!L:L)</f>
        <v>6.5</v>
      </c>
      <c r="J267">
        <f>_xlfn.XLOOKUP(A267,'[1]Tissue Data'!$A:$A,'[1]Tissue Data'!M:M)</f>
        <v>5.57</v>
      </c>
      <c r="K267" t="s">
        <v>27</v>
      </c>
      <c r="L267" t="str">
        <f>_xlfn.XLOOKUP(K267,[2]analyte_order!$B:$B,[2]analyte_order!$C:$C)</f>
        <v>355-46-4</v>
      </c>
      <c r="M267">
        <f>_xlfn.XLOOKUP(L267,[2]analyte_order!$C:$C,[2]analyte_order!$E:$E)</f>
        <v>16</v>
      </c>
      <c r="N267">
        <v>13.2</v>
      </c>
    </row>
    <row r="268" spans="1:14">
      <c r="A268" t="s">
        <v>233</v>
      </c>
      <c r="B268" t="str">
        <f>_xlfn.XLOOKUP(A268,'[1]Tissue Data'!$A:$A,'[1]Tissue Data'!$C:$C)</f>
        <v>Down</v>
      </c>
      <c r="C268" s="2">
        <f>_xlfn.XLOOKUP(A268,'[1]Tissue Data'!$A:$A,'[1]Tissue Data'!$D:$D)</f>
        <v>44314</v>
      </c>
      <c r="D268" s="2" t="str">
        <f>_xlfn.XLOOKUP(A268,'[1]Tissue Data'!$A:$A,'[1]Tissue Data'!$F:$F)</f>
        <v>Pumpkinseed</v>
      </c>
      <c r="E268" t="str">
        <f>_xlfn.XLOOKUP(A268,'[1]Tissue Data'!$A:$A,'[1]Tissue Data'!$H:$H)</f>
        <v>Lepomis</v>
      </c>
      <c r="F268" t="str">
        <f>_xlfn.XLOOKUP(A268,'[1]Tissue Data'!$A:$A,'[1]Tissue Data'!$I:$I)</f>
        <v>gibbosus</v>
      </c>
      <c r="G268" t="str">
        <f>_xlfn.XLOOKUP(A268,'[1]Tissue Data'!$A:$A,'[1]Tissue Data'!J:J)</f>
        <v>U</v>
      </c>
      <c r="H268" t="str">
        <f>_xlfn.XLOOKUP(A268,'[1]Tissue Data'!$A:$A,'[1]Tissue Data'!K:K)</f>
        <v>Whole Body</v>
      </c>
      <c r="I268">
        <f>_xlfn.XLOOKUP(A268,'[1]Tissue Data'!$A:$A,'[1]Tissue Data'!L:L)</f>
        <v>6.5</v>
      </c>
      <c r="J268">
        <f>_xlfn.XLOOKUP(A268,'[1]Tissue Data'!$A:$A,'[1]Tissue Data'!M:M)</f>
        <v>5.57</v>
      </c>
      <c r="K268" t="s">
        <v>28</v>
      </c>
      <c r="L268" t="str">
        <f>_xlfn.XLOOKUP(K268,[2]analyte_order!$B:$B,[2]analyte_order!$C:$C)</f>
        <v>375-92-8</v>
      </c>
      <c r="M268">
        <f>_xlfn.XLOOKUP(L268,[2]analyte_order!$C:$C,[2]analyte_order!$E:$E)</f>
        <v>17</v>
      </c>
      <c r="N268">
        <v>0.64500000000000002</v>
      </c>
    </row>
    <row r="269" spans="1:14">
      <c r="A269" t="s">
        <v>233</v>
      </c>
      <c r="B269" t="str">
        <f>_xlfn.XLOOKUP(A269,'[1]Tissue Data'!$A:$A,'[1]Tissue Data'!$C:$C)</f>
        <v>Down</v>
      </c>
      <c r="C269" s="2">
        <f>_xlfn.XLOOKUP(A269,'[1]Tissue Data'!$A:$A,'[1]Tissue Data'!$D:$D)</f>
        <v>44314</v>
      </c>
      <c r="D269" s="2" t="str">
        <f>_xlfn.XLOOKUP(A269,'[1]Tissue Data'!$A:$A,'[1]Tissue Data'!$F:$F)</f>
        <v>Pumpkinseed</v>
      </c>
      <c r="E269" t="str">
        <f>_xlfn.XLOOKUP(A269,'[1]Tissue Data'!$A:$A,'[1]Tissue Data'!$H:$H)</f>
        <v>Lepomis</v>
      </c>
      <c r="F269" t="str">
        <f>_xlfn.XLOOKUP(A269,'[1]Tissue Data'!$A:$A,'[1]Tissue Data'!$I:$I)</f>
        <v>gibbosus</v>
      </c>
      <c r="G269" t="str">
        <f>_xlfn.XLOOKUP(A269,'[1]Tissue Data'!$A:$A,'[1]Tissue Data'!J:J)</f>
        <v>U</v>
      </c>
      <c r="H269" t="str">
        <f>_xlfn.XLOOKUP(A269,'[1]Tissue Data'!$A:$A,'[1]Tissue Data'!K:K)</f>
        <v>Whole Body</v>
      </c>
      <c r="I269">
        <f>_xlfn.XLOOKUP(A269,'[1]Tissue Data'!$A:$A,'[1]Tissue Data'!L:L)</f>
        <v>6.5</v>
      </c>
      <c r="J269">
        <f>_xlfn.XLOOKUP(A269,'[1]Tissue Data'!$A:$A,'[1]Tissue Data'!M:M)</f>
        <v>5.57</v>
      </c>
      <c r="K269" t="s">
        <v>29</v>
      </c>
      <c r="L269" t="str">
        <f>_xlfn.XLOOKUP(K269,[2]analyte_order!$B:$B,[2]analyte_order!$C:$C)</f>
        <v>1763-23-1</v>
      </c>
      <c r="M269">
        <f>_xlfn.XLOOKUP(L269,[2]analyte_order!$C:$C,[2]analyte_order!$E:$E)</f>
        <v>18</v>
      </c>
      <c r="N269">
        <v>912</v>
      </c>
    </row>
    <row r="270" spans="1:14">
      <c r="A270" t="s">
        <v>233</v>
      </c>
      <c r="B270" t="str">
        <f>_xlfn.XLOOKUP(A270,'[1]Tissue Data'!$A:$A,'[1]Tissue Data'!$C:$C)</f>
        <v>Down</v>
      </c>
      <c r="C270" s="2">
        <f>_xlfn.XLOOKUP(A270,'[1]Tissue Data'!$A:$A,'[1]Tissue Data'!$D:$D)</f>
        <v>44314</v>
      </c>
      <c r="D270" s="2" t="str">
        <f>_xlfn.XLOOKUP(A270,'[1]Tissue Data'!$A:$A,'[1]Tissue Data'!$F:$F)</f>
        <v>Pumpkinseed</v>
      </c>
      <c r="E270" t="str">
        <f>_xlfn.XLOOKUP(A270,'[1]Tissue Data'!$A:$A,'[1]Tissue Data'!$H:$H)</f>
        <v>Lepomis</v>
      </c>
      <c r="F270" t="str">
        <f>_xlfn.XLOOKUP(A270,'[1]Tissue Data'!$A:$A,'[1]Tissue Data'!$I:$I)</f>
        <v>gibbosus</v>
      </c>
      <c r="G270" t="str">
        <f>_xlfn.XLOOKUP(A270,'[1]Tissue Data'!$A:$A,'[1]Tissue Data'!J:J)</f>
        <v>U</v>
      </c>
      <c r="H270" t="str">
        <f>_xlfn.XLOOKUP(A270,'[1]Tissue Data'!$A:$A,'[1]Tissue Data'!K:K)</f>
        <v>Whole Body</v>
      </c>
      <c r="I270">
        <f>_xlfn.XLOOKUP(A270,'[1]Tissue Data'!$A:$A,'[1]Tissue Data'!L:L)</f>
        <v>6.5</v>
      </c>
      <c r="J270">
        <f>_xlfn.XLOOKUP(A270,'[1]Tissue Data'!$A:$A,'[1]Tissue Data'!M:M)</f>
        <v>5.57</v>
      </c>
      <c r="K270" t="s">
        <v>30</v>
      </c>
      <c r="L270" t="str">
        <f>_xlfn.XLOOKUP(K270,[2]analyte_order!$B:$B,[2]analyte_order!$C:$C)</f>
        <v>68259-12-1</v>
      </c>
      <c r="M270">
        <f>_xlfn.XLOOKUP(L270,[2]analyte_order!$C:$C,[2]analyte_order!$E:$E)</f>
        <v>19</v>
      </c>
      <c r="N270">
        <v>0.84</v>
      </c>
    </row>
    <row r="271" spans="1:14">
      <c r="A271" t="s">
        <v>233</v>
      </c>
      <c r="B271" t="str">
        <f>_xlfn.XLOOKUP(A271,'[1]Tissue Data'!$A:$A,'[1]Tissue Data'!$C:$C)</f>
        <v>Down</v>
      </c>
      <c r="C271" s="2">
        <f>_xlfn.XLOOKUP(A271,'[1]Tissue Data'!$A:$A,'[1]Tissue Data'!$D:$D)</f>
        <v>44314</v>
      </c>
      <c r="D271" s="2" t="str">
        <f>_xlfn.XLOOKUP(A271,'[1]Tissue Data'!$A:$A,'[1]Tissue Data'!$F:$F)</f>
        <v>Pumpkinseed</v>
      </c>
      <c r="E271" t="str">
        <f>_xlfn.XLOOKUP(A271,'[1]Tissue Data'!$A:$A,'[1]Tissue Data'!$H:$H)</f>
        <v>Lepomis</v>
      </c>
      <c r="F271" t="str">
        <f>_xlfn.XLOOKUP(A271,'[1]Tissue Data'!$A:$A,'[1]Tissue Data'!$I:$I)</f>
        <v>gibbosus</v>
      </c>
      <c r="G271" t="str">
        <f>_xlfn.XLOOKUP(A271,'[1]Tissue Data'!$A:$A,'[1]Tissue Data'!J:J)</f>
        <v>U</v>
      </c>
      <c r="H271" t="str">
        <f>_xlfn.XLOOKUP(A271,'[1]Tissue Data'!$A:$A,'[1]Tissue Data'!K:K)</f>
        <v>Whole Body</v>
      </c>
      <c r="I271">
        <f>_xlfn.XLOOKUP(A271,'[1]Tissue Data'!$A:$A,'[1]Tissue Data'!L:L)</f>
        <v>6.5</v>
      </c>
      <c r="J271">
        <f>_xlfn.XLOOKUP(A271,'[1]Tissue Data'!$A:$A,'[1]Tissue Data'!M:M)</f>
        <v>5.57</v>
      </c>
      <c r="K271" t="s">
        <v>31</v>
      </c>
      <c r="L271" t="str">
        <f>_xlfn.XLOOKUP(K271,[2]analyte_order!$B:$B,[2]analyte_order!$C:$C)</f>
        <v>335-77-3</v>
      </c>
      <c r="M271">
        <f>_xlfn.XLOOKUP(L271,[2]analyte_order!$C:$C,[2]analyte_order!$E:$E)</f>
        <v>20</v>
      </c>
      <c r="N271">
        <v>0.58199999999999996</v>
      </c>
    </row>
    <row r="272" spans="1:14">
      <c r="A272" t="s">
        <v>233</v>
      </c>
      <c r="B272" t="str">
        <f>_xlfn.XLOOKUP(A272,'[1]Tissue Data'!$A:$A,'[1]Tissue Data'!$C:$C)</f>
        <v>Down</v>
      </c>
      <c r="C272" s="2">
        <f>_xlfn.XLOOKUP(A272,'[1]Tissue Data'!$A:$A,'[1]Tissue Data'!$D:$D)</f>
        <v>44314</v>
      </c>
      <c r="D272" s="2" t="str">
        <f>_xlfn.XLOOKUP(A272,'[1]Tissue Data'!$A:$A,'[1]Tissue Data'!$F:$F)</f>
        <v>Pumpkinseed</v>
      </c>
      <c r="E272" t="str">
        <f>_xlfn.XLOOKUP(A272,'[1]Tissue Data'!$A:$A,'[1]Tissue Data'!$H:$H)</f>
        <v>Lepomis</v>
      </c>
      <c r="F272" t="str">
        <f>_xlfn.XLOOKUP(A272,'[1]Tissue Data'!$A:$A,'[1]Tissue Data'!$I:$I)</f>
        <v>gibbosus</v>
      </c>
      <c r="G272" t="str">
        <f>_xlfn.XLOOKUP(A272,'[1]Tissue Data'!$A:$A,'[1]Tissue Data'!J:J)</f>
        <v>U</v>
      </c>
      <c r="H272" t="str">
        <f>_xlfn.XLOOKUP(A272,'[1]Tissue Data'!$A:$A,'[1]Tissue Data'!K:K)</f>
        <v>Whole Body</v>
      </c>
      <c r="I272">
        <f>_xlfn.XLOOKUP(A272,'[1]Tissue Data'!$A:$A,'[1]Tissue Data'!L:L)</f>
        <v>6.5</v>
      </c>
      <c r="J272">
        <f>_xlfn.XLOOKUP(A272,'[1]Tissue Data'!$A:$A,'[1]Tissue Data'!M:M)</f>
        <v>5.57</v>
      </c>
      <c r="K272" t="s">
        <v>32</v>
      </c>
      <c r="L272" t="str">
        <f>_xlfn.XLOOKUP(K272,[2]analyte_order!$B:$B,[2]analyte_order!$C:$C)</f>
        <v>79780-39-5</v>
      </c>
      <c r="M272">
        <f>_xlfn.XLOOKUP(L272,[2]analyte_order!$C:$C,[2]analyte_order!$E:$E)</f>
        <v>21</v>
      </c>
      <c r="N272">
        <v>0.27058964169078953</v>
      </c>
    </row>
    <row r="273" spans="1:14">
      <c r="A273" t="s">
        <v>233</v>
      </c>
      <c r="B273" t="str">
        <f>_xlfn.XLOOKUP(A273,'[1]Tissue Data'!$A:$A,'[1]Tissue Data'!$C:$C)</f>
        <v>Down</v>
      </c>
      <c r="C273" s="2">
        <f>_xlfn.XLOOKUP(A273,'[1]Tissue Data'!$A:$A,'[1]Tissue Data'!$D:$D)</f>
        <v>44314</v>
      </c>
      <c r="D273" s="2" t="str">
        <f>_xlfn.XLOOKUP(A273,'[1]Tissue Data'!$A:$A,'[1]Tissue Data'!$F:$F)</f>
        <v>Pumpkinseed</v>
      </c>
      <c r="E273" t="str">
        <f>_xlfn.XLOOKUP(A273,'[1]Tissue Data'!$A:$A,'[1]Tissue Data'!$H:$H)</f>
        <v>Lepomis</v>
      </c>
      <c r="F273" t="str">
        <f>_xlfn.XLOOKUP(A273,'[1]Tissue Data'!$A:$A,'[1]Tissue Data'!$I:$I)</f>
        <v>gibbosus</v>
      </c>
      <c r="G273" t="str">
        <f>_xlfn.XLOOKUP(A273,'[1]Tissue Data'!$A:$A,'[1]Tissue Data'!J:J)</f>
        <v>U</v>
      </c>
      <c r="H273" t="str">
        <f>_xlfn.XLOOKUP(A273,'[1]Tissue Data'!$A:$A,'[1]Tissue Data'!K:K)</f>
        <v>Whole Body</v>
      </c>
      <c r="I273">
        <f>_xlfn.XLOOKUP(A273,'[1]Tissue Data'!$A:$A,'[1]Tissue Data'!L:L)</f>
        <v>6.5</v>
      </c>
      <c r="J273">
        <f>_xlfn.XLOOKUP(A273,'[1]Tissue Data'!$A:$A,'[1]Tissue Data'!M:M)</f>
        <v>5.57</v>
      </c>
      <c r="K273" t="s">
        <v>33</v>
      </c>
      <c r="L273" t="str">
        <f>_xlfn.XLOOKUP(K273,[2]analyte_order!$B:$B,[2]analyte_order!$C:$C)</f>
        <v>777011-38-8</v>
      </c>
      <c r="M273">
        <f>_xlfn.XLOOKUP(L273,[2]analyte_order!$C:$C,[2]analyte_order!$E:$E)</f>
        <v>54</v>
      </c>
      <c r="N273">
        <v>0.15376624299473685</v>
      </c>
    </row>
    <row r="274" spans="1:14">
      <c r="A274" t="s">
        <v>233</v>
      </c>
      <c r="B274" t="str">
        <f>_xlfn.XLOOKUP(A274,'[1]Tissue Data'!$A:$A,'[1]Tissue Data'!$C:$C)</f>
        <v>Down</v>
      </c>
      <c r="C274" s="2">
        <f>_xlfn.XLOOKUP(A274,'[1]Tissue Data'!$A:$A,'[1]Tissue Data'!$D:$D)</f>
        <v>44314</v>
      </c>
      <c r="D274" s="2" t="str">
        <f>_xlfn.XLOOKUP(A274,'[1]Tissue Data'!$A:$A,'[1]Tissue Data'!$F:$F)</f>
        <v>Pumpkinseed</v>
      </c>
      <c r="E274" t="str">
        <f>_xlfn.XLOOKUP(A274,'[1]Tissue Data'!$A:$A,'[1]Tissue Data'!$H:$H)</f>
        <v>Lepomis</v>
      </c>
      <c r="F274" t="str">
        <f>_xlfn.XLOOKUP(A274,'[1]Tissue Data'!$A:$A,'[1]Tissue Data'!$I:$I)</f>
        <v>gibbosus</v>
      </c>
      <c r="G274" t="str">
        <f>_xlfn.XLOOKUP(A274,'[1]Tissue Data'!$A:$A,'[1]Tissue Data'!J:J)</f>
        <v>U</v>
      </c>
      <c r="H274" t="str">
        <f>_xlfn.XLOOKUP(A274,'[1]Tissue Data'!$A:$A,'[1]Tissue Data'!K:K)</f>
        <v>Whole Body</v>
      </c>
      <c r="I274">
        <f>_xlfn.XLOOKUP(A274,'[1]Tissue Data'!$A:$A,'[1]Tissue Data'!L:L)</f>
        <v>6.5</v>
      </c>
      <c r="J274">
        <f>_xlfn.XLOOKUP(A274,'[1]Tissue Data'!$A:$A,'[1]Tissue Data'!M:M)</f>
        <v>5.57</v>
      </c>
      <c r="K274" t="s">
        <v>34</v>
      </c>
      <c r="L274" t="str">
        <f>_xlfn.XLOOKUP(K274,[2]analyte_order!$B:$B,[2]analyte_order!$C:$C)</f>
        <v>646-83-3</v>
      </c>
      <c r="M274">
        <f>_xlfn.XLOOKUP(L274,[2]analyte_order!$C:$C,[2]analyte_order!$E:$E)</f>
        <v>55</v>
      </c>
      <c r="N274">
        <v>0.10121457489878542</v>
      </c>
    </row>
    <row r="275" spans="1:14">
      <c r="A275" t="s">
        <v>233</v>
      </c>
      <c r="B275" t="str">
        <f>_xlfn.XLOOKUP(A275,'[1]Tissue Data'!$A:$A,'[1]Tissue Data'!$C:$C)</f>
        <v>Down</v>
      </c>
      <c r="C275" s="2">
        <f>_xlfn.XLOOKUP(A275,'[1]Tissue Data'!$A:$A,'[1]Tissue Data'!$D:$D)</f>
        <v>44314</v>
      </c>
      <c r="D275" s="2" t="str">
        <f>_xlfn.XLOOKUP(A275,'[1]Tissue Data'!$A:$A,'[1]Tissue Data'!$F:$F)</f>
        <v>Pumpkinseed</v>
      </c>
      <c r="E275" t="str">
        <f>_xlfn.XLOOKUP(A275,'[1]Tissue Data'!$A:$A,'[1]Tissue Data'!$H:$H)</f>
        <v>Lepomis</v>
      </c>
      <c r="F275" t="str">
        <f>_xlfn.XLOOKUP(A275,'[1]Tissue Data'!$A:$A,'[1]Tissue Data'!$I:$I)</f>
        <v>gibbosus</v>
      </c>
      <c r="G275" t="str">
        <f>_xlfn.XLOOKUP(A275,'[1]Tissue Data'!$A:$A,'[1]Tissue Data'!J:J)</f>
        <v>U</v>
      </c>
      <c r="H275" t="str">
        <f>_xlfn.XLOOKUP(A275,'[1]Tissue Data'!$A:$A,'[1]Tissue Data'!K:K)</f>
        <v>Whole Body</v>
      </c>
      <c r="I275">
        <f>_xlfn.XLOOKUP(A275,'[1]Tissue Data'!$A:$A,'[1]Tissue Data'!L:L)</f>
        <v>6.5</v>
      </c>
      <c r="J275">
        <f>_xlfn.XLOOKUP(A275,'[1]Tissue Data'!$A:$A,'[1]Tissue Data'!M:M)</f>
        <v>5.57</v>
      </c>
      <c r="K275" t="s">
        <v>35</v>
      </c>
      <c r="L275" t="str">
        <f>_xlfn.XLOOKUP(K275,[2]analyte_order!$B:$B,[2]analyte_order!$C:$C)</f>
        <v>30334-69-1</v>
      </c>
      <c r="M275">
        <f>_xlfn.XLOOKUP(L275,[2]analyte_order!$C:$C,[2]analyte_order!$E:$E)</f>
        <v>51</v>
      </c>
      <c r="N275">
        <v>60.4</v>
      </c>
    </row>
    <row r="276" spans="1:14">
      <c r="A276" t="s">
        <v>233</v>
      </c>
      <c r="B276" t="str">
        <f>_xlfn.XLOOKUP(A276,'[1]Tissue Data'!$A:$A,'[1]Tissue Data'!$C:$C)</f>
        <v>Down</v>
      </c>
      <c r="C276" s="2">
        <f>_xlfn.XLOOKUP(A276,'[1]Tissue Data'!$A:$A,'[1]Tissue Data'!$D:$D)</f>
        <v>44314</v>
      </c>
      <c r="D276" s="2" t="str">
        <f>_xlfn.XLOOKUP(A276,'[1]Tissue Data'!$A:$A,'[1]Tissue Data'!$F:$F)</f>
        <v>Pumpkinseed</v>
      </c>
      <c r="E276" t="str">
        <f>_xlfn.XLOOKUP(A276,'[1]Tissue Data'!$A:$A,'[1]Tissue Data'!$H:$H)</f>
        <v>Lepomis</v>
      </c>
      <c r="F276" t="str">
        <f>_xlfn.XLOOKUP(A276,'[1]Tissue Data'!$A:$A,'[1]Tissue Data'!$I:$I)</f>
        <v>gibbosus</v>
      </c>
      <c r="G276" t="str">
        <f>_xlfn.XLOOKUP(A276,'[1]Tissue Data'!$A:$A,'[1]Tissue Data'!J:J)</f>
        <v>U</v>
      </c>
      <c r="H276" t="str">
        <f>_xlfn.XLOOKUP(A276,'[1]Tissue Data'!$A:$A,'[1]Tissue Data'!K:K)</f>
        <v>Whole Body</v>
      </c>
      <c r="I276">
        <f>_xlfn.XLOOKUP(A276,'[1]Tissue Data'!$A:$A,'[1]Tissue Data'!L:L)</f>
        <v>6.5</v>
      </c>
      <c r="J276">
        <f>_xlfn.XLOOKUP(A276,'[1]Tissue Data'!$A:$A,'[1]Tissue Data'!M:M)</f>
        <v>5.57</v>
      </c>
      <c r="K276" t="s">
        <v>36</v>
      </c>
      <c r="L276" t="str">
        <f>_xlfn.XLOOKUP(K276,[2]analyte_order!$B:$B,[2]analyte_order!$C:$C)</f>
        <v>41997-13-1</v>
      </c>
      <c r="M276">
        <f>_xlfn.XLOOKUP(L276,[2]analyte_order!$C:$C,[2]analyte_order!$E:$E)</f>
        <v>52</v>
      </c>
      <c r="N276">
        <v>80.400000000000006</v>
      </c>
    </row>
    <row r="277" spans="1:14">
      <c r="A277" t="s">
        <v>233</v>
      </c>
      <c r="B277" t="str">
        <f>_xlfn.XLOOKUP(A277,'[1]Tissue Data'!$A:$A,'[1]Tissue Data'!$C:$C)</f>
        <v>Down</v>
      </c>
      <c r="C277" s="2">
        <f>_xlfn.XLOOKUP(A277,'[1]Tissue Data'!$A:$A,'[1]Tissue Data'!$D:$D)</f>
        <v>44314</v>
      </c>
      <c r="D277" s="2" t="str">
        <f>_xlfn.XLOOKUP(A277,'[1]Tissue Data'!$A:$A,'[1]Tissue Data'!$F:$F)</f>
        <v>Pumpkinseed</v>
      </c>
      <c r="E277" t="str">
        <f>_xlfn.XLOOKUP(A277,'[1]Tissue Data'!$A:$A,'[1]Tissue Data'!$H:$H)</f>
        <v>Lepomis</v>
      </c>
      <c r="F277" t="str">
        <f>_xlfn.XLOOKUP(A277,'[1]Tissue Data'!$A:$A,'[1]Tissue Data'!$I:$I)</f>
        <v>gibbosus</v>
      </c>
      <c r="G277" t="str">
        <f>_xlfn.XLOOKUP(A277,'[1]Tissue Data'!$A:$A,'[1]Tissue Data'!J:J)</f>
        <v>U</v>
      </c>
      <c r="H277" t="str">
        <f>_xlfn.XLOOKUP(A277,'[1]Tissue Data'!$A:$A,'[1]Tissue Data'!K:K)</f>
        <v>Whole Body</v>
      </c>
      <c r="I277">
        <f>_xlfn.XLOOKUP(A277,'[1]Tissue Data'!$A:$A,'[1]Tissue Data'!L:L)</f>
        <v>6.5</v>
      </c>
      <c r="J277">
        <f>_xlfn.XLOOKUP(A277,'[1]Tissue Data'!$A:$A,'[1]Tissue Data'!M:M)</f>
        <v>5.57</v>
      </c>
      <c r="K277" t="s">
        <v>37</v>
      </c>
      <c r="L277" t="str">
        <f>_xlfn.XLOOKUP(K277,[2]analyte_order!$B:$B,[2]analyte_order!$C:$C)</f>
        <v>754-91-6</v>
      </c>
      <c r="M277">
        <f>_xlfn.XLOOKUP(L277,[2]analyte_order!$C:$C,[2]analyte_order!$E:$E)</f>
        <v>28</v>
      </c>
      <c r="N277">
        <v>19.8</v>
      </c>
    </row>
    <row r="278" spans="1:14">
      <c r="A278" t="s">
        <v>233</v>
      </c>
      <c r="B278" t="str">
        <f>_xlfn.XLOOKUP(A278,'[1]Tissue Data'!$A:$A,'[1]Tissue Data'!$C:$C)</f>
        <v>Down</v>
      </c>
      <c r="C278" s="2">
        <f>_xlfn.XLOOKUP(A278,'[1]Tissue Data'!$A:$A,'[1]Tissue Data'!$D:$D)</f>
        <v>44314</v>
      </c>
      <c r="D278" s="2" t="str">
        <f>_xlfn.XLOOKUP(A278,'[1]Tissue Data'!$A:$A,'[1]Tissue Data'!$F:$F)</f>
        <v>Pumpkinseed</v>
      </c>
      <c r="E278" t="str">
        <f>_xlfn.XLOOKUP(A278,'[1]Tissue Data'!$A:$A,'[1]Tissue Data'!$H:$H)</f>
        <v>Lepomis</v>
      </c>
      <c r="F278" t="str">
        <f>_xlfn.XLOOKUP(A278,'[1]Tissue Data'!$A:$A,'[1]Tissue Data'!$I:$I)</f>
        <v>gibbosus</v>
      </c>
      <c r="G278" t="str">
        <f>_xlfn.XLOOKUP(A278,'[1]Tissue Data'!$A:$A,'[1]Tissue Data'!J:J)</f>
        <v>U</v>
      </c>
      <c r="H278" t="str">
        <f>_xlfn.XLOOKUP(A278,'[1]Tissue Data'!$A:$A,'[1]Tissue Data'!K:K)</f>
        <v>Whole Body</v>
      </c>
      <c r="I278">
        <f>_xlfn.XLOOKUP(A278,'[1]Tissue Data'!$A:$A,'[1]Tissue Data'!L:L)</f>
        <v>6.5</v>
      </c>
      <c r="J278">
        <f>_xlfn.XLOOKUP(A278,'[1]Tissue Data'!$A:$A,'[1]Tissue Data'!M:M)</f>
        <v>5.57</v>
      </c>
      <c r="K278" t="s">
        <v>38</v>
      </c>
      <c r="L278" t="str">
        <f>_xlfn.XLOOKUP(K278,[2]analyte_order!$B:$B,[2]analyte_order!$C:$C)</f>
        <v>31506-32-8</v>
      </c>
      <c r="M278">
        <f>_xlfn.XLOOKUP(L278,[2]analyte_order!$C:$C,[2]analyte_order!$E:$E)</f>
        <v>30</v>
      </c>
      <c r="N278">
        <v>5.5489255537713916E-2</v>
      </c>
    </row>
    <row r="279" spans="1:14">
      <c r="A279" t="s">
        <v>233</v>
      </c>
      <c r="B279" t="str">
        <f>_xlfn.XLOOKUP(A279,'[1]Tissue Data'!$A:$A,'[1]Tissue Data'!$C:$C)</f>
        <v>Down</v>
      </c>
      <c r="C279" s="2">
        <f>_xlfn.XLOOKUP(A279,'[1]Tissue Data'!$A:$A,'[1]Tissue Data'!$D:$D)</f>
        <v>44314</v>
      </c>
      <c r="D279" s="2" t="str">
        <f>_xlfn.XLOOKUP(A279,'[1]Tissue Data'!$A:$A,'[1]Tissue Data'!$F:$F)</f>
        <v>Pumpkinseed</v>
      </c>
      <c r="E279" t="str">
        <f>_xlfn.XLOOKUP(A279,'[1]Tissue Data'!$A:$A,'[1]Tissue Data'!$H:$H)</f>
        <v>Lepomis</v>
      </c>
      <c r="F279" t="str">
        <f>_xlfn.XLOOKUP(A279,'[1]Tissue Data'!$A:$A,'[1]Tissue Data'!$I:$I)</f>
        <v>gibbosus</v>
      </c>
      <c r="G279" t="str">
        <f>_xlfn.XLOOKUP(A279,'[1]Tissue Data'!$A:$A,'[1]Tissue Data'!J:J)</f>
        <v>U</v>
      </c>
      <c r="H279" t="str">
        <f>_xlfn.XLOOKUP(A279,'[1]Tissue Data'!$A:$A,'[1]Tissue Data'!K:K)</f>
        <v>Whole Body</v>
      </c>
      <c r="I279">
        <f>_xlfn.XLOOKUP(A279,'[1]Tissue Data'!$A:$A,'[1]Tissue Data'!L:L)</f>
        <v>6.5</v>
      </c>
      <c r="J279">
        <f>_xlfn.XLOOKUP(A279,'[1]Tissue Data'!$A:$A,'[1]Tissue Data'!M:M)</f>
        <v>5.57</v>
      </c>
      <c r="K279" t="s">
        <v>39</v>
      </c>
      <c r="L279" t="str">
        <f>_xlfn.XLOOKUP(K279,[2]analyte_order!$B:$B,[2]analyte_order!$C:$C)</f>
        <v>4151-50-2</v>
      </c>
      <c r="M279">
        <f>_xlfn.XLOOKUP(L279,[2]analyte_order!$C:$C,[2]analyte_order!$E:$E)</f>
        <v>31</v>
      </c>
      <c r="N279">
        <v>8.4053802583456599E-2</v>
      </c>
    </row>
    <row r="280" spans="1:14">
      <c r="A280" t="s">
        <v>233</v>
      </c>
      <c r="B280" t="str">
        <f>_xlfn.XLOOKUP(A280,'[1]Tissue Data'!$A:$A,'[1]Tissue Data'!$C:$C)</f>
        <v>Down</v>
      </c>
      <c r="C280" s="2">
        <f>_xlfn.XLOOKUP(A280,'[1]Tissue Data'!$A:$A,'[1]Tissue Data'!$D:$D)</f>
        <v>44314</v>
      </c>
      <c r="D280" s="2" t="str">
        <f>_xlfn.XLOOKUP(A280,'[1]Tissue Data'!$A:$A,'[1]Tissue Data'!$F:$F)</f>
        <v>Pumpkinseed</v>
      </c>
      <c r="E280" t="str">
        <f>_xlfn.XLOOKUP(A280,'[1]Tissue Data'!$A:$A,'[1]Tissue Data'!$H:$H)</f>
        <v>Lepomis</v>
      </c>
      <c r="F280" t="str">
        <f>_xlfn.XLOOKUP(A280,'[1]Tissue Data'!$A:$A,'[1]Tissue Data'!$I:$I)</f>
        <v>gibbosus</v>
      </c>
      <c r="G280" t="str">
        <f>_xlfn.XLOOKUP(A280,'[1]Tissue Data'!$A:$A,'[1]Tissue Data'!J:J)</f>
        <v>U</v>
      </c>
      <c r="H280" t="str">
        <f>_xlfn.XLOOKUP(A280,'[1]Tissue Data'!$A:$A,'[1]Tissue Data'!K:K)</f>
        <v>Whole Body</v>
      </c>
      <c r="I280">
        <f>_xlfn.XLOOKUP(A280,'[1]Tissue Data'!$A:$A,'[1]Tissue Data'!L:L)</f>
        <v>6.5</v>
      </c>
      <c r="J280">
        <f>_xlfn.XLOOKUP(A280,'[1]Tissue Data'!$A:$A,'[1]Tissue Data'!M:M)</f>
        <v>5.57</v>
      </c>
      <c r="K280" t="s">
        <v>40</v>
      </c>
      <c r="L280" t="str">
        <f>_xlfn.XLOOKUP(K280,[2]analyte_order!$B:$B,[2]analyte_order!$C:$C)</f>
        <v>2806-24-8</v>
      </c>
      <c r="M280">
        <f>_xlfn.XLOOKUP(L280,[2]analyte_order!$C:$C,[2]analyte_order!$E:$E)</f>
        <v>29</v>
      </c>
      <c r="N280">
        <v>5.6775100246144093E-2</v>
      </c>
    </row>
    <row r="281" spans="1:14">
      <c r="A281" t="s">
        <v>233</v>
      </c>
      <c r="B281" t="str">
        <f>_xlfn.XLOOKUP(A281,'[1]Tissue Data'!$A:$A,'[1]Tissue Data'!$C:$C)</f>
        <v>Down</v>
      </c>
      <c r="C281" s="2">
        <f>_xlfn.XLOOKUP(A281,'[1]Tissue Data'!$A:$A,'[1]Tissue Data'!$D:$D)</f>
        <v>44314</v>
      </c>
      <c r="D281" s="2" t="str">
        <f>_xlfn.XLOOKUP(A281,'[1]Tissue Data'!$A:$A,'[1]Tissue Data'!$F:$F)</f>
        <v>Pumpkinseed</v>
      </c>
      <c r="E281" t="str">
        <f>_xlfn.XLOOKUP(A281,'[1]Tissue Data'!$A:$A,'[1]Tissue Data'!$H:$H)</f>
        <v>Lepomis</v>
      </c>
      <c r="F281" t="str">
        <f>_xlfn.XLOOKUP(A281,'[1]Tissue Data'!$A:$A,'[1]Tissue Data'!$I:$I)</f>
        <v>gibbosus</v>
      </c>
      <c r="G281" t="str">
        <f>_xlfn.XLOOKUP(A281,'[1]Tissue Data'!$A:$A,'[1]Tissue Data'!J:J)</f>
        <v>U</v>
      </c>
      <c r="H281" t="str">
        <f>_xlfn.XLOOKUP(A281,'[1]Tissue Data'!$A:$A,'[1]Tissue Data'!K:K)</f>
        <v>Whole Body</v>
      </c>
      <c r="I281">
        <f>_xlfn.XLOOKUP(A281,'[1]Tissue Data'!$A:$A,'[1]Tissue Data'!L:L)</f>
        <v>6.5</v>
      </c>
      <c r="J281">
        <f>_xlfn.XLOOKUP(A281,'[1]Tissue Data'!$A:$A,'[1]Tissue Data'!M:M)</f>
        <v>5.57</v>
      </c>
      <c r="K281" t="s">
        <v>41</v>
      </c>
      <c r="L281" t="str">
        <f>_xlfn.XLOOKUP(K281,[2]analyte_order!$B:$B,[2]analyte_order!$C:$C)</f>
        <v>2355-31-9</v>
      </c>
      <c r="M281">
        <f>_xlfn.XLOOKUP(L281,[2]analyte_order!$C:$C,[2]analyte_order!$E:$E)</f>
        <v>26</v>
      </c>
      <c r="N281">
        <v>11.9</v>
      </c>
    </row>
    <row r="282" spans="1:14">
      <c r="A282" t="s">
        <v>233</v>
      </c>
      <c r="B282" t="str">
        <f>_xlfn.XLOOKUP(A282,'[1]Tissue Data'!$A:$A,'[1]Tissue Data'!$C:$C)</f>
        <v>Down</v>
      </c>
      <c r="C282" s="2">
        <f>_xlfn.XLOOKUP(A282,'[1]Tissue Data'!$A:$A,'[1]Tissue Data'!$D:$D)</f>
        <v>44314</v>
      </c>
      <c r="D282" s="2" t="str">
        <f>_xlfn.XLOOKUP(A282,'[1]Tissue Data'!$A:$A,'[1]Tissue Data'!$F:$F)</f>
        <v>Pumpkinseed</v>
      </c>
      <c r="E282" t="str">
        <f>_xlfn.XLOOKUP(A282,'[1]Tissue Data'!$A:$A,'[1]Tissue Data'!$H:$H)</f>
        <v>Lepomis</v>
      </c>
      <c r="F282" t="str">
        <f>_xlfn.XLOOKUP(A282,'[1]Tissue Data'!$A:$A,'[1]Tissue Data'!$I:$I)</f>
        <v>gibbosus</v>
      </c>
      <c r="G282" t="str">
        <f>_xlfn.XLOOKUP(A282,'[1]Tissue Data'!$A:$A,'[1]Tissue Data'!J:J)</f>
        <v>U</v>
      </c>
      <c r="H282" t="str">
        <f>_xlfn.XLOOKUP(A282,'[1]Tissue Data'!$A:$A,'[1]Tissue Data'!K:K)</f>
        <v>Whole Body</v>
      </c>
      <c r="I282">
        <f>_xlfn.XLOOKUP(A282,'[1]Tissue Data'!$A:$A,'[1]Tissue Data'!L:L)</f>
        <v>6.5</v>
      </c>
      <c r="J282">
        <f>_xlfn.XLOOKUP(A282,'[1]Tissue Data'!$A:$A,'[1]Tissue Data'!M:M)</f>
        <v>5.57</v>
      </c>
      <c r="K282" t="s">
        <v>42</v>
      </c>
      <c r="L282" t="str">
        <f>_xlfn.XLOOKUP(K282,[2]analyte_order!$B:$B,[2]analyte_order!$C:$C)</f>
        <v>2991-50-6</v>
      </c>
      <c r="M282">
        <f>_xlfn.XLOOKUP(L282,[2]analyte_order!$C:$C,[2]analyte_order!$E:$E)</f>
        <v>27</v>
      </c>
      <c r="N282">
        <v>6.251972120378195E-2</v>
      </c>
    </row>
    <row r="283" spans="1:14">
      <c r="A283" t="s">
        <v>233</v>
      </c>
      <c r="B283" t="str">
        <f>_xlfn.XLOOKUP(A283,'[1]Tissue Data'!$A:$A,'[1]Tissue Data'!$C:$C)</f>
        <v>Down</v>
      </c>
      <c r="C283" s="2">
        <f>_xlfn.XLOOKUP(A283,'[1]Tissue Data'!$A:$A,'[1]Tissue Data'!$D:$D)</f>
        <v>44314</v>
      </c>
      <c r="D283" s="2" t="str">
        <f>_xlfn.XLOOKUP(A283,'[1]Tissue Data'!$A:$A,'[1]Tissue Data'!$F:$F)</f>
        <v>Pumpkinseed</v>
      </c>
      <c r="E283" t="str">
        <f>_xlfn.XLOOKUP(A283,'[1]Tissue Data'!$A:$A,'[1]Tissue Data'!$H:$H)</f>
        <v>Lepomis</v>
      </c>
      <c r="F283" t="str">
        <f>_xlfn.XLOOKUP(A283,'[1]Tissue Data'!$A:$A,'[1]Tissue Data'!$I:$I)</f>
        <v>gibbosus</v>
      </c>
      <c r="G283" t="str">
        <f>_xlfn.XLOOKUP(A283,'[1]Tissue Data'!$A:$A,'[1]Tissue Data'!J:J)</f>
        <v>U</v>
      </c>
      <c r="H283" t="str">
        <f>_xlfn.XLOOKUP(A283,'[1]Tissue Data'!$A:$A,'[1]Tissue Data'!K:K)</f>
        <v>Whole Body</v>
      </c>
      <c r="I283">
        <f>_xlfn.XLOOKUP(A283,'[1]Tissue Data'!$A:$A,'[1]Tissue Data'!L:L)</f>
        <v>6.5</v>
      </c>
      <c r="J283">
        <f>_xlfn.XLOOKUP(A283,'[1]Tissue Data'!$A:$A,'[1]Tissue Data'!M:M)</f>
        <v>5.57</v>
      </c>
      <c r="K283" t="s">
        <v>43</v>
      </c>
      <c r="L283" t="str">
        <f>_xlfn.XLOOKUP(K283,[2]analyte_order!$B:$B,[2]analyte_order!$C:$C)</f>
        <v>757124-72-4</v>
      </c>
      <c r="M283">
        <f>_xlfn.XLOOKUP(L283,[2]analyte_order!$C:$C,[2]analyte_order!$E:$E)</f>
        <v>22</v>
      </c>
      <c r="N283">
        <v>5.9163070122543841E-2</v>
      </c>
    </row>
    <row r="284" spans="1:14">
      <c r="A284" t="s">
        <v>233</v>
      </c>
      <c r="B284" t="str">
        <f>_xlfn.XLOOKUP(A284,'[1]Tissue Data'!$A:$A,'[1]Tissue Data'!$C:$C)</f>
        <v>Down</v>
      </c>
      <c r="C284" s="2">
        <f>_xlfn.XLOOKUP(A284,'[1]Tissue Data'!$A:$A,'[1]Tissue Data'!$D:$D)</f>
        <v>44314</v>
      </c>
      <c r="D284" s="2" t="str">
        <f>_xlfn.XLOOKUP(A284,'[1]Tissue Data'!$A:$A,'[1]Tissue Data'!$F:$F)</f>
        <v>Pumpkinseed</v>
      </c>
      <c r="E284" t="str">
        <f>_xlfn.XLOOKUP(A284,'[1]Tissue Data'!$A:$A,'[1]Tissue Data'!$H:$H)</f>
        <v>Lepomis</v>
      </c>
      <c r="F284" t="str">
        <f>_xlfn.XLOOKUP(A284,'[1]Tissue Data'!$A:$A,'[1]Tissue Data'!$I:$I)</f>
        <v>gibbosus</v>
      </c>
      <c r="G284" t="str">
        <f>_xlfn.XLOOKUP(A284,'[1]Tissue Data'!$A:$A,'[1]Tissue Data'!J:J)</f>
        <v>U</v>
      </c>
      <c r="H284" t="str">
        <f>_xlfn.XLOOKUP(A284,'[1]Tissue Data'!$A:$A,'[1]Tissue Data'!K:K)</f>
        <v>Whole Body</v>
      </c>
      <c r="I284">
        <f>_xlfn.XLOOKUP(A284,'[1]Tissue Data'!$A:$A,'[1]Tissue Data'!L:L)</f>
        <v>6.5</v>
      </c>
      <c r="J284">
        <f>_xlfn.XLOOKUP(A284,'[1]Tissue Data'!$A:$A,'[1]Tissue Data'!M:M)</f>
        <v>5.57</v>
      </c>
      <c r="K284" t="s">
        <v>44</v>
      </c>
      <c r="L284" t="str">
        <f>_xlfn.XLOOKUP(K284,[2]analyte_order!$B:$B,[2]analyte_order!$C:$C)</f>
        <v>27619-97-2</v>
      </c>
      <c r="M284">
        <f>_xlfn.XLOOKUP(L284,[2]analyte_order!$C:$C,[2]analyte_order!$E:$E)</f>
        <v>23</v>
      </c>
      <c r="N284">
        <v>4.3486016671825473E-2</v>
      </c>
    </row>
    <row r="285" spans="1:14">
      <c r="A285" t="s">
        <v>233</v>
      </c>
      <c r="B285" t="str">
        <f>_xlfn.XLOOKUP(A285,'[1]Tissue Data'!$A:$A,'[1]Tissue Data'!$C:$C)</f>
        <v>Down</v>
      </c>
      <c r="C285" s="2">
        <f>_xlfn.XLOOKUP(A285,'[1]Tissue Data'!$A:$A,'[1]Tissue Data'!$D:$D)</f>
        <v>44314</v>
      </c>
      <c r="D285" s="2" t="str">
        <f>_xlfn.XLOOKUP(A285,'[1]Tissue Data'!$A:$A,'[1]Tissue Data'!$F:$F)</f>
        <v>Pumpkinseed</v>
      </c>
      <c r="E285" t="str">
        <f>_xlfn.XLOOKUP(A285,'[1]Tissue Data'!$A:$A,'[1]Tissue Data'!$H:$H)</f>
        <v>Lepomis</v>
      </c>
      <c r="F285" t="str">
        <f>_xlfn.XLOOKUP(A285,'[1]Tissue Data'!$A:$A,'[1]Tissue Data'!$I:$I)</f>
        <v>gibbosus</v>
      </c>
      <c r="G285" t="str">
        <f>_xlfn.XLOOKUP(A285,'[1]Tissue Data'!$A:$A,'[1]Tissue Data'!J:J)</f>
        <v>U</v>
      </c>
      <c r="H285" t="str">
        <f>_xlfn.XLOOKUP(A285,'[1]Tissue Data'!$A:$A,'[1]Tissue Data'!K:K)</f>
        <v>Whole Body</v>
      </c>
      <c r="I285">
        <f>_xlfn.XLOOKUP(A285,'[1]Tissue Data'!$A:$A,'[1]Tissue Data'!L:L)</f>
        <v>6.5</v>
      </c>
      <c r="J285">
        <f>_xlfn.XLOOKUP(A285,'[1]Tissue Data'!$A:$A,'[1]Tissue Data'!M:M)</f>
        <v>5.57</v>
      </c>
      <c r="K285" t="s">
        <v>45</v>
      </c>
      <c r="L285" t="str">
        <f>_xlfn.XLOOKUP(K285,[2]analyte_order!$B:$B,[2]analyte_order!$C:$C)</f>
        <v>39108-34-4</v>
      </c>
      <c r="M285">
        <f>_xlfn.XLOOKUP(L285,[2]analyte_order!$C:$C,[2]analyte_order!$E:$E)</f>
        <v>24</v>
      </c>
      <c r="N285">
        <v>2.92</v>
      </c>
    </row>
    <row r="286" spans="1:14">
      <c r="A286" t="s">
        <v>233</v>
      </c>
      <c r="B286" t="str">
        <f>_xlfn.XLOOKUP(A286,'[1]Tissue Data'!$A:$A,'[1]Tissue Data'!$C:$C)</f>
        <v>Down</v>
      </c>
      <c r="C286" s="2">
        <f>_xlfn.XLOOKUP(A286,'[1]Tissue Data'!$A:$A,'[1]Tissue Data'!$D:$D)</f>
        <v>44314</v>
      </c>
      <c r="D286" s="2" t="str">
        <f>_xlfn.XLOOKUP(A286,'[1]Tissue Data'!$A:$A,'[1]Tissue Data'!$F:$F)</f>
        <v>Pumpkinseed</v>
      </c>
      <c r="E286" t="str">
        <f>_xlfn.XLOOKUP(A286,'[1]Tissue Data'!$A:$A,'[1]Tissue Data'!$H:$H)</f>
        <v>Lepomis</v>
      </c>
      <c r="F286" t="str">
        <f>_xlfn.XLOOKUP(A286,'[1]Tissue Data'!$A:$A,'[1]Tissue Data'!$I:$I)</f>
        <v>gibbosus</v>
      </c>
      <c r="G286" t="str">
        <f>_xlfn.XLOOKUP(A286,'[1]Tissue Data'!$A:$A,'[1]Tissue Data'!J:J)</f>
        <v>U</v>
      </c>
      <c r="H286" t="str">
        <f>_xlfn.XLOOKUP(A286,'[1]Tissue Data'!$A:$A,'[1]Tissue Data'!K:K)</f>
        <v>Whole Body</v>
      </c>
      <c r="I286">
        <f>_xlfn.XLOOKUP(A286,'[1]Tissue Data'!$A:$A,'[1]Tissue Data'!L:L)</f>
        <v>6.5</v>
      </c>
      <c r="J286">
        <f>_xlfn.XLOOKUP(A286,'[1]Tissue Data'!$A:$A,'[1]Tissue Data'!M:M)</f>
        <v>5.57</v>
      </c>
      <c r="K286" t="s">
        <v>46</v>
      </c>
      <c r="L286" t="str">
        <f>_xlfn.XLOOKUP(K286,[2]analyte_order!$B:$B,[2]analyte_order!$C:$C)</f>
        <v>120226-60-0</v>
      </c>
      <c r="M286">
        <f>_xlfn.XLOOKUP(L286,[2]analyte_order!$C:$C,[2]analyte_order!$E:$E)</f>
        <v>25</v>
      </c>
      <c r="N286">
        <v>0.28731415263157889</v>
      </c>
    </row>
    <row r="287" spans="1:14">
      <c r="A287" t="s">
        <v>233</v>
      </c>
      <c r="B287" t="str">
        <f>_xlfn.XLOOKUP(A287,'[1]Tissue Data'!$A:$A,'[1]Tissue Data'!$C:$C)</f>
        <v>Down</v>
      </c>
      <c r="C287" s="2">
        <f>_xlfn.XLOOKUP(A287,'[1]Tissue Data'!$A:$A,'[1]Tissue Data'!$D:$D)</f>
        <v>44314</v>
      </c>
      <c r="D287" s="2" t="str">
        <f>_xlfn.XLOOKUP(A287,'[1]Tissue Data'!$A:$A,'[1]Tissue Data'!$F:$F)</f>
        <v>Pumpkinseed</v>
      </c>
      <c r="E287" t="str">
        <f>_xlfn.XLOOKUP(A287,'[1]Tissue Data'!$A:$A,'[1]Tissue Data'!$H:$H)</f>
        <v>Lepomis</v>
      </c>
      <c r="F287" t="str">
        <f>_xlfn.XLOOKUP(A287,'[1]Tissue Data'!$A:$A,'[1]Tissue Data'!$I:$I)</f>
        <v>gibbosus</v>
      </c>
      <c r="G287" t="str">
        <f>_xlfn.XLOOKUP(A287,'[1]Tissue Data'!$A:$A,'[1]Tissue Data'!J:J)</f>
        <v>U</v>
      </c>
      <c r="H287" t="str">
        <f>_xlfn.XLOOKUP(A287,'[1]Tissue Data'!$A:$A,'[1]Tissue Data'!K:K)</f>
        <v>Whole Body</v>
      </c>
      <c r="I287">
        <f>_xlfn.XLOOKUP(A287,'[1]Tissue Data'!$A:$A,'[1]Tissue Data'!L:L)</f>
        <v>6.5</v>
      </c>
      <c r="J287">
        <f>_xlfn.XLOOKUP(A287,'[1]Tissue Data'!$A:$A,'[1]Tissue Data'!M:M)</f>
        <v>5.57</v>
      </c>
      <c r="K287" t="s">
        <v>47</v>
      </c>
      <c r="L287" t="str">
        <f>_xlfn.XLOOKUP(K287,[2]analyte_order!$B:$B,[2]analyte_order!$C:$C)</f>
        <v>356-02-5</v>
      </c>
      <c r="M287">
        <f>_xlfn.XLOOKUP(L287,[2]analyte_order!$C:$C,[2]analyte_order!$E:$E)</f>
        <v>38</v>
      </c>
      <c r="N287">
        <v>8.3083632798964718E-2</v>
      </c>
    </row>
    <row r="288" spans="1:14">
      <c r="A288" t="s">
        <v>233</v>
      </c>
      <c r="B288" t="str">
        <f>_xlfn.XLOOKUP(A288,'[1]Tissue Data'!$A:$A,'[1]Tissue Data'!$C:$C)</f>
        <v>Down</v>
      </c>
      <c r="C288" s="2">
        <f>_xlfn.XLOOKUP(A288,'[1]Tissue Data'!$A:$A,'[1]Tissue Data'!$D:$D)</f>
        <v>44314</v>
      </c>
      <c r="D288" s="2" t="str">
        <f>_xlfn.XLOOKUP(A288,'[1]Tissue Data'!$A:$A,'[1]Tissue Data'!$F:$F)</f>
        <v>Pumpkinseed</v>
      </c>
      <c r="E288" t="str">
        <f>_xlfn.XLOOKUP(A288,'[1]Tissue Data'!$A:$A,'[1]Tissue Data'!$H:$H)</f>
        <v>Lepomis</v>
      </c>
      <c r="F288" t="str">
        <f>_xlfn.XLOOKUP(A288,'[1]Tissue Data'!$A:$A,'[1]Tissue Data'!$I:$I)</f>
        <v>gibbosus</v>
      </c>
      <c r="G288" t="str">
        <f>_xlfn.XLOOKUP(A288,'[1]Tissue Data'!$A:$A,'[1]Tissue Data'!J:J)</f>
        <v>U</v>
      </c>
      <c r="H288" t="str">
        <f>_xlfn.XLOOKUP(A288,'[1]Tissue Data'!$A:$A,'[1]Tissue Data'!K:K)</f>
        <v>Whole Body</v>
      </c>
      <c r="I288">
        <f>_xlfn.XLOOKUP(A288,'[1]Tissue Data'!$A:$A,'[1]Tissue Data'!L:L)</f>
        <v>6.5</v>
      </c>
      <c r="J288">
        <f>_xlfn.XLOOKUP(A288,'[1]Tissue Data'!$A:$A,'[1]Tissue Data'!M:M)</f>
        <v>5.57</v>
      </c>
      <c r="K288" t="s">
        <v>48</v>
      </c>
      <c r="L288" t="str">
        <f>_xlfn.XLOOKUP(K288,[2]analyte_order!$B:$B,[2]analyte_order!$C:$C)</f>
        <v>914637-49-3</v>
      </c>
      <c r="M288">
        <f>_xlfn.XLOOKUP(L288,[2]analyte_order!$C:$C,[2]analyte_order!$E:$E)</f>
        <v>39</v>
      </c>
      <c r="N288">
        <v>0.19095527463157891</v>
      </c>
    </row>
    <row r="289" spans="1:14">
      <c r="A289" t="s">
        <v>233</v>
      </c>
      <c r="B289" t="str">
        <f>_xlfn.XLOOKUP(A289,'[1]Tissue Data'!$A:$A,'[1]Tissue Data'!$C:$C)</f>
        <v>Down</v>
      </c>
      <c r="C289" s="2">
        <f>_xlfn.XLOOKUP(A289,'[1]Tissue Data'!$A:$A,'[1]Tissue Data'!$D:$D)</f>
        <v>44314</v>
      </c>
      <c r="D289" s="2" t="str">
        <f>_xlfn.XLOOKUP(A289,'[1]Tissue Data'!$A:$A,'[1]Tissue Data'!$F:$F)</f>
        <v>Pumpkinseed</v>
      </c>
      <c r="E289" t="str">
        <f>_xlfn.XLOOKUP(A289,'[1]Tissue Data'!$A:$A,'[1]Tissue Data'!$H:$H)</f>
        <v>Lepomis</v>
      </c>
      <c r="F289" t="str">
        <f>_xlfn.XLOOKUP(A289,'[1]Tissue Data'!$A:$A,'[1]Tissue Data'!$I:$I)</f>
        <v>gibbosus</v>
      </c>
      <c r="G289" t="str">
        <f>_xlfn.XLOOKUP(A289,'[1]Tissue Data'!$A:$A,'[1]Tissue Data'!J:J)</f>
        <v>U</v>
      </c>
      <c r="H289" t="str">
        <f>_xlfn.XLOOKUP(A289,'[1]Tissue Data'!$A:$A,'[1]Tissue Data'!K:K)</f>
        <v>Whole Body</v>
      </c>
      <c r="I289">
        <f>_xlfn.XLOOKUP(A289,'[1]Tissue Data'!$A:$A,'[1]Tissue Data'!L:L)</f>
        <v>6.5</v>
      </c>
      <c r="J289">
        <f>_xlfn.XLOOKUP(A289,'[1]Tissue Data'!$A:$A,'[1]Tissue Data'!M:M)</f>
        <v>5.57</v>
      </c>
      <c r="K289" t="s">
        <v>49</v>
      </c>
      <c r="L289" t="str">
        <f>_xlfn.XLOOKUP(K289,[2]analyte_order!$B:$B,[2]analyte_order!$C:$C)</f>
        <v>812-70-4</v>
      </c>
      <c r="M289">
        <f>_xlfn.XLOOKUP(L289,[2]analyte_order!$C:$C,[2]analyte_order!$E:$E)</f>
        <v>40</v>
      </c>
      <c r="N289">
        <v>1.63</v>
      </c>
    </row>
    <row r="290" spans="1:14">
      <c r="A290" t="s">
        <v>233</v>
      </c>
      <c r="B290" t="str">
        <f>_xlfn.XLOOKUP(A290,'[1]Tissue Data'!$A:$A,'[1]Tissue Data'!$C:$C)</f>
        <v>Down</v>
      </c>
      <c r="C290" s="2">
        <f>_xlfn.XLOOKUP(A290,'[1]Tissue Data'!$A:$A,'[1]Tissue Data'!$D:$D)</f>
        <v>44314</v>
      </c>
      <c r="D290" s="2" t="str">
        <f>_xlfn.XLOOKUP(A290,'[1]Tissue Data'!$A:$A,'[1]Tissue Data'!$F:$F)</f>
        <v>Pumpkinseed</v>
      </c>
      <c r="E290" t="str">
        <f>_xlfn.XLOOKUP(A290,'[1]Tissue Data'!$A:$A,'[1]Tissue Data'!$H:$H)</f>
        <v>Lepomis</v>
      </c>
      <c r="F290" t="str">
        <f>_xlfn.XLOOKUP(A290,'[1]Tissue Data'!$A:$A,'[1]Tissue Data'!$I:$I)</f>
        <v>gibbosus</v>
      </c>
      <c r="G290" t="str">
        <f>_xlfn.XLOOKUP(A290,'[1]Tissue Data'!$A:$A,'[1]Tissue Data'!J:J)</f>
        <v>U</v>
      </c>
      <c r="H290" t="str">
        <f>_xlfn.XLOOKUP(A290,'[1]Tissue Data'!$A:$A,'[1]Tissue Data'!K:K)</f>
        <v>Whole Body</v>
      </c>
      <c r="I290">
        <f>_xlfn.XLOOKUP(A290,'[1]Tissue Data'!$A:$A,'[1]Tissue Data'!L:L)</f>
        <v>6.5</v>
      </c>
      <c r="J290">
        <f>_xlfn.XLOOKUP(A290,'[1]Tissue Data'!$A:$A,'[1]Tissue Data'!M:M)</f>
        <v>5.57</v>
      </c>
      <c r="K290" t="s">
        <v>50</v>
      </c>
      <c r="L290" t="str">
        <f>_xlfn.XLOOKUP(K290,[2]analyte_order!$B:$B,[2]analyte_order!$C:$C)</f>
        <v>53826-12-3</v>
      </c>
      <c r="M290">
        <f>_xlfn.XLOOKUP(L290,[2]analyte_order!$C:$C,[2]analyte_order!$E:$E)</f>
        <v>41</v>
      </c>
      <c r="N290">
        <v>3.58</v>
      </c>
    </row>
    <row r="291" spans="1:14">
      <c r="A291" t="s">
        <v>233</v>
      </c>
      <c r="B291" t="str">
        <f>_xlfn.XLOOKUP(A291,'[1]Tissue Data'!$A:$A,'[1]Tissue Data'!$C:$C)</f>
        <v>Down</v>
      </c>
      <c r="C291" s="2">
        <f>_xlfn.XLOOKUP(A291,'[1]Tissue Data'!$A:$A,'[1]Tissue Data'!$D:$D)</f>
        <v>44314</v>
      </c>
      <c r="D291" s="2" t="str">
        <f>_xlfn.XLOOKUP(A291,'[1]Tissue Data'!$A:$A,'[1]Tissue Data'!$F:$F)</f>
        <v>Pumpkinseed</v>
      </c>
      <c r="E291" t="str">
        <f>_xlfn.XLOOKUP(A291,'[1]Tissue Data'!$A:$A,'[1]Tissue Data'!$H:$H)</f>
        <v>Lepomis</v>
      </c>
      <c r="F291" t="str">
        <f>_xlfn.XLOOKUP(A291,'[1]Tissue Data'!$A:$A,'[1]Tissue Data'!$I:$I)</f>
        <v>gibbosus</v>
      </c>
      <c r="G291" t="str">
        <f>_xlfn.XLOOKUP(A291,'[1]Tissue Data'!$A:$A,'[1]Tissue Data'!J:J)</f>
        <v>U</v>
      </c>
      <c r="H291" t="str">
        <f>_xlfn.XLOOKUP(A291,'[1]Tissue Data'!$A:$A,'[1]Tissue Data'!K:K)</f>
        <v>Whole Body</v>
      </c>
      <c r="I291">
        <f>_xlfn.XLOOKUP(A291,'[1]Tissue Data'!$A:$A,'[1]Tissue Data'!L:L)</f>
        <v>6.5</v>
      </c>
      <c r="J291">
        <f>_xlfn.XLOOKUP(A291,'[1]Tissue Data'!$A:$A,'[1]Tissue Data'!M:M)</f>
        <v>5.57</v>
      </c>
      <c r="K291" t="s">
        <v>51</v>
      </c>
      <c r="L291" t="str">
        <f>_xlfn.XLOOKUP(K291,[2]analyte_order!$B:$B,[2]analyte_order!$C:$C)</f>
        <v>27854-31-5</v>
      </c>
      <c r="M291">
        <f>_xlfn.XLOOKUP(L291,[2]analyte_order!$C:$C,[2]analyte_order!$E:$E)</f>
        <v>42</v>
      </c>
      <c r="N291">
        <v>2.8811247911184525E-2</v>
      </c>
    </row>
    <row r="292" spans="1:14">
      <c r="A292" t="s">
        <v>233</v>
      </c>
      <c r="B292" t="str">
        <f>_xlfn.XLOOKUP(A292,'[1]Tissue Data'!$A:$A,'[1]Tissue Data'!$C:$C)</f>
        <v>Down</v>
      </c>
      <c r="C292" s="2">
        <f>_xlfn.XLOOKUP(A292,'[1]Tissue Data'!$A:$A,'[1]Tissue Data'!$D:$D)</f>
        <v>44314</v>
      </c>
      <c r="D292" s="2" t="str">
        <f>_xlfn.XLOOKUP(A292,'[1]Tissue Data'!$A:$A,'[1]Tissue Data'!$F:$F)</f>
        <v>Pumpkinseed</v>
      </c>
      <c r="E292" t="str">
        <f>_xlfn.XLOOKUP(A292,'[1]Tissue Data'!$A:$A,'[1]Tissue Data'!$H:$H)</f>
        <v>Lepomis</v>
      </c>
      <c r="F292" t="str">
        <f>_xlfn.XLOOKUP(A292,'[1]Tissue Data'!$A:$A,'[1]Tissue Data'!$I:$I)</f>
        <v>gibbosus</v>
      </c>
      <c r="G292" t="str">
        <f>_xlfn.XLOOKUP(A292,'[1]Tissue Data'!$A:$A,'[1]Tissue Data'!J:J)</f>
        <v>U</v>
      </c>
      <c r="H292" t="str">
        <f>_xlfn.XLOOKUP(A292,'[1]Tissue Data'!$A:$A,'[1]Tissue Data'!K:K)</f>
        <v>Whole Body</v>
      </c>
      <c r="I292">
        <f>_xlfn.XLOOKUP(A292,'[1]Tissue Data'!$A:$A,'[1]Tissue Data'!L:L)</f>
        <v>6.5</v>
      </c>
      <c r="J292">
        <f>_xlfn.XLOOKUP(A292,'[1]Tissue Data'!$A:$A,'[1]Tissue Data'!M:M)</f>
        <v>5.57</v>
      </c>
      <c r="K292" t="s">
        <v>52</v>
      </c>
      <c r="L292" t="str">
        <f>_xlfn.XLOOKUP(K292,[2]analyte_order!$B:$B,[2]analyte_order!$C:$C)</f>
        <v>53826-13-4</v>
      </c>
      <c r="M292">
        <f>_xlfn.XLOOKUP(L292,[2]analyte_order!$C:$C,[2]analyte_order!$E:$E)</f>
        <v>43</v>
      </c>
      <c r="N292">
        <v>0.10747982068402706</v>
      </c>
    </row>
    <row r="293" spans="1:14">
      <c r="A293" t="s">
        <v>233</v>
      </c>
      <c r="B293" t="str">
        <f>_xlfn.XLOOKUP(A293,'[1]Tissue Data'!$A:$A,'[1]Tissue Data'!$C:$C)</f>
        <v>Down</v>
      </c>
      <c r="C293" s="2">
        <f>_xlfn.XLOOKUP(A293,'[1]Tissue Data'!$A:$A,'[1]Tissue Data'!$D:$D)</f>
        <v>44314</v>
      </c>
      <c r="D293" s="2" t="str">
        <f>_xlfn.XLOOKUP(A293,'[1]Tissue Data'!$A:$A,'[1]Tissue Data'!$F:$F)</f>
        <v>Pumpkinseed</v>
      </c>
      <c r="E293" t="str">
        <f>_xlfn.XLOOKUP(A293,'[1]Tissue Data'!$A:$A,'[1]Tissue Data'!$H:$H)</f>
        <v>Lepomis</v>
      </c>
      <c r="F293" t="str">
        <f>_xlfn.XLOOKUP(A293,'[1]Tissue Data'!$A:$A,'[1]Tissue Data'!$I:$I)</f>
        <v>gibbosus</v>
      </c>
      <c r="G293" t="str">
        <f>_xlfn.XLOOKUP(A293,'[1]Tissue Data'!$A:$A,'[1]Tissue Data'!J:J)</f>
        <v>U</v>
      </c>
      <c r="H293" t="str">
        <f>_xlfn.XLOOKUP(A293,'[1]Tissue Data'!$A:$A,'[1]Tissue Data'!K:K)</f>
        <v>Whole Body</v>
      </c>
      <c r="I293">
        <f>_xlfn.XLOOKUP(A293,'[1]Tissue Data'!$A:$A,'[1]Tissue Data'!L:L)</f>
        <v>6.5</v>
      </c>
      <c r="J293">
        <f>_xlfn.XLOOKUP(A293,'[1]Tissue Data'!$A:$A,'[1]Tissue Data'!M:M)</f>
        <v>5.57</v>
      </c>
      <c r="K293" t="s">
        <v>53</v>
      </c>
      <c r="L293" t="str">
        <f>_xlfn.XLOOKUP(K293,[2]analyte_order!$B:$B,[2]analyte_order!$C:$C)</f>
        <v>161094-75-3</v>
      </c>
      <c r="M293">
        <f>_xlfn.XLOOKUP(L293,[2]analyte_order!$C:$C,[2]analyte_order!$E:$E)</f>
        <v>44</v>
      </c>
      <c r="N293">
        <v>5.6556231018381579E-2</v>
      </c>
    </row>
    <row r="294" spans="1:14">
      <c r="A294" t="s">
        <v>233</v>
      </c>
      <c r="B294" t="str">
        <f>_xlfn.XLOOKUP(A294,'[1]Tissue Data'!$A:$A,'[1]Tissue Data'!$C:$C)</f>
        <v>Down</v>
      </c>
      <c r="C294" s="2">
        <f>_xlfn.XLOOKUP(A294,'[1]Tissue Data'!$A:$A,'[1]Tissue Data'!$D:$D)</f>
        <v>44314</v>
      </c>
      <c r="D294" s="2" t="str">
        <f>_xlfn.XLOOKUP(A294,'[1]Tissue Data'!$A:$A,'[1]Tissue Data'!$F:$F)</f>
        <v>Pumpkinseed</v>
      </c>
      <c r="E294" t="str">
        <f>_xlfn.XLOOKUP(A294,'[1]Tissue Data'!$A:$A,'[1]Tissue Data'!$H:$H)</f>
        <v>Lepomis</v>
      </c>
      <c r="F294" t="str">
        <f>_xlfn.XLOOKUP(A294,'[1]Tissue Data'!$A:$A,'[1]Tissue Data'!$I:$I)</f>
        <v>gibbosus</v>
      </c>
      <c r="G294" t="str">
        <f>_xlfn.XLOOKUP(A294,'[1]Tissue Data'!$A:$A,'[1]Tissue Data'!J:J)</f>
        <v>U</v>
      </c>
      <c r="H294" t="str">
        <f>_xlfn.XLOOKUP(A294,'[1]Tissue Data'!$A:$A,'[1]Tissue Data'!K:K)</f>
        <v>Whole Body</v>
      </c>
      <c r="I294">
        <f>_xlfn.XLOOKUP(A294,'[1]Tissue Data'!$A:$A,'[1]Tissue Data'!L:L)</f>
        <v>6.5</v>
      </c>
      <c r="J294">
        <f>_xlfn.XLOOKUP(A294,'[1]Tissue Data'!$A:$A,'[1]Tissue Data'!M:M)</f>
        <v>5.57</v>
      </c>
      <c r="K294" t="s">
        <v>54</v>
      </c>
      <c r="L294" t="str">
        <f>_xlfn.XLOOKUP(K294,[2]analyte_order!$B:$B,[2]analyte_order!$C:$C)</f>
        <v>70887-84-2</v>
      </c>
      <c r="M294">
        <f>_xlfn.XLOOKUP(L294,[2]analyte_order!$C:$C,[2]analyte_order!$E:$E)</f>
        <v>45</v>
      </c>
      <c r="N294">
        <v>4.35269189992077E-2</v>
      </c>
    </row>
    <row r="295" spans="1:14">
      <c r="A295" t="s">
        <v>233</v>
      </c>
      <c r="B295" t="str">
        <f>_xlfn.XLOOKUP(A295,'[1]Tissue Data'!$A:$A,'[1]Tissue Data'!$C:$C)</f>
        <v>Down</v>
      </c>
      <c r="C295" s="2">
        <f>_xlfn.XLOOKUP(A295,'[1]Tissue Data'!$A:$A,'[1]Tissue Data'!$D:$D)</f>
        <v>44314</v>
      </c>
      <c r="D295" s="2" t="str">
        <f>_xlfn.XLOOKUP(A295,'[1]Tissue Data'!$A:$A,'[1]Tissue Data'!$F:$F)</f>
        <v>Pumpkinseed</v>
      </c>
      <c r="E295" t="str">
        <f>_xlfn.XLOOKUP(A295,'[1]Tissue Data'!$A:$A,'[1]Tissue Data'!$H:$H)</f>
        <v>Lepomis</v>
      </c>
      <c r="F295" t="str">
        <f>_xlfn.XLOOKUP(A295,'[1]Tissue Data'!$A:$A,'[1]Tissue Data'!$I:$I)</f>
        <v>gibbosus</v>
      </c>
      <c r="G295" t="str">
        <f>_xlfn.XLOOKUP(A295,'[1]Tissue Data'!$A:$A,'[1]Tissue Data'!J:J)</f>
        <v>U</v>
      </c>
      <c r="H295" t="str">
        <f>_xlfn.XLOOKUP(A295,'[1]Tissue Data'!$A:$A,'[1]Tissue Data'!K:K)</f>
        <v>Whole Body</v>
      </c>
      <c r="I295">
        <f>_xlfn.XLOOKUP(A295,'[1]Tissue Data'!$A:$A,'[1]Tissue Data'!L:L)</f>
        <v>6.5</v>
      </c>
      <c r="J295">
        <f>_xlfn.XLOOKUP(A295,'[1]Tissue Data'!$A:$A,'[1]Tissue Data'!M:M)</f>
        <v>5.57</v>
      </c>
      <c r="K295" t="s">
        <v>55</v>
      </c>
      <c r="L295" t="str">
        <f>_xlfn.XLOOKUP(K295,[2]analyte_order!$B:$B,[2]analyte_order!$C:$C)</f>
        <v>919005-14-4</v>
      </c>
      <c r="M295">
        <f>_xlfn.XLOOKUP(L295,[2]analyte_order!$C:$C,[2]analyte_order!$E:$E)</f>
        <v>35</v>
      </c>
      <c r="N295">
        <v>7.2028119777961322E-2</v>
      </c>
    </row>
    <row r="296" spans="1:14">
      <c r="A296" t="s">
        <v>233</v>
      </c>
      <c r="B296" t="str">
        <f>_xlfn.XLOOKUP(A296,'[1]Tissue Data'!$A:$A,'[1]Tissue Data'!$C:$C)</f>
        <v>Down</v>
      </c>
      <c r="C296" s="2">
        <f>_xlfn.XLOOKUP(A296,'[1]Tissue Data'!$A:$A,'[1]Tissue Data'!$D:$D)</f>
        <v>44314</v>
      </c>
      <c r="D296" s="2" t="str">
        <f>_xlfn.XLOOKUP(A296,'[1]Tissue Data'!$A:$A,'[1]Tissue Data'!$F:$F)</f>
        <v>Pumpkinseed</v>
      </c>
      <c r="E296" t="str">
        <f>_xlfn.XLOOKUP(A296,'[1]Tissue Data'!$A:$A,'[1]Tissue Data'!$H:$H)</f>
        <v>Lepomis</v>
      </c>
      <c r="F296" t="str">
        <f>_xlfn.XLOOKUP(A296,'[1]Tissue Data'!$A:$A,'[1]Tissue Data'!$I:$I)</f>
        <v>gibbosus</v>
      </c>
      <c r="G296" t="str">
        <f>_xlfn.XLOOKUP(A296,'[1]Tissue Data'!$A:$A,'[1]Tissue Data'!J:J)</f>
        <v>U</v>
      </c>
      <c r="H296" t="str">
        <f>_xlfn.XLOOKUP(A296,'[1]Tissue Data'!$A:$A,'[1]Tissue Data'!K:K)</f>
        <v>Whole Body</v>
      </c>
      <c r="I296">
        <f>_xlfn.XLOOKUP(A296,'[1]Tissue Data'!$A:$A,'[1]Tissue Data'!L:L)</f>
        <v>6.5</v>
      </c>
      <c r="J296">
        <f>_xlfn.XLOOKUP(A296,'[1]Tissue Data'!$A:$A,'[1]Tissue Data'!M:M)</f>
        <v>5.57</v>
      </c>
      <c r="K296" t="s">
        <v>56</v>
      </c>
      <c r="L296" t="str">
        <f>_xlfn.XLOOKUP(K296,[2]analyte_order!$B:$B,[2]analyte_order!$C:$C)</f>
        <v>756426-58-1</v>
      </c>
      <c r="M296">
        <f>_xlfn.XLOOKUP(L296,[2]analyte_order!$C:$C,[2]analyte_order!$E:$E)</f>
        <v>36</v>
      </c>
      <c r="N296">
        <v>4.9995196148848516E-2</v>
      </c>
    </row>
    <row r="297" spans="1:14">
      <c r="A297" t="s">
        <v>233</v>
      </c>
      <c r="B297" t="str">
        <f>_xlfn.XLOOKUP(A297,'[1]Tissue Data'!$A:$A,'[1]Tissue Data'!$C:$C)</f>
        <v>Down</v>
      </c>
      <c r="C297" s="2">
        <f>_xlfn.XLOOKUP(A297,'[1]Tissue Data'!$A:$A,'[1]Tissue Data'!$D:$D)</f>
        <v>44314</v>
      </c>
      <c r="D297" s="2" t="str">
        <f>_xlfn.XLOOKUP(A297,'[1]Tissue Data'!$A:$A,'[1]Tissue Data'!$F:$F)</f>
        <v>Pumpkinseed</v>
      </c>
      <c r="E297" t="str">
        <f>_xlfn.XLOOKUP(A297,'[1]Tissue Data'!$A:$A,'[1]Tissue Data'!$H:$H)</f>
        <v>Lepomis</v>
      </c>
      <c r="F297" t="str">
        <f>_xlfn.XLOOKUP(A297,'[1]Tissue Data'!$A:$A,'[1]Tissue Data'!$I:$I)</f>
        <v>gibbosus</v>
      </c>
      <c r="G297" t="str">
        <f>_xlfn.XLOOKUP(A297,'[1]Tissue Data'!$A:$A,'[1]Tissue Data'!J:J)</f>
        <v>U</v>
      </c>
      <c r="H297" t="str">
        <f>_xlfn.XLOOKUP(A297,'[1]Tissue Data'!$A:$A,'[1]Tissue Data'!K:K)</f>
        <v>Whole Body</v>
      </c>
      <c r="I297">
        <f>_xlfn.XLOOKUP(A297,'[1]Tissue Data'!$A:$A,'[1]Tissue Data'!L:L)</f>
        <v>6.5</v>
      </c>
      <c r="J297">
        <f>_xlfn.XLOOKUP(A297,'[1]Tissue Data'!$A:$A,'[1]Tissue Data'!M:M)</f>
        <v>5.57</v>
      </c>
      <c r="K297" t="s">
        <v>57</v>
      </c>
      <c r="L297" t="str">
        <f>_xlfn.XLOOKUP(K297,[2]analyte_order!$B:$B,[2]analyte_order!$C:$C)</f>
        <v>763051-92-9</v>
      </c>
      <c r="M297">
        <f>_xlfn.XLOOKUP(L297,[2]analyte_order!$C:$C,[2]analyte_order!$E:$E)</f>
        <v>37</v>
      </c>
      <c r="N297">
        <v>5.6757477383794636E-2</v>
      </c>
    </row>
    <row r="298" spans="1:14">
      <c r="A298" t="s">
        <v>233</v>
      </c>
      <c r="B298" t="str">
        <f>_xlfn.XLOOKUP(A298,'[1]Tissue Data'!$A:$A,'[1]Tissue Data'!$C:$C)</f>
        <v>Down</v>
      </c>
      <c r="C298" s="2">
        <f>_xlfn.XLOOKUP(A298,'[1]Tissue Data'!$A:$A,'[1]Tissue Data'!$D:$D)</f>
        <v>44314</v>
      </c>
      <c r="D298" s="2" t="str">
        <f>_xlfn.XLOOKUP(A298,'[1]Tissue Data'!$A:$A,'[1]Tissue Data'!$F:$F)</f>
        <v>Pumpkinseed</v>
      </c>
      <c r="E298" t="str">
        <f>_xlfn.XLOOKUP(A298,'[1]Tissue Data'!$A:$A,'[1]Tissue Data'!$H:$H)</f>
        <v>Lepomis</v>
      </c>
      <c r="F298" t="str">
        <f>_xlfn.XLOOKUP(A298,'[1]Tissue Data'!$A:$A,'[1]Tissue Data'!$I:$I)</f>
        <v>gibbosus</v>
      </c>
      <c r="G298" t="str">
        <f>_xlfn.XLOOKUP(A298,'[1]Tissue Data'!$A:$A,'[1]Tissue Data'!J:J)</f>
        <v>U</v>
      </c>
      <c r="H298" t="str">
        <f>_xlfn.XLOOKUP(A298,'[1]Tissue Data'!$A:$A,'[1]Tissue Data'!K:K)</f>
        <v>Whole Body</v>
      </c>
      <c r="I298">
        <f>_xlfn.XLOOKUP(A298,'[1]Tissue Data'!$A:$A,'[1]Tissue Data'!L:L)</f>
        <v>6.5</v>
      </c>
      <c r="J298">
        <f>_xlfn.XLOOKUP(A298,'[1]Tissue Data'!$A:$A,'[1]Tissue Data'!M:M)</f>
        <v>5.57</v>
      </c>
      <c r="K298" t="s">
        <v>58</v>
      </c>
      <c r="L298" t="str">
        <f>_xlfn.XLOOKUP(K298,[2]analyte_order!$B:$B,[2]analyte_order!$C:$C)</f>
        <v>13252-13-6</v>
      </c>
      <c r="M298">
        <f>_xlfn.XLOOKUP(L298,[2]analyte_order!$C:$C,[2]analyte_order!$E:$E)</f>
        <v>34</v>
      </c>
      <c r="N298">
        <v>0.10336240936245511</v>
      </c>
    </row>
    <row r="299" spans="1:14">
      <c r="A299" t="s">
        <v>233</v>
      </c>
      <c r="B299" t="str">
        <f>_xlfn.XLOOKUP(A299,'[1]Tissue Data'!$A:$A,'[1]Tissue Data'!$C:$C)</f>
        <v>Down</v>
      </c>
      <c r="C299" s="2">
        <f>_xlfn.XLOOKUP(A299,'[1]Tissue Data'!$A:$A,'[1]Tissue Data'!$D:$D)</f>
        <v>44314</v>
      </c>
      <c r="D299" s="2" t="str">
        <f>_xlfn.XLOOKUP(A299,'[1]Tissue Data'!$A:$A,'[1]Tissue Data'!$F:$F)</f>
        <v>Pumpkinseed</v>
      </c>
      <c r="E299" t="str">
        <f>_xlfn.XLOOKUP(A299,'[1]Tissue Data'!$A:$A,'[1]Tissue Data'!$H:$H)</f>
        <v>Lepomis</v>
      </c>
      <c r="F299" t="str">
        <f>_xlfn.XLOOKUP(A299,'[1]Tissue Data'!$A:$A,'[1]Tissue Data'!$I:$I)</f>
        <v>gibbosus</v>
      </c>
      <c r="G299" t="str">
        <f>_xlfn.XLOOKUP(A299,'[1]Tissue Data'!$A:$A,'[1]Tissue Data'!J:J)</f>
        <v>U</v>
      </c>
      <c r="H299" t="str">
        <f>_xlfn.XLOOKUP(A299,'[1]Tissue Data'!$A:$A,'[1]Tissue Data'!K:K)</f>
        <v>Whole Body</v>
      </c>
      <c r="I299">
        <f>_xlfn.XLOOKUP(A299,'[1]Tissue Data'!$A:$A,'[1]Tissue Data'!L:L)</f>
        <v>6.5</v>
      </c>
      <c r="J299">
        <f>_xlfn.XLOOKUP(A299,'[1]Tissue Data'!$A:$A,'[1]Tissue Data'!M:M)</f>
        <v>5.57</v>
      </c>
      <c r="K299" t="s">
        <v>59</v>
      </c>
      <c r="L299" t="str">
        <f>_xlfn.XLOOKUP(K299,[2]analyte_order!$B:$B,[2]analyte_order!$C:$C)</f>
        <v>57677-95-9</v>
      </c>
      <c r="M299">
        <f>_xlfn.XLOOKUP(L299,[2]analyte_order!$C:$C,[2]analyte_order!$E:$E)</f>
        <v>46</v>
      </c>
      <c r="N299">
        <v>7.667601767113881E-2</v>
      </c>
    </row>
    <row r="300" spans="1:14">
      <c r="A300" t="s">
        <v>233</v>
      </c>
      <c r="B300" t="str">
        <f>_xlfn.XLOOKUP(A300,'[1]Tissue Data'!$A:$A,'[1]Tissue Data'!$C:$C)</f>
        <v>Down</v>
      </c>
      <c r="C300" s="2">
        <f>_xlfn.XLOOKUP(A300,'[1]Tissue Data'!$A:$A,'[1]Tissue Data'!$D:$D)</f>
        <v>44314</v>
      </c>
      <c r="D300" s="2" t="str">
        <f>_xlfn.XLOOKUP(A300,'[1]Tissue Data'!$A:$A,'[1]Tissue Data'!$F:$F)</f>
        <v>Pumpkinseed</v>
      </c>
      <c r="E300" t="str">
        <f>_xlfn.XLOOKUP(A300,'[1]Tissue Data'!$A:$A,'[1]Tissue Data'!$H:$H)</f>
        <v>Lepomis</v>
      </c>
      <c r="F300" t="str">
        <f>_xlfn.XLOOKUP(A300,'[1]Tissue Data'!$A:$A,'[1]Tissue Data'!$I:$I)</f>
        <v>gibbosus</v>
      </c>
      <c r="G300" t="str">
        <f>_xlfn.XLOOKUP(A300,'[1]Tissue Data'!$A:$A,'[1]Tissue Data'!J:J)</f>
        <v>U</v>
      </c>
      <c r="H300" t="str">
        <f>_xlfn.XLOOKUP(A300,'[1]Tissue Data'!$A:$A,'[1]Tissue Data'!K:K)</f>
        <v>Whole Body</v>
      </c>
      <c r="I300">
        <f>_xlfn.XLOOKUP(A300,'[1]Tissue Data'!$A:$A,'[1]Tissue Data'!L:L)</f>
        <v>6.5</v>
      </c>
      <c r="J300">
        <f>_xlfn.XLOOKUP(A300,'[1]Tissue Data'!$A:$A,'[1]Tissue Data'!M:M)</f>
        <v>5.57</v>
      </c>
      <c r="K300" t="s">
        <v>60</v>
      </c>
      <c r="L300" t="str">
        <f>_xlfn.XLOOKUP(K300,[2]analyte_order!$B:$B,[2]analyte_order!$C:$C)</f>
        <v>678-41-1</v>
      </c>
      <c r="M300">
        <f>_xlfn.XLOOKUP(L300,[2]analyte_order!$C:$C,[2]analyte_order!$E:$E)</f>
        <v>56</v>
      </c>
      <c r="N300">
        <v>9.54958901368054E-2</v>
      </c>
    </row>
    <row r="301" spans="1:14">
      <c r="A301" t="s">
        <v>233</v>
      </c>
      <c r="B301" t="str">
        <f>_xlfn.XLOOKUP(A301,'[1]Tissue Data'!$A:$A,'[1]Tissue Data'!$C:$C)</f>
        <v>Down</v>
      </c>
      <c r="C301" s="2">
        <f>_xlfn.XLOOKUP(A301,'[1]Tissue Data'!$A:$A,'[1]Tissue Data'!$D:$D)</f>
        <v>44314</v>
      </c>
      <c r="D301" s="2" t="str">
        <f>_xlfn.XLOOKUP(A301,'[1]Tissue Data'!$A:$A,'[1]Tissue Data'!$F:$F)</f>
        <v>Pumpkinseed</v>
      </c>
      <c r="E301" t="str">
        <f>_xlfn.XLOOKUP(A301,'[1]Tissue Data'!$A:$A,'[1]Tissue Data'!$H:$H)</f>
        <v>Lepomis</v>
      </c>
      <c r="F301" t="str">
        <f>_xlfn.XLOOKUP(A301,'[1]Tissue Data'!$A:$A,'[1]Tissue Data'!$I:$I)</f>
        <v>gibbosus</v>
      </c>
      <c r="G301" t="str">
        <f>_xlfn.XLOOKUP(A301,'[1]Tissue Data'!$A:$A,'[1]Tissue Data'!J:J)</f>
        <v>U</v>
      </c>
      <c r="H301" t="str">
        <f>_xlfn.XLOOKUP(A301,'[1]Tissue Data'!$A:$A,'[1]Tissue Data'!K:K)</f>
        <v>Whole Body</v>
      </c>
      <c r="I301">
        <f>_xlfn.XLOOKUP(A301,'[1]Tissue Data'!$A:$A,'[1]Tissue Data'!L:L)</f>
        <v>6.5</v>
      </c>
      <c r="J301">
        <f>_xlfn.XLOOKUP(A301,'[1]Tissue Data'!$A:$A,'[1]Tissue Data'!M:M)</f>
        <v>5.57</v>
      </c>
      <c r="K301" t="s">
        <v>61</v>
      </c>
      <c r="L301" t="str">
        <f>_xlfn.XLOOKUP(K301,[2]analyte_order!$B:$B,[2]analyte_order!$C:$C)</f>
        <v>2965-52-8</v>
      </c>
      <c r="M301">
        <f>_xlfn.XLOOKUP(L301,[2]analyte_order!$C:$C,[2]analyte_order!$E:$E)</f>
        <v>57</v>
      </c>
      <c r="N301">
        <v>0.1267694908092119</v>
      </c>
    </row>
    <row r="302" spans="1:14">
      <c r="A302" t="s">
        <v>234</v>
      </c>
      <c r="B302" t="str">
        <f>_xlfn.XLOOKUP(A302,'[1]Tissue Data'!$A:$A,'[1]Tissue Data'!$C:$C)</f>
        <v>Down</v>
      </c>
      <c r="C302" s="2">
        <f>_xlfn.XLOOKUP(A302,'[1]Tissue Data'!$A:$A,'[1]Tissue Data'!$D:$D)</f>
        <v>44314</v>
      </c>
      <c r="D302" s="2" t="str">
        <f>_xlfn.XLOOKUP(A302,'[1]Tissue Data'!$A:$A,'[1]Tissue Data'!$F:$F)</f>
        <v>Pumpkinseed</v>
      </c>
      <c r="E302" t="str">
        <f>_xlfn.XLOOKUP(A302,'[1]Tissue Data'!$A:$A,'[1]Tissue Data'!$H:$H)</f>
        <v>Lepomis</v>
      </c>
      <c r="F302" t="str">
        <f>_xlfn.XLOOKUP(A302,'[1]Tissue Data'!$A:$A,'[1]Tissue Data'!$I:$I)</f>
        <v>gibbosus</v>
      </c>
      <c r="G302" t="str">
        <f>_xlfn.XLOOKUP(A302,'[1]Tissue Data'!$A:$A,'[1]Tissue Data'!J:J)</f>
        <v>U</v>
      </c>
      <c r="H302" t="str">
        <f>_xlfn.XLOOKUP(A302,'[1]Tissue Data'!$A:$A,'[1]Tissue Data'!K:K)</f>
        <v>Whole Body</v>
      </c>
      <c r="I302">
        <f>_xlfn.XLOOKUP(A302,'[1]Tissue Data'!$A:$A,'[1]Tissue Data'!L:L)</f>
        <v>4.75</v>
      </c>
      <c r="J302">
        <f>_xlfn.XLOOKUP(A302,'[1]Tissue Data'!$A:$A,'[1]Tissue Data'!M:M)</f>
        <v>9.52</v>
      </c>
      <c r="K302" t="s">
        <v>12</v>
      </c>
      <c r="L302" t="str">
        <f>_xlfn.XLOOKUP(K302,[2]analyte_order!$B:$B,[2]analyte_order!$C:$C)</f>
        <v>375-22-4</v>
      </c>
      <c r="M302">
        <f>_xlfn.XLOOKUP(L302,[2]analyte_order!$C:$C,[2]analyte_order!$E:$E)</f>
        <v>1</v>
      </c>
      <c r="N302">
        <v>0.10085163603765128</v>
      </c>
    </row>
    <row r="303" spans="1:14">
      <c r="A303" t="s">
        <v>234</v>
      </c>
      <c r="B303" t="str">
        <f>_xlfn.XLOOKUP(A303,'[1]Tissue Data'!$A:$A,'[1]Tissue Data'!$C:$C)</f>
        <v>Down</v>
      </c>
      <c r="C303" s="2">
        <f>_xlfn.XLOOKUP(A303,'[1]Tissue Data'!$A:$A,'[1]Tissue Data'!$D:$D)</f>
        <v>44314</v>
      </c>
      <c r="D303" s="2" t="str">
        <f>_xlfn.XLOOKUP(A303,'[1]Tissue Data'!$A:$A,'[1]Tissue Data'!$F:$F)</f>
        <v>Pumpkinseed</v>
      </c>
      <c r="E303" t="str">
        <f>_xlfn.XLOOKUP(A303,'[1]Tissue Data'!$A:$A,'[1]Tissue Data'!$H:$H)</f>
        <v>Lepomis</v>
      </c>
      <c r="F303" t="str">
        <f>_xlfn.XLOOKUP(A303,'[1]Tissue Data'!$A:$A,'[1]Tissue Data'!$I:$I)</f>
        <v>gibbosus</v>
      </c>
      <c r="G303" t="str">
        <f>_xlfn.XLOOKUP(A303,'[1]Tissue Data'!$A:$A,'[1]Tissue Data'!J:J)</f>
        <v>U</v>
      </c>
      <c r="H303" t="str">
        <f>_xlfn.XLOOKUP(A303,'[1]Tissue Data'!$A:$A,'[1]Tissue Data'!K:K)</f>
        <v>Whole Body</v>
      </c>
      <c r="I303">
        <f>_xlfn.XLOOKUP(A303,'[1]Tissue Data'!$A:$A,'[1]Tissue Data'!L:L)</f>
        <v>4.75</v>
      </c>
      <c r="J303">
        <f>_xlfn.XLOOKUP(A303,'[1]Tissue Data'!$A:$A,'[1]Tissue Data'!M:M)</f>
        <v>9.52</v>
      </c>
      <c r="K303" t="s">
        <v>13</v>
      </c>
      <c r="L303" t="str">
        <f>_xlfn.XLOOKUP(K303,[2]analyte_order!$B:$B,[2]analyte_order!$C:$C)</f>
        <v>2706-90-3</v>
      </c>
      <c r="M303">
        <f>_xlfn.XLOOKUP(L303,[2]analyte_order!$C:$C,[2]analyte_order!$E:$E)</f>
        <v>2</v>
      </c>
      <c r="N303">
        <v>0.17813961343349394</v>
      </c>
    </row>
    <row r="304" spans="1:14">
      <c r="A304" t="s">
        <v>234</v>
      </c>
      <c r="B304" t="str">
        <f>_xlfn.XLOOKUP(A304,'[1]Tissue Data'!$A:$A,'[1]Tissue Data'!$C:$C)</f>
        <v>Down</v>
      </c>
      <c r="C304" s="2">
        <f>_xlfn.XLOOKUP(A304,'[1]Tissue Data'!$A:$A,'[1]Tissue Data'!$D:$D)</f>
        <v>44314</v>
      </c>
      <c r="D304" s="2" t="str">
        <f>_xlfn.XLOOKUP(A304,'[1]Tissue Data'!$A:$A,'[1]Tissue Data'!$F:$F)</f>
        <v>Pumpkinseed</v>
      </c>
      <c r="E304" t="str">
        <f>_xlfn.XLOOKUP(A304,'[1]Tissue Data'!$A:$A,'[1]Tissue Data'!$H:$H)</f>
        <v>Lepomis</v>
      </c>
      <c r="F304" t="str">
        <f>_xlfn.XLOOKUP(A304,'[1]Tissue Data'!$A:$A,'[1]Tissue Data'!$I:$I)</f>
        <v>gibbosus</v>
      </c>
      <c r="G304" t="str">
        <f>_xlfn.XLOOKUP(A304,'[1]Tissue Data'!$A:$A,'[1]Tissue Data'!J:J)</f>
        <v>U</v>
      </c>
      <c r="H304" t="str">
        <f>_xlfn.XLOOKUP(A304,'[1]Tissue Data'!$A:$A,'[1]Tissue Data'!K:K)</f>
        <v>Whole Body</v>
      </c>
      <c r="I304">
        <f>_xlfn.XLOOKUP(A304,'[1]Tissue Data'!$A:$A,'[1]Tissue Data'!L:L)</f>
        <v>4.75</v>
      </c>
      <c r="J304">
        <f>_xlfn.XLOOKUP(A304,'[1]Tissue Data'!$A:$A,'[1]Tissue Data'!M:M)</f>
        <v>9.52</v>
      </c>
      <c r="K304" t="s">
        <v>14</v>
      </c>
      <c r="L304" t="str">
        <f>_xlfn.XLOOKUP(K304,[2]analyte_order!$B:$B,[2]analyte_order!$C:$C)</f>
        <v>307-24-4</v>
      </c>
      <c r="M304">
        <f>_xlfn.XLOOKUP(L304,[2]analyte_order!$C:$C,[2]analyte_order!$E:$E)</f>
        <v>3</v>
      </c>
      <c r="N304">
        <v>0.13607186639325977</v>
      </c>
    </row>
    <row r="305" spans="1:14">
      <c r="A305" t="s">
        <v>234</v>
      </c>
      <c r="B305" t="str">
        <f>_xlfn.XLOOKUP(A305,'[1]Tissue Data'!$A:$A,'[1]Tissue Data'!$C:$C)</f>
        <v>Down</v>
      </c>
      <c r="C305" s="2">
        <f>_xlfn.XLOOKUP(A305,'[1]Tissue Data'!$A:$A,'[1]Tissue Data'!$D:$D)</f>
        <v>44314</v>
      </c>
      <c r="D305" s="2" t="str">
        <f>_xlfn.XLOOKUP(A305,'[1]Tissue Data'!$A:$A,'[1]Tissue Data'!$F:$F)</f>
        <v>Pumpkinseed</v>
      </c>
      <c r="E305" t="str">
        <f>_xlfn.XLOOKUP(A305,'[1]Tissue Data'!$A:$A,'[1]Tissue Data'!$H:$H)</f>
        <v>Lepomis</v>
      </c>
      <c r="F305" t="str">
        <f>_xlfn.XLOOKUP(A305,'[1]Tissue Data'!$A:$A,'[1]Tissue Data'!$I:$I)</f>
        <v>gibbosus</v>
      </c>
      <c r="G305" t="str">
        <f>_xlfn.XLOOKUP(A305,'[1]Tissue Data'!$A:$A,'[1]Tissue Data'!J:J)</f>
        <v>U</v>
      </c>
      <c r="H305" t="str">
        <f>_xlfn.XLOOKUP(A305,'[1]Tissue Data'!$A:$A,'[1]Tissue Data'!K:K)</f>
        <v>Whole Body</v>
      </c>
      <c r="I305">
        <f>_xlfn.XLOOKUP(A305,'[1]Tissue Data'!$A:$A,'[1]Tissue Data'!L:L)</f>
        <v>4.75</v>
      </c>
      <c r="J305">
        <f>_xlfn.XLOOKUP(A305,'[1]Tissue Data'!$A:$A,'[1]Tissue Data'!M:M)</f>
        <v>9.52</v>
      </c>
      <c r="K305" t="s">
        <v>15</v>
      </c>
      <c r="L305" t="str">
        <f>_xlfn.XLOOKUP(K305,[2]analyte_order!$B:$B,[2]analyte_order!$C:$C)</f>
        <v>375-85-9</v>
      </c>
      <c r="M305">
        <f>_xlfn.XLOOKUP(L305,[2]analyte_order!$C:$C,[2]analyte_order!$E:$E)</f>
        <v>4</v>
      </c>
      <c r="N305">
        <v>0.10085163603765128</v>
      </c>
    </row>
    <row r="306" spans="1:14">
      <c r="A306" t="s">
        <v>234</v>
      </c>
      <c r="B306" t="str">
        <f>_xlfn.XLOOKUP(A306,'[1]Tissue Data'!$A:$A,'[1]Tissue Data'!$C:$C)</f>
        <v>Down</v>
      </c>
      <c r="C306" s="2">
        <f>_xlfn.XLOOKUP(A306,'[1]Tissue Data'!$A:$A,'[1]Tissue Data'!$D:$D)</f>
        <v>44314</v>
      </c>
      <c r="D306" s="2" t="str">
        <f>_xlfn.XLOOKUP(A306,'[1]Tissue Data'!$A:$A,'[1]Tissue Data'!$F:$F)</f>
        <v>Pumpkinseed</v>
      </c>
      <c r="E306" t="str">
        <f>_xlfn.XLOOKUP(A306,'[1]Tissue Data'!$A:$A,'[1]Tissue Data'!$H:$H)</f>
        <v>Lepomis</v>
      </c>
      <c r="F306" t="str">
        <f>_xlfn.XLOOKUP(A306,'[1]Tissue Data'!$A:$A,'[1]Tissue Data'!$I:$I)</f>
        <v>gibbosus</v>
      </c>
      <c r="G306" t="str">
        <f>_xlfn.XLOOKUP(A306,'[1]Tissue Data'!$A:$A,'[1]Tissue Data'!J:J)</f>
        <v>U</v>
      </c>
      <c r="H306" t="str">
        <f>_xlfn.XLOOKUP(A306,'[1]Tissue Data'!$A:$A,'[1]Tissue Data'!K:K)</f>
        <v>Whole Body</v>
      </c>
      <c r="I306">
        <f>_xlfn.XLOOKUP(A306,'[1]Tissue Data'!$A:$A,'[1]Tissue Data'!L:L)</f>
        <v>4.75</v>
      </c>
      <c r="J306">
        <f>_xlfn.XLOOKUP(A306,'[1]Tissue Data'!$A:$A,'[1]Tissue Data'!M:M)</f>
        <v>9.52</v>
      </c>
      <c r="K306" t="s">
        <v>16</v>
      </c>
      <c r="L306" t="str">
        <f>_xlfn.XLOOKUP(K306,[2]analyte_order!$B:$B,[2]analyte_order!$C:$C)</f>
        <v>335-67-1</v>
      </c>
      <c r="M306">
        <f>_xlfn.XLOOKUP(L306,[2]analyte_order!$C:$C,[2]analyte_order!$E:$E)</f>
        <v>5</v>
      </c>
      <c r="N306">
        <v>0.41099999999999998</v>
      </c>
    </row>
    <row r="307" spans="1:14">
      <c r="A307" t="s">
        <v>234</v>
      </c>
      <c r="B307" t="str">
        <f>_xlfn.XLOOKUP(A307,'[1]Tissue Data'!$A:$A,'[1]Tissue Data'!$C:$C)</f>
        <v>Down</v>
      </c>
      <c r="C307" s="2">
        <f>_xlfn.XLOOKUP(A307,'[1]Tissue Data'!$A:$A,'[1]Tissue Data'!$D:$D)</f>
        <v>44314</v>
      </c>
      <c r="D307" s="2" t="str">
        <f>_xlfn.XLOOKUP(A307,'[1]Tissue Data'!$A:$A,'[1]Tissue Data'!$F:$F)</f>
        <v>Pumpkinseed</v>
      </c>
      <c r="E307" t="str">
        <f>_xlfn.XLOOKUP(A307,'[1]Tissue Data'!$A:$A,'[1]Tissue Data'!$H:$H)</f>
        <v>Lepomis</v>
      </c>
      <c r="F307" t="str">
        <f>_xlfn.XLOOKUP(A307,'[1]Tissue Data'!$A:$A,'[1]Tissue Data'!$I:$I)</f>
        <v>gibbosus</v>
      </c>
      <c r="G307" t="str">
        <f>_xlfn.XLOOKUP(A307,'[1]Tissue Data'!$A:$A,'[1]Tissue Data'!J:J)</f>
        <v>U</v>
      </c>
      <c r="H307" t="str">
        <f>_xlfn.XLOOKUP(A307,'[1]Tissue Data'!$A:$A,'[1]Tissue Data'!K:K)</f>
        <v>Whole Body</v>
      </c>
      <c r="I307">
        <f>_xlfn.XLOOKUP(A307,'[1]Tissue Data'!$A:$A,'[1]Tissue Data'!L:L)</f>
        <v>4.75</v>
      </c>
      <c r="J307">
        <f>_xlfn.XLOOKUP(A307,'[1]Tissue Data'!$A:$A,'[1]Tissue Data'!M:M)</f>
        <v>9.52</v>
      </c>
      <c r="K307" t="s">
        <v>17</v>
      </c>
      <c r="L307" t="str">
        <f>_xlfn.XLOOKUP(K307,[2]analyte_order!$B:$B,[2]analyte_order!$C:$C)</f>
        <v>375-95-1</v>
      </c>
      <c r="M307">
        <f>_xlfn.XLOOKUP(L307,[2]analyte_order!$C:$C,[2]analyte_order!$E:$E)</f>
        <v>6</v>
      </c>
      <c r="N307">
        <v>0.53800000000000003</v>
      </c>
    </row>
    <row r="308" spans="1:14">
      <c r="A308" t="s">
        <v>234</v>
      </c>
      <c r="B308" t="str">
        <f>_xlfn.XLOOKUP(A308,'[1]Tissue Data'!$A:$A,'[1]Tissue Data'!$C:$C)</f>
        <v>Down</v>
      </c>
      <c r="C308" s="2">
        <f>_xlfn.XLOOKUP(A308,'[1]Tissue Data'!$A:$A,'[1]Tissue Data'!$D:$D)</f>
        <v>44314</v>
      </c>
      <c r="D308" s="2" t="str">
        <f>_xlfn.XLOOKUP(A308,'[1]Tissue Data'!$A:$A,'[1]Tissue Data'!$F:$F)</f>
        <v>Pumpkinseed</v>
      </c>
      <c r="E308" t="str">
        <f>_xlfn.XLOOKUP(A308,'[1]Tissue Data'!$A:$A,'[1]Tissue Data'!$H:$H)</f>
        <v>Lepomis</v>
      </c>
      <c r="F308" t="str">
        <f>_xlfn.XLOOKUP(A308,'[1]Tissue Data'!$A:$A,'[1]Tissue Data'!$I:$I)</f>
        <v>gibbosus</v>
      </c>
      <c r="G308" t="str">
        <f>_xlfn.XLOOKUP(A308,'[1]Tissue Data'!$A:$A,'[1]Tissue Data'!J:J)</f>
        <v>U</v>
      </c>
      <c r="H308" t="str">
        <f>_xlfn.XLOOKUP(A308,'[1]Tissue Data'!$A:$A,'[1]Tissue Data'!K:K)</f>
        <v>Whole Body</v>
      </c>
      <c r="I308">
        <f>_xlfn.XLOOKUP(A308,'[1]Tissue Data'!$A:$A,'[1]Tissue Data'!L:L)</f>
        <v>4.75</v>
      </c>
      <c r="J308">
        <f>_xlfn.XLOOKUP(A308,'[1]Tissue Data'!$A:$A,'[1]Tissue Data'!M:M)</f>
        <v>9.52</v>
      </c>
      <c r="K308" t="s">
        <v>18</v>
      </c>
      <c r="L308" t="str">
        <f>_xlfn.XLOOKUP(K308,[2]analyte_order!$B:$B,[2]analyte_order!$C:$C)</f>
        <v>335-76-2</v>
      </c>
      <c r="M308">
        <f>_xlfn.XLOOKUP(L308,[2]analyte_order!$C:$C,[2]analyte_order!$E:$E)</f>
        <v>7</v>
      </c>
      <c r="N308">
        <v>3.76</v>
      </c>
    </row>
    <row r="309" spans="1:14">
      <c r="A309" t="s">
        <v>234</v>
      </c>
      <c r="B309" t="str">
        <f>_xlfn.XLOOKUP(A309,'[1]Tissue Data'!$A:$A,'[1]Tissue Data'!$C:$C)</f>
        <v>Down</v>
      </c>
      <c r="C309" s="2">
        <f>_xlfn.XLOOKUP(A309,'[1]Tissue Data'!$A:$A,'[1]Tissue Data'!$D:$D)</f>
        <v>44314</v>
      </c>
      <c r="D309" s="2" t="str">
        <f>_xlfn.XLOOKUP(A309,'[1]Tissue Data'!$A:$A,'[1]Tissue Data'!$F:$F)</f>
        <v>Pumpkinseed</v>
      </c>
      <c r="E309" t="str">
        <f>_xlfn.XLOOKUP(A309,'[1]Tissue Data'!$A:$A,'[1]Tissue Data'!$H:$H)</f>
        <v>Lepomis</v>
      </c>
      <c r="F309" t="str">
        <f>_xlfn.XLOOKUP(A309,'[1]Tissue Data'!$A:$A,'[1]Tissue Data'!$I:$I)</f>
        <v>gibbosus</v>
      </c>
      <c r="G309" t="str">
        <f>_xlfn.XLOOKUP(A309,'[1]Tissue Data'!$A:$A,'[1]Tissue Data'!J:J)</f>
        <v>U</v>
      </c>
      <c r="H309" t="str">
        <f>_xlfn.XLOOKUP(A309,'[1]Tissue Data'!$A:$A,'[1]Tissue Data'!K:K)</f>
        <v>Whole Body</v>
      </c>
      <c r="I309">
        <f>_xlfn.XLOOKUP(A309,'[1]Tissue Data'!$A:$A,'[1]Tissue Data'!L:L)</f>
        <v>4.75</v>
      </c>
      <c r="J309">
        <f>_xlfn.XLOOKUP(A309,'[1]Tissue Data'!$A:$A,'[1]Tissue Data'!M:M)</f>
        <v>9.52</v>
      </c>
      <c r="K309" t="s">
        <v>19</v>
      </c>
      <c r="L309" t="str">
        <f>_xlfn.XLOOKUP(K309,[2]analyte_order!$B:$B,[2]analyte_order!$C:$C)</f>
        <v>2058-94-8</v>
      </c>
      <c r="M309">
        <f>_xlfn.XLOOKUP(L309,[2]analyte_order!$C:$C,[2]analyte_order!$E:$E)</f>
        <v>8</v>
      </c>
      <c r="N309">
        <v>5.88</v>
      </c>
    </row>
    <row r="310" spans="1:14">
      <c r="A310" t="s">
        <v>234</v>
      </c>
      <c r="B310" t="str">
        <f>_xlfn.XLOOKUP(A310,'[1]Tissue Data'!$A:$A,'[1]Tissue Data'!$C:$C)</f>
        <v>Down</v>
      </c>
      <c r="C310" s="2">
        <f>_xlfn.XLOOKUP(A310,'[1]Tissue Data'!$A:$A,'[1]Tissue Data'!$D:$D)</f>
        <v>44314</v>
      </c>
      <c r="D310" s="2" t="str">
        <f>_xlfn.XLOOKUP(A310,'[1]Tissue Data'!$A:$A,'[1]Tissue Data'!$F:$F)</f>
        <v>Pumpkinseed</v>
      </c>
      <c r="E310" t="str">
        <f>_xlfn.XLOOKUP(A310,'[1]Tissue Data'!$A:$A,'[1]Tissue Data'!$H:$H)</f>
        <v>Lepomis</v>
      </c>
      <c r="F310" t="str">
        <f>_xlfn.XLOOKUP(A310,'[1]Tissue Data'!$A:$A,'[1]Tissue Data'!$I:$I)</f>
        <v>gibbosus</v>
      </c>
      <c r="G310" t="str">
        <f>_xlfn.XLOOKUP(A310,'[1]Tissue Data'!$A:$A,'[1]Tissue Data'!J:J)</f>
        <v>U</v>
      </c>
      <c r="H310" t="str">
        <f>_xlfn.XLOOKUP(A310,'[1]Tissue Data'!$A:$A,'[1]Tissue Data'!K:K)</f>
        <v>Whole Body</v>
      </c>
      <c r="I310">
        <f>_xlfn.XLOOKUP(A310,'[1]Tissue Data'!$A:$A,'[1]Tissue Data'!L:L)</f>
        <v>4.75</v>
      </c>
      <c r="J310">
        <f>_xlfn.XLOOKUP(A310,'[1]Tissue Data'!$A:$A,'[1]Tissue Data'!M:M)</f>
        <v>9.52</v>
      </c>
      <c r="K310" t="s">
        <v>20</v>
      </c>
      <c r="L310" t="str">
        <f>_xlfn.XLOOKUP(K310,[2]analyte_order!$B:$B,[2]analyte_order!$C:$C)</f>
        <v>307-55-1</v>
      </c>
      <c r="M310">
        <f>_xlfn.XLOOKUP(L310,[2]analyte_order!$C:$C,[2]analyte_order!$E:$E)</f>
        <v>9</v>
      </c>
      <c r="N310">
        <v>6.1222539276315782E-2</v>
      </c>
    </row>
    <row r="311" spans="1:14">
      <c r="A311" t="s">
        <v>234</v>
      </c>
      <c r="B311" t="str">
        <f>_xlfn.XLOOKUP(A311,'[1]Tissue Data'!$A:$A,'[1]Tissue Data'!$C:$C)</f>
        <v>Down</v>
      </c>
      <c r="C311" s="2">
        <f>_xlfn.XLOOKUP(A311,'[1]Tissue Data'!$A:$A,'[1]Tissue Data'!$D:$D)</f>
        <v>44314</v>
      </c>
      <c r="D311" s="2" t="str">
        <f>_xlfn.XLOOKUP(A311,'[1]Tissue Data'!$A:$A,'[1]Tissue Data'!$F:$F)</f>
        <v>Pumpkinseed</v>
      </c>
      <c r="E311" t="str">
        <f>_xlfn.XLOOKUP(A311,'[1]Tissue Data'!$A:$A,'[1]Tissue Data'!$H:$H)</f>
        <v>Lepomis</v>
      </c>
      <c r="F311" t="str">
        <f>_xlfn.XLOOKUP(A311,'[1]Tissue Data'!$A:$A,'[1]Tissue Data'!$I:$I)</f>
        <v>gibbosus</v>
      </c>
      <c r="G311" t="str">
        <f>_xlfn.XLOOKUP(A311,'[1]Tissue Data'!$A:$A,'[1]Tissue Data'!J:J)</f>
        <v>U</v>
      </c>
      <c r="H311" t="str">
        <f>_xlfn.XLOOKUP(A311,'[1]Tissue Data'!$A:$A,'[1]Tissue Data'!K:K)</f>
        <v>Whole Body</v>
      </c>
      <c r="I311">
        <f>_xlfn.XLOOKUP(A311,'[1]Tissue Data'!$A:$A,'[1]Tissue Data'!L:L)</f>
        <v>4.75</v>
      </c>
      <c r="J311">
        <f>_xlfn.XLOOKUP(A311,'[1]Tissue Data'!$A:$A,'[1]Tissue Data'!M:M)</f>
        <v>9.52</v>
      </c>
      <c r="K311" t="s">
        <v>21</v>
      </c>
      <c r="L311" t="str">
        <f>_xlfn.XLOOKUP(K311,[2]analyte_order!$B:$B,[2]analyte_order!$C:$C)</f>
        <v>72629-94-8</v>
      </c>
      <c r="M311">
        <f>_xlfn.XLOOKUP(L311,[2]analyte_order!$C:$C,[2]analyte_order!$E:$E)</f>
        <v>10</v>
      </c>
      <c r="N311">
        <v>3.14</v>
      </c>
    </row>
    <row r="312" spans="1:14">
      <c r="A312" t="s">
        <v>234</v>
      </c>
      <c r="B312" t="str">
        <f>_xlfn.XLOOKUP(A312,'[1]Tissue Data'!$A:$A,'[1]Tissue Data'!$C:$C)</f>
        <v>Down</v>
      </c>
      <c r="C312" s="2">
        <f>_xlfn.XLOOKUP(A312,'[1]Tissue Data'!$A:$A,'[1]Tissue Data'!$D:$D)</f>
        <v>44314</v>
      </c>
      <c r="D312" s="2" t="str">
        <f>_xlfn.XLOOKUP(A312,'[1]Tissue Data'!$A:$A,'[1]Tissue Data'!$F:$F)</f>
        <v>Pumpkinseed</v>
      </c>
      <c r="E312" t="str">
        <f>_xlfn.XLOOKUP(A312,'[1]Tissue Data'!$A:$A,'[1]Tissue Data'!$H:$H)</f>
        <v>Lepomis</v>
      </c>
      <c r="F312" t="str">
        <f>_xlfn.XLOOKUP(A312,'[1]Tissue Data'!$A:$A,'[1]Tissue Data'!$I:$I)</f>
        <v>gibbosus</v>
      </c>
      <c r="G312" t="str">
        <f>_xlfn.XLOOKUP(A312,'[1]Tissue Data'!$A:$A,'[1]Tissue Data'!J:J)</f>
        <v>U</v>
      </c>
      <c r="H312" t="str">
        <f>_xlfn.XLOOKUP(A312,'[1]Tissue Data'!$A:$A,'[1]Tissue Data'!K:K)</f>
        <v>Whole Body</v>
      </c>
      <c r="I312">
        <f>_xlfn.XLOOKUP(A312,'[1]Tissue Data'!$A:$A,'[1]Tissue Data'!L:L)</f>
        <v>4.75</v>
      </c>
      <c r="J312">
        <f>_xlfn.XLOOKUP(A312,'[1]Tissue Data'!$A:$A,'[1]Tissue Data'!M:M)</f>
        <v>9.52</v>
      </c>
      <c r="K312" t="s">
        <v>22</v>
      </c>
      <c r="L312" t="str">
        <f>_xlfn.XLOOKUP(K312,[2]analyte_order!$B:$B,[2]analyte_order!$C:$C)</f>
        <v>376-06-7</v>
      </c>
      <c r="M312">
        <f>_xlfn.XLOOKUP(L312,[2]analyte_order!$C:$C,[2]analyte_order!$E:$E)</f>
        <v>11</v>
      </c>
      <c r="N312">
        <v>7.09</v>
      </c>
    </row>
    <row r="313" spans="1:14">
      <c r="A313" t="s">
        <v>234</v>
      </c>
      <c r="B313" t="str">
        <f>_xlfn.XLOOKUP(A313,'[1]Tissue Data'!$A:$A,'[1]Tissue Data'!$C:$C)</f>
        <v>Down</v>
      </c>
      <c r="C313" s="2">
        <f>_xlfn.XLOOKUP(A313,'[1]Tissue Data'!$A:$A,'[1]Tissue Data'!$D:$D)</f>
        <v>44314</v>
      </c>
      <c r="D313" s="2" t="str">
        <f>_xlfn.XLOOKUP(A313,'[1]Tissue Data'!$A:$A,'[1]Tissue Data'!$F:$F)</f>
        <v>Pumpkinseed</v>
      </c>
      <c r="E313" t="str">
        <f>_xlfn.XLOOKUP(A313,'[1]Tissue Data'!$A:$A,'[1]Tissue Data'!$H:$H)</f>
        <v>Lepomis</v>
      </c>
      <c r="F313" t="str">
        <f>_xlfn.XLOOKUP(A313,'[1]Tissue Data'!$A:$A,'[1]Tissue Data'!$I:$I)</f>
        <v>gibbosus</v>
      </c>
      <c r="G313" t="str">
        <f>_xlfn.XLOOKUP(A313,'[1]Tissue Data'!$A:$A,'[1]Tissue Data'!J:J)</f>
        <v>U</v>
      </c>
      <c r="H313" t="str">
        <f>_xlfn.XLOOKUP(A313,'[1]Tissue Data'!$A:$A,'[1]Tissue Data'!K:K)</f>
        <v>Whole Body</v>
      </c>
      <c r="I313">
        <f>_xlfn.XLOOKUP(A313,'[1]Tissue Data'!$A:$A,'[1]Tissue Data'!L:L)</f>
        <v>4.75</v>
      </c>
      <c r="J313">
        <f>_xlfn.XLOOKUP(A313,'[1]Tissue Data'!$A:$A,'[1]Tissue Data'!M:M)</f>
        <v>9.52</v>
      </c>
      <c r="K313" t="s">
        <v>23</v>
      </c>
      <c r="L313" t="str">
        <f>_xlfn.XLOOKUP(K313,[2]analyte_order!$B:$B,[2]analyte_order!$C:$C)</f>
        <v>67905-19-5</v>
      </c>
      <c r="M313">
        <f>_xlfn.XLOOKUP(L313,[2]analyte_order!$C:$C,[2]analyte_order!$E:$E)</f>
        <v>12</v>
      </c>
      <c r="N313">
        <v>9.1384503552631571E-2</v>
      </c>
    </row>
    <row r="314" spans="1:14">
      <c r="A314" t="s">
        <v>234</v>
      </c>
      <c r="B314" t="str">
        <f>_xlfn.XLOOKUP(A314,'[1]Tissue Data'!$A:$A,'[1]Tissue Data'!$C:$C)</f>
        <v>Down</v>
      </c>
      <c r="C314" s="2">
        <f>_xlfn.XLOOKUP(A314,'[1]Tissue Data'!$A:$A,'[1]Tissue Data'!$D:$D)</f>
        <v>44314</v>
      </c>
      <c r="D314" s="2" t="str">
        <f>_xlfn.XLOOKUP(A314,'[1]Tissue Data'!$A:$A,'[1]Tissue Data'!$F:$F)</f>
        <v>Pumpkinseed</v>
      </c>
      <c r="E314" t="str">
        <f>_xlfn.XLOOKUP(A314,'[1]Tissue Data'!$A:$A,'[1]Tissue Data'!$H:$H)</f>
        <v>Lepomis</v>
      </c>
      <c r="F314" t="str">
        <f>_xlfn.XLOOKUP(A314,'[1]Tissue Data'!$A:$A,'[1]Tissue Data'!$I:$I)</f>
        <v>gibbosus</v>
      </c>
      <c r="G314" t="str">
        <f>_xlfn.XLOOKUP(A314,'[1]Tissue Data'!$A:$A,'[1]Tissue Data'!J:J)</f>
        <v>U</v>
      </c>
      <c r="H314" t="str">
        <f>_xlfn.XLOOKUP(A314,'[1]Tissue Data'!$A:$A,'[1]Tissue Data'!K:K)</f>
        <v>Whole Body</v>
      </c>
      <c r="I314">
        <f>_xlfn.XLOOKUP(A314,'[1]Tissue Data'!$A:$A,'[1]Tissue Data'!L:L)</f>
        <v>4.75</v>
      </c>
      <c r="J314">
        <f>_xlfn.XLOOKUP(A314,'[1]Tissue Data'!$A:$A,'[1]Tissue Data'!M:M)</f>
        <v>9.52</v>
      </c>
      <c r="K314" t="s">
        <v>24</v>
      </c>
      <c r="L314" t="str">
        <f>_xlfn.XLOOKUP(K314,[2]analyte_order!$B:$B,[2]analyte_order!$C:$C)</f>
        <v>423-41-6</v>
      </c>
      <c r="M314">
        <f>_xlfn.XLOOKUP(L314,[2]analyte_order!$C:$C,[2]analyte_order!$E:$E)</f>
        <v>53</v>
      </c>
      <c r="N314">
        <v>5.8501505723684219E-2</v>
      </c>
    </row>
    <row r="315" spans="1:14">
      <c r="A315" t="s">
        <v>234</v>
      </c>
      <c r="B315" t="str">
        <f>_xlfn.XLOOKUP(A315,'[1]Tissue Data'!$A:$A,'[1]Tissue Data'!$C:$C)</f>
        <v>Down</v>
      </c>
      <c r="C315" s="2">
        <f>_xlfn.XLOOKUP(A315,'[1]Tissue Data'!$A:$A,'[1]Tissue Data'!$D:$D)</f>
        <v>44314</v>
      </c>
      <c r="D315" s="2" t="str">
        <f>_xlfn.XLOOKUP(A315,'[1]Tissue Data'!$A:$A,'[1]Tissue Data'!$F:$F)</f>
        <v>Pumpkinseed</v>
      </c>
      <c r="E315" t="str">
        <f>_xlfn.XLOOKUP(A315,'[1]Tissue Data'!$A:$A,'[1]Tissue Data'!$H:$H)</f>
        <v>Lepomis</v>
      </c>
      <c r="F315" t="str">
        <f>_xlfn.XLOOKUP(A315,'[1]Tissue Data'!$A:$A,'[1]Tissue Data'!$I:$I)</f>
        <v>gibbosus</v>
      </c>
      <c r="G315" t="str">
        <f>_xlfn.XLOOKUP(A315,'[1]Tissue Data'!$A:$A,'[1]Tissue Data'!J:J)</f>
        <v>U</v>
      </c>
      <c r="H315" t="str">
        <f>_xlfn.XLOOKUP(A315,'[1]Tissue Data'!$A:$A,'[1]Tissue Data'!K:K)</f>
        <v>Whole Body</v>
      </c>
      <c r="I315">
        <f>_xlfn.XLOOKUP(A315,'[1]Tissue Data'!$A:$A,'[1]Tissue Data'!L:L)</f>
        <v>4.75</v>
      </c>
      <c r="J315">
        <f>_xlfn.XLOOKUP(A315,'[1]Tissue Data'!$A:$A,'[1]Tissue Data'!M:M)</f>
        <v>9.52</v>
      </c>
      <c r="K315" t="s">
        <v>25</v>
      </c>
      <c r="L315" t="str">
        <f>_xlfn.XLOOKUP(K315,[2]analyte_order!$B:$B,[2]analyte_order!$C:$C)</f>
        <v>375-73-5</v>
      </c>
      <c r="M315">
        <f>_xlfn.XLOOKUP(L315,[2]analyte_order!$C:$C,[2]analyte_order!$E:$E)</f>
        <v>14</v>
      </c>
      <c r="N315">
        <v>0.17160140840738455</v>
      </c>
    </row>
    <row r="316" spans="1:14">
      <c r="A316" t="s">
        <v>234</v>
      </c>
      <c r="B316" t="str">
        <f>_xlfn.XLOOKUP(A316,'[1]Tissue Data'!$A:$A,'[1]Tissue Data'!$C:$C)</f>
        <v>Down</v>
      </c>
      <c r="C316" s="2">
        <f>_xlfn.XLOOKUP(A316,'[1]Tissue Data'!$A:$A,'[1]Tissue Data'!$D:$D)</f>
        <v>44314</v>
      </c>
      <c r="D316" s="2" t="str">
        <f>_xlfn.XLOOKUP(A316,'[1]Tissue Data'!$A:$A,'[1]Tissue Data'!$F:$F)</f>
        <v>Pumpkinseed</v>
      </c>
      <c r="E316" t="str">
        <f>_xlfn.XLOOKUP(A316,'[1]Tissue Data'!$A:$A,'[1]Tissue Data'!$H:$H)</f>
        <v>Lepomis</v>
      </c>
      <c r="F316" t="str">
        <f>_xlfn.XLOOKUP(A316,'[1]Tissue Data'!$A:$A,'[1]Tissue Data'!$I:$I)</f>
        <v>gibbosus</v>
      </c>
      <c r="G316" t="str">
        <f>_xlfn.XLOOKUP(A316,'[1]Tissue Data'!$A:$A,'[1]Tissue Data'!J:J)</f>
        <v>U</v>
      </c>
      <c r="H316" t="str">
        <f>_xlfn.XLOOKUP(A316,'[1]Tissue Data'!$A:$A,'[1]Tissue Data'!K:K)</f>
        <v>Whole Body</v>
      </c>
      <c r="I316">
        <f>_xlfn.XLOOKUP(A316,'[1]Tissue Data'!$A:$A,'[1]Tissue Data'!L:L)</f>
        <v>4.75</v>
      </c>
      <c r="J316">
        <f>_xlfn.XLOOKUP(A316,'[1]Tissue Data'!$A:$A,'[1]Tissue Data'!M:M)</f>
        <v>9.52</v>
      </c>
      <c r="K316" t="s">
        <v>26</v>
      </c>
      <c r="L316" t="str">
        <f>_xlfn.XLOOKUP(K316,[2]analyte_order!$B:$B,[2]analyte_order!$C:$C)</f>
        <v>2706-91-4</v>
      </c>
      <c r="M316">
        <f>_xlfn.XLOOKUP(L316,[2]analyte_order!$C:$C,[2]analyte_order!$E:$E)</f>
        <v>15</v>
      </c>
      <c r="N316">
        <v>0.26900000000000002</v>
      </c>
    </row>
    <row r="317" spans="1:14">
      <c r="A317" t="s">
        <v>234</v>
      </c>
      <c r="B317" t="str">
        <f>_xlfn.XLOOKUP(A317,'[1]Tissue Data'!$A:$A,'[1]Tissue Data'!$C:$C)</f>
        <v>Down</v>
      </c>
      <c r="C317" s="2">
        <f>_xlfn.XLOOKUP(A317,'[1]Tissue Data'!$A:$A,'[1]Tissue Data'!$D:$D)</f>
        <v>44314</v>
      </c>
      <c r="D317" s="2" t="str">
        <f>_xlfn.XLOOKUP(A317,'[1]Tissue Data'!$A:$A,'[1]Tissue Data'!$F:$F)</f>
        <v>Pumpkinseed</v>
      </c>
      <c r="E317" t="str">
        <f>_xlfn.XLOOKUP(A317,'[1]Tissue Data'!$A:$A,'[1]Tissue Data'!$H:$H)</f>
        <v>Lepomis</v>
      </c>
      <c r="F317" t="str">
        <f>_xlfn.XLOOKUP(A317,'[1]Tissue Data'!$A:$A,'[1]Tissue Data'!$I:$I)</f>
        <v>gibbosus</v>
      </c>
      <c r="G317" t="str">
        <f>_xlfn.XLOOKUP(A317,'[1]Tissue Data'!$A:$A,'[1]Tissue Data'!J:J)</f>
        <v>U</v>
      </c>
      <c r="H317" t="str">
        <f>_xlfn.XLOOKUP(A317,'[1]Tissue Data'!$A:$A,'[1]Tissue Data'!K:K)</f>
        <v>Whole Body</v>
      </c>
      <c r="I317">
        <f>_xlfn.XLOOKUP(A317,'[1]Tissue Data'!$A:$A,'[1]Tissue Data'!L:L)</f>
        <v>4.75</v>
      </c>
      <c r="J317">
        <f>_xlfn.XLOOKUP(A317,'[1]Tissue Data'!$A:$A,'[1]Tissue Data'!M:M)</f>
        <v>9.52</v>
      </c>
      <c r="K317" t="s">
        <v>27</v>
      </c>
      <c r="L317" t="str">
        <f>_xlfn.XLOOKUP(K317,[2]analyte_order!$B:$B,[2]analyte_order!$C:$C)</f>
        <v>355-46-4</v>
      </c>
      <c r="M317">
        <f>_xlfn.XLOOKUP(L317,[2]analyte_order!$C:$C,[2]analyte_order!$E:$E)</f>
        <v>16</v>
      </c>
      <c r="N317">
        <v>32.1</v>
      </c>
    </row>
    <row r="318" spans="1:14">
      <c r="A318" t="s">
        <v>234</v>
      </c>
      <c r="B318" t="str">
        <f>_xlfn.XLOOKUP(A318,'[1]Tissue Data'!$A:$A,'[1]Tissue Data'!$C:$C)</f>
        <v>Down</v>
      </c>
      <c r="C318" s="2">
        <f>_xlfn.XLOOKUP(A318,'[1]Tissue Data'!$A:$A,'[1]Tissue Data'!$D:$D)</f>
        <v>44314</v>
      </c>
      <c r="D318" s="2" t="str">
        <f>_xlfn.XLOOKUP(A318,'[1]Tissue Data'!$A:$A,'[1]Tissue Data'!$F:$F)</f>
        <v>Pumpkinseed</v>
      </c>
      <c r="E318" t="str">
        <f>_xlfn.XLOOKUP(A318,'[1]Tissue Data'!$A:$A,'[1]Tissue Data'!$H:$H)</f>
        <v>Lepomis</v>
      </c>
      <c r="F318" t="str">
        <f>_xlfn.XLOOKUP(A318,'[1]Tissue Data'!$A:$A,'[1]Tissue Data'!$I:$I)</f>
        <v>gibbosus</v>
      </c>
      <c r="G318" t="str">
        <f>_xlfn.XLOOKUP(A318,'[1]Tissue Data'!$A:$A,'[1]Tissue Data'!J:J)</f>
        <v>U</v>
      </c>
      <c r="H318" t="str">
        <f>_xlfn.XLOOKUP(A318,'[1]Tissue Data'!$A:$A,'[1]Tissue Data'!K:K)</f>
        <v>Whole Body</v>
      </c>
      <c r="I318">
        <f>_xlfn.XLOOKUP(A318,'[1]Tissue Data'!$A:$A,'[1]Tissue Data'!L:L)</f>
        <v>4.75</v>
      </c>
      <c r="J318">
        <f>_xlfn.XLOOKUP(A318,'[1]Tissue Data'!$A:$A,'[1]Tissue Data'!M:M)</f>
        <v>9.52</v>
      </c>
      <c r="K318" t="s">
        <v>28</v>
      </c>
      <c r="L318" t="str">
        <f>_xlfn.XLOOKUP(K318,[2]analyte_order!$B:$B,[2]analyte_order!$C:$C)</f>
        <v>375-92-8</v>
      </c>
      <c r="M318">
        <f>_xlfn.XLOOKUP(L318,[2]analyte_order!$C:$C,[2]analyte_order!$E:$E)</f>
        <v>17</v>
      </c>
      <c r="N318">
        <v>1.1000000000000001</v>
      </c>
    </row>
    <row r="319" spans="1:14">
      <c r="A319" t="s">
        <v>234</v>
      </c>
      <c r="B319" t="str">
        <f>_xlfn.XLOOKUP(A319,'[1]Tissue Data'!$A:$A,'[1]Tissue Data'!$C:$C)</f>
        <v>Down</v>
      </c>
      <c r="C319" s="2">
        <f>_xlfn.XLOOKUP(A319,'[1]Tissue Data'!$A:$A,'[1]Tissue Data'!$D:$D)</f>
        <v>44314</v>
      </c>
      <c r="D319" s="2" t="str">
        <f>_xlfn.XLOOKUP(A319,'[1]Tissue Data'!$A:$A,'[1]Tissue Data'!$F:$F)</f>
        <v>Pumpkinseed</v>
      </c>
      <c r="E319" t="str">
        <f>_xlfn.XLOOKUP(A319,'[1]Tissue Data'!$A:$A,'[1]Tissue Data'!$H:$H)</f>
        <v>Lepomis</v>
      </c>
      <c r="F319" t="str">
        <f>_xlfn.XLOOKUP(A319,'[1]Tissue Data'!$A:$A,'[1]Tissue Data'!$I:$I)</f>
        <v>gibbosus</v>
      </c>
      <c r="G319" t="str">
        <f>_xlfn.XLOOKUP(A319,'[1]Tissue Data'!$A:$A,'[1]Tissue Data'!J:J)</f>
        <v>U</v>
      </c>
      <c r="H319" t="str">
        <f>_xlfn.XLOOKUP(A319,'[1]Tissue Data'!$A:$A,'[1]Tissue Data'!K:K)</f>
        <v>Whole Body</v>
      </c>
      <c r="I319">
        <f>_xlfn.XLOOKUP(A319,'[1]Tissue Data'!$A:$A,'[1]Tissue Data'!L:L)</f>
        <v>4.75</v>
      </c>
      <c r="J319">
        <f>_xlfn.XLOOKUP(A319,'[1]Tissue Data'!$A:$A,'[1]Tissue Data'!M:M)</f>
        <v>9.52</v>
      </c>
      <c r="K319" t="s">
        <v>29</v>
      </c>
      <c r="L319" t="str">
        <f>_xlfn.XLOOKUP(K319,[2]analyte_order!$B:$B,[2]analyte_order!$C:$C)</f>
        <v>1763-23-1</v>
      </c>
      <c r="M319">
        <f>_xlfn.XLOOKUP(L319,[2]analyte_order!$C:$C,[2]analyte_order!$E:$E)</f>
        <v>18</v>
      </c>
      <c r="N319">
        <v>877</v>
      </c>
    </row>
    <row r="320" spans="1:14">
      <c r="A320" t="s">
        <v>234</v>
      </c>
      <c r="B320" t="str">
        <f>_xlfn.XLOOKUP(A320,'[1]Tissue Data'!$A:$A,'[1]Tissue Data'!$C:$C)</f>
        <v>Down</v>
      </c>
      <c r="C320" s="2">
        <f>_xlfn.XLOOKUP(A320,'[1]Tissue Data'!$A:$A,'[1]Tissue Data'!$D:$D)</f>
        <v>44314</v>
      </c>
      <c r="D320" s="2" t="str">
        <f>_xlfn.XLOOKUP(A320,'[1]Tissue Data'!$A:$A,'[1]Tissue Data'!$F:$F)</f>
        <v>Pumpkinseed</v>
      </c>
      <c r="E320" t="str">
        <f>_xlfn.XLOOKUP(A320,'[1]Tissue Data'!$A:$A,'[1]Tissue Data'!$H:$H)</f>
        <v>Lepomis</v>
      </c>
      <c r="F320" t="str">
        <f>_xlfn.XLOOKUP(A320,'[1]Tissue Data'!$A:$A,'[1]Tissue Data'!$I:$I)</f>
        <v>gibbosus</v>
      </c>
      <c r="G320" t="str">
        <f>_xlfn.XLOOKUP(A320,'[1]Tissue Data'!$A:$A,'[1]Tissue Data'!J:J)</f>
        <v>U</v>
      </c>
      <c r="H320" t="str">
        <f>_xlfn.XLOOKUP(A320,'[1]Tissue Data'!$A:$A,'[1]Tissue Data'!K:K)</f>
        <v>Whole Body</v>
      </c>
      <c r="I320">
        <f>_xlfn.XLOOKUP(A320,'[1]Tissue Data'!$A:$A,'[1]Tissue Data'!L:L)</f>
        <v>4.75</v>
      </c>
      <c r="J320">
        <f>_xlfn.XLOOKUP(A320,'[1]Tissue Data'!$A:$A,'[1]Tissue Data'!M:M)</f>
        <v>9.52</v>
      </c>
      <c r="K320" t="s">
        <v>30</v>
      </c>
      <c r="L320" t="str">
        <f>_xlfn.XLOOKUP(K320,[2]analyte_order!$B:$B,[2]analyte_order!$C:$C)</f>
        <v>68259-12-1</v>
      </c>
      <c r="M320">
        <f>_xlfn.XLOOKUP(L320,[2]analyte_order!$C:$C,[2]analyte_order!$E:$E)</f>
        <v>19</v>
      </c>
      <c r="N320">
        <v>0.73499999999999999</v>
      </c>
    </row>
    <row r="321" spans="1:14">
      <c r="A321" t="s">
        <v>234</v>
      </c>
      <c r="B321" t="str">
        <f>_xlfn.XLOOKUP(A321,'[1]Tissue Data'!$A:$A,'[1]Tissue Data'!$C:$C)</f>
        <v>Down</v>
      </c>
      <c r="C321" s="2">
        <f>_xlfn.XLOOKUP(A321,'[1]Tissue Data'!$A:$A,'[1]Tissue Data'!$D:$D)</f>
        <v>44314</v>
      </c>
      <c r="D321" s="2" t="str">
        <f>_xlfn.XLOOKUP(A321,'[1]Tissue Data'!$A:$A,'[1]Tissue Data'!$F:$F)</f>
        <v>Pumpkinseed</v>
      </c>
      <c r="E321" t="str">
        <f>_xlfn.XLOOKUP(A321,'[1]Tissue Data'!$A:$A,'[1]Tissue Data'!$H:$H)</f>
        <v>Lepomis</v>
      </c>
      <c r="F321" t="str">
        <f>_xlfn.XLOOKUP(A321,'[1]Tissue Data'!$A:$A,'[1]Tissue Data'!$I:$I)</f>
        <v>gibbosus</v>
      </c>
      <c r="G321" t="str">
        <f>_xlfn.XLOOKUP(A321,'[1]Tissue Data'!$A:$A,'[1]Tissue Data'!J:J)</f>
        <v>U</v>
      </c>
      <c r="H321" t="str">
        <f>_xlfn.XLOOKUP(A321,'[1]Tissue Data'!$A:$A,'[1]Tissue Data'!K:K)</f>
        <v>Whole Body</v>
      </c>
      <c r="I321">
        <f>_xlfn.XLOOKUP(A321,'[1]Tissue Data'!$A:$A,'[1]Tissue Data'!L:L)</f>
        <v>4.75</v>
      </c>
      <c r="J321">
        <f>_xlfn.XLOOKUP(A321,'[1]Tissue Data'!$A:$A,'[1]Tissue Data'!M:M)</f>
        <v>9.52</v>
      </c>
      <c r="K321" t="s">
        <v>31</v>
      </c>
      <c r="L321" t="str">
        <f>_xlfn.XLOOKUP(K321,[2]analyte_order!$B:$B,[2]analyte_order!$C:$C)</f>
        <v>335-77-3</v>
      </c>
      <c r="M321">
        <f>_xlfn.XLOOKUP(L321,[2]analyte_order!$C:$C,[2]analyte_order!$E:$E)</f>
        <v>20</v>
      </c>
      <c r="N321">
        <v>0.89900000000000002</v>
      </c>
    </row>
    <row r="322" spans="1:14">
      <c r="A322" t="s">
        <v>234</v>
      </c>
      <c r="B322" t="str">
        <f>_xlfn.XLOOKUP(A322,'[1]Tissue Data'!$A:$A,'[1]Tissue Data'!$C:$C)</f>
        <v>Down</v>
      </c>
      <c r="C322" s="2">
        <f>_xlfn.XLOOKUP(A322,'[1]Tissue Data'!$A:$A,'[1]Tissue Data'!$D:$D)</f>
        <v>44314</v>
      </c>
      <c r="D322" s="2" t="str">
        <f>_xlfn.XLOOKUP(A322,'[1]Tissue Data'!$A:$A,'[1]Tissue Data'!$F:$F)</f>
        <v>Pumpkinseed</v>
      </c>
      <c r="E322" t="str">
        <f>_xlfn.XLOOKUP(A322,'[1]Tissue Data'!$A:$A,'[1]Tissue Data'!$H:$H)</f>
        <v>Lepomis</v>
      </c>
      <c r="F322" t="str">
        <f>_xlfn.XLOOKUP(A322,'[1]Tissue Data'!$A:$A,'[1]Tissue Data'!$I:$I)</f>
        <v>gibbosus</v>
      </c>
      <c r="G322" t="str">
        <f>_xlfn.XLOOKUP(A322,'[1]Tissue Data'!$A:$A,'[1]Tissue Data'!J:J)</f>
        <v>U</v>
      </c>
      <c r="H322" t="str">
        <f>_xlfn.XLOOKUP(A322,'[1]Tissue Data'!$A:$A,'[1]Tissue Data'!K:K)</f>
        <v>Whole Body</v>
      </c>
      <c r="I322">
        <f>_xlfn.XLOOKUP(A322,'[1]Tissue Data'!$A:$A,'[1]Tissue Data'!L:L)</f>
        <v>4.75</v>
      </c>
      <c r="J322">
        <f>_xlfn.XLOOKUP(A322,'[1]Tissue Data'!$A:$A,'[1]Tissue Data'!M:M)</f>
        <v>9.52</v>
      </c>
      <c r="K322" t="s">
        <v>32</v>
      </c>
      <c r="L322" t="str">
        <f>_xlfn.XLOOKUP(K322,[2]analyte_order!$B:$B,[2]analyte_order!$C:$C)</f>
        <v>79780-39-5</v>
      </c>
      <c r="M322">
        <f>_xlfn.XLOOKUP(L322,[2]analyte_order!$C:$C,[2]analyte_order!$E:$E)</f>
        <v>21</v>
      </c>
      <c r="N322">
        <v>0.26961935162645678</v>
      </c>
    </row>
    <row r="323" spans="1:14">
      <c r="A323" t="s">
        <v>234</v>
      </c>
      <c r="B323" t="str">
        <f>_xlfn.XLOOKUP(A323,'[1]Tissue Data'!$A:$A,'[1]Tissue Data'!$C:$C)</f>
        <v>Down</v>
      </c>
      <c r="C323" s="2">
        <f>_xlfn.XLOOKUP(A323,'[1]Tissue Data'!$A:$A,'[1]Tissue Data'!$D:$D)</f>
        <v>44314</v>
      </c>
      <c r="D323" s="2" t="str">
        <f>_xlfn.XLOOKUP(A323,'[1]Tissue Data'!$A:$A,'[1]Tissue Data'!$F:$F)</f>
        <v>Pumpkinseed</v>
      </c>
      <c r="E323" t="str">
        <f>_xlfn.XLOOKUP(A323,'[1]Tissue Data'!$A:$A,'[1]Tissue Data'!$H:$H)</f>
        <v>Lepomis</v>
      </c>
      <c r="F323" t="str">
        <f>_xlfn.XLOOKUP(A323,'[1]Tissue Data'!$A:$A,'[1]Tissue Data'!$I:$I)</f>
        <v>gibbosus</v>
      </c>
      <c r="G323" t="str">
        <f>_xlfn.XLOOKUP(A323,'[1]Tissue Data'!$A:$A,'[1]Tissue Data'!J:J)</f>
        <v>U</v>
      </c>
      <c r="H323" t="str">
        <f>_xlfn.XLOOKUP(A323,'[1]Tissue Data'!$A:$A,'[1]Tissue Data'!K:K)</f>
        <v>Whole Body</v>
      </c>
      <c r="I323">
        <f>_xlfn.XLOOKUP(A323,'[1]Tissue Data'!$A:$A,'[1]Tissue Data'!L:L)</f>
        <v>4.75</v>
      </c>
      <c r="J323">
        <f>_xlfn.XLOOKUP(A323,'[1]Tissue Data'!$A:$A,'[1]Tissue Data'!M:M)</f>
        <v>9.52</v>
      </c>
      <c r="K323" t="s">
        <v>33</v>
      </c>
      <c r="L323" t="str">
        <f>_xlfn.XLOOKUP(K323,[2]analyte_order!$B:$B,[2]analyte_order!$C:$C)</f>
        <v>777011-38-8</v>
      </c>
      <c r="M323">
        <f>_xlfn.XLOOKUP(L323,[2]analyte_order!$C:$C,[2]analyte_order!$E:$E)</f>
        <v>54</v>
      </c>
      <c r="N323">
        <v>0.15321486247301658</v>
      </c>
    </row>
    <row r="324" spans="1:14">
      <c r="A324" t="s">
        <v>234</v>
      </c>
      <c r="B324" t="str">
        <f>_xlfn.XLOOKUP(A324,'[1]Tissue Data'!$A:$A,'[1]Tissue Data'!$C:$C)</f>
        <v>Down</v>
      </c>
      <c r="C324" s="2">
        <f>_xlfn.XLOOKUP(A324,'[1]Tissue Data'!$A:$A,'[1]Tissue Data'!$D:$D)</f>
        <v>44314</v>
      </c>
      <c r="D324" s="2" t="str">
        <f>_xlfn.XLOOKUP(A324,'[1]Tissue Data'!$A:$A,'[1]Tissue Data'!$F:$F)</f>
        <v>Pumpkinseed</v>
      </c>
      <c r="E324" t="str">
        <f>_xlfn.XLOOKUP(A324,'[1]Tissue Data'!$A:$A,'[1]Tissue Data'!$H:$H)</f>
        <v>Lepomis</v>
      </c>
      <c r="F324" t="str">
        <f>_xlfn.XLOOKUP(A324,'[1]Tissue Data'!$A:$A,'[1]Tissue Data'!$I:$I)</f>
        <v>gibbosus</v>
      </c>
      <c r="G324" t="str">
        <f>_xlfn.XLOOKUP(A324,'[1]Tissue Data'!$A:$A,'[1]Tissue Data'!J:J)</f>
        <v>U</v>
      </c>
      <c r="H324" t="str">
        <f>_xlfn.XLOOKUP(A324,'[1]Tissue Data'!$A:$A,'[1]Tissue Data'!K:K)</f>
        <v>Whole Body</v>
      </c>
      <c r="I324">
        <f>_xlfn.XLOOKUP(A324,'[1]Tissue Data'!$A:$A,'[1]Tissue Data'!L:L)</f>
        <v>4.75</v>
      </c>
      <c r="J324">
        <f>_xlfn.XLOOKUP(A324,'[1]Tissue Data'!$A:$A,'[1]Tissue Data'!M:M)</f>
        <v>9.52</v>
      </c>
      <c r="K324" t="s">
        <v>34</v>
      </c>
      <c r="L324" t="str">
        <f>_xlfn.XLOOKUP(K324,[2]analyte_order!$B:$B,[2]analyte_order!$C:$C)</f>
        <v>646-83-3</v>
      </c>
      <c r="M324">
        <f>_xlfn.XLOOKUP(L324,[2]analyte_order!$C:$C,[2]analyte_order!$E:$E)</f>
        <v>55</v>
      </c>
      <c r="N324">
        <v>0.10085163603765128</v>
      </c>
    </row>
    <row r="325" spans="1:14">
      <c r="A325" t="s">
        <v>234</v>
      </c>
      <c r="B325" t="str">
        <f>_xlfn.XLOOKUP(A325,'[1]Tissue Data'!$A:$A,'[1]Tissue Data'!$C:$C)</f>
        <v>Down</v>
      </c>
      <c r="C325" s="2">
        <f>_xlfn.XLOOKUP(A325,'[1]Tissue Data'!$A:$A,'[1]Tissue Data'!$D:$D)</f>
        <v>44314</v>
      </c>
      <c r="D325" s="2" t="str">
        <f>_xlfn.XLOOKUP(A325,'[1]Tissue Data'!$A:$A,'[1]Tissue Data'!$F:$F)</f>
        <v>Pumpkinseed</v>
      </c>
      <c r="E325" t="str">
        <f>_xlfn.XLOOKUP(A325,'[1]Tissue Data'!$A:$A,'[1]Tissue Data'!$H:$H)</f>
        <v>Lepomis</v>
      </c>
      <c r="F325" t="str">
        <f>_xlfn.XLOOKUP(A325,'[1]Tissue Data'!$A:$A,'[1]Tissue Data'!$I:$I)</f>
        <v>gibbosus</v>
      </c>
      <c r="G325" t="str">
        <f>_xlfn.XLOOKUP(A325,'[1]Tissue Data'!$A:$A,'[1]Tissue Data'!J:J)</f>
        <v>U</v>
      </c>
      <c r="H325" t="str">
        <f>_xlfn.XLOOKUP(A325,'[1]Tissue Data'!$A:$A,'[1]Tissue Data'!K:K)</f>
        <v>Whole Body</v>
      </c>
      <c r="I325">
        <f>_xlfn.XLOOKUP(A325,'[1]Tissue Data'!$A:$A,'[1]Tissue Data'!L:L)</f>
        <v>4.75</v>
      </c>
      <c r="J325">
        <f>_xlfn.XLOOKUP(A325,'[1]Tissue Data'!$A:$A,'[1]Tissue Data'!M:M)</f>
        <v>9.52</v>
      </c>
      <c r="K325" t="s">
        <v>35</v>
      </c>
      <c r="L325" t="str">
        <f>_xlfn.XLOOKUP(K325,[2]analyte_order!$B:$B,[2]analyte_order!$C:$C)</f>
        <v>30334-69-1</v>
      </c>
      <c r="M325">
        <f>_xlfn.XLOOKUP(L325,[2]analyte_order!$C:$C,[2]analyte_order!$E:$E)</f>
        <v>51</v>
      </c>
      <c r="N325">
        <v>35.799999999999997</v>
      </c>
    </row>
    <row r="326" spans="1:14">
      <c r="A326" t="s">
        <v>234</v>
      </c>
      <c r="B326" t="str">
        <f>_xlfn.XLOOKUP(A326,'[1]Tissue Data'!$A:$A,'[1]Tissue Data'!$C:$C)</f>
        <v>Down</v>
      </c>
      <c r="C326" s="2">
        <f>_xlfn.XLOOKUP(A326,'[1]Tissue Data'!$A:$A,'[1]Tissue Data'!$D:$D)</f>
        <v>44314</v>
      </c>
      <c r="D326" s="2" t="str">
        <f>_xlfn.XLOOKUP(A326,'[1]Tissue Data'!$A:$A,'[1]Tissue Data'!$F:$F)</f>
        <v>Pumpkinseed</v>
      </c>
      <c r="E326" t="str">
        <f>_xlfn.XLOOKUP(A326,'[1]Tissue Data'!$A:$A,'[1]Tissue Data'!$H:$H)</f>
        <v>Lepomis</v>
      </c>
      <c r="F326" t="str">
        <f>_xlfn.XLOOKUP(A326,'[1]Tissue Data'!$A:$A,'[1]Tissue Data'!$I:$I)</f>
        <v>gibbosus</v>
      </c>
      <c r="G326" t="str">
        <f>_xlfn.XLOOKUP(A326,'[1]Tissue Data'!$A:$A,'[1]Tissue Data'!J:J)</f>
        <v>U</v>
      </c>
      <c r="H326" t="str">
        <f>_xlfn.XLOOKUP(A326,'[1]Tissue Data'!$A:$A,'[1]Tissue Data'!K:K)</f>
        <v>Whole Body</v>
      </c>
      <c r="I326">
        <f>_xlfn.XLOOKUP(A326,'[1]Tissue Data'!$A:$A,'[1]Tissue Data'!L:L)</f>
        <v>4.75</v>
      </c>
      <c r="J326">
        <f>_xlfn.XLOOKUP(A326,'[1]Tissue Data'!$A:$A,'[1]Tissue Data'!M:M)</f>
        <v>9.52</v>
      </c>
      <c r="K326" t="s">
        <v>36</v>
      </c>
      <c r="L326" t="str">
        <f>_xlfn.XLOOKUP(K326,[2]analyte_order!$B:$B,[2]analyte_order!$C:$C)</f>
        <v>41997-13-1</v>
      </c>
      <c r="M326">
        <f>_xlfn.XLOOKUP(L326,[2]analyte_order!$C:$C,[2]analyte_order!$E:$E)</f>
        <v>52</v>
      </c>
      <c r="N326">
        <v>27.6</v>
      </c>
    </row>
    <row r="327" spans="1:14">
      <c r="A327" t="s">
        <v>234</v>
      </c>
      <c r="B327" t="str">
        <f>_xlfn.XLOOKUP(A327,'[1]Tissue Data'!$A:$A,'[1]Tissue Data'!$C:$C)</f>
        <v>Down</v>
      </c>
      <c r="C327" s="2">
        <f>_xlfn.XLOOKUP(A327,'[1]Tissue Data'!$A:$A,'[1]Tissue Data'!$D:$D)</f>
        <v>44314</v>
      </c>
      <c r="D327" s="2" t="str">
        <f>_xlfn.XLOOKUP(A327,'[1]Tissue Data'!$A:$A,'[1]Tissue Data'!$F:$F)</f>
        <v>Pumpkinseed</v>
      </c>
      <c r="E327" t="str">
        <f>_xlfn.XLOOKUP(A327,'[1]Tissue Data'!$A:$A,'[1]Tissue Data'!$H:$H)</f>
        <v>Lepomis</v>
      </c>
      <c r="F327" t="str">
        <f>_xlfn.XLOOKUP(A327,'[1]Tissue Data'!$A:$A,'[1]Tissue Data'!$I:$I)</f>
        <v>gibbosus</v>
      </c>
      <c r="G327" t="str">
        <f>_xlfn.XLOOKUP(A327,'[1]Tissue Data'!$A:$A,'[1]Tissue Data'!J:J)</f>
        <v>U</v>
      </c>
      <c r="H327" t="str">
        <f>_xlfn.XLOOKUP(A327,'[1]Tissue Data'!$A:$A,'[1]Tissue Data'!K:K)</f>
        <v>Whole Body</v>
      </c>
      <c r="I327">
        <f>_xlfn.XLOOKUP(A327,'[1]Tissue Data'!$A:$A,'[1]Tissue Data'!L:L)</f>
        <v>4.75</v>
      </c>
      <c r="J327">
        <f>_xlfn.XLOOKUP(A327,'[1]Tissue Data'!$A:$A,'[1]Tissue Data'!M:M)</f>
        <v>9.52</v>
      </c>
      <c r="K327" t="s">
        <v>37</v>
      </c>
      <c r="L327" t="str">
        <f>_xlfn.XLOOKUP(K327,[2]analyte_order!$B:$B,[2]analyte_order!$C:$C)</f>
        <v>754-91-6</v>
      </c>
      <c r="M327">
        <f>_xlfn.XLOOKUP(L327,[2]analyte_order!$C:$C,[2]analyte_order!$E:$E)</f>
        <v>28</v>
      </c>
      <c r="N327">
        <v>6.88</v>
      </c>
    </row>
    <row r="328" spans="1:14">
      <c r="A328" t="s">
        <v>234</v>
      </c>
      <c r="B328" t="str">
        <f>_xlfn.XLOOKUP(A328,'[1]Tissue Data'!$A:$A,'[1]Tissue Data'!$C:$C)</f>
        <v>Down</v>
      </c>
      <c r="C328" s="2">
        <f>_xlfn.XLOOKUP(A328,'[1]Tissue Data'!$A:$A,'[1]Tissue Data'!$D:$D)</f>
        <v>44314</v>
      </c>
      <c r="D328" s="2" t="str">
        <f>_xlfn.XLOOKUP(A328,'[1]Tissue Data'!$A:$A,'[1]Tissue Data'!$F:$F)</f>
        <v>Pumpkinseed</v>
      </c>
      <c r="E328" t="str">
        <f>_xlfn.XLOOKUP(A328,'[1]Tissue Data'!$A:$A,'[1]Tissue Data'!$H:$H)</f>
        <v>Lepomis</v>
      </c>
      <c r="F328" t="str">
        <f>_xlfn.XLOOKUP(A328,'[1]Tissue Data'!$A:$A,'[1]Tissue Data'!$I:$I)</f>
        <v>gibbosus</v>
      </c>
      <c r="G328" t="str">
        <f>_xlfn.XLOOKUP(A328,'[1]Tissue Data'!$A:$A,'[1]Tissue Data'!J:J)</f>
        <v>U</v>
      </c>
      <c r="H328" t="str">
        <f>_xlfn.XLOOKUP(A328,'[1]Tissue Data'!$A:$A,'[1]Tissue Data'!K:K)</f>
        <v>Whole Body</v>
      </c>
      <c r="I328">
        <f>_xlfn.XLOOKUP(A328,'[1]Tissue Data'!$A:$A,'[1]Tissue Data'!L:L)</f>
        <v>4.75</v>
      </c>
      <c r="J328">
        <f>_xlfn.XLOOKUP(A328,'[1]Tissue Data'!$A:$A,'[1]Tissue Data'!M:M)</f>
        <v>9.52</v>
      </c>
      <c r="K328" t="s">
        <v>38</v>
      </c>
      <c r="L328" t="str">
        <f>_xlfn.XLOOKUP(K328,[2]analyte_order!$B:$B,[2]analyte_order!$C:$C)</f>
        <v>31506-32-8</v>
      </c>
      <c r="M328">
        <f>_xlfn.XLOOKUP(L328,[2]analyte_order!$C:$C,[2]analyte_order!$E:$E)</f>
        <v>30</v>
      </c>
      <c r="N328">
        <v>5.9071220526315797E-2</v>
      </c>
    </row>
    <row r="329" spans="1:14">
      <c r="A329" t="s">
        <v>234</v>
      </c>
      <c r="B329" t="str">
        <f>_xlfn.XLOOKUP(A329,'[1]Tissue Data'!$A:$A,'[1]Tissue Data'!$C:$C)</f>
        <v>Down</v>
      </c>
      <c r="C329" s="2">
        <f>_xlfn.XLOOKUP(A329,'[1]Tissue Data'!$A:$A,'[1]Tissue Data'!$D:$D)</f>
        <v>44314</v>
      </c>
      <c r="D329" s="2" t="str">
        <f>_xlfn.XLOOKUP(A329,'[1]Tissue Data'!$A:$A,'[1]Tissue Data'!$F:$F)</f>
        <v>Pumpkinseed</v>
      </c>
      <c r="E329" t="str">
        <f>_xlfn.XLOOKUP(A329,'[1]Tissue Data'!$A:$A,'[1]Tissue Data'!$H:$H)</f>
        <v>Lepomis</v>
      </c>
      <c r="F329" t="str">
        <f>_xlfn.XLOOKUP(A329,'[1]Tissue Data'!$A:$A,'[1]Tissue Data'!$I:$I)</f>
        <v>gibbosus</v>
      </c>
      <c r="G329" t="str">
        <f>_xlfn.XLOOKUP(A329,'[1]Tissue Data'!$A:$A,'[1]Tissue Data'!J:J)</f>
        <v>U</v>
      </c>
      <c r="H329" t="str">
        <f>_xlfn.XLOOKUP(A329,'[1]Tissue Data'!$A:$A,'[1]Tissue Data'!K:K)</f>
        <v>Whole Body</v>
      </c>
      <c r="I329">
        <f>_xlfn.XLOOKUP(A329,'[1]Tissue Data'!$A:$A,'[1]Tissue Data'!L:L)</f>
        <v>4.75</v>
      </c>
      <c r="J329">
        <f>_xlfn.XLOOKUP(A329,'[1]Tissue Data'!$A:$A,'[1]Tissue Data'!M:M)</f>
        <v>9.52</v>
      </c>
      <c r="K329" t="s">
        <v>39</v>
      </c>
      <c r="L329" t="str">
        <f>_xlfn.XLOOKUP(K329,[2]analyte_order!$B:$B,[2]analyte_order!$C:$C)</f>
        <v>4151-50-2</v>
      </c>
      <c r="M329">
        <f>_xlfn.XLOOKUP(L329,[2]analyte_order!$C:$C,[2]analyte_order!$E:$E)</f>
        <v>31</v>
      </c>
      <c r="N329">
        <v>8.9479677828947377E-2</v>
      </c>
    </row>
    <row r="330" spans="1:14">
      <c r="A330" t="s">
        <v>234</v>
      </c>
      <c r="B330" t="str">
        <f>_xlfn.XLOOKUP(A330,'[1]Tissue Data'!$A:$A,'[1]Tissue Data'!$C:$C)</f>
        <v>Down</v>
      </c>
      <c r="C330" s="2">
        <f>_xlfn.XLOOKUP(A330,'[1]Tissue Data'!$A:$A,'[1]Tissue Data'!$D:$D)</f>
        <v>44314</v>
      </c>
      <c r="D330" s="2" t="str">
        <f>_xlfn.XLOOKUP(A330,'[1]Tissue Data'!$A:$A,'[1]Tissue Data'!$F:$F)</f>
        <v>Pumpkinseed</v>
      </c>
      <c r="E330" t="str">
        <f>_xlfn.XLOOKUP(A330,'[1]Tissue Data'!$A:$A,'[1]Tissue Data'!$H:$H)</f>
        <v>Lepomis</v>
      </c>
      <c r="F330" t="str">
        <f>_xlfn.XLOOKUP(A330,'[1]Tissue Data'!$A:$A,'[1]Tissue Data'!$I:$I)</f>
        <v>gibbosus</v>
      </c>
      <c r="G330" t="str">
        <f>_xlfn.XLOOKUP(A330,'[1]Tissue Data'!$A:$A,'[1]Tissue Data'!J:J)</f>
        <v>U</v>
      </c>
      <c r="H330" t="str">
        <f>_xlfn.XLOOKUP(A330,'[1]Tissue Data'!$A:$A,'[1]Tissue Data'!K:K)</f>
        <v>Whole Body</v>
      </c>
      <c r="I330">
        <f>_xlfn.XLOOKUP(A330,'[1]Tissue Data'!$A:$A,'[1]Tissue Data'!L:L)</f>
        <v>4.75</v>
      </c>
      <c r="J330">
        <f>_xlfn.XLOOKUP(A330,'[1]Tissue Data'!$A:$A,'[1]Tissue Data'!M:M)</f>
        <v>9.52</v>
      </c>
      <c r="K330" t="s">
        <v>40</v>
      </c>
      <c r="L330" t="str">
        <f>_xlfn.XLOOKUP(K330,[2]analyte_order!$B:$B,[2]analyte_order!$C:$C)</f>
        <v>2806-24-8</v>
      </c>
      <c r="M330">
        <f>_xlfn.XLOOKUP(L330,[2]analyte_order!$C:$C,[2]analyte_order!$E:$E)</f>
        <v>29</v>
      </c>
      <c r="N330">
        <v>6.0440069605263158E-2</v>
      </c>
    </row>
    <row r="331" spans="1:14">
      <c r="A331" t="s">
        <v>234</v>
      </c>
      <c r="B331" t="str">
        <f>_xlfn.XLOOKUP(A331,'[1]Tissue Data'!$A:$A,'[1]Tissue Data'!$C:$C)</f>
        <v>Down</v>
      </c>
      <c r="C331" s="2">
        <f>_xlfn.XLOOKUP(A331,'[1]Tissue Data'!$A:$A,'[1]Tissue Data'!$D:$D)</f>
        <v>44314</v>
      </c>
      <c r="D331" s="2" t="str">
        <f>_xlfn.XLOOKUP(A331,'[1]Tissue Data'!$A:$A,'[1]Tissue Data'!$F:$F)</f>
        <v>Pumpkinseed</v>
      </c>
      <c r="E331" t="str">
        <f>_xlfn.XLOOKUP(A331,'[1]Tissue Data'!$A:$A,'[1]Tissue Data'!$H:$H)</f>
        <v>Lepomis</v>
      </c>
      <c r="F331" t="str">
        <f>_xlfn.XLOOKUP(A331,'[1]Tissue Data'!$A:$A,'[1]Tissue Data'!$I:$I)</f>
        <v>gibbosus</v>
      </c>
      <c r="G331" t="str">
        <f>_xlfn.XLOOKUP(A331,'[1]Tissue Data'!$A:$A,'[1]Tissue Data'!J:J)</f>
        <v>U</v>
      </c>
      <c r="H331" t="str">
        <f>_xlfn.XLOOKUP(A331,'[1]Tissue Data'!$A:$A,'[1]Tissue Data'!K:K)</f>
        <v>Whole Body</v>
      </c>
      <c r="I331">
        <f>_xlfn.XLOOKUP(A331,'[1]Tissue Data'!$A:$A,'[1]Tissue Data'!L:L)</f>
        <v>4.75</v>
      </c>
      <c r="J331">
        <f>_xlfn.XLOOKUP(A331,'[1]Tissue Data'!$A:$A,'[1]Tissue Data'!M:M)</f>
        <v>9.52</v>
      </c>
      <c r="K331" t="s">
        <v>41</v>
      </c>
      <c r="L331" t="str">
        <f>_xlfn.XLOOKUP(K331,[2]analyte_order!$B:$B,[2]analyte_order!$C:$C)</f>
        <v>2355-31-9</v>
      </c>
      <c r="M331">
        <f>_xlfn.XLOOKUP(L331,[2]analyte_order!$C:$C,[2]analyte_order!$E:$E)</f>
        <v>26</v>
      </c>
      <c r="N331">
        <v>10.3</v>
      </c>
    </row>
    <row r="332" spans="1:14">
      <c r="A332" t="s">
        <v>234</v>
      </c>
      <c r="B332" t="str">
        <f>_xlfn.XLOOKUP(A332,'[1]Tissue Data'!$A:$A,'[1]Tissue Data'!$C:$C)</f>
        <v>Down</v>
      </c>
      <c r="C332" s="2">
        <f>_xlfn.XLOOKUP(A332,'[1]Tissue Data'!$A:$A,'[1]Tissue Data'!$D:$D)</f>
        <v>44314</v>
      </c>
      <c r="D332" s="2" t="str">
        <f>_xlfn.XLOOKUP(A332,'[1]Tissue Data'!$A:$A,'[1]Tissue Data'!$F:$F)</f>
        <v>Pumpkinseed</v>
      </c>
      <c r="E332" t="str">
        <f>_xlfn.XLOOKUP(A332,'[1]Tissue Data'!$A:$A,'[1]Tissue Data'!$H:$H)</f>
        <v>Lepomis</v>
      </c>
      <c r="F332" t="str">
        <f>_xlfn.XLOOKUP(A332,'[1]Tissue Data'!$A:$A,'[1]Tissue Data'!$I:$I)</f>
        <v>gibbosus</v>
      </c>
      <c r="G332" t="str">
        <f>_xlfn.XLOOKUP(A332,'[1]Tissue Data'!$A:$A,'[1]Tissue Data'!J:J)</f>
        <v>U</v>
      </c>
      <c r="H332" t="str">
        <f>_xlfn.XLOOKUP(A332,'[1]Tissue Data'!$A:$A,'[1]Tissue Data'!K:K)</f>
        <v>Whole Body</v>
      </c>
      <c r="I332">
        <f>_xlfn.XLOOKUP(A332,'[1]Tissue Data'!$A:$A,'[1]Tissue Data'!L:L)</f>
        <v>4.75</v>
      </c>
      <c r="J332">
        <f>_xlfn.XLOOKUP(A332,'[1]Tissue Data'!$A:$A,'[1]Tissue Data'!M:M)</f>
        <v>9.52</v>
      </c>
      <c r="K332" t="s">
        <v>42</v>
      </c>
      <c r="L332" t="str">
        <f>_xlfn.XLOOKUP(K332,[2]analyte_order!$B:$B,[2]analyte_order!$C:$C)</f>
        <v>2991-50-6</v>
      </c>
      <c r="M332">
        <f>_xlfn.XLOOKUP(L332,[2]analyte_order!$C:$C,[2]analyte_order!$E:$E)</f>
        <v>27</v>
      </c>
      <c r="N332">
        <v>6.6555519671052638E-2</v>
      </c>
    </row>
    <row r="333" spans="1:14">
      <c r="A333" t="s">
        <v>234</v>
      </c>
      <c r="B333" t="str">
        <f>_xlfn.XLOOKUP(A333,'[1]Tissue Data'!$A:$A,'[1]Tissue Data'!$C:$C)</f>
        <v>Down</v>
      </c>
      <c r="C333" s="2">
        <f>_xlfn.XLOOKUP(A333,'[1]Tissue Data'!$A:$A,'[1]Tissue Data'!$D:$D)</f>
        <v>44314</v>
      </c>
      <c r="D333" s="2" t="str">
        <f>_xlfn.XLOOKUP(A333,'[1]Tissue Data'!$A:$A,'[1]Tissue Data'!$F:$F)</f>
        <v>Pumpkinseed</v>
      </c>
      <c r="E333" t="str">
        <f>_xlfn.XLOOKUP(A333,'[1]Tissue Data'!$A:$A,'[1]Tissue Data'!$H:$H)</f>
        <v>Lepomis</v>
      </c>
      <c r="F333" t="str">
        <f>_xlfn.XLOOKUP(A333,'[1]Tissue Data'!$A:$A,'[1]Tissue Data'!$I:$I)</f>
        <v>gibbosus</v>
      </c>
      <c r="G333" t="str">
        <f>_xlfn.XLOOKUP(A333,'[1]Tissue Data'!$A:$A,'[1]Tissue Data'!J:J)</f>
        <v>U</v>
      </c>
      <c r="H333" t="str">
        <f>_xlfn.XLOOKUP(A333,'[1]Tissue Data'!$A:$A,'[1]Tissue Data'!K:K)</f>
        <v>Whole Body</v>
      </c>
      <c r="I333">
        <f>_xlfn.XLOOKUP(A333,'[1]Tissue Data'!$A:$A,'[1]Tissue Data'!L:L)</f>
        <v>4.75</v>
      </c>
      <c r="J333">
        <f>_xlfn.XLOOKUP(A333,'[1]Tissue Data'!$A:$A,'[1]Tissue Data'!M:M)</f>
        <v>9.52</v>
      </c>
      <c r="K333" t="s">
        <v>43</v>
      </c>
      <c r="L333" t="str">
        <f>_xlfn.XLOOKUP(K333,[2]analyte_order!$B:$B,[2]analyte_order!$C:$C)</f>
        <v>757124-72-4</v>
      </c>
      <c r="M333">
        <f>_xlfn.XLOOKUP(L333,[2]analyte_order!$C:$C,[2]analyte_order!$E:$E)</f>
        <v>22</v>
      </c>
      <c r="N333">
        <v>6.2982188684210516E-2</v>
      </c>
    </row>
    <row r="334" spans="1:14">
      <c r="A334" t="s">
        <v>234</v>
      </c>
      <c r="B334" t="str">
        <f>_xlfn.XLOOKUP(A334,'[1]Tissue Data'!$A:$A,'[1]Tissue Data'!$C:$C)</f>
        <v>Down</v>
      </c>
      <c r="C334" s="2">
        <f>_xlfn.XLOOKUP(A334,'[1]Tissue Data'!$A:$A,'[1]Tissue Data'!$D:$D)</f>
        <v>44314</v>
      </c>
      <c r="D334" s="2" t="str">
        <f>_xlfn.XLOOKUP(A334,'[1]Tissue Data'!$A:$A,'[1]Tissue Data'!$F:$F)</f>
        <v>Pumpkinseed</v>
      </c>
      <c r="E334" t="str">
        <f>_xlfn.XLOOKUP(A334,'[1]Tissue Data'!$A:$A,'[1]Tissue Data'!$H:$H)</f>
        <v>Lepomis</v>
      </c>
      <c r="F334" t="str">
        <f>_xlfn.XLOOKUP(A334,'[1]Tissue Data'!$A:$A,'[1]Tissue Data'!$I:$I)</f>
        <v>gibbosus</v>
      </c>
      <c r="G334" t="str">
        <f>_xlfn.XLOOKUP(A334,'[1]Tissue Data'!$A:$A,'[1]Tissue Data'!J:J)</f>
        <v>U</v>
      </c>
      <c r="H334" t="str">
        <f>_xlfn.XLOOKUP(A334,'[1]Tissue Data'!$A:$A,'[1]Tissue Data'!K:K)</f>
        <v>Whole Body</v>
      </c>
      <c r="I334">
        <f>_xlfn.XLOOKUP(A334,'[1]Tissue Data'!$A:$A,'[1]Tissue Data'!L:L)</f>
        <v>4.75</v>
      </c>
      <c r="J334">
        <f>_xlfn.XLOOKUP(A334,'[1]Tissue Data'!$A:$A,'[1]Tissue Data'!M:M)</f>
        <v>9.52</v>
      </c>
      <c r="K334" t="s">
        <v>44</v>
      </c>
      <c r="L334" t="str">
        <f>_xlfn.XLOOKUP(K334,[2]analyte_order!$B:$B,[2]analyte_order!$C:$C)</f>
        <v>27619-97-2</v>
      </c>
      <c r="M334">
        <f>_xlfn.XLOOKUP(L334,[2]analyte_order!$C:$C,[2]analyte_order!$E:$E)</f>
        <v>23</v>
      </c>
      <c r="N334">
        <v>4.6293143703947374E-2</v>
      </c>
    </row>
    <row r="335" spans="1:14">
      <c r="A335" t="s">
        <v>234</v>
      </c>
      <c r="B335" t="str">
        <f>_xlfn.XLOOKUP(A335,'[1]Tissue Data'!$A:$A,'[1]Tissue Data'!$C:$C)</f>
        <v>Down</v>
      </c>
      <c r="C335" s="2">
        <f>_xlfn.XLOOKUP(A335,'[1]Tissue Data'!$A:$A,'[1]Tissue Data'!$D:$D)</f>
        <v>44314</v>
      </c>
      <c r="D335" s="2" t="str">
        <f>_xlfn.XLOOKUP(A335,'[1]Tissue Data'!$A:$A,'[1]Tissue Data'!$F:$F)</f>
        <v>Pumpkinseed</v>
      </c>
      <c r="E335" t="str">
        <f>_xlfn.XLOOKUP(A335,'[1]Tissue Data'!$A:$A,'[1]Tissue Data'!$H:$H)</f>
        <v>Lepomis</v>
      </c>
      <c r="F335" t="str">
        <f>_xlfn.XLOOKUP(A335,'[1]Tissue Data'!$A:$A,'[1]Tissue Data'!$I:$I)</f>
        <v>gibbosus</v>
      </c>
      <c r="G335" t="str">
        <f>_xlfn.XLOOKUP(A335,'[1]Tissue Data'!$A:$A,'[1]Tissue Data'!J:J)</f>
        <v>U</v>
      </c>
      <c r="H335" t="str">
        <f>_xlfn.XLOOKUP(A335,'[1]Tissue Data'!$A:$A,'[1]Tissue Data'!K:K)</f>
        <v>Whole Body</v>
      </c>
      <c r="I335">
        <f>_xlfn.XLOOKUP(A335,'[1]Tissue Data'!$A:$A,'[1]Tissue Data'!L:L)</f>
        <v>4.75</v>
      </c>
      <c r="J335">
        <f>_xlfn.XLOOKUP(A335,'[1]Tissue Data'!$A:$A,'[1]Tissue Data'!M:M)</f>
        <v>9.52</v>
      </c>
      <c r="K335" t="s">
        <v>45</v>
      </c>
      <c r="L335" t="str">
        <f>_xlfn.XLOOKUP(K335,[2]analyte_order!$B:$B,[2]analyte_order!$C:$C)</f>
        <v>39108-34-4</v>
      </c>
      <c r="M335">
        <f>_xlfn.XLOOKUP(L335,[2]analyte_order!$C:$C,[2]analyte_order!$E:$E)</f>
        <v>24</v>
      </c>
      <c r="N335">
        <v>2.2200000000000002</v>
      </c>
    </row>
    <row r="336" spans="1:14">
      <c r="A336" t="s">
        <v>234</v>
      </c>
      <c r="B336" t="str">
        <f>_xlfn.XLOOKUP(A336,'[1]Tissue Data'!$A:$A,'[1]Tissue Data'!$C:$C)</f>
        <v>Down</v>
      </c>
      <c r="C336" s="2">
        <f>_xlfn.XLOOKUP(A336,'[1]Tissue Data'!$A:$A,'[1]Tissue Data'!$D:$D)</f>
        <v>44314</v>
      </c>
      <c r="D336" s="2" t="str">
        <f>_xlfn.XLOOKUP(A336,'[1]Tissue Data'!$A:$A,'[1]Tissue Data'!$F:$F)</f>
        <v>Pumpkinseed</v>
      </c>
      <c r="E336" t="str">
        <f>_xlfn.XLOOKUP(A336,'[1]Tissue Data'!$A:$A,'[1]Tissue Data'!$H:$H)</f>
        <v>Lepomis</v>
      </c>
      <c r="F336" t="str">
        <f>_xlfn.XLOOKUP(A336,'[1]Tissue Data'!$A:$A,'[1]Tissue Data'!$I:$I)</f>
        <v>gibbosus</v>
      </c>
      <c r="G336" t="str">
        <f>_xlfn.XLOOKUP(A336,'[1]Tissue Data'!$A:$A,'[1]Tissue Data'!J:J)</f>
        <v>U</v>
      </c>
      <c r="H336" t="str">
        <f>_xlfn.XLOOKUP(A336,'[1]Tissue Data'!$A:$A,'[1]Tissue Data'!K:K)</f>
        <v>Whole Body</v>
      </c>
      <c r="I336">
        <f>_xlfn.XLOOKUP(A336,'[1]Tissue Data'!$A:$A,'[1]Tissue Data'!L:L)</f>
        <v>4.75</v>
      </c>
      <c r="J336">
        <f>_xlfn.XLOOKUP(A336,'[1]Tissue Data'!$A:$A,'[1]Tissue Data'!M:M)</f>
        <v>9.52</v>
      </c>
      <c r="K336" t="s">
        <v>46</v>
      </c>
      <c r="L336" t="str">
        <f>_xlfn.XLOOKUP(K336,[2]analyte_order!$B:$B,[2]analyte_order!$C:$C)</f>
        <v>120226-60-0</v>
      </c>
      <c r="M336">
        <f>_xlfn.XLOOKUP(L336,[2]analyte_order!$C:$C,[2]analyte_order!$E:$E)</f>
        <v>25</v>
      </c>
      <c r="N336">
        <v>0.28628389121470188</v>
      </c>
    </row>
    <row r="337" spans="1:14">
      <c r="A337" t="s">
        <v>234</v>
      </c>
      <c r="B337" t="str">
        <f>_xlfn.XLOOKUP(A337,'[1]Tissue Data'!$A:$A,'[1]Tissue Data'!$C:$C)</f>
        <v>Down</v>
      </c>
      <c r="C337" s="2">
        <f>_xlfn.XLOOKUP(A337,'[1]Tissue Data'!$A:$A,'[1]Tissue Data'!$D:$D)</f>
        <v>44314</v>
      </c>
      <c r="D337" s="2" t="str">
        <f>_xlfn.XLOOKUP(A337,'[1]Tissue Data'!$A:$A,'[1]Tissue Data'!$F:$F)</f>
        <v>Pumpkinseed</v>
      </c>
      <c r="E337" t="str">
        <f>_xlfn.XLOOKUP(A337,'[1]Tissue Data'!$A:$A,'[1]Tissue Data'!$H:$H)</f>
        <v>Lepomis</v>
      </c>
      <c r="F337" t="str">
        <f>_xlfn.XLOOKUP(A337,'[1]Tissue Data'!$A:$A,'[1]Tissue Data'!$I:$I)</f>
        <v>gibbosus</v>
      </c>
      <c r="G337" t="str">
        <f>_xlfn.XLOOKUP(A337,'[1]Tissue Data'!$A:$A,'[1]Tissue Data'!J:J)</f>
        <v>U</v>
      </c>
      <c r="H337" t="str">
        <f>_xlfn.XLOOKUP(A337,'[1]Tissue Data'!$A:$A,'[1]Tissue Data'!K:K)</f>
        <v>Whole Body</v>
      </c>
      <c r="I337">
        <f>_xlfn.XLOOKUP(A337,'[1]Tissue Data'!$A:$A,'[1]Tissue Data'!L:L)</f>
        <v>4.75</v>
      </c>
      <c r="J337">
        <f>_xlfn.XLOOKUP(A337,'[1]Tissue Data'!$A:$A,'[1]Tissue Data'!M:M)</f>
        <v>9.52</v>
      </c>
      <c r="K337" t="s">
        <v>47</v>
      </c>
      <c r="L337" t="str">
        <f>_xlfn.XLOOKUP(K337,[2]analyte_order!$B:$B,[2]analyte_order!$C:$C)</f>
        <v>356-02-5</v>
      </c>
      <c r="M337">
        <f>_xlfn.XLOOKUP(L337,[2]analyte_order!$C:$C,[2]analyte_order!$E:$E)</f>
        <v>38</v>
      </c>
      <c r="N337">
        <v>8.8446881249999998E-2</v>
      </c>
    </row>
    <row r="338" spans="1:14">
      <c r="A338" t="s">
        <v>234</v>
      </c>
      <c r="B338" t="str">
        <f>_xlfn.XLOOKUP(A338,'[1]Tissue Data'!$A:$A,'[1]Tissue Data'!$C:$C)</f>
        <v>Down</v>
      </c>
      <c r="C338" s="2">
        <f>_xlfn.XLOOKUP(A338,'[1]Tissue Data'!$A:$A,'[1]Tissue Data'!$D:$D)</f>
        <v>44314</v>
      </c>
      <c r="D338" s="2" t="str">
        <f>_xlfn.XLOOKUP(A338,'[1]Tissue Data'!$A:$A,'[1]Tissue Data'!$F:$F)</f>
        <v>Pumpkinseed</v>
      </c>
      <c r="E338" t="str">
        <f>_xlfn.XLOOKUP(A338,'[1]Tissue Data'!$A:$A,'[1]Tissue Data'!$H:$H)</f>
        <v>Lepomis</v>
      </c>
      <c r="F338" t="str">
        <f>_xlfn.XLOOKUP(A338,'[1]Tissue Data'!$A:$A,'[1]Tissue Data'!$I:$I)</f>
        <v>gibbosus</v>
      </c>
      <c r="G338" t="str">
        <f>_xlfn.XLOOKUP(A338,'[1]Tissue Data'!$A:$A,'[1]Tissue Data'!J:J)</f>
        <v>U</v>
      </c>
      <c r="H338" t="str">
        <f>_xlfn.XLOOKUP(A338,'[1]Tissue Data'!$A:$A,'[1]Tissue Data'!K:K)</f>
        <v>Whole Body</v>
      </c>
      <c r="I338">
        <f>_xlfn.XLOOKUP(A338,'[1]Tissue Data'!$A:$A,'[1]Tissue Data'!L:L)</f>
        <v>4.75</v>
      </c>
      <c r="J338">
        <f>_xlfn.XLOOKUP(A338,'[1]Tissue Data'!$A:$A,'[1]Tissue Data'!M:M)</f>
        <v>9.52</v>
      </c>
      <c r="K338" t="s">
        <v>48</v>
      </c>
      <c r="L338" t="str">
        <f>_xlfn.XLOOKUP(K338,[2]analyte_order!$B:$B,[2]analyte_order!$C:$C)</f>
        <v>914637-49-3</v>
      </c>
      <c r="M338">
        <f>_xlfn.XLOOKUP(L338,[2]analyte_order!$C:$C,[2]analyte_order!$E:$E)</f>
        <v>39</v>
      </c>
      <c r="N338">
        <v>0.63</v>
      </c>
    </row>
    <row r="339" spans="1:14">
      <c r="A339" t="s">
        <v>234</v>
      </c>
      <c r="B339" t="str">
        <f>_xlfn.XLOOKUP(A339,'[1]Tissue Data'!$A:$A,'[1]Tissue Data'!$C:$C)</f>
        <v>Down</v>
      </c>
      <c r="C339" s="2">
        <f>_xlfn.XLOOKUP(A339,'[1]Tissue Data'!$A:$A,'[1]Tissue Data'!$D:$D)</f>
        <v>44314</v>
      </c>
      <c r="D339" s="2" t="str">
        <f>_xlfn.XLOOKUP(A339,'[1]Tissue Data'!$A:$A,'[1]Tissue Data'!$F:$F)</f>
        <v>Pumpkinseed</v>
      </c>
      <c r="E339" t="str">
        <f>_xlfn.XLOOKUP(A339,'[1]Tissue Data'!$A:$A,'[1]Tissue Data'!$H:$H)</f>
        <v>Lepomis</v>
      </c>
      <c r="F339" t="str">
        <f>_xlfn.XLOOKUP(A339,'[1]Tissue Data'!$A:$A,'[1]Tissue Data'!$I:$I)</f>
        <v>gibbosus</v>
      </c>
      <c r="G339" t="str">
        <f>_xlfn.XLOOKUP(A339,'[1]Tissue Data'!$A:$A,'[1]Tissue Data'!J:J)</f>
        <v>U</v>
      </c>
      <c r="H339" t="str">
        <f>_xlfn.XLOOKUP(A339,'[1]Tissue Data'!$A:$A,'[1]Tissue Data'!K:K)</f>
        <v>Whole Body</v>
      </c>
      <c r="I339">
        <f>_xlfn.XLOOKUP(A339,'[1]Tissue Data'!$A:$A,'[1]Tissue Data'!L:L)</f>
        <v>4.75</v>
      </c>
      <c r="J339">
        <f>_xlfn.XLOOKUP(A339,'[1]Tissue Data'!$A:$A,'[1]Tissue Data'!M:M)</f>
        <v>9.52</v>
      </c>
      <c r="K339" t="s">
        <v>49</v>
      </c>
      <c r="L339" t="str">
        <f>_xlfn.XLOOKUP(K339,[2]analyte_order!$B:$B,[2]analyte_order!$C:$C)</f>
        <v>812-70-4</v>
      </c>
      <c r="M339">
        <f>_xlfn.XLOOKUP(L339,[2]analyte_order!$C:$C,[2]analyte_order!$E:$E)</f>
        <v>40</v>
      </c>
      <c r="N339">
        <v>4.9400000000000004</v>
      </c>
    </row>
    <row r="340" spans="1:14">
      <c r="A340" t="s">
        <v>234</v>
      </c>
      <c r="B340" t="str">
        <f>_xlfn.XLOOKUP(A340,'[1]Tissue Data'!$A:$A,'[1]Tissue Data'!$C:$C)</f>
        <v>Down</v>
      </c>
      <c r="C340" s="2">
        <f>_xlfn.XLOOKUP(A340,'[1]Tissue Data'!$A:$A,'[1]Tissue Data'!$D:$D)</f>
        <v>44314</v>
      </c>
      <c r="D340" s="2" t="str">
        <f>_xlfn.XLOOKUP(A340,'[1]Tissue Data'!$A:$A,'[1]Tissue Data'!$F:$F)</f>
        <v>Pumpkinseed</v>
      </c>
      <c r="E340" t="str">
        <f>_xlfn.XLOOKUP(A340,'[1]Tissue Data'!$A:$A,'[1]Tissue Data'!$H:$H)</f>
        <v>Lepomis</v>
      </c>
      <c r="F340" t="str">
        <f>_xlfn.XLOOKUP(A340,'[1]Tissue Data'!$A:$A,'[1]Tissue Data'!$I:$I)</f>
        <v>gibbosus</v>
      </c>
      <c r="G340" t="str">
        <f>_xlfn.XLOOKUP(A340,'[1]Tissue Data'!$A:$A,'[1]Tissue Data'!J:J)</f>
        <v>U</v>
      </c>
      <c r="H340" t="str">
        <f>_xlfn.XLOOKUP(A340,'[1]Tissue Data'!$A:$A,'[1]Tissue Data'!K:K)</f>
        <v>Whole Body</v>
      </c>
      <c r="I340">
        <f>_xlfn.XLOOKUP(A340,'[1]Tissue Data'!$A:$A,'[1]Tissue Data'!L:L)</f>
        <v>4.75</v>
      </c>
      <c r="J340">
        <f>_xlfn.XLOOKUP(A340,'[1]Tissue Data'!$A:$A,'[1]Tissue Data'!M:M)</f>
        <v>9.52</v>
      </c>
      <c r="K340" t="s">
        <v>50</v>
      </c>
      <c r="L340" t="str">
        <f>_xlfn.XLOOKUP(K340,[2]analyte_order!$B:$B,[2]analyte_order!$C:$C)</f>
        <v>53826-12-3</v>
      </c>
      <c r="M340">
        <f>_xlfn.XLOOKUP(L340,[2]analyte_order!$C:$C,[2]analyte_order!$E:$E)</f>
        <v>41</v>
      </c>
      <c r="N340">
        <v>4.3499999999999996</v>
      </c>
    </row>
    <row r="341" spans="1:14">
      <c r="A341" t="s">
        <v>234</v>
      </c>
      <c r="B341" t="str">
        <f>_xlfn.XLOOKUP(A341,'[1]Tissue Data'!$A:$A,'[1]Tissue Data'!$C:$C)</f>
        <v>Down</v>
      </c>
      <c r="C341" s="2">
        <f>_xlfn.XLOOKUP(A341,'[1]Tissue Data'!$A:$A,'[1]Tissue Data'!$D:$D)</f>
        <v>44314</v>
      </c>
      <c r="D341" s="2" t="str">
        <f>_xlfn.XLOOKUP(A341,'[1]Tissue Data'!$A:$A,'[1]Tissue Data'!$F:$F)</f>
        <v>Pumpkinseed</v>
      </c>
      <c r="E341" t="str">
        <f>_xlfn.XLOOKUP(A341,'[1]Tissue Data'!$A:$A,'[1]Tissue Data'!$H:$H)</f>
        <v>Lepomis</v>
      </c>
      <c r="F341" t="str">
        <f>_xlfn.XLOOKUP(A341,'[1]Tissue Data'!$A:$A,'[1]Tissue Data'!$I:$I)</f>
        <v>gibbosus</v>
      </c>
      <c r="G341" t="str">
        <f>_xlfn.XLOOKUP(A341,'[1]Tissue Data'!$A:$A,'[1]Tissue Data'!J:J)</f>
        <v>U</v>
      </c>
      <c r="H341" t="str">
        <f>_xlfn.XLOOKUP(A341,'[1]Tissue Data'!$A:$A,'[1]Tissue Data'!K:K)</f>
        <v>Whole Body</v>
      </c>
      <c r="I341">
        <f>_xlfn.XLOOKUP(A341,'[1]Tissue Data'!$A:$A,'[1]Tissue Data'!L:L)</f>
        <v>4.75</v>
      </c>
      <c r="J341">
        <f>_xlfn.XLOOKUP(A341,'[1]Tissue Data'!$A:$A,'[1]Tissue Data'!M:M)</f>
        <v>9.52</v>
      </c>
      <c r="K341" t="s">
        <v>51</v>
      </c>
      <c r="L341" t="str">
        <f>_xlfn.XLOOKUP(K341,[2]analyte_order!$B:$B,[2]analyte_order!$C:$C)</f>
        <v>27854-31-5</v>
      </c>
      <c r="M341">
        <f>_xlfn.XLOOKUP(L341,[2]analyte_order!$C:$C,[2]analyte_order!$E:$E)</f>
        <v>42</v>
      </c>
      <c r="N341">
        <v>2.29</v>
      </c>
    </row>
    <row r="342" spans="1:14">
      <c r="A342" t="s">
        <v>234</v>
      </c>
      <c r="B342" t="str">
        <f>_xlfn.XLOOKUP(A342,'[1]Tissue Data'!$A:$A,'[1]Tissue Data'!$C:$C)</f>
        <v>Down</v>
      </c>
      <c r="C342" s="2">
        <f>_xlfn.XLOOKUP(A342,'[1]Tissue Data'!$A:$A,'[1]Tissue Data'!$D:$D)</f>
        <v>44314</v>
      </c>
      <c r="D342" s="2" t="str">
        <f>_xlfn.XLOOKUP(A342,'[1]Tissue Data'!$A:$A,'[1]Tissue Data'!$F:$F)</f>
        <v>Pumpkinseed</v>
      </c>
      <c r="E342" t="str">
        <f>_xlfn.XLOOKUP(A342,'[1]Tissue Data'!$A:$A,'[1]Tissue Data'!$H:$H)</f>
        <v>Lepomis</v>
      </c>
      <c r="F342" t="str">
        <f>_xlfn.XLOOKUP(A342,'[1]Tissue Data'!$A:$A,'[1]Tissue Data'!$I:$I)</f>
        <v>gibbosus</v>
      </c>
      <c r="G342" t="str">
        <f>_xlfn.XLOOKUP(A342,'[1]Tissue Data'!$A:$A,'[1]Tissue Data'!J:J)</f>
        <v>U</v>
      </c>
      <c r="H342" t="str">
        <f>_xlfn.XLOOKUP(A342,'[1]Tissue Data'!$A:$A,'[1]Tissue Data'!K:K)</f>
        <v>Whole Body</v>
      </c>
      <c r="I342">
        <f>_xlfn.XLOOKUP(A342,'[1]Tissue Data'!$A:$A,'[1]Tissue Data'!L:L)</f>
        <v>4.75</v>
      </c>
      <c r="J342">
        <f>_xlfn.XLOOKUP(A342,'[1]Tissue Data'!$A:$A,'[1]Tissue Data'!M:M)</f>
        <v>9.52</v>
      </c>
      <c r="K342" t="s">
        <v>52</v>
      </c>
      <c r="L342" t="str">
        <f>_xlfn.XLOOKUP(K342,[2]analyte_order!$B:$B,[2]analyte_order!$C:$C)</f>
        <v>53826-13-4</v>
      </c>
      <c r="M342">
        <f>_xlfn.XLOOKUP(L342,[2]analyte_order!$C:$C,[2]analyte_order!$E:$E)</f>
        <v>43</v>
      </c>
      <c r="N342">
        <v>0.11441790177631579</v>
      </c>
    </row>
    <row r="343" spans="1:14">
      <c r="A343" t="s">
        <v>234</v>
      </c>
      <c r="B343" t="str">
        <f>_xlfn.XLOOKUP(A343,'[1]Tissue Data'!$A:$A,'[1]Tissue Data'!$C:$C)</f>
        <v>Down</v>
      </c>
      <c r="C343" s="2">
        <f>_xlfn.XLOOKUP(A343,'[1]Tissue Data'!$A:$A,'[1]Tissue Data'!$D:$D)</f>
        <v>44314</v>
      </c>
      <c r="D343" s="2" t="str">
        <f>_xlfn.XLOOKUP(A343,'[1]Tissue Data'!$A:$A,'[1]Tissue Data'!$F:$F)</f>
        <v>Pumpkinseed</v>
      </c>
      <c r="E343" t="str">
        <f>_xlfn.XLOOKUP(A343,'[1]Tissue Data'!$A:$A,'[1]Tissue Data'!$H:$H)</f>
        <v>Lepomis</v>
      </c>
      <c r="F343" t="str">
        <f>_xlfn.XLOOKUP(A343,'[1]Tissue Data'!$A:$A,'[1]Tissue Data'!$I:$I)</f>
        <v>gibbosus</v>
      </c>
      <c r="G343" t="str">
        <f>_xlfn.XLOOKUP(A343,'[1]Tissue Data'!$A:$A,'[1]Tissue Data'!J:J)</f>
        <v>U</v>
      </c>
      <c r="H343" t="str">
        <f>_xlfn.XLOOKUP(A343,'[1]Tissue Data'!$A:$A,'[1]Tissue Data'!K:K)</f>
        <v>Whole Body</v>
      </c>
      <c r="I343">
        <f>_xlfn.XLOOKUP(A343,'[1]Tissue Data'!$A:$A,'[1]Tissue Data'!L:L)</f>
        <v>4.75</v>
      </c>
      <c r="J343">
        <f>_xlfn.XLOOKUP(A343,'[1]Tissue Data'!$A:$A,'[1]Tissue Data'!M:M)</f>
        <v>9.52</v>
      </c>
      <c r="K343" t="s">
        <v>53</v>
      </c>
      <c r="L343" t="str">
        <f>_xlfn.XLOOKUP(K343,[2]analyte_order!$B:$B,[2]analyte_order!$C:$C)</f>
        <v>161094-75-3</v>
      </c>
      <c r="M343">
        <f>_xlfn.XLOOKUP(L343,[2]analyte_order!$C:$C,[2]analyte_order!$E:$E)</f>
        <v>44</v>
      </c>
      <c r="N343">
        <v>6.0207071842105268E-2</v>
      </c>
    </row>
    <row r="344" spans="1:14">
      <c r="A344" t="s">
        <v>234</v>
      </c>
      <c r="B344" t="str">
        <f>_xlfn.XLOOKUP(A344,'[1]Tissue Data'!$A:$A,'[1]Tissue Data'!$C:$C)</f>
        <v>Down</v>
      </c>
      <c r="C344" s="2">
        <f>_xlfn.XLOOKUP(A344,'[1]Tissue Data'!$A:$A,'[1]Tissue Data'!$D:$D)</f>
        <v>44314</v>
      </c>
      <c r="D344" s="2" t="str">
        <f>_xlfn.XLOOKUP(A344,'[1]Tissue Data'!$A:$A,'[1]Tissue Data'!$F:$F)</f>
        <v>Pumpkinseed</v>
      </c>
      <c r="E344" t="str">
        <f>_xlfn.XLOOKUP(A344,'[1]Tissue Data'!$A:$A,'[1]Tissue Data'!$H:$H)</f>
        <v>Lepomis</v>
      </c>
      <c r="F344" t="str">
        <f>_xlfn.XLOOKUP(A344,'[1]Tissue Data'!$A:$A,'[1]Tissue Data'!$I:$I)</f>
        <v>gibbosus</v>
      </c>
      <c r="G344" t="str">
        <f>_xlfn.XLOOKUP(A344,'[1]Tissue Data'!$A:$A,'[1]Tissue Data'!J:J)</f>
        <v>U</v>
      </c>
      <c r="H344" t="str">
        <f>_xlfn.XLOOKUP(A344,'[1]Tissue Data'!$A:$A,'[1]Tissue Data'!K:K)</f>
        <v>Whole Body</v>
      </c>
      <c r="I344">
        <f>_xlfn.XLOOKUP(A344,'[1]Tissue Data'!$A:$A,'[1]Tissue Data'!L:L)</f>
        <v>4.75</v>
      </c>
      <c r="J344">
        <f>_xlfn.XLOOKUP(A344,'[1]Tissue Data'!$A:$A,'[1]Tissue Data'!M:M)</f>
        <v>9.52</v>
      </c>
      <c r="K344" t="s">
        <v>54</v>
      </c>
      <c r="L344" t="str">
        <f>_xlfn.XLOOKUP(K344,[2]analyte_order!$B:$B,[2]analyte_order!$C:$C)</f>
        <v>70887-84-2</v>
      </c>
      <c r="M344">
        <f>_xlfn.XLOOKUP(L344,[2]analyte_order!$C:$C,[2]analyte_order!$E:$E)</f>
        <v>45</v>
      </c>
      <c r="N344">
        <v>4.6336686375000005E-2</v>
      </c>
    </row>
    <row r="345" spans="1:14">
      <c r="A345" t="s">
        <v>234</v>
      </c>
      <c r="B345" t="str">
        <f>_xlfn.XLOOKUP(A345,'[1]Tissue Data'!$A:$A,'[1]Tissue Data'!$C:$C)</f>
        <v>Down</v>
      </c>
      <c r="C345" s="2">
        <f>_xlfn.XLOOKUP(A345,'[1]Tissue Data'!$A:$A,'[1]Tissue Data'!$D:$D)</f>
        <v>44314</v>
      </c>
      <c r="D345" s="2" t="str">
        <f>_xlfn.XLOOKUP(A345,'[1]Tissue Data'!$A:$A,'[1]Tissue Data'!$F:$F)</f>
        <v>Pumpkinseed</v>
      </c>
      <c r="E345" t="str">
        <f>_xlfn.XLOOKUP(A345,'[1]Tissue Data'!$A:$A,'[1]Tissue Data'!$H:$H)</f>
        <v>Lepomis</v>
      </c>
      <c r="F345" t="str">
        <f>_xlfn.XLOOKUP(A345,'[1]Tissue Data'!$A:$A,'[1]Tissue Data'!$I:$I)</f>
        <v>gibbosus</v>
      </c>
      <c r="G345" t="str">
        <f>_xlfn.XLOOKUP(A345,'[1]Tissue Data'!$A:$A,'[1]Tissue Data'!J:J)</f>
        <v>U</v>
      </c>
      <c r="H345" t="str">
        <f>_xlfn.XLOOKUP(A345,'[1]Tissue Data'!$A:$A,'[1]Tissue Data'!K:K)</f>
        <v>Whole Body</v>
      </c>
      <c r="I345">
        <f>_xlfn.XLOOKUP(A345,'[1]Tissue Data'!$A:$A,'[1]Tissue Data'!L:L)</f>
        <v>4.75</v>
      </c>
      <c r="J345">
        <f>_xlfn.XLOOKUP(A345,'[1]Tissue Data'!$A:$A,'[1]Tissue Data'!M:M)</f>
        <v>9.52</v>
      </c>
      <c r="K345" t="s">
        <v>55</v>
      </c>
      <c r="L345" t="str">
        <f>_xlfn.XLOOKUP(K345,[2]analyte_order!$B:$B,[2]analyte_order!$C:$C)</f>
        <v>919005-14-4</v>
      </c>
      <c r="M345">
        <f>_xlfn.XLOOKUP(L345,[2]analyte_order!$C:$C,[2]analyte_order!$E:$E)</f>
        <v>35</v>
      </c>
      <c r="N345">
        <v>7.6677708256655625E-2</v>
      </c>
    </row>
    <row r="346" spans="1:14">
      <c r="A346" t="s">
        <v>234</v>
      </c>
      <c r="B346" t="str">
        <f>_xlfn.XLOOKUP(A346,'[1]Tissue Data'!$A:$A,'[1]Tissue Data'!$C:$C)</f>
        <v>Down</v>
      </c>
      <c r="C346" s="2">
        <f>_xlfn.XLOOKUP(A346,'[1]Tissue Data'!$A:$A,'[1]Tissue Data'!$D:$D)</f>
        <v>44314</v>
      </c>
      <c r="D346" s="2" t="str">
        <f>_xlfn.XLOOKUP(A346,'[1]Tissue Data'!$A:$A,'[1]Tissue Data'!$F:$F)</f>
        <v>Pumpkinseed</v>
      </c>
      <c r="E346" t="str">
        <f>_xlfn.XLOOKUP(A346,'[1]Tissue Data'!$A:$A,'[1]Tissue Data'!$H:$H)</f>
        <v>Lepomis</v>
      </c>
      <c r="F346" t="str">
        <f>_xlfn.XLOOKUP(A346,'[1]Tissue Data'!$A:$A,'[1]Tissue Data'!$I:$I)</f>
        <v>gibbosus</v>
      </c>
      <c r="G346" t="str">
        <f>_xlfn.XLOOKUP(A346,'[1]Tissue Data'!$A:$A,'[1]Tissue Data'!J:J)</f>
        <v>U</v>
      </c>
      <c r="H346" t="str">
        <f>_xlfn.XLOOKUP(A346,'[1]Tissue Data'!$A:$A,'[1]Tissue Data'!K:K)</f>
        <v>Whole Body</v>
      </c>
      <c r="I346">
        <f>_xlfn.XLOOKUP(A346,'[1]Tissue Data'!$A:$A,'[1]Tissue Data'!L:L)</f>
        <v>4.75</v>
      </c>
      <c r="J346">
        <f>_xlfn.XLOOKUP(A346,'[1]Tissue Data'!$A:$A,'[1]Tissue Data'!M:M)</f>
        <v>9.52</v>
      </c>
      <c r="K346" t="s">
        <v>56</v>
      </c>
      <c r="L346" t="str">
        <f>_xlfn.XLOOKUP(K346,[2]analyte_order!$B:$B,[2]analyte_order!$C:$C)</f>
        <v>756426-58-1</v>
      </c>
      <c r="M346">
        <f>_xlfn.XLOOKUP(L346,[2]analyte_order!$C:$C,[2]analyte_order!$E:$E)</f>
        <v>36</v>
      </c>
      <c r="N346">
        <v>5.3222506381578952E-2</v>
      </c>
    </row>
    <row r="347" spans="1:14">
      <c r="A347" t="s">
        <v>234</v>
      </c>
      <c r="B347" t="str">
        <f>_xlfn.XLOOKUP(A347,'[1]Tissue Data'!$A:$A,'[1]Tissue Data'!$C:$C)</f>
        <v>Down</v>
      </c>
      <c r="C347" s="2">
        <f>_xlfn.XLOOKUP(A347,'[1]Tissue Data'!$A:$A,'[1]Tissue Data'!$D:$D)</f>
        <v>44314</v>
      </c>
      <c r="D347" s="2" t="str">
        <f>_xlfn.XLOOKUP(A347,'[1]Tissue Data'!$A:$A,'[1]Tissue Data'!$F:$F)</f>
        <v>Pumpkinseed</v>
      </c>
      <c r="E347" t="str">
        <f>_xlfn.XLOOKUP(A347,'[1]Tissue Data'!$A:$A,'[1]Tissue Data'!$H:$H)</f>
        <v>Lepomis</v>
      </c>
      <c r="F347" t="str">
        <f>_xlfn.XLOOKUP(A347,'[1]Tissue Data'!$A:$A,'[1]Tissue Data'!$I:$I)</f>
        <v>gibbosus</v>
      </c>
      <c r="G347" t="str">
        <f>_xlfn.XLOOKUP(A347,'[1]Tissue Data'!$A:$A,'[1]Tissue Data'!J:J)</f>
        <v>U</v>
      </c>
      <c r="H347" t="str">
        <f>_xlfn.XLOOKUP(A347,'[1]Tissue Data'!$A:$A,'[1]Tissue Data'!K:K)</f>
        <v>Whole Body</v>
      </c>
      <c r="I347">
        <f>_xlfn.XLOOKUP(A347,'[1]Tissue Data'!$A:$A,'[1]Tissue Data'!L:L)</f>
        <v>4.75</v>
      </c>
      <c r="J347">
        <f>_xlfn.XLOOKUP(A347,'[1]Tissue Data'!$A:$A,'[1]Tissue Data'!M:M)</f>
        <v>9.52</v>
      </c>
      <c r="K347" t="s">
        <v>57</v>
      </c>
      <c r="L347" t="str">
        <f>_xlfn.XLOOKUP(K347,[2]analyte_order!$B:$B,[2]analyte_order!$C:$C)</f>
        <v>763051-92-9</v>
      </c>
      <c r="M347">
        <f>_xlfn.XLOOKUP(L347,[2]analyte_order!$C:$C,[2]analyte_order!$E:$E)</f>
        <v>37</v>
      </c>
      <c r="N347">
        <v>6.0421309144736847E-2</v>
      </c>
    </row>
    <row r="348" spans="1:14">
      <c r="A348" t="s">
        <v>234</v>
      </c>
      <c r="B348" t="str">
        <f>_xlfn.XLOOKUP(A348,'[1]Tissue Data'!$A:$A,'[1]Tissue Data'!$C:$C)</f>
        <v>Down</v>
      </c>
      <c r="C348" s="2">
        <f>_xlfn.XLOOKUP(A348,'[1]Tissue Data'!$A:$A,'[1]Tissue Data'!$D:$D)</f>
        <v>44314</v>
      </c>
      <c r="D348" s="2" t="str">
        <f>_xlfn.XLOOKUP(A348,'[1]Tissue Data'!$A:$A,'[1]Tissue Data'!$F:$F)</f>
        <v>Pumpkinseed</v>
      </c>
      <c r="E348" t="str">
        <f>_xlfn.XLOOKUP(A348,'[1]Tissue Data'!$A:$A,'[1]Tissue Data'!$H:$H)</f>
        <v>Lepomis</v>
      </c>
      <c r="F348" t="str">
        <f>_xlfn.XLOOKUP(A348,'[1]Tissue Data'!$A:$A,'[1]Tissue Data'!$I:$I)</f>
        <v>gibbosus</v>
      </c>
      <c r="G348" t="str">
        <f>_xlfn.XLOOKUP(A348,'[1]Tissue Data'!$A:$A,'[1]Tissue Data'!J:J)</f>
        <v>U</v>
      </c>
      <c r="H348" t="str">
        <f>_xlfn.XLOOKUP(A348,'[1]Tissue Data'!$A:$A,'[1]Tissue Data'!K:K)</f>
        <v>Whole Body</v>
      </c>
      <c r="I348">
        <f>_xlfn.XLOOKUP(A348,'[1]Tissue Data'!$A:$A,'[1]Tissue Data'!L:L)</f>
        <v>4.75</v>
      </c>
      <c r="J348">
        <f>_xlfn.XLOOKUP(A348,'[1]Tissue Data'!$A:$A,'[1]Tissue Data'!M:M)</f>
        <v>9.52</v>
      </c>
      <c r="K348" t="s">
        <v>58</v>
      </c>
      <c r="L348" t="str">
        <f>_xlfn.XLOOKUP(K348,[2]analyte_order!$B:$B,[2]analyte_order!$C:$C)</f>
        <v>13252-13-6</v>
      </c>
      <c r="M348">
        <f>_xlfn.XLOOKUP(L348,[2]analyte_order!$C:$C,[2]analyte_order!$E:$E)</f>
        <v>34</v>
      </c>
      <c r="N348">
        <v>0.11003470164473686</v>
      </c>
    </row>
    <row r="349" spans="1:14">
      <c r="A349" t="s">
        <v>234</v>
      </c>
      <c r="B349" t="str">
        <f>_xlfn.XLOOKUP(A349,'[1]Tissue Data'!$A:$A,'[1]Tissue Data'!$C:$C)</f>
        <v>Down</v>
      </c>
      <c r="C349" s="2">
        <f>_xlfn.XLOOKUP(A349,'[1]Tissue Data'!$A:$A,'[1]Tissue Data'!$D:$D)</f>
        <v>44314</v>
      </c>
      <c r="D349" s="2" t="str">
        <f>_xlfn.XLOOKUP(A349,'[1]Tissue Data'!$A:$A,'[1]Tissue Data'!$F:$F)</f>
        <v>Pumpkinseed</v>
      </c>
      <c r="E349" t="str">
        <f>_xlfn.XLOOKUP(A349,'[1]Tissue Data'!$A:$A,'[1]Tissue Data'!$H:$H)</f>
        <v>Lepomis</v>
      </c>
      <c r="F349" t="str">
        <f>_xlfn.XLOOKUP(A349,'[1]Tissue Data'!$A:$A,'[1]Tissue Data'!$I:$I)</f>
        <v>gibbosus</v>
      </c>
      <c r="G349" t="str">
        <f>_xlfn.XLOOKUP(A349,'[1]Tissue Data'!$A:$A,'[1]Tissue Data'!J:J)</f>
        <v>U</v>
      </c>
      <c r="H349" t="str">
        <f>_xlfn.XLOOKUP(A349,'[1]Tissue Data'!$A:$A,'[1]Tissue Data'!K:K)</f>
        <v>Whole Body</v>
      </c>
      <c r="I349">
        <f>_xlfn.XLOOKUP(A349,'[1]Tissue Data'!$A:$A,'[1]Tissue Data'!L:L)</f>
        <v>4.75</v>
      </c>
      <c r="J349">
        <f>_xlfn.XLOOKUP(A349,'[1]Tissue Data'!$A:$A,'[1]Tissue Data'!M:M)</f>
        <v>9.52</v>
      </c>
      <c r="K349" t="s">
        <v>59</v>
      </c>
      <c r="L349" t="str">
        <f>_xlfn.XLOOKUP(K349,[2]analyte_order!$B:$B,[2]analyte_order!$C:$C)</f>
        <v>57677-95-9</v>
      </c>
      <c r="M349">
        <f>_xlfn.XLOOKUP(L349,[2]analyte_order!$C:$C,[2]analyte_order!$E:$E)</f>
        <v>46</v>
      </c>
      <c r="N349">
        <v>8.1625639144736833E-2</v>
      </c>
    </row>
    <row r="350" spans="1:14">
      <c r="A350" t="s">
        <v>234</v>
      </c>
      <c r="B350" t="str">
        <f>_xlfn.XLOOKUP(A350,'[1]Tissue Data'!$A:$A,'[1]Tissue Data'!$C:$C)</f>
        <v>Down</v>
      </c>
      <c r="C350" s="2">
        <f>_xlfn.XLOOKUP(A350,'[1]Tissue Data'!$A:$A,'[1]Tissue Data'!$D:$D)</f>
        <v>44314</v>
      </c>
      <c r="D350" s="2" t="str">
        <f>_xlfn.XLOOKUP(A350,'[1]Tissue Data'!$A:$A,'[1]Tissue Data'!$F:$F)</f>
        <v>Pumpkinseed</v>
      </c>
      <c r="E350" t="str">
        <f>_xlfn.XLOOKUP(A350,'[1]Tissue Data'!$A:$A,'[1]Tissue Data'!$H:$H)</f>
        <v>Lepomis</v>
      </c>
      <c r="F350" t="str">
        <f>_xlfn.XLOOKUP(A350,'[1]Tissue Data'!$A:$A,'[1]Tissue Data'!$I:$I)</f>
        <v>gibbosus</v>
      </c>
      <c r="G350" t="str">
        <f>_xlfn.XLOOKUP(A350,'[1]Tissue Data'!$A:$A,'[1]Tissue Data'!J:J)</f>
        <v>U</v>
      </c>
      <c r="H350" t="str">
        <f>_xlfn.XLOOKUP(A350,'[1]Tissue Data'!$A:$A,'[1]Tissue Data'!K:K)</f>
        <v>Whole Body</v>
      </c>
      <c r="I350">
        <f>_xlfn.XLOOKUP(A350,'[1]Tissue Data'!$A:$A,'[1]Tissue Data'!L:L)</f>
        <v>4.75</v>
      </c>
      <c r="J350">
        <f>_xlfn.XLOOKUP(A350,'[1]Tissue Data'!$A:$A,'[1]Tissue Data'!M:M)</f>
        <v>9.52</v>
      </c>
      <c r="K350" t="s">
        <v>60</v>
      </c>
      <c r="L350" t="str">
        <f>_xlfn.XLOOKUP(K350,[2]analyte_order!$B:$B,[2]analyte_order!$C:$C)</f>
        <v>678-41-1</v>
      </c>
      <c r="M350">
        <f>_xlfn.XLOOKUP(L350,[2]analyte_order!$C:$C,[2]analyte_order!$E:$E)</f>
        <v>56</v>
      </c>
      <c r="N350">
        <v>0.10166037967105264</v>
      </c>
    </row>
    <row r="351" spans="1:14">
      <c r="A351" t="s">
        <v>234</v>
      </c>
      <c r="B351" t="str">
        <f>_xlfn.XLOOKUP(A351,'[1]Tissue Data'!$A:$A,'[1]Tissue Data'!$C:$C)</f>
        <v>Down</v>
      </c>
      <c r="C351" s="2">
        <f>_xlfn.XLOOKUP(A351,'[1]Tissue Data'!$A:$A,'[1]Tissue Data'!$D:$D)</f>
        <v>44314</v>
      </c>
      <c r="D351" s="2" t="str">
        <f>_xlfn.XLOOKUP(A351,'[1]Tissue Data'!$A:$A,'[1]Tissue Data'!$F:$F)</f>
        <v>Pumpkinseed</v>
      </c>
      <c r="E351" t="str">
        <f>_xlfn.XLOOKUP(A351,'[1]Tissue Data'!$A:$A,'[1]Tissue Data'!$H:$H)</f>
        <v>Lepomis</v>
      </c>
      <c r="F351" t="str">
        <f>_xlfn.XLOOKUP(A351,'[1]Tissue Data'!$A:$A,'[1]Tissue Data'!$I:$I)</f>
        <v>gibbosus</v>
      </c>
      <c r="G351" t="str">
        <f>_xlfn.XLOOKUP(A351,'[1]Tissue Data'!$A:$A,'[1]Tissue Data'!J:J)</f>
        <v>U</v>
      </c>
      <c r="H351" t="str">
        <f>_xlfn.XLOOKUP(A351,'[1]Tissue Data'!$A:$A,'[1]Tissue Data'!K:K)</f>
        <v>Whole Body</v>
      </c>
      <c r="I351">
        <f>_xlfn.XLOOKUP(A351,'[1]Tissue Data'!$A:$A,'[1]Tissue Data'!L:L)</f>
        <v>4.75</v>
      </c>
      <c r="J351">
        <f>_xlfn.XLOOKUP(A351,'[1]Tissue Data'!$A:$A,'[1]Tissue Data'!M:M)</f>
        <v>9.52</v>
      </c>
      <c r="K351" t="s">
        <v>61</v>
      </c>
      <c r="L351" t="str">
        <f>_xlfn.XLOOKUP(K351,[2]analyte_order!$B:$B,[2]analyte_order!$C:$C)</f>
        <v>2965-52-8</v>
      </c>
      <c r="M351">
        <f>_xlfn.XLOOKUP(L351,[2]analyte_order!$C:$C,[2]analyte_order!$E:$E)</f>
        <v>57</v>
      </c>
      <c r="N351">
        <v>0.1349527665317139</v>
      </c>
    </row>
    <row r="352" spans="1:14">
      <c r="A352" t="s">
        <v>235</v>
      </c>
      <c r="B352" t="str">
        <f>_xlfn.XLOOKUP(A352,'[1]Tissue Data'!$A:$A,'[1]Tissue Data'!$C:$C)</f>
        <v>Down</v>
      </c>
      <c r="C352" s="2">
        <f>_xlfn.XLOOKUP(A352,'[1]Tissue Data'!$A:$A,'[1]Tissue Data'!$D:$D)</f>
        <v>44314</v>
      </c>
      <c r="D352" s="2" t="str">
        <f>_xlfn.XLOOKUP(A352,'[1]Tissue Data'!$A:$A,'[1]Tissue Data'!$F:$F)</f>
        <v>Pumpkinseed</v>
      </c>
      <c r="E352" t="str">
        <f>_xlfn.XLOOKUP(A352,'[1]Tissue Data'!$A:$A,'[1]Tissue Data'!$H:$H)</f>
        <v>Lepomis</v>
      </c>
      <c r="F352" t="str">
        <f>_xlfn.XLOOKUP(A352,'[1]Tissue Data'!$A:$A,'[1]Tissue Data'!$I:$I)</f>
        <v>gibbosus</v>
      </c>
      <c r="G352" t="str">
        <f>_xlfn.XLOOKUP(A352,'[1]Tissue Data'!$A:$A,'[1]Tissue Data'!J:J)</f>
        <v>U</v>
      </c>
      <c r="H352" t="str">
        <f>_xlfn.XLOOKUP(A352,'[1]Tissue Data'!$A:$A,'[1]Tissue Data'!K:K)</f>
        <v>Whole Body</v>
      </c>
      <c r="I352">
        <f>_xlfn.XLOOKUP(A352,'[1]Tissue Data'!$A:$A,'[1]Tissue Data'!L:L)</f>
        <v>7</v>
      </c>
      <c r="J352">
        <f>_xlfn.XLOOKUP(A352,'[1]Tissue Data'!$A:$A,'[1]Tissue Data'!M:M)</f>
        <v>16.059999999999999</v>
      </c>
      <c r="K352" t="s">
        <v>12</v>
      </c>
      <c r="L352" t="str">
        <f>_xlfn.XLOOKUP(K352,[2]analyte_order!$B:$B,[2]analyte_order!$C:$C)</f>
        <v>375-22-4</v>
      </c>
      <c r="M352">
        <f>_xlfn.XLOOKUP(L352,[2]analyte_order!$C:$C,[2]analyte_order!$E:$E)</f>
        <v>1</v>
      </c>
      <c r="N352">
        <v>9.3710953769262792E-2</v>
      </c>
    </row>
    <row r="353" spans="1:14">
      <c r="A353" t="s">
        <v>235</v>
      </c>
      <c r="B353" t="str">
        <f>_xlfn.XLOOKUP(A353,'[1]Tissue Data'!$A:$A,'[1]Tissue Data'!$C:$C)</f>
        <v>Down</v>
      </c>
      <c r="C353" s="2">
        <f>_xlfn.XLOOKUP(A353,'[1]Tissue Data'!$A:$A,'[1]Tissue Data'!$D:$D)</f>
        <v>44314</v>
      </c>
      <c r="D353" s="2" t="str">
        <f>_xlfn.XLOOKUP(A353,'[1]Tissue Data'!$A:$A,'[1]Tissue Data'!$F:$F)</f>
        <v>Pumpkinseed</v>
      </c>
      <c r="E353" t="str">
        <f>_xlfn.XLOOKUP(A353,'[1]Tissue Data'!$A:$A,'[1]Tissue Data'!$H:$H)</f>
        <v>Lepomis</v>
      </c>
      <c r="F353" t="str">
        <f>_xlfn.XLOOKUP(A353,'[1]Tissue Data'!$A:$A,'[1]Tissue Data'!$I:$I)</f>
        <v>gibbosus</v>
      </c>
      <c r="G353" t="str">
        <f>_xlfn.XLOOKUP(A353,'[1]Tissue Data'!$A:$A,'[1]Tissue Data'!J:J)</f>
        <v>U</v>
      </c>
      <c r="H353" t="str">
        <f>_xlfn.XLOOKUP(A353,'[1]Tissue Data'!$A:$A,'[1]Tissue Data'!K:K)</f>
        <v>Whole Body</v>
      </c>
      <c r="I353">
        <f>_xlfn.XLOOKUP(A353,'[1]Tissue Data'!$A:$A,'[1]Tissue Data'!L:L)</f>
        <v>7</v>
      </c>
      <c r="J353">
        <f>_xlfn.XLOOKUP(A353,'[1]Tissue Data'!$A:$A,'[1]Tissue Data'!M:M)</f>
        <v>16.059999999999999</v>
      </c>
      <c r="K353" t="s">
        <v>13</v>
      </c>
      <c r="L353" t="str">
        <f>_xlfn.XLOOKUP(K353,[2]analyte_order!$B:$B,[2]analyte_order!$C:$C)</f>
        <v>2706-90-3</v>
      </c>
      <c r="M353">
        <f>_xlfn.XLOOKUP(L353,[2]analyte_order!$C:$C,[2]analyte_order!$E:$E)</f>
        <v>2</v>
      </c>
      <c r="N353">
        <v>5.3981701040452711E-2</v>
      </c>
    </row>
    <row r="354" spans="1:14">
      <c r="A354" t="s">
        <v>235</v>
      </c>
      <c r="B354" t="str">
        <f>_xlfn.XLOOKUP(A354,'[1]Tissue Data'!$A:$A,'[1]Tissue Data'!$C:$C)</f>
        <v>Down</v>
      </c>
      <c r="C354" s="2">
        <f>_xlfn.XLOOKUP(A354,'[1]Tissue Data'!$A:$A,'[1]Tissue Data'!$D:$D)</f>
        <v>44314</v>
      </c>
      <c r="D354" s="2" t="str">
        <f>_xlfn.XLOOKUP(A354,'[1]Tissue Data'!$A:$A,'[1]Tissue Data'!$F:$F)</f>
        <v>Pumpkinseed</v>
      </c>
      <c r="E354" t="str">
        <f>_xlfn.XLOOKUP(A354,'[1]Tissue Data'!$A:$A,'[1]Tissue Data'!$H:$H)</f>
        <v>Lepomis</v>
      </c>
      <c r="F354" t="str">
        <f>_xlfn.XLOOKUP(A354,'[1]Tissue Data'!$A:$A,'[1]Tissue Data'!$I:$I)</f>
        <v>gibbosus</v>
      </c>
      <c r="G354" t="str">
        <f>_xlfn.XLOOKUP(A354,'[1]Tissue Data'!$A:$A,'[1]Tissue Data'!J:J)</f>
        <v>U</v>
      </c>
      <c r="H354" t="str">
        <f>_xlfn.XLOOKUP(A354,'[1]Tissue Data'!$A:$A,'[1]Tissue Data'!K:K)</f>
        <v>Whole Body</v>
      </c>
      <c r="I354">
        <f>_xlfn.XLOOKUP(A354,'[1]Tissue Data'!$A:$A,'[1]Tissue Data'!L:L)</f>
        <v>7</v>
      </c>
      <c r="J354">
        <f>_xlfn.XLOOKUP(A354,'[1]Tissue Data'!$A:$A,'[1]Tissue Data'!M:M)</f>
        <v>16.059999999999999</v>
      </c>
      <c r="K354" t="s">
        <v>14</v>
      </c>
      <c r="L354" t="str">
        <f>_xlfn.XLOOKUP(K354,[2]analyte_order!$B:$B,[2]analyte_order!$C:$C)</f>
        <v>307-24-4</v>
      </c>
      <c r="M354">
        <f>_xlfn.XLOOKUP(L354,[2]analyte_order!$C:$C,[2]analyte_order!$E:$E)</f>
        <v>3</v>
      </c>
      <c r="N354">
        <v>4.123389890704842E-2</v>
      </c>
    </row>
    <row r="355" spans="1:14">
      <c r="A355" t="s">
        <v>235</v>
      </c>
      <c r="B355" t="str">
        <f>_xlfn.XLOOKUP(A355,'[1]Tissue Data'!$A:$A,'[1]Tissue Data'!$C:$C)</f>
        <v>Down</v>
      </c>
      <c r="C355" s="2">
        <f>_xlfn.XLOOKUP(A355,'[1]Tissue Data'!$A:$A,'[1]Tissue Data'!$D:$D)</f>
        <v>44314</v>
      </c>
      <c r="D355" s="2" t="str">
        <f>_xlfn.XLOOKUP(A355,'[1]Tissue Data'!$A:$A,'[1]Tissue Data'!$F:$F)</f>
        <v>Pumpkinseed</v>
      </c>
      <c r="E355" t="str">
        <f>_xlfn.XLOOKUP(A355,'[1]Tissue Data'!$A:$A,'[1]Tissue Data'!$H:$H)</f>
        <v>Lepomis</v>
      </c>
      <c r="F355" t="str">
        <f>_xlfn.XLOOKUP(A355,'[1]Tissue Data'!$A:$A,'[1]Tissue Data'!$I:$I)</f>
        <v>gibbosus</v>
      </c>
      <c r="G355" t="str">
        <f>_xlfn.XLOOKUP(A355,'[1]Tissue Data'!$A:$A,'[1]Tissue Data'!J:J)</f>
        <v>U</v>
      </c>
      <c r="H355" t="str">
        <f>_xlfn.XLOOKUP(A355,'[1]Tissue Data'!$A:$A,'[1]Tissue Data'!K:K)</f>
        <v>Whole Body</v>
      </c>
      <c r="I355">
        <f>_xlfn.XLOOKUP(A355,'[1]Tissue Data'!$A:$A,'[1]Tissue Data'!L:L)</f>
        <v>7</v>
      </c>
      <c r="J355">
        <f>_xlfn.XLOOKUP(A355,'[1]Tissue Data'!$A:$A,'[1]Tissue Data'!M:M)</f>
        <v>16.059999999999999</v>
      </c>
      <c r="K355" t="s">
        <v>15</v>
      </c>
      <c r="L355" t="str">
        <f>_xlfn.XLOOKUP(K355,[2]analyte_order!$B:$B,[2]analyte_order!$C:$C)</f>
        <v>375-85-9</v>
      </c>
      <c r="M355">
        <f>_xlfn.XLOOKUP(L355,[2]analyte_order!$C:$C,[2]analyte_order!$E:$E)</f>
        <v>4</v>
      </c>
      <c r="N355">
        <v>9.3710953769262792E-2</v>
      </c>
    </row>
    <row r="356" spans="1:14">
      <c r="A356" t="s">
        <v>235</v>
      </c>
      <c r="B356" t="str">
        <f>_xlfn.XLOOKUP(A356,'[1]Tissue Data'!$A:$A,'[1]Tissue Data'!$C:$C)</f>
        <v>Down</v>
      </c>
      <c r="C356" s="2">
        <f>_xlfn.XLOOKUP(A356,'[1]Tissue Data'!$A:$A,'[1]Tissue Data'!$D:$D)</f>
        <v>44314</v>
      </c>
      <c r="D356" s="2" t="str">
        <f>_xlfn.XLOOKUP(A356,'[1]Tissue Data'!$A:$A,'[1]Tissue Data'!$F:$F)</f>
        <v>Pumpkinseed</v>
      </c>
      <c r="E356" t="str">
        <f>_xlfn.XLOOKUP(A356,'[1]Tissue Data'!$A:$A,'[1]Tissue Data'!$H:$H)</f>
        <v>Lepomis</v>
      </c>
      <c r="F356" t="str">
        <f>_xlfn.XLOOKUP(A356,'[1]Tissue Data'!$A:$A,'[1]Tissue Data'!$I:$I)</f>
        <v>gibbosus</v>
      </c>
      <c r="G356" t="str">
        <f>_xlfn.XLOOKUP(A356,'[1]Tissue Data'!$A:$A,'[1]Tissue Data'!J:J)</f>
        <v>U</v>
      </c>
      <c r="H356" t="str">
        <f>_xlfn.XLOOKUP(A356,'[1]Tissue Data'!$A:$A,'[1]Tissue Data'!K:K)</f>
        <v>Whole Body</v>
      </c>
      <c r="I356">
        <f>_xlfn.XLOOKUP(A356,'[1]Tissue Data'!$A:$A,'[1]Tissue Data'!L:L)</f>
        <v>7</v>
      </c>
      <c r="J356">
        <f>_xlfn.XLOOKUP(A356,'[1]Tissue Data'!$A:$A,'[1]Tissue Data'!M:M)</f>
        <v>16.059999999999999</v>
      </c>
      <c r="K356" t="s">
        <v>16</v>
      </c>
      <c r="L356" t="str">
        <f>_xlfn.XLOOKUP(K356,[2]analyte_order!$B:$B,[2]analyte_order!$C:$C)</f>
        <v>335-67-1</v>
      </c>
      <c r="M356">
        <f>_xlfn.XLOOKUP(L356,[2]analyte_order!$C:$C,[2]analyte_order!$E:$E)</f>
        <v>5</v>
      </c>
      <c r="N356">
        <v>0.29099999999999998</v>
      </c>
    </row>
    <row r="357" spans="1:14">
      <c r="A357" t="s">
        <v>235</v>
      </c>
      <c r="B357" t="str">
        <f>_xlfn.XLOOKUP(A357,'[1]Tissue Data'!$A:$A,'[1]Tissue Data'!$C:$C)</f>
        <v>Down</v>
      </c>
      <c r="C357" s="2">
        <f>_xlfn.XLOOKUP(A357,'[1]Tissue Data'!$A:$A,'[1]Tissue Data'!$D:$D)</f>
        <v>44314</v>
      </c>
      <c r="D357" s="2" t="str">
        <f>_xlfn.XLOOKUP(A357,'[1]Tissue Data'!$A:$A,'[1]Tissue Data'!$F:$F)</f>
        <v>Pumpkinseed</v>
      </c>
      <c r="E357" t="str">
        <f>_xlfn.XLOOKUP(A357,'[1]Tissue Data'!$A:$A,'[1]Tissue Data'!$H:$H)</f>
        <v>Lepomis</v>
      </c>
      <c r="F357" t="str">
        <f>_xlfn.XLOOKUP(A357,'[1]Tissue Data'!$A:$A,'[1]Tissue Data'!$I:$I)</f>
        <v>gibbosus</v>
      </c>
      <c r="G357" t="str">
        <f>_xlfn.XLOOKUP(A357,'[1]Tissue Data'!$A:$A,'[1]Tissue Data'!J:J)</f>
        <v>U</v>
      </c>
      <c r="H357" t="str">
        <f>_xlfn.XLOOKUP(A357,'[1]Tissue Data'!$A:$A,'[1]Tissue Data'!K:K)</f>
        <v>Whole Body</v>
      </c>
      <c r="I357">
        <f>_xlfn.XLOOKUP(A357,'[1]Tissue Data'!$A:$A,'[1]Tissue Data'!L:L)</f>
        <v>7</v>
      </c>
      <c r="J357">
        <f>_xlfn.XLOOKUP(A357,'[1]Tissue Data'!$A:$A,'[1]Tissue Data'!M:M)</f>
        <v>16.059999999999999</v>
      </c>
      <c r="K357" t="s">
        <v>17</v>
      </c>
      <c r="L357" t="str">
        <f>_xlfn.XLOOKUP(K357,[2]analyte_order!$B:$B,[2]analyte_order!$C:$C)</f>
        <v>375-95-1</v>
      </c>
      <c r="M357">
        <f>_xlfn.XLOOKUP(L357,[2]analyte_order!$C:$C,[2]analyte_order!$E:$E)</f>
        <v>6</v>
      </c>
      <c r="N357">
        <v>0.16213056464978132</v>
      </c>
    </row>
    <row r="358" spans="1:14">
      <c r="A358" t="s">
        <v>235</v>
      </c>
      <c r="B358" t="str">
        <f>_xlfn.XLOOKUP(A358,'[1]Tissue Data'!$A:$A,'[1]Tissue Data'!$C:$C)</f>
        <v>Down</v>
      </c>
      <c r="C358" s="2">
        <f>_xlfn.XLOOKUP(A358,'[1]Tissue Data'!$A:$A,'[1]Tissue Data'!$D:$D)</f>
        <v>44314</v>
      </c>
      <c r="D358" s="2" t="str">
        <f>_xlfn.XLOOKUP(A358,'[1]Tissue Data'!$A:$A,'[1]Tissue Data'!$F:$F)</f>
        <v>Pumpkinseed</v>
      </c>
      <c r="E358" t="str">
        <f>_xlfn.XLOOKUP(A358,'[1]Tissue Data'!$A:$A,'[1]Tissue Data'!$H:$H)</f>
        <v>Lepomis</v>
      </c>
      <c r="F358" t="str">
        <f>_xlfn.XLOOKUP(A358,'[1]Tissue Data'!$A:$A,'[1]Tissue Data'!$I:$I)</f>
        <v>gibbosus</v>
      </c>
      <c r="G358" t="str">
        <f>_xlfn.XLOOKUP(A358,'[1]Tissue Data'!$A:$A,'[1]Tissue Data'!J:J)</f>
        <v>U</v>
      </c>
      <c r="H358" t="str">
        <f>_xlfn.XLOOKUP(A358,'[1]Tissue Data'!$A:$A,'[1]Tissue Data'!K:K)</f>
        <v>Whole Body</v>
      </c>
      <c r="I358">
        <f>_xlfn.XLOOKUP(A358,'[1]Tissue Data'!$A:$A,'[1]Tissue Data'!L:L)</f>
        <v>7</v>
      </c>
      <c r="J358">
        <f>_xlfn.XLOOKUP(A358,'[1]Tissue Data'!$A:$A,'[1]Tissue Data'!M:M)</f>
        <v>16.059999999999999</v>
      </c>
      <c r="K358" t="s">
        <v>18</v>
      </c>
      <c r="L358" t="str">
        <f>_xlfn.XLOOKUP(K358,[2]analyte_order!$B:$B,[2]analyte_order!$C:$C)</f>
        <v>335-76-2</v>
      </c>
      <c r="M358">
        <f>_xlfn.XLOOKUP(L358,[2]analyte_order!$C:$C,[2]analyte_order!$E:$E)</f>
        <v>7</v>
      </c>
      <c r="N358">
        <v>9.2899999999999991</v>
      </c>
    </row>
    <row r="359" spans="1:14">
      <c r="A359" t="s">
        <v>235</v>
      </c>
      <c r="B359" t="str">
        <f>_xlfn.XLOOKUP(A359,'[1]Tissue Data'!$A:$A,'[1]Tissue Data'!$C:$C)</f>
        <v>Down</v>
      </c>
      <c r="C359" s="2">
        <f>_xlfn.XLOOKUP(A359,'[1]Tissue Data'!$A:$A,'[1]Tissue Data'!$D:$D)</f>
        <v>44314</v>
      </c>
      <c r="D359" s="2" t="str">
        <f>_xlfn.XLOOKUP(A359,'[1]Tissue Data'!$A:$A,'[1]Tissue Data'!$F:$F)</f>
        <v>Pumpkinseed</v>
      </c>
      <c r="E359" t="str">
        <f>_xlfn.XLOOKUP(A359,'[1]Tissue Data'!$A:$A,'[1]Tissue Data'!$H:$H)</f>
        <v>Lepomis</v>
      </c>
      <c r="F359" t="str">
        <f>_xlfn.XLOOKUP(A359,'[1]Tissue Data'!$A:$A,'[1]Tissue Data'!$I:$I)</f>
        <v>gibbosus</v>
      </c>
      <c r="G359" t="str">
        <f>_xlfn.XLOOKUP(A359,'[1]Tissue Data'!$A:$A,'[1]Tissue Data'!J:J)</f>
        <v>U</v>
      </c>
      <c r="H359" t="str">
        <f>_xlfn.XLOOKUP(A359,'[1]Tissue Data'!$A:$A,'[1]Tissue Data'!K:K)</f>
        <v>Whole Body</v>
      </c>
      <c r="I359">
        <f>_xlfn.XLOOKUP(A359,'[1]Tissue Data'!$A:$A,'[1]Tissue Data'!L:L)</f>
        <v>7</v>
      </c>
      <c r="J359">
        <f>_xlfn.XLOOKUP(A359,'[1]Tissue Data'!$A:$A,'[1]Tissue Data'!M:M)</f>
        <v>16.059999999999999</v>
      </c>
      <c r="K359" t="s">
        <v>19</v>
      </c>
      <c r="L359" t="str">
        <f>_xlfn.XLOOKUP(K359,[2]analyte_order!$B:$B,[2]analyte_order!$C:$C)</f>
        <v>2058-94-8</v>
      </c>
      <c r="M359">
        <f>_xlfn.XLOOKUP(L359,[2]analyte_order!$C:$C,[2]analyte_order!$E:$E)</f>
        <v>8</v>
      </c>
      <c r="N359">
        <v>6.93</v>
      </c>
    </row>
    <row r="360" spans="1:14">
      <c r="A360" t="s">
        <v>235</v>
      </c>
      <c r="B360" t="str">
        <f>_xlfn.XLOOKUP(A360,'[1]Tissue Data'!$A:$A,'[1]Tissue Data'!$C:$C)</f>
        <v>Down</v>
      </c>
      <c r="C360" s="2">
        <f>_xlfn.XLOOKUP(A360,'[1]Tissue Data'!$A:$A,'[1]Tissue Data'!$D:$D)</f>
        <v>44314</v>
      </c>
      <c r="D360" s="2" t="str">
        <f>_xlfn.XLOOKUP(A360,'[1]Tissue Data'!$A:$A,'[1]Tissue Data'!$F:$F)</f>
        <v>Pumpkinseed</v>
      </c>
      <c r="E360" t="str">
        <f>_xlfn.XLOOKUP(A360,'[1]Tissue Data'!$A:$A,'[1]Tissue Data'!$H:$H)</f>
        <v>Lepomis</v>
      </c>
      <c r="F360" t="str">
        <f>_xlfn.XLOOKUP(A360,'[1]Tissue Data'!$A:$A,'[1]Tissue Data'!$I:$I)</f>
        <v>gibbosus</v>
      </c>
      <c r="G360" t="str">
        <f>_xlfn.XLOOKUP(A360,'[1]Tissue Data'!$A:$A,'[1]Tissue Data'!J:J)</f>
        <v>U</v>
      </c>
      <c r="H360" t="str">
        <f>_xlfn.XLOOKUP(A360,'[1]Tissue Data'!$A:$A,'[1]Tissue Data'!K:K)</f>
        <v>Whole Body</v>
      </c>
      <c r="I360">
        <f>_xlfn.XLOOKUP(A360,'[1]Tissue Data'!$A:$A,'[1]Tissue Data'!L:L)</f>
        <v>7</v>
      </c>
      <c r="J360">
        <f>_xlfn.XLOOKUP(A360,'[1]Tissue Data'!$A:$A,'[1]Tissue Data'!M:M)</f>
        <v>16.059999999999999</v>
      </c>
      <c r="K360" t="s">
        <v>20</v>
      </c>
      <c r="L360" t="str">
        <f>_xlfn.XLOOKUP(K360,[2]analyte_order!$B:$B,[2]analyte_order!$C:$C)</f>
        <v>307-55-1</v>
      </c>
      <c r="M360">
        <f>_xlfn.XLOOKUP(L360,[2]analyte_order!$C:$C,[2]analyte_order!$E:$E)</f>
        <v>9</v>
      </c>
      <c r="N360">
        <v>6.1003005294150606E-2</v>
      </c>
    </row>
    <row r="361" spans="1:14">
      <c r="A361" t="s">
        <v>235</v>
      </c>
      <c r="B361" t="str">
        <f>_xlfn.XLOOKUP(A361,'[1]Tissue Data'!$A:$A,'[1]Tissue Data'!$C:$C)</f>
        <v>Down</v>
      </c>
      <c r="C361" s="2">
        <f>_xlfn.XLOOKUP(A361,'[1]Tissue Data'!$A:$A,'[1]Tissue Data'!$D:$D)</f>
        <v>44314</v>
      </c>
      <c r="D361" s="2" t="str">
        <f>_xlfn.XLOOKUP(A361,'[1]Tissue Data'!$A:$A,'[1]Tissue Data'!$F:$F)</f>
        <v>Pumpkinseed</v>
      </c>
      <c r="E361" t="str">
        <f>_xlfn.XLOOKUP(A361,'[1]Tissue Data'!$A:$A,'[1]Tissue Data'!$H:$H)</f>
        <v>Lepomis</v>
      </c>
      <c r="F361" t="str">
        <f>_xlfn.XLOOKUP(A361,'[1]Tissue Data'!$A:$A,'[1]Tissue Data'!$I:$I)</f>
        <v>gibbosus</v>
      </c>
      <c r="G361" t="str">
        <f>_xlfn.XLOOKUP(A361,'[1]Tissue Data'!$A:$A,'[1]Tissue Data'!J:J)</f>
        <v>U</v>
      </c>
      <c r="H361" t="str">
        <f>_xlfn.XLOOKUP(A361,'[1]Tissue Data'!$A:$A,'[1]Tissue Data'!K:K)</f>
        <v>Whole Body</v>
      </c>
      <c r="I361">
        <f>_xlfn.XLOOKUP(A361,'[1]Tissue Data'!$A:$A,'[1]Tissue Data'!L:L)</f>
        <v>7</v>
      </c>
      <c r="J361">
        <f>_xlfn.XLOOKUP(A361,'[1]Tissue Data'!$A:$A,'[1]Tissue Data'!M:M)</f>
        <v>16.059999999999999</v>
      </c>
      <c r="K361" t="s">
        <v>21</v>
      </c>
      <c r="L361" t="str">
        <f>_xlfn.XLOOKUP(K361,[2]analyte_order!$B:$B,[2]analyte_order!$C:$C)</f>
        <v>72629-94-8</v>
      </c>
      <c r="M361">
        <f>_xlfn.XLOOKUP(L361,[2]analyte_order!$C:$C,[2]analyte_order!$E:$E)</f>
        <v>10</v>
      </c>
      <c r="N361">
        <v>3.77</v>
      </c>
    </row>
    <row r="362" spans="1:14">
      <c r="A362" t="s">
        <v>235</v>
      </c>
      <c r="B362" t="str">
        <f>_xlfn.XLOOKUP(A362,'[1]Tissue Data'!$A:$A,'[1]Tissue Data'!$C:$C)</f>
        <v>Down</v>
      </c>
      <c r="C362" s="2">
        <f>_xlfn.XLOOKUP(A362,'[1]Tissue Data'!$A:$A,'[1]Tissue Data'!$D:$D)</f>
        <v>44314</v>
      </c>
      <c r="D362" s="2" t="str">
        <f>_xlfn.XLOOKUP(A362,'[1]Tissue Data'!$A:$A,'[1]Tissue Data'!$F:$F)</f>
        <v>Pumpkinseed</v>
      </c>
      <c r="E362" t="str">
        <f>_xlfn.XLOOKUP(A362,'[1]Tissue Data'!$A:$A,'[1]Tissue Data'!$H:$H)</f>
        <v>Lepomis</v>
      </c>
      <c r="F362" t="str">
        <f>_xlfn.XLOOKUP(A362,'[1]Tissue Data'!$A:$A,'[1]Tissue Data'!$I:$I)</f>
        <v>gibbosus</v>
      </c>
      <c r="G362" t="str">
        <f>_xlfn.XLOOKUP(A362,'[1]Tissue Data'!$A:$A,'[1]Tissue Data'!J:J)</f>
        <v>U</v>
      </c>
      <c r="H362" t="str">
        <f>_xlfn.XLOOKUP(A362,'[1]Tissue Data'!$A:$A,'[1]Tissue Data'!K:K)</f>
        <v>Whole Body</v>
      </c>
      <c r="I362">
        <f>_xlfn.XLOOKUP(A362,'[1]Tissue Data'!$A:$A,'[1]Tissue Data'!L:L)</f>
        <v>7</v>
      </c>
      <c r="J362">
        <f>_xlfn.XLOOKUP(A362,'[1]Tissue Data'!$A:$A,'[1]Tissue Data'!M:M)</f>
        <v>16.059999999999999</v>
      </c>
      <c r="K362" t="s">
        <v>22</v>
      </c>
      <c r="L362" t="str">
        <f>_xlfn.XLOOKUP(K362,[2]analyte_order!$B:$B,[2]analyte_order!$C:$C)</f>
        <v>376-06-7</v>
      </c>
      <c r="M362">
        <f>_xlfn.XLOOKUP(L362,[2]analyte_order!$C:$C,[2]analyte_order!$E:$E)</f>
        <v>11</v>
      </c>
      <c r="N362">
        <v>11.4</v>
      </c>
    </row>
    <row r="363" spans="1:14">
      <c r="A363" t="s">
        <v>235</v>
      </c>
      <c r="B363" t="str">
        <f>_xlfn.XLOOKUP(A363,'[1]Tissue Data'!$A:$A,'[1]Tissue Data'!$C:$C)</f>
        <v>Down</v>
      </c>
      <c r="C363" s="2">
        <f>_xlfn.XLOOKUP(A363,'[1]Tissue Data'!$A:$A,'[1]Tissue Data'!$D:$D)</f>
        <v>44314</v>
      </c>
      <c r="D363" s="2" t="str">
        <f>_xlfn.XLOOKUP(A363,'[1]Tissue Data'!$A:$A,'[1]Tissue Data'!$F:$F)</f>
        <v>Pumpkinseed</v>
      </c>
      <c r="E363" t="str">
        <f>_xlfn.XLOOKUP(A363,'[1]Tissue Data'!$A:$A,'[1]Tissue Data'!$H:$H)</f>
        <v>Lepomis</v>
      </c>
      <c r="F363" t="str">
        <f>_xlfn.XLOOKUP(A363,'[1]Tissue Data'!$A:$A,'[1]Tissue Data'!$I:$I)</f>
        <v>gibbosus</v>
      </c>
      <c r="G363" t="str">
        <f>_xlfn.XLOOKUP(A363,'[1]Tissue Data'!$A:$A,'[1]Tissue Data'!J:J)</f>
        <v>U</v>
      </c>
      <c r="H363" t="str">
        <f>_xlfn.XLOOKUP(A363,'[1]Tissue Data'!$A:$A,'[1]Tissue Data'!K:K)</f>
        <v>Whole Body</v>
      </c>
      <c r="I363">
        <f>_xlfn.XLOOKUP(A363,'[1]Tissue Data'!$A:$A,'[1]Tissue Data'!L:L)</f>
        <v>7</v>
      </c>
      <c r="J363">
        <f>_xlfn.XLOOKUP(A363,'[1]Tissue Data'!$A:$A,'[1]Tissue Data'!M:M)</f>
        <v>16.059999999999999</v>
      </c>
      <c r="K363" t="s">
        <v>23</v>
      </c>
      <c r="L363" t="str">
        <f>_xlfn.XLOOKUP(K363,[2]analyte_order!$B:$B,[2]analyte_order!$C:$C)</f>
        <v>67905-19-5</v>
      </c>
      <c r="M363">
        <f>_xlfn.XLOOKUP(L363,[2]analyte_order!$C:$C,[2]analyte_order!$E:$E)</f>
        <v>12</v>
      </c>
      <c r="N363">
        <v>9.1056813714701923E-2</v>
      </c>
    </row>
    <row r="364" spans="1:14">
      <c r="A364" t="s">
        <v>235</v>
      </c>
      <c r="B364" t="str">
        <f>_xlfn.XLOOKUP(A364,'[1]Tissue Data'!$A:$A,'[1]Tissue Data'!$C:$C)</f>
        <v>Down</v>
      </c>
      <c r="C364" s="2">
        <f>_xlfn.XLOOKUP(A364,'[1]Tissue Data'!$A:$A,'[1]Tissue Data'!$D:$D)</f>
        <v>44314</v>
      </c>
      <c r="D364" s="2" t="str">
        <f>_xlfn.XLOOKUP(A364,'[1]Tissue Data'!$A:$A,'[1]Tissue Data'!$F:$F)</f>
        <v>Pumpkinseed</v>
      </c>
      <c r="E364" t="str">
        <f>_xlfn.XLOOKUP(A364,'[1]Tissue Data'!$A:$A,'[1]Tissue Data'!$H:$H)</f>
        <v>Lepomis</v>
      </c>
      <c r="F364" t="str">
        <f>_xlfn.XLOOKUP(A364,'[1]Tissue Data'!$A:$A,'[1]Tissue Data'!$I:$I)</f>
        <v>gibbosus</v>
      </c>
      <c r="G364" t="str">
        <f>_xlfn.XLOOKUP(A364,'[1]Tissue Data'!$A:$A,'[1]Tissue Data'!J:J)</f>
        <v>U</v>
      </c>
      <c r="H364" t="str">
        <f>_xlfn.XLOOKUP(A364,'[1]Tissue Data'!$A:$A,'[1]Tissue Data'!K:K)</f>
        <v>Whole Body</v>
      </c>
      <c r="I364">
        <f>_xlfn.XLOOKUP(A364,'[1]Tissue Data'!$A:$A,'[1]Tissue Data'!L:L)</f>
        <v>7</v>
      </c>
      <c r="J364">
        <f>_xlfn.XLOOKUP(A364,'[1]Tissue Data'!$A:$A,'[1]Tissue Data'!M:M)</f>
        <v>16.059999999999999</v>
      </c>
      <c r="K364" t="s">
        <v>24</v>
      </c>
      <c r="L364" t="str">
        <f>_xlfn.XLOOKUP(K364,[2]analyte_order!$B:$B,[2]analyte_order!$C:$C)</f>
        <v>423-41-6</v>
      </c>
      <c r="M364">
        <f>_xlfn.XLOOKUP(L364,[2]analyte_order!$C:$C,[2]analyte_order!$E:$E)</f>
        <v>53</v>
      </c>
      <c r="N364">
        <v>5.8291728921447787E-2</v>
      </c>
    </row>
    <row r="365" spans="1:14">
      <c r="A365" t="s">
        <v>235</v>
      </c>
      <c r="B365" t="str">
        <f>_xlfn.XLOOKUP(A365,'[1]Tissue Data'!$A:$A,'[1]Tissue Data'!$C:$C)</f>
        <v>Down</v>
      </c>
      <c r="C365" s="2">
        <f>_xlfn.XLOOKUP(A365,'[1]Tissue Data'!$A:$A,'[1]Tissue Data'!$D:$D)</f>
        <v>44314</v>
      </c>
      <c r="D365" s="2" t="str">
        <f>_xlfn.XLOOKUP(A365,'[1]Tissue Data'!$A:$A,'[1]Tissue Data'!$F:$F)</f>
        <v>Pumpkinseed</v>
      </c>
      <c r="E365" t="str">
        <f>_xlfn.XLOOKUP(A365,'[1]Tissue Data'!$A:$A,'[1]Tissue Data'!$H:$H)</f>
        <v>Lepomis</v>
      </c>
      <c r="F365" t="str">
        <f>_xlfn.XLOOKUP(A365,'[1]Tissue Data'!$A:$A,'[1]Tissue Data'!$I:$I)</f>
        <v>gibbosus</v>
      </c>
      <c r="G365" t="str">
        <f>_xlfn.XLOOKUP(A365,'[1]Tissue Data'!$A:$A,'[1]Tissue Data'!J:J)</f>
        <v>U</v>
      </c>
      <c r="H365" t="str">
        <f>_xlfn.XLOOKUP(A365,'[1]Tissue Data'!$A:$A,'[1]Tissue Data'!K:K)</f>
        <v>Whole Body</v>
      </c>
      <c r="I365">
        <f>_xlfn.XLOOKUP(A365,'[1]Tissue Data'!$A:$A,'[1]Tissue Data'!L:L)</f>
        <v>7</v>
      </c>
      <c r="J365">
        <f>_xlfn.XLOOKUP(A365,'[1]Tissue Data'!$A:$A,'[1]Tissue Data'!M:M)</f>
        <v>16.059999999999999</v>
      </c>
      <c r="K365" t="s">
        <v>25</v>
      </c>
      <c r="L365" t="str">
        <f>_xlfn.XLOOKUP(K365,[2]analyte_order!$B:$B,[2]analyte_order!$C:$C)</f>
        <v>375-73-5</v>
      </c>
      <c r="M365">
        <f>_xlfn.XLOOKUP(L365,[2]analyte_order!$C:$C,[2]analyte_order!$E:$E)</f>
        <v>14</v>
      </c>
      <c r="N365">
        <v>0.46899999999999997</v>
      </c>
    </row>
    <row r="366" spans="1:14">
      <c r="A366" t="s">
        <v>235</v>
      </c>
      <c r="B366" t="str">
        <f>_xlfn.XLOOKUP(A366,'[1]Tissue Data'!$A:$A,'[1]Tissue Data'!$C:$C)</f>
        <v>Down</v>
      </c>
      <c r="C366" s="2">
        <f>_xlfn.XLOOKUP(A366,'[1]Tissue Data'!$A:$A,'[1]Tissue Data'!$D:$D)</f>
        <v>44314</v>
      </c>
      <c r="D366" s="2" t="str">
        <f>_xlfn.XLOOKUP(A366,'[1]Tissue Data'!$A:$A,'[1]Tissue Data'!$F:$F)</f>
        <v>Pumpkinseed</v>
      </c>
      <c r="E366" t="str">
        <f>_xlfn.XLOOKUP(A366,'[1]Tissue Data'!$A:$A,'[1]Tissue Data'!$H:$H)</f>
        <v>Lepomis</v>
      </c>
      <c r="F366" t="str">
        <f>_xlfn.XLOOKUP(A366,'[1]Tissue Data'!$A:$A,'[1]Tissue Data'!$I:$I)</f>
        <v>gibbosus</v>
      </c>
      <c r="G366" t="str">
        <f>_xlfn.XLOOKUP(A366,'[1]Tissue Data'!$A:$A,'[1]Tissue Data'!J:J)</f>
        <v>U</v>
      </c>
      <c r="H366" t="str">
        <f>_xlfn.XLOOKUP(A366,'[1]Tissue Data'!$A:$A,'[1]Tissue Data'!K:K)</f>
        <v>Whole Body</v>
      </c>
      <c r="I366">
        <f>_xlfn.XLOOKUP(A366,'[1]Tissue Data'!$A:$A,'[1]Tissue Data'!L:L)</f>
        <v>7</v>
      </c>
      <c r="J366">
        <f>_xlfn.XLOOKUP(A366,'[1]Tissue Data'!$A:$A,'[1]Tissue Data'!M:M)</f>
        <v>16.059999999999999</v>
      </c>
      <c r="K366" t="s">
        <v>26</v>
      </c>
      <c r="L366" t="str">
        <f>_xlfn.XLOOKUP(K366,[2]analyte_order!$B:$B,[2]analyte_order!$C:$C)</f>
        <v>2706-91-4</v>
      </c>
      <c r="M366">
        <f>_xlfn.XLOOKUP(L366,[2]analyte_order!$C:$C,[2]analyte_order!$E:$E)</f>
        <v>15</v>
      </c>
      <c r="N366">
        <v>0.1240604028032799</v>
      </c>
    </row>
    <row r="367" spans="1:14">
      <c r="A367" t="s">
        <v>235</v>
      </c>
      <c r="B367" t="str">
        <f>_xlfn.XLOOKUP(A367,'[1]Tissue Data'!$A:$A,'[1]Tissue Data'!$C:$C)</f>
        <v>Down</v>
      </c>
      <c r="C367" s="2">
        <f>_xlfn.XLOOKUP(A367,'[1]Tissue Data'!$A:$A,'[1]Tissue Data'!$D:$D)</f>
        <v>44314</v>
      </c>
      <c r="D367" s="2" t="str">
        <f>_xlfn.XLOOKUP(A367,'[1]Tissue Data'!$A:$A,'[1]Tissue Data'!$F:$F)</f>
        <v>Pumpkinseed</v>
      </c>
      <c r="E367" t="str">
        <f>_xlfn.XLOOKUP(A367,'[1]Tissue Data'!$A:$A,'[1]Tissue Data'!$H:$H)</f>
        <v>Lepomis</v>
      </c>
      <c r="F367" t="str">
        <f>_xlfn.XLOOKUP(A367,'[1]Tissue Data'!$A:$A,'[1]Tissue Data'!$I:$I)</f>
        <v>gibbosus</v>
      </c>
      <c r="G367" t="str">
        <f>_xlfn.XLOOKUP(A367,'[1]Tissue Data'!$A:$A,'[1]Tissue Data'!J:J)</f>
        <v>U</v>
      </c>
      <c r="H367" t="str">
        <f>_xlfn.XLOOKUP(A367,'[1]Tissue Data'!$A:$A,'[1]Tissue Data'!K:K)</f>
        <v>Whole Body</v>
      </c>
      <c r="I367">
        <f>_xlfn.XLOOKUP(A367,'[1]Tissue Data'!$A:$A,'[1]Tissue Data'!L:L)</f>
        <v>7</v>
      </c>
      <c r="J367">
        <f>_xlfn.XLOOKUP(A367,'[1]Tissue Data'!$A:$A,'[1]Tissue Data'!M:M)</f>
        <v>16.059999999999999</v>
      </c>
      <c r="K367" t="s">
        <v>27</v>
      </c>
      <c r="L367" t="str">
        <f>_xlfn.XLOOKUP(K367,[2]analyte_order!$B:$B,[2]analyte_order!$C:$C)</f>
        <v>355-46-4</v>
      </c>
      <c r="M367">
        <f>_xlfn.XLOOKUP(L367,[2]analyte_order!$C:$C,[2]analyte_order!$E:$E)</f>
        <v>16</v>
      </c>
      <c r="N367">
        <v>20.100000000000001</v>
      </c>
    </row>
    <row r="368" spans="1:14">
      <c r="A368" t="s">
        <v>235</v>
      </c>
      <c r="B368" t="str">
        <f>_xlfn.XLOOKUP(A368,'[1]Tissue Data'!$A:$A,'[1]Tissue Data'!$C:$C)</f>
        <v>Down</v>
      </c>
      <c r="C368" s="2">
        <f>_xlfn.XLOOKUP(A368,'[1]Tissue Data'!$A:$A,'[1]Tissue Data'!$D:$D)</f>
        <v>44314</v>
      </c>
      <c r="D368" s="2" t="str">
        <f>_xlfn.XLOOKUP(A368,'[1]Tissue Data'!$A:$A,'[1]Tissue Data'!$F:$F)</f>
        <v>Pumpkinseed</v>
      </c>
      <c r="E368" t="str">
        <f>_xlfn.XLOOKUP(A368,'[1]Tissue Data'!$A:$A,'[1]Tissue Data'!$H:$H)</f>
        <v>Lepomis</v>
      </c>
      <c r="F368" t="str">
        <f>_xlfn.XLOOKUP(A368,'[1]Tissue Data'!$A:$A,'[1]Tissue Data'!$I:$I)</f>
        <v>gibbosus</v>
      </c>
      <c r="G368" t="str">
        <f>_xlfn.XLOOKUP(A368,'[1]Tissue Data'!$A:$A,'[1]Tissue Data'!J:J)</f>
        <v>U</v>
      </c>
      <c r="H368" t="str">
        <f>_xlfn.XLOOKUP(A368,'[1]Tissue Data'!$A:$A,'[1]Tissue Data'!K:K)</f>
        <v>Whole Body</v>
      </c>
      <c r="I368">
        <f>_xlfn.XLOOKUP(A368,'[1]Tissue Data'!$A:$A,'[1]Tissue Data'!L:L)</f>
        <v>7</v>
      </c>
      <c r="J368">
        <f>_xlfn.XLOOKUP(A368,'[1]Tissue Data'!$A:$A,'[1]Tissue Data'!M:M)</f>
        <v>16.059999999999999</v>
      </c>
      <c r="K368" t="s">
        <v>28</v>
      </c>
      <c r="L368" t="str">
        <f>_xlfn.XLOOKUP(K368,[2]analyte_order!$B:$B,[2]analyte_order!$C:$C)</f>
        <v>375-92-8</v>
      </c>
      <c r="M368">
        <f>_xlfn.XLOOKUP(L368,[2]analyte_order!$C:$C,[2]analyte_order!$E:$E)</f>
        <v>17</v>
      </c>
      <c r="N368">
        <v>2.2799999999999998</v>
      </c>
    </row>
    <row r="369" spans="1:14">
      <c r="A369" t="s">
        <v>235</v>
      </c>
      <c r="B369" t="str">
        <f>_xlfn.XLOOKUP(A369,'[1]Tissue Data'!$A:$A,'[1]Tissue Data'!$C:$C)</f>
        <v>Down</v>
      </c>
      <c r="C369" s="2">
        <f>_xlfn.XLOOKUP(A369,'[1]Tissue Data'!$A:$A,'[1]Tissue Data'!$D:$D)</f>
        <v>44314</v>
      </c>
      <c r="D369" s="2" t="str">
        <f>_xlfn.XLOOKUP(A369,'[1]Tissue Data'!$A:$A,'[1]Tissue Data'!$F:$F)</f>
        <v>Pumpkinseed</v>
      </c>
      <c r="E369" t="str">
        <f>_xlfn.XLOOKUP(A369,'[1]Tissue Data'!$A:$A,'[1]Tissue Data'!$H:$H)</f>
        <v>Lepomis</v>
      </c>
      <c r="F369" t="str">
        <f>_xlfn.XLOOKUP(A369,'[1]Tissue Data'!$A:$A,'[1]Tissue Data'!$I:$I)</f>
        <v>gibbosus</v>
      </c>
      <c r="G369" t="str">
        <f>_xlfn.XLOOKUP(A369,'[1]Tissue Data'!$A:$A,'[1]Tissue Data'!J:J)</f>
        <v>U</v>
      </c>
      <c r="H369" t="str">
        <f>_xlfn.XLOOKUP(A369,'[1]Tissue Data'!$A:$A,'[1]Tissue Data'!K:K)</f>
        <v>Whole Body</v>
      </c>
      <c r="I369">
        <f>_xlfn.XLOOKUP(A369,'[1]Tissue Data'!$A:$A,'[1]Tissue Data'!L:L)</f>
        <v>7</v>
      </c>
      <c r="J369">
        <f>_xlfn.XLOOKUP(A369,'[1]Tissue Data'!$A:$A,'[1]Tissue Data'!M:M)</f>
        <v>16.059999999999999</v>
      </c>
      <c r="K369" t="s">
        <v>29</v>
      </c>
      <c r="L369" t="str">
        <f>_xlfn.XLOOKUP(K369,[2]analyte_order!$B:$B,[2]analyte_order!$C:$C)</f>
        <v>1763-23-1</v>
      </c>
      <c r="M369">
        <f>_xlfn.XLOOKUP(L369,[2]analyte_order!$C:$C,[2]analyte_order!$E:$E)</f>
        <v>18</v>
      </c>
      <c r="N369">
        <v>3330</v>
      </c>
    </row>
    <row r="370" spans="1:14">
      <c r="A370" t="s">
        <v>235</v>
      </c>
      <c r="B370" t="str">
        <f>_xlfn.XLOOKUP(A370,'[1]Tissue Data'!$A:$A,'[1]Tissue Data'!$C:$C)</f>
        <v>Down</v>
      </c>
      <c r="C370" s="2">
        <f>_xlfn.XLOOKUP(A370,'[1]Tissue Data'!$A:$A,'[1]Tissue Data'!$D:$D)</f>
        <v>44314</v>
      </c>
      <c r="D370" s="2" t="str">
        <f>_xlfn.XLOOKUP(A370,'[1]Tissue Data'!$A:$A,'[1]Tissue Data'!$F:$F)</f>
        <v>Pumpkinseed</v>
      </c>
      <c r="E370" t="str">
        <f>_xlfn.XLOOKUP(A370,'[1]Tissue Data'!$A:$A,'[1]Tissue Data'!$H:$H)</f>
        <v>Lepomis</v>
      </c>
      <c r="F370" t="str">
        <f>_xlfn.XLOOKUP(A370,'[1]Tissue Data'!$A:$A,'[1]Tissue Data'!$I:$I)</f>
        <v>gibbosus</v>
      </c>
      <c r="G370" t="str">
        <f>_xlfn.XLOOKUP(A370,'[1]Tissue Data'!$A:$A,'[1]Tissue Data'!J:J)</f>
        <v>U</v>
      </c>
      <c r="H370" t="str">
        <f>_xlfn.XLOOKUP(A370,'[1]Tissue Data'!$A:$A,'[1]Tissue Data'!K:K)</f>
        <v>Whole Body</v>
      </c>
      <c r="I370">
        <f>_xlfn.XLOOKUP(A370,'[1]Tissue Data'!$A:$A,'[1]Tissue Data'!L:L)</f>
        <v>7</v>
      </c>
      <c r="J370">
        <f>_xlfn.XLOOKUP(A370,'[1]Tissue Data'!$A:$A,'[1]Tissue Data'!M:M)</f>
        <v>16.059999999999999</v>
      </c>
      <c r="K370" t="s">
        <v>30</v>
      </c>
      <c r="L370" t="str">
        <f>_xlfn.XLOOKUP(K370,[2]analyte_order!$B:$B,[2]analyte_order!$C:$C)</f>
        <v>68259-12-1</v>
      </c>
      <c r="M370">
        <f>_xlfn.XLOOKUP(L370,[2]analyte_order!$C:$C,[2]analyte_order!$E:$E)</f>
        <v>19</v>
      </c>
      <c r="N370">
        <v>2.11</v>
      </c>
    </row>
    <row r="371" spans="1:14">
      <c r="A371" t="s">
        <v>235</v>
      </c>
      <c r="B371" t="str">
        <f>_xlfn.XLOOKUP(A371,'[1]Tissue Data'!$A:$A,'[1]Tissue Data'!$C:$C)</f>
        <v>Down</v>
      </c>
      <c r="C371" s="2">
        <f>_xlfn.XLOOKUP(A371,'[1]Tissue Data'!$A:$A,'[1]Tissue Data'!$D:$D)</f>
        <v>44314</v>
      </c>
      <c r="D371" s="2" t="str">
        <f>_xlfn.XLOOKUP(A371,'[1]Tissue Data'!$A:$A,'[1]Tissue Data'!$F:$F)</f>
        <v>Pumpkinseed</v>
      </c>
      <c r="E371" t="str">
        <f>_xlfn.XLOOKUP(A371,'[1]Tissue Data'!$A:$A,'[1]Tissue Data'!$H:$H)</f>
        <v>Lepomis</v>
      </c>
      <c r="F371" t="str">
        <f>_xlfn.XLOOKUP(A371,'[1]Tissue Data'!$A:$A,'[1]Tissue Data'!$I:$I)</f>
        <v>gibbosus</v>
      </c>
      <c r="G371" t="str">
        <f>_xlfn.XLOOKUP(A371,'[1]Tissue Data'!$A:$A,'[1]Tissue Data'!J:J)</f>
        <v>U</v>
      </c>
      <c r="H371" t="str">
        <f>_xlfn.XLOOKUP(A371,'[1]Tissue Data'!$A:$A,'[1]Tissue Data'!K:K)</f>
        <v>Whole Body</v>
      </c>
      <c r="I371">
        <f>_xlfn.XLOOKUP(A371,'[1]Tissue Data'!$A:$A,'[1]Tissue Data'!L:L)</f>
        <v>7</v>
      </c>
      <c r="J371">
        <f>_xlfn.XLOOKUP(A371,'[1]Tissue Data'!$A:$A,'[1]Tissue Data'!M:M)</f>
        <v>16.059999999999999</v>
      </c>
      <c r="K371" t="s">
        <v>31</v>
      </c>
      <c r="L371" t="str">
        <f>_xlfn.XLOOKUP(K371,[2]analyte_order!$B:$B,[2]analyte_order!$C:$C)</f>
        <v>335-77-3</v>
      </c>
      <c r="M371">
        <f>_xlfn.XLOOKUP(L371,[2]analyte_order!$C:$C,[2]analyte_order!$E:$E)</f>
        <v>20</v>
      </c>
      <c r="N371">
        <v>1.59</v>
      </c>
    </row>
    <row r="372" spans="1:14">
      <c r="A372" t="s">
        <v>235</v>
      </c>
      <c r="B372" t="str">
        <f>_xlfn.XLOOKUP(A372,'[1]Tissue Data'!$A:$A,'[1]Tissue Data'!$C:$C)</f>
        <v>Down</v>
      </c>
      <c r="C372" s="2">
        <f>_xlfn.XLOOKUP(A372,'[1]Tissue Data'!$A:$A,'[1]Tissue Data'!$D:$D)</f>
        <v>44314</v>
      </c>
      <c r="D372" s="2" t="str">
        <f>_xlfn.XLOOKUP(A372,'[1]Tissue Data'!$A:$A,'[1]Tissue Data'!$F:$F)</f>
        <v>Pumpkinseed</v>
      </c>
      <c r="E372" t="str">
        <f>_xlfn.XLOOKUP(A372,'[1]Tissue Data'!$A:$A,'[1]Tissue Data'!$H:$H)</f>
        <v>Lepomis</v>
      </c>
      <c r="F372" t="str">
        <f>_xlfn.XLOOKUP(A372,'[1]Tissue Data'!$A:$A,'[1]Tissue Data'!$I:$I)</f>
        <v>gibbosus</v>
      </c>
      <c r="G372" t="str">
        <f>_xlfn.XLOOKUP(A372,'[1]Tissue Data'!$A:$A,'[1]Tissue Data'!J:J)</f>
        <v>U</v>
      </c>
      <c r="H372" t="str">
        <f>_xlfn.XLOOKUP(A372,'[1]Tissue Data'!$A:$A,'[1]Tissue Data'!K:K)</f>
        <v>Whole Body</v>
      </c>
      <c r="I372">
        <f>_xlfn.XLOOKUP(A372,'[1]Tissue Data'!$A:$A,'[1]Tissue Data'!L:L)</f>
        <v>7</v>
      </c>
      <c r="J372">
        <f>_xlfn.XLOOKUP(A372,'[1]Tissue Data'!$A:$A,'[1]Tissue Data'!M:M)</f>
        <v>16.059999999999999</v>
      </c>
      <c r="K372" t="s">
        <v>32</v>
      </c>
      <c r="L372" t="str">
        <f>_xlfn.XLOOKUP(K372,[2]analyte_order!$B:$B,[2]analyte_order!$C:$C)</f>
        <v>79780-39-5</v>
      </c>
      <c r="M372">
        <f>_xlfn.XLOOKUP(L372,[2]analyte_order!$C:$C,[2]analyte_order!$E:$E)</f>
        <v>21</v>
      </c>
      <c r="N372">
        <v>0.25052926842091838</v>
      </c>
    </row>
    <row r="373" spans="1:14">
      <c r="A373" t="s">
        <v>235</v>
      </c>
      <c r="B373" t="str">
        <f>_xlfn.XLOOKUP(A373,'[1]Tissue Data'!$A:$A,'[1]Tissue Data'!$C:$C)</f>
        <v>Down</v>
      </c>
      <c r="C373" s="2">
        <f>_xlfn.XLOOKUP(A373,'[1]Tissue Data'!$A:$A,'[1]Tissue Data'!$D:$D)</f>
        <v>44314</v>
      </c>
      <c r="D373" s="2" t="str">
        <f>_xlfn.XLOOKUP(A373,'[1]Tissue Data'!$A:$A,'[1]Tissue Data'!$F:$F)</f>
        <v>Pumpkinseed</v>
      </c>
      <c r="E373" t="str">
        <f>_xlfn.XLOOKUP(A373,'[1]Tissue Data'!$A:$A,'[1]Tissue Data'!$H:$H)</f>
        <v>Lepomis</v>
      </c>
      <c r="F373" t="str">
        <f>_xlfn.XLOOKUP(A373,'[1]Tissue Data'!$A:$A,'[1]Tissue Data'!$I:$I)</f>
        <v>gibbosus</v>
      </c>
      <c r="G373" t="str">
        <f>_xlfn.XLOOKUP(A373,'[1]Tissue Data'!$A:$A,'[1]Tissue Data'!J:J)</f>
        <v>U</v>
      </c>
      <c r="H373" t="str">
        <f>_xlfn.XLOOKUP(A373,'[1]Tissue Data'!$A:$A,'[1]Tissue Data'!K:K)</f>
        <v>Whole Body</v>
      </c>
      <c r="I373">
        <f>_xlfn.XLOOKUP(A373,'[1]Tissue Data'!$A:$A,'[1]Tissue Data'!L:L)</f>
        <v>7</v>
      </c>
      <c r="J373">
        <f>_xlfn.XLOOKUP(A373,'[1]Tissue Data'!$A:$A,'[1]Tissue Data'!M:M)</f>
        <v>16.059999999999999</v>
      </c>
      <c r="K373" t="s">
        <v>33</v>
      </c>
      <c r="L373" t="str">
        <f>_xlfn.XLOOKUP(K373,[2]analyte_order!$B:$B,[2]analyte_order!$C:$C)</f>
        <v>777011-38-8</v>
      </c>
      <c r="M373">
        <f>_xlfn.XLOOKUP(L373,[2]analyte_order!$C:$C,[2]analyte_order!$E:$E)</f>
        <v>54</v>
      </c>
      <c r="N373">
        <v>0.29899999999999999</v>
      </c>
    </row>
    <row r="374" spans="1:14">
      <c r="A374" t="s">
        <v>235</v>
      </c>
      <c r="B374" t="str">
        <f>_xlfn.XLOOKUP(A374,'[1]Tissue Data'!$A:$A,'[1]Tissue Data'!$C:$C)</f>
        <v>Down</v>
      </c>
      <c r="C374" s="2">
        <f>_xlfn.XLOOKUP(A374,'[1]Tissue Data'!$A:$A,'[1]Tissue Data'!$D:$D)</f>
        <v>44314</v>
      </c>
      <c r="D374" s="2" t="str">
        <f>_xlfn.XLOOKUP(A374,'[1]Tissue Data'!$A:$A,'[1]Tissue Data'!$F:$F)</f>
        <v>Pumpkinseed</v>
      </c>
      <c r="E374" t="str">
        <f>_xlfn.XLOOKUP(A374,'[1]Tissue Data'!$A:$A,'[1]Tissue Data'!$H:$H)</f>
        <v>Lepomis</v>
      </c>
      <c r="F374" t="str">
        <f>_xlfn.XLOOKUP(A374,'[1]Tissue Data'!$A:$A,'[1]Tissue Data'!$I:$I)</f>
        <v>gibbosus</v>
      </c>
      <c r="G374" t="str">
        <f>_xlfn.XLOOKUP(A374,'[1]Tissue Data'!$A:$A,'[1]Tissue Data'!J:J)</f>
        <v>U</v>
      </c>
      <c r="H374" t="str">
        <f>_xlfn.XLOOKUP(A374,'[1]Tissue Data'!$A:$A,'[1]Tissue Data'!K:K)</f>
        <v>Whole Body</v>
      </c>
      <c r="I374">
        <f>_xlfn.XLOOKUP(A374,'[1]Tissue Data'!$A:$A,'[1]Tissue Data'!L:L)</f>
        <v>7</v>
      </c>
      <c r="J374">
        <f>_xlfn.XLOOKUP(A374,'[1]Tissue Data'!$A:$A,'[1]Tissue Data'!M:M)</f>
        <v>16.059999999999999</v>
      </c>
      <c r="K374" t="s">
        <v>34</v>
      </c>
      <c r="L374" t="str">
        <f>_xlfn.XLOOKUP(K374,[2]analyte_order!$B:$B,[2]analyte_order!$C:$C)</f>
        <v>646-83-3</v>
      </c>
      <c r="M374">
        <f>_xlfn.XLOOKUP(L374,[2]analyte_order!$C:$C,[2]analyte_order!$E:$E)</f>
        <v>55</v>
      </c>
      <c r="N374">
        <v>0.21</v>
      </c>
    </row>
    <row r="375" spans="1:14">
      <c r="A375" t="s">
        <v>235</v>
      </c>
      <c r="B375" t="str">
        <f>_xlfn.XLOOKUP(A375,'[1]Tissue Data'!$A:$A,'[1]Tissue Data'!$C:$C)</f>
        <v>Down</v>
      </c>
      <c r="C375" s="2">
        <f>_xlfn.XLOOKUP(A375,'[1]Tissue Data'!$A:$A,'[1]Tissue Data'!$D:$D)</f>
        <v>44314</v>
      </c>
      <c r="D375" s="2" t="str">
        <f>_xlfn.XLOOKUP(A375,'[1]Tissue Data'!$A:$A,'[1]Tissue Data'!$F:$F)</f>
        <v>Pumpkinseed</v>
      </c>
      <c r="E375" t="str">
        <f>_xlfn.XLOOKUP(A375,'[1]Tissue Data'!$A:$A,'[1]Tissue Data'!$H:$H)</f>
        <v>Lepomis</v>
      </c>
      <c r="F375" t="str">
        <f>_xlfn.XLOOKUP(A375,'[1]Tissue Data'!$A:$A,'[1]Tissue Data'!$I:$I)</f>
        <v>gibbosus</v>
      </c>
      <c r="G375" t="str">
        <f>_xlfn.XLOOKUP(A375,'[1]Tissue Data'!$A:$A,'[1]Tissue Data'!J:J)</f>
        <v>U</v>
      </c>
      <c r="H375" t="str">
        <f>_xlfn.XLOOKUP(A375,'[1]Tissue Data'!$A:$A,'[1]Tissue Data'!K:K)</f>
        <v>Whole Body</v>
      </c>
      <c r="I375">
        <f>_xlfn.XLOOKUP(A375,'[1]Tissue Data'!$A:$A,'[1]Tissue Data'!L:L)</f>
        <v>7</v>
      </c>
      <c r="J375">
        <f>_xlfn.XLOOKUP(A375,'[1]Tissue Data'!$A:$A,'[1]Tissue Data'!M:M)</f>
        <v>16.059999999999999</v>
      </c>
      <c r="K375" t="s">
        <v>35</v>
      </c>
      <c r="L375" t="str">
        <f>_xlfn.XLOOKUP(K375,[2]analyte_order!$B:$B,[2]analyte_order!$C:$C)</f>
        <v>30334-69-1</v>
      </c>
      <c r="M375">
        <f>_xlfn.XLOOKUP(L375,[2]analyte_order!$C:$C,[2]analyte_order!$E:$E)</f>
        <v>51</v>
      </c>
      <c r="N375">
        <v>100</v>
      </c>
    </row>
    <row r="376" spans="1:14">
      <c r="A376" t="s">
        <v>235</v>
      </c>
      <c r="B376" t="str">
        <f>_xlfn.XLOOKUP(A376,'[1]Tissue Data'!$A:$A,'[1]Tissue Data'!$C:$C)</f>
        <v>Down</v>
      </c>
      <c r="C376" s="2">
        <f>_xlfn.XLOOKUP(A376,'[1]Tissue Data'!$A:$A,'[1]Tissue Data'!$D:$D)</f>
        <v>44314</v>
      </c>
      <c r="D376" s="2" t="str">
        <f>_xlfn.XLOOKUP(A376,'[1]Tissue Data'!$A:$A,'[1]Tissue Data'!$F:$F)</f>
        <v>Pumpkinseed</v>
      </c>
      <c r="E376" t="str">
        <f>_xlfn.XLOOKUP(A376,'[1]Tissue Data'!$A:$A,'[1]Tissue Data'!$H:$H)</f>
        <v>Lepomis</v>
      </c>
      <c r="F376" t="str">
        <f>_xlfn.XLOOKUP(A376,'[1]Tissue Data'!$A:$A,'[1]Tissue Data'!$I:$I)</f>
        <v>gibbosus</v>
      </c>
      <c r="G376" t="str">
        <f>_xlfn.XLOOKUP(A376,'[1]Tissue Data'!$A:$A,'[1]Tissue Data'!J:J)</f>
        <v>U</v>
      </c>
      <c r="H376" t="str">
        <f>_xlfn.XLOOKUP(A376,'[1]Tissue Data'!$A:$A,'[1]Tissue Data'!K:K)</f>
        <v>Whole Body</v>
      </c>
      <c r="I376">
        <f>_xlfn.XLOOKUP(A376,'[1]Tissue Data'!$A:$A,'[1]Tissue Data'!L:L)</f>
        <v>7</v>
      </c>
      <c r="J376">
        <f>_xlfn.XLOOKUP(A376,'[1]Tissue Data'!$A:$A,'[1]Tissue Data'!M:M)</f>
        <v>16.059999999999999</v>
      </c>
      <c r="K376" t="s">
        <v>36</v>
      </c>
      <c r="L376" t="str">
        <f>_xlfn.XLOOKUP(K376,[2]analyte_order!$B:$B,[2]analyte_order!$C:$C)</f>
        <v>41997-13-1</v>
      </c>
      <c r="M376">
        <f>_xlfn.XLOOKUP(L376,[2]analyte_order!$C:$C,[2]analyte_order!$E:$E)</f>
        <v>52</v>
      </c>
      <c r="N376">
        <v>82.5</v>
      </c>
    </row>
    <row r="377" spans="1:14">
      <c r="A377" t="s">
        <v>235</v>
      </c>
      <c r="B377" t="str">
        <f>_xlfn.XLOOKUP(A377,'[1]Tissue Data'!$A:$A,'[1]Tissue Data'!$C:$C)</f>
        <v>Down</v>
      </c>
      <c r="C377" s="2">
        <f>_xlfn.XLOOKUP(A377,'[1]Tissue Data'!$A:$A,'[1]Tissue Data'!$D:$D)</f>
        <v>44314</v>
      </c>
      <c r="D377" s="2" t="str">
        <f>_xlfn.XLOOKUP(A377,'[1]Tissue Data'!$A:$A,'[1]Tissue Data'!$F:$F)</f>
        <v>Pumpkinseed</v>
      </c>
      <c r="E377" t="str">
        <f>_xlfn.XLOOKUP(A377,'[1]Tissue Data'!$A:$A,'[1]Tissue Data'!$H:$H)</f>
        <v>Lepomis</v>
      </c>
      <c r="F377" t="str">
        <f>_xlfn.XLOOKUP(A377,'[1]Tissue Data'!$A:$A,'[1]Tissue Data'!$I:$I)</f>
        <v>gibbosus</v>
      </c>
      <c r="G377" t="str">
        <f>_xlfn.XLOOKUP(A377,'[1]Tissue Data'!$A:$A,'[1]Tissue Data'!J:J)</f>
        <v>U</v>
      </c>
      <c r="H377" t="str">
        <f>_xlfn.XLOOKUP(A377,'[1]Tissue Data'!$A:$A,'[1]Tissue Data'!K:K)</f>
        <v>Whole Body</v>
      </c>
      <c r="I377">
        <f>_xlfn.XLOOKUP(A377,'[1]Tissue Data'!$A:$A,'[1]Tissue Data'!L:L)</f>
        <v>7</v>
      </c>
      <c r="J377">
        <f>_xlfn.XLOOKUP(A377,'[1]Tissue Data'!$A:$A,'[1]Tissue Data'!M:M)</f>
        <v>16.059999999999999</v>
      </c>
      <c r="K377" t="s">
        <v>37</v>
      </c>
      <c r="L377" t="str">
        <f>_xlfn.XLOOKUP(K377,[2]analyte_order!$B:$B,[2]analyte_order!$C:$C)</f>
        <v>754-91-6</v>
      </c>
      <c r="M377">
        <f>_xlfn.XLOOKUP(L377,[2]analyte_order!$C:$C,[2]analyte_order!$E:$E)</f>
        <v>28</v>
      </c>
      <c r="N377">
        <v>42.6</v>
      </c>
    </row>
    <row r="378" spans="1:14">
      <c r="A378" t="s">
        <v>235</v>
      </c>
      <c r="B378" t="str">
        <f>_xlfn.XLOOKUP(A378,'[1]Tissue Data'!$A:$A,'[1]Tissue Data'!$C:$C)</f>
        <v>Down</v>
      </c>
      <c r="C378" s="2">
        <f>_xlfn.XLOOKUP(A378,'[1]Tissue Data'!$A:$A,'[1]Tissue Data'!$D:$D)</f>
        <v>44314</v>
      </c>
      <c r="D378" s="2" t="str">
        <f>_xlfn.XLOOKUP(A378,'[1]Tissue Data'!$A:$A,'[1]Tissue Data'!$F:$F)</f>
        <v>Pumpkinseed</v>
      </c>
      <c r="E378" t="str">
        <f>_xlfn.XLOOKUP(A378,'[1]Tissue Data'!$A:$A,'[1]Tissue Data'!$H:$H)</f>
        <v>Lepomis</v>
      </c>
      <c r="F378" t="str">
        <f>_xlfn.XLOOKUP(A378,'[1]Tissue Data'!$A:$A,'[1]Tissue Data'!$I:$I)</f>
        <v>gibbosus</v>
      </c>
      <c r="G378" t="str">
        <f>_xlfn.XLOOKUP(A378,'[1]Tissue Data'!$A:$A,'[1]Tissue Data'!J:J)</f>
        <v>U</v>
      </c>
      <c r="H378" t="str">
        <f>_xlfn.XLOOKUP(A378,'[1]Tissue Data'!$A:$A,'[1]Tissue Data'!K:K)</f>
        <v>Whole Body</v>
      </c>
      <c r="I378">
        <f>_xlfn.XLOOKUP(A378,'[1]Tissue Data'!$A:$A,'[1]Tissue Data'!L:L)</f>
        <v>7</v>
      </c>
      <c r="J378">
        <f>_xlfn.XLOOKUP(A378,'[1]Tissue Data'!$A:$A,'[1]Tissue Data'!M:M)</f>
        <v>16.059999999999999</v>
      </c>
      <c r="K378" t="s">
        <v>38</v>
      </c>
      <c r="L378" t="str">
        <f>_xlfn.XLOOKUP(K378,[2]analyte_order!$B:$B,[2]analyte_order!$C:$C)</f>
        <v>31506-32-8</v>
      </c>
      <c r="M378">
        <f>_xlfn.XLOOKUP(L378,[2]analyte_order!$C:$C,[2]analyte_order!$E:$E)</f>
        <v>30</v>
      </c>
      <c r="N378">
        <v>5.8859400820259977E-2</v>
      </c>
    </row>
    <row r="379" spans="1:14">
      <c r="A379" t="s">
        <v>235</v>
      </c>
      <c r="B379" t="str">
        <f>_xlfn.XLOOKUP(A379,'[1]Tissue Data'!$A:$A,'[1]Tissue Data'!$C:$C)</f>
        <v>Down</v>
      </c>
      <c r="C379" s="2">
        <f>_xlfn.XLOOKUP(A379,'[1]Tissue Data'!$A:$A,'[1]Tissue Data'!$D:$D)</f>
        <v>44314</v>
      </c>
      <c r="D379" s="2" t="str">
        <f>_xlfn.XLOOKUP(A379,'[1]Tissue Data'!$A:$A,'[1]Tissue Data'!$F:$F)</f>
        <v>Pumpkinseed</v>
      </c>
      <c r="E379" t="str">
        <f>_xlfn.XLOOKUP(A379,'[1]Tissue Data'!$A:$A,'[1]Tissue Data'!$H:$H)</f>
        <v>Lepomis</v>
      </c>
      <c r="F379" t="str">
        <f>_xlfn.XLOOKUP(A379,'[1]Tissue Data'!$A:$A,'[1]Tissue Data'!$I:$I)</f>
        <v>gibbosus</v>
      </c>
      <c r="G379" t="str">
        <f>_xlfn.XLOOKUP(A379,'[1]Tissue Data'!$A:$A,'[1]Tissue Data'!J:J)</f>
        <v>U</v>
      </c>
      <c r="H379" t="str">
        <f>_xlfn.XLOOKUP(A379,'[1]Tissue Data'!$A:$A,'[1]Tissue Data'!K:K)</f>
        <v>Whole Body</v>
      </c>
      <c r="I379">
        <f>_xlfn.XLOOKUP(A379,'[1]Tissue Data'!$A:$A,'[1]Tissue Data'!L:L)</f>
        <v>7</v>
      </c>
      <c r="J379">
        <f>_xlfn.XLOOKUP(A379,'[1]Tissue Data'!$A:$A,'[1]Tissue Data'!M:M)</f>
        <v>16.059999999999999</v>
      </c>
      <c r="K379" t="s">
        <v>39</v>
      </c>
      <c r="L379" t="str">
        <f>_xlfn.XLOOKUP(K379,[2]analyte_order!$B:$B,[2]analyte_order!$C:$C)</f>
        <v>4151-50-2</v>
      </c>
      <c r="M379">
        <f>_xlfn.XLOOKUP(L379,[2]analyte_order!$C:$C,[2]analyte_order!$E:$E)</f>
        <v>31</v>
      </c>
      <c r="N379">
        <v>8.9158818383572383E-2</v>
      </c>
    </row>
    <row r="380" spans="1:14">
      <c r="A380" t="s">
        <v>235</v>
      </c>
      <c r="B380" t="str">
        <f>_xlfn.XLOOKUP(A380,'[1]Tissue Data'!$A:$A,'[1]Tissue Data'!$C:$C)</f>
        <v>Down</v>
      </c>
      <c r="C380" s="2">
        <f>_xlfn.XLOOKUP(A380,'[1]Tissue Data'!$A:$A,'[1]Tissue Data'!$D:$D)</f>
        <v>44314</v>
      </c>
      <c r="D380" s="2" t="str">
        <f>_xlfn.XLOOKUP(A380,'[1]Tissue Data'!$A:$A,'[1]Tissue Data'!$F:$F)</f>
        <v>Pumpkinseed</v>
      </c>
      <c r="E380" t="str">
        <f>_xlfn.XLOOKUP(A380,'[1]Tissue Data'!$A:$A,'[1]Tissue Data'!$H:$H)</f>
        <v>Lepomis</v>
      </c>
      <c r="F380" t="str">
        <f>_xlfn.XLOOKUP(A380,'[1]Tissue Data'!$A:$A,'[1]Tissue Data'!$I:$I)</f>
        <v>gibbosus</v>
      </c>
      <c r="G380" t="str">
        <f>_xlfn.XLOOKUP(A380,'[1]Tissue Data'!$A:$A,'[1]Tissue Data'!J:J)</f>
        <v>U</v>
      </c>
      <c r="H380" t="str">
        <f>_xlfn.XLOOKUP(A380,'[1]Tissue Data'!$A:$A,'[1]Tissue Data'!K:K)</f>
        <v>Whole Body</v>
      </c>
      <c r="I380">
        <f>_xlfn.XLOOKUP(A380,'[1]Tissue Data'!$A:$A,'[1]Tissue Data'!L:L)</f>
        <v>7</v>
      </c>
      <c r="J380">
        <f>_xlfn.XLOOKUP(A380,'[1]Tissue Data'!$A:$A,'[1]Tissue Data'!M:M)</f>
        <v>16.059999999999999</v>
      </c>
      <c r="K380" t="s">
        <v>40</v>
      </c>
      <c r="L380" t="str">
        <f>_xlfn.XLOOKUP(K380,[2]analyte_order!$B:$B,[2]analyte_order!$C:$C)</f>
        <v>2806-24-8</v>
      </c>
      <c r="M380">
        <f>_xlfn.XLOOKUP(L380,[2]analyte_order!$C:$C,[2]analyte_order!$E:$E)</f>
        <v>29</v>
      </c>
      <c r="N380">
        <v>6.022334143097266E-2</v>
      </c>
    </row>
    <row r="381" spans="1:14">
      <c r="A381" t="s">
        <v>235</v>
      </c>
      <c r="B381" t="str">
        <f>_xlfn.XLOOKUP(A381,'[1]Tissue Data'!$A:$A,'[1]Tissue Data'!$C:$C)</f>
        <v>Down</v>
      </c>
      <c r="C381" s="2">
        <f>_xlfn.XLOOKUP(A381,'[1]Tissue Data'!$A:$A,'[1]Tissue Data'!$D:$D)</f>
        <v>44314</v>
      </c>
      <c r="D381" s="2" t="str">
        <f>_xlfn.XLOOKUP(A381,'[1]Tissue Data'!$A:$A,'[1]Tissue Data'!$F:$F)</f>
        <v>Pumpkinseed</v>
      </c>
      <c r="E381" t="str">
        <f>_xlfn.XLOOKUP(A381,'[1]Tissue Data'!$A:$A,'[1]Tissue Data'!$H:$H)</f>
        <v>Lepomis</v>
      </c>
      <c r="F381" t="str">
        <f>_xlfn.XLOOKUP(A381,'[1]Tissue Data'!$A:$A,'[1]Tissue Data'!$I:$I)</f>
        <v>gibbosus</v>
      </c>
      <c r="G381" t="str">
        <f>_xlfn.XLOOKUP(A381,'[1]Tissue Data'!$A:$A,'[1]Tissue Data'!J:J)</f>
        <v>U</v>
      </c>
      <c r="H381" t="str">
        <f>_xlfn.XLOOKUP(A381,'[1]Tissue Data'!$A:$A,'[1]Tissue Data'!K:K)</f>
        <v>Whole Body</v>
      </c>
      <c r="I381">
        <f>_xlfn.XLOOKUP(A381,'[1]Tissue Data'!$A:$A,'[1]Tissue Data'!L:L)</f>
        <v>7</v>
      </c>
      <c r="J381">
        <f>_xlfn.XLOOKUP(A381,'[1]Tissue Data'!$A:$A,'[1]Tissue Data'!M:M)</f>
        <v>16.059999999999999</v>
      </c>
      <c r="K381" t="s">
        <v>41</v>
      </c>
      <c r="L381" t="str">
        <f>_xlfn.XLOOKUP(K381,[2]analyte_order!$B:$B,[2]analyte_order!$C:$C)</f>
        <v>2355-31-9</v>
      </c>
      <c r="M381">
        <f>_xlfn.XLOOKUP(L381,[2]analyte_order!$C:$C,[2]analyte_order!$E:$E)</f>
        <v>26</v>
      </c>
      <c r="N381">
        <v>8.76</v>
      </c>
    </row>
    <row r="382" spans="1:14">
      <c r="A382" t="s">
        <v>235</v>
      </c>
      <c r="B382" t="str">
        <f>_xlfn.XLOOKUP(A382,'[1]Tissue Data'!$A:$A,'[1]Tissue Data'!$C:$C)</f>
        <v>Down</v>
      </c>
      <c r="C382" s="2">
        <f>_xlfn.XLOOKUP(A382,'[1]Tissue Data'!$A:$A,'[1]Tissue Data'!$D:$D)</f>
        <v>44314</v>
      </c>
      <c r="D382" s="2" t="str">
        <f>_xlfn.XLOOKUP(A382,'[1]Tissue Data'!$A:$A,'[1]Tissue Data'!$F:$F)</f>
        <v>Pumpkinseed</v>
      </c>
      <c r="E382" t="str">
        <f>_xlfn.XLOOKUP(A382,'[1]Tissue Data'!$A:$A,'[1]Tissue Data'!$H:$H)</f>
        <v>Lepomis</v>
      </c>
      <c r="F382" t="str">
        <f>_xlfn.XLOOKUP(A382,'[1]Tissue Data'!$A:$A,'[1]Tissue Data'!$I:$I)</f>
        <v>gibbosus</v>
      </c>
      <c r="G382" t="str">
        <f>_xlfn.XLOOKUP(A382,'[1]Tissue Data'!$A:$A,'[1]Tissue Data'!J:J)</f>
        <v>U</v>
      </c>
      <c r="H382" t="str">
        <f>_xlfn.XLOOKUP(A382,'[1]Tissue Data'!$A:$A,'[1]Tissue Data'!K:K)</f>
        <v>Whole Body</v>
      </c>
      <c r="I382">
        <f>_xlfn.XLOOKUP(A382,'[1]Tissue Data'!$A:$A,'[1]Tissue Data'!L:L)</f>
        <v>7</v>
      </c>
      <c r="J382">
        <f>_xlfn.XLOOKUP(A382,'[1]Tissue Data'!$A:$A,'[1]Tissue Data'!M:M)</f>
        <v>16.059999999999999</v>
      </c>
      <c r="K382" t="s">
        <v>42</v>
      </c>
      <c r="L382" t="str">
        <f>_xlfn.XLOOKUP(K382,[2]analyte_order!$B:$B,[2]analyte_order!$C:$C)</f>
        <v>2991-50-6</v>
      </c>
      <c r="M382">
        <f>_xlfn.XLOOKUP(L382,[2]analyte_order!$C:$C,[2]analyte_order!$E:$E)</f>
        <v>27</v>
      </c>
      <c r="N382">
        <v>6.6316862496077975E-2</v>
      </c>
    </row>
    <row r="383" spans="1:14">
      <c r="A383" t="s">
        <v>235</v>
      </c>
      <c r="B383" t="str">
        <f>_xlfn.XLOOKUP(A383,'[1]Tissue Data'!$A:$A,'[1]Tissue Data'!$C:$C)</f>
        <v>Down</v>
      </c>
      <c r="C383" s="2">
        <f>_xlfn.XLOOKUP(A383,'[1]Tissue Data'!$A:$A,'[1]Tissue Data'!$D:$D)</f>
        <v>44314</v>
      </c>
      <c r="D383" s="2" t="str">
        <f>_xlfn.XLOOKUP(A383,'[1]Tissue Data'!$A:$A,'[1]Tissue Data'!$F:$F)</f>
        <v>Pumpkinseed</v>
      </c>
      <c r="E383" t="str">
        <f>_xlfn.XLOOKUP(A383,'[1]Tissue Data'!$A:$A,'[1]Tissue Data'!$H:$H)</f>
        <v>Lepomis</v>
      </c>
      <c r="F383" t="str">
        <f>_xlfn.XLOOKUP(A383,'[1]Tissue Data'!$A:$A,'[1]Tissue Data'!$I:$I)</f>
        <v>gibbosus</v>
      </c>
      <c r="G383" t="str">
        <f>_xlfn.XLOOKUP(A383,'[1]Tissue Data'!$A:$A,'[1]Tissue Data'!J:J)</f>
        <v>U</v>
      </c>
      <c r="H383" t="str">
        <f>_xlfn.XLOOKUP(A383,'[1]Tissue Data'!$A:$A,'[1]Tissue Data'!K:K)</f>
        <v>Whole Body</v>
      </c>
      <c r="I383">
        <f>_xlfn.XLOOKUP(A383,'[1]Tissue Data'!$A:$A,'[1]Tissue Data'!L:L)</f>
        <v>7</v>
      </c>
      <c r="J383">
        <f>_xlfn.XLOOKUP(A383,'[1]Tissue Data'!$A:$A,'[1]Tissue Data'!M:M)</f>
        <v>16.059999999999999</v>
      </c>
      <c r="K383" t="s">
        <v>43</v>
      </c>
      <c r="L383" t="str">
        <f>_xlfn.XLOOKUP(K383,[2]analyte_order!$B:$B,[2]analyte_order!$C:$C)</f>
        <v>757124-72-4</v>
      </c>
      <c r="M383">
        <f>_xlfn.XLOOKUP(L383,[2]analyte_order!$C:$C,[2]analyte_order!$E:$E)</f>
        <v>22</v>
      </c>
      <c r="N383">
        <v>6.2756344887942628E-2</v>
      </c>
    </row>
    <row r="384" spans="1:14">
      <c r="A384" t="s">
        <v>235</v>
      </c>
      <c r="B384" t="str">
        <f>_xlfn.XLOOKUP(A384,'[1]Tissue Data'!$A:$A,'[1]Tissue Data'!$C:$C)</f>
        <v>Down</v>
      </c>
      <c r="C384" s="2">
        <f>_xlfn.XLOOKUP(A384,'[1]Tissue Data'!$A:$A,'[1]Tissue Data'!$D:$D)</f>
        <v>44314</v>
      </c>
      <c r="D384" s="2" t="str">
        <f>_xlfn.XLOOKUP(A384,'[1]Tissue Data'!$A:$A,'[1]Tissue Data'!$F:$F)</f>
        <v>Pumpkinseed</v>
      </c>
      <c r="E384" t="str">
        <f>_xlfn.XLOOKUP(A384,'[1]Tissue Data'!$A:$A,'[1]Tissue Data'!$H:$H)</f>
        <v>Lepomis</v>
      </c>
      <c r="F384" t="str">
        <f>_xlfn.XLOOKUP(A384,'[1]Tissue Data'!$A:$A,'[1]Tissue Data'!$I:$I)</f>
        <v>gibbosus</v>
      </c>
      <c r="G384" t="str">
        <f>_xlfn.XLOOKUP(A384,'[1]Tissue Data'!$A:$A,'[1]Tissue Data'!J:J)</f>
        <v>U</v>
      </c>
      <c r="H384" t="str">
        <f>_xlfn.XLOOKUP(A384,'[1]Tissue Data'!$A:$A,'[1]Tissue Data'!K:K)</f>
        <v>Whole Body</v>
      </c>
      <c r="I384">
        <f>_xlfn.XLOOKUP(A384,'[1]Tissue Data'!$A:$A,'[1]Tissue Data'!L:L)</f>
        <v>7</v>
      </c>
      <c r="J384">
        <f>_xlfn.XLOOKUP(A384,'[1]Tissue Data'!$A:$A,'[1]Tissue Data'!M:M)</f>
        <v>16.059999999999999</v>
      </c>
      <c r="K384" t="s">
        <v>44</v>
      </c>
      <c r="L384" t="str">
        <f>_xlfn.XLOOKUP(K384,[2]analyte_order!$B:$B,[2]analyte_order!$C:$C)</f>
        <v>27619-97-2</v>
      </c>
      <c r="M384">
        <f>_xlfn.XLOOKUP(L384,[2]analyte_order!$C:$C,[2]analyte_order!$E:$E)</f>
        <v>23</v>
      </c>
      <c r="N384">
        <v>0.141441846271465</v>
      </c>
    </row>
    <row r="385" spans="1:14">
      <c r="A385" t="s">
        <v>235</v>
      </c>
      <c r="B385" t="str">
        <f>_xlfn.XLOOKUP(A385,'[1]Tissue Data'!$A:$A,'[1]Tissue Data'!$C:$C)</f>
        <v>Down</v>
      </c>
      <c r="C385" s="2">
        <f>_xlfn.XLOOKUP(A385,'[1]Tissue Data'!$A:$A,'[1]Tissue Data'!$D:$D)</f>
        <v>44314</v>
      </c>
      <c r="D385" s="2" t="str">
        <f>_xlfn.XLOOKUP(A385,'[1]Tissue Data'!$A:$A,'[1]Tissue Data'!$F:$F)</f>
        <v>Pumpkinseed</v>
      </c>
      <c r="E385" t="str">
        <f>_xlfn.XLOOKUP(A385,'[1]Tissue Data'!$A:$A,'[1]Tissue Data'!$H:$H)</f>
        <v>Lepomis</v>
      </c>
      <c r="F385" t="str">
        <f>_xlfn.XLOOKUP(A385,'[1]Tissue Data'!$A:$A,'[1]Tissue Data'!$I:$I)</f>
        <v>gibbosus</v>
      </c>
      <c r="G385" t="str">
        <f>_xlfn.XLOOKUP(A385,'[1]Tissue Data'!$A:$A,'[1]Tissue Data'!J:J)</f>
        <v>U</v>
      </c>
      <c r="H385" t="str">
        <f>_xlfn.XLOOKUP(A385,'[1]Tissue Data'!$A:$A,'[1]Tissue Data'!K:K)</f>
        <v>Whole Body</v>
      </c>
      <c r="I385">
        <f>_xlfn.XLOOKUP(A385,'[1]Tissue Data'!$A:$A,'[1]Tissue Data'!L:L)</f>
        <v>7</v>
      </c>
      <c r="J385">
        <f>_xlfn.XLOOKUP(A385,'[1]Tissue Data'!$A:$A,'[1]Tissue Data'!M:M)</f>
        <v>16.059999999999999</v>
      </c>
      <c r="K385" t="s">
        <v>45</v>
      </c>
      <c r="L385" t="str">
        <f>_xlfn.XLOOKUP(K385,[2]analyte_order!$B:$B,[2]analyte_order!$C:$C)</f>
        <v>39108-34-4</v>
      </c>
      <c r="M385">
        <f>_xlfn.XLOOKUP(L385,[2]analyte_order!$C:$C,[2]analyte_order!$E:$E)</f>
        <v>24</v>
      </c>
      <c r="N385">
        <v>1.23</v>
      </c>
    </row>
    <row r="386" spans="1:14">
      <c r="A386" t="s">
        <v>235</v>
      </c>
      <c r="B386" t="str">
        <f>_xlfn.XLOOKUP(A386,'[1]Tissue Data'!$A:$A,'[1]Tissue Data'!$C:$C)</f>
        <v>Down</v>
      </c>
      <c r="C386" s="2">
        <f>_xlfn.XLOOKUP(A386,'[1]Tissue Data'!$A:$A,'[1]Tissue Data'!$D:$D)</f>
        <v>44314</v>
      </c>
      <c r="D386" s="2" t="str">
        <f>_xlfn.XLOOKUP(A386,'[1]Tissue Data'!$A:$A,'[1]Tissue Data'!$F:$F)</f>
        <v>Pumpkinseed</v>
      </c>
      <c r="E386" t="str">
        <f>_xlfn.XLOOKUP(A386,'[1]Tissue Data'!$A:$A,'[1]Tissue Data'!$H:$H)</f>
        <v>Lepomis</v>
      </c>
      <c r="F386" t="str">
        <f>_xlfn.XLOOKUP(A386,'[1]Tissue Data'!$A:$A,'[1]Tissue Data'!$I:$I)</f>
        <v>gibbosus</v>
      </c>
      <c r="G386" t="str">
        <f>_xlfn.XLOOKUP(A386,'[1]Tissue Data'!$A:$A,'[1]Tissue Data'!J:J)</f>
        <v>U</v>
      </c>
      <c r="H386" t="str">
        <f>_xlfn.XLOOKUP(A386,'[1]Tissue Data'!$A:$A,'[1]Tissue Data'!K:K)</f>
        <v>Whole Body</v>
      </c>
      <c r="I386">
        <f>_xlfn.XLOOKUP(A386,'[1]Tissue Data'!$A:$A,'[1]Tissue Data'!L:L)</f>
        <v>7</v>
      </c>
      <c r="J386">
        <f>_xlfn.XLOOKUP(A386,'[1]Tissue Data'!$A:$A,'[1]Tissue Data'!M:M)</f>
        <v>16.059999999999999</v>
      </c>
      <c r="K386" t="s">
        <v>46</v>
      </c>
      <c r="L386" t="str">
        <f>_xlfn.XLOOKUP(K386,[2]analyte_order!$B:$B,[2]analyte_order!$C:$C)</f>
        <v>120226-60-0</v>
      </c>
      <c r="M386">
        <f>_xlfn.XLOOKUP(L386,[2]analyte_order!$C:$C,[2]analyte_order!$E:$E)</f>
        <v>25</v>
      </c>
      <c r="N386">
        <v>0.26601389475218656</v>
      </c>
    </row>
    <row r="387" spans="1:14">
      <c r="A387" t="s">
        <v>235</v>
      </c>
      <c r="B387" t="str">
        <f>_xlfn.XLOOKUP(A387,'[1]Tissue Data'!$A:$A,'[1]Tissue Data'!$C:$C)</f>
        <v>Down</v>
      </c>
      <c r="C387" s="2">
        <f>_xlfn.XLOOKUP(A387,'[1]Tissue Data'!$A:$A,'[1]Tissue Data'!$D:$D)</f>
        <v>44314</v>
      </c>
      <c r="D387" s="2" t="str">
        <f>_xlfn.XLOOKUP(A387,'[1]Tissue Data'!$A:$A,'[1]Tissue Data'!$F:$F)</f>
        <v>Pumpkinseed</v>
      </c>
      <c r="E387" t="str">
        <f>_xlfn.XLOOKUP(A387,'[1]Tissue Data'!$A:$A,'[1]Tissue Data'!$H:$H)</f>
        <v>Lepomis</v>
      </c>
      <c r="F387" t="str">
        <f>_xlfn.XLOOKUP(A387,'[1]Tissue Data'!$A:$A,'[1]Tissue Data'!$I:$I)</f>
        <v>gibbosus</v>
      </c>
      <c r="G387" t="str">
        <f>_xlfn.XLOOKUP(A387,'[1]Tissue Data'!$A:$A,'[1]Tissue Data'!J:J)</f>
        <v>U</v>
      </c>
      <c r="H387" t="str">
        <f>_xlfn.XLOOKUP(A387,'[1]Tissue Data'!$A:$A,'[1]Tissue Data'!K:K)</f>
        <v>Whole Body</v>
      </c>
      <c r="I387">
        <f>_xlfn.XLOOKUP(A387,'[1]Tissue Data'!$A:$A,'[1]Tissue Data'!L:L)</f>
        <v>7</v>
      </c>
      <c r="J387">
        <f>_xlfn.XLOOKUP(A387,'[1]Tissue Data'!$A:$A,'[1]Tissue Data'!M:M)</f>
        <v>16.059999999999999</v>
      </c>
      <c r="K387" t="s">
        <v>47</v>
      </c>
      <c r="L387" t="str">
        <f>_xlfn.XLOOKUP(K387,[2]analyte_order!$B:$B,[2]analyte_order!$C:$C)</f>
        <v>356-02-5</v>
      </c>
      <c r="M387">
        <f>_xlfn.XLOOKUP(L387,[2]analyte_order!$C:$C,[2]analyte_order!$E:$E)</f>
        <v>38</v>
      </c>
      <c r="N387">
        <v>8.8129725243724782E-2</v>
      </c>
    </row>
    <row r="388" spans="1:14">
      <c r="A388" t="s">
        <v>235</v>
      </c>
      <c r="B388" t="str">
        <f>_xlfn.XLOOKUP(A388,'[1]Tissue Data'!$A:$A,'[1]Tissue Data'!$C:$C)</f>
        <v>Down</v>
      </c>
      <c r="C388" s="2">
        <f>_xlfn.XLOOKUP(A388,'[1]Tissue Data'!$A:$A,'[1]Tissue Data'!$D:$D)</f>
        <v>44314</v>
      </c>
      <c r="D388" s="2" t="str">
        <f>_xlfn.XLOOKUP(A388,'[1]Tissue Data'!$A:$A,'[1]Tissue Data'!$F:$F)</f>
        <v>Pumpkinseed</v>
      </c>
      <c r="E388" t="str">
        <f>_xlfn.XLOOKUP(A388,'[1]Tissue Data'!$A:$A,'[1]Tissue Data'!$H:$H)</f>
        <v>Lepomis</v>
      </c>
      <c r="F388" t="str">
        <f>_xlfn.XLOOKUP(A388,'[1]Tissue Data'!$A:$A,'[1]Tissue Data'!$I:$I)</f>
        <v>gibbosus</v>
      </c>
      <c r="G388" t="str">
        <f>_xlfn.XLOOKUP(A388,'[1]Tissue Data'!$A:$A,'[1]Tissue Data'!J:J)</f>
        <v>U</v>
      </c>
      <c r="H388" t="str">
        <f>_xlfn.XLOOKUP(A388,'[1]Tissue Data'!$A:$A,'[1]Tissue Data'!K:K)</f>
        <v>Whole Body</v>
      </c>
      <c r="I388">
        <f>_xlfn.XLOOKUP(A388,'[1]Tissue Data'!$A:$A,'[1]Tissue Data'!L:L)</f>
        <v>7</v>
      </c>
      <c r="J388">
        <f>_xlfn.XLOOKUP(A388,'[1]Tissue Data'!$A:$A,'[1]Tissue Data'!M:M)</f>
        <v>16.059999999999999</v>
      </c>
      <c r="K388" t="s">
        <v>48</v>
      </c>
      <c r="L388" t="str">
        <f>_xlfn.XLOOKUP(K388,[2]analyte_order!$B:$B,[2]analyte_order!$C:$C)</f>
        <v>914637-49-3</v>
      </c>
      <c r="M388">
        <f>_xlfn.XLOOKUP(L388,[2]analyte_order!$C:$C,[2]analyte_order!$E:$E)</f>
        <v>39</v>
      </c>
      <c r="N388">
        <v>4.7699999999999996</v>
      </c>
    </row>
    <row r="389" spans="1:14">
      <c r="A389" t="s">
        <v>235</v>
      </c>
      <c r="B389" t="str">
        <f>_xlfn.XLOOKUP(A389,'[1]Tissue Data'!$A:$A,'[1]Tissue Data'!$C:$C)</f>
        <v>Down</v>
      </c>
      <c r="C389" s="2">
        <f>_xlfn.XLOOKUP(A389,'[1]Tissue Data'!$A:$A,'[1]Tissue Data'!$D:$D)</f>
        <v>44314</v>
      </c>
      <c r="D389" s="2" t="str">
        <f>_xlfn.XLOOKUP(A389,'[1]Tissue Data'!$A:$A,'[1]Tissue Data'!$F:$F)</f>
        <v>Pumpkinseed</v>
      </c>
      <c r="E389" t="str">
        <f>_xlfn.XLOOKUP(A389,'[1]Tissue Data'!$A:$A,'[1]Tissue Data'!$H:$H)</f>
        <v>Lepomis</v>
      </c>
      <c r="F389" t="str">
        <f>_xlfn.XLOOKUP(A389,'[1]Tissue Data'!$A:$A,'[1]Tissue Data'!$I:$I)</f>
        <v>gibbosus</v>
      </c>
      <c r="G389" t="str">
        <f>_xlfn.XLOOKUP(A389,'[1]Tissue Data'!$A:$A,'[1]Tissue Data'!J:J)</f>
        <v>U</v>
      </c>
      <c r="H389" t="str">
        <f>_xlfn.XLOOKUP(A389,'[1]Tissue Data'!$A:$A,'[1]Tissue Data'!K:K)</f>
        <v>Whole Body</v>
      </c>
      <c r="I389">
        <f>_xlfn.XLOOKUP(A389,'[1]Tissue Data'!$A:$A,'[1]Tissue Data'!L:L)</f>
        <v>7</v>
      </c>
      <c r="J389">
        <f>_xlfn.XLOOKUP(A389,'[1]Tissue Data'!$A:$A,'[1]Tissue Data'!M:M)</f>
        <v>16.059999999999999</v>
      </c>
      <c r="K389" t="s">
        <v>49</v>
      </c>
      <c r="L389" t="str">
        <f>_xlfn.XLOOKUP(K389,[2]analyte_order!$B:$B,[2]analyte_order!$C:$C)</f>
        <v>812-70-4</v>
      </c>
      <c r="M389">
        <f>_xlfn.XLOOKUP(L389,[2]analyte_order!$C:$C,[2]analyte_order!$E:$E)</f>
        <v>40</v>
      </c>
      <c r="N389">
        <v>36.799999999999997</v>
      </c>
    </row>
    <row r="390" spans="1:14">
      <c r="A390" t="s">
        <v>235</v>
      </c>
      <c r="B390" t="str">
        <f>_xlfn.XLOOKUP(A390,'[1]Tissue Data'!$A:$A,'[1]Tissue Data'!$C:$C)</f>
        <v>Down</v>
      </c>
      <c r="C390" s="2">
        <f>_xlfn.XLOOKUP(A390,'[1]Tissue Data'!$A:$A,'[1]Tissue Data'!$D:$D)</f>
        <v>44314</v>
      </c>
      <c r="D390" s="2" t="str">
        <f>_xlfn.XLOOKUP(A390,'[1]Tissue Data'!$A:$A,'[1]Tissue Data'!$F:$F)</f>
        <v>Pumpkinseed</v>
      </c>
      <c r="E390" t="str">
        <f>_xlfn.XLOOKUP(A390,'[1]Tissue Data'!$A:$A,'[1]Tissue Data'!$H:$H)</f>
        <v>Lepomis</v>
      </c>
      <c r="F390" t="str">
        <f>_xlfn.XLOOKUP(A390,'[1]Tissue Data'!$A:$A,'[1]Tissue Data'!$I:$I)</f>
        <v>gibbosus</v>
      </c>
      <c r="G390" t="str">
        <f>_xlfn.XLOOKUP(A390,'[1]Tissue Data'!$A:$A,'[1]Tissue Data'!J:J)</f>
        <v>U</v>
      </c>
      <c r="H390" t="str">
        <f>_xlfn.XLOOKUP(A390,'[1]Tissue Data'!$A:$A,'[1]Tissue Data'!K:K)</f>
        <v>Whole Body</v>
      </c>
      <c r="I390">
        <f>_xlfn.XLOOKUP(A390,'[1]Tissue Data'!$A:$A,'[1]Tissue Data'!L:L)</f>
        <v>7</v>
      </c>
      <c r="J390">
        <f>_xlfn.XLOOKUP(A390,'[1]Tissue Data'!$A:$A,'[1]Tissue Data'!M:M)</f>
        <v>16.059999999999999</v>
      </c>
      <c r="K390" t="s">
        <v>50</v>
      </c>
      <c r="L390" t="str">
        <f>_xlfn.XLOOKUP(K390,[2]analyte_order!$B:$B,[2]analyte_order!$C:$C)</f>
        <v>53826-12-3</v>
      </c>
      <c r="M390">
        <f>_xlfn.XLOOKUP(L390,[2]analyte_order!$C:$C,[2]analyte_order!$E:$E)</f>
        <v>41</v>
      </c>
      <c r="N390">
        <v>2.96</v>
      </c>
    </row>
    <row r="391" spans="1:14">
      <c r="A391" t="s">
        <v>235</v>
      </c>
      <c r="B391" t="str">
        <f>_xlfn.XLOOKUP(A391,'[1]Tissue Data'!$A:$A,'[1]Tissue Data'!$C:$C)</f>
        <v>Down</v>
      </c>
      <c r="C391" s="2">
        <f>_xlfn.XLOOKUP(A391,'[1]Tissue Data'!$A:$A,'[1]Tissue Data'!$D:$D)</f>
        <v>44314</v>
      </c>
      <c r="D391" s="2" t="str">
        <f>_xlfn.XLOOKUP(A391,'[1]Tissue Data'!$A:$A,'[1]Tissue Data'!$F:$F)</f>
        <v>Pumpkinseed</v>
      </c>
      <c r="E391" t="str">
        <f>_xlfn.XLOOKUP(A391,'[1]Tissue Data'!$A:$A,'[1]Tissue Data'!$H:$H)</f>
        <v>Lepomis</v>
      </c>
      <c r="F391" t="str">
        <f>_xlfn.XLOOKUP(A391,'[1]Tissue Data'!$A:$A,'[1]Tissue Data'!$I:$I)</f>
        <v>gibbosus</v>
      </c>
      <c r="G391" t="str">
        <f>_xlfn.XLOOKUP(A391,'[1]Tissue Data'!$A:$A,'[1]Tissue Data'!J:J)</f>
        <v>U</v>
      </c>
      <c r="H391" t="str">
        <f>_xlfn.XLOOKUP(A391,'[1]Tissue Data'!$A:$A,'[1]Tissue Data'!K:K)</f>
        <v>Whole Body</v>
      </c>
      <c r="I391">
        <f>_xlfn.XLOOKUP(A391,'[1]Tissue Data'!$A:$A,'[1]Tissue Data'!L:L)</f>
        <v>7</v>
      </c>
      <c r="J391">
        <f>_xlfn.XLOOKUP(A391,'[1]Tissue Data'!$A:$A,'[1]Tissue Data'!M:M)</f>
        <v>16.059999999999999</v>
      </c>
      <c r="K391" t="s">
        <v>51</v>
      </c>
      <c r="L391" t="str">
        <f>_xlfn.XLOOKUP(K391,[2]analyte_order!$B:$B,[2]analyte_order!$C:$C)</f>
        <v>27854-31-5</v>
      </c>
      <c r="M391">
        <f>_xlfn.XLOOKUP(L391,[2]analyte_order!$C:$C,[2]analyte_order!$E:$E)</f>
        <v>42</v>
      </c>
      <c r="N391">
        <v>3.99</v>
      </c>
    </row>
    <row r="392" spans="1:14">
      <c r="A392" t="s">
        <v>235</v>
      </c>
      <c r="B392" t="str">
        <f>_xlfn.XLOOKUP(A392,'[1]Tissue Data'!$A:$A,'[1]Tissue Data'!$C:$C)</f>
        <v>Down</v>
      </c>
      <c r="C392" s="2">
        <f>_xlfn.XLOOKUP(A392,'[1]Tissue Data'!$A:$A,'[1]Tissue Data'!$D:$D)</f>
        <v>44314</v>
      </c>
      <c r="D392" s="2" t="str">
        <f>_xlfn.XLOOKUP(A392,'[1]Tissue Data'!$A:$A,'[1]Tissue Data'!$F:$F)</f>
        <v>Pumpkinseed</v>
      </c>
      <c r="E392" t="str">
        <f>_xlfn.XLOOKUP(A392,'[1]Tissue Data'!$A:$A,'[1]Tissue Data'!$H:$H)</f>
        <v>Lepomis</v>
      </c>
      <c r="F392" t="str">
        <f>_xlfn.XLOOKUP(A392,'[1]Tissue Data'!$A:$A,'[1]Tissue Data'!$I:$I)</f>
        <v>gibbosus</v>
      </c>
      <c r="G392" t="str">
        <f>_xlfn.XLOOKUP(A392,'[1]Tissue Data'!$A:$A,'[1]Tissue Data'!J:J)</f>
        <v>U</v>
      </c>
      <c r="H392" t="str">
        <f>_xlfn.XLOOKUP(A392,'[1]Tissue Data'!$A:$A,'[1]Tissue Data'!K:K)</f>
        <v>Whole Body</v>
      </c>
      <c r="I392">
        <f>_xlfn.XLOOKUP(A392,'[1]Tissue Data'!$A:$A,'[1]Tissue Data'!L:L)</f>
        <v>7</v>
      </c>
      <c r="J392">
        <f>_xlfn.XLOOKUP(A392,'[1]Tissue Data'!$A:$A,'[1]Tissue Data'!M:M)</f>
        <v>16.059999999999999</v>
      </c>
      <c r="K392" t="s">
        <v>52</v>
      </c>
      <c r="L392" t="str">
        <f>_xlfn.XLOOKUP(K392,[2]analyte_order!$B:$B,[2]analyte_order!$C:$C)</f>
        <v>53826-13-4</v>
      </c>
      <c r="M392">
        <f>_xlfn.XLOOKUP(L392,[2]analyte_order!$C:$C,[2]analyte_order!$E:$E)</f>
        <v>43</v>
      </c>
      <c r="N392">
        <v>0.11400761795103094</v>
      </c>
    </row>
    <row r="393" spans="1:14">
      <c r="A393" t="s">
        <v>235</v>
      </c>
      <c r="B393" t="str">
        <f>_xlfn.XLOOKUP(A393,'[1]Tissue Data'!$A:$A,'[1]Tissue Data'!$C:$C)</f>
        <v>Down</v>
      </c>
      <c r="C393" s="2">
        <f>_xlfn.XLOOKUP(A393,'[1]Tissue Data'!$A:$A,'[1]Tissue Data'!$D:$D)</f>
        <v>44314</v>
      </c>
      <c r="D393" s="2" t="str">
        <f>_xlfn.XLOOKUP(A393,'[1]Tissue Data'!$A:$A,'[1]Tissue Data'!$F:$F)</f>
        <v>Pumpkinseed</v>
      </c>
      <c r="E393" t="str">
        <f>_xlfn.XLOOKUP(A393,'[1]Tissue Data'!$A:$A,'[1]Tissue Data'!$H:$H)</f>
        <v>Lepomis</v>
      </c>
      <c r="F393" t="str">
        <f>_xlfn.XLOOKUP(A393,'[1]Tissue Data'!$A:$A,'[1]Tissue Data'!$I:$I)</f>
        <v>gibbosus</v>
      </c>
      <c r="G393" t="str">
        <f>_xlfn.XLOOKUP(A393,'[1]Tissue Data'!$A:$A,'[1]Tissue Data'!J:J)</f>
        <v>U</v>
      </c>
      <c r="H393" t="str">
        <f>_xlfn.XLOOKUP(A393,'[1]Tissue Data'!$A:$A,'[1]Tissue Data'!K:K)</f>
        <v>Whole Body</v>
      </c>
      <c r="I393">
        <f>_xlfn.XLOOKUP(A393,'[1]Tissue Data'!$A:$A,'[1]Tissue Data'!L:L)</f>
        <v>7</v>
      </c>
      <c r="J393">
        <f>_xlfn.XLOOKUP(A393,'[1]Tissue Data'!$A:$A,'[1]Tissue Data'!M:M)</f>
        <v>16.059999999999999</v>
      </c>
      <c r="K393" t="s">
        <v>53</v>
      </c>
      <c r="L393" t="str">
        <f>_xlfn.XLOOKUP(K393,[2]analyte_order!$B:$B,[2]analyte_order!$C:$C)</f>
        <v>161094-75-3</v>
      </c>
      <c r="M393">
        <f>_xlfn.XLOOKUP(L393,[2]analyte_order!$C:$C,[2]analyte_order!$E:$E)</f>
        <v>44</v>
      </c>
      <c r="N393">
        <v>5.9991179159569703E-2</v>
      </c>
    </row>
    <row r="394" spans="1:14">
      <c r="A394" t="s">
        <v>235</v>
      </c>
      <c r="B394" t="str">
        <f>_xlfn.XLOOKUP(A394,'[1]Tissue Data'!$A:$A,'[1]Tissue Data'!$C:$C)</f>
        <v>Down</v>
      </c>
      <c r="C394" s="2">
        <f>_xlfn.XLOOKUP(A394,'[1]Tissue Data'!$A:$A,'[1]Tissue Data'!$D:$D)</f>
        <v>44314</v>
      </c>
      <c r="D394" s="2" t="str">
        <f>_xlfn.XLOOKUP(A394,'[1]Tissue Data'!$A:$A,'[1]Tissue Data'!$F:$F)</f>
        <v>Pumpkinseed</v>
      </c>
      <c r="E394" t="str">
        <f>_xlfn.XLOOKUP(A394,'[1]Tissue Data'!$A:$A,'[1]Tissue Data'!$H:$H)</f>
        <v>Lepomis</v>
      </c>
      <c r="F394" t="str">
        <f>_xlfn.XLOOKUP(A394,'[1]Tissue Data'!$A:$A,'[1]Tissue Data'!$I:$I)</f>
        <v>gibbosus</v>
      </c>
      <c r="G394" t="str">
        <f>_xlfn.XLOOKUP(A394,'[1]Tissue Data'!$A:$A,'[1]Tissue Data'!J:J)</f>
        <v>U</v>
      </c>
      <c r="H394" t="str">
        <f>_xlfn.XLOOKUP(A394,'[1]Tissue Data'!$A:$A,'[1]Tissue Data'!K:K)</f>
        <v>Whole Body</v>
      </c>
      <c r="I394">
        <f>_xlfn.XLOOKUP(A394,'[1]Tissue Data'!$A:$A,'[1]Tissue Data'!L:L)</f>
        <v>7</v>
      </c>
      <c r="J394">
        <f>_xlfn.XLOOKUP(A394,'[1]Tissue Data'!$A:$A,'[1]Tissue Data'!M:M)</f>
        <v>16.059999999999999</v>
      </c>
      <c r="K394" t="s">
        <v>54</v>
      </c>
      <c r="L394" t="str">
        <f>_xlfn.XLOOKUP(K394,[2]analyte_order!$B:$B,[2]analyte_order!$C:$C)</f>
        <v>70887-84-2</v>
      </c>
      <c r="M394">
        <f>_xlfn.XLOOKUP(L394,[2]analyte_order!$C:$C,[2]analyte_order!$E:$E)</f>
        <v>45</v>
      </c>
      <c r="N394">
        <v>4.6170530619285076E-2</v>
      </c>
    </row>
    <row r="395" spans="1:14">
      <c r="A395" t="s">
        <v>235</v>
      </c>
      <c r="B395" t="str">
        <f>_xlfn.XLOOKUP(A395,'[1]Tissue Data'!$A:$A,'[1]Tissue Data'!$C:$C)</f>
        <v>Down</v>
      </c>
      <c r="C395" s="2">
        <f>_xlfn.XLOOKUP(A395,'[1]Tissue Data'!$A:$A,'[1]Tissue Data'!$D:$D)</f>
        <v>44314</v>
      </c>
      <c r="D395" s="2" t="str">
        <f>_xlfn.XLOOKUP(A395,'[1]Tissue Data'!$A:$A,'[1]Tissue Data'!$F:$F)</f>
        <v>Pumpkinseed</v>
      </c>
      <c r="E395" t="str">
        <f>_xlfn.XLOOKUP(A395,'[1]Tissue Data'!$A:$A,'[1]Tissue Data'!$H:$H)</f>
        <v>Lepomis</v>
      </c>
      <c r="F395" t="str">
        <f>_xlfn.XLOOKUP(A395,'[1]Tissue Data'!$A:$A,'[1]Tissue Data'!$I:$I)</f>
        <v>gibbosus</v>
      </c>
      <c r="G395" t="str">
        <f>_xlfn.XLOOKUP(A395,'[1]Tissue Data'!$A:$A,'[1]Tissue Data'!J:J)</f>
        <v>U</v>
      </c>
      <c r="H395" t="str">
        <f>_xlfn.XLOOKUP(A395,'[1]Tissue Data'!$A:$A,'[1]Tissue Data'!K:K)</f>
        <v>Whole Body</v>
      </c>
      <c r="I395">
        <f>_xlfn.XLOOKUP(A395,'[1]Tissue Data'!$A:$A,'[1]Tissue Data'!L:L)</f>
        <v>7</v>
      </c>
      <c r="J395">
        <f>_xlfn.XLOOKUP(A395,'[1]Tissue Data'!$A:$A,'[1]Tissue Data'!M:M)</f>
        <v>16.059999999999999</v>
      </c>
      <c r="K395" t="s">
        <v>55</v>
      </c>
      <c r="L395" t="str">
        <f>_xlfn.XLOOKUP(K395,[2]analyte_order!$B:$B,[2]analyte_order!$C:$C)</f>
        <v>919005-14-4</v>
      </c>
      <c r="M395">
        <f>_xlfn.XLOOKUP(L395,[2]analyte_order!$C:$C,[2]analyte_order!$E:$E)</f>
        <v>35</v>
      </c>
      <c r="N395">
        <v>7.6402754573978243E-2</v>
      </c>
    </row>
    <row r="396" spans="1:14">
      <c r="A396" t="s">
        <v>235</v>
      </c>
      <c r="B396" t="str">
        <f>_xlfn.XLOOKUP(A396,'[1]Tissue Data'!$A:$A,'[1]Tissue Data'!$C:$C)</f>
        <v>Down</v>
      </c>
      <c r="C396" s="2">
        <f>_xlfn.XLOOKUP(A396,'[1]Tissue Data'!$A:$A,'[1]Tissue Data'!$D:$D)</f>
        <v>44314</v>
      </c>
      <c r="D396" s="2" t="str">
        <f>_xlfn.XLOOKUP(A396,'[1]Tissue Data'!$A:$A,'[1]Tissue Data'!$F:$F)</f>
        <v>Pumpkinseed</v>
      </c>
      <c r="E396" t="str">
        <f>_xlfn.XLOOKUP(A396,'[1]Tissue Data'!$A:$A,'[1]Tissue Data'!$H:$H)</f>
        <v>Lepomis</v>
      </c>
      <c r="F396" t="str">
        <f>_xlfn.XLOOKUP(A396,'[1]Tissue Data'!$A:$A,'[1]Tissue Data'!$I:$I)</f>
        <v>gibbosus</v>
      </c>
      <c r="G396" t="str">
        <f>_xlfn.XLOOKUP(A396,'[1]Tissue Data'!$A:$A,'[1]Tissue Data'!J:J)</f>
        <v>U</v>
      </c>
      <c r="H396" t="str">
        <f>_xlfn.XLOOKUP(A396,'[1]Tissue Data'!$A:$A,'[1]Tissue Data'!K:K)</f>
        <v>Whole Body</v>
      </c>
      <c r="I396">
        <f>_xlfn.XLOOKUP(A396,'[1]Tissue Data'!$A:$A,'[1]Tissue Data'!L:L)</f>
        <v>7</v>
      </c>
      <c r="J396">
        <f>_xlfn.XLOOKUP(A396,'[1]Tissue Data'!$A:$A,'[1]Tissue Data'!M:M)</f>
        <v>16.059999999999999</v>
      </c>
      <c r="K396" t="s">
        <v>56</v>
      </c>
      <c r="L396" t="str">
        <f>_xlfn.XLOOKUP(K396,[2]analyte_order!$B:$B,[2]analyte_order!$C:$C)</f>
        <v>756426-58-1</v>
      </c>
      <c r="M396">
        <f>_xlfn.XLOOKUP(L396,[2]analyte_order!$C:$C,[2]analyte_order!$E:$E)</f>
        <v>36</v>
      </c>
      <c r="N396">
        <v>5.3031659204952931E-2</v>
      </c>
    </row>
    <row r="397" spans="1:14">
      <c r="A397" t="s">
        <v>235</v>
      </c>
      <c r="B397" t="str">
        <f>_xlfn.XLOOKUP(A397,'[1]Tissue Data'!$A:$A,'[1]Tissue Data'!$C:$C)</f>
        <v>Down</v>
      </c>
      <c r="C397" s="2">
        <f>_xlfn.XLOOKUP(A397,'[1]Tissue Data'!$A:$A,'[1]Tissue Data'!$D:$D)</f>
        <v>44314</v>
      </c>
      <c r="D397" s="2" t="str">
        <f>_xlfn.XLOOKUP(A397,'[1]Tissue Data'!$A:$A,'[1]Tissue Data'!$F:$F)</f>
        <v>Pumpkinseed</v>
      </c>
      <c r="E397" t="str">
        <f>_xlfn.XLOOKUP(A397,'[1]Tissue Data'!$A:$A,'[1]Tissue Data'!$H:$H)</f>
        <v>Lepomis</v>
      </c>
      <c r="F397" t="str">
        <f>_xlfn.XLOOKUP(A397,'[1]Tissue Data'!$A:$A,'[1]Tissue Data'!$I:$I)</f>
        <v>gibbosus</v>
      </c>
      <c r="G397" t="str">
        <f>_xlfn.XLOOKUP(A397,'[1]Tissue Data'!$A:$A,'[1]Tissue Data'!J:J)</f>
        <v>U</v>
      </c>
      <c r="H397" t="str">
        <f>_xlfn.XLOOKUP(A397,'[1]Tissue Data'!$A:$A,'[1]Tissue Data'!K:K)</f>
        <v>Whole Body</v>
      </c>
      <c r="I397">
        <f>_xlfn.XLOOKUP(A397,'[1]Tissue Data'!$A:$A,'[1]Tissue Data'!L:L)</f>
        <v>7</v>
      </c>
      <c r="J397">
        <f>_xlfn.XLOOKUP(A397,'[1]Tissue Data'!$A:$A,'[1]Tissue Data'!M:M)</f>
        <v>16.059999999999999</v>
      </c>
      <c r="K397" t="s">
        <v>57</v>
      </c>
      <c r="L397" t="str">
        <f>_xlfn.XLOOKUP(K397,[2]analyte_order!$B:$B,[2]analyte_order!$C:$C)</f>
        <v>763051-92-9</v>
      </c>
      <c r="M397">
        <f>_xlfn.XLOOKUP(L397,[2]analyte_order!$C:$C,[2]analyte_order!$E:$E)</f>
        <v>37</v>
      </c>
      <c r="N397">
        <v>6.0204648242380095E-2</v>
      </c>
    </row>
    <row r="398" spans="1:14">
      <c r="A398" t="s">
        <v>235</v>
      </c>
      <c r="B398" t="str">
        <f>_xlfn.XLOOKUP(A398,'[1]Tissue Data'!$A:$A,'[1]Tissue Data'!$C:$C)</f>
        <v>Down</v>
      </c>
      <c r="C398" s="2">
        <f>_xlfn.XLOOKUP(A398,'[1]Tissue Data'!$A:$A,'[1]Tissue Data'!$D:$D)</f>
        <v>44314</v>
      </c>
      <c r="D398" s="2" t="str">
        <f>_xlfn.XLOOKUP(A398,'[1]Tissue Data'!$A:$A,'[1]Tissue Data'!$F:$F)</f>
        <v>Pumpkinseed</v>
      </c>
      <c r="E398" t="str">
        <f>_xlfn.XLOOKUP(A398,'[1]Tissue Data'!$A:$A,'[1]Tissue Data'!$H:$H)</f>
        <v>Lepomis</v>
      </c>
      <c r="F398" t="str">
        <f>_xlfn.XLOOKUP(A398,'[1]Tissue Data'!$A:$A,'[1]Tissue Data'!$I:$I)</f>
        <v>gibbosus</v>
      </c>
      <c r="G398" t="str">
        <f>_xlfn.XLOOKUP(A398,'[1]Tissue Data'!$A:$A,'[1]Tissue Data'!J:J)</f>
        <v>U</v>
      </c>
      <c r="H398" t="str">
        <f>_xlfn.XLOOKUP(A398,'[1]Tissue Data'!$A:$A,'[1]Tissue Data'!K:K)</f>
        <v>Whole Body</v>
      </c>
      <c r="I398">
        <f>_xlfn.XLOOKUP(A398,'[1]Tissue Data'!$A:$A,'[1]Tissue Data'!L:L)</f>
        <v>7</v>
      </c>
      <c r="J398">
        <f>_xlfn.XLOOKUP(A398,'[1]Tissue Data'!$A:$A,'[1]Tissue Data'!M:M)</f>
        <v>16.059999999999999</v>
      </c>
      <c r="K398" t="s">
        <v>58</v>
      </c>
      <c r="L398" t="str">
        <f>_xlfn.XLOOKUP(K398,[2]analyte_order!$B:$B,[2]analyte_order!$C:$C)</f>
        <v>13252-13-6</v>
      </c>
      <c r="M398">
        <f>_xlfn.XLOOKUP(L398,[2]analyte_order!$C:$C,[2]analyte_order!$E:$E)</f>
        <v>34</v>
      </c>
      <c r="N398">
        <v>0.10964013525605112</v>
      </c>
    </row>
    <row r="399" spans="1:14">
      <c r="A399" t="s">
        <v>235</v>
      </c>
      <c r="B399" t="str">
        <f>_xlfn.XLOOKUP(A399,'[1]Tissue Data'!$A:$A,'[1]Tissue Data'!$C:$C)</f>
        <v>Down</v>
      </c>
      <c r="C399" s="2">
        <f>_xlfn.XLOOKUP(A399,'[1]Tissue Data'!$A:$A,'[1]Tissue Data'!$D:$D)</f>
        <v>44314</v>
      </c>
      <c r="D399" s="2" t="str">
        <f>_xlfn.XLOOKUP(A399,'[1]Tissue Data'!$A:$A,'[1]Tissue Data'!$F:$F)</f>
        <v>Pumpkinseed</v>
      </c>
      <c r="E399" t="str">
        <f>_xlfn.XLOOKUP(A399,'[1]Tissue Data'!$A:$A,'[1]Tissue Data'!$H:$H)</f>
        <v>Lepomis</v>
      </c>
      <c r="F399" t="str">
        <f>_xlfn.XLOOKUP(A399,'[1]Tissue Data'!$A:$A,'[1]Tissue Data'!$I:$I)</f>
        <v>gibbosus</v>
      </c>
      <c r="G399" t="str">
        <f>_xlfn.XLOOKUP(A399,'[1]Tissue Data'!$A:$A,'[1]Tissue Data'!J:J)</f>
        <v>U</v>
      </c>
      <c r="H399" t="str">
        <f>_xlfn.XLOOKUP(A399,'[1]Tissue Data'!$A:$A,'[1]Tissue Data'!K:K)</f>
        <v>Whole Body</v>
      </c>
      <c r="I399">
        <f>_xlfn.XLOOKUP(A399,'[1]Tissue Data'!$A:$A,'[1]Tissue Data'!L:L)</f>
        <v>7</v>
      </c>
      <c r="J399">
        <f>_xlfn.XLOOKUP(A399,'[1]Tissue Data'!$A:$A,'[1]Tissue Data'!M:M)</f>
        <v>16.059999999999999</v>
      </c>
      <c r="K399" t="s">
        <v>59</v>
      </c>
      <c r="L399" t="str">
        <f>_xlfn.XLOOKUP(K399,[2]analyte_order!$B:$B,[2]analyte_order!$C:$C)</f>
        <v>57677-95-9</v>
      </c>
      <c r="M399">
        <f>_xlfn.XLOOKUP(L399,[2]analyte_order!$C:$C,[2]analyte_order!$E:$E)</f>
        <v>46</v>
      </c>
      <c r="N399">
        <v>8.1332942993612739E-2</v>
      </c>
    </row>
    <row r="400" spans="1:14">
      <c r="A400" t="s">
        <v>235</v>
      </c>
      <c r="B400" t="str">
        <f>_xlfn.XLOOKUP(A400,'[1]Tissue Data'!$A:$A,'[1]Tissue Data'!$C:$C)</f>
        <v>Down</v>
      </c>
      <c r="C400" s="2">
        <f>_xlfn.XLOOKUP(A400,'[1]Tissue Data'!$A:$A,'[1]Tissue Data'!$D:$D)</f>
        <v>44314</v>
      </c>
      <c r="D400" s="2" t="str">
        <f>_xlfn.XLOOKUP(A400,'[1]Tissue Data'!$A:$A,'[1]Tissue Data'!$F:$F)</f>
        <v>Pumpkinseed</v>
      </c>
      <c r="E400" t="str">
        <f>_xlfn.XLOOKUP(A400,'[1]Tissue Data'!$A:$A,'[1]Tissue Data'!$H:$H)</f>
        <v>Lepomis</v>
      </c>
      <c r="F400" t="str">
        <f>_xlfn.XLOOKUP(A400,'[1]Tissue Data'!$A:$A,'[1]Tissue Data'!$I:$I)</f>
        <v>gibbosus</v>
      </c>
      <c r="G400" t="str">
        <f>_xlfn.XLOOKUP(A400,'[1]Tissue Data'!$A:$A,'[1]Tissue Data'!J:J)</f>
        <v>U</v>
      </c>
      <c r="H400" t="str">
        <f>_xlfn.XLOOKUP(A400,'[1]Tissue Data'!$A:$A,'[1]Tissue Data'!K:K)</f>
        <v>Whole Body</v>
      </c>
      <c r="I400">
        <f>_xlfn.XLOOKUP(A400,'[1]Tissue Data'!$A:$A,'[1]Tissue Data'!L:L)</f>
        <v>7</v>
      </c>
      <c r="J400">
        <f>_xlfn.XLOOKUP(A400,'[1]Tissue Data'!$A:$A,'[1]Tissue Data'!M:M)</f>
        <v>16.059999999999999</v>
      </c>
      <c r="K400" t="s">
        <v>60</v>
      </c>
      <c r="L400" t="str">
        <f>_xlfn.XLOOKUP(K400,[2]analyte_order!$B:$B,[2]analyte_order!$C:$C)</f>
        <v>678-41-1</v>
      </c>
      <c r="M400">
        <f>_xlfn.XLOOKUP(L400,[2]analyte_order!$C:$C,[2]analyte_order!$E:$E)</f>
        <v>56</v>
      </c>
      <c r="N400">
        <v>0.10129584222714029</v>
      </c>
    </row>
    <row r="401" spans="1:14">
      <c r="A401" t="s">
        <v>235</v>
      </c>
      <c r="B401" t="str">
        <f>_xlfn.XLOOKUP(A401,'[1]Tissue Data'!$A:$A,'[1]Tissue Data'!$C:$C)</f>
        <v>Down</v>
      </c>
      <c r="C401" s="2">
        <f>_xlfn.XLOOKUP(A401,'[1]Tissue Data'!$A:$A,'[1]Tissue Data'!$D:$D)</f>
        <v>44314</v>
      </c>
      <c r="D401" s="2" t="str">
        <f>_xlfn.XLOOKUP(A401,'[1]Tissue Data'!$A:$A,'[1]Tissue Data'!$F:$F)</f>
        <v>Pumpkinseed</v>
      </c>
      <c r="E401" t="str">
        <f>_xlfn.XLOOKUP(A401,'[1]Tissue Data'!$A:$A,'[1]Tissue Data'!$H:$H)</f>
        <v>Lepomis</v>
      </c>
      <c r="F401" t="str">
        <f>_xlfn.XLOOKUP(A401,'[1]Tissue Data'!$A:$A,'[1]Tissue Data'!$I:$I)</f>
        <v>gibbosus</v>
      </c>
      <c r="G401" t="str">
        <f>_xlfn.XLOOKUP(A401,'[1]Tissue Data'!$A:$A,'[1]Tissue Data'!J:J)</f>
        <v>U</v>
      </c>
      <c r="H401" t="str">
        <f>_xlfn.XLOOKUP(A401,'[1]Tissue Data'!$A:$A,'[1]Tissue Data'!K:K)</f>
        <v>Whole Body</v>
      </c>
      <c r="I401">
        <f>_xlfn.XLOOKUP(A401,'[1]Tissue Data'!$A:$A,'[1]Tissue Data'!L:L)</f>
        <v>7</v>
      </c>
      <c r="J401">
        <f>_xlfn.XLOOKUP(A401,'[1]Tissue Data'!$A:$A,'[1]Tissue Data'!M:M)</f>
        <v>16.059999999999999</v>
      </c>
      <c r="K401" t="s">
        <v>61</v>
      </c>
      <c r="L401" t="str">
        <f>_xlfn.XLOOKUP(K401,[2]analyte_order!$B:$B,[2]analyte_order!$C:$C)</f>
        <v>2965-52-8</v>
      </c>
      <c r="M401">
        <f>_xlfn.XLOOKUP(L401,[2]analyte_order!$C:$C,[2]analyte_order!$E:$E)</f>
        <v>57</v>
      </c>
      <c r="N401">
        <v>0.13446884805020171</v>
      </c>
    </row>
    <row r="402" spans="1:14">
      <c r="A402" t="s">
        <v>236</v>
      </c>
      <c r="B402" t="str">
        <f>_xlfn.XLOOKUP(A402,'[1]Tissue Data'!$A:$A,'[1]Tissue Data'!$C:$C)</f>
        <v>Down</v>
      </c>
      <c r="C402" s="2">
        <f>_xlfn.XLOOKUP(A402,'[1]Tissue Data'!$A:$A,'[1]Tissue Data'!$D:$D)</f>
        <v>44314</v>
      </c>
      <c r="D402" s="2" t="str">
        <f>_xlfn.XLOOKUP(A402,'[1]Tissue Data'!$A:$A,'[1]Tissue Data'!$F:$F)</f>
        <v>Pumpkinseed</v>
      </c>
      <c r="E402" t="str">
        <f>_xlfn.XLOOKUP(A402,'[1]Tissue Data'!$A:$A,'[1]Tissue Data'!$H:$H)</f>
        <v>Lepomis</v>
      </c>
      <c r="F402" t="str">
        <f>_xlfn.XLOOKUP(A402,'[1]Tissue Data'!$A:$A,'[1]Tissue Data'!$I:$I)</f>
        <v>gibbosus</v>
      </c>
      <c r="G402" t="str">
        <f>_xlfn.XLOOKUP(A402,'[1]Tissue Data'!$A:$A,'[1]Tissue Data'!J:J)</f>
        <v>U</v>
      </c>
      <c r="H402" t="str">
        <f>_xlfn.XLOOKUP(A402,'[1]Tissue Data'!$A:$A,'[1]Tissue Data'!K:K)</f>
        <v>Whole Body</v>
      </c>
      <c r="I402">
        <f>_xlfn.XLOOKUP(A402,'[1]Tissue Data'!$A:$A,'[1]Tissue Data'!L:L)</f>
        <v>8.5</v>
      </c>
      <c r="J402">
        <f>_xlfn.XLOOKUP(A402,'[1]Tissue Data'!$A:$A,'[1]Tissue Data'!M:M)</f>
        <v>14.62</v>
      </c>
      <c r="K402" t="s">
        <v>12</v>
      </c>
      <c r="L402" t="str">
        <f>_xlfn.XLOOKUP(K402,[2]analyte_order!$B:$B,[2]analyte_order!$C:$C)</f>
        <v>375-22-4</v>
      </c>
      <c r="M402">
        <f>_xlfn.XLOOKUP(L402,[2]analyte_order!$C:$C,[2]analyte_order!$E:$E)</f>
        <v>1</v>
      </c>
      <c r="N402">
        <v>2.8397258717958423E-2</v>
      </c>
    </row>
    <row r="403" spans="1:14">
      <c r="A403" t="s">
        <v>236</v>
      </c>
      <c r="B403" t="str">
        <f>_xlfn.XLOOKUP(A403,'[1]Tissue Data'!$A:$A,'[1]Tissue Data'!$C:$C)</f>
        <v>Down</v>
      </c>
      <c r="C403" s="2">
        <f>_xlfn.XLOOKUP(A403,'[1]Tissue Data'!$A:$A,'[1]Tissue Data'!$D:$D)</f>
        <v>44314</v>
      </c>
      <c r="D403" s="2" t="str">
        <f>_xlfn.XLOOKUP(A403,'[1]Tissue Data'!$A:$A,'[1]Tissue Data'!$F:$F)</f>
        <v>Pumpkinseed</v>
      </c>
      <c r="E403" t="str">
        <f>_xlfn.XLOOKUP(A403,'[1]Tissue Data'!$A:$A,'[1]Tissue Data'!$H:$H)</f>
        <v>Lepomis</v>
      </c>
      <c r="F403" t="str">
        <f>_xlfn.XLOOKUP(A403,'[1]Tissue Data'!$A:$A,'[1]Tissue Data'!$I:$I)</f>
        <v>gibbosus</v>
      </c>
      <c r="G403" t="str">
        <f>_xlfn.XLOOKUP(A403,'[1]Tissue Data'!$A:$A,'[1]Tissue Data'!J:J)</f>
        <v>U</v>
      </c>
      <c r="H403" t="str">
        <f>_xlfn.XLOOKUP(A403,'[1]Tissue Data'!$A:$A,'[1]Tissue Data'!K:K)</f>
        <v>Whole Body</v>
      </c>
      <c r="I403">
        <f>_xlfn.XLOOKUP(A403,'[1]Tissue Data'!$A:$A,'[1]Tissue Data'!L:L)</f>
        <v>8.5</v>
      </c>
      <c r="J403">
        <f>_xlfn.XLOOKUP(A403,'[1]Tissue Data'!$A:$A,'[1]Tissue Data'!M:M)</f>
        <v>14.62</v>
      </c>
      <c r="K403" t="s">
        <v>13</v>
      </c>
      <c r="L403" t="str">
        <f>_xlfn.XLOOKUP(K403,[2]analyte_order!$B:$B,[2]analyte_order!$C:$C)</f>
        <v>2706-90-3</v>
      </c>
      <c r="M403">
        <f>_xlfn.XLOOKUP(L403,[2]analyte_order!$C:$C,[2]analyte_order!$E:$E)</f>
        <v>2</v>
      </c>
      <c r="N403">
        <v>5.0159589763119537E-2</v>
      </c>
    </row>
    <row r="404" spans="1:14">
      <c r="A404" t="s">
        <v>236</v>
      </c>
      <c r="B404" t="str">
        <f>_xlfn.XLOOKUP(A404,'[1]Tissue Data'!$A:$A,'[1]Tissue Data'!$C:$C)</f>
        <v>Down</v>
      </c>
      <c r="C404" s="2">
        <f>_xlfn.XLOOKUP(A404,'[1]Tissue Data'!$A:$A,'[1]Tissue Data'!$D:$D)</f>
        <v>44314</v>
      </c>
      <c r="D404" s="2" t="str">
        <f>_xlfn.XLOOKUP(A404,'[1]Tissue Data'!$A:$A,'[1]Tissue Data'!$F:$F)</f>
        <v>Pumpkinseed</v>
      </c>
      <c r="E404" t="str">
        <f>_xlfn.XLOOKUP(A404,'[1]Tissue Data'!$A:$A,'[1]Tissue Data'!$H:$H)</f>
        <v>Lepomis</v>
      </c>
      <c r="F404" t="str">
        <f>_xlfn.XLOOKUP(A404,'[1]Tissue Data'!$A:$A,'[1]Tissue Data'!$I:$I)</f>
        <v>gibbosus</v>
      </c>
      <c r="G404" t="str">
        <f>_xlfn.XLOOKUP(A404,'[1]Tissue Data'!$A:$A,'[1]Tissue Data'!J:J)</f>
        <v>U</v>
      </c>
      <c r="H404" t="str">
        <f>_xlfn.XLOOKUP(A404,'[1]Tissue Data'!$A:$A,'[1]Tissue Data'!K:K)</f>
        <v>Whole Body</v>
      </c>
      <c r="I404">
        <f>_xlfn.XLOOKUP(A404,'[1]Tissue Data'!$A:$A,'[1]Tissue Data'!L:L)</f>
        <v>8.5</v>
      </c>
      <c r="J404">
        <f>_xlfn.XLOOKUP(A404,'[1]Tissue Data'!$A:$A,'[1]Tissue Data'!M:M)</f>
        <v>14.62</v>
      </c>
      <c r="K404" t="s">
        <v>14</v>
      </c>
      <c r="L404" t="str">
        <f>_xlfn.XLOOKUP(K404,[2]analyte_order!$B:$B,[2]analyte_order!$C:$C)</f>
        <v>307-24-4</v>
      </c>
      <c r="M404">
        <f>_xlfn.XLOOKUP(L404,[2]analyte_order!$C:$C,[2]analyte_order!$E:$E)</f>
        <v>3</v>
      </c>
      <c r="N404">
        <v>3.8314380866982509E-2</v>
      </c>
    </row>
    <row r="405" spans="1:14">
      <c r="A405" t="s">
        <v>236</v>
      </c>
      <c r="B405" t="str">
        <f>_xlfn.XLOOKUP(A405,'[1]Tissue Data'!$A:$A,'[1]Tissue Data'!$C:$C)</f>
        <v>Down</v>
      </c>
      <c r="C405" s="2">
        <f>_xlfn.XLOOKUP(A405,'[1]Tissue Data'!$A:$A,'[1]Tissue Data'!$D:$D)</f>
        <v>44314</v>
      </c>
      <c r="D405" s="2" t="str">
        <f>_xlfn.XLOOKUP(A405,'[1]Tissue Data'!$A:$A,'[1]Tissue Data'!$F:$F)</f>
        <v>Pumpkinseed</v>
      </c>
      <c r="E405" t="str">
        <f>_xlfn.XLOOKUP(A405,'[1]Tissue Data'!$A:$A,'[1]Tissue Data'!$H:$H)</f>
        <v>Lepomis</v>
      </c>
      <c r="F405" t="str">
        <f>_xlfn.XLOOKUP(A405,'[1]Tissue Data'!$A:$A,'[1]Tissue Data'!$I:$I)</f>
        <v>gibbosus</v>
      </c>
      <c r="G405" t="str">
        <f>_xlfn.XLOOKUP(A405,'[1]Tissue Data'!$A:$A,'[1]Tissue Data'!J:J)</f>
        <v>U</v>
      </c>
      <c r="H405" t="str">
        <f>_xlfn.XLOOKUP(A405,'[1]Tissue Data'!$A:$A,'[1]Tissue Data'!K:K)</f>
        <v>Whole Body</v>
      </c>
      <c r="I405">
        <f>_xlfn.XLOOKUP(A405,'[1]Tissue Data'!$A:$A,'[1]Tissue Data'!L:L)</f>
        <v>8.5</v>
      </c>
      <c r="J405">
        <f>_xlfn.XLOOKUP(A405,'[1]Tissue Data'!$A:$A,'[1]Tissue Data'!M:M)</f>
        <v>14.62</v>
      </c>
      <c r="K405" t="s">
        <v>15</v>
      </c>
      <c r="L405" t="str">
        <f>_xlfn.XLOOKUP(K405,[2]analyte_order!$B:$B,[2]analyte_order!$C:$C)</f>
        <v>375-85-9</v>
      </c>
      <c r="M405">
        <f>_xlfn.XLOOKUP(L405,[2]analyte_order!$C:$C,[2]analyte_order!$E:$E)</f>
        <v>4</v>
      </c>
      <c r="N405">
        <v>8.9766606822262118E-2</v>
      </c>
    </row>
    <row r="406" spans="1:14">
      <c r="A406" t="s">
        <v>236</v>
      </c>
      <c r="B406" t="str">
        <f>_xlfn.XLOOKUP(A406,'[1]Tissue Data'!$A:$A,'[1]Tissue Data'!$C:$C)</f>
        <v>Down</v>
      </c>
      <c r="C406" s="2">
        <f>_xlfn.XLOOKUP(A406,'[1]Tissue Data'!$A:$A,'[1]Tissue Data'!$D:$D)</f>
        <v>44314</v>
      </c>
      <c r="D406" s="2" t="str">
        <f>_xlfn.XLOOKUP(A406,'[1]Tissue Data'!$A:$A,'[1]Tissue Data'!$F:$F)</f>
        <v>Pumpkinseed</v>
      </c>
      <c r="E406" t="str">
        <f>_xlfn.XLOOKUP(A406,'[1]Tissue Data'!$A:$A,'[1]Tissue Data'!$H:$H)</f>
        <v>Lepomis</v>
      </c>
      <c r="F406" t="str">
        <f>_xlfn.XLOOKUP(A406,'[1]Tissue Data'!$A:$A,'[1]Tissue Data'!$I:$I)</f>
        <v>gibbosus</v>
      </c>
      <c r="G406" t="str">
        <f>_xlfn.XLOOKUP(A406,'[1]Tissue Data'!$A:$A,'[1]Tissue Data'!J:J)</f>
        <v>U</v>
      </c>
      <c r="H406" t="str">
        <f>_xlfn.XLOOKUP(A406,'[1]Tissue Data'!$A:$A,'[1]Tissue Data'!K:K)</f>
        <v>Whole Body</v>
      </c>
      <c r="I406">
        <f>_xlfn.XLOOKUP(A406,'[1]Tissue Data'!$A:$A,'[1]Tissue Data'!L:L)</f>
        <v>8.5</v>
      </c>
      <c r="J406">
        <f>_xlfn.XLOOKUP(A406,'[1]Tissue Data'!$A:$A,'[1]Tissue Data'!M:M)</f>
        <v>14.62</v>
      </c>
      <c r="K406" t="s">
        <v>16</v>
      </c>
      <c r="L406" t="str">
        <f>_xlfn.XLOOKUP(K406,[2]analyte_order!$B:$B,[2]analyte_order!$C:$C)</f>
        <v>335-67-1</v>
      </c>
      <c r="M406">
        <f>_xlfn.XLOOKUP(L406,[2]analyte_order!$C:$C,[2]analyte_order!$E:$E)</f>
        <v>5</v>
      </c>
      <c r="N406">
        <v>0.28499999999999998</v>
      </c>
    </row>
    <row r="407" spans="1:14">
      <c r="A407" t="s">
        <v>236</v>
      </c>
      <c r="B407" t="str">
        <f>_xlfn.XLOOKUP(A407,'[1]Tissue Data'!$A:$A,'[1]Tissue Data'!$C:$C)</f>
        <v>Down</v>
      </c>
      <c r="C407" s="2">
        <f>_xlfn.XLOOKUP(A407,'[1]Tissue Data'!$A:$A,'[1]Tissue Data'!$D:$D)</f>
        <v>44314</v>
      </c>
      <c r="D407" s="2" t="str">
        <f>_xlfn.XLOOKUP(A407,'[1]Tissue Data'!$A:$A,'[1]Tissue Data'!$F:$F)</f>
        <v>Pumpkinseed</v>
      </c>
      <c r="E407" t="str">
        <f>_xlfn.XLOOKUP(A407,'[1]Tissue Data'!$A:$A,'[1]Tissue Data'!$H:$H)</f>
        <v>Lepomis</v>
      </c>
      <c r="F407" t="str">
        <f>_xlfn.XLOOKUP(A407,'[1]Tissue Data'!$A:$A,'[1]Tissue Data'!$I:$I)</f>
        <v>gibbosus</v>
      </c>
      <c r="G407" t="str">
        <f>_xlfn.XLOOKUP(A407,'[1]Tissue Data'!$A:$A,'[1]Tissue Data'!J:J)</f>
        <v>U</v>
      </c>
      <c r="H407" t="str">
        <f>_xlfn.XLOOKUP(A407,'[1]Tissue Data'!$A:$A,'[1]Tissue Data'!K:K)</f>
        <v>Whole Body</v>
      </c>
      <c r="I407">
        <f>_xlfn.XLOOKUP(A407,'[1]Tissue Data'!$A:$A,'[1]Tissue Data'!L:L)</f>
        <v>8.5</v>
      </c>
      <c r="J407">
        <f>_xlfn.XLOOKUP(A407,'[1]Tissue Data'!$A:$A,'[1]Tissue Data'!M:M)</f>
        <v>14.62</v>
      </c>
      <c r="K407" t="s">
        <v>17</v>
      </c>
      <c r="L407" t="str">
        <f>_xlfn.XLOOKUP(K407,[2]analyte_order!$B:$B,[2]analyte_order!$C:$C)</f>
        <v>375-95-1</v>
      </c>
      <c r="M407">
        <f>_xlfn.XLOOKUP(L407,[2]analyte_order!$C:$C,[2]analyte_order!$E:$E)</f>
        <v>6</v>
      </c>
      <c r="N407">
        <v>0.34599999999999997</v>
      </c>
    </row>
    <row r="408" spans="1:14">
      <c r="A408" t="s">
        <v>236</v>
      </c>
      <c r="B408" t="str">
        <f>_xlfn.XLOOKUP(A408,'[1]Tissue Data'!$A:$A,'[1]Tissue Data'!$C:$C)</f>
        <v>Down</v>
      </c>
      <c r="C408" s="2">
        <f>_xlfn.XLOOKUP(A408,'[1]Tissue Data'!$A:$A,'[1]Tissue Data'!$D:$D)</f>
        <v>44314</v>
      </c>
      <c r="D408" s="2" t="str">
        <f>_xlfn.XLOOKUP(A408,'[1]Tissue Data'!$A:$A,'[1]Tissue Data'!$F:$F)</f>
        <v>Pumpkinseed</v>
      </c>
      <c r="E408" t="str">
        <f>_xlfn.XLOOKUP(A408,'[1]Tissue Data'!$A:$A,'[1]Tissue Data'!$H:$H)</f>
        <v>Lepomis</v>
      </c>
      <c r="F408" t="str">
        <f>_xlfn.XLOOKUP(A408,'[1]Tissue Data'!$A:$A,'[1]Tissue Data'!$I:$I)</f>
        <v>gibbosus</v>
      </c>
      <c r="G408" t="str">
        <f>_xlfn.XLOOKUP(A408,'[1]Tissue Data'!$A:$A,'[1]Tissue Data'!J:J)</f>
        <v>U</v>
      </c>
      <c r="H408" t="str">
        <f>_xlfn.XLOOKUP(A408,'[1]Tissue Data'!$A:$A,'[1]Tissue Data'!K:K)</f>
        <v>Whole Body</v>
      </c>
      <c r="I408">
        <f>_xlfn.XLOOKUP(A408,'[1]Tissue Data'!$A:$A,'[1]Tissue Data'!L:L)</f>
        <v>8.5</v>
      </c>
      <c r="J408">
        <f>_xlfn.XLOOKUP(A408,'[1]Tissue Data'!$A:$A,'[1]Tissue Data'!M:M)</f>
        <v>14.62</v>
      </c>
      <c r="K408" t="s">
        <v>18</v>
      </c>
      <c r="L408" t="str">
        <f>_xlfn.XLOOKUP(K408,[2]analyte_order!$B:$B,[2]analyte_order!$C:$C)</f>
        <v>335-76-2</v>
      </c>
      <c r="M408">
        <f>_xlfn.XLOOKUP(L408,[2]analyte_order!$C:$C,[2]analyte_order!$E:$E)</f>
        <v>7</v>
      </c>
      <c r="N408">
        <v>3.5</v>
      </c>
    </row>
    <row r="409" spans="1:14">
      <c r="A409" t="s">
        <v>236</v>
      </c>
      <c r="B409" t="str">
        <f>_xlfn.XLOOKUP(A409,'[1]Tissue Data'!$A:$A,'[1]Tissue Data'!$C:$C)</f>
        <v>Down</v>
      </c>
      <c r="C409" s="2">
        <f>_xlfn.XLOOKUP(A409,'[1]Tissue Data'!$A:$A,'[1]Tissue Data'!$D:$D)</f>
        <v>44314</v>
      </c>
      <c r="D409" s="2" t="str">
        <f>_xlfn.XLOOKUP(A409,'[1]Tissue Data'!$A:$A,'[1]Tissue Data'!$F:$F)</f>
        <v>Pumpkinseed</v>
      </c>
      <c r="E409" t="str">
        <f>_xlfn.XLOOKUP(A409,'[1]Tissue Data'!$A:$A,'[1]Tissue Data'!$H:$H)</f>
        <v>Lepomis</v>
      </c>
      <c r="F409" t="str">
        <f>_xlfn.XLOOKUP(A409,'[1]Tissue Data'!$A:$A,'[1]Tissue Data'!$I:$I)</f>
        <v>gibbosus</v>
      </c>
      <c r="G409" t="str">
        <f>_xlfn.XLOOKUP(A409,'[1]Tissue Data'!$A:$A,'[1]Tissue Data'!J:J)</f>
        <v>U</v>
      </c>
      <c r="H409" t="str">
        <f>_xlfn.XLOOKUP(A409,'[1]Tissue Data'!$A:$A,'[1]Tissue Data'!K:K)</f>
        <v>Whole Body</v>
      </c>
      <c r="I409">
        <f>_xlfn.XLOOKUP(A409,'[1]Tissue Data'!$A:$A,'[1]Tissue Data'!L:L)</f>
        <v>8.5</v>
      </c>
      <c r="J409">
        <f>_xlfn.XLOOKUP(A409,'[1]Tissue Data'!$A:$A,'[1]Tissue Data'!M:M)</f>
        <v>14.62</v>
      </c>
      <c r="K409" t="s">
        <v>19</v>
      </c>
      <c r="L409" t="str">
        <f>_xlfn.XLOOKUP(K409,[2]analyte_order!$B:$B,[2]analyte_order!$C:$C)</f>
        <v>2058-94-8</v>
      </c>
      <c r="M409">
        <f>_xlfn.XLOOKUP(L409,[2]analyte_order!$C:$C,[2]analyte_order!$E:$E)</f>
        <v>8</v>
      </c>
      <c r="N409">
        <v>6.01</v>
      </c>
    </row>
    <row r="410" spans="1:14">
      <c r="A410" t="s">
        <v>236</v>
      </c>
      <c r="B410" t="str">
        <f>_xlfn.XLOOKUP(A410,'[1]Tissue Data'!$A:$A,'[1]Tissue Data'!$C:$C)</f>
        <v>Down</v>
      </c>
      <c r="C410" s="2">
        <f>_xlfn.XLOOKUP(A410,'[1]Tissue Data'!$A:$A,'[1]Tissue Data'!$D:$D)</f>
        <v>44314</v>
      </c>
      <c r="D410" s="2" t="str">
        <f>_xlfn.XLOOKUP(A410,'[1]Tissue Data'!$A:$A,'[1]Tissue Data'!$F:$F)</f>
        <v>Pumpkinseed</v>
      </c>
      <c r="E410" t="str">
        <f>_xlfn.XLOOKUP(A410,'[1]Tissue Data'!$A:$A,'[1]Tissue Data'!$H:$H)</f>
        <v>Lepomis</v>
      </c>
      <c r="F410" t="str">
        <f>_xlfn.XLOOKUP(A410,'[1]Tissue Data'!$A:$A,'[1]Tissue Data'!$I:$I)</f>
        <v>gibbosus</v>
      </c>
      <c r="G410" t="str">
        <f>_xlfn.XLOOKUP(A410,'[1]Tissue Data'!$A:$A,'[1]Tissue Data'!J:J)</f>
        <v>U</v>
      </c>
      <c r="H410" t="str">
        <f>_xlfn.XLOOKUP(A410,'[1]Tissue Data'!$A:$A,'[1]Tissue Data'!K:K)</f>
        <v>Whole Body</v>
      </c>
      <c r="I410">
        <f>_xlfn.XLOOKUP(A410,'[1]Tissue Data'!$A:$A,'[1]Tissue Data'!L:L)</f>
        <v>8.5</v>
      </c>
      <c r="J410">
        <f>_xlfn.XLOOKUP(A410,'[1]Tissue Data'!$A:$A,'[1]Tissue Data'!M:M)</f>
        <v>14.62</v>
      </c>
      <c r="K410" t="s">
        <v>20</v>
      </c>
      <c r="L410" t="str">
        <f>_xlfn.XLOOKUP(K410,[2]analyte_order!$B:$B,[2]analyte_order!$C:$C)</f>
        <v>307-55-1</v>
      </c>
      <c r="M410">
        <f>_xlfn.XLOOKUP(L410,[2]analyte_order!$C:$C,[2]analyte_order!$E:$E)</f>
        <v>9</v>
      </c>
      <c r="N410">
        <v>5.6683758771865878E-2</v>
      </c>
    </row>
    <row r="411" spans="1:14">
      <c r="A411" t="s">
        <v>236</v>
      </c>
      <c r="B411" t="str">
        <f>_xlfn.XLOOKUP(A411,'[1]Tissue Data'!$A:$A,'[1]Tissue Data'!$C:$C)</f>
        <v>Down</v>
      </c>
      <c r="C411" s="2">
        <f>_xlfn.XLOOKUP(A411,'[1]Tissue Data'!$A:$A,'[1]Tissue Data'!$D:$D)</f>
        <v>44314</v>
      </c>
      <c r="D411" s="2" t="str">
        <f>_xlfn.XLOOKUP(A411,'[1]Tissue Data'!$A:$A,'[1]Tissue Data'!$F:$F)</f>
        <v>Pumpkinseed</v>
      </c>
      <c r="E411" t="str">
        <f>_xlfn.XLOOKUP(A411,'[1]Tissue Data'!$A:$A,'[1]Tissue Data'!$H:$H)</f>
        <v>Lepomis</v>
      </c>
      <c r="F411" t="str">
        <f>_xlfn.XLOOKUP(A411,'[1]Tissue Data'!$A:$A,'[1]Tissue Data'!$I:$I)</f>
        <v>gibbosus</v>
      </c>
      <c r="G411" t="str">
        <f>_xlfn.XLOOKUP(A411,'[1]Tissue Data'!$A:$A,'[1]Tissue Data'!J:J)</f>
        <v>U</v>
      </c>
      <c r="H411" t="str">
        <f>_xlfn.XLOOKUP(A411,'[1]Tissue Data'!$A:$A,'[1]Tissue Data'!K:K)</f>
        <v>Whole Body</v>
      </c>
      <c r="I411">
        <f>_xlfn.XLOOKUP(A411,'[1]Tissue Data'!$A:$A,'[1]Tissue Data'!L:L)</f>
        <v>8.5</v>
      </c>
      <c r="J411">
        <f>_xlfn.XLOOKUP(A411,'[1]Tissue Data'!$A:$A,'[1]Tissue Data'!M:M)</f>
        <v>14.62</v>
      </c>
      <c r="K411" t="s">
        <v>21</v>
      </c>
      <c r="L411" t="str">
        <f>_xlfn.XLOOKUP(K411,[2]analyte_order!$B:$B,[2]analyte_order!$C:$C)</f>
        <v>72629-94-8</v>
      </c>
      <c r="M411">
        <f>_xlfn.XLOOKUP(L411,[2]analyte_order!$C:$C,[2]analyte_order!$E:$E)</f>
        <v>10</v>
      </c>
      <c r="N411">
        <v>1.19</v>
      </c>
    </row>
    <row r="412" spans="1:14">
      <c r="A412" t="s">
        <v>236</v>
      </c>
      <c r="B412" t="str">
        <f>_xlfn.XLOOKUP(A412,'[1]Tissue Data'!$A:$A,'[1]Tissue Data'!$C:$C)</f>
        <v>Down</v>
      </c>
      <c r="C412" s="2">
        <f>_xlfn.XLOOKUP(A412,'[1]Tissue Data'!$A:$A,'[1]Tissue Data'!$D:$D)</f>
        <v>44314</v>
      </c>
      <c r="D412" s="2" t="str">
        <f>_xlfn.XLOOKUP(A412,'[1]Tissue Data'!$A:$A,'[1]Tissue Data'!$F:$F)</f>
        <v>Pumpkinseed</v>
      </c>
      <c r="E412" t="str">
        <f>_xlfn.XLOOKUP(A412,'[1]Tissue Data'!$A:$A,'[1]Tissue Data'!$H:$H)</f>
        <v>Lepomis</v>
      </c>
      <c r="F412" t="str">
        <f>_xlfn.XLOOKUP(A412,'[1]Tissue Data'!$A:$A,'[1]Tissue Data'!$I:$I)</f>
        <v>gibbosus</v>
      </c>
      <c r="G412" t="str">
        <f>_xlfn.XLOOKUP(A412,'[1]Tissue Data'!$A:$A,'[1]Tissue Data'!J:J)</f>
        <v>U</v>
      </c>
      <c r="H412" t="str">
        <f>_xlfn.XLOOKUP(A412,'[1]Tissue Data'!$A:$A,'[1]Tissue Data'!K:K)</f>
        <v>Whole Body</v>
      </c>
      <c r="I412">
        <f>_xlfn.XLOOKUP(A412,'[1]Tissue Data'!$A:$A,'[1]Tissue Data'!L:L)</f>
        <v>8.5</v>
      </c>
      <c r="J412">
        <f>_xlfn.XLOOKUP(A412,'[1]Tissue Data'!$A:$A,'[1]Tissue Data'!M:M)</f>
        <v>14.62</v>
      </c>
      <c r="K412" t="s">
        <v>22</v>
      </c>
      <c r="L412" t="str">
        <f>_xlfn.XLOOKUP(K412,[2]analyte_order!$B:$B,[2]analyte_order!$C:$C)</f>
        <v>376-06-7</v>
      </c>
      <c r="M412">
        <f>_xlfn.XLOOKUP(L412,[2]analyte_order!$C:$C,[2]analyte_order!$E:$E)</f>
        <v>11</v>
      </c>
      <c r="N412">
        <v>6.42</v>
      </c>
    </row>
    <row r="413" spans="1:14">
      <c r="A413" t="s">
        <v>236</v>
      </c>
      <c r="B413" t="str">
        <f>_xlfn.XLOOKUP(A413,'[1]Tissue Data'!$A:$A,'[1]Tissue Data'!$C:$C)</f>
        <v>Down</v>
      </c>
      <c r="C413" s="2">
        <f>_xlfn.XLOOKUP(A413,'[1]Tissue Data'!$A:$A,'[1]Tissue Data'!$D:$D)</f>
        <v>44314</v>
      </c>
      <c r="D413" s="2" t="str">
        <f>_xlfn.XLOOKUP(A413,'[1]Tissue Data'!$A:$A,'[1]Tissue Data'!$F:$F)</f>
        <v>Pumpkinseed</v>
      </c>
      <c r="E413" t="str">
        <f>_xlfn.XLOOKUP(A413,'[1]Tissue Data'!$A:$A,'[1]Tissue Data'!$H:$H)</f>
        <v>Lepomis</v>
      </c>
      <c r="F413" t="str">
        <f>_xlfn.XLOOKUP(A413,'[1]Tissue Data'!$A:$A,'[1]Tissue Data'!$I:$I)</f>
        <v>gibbosus</v>
      </c>
      <c r="G413" t="str">
        <f>_xlfn.XLOOKUP(A413,'[1]Tissue Data'!$A:$A,'[1]Tissue Data'!J:J)</f>
        <v>U</v>
      </c>
      <c r="H413" t="str">
        <f>_xlfn.XLOOKUP(A413,'[1]Tissue Data'!$A:$A,'[1]Tissue Data'!K:K)</f>
        <v>Whole Body</v>
      </c>
      <c r="I413">
        <f>_xlfn.XLOOKUP(A413,'[1]Tissue Data'!$A:$A,'[1]Tissue Data'!L:L)</f>
        <v>8.5</v>
      </c>
      <c r="J413">
        <f>_xlfn.XLOOKUP(A413,'[1]Tissue Data'!$A:$A,'[1]Tissue Data'!M:M)</f>
        <v>14.62</v>
      </c>
      <c r="K413" t="s">
        <v>23</v>
      </c>
      <c r="L413" t="str">
        <f>_xlfn.XLOOKUP(K413,[2]analyte_order!$B:$B,[2]analyte_order!$C:$C)</f>
        <v>67905-19-5</v>
      </c>
      <c r="M413">
        <f>_xlfn.XLOOKUP(L413,[2]analyte_order!$C:$C,[2]analyte_order!$E:$E)</f>
        <v>12</v>
      </c>
      <c r="N413">
        <v>8.4609642397959178E-2</v>
      </c>
    </row>
    <row r="414" spans="1:14">
      <c r="A414" t="s">
        <v>236</v>
      </c>
      <c r="B414" t="str">
        <f>_xlfn.XLOOKUP(A414,'[1]Tissue Data'!$A:$A,'[1]Tissue Data'!$C:$C)</f>
        <v>Down</v>
      </c>
      <c r="C414" s="2">
        <f>_xlfn.XLOOKUP(A414,'[1]Tissue Data'!$A:$A,'[1]Tissue Data'!$D:$D)</f>
        <v>44314</v>
      </c>
      <c r="D414" s="2" t="str">
        <f>_xlfn.XLOOKUP(A414,'[1]Tissue Data'!$A:$A,'[1]Tissue Data'!$F:$F)</f>
        <v>Pumpkinseed</v>
      </c>
      <c r="E414" t="str">
        <f>_xlfn.XLOOKUP(A414,'[1]Tissue Data'!$A:$A,'[1]Tissue Data'!$H:$H)</f>
        <v>Lepomis</v>
      </c>
      <c r="F414" t="str">
        <f>_xlfn.XLOOKUP(A414,'[1]Tissue Data'!$A:$A,'[1]Tissue Data'!$I:$I)</f>
        <v>gibbosus</v>
      </c>
      <c r="G414" t="str">
        <f>_xlfn.XLOOKUP(A414,'[1]Tissue Data'!$A:$A,'[1]Tissue Data'!J:J)</f>
        <v>U</v>
      </c>
      <c r="H414" t="str">
        <f>_xlfn.XLOOKUP(A414,'[1]Tissue Data'!$A:$A,'[1]Tissue Data'!K:K)</f>
        <v>Whole Body</v>
      </c>
      <c r="I414">
        <f>_xlfn.XLOOKUP(A414,'[1]Tissue Data'!$A:$A,'[1]Tissue Data'!L:L)</f>
        <v>8.5</v>
      </c>
      <c r="J414">
        <f>_xlfn.XLOOKUP(A414,'[1]Tissue Data'!$A:$A,'[1]Tissue Data'!M:M)</f>
        <v>14.62</v>
      </c>
      <c r="K414" t="s">
        <v>24</v>
      </c>
      <c r="L414" t="str">
        <f>_xlfn.XLOOKUP(K414,[2]analyte_order!$B:$B,[2]analyte_order!$C:$C)</f>
        <v>423-41-6</v>
      </c>
      <c r="M414">
        <f>_xlfn.XLOOKUP(L414,[2]analyte_order!$C:$C,[2]analyte_order!$E:$E)</f>
        <v>53</v>
      </c>
      <c r="N414">
        <v>5.4164451155247817E-2</v>
      </c>
    </row>
    <row r="415" spans="1:14">
      <c r="A415" t="s">
        <v>236</v>
      </c>
      <c r="B415" t="str">
        <f>_xlfn.XLOOKUP(A415,'[1]Tissue Data'!$A:$A,'[1]Tissue Data'!$C:$C)</f>
        <v>Down</v>
      </c>
      <c r="C415" s="2">
        <f>_xlfn.XLOOKUP(A415,'[1]Tissue Data'!$A:$A,'[1]Tissue Data'!$D:$D)</f>
        <v>44314</v>
      </c>
      <c r="D415" s="2" t="str">
        <f>_xlfn.XLOOKUP(A415,'[1]Tissue Data'!$A:$A,'[1]Tissue Data'!$F:$F)</f>
        <v>Pumpkinseed</v>
      </c>
      <c r="E415" t="str">
        <f>_xlfn.XLOOKUP(A415,'[1]Tissue Data'!$A:$A,'[1]Tissue Data'!$H:$H)</f>
        <v>Lepomis</v>
      </c>
      <c r="F415" t="str">
        <f>_xlfn.XLOOKUP(A415,'[1]Tissue Data'!$A:$A,'[1]Tissue Data'!$I:$I)</f>
        <v>gibbosus</v>
      </c>
      <c r="G415" t="str">
        <f>_xlfn.XLOOKUP(A415,'[1]Tissue Data'!$A:$A,'[1]Tissue Data'!J:J)</f>
        <v>U</v>
      </c>
      <c r="H415" t="str">
        <f>_xlfn.XLOOKUP(A415,'[1]Tissue Data'!$A:$A,'[1]Tissue Data'!K:K)</f>
        <v>Whole Body</v>
      </c>
      <c r="I415">
        <f>_xlfn.XLOOKUP(A415,'[1]Tissue Data'!$A:$A,'[1]Tissue Data'!L:L)</f>
        <v>8.5</v>
      </c>
      <c r="J415">
        <f>_xlfn.XLOOKUP(A415,'[1]Tissue Data'!$A:$A,'[1]Tissue Data'!M:M)</f>
        <v>14.62</v>
      </c>
      <c r="K415" t="s">
        <v>25</v>
      </c>
      <c r="L415" t="str">
        <f>_xlfn.XLOOKUP(K415,[2]analyte_order!$B:$B,[2]analyte_order!$C:$C)</f>
        <v>375-73-5</v>
      </c>
      <c r="M415">
        <f>_xlfn.XLOOKUP(L415,[2]analyte_order!$C:$C,[2]analyte_order!$E:$E)</f>
        <v>14</v>
      </c>
      <c r="N415">
        <v>0.15273997293312386</v>
      </c>
    </row>
    <row r="416" spans="1:14">
      <c r="A416" t="s">
        <v>236</v>
      </c>
      <c r="B416" t="str">
        <f>_xlfn.XLOOKUP(A416,'[1]Tissue Data'!$A:$A,'[1]Tissue Data'!$C:$C)</f>
        <v>Down</v>
      </c>
      <c r="C416" s="2">
        <f>_xlfn.XLOOKUP(A416,'[1]Tissue Data'!$A:$A,'[1]Tissue Data'!$D:$D)</f>
        <v>44314</v>
      </c>
      <c r="D416" s="2" t="str">
        <f>_xlfn.XLOOKUP(A416,'[1]Tissue Data'!$A:$A,'[1]Tissue Data'!$F:$F)</f>
        <v>Pumpkinseed</v>
      </c>
      <c r="E416" t="str">
        <f>_xlfn.XLOOKUP(A416,'[1]Tissue Data'!$A:$A,'[1]Tissue Data'!$H:$H)</f>
        <v>Lepomis</v>
      </c>
      <c r="F416" t="str">
        <f>_xlfn.XLOOKUP(A416,'[1]Tissue Data'!$A:$A,'[1]Tissue Data'!$I:$I)</f>
        <v>gibbosus</v>
      </c>
      <c r="G416" t="str">
        <f>_xlfn.XLOOKUP(A416,'[1]Tissue Data'!$A:$A,'[1]Tissue Data'!J:J)</f>
        <v>U</v>
      </c>
      <c r="H416" t="str">
        <f>_xlfn.XLOOKUP(A416,'[1]Tissue Data'!$A:$A,'[1]Tissue Data'!K:K)</f>
        <v>Whole Body</v>
      </c>
      <c r="I416">
        <f>_xlfn.XLOOKUP(A416,'[1]Tissue Data'!$A:$A,'[1]Tissue Data'!L:L)</f>
        <v>8.5</v>
      </c>
      <c r="J416">
        <f>_xlfn.XLOOKUP(A416,'[1]Tissue Data'!$A:$A,'[1]Tissue Data'!M:M)</f>
        <v>14.62</v>
      </c>
      <c r="K416" t="s">
        <v>26</v>
      </c>
      <c r="L416" t="str">
        <f>_xlfn.XLOOKUP(K416,[2]analyte_order!$B:$B,[2]analyte_order!$C:$C)</f>
        <v>2706-91-4</v>
      </c>
      <c r="M416">
        <f>_xlfn.XLOOKUP(L416,[2]analyte_order!$C:$C,[2]analyte_order!$E:$E)</f>
        <v>15</v>
      </c>
      <c r="N416">
        <v>0.1188386304131957</v>
      </c>
    </row>
    <row r="417" spans="1:14">
      <c r="A417" t="s">
        <v>236</v>
      </c>
      <c r="B417" t="str">
        <f>_xlfn.XLOOKUP(A417,'[1]Tissue Data'!$A:$A,'[1]Tissue Data'!$C:$C)</f>
        <v>Down</v>
      </c>
      <c r="C417" s="2">
        <f>_xlfn.XLOOKUP(A417,'[1]Tissue Data'!$A:$A,'[1]Tissue Data'!$D:$D)</f>
        <v>44314</v>
      </c>
      <c r="D417" s="2" t="str">
        <f>_xlfn.XLOOKUP(A417,'[1]Tissue Data'!$A:$A,'[1]Tissue Data'!$F:$F)</f>
        <v>Pumpkinseed</v>
      </c>
      <c r="E417" t="str">
        <f>_xlfn.XLOOKUP(A417,'[1]Tissue Data'!$A:$A,'[1]Tissue Data'!$H:$H)</f>
        <v>Lepomis</v>
      </c>
      <c r="F417" t="str">
        <f>_xlfn.XLOOKUP(A417,'[1]Tissue Data'!$A:$A,'[1]Tissue Data'!$I:$I)</f>
        <v>gibbosus</v>
      </c>
      <c r="G417" t="str">
        <f>_xlfn.XLOOKUP(A417,'[1]Tissue Data'!$A:$A,'[1]Tissue Data'!J:J)</f>
        <v>U</v>
      </c>
      <c r="H417" t="str">
        <f>_xlfn.XLOOKUP(A417,'[1]Tissue Data'!$A:$A,'[1]Tissue Data'!K:K)</f>
        <v>Whole Body</v>
      </c>
      <c r="I417">
        <f>_xlfn.XLOOKUP(A417,'[1]Tissue Data'!$A:$A,'[1]Tissue Data'!L:L)</f>
        <v>8.5</v>
      </c>
      <c r="J417">
        <f>_xlfn.XLOOKUP(A417,'[1]Tissue Data'!$A:$A,'[1]Tissue Data'!M:M)</f>
        <v>14.62</v>
      </c>
      <c r="K417" t="s">
        <v>27</v>
      </c>
      <c r="L417" t="str">
        <f>_xlfn.XLOOKUP(K417,[2]analyte_order!$B:$B,[2]analyte_order!$C:$C)</f>
        <v>355-46-4</v>
      </c>
      <c r="M417">
        <f>_xlfn.XLOOKUP(L417,[2]analyte_order!$C:$C,[2]analyte_order!$E:$E)</f>
        <v>16</v>
      </c>
      <c r="N417">
        <v>5.8</v>
      </c>
    </row>
    <row r="418" spans="1:14">
      <c r="A418" t="s">
        <v>236</v>
      </c>
      <c r="B418" t="str">
        <f>_xlfn.XLOOKUP(A418,'[1]Tissue Data'!$A:$A,'[1]Tissue Data'!$C:$C)</f>
        <v>Down</v>
      </c>
      <c r="C418" s="2">
        <f>_xlfn.XLOOKUP(A418,'[1]Tissue Data'!$A:$A,'[1]Tissue Data'!$D:$D)</f>
        <v>44314</v>
      </c>
      <c r="D418" s="2" t="str">
        <f>_xlfn.XLOOKUP(A418,'[1]Tissue Data'!$A:$A,'[1]Tissue Data'!$F:$F)</f>
        <v>Pumpkinseed</v>
      </c>
      <c r="E418" t="str">
        <f>_xlfn.XLOOKUP(A418,'[1]Tissue Data'!$A:$A,'[1]Tissue Data'!$H:$H)</f>
        <v>Lepomis</v>
      </c>
      <c r="F418" t="str">
        <f>_xlfn.XLOOKUP(A418,'[1]Tissue Data'!$A:$A,'[1]Tissue Data'!$I:$I)</f>
        <v>gibbosus</v>
      </c>
      <c r="G418" t="str">
        <f>_xlfn.XLOOKUP(A418,'[1]Tissue Data'!$A:$A,'[1]Tissue Data'!J:J)</f>
        <v>U</v>
      </c>
      <c r="H418" t="str">
        <f>_xlfn.XLOOKUP(A418,'[1]Tissue Data'!$A:$A,'[1]Tissue Data'!K:K)</f>
        <v>Whole Body</v>
      </c>
      <c r="I418">
        <f>_xlfn.XLOOKUP(A418,'[1]Tissue Data'!$A:$A,'[1]Tissue Data'!L:L)</f>
        <v>8.5</v>
      </c>
      <c r="J418">
        <f>_xlfn.XLOOKUP(A418,'[1]Tissue Data'!$A:$A,'[1]Tissue Data'!M:M)</f>
        <v>14.62</v>
      </c>
      <c r="K418" t="s">
        <v>28</v>
      </c>
      <c r="L418" t="str">
        <f>_xlfn.XLOOKUP(K418,[2]analyte_order!$B:$B,[2]analyte_order!$C:$C)</f>
        <v>375-92-8</v>
      </c>
      <c r="M418">
        <f>_xlfn.XLOOKUP(L418,[2]analyte_order!$C:$C,[2]analyte_order!$E:$E)</f>
        <v>17</v>
      </c>
      <c r="N418">
        <v>1.8</v>
      </c>
    </row>
    <row r="419" spans="1:14">
      <c r="A419" t="s">
        <v>236</v>
      </c>
      <c r="B419" t="str">
        <f>_xlfn.XLOOKUP(A419,'[1]Tissue Data'!$A:$A,'[1]Tissue Data'!$C:$C)</f>
        <v>Down</v>
      </c>
      <c r="C419" s="2">
        <f>_xlfn.XLOOKUP(A419,'[1]Tissue Data'!$A:$A,'[1]Tissue Data'!$D:$D)</f>
        <v>44314</v>
      </c>
      <c r="D419" s="2" t="str">
        <f>_xlfn.XLOOKUP(A419,'[1]Tissue Data'!$A:$A,'[1]Tissue Data'!$F:$F)</f>
        <v>Pumpkinseed</v>
      </c>
      <c r="E419" t="str">
        <f>_xlfn.XLOOKUP(A419,'[1]Tissue Data'!$A:$A,'[1]Tissue Data'!$H:$H)</f>
        <v>Lepomis</v>
      </c>
      <c r="F419" t="str">
        <f>_xlfn.XLOOKUP(A419,'[1]Tissue Data'!$A:$A,'[1]Tissue Data'!$I:$I)</f>
        <v>gibbosus</v>
      </c>
      <c r="G419" t="str">
        <f>_xlfn.XLOOKUP(A419,'[1]Tissue Data'!$A:$A,'[1]Tissue Data'!J:J)</f>
        <v>U</v>
      </c>
      <c r="H419" t="str">
        <f>_xlfn.XLOOKUP(A419,'[1]Tissue Data'!$A:$A,'[1]Tissue Data'!K:K)</f>
        <v>Whole Body</v>
      </c>
      <c r="I419">
        <f>_xlfn.XLOOKUP(A419,'[1]Tissue Data'!$A:$A,'[1]Tissue Data'!L:L)</f>
        <v>8.5</v>
      </c>
      <c r="J419">
        <f>_xlfn.XLOOKUP(A419,'[1]Tissue Data'!$A:$A,'[1]Tissue Data'!M:M)</f>
        <v>14.62</v>
      </c>
      <c r="K419" t="s">
        <v>29</v>
      </c>
      <c r="L419" t="str">
        <f>_xlfn.XLOOKUP(K419,[2]analyte_order!$B:$B,[2]analyte_order!$C:$C)</f>
        <v>1763-23-1</v>
      </c>
      <c r="M419">
        <f>_xlfn.XLOOKUP(L419,[2]analyte_order!$C:$C,[2]analyte_order!$E:$E)</f>
        <v>18</v>
      </c>
      <c r="N419">
        <v>879</v>
      </c>
    </row>
    <row r="420" spans="1:14">
      <c r="A420" t="s">
        <v>236</v>
      </c>
      <c r="B420" t="str">
        <f>_xlfn.XLOOKUP(A420,'[1]Tissue Data'!$A:$A,'[1]Tissue Data'!$C:$C)</f>
        <v>Down</v>
      </c>
      <c r="C420" s="2">
        <f>_xlfn.XLOOKUP(A420,'[1]Tissue Data'!$A:$A,'[1]Tissue Data'!$D:$D)</f>
        <v>44314</v>
      </c>
      <c r="D420" s="2" t="str">
        <f>_xlfn.XLOOKUP(A420,'[1]Tissue Data'!$A:$A,'[1]Tissue Data'!$F:$F)</f>
        <v>Pumpkinseed</v>
      </c>
      <c r="E420" t="str">
        <f>_xlfn.XLOOKUP(A420,'[1]Tissue Data'!$A:$A,'[1]Tissue Data'!$H:$H)</f>
        <v>Lepomis</v>
      </c>
      <c r="F420" t="str">
        <f>_xlfn.XLOOKUP(A420,'[1]Tissue Data'!$A:$A,'[1]Tissue Data'!$I:$I)</f>
        <v>gibbosus</v>
      </c>
      <c r="G420" t="str">
        <f>_xlfn.XLOOKUP(A420,'[1]Tissue Data'!$A:$A,'[1]Tissue Data'!J:J)</f>
        <v>U</v>
      </c>
      <c r="H420" t="str">
        <f>_xlfn.XLOOKUP(A420,'[1]Tissue Data'!$A:$A,'[1]Tissue Data'!K:K)</f>
        <v>Whole Body</v>
      </c>
      <c r="I420">
        <f>_xlfn.XLOOKUP(A420,'[1]Tissue Data'!$A:$A,'[1]Tissue Data'!L:L)</f>
        <v>8.5</v>
      </c>
      <c r="J420">
        <f>_xlfn.XLOOKUP(A420,'[1]Tissue Data'!$A:$A,'[1]Tissue Data'!M:M)</f>
        <v>14.62</v>
      </c>
      <c r="K420" t="s">
        <v>30</v>
      </c>
      <c r="L420" t="str">
        <f>_xlfn.XLOOKUP(K420,[2]analyte_order!$B:$B,[2]analyte_order!$C:$C)</f>
        <v>68259-12-1</v>
      </c>
      <c r="M420">
        <f>_xlfn.XLOOKUP(L420,[2]analyte_order!$C:$C,[2]analyte_order!$E:$E)</f>
        <v>19</v>
      </c>
      <c r="N420">
        <v>1.76</v>
      </c>
    </row>
    <row r="421" spans="1:14">
      <c r="A421" t="s">
        <v>236</v>
      </c>
      <c r="B421" t="str">
        <f>_xlfn.XLOOKUP(A421,'[1]Tissue Data'!$A:$A,'[1]Tissue Data'!$C:$C)</f>
        <v>Down</v>
      </c>
      <c r="C421" s="2">
        <f>_xlfn.XLOOKUP(A421,'[1]Tissue Data'!$A:$A,'[1]Tissue Data'!$D:$D)</f>
        <v>44314</v>
      </c>
      <c r="D421" s="2" t="str">
        <f>_xlfn.XLOOKUP(A421,'[1]Tissue Data'!$A:$A,'[1]Tissue Data'!$F:$F)</f>
        <v>Pumpkinseed</v>
      </c>
      <c r="E421" t="str">
        <f>_xlfn.XLOOKUP(A421,'[1]Tissue Data'!$A:$A,'[1]Tissue Data'!$H:$H)</f>
        <v>Lepomis</v>
      </c>
      <c r="F421" t="str">
        <f>_xlfn.XLOOKUP(A421,'[1]Tissue Data'!$A:$A,'[1]Tissue Data'!$I:$I)</f>
        <v>gibbosus</v>
      </c>
      <c r="G421" t="str">
        <f>_xlfn.XLOOKUP(A421,'[1]Tissue Data'!$A:$A,'[1]Tissue Data'!J:J)</f>
        <v>U</v>
      </c>
      <c r="H421" t="str">
        <f>_xlfn.XLOOKUP(A421,'[1]Tissue Data'!$A:$A,'[1]Tissue Data'!K:K)</f>
        <v>Whole Body</v>
      </c>
      <c r="I421">
        <f>_xlfn.XLOOKUP(A421,'[1]Tissue Data'!$A:$A,'[1]Tissue Data'!L:L)</f>
        <v>8.5</v>
      </c>
      <c r="J421">
        <f>_xlfn.XLOOKUP(A421,'[1]Tissue Data'!$A:$A,'[1]Tissue Data'!M:M)</f>
        <v>14.62</v>
      </c>
      <c r="K421" t="s">
        <v>31</v>
      </c>
      <c r="L421" t="str">
        <f>_xlfn.XLOOKUP(K421,[2]analyte_order!$B:$B,[2]analyte_order!$C:$C)</f>
        <v>335-77-3</v>
      </c>
      <c r="M421">
        <f>_xlfn.XLOOKUP(L421,[2]analyte_order!$C:$C,[2]analyte_order!$E:$E)</f>
        <v>20</v>
      </c>
      <c r="N421">
        <v>1.99</v>
      </c>
    </row>
    <row r="422" spans="1:14">
      <c r="A422" t="s">
        <v>236</v>
      </c>
      <c r="B422" t="str">
        <f>_xlfn.XLOOKUP(A422,'[1]Tissue Data'!$A:$A,'[1]Tissue Data'!$C:$C)</f>
        <v>Down</v>
      </c>
      <c r="C422" s="2">
        <f>_xlfn.XLOOKUP(A422,'[1]Tissue Data'!$A:$A,'[1]Tissue Data'!$D:$D)</f>
        <v>44314</v>
      </c>
      <c r="D422" s="2" t="str">
        <f>_xlfn.XLOOKUP(A422,'[1]Tissue Data'!$A:$A,'[1]Tissue Data'!$F:$F)</f>
        <v>Pumpkinseed</v>
      </c>
      <c r="E422" t="str">
        <f>_xlfn.XLOOKUP(A422,'[1]Tissue Data'!$A:$A,'[1]Tissue Data'!$H:$H)</f>
        <v>Lepomis</v>
      </c>
      <c r="F422" t="str">
        <f>_xlfn.XLOOKUP(A422,'[1]Tissue Data'!$A:$A,'[1]Tissue Data'!$I:$I)</f>
        <v>gibbosus</v>
      </c>
      <c r="G422" t="str">
        <f>_xlfn.XLOOKUP(A422,'[1]Tissue Data'!$A:$A,'[1]Tissue Data'!J:J)</f>
        <v>U</v>
      </c>
      <c r="H422" t="str">
        <f>_xlfn.XLOOKUP(A422,'[1]Tissue Data'!$A:$A,'[1]Tissue Data'!K:K)</f>
        <v>Whole Body</v>
      </c>
      <c r="I422">
        <f>_xlfn.XLOOKUP(A422,'[1]Tissue Data'!$A:$A,'[1]Tissue Data'!L:L)</f>
        <v>8.5</v>
      </c>
      <c r="J422">
        <f>_xlfn.XLOOKUP(A422,'[1]Tissue Data'!$A:$A,'[1]Tissue Data'!M:M)</f>
        <v>14.62</v>
      </c>
      <c r="K422" t="s">
        <v>32</v>
      </c>
      <c r="L422" t="str">
        <f>_xlfn.XLOOKUP(K422,[2]analyte_order!$B:$B,[2]analyte_order!$C:$C)</f>
        <v>79780-39-5</v>
      </c>
      <c r="M422">
        <f>_xlfn.XLOOKUP(L422,[2]analyte_order!$C:$C,[2]analyte_order!$E:$E)</f>
        <v>21</v>
      </c>
      <c r="N422">
        <v>1.02</v>
      </c>
    </row>
    <row r="423" spans="1:14">
      <c r="A423" t="s">
        <v>236</v>
      </c>
      <c r="B423" t="str">
        <f>_xlfn.XLOOKUP(A423,'[1]Tissue Data'!$A:$A,'[1]Tissue Data'!$C:$C)</f>
        <v>Down</v>
      </c>
      <c r="C423" s="2">
        <f>_xlfn.XLOOKUP(A423,'[1]Tissue Data'!$A:$A,'[1]Tissue Data'!$D:$D)</f>
        <v>44314</v>
      </c>
      <c r="D423" s="2" t="str">
        <f>_xlfn.XLOOKUP(A423,'[1]Tissue Data'!$A:$A,'[1]Tissue Data'!$F:$F)</f>
        <v>Pumpkinseed</v>
      </c>
      <c r="E423" t="str">
        <f>_xlfn.XLOOKUP(A423,'[1]Tissue Data'!$A:$A,'[1]Tissue Data'!$H:$H)</f>
        <v>Lepomis</v>
      </c>
      <c r="F423" t="str">
        <f>_xlfn.XLOOKUP(A423,'[1]Tissue Data'!$A:$A,'[1]Tissue Data'!$I:$I)</f>
        <v>gibbosus</v>
      </c>
      <c r="G423" t="str">
        <f>_xlfn.XLOOKUP(A423,'[1]Tissue Data'!$A:$A,'[1]Tissue Data'!J:J)</f>
        <v>U</v>
      </c>
      <c r="H423" t="str">
        <f>_xlfn.XLOOKUP(A423,'[1]Tissue Data'!$A:$A,'[1]Tissue Data'!K:K)</f>
        <v>Whole Body</v>
      </c>
      <c r="I423">
        <f>_xlfn.XLOOKUP(A423,'[1]Tissue Data'!$A:$A,'[1]Tissue Data'!L:L)</f>
        <v>8.5</v>
      </c>
      <c r="J423">
        <f>_xlfn.XLOOKUP(A423,'[1]Tissue Data'!$A:$A,'[1]Tissue Data'!M:M)</f>
        <v>14.62</v>
      </c>
      <c r="K423" t="s">
        <v>33</v>
      </c>
      <c r="L423" t="str">
        <f>_xlfn.XLOOKUP(K423,[2]analyte_order!$B:$B,[2]analyte_order!$C:$C)</f>
        <v>777011-38-8</v>
      </c>
      <c r="M423">
        <f>_xlfn.XLOOKUP(L423,[2]analyte_order!$C:$C,[2]analyte_order!$E:$E)</f>
        <v>54</v>
      </c>
      <c r="N423">
        <v>0.13637436990915619</v>
      </c>
    </row>
    <row r="424" spans="1:14">
      <c r="A424" t="s">
        <v>236</v>
      </c>
      <c r="B424" t="str">
        <f>_xlfn.XLOOKUP(A424,'[1]Tissue Data'!$A:$A,'[1]Tissue Data'!$C:$C)</f>
        <v>Down</v>
      </c>
      <c r="C424" s="2">
        <f>_xlfn.XLOOKUP(A424,'[1]Tissue Data'!$A:$A,'[1]Tissue Data'!$D:$D)</f>
        <v>44314</v>
      </c>
      <c r="D424" s="2" t="str">
        <f>_xlfn.XLOOKUP(A424,'[1]Tissue Data'!$A:$A,'[1]Tissue Data'!$F:$F)</f>
        <v>Pumpkinseed</v>
      </c>
      <c r="E424" t="str">
        <f>_xlfn.XLOOKUP(A424,'[1]Tissue Data'!$A:$A,'[1]Tissue Data'!$H:$H)</f>
        <v>Lepomis</v>
      </c>
      <c r="F424" t="str">
        <f>_xlfn.XLOOKUP(A424,'[1]Tissue Data'!$A:$A,'[1]Tissue Data'!$I:$I)</f>
        <v>gibbosus</v>
      </c>
      <c r="G424" t="str">
        <f>_xlfn.XLOOKUP(A424,'[1]Tissue Data'!$A:$A,'[1]Tissue Data'!J:J)</f>
        <v>U</v>
      </c>
      <c r="H424" t="str">
        <f>_xlfn.XLOOKUP(A424,'[1]Tissue Data'!$A:$A,'[1]Tissue Data'!K:K)</f>
        <v>Whole Body</v>
      </c>
      <c r="I424">
        <f>_xlfn.XLOOKUP(A424,'[1]Tissue Data'!$A:$A,'[1]Tissue Data'!L:L)</f>
        <v>8.5</v>
      </c>
      <c r="J424">
        <f>_xlfn.XLOOKUP(A424,'[1]Tissue Data'!$A:$A,'[1]Tissue Data'!M:M)</f>
        <v>14.62</v>
      </c>
      <c r="K424" t="s">
        <v>34</v>
      </c>
      <c r="L424" t="str">
        <f>_xlfn.XLOOKUP(K424,[2]analyte_order!$B:$B,[2]analyte_order!$C:$C)</f>
        <v>646-83-3</v>
      </c>
      <c r="M424">
        <f>_xlfn.XLOOKUP(L424,[2]analyte_order!$C:$C,[2]analyte_order!$E:$E)</f>
        <v>55</v>
      </c>
      <c r="N424">
        <v>0.23200000000000001</v>
      </c>
    </row>
    <row r="425" spans="1:14">
      <c r="A425" t="s">
        <v>236</v>
      </c>
      <c r="B425" t="str">
        <f>_xlfn.XLOOKUP(A425,'[1]Tissue Data'!$A:$A,'[1]Tissue Data'!$C:$C)</f>
        <v>Down</v>
      </c>
      <c r="C425" s="2">
        <f>_xlfn.XLOOKUP(A425,'[1]Tissue Data'!$A:$A,'[1]Tissue Data'!$D:$D)</f>
        <v>44314</v>
      </c>
      <c r="D425" s="2" t="str">
        <f>_xlfn.XLOOKUP(A425,'[1]Tissue Data'!$A:$A,'[1]Tissue Data'!$F:$F)</f>
        <v>Pumpkinseed</v>
      </c>
      <c r="E425" t="str">
        <f>_xlfn.XLOOKUP(A425,'[1]Tissue Data'!$A:$A,'[1]Tissue Data'!$H:$H)</f>
        <v>Lepomis</v>
      </c>
      <c r="F425" t="str">
        <f>_xlfn.XLOOKUP(A425,'[1]Tissue Data'!$A:$A,'[1]Tissue Data'!$I:$I)</f>
        <v>gibbosus</v>
      </c>
      <c r="G425" t="str">
        <f>_xlfn.XLOOKUP(A425,'[1]Tissue Data'!$A:$A,'[1]Tissue Data'!J:J)</f>
        <v>U</v>
      </c>
      <c r="H425" t="str">
        <f>_xlfn.XLOOKUP(A425,'[1]Tissue Data'!$A:$A,'[1]Tissue Data'!K:K)</f>
        <v>Whole Body</v>
      </c>
      <c r="I425">
        <f>_xlfn.XLOOKUP(A425,'[1]Tissue Data'!$A:$A,'[1]Tissue Data'!L:L)</f>
        <v>8.5</v>
      </c>
      <c r="J425">
        <f>_xlfn.XLOOKUP(A425,'[1]Tissue Data'!$A:$A,'[1]Tissue Data'!M:M)</f>
        <v>14.62</v>
      </c>
      <c r="K425" t="s">
        <v>35</v>
      </c>
      <c r="L425" t="str">
        <f>_xlfn.XLOOKUP(K425,[2]analyte_order!$B:$B,[2]analyte_order!$C:$C)</f>
        <v>30334-69-1</v>
      </c>
      <c r="M425">
        <f>_xlfn.XLOOKUP(L425,[2]analyte_order!$C:$C,[2]analyte_order!$E:$E)</f>
        <v>51</v>
      </c>
      <c r="N425">
        <v>17.899999999999999</v>
      </c>
    </row>
    <row r="426" spans="1:14">
      <c r="A426" t="s">
        <v>236</v>
      </c>
      <c r="B426" t="str">
        <f>_xlfn.XLOOKUP(A426,'[1]Tissue Data'!$A:$A,'[1]Tissue Data'!$C:$C)</f>
        <v>Down</v>
      </c>
      <c r="C426" s="2">
        <f>_xlfn.XLOOKUP(A426,'[1]Tissue Data'!$A:$A,'[1]Tissue Data'!$D:$D)</f>
        <v>44314</v>
      </c>
      <c r="D426" s="2" t="str">
        <f>_xlfn.XLOOKUP(A426,'[1]Tissue Data'!$A:$A,'[1]Tissue Data'!$F:$F)</f>
        <v>Pumpkinseed</v>
      </c>
      <c r="E426" t="str">
        <f>_xlfn.XLOOKUP(A426,'[1]Tissue Data'!$A:$A,'[1]Tissue Data'!$H:$H)</f>
        <v>Lepomis</v>
      </c>
      <c r="F426" t="str">
        <f>_xlfn.XLOOKUP(A426,'[1]Tissue Data'!$A:$A,'[1]Tissue Data'!$I:$I)</f>
        <v>gibbosus</v>
      </c>
      <c r="G426" t="str">
        <f>_xlfn.XLOOKUP(A426,'[1]Tissue Data'!$A:$A,'[1]Tissue Data'!J:J)</f>
        <v>U</v>
      </c>
      <c r="H426" t="str">
        <f>_xlfn.XLOOKUP(A426,'[1]Tissue Data'!$A:$A,'[1]Tissue Data'!K:K)</f>
        <v>Whole Body</v>
      </c>
      <c r="I426">
        <f>_xlfn.XLOOKUP(A426,'[1]Tissue Data'!$A:$A,'[1]Tissue Data'!L:L)</f>
        <v>8.5</v>
      </c>
      <c r="J426">
        <f>_xlfn.XLOOKUP(A426,'[1]Tissue Data'!$A:$A,'[1]Tissue Data'!M:M)</f>
        <v>14.62</v>
      </c>
      <c r="K426" t="s">
        <v>36</v>
      </c>
      <c r="L426" t="str">
        <f>_xlfn.XLOOKUP(K426,[2]analyte_order!$B:$B,[2]analyte_order!$C:$C)</f>
        <v>41997-13-1</v>
      </c>
      <c r="M426">
        <f>_xlfn.XLOOKUP(L426,[2]analyte_order!$C:$C,[2]analyte_order!$E:$E)</f>
        <v>52</v>
      </c>
      <c r="N426">
        <v>36.1</v>
      </c>
    </row>
    <row r="427" spans="1:14">
      <c r="A427" t="s">
        <v>236</v>
      </c>
      <c r="B427" t="str">
        <f>_xlfn.XLOOKUP(A427,'[1]Tissue Data'!$A:$A,'[1]Tissue Data'!$C:$C)</f>
        <v>Down</v>
      </c>
      <c r="C427" s="2">
        <f>_xlfn.XLOOKUP(A427,'[1]Tissue Data'!$A:$A,'[1]Tissue Data'!$D:$D)</f>
        <v>44314</v>
      </c>
      <c r="D427" s="2" t="str">
        <f>_xlfn.XLOOKUP(A427,'[1]Tissue Data'!$A:$A,'[1]Tissue Data'!$F:$F)</f>
        <v>Pumpkinseed</v>
      </c>
      <c r="E427" t="str">
        <f>_xlfn.XLOOKUP(A427,'[1]Tissue Data'!$A:$A,'[1]Tissue Data'!$H:$H)</f>
        <v>Lepomis</v>
      </c>
      <c r="F427" t="str">
        <f>_xlfn.XLOOKUP(A427,'[1]Tissue Data'!$A:$A,'[1]Tissue Data'!$I:$I)</f>
        <v>gibbosus</v>
      </c>
      <c r="G427" t="str">
        <f>_xlfn.XLOOKUP(A427,'[1]Tissue Data'!$A:$A,'[1]Tissue Data'!J:J)</f>
        <v>U</v>
      </c>
      <c r="H427" t="str">
        <f>_xlfn.XLOOKUP(A427,'[1]Tissue Data'!$A:$A,'[1]Tissue Data'!K:K)</f>
        <v>Whole Body</v>
      </c>
      <c r="I427">
        <f>_xlfn.XLOOKUP(A427,'[1]Tissue Data'!$A:$A,'[1]Tissue Data'!L:L)</f>
        <v>8.5</v>
      </c>
      <c r="J427">
        <f>_xlfn.XLOOKUP(A427,'[1]Tissue Data'!$A:$A,'[1]Tissue Data'!M:M)</f>
        <v>14.62</v>
      </c>
      <c r="K427" t="s">
        <v>37</v>
      </c>
      <c r="L427" t="str">
        <f>_xlfn.XLOOKUP(K427,[2]analyte_order!$B:$B,[2]analyte_order!$C:$C)</f>
        <v>754-91-6</v>
      </c>
      <c r="M427">
        <f>_xlfn.XLOOKUP(L427,[2]analyte_order!$C:$C,[2]analyte_order!$E:$E)</f>
        <v>28</v>
      </c>
      <c r="N427">
        <v>22.8</v>
      </c>
    </row>
    <row r="428" spans="1:14">
      <c r="A428" t="s">
        <v>236</v>
      </c>
      <c r="B428" t="str">
        <f>_xlfn.XLOOKUP(A428,'[1]Tissue Data'!$A:$A,'[1]Tissue Data'!$C:$C)</f>
        <v>Down</v>
      </c>
      <c r="C428" s="2">
        <f>_xlfn.XLOOKUP(A428,'[1]Tissue Data'!$A:$A,'[1]Tissue Data'!$D:$D)</f>
        <v>44314</v>
      </c>
      <c r="D428" s="2" t="str">
        <f>_xlfn.XLOOKUP(A428,'[1]Tissue Data'!$A:$A,'[1]Tissue Data'!$F:$F)</f>
        <v>Pumpkinseed</v>
      </c>
      <c r="E428" t="str">
        <f>_xlfn.XLOOKUP(A428,'[1]Tissue Data'!$A:$A,'[1]Tissue Data'!$H:$H)</f>
        <v>Lepomis</v>
      </c>
      <c r="F428" t="str">
        <f>_xlfn.XLOOKUP(A428,'[1]Tissue Data'!$A:$A,'[1]Tissue Data'!$I:$I)</f>
        <v>gibbosus</v>
      </c>
      <c r="G428" t="str">
        <f>_xlfn.XLOOKUP(A428,'[1]Tissue Data'!$A:$A,'[1]Tissue Data'!J:J)</f>
        <v>U</v>
      </c>
      <c r="H428" t="str">
        <f>_xlfn.XLOOKUP(A428,'[1]Tissue Data'!$A:$A,'[1]Tissue Data'!K:K)</f>
        <v>Whole Body</v>
      </c>
      <c r="I428">
        <f>_xlfn.XLOOKUP(A428,'[1]Tissue Data'!$A:$A,'[1]Tissue Data'!L:L)</f>
        <v>8.5</v>
      </c>
      <c r="J428">
        <f>_xlfn.XLOOKUP(A428,'[1]Tissue Data'!$A:$A,'[1]Tissue Data'!M:M)</f>
        <v>14.62</v>
      </c>
      <c r="K428" t="s">
        <v>38</v>
      </c>
      <c r="L428" t="str">
        <f>_xlfn.XLOOKUP(K428,[2]analyte_order!$B:$B,[2]analyte_order!$C:$C)</f>
        <v>31506-32-8</v>
      </c>
      <c r="M428">
        <f>_xlfn.XLOOKUP(L428,[2]analyte_order!$C:$C,[2]analyte_order!$E:$E)</f>
        <v>30</v>
      </c>
      <c r="N428">
        <v>5.4691929708454809E-2</v>
      </c>
    </row>
    <row r="429" spans="1:14">
      <c r="A429" t="s">
        <v>236</v>
      </c>
      <c r="B429" t="str">
        <f>_xlfn.XLOOKUP(A429,'[1]Tissue Data'!$A:$A,'[1]Tissue Data'!$C:$C)</f>
        <v>Down</v>
      </c>
      <c r="C429" s="2">
        <f>_xlfn.XLOOKUP(A429,'[1]Tissue Data'!$A:$A,'[1]Tissue Data'!$D:$D)</f>
        <v>44314</v>
      </c>
      <c r="D429" s="2" t="str">
        <f>_xlfn.XLOOKUP(A429,'[1]Tissue Data'!$A:$A,'[1]Tissue Data'!$F:$F)</f>
        <v>Pumpkinseed</v>
      </c>
      <c r="E429" t="str">
        <f>_xlfn.XLOOKUP(A429,'[1]Tissue Data'!$A:$A,'[1]Tissue Data'!$H:$H)</f>
        <v>Lepomis</v>
      </c>
      <c r="F429" t="str">
        <f>_xlfn.XLOOKUP(A429,'[1]Tissue Data'!$A:$A,'[1]Tissue Data'!$I:$I)</f>
        <v>gibbosus</v>
      </c>
      <c r="G429" t="str">
        <f>_xlfn.XLOOKUP(A429,'[1]Tissue Data'!$A:$A,'[1]Tissue Data'!J:J)</f>
        <v>U</v>
      </c>
      <c r="H429" t="str">
        <f>_xlfn.XLOOKUP(A429,'[1]Tissue Data'!$A:$A,'[1]Tissue Data'!K:K)</f>
        <v>Whole Body</v>
      </c>
      <c r="I429">
        <f>_xlfn.XLOOKUP(A429,'[1]Tissue Data'!$A:$A,'[1]Tissue Data'!L:L)</f>
        <v>8.5</v>
      </c>
      <c r="J429">
        <f>_xlfn.XLOOKUP(A429,'[1]Tissue Data'!$A:$A,'[1]Tissue Data'!M:M)</f>
        <v>14.62</v>
      </c>
      <c r="K429" t="s">
        <v>39</v>
      </c>
      <c r="L429" t="str">
        <f>_xlfn.XLOOKUP(K429,[2]analyte_order!$B:$B,[2]analyte_order!$C:$C)</f>
        <v>4151-50-2</v>
      </c>
      <c r="M429">
        <f>_xlfn.XLOOKUP(L429,[2]analyte_order!$C:$C,[2]analyte_order!$E:$E)</f>
        <v>31</v>
      </c>
      <c r="N429">
        <v>8.2846032408892128E-2</v>
      </c>
    </row>
    <row r="430" spans="1:14">
      <c r="A430" t="s">
        <v>236</v>
      </c>
      <c r="B430" t="str">
        <f>_xlfn.XLOOKUP(A430,'[1]Tissue Data'!$A:$A,'[1]Tissue Data'!$C:$C)</f>
        <v>Down</v>
      </c>
      <c r="C430" s="2">
        <f>_xlfn.XLOOKUP(A430,'[1]Tissue Data'!$A:$A,'[1]Tissue Data'!$D:$D)</f>
        <v>44314</v>
      </c>
      <c r="D430" s="2" t="str">
        <f>_xlfn.XLOOKUP(A430,'[1]Tissue Data'!$A:$A,'[1]Tissue Data'!$F:$F)</f>
        <v>Pumpkinseed</v>
      </c>
      <c r="E430" t="str">
        <f>_xlfn.XLOOKUP(A430,'[1]Tissue Data'!$A:$A,'[1]Tissue Data'!$H:$H)</f>
        <v>Lepomis</v>
      </c>
      <c r="F430" t="str">
        <f>_xlfn.XLOOKUP(A430,'[1]Tissue Data'!$A:$A,'[1]Tissue Data'!$I:$I)</f>
        <v>gibbosus</v>
      </c>
      <c r="G430" t="str">
        <f>_xlfn.XLOOKUP(A430,'[1]Tissue Data'!$A:$A,'[1]Tissue Data'!J:J)</f>
        <v>U</v>
      </c>
      <c r="H430" t="str">
        <f>_xlfn.XLOOKUP(A430,'[1]Tissue Data'!$A:$A,'[1]Tissue Data'!K:K)</f>
        <v>Whole Body</v>
      </c>
      <c r="I430">
        <f>_xlfn.XLOOKUP(A430,'[1]Tissue Data'!$A:$A,'[1]Tissue Data'!L:L)</f>
        <v>8.5</v>
      </c>
      <c r="J430">
        <f>_xlfn.XLOOKUP(A430,'[1]Tissue Data'!$A:$A,'[1]Tissue Data'!M:M)</f>
        <v>14.62</v>
      </c>
      <c r="K430" t="s">
        <v>40</v>
      </c>
      <c r="L430" t="str">
        <f>_xlfn.XLOOKUP(K430,[2]analyte_order!$B:$B,[2]analyte_order!$C:$C)</f>
        <v>2806-24-8</v>
      </c>
      <c r="M430">
        <f>_xlfn.XLOOKUP(L430,[2]analyte_order!$C:$C,[2]analyte_order!$E:$E)</f>
        <v>29</v>
      </c>
      <c r="N430">
        <v>5.5959298097667635E-2</v>
      </c>
    </row>
    <row r="431" spans="1:14">
      <c r="A431" t="s">
        <v>236</v>
      </c>
      <c r="B431" t="str">
        <f>_xlfn.XLOOKUP(A431,'[1]Tissue Data'!$A:$A,'[1]Tissue Data'!$C:$C)</f>
        <v>Down</v>
      </c>
      <c r="C431" s="2">
        <f>_xlfn.XLOOKUP(A431,'[1]Tissue Data'!$A:$A,'[1]Tissue Data'!$D:$D)</f>
        <v>44314</v>
      </c>
      <c r="D431" s="2" t="str">
        <f>_xlfn.XLOOKUP(A431,'[1]Tissue Data'!$A:$A,'[1]Tissue Data'!$F:$F)</f>
        <v>Pumpkinseed</v>
      </c>
      <c r="E431" t="str">
        <f>_xlfn.XLOOKUP(A431,'[1]Tissue Data'!$A:$A,'[1]Tissue Data'!$H:$H)</f>
        <v>Lepomis</v>
      </c>
      <c r="F431" t="str">
        <f>_xlfn.XLOOKUP(A431,'[1]Tissue Data'!$A:$A,'[1]Tissue Data'!$I:$I)</f>
        <v>gibbosus</v>
      </c>
      <c r="G431" t="str">
        <f>_xlfn.XLOOKUP(A431,'[1]Tissue Data'!$A:$A,'[1]Tissue Data'!J:J)</f>
        <v>U</v>
      </c>
      <c r="H431" t="str">
        <f>_xlfn.XLOOKUP(A431,'[1]Tissue Data'!$A:$A,'[1]Tissue Data'!K:K)</f>
        <v>Whole Body</v>
      </c>
      <c r="I431">
        <f>_xlfn.XLOOKUP(A431,'[1]Tissue Data'!$A:$A,'[1]Tissue Data'!L:L)</f>
        <v>8.5</v>
      </c>
      <c r="J431">
        <f>_xlfn.XLOOKUP(A431,'[1]Tissue Data'!$A:$A,'[1]Tissue Data'!M:M)</f>
        <v>14.62</v>
      </c>
      <c r="K431" t="s">
        <v>41</v>
      </c>
      <c r="L431" t="str">
        <f>_xlfn.XLOOKUP(K431,[2]analyte_order!$B:$B,[2]analyte_order!$C:$C)</f>
        <v>2355-31-9</v>
      </c>
      <c r="M431">
        <f>_xlfn.XLOOKUP(L431,[2]analyte_order!$C:$C,[2]analyte_order!$E:$E)</f>
        <v>26</v>
      </c>
      <c r="N431">
        <v>7.1422678567784267E-2</v>
      </c>
    </row>
    <row r="432" spans="1:14">
      <c r="A432" t="s">
        <v>236</v>
      </c>
      <c r="B432" t="str">
        <f>_xlfn.XLOOKUP(A432,'[1]Tissue Data'!$A:$A,'[1]Tissue Data'!$C:$C)</f>
        <v>Down</v>
      </c>
      <c r="C432" s="2">
        <f>_xlfn.XLOOKUP(A432,'[1]Tissue Data'!$A:$A,'[1]Tissue Data'!$D:$D)</f>
        <v>44314</v>
      </c>
      <c r="D432" s="2" t="str">
        <f>_xlfn.XLOOKUP(A432,'[1]Tissue Data'!$A:$A,'[1]Tissue Data'!$F:$F)</f>
        <v>Pumpkinseed</v>
      </c>
      <c r="E432" t="str">
        <f>_xlfn.XLOOKUP(A432,'[1]Tissue Data'!$A:$A,'[1]Tissue Data'!$H:$H)</f>
        <v>Lepomis</v>
      </c>
      <c r="F432" t="str">
        <f>_xlfn.XLOOKUP(A432,'[1]Tissue Data'!$A:$A,'[1]Tissue Data'!$I:$I)</f>
        <v>gibbosus</v>
      </c>
      <c r="G432" t="str">
        <f>_xlfn.XLOOKUP(A432,'[1]Tissue Data'!$A:$A,'[1]Tissue Data'!J:J)</f>
        <v>U</v>
      </c>
      <c r="H432" t="str">
        <f>_xlfn.XLOOKUP(A432,'[1]Tissue Data'!$A:$A,'[1]Tissue Data'!K:K)</f>
        <v>Whole Body</v>
      </c>
      <c r="I432">
        <f>_xlfn.XLOOKUP(A432,'[1]Tissue Data'!$A:$A,'[1]Tissue Data'!L:L)</f>
        <v>8.5</v>
      </c>
      <c r="J432">
        <f>_xlfn.XLOOKUP(A432,'[1]Tissue Data'!$A:$A,'[1]Tissue Data'!M:M)</f>
        <v>14.62</v>
      </c>
      <c r="K432" t="s">
        <v>42</v>
      </c>
      <c r="L432" t="str">
        <f>_xlfn.XLOOKUP(K432,[2]analyte_order!$B:$B,[2]analyte_order!$C:$C)</f>
        <v>2991-50-6</v>
      </c>
      <c r="M432">
        <f>_xlfn.XLOOKUP(L432,[2]analyte_order!$C:$C,[2]analyte_order!$E:$E)</f>
        <v>27</v>
      </c>
      <c r="N432">
        <v>6.1621374522594745E-2</v>
      </c>
    </row>
    <row r="433" spans="1:14">
      <c r="A433" t="s">
        <v>236</v>
      </c>
      <c r="B433" t="str">
        <f>_xlfn.XLOOKUP(A433,'[1]Tissue Data'!$A:$A,'[1]Tissue Data'!$C:$C)</f>
        <v>Down</v>
      </c>
      <c r="C433" s="2">
        <f>_xlfn.XLOOKUP(A433,'[1]Tissue Data'!$A:$A,'[1]Tissue Data'!$D:$D)</f>
        <v>44314</v>
      </c>
      <c r="D433" s="2" t="str">
        <f>_xlfn.XLOOKUP(A433,'[1]Tissue Data'!$A:$A,'[1]Tissue Data'!$F:$F)</f>
        <v>Pumpkinseed</v>
      </c>
      <c r="E433" t="str">
        <f>_xlfn.XLOOKUP(A433,'[1]Tissue Data'!$A:$A,'[1]Tissue Data'!$H:$H)</f>
        <v>Lepomis</v>
      </c>
      <c r="F433" t="str">
        <f>_xlfn.XLOOKUP(A433,'[1]Tissue Data'!$A:$A,'[1]Tissue Data'!$I:$I)</f>
        <v>gibbosus</v>
      </c>
      <c r="G433" t="str">
        <f>_xlfn.XLOOKUP(A433,'[1]Tissue Data'!$A:$A,'[1]Tissue Data'!J:J)</f>
        <v>U</v>
      </c>
      <c r="H433" t="str">
        <f>_xlfn.XLOOKUP(A433,'[1]Tissue Data'!$A:$A,'[1]Tissue Data'!K:K)</f>
        <v>Whole Body</v>
      </c>
      <c r="I433">
        <f>_xlfn.XLOOKUP(A433,'[1]Tissue Data'!$A:$A,'[1]Tissue Data'!L:L)</f>
        <v>8.5</v>
      </c>
      <c r="J433">
        <f>_xlfn.XLOOKUP(A433,'[1]Tissue Data'!$A:$A,'[1]Tissue Data'!M:M)</f>
        <v>14.62</v>
      </c>
      <c r="K433" t="s">
        <v>43</v>
      </c>
      <c r="L433" t="str">
        <f>_xlfn.XLOOKUP(K433,[2]analyte_order!$B:$B,[2]analyte_order!$C:$C)</f>
        <v>757124-72-4</v>
      </c>
      <c r="M433">
        <f>_xlfn.XLOOKUP(L433,[2]analyte_order!$C:$C,[2]analyte_order!$E:$E)</f>
        <v>22</v>
      </c>
      <c r="N433">
        <v>5.8312955204081626E-2</v>
      </c>
    </row>
    <row r="434" spans="1:14">
      <c r="A434" t="s">
        <v>236</v>
      </c>
      <c r="B434" t="str">
        <f>_xlfn.XLOOKUP(A434,'[1]Tissue Data'!$A:$A,'[1]Tissue Data'!$C:$C)</f>
        <v>Down</v>
      </c>
      <c r="C434" s="2">
        <f>_xlfn.XLOOKUP(A434,'[1]Tissue Data'!$A:$A,'[1]Tissue Data'!$D:$D)</f>
        <v>44314</v>
      </c>
      <c r="D434" s="2" t="str">
        <f>_xlfn.XLOOKUP(A434,'[1]Tissue Data'!$A:$A,'[1]Tissue Data'!$F:$F)</f>
        <v>Pumpkinseed</v>
      </c>
      <c r="E434" t="str">
        <f>_xlfn.XLOOKUP(A434,'[1]Tissue Data'!$A:$A,'[1]Tissue Data'!$H:$H)</f>
        <v>Lepomis</v>
      </c>
      <c r="F434" t="str">
        <f>_xlfn.XLOOKUP(A434,'[1]Tissue Data'!$A:$A,'[1]Tissue Data'!$I:$I)</f>
        <v>gibbosus</v>
      </c>
      <c r="G434" t="str">
        <f>_xlfn.XLOOKUP(A434,'[1]Tissue Data'!$A:$A,'[1]Tissue Data'!J:J)</f>
        <v>U</v>
      </c>
      <c r="H434" t="str">
        <f>_xlfn.XLOOKUP(A434,'[1]Tissue Data'!$A:$A,'[1]Tissue Data'!K:K)</f>
        <v>Whole Body</v>
      </c>
      <c r="I434">
        <f>_xlfn.XLOOKUP(A434,'[1]Tissue Data'!$A:$A,'[1]Tissue Data'!L:L)</f>
        <v>8.5</v>
      </c>
      <c r="J434">
        <f>_xlfn.XLOOKUP(A434,'[1]Tissue Data'!$A:$A,'[1]Tissue Data'!M:M)</f>
        <v>14.62</v>
      </c>
      <c r="K434" t="s">
        <v>44</v>
      </c>
      <c r="L434" t="str">
        <f>_xlfn.XLOOKUP(K434,[2]analyte_order!$B:$B,[2]analyte_order!$C:$C)</f>
        <v>27619-97-2</v>
      </c>
      <c r="M434">
        <f>_xlfn.XLOOKUP(L434,[2]analyte_order!$C:$C,[2]analyte_order!$E:$E)</f>
        <v>23</v>
      </c>
      <c r="N434">
        <v>0.30599999999999999</v>
      </c>
    </row>
    <row r="435" spans="1:14">
      <c r="A435" t="s">
        <v>236</v>
      </c>
      <c r="B435" t="str">
        <f>_xlfn.XLOOKUP(A435,'[1]Tissue Data'!$A:$A,'[1]Tissue Data'!$C:$C)</f>
        <v>Down</v>
      </c>
      <c r="C435" s="2">
        <f>_xlfn.XLOOKUP(A435,'[1]Tissue Data'!$A:$A,'[1]Tissue Data'!$D:$D)</f>
        <v>44314</v>
      </c>
      <c r="D435" s="2" t="str">
        <f>_xlfn.XLOOKUP(A435,'[1]Tissue Data'!$A:$A,'[1]Tissue Data'!$F:$F)</f>
        <v>Pumpkinseed</v>
      </c>
      <c r="E435" t="str">
        <f>_xlfn.XLOOKUP(A435,'[1]Tissue Data'!$A:$A,'[1]Tissue Data'!$H:$H)</f>
        <v>Lepomis</v>
      </c>
      <c r="F435" t="str">
        <f>_xlfn.XLOOKUP(A435,'[1]Tissue Data'!$A:$A,'[1]Tissue Data'!$I:$I)</f>
        <v>gibbosus</v>
      </c>
      <c r="G435" t="str">
        <f>_xlfn.XLOOKUP(A435,'[1]Tissue Data'!$A:$A,'[1]Tissue Data'!J:J)</f>
        <v>U</v>
      </c>
      <c r="H435" t="str">
        <f>_xlfn.XLOOKUP(A435,'[1]Tissue Data'!$A:$A,'[1]Tissue Data'!K:K)</f>
        <v>Whole Body</v>
      </c>
      <c r="I435">
        <f>_xlfn.XLOOKUP(A435,'[1]Tissue Data'!$A:$A,'[1]Tissue Data'!L:L)</f>
        <v>8.5</v>
      </c>
      <c r="J435">
        <f>_xlfn.XLOOKUP(A435,'[1]Tissue Data'!$A:$A,'[1]Tissue Data'!M:M)</f>
        <v>14.62</v>
      </c>
      <c r="K435" t="s">
        <v>45</v>
      </c>
      <c r="L435" t="str">
        <f>_xlfn.XLOOKUP(K435,[2]analyte_order!$B:$B,[2]analyte_order!$C:$C)</f>
        <v>39108-34-4</v>
      </c>
      <c r="M435">
        <f>_xlfn.XLOOKUP(L435,[2]analyte_order!$C:$C,[2]analyte_order!$E:$E)</f>
        <v>24</v>
      </c>
      <c r="N435">
        <v>1.19</v>
      </c>
    </row>
    <row r="436" spans="1:14">
      <c r="A436" t="s">
        <v>236</v>
      </c>
      <c r="B436" t="str">
        <f>_xlfn.XLOOKUP(A436,'[1]Tissue Data'!$A:$A,'[1]Tissue Data'!$C:$C)</f>
        <v>Down</v>
      </c>
      <c r="C436" s="2">
        <f>_xlfn.XLOOKUP(A436,'[1]Tissue Data'!$A:$A,'[1]Tissue Data'!$D:$D)</f>
        <v>44314</v>
      </c>
      <c r="D436" s="2" t="str">
        <f>_xlfn.XLOOKUP(A436,'[1]Tissue Data'!$A:$A,'[1]Tissue Data'!$F:$F)</f>
        <v>Pumpkinseed</v>
      </c>
      <c r="E436" t="str">
        <f>_xlfn.XLOOKUP(A436,'[1]Tissue Data'!$A:$A,'[1]Tissue Data'!$H:$H)</f>
        <v>Lepomis</v>
      </c>
      <c r="F436" t="str">
        <f>_xlfn.XLOOKUP(A436,'[1]Tissue Data'!$A:$A,'[1]Tissue Data'!$I:$I)</f>
        <v>gibbosus</v>
      </c>
      <c r="G436" t="str">
        <f>_xlfn.XLOOKUP(A436,'[1]Tissue Data'!$A:$A,'[1]Tissue Data'!J:J)</f>
        <v>U</v>
      </c>
      <c r="H436" t="str">
        <f>_xlfn.XLOOKUP(A436,'[1]Tissue Data'!$A:$A,'[1]Tissue Data'!K:K)</f>
        <v>Whole Body</v>
      </c>
      <c r="I436">
        <f>_xlfn.XLOOKUP(A436,'[1]Tissue Data'!$A:$A,'[1]Tissue Data'!L:L)</f>
        <v>8.5</v>
      </c>
      <c r="J436">
        <f>_xlfn.XLOOKUP(A436,'[1]Tissue Data'!$A:$A,'[1]Tissue Data'!M:M)</f>
        <v>14.62</v>
      </c>
      <c r="K436" t="s">
        <v>46</v>
      </c>
      <c r="L436" t="str">
        <f>_xlfn.XLOOKUP(K436,[2]analyte_order!$B:$B,[2]analyte_order!$C:$C)</f>
        <v>120226-60-0</v>
      </c>
      <c r="M436">
        <f>_xlfn.XLOOKUP(L436,[2]analyte_order!$C:$C,[2]analyte_order!$E:$E)</f>
        <v>25</v>
      </c>
      <c r="N436">
        <v>0.25481721974865346</v>
      </c>
    </row>
    <row r="437" spans="1:14">
      <c r="A437" t="s">
        <v>236</v>
      </c>
      <c r="B437" t="str">
        <f>_xlfn.XLOOKUP(A437,'[1]Tissue Data'!$A:$A,'[1]Tissue Data'!$C:$C)</f>
        <v>Down</v>
      </c>
      <c r="C437" s="2">
        <f>_xlfn.XLOOKUP(A437,'[1]Tissue Data'!$A:$A,'[1]Tissue Data'!$D:$D)</f>
        <v>44314</v>
      </c>
      <c r="D437" s="2" t="str">
        <f>_xlfn.XLOOKUP(A437,'[1]Tissue Data'!$A:$A,'[1]Tissue Data'!$F:$F)</f>
        <v>Pumpkinseed</v>
      </c>
      <c r="E437" t="str">
        <f>_xlfn.XLOOKUP(A437,'[1]Tissue Data'!$A:$A,'[1]Tissue Data'!$H:$H)</f>
        <v>Lepomis</v>
      </c>
      <c r="F437" t="str">
        <f>_xlfn.XLOOKUP(A437,'[1]Tissue Data'!$A:$A,'[1]Tissue Data'!$I:$I)</f>
        <v>gibbosus</v>
      </c>
      <c r="G437" t="str">
        <f>_xlfn.XLOOKUP(A437,'[1]Tissue Data'!$A:$A,'[1]Tissue Data'!J:J)</f>
        <v>U</v>
      </c>
      <c r="H437" t="str">
        <f>_xlfn.XLOOKUP(A437,'[1]Tissue Data'!$A:$A,'[1]Tissue Data'!K:K)</f>
        <v>Whole Body</v>
      </c>
      <c r="I437">
        <f>_xlfn.XLOOKUP(A437,'[1]Tissue Data'!$A:$A,'[1]Tissue Data'!L:L)</f>
        <v>8.5</v>
      </c>
      <c r="J437">
        <f>_xlfn.XLOOKUP(A437,'[1]Tissue Data'!$A:$A,'[1]Tissue Data'!M:M)</f>
        <v>14.62</v>
      </c>
      <c r="K437" t="s">
        <v>47</v>
      </c>
      <c r="L437" t="str">
        <f>_xlfn.XLOOKUP(K437,[2]analyte_order!$B:$B,[2]analyte_order!$C:$C)</f>
        <v>356-02-5</v>
      </c>
      <c r="M437">
        <f>_xlfn.XLOOKUP(L437,[2]analyte_order!$C:$C,[2]analyte_order!$E:$E)</f>
        <v>38</v>
      </c>
      <c r="N437">
        <v>8.1889803006559764E-2</v>
      </c>
    </row>
    <row r="438" spans="1:14">
      <c r="A438" t="s">
        <v>236</v>
      </c>
      <c r="B438" t="str">
        <f>_xlfn.XLOOKUP(A438,'[1]Tissue Data'!$A:$A,'[1]Tissue Data'!$C:$C)</f>
        <v>Down</v>
      </c>
      <c r="C438" s="2">
        <f>_xlfn.XLOOKUP(A438,'[1]Tissue Data'!$A:$A,'[1]Tissue Data'!$D:$D)</f>
        <v>44314</v>
      </c>
      <c r="D438" s="2" t="str">
        <f>_xlfn.XLOOKUP(A438,'[1]Tissue Data'!$A:$A,'[1]Tissue Data'!$F:$F)</f>
        <v>Pumpkinseed</v>
      </c>
      <c r="E438" t="str">
        <f>_xlfn.XLOOKUP(A438,'[1]Tissue Data'!$A:$A,'[1]Tissue Data'!$H:$H)</f>
        <v>Lepomis</v>
      </c>
      <c r="F438" t="str">
        <f>_xlfn.XLOOKUP(A438,'[1]Tissue Data'!$A:$A,'[1]Tissue Data'!$I:$I)</f>
        <v>gibbosus</v>
      </c>
      <c r="G438" t="str">
        <f>_xlfn.XLOOKUP(A438,'[1]Tissue Data'!$A:$A,'[1]Tissue Data'!J:J)</f>
        <v>U</v>
      </c>
      <c r="H438" t="str">
        <f>_xlfn.XLOOKUP(A438,'[1]Tissue Data'!$A:$A,'[1]Tissue Data'!K:K)</f>
        <v>Whole Body</v>
      </c>
      <c r="I438">
        <f>_xlfn.XLOOKUP(A438,'[1]Tissue Data'!$A:$A,'[1]Tissue Data'!L:L)</f>
        <v>8.5</v>
      </c>
      <c r="J438">
        <f>_xlfn.XLOOKUP(A438,'[1]Tissue Data'!$A:$A,'[1]Tissue Data'!M:M)</f>
        <v>14.62</v>
      </c>
      <c r="K438" t="s">
        <v>48</v>
      </c>
      <c r="L438" t="str">
        <f>_xlfn.XLOOKUP(K438,[2]analyte_order!$B:$B,[2]analyte_order!$C:$C)</f>
        <v>914637-49-3</v>
      </c>
      <c r="M438">
        <f>_xlfn.XLOOKUP(L438,[2]analyte_order!$C:$C,[2]analyte_order!$E:$E)</f>
        <v>39</v>
      </c>
      <c r="N438">
        <v>15.9</v>
      </c>
    </row>
    <row r="439" spans="1:14">
      <c r="A439" t="s">
        <v>236</v>
      </c>
      <c r="B439" t="str">
        <f>_xlfn.XLOOKUP(A439,'[1]Tissue Data'!$A:$A,'[1]Tissue Data'!$C:$C)</f>
        <v>Down</v>
      </c>
      <c r="C439" s="2">
        <f>_xlfn.XLOOKUP(A439,'[1]Tissue Data'!$A:$A,'[1]Tissue Data'!$D:$D)</f>
        <v>44314</v>
      </c>
      <c r="D439" s="2" t="str">
        <f>_xlfn.XLOOKUP(A439,'[1]Tissue Data'!$A:$A,'[1]Tissue Data'!$F:$F)</f>
        <v>Pumpkinseed</v>
      </c>
      <c r="E439" t="str">
        <f>_xlfn.XLOOKUP(A439,'[1]Tissue Data'!$A:$A,'[1]Tissue Data'!$H:$H)</f>
        <v>Lepomis</v>
      </c>
      <c r="F439" t="str">
        <f>_xlfn.XLOOKUP(A439,'[1]Tissue Data'!$A:$A,'[1]Tissue Data'!$I:$I)</f>
        <v>gibbosus</v>
      </c>
      <c r="G439" t="str">
        <f>_xlfn.XLOOKUP(A439,'[1]Tissue Data'!$A:$A,'[1]Tissue Data'!J:J)</f>
        <v>U</v>
      </c>
      <c r="H439" t="str">
        <f>_xlfn.XLOOKUP(A439,'[1]Tissue Data'!$A:$A,'[1]Tissue Data'!K:K)</f>
        <v>Whole Body</v>
      </c>
      <c r="I439">
        <f>_xlfn.XLOOKUP(A439,'[1]Tissue Data'!$A:$A,'[1]Tissue Data'!L:L)</f>
        <v>8.5</v>
      </c>
      <c r="J439">
        <f>_xlfn.XLOOKUP(A439,'[1]Tissue Data'!$A:$A,'[1]Tissue Data'!M:M)</f>
        <v>14.62</v>
      </c>
      <c r="K439" t="s">
        <v>49</v>
      </c>
      <c r="L439" t="str">
        <f>_xlfn.XLOOKUP(K439,[2]analyte_order!$B:$B,[2]analyte_order!$C:$C)</f>
        <v>812-70-4</v>
      </c>
      <c r="M439">
        <f>_xlfn.XLOOKUP(L439,[2]analyte_order!$C:$C,[2]analyte_order!$E:$E)</f>
        <v>40</v>
      </c>
      <c r="N439">
        <v>5.5</v>
      </c>
    </row>
    <row r="440" spans="1:14">
      <c r="A440" t="s">
        <v>236</v>
      </c>
      <c r="B440" t="str">
        <f>_xlfn.XLOOKUP(A440,'[1]Tissue Data'!$A:$A,'[1]Tissue Data'!$C:$C)</f>
        <v>Down</v>
      </c>
      <c r="C440" s="2">
        <f>_xlfn.XLOOKUP(A440,'[1]Tissue Data'!$A:$A,'[1]Tissue Data'!$D:$D)</f>
        <v>44314</v>
      </c>
      <c r="D440" s="2" t="str">
        <f>_xlfn.XLOOKUP(A440,'[1]Tissue Data'!$A:$A,'[1]Tissue Data'!$F:$F)</f>
        <v>Pumpkinseed</v>
      </c>
      <c r="E440" t="str">
        <f>_xlfn.XLOOKUP(A440,'[1]Tissue Data'!$A:$A,'[1]Tissue Data'!$H:$H)</f>
        <v>Lepomis</v>
      </c>
      <c r="F440" t="str">
        <f>_xlfn.XLOOKUP(A440,'[1]Tissue Data'!$A:$A,'[1]Tissue Data'!$I:$I)</f>
        <v>gibbosus</v>
      </c>
      <c r="G440" t="str">
        <f>_xlfn.XLOOKUP(A440,'[1]Tissue Data'!$A:$A,'[1]Tissue Data'!J:J)</f>
        <v>U</v>
      </c>
      <c r="H440" t="str">
        <f>_xlfn.XLOOKUP(A440,'[1]Tissue Data'!$A:$A,'[1]Tissue Data'!K:K)</f>
        <v>Whole Body</v>
      </c>
      <c r="I440">
        <f>_xlfn.XLOOKUP(A440,'[1]Tissue Data'!$A:$A,'[1]Tissue Data'!L:L)</f>
        <v>8.5</v>
      </c>
      <c r="J440">
        <f>_xlfn.XLOOKUP(A440,'[1]Tissue Data'!$A:$A,'[1]Tissue Data'!M:M)</f>
        <v>14.62</v>
      </c>
      <c r="K440" t="s">
        <v>50</v>
      </c>
      <c r="L440" t="str">
        <f>_xlfn.XLOOKUP(K440,[2]analyte_order!$B:$B,[2]analyte_order!$C:$C)</f>
        <v>53826-12-3</v>
      </c>
      <c r="M440">
        <f>_xlfn.XLOOKUP(L440,[2]analyte_order!$C:$C,[2]analyte_order!$E:$E)</f>
        <v>41</v>
      </c>
      <c r="N440">
        <v>4.5553942367711368E-2</v>
      </c>
    </row>
    <row r="441" spans="1:14">
      <c r="A441" t="s">
        <v>236</v>
      </c>
      <c r="B441" t="str">
        <f>_xlfn.XLOOKUP(A441,'[1]Tissue Data'!$A:$A,'[1]Tissue Data'!$C:$C)</f>
        <v>Down</v>
      </c>
      <c r="C441" s="2">
        <f>_xlfn.XLOOKUP(A441,'[1]Tissue Data'!$A:$A,'[1]Tissue Data'!$D:$D)</f>
        <v>44314</v>
      </c>
      <c r="D441" s="2" t="str">
        <f>_xlfn.XLOOKUP(A441,'[1]Tissue Data'!$A:$A,'[1]Tissue Data'!$F:$F)</f>
        <v>Pumpkinseed</v>
      </c>
      <c r="E441" t="str">
        <f>_xlfn.XLOOKUP(A441,'[1]Tissue Data'!$A:$A,'[1]Tissue Data'!$H:$H)</f>
        <v>Lepomis</v>
      </c>
      <c r="F441" t="str">
        <f>_xlfn.XLOOKUP(A441,'[1]Tissue Data'!$A:$A,'[1]Tissue Data'!$I:$I)</f>
        <v>gibbosus</v>
      </c>
      <c r="G441" t="str">
        <f>_xlfn.XLOOKUP(A441,'[1]Tissue Data'!$A:$A,'[1]Tissue Data'!J:J)</f>
        <v>U</v>
      </c>
      <c r="H441" t="str">
        <f>_xlfn.XLOOKUP(A441,'[1]Tissue Data'!$A:$A,'[1]Tissue Data'!K:K)</f>
        <v>Whole Body</v>
      </c>
      <c r="I441">
        <f>_xlfn.XLOOKUP(A441,'[1]Tissue Data'!$A:$A,'[1]Tissue Data'!L:L)</f>
        <v>8.5</v>
      </c>
      <c r="J441">
        <f>_xlfn.XLOOKUP(A441,'[1]Tissue Data'!$A:$A,'[1]Tissue Data'!M:M)</f>
        <v>14.62</v>
      </c>
      <c r="K441" t="s">
        <v>51</v>
      </c>
      <c r="L441" t="str">
        <f>_xlfn.XLOOKUP(K441,[2]analyte_order!$B:$B,[2]analyte_order!$C:$C)</f>
        <v>27854-31-5</v>
      </c>
      <c r="M441">
        <f>_xlfn.XLOOKUP(L441,[2]analyte_order!$C:$C,[2]analyte_order!$E:$E)</f>
        <v>42</v>
      </c>
      <c r="N441">
        <v>2.8397258717958423E-2</v>
      </c>
    </row>
    <row r="442" spans="1:14">
      <c r="A442" t="s">
        <v>236</v>
      </c>
      <c r="B442" t="str">
        <f>_xlfn.XLOOKUP(A442,'[1]Tissue Data'!$A:$A,'[1]Tissue Data'!$C:$C)</f>
        <v>Down</v>
      </c>
      <c r="C442" s="2">
        <f>_xlfn.XLOOKUP(A442,'[1]Tissue Data'!$A:$A,'[1]Tissue Data'!$D:$D)</f>
        <v>44314</v>
      </c>
      <c r="D442" s="2" t="str">
        <f>_xlfn.XLOOKUP(A442,'[1]Tissue Data'!$A:$A,'[1]Tissue Data'!$F:$F)</f>
        <v>Pumpkinseed</v>
      </c>
      <c r="E442" t="str">
        <f>_xlfn.XLOOKUP(A442,'[1]Tissue Data'!$A:$A,'[1]Tissue Data'!$H:$H)</f>
        <v>Lepomis</v>
      </c>
      <c r="F442" t="str">
        <f>_xlfn.XLOOKUP(A442,'[1]Tissue Data'!$A:$A,'[1]Tissue Data'!$I:$I)</f>
        <v>gibbosus</v>
      </c>
      <c r="G442" t="str">
        <f>_xlfn.XLOOKUP(A442,'[1]Tissue Data'!$A:$A,'[1]Tissue Data'!J:J)</f>
        <v>U</v>
      </c>
      <c r="H442" t="str">
        <f>_xlfn.XLOOKUP(A442,'[1]Tissue Data'!$A:$A,'[1]Tissue Data'!K:K)</f>
        <v>Whole Body</v>
      </c>
      <c r="I442">
        <f>_xlfn.XLOOKUP(A442,'[1]Tissue Data'!$A:$A,'[1]Tissue Data'!L:L)</f>
        <v>8.5</v>
      </c>
      <c r="J442">
        <f>_xlfn.XLOOKUP(A442,'[1]Tissue Data'!$A:$A,'[1]Tissue Data'!M:M)</f>
        <v>14.62</v>
      </c>
      <c r="K442" t="s">
        <v>52</v>
      </c>
      <c r="L442" t="str">
        <f>_xlfn.XLOOKUP(K442,[2]analyte_order!$B:$B,[2]analyte_order!$C:$C)</f>
        <v>53826-13-4</v>
      </c>
      <c r="M442">
        <f>_xlfn.XLOOKUP(L442,[2]analyte_order!$C:$C,[2]analyte_order!$E:$E)</f>
        <v>43</v>
      </c>
      <c r="N442">
        <v>0.10593544175291546</v>
      </c>
    </row>
    <row r="443" spans="1:14">
      <c r="A443" t="s">
        <v>236</v>
      </c>
      <c r="B443" t="str">
        <f>_xlfn.XLOOKUP(A443,'[1]Tissue Data'!$A:$A,'[1]Tissue Data'!$C:$C)</f>
        <v>Down</v>
      </c>
      <c r="C443" s="2">
        <f>_xlfn.XLOOKUP(A443,'[1]Tissue Data'!$A:$A,'[1]Tissue Data'!$D:$D)</f>
        <v>44314</v>
      </c>
      <c r="D443" s="2" t="str">
        <f>_xlfn.XLOOKUP(A443,'[1]Tissue Data'!$A:$A,'[1]Tissue Data'!$F:$F)</f>
        <v>Pumpkinseed</v>
      </c>
      <c r="E443" t="str">
        <f>_xlfn.XLOOKUP(A443,'[1]Tissue Data'!$A:$A,'[1]Tissue Data'!$H:$H)</f>
        <v>Lepomis</v>
      </c>
      <c r="F443" t="str">
        <f>_xlfn.XLOOKUP(A443,'[1]Tissue Data'!$A:$A,'[1]Tissue Data'!$I:$I)</f>
        <v>gibbosus</v>
      </c>
      <c r="G443" t="str">
        <f>_xlfn.XLOOKUP(A443,'[1]Tissue Data'!$A:$A,'[1]Tissue Data'!J:J)</f>
        <v>U</v>
      </c>
      <c r="H443" t="str">
        <f>_xlfn.XLOOKUP(A443,'[1]Tissue Data'!$A:$A,'[1]Tissue Data'!K:K)</f>
        <v>Whole Body</v>
      </c>
      <c r="I443">
        <f>_xlfn.XLOOKUP(A443,'[1]Tissue Data'!$A:$A,'[1]Tissue Data'!L:L)</f>
        <v>8.5</v>
      </c>
      <c r="J443">
        <f>_xlfn.XLOOKUP(A443,'[1]Tissue Data'!$A:$A,'[1]Tissue Data'!M:M)</f>
        <v>14.62</v>
      </c>
      <c r="K443" t="s">
        <v>53</v>
      </c>
      <c r="L443" t="str">
        <f>_xlfn.XLOOKUP(K443,[2]analyte_order!$B:$B,[2]analyte_order!$C:$C)</f>
        <v>161094-75-3</v>
      </c>
      <c r="M443">
        <f>_xlfn.XLOOKUP(L443,[2]analyte_order!$C:$C,[2]analyte_order!$E:$E)</f>
        <v>44</v>
      </c>
      <c r="N443">
        <v>5.5743573804664721E-2</v>
      </c>
    </row>
    <row r="444" spans="1:14">
      <c r="A444" t="s">
        <v>236</v>
      </c>
      <c r="B444" t="str">
        <f>_xlfn.XLOOKUP(A444,'[1]Tissue Data'!$A:$A,'[1]Tissue Data'!$C:$C)</f>
        <v>Down</v>
      </c>
      <c r="C444" s="2">
        <f>_xlfn.XLOOKUP(A444,'[1]Tissue Data'!$A:$A,'[1]Tissue Data'!$D:$D)</f>
        <v>44314</v>
      </c>
      <c r="D444" s="2" t="str">
        <f>_xlfn.XLOOKUP(A444,'[1]Tissue Data'!$A:$A,'[1]Tissue Data'!$F:$F)</f>
        <v>Pumpkinseed</v>
      </c>
      <c r="E444" t="str">
        <f>_xlfn.XLOOKUP(A444,'[1]Tissue Data'!$A:$A,'[1]Tissue Data'!$H:$H)</f>
        <v>Lepomis</v>
      </c>
      <c r="F444" t="str">
        <f>_xlfn.XLOOKUP(A444,'[1]Tissue Data'!$A:$A,'[1]Tissue Data'!$I:$I)</f>
        <v>gibbosus</v>
      </c>
      <c r="G444" t="str">
        <f>_xlfn.XLOOKUP(A444,'[1]Tissue Data'!$A:$A,'[1]Tissue Data'!J:J)</f>
        <v>U</v>
      </c>
      <c r="H444" t="str">
        <f>_xlfn.XLOOKUP(A444,'[1]Tissue Data'!$A:$A,'[1]Tissue Data'!K:K)</f>
        <v>Whole Body</v>
      </c>
      <c r="I444">
        <f>_xlfn.XLOOKUP(A444,'[1]Tissue Data'!$A:$A,'[1]Tissue Data'!L:L)</f>
        <v>8.5</v>
      </c>
      <c r="J444">
        <f>_xlfn.XLOOKUP(A444,'[1]Tissue Data'!$A:$A,'[1]Tissue Data'!M:M)</f>
        <v>14.62</v>
      </c>
      <c r="K444" t="s">
        <v>54</v>
      </c>
      <c r="L444" t="str">
        <f>_xlfn.XLOOKUP(K444,[2]analyte_order!$B:$B,[2]analyte_order!$C:$C)</f>
        <v>70887-84-2</v>
      </c>
      <c r="M444">
        <f>_xlfn.XLOOKUP(L444,[2]analyte_order!$C:$C,[2]analyte_order!$E:$E)</f>
        <v>45</v>
      </c>
      <c r="N444">
        <v>4.2901480138119535E-2</v>
      </c>
    </row>
    <row r="445" spans="1:14">
      <c r="A445" t="s">
        <v>236</v>
      </c>
      <c r="B445" t="str">
        <f>_xlfn.XLOOKUP(A445,'[1]Tissue Data'!$A:$A,'[1]Tissue Data'!$C:$C)</f>
        <v>Down</v>
      </c>
      <c r="C445" s="2">
        <f>_xlfn.XLOOKUP(A445,'[1]Tissue Data'!$A:$A,'[1]Tissue Data'!$D:$D)</f>
        <v>44314</v>
      </c>
      <c r="D445" s="2" t="str">
        <f>_xlfn.XLOOKUP(A445,'[1]Tissue Data'!$A:$A,'[1]Tissue Data'!$F:$F)</f>
        <v>Pumpkinseed</v>
      </c>
      <c r="E445" t="str">
        <f>_xlfn.XLOOKUP(A445,'[1]Tissue Data'!$A:$A,'[1]Tissue Data'!$H:$H)</f>
        <v>Lepomis</v>
      </c>
      <c r="F445" t="str">
        <f>_xlfn.XLOOKUP(A445,'[1]Tissue Data'!$A:$A,'[1]Tissue Data'!$I:$I)</f>
        <v>gibbosus</v>
      </c>
      <c r="G445" t="str">
        <f>_xlfn.XLOOKUP(A445,'[1]Tissue Data'!$A:$A,'[1]Tissue Data'!J:J)</f>
        <v>U</v>
      </c>
      <c r="H445" t="str">
        <f>_xlfn.XLOOKUP(A445,'[1]Tissue Data'!$A:$A,'[1]Tissue Data'!K:K)</f>
        <v>Whole Body</v>
      </c>
      <c r="I445">
        <f>_xlfn.XLOOKUP(A445,'[1]Tissue Data'!$A:$A,'[1]Tissue Data'!L:L)</f>
        <v>8.5</v>
      </c>
      <c r="J445">
        <f>_xlfn.XLOOKUP(A445,'[1]Tissue Data'!$A:$A,'[1]Tissue Data'!M:M)</f>
        <v>14.62</v>
      </c>
      <c r="K445" t="s">
        <v>55</v>
      </c>
      <c r="L445" t="str">
        <f>_xlfn.XLOOKUP(K445,[2]analyte_order!$B:$B,[2]analyte_order!$C:$C)</f>
        <v>919005-14-4</v>
      </c>
      <c r="M445">
        <f>_xlfn.XLOOKUP(L445,[2]analyte_order!$C:$C,[2]analyte_order!$E:$E)</f>
        <v>35</v>
      </c>
      <c r="N445">
        <v>7.0993146794896073E-2</v>
      </c>
    </row>
    <row r="446" spans="1:14">
      <c r="A446" t="s">
        <v>236</v>
      </c>
      <c r="B446" t="str">
        <f>_xlfn.XLOOKUP(A446,'[1]Tissue Data'!$A:$A,'[1]Tissue Data'!$C:$C)</f>
        <v>Down</v>
      </c>
      <c r="C446" s="2">
        <f>_xlfn.XLOOKUP(A446,'[1]Tissue Data'!$A:$A,'[1]Tissue Data'!$D:$D)</f>
        <v>44314</v>
      </c>
      <c r="D446" s="2" t="str">
        <f>_xlfn.XLOOKUP(A446,'[1]Tissue Data'!$A:$A,'[1]Tissue Data'!$F:$F)</f>
        <v>Pumpkinseed</v>
      </c>
      <c r="E446" t="str">
        <f>_xlfn.XLOOKUP(A446,'[1]Tissue Data'!$A:$A,'[1]Tissue Data'!$H:$H)</f>
        <v>Lepomis</v>
      </c>
      <c r="F446" t="str">
        <f>_xlfn.XLOOKUP(A446,'[1]Tissue Data'!$A:$A,'[1]Tissue Data'!$I:$I)</f>
        <v>gibbosus</v>
      </c>
      <c r="G446" t="str">
        <f>_xlfn.XLOOKUP(A446,'[1]Tissue Data'!$A:$A,'[1]Tissue Data'!J:J)</f>
        <v>U</v>
      </c>
      <c r="H446" t="str">
        <f>_xlfn.XLOOKUP(A446,'[1]Tissue Data'!$A:$A,'[1]Tissue Data'!K:K)</f>
        <v>Whole Body</v>
      </c>
      <c r="I446">
        <f>_xlfn.XLOOKUP(A446,'[1]Tissue Data'!$A:$A,'[1]Tissue Data'!L:L)</f>
        <v>8.5</v>
      </c>
      <c r="J446">
        <f>_xlfn.XLOOKUP(A446,'[1]Tissue Data'!$A:$A,'[1]Tissue Data'!M:M)</f>
        <v>14.62</v>
      </c>
      <c r="K446" t="s">
        <v>56</v>
      </c>
      <c r="L446" t="str">
        <f>_xlfn.XLOOKUP(K446,[2]analyte_order!$B:$B,[2]analyte_order!$C:$C)</f>
        <v>756426-58-1</v>
      </c>
      <c r="M446">
        <f>_xlfn.XLOOKUP(L446,[2]analyte_order!$C:$C,[2]analyte_order!$E:$E)</f>
        <v>36</v>
      </c>
      <c r="N446">
        <v>4.9276814529883382E-2</v>
      </c>
    </row>
    <row r="447" spans="1:14">
      <c r="A447" t="s">
        <v>236</v>
      </c>
      <c r="B447" t="str">
        <f>_xlfn.XLOOKUP(A447,'[1]Tissue Data'!$A:$A,'[1]Tissue Data'!$C:$C)</f>
        <v>Down</v>
      </c>
      <c r="C447" s="2">
        <f>_xlfn.XLOOKUP(A447,'[1]Tissue Data'!$A:$A,'[1]Tissue Data'!$D:$D)</f>
        <v>44314</v>
      </c>
      <c r="D447" s="2" t="str">
        <f>_xlfn.XLOOKUP(A447,'[1]Tissue Data'!$A:$A,'[1]Tissue Data'!$F:$F)</f>
        <v>Pumpkinseed</v>
      </c>
      <c r="E447" t="str">
        <f>_xlfn.XLOOKUP(A447,'[1]Tissue Data'!$A:$A,'[1]Tissue Data'!$H:$H)</f>
        <v>Lepomis</v>
      </c>
      <c r="F447" t="str">
        <f>_xlfn.XLOOKUP(A447,'[1]Tissue Data'!$A:$A,'[1]Tissue Data'!$I:$I)</f>
        <v>gibbosus</v>
      </c>
      <c r="G447" t="str">
        <f>_xlfn.XLOOKUP(A447,'[1]Tissue Data'!$A:$A,'[1]Tissue Data'!J:J)</f>
        <v>U</v>
      </c>
      <c r="H447" t="str">
        <f>_xlfn.XLOOKUP(A447,'[1]Tissue Data'!$A:$A,'[1]Tissue Data'!K:K)</f>
        <v>Whole Body</v>
      </c>
      <c r="I447">
        <f>_xlfn.XLOOKUP(A447,'[1]Tissue Data'!$A:$A,'[1]Tissue Data'!L:L)</f>
        <v>8.5</v>
      </c>
      <c r="J447">
        <f>_xlfn.XLOOKUP(A447,'[1]Tissue Data'!$A:$A,'[1]Tissue Data'!M:M)</f>
        <v>14.62</v>
      </c>
      <c r="K447" t="s">
        <v>57</v>
      </c>
      <c r="L447" t="str">
        <f>_xlfn.XLOOKUP(K447,[2]analyte_order!$B:$B,[2]analyte_order!$C:$C)</f>
        <v>763051-92-9</v>
      </c>
      <c r="M447">
        <f>_xlfn.XLOOKUP(L447,[2]analyte_order!$C:$C,[2]analyte_order!$E:$E)</f>
        <v>37</v>
      </c>
      <c r="N447">
        <v>5.5941928458454811E-2</v>
      </c>
    </row>
    <row r="448" spans="1:14">
      <c r="A448" t="s">
        <v>236</v>
      </c>
      <c r="B448" t="str">
        <f>_xlfn.XLOOKUP(A448,'[1]Tissue Data'!$A:$A,'[1]Tissue Data'!$C:$C)</f>
        <v>Down</v>
      </c>
      <c r="C448" s="2">
        <f>_xlfn.XLOOKUP(A448,'[1]Tissue Data'!$A:$A,'[1]Tissue Data'!$D:$D)</f>
        <v>44314</v>
      </c>
      <c r="D448" s="2" t="str">
        <f>_xlfn.XLOOKUP(A448,'[1]Tissue Data'!$A:$A,'[1]Tissue Data'!$F:$F)</f>
        <v>Pumpkinseed</v>
      </c>
      <c r="E448" t="str">
        <f>_xlfn.XLOOKUP(A448,'[1]Tissue Data'!$A:$A,'[1]Tissue Data'!$H:$H)</f>
        <v>Lepomis</v>
      </c>
      <c r="F448" t="str">
        <f>_xlfn.XLOOKUP(A448,'[1]Tissue Data'!$A:$A,'[1]Tissue Data'!$I:$I)</f>
        <v>gibbosus</v>
      </c>
      <c r="G448" t="str">
        <f>_xlfn.XLOOKUP(A448,'[1]Tissue Data'!$A:$A,'[1]Tissue Data'!J:J)</f>
        <v>U</v>
      </c>
      <c r="H448" t="str">
        <f>_xlfn.XLOOKUP(A448,'[1]Tissue Data'!$A:$A,'[1]Tissue Data'!K:K)</f>
        <v>Whole Body</v>
      </c>
      <c r="I448">
        <f>_xlfn.XLOOKUP(A448,'[1]Tissue Data'!$A:$A,'[1]Tissue Data'!L:L)</f>
        <v>8.5</v>
      </c>
      <c r="J448">
        <f>_xlfn.XLOOKUP(A448,'[1]Tissue Data'!$A:$A,'[1]Tissue Data'!M:M)</f>
        <v>14.62</v>
      </c>
      <c r="K448" t="s">
        <v>58</v>
      </c>
      <c r="L448" t="str">
        <f>_xlfn.XLOOKUP(K448,[2]analyte_order!$B:$B,[2]analyte_order!$C:$C)</f>
        <v>13252-13-6</v>
      </c>
      <c r="M448">
        <f>_xlfn.XLOOKUP(L448,[2]analyte_order!$C:$C,[2]analyte_order!$E:$E)</f>
        <v>34</v>
      </c>
      <c r="N448">
        <v>0.10187719356778427</v>
      </c>
    </row>
    <row r="449" spans="1:14">
      <c r="A449" t="s">
        <v>236</v>
      </c>
      <c r="B449" t="str">
        <f>_xlfn.XLOOKUP(A449,'[1]Tissue Data'!$A:$A,'[1]Tissue Data'!$C:$C)</f>
        <v>Down</v>
      </c>
      <c r="C449" s="2">
        <f>_xlfn.XLOOKUP(A449,'[1]Tissue Data'!$A:$A,'[1]Tissue Data'!$D:$D)</f>
        <v>44314</v>
      </c>
      <c r="D449" s="2" t="str">
        <f>_xlfn.XLOOKUP(A449,'[1]Tissue Data'!$A:$A,'[1]Tissue Data'!$F:$F)</f>
        <v>Pumpkinseed</v>
      </c>
      <c r="E449" t="str">
        <f>_xlfn.XLOOKUP(A449,'[1]Tissue Data'!$A:$A,'[1]Tissue Data'!$H:$H)</f>
        <v>Lepomis</v>
      </c>
      <c r="F449" t="str">
        <f>_xlfn.XLOOKUP(A449,'[1]Tissue Data'!$A:$A,'[1]Tissue Data'!$I:$I)</f>
        <v>gibbosus</v>
      </c>
      <c r="G449" t="str">
        <f>_xlfn.XLOOKUP(A449,'[1]Tissue Data'!$A:$A,'[1]Tissue Data'!J:J)</f>
        <v>U</v>
      </c>
      <c r="H449" t="str">
        <f>_xlfn.XLOOKUP(A449,'[1]Tissue Data'!$A:$A,'[1]Tissue Data'!K:K)</f>
        <v>Whole Body</v>
      </c>
      <c r="I449">
        <f>_xlfn.XLOOKUP(A449,'[1]Tissue Data'!$A:$A,'[1]Tissue Data'!L:L)</f>
        <v>8.5</v>
      </c>
      <c r="J449">
        <f>_xlfn.XLOOKUP(A449,'[1]Tissue Data'!$A:$A,'[1]Tissue Data'!M:M)</f>
        <v>14.62</v>
      </c>
      <c r="K449" t="s">
        <v>59</v>
      </c>
      <c r="L449" t="str">
        <f>_xlfn.XLOOKUP(K449,[2]analyte_order!$B:$B,[2]analyte_order!$C:$C)</f>
        <v>57677-95-9</v>
      </c>
      <c r="M449">
        <f>_xlfn.XLOOKUP(L449,[2]analyte_order!$C:$C,[2]analyte_order!$E:$E)</f>
        <v>46</v>
      </c>
      <c r="N449">
        <v>7.5574258983236137E-2</v>
      </c>
    </row>
    <row r="450" spans="1:14">
      <c r="A450" t="s">
        <v>236</v>
      </c>
      <c r="B450" t="str">
        <f>_xlfn.XLOOKUP(A450,'[1]Tissue Data'!$A:$A,'[1]Tissue Data'!$C:$C)</f>
        <v>Down</v>
      </c>
      <c r="C450" s="2">
        <f>_xlfn.XLOOKUP(A450,'[1]Tissue Data'!$A:$A,'[1]Tissue Data'!$D:$D)</f>
        <v>44314</v>
      </c>
      <c r="D450" s="2" t="str">
        <f>_xlfn.XLOOKUP(A450,'[1]Tissue Data'!$A:$A,'[1]Tissue Data'!$F:$F)</f>
        <v>Pumpkinseed</v>
      </c>
      <c r="E450" t="str">
        <f>_xlfn.XLOOKUP(A450,'[1]Tissue Data'!$A:$A,'[1]Tissue Data'!$H:$H)</f>
        <v>Lepomis</v>
      </c>
      <c r="F450" t="str">
        <f>_xlfn.XLOOKUP(A450,'[1]Tissue Data'!$A:$A,'[1]Tissue Data'!$I:$I)</f>
        <v>gibbosus</v>
      </c>
      <c r="G450" t="str">
        <f>_xlfn.XLOOKUP(A450,'[1]Tissue Data'!$A:$A,'[1]Tissue Data'!J:J)</f>
        <v>U</v>
      </c>
      <c r="H450" t="str">
        <f>_xlfn.XLOOKUP(A450,'[1]Tissue Data'!$A:$A,'[1]Tissue Data'!K:K)</f>
        <v>Whole Body</v>
      </c>
      <c r="I450">
        <f>_xlfn.XLOOKUP(A450,'[1]Tissue Data'!$A:$A,'[1]Tissue Data'!L:L)</f>
        <v>8.5</v>
      </c>
      <c r="J450">
        <f>_xlfn.XLOOKUP(A450,'[1]Tissue Data'!$A:$A,'[1]Tissue Data'!M:M)</f>
        <v>14.62</v>
      </c>
      <c r="K450" t="s">
        <v>60</v>
      </c>
      <c r="L450" t="str">
        <f>_xlfn.XLOOKUP(K450,[2]analyte_order!$B:$B,[2]analyte_order!$C:$C)</f>
        <v>678-41-1</v>
      </c>
      <c r="M450">
        <f>_xlfn.XLOOKUP(L450,[2]analyte_order!$C:$C,[2]analyte_order!$E:$E)</f>
        <v>56</v>
      </c>
      <c r="N450">
        <v>9.4123708458454802E-2</v>
      </c>
    </row>
    <row r="451" spans="1:14">
      <c r="A451" t="s">
        <v>236</v>
      </c>
      <c r="B451" t="str">
        <f>_xlfn.XLOOKUP(A451,'[1]Tissue Data'!$A:$A,'[1]Tissue Data'!$C:$C)</f>
        <v>Down</v>
      </c>
      <c r="C451" s="2">
        <f>_xlfn.XLOOKUP(A451,'[1]Tissue Data'!$A:$A,'[1]Tissue Data'!$D:$D)</f>
        <v>44314</v>
      </c>
      <c r="D451" s="2" t="str">
        <f>_xlfn.XLOOKUP(A451,'[1]Tissue Data'!$A:$A,'[1]Tissue Data'!$F:$F)</f>
        <v>Pumpkinseed</v>
      </c>
      <c r="E451" t="str">
        <f>_xlfn.XLOOKUP(A451,'[1]Tissue Data'!$A:$A,'[1]Tissue Data'!$H:$H)</f>
        <v>Lepomis</v>
      </c>
      <c r="F451" t="str">
        <f>_xlfn.XLOOKUP(A451,'[1]Tissue Data'!$A:$A,'[1]Tissue Data'!$I:$I)</f>
        <v>gibbosus</v>
      </c>
      <c r="G451" t="str">
        <f>_xlfn.XLOOKUP(A451,'[1]Tissue Data'!$A:$A,'[1]Tissue Data'!J:J)</f>
        <v>U</v>
      </c>
      <c r="H451" t="str">
        <f>_xlfn.XLOOKUP(A451,'[1]Tissue Data'!$A:$A,'[1]Tissue Data'!K:K)</f>
        <v>Whole Body</v>
      </c>
      <c r="I451">
        <f>_xlfn.XLOOKUP(A451,'[1]Tissue Data'!$A:$A,'[1]Tissue Data'!L:L)</f>
        <v>8.5</v>
      </c>
      <c r="J451">
        <f>_xlfn.XLOOKUP(A451,'[1]Tissue Data'!$A:$A,'[1]Tissue Data'!M:M)</f>
        <v>14.62</v>
      </c>
      <c r="K451" t="s">
        <v>61</v>
      </c>
      <c r="L451" t="str">
        <f>_xlfn.XLOOKUP(K451,[2]analyte_order!$B:$B,[2]analyte_order!$C:$C)</f>
        <v>2965-52-8</v>
      </c>
      <c r="M451">
        <f>_xlfn.XLOOKUP(L451,[2]analyte_order!$C:$C,[2]analyte_order!$E:$E)</f>
        <v>57</v>
      </c>
      <c r="N451">
        <v>0.12494793835901706</v>
      </c>
    </row>
    <row r="452" spans="1:14">
      <c r="A452" t="s">
        <v>238</v>
      </c>
      <c r="B452" t="str">
        <f>_xlfn.XLOOKUP(A452,'[1]Tissue Data'!$A:$A,'[1]Tissue Data'!$C:$C)</f>
        <v>Down</v>
      </c>
      <c r="C452" s="2">
        <f>_xlfn.XLOOKUP(A452,'[1]Tissue Data'!$A:$A,'[1]Tissue Data'!$D:$D)</f>
        <v>44314</v>
      </c>
      <c r="D452" s="2" t="str">
        <f>_xlfn.XLOOKUP(A452,'[1]Tissue Data'!$A:$A,'[1]Tissue Data'!$F:$F)</f>
        <v>Pumpkinseed</v>
      </c>
      <c r="E452" t="str">
        <f>_xlfn.XLOOKUP(A452,'[1]Tissue Data'!$A:$A,'[1]Tissue Data'!$H:$H)</f>
        <v>Lepomis</v>
      </c>
      <c r="F452" t="str">
        <f>_xlfn.XLOOKUP(A452,'[1]Tissue Data'!$A:$A,'[1]Tissue Data'!$I:$I)</f>
        <v>gibbosus</v>
      </c>
      <c r="G452" t="str">
        <f>_xlfn.XLOOKUP(A452,'[1]Tissue Data'!$A:$A,'[1]Tissue Data'!J:J)</f>
        <v>U</v>
      </c>
      <c r="H452" t="str">
        <f>_xlfn.XLOOKUP(A452,'[1]Tissue Data'!$A:$A,'[1]Tissue Data'!K:K)</f>
        <v>Whole Body</v>
      </c>
      <c r="I452">
        <f>_xlfn.XLOOKUP(A452,'[1]Tissue Data'!$A:$A,'[1]Tissue Data'!L:L)</f>
        <v>8</v>
      </c>
      <c r="J452">
        <f>_xlfn.XLOOKUP(A452,'[1]Tissue Data'!$A:$A,'[1]Tissue Data'!M:M)</f>
        <v>4.75</v>
      </c>
      <c r="K452" t="s">
        <v>12</v>
      </c>
      <c r="L452" t="str">
        <f>_xlfn.XLOOKUP(K452,[2]analyte_order!$B:$B,[2]analyte_order!$C:$C)</f>
        <v>375-22-4</v>
      </c>
      <c r="M452">
        <f>_xlfn.XLOOKUP(L452,[2]analyte_order!$C:$C,[2]analyte_order!$E:$E)</f>
        <v>1</v>
      </c>
      <c r="N452">
        <v>9.3516209476309217E-2</v>
      </c>
    </row>
    <row r="453" spans="1:14">
      <c r="A453" t="s">
        <v>238</v>
      </c>
      <c r="B453" t="str">
        <f>_xlfn.XLOOKUP(A453,'[1]Tissue Data'!$A:$A,'[1]Tissue Data'!$C:$C)</f>
        <v>Down</v>
      </c>
      <c r="C453" s="2">
        <f>_xlfn.XLOOKUP(A453,'[1]Tissue Data'!$A:$A,'[1]Tissue Data'!$D:$D)</f>
        <v>44314</v>
      </c>
      <c r="D453" s="2" t="str">
        <f>_xlfn.XLOOKUP(A453,'[1]Tissue Data'!$A:$A,'[1]Tissue Data'!$F:$F)</f>
        <v>Pumpkinseed</v>
      </c>
      <c r="E453" t="str">
        <f>_xlfn.XLOOKUP(A453,'[1]Tissue Data'!$A:$A,'[1]Tissue Data'!$H:$H)</f>
        <v>Lepomis</v>
      </c>
      <c r="F453" t="str">
        <f>_xlfn.XLOOKUP(A453,'[1]Tissue Data'!$A:$A,'[1]Tissue Data'!$I:$I)</f>
        <v>gibbosus</v>
      </c>
      <c r="G453" t="str">
        <f>_xlfn.XLOOKUP(A453,'[1]Tissue Data'!$A:$A,'[1]Tissue Data'!J:J)</f>
        <v>U</v>
      </c>
      <c r="H453" t="str">
        <f>_xlfn.XLOOKUP(A453,'[1]Tissue Data'!$A:$A,'[1]Tissue Data'!K:K)</f>
        <v>Whole Body</v>
      </c>
      <c r="I453">
        <f>_xlfn.XLOOKUP(A453,'[1]Tissue Data'!$A:$A,'[1]Tissue Data'!L:L)</f>
        <v>8</v>
      </c>
      <c r="J453">
        <f>_xlfn.XLOOKUP(A453,'[1]Tissue Data'!$A:$A,'[1]Tissue Data'!M:M)</f>
        <v>4.75</v>
      </c>
      <c r="K453" t="s">
        <v>13</v>
      </c>
      <c r="L453" t="str">
        <f>_xlfn.XLOOKUP(K453,[2]analyte_order!$B:$B,[2]analyte_order!$C:$C)</f>
        <v>2706-90-3</v>
      </c>
      <c r="M453">
        <f>_xlfn.XLOOKUP(L453,[2]analyte_order!$C:$C,[2]analyte_order!$E:$E)</f>
        <v>2</v>
      </c>
      <c r="N453">
        <v>4.8048344313285467E-2</v>
      </c>
    </row>
    <row r="454" spans="1:14">
      <c r="A454" t="s">
        <v>238</v>
      </c>
      <c r="B454" t="str">
        <f>_xlfn.XLOOKUP(A454,'[1]Tissue Data'!$A:$A,'[1]Tissue Data'!$C:$C)</f>
        <v>Down</v>
      </c>
      <c r="C454" s="2">
        <f>_xlfn.XLOOKUP(A454,'[1]Tissue Data'!$A:$A,'[1]Tissue Data'!$D:$D)</f>
        <v>44314</v>
      </c>
      <c r="D454" s="2" t="str">
        <f>_xlfn.XLOOKUP(A454,'[1]Tissue Data'!$A:$A,'[1]Tissue Data'!$F:$F)</f>
        <v>Pumpkinseed</v>
      </c>
      <c r="E454" t="str">
        <f>_xlfn.XLOOKUP(A454,'[1]Tissue Data'!$A:$A,'[1]Tissue Data'!$H:$H)</f>
        <v>Lepomis</v>
      </c>
      <c r="F454" t="str">
        <f>_xlfn.XLOOKUP(A454,'[1]Tissue Data'!$A:$A,'[1]Tissue Data'!$I:$I)</f>
        <v>gibbosus</v>
      </c>
      <c r="G454" t="str">
        <f>_xlfn.XLOOKUP(A454,'[1]Tissue Data'!$A:$A,'[1]Tissue Data'!J:J)</f>
        <v>U</v>
      </c>
      <c r="H454" t="str">
        <f>_xlfn.XLOOKUP(A454,'[1]Tissue Data'!$A:$A,'[1]Tissue Data'!K:K)</f>
        <v>Whole Body</v>
      </c>
      <c r="I454">
        <f>_xlfn.XLOOKUP(A454,'[1]Tissue Data'!$A:$A,'[1]Tissue Data'!L:L)</f>
        <v>8</v>
      </c>
      <c r="J454">
        <f>_xlfn.XLOOKUP(A454,'[1]Tissue Data'!$A:$A,'[1]Tissue Data'!M:M)</f>
        <v>4.75</v>
      </c>
      <c r="K454" t="s">
        <v>14</v>
      </c>
      <c r="L454" t="str">
        <f>_xlfn.XLOOKUP(K454,[2]analyte_order!$B:$B,[2]analyte_order!$C:$C)</f>
        <v>307-24-4</v>
      </c>
      <c r="M454">
        <f>_xlfn.XLOOKUP(L454,[2]analyte_order!$C:$C,[2]analyte_order!$E:$E)</f>
        <v>3</v>
      </c>
      <c r="N454">
        <v>0.12617470237878739</v>
      </c>
    </row>
    <row r="455" spans="1:14">
      <c r="A455" t="s">
        <v>238</v>
      </c>
      <c r="B455" t="str">
        <f>_xlfn.XLOOKUP(A455,'[1]Tissue Data'!$A:$A,'[1]Tissue Data'!$C:$C)</f>
        <v>Down</v>
      </c>
      <c r="C455" s="2">
        <f>_xlfn.XLOOKUP(A455,'[1]Tissue Data'!$A:$A,'[1]Tissue Data'!$D:$D)</f>
        <v>44314</v>
      </c>
      <c r="D455" s="2" t="str">
        <f>_xlfn.XLOOKUP(A455,'[1]Tissue Data'!$A:$A,'[1]Tissue Data'!$F:$F)</f>
        <v>Pumpkinseed</v>
      </c>
      <c r="E455" t="str">
        <f>_xlfn.XLOOKUP(A455,'[1]Tissue Data'!$A:$A,'[1]Tissue Data'!$H:$H)</f>
        <v>Lepomis</v>
      </c>
      <c r="F455" t="str">
        <f>_xlfn.XLOOKUP(A455,'[1]Tissue Data'!$A:$A,'[1]Tissue Data'!$I:$I)</f>
        <v>gibbosus</v>
      </c>
      <c r="G455" t="str">
        <f>_xlfn.XLOOKUP(A455,'[1]Tissue Data'!$A:$A,'[1]Tissue Data'!J:J)</f>
        <v>U</v>
      </c>
      <c r="H455" t="str">
        <f>_xlfn.XLOOKUP(A455,'[1]Tissue Data'!$A:$A,'[1]Tissue Data'!K:K)</f>
        <v>Whole Body</v>
      </c>
      <c r="I455">
        <f>_xlfn.XLOOKUP(A455,'[1]Tissue Data'!$A:$A,'[1]Tissue Data'!L:L)</f>
        <v>8</v>
      </c>
      <c r="J455">
        <f>_xlfn.XLOOKUP(A455,'[1]Tissue Data'!$A:$A,'[1]Tissue Data'!M:M)</f>
        <v>4.75</v>
      </c>
      <c r="K455" t="s">
        <v>15</v>
      </c>
      <c r="L455" t="str">
        <f>_xlfn.XLOOKUP(K455,[2]analyte_order!$B:$B,[2]analyte_order!$C:$C)</f>
        <v>375-85-9</v>
      </c>
      <c r="M455">
        <f>_xlfn.XLOOKUP(L455,[2]analyte_order!$C:$C,[2]analyte_order!$E:$E)</f>
        <v>4</v>
      </c>
      <c r="N455">
        <v>9.3516209476309217E-2</v>
      </c>
    </row>
    <row r="456" spans="1:14">
      <c r="A456" t="s">
        <v>238</v>
      </c>
      <c r="B456" t="str">
        <f>_xlfn.XLOOKUP(A456,'[1]Tissue Data'!$A:$A,'[1]Tissue Data'!$C:$C)</f>
        <v>Down</v>
      </c>
      <c r="C456" s="2">
        <f>_xlfn.XLOOKUP(A456,'[1]Tissue Data'!$A:$A,'[1]Tissue Data'!$D:$D)</f>
        <v>44314</v>
      </c>
      <c r="D456" s="2" t="str">
        <f>_xlfn.XLOOKUP(A456,'[1]Tissue Data'!$A:$A,'[1]Tissue Data'!$F:$F)</f>
        <v>Pumpkinseed</v>
      </c>
      <c r="E456" t="str">
        <f>_xlfn.XLOOKUP(A456,'[1]Tissue Data'!$A:$A,'[1]Tissue Data'!$H:$H)</f>
        <v>Lepomis</v>
      </c>
      <c r="F456" t="str">
        <f>_xlfn.XLOOKUP(A456,'[1]Tissue Data'!$A:$A,'[1]Tissue Data'!$I:$I)</f>
        <v>gibbosus</v>
      </c>
      <c r="G456" t="str">
        <f>_xlfn.XLOOKUP(A456,'[1]Tissue Data'!$A:$A,'[1]Tissue Data'!J:J)</f>
        <v>U</v>
      </c>
      <c r="H456" t="str">
        <f>_xlfn.XLOOKUP(A456,'[1]Tissue Data'!$A:$A,'[1]Tissue Data'!K:K)</f>
        <v>Whole Body</v>
      </c>
      <c r="I456">
        <f>_xlfn.XLOOKUP(A456,'[1]Tissue Data'!$A:$A,'[1]Tissue Data'!L:L)</f>
        <v>8</v>
      </c>
      <c r="J456">
        <f>_xlfn.XLOOKUP(A456,'[1]Tissue Data'!$A:$A,'[1]Tissue Data'!M:M)</f>
        <v>4.75</v>
      </c>
      <c r="K456" t="s">
        <v>16</v>
      </c>
      <c r="L456" t="str">
        <f>_xlfn.XLOOKUP(K456,[2]analyte_order!$B:$B,[2]analyte_order!$C:$C)</f>
        <v>335-67-1</v>
      </c>
      <c r="M456">
        <f>_xlfn.XLOOKUP(L456,[2]analyte_order!$C:$C,[2]analyte_order!$E:$E)</f>
        <v>5</v>
      </c>
      <c r="N456">
        <v>1.37</v>
      </c>
    </row>
    <row r="457" spans="1:14">
      <c r="A457" t="s">
        <v>238</v>
      </c>
      <c r="B457" t="str">
        <f>_xlfn.XLOOKUP(A457,'[1]Tissue Data'!$A:$A,'[1]Tissue Data'!$C:$C)</f>
        <v>Down</v>
      </c>
      <c r="C457" s="2">
        <f>_xlfn.XLOOKUP(A457,'[1]Tissue Data'!$A:$A,'[1]Tissue Data'!$D:$D)</f>
        <v>44314</v>
      </c>
      <c r="D457" s="2" t="str">
        <f>_xlfn.XLOOKUP(A457,'[1]Tissue Data'!$A:$A,'[1]Tissue Data'!$F:$F)</f>
        <v>Pumpkinseed</v>
      </c>
      <c r="E457" t="str">
        <f>_xlfn.XLOOKUP(A457,'[1]Tissue Data'!$A:$A,'[1]Tissue Data'!$H:$H)</f>
        <v>Lepomis</v>
      </c>
      <c r="F457" t="str">
        <f>_xlfn.XLOOKUP(A457,'[1]Tissue Data'!$A:$A,'[1]Tissue Data'!$I:$I)</f>
        <v>gibbosus</v>
      </c>
      <c r="G457" t="str">
        <f>_xlfn.XLOOKUP(A457,'[1]Tissue Data'!$A:$A,'[1]Tissue Data'!J:J)</f>
        <v>U</v>
      </c>
      <c r="H457" t="str">
        <f>_xlfn.XLOOKUP(A457,'[1]Tissue Data'!$A:$A,'[1]Tissue Data'!K:K)</f>
        <v>Whole Body</v>
      </c>
      <c r="I457">
        <f>_xlfn.XLOOKUP(A457,'[1]Tissue Data'!$A:$A,'[1]Tissue Data'!L:L)</f>
        <v>8</v>
      </c>
      <c r="J457">
        <f>_xlfn.XLOOKUP(A457,'[1]Tissue Data'!$A:$A,'[1]Tissue Data'!M:M)</f>
        <v>4.75</v>
      </c>
      <c r="K457" t="s">
        <v>17</v>
      </c>
      <c r="L457" t="str">
        <f>_xlfn.XLOOKUP(K457,[2]analyte_order!$B:$B,[2]analyte_order!$C:$C)</f>
        <v>375-95-1</v>
      </c>
      <c r="M457">
        <f>_xlfn.XLOOKUP(L457,[2]analyte_order!$C:$C,[2]analyte_order!$E:$E)</f>
        <v>6</v>
      </c>
      <c r="N457">
        <v>0.82199999999999995</v>
      </c>
    </row>
    <row r="458" spans="1:14">
      <c r="A458" t="s">
        <v>238</v>
      </c>
      <c r="B458" t="str">
        <f>_xlfn.XLOOKUP(A458,'[1]Tissue Data'!$A:$A,'[1]Tissue Data'!$C:$C)</f>
        <v>Down</v>
      </c>
      <c r="C458" s="2">
        <f>_xlfn.XLOOKUP(A458,'[1]Tissue Data'!$A:$A,'[1]Tissue Data'!$D:$D)</f>
        <v>44314</v>
      </c>
      <c r="D458" s="2" t="str">
        <f>_xlfn.XLOOKUP(A458,'[1]Tissue Data'!$A:$A,'[1]Tissue Data'!$F:$F)</f>
        <v>Pumpkinseed</v>
      </c>
      <c r="E458" t="str">
        <f>_xlfn.XLOOKUP(A458,'[1]Tissue Data'!$A:$A,'[1]Tissue Data'!$H:$H)</f>
        <v>Lepomis</v>
      </c>
      <c r="F458" t="str">
        <f>_xlfn.XLOOKUP(A458,'[1]Tissue Data'!$A:$A,'[1]Tissue Data'!$I:$I)</f>
        <v>gibbosus</v>
      </c>
      <c r="G458" t="str">
        <f>_xlfn.XLOOKUP(A458,'[1]Tissue Data'!$A:$A,'[1]Tissue Data'!J:J)</f>
        <v>U</v>
      </c>
      <c r="H458" t="str">
        <f>_xlfn.XLOOKUP(A458,'[1]Tissue Data'!$A:$A,'[1]Tissue Data'!K:K)</f>
        <v>Whole Body</v>
      </c>
      <c r="I458">
        <f>_xlfn.XLOOKUP(A458,'[1]Tissue Data'!$A:$A,'[1]Tissue Data'!L:L)</f>
        <v>8</v>
      </c>
      <c r="J458">
        <f>_xlfn.XLOOKUP(A458,'[1]Tissue Data'!$A:$A,'[1]Tissue Data'!M:M)</f>
        <v>4.75</v>
      </c>
      <c r="K458" t="s">
        <v>18</v>
      </c>
      <c r="L458" t="str">
        <f>_xlfn.XLOOKUP(K458,[2]analyte_order!$B:$B,[2]analyte_order!$C:$C)</f>
        <v>335-76-2</v>
      </c>
      <c r="M458">
        <f>_xlfn.XLOOKUP(L458,[2]analyte_order!$C:$C,[2]analyte_order!$E:$E)</f>
        <v>7</v>
      </c>
      <c r="N458">
        <v>5.0199999999999996</v>
      </c>
    </row>
    <row r="459" spans="1:14">
      <c r="A459" t="s">
        <v>238</v>
      </c>
      <c r="B459" t="str">
        <f>_xlfn.XLOOKUP(A459,'[1]Tissue Data'!$A:$A,'[1]Tissue Data'!$C:$C)</f>
        <v>Down</v>
      </c>
      <c r="C459" s="2">
        <f>_xlfn.XLOOKUP(A459,'[1]Tissue Data'!$A:$A,'[1]Tissue Data'!$D:$D)</f>
        <v>44314</v>
      </c>
      <c r="D459" s="2" t="str">
        <f>_xlfn.XLOOKUP(A459,'[1]Tissue Data'!$A:$A,'[1]Tissue Data'!$F:$F)</f>
        <v>Pumpkinseed</v>
      </c>
      <c r="E459" t="str">
        <f>_xlfn.XLOOKUP(A459,'[1]Tissue Data'!$A:$A,'[1]Tissue Data'!$H:$H)</f>
        <v>Lepomis</v>
      </c>
      <c r="F459" t="str">
        <f>_xlfn.XLOOKUP(A459,'[1]Tissue Data'!$A:$A,'[1]Tissue Data'!$I:$I)</f>
        <v>gibbosus</v>
      </c>
      <c r="G459" t="str">
        <f>_xlfn.XLOOKUP(A459,'[1]Tissue Data'!$A:$A,'[1]Tissue Data'!J:J)</f>
        <v>U</v>
      </c>
      <c r="H459" t="str">
        <f>_xlfn.XLOOKUP(A459,'[1]Tissue Data'!$A:$A,'[1]Tissue Data'!K:K)</f>
        <v>Whole Body</v>
      </c>
      <c r="I459">
        <f>_xlfn.XLOOKUP(A459,'[1]Tissue Data'!$A:$A,'[1]Tissue Data'!L:L)</f>
        <v>8</v>
      </c>
      <c r="J459">
        <f>_xlfn.XLOOKUP(A459,'[1]Tissue Data'!$A:$A,'[1]Tissue Data'!M:M)</f>
        <v>4.75</v>
      </c>
      <c r="K459" t="s">
        <v>19</v>
      </c>
      <c r="L459" t="str">
        <f>_xlfn.XLOOKUP(K459,[2]analyte_order!$B:$B,[2]analyte_order!$C:$C)</f>
        <v>2058-94-8</v>
      </c>
      <c r="M459">
        <f>_xlfn.XLOOKUP(L459,[2]analyte_order!$C:$C,[2]analyte_order!$E:$E)</f>
        <v>8</v>
      </c>
      <c r="N459">
        <v>9.27</v>
      </c>
    </row>
    <row r="460" spans="1:14">
      <c r="A460" t="s">
        <v>238</v>
      </c>
      <c r="B460" t="str">
        <f>_xlfn.XLOOKUP(A460,'[1]Tissue Data'!$A:$A,'[1]Tissue Data'!$C:$C)</f>
        <v>Down</v>
      </c>
      <c r="C460" s="2">
        <f>_xlfn.XLOOKUP(A460,'[1]Tissue Data'!$A:$A,'[1]Tissue Data'!$D:$D)</f>
        <v>44314</v>
      </c>
      <c r="D460" s="2" t="str">
        <f>_xlfn.XLOOKUP(A460,'[1]Tissue Data'!$A:$A,'[1]Tissue Data'!$F:$F)</f>
        <v>Pumpkinseed</v>
      </c>
      <c r="E460" t="str">
        <f>_xlfn.XLOOKUP(A460,'[1]Tissue Data'!$A:$A,'[1]Tissue Data'!$H:$H)</f>
        <v>Lepomis</v>
      </c>
      <c r="F460" t="str">
        <f>_xlfn.XLOOKUP(A460,'[1]Tissue Data'!$A:$A,'[1]Tissue Data'!$I:$I)</f>
        <v>gibbosus</v>
      </c>
      <c r="G460" t="str">
        <f>_xlfn.XLOOKUP(A460,'[1]Tissue Data'!$A:$A,'[1]Tissue Data'!J:J)</f>
        <v>U</v>
      </c>
      <c r="H460" t="str">
        <f>_xlfn.XLOOKUP(A460,'[1]Tissue Data'!$A:$A,'[1]Tissue Data'!K:K)</f>
        <v>Whole Body</v>
      </c>
      <c r="I460">
        <f>_xlfn.XLOOKUP(A460,'[1]Tissue Data'!$A:$A,'[1]Tissue Data'!L:L)</f>
        <v>8</v>
      </c>
      <c r="J460">
        <f>_xlfn.XLOOKUP(A460,'[1]Tissue Data'!$A:$A,'[1]Tissue Data'!M:M)</f>
        <v>4.75</v>
      </c>
      <c r="K460" t="s">
        <v>20</v>
      </c>
      <c r="L460" t="str">
        <f>_xlfn.XLOOKUP(K460,[2]analyte_order!$B:$B,[2]analyte_order!$C:$C)</f>
        <v>307-55-1</v>
      </c>
      <c r="M460">
        <f>_xlfn.XLOOKUP(L460,[2]analyte_order!$C:$C,[2]analyte_order!$E:$E)</f>
        <v>9</v>
      </c>
      <c r="N460">
        <v>5.429790736535009E-2</v>
      </c>
    </row>
    <row r="461" spans="1:14">
      <c r="A461" t="s">
        <v>238</v>
      </c>
      <c r="B461" t="str">
        <f>_xlfn.XLOOKUP(A461,'[1]Tissue Data'!$A:$A,'[1]Tissue Data'!$C:$C)</f>
        <v>Down</v>
      </c>
      <c r="C461" s="2">
        <f>_xlfn.XLOOKUP(A461,'[1]Tissue Data'!$A:$A,'[1]Tissue Data'!$D:$D)</f>
        <v>44314</v>
      </c>
      <c r="D461" s="2" t="str">
        <f>_xlfn.XLOOKUP(A461,'[1]Tissue Data'!$A:$A,'[1]Tissue Data'!$F:$F)</f>
        <v>Pumpkinseed</v>
      </c>
      <c r="E461" t="str">
        <f>_xlfn.XLOOKUP(A461,'[1]Tissue Data'!$A:$A,'[1]Tissue Data'!$H:$H)</f>
        <v>Lepomis</v>
      </c>
      <c r="F461" t="str">
        <f>_xlfn.XLOOKUP(A461,'[1]Tissue Data'!$A:$A,'[1]Tissue Data'!$I:$I)</f>
        <v>gibbosus</v>
      </c>
      <c r="G461" t="str">
        <f>_xlfn.XLOOKUP(A461,'[1]Tissue Data'!$A:$A,'[1]Tissue Data'!J:J)</f>
        <v>U</v>
      </c>
      <c r="H461" t="str">
        <f>_xlfn.XLOOKUP(A461,'[1]Tissue Data'!$A:$A,'[1]Tissue Data'!K:K)</f>
        <v>Whole Body</v>
      </c>
      <c r="I461">
        <f>_xlfn.XLOOKUP(A461,'[1]Tissue Data'!$A:$A,'[1]Tissue Data'!L:L)</f>
        <v>8</v>
      </c>
      <c r="J461">
        <f>_xlfn.XLOOKUP(A461,'[1]Tissue Data'!$A:$A,'[1]Tissue Data'!M:M)</f>
        <v>4.75</v>
      </c>
      <c r="K461" t="s">
        <v>21</v>
      </c>
      <c r="L461" t="str">
        <f>_xlfn.XLOOKUP(K461,[2]analyte_order!$B:$B,[2]analyte_order!$C:$C)</f>
        <v>72629-94-8</v>
      </c>
      <c r="M461">
        <f>_xlfn.XLOOKUP(L461,[2]analyte_order!$C:$C,[2]analyte_order!$E:$E)</f>
        <v>10</v>
      </c>
      <c r="N461">
        <v>2.5099999999999998</v>
      </c>
    </row>
    <row r="462" spans="1:14">
      <c r="A462" t="s">
        <v>238</v>
      </c>
      <c r="B462" t="str">
        <f>_xlfn.XLOOKUP(A462,'[1]Tissue Data'!$A:$A,'[1]Tissue Data'!$C:$C)</f>
        <v>Down</v>
      </c>
      <c r="C462" s="2">
        <f>_xlfn.XLOOKUP(A462,'[1]Tissue Data'!$A:$A,'[1]Tissue Data'!$D:$D)</f>
        <v>44314</v>
      </c>
      <c r="D462" s="2" t="str">
        <f>_xlfn.XLOOKUP(A462,'[1]Tissue Data'!$A:$A,'[1]Tissue Data'!$F:$F)</f>
        <v>Pumpkinseed</v>
      </c>
      <c r="E462" t="str">
        <f>_xlfn.XLOOKUP(A462,'[1]Tissue Data'!$A:$A,'[1]Tissue Data'!$H:$H)</f>
        <v>Lepomis</v>
      </c>
      <c r="F462" t="str">
        <f>_xlfn.XLOOKUP(A462,'[1]Tissue Data'!$A:$A,'[1]Tissue Data'!$I:$I)</f>
        <v>gibbosus</v>
      </c>
      <c r="G462" t="str">
        <f>_xlfn.XLOOKUP(A462,'[1]Tissue Data'!$A:$A,'[1]Tissue Data'!J:J)</f>
        <v>U</v>
      </c>
      <c r="H462" t="str">
        <f>_xlfn.XLOOKUP(A462,'[1]Tissue Data'!$A:$A,'[1]Tissue Data'!K:K)</f>
        <v>Whole Body</v>
      </c>
      <c r="I462">
        <f>_xlfn.XLOOKUP(A462,'[1]Tissue Data'!$A:$A,'[1]Tissue Data'!L:L)</f>
        <v>8</v>
      </c>
      <c r="J462">
        <f>_xlfn.XLOOKUP(A462,'[1]Tissue Data'!$A:$A,'[1]Tissue Data'!M:M)</f>
        <v>4.75</v>
      </c>
      <c r="K462" t="s">
        <v>22</v>
      </c>
      <c r="L462" t="str">
        <f>_xlfn.XLOOKUP(K462,[2]analyte_order!$B:$B,[2]analyte_order!$C:$C)</f>
        <v>376-06-7</v>
      </c>
      <c r="M462">
        <f>_xlfn.XLOOKUP(L462,[2]analyte_order!$C:$C,[2]analyte_order!$E:$E)</f>
        <v>11</v>
      </c>
      <c r="N462">
        <v>5.49</v>
      </c>
    </row>
    <row r="463" spans="1:14">
      <c r="A463" t="s">
        <v>238</v>
      </c>
      <c r="B463" t="str">
        <f>_xlfn.XLOOKUP(A463,'[1]Tissue Data'!$A:$A,'[1]Tissue Data'!$C:$C)</f>
        <v>Down</v>
      </c>
      <c r="C463" s="2">
        <f>_xlfn.XLOOKUP(A463,'[1]Tissue Data'!$A:$A,'[1]Tissue Data'!$D:$D)</f>
        <v>44314</v>
      </c>
      <c r="D463" s="2" t="str">
        <f>_xlfn.XLOOKUP(A463,'[1]Tissue Data'!$A:$A,'[1]Tissue Data'!$F:$F)</f>
        <v>Pumpkinseed</v>
      </c>
      <c r="E463" t="str">
        <f>_xlfn.XLOOKUP(A463,'[1]Tissue Data'!$A:$A,'[1]Tissue Data'!$H:$H)</f>
        <v>Lepomis</v>
      </c>
      <c r="F463" t="str">
        <f>_xlfn.XLOOKUP(A463,'[1]Tissue Data'!$A:$A,'[1]Tissue Data'!$I:$I)</f>
        <v>gibbosus</v>
      </c>
      <c r="G463" t="str">
        <f>_xlfn.XLOOKUP(A463,'[1]Tissue Data'!$A:$A,'[1]Tissue Data'!J:J)</f>
        <v>U</v>
      </c>
      <c r="H463" t="str">
        <f>_xlfn.XLOOKUP(A463,'[1]Tissue Data'!$A:$A,'[1]Tissue Data'!K:K)</f>
        <v>Whole Body</v>
      </c>
      <c r="I463">
        <f>_xlfn.XLOOKUP(A463,'[1]Tissue Data'!$A:$A,'[1]Tissue Data'!L:L)</f>
        <v>8</v>
      </c>
      <c r="J463">
        <f>_xlfn.XLOOKUP(A463,'[1]Tissue Data'!$A:$A,'[1]Tissue Data'!M:M)</f>
        <v>4.75</v>
      </c>
      <c r="K463" t="s">
        <v>23</v>
      </c>
      <c r="L463" t="str">
        <f>_xlfn.XLOOKUP(K463,[2]analyte_order!$B:$B,[2]analyte_order!$C:$C)</f>
        <v>67905-19-5</v>
      </c>
      <c r="M463">
        <f>_xlfn.XLOOKUP(L463,[2]analyte_order!$C:$C,[2]analyte_order!$E:$E)</f>
        <v>12</v>
      </c>
      <c r="N463">
        <v>8.1048374784560159E-2</v>
      </c>
    </row>
    <row r="464" spans="1:14">
      <c r="A464" t="s">
        <v>238</v>
      </c>
      <c r="B464" t="str">
        <f>_xlfn.XLOOKUP(A464,'[1]Tissue Data'!$A:$A,'[1]Tissue Data'!$C:$C)</f>
        <v>Down</v>
      </c>
      <c r="C464" s="2">
        <f>_xlfn.XLOOKUP(A464,'[1]Tissue Data'!$A:$A,'[1]Tissue Data'!$D:$D)</f>
        <v>44314</v>
      </c>
      <c r="D464" s="2" t="str">
        <f>_xlfn.XLOOKUP(A464,'[1]Tissue Data'!$A:$A,'[1]Tissue Data'!$F:$F)</f>
        <v>Pumpkinseed</v>
      </c>
      <c r="E464" t="str">
        <f>_xlfn.XLOOKUP(A464,'[1]Tissue Data'!$A:$A,'[1]Tissue Data'!$H:$H)</f>
        <v>Lepomis</v>
      </c>
      <c r="F464" t="str">
        <f>_xlfn.XLOOKUP(A464,'[1]Tissue Data'!$A:$A,'[1]Tissue Data'!$I:$I)</f>
        <v>gibbosus</v>
      </c>
      <c r="G464" t="str">
        <f>_xlfn.XLOOKUP(A464,'[1]Tissue Data'!$A:$A,'[1]Tissue Data'!J:J)</f>
        <v>U</v>
      </c>
      <c r="H464" t="str">
        <f>_xlfn.XLOOKUP(A464,'[1]Tissue Data'!$A:$A,'[1]Tissue Data'!K:K)</f>
        <v>Whole Body</v>
      </c>
      <c r="I464">
        <f>_xlfn.XLOOKUP(A464,'[1]Tissue Data'!$A:$A,'[1]Tissue Data'!L:L)</f>
        <v>8</v>
      </c>
      <c r="J464">
        <f>_xlfn.XLOOKUP(A464,'[1]Tissue Data'!$A:$A,'[1]Tissue Data'!M:M)</f>
        <v>4.75</v>
      </c>
      <c r="K464" t="s">
        <v>24</v>
      </c>
      <c r="L464" t="str">
        <f>_xlfn.XLOOKUP(K464,[2]analyte_order!$B:$B,[2]analyte_order!$C:$C)</f>
        <v>423-41-6</v>
      </c>
      <c r="M464">
        <f>_xlfn.XLOOKUP(L464,[2]analyte_order!$C:$C,[2]analyte_order!$E:$E)</f>
        <v>53</v>
      </c>
      <c r="N464">
        <v>5.1884638828545784E-2</v>
      </c>
    </row>
    <row r="465" spans="1:14">
      <c r="A465" t="s">
        <v>238</v>
      </c>
      <c r="B465" t="str">
        <f>_xlfn.XLOOKUP(A465,'[1]Tissue Data'!$A:$A,'[1]Tissue Data'!$C:$C)</f>
        <v>Down</v>
      </c>
      <c r="C465" s="2">
        <f>_xlfn.XLOOKUP(A465,'[1]Tissue Data'!$A:$A,'[1]Tissue Data'!$D:$D)</f>
        <v>44314</v>
      </c>
      <c r="D465" s="2" t="str">
        <f>_xlfn.XLOOKUP(A465,'[1]Tissue Data'!$A:$A,'[1]Tissue Data'!$F:$F)</f>
        <v>Pumpkinseed</v>
      </c>
      <c r="E465" t="str">
        <f>_xlfn.XLOOKUP(A465,'[1]Tissue Data'!$A:$A,'[1]Tissue Data'!$H:$H)</f>
        <v>Lepomis</v>
      </c>
      <c r="F465" t="str">
        <f>_xlfn.XLOOKUP(A465,'[1]Tissue Data'!$A:$A,'[1]Tissue Data'!$I:$I)</f>
        <v>gibbosus</v>
      </c>
      <c r="G465" t="str">
        <f>_xlfn.XLOOKUP(A465,'[1]Tissue Data'!$A:$A,'[1]Tissue Data'!J:J)</f>
        <v>U</v>
      </c>
      <c r="H465" t="str">
        <f>_xlfn.XLOOKUP(A465,'[1]Tissue Data'!$A:$A,'[1]Tissue Data'!K:K)</f>
        <v>Whole Body</v>
      </c>
      <c r="I465">
        <f>_xlfn.XLOOKUP(A465,'[1]Tissue Data'!$A:$A,'[1]Tissue Data'!L:L)</f>
        <v>8</v>
      </c>
      <c r="J465">
        <f>_xlfn.XLOOKUP(A465,'[1]Tissue Data'!$A:$A,'[1]Tissue Data'!M:M)</f>
        <v>4.75</v>
      </c>
      <c r="K465" t="s">
        <v>25</v>
      </c>
      <c r="L465" t="str">
        <f>_xlfn.XLOOKUP(K465,[2]analyte_order!$B:$B,[2]analyte_order!$C:$C)</f>
        <v>375-73-5</v>
      </c>
      <c r="M465">
        <f>_xlfn.XLOOKUP(L465,[2]analyte_order!$C:$C,[2]analyte_order!$E:$E)</f>
        <v>14</v>
      </c>
      <c r="N465">
        <v>0.15912000920900871</v>
      </c>
    </row>
    <row r="466" spans="1:14">
      <c r="A466" t="s">
        <v>238</v>
      </c>
      <c r="B466" t="str">
        <f>_xlfn.XLOOKUP(A466,'[1]Tissue Data'!$A:$A,'[1]Tissue Data'!$C:$C)</f>
        <v>Down</v>
      </c>
      <c r="C466" s="2">
        <f>_xlfn.XLOOKUP(A466,'[1]Tissue Data'!$A:$A,'[1]Tissue Data'!$D:$D)</f>
        <v>44314</v>
      </c>
      <c r="D466" s="2" t="str">
        <f>_xlfn.XLOOKUP(A466,'[1]Tissue Data'!$A:$A,'[1]Tissue Data'!$F:$F)</f>
        <v>Pumpkinseed</v>
      </c>
      <c r="E466" t="str">
        <f>_xlfn.XLOOKUP(A466,'[1]Tissue Data'!$A:$A,'[1]Tissue Data'!$H:$H)</f>
        <v>Lepomis</v>
      </c>
      <c r="F466" t="str">
        <f>_xlfn.XLOOKUP(A466,'[1]Tissue Data'!$A:$A,'[1]Tissue Data'!$I:$I)</f>
        <v>gibbosus</v>
      </c>
      <c r="G466" t="str">
        <f>_xlfn.XLOOKUP(A466,'[1]Tissue Data'!$A:$A,'[1]Tissue Data'!J:J)</f>
        <v>U</v>
      </c>
      <c r="H466" t="str">
        <f>_xlfn.XLOOKUP(A466,'[1]Tissue Data'!$A:$A,'[1]Tissue Data'!K:K)</f>
        <v>Whole Body</v>
      </c>
      <c r="I466">
        <f>_xlfn.XLOOKUP(A466,'[1]Tissue Data'!$A:$A,'[1]Tissue Data'!L:L)</f>
        <v>8</v>
      </c>
      <c r="J466">
        <f>_xlfn.XLOOKUP(A466,'[1]Tissue Data'!$A:$A,'[1]Tissue Data'!M:M)</f>
        <v>4.75</v>
      </c>
      <c r="K466" t="s">
        <v>26</v>
      </c>
      <c r="L466" t="str">
        <f>_xlfn.XLOOKUP(K466,[2]analyte_order!$B:$B,[2]analyte_order!$C:$C)</f>
        <v>2706-91-4</v>
      </c>
      <c r="M466">
        <f>_xlfn.XLOOKUP(L466,[2]analyte_order!$C:$C,[2]analyte_order!$E:$E)</f>
        <v>15</v>
      </c>
      <c r="N466">
        <v>0.12380258816736284</v>
      </c>
    </row>
    <row r="467" spans="1:14">
      <c r="A467" t="s">
        <v>238</v>
      </c>
      <c r="B467" t="str">
        <f>_xlfn.XLOOKUP(A467,'[1]Tissue Data'!$A:$A,'[1]Tissue Data'!$C:$C)</f>
        <v>Down</v>
      </c>
      <c r="C467" s="2">
        <f>_xlfn.XLOOKUP(A467,'[1]Tissue Data'!$A:$A,'[1]Tissue Data'!$D:$D)</f>
        <v>44314</v>
      </c>
      <c r="D467" s="2" t="str">
        <f>_xlfn.XLOOKUP(A467,'[1]Tissue Data'!$A:$A,'[1]Tissue Data'!$F:$F)</f>
        <v>Pumpkinseed</v>
      </c>
      <c r="E467" t="str">
        <f>_xlfn.XLOOKUP(A467,'[1]Tissue Data'!$A:$A,'[1]Tissue Data'!$H:$H)</f>
        <v>Lepomis</v>
      </c>
      <c r="F467" t="str">
        <f>_xlfn.XLOOKUP(A467,'[1]Tissue Data'!$A:$A,'[1]Tissue Data'!$I:$I)</f>
        <v>gibbosus</v>
      </c>
      <c r="G467" t="str">
        <f>_xlfn.XLOOKUP(A467,'[1]Tissue Data'!$A:$A,'[1]Tissue Data'!J:J)</f>
        <v>U</v>
      </c>
      <c r="H467" t="str">
        <f>_xlfn.XLOOKUP(A467,'[1]Tissue Data'!$A:$A,'[1]Tissue Data'!K:K)</f>
        <v>Whole Body</v>
      </c>
      <c r="I467">
        <f>_xlfn.XLOOKUP(A467,'[1]Tissue Data'!$A:$A,'[1]Tissue Data'!L:L)</f>
        <v>8</v>
      </c>
      <c r="J467">
        <f>_xlfn.XLOOKUP(A467,'[1]Tissue Data'!$A:$A,'[1]Tissue Data'!M:M)</f>
        <v>4.75</v>
      </c>
      <c r="K467" t="s">
        <v>27</v>
      </c>
      <c r="L467" t="str">
        <f>_xlfn.XLOOKUP(K467,[2]analyte_order!$B:$B,[2]analyte_order!$C:$C)</f>
        <v>355-46-4</v>
      </c>
      <c r="M467">
        <f>_xlfn.XLOOKUP(L467,[2]analyte_order!$C:$C,[2]analyte_order!$E:$E)</f>
        <v>16</v>
      </c>
      <c r="N467">
        <v>22.1</v>
      </c>
    </row>
    <row r="468" spans="1:14">
      <c r="A468" t="s">
        <v>238</v>
      </c>
      <c r="B468" t="str">
        <f>_xlfn.XLOOKUP(A468,'[1]Tissue Data'!$A:$A,'[1]Tissue Data'!$C:$C)</f>
        <v>Down</v>
      </c>
      <c r="C468" s="2">
        <f>_xlfn.XLOOKUP(A468,'[1]Tissue Data'!$A:$A,'[1]Tissue Data'!$D:$D)</f>
        <v>44314</v>
      </c>
      <c r="D468" s="2" t="str">
        <f>_xlfn.XLOOKUP(A468,'[1]Tissue Data'!$A:$A,'[1]Tissue Data'!$F:$F)</f>
        <v>Pumpkinseed</v>
      </c>
      <c r="E468" t="str">
        <f>_xlfn.XLOOKUP(A468,'[1]Tissue Data'!$A:$A,'[1]Tissue Data'!$H:$H)</f>
        <v>Lepomis</v>
      </c>
      <c r="F468" t="str">
        <f>_xlfn.XLOOKUP(A468,'[1]Tissue Data'!$A:$A,'[1]Tissue Data'!$I:$I)</f>
        <v>gibbosus</v>
      </c>
      <c r="G468" t="str">
        <f>_xlfn.XLOOKUP(A468,'[1]Tissue Data'!$A:$A,'[1]Tissue Data'!J:J)</f>
        <v>U</v>
      </c>
      <c r="H468" t="str">
        <f>_xlfn.XLOOKUP(A468,'[1]Tissue Data'!$A:$A,'[1]Tissue Data'!K:K)</f>
        <v>Whole Body</v>
      </c>
      <c r="I468">
        <f>_xlfn.XLOOKUP(A468,'[1]Tissue Data'!$A:$A,'[1]Tissue Data'!L:L)</f>
        <v>8</v>
      </c>
      <c r="J468">
        <f>_xlfn.XLOOKUP(A468,'[1]Tissue Data'!$A:$A,'[1]Tissue Data'!M:M)</f>
        <v>4.75</v>
      </c>
      <c r="K468" t="s">
        <v>28</v>
      </c>
      <c r="L468" t="str">
        <f>_xlfn.XLOOKUP(K468,[2]analyte_order!$B:$B,[2]analyte_order!$C:$C)</f>
        <v>375-92-8</v>
      </c>
      <c r="M468">
        <f>_xlfn.XLOOKUP(L468,[2]analyte_order!$C:$C,[2]analyte_order!$E:$E)</f>
        <v>17</v>
      </c>
      <c r="N468">
        <v>1.06</v>
      </c>
    </row>
    <row r="469" spans="1:14">
      <c r="A469" t="s">
        <v>238</v>
      </c>
      <c r="B469" t="str">
        <f>_xlfn.XLOOKUP(A469,'[1]Tissue Data'!$A:$A,'[1]Tissue Data'!$C:$C)</f>
        <v>Down</v>
      </c>
      <c r="C469" s="2">
        <f>_xlfn.XLOOKUP(A469,'[1]Tissue Data'!$A:$A,'[1]Tissue Data'!$D:$D)</f>
        <v>44314</v>
      </c>
      <c r="D469" s="2" t="str">
        <f>_xlfn.XLOOKUP(A469,'[1]Tissue Data'!$A:$A,'[1]Tissue Data'!$F:$F)</f>
        <v>Pumpkinseed</v>
      </c>
      <c r="E469" t="str">
        <f>_xlfn.XLOOKUP(A469,'[1]Tissue Data'!$A:$A,'[1]Tissue Data'!$H:$H)</f>
        <v>Lepomis</v>
      </c>
      <c r="F469" t="str">
        <f>_xlfn.XLOOKUP(A469,'[1]Tissue Data'!$A:$A,'[1]Tissue Data'!$I:$I)</f>
        <v>gibbosus</v>
      </c>
      <c r="G469" t="str">
        <f>_xlfn.XLOOKUP(A469,'[1]Tissue Data'!$A:$A,'[1]Tissue Data'!J:J)</f>
        <v>U</v>
      </c>
      <c r="H469" t="str">
        <f>_xlfn.XLOOKUP(A469,'[1]Tissue Data'!$A:$A,'[1]Tissue Data'!K:K)</f>
        <v>Whole Body</v>
      </c>
      <c r="I469">
        <f>_xlfn.XLOOKUP(A469,'[1]Tissue Data'!$A:$A,'[1]Tissue Data'!L:L)</f>
        <v>8</v>
      </c>
      <c r="J469">
        <f>_xlfn.XLOOKUP(A469,'[1]Tissue Data'!$A:$A,'[1]Tissue Data'!M:M)</f>
        <v>4.75</v>
      </c>
      <c r="K469" t="s">
        <v>29</v>
      </c>
      <c r="L469" t="str">
        <f>_xlfn.XLOOKUP(K469,[2]analyte_order!$B:$B,[2]analyte_order!$C:$C)</f>
        <v>1763-23-1</v>
      </c>
      <c r="M469">
        <f>_xlfn.XLOOKUP(L469,[2]analyte_order!$C:$C,[2]analyte_order!$E:$E)</f>
        <v>18</v>
      </c>
      <c r="N469">
        <v>1800</v>
      </c>
    </row>
    <row r="470" spans="1:14">
      <c r="A470" t="s">
        <v>238</v>
      </c>
      <c r="B470" t="str">
        <f>_xlfn.XLOOKUP(A470,'[1]Tissue Data'!$A:$A,'[1]Tissue Data'!$C:$C)</f>
        <v>Down</v>
      </c>
      <c r="C470" s="2">
        <f>_xlfn.XLOOKUP(A470,'[1]Tissue Data'!$A:$A,'[1]Tissue Data'!$D:$D)</f>
        <v>44314</v>
      </c>
      <c r="D470" s="2" t="str">
        <f>_xlfn.XLOOKUP(A470,'[1]Tissue Data'!$A:$A,'[1]Tissue Data'!$F:$F)</f>
        <v>Pumpkinseed</v>
      </c>
      <c r="E470" t="str">
        <f>_xlfn.XLOOKUP(A470,'[1]Tissue Data'!$A:$A,'[1]Tissue Data'!$H:$H)</f>
        <v>Lepomis</v>
      </c>
      <c r="F470" t="str">
        <f>_xlfn.XLOOKUP(A470,'[1]Tissue Data'!$A:$A,'[1]Tissue Data'!$I:$I)</f>
        <v>gibbosus</v>
      </c>
      <c r="G470" t="str">
        <f>_xlfn.XLOOKUP(A470,'[1]Tissue Data'!$A:$A,'[1]Tissue Data'!J:J)</f>
        <v>U</v>
      </c>
      <c r="H470" t="str">
        <f>_xlfn.XLOOKUP(A470,'[1]Tissue Data'!$A:$A,'[1]Tissue Data'!K:K)</f>
        <v>Whole Body</v>
      </c>
      <c r="I470">
        <f>_xlfn.XLOOKUP(A470,'[1]Tissue Data'!$A:$A,'[1]Tissue Data'!L:L)</f>
        <v>8</v>
      </c>
      <c r="J470">
        <f>_xlfn.XLOOKUP(A470,'[1]Tissue Data'!$A:$A,'[1]Tissue Data'!M:M)</f>
        <v>4.75</v>
      </c>
      <c r="K470" t="s">
        <v>30</v>
      </c>
      <c r="L470" t="str">
        <f>_xlfn.XLOOKUP(K470,[2]analyte_order!$B:$B,[2]analyte_order!$C:$C)</f>
        <v>68259-12-1</v>
      </c>
      <c r="M470">
        <f>_xlfn.XLOOKUP(L470,[2]analyte_order!$C:$C,[2]analyte_order!$E:$E)</f>
        <v>19</v>
      </c>
      <c r="N470">
        <v>0.94399999999999995</v>
      </c>
    </row>
    <row r="471" spans="1:14">
      <c r="A471" t="s">
        <v>238</v>
      </c>
      <c r="B471" t="str">
        <f>_xlfn.XLOOKUP(A471,'[1]Tissue Data'!$A:$A,'[1]Tissue Data'!$C:$C)</f>
        <v>Down</v>
      </c>
      <c r="C471" s="2">
        <f>_xlfn.XLOOKUP(A471,'[1]Tissue Data'!$A:$A,'[1]Tissue Data'!$D:$D)</f>
        <v>44314</v>
      </c>
      <c r="D471" s="2" t="str">
        <f>_xlfn.XLOOKUP(A471,'[1]Tissue Data'!$A:$A,'[1]Tissue Data'!$F:$F)</f>
        <v>Pumpkinseed</v>
      </c>
      <c r="E471" t="str">
        <f>_xlfn.XLOOKUP(A471,'[1]Tissue Data'!$A:$A,'[1]Tissue Data'!$H:$H)</f>
        <v>Lepomis</v>
      </c>
      <c r="F471" t="str">
        <f>_xlfn.XLOOKUP(A471,'[1]Tissue Data'!$A:$A,'[1]Tissue Data'!$I:$I)</f>
        <v>gibbosus</v>
      </c>
      <c r="G471" t="str">
        <f>_xlfn.XLOOKUP(A471,'[1]Tissue Data'!$A:$A,'[1]Tissue Data'!J:J)</f>
        <v>U</v>
      </c>
      <c r="H471" t="str">
        <f>_xlfn.XLOOKUP(A471,'[1]Tissue Data'!$A:$A,'[1]Tissue Data'!K:K)</f>
        <v>Whole Body</v>
      </c>
      <c r="I471">
        <f>_xlfn.XLOOKUP(A471,'[1]Tissue Data'!$A:$A,'[1]Tissue Data'!L:L)</f>
        <v>8</v>
      </c>
      <c r="J471">
        <f>_xlfn.XLOOKUP(A471,'[1]Tissue Data'!$A:$A,'[1]Tissue Data'!M:M)</f>
        <v>4.75</v>
      </c>
      <c r="K471" t="s">
        <v>31</v>
      </c>
      <c r="L471" t="str">
        <f>_xlfn.XLOOKUP(K471,[2]analyte_order!$B:$B,[2]analyte_order!$C:$C)</f>
        <v>335-77-3</v>
      </c>
      <c r="M471">
        <f>_xlfn.XLOOKUP(L471,[2]analyte_order!$C:$C,[2]analyte_order!$E:$E)</f>
        <v>20</v>
      </c>
      <c r="N471">
        <v>0.65900000000000003</v>
      </c>
    </row>
    <row r="472" spans="1:14">
      <c r="A472" t="s">
        <v>238</v>
      </c>
      <c r="B472" t="str">
        <f>_xlfn.XLOOKUP(A472,'[1]Tissue Data'!$A:$A,'[1]Tissue Data'!$C:$C)</f>
        <v>Down</v>
      </c>
      <c r="C472" s="2">
        <f>_xlfn.XLOOKUP(A472,'[1]Tissue Data'!$A:$A,'[1]Tissue Data'!$D:$D)</f>
        <v>44314</v>
      </c>
      <c r="D472" s="2" t="str">
        <f>_xlfn.XLOOKUP(A472,'[1]Tissue Data'!$A:$A,'[1]Tissue Data'!$F:$F)</f>
        <v>Pumpkinseed</v>
      </c>
      <c r="E472" t="str">
        <f>_xlfn.XLOOKUP(A472,'[1]Tissue Data'!$A:$A,'[1]Tissue Data'!$H:$H)</f>
        <v>Lepomis</v>
      </c>
      <c r="F472" t="str">
        <f>_xlfn.XLOOKUP(A472,'[1]Tissue Data'!$A:$A,'[1]Tissue Data'!$I:$I)</f>
        <v>gibbosus</v>
      </c>
      <c r="G472" t="str">
        <f>_xlfn.XLOOKUP(A472,'[1]Tissue Data'!$A:$A,'[1]Tissue Data'!J:J)</f>
        <v>U</v>
      </c>
      <c r="H472" t="str">
        <f>_xlfn.XLOOKUP(A472,'[1]Tissue Data'!$A:$A,'[1]Tissue Data'!K:K)</f>
        <v>Whole Body</v>
      </c>
      <c r="I472">
        <f>_xlfn.XLOOKUP(A472,'[1]Tissue Data'!$A:$A,'[1]Tissue Data'!L:L)</f>
        <v>8</v>
      </c>
      <c r="J472">
        <f>_xlfn.XLOOKUP(A472,'[1]Tissue Data'!$A:$A,'[1]Tissue Data'!M:M)</f>
        <v>4.75</v>
      </c>
      <c r="K472" t="s">
        <v>32</v>
      </c>
      <c r="L472" t="str">
        <f>_xlfn.XLOOKUP(K472,[2]analyte_order!$B:$B,[2]analyte_order!$C:$C)</f>
        <v>79780-39-5</v>
      </c>
      <c r="M472">
        <f>_xlfn.XLOOKUP(L472,[2]analyte_order!$C:$C,[2]analyte_order!$E:$E)</f>
        <v>21</v>
      </c>
      <c r="N472">
        <v>0.2500086340310162</v>
      </c>
    </row>
    <row r="473" spans="1:14">
      <c r="A473" t="s">
        <v>238</v>
      </c>
      <c r="B473" t="str">
        <f>_xlfn.XLOOKUP(A473,'[1]Tissue Data'!$A:$A,'[1]Tissue Data'!$C:$C)</f>
        <v>Down</v>
      </c>
      <c r="C473" s="2">
        <f>_xlfn.XLOOKUP(A473,'[1]Tissue Data'!$A:$A,'[1]Tissue Data'!$D:$D)</f>
        <v>44314</v>
      </c>
      <c r="D473" s="2" t="str">
        <f>_xlfn.XLOOKUP(A473,'[1]Tissue Data'!$A:$A,'[1]Tissue Data'!$F:$F)</f>
        <v>Pumpkinseed</v>
      </c>
      <c r="E473" t="str">
        <f>_xlfn.XLOOKUP(A473,'[1]Tissue Data'!$A:$A,'[1]Tissue Data'!$H:$H)</f>
        <v>Lepomis</v>
      </c>
      <c r="F473" t="str">
        <f>_xlfn.XLOOKUP(A473,'[1]Tissue Data'!$A:$A,'[1]Tissue Data'!$I:$I)</f>
        <v>gibbosus</v>
      </c>
      <c r="G473" t="str">
        <f>_xlfn.XLOOKUP(A473,'[1]Tissue Data'!$A:$A,'[1]Tissue Data'!J:J)</f>
        <v>U</v>
      </c>
      <c r="H473" t="str">
        <f>_xlfn.XLOOKUP(A473,'[1]Tissue Data'!$A:$A,'[1]Tissue Data'!K:K)</f>
        <v>Whole Body</v>
      </c>
      <c r="I473">
        <f>_xlfn.XLOOKUP(A473,'[1]Tissue Data'!$A:$A,'[1]Tissue Data'!L:L)</f>
        <v>8</v>
      </c>
      <c r="J473">
        <f>_xlfn.XLOOKUP(A473,'[1]Tissue Data'!$A:$A,'[1]Tissue Data'!M:M)</f>
        <v>4.75</v>
      </c>
      <c r="K473" t="s">
        <v>33</v>
      </c>
      <c r="L473" t="str">
        <f>_xlfn.XLOOKUP(K473,[2]analyte_order!$B:$B,[2]analyte_order!$C:$C)</f>
        <v>777011-38-8</v>
      </c>
      <c r="M473">
        <f>_xlfn.XLOOKUP(L473,[2]analyte_order!$C:$C,[2]analyte_order!$E:$E)</f>
        <v>54</v>
      </c>
      <c r="N473">
        <v>0.14207080555997506</v>
      </c>
    </row>
    <row r="474" spans="1:14">
      <c r="A474" t="s">
        <v>238</v>
      </c>
      <c r="B474" t="str">
        <f>_xlfn.XLOOKUP(A474,'[1]Tissue Data'!$A:$A,'[1]Tissue Data'!$C:$C)</f>
        <v>Down</v>
      </c>
      <c r="C474" s="2">
        <f>_xlfn.XLOOKUP(A474,'[1]Tissue Data'!$A:$A,'[1]Tissue Data'!$D:$D)</f>
        <v>44314</v>
      </c>
      <c r="D474" s="2" t="str">
        <f>_xlfn.XLOOKUP(A474,'[1]Tissue Data'!$A:$A,'[1]Tissue Data'!$F:$F)</f>
        <v>Pumpkinseed</v>
      </c>
      <c r="E474" t="str">
        <f>_xlfn.XLOOKUP(A474,'[1]Tissue Data'!$A:$A,'[1]Tissue Data'!$H:$H)</f>
        <v>Lepomis</v>
      </c>
      <c r="F474" t="str">
        <f>_xlfn.XLOOKUP(A474,'[1]Tissue Data'!$A:$A,'[1]Tissue Data'!$I:$I)</f>
        <v>gibbosus</v>
      </c>
      <c r="G474" t="str">
        <f>_xlfn.XLOOKUP(A474,'[1]Tissue Data'!$A:$A,'[1]Tissue Data'!J:J)</f>
        <v>U</v>
      </c>
      <c r="H474" t="str">
        <f>_xlfn.XLOOKUP(A474,'[1]Tissue Data'!$A:$A,'[1]Tissue Data'!K:K)</f>
        <v>Whole Body</v>
      </c>
      <c r="I474">
        <f>_xlfn.XLOOKUP(A474,'[1]Tissue Data'!$A:$A,'[1]Tissue Data'!L:L)</f>
        <v>8</v>
      </c>
      <c r="J474">
        <f>_xlfn.XLOOKUP(A474,'[1]Tissue Data'!$A:$A,'[1]Tissue Data'!M:M)</f>
        <v>4.75</v>
      </c>
      <c r="K474" t="s">
        <v>34</v>
      </c>
      <c r="L474" t="str">
        <f>_xlfn.XLOOKUP(K474,[2]analyte_order!$B:$B,[2]analyte_order!$C:$C)</f>
        <v>646-83-3</v>
      </c>
      <c r="M474">
        <f>_xlfn.XLOOKUP(L474,[2]analyte_order!$C:$C,[2]analyte_order!$E:$E)</f>
        <v>55</v>
      </c>
      <c r="N474">
        <v>9.3516209476309217E-2</v>
      </c>
    </row>
    <row r="475" spans="1:14">
      <c r="A475" t="s">
        <v>238</v>
      </c>
      <c r="B475" t="str">
        <f>_xlfn.XLOOKUP(A475,'[1]Tissue Data'!$A:$A,'[1]Tissue Data'!$C:$C)</f>
        <v>Down</v>
      </c>
      <c r="C475" s="2">
        <f>_xlfn.XLOOKUP(A475,'[1]Tissue Data'!$A:$A,'[1]Tissue Data'!$D:$D)</f>
        <v>44314</v>
      </c>
      <c r="D475" s="2" t="str">
        <f>_xlfn.XLOOKUP(A475,'[1]Tissue Data'!$A:$A,'[1]Tissue Data'!$F:$F)</f>
        <v>Pumpkinseed</v>
      </c>
      <c r="E475" t="str">
        <f>_xlfn.XLOOKUP(A475,'[1]Tissue Data'!$A:$A,'[1]Tissue Data'!$H:$H)</f>
        <v>Lepomis</v>
      </c>
      <c r="F475" t="str">
        <f>_xlfn.XLOOKUP(A475,'[1]Tissue Data'!$A:$A,'[1]Tissue Data'!$I:$I)</f>
        <v>gibbosus</v>
      </c>
      <c r="G475" t="str">
        <f>_xlfn.XLOOKUP(A475,'[1]Tissue Data'!$A:$A,'[1]Tissue Data'!J:J)</f>
        <v>U</v>
      </c>
      <c r="H475" t="str">
        <f>_xlfn.XLOOKUP(A475,'[1]Tissue Data'!$A:$A,'[1]Tissue Data'!K:K)</f>
        <v>Whole Body</v>
      </c>
      <c r="I475">
        <f>_xlfn.XLOOKUP(A475,'[1]Tissue Data'!$A:$A,'[1]Tissue Data'!L:L)</f>
        <v>8</v>
      </c>
      <c r="J475">
        <f>_xlfn.XLOOKUP(A475,'[1]Tissue Data'!$A:$A,'[1]Tissue Data'!M:M)</f>
        <v>4.75</v>
      </c>
      <c r="K475" t="s">
        <v>35</v>
      </c>
      <c r="L475" t="str">
        <f>_xlfn.XLOOKUP(K475,[2]analyte_order!$B:$B,[2]analyte_order!$C:$C)</f>
        <v>30334-69-1</v>
      </c>
      <c r="M475">
        <f>_xlfn.XLOOKUP(L475,[2]analyte_order!$C:$C,[2]analyte_order!$E:$E)</f>
        <v>51</v>
      </c>
      <c r="N475">
        <v>75.3</v>
      </c>
    </row>
    <row r="476" spans="1:14">
      <c r="A476" t="s">
        <v>238</v>
      </c>
      <c r="B476" t="str">
        <f>_xlfn.XLOOKUP(A476,'[1]Tissue Data'!$A:$A,'[1]Tissue Data'!$C:$C)</f>
        <v>Down</v>
      </c>
      <c r="C476" s="2">
        <f>_xlfn.XLOOKUP(A476,'[1]Tissue Data'!$A:$A,'[1]Tissue Data'!$D:$D)</f>
        <v>44314</v>
      </c>
      <c r="D476" s="2" t="str">
        <f>_xlfn.XLOOKUP(A476,'[1]Tissue Data'!$A:$A,'[1]Tissue Data'!$F:$F)</f>
        <v>Pumpkinseed</v>
      </c>
      <c r="E476" t="str">
        <f>_xlfn.XLOOKUP(A476,'[1]Tissue Data'!$A:$A,'[1]Tissue Data'!$H:$H)</f>
        <v>Lepomis</v>
      </c>
      <c r="F476" t="str">
        <f>_xlfn.XLOOKUP(A476,'[1]Tissue Data'!$A:$A,'[1]Tissue Data'!$I:$I)</f>
        <v>gibbosus</v>
      </c>
      <c r="G476" t="str">
        <f>_xlfn.XLOOKUP(A476,'[1]Tissue Data'!$A:$A,'[1]Tissue Data'!J:J)</f>
        <v>U</v>
      </c>
      <c r="H476" t="str">
        <f>_xlfn.XLOOKUP(A476,'[1]Tissue Data'!$A:$A,'[1]Tissue Data'!K:K)</f>
        <v>Whole Body</v>
      </c>
      <c r="I476">
        <f>_xlfn.XLOOKUP(A476,'[1]Tissue Data'!$A:$A,'[1]Tissue Data'!L:L)</f>
        <v>8</v>
      </c>
      <c r="J476">
        <f>_xlfn.XLOOKUP(A476,'[1]Tissue Data'!$A:$A,'[1]Tissue Data'!M:M)</f>
        <v>4.75</v>
      </c>
      <c r="K476" t="s">
        <v>36</v>
      </c>
      <c r="L476" t="str">
        <f>_xlfn.XLOOKUP(K476,[2]analyte_order!$B:$B,[2]analyte_order!$C:$C)</f>
        <v>41997-13-1</v>
      </c>
      <c r="M476">
        <f>_xlfn.XLOOKUP(L476,[2]analyte_order!$C:$C,[2]analyte_order!$E:$E)</f>
        <v>52</v>
      </c>
      <c r="N476">
        <v>98.3</v>
      </c>
    </row>
    <row r="477" spans="1:14">
      <c r="A477" t="s">
        <v>238</v>
      </c>
      <c r="B477" t="str">
        <f>_xlfn.XLOOKUP(A477,'[1]Tissue Data'!$A:$A,'[1]Tissue Data'!$C:$C)</f>
        <v>Down</v>
      </c>
      <c r="C477" s="2">
        <f>_xlfn.XLOOKUP(A477,'[1]Tissue Data'!$A:$A,'[1]Tissue Data'!$D:$D)</f>
        <v>44314</v>
      </c>
      <c r="D477" s="2" t="str">
        <f>_xlfn.XLOOKUP(A477,'[1]Tissue Data'!$A:$A,'[1]Tissue Data'!$F:$F)</f>
        <v>Pumpkinseed</v>
      </c>
      <c r="E477" t="str">
        <f>_xlfn.XLOOKUP(A477,'[1]Tissue Data'!$A:$A,'[1]Tissue Data'!$H:$H)</f>
        <v>Lepomis</v>
      </c>
      <c r="F477" t="str">
        <f>_xlfn.XLOOKUP(A477,'[1]Tissue Data'!$A:$A,'[1]Tissue Data'!$I:$I)</f>
        <v>gibbosus</v>
      </c>
      <c r="G477" t="str">
        <f>_xlfn.XLOOKUP(A477,'[1]Tissue Data'!$A:$A,'[1]Tissue Data'!J:J)</f>
        <v>U</v>
      </c>
      <c r="H477" t="str">
        <f>_xlfn.XLOOKUP(A477,'[1]Tissue Data'!$A:$A,'[1]Tissue Data'!K:K)</f>
        <v>Whole Body</v>
      </c>
      <c r="I477">
        <f>_xlfn.XLOOKUP(A477,'[1]Tissue Data'!$A:$A,'[1]Tissue Data'!L:L)</f>
        <v>8</v>
      </c>
      <c r="J477">
        <f>_xlfn.XLOOKUP(A477,'[1]Tissue Data'!$A:$A,'[1]Tissue Data'!M:M)</f>
        <v>4.75</v>
      </c>
      <c r="K477" t="s">
        <v>37</v>
      </c>
      <c r="L477" t="str">
        <f>_xlfn.XLOOKUP(K477,[2]analyte_order!$B:$B,[2]analyte_order!$C:$C)</f>
        <v>754-91-6</v>
      </c>
      <c r="M477">
        <f>_xlfn.XLOOKUP(L477,[2]analyte_order!$C:$C,[2]analyte_order!$E:$E)</f>
        <v>28</v>
      </c>
      <c r="N477">
        <v>24.7</v>
      </c>
    </row>
    <row r="478" spans="1:14">
      <c r="A478" t="s">
        <v>238</v>
      </c>
      <c r="B478" t="str">
        <f>_xlfn.XLOOKUP(A478,'[1]Tissue Data'!$A:$A,'[1]Tissue Data'!$C:$C)</f>
        <v>Down</v>
      </c>
      <c r="C478" s="2">
        <f>_xlfn.XLOOKUP(A478,'[1]Tissue Data'!$A:$A,'[1]Tissue Data'!$D:$D)</f>
        <v>44314</v>
      </c>
      <c r="D478" s="2" t="str">
        <f>_xlfn.XLOOKUP(A478,'[1]Tissue Data'!$A:$A,'[1]Tissue Data'!$F:$F)</f>
        <v>Pumpkinseed</v>
      </c>
      <c r="E478" t="str">
        <f>_xlfn.XLOOKUP(A478,'[1]Tissue Data'!$A:$A,'[1]Tissue Data'!$H:$H)</f>
        <v>Lepomis</v>
      </c>
      <c r="F478" t="str">
        <f>_xlfn.XLOOKUP(A478,'[1]Tissue Data'!$A:$A,'[1]Tissue Data'!$I:$I)</f>
        <v>gibbosus</v>
      </c>
      <c r="G478" t="str">
        <f>_xlfn.XLOOKUP(A478,'[1]Tissue Data'!$A:$A,'[1]Tissue Data'!J:J)</f>
        <v>U</v>
      </c>
      <c r="H478" t="str">
        <f>_xlfn.XLOOKUP(A478,'[1]Tissue Data'!$A:$A,'[1]Tissue Data'!K:K)</f>
        <v>Whole Body</v>
      </c>
      <c r="I478">
        <f>_xlfn.XLOOKUP(A478,'[1]Tissue Data'!$A:$A,'[1]Tissue Data'!L:L)</f>
        <v>8</v>
      </c>
      <c r="J478">
        <f>_xlfn.XLOOKUP(A478,'[1]Tissue Data'!$A:$A,'[1]Tissue Data'!M:M)</f>
        <v>4.75</v>
      </c>
      <c r="K478" t="s">
        <v>38</v>
      </c>
      <c r="L478" t="str">
        <f>_xlfn.XLOOKUP(K478,[2]analyte_order!$B:$B,[2]analyte_order!$C:$C)</f>
        <v>31506-32-8</v>
      </c>
      <c r="M478">
        <f>_xlfn.XLOOKUP(L478,[2]analyte_order!$C:$C,[2]analyte_order!$E:$E)</f>
        <v>30</v>
      </c>
      <c r="N478">
        <v>5.238991551166966E-2</v>
      </c>
    </row>
    <row r="479" spans="1:14">
      <c r="A479" t="s">
        <v>238</v>
      </c>
      <c r="B479" t="str">
        <f>_xlfn.XLOOKUP(A479,'[1]Tissue Data'!$A:$A,'[1]Tissue Data'!$C:$C)</f>
        <v>Down</v>
      </c>
      <c r="C479" s="2">
        <f>_xlfn.XLOOKUP(A479,'[1]Tissue Data'!$A:$A,'[1]Tissue Data'!$D:$D)</f>
        <v>44314</v>
      </c>
      <c r="D479" s="2" t="str">
        <f>_xlfn.XLOOKUP(A479,'[1]Tissue Data'!$A:$A,'[1]Tissue Data'!$F:$F)</f>
        <v>Pumpkinseed</v>
      </c>
      <c r="E479" t="str">
        <f>_xlfn.XLOOKUP(A479,'[1]Tissue Data'!$A:$A,'[1]Tissue Data'!$H:$H)</f>
        <v>Lepomis</v>
      </c>
      <c r="F479" t="str">
        <f>_xlfn.XLOOKUP(A479,'[1]Tissue Data'!$A:$A,'[1]Tissue Data'!$I:$I)</f>
        <v>gibbosus</v>
      </c>
      <c r="G479" t="str">
        <f>_xlfn.XLOOKUP(A479,'[1]Tissue Data'!$A:$A,'[1]Tissue Data'!J:J)</f>
        <v>U</v>
      </c>
      <c r="H479" t="str">
        <f>_xlfn.XLOOKUP(A479,'[1]Tissue Data'!$A:$A,'[1]Tissue Data'!K:K)</f>
        <v>Whole Body</v>
      </c>
      <c r="I479">
        <f>_xlfn.XLOOKUP(A479,'[1]Tissue Data'!$A:$A,'[1]Tissue Data'!L:L)</f>
        <v>8</v>
      </c>
      <c r="J479">
        <f>_xlfn.XLOOKUP(A479,'[1]Tissue Data'!$A:$A,'[1]Tissue Data'!M:M)</f>
        <v>4.75</v>
      </c>
      <c r="K479" t="s">
        <v>39</v>
      </c>
      <c r="L479" t="str">
        <f>_xlfn.XLOOKUP(K479,[2]analyte_order!$B:$B,[2]analyte_order!$C:$C)</f>
        <v>4151-50-2</v>
      </c>
      <c r="M479">
        <f>_xlfn.XLOOKUP(L479,[2]analyte_order!$C:$C,[2]analyte_order!$E:$E)</f>
        <v>31</v>
      </c>
      <c r="N479">
        <v>7.9358996135547588E-2</v>
      </c>
    </row>
    <row r="480" spans="1:14">
      <c r="A480" t="s">
        <v>238</v>
      </c>
      <c r="B480" t="str">
        <f>_xlfn.XLOOKUP(A480,'[1]Tissue Data'!$A:$A,'[1]Tissue Data'!$C:$C)</f>
        <v>Down</v>
      </c>
      <c r="C480" s="2">
        <f>_xlfn.XLOOKUP(A480,'[1]Tissue Data'!$A:$A,'[1]Tissue Data'!$D:$D)</f>
        <v>44314</v>
      </c>
      <c r="D480" s="2" t="str">
        <f>_xlfn.XLOOKUP(A480,'[1]Tissue Data'!$A:$A,'[1]Tissue Data'!$F:$F)</f>
        <v>Pumpkinseed</v>
      </c>
      <c r="E480" t="str">
        <f>_xlfn.XLOOKUP(A480,'[1]Tissue Data'!$A:$A,'[1]Tissue Data'!$H:$H)</f>
        <v>Lepomis</v>
      </c>
      <c r="F480" t="str">
        <f>_xlfn.XLOOKUP(A480,'[1]Tissue Data'!$A:$A,'[1]Tissue Data'!$I:$I)</f>
        <v>gibbosus</v>
      </c>
      <c r="G480" t="str">
        <f>_xlfn.XLOOKUP(A480,'[1]Tissue Data'!$A:$A,'[1]Tissue Data'!J:J)</f>
        <v>U</v>
      </c>
      <c r="H480" t="str">
        <f>_xlfn.XLOOKUP(A480,'[1]Tissue Data'!$A:$A,'[1]Tissue Data'!K:K)</f>
        <v>Whole Body</v>
      </c>
      <c r="I480">
        <f>_xlfn.XLOOKUP(A480,'[1]Tissue Data'!$A:$A,'[1]Tissue Data'!L:L)</f>
        <v>8</v>
      </c>
      <c r="J480">
        <f>_xlfn.XLOOKUP(A480,'[1]Tissue Data'!$A:$A,'[1]Tissue Data'!M:M)</f>
        <v>4.75</v>
      </c>
      <c r="K480" t="s">
        <v>40</v>
      </c>
      <c r="L480" t="str">
        <f>_xlfn.XLOOKUP(K480,[2]analyte_order!$B:$B,[2]analyte_order!$C:$C)</f>
        <v>2806-24-8</v>
      </c>
      <c r="M480">
        <f>_xlfn.XLOOKUP(L480,[2]analyte_order!$C:$C,[2]analyte_order!$E:$E)</f>
        <v>29</v>
      </c>
      <c r="N480">
        <v>5.360393964991024E-2</v>
      </c>
    </row>
    <row r="481" spans="1:14">
      <c r="A481" t="s">
        <v>238</v>
      </c>
      <c r="B481" t="str">
        <f>_xlfn.XLOOKUP(A481,'[1]Tissue Data'!$A:$A,'[1]Tissue Data'!$C:$C)</f>
        <v>Down</v>
      </c>
      <c r="C481" s="2">
        <f>_xlfn.XLOOKUP(A481,'[1]Tissue Data'!$A:$A,'[1]Tissue Data'!$D:$D)</f>
        <v>44314</v>
      </c>
      <c r="D481" s="2" t="str">
        <f>_xlfn.XLOOKUP(A481,'[1]Tissue Data'!$A:$A,'[1]Tissue Data'!$F:$F)</f>
        <v>Pumpkinseed</v>
      </c>
      <c r="E481" t="str">
        <f>_xlfn.XLOOKUP(A481,'[1]Tissue Data'!$A:$A,'[1]Tissue Data'!$H:$H)</f>
        <v>Lepomis</v>
      </c>
      <c r="F481" t="str">
        <f>_xlfn.XLOOKUP(A481,'[1]Tissue Data'!$A:$A,'[1]Tissue Data'!$I:$I)</f>
        <v>gibbosus</v>
      </c>
      <c r="G481" t="str">
        <f>_xlfn.XLOOKUP(A481,'[1]Tissue Data'!$A:$A,'[1]Tissue Data'!J:J)</f>
        <v>U</v>
      </c>
      <c r="H481" t="str">
        <f>_xlfn.XLOOKUP(A481,'[1]Tissue Data'!$A:$A,'[1]Tissue Data'!K:K)</f>
        <v>Whole Body</v>
      </c>
      <c r="I481">
        <f>_xlfn.XLOOKUP(A481,'[1]Tissue Data'!$A:$A,'[1]Tissue Data'!L:L)</f>
        <v>8</v>
      </c>
      <c r="J481">
        <f>_xlfn.XLOOKUP(A481,'[1]Tissue Data'!$A:$A,'[1]Tissue Data'!M:M)</f>
        <v>4.75</v>
      </c>
      <c r="K481" t="s">
        <v>41</v>
      </c>
      <c r="L481" t="str">
        <f>_xlfn.XLOOKUP(K481,[2]analyte_order!$B:$B,[2]analyte_order!$C:$C)</f>
        <v>2355-31-9</v>
      </c>
      <c r="M481">
        <f>_xlfn.XLOOKUP(L481,[2]analyte_order!$C:$C,[2]analyte_order!$E:$E)</f>
        <v>26</v>
      </c>
      <c r="N481">
        <v>9.07</v>
      </c>
    </row>
    <row r="482" spans="1:14">
      <c r="A482" t="s">
        <v>238</v>
      </c>
      <c r="B482" t="str">
        <f>_xlfn.XLOOKUP(A482,'[1]Tissue Data'!$A:$A,'[1]Tissue Data'!$C:$C)</f>
        <v>Down</v>
      </c>
      <c r="C482" s="2">
        <f>_xlfn.XLOOKUP(A482,'[1]Tissue Data'!$A:$A,'[1]Tissue Data'!$D:$D)</f>
        <v>44314</v>
      </c>
      <c r="D482" s="2" t="str">
        <f>_xlfn.XLOOKUP(A482,'[1]Tissue Data'!$A:$A,'[1]Tissue Data'!$F:$F)</f>
        <v>Pumpkinseed</v>
      </c>
      <c r="E482" t="str">
        <f>_xlfn.XLOOKUP(A482,'[1]Tissue Data'!$A:$A,'[1]Tissue Data'!$H:$H)</f>
        <v>Lepomis</v>
      </c>
      <c r="F482" t="str">
        <f>_xlfn.XLOOKUP(A482,'[1]Tissue Data'!$A:$A,'[1]Tissue Data'!$I:$I)</f>
        <v>gibbosus</v>
      </c>
      <c r="G482" t="str">
        <f>_xlfn.XLOOKUP(A482,'[1]Tissue Data'!$A:$A,'[1]Tissue Data'!J:J)</f>
        <v>U</v>
      </c>
      <c r="H482" t="str">
        <f>_xlfn.XLOOKUP(A482,'[1]Tissue Data'!$A:$A,'[1]Tissue Data'!K:K)</f>
        <v>Whole Body</v>
      </c>
      <c r="I482">
        <f>_xlfn.XLOOKUP(A482,'[1]Tissue Data'!$A:$A,'[1]Tissue Data'!L:L)</f>
        <v>8</v>
      </c>
      <c r="J482">
        <f>_xlfn.XLOOKUP(A482,'[1]Tissue Data'!$A:$A,'[1]Tissue Data'!M:M)</f>
        <v>4.75</v>
      </c>
      <c r="K482" t="s">
        <v>42</v>
      </c>
      <c r="L482" t="str">
        <f>_xlfn.XLOOKUP(K482,[2]analyte_order!$B:$B,[2]analyte_order!$C:$C)</f>
        <v>2991-50-6</v>
      </c>
      <c r="M482">
        <f>_xlfn.XLOOKUP(L482,[2]analyte_order!$C:$C,[2]analyte_order!$E:$E)</f>
        <v>27</v>
      </c>
      <c r="N482">
        <v>5.9027696081687613E-2</v>
      </c>
    </row>
    <row r="483" spans="1:14">
      <c r="A483" t="s">
        <v>238</v>
      </c>
      <c r="B483" t="str">
        <f>_xlfn.XLOOKUP(A483,'[1]Tissue Data'!$A:$A,'[1]Tissue Data'!$C:$C)</f>
        <v>Down</v>
      </c>
      <c r="C483" s="2">
        <f>_xlfn.XLOOKUP(A483,'[1]Tissue Data'!$A:$A,'[1]Tissue Data'!$D:$D)</f>
        <v>44314</v>
      </c>
      <c r="D483" s="2" t="str">
        <f>_xlfn.XLOOKUP(A483,'[1]Tissue Data'!$A:$A,'[1]Tissue Data'!$F:$F)</f>
        <v>Pumpkinseed</v>
      </c>
      <c r="E483" t="str">
        <f>_xlfn.XLOOKUP(A483,'[1]Tissue Data'!$A:$A,'[1]Tissue Data'!$H:$H)</f>
        <v>Lepomis</v>
      </c>
      <c r="F483" t="str">
        <f>_xlfn.XLOOKUP(A483,'[1]Tissue Data'!$A:$A,'[1]Tissue Data'!$I:$I)</f>
        <v>gibbosus</v>
      </c>
      <c r="G483" t="str">
        <f>_xlfn.XLOOKUP(A483,'[1]Tissue Data'!$A:$A,'[1]Tissue Data'!J:J)</f>
        <v>U</v>
      </c>
      <c r="H483" t="str">
        <f>_xlfn.XLOOKUP(A483,'[1]Tissue Data'!$A:$A,'[1]Tissue Data'!K:K)</f>
        <v>Whole Body</v>
      </c>
      <c r="I483">
        <f>_xlfn.XLOOKUP(A483,'[1]Tissue Data'!$A:$A,'[1]Tissue Data'!L:L)</f>
        <v>8</v>
      </c>
      <c r="J483">
        <f>_xlfn.XLOOKUP(A483,'[1]Tissue Data'!$A:$A,'[1]Tissue Data'!M:M)</f>
        <v>4.75</v>
      </c>
      <c r="K483" t="s">
        <v>43</v>
      </c>
      <c r="L483" t="str">
        <f>_xlfn.XLOOKUP(K483,[2]analyte_order!$B:$B,[2]analyte_order!$C:$C)</f>
        <v>757124-72-4</v>
      </c>
      <c r="M483">
        <f>_xlfn.XLOOKUP(L483,[2]analyte_order!$C:$C,[2]analyte_order!$E:$E)</f>
        <v>22</v>
      </c>
      <c r="N483">
        <v>5.5858530000000003E-2</v>
      </c>
    </row>
    <row r="484" spans="1:14">
      <c r="A484" t="s">
        <v>238</v>
      </c>
      <c r="B484" t="str">
        <f>_xlfn.XLOOKUP(A484,'[1]Tissue Data'!$A:$A,'[1]Tissue Data'!$C:$C)</f>
        <v>Down</v>
      </c>
      <c r="C484" s="2">
        <f>_xlfn.XLOOKUP(A484,'[1]Tissue Data'!$A:$A,'[1]Tissue Data'!$D:$D)</f>
        <v>44314</v>
      </c>
      <c r="D484" s="2" t="str">
        <f>_xlfn.XLOOKUP(A484,'[1]Tissue Data'!$A:$A,'[1]Tissue Data'!$F:$F)</f>
        <v>Pumpkinseed</v>
      </c>
      <c r="E484" t="str">
        <f>_xlfn.XLOOKUP(A484,'[1]Tissue Data'!$A:$A,'[1]Tissue Data'!$H:$H)</f>
        <v>Lepomis</v>
      </c>
      <c r="F484" t="str">
        <f>_xlfn.XLOOKUP(A484,'[1]Tissue Data'!$A:$A,'[1]Tissue Data'!$I:$I)</f>
        <v>gibbosus</v>
      </c>
      <c r="G484" t="str">
        <f>_xlfn.XLOOKUP(A484,'[1]Tissue Data'!$A:$A,'[1]Tissue Data'!J:J)</f>
        <v>U</v>
      </c>
      <c r="H484" t="str">
        <f>_xlfn.XLOOKUP(A484,'[1]Tissue Data'!$A:$A,'[1]Tissue Data'!K:K)</f>
        <v>Whole Body</v>
      </c>
      <c r="I484">
        <f>_xlfn.XLOOKUP(A484,'[1]Tissue Data'!$A:$A,'[1]Tissue Data'!L:L)</f>
        <v>8</v>
      </c>
      <c r="J484">
        <f>_xlfn.XLOOKUP(A484,'[1]Tissue Data'!$A:$A,'[1]Tissue Data'!M:M)</f>
        <v>4.75</v>
      </c>
      <c r="K484" t="s">
        <v>44</v>
      </c>
      <c r="L484" t="str">
        <f>_xlfn.XLOOKUP(K484,[2]analyte_order!$B:$B,[2]analyte_order!$C:$C)</f>
        <v>27619-97-2</v>
      </c>
      <c r="M484">
        <f>_xlfn.XLOOKUP(L484,[2]analyte_order!$C:$C,[2]analyte_order!$E:$E)</f>
        <v>23</v>
      </c>
      <c r="N484">
        <v>0.14114791059758414</v>
      </c>
    </row>
    <row r="485" spans="1:14">
      <c r="A485" t="s">
        <v>238</v>
      </c>
      <c r="B485" t="str">
        <f>_xlfn.XLOOKUP(A485,'[1]Tissue Data'!$A:$A,'[1]Tissue Data'!$C:$C)</f>
        <v>Down</v>
      </c>
      <c r="C485" s="2">
        <f>_xlfn.XLOOKUP(A485,'[1]Tissue Data'!$A:$A,'[1]Tissue Data'!$D:$D)</f>
        <v>44314</v>
      </c>
      <c r="D485" s="2" t="str">
        <f>_xlfn.XLOOKUP(A485,'[1]Tissue Data'!$A:$A,'[1]Tissue Data'!$F:$F)</f>
        <v>Pumpkinseed</v>
      </c>
      <c r="E485" t="str">
        <f>_xlfn.XLOOKUP(A485,'[1]Tissue Data'!$A:$A,'[1]Tissue Data'!$H:$H)</f>
        <v>Lepomis</v>
      </c>
      <c r="F485" t="str">
        <f>_xlfn.XLOOKUP(A485,'[1]Tissue Data'!$A:$A,'[1]Tissue Data'!$I:$I)</f>
        <v>gibbosus</v>
      </c>
      <c r="G485" t="str">
        <f>_xlfn.XLOOKUP(A485,'[1]Tissue Data'!$A:$A,'[1]Tissue Data'!J:J)</f>
        <v>U</v>
      </c>
      <c r="H485" t="str">
        <f>_xlfn.XLOOKUP(A485,'[1]Tissue Data'!$A:$A,'[1]Tissue Data'!K:K)</f>
        <v>Whole Body</v>
      </c>
      <c r="I485">
        <f>_xlfn.XLOOKUP(A485,'[1]Tissue Data'!$A:$A,'[1]Tissue Data'!L:L)</f>
        <v>8</v>
      </c>
      <c r="J485">
        <f>_xlfn.XLOOKUP(A485,'[1]Tissue Data'!$A:$A,'[1]Tissue Data'!M:M)</f>
        <v>4.75</v>
      </c>
      <c r="K485" t="s">
        <v>45</v>
      </c>
      <c r="L485" t="str">
        <f>_xlfn.XLOOKUP(K485,[2]analyte_order!$B:$B,[2]analyte_order!$C:$C)</f>
        <v>39108-34-4</v>
      </c>
      <c r="M485">
        <f>_xlfn.XLOOKUP(L485,[2]analyte_order!$C:$C,[2]analyte_order!$E:$E)</f>
        <v>24</v>
      </c>
      <c r="N485">
        <v>2.4300000000000002</v>
      </c>
    </row>
    <row r="486" spans="1:14">
      <c r="A486" t="s">
        <v>238</v>
      </c>
      <c r="B486" t="str">
        <f>_xlfn.XLOOKUP(A486,'[1]Tissue Data'!$A:$A,'[1]Tissue Data'!$C:$C)</f>
        <v>Down</v>
      </c>
      <c r="C486" s="2">
        <f>_xlfn.XLOOKUP(A486,'[1]Tissue Data'!$A:$A,'[1]Tissue Data'!$D:$D)</f>
        <v>44314</v>
      </c>
      <c r="D486" s="2" t="str">
        <f>_xlfn.XLOOKUP(A486,'[1]Tissue Data'!$A:$A,'[1]Tissue Data'!$F:$F)</f>
        <v>Pumpkinseed</v>
      </c>
      <c r="E486" t="str">
        <f>_xlfn.XLOOKUP(A486,'[1]Tissue Data'!$A:$A,'[1]Tissue Data'!$H:$H)</f>
        <v>Lepomis</v>
      </c>
      <c r="F486" t="str">
        <f>_xlfn.XLOOKUP(A486,'[1]Tissue Data'!$A:$A,'[1]Tissue Data'!$I:$I)</f>
        <v>gibbosus</v>
      </c>
      <c r="G486" t="str">
        <f>_xlfn.XLOOKUP(A486,'[1]Tissue Data'!$A:$A,'[1]Tissue Data'!J:J)</f>
        <v>U</v>
      </c>
      <c r="H486" t="str">
        <f>_xlfn.XLOOKUP(A486,'[1]Tissue Data'!$A:$A,'[1]Tissue Data'!K:K)</f>
        <v>Whole Body</v>
      </c>
      <c r="I486">
        <f>_xlfn.XLOOKUP(A486,'[1]Tissue Data'!$A:$A,'[1]Tissue Data'!L:L)</f>
        <v>8</v>
      </c>
      <c r="J486">
        <f>_xlfn.XLOOKUP(A486,'[1]Tissue Data'!$A:$A,'[1]Tissue Data'!M:M)</f>
        <v>4.75</v>
      </c>
      <c r="K486" t="s">
        <v>46</v>
      </c>
      <c r="L486" t="str">
        <f>_xlfn.XLOOKUP(K486,[2]analyte_order!$B:$B,[2]analyte_order!$C:$C)</f>
        <v>120226-60-0</v>
      </c>
      <c r="M486">
        <f>_xlfn.XLOOKUP(L486,[2]analyte_order!$C:$C,[2]analyte_order!$E:$E)</f>
        <v>25</v>
      </c>
      <c r="N486">
        <v>0.26546108117206979</v>
      </c>
    </row>
    <row r="487" spans="1:14">
      <c r="A487" t="s">
        <v>238</v>
      </c>
      <c r="B487" t="str">
        <f>_xlfn.XLOOKUP(A487,'[1]Tissue Data'!$A:$A,'[1]Tissue Data'!$C:$C)</f>
        <v>Down</v>
      </c>
      <c r="C487" s="2">
        <f>_xlfn.XLOOKUP(A487,'[1]Tissue Data'!$A:$A,'[1]Tissue Data'!$D:$D)</f>
        <v>44314</v>
      </c>
      <c r="D487" s="2" t="str">
        <f>_xlfn.XLOOKUP(A487,'[1]Tissue Data'!$A:$A,'[1]Tissue Data'!$F:$F)</f>
        <v>Pumpkinseed</v>
      </c>
      <c r="E487" t="str">
        <f>_xlfn.XLOOKUP(A487,'[1]Tissue Data'!$A:$A,'[1]Tissue Data'!$H:$H)</f>
        <v>Lepomis</v>
      </c>
      <c r="F487" t="str">
        <f>_xlfn.XLOOKUP(A487,'[1]Tissue Data'!$A:$A,'[1]Tissue Data'!$I:$I)</f>
        <v>gibbosus</v>
      </c>
      <c r="G487" t="str">
        <f>_xlfn.XLOOKUP(A487,'[1]Tissue Data'!$A:$A,'[1]Tissue Data'!J:J)</f>
        <v>U</v>
      </c>
      <c r="H487" t="str">
        <f>_xlfn.XLOOKUP(A487,'[1]Tissue Data'!$A:$A,'[1]Tissue Data'!K:K)</f>
        <v>Whole Body</v>
      </c>
      <c r="I487">
        <f>_xlfn.XLOOKUP(A487,'[1]Tissue Data'!$A:$A,'[1]Tissue Data'!L:L)</f>
        <v>8</v>
      </c>
      <c r="J487">
        <f>_xlfn.XLOOKUP(A487,'[1]Tissue Data'!$A:$A,'[1]Tissue Data'!M:M)</f>
        <v>4.75</v>
      </c>
      <c r="K487" t="s">
        <v>47</v>
      </c>
      <c r="L487" t="str">
        <f>_xlfn.XLOOKUP(K487,[2]analyte_order!$B:$B,[2]analyte_order!$C:$C)</f>
        <v>356-02-5</v>
      </c>
      <c r="M487">
        <f>_xlfn.XLOOKUP(L487,[2]analyte_order!$C:$C,[2]analyte_order!$E:$E)</f>
        <v>38</v>
      </c>
      <c r="N487">
        <v>7.8443014968581692E-2</v>
      </c>
    </row>
    <row r="488" spans="1:14">
      <c r="A488" t="s">
        <v>238</v>
      </c>
      <c r="B488" t="str">
        <f>_xlfn.XLOOKUP(A488,'[1]Tissue Data'!$A:$A,'[1]Tissue Data'!$C:$C)</f>
        <v>Down</v>
      </c>
      <c r="C488" s="2">
        <f>_xlfn.XLOOKUP(A488,'[1]Tissue Data'!$A:$A,'[1]Tissue Data'!$D:$D)</f>
        <v>44314</v>
      </c>
      <c r="D488" s="2" t="str">
        <f>_xlfn.XLOOKUP(A488,'[1]Tissue Data'!$A:$A,'[1]Tissue Data'!$F:$F)</f>
        <v>Pumpkinseed</v>
      </c>
      <c r="E488" t="str">
        <f>_xlfn.XLOOKUP(A488,'[1]Tissue Data'!$A:$A,'[1]Tissue Data'!$H:$H)</f>
        <v>Lepomis</v>
      </c>
      <c r="F488" t="str">
        <f>_xlfn.XLOOKUP(A488,'[1]Tissue Data'!$A:$A,'[1]Tissue Data'!$I:$I)</f>
        <v>gibbosus</v>
      </c>
      <c r="G488" t="str">
        <f>_xlfn.XLOOKUP(A488,'[1]Tissue Data'!$A:$A,'[1]Tissue Data'!J:J)</f>
        <v>U</v>
      </c>
      <c r="H488" t="str">
        <f>_xlfn.XLOOKUP(A488,'[1]Tissue Data'!$A:$A,'[1]Tissue Data'!K:K)</f>
        <v>Whole Body</v>
      </c>
      <c r="I488">
        <f>_xlfn.XLOOKUP(A488,'[1]Tissue Data'!$A:$A,'[1]Tissue Data'!L:L)</f>
        <v>8</v>
      </c>
      <c r="J488">
        <f>_xlfn.XLOOKUP(A488,'[1]Tissue Data'!$A:$A,'[1]Tissue Data'!M:M)</f>
        <v>4.75</v>
      </c>
      <c r="K488" t="s">
        <v>48</v>
      </c>
      <c r="L488" t="str">
        <f>_xlfn.XLOOKUP(K488,[2]analyte_order!$B:$B,[2]analyte_order!$C:$C)</f>
        <v>914637-49-3</v>
      </c>
      <c r="M488">
        <f>_xlfn.XLOOKUP(L488,[2]analyte_order!$C:$C,[2]analyte_order!$E:$E)</f>
        <v>39</v>
      </c>
      <c r="N488">
        <v>5.1320333859964089E-2</v>
      </c>
    </row>
    <row r="489" spans="1:14">
      <c r="A489" t="s">
        <v>238</v>
      </c>
      <c r="B489" t="str">
        <f>_xlfn.XLOOKUP(A489,'[1]Tissue Data'!$A:$A,'[1]Tissue Data'!$C:$C)</f>
        <v>Down</v>
      </c>
      <c r="C489" s="2">
        <f>_xlfn.XLOOKUP(A489,'[1]Tissue Data'!$A:$A,'[1]Tissue Data'!$D:$D)</f>
        <v>44314</v>
      </c>
      <c r="D489" s="2" t="str">
        <f>_xlfn.XLOOKUP(A489,'[1]Tissue Data'!$A:$A,'[1]Tissue Data'!$F:$F)</f>
        <v>Pumpkinseed</v>
      </c>
      <c r="E489" t="str">
        <f>_xlfn.XLOOKUP(A489,'[1]Tissue Data'!$A:$A,'[1]Tissue Data'!$H:$H)</f>
        <v>Lepomis</v>
      </c>
      <c r="F489" t="str">
        <f>_xlfn.XLOOKUP(A489,'[1]Tissue Data'!$A:$A,'[1]Tissue Data'!$I:$I)</f>
        <v>gibbosus</v>
      </c>
      <c r="G489" t="str">
        <f>_xlfn.XLOOKUP(A489,'[1]Tissue Data'!$A:$A,'[1]Tissue Data'!J:J)</f>
        <v>U</v>
      </c>
      <c r="H489" t="str">
        <f>_xlfn.XLOOKUP(A489,'[1]Tissue Data'!$A:$A,'[1]Tissue Data'!K:K)</f>
        <v>Whole Body</v>
      </c>
      <c r="I489">
        <f>_xlfn.XLOOKUP(A489,'[1]Tissue Data'!$A:$A,'[1]Tissue Data'!L:L)</f>
        <v>8</v>
      </c>
      <c r="J489">
        <f>_xlfn.XLOOKUP(A489,'[1]Tissue Data'!$A:$A,'[1]Tissue Data'!M:M)</f>
        <v>4.75</v>
      </c>
      <c r="K489" t="s">
        <v>49</v>
      </c>
      <c r="L489" t="str">
        <f>_xlfn.XLOOKUP(K489,[2]analyte_order!$B:$B,[2]analyte_order!$C:$C)</f>
        <v>812-70-4</v>
      </c>
      <c r="M489">
        <f>_xlfn.XLOOKUP(L489,[2]analyte_order!$C:$C,[2]analyte_order!$E:$E)</f>
        <v>40</v>
      </c>
      <c r="N489">
        <v>1.58</v>
      </c>
    </row>
    <row r="490" spans="1:14">
      <c r="A490" t="s">
        <v>238</v>
      </c>
      <c r="B490" t="str">
        <f>_xlfn.XLOOKUP(A490,'[1]Tissue Data'!$A:$A,'[1]Tissue Data'!$C:$C)</f>
        <v>Down</v>
      </c>
      <c r="C490" s="2">
        <f>_xlfn.XLOOKUP(A490,'[1]Tissue Data'!$A:$A,'[1]Tissue Data'!$D:$D)</f>
        <v>44314</v>
      </c>
      <c r="D490" s="2" t="str">
        <f>_xlfn.XLOOKUP(A490,'[1]Tissue Data'!$A:$A,'[1]Tissue Data'!$F:$F)</f>
        <v>Pumpkinseed</v>
      </c>
      <c r="E490" t="str">
        <f>_xlfn.XLOOKUP(A490,'[1]Tissue Data'!$A:$A,'[1]Tissue Data'!$H:$H)</f>
        <v>Lepomis</v>
      </c>
      <c r="F490" t="str">
        <f>_xlfn.XLOOKUP(A490,'[1]Tissue Data'!$A:$A,'[1]Tissue Data'!$I:$I)</f>
        <v>gibbosus</v>
      </c>
      <c r="G490" t="str">
        <f>_xlfn.XLOOKUP(A490,'[1]Tissue Data'!$A:$A,'[1]Tissue Data'!J:J)</f>
        <v>U</v>
      </c>
      <c r="H490" t="str">
        <f>_xlfn.XLOOKUP(A490,'[1]Tissue Data'!$A:$A,'[1]Tissue Data'!K:K)</f>
        <v>Whole Body</v>
      </c>
      <c r="I490">
        <f>_xlfn.XLOOKUP(A490,'[1]Tissue Data'!$A:$A,'[1]Tissue Data'!L:L)</f>
        <v>8</v>
      </c>
      <c r="J490">
        <f>_xlfn.XLOOKUP(A490,'[1]Tissue Data'!$A:$A,'[1]Tissue Data'!M:M)</f>
        <v>4.75</v>
      </c>
      <c r="K490" t="s">
        <v>50</v>
      </c>
      <c r="L490" t="str">
        <f>_xlfn.XLOOKUP(K490,[2]analyte_order!$B:$B,[2]analyte_order!$C:$C)</f>
        <v>53826-12-3</v>
      </c>
      <c r="M490">
        <f>_xlfn.XLOOKUP(L490,[2]analyte_order!$C:$C,[2]analyte_order!$E:$E)</f>
        <v>41</v>
      </c>
      <c r="N490">
        <v>2.56</v>
      </c>
    </row>
    <row r="491" spans="1:14">
      <c r="A491" t="s">
        <v>238</v>
      </c>
      <c r="B491" t="str">
        <f>_xlfn.XLOOKUP(A491,'[1]Tissue Data'!$A:$A,'[1]Tissue Data'!$C:$C)</f>
        <v>Down</v>
      </c>
      <c r="C491" s="2">
        <f>_xlfn.XLOOKUP(A491,'[1]Tissue Data'!$A:$A,'[1]Tissue Data'!$D:$D)</f>
        <v>44314</v>
      </c>
      <c r="D491" s="2" t="str">
        <f>_xlfn.XLOOKUP(A491,'[1]Tissue Data'!$A:$A,'[1]Tissue Data'!$F:$F)</f>
        <v>Pumpkinseed</v>
      </c>
      <c r="E491" t="str">
        <f>_xlfn.XLOOKUP(A491,'[1]Tissue Data'!$A:$A,'[1]Tissue Data'!$H:$H)</f>
        <v>Lepomis</v>
      </c>
      <c r="F491" t="str">
        <f>_xlfn.XLOOKUP(A491,'[1]Tissue Data'!$A:$A,'[1]Tissue Data'!$I:$I)</f>
        <v>gibbosus</v>
      </c>
      <c r="G491" t="str">
        <f>_xlfn.XLOOKUP(A491,'[1]Tissue Data'!$A:$A,'[1]Tissue Data'!J:J)</f>
        <v>U</v>
      </c>
      <c r="H491" t="str">
        <f>_xlfn.XLOOKUP(A491,'[1]Tissue Data'!$A:$A,'[1]Tissue Data'!K:K)</f>
        <v>Whole Body</v>
      </c>
      <c r="I491">
        <f>_xlfn.XLOOKUP(A491,'[1]Tissue Data'!$A:$A,'[1]Tissue Data'!L:L)</f>
        <v>8</v>
      </c>
      <c r="J491">
        <f>_xlfn.XLOOKUP(A491,'[1]Tissue Data'!$A:$A,'[1]Tissue Data'!M:M)</f>
        <v>4.75</v>
      </c>
      <c r="K491" t="s">
        <v>51</v>
      </c>
      <c r="L491" t="str">
        <f>_xlfn.XLOOKUP(K491,[2]analyte_order!$B:$B,[2]analyte_order!$C:$C)</f>
        <v>27854-31-5</v>
      </c>
      <c r="M491">
        <f>_xlfn.XLOOKUP(L491,[2]analyte_order!$C:$C,[2]analyte_order!$E:$E)</f>
        <v>42</v>
      </c>
      <c r="N491">
        <v>2.7202002067352158E-2</v>
      </c>
    </row>
    <row r="492" spans="1:14">
      <c r="A492" t="s">
        <v>238</v>
      </c>
      <c r="B492" t="str">
        <f>_xlfn.XLOOKUP(A492,'[1]Tissue Data'!$A:$A,'[1]Tissue Data'!$C:$C)</f>
        <v>Down</v>
      </c>
      <c r="C492" s="2">
        <f>_xlfn.XLOOKUP(A492,'[1]Tissue Data'!$A:$A,'[1]Tissue Data'!$D:$D)</f>
        <v>44314</v>
      </c>
      <c r="D492" s="2" t="str">
        <f>_xlfn.XLOOKUP(A492,'[1]Tissue Data'!$A:$A,'[1]Tissue Data'!$F:$F)</f>
        <v>Pumpkinseed</v>
      </c>
      <c r="E492" t="str">
        <f>_xlfn.XLOOKUP(A492,'[1]Tissue Data'!$A:$A,'[1]Tissue Data'!$H:$H)</f>
        <v>Lepomis</v>
      </c>
      <c r="F492" t="str">
        <f>_xlfn.XLOOKUP(A492,'[1]Tissue Data'!$A:$A,'[1]Tissue Data'!$I:$I)</f>
        <v>gibbosus</v>
      </c>
      <c r="G492" t="str">
        <f>_xlfn.XLOOKUP(A492,'[1]Tissue Data'!$A:$A,'[1]Tissue Data'!J:J)</f>
        <v>U</v>
      </c>
      <c r="H492" t="str">
        <f>_xlfn.XLOOKUP(A492,'[1]Tissue Data'!$A:$A,'[1]Tissue Data'!K:K)</f>
        <v>Whole Body</v>
      </c>
      <c r="I492">
        <f>_xlfn.XLOOKUP(A492,'[1]Tissue Data'!$A:$A,'[1]Tissue Data'!L:L)</f>
        <v>8</v>
      </c>
      <c r="J492">
        <f>_xlfn.XLOOKUP(A492,'[1]Tissue Data'!$A:$A,'[1]Tissue Data'!M:M)</f>
        <v>4.75</v>
      </c>
      <c r="K492" t="s">
        <v>52</v>
      </c>
      <c r="L492" t="str">
        <f>_xlfn.XLOOKUP(K492,[2]analyte_order!$B:$B,[2]analyte_order!$C:$C)</f>
        <v>53826-13-4</v>
      </c>
      <c r="M492">
        <f>_xlfn.XLOOKUP(L492,[2]analyte_order!$C:$C,[2]analyte_order!$E:$E)</f>
        <v>43</v>
      </c>
      <c r="N492">
        <v>0.10147655920556553</v>
      </c>
    </row>
    <row r="493" spans="1:14">
      <c r="A493" t="s">
        <v>238</v>
      </c>
      <c r="B493" t="str">
        <f>_xlfn.XLOOKUP(A493,'[1]Tissue Data'!$A:$A,'[1]Tissue Data'!$C:$C)</f>
        <v>Down</v>
      </c>
      <c r="C493" s="2">
        <f>_xlfn.XLOOKUP(A493,'[1]Tissue Data'!$A:$A,'[1]Tissue Data'!$D:$D)</f>
        <v>44314</v>
      </c>
      <c r="D493" s="2" t="str">
        <f>_xlfn.XLOOKUP(A493,'[1]Tissue Data'!$A:$A,'[1]Tissue Data'!$F:$F)</f>
        <v>Pumpkinseed</v>
      </c>
      <c r="E493" t="str">
        <f>_xlfn.XLOOKUP(A493,'[1]Tissue Data'!$A:$A,'[1]Tissue Data'!$H:$H)</f>
        <v>Lepomis</v>
      </c>
      <c r="F493" t="str">
        <f>_xlfn.XLOOKUP(A493,'[1]Tissue Data'!$A:$A,'[1]Tissue Data'!$I:$I)</f>
        <v>gibbosus</v>
      </c>
      <c r="G493" t="str">
        <f>_xlfn.XLOOKUP(A493,'[1]Tissue Data'!$A:$A,'[1]Tissue Data'!J:J)</f>
        <v>U</v>
      </c>
      <c r="H493" t="str">
        <f>_xlfn.XLOOKUP(A493,'[1]Tissue Data'!$A:$A,'[1]Tissue Data'!K:K)</f>
        <v>Whole Body</v>
      </c>
      <c r="I493">
        <f>_xlfn.XLOOKUP(A493,'[1]Tissue Data'!$A:$A,'[1]Tissue Data'!L:L)</f>
        <v>8</v>
      </c>
      <c r="J493">
        <f>_xlfn.XLOOKUP(A493,'[1]Tissue Data'!$A:$A,'[1]Tissue Data'!M:M)</f>
        <v>4.75</v>
      </c>
      <c r="K493" t="s">
        <v>53</v>
      </c>
      <c r="L493" t="str">
        <f>_xlfn.XLOOKUP(K493,[2]analyte_order!$B:$B,[2]analyte_order!$C:$C)</f>
        <v>161094-75-3</v>
      </c>
      <c r="M493">
        <f>_xlfn.XLOOKUP(L493,[2]analyte_order!$C:$C,[2]analyte_order!$E:$E)</f>
        <v>44</v>
      </c>
      <c r="N493">
        <v>5.3397295314183121E-2</v>
      </c>
    </row>
    <row r="494" spans="1:14">
      <c r="A494" t="s">
        <v>238</v>
      </c>
      <c r="B494" t="str">
        <f>_xlfn.XLOOKUP(A494,'[1]Tissue Data'!$A:$A,'[1]Tissue Data'!$C:$C)</f>
        <v>Down</v>
      </c>
      <c r="C494" s="2">
        <f>_xlfn.XLOOKUP(A494,'[1]Tissue Data'!$A:$A,'[1]Tissue Data'!$D:$D)</f>
        <v>44314</v>
      </c>
      <c r="D494" s="2" t="str">
        <f>_xlfn.XLOOKUP(A494,'[1]Tissue Data'!$A:$A,'[1]Tissue Data'!$F:$F)</f>
        <v>Pumpkinseed</v>
      </c>
      <c r="E494" t="str">
        <f>_xlfn.XLOOKUP(A494,'[1]Tissue Data'!$A:$A,'[1]Tissue Data'!$H:$H)</f>
        <v>Lepomis</v>
      </c>
      <c r="F494" t="str">
        <f>_xlfn.XLOOKUP(A494,'[1]Tissue Data'!$A:$A,'[1]Tissue Data'!$I:$I)</f>
        <v>gibbosus</v>
      </c>
      <c r="G494" t="str">
        <f>_xlfn.XLOOKUP(A494,'[1]Tissue Data'!$A:$A,'[1]Tissue Data'!J:J)</f>
        <v>U</v>
      </c>
      <c r="H494" t="str">
        <f>_xlfn.XLOOKUP(A494,'[1]Tissue Data'!$A:$A,'[1]Tissue Data'!K:K)</f>
        <v>Whole Body</v>
      </c>
      <c r="I494">
        <f>_xlfn.XLOOKUP(A494,'[1]Tissue Data'!$A:$A,'[1]Tissue Data'!L:L)</f>
        <v>8</v>
      </c>
      <c r="J494">
        <f>_xlfn.XLOOKUP(A494,'[1]Tissue Data'!$A:$A,'[1]Tissue Data'!M:M)</f>
        <v>4.75</v>
      </c>
      <c r="K494" t="s">
        <v>54</v>
      </c>
      <c r="L494" t="str">
        <f>_xlfn.XLOOKUP(K494,[2]analyte_order!$B:$B,[2]analyte_order!$C:$C)</f>
        <v>70887-84-2</v>
      </c>
      <c r="M494">
        <f>_xlfn.XLOOKUP(L494,[2]analyte_order!$C:$C,[2]analyte_order!$E:$E)</f>
        <v>45</v>
      </c>
      <c r="N494">
        <v>4.1095732619838427E-2</v>
      </c>
    </row>
    <row r="495" spans="1:14">
      <c r="A495" t="s">
        <v>238</v>
      </c>
      <c r="B495" t="str">
        <f>_xlfn.XLOOKUP(A495,'[1]Tissue Data'!$A:$A,'[1]Tissue Data'!$C:$C)</f>
        <v>Down</v>
      </c>
      <c r="C495" s="2">
        <f>_xlfn.XLOOKUP(A495,'[1]Tissue Data'!$A:$A,'[1]Tissue Data'!$D:$D)</f>
        <v>44314</v>
      </c>
      <c r="D495" s="2" t="str">
        <f>_xlfn.XLOOKUP(A495,'[1]Tissue Data'!$A:$A,'[1]Tissue Data'!$F:$F)</f>
        <v>Pumpkinseed</v>
      </c>
      <c r="E495" t="str">
        <f>_xlfn.XLOOKUP(A495,'[1]Tissue Data'!$A:$A,'[1]Tissue Data'!$H:$H)</f>
        <v>Lepomis</v>
      </c>
      <c r="F495" t="str">
        <f>_xlfn.XLOOKUP(A495,'[1]Tissue Data'!$A:$A,'[1]Tissue Data'!$I:$I)</f>
        <v>gibbosus</v>
      </c>
      <c r="G495" t="str">
        <f>_xlfn.XLOOKUP(A495,'[1]Tissue Data'!$A:$A,'[1]Tissue Data'!J:J)</f>
        <v>U</v>
      </c>
      <c r="H495" t="str">
        <f>_xlfn.XLOOKUP(A495,'[1]Tissue Data'!$A:$A,'[1]Tissue Data'!K:K)</f>
        <v>Whole Body</v>
      </c>
      <c r="I495">
        <f>_xlfn.XLOOKUP(A495,'[1]Tissue Data'!$A:$A,'[1]Tissue Data'!L:L)</f>
        <v>8</v>
      </c>
      <c r="J495">
        <f>_xlfn.XLOOKUP(A495,'[1]Tissue Data'!$A:$A,'[1]Tissue Data'!M:M)</f>
        <v>4.75</v>
      </c>
      <c r="K495" t="s">
        <v>55</v>
      </c>
      <c r="L495" t="str">
        <f>_xlfn.XLOOKUP(K495,[2]analyte_order!$B:$B,[2]analyte_order!$C:$C)</f>
        <v>919005-14-4</v>
      </c>
      <c r="M495">
        <f>_xlfn.XLOOKUP(L495,[2]analyte_order!$C:$C,[2]analyte_order!$E:$E)</f>
        <v>35</v>
      </c>
      <c r="N495">
        <v>6.80050051683804E-2</v>
      </c>
    </row>
    <row r="496" spans="1:14">
      <c r="A496" t="s">
        <v>238</v>
      </c>
      <c r="B496" t="str">
        <f>_xlfn.XLOOKUP(A496,'[1]Tissue Data'!$A:$A,'[1]Tissue Data'!$C:$C)</f>
        <v>Down</v>
      </c>
      <c r="C496" s="2">
        <f>_xlfn.XLOOKUP(A496,'[1]Tissue Data'!$A:$A,'[1]Tissue Data'!$D:$D)</f>
        <v>44314</v>
      </c>
      <c r="D496" s="2" t="str">
        <f>_xlfn.XLOOKUP(A496,'[1]Tissue Data'!$A:$A,'[1]Tissue Data'!$F:$F)</f>
        <v>Pumpkinseed</v>
      </c>
      <c r="E496" t="str">
        <f>_xlfn.XLOOKUP(A496,'[1]Tissue Data'!$A:$A,'[1]Tissue Data'!$H:$H)</f>
        <v>Lepomis</v>
      </c>
      <c r="F496" t="str">
        <f>_xlfn.XLOOKUP(A496,'[1]Tissue Data'!$A:$A,'[1]Tissue Data'!$I:$I)</f>
        <v>gibbosus</v>
      </c>
      <c r="G496" t="str">
        <f>_xlfn.XLOOKUP(A496,'[1]Tissue Data'!$A:$A,'[1]Tissue Data'!J:J)</f>
        <v>U</v>
      </c>
      <c r="H496" t="str">
        <f>_xlfn.XLOOKUP(A496,'[1]Tissue Data'!$A:$A,'[1]Tissue Data'!K:K)</f>
        <v>Whole Body</v>
      </c>
      <c r="I496">
        <f>_xlfn.XLOOKUP(A496,'[1]Tissue Data'!$A:$A,'[1]Tissue Data'!L:L)</f>
        <v>8</v>
      </c>
      <c r="J496">
        <f>_xlfn.XLOOKUP(A496,'[1]Tissue Data'!$A:$A,'[1]Tissue Data'!M:M)</f>
        <v>4.75</v>
      </c>
      <c r="K496" t="s">
        <v>56</v>
      </c>
      <c r="L496" t="str">
        <f>_xlfn.XLOOKUP(K496,[2]analyte_order!$B:$B,[2]analyte_order!$C:$C)</f>
        <v>756426-58-1</v>
      </c>
      <c r="M496">
        <f>_xlfn.XLOOKUP(L496,[2]analyte_order!$C:$C,[2]analyte_order!$E:$E)</f>
        <v>36</v>
      </c>
      <c r="N496">
        <v>4.7202725587971277E-2</v>
      </c>
    </row>
    <row r="497" spans="1:14">
      <c r="A497" t="s">
        <v>238</v>
      </c>
      <c r="B497" t="str">
        <f>_xlfn.XLOOKUP(A497,'[1]Tissue Data'!$A:$A,'[1]Tissue Data'!$C:$C)</f>
        <v>Down</v>
      </c>
      <c r="C497" s="2">
        <f>_xlfn.XLOOKUP(A497,'[1]Tissue Data'!$A:$A,'[1]Tissue Data'!$D:$D)</f>
        <v>44314</v>
      </c>
      <c r="D497" s="2" t="str">
        <f>_xlfn.XLOOKUP(A497,'[1]Tissue Data'!$A:$A,'[1]Tissue Data'!$F:$F)</f>
        <v>Pumpkinseed</v>
      </c>
      <c r="E497" t="str">
        <f>_xlfn.XLOOKUP(A497,'[1]Tissue Data'!$A:$A,'[1]Tissue Data'!$H:$H)</f>
        <v>Lepomis</v>
      </c>
      <c r="F497" t="str">
        <f>_xlfn.XLOOKUP(A497,'[1]Tissue Data'!$A:$A,'[1]Tissue Data'!$I:$I)</f>
        <v>gibbosus</v>
      </c>
      <c r="G497" t="str">
        <f>_xlfn.XLOOKUP(A497,'[1]Tissue Data'!$A:$A,'[1]Tissue Data'!J:J)</f>
        <v>U</v>
      </c>
      <c r="H497" t="str">
        <f>_xlfn.XLOOKUP(A497,'[1]Tissue Data'!$A:$A,'[1]Tissue Data'!K:K)</f>
        <v>Whole Body</v>
      </c>
      <c r="I497">
        <f>_xlfn.XLOOKUP(A497,'[1]Tissue Data'!$A:$A,'[1]Tissue Data'!L:L)</f>
        <v>8</v>
      </c>
      <c r="J497">
        <f>_xlfn.XLOOKUP(A497,'[1]Tissue Data'!$A:$A,'[1]Tissue Data'!M:M)</f>
        <v>4.75</v>
      </c>
      <c r="K497" t="s">
        <v>57</v>
      </c>
      <c r="L497" t="str">
        <f>_xlfn.XLOOKUP(K497,[2]analyte_order!$B:$B,[2]analyte_order!$C:$C)</f>
        <v>763051-92-9</v>
      </c>
      <c r="M497">
        <f>_xlfn.XLOOKUP(L497,[2]analyte_order!$C:$C,[2]analyte_order!$E:$E)</f>
        <v>37</v>
      </c>
      <c r="N497">
        <v>5.3587301108617598E-2</v>
      </c>
    </row>
    <row r="498" spans="1:14">
      <c r="A498" t="s">
        <v>238</v>
      </c>
      <c r="B498" t="str">
        <f>_xlfn.XLOOKUP(A498,'[1]Tissue Data'!$A:$A,'[1]Tissue Data'!$C:$C)</f>
        <v>Down</v>
      </c>
      <c r="C498" s="2">
        <f>_xlfn.XLOOKUP(A498,'[1]Tissue Data'!$A:$A,'[1]Tissue Data'!$D:$D)</f>
        <v>44314</v>
      </c>
      <c r="D498" s="2" t="str">
        <f>_xlfn.XLOOKUP(A498,'[1]Tissue Data'!$A:$A,'[1]Tissue Data'!$F:$F)</f>
        <v>Pumpkinseed</v>
      </c>
      <c r="E498" t="str">
        <f>_xlfn.XLOOKUP(A498,'[1]Tissue Data'!$A:$A,'[1]Tissue Data'!$H:$H)</f>
        <v>Lepomis</v>
      </c>
      <c r="F498" t="str">
        <f>_xlfn.XLOOKUP(A498,'[1]Tissue Data'!$A:$A,'[1]Tissue Data'!$I:$I)</f>
        <v>gibbosus</v>
      </c>
      <c r="G498" t="str">
        <f>_xlfn.XLOOKUP(A498,'[1]Tissue Data'!$A:$A,'[1]Tissue Data'!J:J)</f>
        <v>U</v>
      </c>
      <c r="H498" t="str">
        <f>_xlfn.XLOOKUP(A498,'[1]Tissue Data'!$A:$A,'[1]Tissue Data'!K:K)</f>
        <v>Whole Body</v>
      </c>
      <c r="I498">
        <f>_xlfn.XLOOKUP(A498,'[1]Tissue Data'!$A:$A,'[1]Tissue Data'!L:L)</f>
        <v>8</v>
      </c>
      <c r="J498">
        <f>_xlfn.XLOOKUP(A498,'[1]Tissue Data'!$A:$A,'[1]Tissue Data'!M:M)</f>
        <v>4.75</v>
      </c>
      <c r="K498" t="s">
        <v>58</v>
      </c>
      <c r="L498" t="str">
        <f>_xlfn.XLOOKUP(K498,[2]analyte_order!$B:$B,[2]analyte_order!$C:$C)</f>
        <v>13252-13-6</v>
      </c>
      <c r="M498">
        <f>_xlfn.XLOOKUP(L498,[2]analyte_order!$C:$C,[2]analyte_order!$E:$E)</f>
        <v>34</v>
      </c>
      <c r="N498">
        <v>9.7589124977558367E-2</v>
      </c>
    </row>
    <row r="499" spans="1:14">
      <c r="A499" t="s">
        <v>238</v>
      </c>
      <c r="B499" t="str">
        <f>_xlfn.XLOOKUP(A499,'[1]Tissue Data'!$A:$A,'[1]Tissue Data'!$C:$C)</f>
        <v>Down</v>
      </c>
      <c r="C499" s="2">
        <f>_xlfn.XLOOKUP(A499,'[1]Tissue Data'!$A:$A,'[1]Tissue Data'!$D:$D)</f>
        <v>44314</v>
      </c>
      <c r="D499" s="2" t="str">
        <f>_xlfn.XLOOKUP(A499,'[1]Tissue Data'!$A:$A,'[1]Tissue Data'!$F:$F)</f>
        <v>Pumpkinseed</v>
      </c>
      <c r="E499" t="str">
        <f>_xlfn.XLOOKUP(A499,'[1]Tissue Data'!$A:$A,'[1]Tissue Data'!$H:$H)</f>
        <v>Lepomis</v>
      </c>
      <c r="F499" t="str">
        <f>_xlfn.XLOOKUP(A499,'[1]Tissue Data'!$A:$A,'[1]Tissue Data'!$I:$I)</f>
        <v>gibbosus</v>
      </c>
      <c r="G499" t="str">
        <f>_xlfn.XLOOKUP(A499,'[1]Tissue Data'!$A:$A,'[1]Tissue Data'!J:J)</f>
        <v>U</v>
      </c>
      <c r="H499" t="str">
        <f>_xlfn.XLOOKUP(A499,'[1]Tissue Data'!$A:$A,'[1]Tissue Data'!K:K)</f>
        <v>Whole Body</v>
      </c>
      <c r="I499">
        <f>_xlfn.XLOOKUP(A499,'[1]Tissue Data'!$A:$A,'[1]Tissue Data'!L:L)</f>
        <v>8</v>
      </c>
      <c r="J499">
        <f>_xlfn.XLOOKUP(A499,'[1]Tissue Data'!$A:$A,'[1]Tissue Data'!M:M)</f>
        <v>4.75</v>
      </c>
      <c r="K499" t="s">
        <v>59</v>
      </c>
      <c r="L499" t="str">
        <f>_xlfn.XLOOKUP(K499,[2]analyte_order!$B:$B,[2]analyte_order!$C:$C)</f>
        <v>57677-95-9</v>
      </c>
      <c r="M499">
        <f>_xlfn.XLOOKUP(L499,[2]analyte_order!$C:$C,[2]analyte_order!$E:$E)</f>
        <v>46</v>
      </c>
      <c r="N499">
        <v>7.2393295758527834E-2</v>
      </c>
    </row>
    <row r="500" spans="1:14">
      <c r="A500" t="s">
        <v>238</v>
      </c>
      <c r="B500" t="str">
        <f>_xlfn.XLOOKUP(A500,'[1]Tissue Data'!$A:$A,'[1]Tissue Data'!$C:$C)</f>
        <v>Down</v>
      </c>
      <c r="C500" s="2">
        <f>_xlfn.XLOOKUP(A500,'[1]Tissue Data'!$A:$A,'[1]Tissue Data'!$D:$D)</f>
        <v>44314</v>
      </c>
      <c r="D500" s="2" t="str">
        <f>_xlfn.XLOOKUP(A500,'[1]Tissue Data'!$A:$A,'[1]Tissue Data'!$F:$F)</f>
        <v>Pumpkinseed</v>
      </c>
      <c r="E500" t="str">
        <f>_xlfn.XLOOKUP(A500,'[1]Tissue Data'!$A:$A,'[1]Tissue Data'!$H:$H)</f>
        <v>Lepomis</v>
      </c>
      <c r="F500" t="str">
        <f>_xlfn.XLOOKUP(A500,'[1]Tissue Data'!$A:$A,'[1]Tissue Data'!$I:$I)</f>
        <v>gibbosus</v>
      </c>
      <c r="G500" t="str">
        <f>_xlfn.XLOOKUP(A500,'[1]Tissue Data'!$A:$A,'[1]Tissue Data'!J:J)</f>
        <v>U</v>
      </c>
      <c r="H500" t="str">
        <f>_xlfn.XLOOKUP(A500,'[1]Tissue Data'!$A:$A,'[1]Tissue Data'!K:K)</f>
        <v>Whole Body</v>
      </c>
      <c r="I500">
        <f>_xlfn.XLOOKUP(A500,'[1]Tissue Data'!$A:$A,'[1]Tissue Data'!L:L)</f>
        <v>8</v>
      </c>
      <c r="J500">
        <f>_xlfn.XLOOKUP(A500,'[1]Tissue Data'!$A:$A,'[1]Tissue Data'!M:M)</f>
        <v>4.75</v>
      </c>
      <c r="K500" t="s">
        <v>60</v>
      </c>
      <c r="L500" t="str">
        <f>_xlfn.XLOOKUP(K500,[2]analyte_order!$B:$B,[2]analyte_order!$C:$C)</f>
        <v>678-41-1</v>
      </c>
      <c r="M500">
        <f>_xlfn.XLOOKUP(L500,[2]analyte_order!$C:$C,[2]analyte_order!$E:$E)</f>
        <v>56</v>
      </c>
      <c r="N500">
        <v>9.0161988433572718E-2</v>
      </c>
    </row>
    <row r="501" spans="1:14">
      <c r="A501" t="s">
        <v>238</v>
      </c>
      <c r="B501" t="str">
        <f>_xlfn.XLOOKUP(A501,'[1]Tissue Data'!$A:$A,'[1]Tissue Data'!$C:$C)</f>
        <v>Down</v>
      </c>
      <c r="C501" s="2">
        <f>_xlfn.XLOOKUP(A501,'[1]Tissue Data'!$A:$A,'[1]Tissue Data'!$D:$D)</f>
        <v>44314</v>
      </c>
      <c r="D501" s="2" t="str">
        <f>_xlfn.XLOOKUP(A501,'[1]Tissue Data'!$A:$A,'[1]Tissue Data'!$F:$F)</f>
        <v>Pumpkinseed</v>
      </c>
      <c r="E501" t="str">
        <f>_xlfn.XLOOKUP(A501,'[1]Tissue Data'!$A:$A,'[1]Tissue Data'!$H:$H)</f>
        <v>Lepomis</v>
      </c>
      <c r="F501" t="str">
        <f>_xlfn.XLOOKUP(A501,'[1]Tissue Data'!$A:$A,'[1]Tissue Data'!$I:$I)</f>
        <v>gibbosus</v>
      </c>
      <c r="G501" t="str">
        <f>_xlfn.XLOOKUP(A501,'[1]Tissue Data'!$A:$A,'[1]Tissue Data'!J:J)</f>
        <v>U</v>
      </c>
      <c r="H501" t="str">
        <f>_xlfn.XLOOKUP(A501,'[1]Tissue Data'!$A:$A,'[1]Tissue Data'!K:K)</f>
        <v>Whole Body</v>
      </c>
      <c r="I501">
        <f>_xlfn.XLOOKUP(A501,'[1]Tissue Data'!$A:$A,'[1]Tissue Data'!L:L)</f>
        <v>8</v>
      </c>
      <c r="J501">
        <f>_xlfn.XLOOKUP(A501,'[1]Tissue Data'!$A:$A,'[1]Tissue Data'!M:M)</f>
        <v>4.75</v>
      </c>
      <c r="K501" t="s">
        <v>61</v>
      </c>
      <c r="L501" t="str">
        <f>_xlfn.XLOOKUP(K501,[2]analyte_order!$B:$B,[2]analyte_order!$C:$C)</f>
        <v>2965-52-8</v>
      </c>
      <c r="M501">
        <f>_xlfn.XLOOKUP(L501,[2]analyte_order!$C:$C,[2]analyte_order!$E:$E)</f>
        <v>57</v>
      </c>
      <c r="N501">
        <v>0.11968880909634949</v>
      </c>
    </row>
    <row r="502" spans="1:14">
      <c r="A502" t="s">
        <v>130</v>
      </c>
      <c r="B502" t="str">
        <f>_xlfn.XLOOKUP(A502,'[1]Tissue Data'!$A:$A,'[1]Tissue Data'!$C:$C)</f>
        <v>Down</v>
      </c>
      <c r="C502" s="2">
        <f>_xlfn.XLOOKUP(A502,'[1]Tissue Data'!$A:$A,'[1]Tissue Data'!$D:$D)</f>
        <v>44314</v>
      </c>
      <c r="D502" s="2" t="s">
        <v>131</v>
      </c>
      <c r="E502" t="str">
        <f>_xlfn.XLOOKUP(A502,'[1]Tissue Data'!$A:$A,'[1]Tissue Data'!$H:$H)</f>
        <v>Clinostomus</v>
      </c>
      <c r="F502" t="str">
        <f>_xlfn.XLOOKUP(A502,'[1]Tissue Data'!$A:$A,'[1]Tissue Data'!$I:$I)</f>
        <v>funduloides</v>
      </c>
      <c r="G502" t="str">
        <f>_xlfn.XLOOKUP(A502,'[1]Tissue Data'!$A:$A,'[1]Tissue Data'!J:J)</f>
        <v>U</v>
      </c>
      <c r="H502" t="str">
        <f>_xlfn.XLOOKUP(A502,'[1]Tissue Data'!$A:$A,'[1]Tissue Data'!K:K)</f>
        <v>Whole Body</v>
      </c>
      <c r="I502">
        <f>_xlfn.XLOOKUP(A502,'[1]Tissue Data'!$A:$A,'[1]Tissue Data'!L:L)</f>
        <v>5.25</v>
      </c>
      <c r="J502">
        <f>_xlfn.XLOOKUP(A502,'[1]Tissue Data'!$A:$A,'[1]Tissue Data'!M:M)</f>
        <v>3.6</v>
      </c>
      <c r="K502" t="s">
        <v>12</v>
      </c>
      <c r="L502" t="str">
        <f>_xlfn.XLOOKUP(K502,[2]analyte_order!$B:$B,[2]analyte_order!$C:$C)</f>
        <v>375-22-4</v>
      </c>
      <c r="M502">
        <f>_xlfn.XLOOKUP(L502,[2]analyte_order!$C:$C,[2]analyte_order!$E:$E)</f>
        <v>1</v>
      </c>
      <c r="N502">
        <v>2.8338245295851279E-2</v>
      </c>
    </row>
    <row r="503" spans="1:14">
      <c r="A503" t="s">
        <v>130</v>
      </c>
      <c r="B503" t="str">
        <f>_xlfn.XLOOKUP(A503,'[1]Tissue Data'!$A:$A,'[1]Tissue Data'!$C:$C)</f>
        <v>Down</v>
      </c>
      <c r="C503" s="2">
        <f>_xlfn.XLOOKUP(A503,'[1]Tissue Data'!$A:$A,'[1]Tissue Data'!$D:$D)</f>
        <v>44314</v>
      </c>
      <c r="D503" s="2" t="s">
        <v>131</v>
      </c>
      <c r="E503" t="str">
        <f>_xlfn.XLOOKUP(A503,'[1]Tissue Data'!$A:$A,'[1]Tissue Data'!$H:$H)</f>
        <v>Clinostomus</v>
      </c>
      <c r="F503" t="str">
        <f>_xlfn.XLOOKUP(A503,'[1]Tissue Data'!$A:$A,'[1]Tissue Data'!$I:$I)</f>
        <v>funduloides</v>
      </c>
      <c r="G503" t="str">
        <f>_xlfn.XLOOKUP(A503,'[1]Tissue Data'!$A:$A,'[1]Tissue Data'!J:J)</f>
        <v>U</v>
      </c>
      <c r="H503" t="str">
        <f>_xlfn.XLOOKUP(A503,'[1]Tissue Data'!$A:$A,'[1]Tissue Data'!K:K)</f>
        <v>Whole Body</v>
      </c>
      <c r="I503">
        <f>_xlfn.XLOOKUP(A503,'[1]Tissue Data'!$A:$A,'[1]Tissue Data'!L:L)</f>
        <v>5.25</v>
      </c>
      <c r="J503">
        <f>_xlfn.XLOOKUP(A503,'[1]Tissue Data'!$A:$A,'[1]Tissue Data'!M:M)</f>
        <v>3.6</v>
      </c>
      <c r="K503" t="s">
        <v>13</v>
      </c>
      <c r="L503" t="str">
        <f>_xlfn.XLOOKUP(K503,[2]analyte_order!$B:$B,[2]analyte_order!$C:$C)</f>
        <v>2706-90-3</v>
      </c>
      <c r="M503">
        <f>_xlfn.XLOOKUP(L503,[2]analyte_order!$C:$C,[2]analyte_order!$E:$E)</f>
        <v>2</v>
      </c>
      <c r="N503">
        <v>5.0055351214152118E-2</v>
      </c>
    </row>
    <row r="504" spans="1:14">
      <c r="A504" t="s">
        <v>130</v>
      </c>
      <c r="B504" t="str">
        <f>_xlfn.XLOOKUP(A504,'[1]Tissue Data'!$A:$A,'[1]Tissue Data'!$C:$C)</f>
        <v>Down</v>
      </c>
      <c r="C504" s="2">
        <f>_xlfn.XLOOKUP(A504,'[1]Tissue Data'!$A:$A,'[1]Tissue Data'!$D:$D)</f>
        <v>44314</v>
      </c>
      <c r="D504" s="2" t="s">
        <v>131</v>
      </c>
      <c r="E504" t="str">
        <f>_xlfn.XLOOKUP(A504,'[1]Tissue Data'!$A:$A,'[1]Tissue Data'!$H:$H)</f>
        <v>Clinostomus</v>
      </c>
      <c r="F504" t="str">
        <f>_xlfn.XLOOKUP(A504,'[1]Tissue Data'!$A:$A,'[1]Tissue Data'!$I:$I)</f>
        <v>funduloides</v>
      </c>
      <c r="G504" t="str">
        <f>_xlfn.XLOOKUP(A504,'[1]Tissue Data'!$A:$A,'[1]Tissue Data'!J:J)</f>
        <v>U</v>
      </c>
      <c r="H504" t="str">
        <f>_xlfn.XLOOKUP(A504,'[1]Tissue Data'!$A:$A,'[1]Tissue Data'!K:K)</f>
        <v>Whole Body</v>
      </c>
      <c r="I504">
        <f>_xlfn.XLOOKUP(A504,'[1]Tissue Data'!$A:$A,'[1]Tissue Data'!L:L)</f>
        <v>5.25</v>
      </c>
      <c r="J504">
        <f>_xlfn.XLOOKUP(A504,'[1]Tissue Data'!$A:$A,'[1]Tissue Data'!M:M)</f>
        <v>3.6</v>
      </c>
      <c r="K504" t="s">
        <v>14</v>
      </c>
      <c r="L504" t="str">
        <f>_xlfn.XLOOKUP(K504,[2]analyte_order!$B:$B,[2]analyte_order!$C:$C)</f>
        <v>307-24-4</v>
      </c>
      <c r="M504">
        <f>_xlfn.XLOOKUP(L504,[2]analyte_order!$C:$C,[2]analyte_order!$E:$E)</f>
        <v>3</v>
      </c>
      <c r="N504">
        <v>3.8234758296602243E-2</v>
      </c>
    </row>
    <row r="505" spans="1:14">
      <c r="A505" t="s">
        <v>130</v>
      </c>
      <c r="B505" t="str">
        <f>_xlfn.XLOOKUP(A505,'[1]Tissue Data'!$A:$A,'[1]Tissue Data'!$C:$C)</f>
        <v>Down</v>
      </c>
      <c r="C505" s="2">
        <f>_xlfn.XLOOKUP(A505,'[1]Tissue Data'!$A:$A,'[1]Tissue Data'!$D:$D)</f>
        <v>44314</v>
      </c>
      <c r="D505" s="2" t="s">
        <v>131</v>
      </c>
      <c r="E505" t="str">
        <f>_xlfn.XLOOKUP(A505,'[1]Tissue Data'!$A:$A,'[1]Tissue Data'!$H:$H)</f>
        <v>Clinostomus</v>
      </c>
      <c r="F505" t="str">
        <f>_xlfn.XLOOKUP(A505,'[1]Tissue Data'!$A:$A,'[1]Tissue Data'!$I:$I)</f>
        <v>funduloides</v>
      </c>
      <c r="G505" t="str">
        <f>_xlfn.XLOOKUP(A505,'[1]Tissue Data'!$A:$A,'[1]Tissue Data'!J:J)</f>
        <v>U</v>
      </c>
      <c r="H505" t="str">
        <f>_xlfn.XLOOKUP(A505,'[1]Tissue Data'!$A:$A,'[1]Tissue Data'!K:K)</f>
        <v>Whole Body</v>
      </c>
      <c r="I505">
        <f>_xlfn.XLOOKUP(A505,'[1]Tissue Data'!$A:$A,'[1]Tissue Data'!L:L)</f>
        <v>5.25</v>
      </c>
      <c r="J505">
        <f>_xlfn.XLOOKUP(A505,'[1]Tissue Data'!$A:$A,'[1]Tissue Data'!M:M)</f>
        <v>3.6</v>
      </c>
      <c r="K505" t="s">
        <v>15</v>
      </c>
      <c r="L505" t="str">
        <f>_xlfn.XLOOKUP(K505,[2]analyte_order!$B:$B,[2]analyte_order!$C:$C)</f>
        <v>375-85-9</v>
      </c>
      <c r="M505">
        <f>_xlfn.XLOOKUP(L505,[2]analyte_order!$C:$C,[2]analyte_order!$E:$E)</f>
        <v>4</v>
      </c>
      <c r="N505">
        <v>8.9003164556962014E-2</v>
      </c>
    </row>
    <row r="506" spans="1:14">
      <c r="A506" t="s">
        <v>130</v>
      </c>
      <c r="B506" t="str">
        <f>_xlfn.XLOOKUP(A506,'[1]Tissue Data'!$A:$A,'[1]Tissue Data'!$C:$C)</f>
        <v>Down</v>
      </c>
      <c r="C506" s="2">
        <f>_xlfn.XLOOKUP(A506,'[1]Tissue Data'!$A:$A,'[1]Tissue Data'!$D:$D)</f>
        <v>44314</v>
      </c>
      <c r="D506" s="2" t="s">
        <v>131</v>
      </c>
      <c r="E506" t="str">
        <f>_xlfn.XLOOKUP(A506,'[1]Tissue Data'!$A:$A,'[1]Tissue Data'!$H:$H)</f>
        <v>Clinostomus</v>
      </c>
      <c r="F506" t="str">
        <f>_xlfn.XLOOKUP(A506,'[1]Tissue Data'!$A:$A,'[1]Tissue Data'!$I:$I)</f>
        <v>funduloides</v>
      </c>
      <c r="G506" t="str">
        <f>_xlfn.XLOOKUP(A506,'[1]Tissue Data'!$A:$A,'[1]Tissue Data'!J:J)</f>
        <v>U</v>
      </c>
      <c r="H506" t="str">
        <f>_xlfn.XLOOKUP(A506,'[1]Tissue Data'!$A:$A,'[1]Tissue Data'!K:K)</f>
        <v>Whole Body</v>
      </c>
      <c r="I506">
        <f>_xlfn.XLOOKUP(A506,'[1]Tissue Data'!$A:$A,'[1]Tissue Data'!L:L)</f>
        <v>5.25</v>
      </c>
      <c r="J506">
        <f>_xlfn.XLOOKUP(A506,'[1]Tissue Data'!$A:$A,'[1]Tissue Data'!M:M)</f>
        <v>3.6</v>
      </c>
      <c r="K506" t="s">
        <v>16</v>
      </c>
      <c r="L506" t="str">
        <f>_xlfn.XLOOKUP(K506,[2]analyte_order!$B:$B,[2]analyte_order!$C:$C)</f>
        <v>335-67-1</v>
      </c>
      <c r="M506">
        <f>_xlfn.XLOOKUP(L506,[2]analyte_order!$C:$C,[2]analyte_order!$E:$E)</f>
        <v>5</v>
      </c>
      <c r="N506">
        <v>0.91</v>
      </c>
    </row>
    <row r="507" spans="1:14">
      <c r="A507" t="s">
        <v>130</v>
      </c>
      <c r="B507" t="str">
        <f>_xlfn.XLOOKUP(A507,'[1]Tissue Data'!$A:$A,'[1]Tissue Data'!$C:$C)</f>
        <v>Down</v>
      </c>
      <c r="C507" s="2">
        <f>_xlfn.XLOOKUP(A507,'[1]Tissue Data'!$A:$A,'[1]Tissue Data'!$D:$D)</f>
        <v>44314</v>
      </c>
      <c r="D507" s="2" t="s">
        <v>131</v>
      </c>
      <c r="E507" t="str">
        <f>_xlfn.XLOOKUP(A507,'[1]Tissue Data'!$A:$A,'[1]Tissue Data'!$H:$H)</f>
        <v>Clinostomus</v>
      </c>
      <c r="F507" t="str">
        <f>_xlfn.XLOOKUP(A507,'[1]Tissue Data'!$A:$A,'[1]Tissue Data'!$I:$I)</f>
        <v>funduloides</v>
      </c>
      <c r="G507" t="str">
        <f>_xlfn.XLOOKUP(A507,'[1]Tissue Data'!$A:$A,'[1]Tissue Data'!J:J)</f>
        <v>U</v>
      </c>
      <c r="H507" t="str">
        <f>_xlfn.XLOOKUP(A507,'[1]Tissue Data'!$A:$A,'[1]Tissue Data'!K:K)</f>
        <v>Whole Body</v>
      </c>
      <c r="I507">
        <f>_xlfn.XLOOKUP(A507,'[1]Tissue Data'!$A:$A,'[1]Tissue Data'!L:L)</f>
        <v>5.25</v>
      </c>
      <c r="J507">
        <f>_xlfn.XLOOKUP(A507,'[1]Tissue Data'!$A:$A,'[1]Tissue Data'!M:M)</f>
        <v>3.6</v>
      </c>
      <c r="K507" t="s">
        <v>17</v>
      </c>
      <c r="L507" t="str">
        <f>_xlfn.XLOOKUP(K507,[2]analyte_order!$B:$B,[2]analyte_order!$C:$C)</f>
        <v>375-95-1</v>
      </c>
      <c r="M507">
        <f>_xlfn.XLOOKUP(L507,[2]analyte_order!$C:$C,[2]analyte_order!$E:$E)</f>
        <v>6</v>
      </c>
      <c r="N507">
        <v>3.36</v>
      </c>
    </row>
    <row r="508" spans="1:14">
      <c r="A508" t="s">
        <v>130</v>
      </c>
      <c r="B508" t="str">
        <f>_xlfn.XLOOKUP(A508,'[1]Tissue Data'!$A:$A,'[1]Tissue Data'!$C:$C)</f>
        <v>Down</v>
      </c>
      <c r="C508" s="2">
        <f>_xlfn.XLOOKUP(A508,'[1]Tissue Data'!$A:$A,'[1]Tissue Data'!$D:$D)</f>
        <v>44314</v>
      </c>
      <c r="D508" s="2" t="s">
        <v>131</v>
      </c>
      <c r="E508" t="str">
        <f>_xlfn.XLOOKUP(A508,'[1]Tissue Data'!$A:$A,'[1]Tissue Data'!$H:$H)</f>
        <v>Clinostomus</v>
      </c>
      <c r="F508" t="str">
        <f>_xlfn.XLOOKUP(A508,'[1]Tissue Data'!$A:$A,'[1]Tissue Data'!$I:$I)</f>
        <v>funduloides</v>
      </c>
      <c r="G508" t="str">
        <f>_xlfn.XLOOKUP(A508,'[1]Tissue Data'!$A:$A,'[1]Tissue Data'!J:J)</f>
        <v>U</v>
      </c>
      <c r="H508" t="str">
        <f>_xlfn.XLOOKUP(A508,'[1]Tissue Data'!$A:$A,'[1]Tissue Data'!K:K)</f>
        <v>Whole Body</v>
      </c>
      <c r="I508">
        <f>_xlfn.XLOOKUP(A508,'[1]Tissue Data'!$A:$A,'[1]Tissue Data'!L:L)</f>
        <v>5.25</v>
      </c>
      <c r="J508">
        <f>_xlfn.XLOOKUP(A508,'[1]Tissue Data'!$A:$A,'[1]Tissue Data'!M:M)</f>
        <v>3.6</v>
      </c>
      <c r="K508" t="s">
        <v>18</v>
      </c>
      <c r="L508" t="str">
        <f>_xlfn.XLOOKUP(K508,[2]analyte_order!$B:$B,[2]analyte_order!$C:$C)</f>
        <v>335-76-2</v>
      </c>
      <c r="M508">
        <f>_xlfn.XLOOKUP(L508,[2]analyte_order!$C:$C,[2]analyte_order!$E:$E)</f>
        <v>7</v>
      </c>
      <c r="N508">
        <v>8.33</v>
      </c>
    </row>
    <row r="509" spans="1:14">
      <c r="A509" t="s">
        <v>130</v>
      </c>
      <c r="B509" t="str">
        <f>_xlfn.XLOOKUP(A509,'[1]Tissue Data'!$A:$A,'[1]Tissue Data'!$C:$C)</f>
        <v>Down</v>
      </c>
      <c r="C509" s="2">
        <f>_xlfn.XLOOKUP(A509,'[1]Tissue Data'!$A:$A,'[1]Tissue Data'!$D:$D)</f>
        <v>44314</v>
      </c>
      <c r="D509" s="2" t="s">
        <v>131</v>
      </c>
      <c r="E509" t="str">
        <f>_xlfn.XLOOKUP(A509,'[1]Tissue Data'!$A:$A,'[1]Tissue Data'!$H:$H)</f>
        <v>Clinostomus</v>
      </c>
      <c r="F509" t="str">
        <f>_xlfn.XLOOKUP(A509,'[1]Tissue Data'!$A:$A,'[1]Tissue Data'!$I:$I)</f>
        <v>funduloides</v>
      </c>
      <c r="G509" t="str">
        <f>_xlfn.XLOOKUP(A509,'[1]Tissue Data'!$A:$A,'[1]Tissue Data'!J:J)</f>
        <v>U</v>
      </c>
      <c r="H509" t="str">
        <f>_xlfn.XLOOKUP(A509,'[1]Tissue Data'!$A:$A,'[1]Tissue Data'!K:K)</f>
        <v>Whole Body</v>
      </c>
      <c r="I509">
        <f>_xlfn.XLOOKUP(A509,'[1]Tissue Data'!$A:$A,'[1]Tissue Data'!L:L)</f>
        <v>5.25</v>
      </c>
      <c r="J509">
        <f>_xlfn.XLOOKUP(A509,'[1]Tissue Data'!$A:$A,'[1]Tissue Data'!M:M)</f>
        <v>3.6</v>
      </c>
      <c r="K509" t="s">
        <v>19</v>
      </c>
      <c r="L509" t="str">
        <f>_xlfn.XLOOKUP(K509,[2]analyte_order!$B:$B,[2]analyte_order!$C:$C)</f>
        <v>2058-94-8</v>
      </c>
      <c r="M509">
        <f>_xlfn.XLOOKUP(L509,[2]analyte_order!$C:$C,[2]analyte_order!$E:$E)</f>
        <v>8</v>
      </c>
      <c r="N509">
        <v>11.1</v>
      </c>
    </row>
    <row r="510" spans="1:14">
      <c r="A510" t="s">
        <v>130</v>
      </c>
      <c r="B510" t="str">
        <f>_xlfn.XLOOKUP(A510,'[1]Tissue Data'!$A:$A,'[1]Tissue Data'!$C:$C)</f>
        <v>Down</v>
      </c>
      <c r="C510" s="2">
        <f>_xlfn.XLOOKUP(A510,'[1]Tissue Data'!$A:$A,'[1]Tissue Data'!$D:$D)</f>
        <v>44314</v>
      </c>
      <c r="D510" s="2" t="s">
        <v>131</v>
      </c>
      <c r="E510" t="str">
        <f>_xlfn.XLOOKUP(A510,'[1]Tissue Data'!$A:$A,'[1]Tissue Data'!$H:$H)</f>
        <v>Clinostomus</v>
      </c>
      <c r="F510" t="str">
        <f>_xlfn.XLOOKUP(A510,'[1]Tissue Data'!$A:$A,'[1]Tissue Data'!$I:$I)</f>
        <v>funduloides</v>
      </c>
      <c r="G510" t="str">
        <f>_xlfn.XLOOKUP(A510,'[1]Tissue Data'!$A:$A,'[1]Tissue Data'!J:J)</f>
        <v>U</v>
      </c>
      <c r="H510" t="str">
        <f>_xlfn.XLOOKUP(A510,'[1]Tissue Data'!$A:$A,'[1]Tissue Data'!K:K)</f>
        <v>Whole Body</v>
      </c>
      <c r="I510">
        <f>_xlfn.XLOOKUP(A510,'[1]Tissue Data'!$A:$A,'[1]Tissue Data'!L:L)</f>
        <v>5.25</v>
      </c>
      <c r="J510">
        <f>_xlfn.XLOOKUP(A510,'[1]Tissue Data'!$A:$A,'[1]Tissue Data'!M:M)</f>
        <v>3.6</v>
      </c>
      <c r="K510" t="s">
        <v>20</v>
      </c>
      <c r="L510" t="str">
        <f>_xlfn.XLOOKUP(K510,[2]analyte_order!$B:$B,[2]analyte_order!$C:$C)</f>
        <v>307-55-1</v>
      </c>
      <c r="M510">
        <f>_xlfn.XLOOKUP(L510,[2]analyte_order!$C:$C,[2]analyte_order!$E:$E)</f>
        <v>9</v>
      </c>
      <c r="N510">
        <v>5.6565962099438906E-2</v>
      </c>
    </row>
    <row r="511" spans="1:14">
      <c r="A511" t="s">
        <v>130</v>
      </c>
      <c r="B511" t="str">
        <f>_xlfn.XLOOKUP(A511,'[1]Tissue Data'!$A:$A,'[1]Tissue Data'!$C:$C)</f>
        <v>Down</v>
      </c>
      <c r="C511" s="2">
        <f>_xlfn.XLOOKUP(A511,'[1]Tissue Data'!$A:$A,'[1]Tissue Data'!$D:$D)</f>
        <v>44314</v>
      </c>
      <c r="D511" s="2" t="s">
        <v>131</v>
      </c>
      <c r="E511" t="str">
        <f>_xlfn.XLOOKUP(A511,'[1]Tissue Data'!$A:$A,'[1]Tissue Data'!$H:$H)</f>
        <v>Clinostomus</v>
      </c>
      <c r="F511" t="str">
        <f>_xlfn.XLOOKUP(A511,'[1]Tissue Data'!$A:$A,'[1]Tissue Data'!$I:$I)</f>
        <v>funduloides</v>
      </c>
      <c r="G511" t="str">
        <f>_xlfn.XLOOKUP(A511,'[1]Tissue Data'!$A:$A,'[1]Tissue Data'!J:J)</f>
        <v>U</v>
      </c>
      <c r="H511" t="str">
        <f>_xlfn.XLOOKUP(A511,'[1]Tissue Data'!$A:$A,'[1]Tissue Data'!K:K)</f>
        <v>Whole Body</v>
      </c>
      <c r="I511">
        <f>_xlfn.XLOOKUP(A511,'[1]Tissue Data'!$A:$A,'[1]Tissue Data'!L:L)</f>
        <v>5.25</v>
      </c>
      <c r="J511">
        <f>_xlfn.XLOOKUP(A511,'[1]Tissue Data'!$A:$A,'[1]Tissue Data'!M:M)</f>
        <v>3.6</v>
      </c>
      <c r="K511" t="s">
        <v>21</v>
      </c>
      <c r="L511" t="str">
        <f>_xlfn.XLOOKUP(K511,[2]analyte_order!$B:$B,[2]analyte_order!$C:$C)</f>
        <v>72629-94-8</v>
      </c>
      <c r="M511">
        <f>_xlfn.XLOOKUP(L511,[2]analyte_order!$C:$C,[2]analyte_order!$E:$E)</f>
        <v>10</v>
      </c>
      <c r="N511">
        <v>3.22</v>
      </c>
    </row>
    <row r="512" spans="1:14">
      <c r="A512" t="s">
        <v>130</v>
      </c>
      <c r="B512" t="str">
        <f>_xlfn.XLOOKUP(A512,'[1]Tissue Data'!$A:$A,'[1]Tissue Data'!$C:$C)</f>
        <v>Down</v>
      </c>
      <c r="C512" s="2">
        <f>_xlfn.XLOOKUP(A512,'[1]Tissue Data'!$A:$A,'[1]Tissue Data'!$D:$D)</f>
        <v>44314</v>
      </c>
      <c r="D512" s="2" t="s">
        <v>131</v>
      </c>
      <c r="E512" t="str">
        <f>_xlfn.XLOOKUP(A512,'[1]Tissue Data'!$A:$A,'[1]Tissue Data'!$H:$H)</f>
        <v>Clinostomus</v>
      </c>
      <c r="F512" t="str">
        <f>_xlfn.XLOOKUP(A512,'[1]Tissue Data'!$A:$A,'[1]Tissue Data'!$I:$I)</f>
        <v>funduloides</v>
      </c>
      <c r="G512" t="str">
        <f>_xlfn.XLOOKUP(A512,'[1]Tissue Data'!$A:$A,'[1]Tissue Data'!J:J)</f>
        <v>U</v>
      </c>
      <c r="H512" t="str">
        <f>_xlfn.XLOOKUP(A512,'[1]Tissue Data'!$A:$A,'[1]Tissue Data'!K:K)</f>
        <v>Whole Body</v>
      </c>
      <c r="I512">
        <f>_xlfn.XLOOKUP(A512,'[1]Tissue Data'!$A:$A,'[1]Tissue Data'!L:L)</f>
        <v>5.25</v>
      </c>
      <c r="J512">
        <f>_xlfn.XLOOKUP(A512,'[1]Tissue Data'!$A:$A,'[1]Tissue Data'!M:M)</f>
        <v>3.6</v>
      </c>
      <c r="K512" t="s">
        <v>22</v>
      </c>
      <c r="L512" t="str">
        <f>_xlfn.XLOOKUP(K512,[2]analyte_order!$B:$B,[2]analyte_order!$C:$C)</f>
        <v>376-06-7</v>
      </c>
      <c r="M512">
        <f>_xlfn.XLOOKUP(L512,[2]analyte_order!$C:$C,[2]analyte_order!$E:$E)</f>
        <v>11</v>
      </c>
      <c r="N512">
        <v>8.85</v>
      </c>
    </row>
    <row r="513" spans="1:14">
      <c r="A513" t="s">
        <v>130</v>
      </c>
      <c r="B513" t="str">
        <f>_xlfn.XLOOKUP(A513,'[1]Tissue Data'!$A:$A,'[1]Tissue Data'!$C:$C)</f>
        <v>Down</v>
      </c>
      <c r="C513" s="2">
        <f>_xlfn.XLOOKUP(A513,'[1]Tissue Data'!$A:$A,'[1]Tissue Data'!$D:$D)</f>
        <v>44314</v>
      </c>
      <c r="D513" s="2" t="s">
        <v>131</v>
      </c>
      <c r="E513" t="str">
        <f>_xlfn.XLOOKUP(A513,'[1]Tissue Data'!$A:$A,'[1]Tissue Data'!$H:$H)</f>
        <v>Clinostomus</v>
      </c>
      <c r="F513" t="str">
        <f>_xlfn.XLOOKUP(A513,'[1]Tissue Data'!$A:$A,'[1]Tissue Data'!$I:$I)</f>
        <v>funduloides</v>
      </c>
      <c r="G513" t="str">
        <f>_xlfn.XLOOKUP(A513,'[1]Tissue Data'!$A:$A,'[1]Tissue Data'!J:J)</f>
        <v>U</v>
      </c>
      <c r="H513" t="str">
        <f>_xlfn.XLOOKUP(A513,'[1]Tissue Data'!$A:$A,'[1]Tissue Data'!K:K)</f>
        <v>Whole Body</v>
      </c>
      <c r="I513">
        <f>_xlfn.XLOOKUP(A513,'[1]Tissue Data'!$A:$A,'[1]Tissue Data'!L:L)</f>
        <v>5.25</v>
      </c>
      <c r="J513">
        <f>_xlfn.XLOOKUP(A513,'[1]Tissue Data'!$A:$A,'[1]Tissue Data'!M:M)</f>
        <v>3.6</v>
      </c>
      <c r="K513" t="s">
        <v>23</v>
      </c>
      <c r="L513" t="str">
        <f>_xlfn.XLOOKUP(K513,[2]analyte_order!$B:$B,[2]analyte_order!$C:$C)</f>
        <v>67905-19-5</v>
      </c>
      <c r="M513">
        <f>_xlfn.XLOOKUP(L513,[2]analyte_order!$C:$C,[2]analyte_order!$E:$E)</f>
        <v>12</v>
      </c>
      <c r="N513">
        <v>8.4433811885910204E-2</v>
      </c>
    </row>
    <row r="514" spans="1:14">
      <c r="A514" t="s">
        <v>130</v>
      </c>
      <c r="B514" t="str">
        <f>_xlfn.XLOOKUP(A514,'[1]Tissue Data'!$A:$A,'[1]Tissue Data'!$C:$C)</f>
        <v>Down</v>
      </c>
      <c r="C514" s="2">
        <f>_xlfn.XLOOKUP(A514,'[1]Tissue Data'!$A:$A,'[1]Tissue Data'!$D:$D)</f>
        <v>44314</v>
      </c>
      <c r="D514" s="2" t="s">
        <v>131</v>
      </c>
      <c r="E514" t="str">
        <f>_xlfn.XLOOKUP(A514,'[1]Tissue Data'!$A:$A,'[1]Tissue Data'!$H:$H)</f>
        <v>Clinostomus</v>
      </c>
      <c r="F514" t="str">
        <f>_xlfn.XLOOKUP(A514,'[1]Tissue Data'!$A:$A,'[1]Tissue Data'!$I:$I)</f>
        <v>funduloides</v>
      </c>
      <c r="G514" t="str">
        <f>_xlfn.XLOOKUP(A514,'[1]Tissue Data'!$A:$A,'[1]Tissue Data'!J:J)</f>
        <v>U</v>
      </c>
      <c r="H514" t="str">
        <f>_xlfn.XLOOKUP(A514,'[1]Tissue Data'!$A:$A,'[1]Tissue Data'!K:K)</f>
        <v>Whole Body</v>
      </c>
      <c r="I514">
        <f>_xlfn.XLOOKUP(A514,'[1]Tissue Data'!$A:$A,'[1]Tissue Data'!L:L)</f>
        <v>5.25</v>
      </c>
      <c r="J514">
        <f>_xlfn.XLOOKUP(A514,'[1]Tissue Data'!$A:$A,'[1]Tissue Data'!M:M)</f>
        <v>3.6</v>
      </c>
      <c r="K514" t="s">
        <v>24</v>
      </c>
      <c r="L514" t="str">
        <f>_xlfn.XLOOKUP(K514,[2]analyte_order!$B:$B,[2]analyte_order!$C:$C)</f>
        <v>423-41-6</v>
      </c>
      <c r="M514">
        <f>_xlfn.XLOOKUP(L514,[2]analyte_order!$C:$C,[2]analyte_order!$E:$E)</f>
        <v>53</v>
      </c>
      <c r="N514">
        <v>5.4051889951683287E-2</v>
      </c>
    </row>
    <row r="515" spans="1:14">
      <c r="A515" t="s">
        <v>130</v>
      </c>
      <c r="B515" t="str">
        <f>_xlfn.XLOOKUP(A515,'[1]Tissue Data'!$A:$A,'[1]Tissue Data'!$C:$C)</f>
        <v>Down</v>
      </c>
      <c r="C515" s="2">
        <f>_xlfn.XLOOKUP(A515,'[1]Tissue Data'!$A:$A,'[1]Tissue Data'!$D:$D)</f>
        <v>44314</v>
      </c>
      <c r="D515" s="2" t="s">
        <v>131</v>
      </c>
      <c r="E515" t="str">
        <f>_xlfn.XLOOKUP(A515,'[1]Tissue Data'!$A:$A,'[1]Tissue Data'!$H:$H)</f>
        <v>Clinostomus</v>
      </c>
      <c r="F515" t="str">
        <f>_xlfn.XLOOKUP(A515,'[1]Tissue Data'!$A:$A,'[1]Tissue Data'!$I:$I)</f>
        <v>funduloides</v>
      </c>
      <c r="G515" t="str">
        <f>_xlfn.XLOOKUP(A515,'[1]Tissue Data'!$A:$A,'[1]Tissue Data'!J:J)</f>
        <v>U</v>
      </c>
      <c r="H515" t="str">
        <f>_xlfn.XLOOKUP(A515,'[1]Tissue Data'!$A:$A,'[1]Tissue Data'!K:K)</f>
        <v>Whole Body</v>
      </c>
      <c r="I515">
        <f>_xlfn.XLOOKUP(A515,'[1]Tissue Data'!$A:$A,'[1]Tissue Data'!L:L)</f>
        <v>5.25</v>
      </c>
      <c r="J515">
        <f>_xlfn.XLOOKUP(A515,'[1]Tissue Data'!$A:$A,'[1]Tissue Data'!M:M)</f>
        <v>3.6</v>
      </c>
      <c r="K515" t="s">
        <v>25</v>
      </c>
      <c r="L515" t="str">
        <f>_xlfn.XLOOKUP(K515,[2]analyte_order!$B:$B,[2]analyte_order!$C:$C)</f>
        <v>375-73-5</v>
      </c>
      <c r="M515">
        <f>_xlfn.XLOOKUP(L515,[2]analyte_order!$C:$C,[2]analyte_order!$E:$E)</f>
        <v>14</v>
      </c>
      <c r="N515">
        <v>0.15144095813167519</v>
      </c>
    </row>
    <row r="516" spans="1:14">
      <c r="A516" t="s">
        <v>130</v>
      </c>
      <c r="B516" t="str">
        <f>_xlfn.XLOOKUP(A516,'[1]Tissue Data'!$A:$A,'[1]Tissue Data'!$C:$C)</f>
        <v>Down</v>
      </c>
      <c r="C516" s="2">
        <f>_xlfn.XLOOKUP(A516,'[1]Tissue Data'!$A:$A,'[1]Tissue Data'!$D:$D)</f>
        <v>44314</v>
      </c>
      <c r="D516" s="2" t="s">
        <v>131</v>
      </c>
      <c r="E516" t="str">
        <f>_xlfn.XLOOKUP(A516,'[1]Tissue Data'!$A:$A,'[1]Tissue Data'!$H:$H)</f>
        <v>Clinostomus</v>
      </c>
      <c r="F516" t="str">
        <f>_xlfn.XLOOKUP(A516,'[1]Tissue Data'!$A:$A,'[1]Tissue Data'!$I:$I)</f>
        <v>funduloides</v>
      </c>
      <c r="G516" t="str">
        <f>_xlfn.XLOOKUP(A516,'[1]Tissue Data'!$A:$A,'[1]Tissue Data'!J:J)</f>
        <v>U</v>
      </c>
      <c r="H516" t="str">
        <f>_xlfn.XLOOKUP(A516,'[1]Tissue Data'!$A:$A,'[1]Tissue Data'!K:K)</f>
        <v>Whole Body</v>
      </c>
      <c r="I516">
        <f>_xlfn.XLOOKUP(A516,'[1]Tissue Data'!$A:$A,'[1]Tissue Data'!L:L)</f>
        <v>5.25</v>
      </c>
      <c r="J516">
        <f>_xlfn.XLOOKUP(A516,'[1]Tissue Data'!$A:$A,'[1]Tissue Data'!M:M)</f>
        <v>3.6</v>
      </c>
      <c r="K516" t="s">
        <v>26</v>
      </c>
      <c r="L516" t="str">
        <f>_xlfn.XLOOKUP(K516,[2]analyte_order!$B:$B,[2]analyte_order!$C:$C)</f>
        <v>2706-91-4</v>
      </c>
      <c r="M516">
        <f>_xlfn.XLOOKUP(L516,[2]analyte_order!$C:$C,[2]analyte_order!$E:$E)</f>
        <v>15</v>
      </c>
      <c r="N516">
        <v>0.34599999999999997</v>
      </c>
    </row>
    <row r="517" spans="1:14">
      <c r="A517" t="s">
        <v>130</v>
      </c>
      <c r="B517" t="str">
        <f>_xlfn.XLOOKUP(A517,'[1]Tissue Data'!$A:$A,'[1]Tissue Data'!$C:$C)</f>
        <v>Down</v>
      </c>
      <c r="C517" s="2">
        <f>_xlfn.XLOOKUP(A517,'[1]Tissue Data'!$A:$A,'[1]Tissue Data'!$D:$D)</f>
        <v>44314</v>
      </c>
      <c r="D517" s="2" t="s">
        <v>131</v>
      </c>
      <c r="E517" t="str">
        <f>_xlfn.XLOOKUP(A517,'[1]Tissue Data'!$A:$A,'[1]Tissue Data'!$H:$H)</f>
        <v>Clinostomus</v>
      </c>
      <c r="F517" t="str">
        <f>_xlfn.XLOOKUP(A517,'[1]Tissue Data'!$A:$A,'[1]Tissue Data'!$I:$I)</f>
        <v>funduloides</v>
      </c>
      <c r="G517" t="str">
        <f>_xlfn.XLOOKUP(A517,'[1]Tissue Data'!$A:$A,'[1]Tissue Data'!J:J)</f>
        <v>U</v>
      </c>
      <c r="H517" t="str">
        <f>_xlfn.XLOOKUP(A517,'[1]Tissue Data'!$A:$A,'[1]Tissue Data'!K:K)</f>
        <v>Whole Body</v>
      </c>
      <c r="I517">
        <f>_xlfn.XLOOKUP(A517,'[1]Tissue Data'!$A:$A,'[1]Tissue Data'!L:L)</f>
        <v>5.25</v>
      </c>
      <c r="J517">
        <f>_xlfn.XLOOKUP(A517,'[1]Tissue Data'!$A:$A,'[1]Tissue Data'!M:M)</f>
        <v>3.6</v>
      </c>
      <c r="K517" t="s">
        <v>27</v>
      </c>
      <c r="L517" t="str">
        <f>_xlfn.XLOOKUP(K517,[2]analyte_order!$B:$B,[2]analyte_order!$C:$C)</f>
        <v>355-46-4</v>
      </c>
      <c r="M517">
        <f>_xlfn.XLOOKUP(L517,[2]analyte_order!$C:$C,[2]analyte_order!$E:$E)</f>
        <v>16</v>
      </c>
      <c r="N517">
        <v>41.1</v>
      </c>
    </row>
    <row r="518" spans="1:14">
      <c r="A518" t="s">
        <v>130</v>
      </c>
      <c r="B518" t="str">
        <f>_xlfn.XLOOKUP(A518,'[1]Tissue Data'!$A:$A,'[1]Tissue Data'!$C:$C)</f>
        <v>Down</v>
      </c>
      <c r="C518" s="2">
        <f>_xlfn.XLOOKUP(A518,'[1]Tissue Data'!$A:$A,'[1]Tissue Data'!$D:$D)</f>
        <v>44314</v>
      </c>
      <c r="D518" s="2" t="s">
        <v>131</v>
      </c>
      <c r="E518" t="str">
        <f>_xlfn.XLOOKUP(A518,'[1]Tissue Data'!$A:$A,'[1]Tissue Data'!$H:$H)</f>
        <v>Clinostomus</v>
      </c>
      <c r="F518" t="str">
        <f>_xlfn.XLOOKUP(A518,'[1]Tissue Data'!$A:$A,'[1]Tissue Data'!$I:$I)</f>
        <v>funduloides</v>
      </c>
      <c r="G518" t="str">
        <f>_xlfn.XLOOKUP(A518,'[1]Tissue Data'!$A:$A,'[1]Tissue Data'!J:J)</f>
        <v>U</v>
      </c>
      <c r="H518" t="str">
        <f>_xlfn.XLOOKUP(A518,'[1]Tissue Data'!$A:$A,'[1]Tissue Data'!K:K)</f>
        <v>Whole Body</v>
      </c>
      <c r="I518">
        <f>_xlfn.XLOOKUP(A518,'[1]Tissue Data'!$A:$A,'[1]Tissue Data'!L:L)</f>
        <v>5.25</v>
      </c>
      <c r="J518">
        <f>_xlfn.XLOOKUP(A518,'[1]Tissue Data'!$A:$A,'[1]Tissue Data'!M:M)</f>
        <v>3.6</v>
      </c>
      <c r="K518" t="s">
        <v>28</v>
      </c>
      <c r="L518" t="str">
        <f>_xlfn.XLOOKUP(K518,[2]analyte_order!$B:$B,[2]analyte_order!$C:$C)</f>
        <v>375-92-8</v>
      </c>
      <c r="M518">
        <f>_xlfn.XLOOKUP(L518,[2]analyte_order!$C:$C,[2]analyte_order!$E:$E)</f>
        <v>17</v>
      </c>
      <c r="N518">
        <v>3.11</v>
      </c>
    </row>
    <row r="519" spans="1:14">
      <c r="A519" t="s">
        <v>130</v>
      </c>
      <c r="B519" t="str">
        <f>_xlfn.XLOOKUP(A519,'[1]Tissue Data'!$A:$A,'[1]Tissue Data'!$C:$C)</f>
        <v>Down</v>
      </c>
      <c r="C519" s="2">
        <f>_xlfn.XLOOKUP(A519,'[1]Tissue Data'!$A:$A,'[1]Tissue Data'!$D:$D)</f>
        <v>44314</v>
      </c>
      <c r="D519" s="2" t="s">
        <v>131</v>
      </c>
      <c r="E519" t="str">
        <f>_xlfn.XLOOKUP(A519,'[1]Tissue Data'!$A:$A,'[1]Tissue Data'!$H:$H)</f>
        <v>Clinostomus</v>
      </c>
      <c r="F519" t="str">
        <f>_xlfn.XLOOKUP(A519,'[1]Tissue Data'!$A:$A,'[1]Tissue Data'!$I:$I)</f>
        <v>funduloides</v>
      </c>
      <c r="G519" t="str">
        <f>_xlfn.XLOOKUP(A519,'[1]Tissue Data'!$A:$A,'[1]Tissue Data'!J:J)</f>
        <v>U</v>
      </c>
      <c r="H519" t="str">
        <f>_xlfn.XLOOKUP(A519,'[1]Tissue Data'!$A:$A,'[1]Tissue Data'!K:K)</f>
        <v>Whole Body</v>
      </c>
      <c r="I519">
        <f>_xlfn.XLOOKUP(A519,'[1]Tissue Data'!$A:$A,'[1]Tissue Data'!L:L)</f>
        <v>5.25</v>
      </c>
      <c r="J519">
        <f>_xlfn.XLOOKUP(A519,'[1]Tissue Data'!$A:$A,'[1]Tissue Data'!M:M)</f>
        <v>3.6</v>
      </c>
      <c r="K519" t="s">
        <v>29</v>
      </c>
      <c r="L519" t="str">
        <f>_xlfn.XLOOKUP(K519,[2]analyte_order!$B:$B,[2]analyte_order!$C:$C)</f>
        <v>1763-23-1</v>
      </c>
      <c r="M519">
        <f>_xlfn.XLOOKUP(L519,[2]analyte_order!$C:$C,[2]analyte_order!$E:$E)</f>
        <v>18</v>
      </c>
      <c r="N519">
        <v>1540</v>
      </c>
    </row>
    <row r="520" spans="1:14">
      <c r="A520" t="s">
        <v>130</v>
      </c>
      <c r="B520" t="str">
        <f>_xlfn.XLOOKUP(A520,'[1]Tissue Data'!$A:$A,'[1]Tissue Data'!$C:$C)</f>
        <v>Down</v>
      </c>
      <c r="C520" s="2">
        <f>_xlfn.XLOOKUP(A520,'[1]Tissue Data'!$A:$A,'[1]Tissue Data'!$D:$D)</f>
        <v>44314</v>
      </c>
      <c r="D520" s="2" t="s">
        <v>131</v>
      </c>
      <c r="E520" t="str">
        <f>_xlfn.XLOOKUP(A520,'[1]Tissue Data'!$A:$A,'[1]Tissue Data'!$H:$H)</f>
        <v>Clinostomus</v>
      </c>
      <c r="F520" t="str">
        <f>_xlfn.XLOOKUP(A520,'[1]Tissue Data'!$A:$A,'[1]Tissue Data'!$I:$I)</f>
        <v>funduloides</v>
      </c>
      <c r="G520" t="str">
        <f>_xlfn.XLOOKUP(A520,'[1]Tissue Data'!$A:$A,'[1]Tissue Data'!J:J)</f>
        <v>U</v>
      </c>
      <c r="H520" t="str">
        <f>_xlfn.XLOOKUP(A520,'[1]Tissue Data'!$A:$A,'[1]Tissue Data'!K:K)</f>
        <v>Whole Body</v>
      </c>
      <c r="I520">
        <f>_xlfn.XLOOKUP(A520,'[1]Tissue Data'!$A:$A,'[1]Tissue Data'!L:L)</f>
        <v>5.25</v>
      </c>
      <c r="J520">
        <f>_xlfn.XLOOKUP(A520,'[1]Tissue Data'!$A:$A,'[1]Tissue Data'!M:M)</f>
        <v>3.6</v>
      </c>
      <c r="K520" t="s">
        <v>30</v>
      </c>
      <c r="L520" t="str">
        <f>_xlfn.XLOOKUP(K520,[2]analyte_order!$B:$B,[2]analyte_order!$C:$C)</f>
        <v>68259-12-1</v>
      </c>
      <c r="M520">
        <f>_xlfn.XLOOKUP(L520,[2]analyte_order!$C:$C,[2]analyte_order!$E:$E)</f>
        <v>19</v>
      </c>
      <c r="N520">
        <v>1.0900000000000001</v>
      </c>
    </row>
    <row r="521" spans="1:14">
      <c r="A521" t="s">
        <v>130</v>
      </c>
      <c r="B521" t="str">
        <f>_xlfn.XLOOKUP(A521,'[1]Tissue Data'!$A:$A,'[1]Tissue Data'!$C:$C)</f>
        <v>Down</v>
      </c>
      <c r="C521" s="2">
        <f>_xlfn.XLOOKUP(A521,'[1]Tissue Data'!$A:$A,'[1]Tissue Data'!$D:$D)</f>
        <v>44314</v>
      </c>
      <c r="D521" s="2" t="s">
        <v>131</v>
      </c>
      <c r="E521" t="str">
        <f>_xlfn.XLOOKUP(A521,'[1]Tissue Data'!$A:$A,'[1]Tissue Data'!$H:$H)</f>
        <v>Clinostomus</v>
      </c>
      <c r="F521" t="str">
        <f>_xlfn.XLOOKUP(A521,'[1]Tissue Data'!$A:$A,'[1]Tissue Data'!$I:$I)</f>
        <v>funduloides</v>
      </c>
      <c r="G521" t="str">
        <f>_xlfn.XLOOKUP(A521,'[1]Tissue Data'!$A:$A,'[1]Tissue Data'!J:J)</f>
        <v>U</v>
      </c>
      <c r="H521" t="str">
        <f>_xlfn.XLOOKUP(A521,'[1]Tissue Data'!$A:$A,'[1]Tissue Data'!K:K)</f>
        <v>Whole Body</v>
      </c>
      <c r="I521">
        <f>_xlfn.XLOOKUP(A521,'[1]Tissue Data'!$A:$A,'[1]Tissue Data'!L:L)</f>
        <v>5.25</v>
      </c>
      <c r="J521">
        <f>_xlfn.XLOOKUP(A521,'[1]Tissue Data'!$A:$A,'[1]Tissue Data'!M:M)</f>
        <v>3.6</v>
      </c>
      <c r="K521" t="s">
        <v>31</v>
      </c>
      <c r="L521" t="str">
        <f>_xlfn.XLOOKUP(K521,[2]analyte_order!$B:$B,[2]analyte_order!$C:$C)</f>
        <v>335-77-3</v>
      </c>
      <c r="M521">
        <f>_xlfn.XLOOKUP(L521,[2]analyte_order!$C:$C,[2]analyte_order!$E:$E)</f>
        <v>20</v>
      </c>
      <c r="N521">
        <v>2.23</v>
      </c>
    </row>
    <row r="522" spans="1:14">
      <c r="A522" t="s">
        <v>130</v>
      </c>
      <c r="B522" t="str">
        <f>_xlfn.XLOOKUP(A522,'[1]Tissue Data'!$A:$A,'[1]Tissue Data'!$C:$C)</f>
        <v>Down</v>
      </c>
      <c r="C522" s="2">
        <f>_xlfn.XLOOKUP(A522,'[1]Tissue Data'!$A:$A,'[1]Tissue Data'!$D:$D)</f>
        <v>44314</v>
      </c>
      <c r="D522" s="2" t="s">
        <v>131</v>
      </c>
      <c r="E522" t="str">
        <f>_xlfn.XLOOKUP(A522,'[1]Tissue Data'!$A:$A,'[1]Tissue Data'!$H:$H)</f>
        <v>Clinostomus</v>
      </c>
      <c r="F522" t="str">
        <f>_xlfn.XLOOKUP(A522,'[1]Tissue Data'!$A:$A,'[1]Tissue Data'!$I:$I)</f>
        <v>funduloides</v>
      </c>
      <c r="G522" t="str">
        <f>_xlfn.XLOOKUP(A522,'[1]Tissue Data'!$A:$A,'[1]Tissue Data'!J:J)</f>
        <v>U</v>
      </c>
      <c r="H522" t="str">
        <f>_xlfn.XLOOKUP(A522,'[1]Tissue Data'!$A:$A,'[1]Tissue Data'!K:K)</f>
        <v>Whole Body</v>
      </c>
      <c r="I522">
        <f>_xlfn.XLOOKUP(A522,'[1]Tissue Data'!$A:$A,'[1]Tissue Data'!L:L)</f>
        <v>5.25</v>
      </c>
      <c r="J522">
        <f>_xlfn.XLOOKUP(A522,'[1]Tissue Data'!$A:$A,'[1]Tissue Data'!M:M)</f>
        <v>3.6</v>
      </c>
      <c r="K522" t="s">
        <v>32</v>
      </c>
      <c r="L522" t="str">
        <f>_xlfn.XLOOKUP(K522,[2]analyte_order!$B:$B,[2]analyte_order!$C:$C)</f>
        <v>79780-39-5</v>
      </c>
      <c r="M522">
        <f>_xlfn.XLOOKUP(L522,[2]analyte_order!$C:$C,[2]analyte_order!$E:$E)</f>
        <v>21</v>
      </c>
      <c r="N522">
        <v>1.37</v>
      </c>
    </row>
    <row r="523" spans="1:14">
      <c r="A523" t="s">
        <v>130</v>
      </c>
      <c r="B523" t="str">
        <f>_xlfn.XLOOKUP(A523,'[1]Tissue Data'!$A:$A,'[1]Tissue Data'!$C:$C)</f>
        <v>Down</v>
      </c>
      <c r="C523" s="2">
        <f>_xlfn.XLOOKUP(A523,'[1]Tissue Data'!$A:$A,'[1]Tissue Data'!$D:$D)</f>
        <v>44314</v>
      </c>
      <c r="D523" s="2" t="s">
        <v>131</v>
      </c>
      <c r="E523" t="str">
        <f>_xlfn.XLOOKUP(A523,'[1]Tissue Data'!$A:$A,'[1]Tissue Data'!$H:$H)</f>
        <v>Clinostomus</v>
      </c>
      <c r="F523" t="str">
        <f>_xlfn.XLOOKUP(A523,'[1]Tissue Data'!$A:$A,'[1]Tissue Data'!$I:$I)</f>
        <v>funduloides</v>
      </c>
      <c r="G523" t="str">
        <f>_xlfn.XLOOKUP(A523,'[1]Tissue Data'!$A:$A,'[1]Tissue Data'!J:J)</f>
        <v>U</v>
      </c>
      <c r="H523" t="str">
        <f>_xlfn.XLOOKUP(A523,'[1]Tissue Data'!$A:$A,'[1]Tissue Data'!K:K)</f>
        <v>Whole Body</v>
      </c>
      <c r="I523">
        <f>_xlfn.XLOOKUP(A523,'[1]Tissue Data'!$A:$A,'[1]Tissue Data'!L:L)</f>
        <v>5.25</v>
      </c>
      <c r="J523">
        <f>_xlfn.XLOOKUP(A523,'[1]Tissue Data'!$A:$A,'[1]Tissue Data'!M:M)</f>
        <v>3.6</v>
      </c>
      <c r="K523" t="s">
        <v>33</v>
      </c>
      <c r="L523" t="str">
        <f>_xlfn.XLOOKUP(K523,[2]analyte_order!$B:$B,[2]analyte_order!$C:$C)</f>
        <v>777011-38-8</v>
      </c>
      <c r="M523">
        <f>_xlfn.XLOOKUP(L523,[2]analyte_order!$C:$C,[2]analyte_order!$E:$E)</f>
        <v>54</v>
      </c>
      <c r="N523">
        <v>0.42099999999999999</v>
      </c>
    </row>
    <row r="524" spans="1:14">
      <c r="A524" t="s">
        <v>130</v>
      </c>
      <c r="B524" t="str">
        <f>_xlfn.XLOOKUP(A524,'[1]Tissue Data'!$A:$A,'[1]Tissue Data'!$C:$C)</f>
        <v>Down</v>
      </c>
      <c r="C524" s="2">
        <f>_xlfn.XLOOKUP(A524,'[1]Tissue Data'!$A:$A,'[1]Tissue Data'!$D:$D)</f>
        <v>44314</v>
      </c>
      <c r="D524" s="2" t="s">
        <v>131</v>
      </c>
      <c r="E524" t="str">
        <f>_xlfn.XLOOKUP(A524,'[1]Tissue Data'!$A:$A,'[1]Tissue Data'!$H:$H)</f>
        <v>Clinostomus</v>
      </c>
      <c r="F524" t="str">
        <f>_xlfn.XLOOKUP(A524,'[1]Tissue Data'!$A:$A,'[1]Tissue Data'!$I:$I)</f>
        <v>funduloides</v>
      </c>
      <c r="G524" t="str">
        <f>_xlfn.XLOOKUP(A524,'[1]Tissue Data'!$A:$A,'[1]Tissue Data'!J:J)</f>
        <v>U</v>
      </c>
      <c r="H524" t="str">
        <f>_xlfn.XLOOKUP(A524,'[1]Tissue Data'!$A:$A,'[1]Tissue Data'!K:K)</f>
        <v>Whole Body</v>
      </c>
      <c r="I524">
        <f>_xlfn.XLOOKUP(A524,'[1]Tissue Data'!$A:$A,'[1]Tissue Data'!L:L)</f>
        <v>5.25</v>
      </c>
      <c r="J524">
        <f>_xlfn.XLOOKUP(A524,'[1]Tissue Data'!$A:$A,'[1]Tissue Data'!M:M)</f>
        <v>3.6</v>
      </c>
      <c r="K524" t="s">
        <v>34</v>
      </c>
      <c r="L524" t="str">
        <f>_xlfn.XLOOKUP(K524,[2]analyte_order!$B:$B,[2]analyte_order!$C:$C)</f>
        <v>646-83-3</v>
      </c>
      <c r="M524">
        <f>_xlfn.XLOOKUP(L524,[2]analyte_order!$C:$C,[2]analyte_order!$E:$E)</f>
        <v>55</v>
      </c>
      <c r="N524">
        <v>0.19900000000000001</v>
      </c>
    </row>
    <row r="525" spans="1:14">
      <c r="A525" t="s">
        <v>130</v>
      </c>
      <c r="B525" t="str">
        <f>_xlfn.XLOOKUP(A525,'[1]Tissue Data'!$A:$A,'[1]Tissue Data'!$C:$C)</f>
        <v>Down</v>
      </c>
      <c r="C525" s="2">
        <f>_xlfn.XLOOKUP(A525,'[1]Tissue Data'!$A:$A,'[1]Tissue Data'!$D:$D)</f>
        <v>44314</v>
      </c>
      <c r="D525" s="2" t="s">
        <v>131</v>
      </c>
      <c r="E525" t="str">
        <f>_xlfn.XLOOKUP(A525,'[1]Tissue Data'!$A:$A,'[1]Tissue Data'!$H:$H)</f>
        <v>Clinostomus</v>
      </c>
      <c r="F525" t="str">
        <f>_xlfn.XLOOKUP(A525,'[1]Tissue Data'!$A:$A,'[1]Tissue Data'!$I:$I)</f>
        <v>funduloides</v>
      </c>
      <c r="G525" t="str">
        <f>_xlfn.XLOOKUP(A525,'[1]Tissue Data'!$A:$A,'[1]Tissue Data'!J:J)</f>
        <v>U</v>
      </c>
      <c r="H525" t="str">
        <f>_xlfn.XLOOKUP(A525,'[1]Tissue Data'!$A:$A,'[1]Tissue Data'!K:K)</f>
        <v>Whole Body</v>
      </c>
      <c r="I525">
        <f>_xlfn.XLOOKUP(A525,'[1]Tissue Data'!$A:$A,'[1]Tissue Data'!L:L)</f>
        <v>5.25</v>
      </c>
      <c r="J525">
        <f>_xlfn.XLOOKUP(A525,'[1]Tissue Data'!$A:$A,'[1]Tissue Data'!M:M)</f>
        <v>3.6</v>
      </c>
      <c r="K525" t="s">
        <v>35</v>
      </c>
      <c r="L525" t="str">
        <f>_xlfn.XLOOKUP(K525,[2]analyte_order!$B:$B,[2]analyte_order!$C:$C)</f>
        <v>30334-69-1</v>
      </c>
      <c r="M525">
        <f>_xlfn.XLOOKUP(L525,[2]analyte_order!$C:$C,[2]analyte_order!$E:$E)</f>
        <v>51</v>
      </c>
      <c r="N525">
        <v>16.600000000000001</v>
      </c>
    </row>
    <row r="526" spans="1:14">
      <c r="A526" t="s">
        <v>130</v>
      </c>
      <c r="B526" t="str">
        <f>_xlfn.XLOOKUP(A526,'[1]Tissue Data'!$A:$A,'[1]Tissue Data'!$C:$C)</f>
        <v>Down</v>
      </c>
      <c r="C526" s="2">
        <f>_xlfn.XLOOKUP(A526,'[1]Tissue Data'!$A:$A,'[1]Tissue Data'!$D:$D)</f>
        <v>44314</v>
      </c>
      <c r="D526" s="2" t="s">
        <v>131</v>
      </c>
      <c r="E526" t="str">
        <f>_xlfn.XLOOKUP(A526,'[1]Tissue Data'!$A:$A,'[1]Tissue Data'!$H:$H)</f>
        <v>Clinostomus</v>
      </c>
      <c r="F526" t="str">
        <f>_xlfn.XLOOKUP(A526,'[1]Tissue Data'!$A:$A,'[1]Tissue Data'!$I:$I)</f>
        <v>funduloides</v>
      </c>
      <c r="G526" t="str">
        <f>_xlfn.XLOOKUP(A526,'[1]Tissue Data'!$A:$A,'[1]Tissue Data'!J:J)</f>
        <v>U</v>
      </c>
      <c r="H526" t="str">
        <f>_xlfn.XLOOKUP(A526,'[1]Tissue Data'!$A:$A,'[1]Tissue Data'!K:K)</f>
        <v>Whole Body</v>
      </c>
      <c r="I526">
        <f>_xlfn.XLOOKUP(A526,'[1]Tissue Data'!$A:$A,'[1]Tissue Data'!L:L)</f>
        <v>5.25</v>
      </c>
      <c r="J526">
        <f>_xlfn.XLOOKUP(A526,'[1]Tissue Data'!$A:$A,'[1]Tissue Data'!M:M)</f>
        <v>3.6</v>
      </c>
      <c r="K526" t="s">
        <v>36</v>
      </c>
      <c r="L526" t="str">
        <f>_xlfn.XLOOKUP(K526,[2]analyte_order!$B:$B,[2]analyte_order!$C:$C)</f>
        <v>41997-13-1</v>
      </c>
      <c r="M526">
        <f>_xlfn.XLOOKUP(L526,[2]analyte_order!$C:$C,[2]analyte_order!$E:$E)</f>
        <v>52</v>
      </c>
      <c r="N526">
        <v>53.5</v>
      </c>
    </row>
    <row r="527" spans="1:14">
      <c r="A527" t="s">
        <v>130</v>
      </c>
      <c r="B527" t="str">
        <f>_xlfn.XLOOKUP(A527,'[1]Tissue Data'!$A:$A,'[1]Tissue Data'!$C:$C)</f>
        <v>Down</v>
      </c>
      <c r="C527" s="2">
        <f>_xlfn.XLOOKUP(A527,'[1]Tissue Data'!$A:$A,'[1]Tissue Data'!$D:$D)</f>
        <v>44314</v>
      </c>
      <c r="D527" s="2" t="s">
        <v>131</v>
      </c>
      <c r="E527" t="str">
        <f>_xlfn.XLOOKUP(A527,'[1]Tissue Data'!$A:$A,'[1]Tissue Data'!$H:$H)</f>
        <v>Clinostomus</v>
      </c>
      <c r="F527" t="str">
        <f>_xlfn.XLOOKUP(A527,'[1]Tissue Data'!$A:$A,'[1]Tissue Data'!$I:$I)</f>
        <v>funduloides</v>
      </c>
      <c r="G527" t="str">
        <f>_xlfn.XLOOKUP(A527,'[1]Tissue Data'!$A:$A,'[1]Tissue Data'!J:J)</f>
        <v>U</v>
      </c>
      <c r="H527" t="str">
        <f>_xlfn.XLOOKUP(A527,'[1]Tissue Data'!$A:$A,'[1]Tissue Data'!K:K)</f>
        <v>Whole Body</v>
      </c>
      <c r="I527">
        <f>_xlfn.XLOOKUP(A527,'[1]Tissue Data'!$A:$A,'[1]Tissue Data'!L:L)</f>
        <v>5.25</v>
      </c>
      <c r="J527">
        <f>_xlfn.XLOOKUP(A527,'[1]Tissue Data'!$A:$A,'[1]Tissue Data'!M:M)</f>
        <v>3.6</v>
      </c>
      <c r="K527" t="s">
        <v>37</v>
      </c>
      <c r="L527" t="str">
        <f>_xlfn.XLOOKUP(K527,[2]analyte_order!$B:$B,[2]analyte_order!$C:$C)</f>
        <v>754-91-6</v>
      </c>
      <c r="M527">
        <f>_xlfn.XLOOKUP(L527,[2]analyte_order!$C:$C,[2]analyte_order!$E:$E)</f>
        <v>28</v>
      </c>
      <c r="N527">
        <v>13.3</v>
      </c>
    </row>
    <row r="528" spans="1:14">
      <c r="A528" t="s">
        <v>130</v>
      </c>
      <c r="B528" t="str">
        <f>_xlfn.XLOOKUP(A528,'[1]Tissue Data'!$A:$A,'[1]Tissue Data'!$C:$C)</f>
        <v>Down</v>
      </c>
      <c r="C528" s="2">
        <f>_xlfn.XLOOKUP(A528,'[1]Tissue Data'!$A:$A,'[1]Tissue Data'!$D:$D)</f>
        <v>44314</v>
      </c>
      <c r="D528" s="2" t="s">
        <v>131</v>
      </c>
      <c r="E528" t="str">
        <f>_xlfn.XLOOKUP(A528,'[1]Tissue Data'!$A:$A,'[1]Tissue Data'!$H:$H)</f>
        <v>Clinostomus</v>
      </c>
      <c r="F528" t="str">
        <f>_xlfn.XLOOKUP(A528,'[1]Tissue Data'!$A:$A,'[1]Tissue Data'!$I:$I)</f>
        <v>funduloides</v>
      </c>
      <c r="G528" t="str">
        <f>_xlfn.XLOOKUP(A528,'[1]Tissue Data'!$A:$A,'[1]Tissue Data'!J:J)</f>
        <v>U</v>
      </c>
      <c r="H528" t="str">
        <f>_xlfn.XLOOKUP(A528,'[1]Tissue Data'!$A:$A,'[1]Tissue Data'!K:K)</f>
        <v>Whole Body</v>
      </c>
      <c r="I528">
        <f>_xlfn.XLOOKUP(A528,'[1]Tissue Data'!$A:$A,'[1]Tissue Data'!L:L)</f>
        <v>5.25</v>
      </c>
      <c r="J528">
        <f>_xlfn.XLOOKUP(A528,'[1]Tissue Data'!$A:$A,'[1]Tissue Data'!M:M)</f>
        <v>3.6</v>
      </c>
      <c r="K528" t="s">
        <v>38</v>
      </c>
      <c r="L528" t="str">
        <f>_xlfn.XLOOKUP(K528,[2]analyte_order!$B:$B,[2]analyte_order!$C:$C)</f>
        <v>31506-32-8</v>
      </c>
      <c r="M528">
        <f>_xlfn.XLOOKUP(L528,[2]analyte_order!$C:$C,[2]analyte_order!$E:$E)</f>
        <v>30</v>
      </c>
      <c r="N528">
        <v>5.457827233167082E-2</v>
      </c>
    </row>
    <row r="529" spans="1:14">
      <c r="A529" t="s">
        <v>130</v>
      </c>
      <c r="B529" t="str">
        <f>_xlfn.XLOOKUP(A529,'[1]Tissue Data'!$A:$A,'[1]Tissue Data'!$C:$C)</f>
        <v>Down</v>
      </c>
      <c r="C529" s="2">
        <f>_xlfn.XLOOKUP(A529,'[1]Tissue Data'!$A:$A,'[1]Tissue Data'!$D:$D)</f>
        <v>44314</v>
      </c>
      <c r="D529" s="2" t="s">
        <v>131</v>
      </c>
      <c r="E529" t="str">
        <f>_xlfn.XLOOKUP(A529,'[1]Tissue Data'!$A:$A,'[1]Tissue Data'!$H:$H)</f>
        <v>Clinostomus</v>
      </c>
      <c r="F529" t="str">
        <f>_xlfn.XLOOKUP(A529,'[1]Tissue Data'!$A:$A,'[1]Tissue Data'!$I:$I)</f>
        <v>funduloides</v>
      </c>
      <c r="G529" t="str">
        <f>_xlfn.XLOOKUP(A529,'[1]Tissue Data'!$A:$A,'[1]Tissue Data'!J:J)</f>
        <v>U</v>
      </c>
      <c r="H529" t="str">
        <f>_xlfn.XLOOKUP(A529,'[1]Tissue Data'!$A:$A,'[1]Tissue Data'!K:K)</f>
        <v>Whole Body</v>
      </c>
      <c r="I529">
        <f>_xlfn.XLOOKUP(A529,'[1]Tissue Data'!$A:$A,'[1]Tissue Data'!L:L)</f>
        <v>5.25</v>
      </c>
      <c r="J529">
        <f>_xlfn.XLOOKUP(A529,'[1]Tissue Data'!$A:$A,'[1]Tissue Data'!M:M)</f>
        <v>3.6</v>
      </c>
      <c r="K529" t="s">
        <v>39</v>
      </c>
      <c r="L529" t="str">
        <f>_xlfn.XLOOKUP(K529,[2]analyte_order!$B:$B,[2]analyte_order!$C:$C)</f>
        <v>4151-50-2</v>
      </c>
      <c r="M529">
        <f>_xlfn.XLOOKUP(L529,[2]analyte_order!$C:$C,[2]analyte_order!$E:$E)</f>
        <v>31</v>
      </c>
      <c r="N529">
        <v>8.2673866921758099E-2</v>
      </c>
    </row>
    <row r="530" spans="1:14">
      <c r="A530" t="s">
        <v>130</v>
      </c>
      <c r="B530" t="str">
        <f>_xlfn.XLOOKUP(A530,'[1]Tissue Data'!$A:$A,'[1]Tissue Data'!$C:$C)</f>
        <v>Down</v>
      </c>
      <c r="C530" s="2">
        <f>_xlfn.XLOOKUP(A530,'[1]Tissue Data'!$A:$A,'[1]Tissue Data'!$D:$D)</f>
        <v>44314</v>
      </c>
      <c r="D530" s="2" t="s">
        <v>131</v>
      </c>
      <c r="E530" t="str">
        <f>_xlfn.XLOOKUP(A530,'[1]Tissue Data'!$A:$A,'[1]Tissue Data'!$H:$H)</f>
        <v>Clinostomus</v>
      </c>
      <c r="F530" t="str">
        <f>_xlfn.XLOOKUP(A530,'[1]Tissue Data'!$A:$A,'[1]Tissue Data'!$I:$I)</f>
        <v>funduloides</v>
      </c>
      <c r="G530" t="str">
        <f>_xlfn.XLOOKUP(A530,'[1]Tissue Data'!$A:$A,'[1]Tissue Data'!J:J)</f>
        <v>U</v>
      </c>
      <c r="H530" t="str">
        <f>_xlfn.XLOOKUP(A530,'[1]Tissue Data'!$A:$A,'[1]Tissue Data'!K:K)</f>
        <v>Whole Body</v>
      </c>
      <c r="I530">
        <f>_xlfn.XLOOKUP(A530,'[1]Tissue Data'!$A:$A,'[1]Tissue Data'!L:L)</f>
        <v>5.25</v>
      </c>
      <c r="J530">
        <f>_xlfn.XLOOKUP(A530,'[1]Tissue Data'!$A:$A,'[1]Tissue Data'!M:M)</f>
        <v>3.6</v>
      </c>
      <c r="K530" t="s">
        <v>40</v>
      </c>
      <c r="L530" t="str">
        <f>_xlfn.XLOOKUP(K530,[2]analyte_order!$B:$B,[2]analyte_order!$C:$C)</f>
        <v>2806-24-8</v>
      </c>
      <c r="M530">
        <f>_xlfn.XLOOKUP(L530,[2]analyte_order!$C:$C,[2]analyte_order!$E:$E)</f>
        <v>29</v>
      </c>
      <c r="N530">
        <v>5.584300695448878E-2</v>
      </c>
    </row>
    <row r="531" spans="1:14">
      <c r="A531" t="s">
        <v>130</v>
      </c>
      <c r="B531" t="str">
        <f>_xlfn.XLOOKUP(A531,'[1]Tissue Data'!$A:$A,'[1]Tissue Data'!$C:$C)</f>
        <v>Down</v>
      </c>
      <c r="C531" s="2">
        <f>_xlfn.XLOOKUP(A531,'[1]Tissue Data'!$A:$A,'[1]Tissue Data'!$D:$D)</f>
        <v>44314</v>
      </c>
      <c r="D531" s="2" t="s">
        <v>131</v>
      </c>
      <c r="E531" t="str">
        <f>_xlfn.XLOOKUP(A531,'[1]Tissue Data'!$A:$A,'[1]Tissue Data'!$H:$H)</f>
        <v>Clinostomus</v>
      </c>
      <c r="F531" t="str">
        <f>_xlfn.XLOOKUP(A531,'[1]Tissue Data'!$A:$A,'[1]Tissue Data'!$I:$I)</f>
        <v>funduloides</v>
      </c>
      <c r="G531" t="str">
        <f>_xlfn.XLOOKUP(A531,'[1]Tissue Data'!$A:$A,'[1]Tissue Data'!J:J)</f>
        <v>U</v>
      </c>
      <c r="H531" t="str">
        <f>_xlfn.XLOOKUP(A531,'[1]Tissue Data'!$A:$A,'[1]Tissue Data'!K:K)</f>
        <v>Whole Body</v>
      </c>
      <c r="I531">
        <f>_xlfn.XLOOKUP(A531,'[1]Tissue Data'!$A:$A,'[1]Tissue Data'!L:L)</f>
        <v>5.25</v>
      </c>
      <c r="J531">
        <f>_xlfn.XLOOKUP(A531,'[1]Tissue Data'!$A:$A,'[1]Tissue Data'!M:M)</f>
        <v>3.6</v>
      </c>
      <c r="K531" t="s">
        <v>41</v>
      </c>
      <c r="L531" t="str">
        <f>_xlfn.XLOOKUP(K531,[2]analyte_order!$B:$B,[2]analyte_order!$C:$C)</f>
        <v>2355-31-9</v>
      </c>
      <c r="M531">
        <f>_xlfn.XLOOKUP(L531,[2]analyte_order!$C:$C,[2]analyte_order!$E:$E)</f>
        <v>26</v>
      </c>
      <c r="N531">
        <v>7.1274252386221953E-2</v>
      </c>
    </row>
    <row r="532" spans="1:14">
      <c r="A532" t="s">
        <v>130</v>
      </c>
      <c r="B532" t="str">
        <f>_xlfn.XLOOKUP(A532,'[1]Tissue Data'!$A:$A,'[1]Tissue Data'!$C:$C)</f>
        <v>Down</v>
      </c>
      <c r="C532" s="2">
        <f>_xlfn.XLOOKUP(A532,'[1]Tissue Data'!$A:$A,'[1]Tissue Data'!$D:$D)</f>
        <v>44314</v>
      </c>
      <c r="D532" s="2" t="s">
        <v>131</v>
      </c>
      <c r="E532" t="str">
        <f>_xlfn.XLOOKUP(A532,'[1]Tissue Data'!$A:$A,'[1]Tissue Data'!$H:$H)</f>
        <v>Clinostomus</v>
      </c>
      <c r="F532" t="str">
        <f>_xlfn.XLOOKUP(A532,'[1]Tissue Data'!$A:$A,'[1]Tissue Data'!$I:$I)</f>
        <v>funduloides</v>
      </c>
      <c r="G532" t="str">
        <f>_xlfn.XLOOKUP(A532,'[1]Tissue Data'!$A:$A,'[1]Tissue Data'!J:J)</f>
        <v>U</v>
      </c>
      <c r="H532" t="str">
        <f>_xlfn.XLOOKUP(A532,'[1]Tissue Data'!$A:$A,'[1]Tissue Data'!K:K)</f>
        <v>Whole Body</v>
      </c>
      <c r="I532">
        <f>_xlfn.XLOOKUP(A532,'[1]Tissue Data'!$A:$A,'[1]Tissue Data'!L:L)</f>
        <v>5.25</v>
      </c>
      <c r="J532">
        <f>_xlfn.XLOOKUP(A532,'[1]Tissue Data'!$A:$A,'[1]Tissue Data'!M:M)</f>
        <v>3.6</v>
      </c>
      <c r="K532" t="s">
        <v>42</v>
      </c>
      <c r="L532" t="str">
        <f>_xlfn.XLOOKUP(K532,[2]analyte_order!$B:$B,[2]analyte_order!$C:$C)</f>
        <v>2991-50-6</v>
      </c>
      <c r="M532">
        <f>_xlfn.XLOOKUP(L532,[2]analyte_order!$C:$C,[2]analyte_order!$E:$E)</f>
        <v>27</v>
      </c>
      <c r="N532">
        <v>6.1493316803304242E-2</v>
      </c>
    </row>
    <row r="533" spans="1:14">
      <c r="A533" t="s">
        <v>130</v>
      </c>
      <c r="B533" t="str">
        <f>_xlfn.XLOOKUP(A533,'[1]Tissue Data'!$A:$A,'[1]Tissue Data'!$C:$C)</f>
        <v>Down</v>
      </c>
      <c r="C533" s="2">
        <f>_xlfn.XLOOKUP(A533,'[1]Tissue Data'!$A:$A,'[1]Tissue Data'!$D:$D)</f>
        <v>44314</v>
      </c>
      <c r="D533" s="2" t="s">
        <v>131</v>
      </c>
      <c r="E533" t="str">
        <f>_xlfn.XLOOKUP(A533,'[1]Tissue Data'!$A:$A,'[1]Tissue Data'!$H:$H)</f>
        <v>Clinostomus</v>
      </c>
      <c r="F533" t="str">
        <f>_xlfn.XLOOKUP(A533,'[1]Tissue Data'!$A:$A,'[1]Tissue Data'!$I:$I)</f>
        <v>funduloides</v>
      </c>
      <c r="G533" t="str">
        <f>_xlfn.XLOOKUP(A533,'[1]Tissue Data'!$A:$A,'[1]Tissue Data'!J:J)</f>
        <v>U</v>
      </c>
      <c r="H533" t="str">
        <f>_xlfn.XLOOKUP(A533,'[1]Tissue Data'!$A:$A,'[1]Tissue Data'!K:K)</f>
        <v>Whole Body</v>
      </c>
      <c r="I533">
        <f>_xlfn.XLOOKUP(A533,'[1]Tissue Data'!$A:$A,'[1]Tissue Data'!L:L)</f>
        <v>5.25</v>
      </c>
      <c r="J533">
        <f>_xlfn.XLOOKUP(A533,'[1]Tissue Data'!$A:$A,'[1]Tissue Data'!M:M)</f>
        <v>3.6</v>
      </c>
      <c r="K533" t="s">
        <v>43</v>
      </c>
      <c r="L533" t="str">
        <f>_xlfn.XLOOKUP(K533,[2]analyte_order!$B:$B,[2]analyte_order!$C:$C)</f>
        <v>757124-72-4</v>
      </c>
      <c r="M533">
        <f>_xlfn.XLOOKUP(L533,[2]analyte_order!$C:$C,[2]analyte_order!$E:$E)</f>
        <v>22</v>
      </c>
      <c r="N533">
        <v>5.8191772836658349E-2</v>
      </c>
    </row>
    <row r="534" spans="1:14">
      <c r="A534" t="s">
        <v>130</v>
      </c>
      <c r="B534" t="str">
        <f>_xlfn.XLOOKUP(A534,'[1]Tissue Data'!$A:$A,'[1]Tissue Data'!$C:$C)</f>
        <v>Down</v>
      </c>
      <c r="C534" s="2">
        <f>_xlfn.XLOOKUP(A534,'[1]Tissue Data'!$A:$A,'[1]Tissue Data'!$D:$D)</f>
        <v>44314</v>
      </c>
      <c r="D534" s="2" t="s">
        <v>131</v>
      </c>
      <c r="E534" t="str">
        <f>_xlfn.XLOOKUP(A534,'[1]Tissue Data'!$A:$A,'[1]Tissue Data'!$H:$H)</f>
        <v>Clinostomus</v>
      </c>
      <c r="F534" t="str">
        <f>_xlfn.XLOOKUP(A534,'[1]Tissue Data'!$A:$A,'[1]Tissue Data'!$I:$I)</f>
        <v>funduloides</v>
      </c>
      <c r="G534" t="str">
        <f>_xlfn.XLOOKUP(A534,'[1]Tissue Data'!$A:$A,'[1]Tissue Data'!J:J)</f>
        <v>U</v>
      </c>
      <c r="H534" t="str">
        <f>_xlfn.XLOOKUP(A534,'[1]Tissue Data'!$A:$A,'[1]Tissue Data'!K:K)</f>
        <v>Whole Body</v>
      </c>
      <c r="I534">
        <f>_xlfn.XLOOKUP(A534,'[1]Tissue Data'!$A:$A,'[1]Tissue Data'!L:L)</f>
        <v>5.25</v>
      </c>
      <c r="J534">
        <f>_xlfn.XLOOKUP(A534,'[1]Tissue Data'!$A:$A,'[1]Tissue Data'!M:M)</f>
        <v>3.6</v>
      </c>
      <c r="K534" t="s">
        <v>44</v>
      </c>
      <c r="L534" t="str">
        <f>_xlfn.XLOOKUP(K534,[2]analyte_order!$B:$B,[2]analyte_order!$C:$C)</f>
        <v>27619-97-2</v>
      </c>
      <c r="M534">
        <f>_xlfn.XLOOKUP(L534,[2]analyte_order!$C:$C,[2]analyte_order!$E:$E)</f>
        <v>23</v>
      </c>
      <c r="N534">
        <v>0.32800000000000001</v>
      </c>
    </row>
    <row r="535" spans="1:14">
      <c r="A535" t="s">
        <v>130</v>
      </c>
      <c r="B535" t="str">
        <f>_xlfn.XLOOKUP(A535,'[1]Tissue Data'!$A:$A,'[1]Tissue Data'!$C:$C)</f>
        <v>Down</v>
      </c>
      <c r="C535" s="2">
        <f>_xlfn.XLOOKUP(A535,'[1]Tissue Data'!$A:$A,'[1]Tissue Data'!$D:$D)</f>
        <v>44314</v>
      </c>
      <c r="D535" s="2" t="s">
        <v>131</v>
      </c>
      <c r="E535" t="str">
        <f>_xlfn.XLOOKUP(A535,'[1]Tissue Data'!$A:$A,'[1]Tissue Data'!$H:$H)</f>
        <v>Clinostomus</v>
      </c>
      <c r="F535" t="str">
        <f>_xlfn.XLOOKUP(A535,'[1]Tissue Data'!$A:$A,'[1]Tissue Data'!$I:$I)</f>
        <v>funduloides</v>
      </c>
      <c r="G535" t="str">
        <f>_xlfn.XLOOKUP(A535,'[1]Tissue Data'!$A:$A,'[1]Tissue Data'!J:J)</f>
        <v>U</v>
      </c>
      <c r="H535" t="str">
        <f>_xlfn.XLOOKUP(A535,'[1]Tissue Data'!$A:$A,'[1]Tissue Data'!K:K)</f>
        <v>Whole Body</v>
      </c>
      <c r="I535">
        <f>_xlfn.XLOOKUP(A535,'[1]Tissue Data'!$A:$A,'[1]Tissue Data'!L:L)</f>
        <v>5.25</v>
      </c>
      <c r="J535">
        <f>_xlfn.XLOOKUP(A535,'[1]Tissue Data'!$A:$A,'[1]Tissue Data'!M:M)</f>
        <v>3.6</v>
      </c>
      <c r="K535" t="s">
        <v>45</v>
      </c>
      <c r="L535" t="str">
        <f>_xlfn.XLOOKUP(K535,[2]analyte_order!$B:$B,[2]analyte_order!$C:$C)</f>
        <v>39108-34-4</v>
      </c>
      <c r="M535">
        <f>_xlfn.XLOOKUP(L535,[2]analyte_order!$C:$C,[2]analyte_order!$E:$E)</f>
        <v>24</v>
      </c>
      <c r="N535">
        <v>6.98</v>
      </c>
    </row>
    <row r="536" spans="1:14">
      <c r="A536" t="s">
        <v>130</v>
      </c>
      <c r="B536" t="str">
        <f>_xlfn.XLOOKUP(A536,'[1]Tissue Data'!$A:$A,'[1]Tissue Data'!$C:$C)</f>
        <v>Down</v>
      </c>
      <c r="C536" s="2">
        <f>_xlfn.XLOOKUP(A536,'[1]Tissue Data'!$A:$A,'[1]Tissue Data'!$D:$D)</f>
        <v>44314</v>
      </c>
      <c r="D536" s="2" t="s">
        <v>131</v>
      </c>
      <c r="E536" t="str">
        <f>_xlfn.XLOOKUP(A536,'[1]Tissue Data'!$A:$A,'[1]Tissue Data'!$H:$H)</f>
        <v>Clinostomus</v>
      </c>
      <c r="F536" t="str">
        <f>_xlfn.XLOOKUP(A536,'[1]Tissue Data'!$A:$A,'[1]Tissue Data'!$I:$I)</f>
        <v>funduloides</v>
      </c>
      <c r="G536" t="str">
        <f>_xlfn.XLOOKUP(A536,'[1]Tissue Data'!$A:$A,'[1]Tissue Data'!J:J)</f>
        <v>U</v>
      </c>
      <c r="H536" t="str">
        <f>_xlfn.XLOOKUP(A536,'[1]Tissue Data'!$A:$A,'[1]Tissue Data'!K:K)</f>
        <v>Whole Body</v>
      </c>
      <c r="I536">
        <f>_xlfn.XLOOKUP(A536,'[1]Tissue Data'!$A:$A,'[1]Tissue Data'!L:L)</f>
        <v>5.25</v>
      </c>
      <c r="J536">
        <f>_xlfn.XLOOKUP(A536,'[1]Tissue Data'!$A:$A,'[1]Tissue Data'!M:M)</f>
        <v>3.6</v>
      </c>
      <c r="K536" t="s">
        <v>46</v>
      </c>
      <c r="L536" t="str">
        <f>_xlfn.XLOOKUP(K536,[2]analyte_order!$B:$B,[2]analyte_order!$C:$C)</f>
        <v>120226-60-0</v>
      </c>
      <c r="M536">
        <f>_xlfn.XLOOKUP(L536,[2]analyte_order!$C:$C,[2]analyte_order!$E:$E)</f>
        <v>25</v>
      </c>
      <c r="N536">
        <v>0.54400000000000004</v>
      </c>
    </row>
    <row r="537" spans="1:14">
      <c r="A537" t="s">
        <v>130</v>
      </c>
      <c r="B537" t="str">
        <f>_xlfn.XLOOKUP(A537,'[1]Tissue Data'!$A:$A,'[1]Tissue Data'!$C:$C)</f>
        <v>Down</v>
      </c>
      <c r="C537" s="2">
        <f>_xlfn.XLOOKUP(A537,'[1]Tissue Data'!$A:$A,'[1]Tissue Data'!$D:$D)</f>
        <v>44314</v>
      </c>
      <c r="D537" s="2" t="s">
        <v>131</v>
      </c>
      <c r="E537" t="str">
        <f>_xlfn.XLOOKUP(A537,'[1]Tissue Data'!$A:$A,'[1]Tissue Data'!$H:$H)</f>
        <v>Clinostomus</v>
      </c>
      <c r="F537" t="str">
        <f>_xlfn.XLOOKUP(A537,'[1]Tissue Data'!$A:$A,'[1]Tissue Data'!$I:$I)</f>
        <v>funduloides</v>
      </c>
      <c r="G537" t="str">
        <f>_xlfn.XLOOKUP(A537,'[1]Tissue Data'!$A:$A,'[1]Tissue Data'!J:J)</f>
        <v>U</v>
      </c>
      <c r="H537" t="str">
        <f>_xlfn.XLOOKUP(A537,'[1]Tissue Data'!$A:$A,'[1]Tissue Data'!K:K)</f>
        <v>Whole Body</v>
      </c>
      <c r="I537">
        <f>_xlfn.XLOOKUP(A537,'[1]Tissue Data'!$A:$A,'[1]Tissue Data'!L:L)</f>
        <v>5.25</v>
      </c>
      <c r="J537">
        <f>_xlfn.XLOOKUP(A537,'[1]Tissue Data'!$A:$A,'[1]Tissue Data'!M:M)</f>
        <v>3.6</v>
      </c>
      <c r="K537" t="s">
        <v>47</v>
      </c>
      <c r="L537" t="str">
        <f>_xlfn.XLOOKUP(K537,[2]analyte_order!$B:$B,[2]analyte_order!$C:$C)</f>
        <v>356-02-5</v>
      </c>
      <c r="M537">
        <f>_xlfn.XLOOKUP(L537,[2]analyte_order!$C:$C,[2]analyte_order!$E:$E)</f>
        <v>38</v>
      </c>
      <c r="N537">
        <v>8.1719624696072315E-2</v>
      </c>
    </row>
    <row r="538" spans="1:14">
      <c r="A538" t="s">
        <v>130</v>
      </c>
      <c r="B538" t="str">
        <f>_xlfn.XLOOKUP(A538,'[1]Tissue Data'!$A:$A,'[1]Tissue Data'!$C:$C)</f>
        <v>Down</v>
      </c>
      <c r="C538" s="2">
        <f>_xlfn.XLOOKUP(A538,'[1]Tissue Data'!$A:$A,'[1]Tissue Data'!$D:$D)</f>
        <v>44314</v>
      </c>
      <c r="D538" s="2" t="s">
        <v>131</v>
      </c>
      <c r="E538" t="str">
        <f>_xlfn.XLOOKUP(A538,'[1]Tissue Data'!$A:$A,'[1]Tissue Data'!$H:$H)</f>
        <v>Clinostomus</v>
      </c>
      <c r="F538" t="str">
        <f>_xlfn.XLOOKUP(A538,'[1]Tissue Data'!$A:$A,'[1]Tissue Data'!$I:$I)</f>
        <v>funduloides</v>
      </c>
      <c r="G538" t="str">
        <f>_xlfn.XLOOKUP(A538,'[1]Tissue Data'!$A:$A,'[1]Tissue Data'!J:J)</f>
        <v>U</v>
      </c>
      <c r="H538" t="str">
        <f>_xlfn.XLOOKUP(A538,'[1]Tissue Data'!$A:$A,'[1]Tissue Data'!K:K)</f>
        <v>Whole Body</v>
      </c>
      <c r="I538">
        <f>_xlfn.XLOOKUP(A538,'[1]Tissue Data'!$A:$A,'[1]Tissue Data'!L:L)</f>
        <v>5.25</v>
      </c>
      <c r="J538">
        <f>_xlfn.XLOOKUP(A538,'[1]Tissue Data'!$A:$A,'[1]Tissue Data'!M:M)</f>
        <v>3.6</v>
      </c>
      <c r="K538" t="s">
        <v>48</v>
      </c>
      <c r="L538" t="str">
        <f>_xlfn.XLOOKUP(K538,[2]analyte_order!$B:$B,[2]analyte_order!$C:$C)</f>
        <v>914637-49-3</v>
      </c>
      <c r="M538">
        <f>_xlfn.XLOOKUP(L538,[2]analyte_order!$C:$C,[2]analyte_order!$E:$E)</f>
        <v>39</v>
      </c>
      <c r="N538">
        <v>3.91</v>
      </c>
    </row>
    <row r="539" spans="1:14">
      <c r="A539" t="s">
        <v>130</v>
      </c>
      <c r="B539" t="str">
        <f>_xlfn.XLOOKUP(A539,'[1]Tissue Data'!$A:$A,'[1]Tissue Data'!$C:$C)</f>
        <v>Down</v>
      </c>
      <c r="C539" s="2">
        <f>_xlfn.XLOOKUP(A539,'[1]Tissue Data'!$A:$A,'[1]Tissue Data'!$D:$D)</f>
        <v>44314</v>
      </c>
      <c r="D539" s="2" t="s">
        <v>131</v>
      </c>
      <c r="E539" t="str">
        <f>_xlfn.XLOOKUP(A539,'[1]Tissue Data'!$A:$A,'[1]Tissue Data'!$H:$H)</f>
        <v>Clinostomus</v>
      </c>
      <c r="F539" t="str">
        <f>_xlfn.XLOOKUP(A539,'[1]Tissue Data'!$A:$A,'[1]Tissue Data'!$I:$I)</f>
        <v>funduloides</v>
      </c>
      <c r="G539" t="str">
        <f>_xlfn.XLOOKUP(A539,'[1]Tissue Data'!$A:$A,'[1]Tissue Data'!J:J)</f>
        <v>U</v>
      </c>
      <c r="H539" t="str">
        <f>_xlfn.XLOOKUP(A539,'[1]Tissue Data'!$A:$A,'[1]Tissue Data'!K:K)</f>
        <v>Whole Body</v>
      </c>
      <c r="I539">
        <f>_xlfn.XLOOKUP(A539,'[1]Tissue Data'!$A:$A,'[1]Tissue Data'!L:L)</f>
        <v>5.25</v>
      </c>
      <c r="J539">
        <f>_xlfn.XLOOKUP(A539,'[1]Tissue Data'!$A:$A,'[1]Tissue Data'!M:M)</f>
        <v>3.6</v>
      </c>
      <c r="K539" t="s">
        <v>49</v>
      </c>
      <c r="L539" t="str">
        <f>_xlfn.XLOOKUP(K539,[2]analyte_order!$B:$B,[2]analyte_order!$C:$C)</f>
        <v>812-70-4</v>
      </c>
      <c r="M539">
        <f>_xlfn.XLOOKUP(L539,[2]analyte_order!$C:$C,[2]analyte_order!$E:$E)</f>
        <v>40</v>
      </c>
      <c r="N539">
        <v>5.19</v>
      </c>
    </row>
    <row r="540" spans="1:14">
      <c r="A540" t="s">
        <v>130</v>
      </c>
      <c r="B540" t="str">
        <f>_xlfn.XLOOKUP(A540,'[1]Tissue Data'!$A:$A,'[1]Tissue Data'!$C:$C)</f>
        <v>Down</v>
      </c>
      <c r="C540" s="2">
        <f>_xlfn.XLOOKUP(A540,'[1]Tissue Data'!$A:$A,'[1]Tissue Data'!$D:$D)</f>
        <v>44314</v>
      </c>
      <c r="D540" s="2" t="s">
        <v>131</v>
      </c>
      <c r="E540" t="str">
        <f>_xlfn.XLOOKUP(A540,'[1]Tissue Data'!$A:$A,'[1]Tissue Data'!$H:$H)</f>
        <v>Clinostomus</v>
      </c>
      <c r="F540" t="str">
        <f>_xlfn.XLOOKUP(A540,'[1]Tissue Data'!$A:$A,'[1]Tissue Data'!$I:$I)</f>
        <v>funduloides</v>
      </c>
      <c r="G540" t="str">
        <f>_xlfn.XLOOKUP(A540,'[1]Tissue Data'!$A:$A,'[1]Tissue Data'!J:J)</f>
        <v>U</v>
      </c>
      <c r="H540" t="str">
        <f>_xlfn.XLOOKUP(A540,'[1]Tissue Data'!$A:$A,'[1]Tissue Data'!K:K)</f>
        <v>Whole Body</v>
      </c>
      <c r="I540">
        <f>_xlfn.XLOOKUP(A540,'[1]Tissue Data'!$A:$A,'[1]Tissue Data'!L:L)</f>
        <v>5.25</v>
      </c>
      <c r="J540">
        <f>_xlfn.XLOOKUP(A540,'[1]Tissue Data'!$A:$A,'[1]Tissue Data'!M:M)</f>
        <v>3.6</v>
      </c>
      <c r="K540" t="s">
        <v>50</v>
      </c>
      <c r="L540" t="str">
        <f>_xlfn.XLOOKUP(K540,[2]analyte_order!$B:$B,[2]analyte_order!$C:$C)</f>
        <v>53826-12-3</v>
      </c>
      <c r="M540">
        <f>_xlfn.XLOOKUP(L540,[2]analyte_order!$C:$C,[2]analyte_order!$E:$E)</f>
        <v>41</v>
      </c>
      <c r="N540">
        <v>4.5459274989557354E-2</v>
      </c>
    </row>
    <row r="541" spans="1:14">
      <c r="A541" t="s">
        <v>130</v>
      </c>
      <c r="B541" t="str">
        <f>_xlfn.XLOOKUP(A541,'[1]Tissue Data'!$A:$A,'[1]Tissue Data'!$C:$C)</f>
        <v>Down</v>
      </c>
      <c r="C541" s="2">
        <f>_xlfn.XLOOKUP(A541,'[1]Tissue Data'!$A:$A,'[1]Tissue Data'!$D:$D)</f>
        <v>44314</v>
      </c>
      <c r="D541" s="2" t="s">
        <v>131</v>
      </c>
      <c r="E541" t="str">
        <f>_xlfn.XLOOKUP(A541,'[1]Tissue Data'!$A:$A,'[1]Tissue Data'!$H:$H)</f>
        <v>Clinostomus</v>
      </c>
      <c r="F541" t="str">
        <f>_xlfn.XLOOKUP(A541,'[1]Tissue Data'!$A:$A,'[1]Tissue Data'!$I:$I)</f>
        <v>funduloides</v>
      </c>
      <c r="G541" t="str">
        <f>_xlfn.XLOOKUP(A541,'[1]Tissue Data'!$A:$A,'[1]Tissue Data'!J:J)</f>
        <v>U</v>
      </c>
      <c r="H541" t="str">
        <f>_xlfn.XLOOKUP(A541,'[1]Tissue Data'!$A:$A,'[1]Tissue Data'!K:K)</f>
        <v>Whole Body</v>
      </c>
      <c r="I541">
        <f>_xlfn.XLOOKUP(A541,'[1]Tissue Data'!$A:$A,'[1]Tissue Data'!L:L)</f>
        <v>5.25</v>
      </c>
      <c r="J541">
        <f>_xlfn.XLOOKUP(A541,'[1]Tissue Data'!$A:$A,'[1]Tissue Data'!M:M)</f>
        <v>3.6</v>
      </c>
      <c r="K541" t="s">
        <v>51</v>
      </c>
      <c r="L541" t="str">
        <f>_xlfn.XLOOKUP(K541,[2]analyte_order!$B:$B,[2]analyte_order!$C:$C)</f>
        <v>27854-31-5</v>
      </c>
      <c r="M541">
        <f>_xlfn.XLOOKUP(L541,[2]analyte_order!$C:$C,[2]analyte_order!$E:$E)</f>
        <v>42</v>
      </c>
      <c r="N541">
        <v>2.8338245295851279E-2</v>
      </c>
    </row>
    <row r="542" spans="1:14">
      <c r="A542" t="s">
        <v>130</v>
      </c>
      <c r="B542" t="str">
        <f>_xlfn.XLOOKUP(A542,'[1]Tissue Data'!$A:$A,'[1]Tissue Data'!$C:$C)</f>
        <v>Down</v>
      </c>
      <c r="C542" s="2">
        <f>_xlfn.XLOOKUP(A542,'[1]Tissue Data'!$A:$A,'[1]Tissue Data'!$D:$D)</f>
        <v>44314</v>
      </c>
      <c r="D542" s="2" t="s">
        <v>131</v>
      </c>
      <c r="E542" t="str">
        <f>_xlfn.XLOOKUP(A542,'[1]Tissue Data'!$A:$A,'[1]Tissue Data'!$H:$H)</f>
        <v>Clinostomus</v>
      </c>
      <c r="F542" t="str">
        <f>_xlfn.XLOOKUP(A542,'[1]Tissue Data'!$A:$A,'[1]Tissue Data'!$I:$I)</f>
        <v>funduloides</v>
      </c>
      <c r="G542" t="str">
        <f>_xlfn.XLOOKUP(A542,'[1]Tissue Data'!$A:$A,'[1]Tissue Data'!J:J)</f>
        <v>U</v>
      </c>
      <c r="H542" t="str">
        <f>_xlfn.XLOOKUP(A542,'[1]Tissue Data'!$A:$A,'[1]Tissue Data'!K:K)</f>
        <v>Whole Body</v>
      </c>
      <c r="I542">
        <f>_xlfn.XLOOKUP(A542,'[1]Tissue Data'!$A:$A,'[1]Tissue Data'!L:L)</f>
        <v>5.25</v>
      </c>
      <c r="J542">
        <f>_xlfn.XLOOKUP(A542,'[1]Tissue Data'!$A:$A,'[1]Tissue Data'!M:M)</f>
        <v>3.6</v>
      </c>
      <c r="K542" t="s">
        <v>52</v>
      </c>
      <c r="L542" t="str">
        <f>_xlfn.XLOOKUP(K542,[2]analyte_order!$B:$B,[2]analyte_order!$C:$C)</f>
        <v>53826-13-4</v>
      </c>
      <c r="M542">
        <f>_xlfn.XLOOKUP(L542,[2]analyte_order!$C:$C,[2]analyte_order!$E:$E)</f>
        <v>43</v>
      </c>
      <c r="N542">
        <v>0.10571529328709477</v>
      </c>
    </row>
    <row r="543" spans="1:14">
      <c r="A543" t="s">
        <v>130</v>
      </c>
      <c r="B543" t="str">
        <f>_xlfn.XLOOKUP(A543,'[1]Tissue Data'!$A:$A,'[1]Tissue Data'!$C:$C)</f>
        <v>Down</v>
      </c>
      <c r="C543" s="2">
        <f>_xlfn.XLOOKUP(A543,'[1]Tissue Data'!$A:$A,'[1]Tissue Data'!$D:$D)</f>
        <v>44314</v>
      </c>
      <c r="D543" s="2" t="s">
        <v>131</v>
      </c>
      <c r="E543" t="str">
        <f>_xlfn.XLOOKUP(A543,'[1]Tissue Data'!$A:$A,'[1]Tissue Data'!$H:$H)</f>
        <v>Clinostomus</v>
      </c>
      <c r="F543" t="str">
        <f>_xlfn.XLOOKUP(A543,'[1]Tissue Data'!$A:$A,'[1]Tissue Data'!$I:$I)</f>
        <v>funduloides</v>
      </c>
      <c r="G543" t="str">
        <f>_xlfn.XLOOKUP(A543,'[1]Tissue Data'!$A:$A,'[1]Tissue Data'!J:J)</f>
        <v>U</v>
      </c>
      <c r="H543" t="str">
        <f>_xlfn.XLOOKUP(A543,'[1]Tissue Data'!$A:$A,'[1]Tissue Data'!K:K)</f>
        <v>Whole Body</v>
      </c>
      <c r="I543">
        <f>_xlfn.XLOOKUP(A543,'[1]Tissue Data'!$A:$A,'[1]Tissue Data'!L:L)</f>
        <v>5.25</v>
      </c>
      <c r="J543">
        <f>_xlfn.XLOOKUP(A543,'[1]Tissue Data'!$A:$A,'[1]Tissue Data'!M:M)</f>
        <v>3.6</v>
      </c>
      <c r="K543" t="s">
        <v>53</v>
      </c>
      <c r="L543" t="str">
        <f>_xlfn.XLOOKUP(K543,[2]analyte_order!$B:$B,[2]analyte_order!$C:$C)</f>
        <v>161094-75-3</v>
      </c>
      <c r="M543">
        <f>_xlfn.XLOOKUP(L543,[2]analyte_order!$C:$C,[2]analyte_order!$E:$E)</f>
        <v>44</v>
      </c>
      <c r="N543">
        <v>5.5627730966334159E-2</v>
      </c>
    </row>
    <row r="544" spans="1:14">
      <c r="A544" t="s">
        <v>130</v>
      </c>
      <c r="B544" t="str">
        <f>_xlfn.XLOOKUP(A544,'[1]Tissue Data'!$A:$A,'[1]Tissue Data'!$C:$C)</f>
        <v>Down</v>
      </c>
      <c r="C544" s="2">
        <f>_xlfn.XLOOKUP(A544,'[1]Tissue Data'!$A:$A,'[1]Tissue Data'!$D:$D)</f>
        <v>44314</v>
      </c>
      <c r="D544" s="2" t="s">
        <v>131</v>
      </c>
      <c r="E544" t="str">
        <f>_xlfn.XLOOKUP(A544,'[1]Tissue Data'!$A:$A,'[1]Tissue Data'!$H:$H)</f>
        <v>Clinostomus</v>
      </c>
      <c r="F544" t="str">
        <f>_xlfn.XLOOKUP(A544,'[1]Tissue Data'!$A:$A,'[1]Tissue Data'!$I:$I)</f>
        <v>funduloides</v>
      </c>
      <c r="G544" t="str">
        <f>_xlfn.XLOOKUP(A544,'[1]Tissue Data'!$A:$A,'[1]Tissue Data'!J:J)</f>
        <v>U</v>
      </c>
      <c r="H544" t="str">
        <f>_xlfn.XLOOKUP(A544,'[1]Tissue Data'!$A:$A,'[1]Tissue Data'!K:K)</f>
        <v>Whole Body</v>
      </c>
      <c r="I544">
        <f>_xlfn.XLOOKUP(A544,'[1]Tissue Data'!$A:$A,'[1]Tissue Data'!L:L)</f>
        <v>5.25</v>
      </c>
      <c r="J544">
        <f>_xlfn.XLOOKUP(A544,'[1]Tissue Data'!$A:$A,'[1]Tissue Data'!M:M)</f>
        <v>3.6</v>
      </c>
      <c r="K544" t="s">
        <v>54</v>
      </c>
      <c r="L544" t="str">
        <f>_xlfn.XLOOKUP(K544,[2]analyte_order!$B:$B,[2]analyte_order!$C:$C)</f>
        <v>70887-84-2</v>
      </c>
      <c r="M544">
        <f>_xlfn.XLOOKUP(L544,[2]analyte_order!$C:$C,[2]analyte_order!$E:$E)</f>
        <v>45</v>
      </c>
      <c r="N544">
        <v>4.2812324942487531E-2</v>
      </c>
    </row>
    <row r="545" spans="1:14">
      <c r="A545" t="s">
        <v>130</v>
      </c>
      <c r="B545" t="str">
        <f>_xlfn.XLOOKUP(A545,'[1]Tissue Data'!$A:$A,'[1]Tissue Data'!$C:$C)</f>
        <v>Down</v>
      </c>
      <c r="C545" s="2">
        <f>_xlfn.XLOOKUP(A545,'[1]Tissue Data'!$A:$A,'[1]Tissue Data'!$D:$D)</f>
        <v>44314</v>
      </c>
      <c r="D545" s="2" t="s">
        <v>131</v>
      </c>
      <c r="E545" t="str">
        <f>_xlfn.XLOOKUP(A545,'[1]Tissue Data'!$A:$A,'[1]Tissue Data'!$H:$H)</f>
        <v>Clinostomus</v>
      </c>
      <c r="F545" t="str">
        <f>_xlfn.XLOOKUP(A545,'[1]Tissue Data'!$A:$A,'[1]Tissue Data'!$I:$I)</f>
        <v>funduloides</v>
      </c>
      <c r="G545" t="str">
        <f>_xlfn.XLOOKUP(A545,'[1]Tissue Data'!$A:$A,'[1]Tissue Data'!J:J)</f>
        <v>U</v>
      </c>
      <c r="H545" t="str">
        <f>_xlfn.XLOOKUP(A545,'[1]Tissue Data'!$A:$A,'[1]Tissue Data'!K:K)</f>
        <v>Whole Body</v>
      </c>
      <c r="I545">
        <f>_xlfn.XLOOKUP(A545,'[1]Tissue Data'!$A:$A,'[1]Tissue Data'!L:L)</f>
        <v>5.25</v>
      </c>
      <c r="J545">
        <f>_xlfn.XLOOKUP(A545,'[1]Tissue Data'!$A:$A,'[1]Tissue Data'!M:M)</f>
        <v>3.6</v>
      </c>
      <c r="K545" t="s">
        <v>55</v>
      </c>
      <c r="L545" t="str">
        <f>_xlfn.XLOOKUP(K545,[2]analyte_order!$B:$B,[2]analyte_order!$C:$C)</f>
        <v>919005-14-4</v>
      </c>
      <c r="M545">
        <f>_xlfn.XLOOKUP(L545,[2]analyte_order!$C:$C,[2]analyte_order!$E:$E)</f>
        <v>35</v>
      </c>
      <c r="N545">
        <v>7.0845613239628194E-2</v>
      </c>
    </row>
    <row r="546" spans="1:14">
      <c r="A546" t="s">
        <v>130</v>
      </c>
      <c r="B546" t="str">
        <f>_xlfn.XLOOKUP(A546,'[1]Tissue Data'!$A:$A,'[1]Tissue Data'!$C:$C)</f>
        <v>Down</v>
      </c>
      <c r="C546" s="2">
        <f>_xlfn.XLOOKUP(A546,'[1]Tissue Data'!$A:$A,'[1]Tissue Data'!$D:$D)</f>
        <v>44314</v>
      </c>
      <c r="D546" s="2" t="s">
        <v>131</v>
      </c>
      <c r="E546" t="str">
        <f>_xlfn.XLOOKUP(A546,'[1]Tissue Data'!$A:$A,'[1]Tissue Data'!$H:$H)</f>
        <v>Clinostomus</v>
      </c>
      <c r="F546" t="str">
        <f>_xlfn.XLOOKUP(A546,'[1]Tissue Data'!$A:$A,'[1]Tissue Data'!$I:$I)</f>
        <v>funduloides</v>
      </c>
      <c r="G546" t="str">
        <f>_xlfn.XLOOKUP(A546,'[1]Tissue Data'!$A:$A,'[1]Tissue Data'!J:J)</f>
        <v>U</v>
      </c>
      <c r="H546" t="str">
        <f>_xlfn.XLOOKUP(A546,'[1]Tissue Data'!$A:$A,'[1]Tissue Data'!K:K)</f>
        <v>Whole Body</v>
      </c>
      <c r="I546">
        <f>_xlfn.XLOOKUP(A546,'[1]Tissue Data'!$A:$A,'[1]Tissue Data'!L:L)</f>
        <v>5.25</v>
      </c>
      <c r="J546">
        <f>_xlfn.XLOOKUP(A546,'[1]Tissue Data'!$A:$A,'[1]Tissue Data'!M:M)</f>
        <v>3.6</v>
      </c>
      <c r="K546" t="s">
        <v>56</v>
      </c>
      <c r="L546" t="str">
        <f>_xlfn.XLOOKUP(K546,[2]analyte_order!$B:$B,[2]analyte_order!$C:$C)</f>
        <v>756426-58-1</v>
      </c>
      <c r="M546">
        <f>_xlfn.XLOOKUP(L546,[2]analyte_order!$C:$C,[2]analyte_order!$E:$E)</f>
        <v>36</v>
      </c>
      <c r="N546">
        <v>4.9174410509663341E-2</v>
      </c>
    </row>
    <row r="547" spans="1:14">
      <c r="A547" t="s">
        <v>130</v>
      </c>
      <c r="B547" t="str">
        <f>_xlfn.XLOOKUP(A547,'[1]Tissue Data'!$A:$A,'[1]Tissue Data'!$C:$C)</f>
        <v>Down</v>
      </c>
      <c r="C547" s="2">
        <f>_xlfn.XLOOKUP(A547,'[1]Tissue Data'!$A:$A,'[1]Tissue Data'!$D:$D)</f>
        <v>44314</v>
      </c>
      <c r="D547" s="2" t="s">
        <v>131</v>
      </c>
      <c r="E547" t="str">
        <f>_xlfn.XLOOKUP(A547,'[1]Tissue Data'!$A:$A,'[1]Tissue Data'!$H:$H)</f>
        <v>Clinostomus</v>
      </c>
      <c r="F547" t="str">
        <f>_xlfn.XLOOKUP(A547,'[1]Tissue Data'!$A:$A,'[1]Tissue Data'!$I:$I)</f>
        <v>funduloides</v>
      </c>
      <c r="G547" t="str">
        <f>_xlfn.XLOOKUP(A547,'[1]Tissue Data'!$A:$A,'[1]Tissue Data'!J:J)</f>
        <v>U</v>
      </c>
      <c r="H547" t="str">
        <f>_xlfn.XLOOKUP(A547,'[1]Tissue Data'!$A:$A,'[1]Tissue Data'!K:K)</f>
        <v>Whole Body</v>
      </c>
      <c r="I547">
        <f>_xlfn.XLOOKUP(A547,'[1]Tissue Data'!$A:$A,'[1]Tissue Data'!L:L)</f>
        <v>5.25</v>
      </c>
      <c r="J547">
        <f>_xlfn.XLOOKUP(A547,'[1]Tissue Data'!$A:$A,'[1]Tissue Data'!M:M)</f>
        <v>3.6</v>
      </c>
      <c r="K547" t="s">
        <v>57</v>
      </c>
      <c r="L547" t="str">
        <f>_xlfn.XLOOKUP(K547,[2]analyte_order!$B:$B,[2]analyte_order!$C:$C)</f>
        <v>763051-92-9</v>
      </c>
      <c r="M547">
        <f>_xlfn.XLOOKUP(L547,[2]analyte_order!$C:$C,[2]analyte_order!$E:$E)</f>
        <v>37</v>
      </c>
      <c r="N547">
        <v>5.5825673411783044E-2</v>
      </c>
    </row>
    <row r="548" spans="1:14">
      <c r="A548" t="s">
        <v>130</v>
      </c>
      <c r="B548" t="str">
        <f>_xlfn.XLOOKUP(A548,'[1]Tissue Data'!$A:$A,'[1]Tissue Data'!$C:$C)</f>
        <v>Down</v>
      </c>
      <c r="C548" s="2">
        <f>_xlfn.XLOOKUP(A548,'[1]Tissue Data'!$A:$A,'[1]Tissue Data'!$D:$D)</f>
        <v>44314</v>
      </c>
      <c r="D548" s="2" t="s">
        <v>131</v>
      </c>
      <c r="E548" t="str">
        <f>_xlfn.XLOOKUP(A548,'[1]Tissue Data'!$A:$A,'[1]Tissue Data'!$H:$H)</f>
        <v>Clinostomus</v>
      </c>
      <c r="F548" t="str">
        <f>_xlfn.XLOOKUP(A548,'[1]Tissue Data'!$A:$A,'[1]Tissue Data'!$I:$I)</f>
        <v>funduloides</v>
      </c>
      <c r="G548" t="str">
        <f>_xlfn.XLOOKUP(A548,'[1]Tissue Data'!$A:$A,'[1]Tissue Data'!J:J)</f>
        <v>U</v>
      </c>
      <c r="H548" t="str">
        <f>_xlfn.XLOOKUP(A548,'[1]Tissue Data'!$A:$A,'[1]Tissue Data'!K:K)</f>
        <v>Whole Body</v>
      </c>
      <c r="I548">
        <f>_xlfn.XLOOKUP(A548,'[1]Tissue Data'!$A:$A,'[1]Tissue Data'!L:L)</f>
        <v>5.25</v>
      </c>
      <c r="J548">
        <f>_xlfn.XLOOKUP(A548,'[1]Tissue Data'!$A:$A,'[1]Tissue Data'!M:M)</f>
        <v>3.6</v>
      </c>
      <c r="K548" t="s">
        <v>58</v>
      </c>
      <c r="L548" t="str">
        <f>_xlfn.XLOOKUP(K548,[2]analyte_order!$B:$B,[2]analyte_order!$C:$C)</f>
        <v>13252-13-6</v>
      </c>
      <c r="M548">
        <f>_xlfn.XLOOKUP(L548,[2]analyte_order!$C:$C,[2]analyte_order!$E:$E)</f>
        <v>34</v>
      </c>
      <c r="N548">
        <v>0.10166547870168328</v>
      </c>
    </row>
    <row r="549" spans="1:14">
      <c r="A549" t="s">
        <v>130</v>
      </c>
      <c r="B549" t="str">
        <f>_xlfn.XLOOKUP(A549,'[1]Tissue Data'!$A:$A,'[1]Tissue Data'!$C:$C)</f>
        <v>Down</v>
      </c>
      <c r="C549" s="2">
        <f>_xlfn.XLOOKUP(A549,'[1]Tissue Data'!$A:$A,'[1]Tissue Data'!$D:$D)</f>
        <v>44314</v>
      </c>
      <c r="D549" s="2" t="s">
        <v>131</v>
      </c>
      <c r="E549" t="str">
        <f>_xlfn.XLOOKUP(A549,'[1]Tissue Data'!$A:$A,'[1]Tissue Data'!$H:$H)</f>
        <v>Clinostomus</v>
      </c>
      <c r="F549" t="str">
        <f>_xlfn.XLOOKUP(A549,'[1]Tissue Data'!$A:$A,'[1]Tissue Data'!$I:$I)</f>
        <v>funduloides</v>
      </c>
      <c r="G549" t="str">
        <f>_xlfn.XLOOKUP(A549,'[1]Tissue Data'!$A:$A,'[1]Tissue Data'!J:J)</f>
        <v>U</v>
      </c>
      <c r="H549" t="str">
        <f>_xlfn.XLOOKUP(A549,'[1]Tissue Data'!$A:$A,'[1]Tissue Data'!K:K)</f>
        <v>Whole Body</v>
      </c>
      <c r="I549">
        <f>_xlfn.XLOOKUP(A549,'[1]Tissue Data'!$A:$A,'[1]Tissue Data'!L:L)</f>
        <v>5.25</v>
      </c>
      <c r="J549">
        <f>_xlfn.XLOOKUP(A549,'[1]Tissue Data'!$A:$A,'[1]Tissue Data'!M:M)</f>
        <v>3.6</v>
      </c>
      <c r="K549" t="s">
        <v>59</v>
      </c>
      <c r="L549" t="str">
        <f>_xlfn.XLOOKUP(K549,[2]analyte_order!$B:$B,[2]analyte_order!$C:$C)</f>
        <v>57677-95-9</v>
      </c>
      <c r="M549">
        <f>_xlfn.XLOOKUP(L549,[2]analyte_order!$C:$C,[2]analyte_order!$E:$E)</f>
        <v>46</v>
      </c>
      <c r="N549">
        <v>7.5417205244700747E-2</v>
      </c>
    </row>
    <row r="550" spans="1:14">
      <c r="A550" t="s">
        <v>130</v>
      </c>
      <c r="B550" t="str">
        <f>_xlfn.XLOOKUP(A550,'[1]Tissue Data'!$A:$A,'[1]Tissue Data'!$C:$C)</f>
        <v>Down</v>
      </c>
      <c r="C550" s="2">
        <f>_xlfn.XLOOKUP(A550,'[1]Tissue Data'!$A:$A,'[1]Tissue Data'!$D:$D)</f>
        <v>44314</v>
      </c>
      <c r="D550" s="2" t="s">
        <v>131</v>
      </c>
      <c r="E550" t="str">
        <f>_xlfn.XLOOKUP(A550,'[1]Tissue Data'!$A:$A,'[1]Tissue Data'!$H:$H)</f>
        <v>Clinostomus</v>
      </c>
      <c r="F550" t="str">
        <f>_xlfn.XLOOKUP(A550,'[1]Tissue Data'!$A:$A,'[1]Tissue Data'!$I:$I)</f>
        <v>funduloides</v>
      </c>
      <c r="G550" t="str">
        <f>_xlfn.XLOOKUP(A550,'[1]Tissue Data'!$A:$A,'[1]Tissue Data'!J:J)</f>
        <v>U</v>
      </c>
      <c r="H550" t="str">
        <f>_xlfn.XLOOKUP(A550,'[1]Tissue Data'!$A:$A,'[1]Tissue Data'!K:K)</f>
        <v>Whole Body</v>
      </c>
      <c r="I550">
        <f>_xlfn.XLOOKUP(A550,'[1]Tissue Data'!$A:$A,'[1]Tissue Data'!L:L)</f>
        <v>5.25</v>
      </c>
      <c r="J550">
        <f>_xlfn.XLOOKUP(A550,'[1]Tissue Data'!$A:$A,'[1]Tissue Data'!M:M)</f>
        <v>3.6</v>
      </c>
      <c r="K550" t="s">
        <v>60</v>
      </c>
      <c r="L550" t="str">
        <f>_xlfn.XLOOKUP(K550,[2]analyte_order!$B:$B,[2]analyte_order!$C:$C)</f>
        <v>678-41-1</v>
      </c>
      <c r="M550">
        <f>_xlfn.XLOOKUP(L550,[2]analyte_order!$C:$C,[2]analyte_order!$E:$E)</f>
        <v>56</v>
      </c>
      <c r="N550">
        <v>9.3928106404301742E-2</v>
      </c>
    </row>
    <row r="551" spans="1:14">
      <c r="A551" t="s">
        <v>130</v>
      </c>
      <c r="B551" t="str">
        <f>_xlfn.XLOOKUP(A551,'[1]Tissue Data'!$A:$A,'[1]Tissue Data'!$C:$C)</f>
        <v>Down</v>
      </c>
      <c r="C551" s="2">
        <f>_xlfn.XLOOKUP(A551,'[1]Tissue Data'!$A:$A,'[1]Tissue Data'!$D:$D)</f>
        <v>44314</v>
      </c>
      <c r="D551" s="2" t="s">
        <v>131</v>
      </c>
      <c r="E551" t="str">
        <f>_xlfn.XLOOKUP(A551,'[1]Tissue Data'!$A:$A,'[1]Tissue Data'!$H:$H)</f>
        <v>Clinostomus</v>
      </c>
      <c r="F551" t="str">
        <f>_xlfn.XLOOKUP(A551,'[1]Tissue Data'!$A:$A,'[1]Tissue Data'!$I:$I)</f>
        <v>funduloides</v>
      </c>
      <c r="G551" t="str">
        <f>_xlfn.XLOOKUP(A551,'[1]Tissue Data'!$A:$A,'[1]Tissue Data'!J:J)</f>
        <v>U</v>
      </c>
      <c r="H551" t="str">
        <f>_xlfn.XLOOKUP(A551,'[1]Tissue Data'!$A:$A,'[1]Tissue Data'!K:K)</f>
        <v>Whole Body</v>
      </c>
      <c r="I551">
        <f>_xlfn.XLOOKUP(A551,'[1]Tissue Data'!$A:$A,'[1]Tissue Data'!L:L)</f>
        <v>5.25</v>
      </c>
      <c r="J551">
        <f>_xlfn.XLOOKUP(A551,'[1]Tissue Data'!$A:$A,'[1]Tissue Data'!M:M)</f>
        <v>3.6</v>
      </c>
      <c r="K551" t="s">
        <v>61</v>
      </c>
      <c r="L551" t="str">
        <f>_xlfn.XLOOKUP(K551,[2]analyte_order!$B:$B,[2]analyte_order!$C:$C)</f>
        <v>2965-52-8</v>
      </c>
      <c r="M551">
        <f>_xlfn.XLOOKUP(L551,[2]analyte_order!$C:$C,[2]analyte_order!$E:$E)</f>
        <v>57</v>
      </c>
      <c r="N551">
        <v>0.12468827930174561</v>
      </c>
    </row>
    <row r="552" spans="1:14">
      <c r="A552" t="s">
        <v>134</v>
      </c>
      <c r="B552" t="str">
        <f>_xlfn.XLOOKUP(A552,'[1]Tissue Data'!$A:$A,'[1]Tissue Data'!$C:$C)</f>
        <v>Down</v>
      </c>
      <c r="C552" s="2">
        <f>_xlfn.XLOOKUP(A552,'[1]Tissue Data'!$A:$A,'[1]Tissue Data'!$D:$D)</f>
        <v>44314</v>
      </c>
      <c r="D552" s="2" t="s">
        <v>131</v>
      </c>
      <c r="E552" t="str">
        <f>_xlfn.XLOOKUP(A552,'[1]Tissue Data'!$A:$A,'[1]Tissue Data'!$H:$H)</f>
        <v>Clinostomus</v>
      </c>
      <c r="F552" t="str">
        <f>_xlfn.XLOOKUP(A552,'[1]Tissue Data'!$A:$A,'[1]Tissue Data'!$I:$I)</f>
        <v>funduloides</v>
      </c>
      <c r="G552" t="str">
        <f>_xlfn.XLOOKUP(A552,'[1]Tissue Data'!$A:$A,'[1]Tissue Data'!J:J)</f>
        <v>U</v>
      </c>
      <c r="H552" t="str">
        <f>_xlfn.XLOOKUP(A552,'[1]Tissue Data'!$A:$A,'[1]Tissue Data'!K:K)</f>
        <v>Whole Body</v>
      </c>
      <c r="I552">
        <f>_xlfn.XLOOKUP(A552,'[1]Tissue Data'!$A:$A,'[1]Tissue Data'!L:L)</f>
        <v>7.5</v>
      </c>
      <c r="J552">
        <f>_xlfn.XLOOKUP(A552,'[1]Tissue Data'!$A:$A,'[1]Tissue Data'!M:M)</f>
        <v>5.45</v>
      </c>
      <c r="K552" t="s">
        <v>12</v>
      </c>
      <c r="L552" t="str">
        <f>_xlfn.XLOOKUP(K552,[2]analyte_order!$B:$B,[2]analyte_order!$C:$C)</f>
        <v>375-22-4</v>
      </c>
      <c r="M552">
        <f>_xlfn.XLOOKUP(L552,[2]analyte_order!$C:$C,[2]analyte_order!$E:$E)</f>
        <v>1</v>
      </c>
      <c r="N552">
        <v>2.6970655926352127E-2</v>
      </c>
    </row>
    <row r="553" spans="1:14">
      <c r="A553" t="s">
        <v>134</v>
      </c>
      <c r="B553" t="str">
        <f>_xlfn.XLOOKUP(A553,'[1]Tissue Data'!$A:$A,'[1]Tissue Data'!$C:$C)</f>
        <v>Down</v>
      </c>
      <c r="C553" s="2">
        <f>_xlfn.XLOOKUP(A553,'[1]Tissue Data'!$A:$A,'[1]Tissue Data'!$D:$D)</f>
        <v>44314</v>
      </c>
      <c r="D553" s="2" t="s">
        <v>131</v>
      </c>
      <c r="E553" t="str">
        <f>_xlfn.XLOOKUP(A553,'[1]Tissue Data'!$A:$A,'[1]Tissue Data'!$H:$H)</f>
        <v>Clinostomus</v>
      </c>
      <c r="F553" t="str">
        <f>_xlfn.XLOOKUP(A553,'[1]Tissue Data'!$A:$A,'[1]Tissue Data'!$I:$I)</f>
        <v>funduloides</v>
      </c>
      <c r="G553" t="str">
        <f>_xlfn.XLOOKUP(A553,'[1]Tissue Data'!$A:$A,'[1]Tissue Data'!J:J)</f>
        <v>U</v>
      </c>
      <c r="H553" t="str">
        <f>_xlfn.XLOOKUP(A553,'[1]Tissue Data'!$A:$A,'[1]Tissue Data'!K:K)</f>
        <v>Whole Body</v>
      </c>
      <c r="I553">
        <f>_xlfn.XLOOKUP(A553,'[1]Tissue Data'!$A:$A,'[1]Tissue Data'!L:L)</f>
        <v>7.5</v>
      </c>
      <c r="J553">
        <f>_xlfn.XLOOKUP(A553,'[1]Tissue Data'!$A:$A,'[1]Tissue Data'!M:M)</f>
        <v>5.45</v>
      </c>
      <c r="K553" t="s">
        <v>13</v>
      </c>
      <c r="L553" t="str">
        <f>_xlfn.XLOOKUP(K553,[2]analyte_order!$B:$B,[2]analyte_order!$C:$C)</f>
        <v>2706-90-3</v>
      </c>
      <c r="M553">
        <f>_xlfn.XLOOKUP(L553,[2]analyte_order!$C:$C,[2]analyte_order!$E:$E)</f>
        <v>2</v>
      </c>
      <c r="N553">
        <v>4.7639705309038764E-2</v>
      </c>
    </row>
    <row r="554" spans="1:14">
      <c r="A554" t="s">
        <v>134</v>
      </c>
      <c r="B554" t="str">
        <f>_xlfn.XLOOKUP(A554,'[1]Tissue Data'!$A:$A,'[1]Tissue Data'!$C:$C)</f>
        <v>Down</v>
      </c>
      <c r="C554" s="2">
        <f>_xlfn.XLOOKUP(A554,'[1]Tissue Data'!$A:$A,'[1]Tissue Data'!$D:$D)</f>
        <v>44314</v>
      </c>
      <c r="D554" s="2" t="s">
        <v>131</v>
      </c>
      <c r="E554" t="str">
        <f>_xlfn.XLOOKUP(A554,'[1]Tissue Data'!$A:$A,'[1]Tissue Data'!$H:$H)</f>
        <v>Clinostomus</v>
      </c>
      <c r="F554" t="str">
        <f>_xlfn.XLOOKUP(A554,'[1]Tissue Data'!$A:$A,'[1]Tissue Data'!$I:$I)</f>
        <v>funduloides</v>
      </c>
      <c r="G554" t="str">
        <f>_xlfn.XLOOKUP(A554,'[1]Tissue Data'!$A:$A,'[1]Tissue Data'!J:J)</f>
        <v>U</v>
      </c>
      <c r="H554" t="str">
        <f>_xlfn.XLOOKUP(A554,'[1]Tissue Data'!$A:$A,'[1]Tissue Data'!K:K)</f>
        <v>Whole Body</v>
      </c>
      <c r="I554">
        <f>_xlfn.XLOOKUP(A554,'[1]Tissue Data'!$A:$A,'[1]Tissue Data'!L:L)</f>
        <v>7.5</v>
      </c>
      <c r="J554">
        <f>_xlfn.XLOOKUP(A554,'[1]Tissue Data'!$A:$A,'[1]Tissue Data'!M:M)</f>
        <v>5.45</v>
      </c>
      <c r="K554" t="s">
        <v>14</v>
      </c>
      <c r="L554" t="str">
        <f>_xlfn.XLOOKUP(K554,[2]analyte_order!$B:$B,[2]analyte_order!$C:$C)</f>
        <v>307-24-4</v>
      </c>
      <c r="M554">
        <f>_xlfn.XLOOKUP(L554,[2]analyte_order!$C:$C,[2]analyte_order!$E:$E)</f>
        <v>3</v>
      </c>
      <c r="N554">
        <v>3.638956822057951E-2</v>
      </c>
    </row>
    <row r="555" spans="1:14">
      <c r="A555" t="s">
        <v>134</v>
      </c>
      <c r="B555" t="str">
        <f>_xlfn.XLOOKUP(A555,'[1]Tissue Data'!$A:$A,'[1]Tissue Data'!$C:$C)</f>
        <v>Down</v>
      </c>
      <c r="C555" s="2">
        <f>_xlfn.XLOOKUP(A555,'[1]Tissue Data'!$A:$A,'[1]Tissue Data'!$D:$D)</f>
        <v>44314</v>
      </c>
      <c r="D555" s="2" t="s">
        <v>131</v>
      </c>
      <c r="E555" t="str">
        <f>_xlfn.XLOOKUP(A555,'[1]Tissue Data'!$A:$A,'[1]Tissue Data'!$H:$H)</f>
        <v>Clinostomus</v>
      </c>
      <c r="F555" t="str">
        <f>_xlfn.XLOOKUP(A555,'[1]Tissue Data'!$A:$A,'[1]Tissue Data'!$I:$I)</f>
        <v>funduloides</v>
      </c>
      <c r="G555" t="str">
        <f>_xlfn.XLOOKUP(A555,'[1]Tissue Data'!$A:$A,'[1]Tissue Data'!J:J)</f>
        <v>U</v>
      </c>
      <c r="H555" t="str">
        <f>_xlfn.XLOOKUP(A555,'[1]Tissue Data'!$A:$A,'[1]Tissue Data'!K:K)</f>
        <v>Whole Body</v>
      </c>
      <c r="I555">
        <f>_xlfn.XLOOKUP(A555,'[1]Tissue Data'!$A:$A,'[1]Tissue Data'!L:L)</f>
        <v>7.5</v>
      </c>
      <c r="J555">
        <f>_xlfn.XLOOKUP(A555,'[1]Tissue Data'!$A:$A,'[1]Tissue Data'!M:M)</f>
        <v>5.45</v>
      </c>
      <c r="K555" t="s">
        <v>15</v>
      </c>
      <c r="L555" t="str">
        <f>_xlfn.XLOOKUP(K555,[2]analyte_order!$B:$B,[2]analyte_order!$C:$C)</f>
        <v>375-85-9</v>
      </c>
      <c r="M555">
        <f>_xlfn.XLOOKUP(L555,[2]analyte_order!$C:$C,[2]analyte_order!$E:$E)</f>
        <v>4</v>
      </c>
      <c r="N555">
        <v>2.6970655926352127E-2</v>
      </c>
    </row>
    <row r="556" spans="1:14">
      <c r="A556" t="s">
        <v>134</v>
      </c>
      <c r="B556" t="str">
        <f>_xlfn.XLOOKUP(A556,'[1]Tissue Data'!$A:$A,'[1]Tissue Data'!$C:$C)</f>
        <v>Down</v>
      </c>
      <c r="C556" s="2">
        <f>_xlfn.XLOOKUP(A556,'[1]Tissue Data'!$A:$A,'[1]Tissue Data'!$D:$D)</f>
        <v>44314</v>
      </c>
      <c r="D556" s="2" t="s">
        <v>131</v>
      </c>
      <c r="E556" t="str">
        <f>_xlfn.XLOOKUP(A556,'[1]Tissue Data'!$A:$A,'[1]Tissue Data'!$H:$H)</f>
        <v>Clinostomus</v>
      </c>
      <c r="F556" t="str">
        <f>_xlfn.XLOOKUP(A556,'[1]Tissue Data'!$A:$A,'[1]Tissue Data'!$I:$I)</f>
        <v>funduloides</v>
      </c>
      <c r="G556" t="str">
        <f>_xlfn.XLOOKUP(A556,'[1]Tissue Data'!$A:$A,'[1]Tissue Data'!J:J)</f>
        <v>U</v>
      </c>
      <c r="H556" t="str">
        <f>_xlfn.XLOOKUP(A556,'[1]Tissue Data'!$A:$A,'[1]Tissue Data'!K:K)</f>
        <v>Whole Body</v>
      </c>
      <c r="I556">
        <f>_xlfn.XLOOKUP(A556,'[1]Tissue Data'!$A:$A,'[1]Tissue Data'!L:L)</f>
        <v>7.5</v>
      </c>
      <c r="J556">
        <f>_xlfn.XLOOKUP(A556,'[1]Tissue Data'!$A:$A,'[1]Tissue Data'!M:M)</f>
        <v>5.45</v>
      </c>
      <c r="K556" t="s">
        <v>16</v>
      </c>
      <c r="L556" t="str">
        <f>_xlfn.XLOOKUP(K556,[2]analyte_order!$B:$B,[2]analyte_order!$C:$C)</f>
        <v>335-67-1</v>
      </c>
      <c r="M556">
        <f>_xlfn.XLOOKUP(L556,[2]analyte_order!$C:$C,[2]analyte_order!$E:$E)</f>
        <v>5</v>
      </c>
      <c r="N556">
        <v>0.95899999999999996</v>
      </c>
    </row>
    <row r="557" spans="1:14">
      <c r="A557" t="s">
        <v>134</v>
      </c>
      <c r="B557" t="str">
        <f>_xlfn.XLOOKUP(A557,'[1]Tissue Data'!$A:$A,'[1]Tissue Data'!$C:$C)</f>
        <v>Down</v>
      </c>
      <c r="C557" s="2">
        <f>_xlfn.XLOOKUP(A557,'[1]Tissue Data'!$A:$A,'[1]Tissue Data'!$D:$D)</f>
        <v>44314</v>
      </c>
      <c r="D557" s="2" t="s">
        <v>131</v>
      </c>
      <c r="E557" t="str">
        <f>_xlfn.XLOOKUP(A557,'[1]Tissue Data'!$A:$A,'[1]Tissue Data'!$H:$H)</f>
        <v>Clinostomus</v>
      </c>
      <c r="F557" t="str">
        <f>_xlfn.XLOOKUP(A557,'[1]Tissue Data'!$A:$A,'[1]Tissue Data'!$I:$I)</f>
        <v>funduloides</v>
      </c>
      <c r="G557" t="str">
        <f>_xlfn.XLOOKUP(A557,'[1]Tissue Data'!$A:$A,'[1]Tissue Data'!J:J)</f>
        <v>U</v>
      </c>
      <c r="H557" t="str">
        <f>_xlfn.XLOOKUP(A557,'[1]Tissue Data'!$A:$A,'[1]Tissue Data'!K:K)</f>
        <v>Whole Body</v>
      </c>
      <c r="I557">
        <f>_xlfn.XLOOKUP(A557,'[1]Tissue Data'!$A:$A,'[1]Tissue Data'!L:L)</f>
        <v>7.5</v>
      </c>
      <c r="J557">
        <f>_xlfn.XLOOKUP(A557,'[1]Tissue Data'!$A:$A,'[1]Tissue Data'!M:M)</f>
        <v>5.45</v>
      </c>
      <c r="K557" t="s">
        <v>17</v>
      </c>
      <c r="L557" t="str">
        <f>_xlfn.XLOOKUP(K557,[2]analyte_order!$B:$B,[2]analyte_order!$C:$C)</f>
        <v>375-95-1</v>
      </c>
      <c r="M557">
        <f>_xlfn.XLOOKUP(L557,[2]analyte_order!$C:$C,[2]analyte_order!$E:$E)</f>
        <v>6</v>
      </c>
      <c r="N557">
        <v>2.82</v>
      </c>
    </row>
    <row r="558" spans="1:14">
      <c r="A558" t="s">
        <v>134</v>
      </c>
      <c r="B558" t="str">
        <f>_xlfn.XLOOKUP(A558,'[1]Tissue Data'!$A:$A,'[1]Tissue Data'!$C:$C)</f>
        <v>Down</v>
      </c>
      <c r="C558" s="2">
        <f>_xlfn.XLOOKUP(A558,'[1]Tissue Data'!$A:$A,'[1]Tissue Data'!$D:$D)</f>
        <v>44314</v>
      </c>
      <c r="D558" s="2" t="s">
        <v>131</v>
      </c>
      <c r="E558" t="str">
        <f>_xlfn.XLOOKUP(A558,'[1]Tissue Data'!$A:$A,'[1]Tissue Data'!$H:$H)</f>
        <v>Clinostomus</v>
      </c>
      <c r="F558" t="str">
        <f>_xlfn.XLOOKUP(A558,'[1]Tissue Data'!$A:$A,'[1]Tissue Data'!$I:$I)</f>
        <v>funduloides</v>
      </c>
      <c r="G558" t="str">
        <f>_xlfn.XLOOKUP(A558,'[1]Tissue Data'!$A:$A,'[1]Tissue Data'!J:J)</f>
        <v>U</v>
      </c>
      <c r="H558" t="str">
        <f>_xlfn.XLOOKUP(A558,'[1]Tissue Data'!$A:$A,'[1]Tissue Data'!K:K)</f>
        <v>Whole Body</v>
      </c>
      <c r="I558">
        <f>_xlfn.XLOOKUP(A558,'[1]Tissue Data'!$A:$A,'[1]Tissue Data'!L:L)</f>
        <v>7.5</v>
      </c>
      <c r="J558">
        <f>_xlfn.XLOOKUP(A558,'[1]Tissue Data'!$A:$A,'[1]Tissue Data'!M:M)</f>
        <v>5.45</v>
      </c>
      <c r="K558" t="s">
        <v>18</v>
      </c>
      <c r="L558" t="str">
        <f>_xlfn.XLOOKUP(K558,[2]analyte_order!$B:$B,[2]analyte_order!$C:$C)</f>
        <v>335-76-2</v>
      </c>
      <c r="M558">
        <f>_xlfn.XLOOKUP(L558,[2]analyte_order!$C:$C,[2]analyte_order!$E:$E)</f>
        <v>7</v>
      </c>
      <c r="N558">
        <v>6.63</v>
      </c>
    </row>
    <row r="559" spans="1:14">
      <c r="A559" t="s">
        <v>134</v>
      </c>
      <c r="B559" t="str">
        <f>_xlfn.XLOOKUP(A559,'[1]Tissue Data'!$A:$A,'[1]Tissue Data'!$C:$C)</f>
        <v>Down</v>
      </c>
      <c r="C559" s="2">
        <f>_xlfn.XLOOKUP(A559,'[1]Tissue Data'!$A:$A,'[1]Tissue Data'!$D:$D)</f>
        <v>44314</v>
      </c>
      <c r="D559" s="2" t="s">
        <v>131</v>
      </c>
      <c r="E559" t="str">
        <f>_xlfn.XLOOKUP(A559,'[1]Tissue Data'!$A:$A,'[1]Tissue Data'!$H:$H)</f>
        <v>Clinostomus</v>
      </c>
      <c r="F559" t="str">
        <f>_xlfn.XLOOKUP(A559,'[1]Tissue Data'!$A:$A,'[1]Tissue Data'!$I:$I)</f>
        <v>funduloides</v>
      </c>
      <c r="G559" t="str">
        <f>_xlfn.XLOOKUP(A559,'[1]Tissue Data'!$A:$A,'[1]Tissue Data'!J:J)</f>
        <v>U</v>
      </c>
      <c r="H559" t="str">
        <f>_xlfn.XLOOKUP(A559,'[1]Tissue Data'!$A:$A,'[1]Tissue Data'!K:K)</f>
        <v>Whole Body</v>
      </c>
      <c r="I559">
        <f>_xlfn.XLOOKUP(A559,'[1]Tissue Data'!$A:$A,'[1]Tissue Data'!L:L)</f>
        <v>7.5</v>
      </c>
      <c r="J559">
        <f>_xlfn.XLOOKUP(A559,'[1]Tissue Data'!$A:$A,'[1]Tissue Data'!M:M)</f>
        <v>5.45</v>
      </c>
      <c r="K559" t="s">
        <v>19</v>
      </c>
      <c r="L559" t="str">
        <f>_xlfn.XLOOKUP(K559,[2]analyte_order!$B:$B,[2]analyte_order!$C:$C)</f>
        <v>2058-94-8</v>
      </c>
      <c r="M559">
        <f>_xlfn.XLOOKUP(L559,[2]analyte_order!$C:$C,[2]analyte_order!$E:$E)</f>
        <v>8</v>
      </c>
      <c r="N559">
        <v>17.8</v>
      </c>
    </row>
    <row r="560" spans="1:14">
      <c r="A560" t="s">
        <v>134</v>
      </c>
      <c r="B560" t="str">
        <f>_xlfn.XLOOKUP(A560,'[1]Tissue Data'!$A:$A,'[1]Tissue Data'!$C:$C)</f>
        <v>Down</v>
      </c>
      <c r="C560" s="2">
        <f>_xlfn.XLOOKUP(A560,'[1]Tissue Data'!$A:$A,'[1]Tissue Data'!$D:$D)</f>
        <v>44314</v>
      </c>
      <c r="D560" s="2" t="s">
        <v>131</v>
      </c>
      <c r="E560" t="str">
        <f>_xlfn.XLOOKUP(A560,'[1]Tissue Data'!$A:$A,'[1]Tissue Data'!$H:$H)</f>
        <v>Clinostomus</v>
      </c>
      <c r="F560" t="str">
        <f>_xlfn.XLOOKUP(A560,'[1]Tissue Data'!$A:$A,'[1]Tissue Data'!$I:$I)</f>
        <v>funduloides</v>
      </c>
      <c r="G560" t="str">
        <f>_xlfn.XLOOKUP(A560,'[1]Tissue Data'!$A:$A,'[1]Tissue Data'!J:J)</f>
        <v>U</v>
      </c>
      <c r="H560" t="str">
        <f>_xlfn.XLOOKUP(A560,'[1]Tissue Data'!$A:$A,'[1]Tissue Data'!K:K)</f>
        <v>Whole Body</v>
      </c>
      <c r="I560">
        <f>_xlfn.XLOOKUP(A560,'[1]Tissue Data'!$A:$A,'[1]Tissue Data'!L:L)</f>
        <v>7.5</v>
      </c>
      <c r="J560">
        <f>_xlfn.XLOOKUP(A560,'[1]Tissue Data'!$A:$A,'[1]Tissue Data'!M:M)</f>
        <v>5.45</v>
      </c>
      <c r="K560" t="s">
        <v>20</v>
      </c>
      <c r="L560" t="str">
        <f>_xlfn.XLOOKUP(K560,[2]analyte_order!$B:$B,[2]analyte_order!$C:$C)</f>
        <v>307-55-1</v>
      </c>
      <c r="M560">
        <f>_xlfn.XLOOKUP(L560,[2]analyte_order!$C:$C,[2]analyte_order!$E:$E)</f>
        <v>9</v>
      </c>
      <c r="N560">
        <v>0.18139031739786954</v>
      </c>
    </row>
    <row r="561" spans="1:14">
      <c r="A561" t="s">
        <v>134</v>
      </c>
      <c r="B561" t="str">
        <f>_xlfn.XLOOKUP(A561,'[1]Tissue Data'!$A:$A,'[1]Tissue Data'!$C:$C)</f>
        <v>Down</v>
      </c>
      <c r="C561" s="2">
        <f>_xlfn.XLOOKUP(A561,'[1]Tissue Data'!$A:$A,'[1]Tissue Data'!$D:$D)</f>
        <v>44314</v>
      </c>
      <c r="D561" s="2" t="s">
        <v>131</v>
      </c>
      <c r="E561" t="str">
        <f>_xlfn.XLOOKUP(A561,'[1]Tissue Data'!$A:$A,'[1]Tissue Data'!$H:$H)</f>
        <v>Clinostomus</v>
      </c>
      <c r="F561" t="str">
        <f>_xlfn.XLOOKUP(A561,'[1]Tissue Data'!$A:$A,'[1]Tissue Data'!$I:$I)</f>
        <v>funduloides</v>
      </c>
      <c r="G561" t="str">
        <f>_xlfn.XLOOKUP(A561,'[1]Tissue Data'!$A:$A,'[1]Tissue Data'!J:J)</f>
        <v>U</v>
      </c>
      <c r="H561" t="str">
        <f>_xlfn.XLOOKUP(A561,'[1]Tissue Data'!$A:$A,'[1]Tissue Data'!K:K)</f>
        <v>Whole Body</v>
      </c>
      <c r="I561">
        <f>_xlfn.XLOOKUP(A561,'[1]Tissue Data'!$A:$A,'[1]Tissue Data'!L:L)</f>
        <v>7.5</v>
      </c>
      <c r="J561">
        <f>_xlfn.XLOOKUP(A561,'[1]Tissue Data'!$A:$A,'[1]Tissue Data'!M:M)</f>
        <v>5.45</v>
      </c>
      <c r="K561" t="s">
        <v>21</v>
      </c>
      <c r="L561" t="str">
        <f>_xlfn.XLOOKUP(K561,[2]analyte_order!$B:$B,[2]analyte_order!$C:$C)</f>
        <v>72629-94-8</v>
      </c>
      <c r="M561">
        <f>_xlfn.XLOOKUP(L561,[2]analyte_order!$C:$C,[2]analyte_order!$E:$E)</f>
        <v>10</v>
      </c>
      <c r="N561">
        <v>3.22</v>
      </c>
    </row>
    <row r="562" spans="1:14">
      <c r="A562" t="s">
        <v>134</v>
      </c>
      <c r="B562" t="str">
        <f>_xlfn.XLOOKUP(A562,'[1]Tissue Data'!$A:$A,'[1]Tissue Data'!$C:$C)</f>
        <v>Down</v>
      </c>
      <c r="C562" s="2">
        <f>_xlfn.XLOOKUP(A562,'[1]Tissue Data'!$A:$A,'[1]Tissue Data'!$D:$D)</f>
        <v>44314</v>
      </c>
      <c r="D562" s="2" t="s">
        <v>131</v>
      </c>
      <c r="E562" t="str">
        <f>_xlfn.XLOOKUP(A562,'[1]Tissue Data'!$A:$A,'[1]Tissue Data'!$H:$H)</f>
        <v>Clinostomus</v>
      </c>
      <c r="F562" t="str">
        <f>_xlfn.XLOOKUP(A562,'[1]Tissue Data'!$A:$A,'[1]Tissue Data'!$I:$I)</f>
        <v>funduloides</v>
      </c>
      <c r="G562" t="str">
        <f>_xlfn.XLOOKUP(A562,'[1]Tissue Data'!$A:$A,'[1]Tissue Data'!J:J)</f>
        <v>U</v>
      </c>
      <c r="H562" t="str">
        <f>_xlfn.XLOOKUP(A562,'[1]Tissue Data'!$A:$A,'[1]Tissue Data'!K:K)</f>
        <v>Whole Body</v>
      </c>
      <c r="I562">
        <f>_xlfn.XLOOKUP(A562,'[1]Tissue Data'!$A:$A,'[1]Tissue Data'!L:L)</f>
        <v>7.5</v>
      </c>
      <c r="J562">
        <f>_xlfn.XLOOKUP(A562,'[1]Tissue Data'!$A:$A,'[1]Tissue Data'!M:M)</f>
        <v>5.45</v>
      </c>
      <c r="K562" t="s">
        <v>22</v>
      </c>
      <c r="L562" t="str">
        <f>_xlfn.XLOOKUP(K562,[2]analyte_order!$B:$B,[2]analyte_order!$C:$C)</f>
        <v>376-06-7</v>
      </c>
      <c r="M562">
        <f>_xlfn.XLOOKUP(L562,[2]analyte_order!$C:$C,[2]analyte_order!$E:$E)</f>
        <v>11</v>
      </c>
      <c r="N562">
        <v>7.99</v>
      </c>
    </row>
    <row r="563" spans="1:14">
      <c r="A563" t="s">
        <v>134</v>
      </c>
      <c r="B563" t="str">
        <f>_xlfn.XLOOKUP(A563,'[1]Tissue Data'!$A:$A,'[1]Tissue Data'!$C:$C)</f>
        <v>Down</v>
      </c>
      <c r="C563" s="2">
        <f>_xlfn.XLOOKUP(A563,'[1]Tissue Data'!$A:$A,'[1]Tissue Data'!$D:$D)</f>
        <v>44314</v>
      </c>
      <c r="D563" s="2" t="s">
        <v>131</v>
      </c>
      <c r="E563" t="str">
        <f>_xlfn.XLOOKUP(A563,'[1]Tissue Data'!$A:$A,'[1]Tissue Data'!$H:$H)</f>
        <v>Clinostomus</v>
      </c>
      <c r="F563" t="str">
        <f>_xlfn.XLOOKUP(A563,'[1]Tissue Data'!$A:$A,'[1]Tissue Data'!$I:$I)</f>
        <v>funduloides</v>
      </c>
      <c r="G563" t="str">
        <f>_xlfn.XLOOKUP(A563,'[1]Tissue Data'!$A:$A,'[1]Tissue Data'!J:J)</f>
        <v>U</v>
      </c>
      <c r="H563" t="str">
        <f>_xlfn.XLOOKUP(A563,'[1]Tissue Data'!$A:$A,'[1]Tissue Data'!K:K)</f>
        <v>Whole Body</v>
      </c>
      <c r="I563">
        <f>_xlfn.XLOOKUP(A563,'[1]Tissue Data'!$A:$A,'[1]Tissue Data'!L:L)</f>
        <v>7.5</v>
      </c>
      <c r="J563">
        <f>_xlfn.XLOOKUP(A563,'[1]Tissue Data'!$A:$A,'[1]Tissue Data'!M:M)</f>
        <v>5.45</v>
      </c>
      <c r="K563" t="s">
        <v>23</v>
      </c>
      <c r="L563" t="str">
        <f>_xlfn.XLOOKUP(K563,[2]analyte_order!$B:$B,[2]analyte_order!$C:$C)</f>
        <v>67905-19-5</v>
      </c>
      <c r="M563">
        <f>_xlfn.XLOOKUP(L563,[2]analyte_order!$C:$C,[2]analyte_order!$E:$E)</f>
        <v>12</v>
      </c>
      <c r="N563">
        <v>8.0359078875593348E-2</v>
      </c>
    </row>
    <row r="564" spans="1:14">
      <c r="A564" t="s">
        <v>134</v>
      </c>
      <c r="B564" t="str">
        <f>_xlfn.XLOOKUP(A564,'[1]Tissue Data'!$A:$A,'[1]Tissue Data'!$C:$C)</f>
        <v>Down</v>
      </c>
      <c r="C564" s="2">
        <f>_xlfn.XLOOKUP(A564,'[1]Tissue Data'!$A:$A,'[1]Tissue Data'!$D:$D)</f>
        <v>44314</v>
      </c>
      <c r="D564" s="2" t="s">
        <v>131</v>
      </c>
      <c r="E564" t="str">
        <f>_xlfn.XLOOKUP(A564,'[1]Tissue Data'!$A:$A,'[1]Tissue Data'!$H:$H)</f>
        <v>Clinostomus</v>
      </c>
      <c r="F564" t="str">
        <f>_xlfn.XLOOKUP(A564,'[1]Tissue Data'!$A:$A,'[1]Tissue Data'!$I:$I)</f>
        <v>funduloides</v>
      </c>
      <c r="G564" t="str">
        <f>_xlfn.XLOOKUP(A564,'[1]Tissue Data'!$A:$A,'[1]Tissue Data'!J:J)</f>
        <v>U</v>
      </c>
      <c r="H564" t="str">
        <f>_xlfn.XLOOKUP(A564,'[1]Tissue Data'!$A:$A,'[1]Tissue Data'!K:K)</f>
        <v>Whole Body</v>
      </c>
      <c r="I564">
        <f>_xlfn.XLOOKUP(A564,'[1]Tissue Data'!$A:$A,'[1]Tissue Data'!L:L)</f>
        <v>7.5</v>
      </c>
      <c r="J564">
        <f>_xlfn.XLOOKUP(A564,'[1]Tissue Data'!$A:$A,'[1]Tissue Data'!M:M)</f>
        <v>5.45</v>
      </c>
      <c r="K564" t="s">
        <v>24</v>
      </c>
      <c r="L564" t="str">
        <f>_xlfn.XLOOKUP(K564,[2]analyte_order!$B:$B,[2]analyte_order!$C:$C)</f>
        <v>423-41-6</v>
      </c>
      <c r="M564">
        <f>_xlfn.XLOOKUP(L564,[2]analyte_order!$C:$C,[2]analyte_order!$E:$E)</f>
        <v>53</v>
      </c>
      <c r="N564">
        <v>5.1443373110660592E-2</v>
      </c>
    </row>
    <row r="565" spans="1:14">
      <c r="A565" t="s">
        <v>134</v>
      </c>
      <c r="B565" t="str">
        <f>_xlfn.XLOOKUP(A565,'[1]Tissue Data'!$A:$A,'[1]Tissue Data'!$C:$C)</f>
        <v>Down</v>
      </c>
      <c r="C565" s="2">
        <f>_xlfn.XLOOKUP(A565,'[1]Tissue Data'!$A:$A,'[1]Tissue Data'!$D:$D)</f>
        <v>44314</v>
      </c>
      <c r="D565" s="2" t="s">
        <v>131</v>
      </c>
      <c r="E565" t="str">
        <f>_xlfn.XLOOKUP(A565,'[1]Tissue Data'!$A:$A,'[1]Tissue Data'!$H:$H)</f>
        <v>Clinostomus</v>
      </c>
      <c r="F565" t="str">
        <f>_xlfn.XLOOKUP(A565,'[1]Tissue Data'!$A:$A,'[1]Tissue Data'!$I:$I)</f>
        <v>funduloides</v>
      </c>
      <c r="G565" t="str">
        <f>_xlfn.XLOOKUP(A565,'[1]Tissue Data'!$A:$A,'[1]Tissue Data'!J:J)</f>
        <v>U</v>
      </c>
      <c r="H565" t="str">
        <f>_xlfn.XLOOKUP(A565,'[1]Tissue Data'!$A:$A,'[1]Tissue Data'!K:K)</f>
        <v>Whole Body</v>
      </c>
      <c r="I565">
        <f>_xlfn.XLOOKUP(A565,'[1]Tissue Data'!$A:$A,'[1]Tissue Data'!L:L)</f>
        <v>7.5</v>
      </c>
      <c r="J565">
        <f>_xlfn.XLOOKUP(A565,'[1]Tissue Data'!$A:$A,'[1]Tissue Data'!M:M)</f>
        <v>5.45</v>
      </c>
      <c r="K565" t="s">
        <v>25</v>
      </c>
      <c r="L565" t="str">
        <f>_xlfn.XLOOKUP(K565,[2]analyte_order!$B:$B,[2]analyte_order!$C:$C)</f>
        <v>375-73-5</v>
      </c>
      <c r="M565">
        <f>_xlfn.XLOOKUP(L565,[2]analyte_order!$C:$C,[2]analyte_order!$E:$E)</f>
        <v>14</v>
      </c>
      <c r="N565">
        <v>4.5891199433840971E-2</v>
      </c>
    </row>
    <row r="566" spans="1:14">
      <c r="A566" t="s">
        <v>134</v>
      </c>
      <c r="B566" t="str">
        <f>_xlfn.XLOOKUP(A566,'[1]Tissue Data'!$A:$A,'[1]Tissue Data'!$C:$C)</f>
        <v>Down</v>
      </c>
      <c r="C566" s="2">
        <f>_xlfn.XLOOKUP(A566,'[1]Tissue Data'!$A:$A,'[1]Tissue Data'!$D:$D)</f>
        <v>44314</v>
      </c>
      <c r="D566" s="2" t="s">
        <v>131</v>
      </c>
      <c r="E566" t="str">
        <f>_xlfn.XLOOKUP(A566,'[1]Tissue Data'!$A:$A,'[1]Tissue Data'!$H:$H)</f>
        <v>Clinostomus</v>
      </c>
      <c r="F566" t="str">
        <f>_xlfn.XLOOKUP(A566,'[1]Tissue Data'!$A:$A,'[1]Tissue Data'!$I:$I)</f>
        <v>funduloides</v>
      </c>
      <c r="G566" t="str">
        <f>_xlfn.XLOOKUP(A566,'[1]Tissue Data'!$A:$A,'[1]Tissue Data'!J:J)</f>
        <v>U</v>
      </c>
      <c r="H566" t="str">
        <f>_xlfn.XLOOKUP(A566,'[1]Tissue Data'!$A:$A,'[1]Tissue Data'!K:K)</f>
        <v>Whole Body</v>
      </c>
      <c r="I566">
        <f>_xlfn.XLOOKUP(A566,'[1]Tissue Data'!$A:$A,'[1]Tissue Data'!L:L)</f>
        <v>7.5</v>
      </c>
      <c r="J566">
        <f>_xlfn.XLOOKUP(A566,'[1]Tissue Data'!$A:$A,'[1]Tissue Data'!M:M)</f>
        <v>5.45</v>
      </c>
      <c r="K566" t="s">
        <v>26</v>
      </c>
      <c r="L566" t="str">
        <f>_xlfn.XLOOKUP(K566,[2]analyte_order!$B:$B,[2]analyte_order!$C:$C)</f>
        <v>2706-91-4</v>
      </c>
      <c r="M566">
        <f>_xlfn.XLOOKUP(L566,[2]analyte_order!$C:$C,[2]analyte_order!$E:$E)</f>
        <v>15</v>
      </c>
      <c r="N566">
        <v>0.53900000000000003</v>
      </c>
    </row>
    <row r="567" spans="1:14">
      <c r="A567" t="s">
        <v>134</v>
      </c>
      <c r="B567" t="str">
        <f>_xlfn.XLOOKUP(A567,'[1]Tissue Data'!$A:$A,'[1]Tissue Data'!$C:$C)</f>
        <v>Down</v>
      </c>
      <c r="C567" s="2">
        <f>_xlfn.XLOOKUP(A567,'[1]Tissue Data'!$A:$A,'[1]Tissue Data'!$D:$D)</f>
        <v>44314</v>
      </c>
      <c r="D567" s="2" t="s">
        <v>131</v>
      </c>
      <c r="E567" t="str">
        <f>_xlfn.XLOOKUP(A567,'[1]Tissue Data'!$A:$A,'[1]Tissue Data'!$H:$H)</f>
        <v>Clinostomus</v>
      </c>
      <c r="F567" t="str">
        <f>_xlfn.XLOOKUP(A567,'[1]Tissue Data'!$A:$A,'[1]Tissue Data'!$I:$I)</f>
        <v>funduloides</v>
      </c>
      <c r="G567" t="str">
        <f>_xlfn.XLOOKUP(A567,'[1]Tissue Data'!$A:$A,'[1]Tissue Data'!J:J)</f>
        <v>U</v>
      </c>
      <c r="H567" t="str">
        <f>_xlfn.XLOOKUP(A567,'[1]Tissue Data'!$A:$A,'[1]Tissue Data'!K:K)</f>
        <v>Whole Body</v>
      </c>
      <c r="I567">
        <f>_xlfn.XLOOKUP(A567,'[1]Tissue Data'!$A:$A,'[1]Tissue Data'!L:L)</f>
        <v>7.5</v>
      </c>
      <c r="J567">
        <f>_xlfn.XLOOKUP(A567,'[1]Tissue Data'!$A:$A,'[1]Tissue Data'!M:M)</f>
        <v>5.45</v>
      </c>
      <c r="K567" t="s">
        <v>27</v>
      </c>
      <c r="L567" t="str">
        <f>_xlfn.XLOOKUP(K567,[2]analyte_order!$B:$B,[2]analyte_order!$C:$C)</f>
        <v>355-46-4</v>
      </c>
      <c r="M567">
        <f>_xlfn.XLOOKUP(L567,[2]analyte_order!$C:$C,[2]analyte_order!$E:$E)</f>
        <v>16</v>
      </c>
      <c r="N567">
        <v>45</v>
      </c>
    </row>
    <row r="568" spans="1:14">
      <c r="A568" t="s">
        <v>134</v>
      </c>
      <c r="B568" t="str">
        <f>_xlfn.XLOOKUP(A568,'[1]Tissue Data'!$A:$A,'[1]Tissue Data'!$C:$C)</f>
        <v>Down</v>
      </c>
      <c r="C568" s="2">
        <f>_xlfn.XLOOKUP(A568,'[1]Tissue Data'!$A:$A,'[1]Tissue Data'!$D:$D)</f>
        <v>44314</v>
      </c>
      <c r="D568" s="2" t="s">
        <v>131</v>
      </c>
      <c r="E568" t="str">
        <f>_xlfn.XLOOKUP(A568,'[1]Tissue Data'!$A:$A,'[1]Tissue Data'!$H:$H)</f>
        <v>Clinostomus</v>
      </c>
      <c r="F568" t="str">
        <f>_xlfn.XLOOKUP(A568,'[1]Tissue Data'!$A:$A,'[1]Tissue Data'!$I:$I)</f>
        <v>funduloides</v>
      </c>
      <c r="G568" t="str">
        <f>_xlfn.XLOOKUP(A568,'[1]Tissue Data'!$A:$A,'[1]Tissue Data'!J:J)</f>
        <v>U</v>
      </c>
      <c r="H568" t="str">
        <f>_xlfn.XLOOKUP(A568,'[1]Tissue Data'!$A:$A,'[1]Tissue Data'!K:K)</f>
        <v>Whole Body</v>
      </c>
      <c r="I568">
        <f>_xlfn.XLOOKUP(A568,'[1]Tissue Data'!$A:$A,'[1]Tissue Data'!L:L)</f>
        <v>7.5</v>
      </c>
      <c r="J568">
        <f>_xlfn.XLOOKUP(A568,'[1]Tissue Data'!$A:$A,'[1]Tissue Data'!M:M)</f>
        <v>5.45</v>
      </c>
      <c r="K568" t="s">
        <v>28</v>
      </c>
      <c r="L568" t="str">
        <f>_xlfn.XLOOKUP(K568,[2]analyte_order!$B:$B,[2]analyte_order!$C:$C)</f>
        <v>375-92-8</v>
      </c>
      <c r="M568">
        <f>_xlfn.XLOOKUP(L568,[2]analyte_order!$C:$C,[2]analyte_order!$E:$E)</f>
        <v>17</v>
      </c>
      <c r="N568">
        <v>11.9</v>
      </c>
    </row>
    <row r="569" spans="1:14">
      <c r="A569" t="s">
        <v>134</v>
      </c>
      <c r="B569" t="str">
        <f>_xlfn.XLOOKUP(A569,'[1]Tissue Data'!$A:$A,'[1]Tissue Data'!$C:$C)</f>
        <v>Down</v>
      </c>
      <c r="C569" s="2">
        <f>_xlfn.XLOOKUP(A569,'[1]Tissue Data'!$A:$A,'[1]Tissue Data'!$D:$D)</f>
        <v>44314</v>
      </c>
      <c r="D569" s="2" t="s">
        <v>131</v>
      </c>
      <c r="E569" t="str">
        <f>_xlfn.XLOOKUP(A569,'[1]Tissue Data'!$A:$A,'[1]Tissue Data'!$H:$H)</f>
        <v>Clinostomus</v>
      </c>
      <c r="F569" t="str">
        <f>_xlfn.XLOOKUP(A569,'[1]Tissue Data'!$A:$A,'[1]Tissue Data'!$I:$I)</f>
        <v>funduloides</v>
      </c>
      <c r="G569" t="str">
        <f>_xlfn.XLOOKUP(A569,'[1]Tissue Data'!$A:$A,'[1]Tissue Data'!J:J)</f>
        <v>U</v>
      </c>
      <c r="H569" t="str">
        <f>_xlfn.XLOOKUP(A569,'[1]Tissue Data'!$A:$A,'[1]Tissue Data'!K:K)</f>
        <v>Whole Body</v>
      </c>
      <c r="I569">
        <f>_xlfn.XLOOKUP(A569,'[1]Tissue Data'!$A:$A,'[1]Tissue Data'!L:L)</f>
        <v>7.5</v>
      </c>
      <c r="J569">
        <f>_xlfn.XLOOKUP(A569,'[1]Tissue Data'!$A:$A,'[1]Tissue Data'!M:M)</f>
        <v>5.45</v>
      </c>
      <c r="K569" t="s">
        <v>29</v>
      </c>
      <c r="L569" t="str">
        <f>_xlfn.XLOOKUP(K569,[2]analyte_order!$B:$B,[2]analyte_order!$C:$C)</f>
        <v>1763-23-1</v>
      </c>
      <c r="M569">
        <f>_xlfn.XLOOKUP(L569,[2]analyte_order!$C:$C,[2]analyte_order!$E:$E)</f>
        <v>18</v>
      </c>
      <c r="N569">
        <v>1550</v>
      </c>
    </row>
    <row r="570" spans="1:14">
      <c r="A570" t="s">
        <v>134</v>
      </c>
      <c r="B570" t="str">
        <f>_xlfn.XLOOKUP(A570,'[1]Tissue Data'!$A:$A,'[1]Tissue Data'!$C:$C)</f>
        <v>Down</v>
      </c>
      <c r="C570" s="2">
        <f>_xlfn.XLOOKUP(A570,'[1]Tissue Data'!$A:$A,'[1]Tissue Data'!$D:$D)</f>
        <v>44314</v>
      </c>
      <c r="D570" s="2" t="s">
        <v>131</v>
      </c>
      <c r="E570" t="str">
        <f>_xlfn.XLOOKUP(A570,'[1]Tissue Data'!$A:$A,'[1]Tissue Data'!$H:$H)</f>
        <v>Clinostomus</v>
      </c>
      <c r="F570" t="str">
        <f>_xlfn.XLOOKUP(A570,'[1]Tissue Data'!$A:$A,'[1]Tissue Data'!$I:$I)</f>
        <v>funduloides</v>
      </c>
      <c r="G570" t="str">
        <f>_xlfn.XLOOKUP(A570,'[1]Tissue Data'!$A:$A,'[1]Tissue Data'!J:J)</f>
        <v>U</v>
      </c>
      <c r="H570" t="str">
        <f>_xlfn.XLOOKUP(A570,'[1]Tissue Data'!$A:$A,'[1]Tissue Data'!K:K)</f>
        <v>Whole Body</v>
      </c>
      <c r="I570">
        <f>_xlfn.XLOOKUP(A570,'[1]Tissue Data'!$A:$A,'[1]Tissue Data'!L:L)</f>
        <v>7.5</v>
      </c>
      <c r="J570">
        <f>_xlfn.XLOOKUP(A570,'[1]Tissue Data'!$A:$A,'[1]Tissue Data'!M:M)</f>
        <v>5.45</v>
      </c>
      <c r="K570" t="s">
        <v>30</v>
      </c>
      <c r="L570" t="str">
        <f>_xlfn.XLOOKUP(K570,[2]analyte_order!$B:$B,[2]analyte_order!$C:$C)</f>
        <v>68259-12-1</v>
      </c>
      <c r="M570">
        <f>_xlfn.XLOOKUP(L570,[2]analyte_order!$C:$C,[2]analyte_order!$E:$E)</f>
        <v>19</v>
      </c>
      <c r="N570">
        <v>2.31</v>
      </c>
    </row>
    <row r="571" spans="1:14">
      <c r="A571" t="s">
        <v>134</v>
      </c>
      <c r="B571" t="str">
        <f>_xlfn.XLOOKUP(A571,'[1]Tissue Data'!$A:$A,'[1]Tissue Data'!$C:$C)</f>
        <v>Down</v>
      </c>
      <c r="C571" s="2">
        <f>_xlfn.XLOOKUP(A571,'[1]Tissue Data'!$A:$A,'[1]Tissue Data'!$D:$D)</f>
        <v>44314</v>
      </c>
      <c r="D571" s="2" t="s">
        <v>131</v>
      </c>
      <c r="E571" t="str">
        <f>_xlfn.XLOOKUP(A571,'[1]Tissue Data'!$A:$A,'[1]Tissue Data'!$H:$H)</f>
        <v>Clinostomus</v>
      </c>
      <c r="F571" t="str">
        <f>_xlfn.XLOOKUP(A571,'[1]Tissue Data'!$A:$A,'[1]Tissue Data'!$I:$I)</f>
        <v>funduloides</v>
      </c>
      <c r="G571" t="str">
        <f>_xlfn.XLOOKUP(A571,'[1]Tissue Data'!$A:$A,'[1]Tissue Data'!J:J)</f>
        <v>U</v>
      </c>
      <c r="H571" t="str">
        <f>_xlfn.XLOOKUP(A571,'[1]Tissue Data'!$A:$A,'[1]Tissue Data'!K:K)</f>
        <v>Whole Body</v>
      </c>
      <c r="I571">
        <f>_xlfn.XLOOKUP(A571,'[1]Tissue Data'!$A:$A,'[1]Tissue Data'!L:L)</f>
        <v>7.5</v>
      </c>
      <c r="J571">
        <f>_xlfn.XLOOKUP(A571,'[1]Tissue Data'!$A:$A,'[1]Tissue Data'!M:M)</f>
        <v>5.45</v>
      </c>
      <c r="K571" t="s">
        <v>31</v>
      </c>
      <c r="L571" t="str">
        <f>_xlfn.XLOOKUP(K571,[2]analyte_order!$B:$B,[2]analyte_order!$C:$C)</f>
        <v>335-77-3</v>
      </c>
      <c r="M571">
        <f>_xlfn.XLOOKUP(L571,[2]analyte_order!$C:$C,[2]analyte_order!$E:$E)</f>
        <v>20</v>
      </c>
      <c r="N571">
        <v>7.07</v>
      </c>
    </row>
    <row r="572" spans="1:14">
      <c r="A572" t="s">
        <v>134</v>
      </c>
      <c r="B572" t="str">
        <f>_xlfn.XLOOKUP(A572,'[1]Tissue Data'!$A:$A,'[1]Tissue Data'!$C:$C)</f>
        <v>Down</v>
      </c>
      <c r="C572" s="2">
        <f>_xlfn.XLOOKUP(A572,'[1]Tissue Data'!$A:$A,'[1]Tissue Data'!$D:$D)</f>
        <v>44314</v>
      </c>
      <c r="D572" s="2" t="s">
        <v>131</v>
      </c>
      <c r="E572" t="str">
        <f>_xlfn.XLOOKUP(A572,'[1]Tissue Data'!$A:$A,'[1]Tissue Data'!$H:$H)</f>
        <v>Clinostomus</v>
      </c>
      <c r="F572" t="str">
        <f>_xlfn.XLOOKUP(A572,'[1]Tissue Data'!$A:$A,'[1]Tissue Data'!$I:$I)</f>
        <v>funduloides</v>
      </c>
      <c r="G572" t="str">
        <f>_xlfn.XLOOKUP(A572,'[1]Tissue Data'!$A:$A,'[1]Tissue Data'!J:J)</f>
        <v>U</v>
      </c>
      <c r="H572" t="str">
        <f>_xlfn.XLOOKUP(A572,'[1]Tissue Data'!$A:$A,'[1]Tissue Data'!K:K)</f>
        <v>Whole Body</v>
      </c>
      <c r="I572">
        <f>_xlfn.XLOOKUP(A572,'[1]Tissue Data'!$A:$A,'[1]Tissue Data'!L:L)</f>
        <v>7.5</v>
      </c>
      <c r="J572">
        <f>_xlfn.XLOOKUP(A572,'[1]Tissue Data'!$A:$A,'[1]Tissue Data'!M:M)</f>
        <v>5.45</v>
      </c>
      <c r="K572" t="s">
        <v>32</v>
      </c>
      <c r="L572" t="str">
        <f>_xlfn.XLOOKUP(K572,[2]analyte_order!$B:$B,[2]analyte_order!$C:$C)</f>
        <v>79780-39-5</v>
      </c>
      <c r="M572">
        <f>_xlfn.XLOOKUP(L572,[2]analyte_order!$C:$C,[2]analyte_order!$E:$E)</f>
        <v>21</v>
      </c>
      <c r="N572">
        <v>4.0599999999999996</v>
      </c>
    </row>
    <row r="573" spans="1:14">
      <c r="A573" t="s">
        <v>134</v>
      </c>
      <c r="B573" t="str">
        <f>_xlfn.XLOOKUP(A573,'[1]Tissue Data'!$A:$A,'[1]Tissue Data'!$C:$C)</f>
        <v>Down</v>
      </c>
      <c r="C573" s="2">
        <f>_xlfn.XLOOKUP(A573,'[1]Tissue Data'!$A:$A,'[1]Tissue Data'!$D:$D)</f>
        <v>44314</v>
      </c>
      <c r="D573" s="2" t="s">
        <v>131</v>
      </c>
      <c r="E573" t="str">
        <f>_xlfn.XLOOKUP(A573,'[1]Tissue Data'!$A:$A,'[1]Tissue Data'!$H:$H)</f>
        <v>Clinostomus</v>
      </c>
      <c r="F573" t="str">
        <f>_xlfn.XLOOKUP(A573,'[1]Tissue Data'!$A:$A,'[1]Tissue Data'!$I:$I)</f>
        <v>funduloides</v>
      </c>
      <c r="G573" t="str">
        <f>_xlfn.XLOOKUP(A573,'[1]Tissue Data'!$A:$A,'[1]Tissue Data'!J:J)</f>
        <v>U</v>
      </c>
      <c r="H573" t="str">
        <f>_xlfn.XLOOKUP(A573,'[1]Tissue Data'!$A:$A,'[1]Tissue Data'!K:K)</f>
        <v>Whole Body</v>
      </c>
      <c r="I573">
        <f>_xlfn.XLOOKUP(A573,'[1]Tissue Data'!$A:$A,'[1]Tissue Data'!L:L)</f>
        <v>7.5</v>
      </c>
      <c r="J573">
        <f>_xlfn.XLOOKUP(A573,'[1]Tissue Data'!$A:$A,'[1]Tissue Data'!M:M)</f>
        <v>5.45</v>
      </c>
      <c r="K573" t="s">
        <v>33</v>
      </c>
      <c r="L573" t="str">
        <f>_xlfn.XLOOKUP(K573,[2]analyte_order!$B:$B,[2]analyte_order!$C:$C)</f>
        <v>777011-38-8</v>
      </c>
      <c r="M573">
        <f>_xlfn.XLOOKUP(L573,[2]analyte_order!$C:$C,[2]analyte_order!$E:$E)</f>
        <v>54</v>
      </c>
      <c r="N573">
        <v>0.63900000000000001</v>
      </c>
    </row>
    <row r="574" spans="1:14">
      <c r="A574" t="s">
        <v>134</v>
      </c>
      <c r="B574" t="str">
        <f>_xlfn.XLOOKUP(A574,'[1]Tissue Data'!$A:$A,'[1]Tissue Data'!$C:$C)</f>
        <v>Down</v>
      </c>
      <c r="C574" s="2">
        <f>_xlfn.XLOOKUP(A574,'[1]Tissue Data'!$A:$A,'[1]Tissue Data'!$D:$D)</f>
        <v>44314</v>
      </c>
      <c r="D574" s="2" t="s">
        <v>131</v>
      </c>
      <c r="E574" t="str">
        <f>_xlfn.XLOOKUP(A574,'[1]Tissue Data'!$A:$A,'[1]Tissue Data'!$H:$H)</f>
        <v>Clinostomus</v>
      </c>
      <c r="F574" t="str">
        <f>_xlfn.XLOOKUP(A574,'[1]Tissue Data'!$A:$A,'[1]Tissue Data'!$I:$I)</f>
        <v>funduloides</v>
      </c>
      <c r="G574" t="str">
        <f>_xlfn.XLOOKUP(A574,'[1]Tissue Data'!$A:$A,'[1]Tissue Data'!J:J)</f>
        <v>U</v>
      </c>
      <c r="H574" t="str">
        <f>_xlfn.XLOOKUP(A574,'[1]Tissue Data'!$A:$A,'[1]Tissue Data'!K:K)</f>
        <v>Whole Body</v>
      </c>
      <c r="I574">
        <f>_xlfn.XLOOKUP(A574,'[1]Tissue Data'!$A:$A,'[1]Tissue Data'!L:L)</f>
        <v>7.5</v>
      </c>
      <c r="J574">
        <f>_xlfn.XLOOKUP(A574,'[1]Tissue Data'!$A:$A,'[1]Tissue Data'!M:M)</f>
        <v>5.45</v>
      </c>
      <c r="K574" t="s">
        <v>34</v>
      </c>
      <c r="L574" t="str">
        <f>_xlfn.XLOOKUP(K574,[2]analyte_order!$B:$B,[2]analyte_order!$C:$C)</f>
        <v>646-83-3</v>
      </c>
      <c r="M574">
        <f>_xlfn.XLOOKUP(L574,[2]analyte_order!$C:$C,[2]analyte_order!$E:$E)</f>
        <v>55</v>
      </c>
      <c r="N574">
        <v>1.1599999999999999</v>
      </c>
    </row>
    <row r="575" spans="1:14">
      <c r="A575" t="s">
        <v>134</v>
      </c>
      <c r="B575" t="str">
        <f>_xlfn.XLOOKUP(A575,'[1]Tissue Data'!$A:$A,'[1]Tissue Data'!$C:$C)</f>
        <v>Down</v>
      </c>
      <c r="C575" s="2">
        <f>_xlfn.XLOOKUP(A575,'[1]Tissue Data'!$A:$A,'[1]Tissue Data'!$D:$D)</f>
        <v>44314</v>
      </c>
      <c r="D575" s="2" t="s">
        <v>131</v>
      </c>
      <c r="E575" t="str">
        <f>_xlfn.XLOOKUP(A575,'[1]Tissue Data'!$A:$A,'[1]Tissue Data'!$H:$H)</f>
        <v>Clinostomus</v>
      </c>
      <c r="F575" t="str">
        <f>_xlfn.XLOOKUP(A575,'[1]Tissue Data'!$A:$A,'[1]Tissue Data'!$I:$I)</f>
        <v>funduloides</v>
      </c>
      <c r="G575" t="str">
        <f>_xlfn.XLOOKUP(A575,'[1]Tissue Data'!$A:$A,'[1]Tissue Data'!J:J)</f>
        <v>U</v>
      </c>
      <c r="H575" t="str">
        <f>_xlfn.XLOOKUP(A575,'[1]Tissue Data'!$A:$A,'[1]Tissue Data'!K:K)</f>
        <v>Whole Body</v>
      </c>
      <c r="I575">
        <f>_xlfn.XLOOKUP(A575,'[1]Tissue Data'!$A:$A,'[1]Tissue Data'!L:L)</f>
        <v>7.5</v>
      </c>
      <c r="J575">
        <f>_xlfn.XLOOKUP(A575,'[1]Tissue Data'!$A:$A,'[1]Tissue Data'!M:M)</f>
        <v>5.45</v>
      </c>
      <c r="K575" t="s">
        <v>35</v>
      </c>
      <c r="L575" t="str">
        <f>_xlfn.XLOOKUP(K575,[2]analyte_order!$B:$B,[2]analyte_order!$C:$C)</f>
        <v>30334-69-1</v>
      </c>
      <c r="M575">
        <f>_xlfn.XLOOKUP(L575,[2]analyte_order!$C:$C,[2]analyte_order!$E:$E)</f>
        <v>51</v>
      </c>
      <c r="N575">
        <v>15.5</v>
      </c>
    </row>
    <row r="576" spans="1:14">
      <c r="A576" t="s">
        <v>134</v>
      </c>
      <c r="B576" t="str">
        <f>_xlfn.XLOOKUP(A576,'[1]Tissue Data'!$A:$A,'[1]Tissue Data'!$C:$C)</f>
        <v>Down</v>
      </c>
      <c r="C576" s="2">
        <f>_xlfn.XLOOKUP(A576,'[1]Tissue Data'!$A:$A,'[1]Tissue Data'!$D:$D)</f>
        <v>44314</v>
      </c>
      <c r="D576" s="2" t="s">
        <v>131</v>
      </c>
      <c r="E576" t="str">
        <f>_xlfn.XLOOKUP(A576,'[1]Tissue Data'!$A:$A,'[1]Tissue Data'!$H:$H)</f>
        <v>Clinostomus</v>
      </c>
      <c r="F576" t="str">
        <f>_xlfn.XLOOKUP(A576,'[1]Tissue Data'!$A:$A,'[1]Tissue Data'!$I:$I)</f>
        <v>funduloides</v>
      </c>
      <c r="G576" t="str">
        <f>_xlfn.XLOOKUP(A576,'[1]Tissue Data'!$A:$A,'[1]Tissue Data'!J:J)</f>
        <v>U</v>
      </c>
      <c r="H576" t="str">
        <f>_xlfn.XLOOKUP(A576,'[1]Tissue Data'!$A:$A,'[1]Tissue Data'!K:K)</f>
        <v>Whole Body</v>
      </c>
      <c r="I576">
        <f>_xlfn.XLOOKUP(A576,'[1]Tissue Data'!$A:$A,'[1]Tissue Data'!L:L)</f>
        <v>7.5</v>
      </c>
      <c r="J576">
        <f>_xlfn.XLOOKUP(A576,'[1]Tissue Data'!$A:$A,'[1]Tissue Data'!M:M)</f>
        <v>5.45</v>
      </c>
      <c r="K576" t="s">
        <v>36</v>
      </c>
      <c r="L576" t="str">
        <f>_xlfn.XLOOKUP(K576,[2]analyte_order!$B:$B,[2]analyte_order!$C:$C)</f>
        <v>41997-13-1</v>
      </c>
      <c r="M576">
        <f>_xlfn.XLOOKUP(L576,[2]analyte_order!$C:$C,[2]analyte_order!$E:$E)</f>
        <v>52</v>
      </c>
      <c r="N576">
        <v>67.2</v>
      </c>
    </row>
    <row r="577" spans="1:14">
      <c r="A577" t="s">
        <v>134</v>
      </c>
      <c r="B577" t="str">
        <f>_xlfn.XLOOKUP(A577,'[1]Tissue Data'!$A:$A,'[1]Tissue Data'!$C:$C)</f>
        <v>Down</v>
      </c>
      <c r="C577" s="2">
        <f>_xlfn.XLOOKUP(A577,'[1]Tissue Data'!$A:$A,'[1]Tissue Data'!$D:$D)</f>
        <v>44314</v>
      </c>
      <c r="D577" s="2" t="s">
        <v>131</v>
      </c>
      <c r="E577" t="str">
        <f>_xlfn.XLOOKUP(A577,'[1]Tissue Data'!$A:$A,'[1]Tissue Data'!$H:$H)</f>
        <v>Clinostomus</v>
      </c>
      <c r="F577" t="str">
        <f>_xlfn.XLOOKUP(A577,'[1]Tissue Data'!$A:$A,'[1]Tissue Data'!$I:$I)</f>
        <v>funduloides</v>
      </c>
      <c r="G577" t="str">
        <f>_xlfn.XLOOKUP(A577,'[1]Tissue Data'!$A:$A,'[1]Tissue Data'!J:J)</f>
        <v>U</v>
      </c>
      <c r="H577" t="str">
        <f>_xlfn.XLOOKUP(A577,'[1]Tissue Data'!$A:$A,'[1]Tissue Data'!K:K)</f>
        <v>Whole Body</v>
      </c>
      <c r="I577">
        <f>_xlfn.XLOOKUP(A577,'[1]Tissue Data'!$A:$A,'[1]Tissue Data'!L:L)</f>
        <v>7.5</v>
      </c>
      <c r="J577">
        <f>_xlfn.XLOOKUP(A577,'[1]Tissue Data'!$A:$A,'[1]Tissue Data'!M:M)</f>
        <v>5.45</v>
      </c>
      <c r="K577" t="s">
        <v>37</v>
      </c>
      <c r="L577" t="str">
        <f>_xlfn.XLOOKUP(K577,[2]analyte_order!$B:$B,[2]analyte_order!$C:$C)</f>
        <v>754-91-6</v>
      </c>
      <c r="M577">
        <f>_xlfn.XLOOKUP(L577,[2]analyte_order!$C:$C,[2]analyte_order!$E:$E)</f>
        <v>28</v>
      </c>
      <c r="N577">
        <v>10.7</v>
      </c>
    </row>
    <row r="578" spans="1:14">
      <c r="A578" t="s">
        <v>134</v>
      </c>
      <c r="B578" t="str">
        <f>_xlfn.XLOOKUP(A578,'[1]Tissue Data'!$A:$A,'[1]Tissue Data'!$C:$C)</f>
        <v>Down</v>
      </c>
      <c r="C578" s="2">
        <f>_xlfn.XLOOKUP(A578,'[1]Tissue Data'!$A:$A,'[1]Tissue Data'!$D:$D)</f>
        <v>44314</v>
      </c>
      <c r="D578" s="2" t="s">
        <v>131</v>
      </c>
      <c r="E578" t="str">
        <f>_xlfn.XLOOKUP(A578,'[1]Tissue Data'!$A:$A,'[1]Tissue Data'!$H:$H)</f>
        <v>Clinostomus</v>
      </c>
      <c r="F578" t="str">
        <f>_xlfn.XLOOKUP(A578,'[1]Tissue Data'!$A:$A,'[1]Tissue Data'!$I:$I)</f>
        <v>funduloides</v>
      </c>
      <c r="G578" t="str">
        <f>_xlfn.XLOOKUP(A578,'[1]Tissue Data'!$A:$A,'[1]Tissue Data'!J:J)</f>
        <v>U</v>
      </c>
      <c r="H578" t="str">
        <f>_xlfn.XLOOKUP(A578,'[1]Tissue Data'!$A:$A,'[1]Tissue Data'!K:K)</f>
        <v>Whole Body</v>
      </c>
      <c r="I578">
        <f>_xlfn.XLOOKUP(A578,'[1]Tissue Data'!$A:$A,'[1]Tissue Data'!L:L)</f>
        <v>7.5</v>
      </c>
      <c r="J578">
        <f>_xlfn.XLOOKUP(A578,'[1]Tissue Data'!$A:$A,'[1]Tissue Data'!M:M)</f>
        <v>5.45</v>
      </c>
      <c r="K578" t="s">
        <v>38</v>
      </c>
      <c r="L578" t="str">
        <f>_xlfn.XLOOKUP(K578,[2]analyte_order!$B:$B,[2]analyte_order!$C:$C)</f>
        <v>31506-32-8</v>
      </c>
      <c r="M578">
        <f>_xlfn.XLOOKUP(L578,[2]analyte_order!$C:$C,[2]analyte_order!$E:$E)</f>
        <v>30</v>
      </c>
      <c r="N578">
        <v>5.1944352543512658E-2</v>
      </c>
    </row>
    <row r="579" spans="1:14">
      <c r="A579" t="s">
        <v>134</v>
      </c>
      <c r="B579" t="str">
        <f>_xlfn.XLOOKUP(A579,'[1]Tissue Data'!$A:$A,'[1]Tissue Data'!$C:$C)</f>
        <v>Down</v>
      </c>
      <c r="C579" s="2">
        <f>_xlfn.XLOOKUP(A579,'[1]Tissue Data'!$A:$A,'[1]Tissue Data'!$D:$D)</f>
        <v>44314</v>
      </c>
      <c r="D579" s="2" t="s">
        <v>131</v>
      </c>
      <c r="E579" t="str">
        <f>_xlfn.XLOOKUP(A579,'[1]Tissue Data'!$A:$A,'[1]Tissue Data'!$H:$H)</f>
        <v>Clinostomus</v>
      </c>
      <c r="F579" t="str">
        <f>_xlfn.XLOOKUP(A579,'[1]Tissue Data'!$A:$A,'[1]Tissue Data'!$I:$I)</f>
        <v>funduloides</v>
      </c>
      <c r="G579" t="str">
        <f>_xlfn.XLOOKUP(A579,'[1]Tissue Data'!$A:$A,'[1]Tissue Data'!J:J)</f>
        <v>U</v>
      </c>
      <c r="H579" t="str">
        <f>_xlfn.XLOOKUP(A579,'[1]Tissue Data'!$A:$A,'[1]Tissue Data'!K:K)</f>
        <v>Whole Body</v>
      </c>
      <c r="I579">
        <f>_xlfn.XLOOKUP(A579,'[1]Tissue Data'!$A:$A,'[1]Tissue Data'!L:L)</f>
        <v>7.5</v>
      </c>
      <c r="J579">
        <f>_xlfn.XLOOKUP(A579,'[1]Tissue Data'!$A:$A,'[1]Tissue Data'!M:M)</f>
        <v>5.45</v>
      </c>
      <c r="K579" t="s">
        <v>39</v>
      </c>
      <c r="L579" t="str">
        <f>_xlfn.XLOOKUP(K579,[2]analyte_order!$B:$B,[2]analyte_order!$C:$C)</f>
        <v>4151-50-2</v>
      </c>
      <c r="M579">
        <f>_xlfn.XLOOKUP(L579,[2]analyte_order!$C:$C,[2]analyte_order!$E:$E)</f>
        <v>31</v>
      </c>
      <c r="N579">
        <v>7.8684067964299845E-2</v>
      </c>
    </row>
    <row r="580" spans="1:14">
      <c r="A580" t="s">
        <v>134</v>
      </c>
      <c r="B580" t="str">
        <f>_xlfn.XLOOKUP(A580,'[1]Tissue Data'!$A:$A,'[1]Tissue Data'!$C:$C)</f>
        <v>Down</v>
      </c>
      <c r="C580" s="2">
        <f>_xlfn.XLOOKUP(A580,'[1]Tissue Data'!$A:$A,'[1]Tissue Data'!$D:$D)</f>
        <v>44314</v>
      </c>
      <c r="D580" s="2" t="s">
        <v>131</v>
      </c>
      <c r="E580" t="str">
        <f>_xlfn.XLOOKUP(A580,'[1]Tissue Data'!$A:$A,'[1]Tissue Data'!$H:$H)</f>
        <v>Clinostomus</v>
      </c>
      <c r="F580" t="str">
        <f>_xlfn.XLOOKUP(A580,'[1]Tissue Data'!$A:$A,'[1]Tissue Data'!$I:$I)</f>
        <v>funduloides</v>
      </c>
      <c r="G580" t="str">
        <f>_xlfn.XLOOKUP(A580,'[1]Tissue Data'!$A:$A,'[1]Tissue Data'!J:J)</f>
        <v>U</v>
      </c>
      <c r="H580" t="str">
        <f>_xlfn.XLOOKUP(A580,'[1]Tissue Data'!$A:$A,'[1]Tissue Data'!K:K)</f>
        <v>Whole Body</v>
      </c>
      <c r="I580">
        <f>_xlfn.XLOOKUP(A580,'[1]Tissue Data'!$A:$A,'[1]Tissue Data'!L:L)</f>
        <v>7.5</v>
      </c>
      <c r="J580">
        <f>_xlfn.XLOOKUP(A580,'[1]Tissue Data'!$A:$A,'[1]Tissue Data'!M:M)</f>
        <v>5.45</v>
      </c>
      <c r="K580" t="s">
        <v>40</v>
      </c>
      <c r="L580" t="str">
        <f>_xlfn.XLOOKUP(K580,[2]analyte_order!$B:$B,[2]analyte_order!$C:$C)</f>
        <v>2806-24-8</v>
      </c>
      <c r="M580">
        <f>_xlfn.XLOOKUP(L580,[2]analyte_order!$C:$C,[2]analyte_order!$E:$E)</f>
        <v>29</v>
      </c>
      <c r="N580">
        <v>5.3148051713805378E-2</v>
      </c>
    </row>
    <row r="581" spans="1:14">
      <c r="A581" t="s">
        <v>134</v>
      </c>
      <c r="B581" t="str">
        <f>_xlfn.XLOOKUP(A581,'[1]Tissue Data'!$A:$A,'[1]Tissue Data'!$C:$C)</f>
        <v>Down</v>
      </c>
      <c r="C581" s="2">
        <f>_xlfn.XLOOKUP(A581,'[1]Tissue Data'!$A:$A,'[1]Tissue Data'!$D:$D)</f>
        <v>44314</v>
      </c>
      <c r="D581" s="2" t="s">
        <v>131</v>
      </c>
      <c r="E581" t="str">
        <f>_xlfn.XLOOKUP(A581,'[1]Tissue Data'!$A:$A,'[1]Tissue Data'!$H:$H)</f>
        <v>Clinostomus</v>
      </c>
      <c r="F581" t="str">
        <f>_xlfn.XLOOKUP(A581,'[1]Tissue Data'!$A:$A,'[1]Tissue Data'!$I:$I)</f>
        <v>funduloides</v>
      </c>
      <c r="G581" t="str">
        <f>_xlfn.XLOOKUP(A581,'[1]Tissue Data'!$A:$A,'[1]Tissue Data'!J:J)</f>
        <v>U</v>
      </c>
      <c r="H581" t="str">
        <f>_xlfn.XLOOKUP(A581,'[1]Tissue Data'!$A:$A,'[1]Tissue Data'!K:K)</f>
        <v>Whole Body</v>
      </c>
      <c r="I581">
        <f>_xlfn.XLOOKUP(A581,'[1]Tissue Data'!$A:$A,'[1]Tissue Data'!L:L)</f>
        <v>7.5</v>
      </c>
      <c r="J581">
        <f>_xlfn.XLOOKUP(A581,'[1]Tissue Data'!$A:$A,'[1]Tissue Data'!M:M)</f>
        <v>5.45</v>
      </c>
      <c r="K581" t="s">
        <v>41</v>
      </c>
      <c r="L581" t="str">
        <f>_xlfn.XLOOKUP(K581,[2]analyte_order!$B:$B,[2]analyte_order!$C:$C)</f>
        <v>2355-31-9</v>
      </c>
      <c r="M581">
        <f>_xlfn.XLOOKUP(L581,[2]analyte_order!$C:$C,[2]analyte_order!$E:$E)</f>
        <v>26</v>
      </c>
      <c r="N581">
        <v>6.7834593054291931E-2</v>
      </c>
    </row>
    <row r="582" spans="1:14">
      <c r="A582" t="s">
        <v>134</v>
      </c>
      <c r="B582" t="str">
        <f>_xlfn.XLOOKUP(A582,'[1]Tissue Data'!$A:$A,'[1]Tissue Data'!$C:$C)</f>
        <v>Down</v>
      </c>
      <c r="C582" s="2">
        <f>_xlfn.XLOOKUP(A582,'[1]Tissue Data'!$A:$A,'[1]Tissue Data'!$D:$D)</f>
        <v>44314</v>
      </c>
      <c r="D582" s="2" t="s">
        <v>131</v>
      </c>
      <c r="E582" t="str">
        <f>_xlfn.XLOOKUP(A582,'[1]Tissue Data'!$A:$A,'[1]Tissue Data'!$H:$H)</f>
        <v>Clinostomus</v>
      </c>
      <c r="F582" t="str">
        <f>_xlfn.XLOOKUP(A582,'[1]Tissue Data'!$A:$A,'[1]Tissue Data'!$I:$I)</f>
        <v>funduloides</v>
      </c>
      <c r="G582" t="str">
        <f>_xlfn.XLOOKUP(A582,'[1]Tissue Data'!$A:$A,'[1]Tissue Data'!J:J)</f>
        <v>U</v>
      </c>
      <c r="H582" t="str">
        <f>_xlfn.XLOOKUP(A582,'[1]Tissue Data'!$A:$A,'[1]Tissue Data'!K:K)</f>
        <v>Whole Body</v>
      </c>
      <c r="I582">
        <f>_xlfn.XLOOKUP(A582,'[1]Tissue Data'!$A:$A,'[1]Tissue Data'!L:L)</f>
        <v>7.5</v>
      </c>
      <c r="J582">
        <f>_xlfn.XLOOKUP(A582,'[1]Tissue Data'!$A:$A,'[1]Tissue Data'!M:M)</f>
        <v>5.45</v>
      </c>
      <c r="K582" t="s">
        <v>42</v>
      </c>
      <c r="L582" t="str">
        <f>_xlfn.XLOOKUP(K582,[2]analyte_order!$B:$B,[2]analyte_order!$C:$C)</f>
        <v>2991-50-6</v>
      </c>
      <c r="M582">
        <f>_xlfn.XLOOKUP(L582,[2]analyte_order!$C:$C,[2]analyte_order!$E:$E)</f>
        <v>27</v>
      </c>
      <c r="N582">
        <v>5.8525680470233377E-2</v>
      </c>
    </row>
    <row r="583" spans="1:14">
      <c r="A583" t="s">
        <v>134</v>
      </c>
      <c r="B583" t="str">
        <f>_xlfn.XLOOKUP(A583,'[1]Tissue Data'!$A:$A,'[1]Tissue Data'!$C:$C)</f>
        <v>Down</v>
      </c>
      <c r="C583" s="2">
        <f>_xlfn.XLOOKUP(A583,'[1]Tissue Data'!$A:$A,'[1]Tissue Data'!$D:$D)</f>
        <v>44314</v>
      </c>
      <c r="D583" s="2" t="s">
        <v>131</v>
      </c>
      <c r="E583" t="str">
        <f>_xlfn.XLOOKUP(A583,'[1]Tissue Data'!$A:$A,'[1]Tissue Data'!$H:$H)</f>
        <v>Clinostomus</v>
      </c>
      <c r="F583" t="str">
        <f>_xlfn.XLOOKUP(A583,'[1]Tissue Data'!$A:$A,'[1]Tissue Data'!$I:$I)</f>
        <v>funduloides</v>
      </c>
      <c r="G583" t="str">
        <f>_xlfn.XLOOKUP(A583,'[1]Tissue Data'!$A:$A,'[1]Tissue Data'!J:J)</f>
        <v>U</v>
      </c>
      <c r="H583" t="str">
        <f>_xlfn.XLOOKUP(A583,'[1]Tissue Data'!$A:$A,'[1]Tissue Data'!K:K)</f>
        <v>Whole Body</v>
      </c>
      <c r="I583">
        <f>_xlfn.XLOOKUP(A583,'[1]Tissue Data'!$A:$A,'[1]Tissue Data'!L:L)</f>
        <v>7.5</v>
      </c>
      <c r="J583">
        <f>_xlfn.XLOOKUP(A583,'[1]Tissue Data'!$A:$A,'[1]Tissue Data'!M:M)</f>
        <v>5.45</v>
      </c>
      <c r="K583" t="s">
        <v>43</v>
      </c>
      <c r="L583" t="str">
        <f>_xlfn.XLOOKUP(K583,[2]analyte_order!$B:$B,[2]analyte_order!$C:$C)</f>
        <v>757124-72-4</v>
      </c>
      <c r="M583">
        <f>_xlfn.XLOOKUP(L583,[2]analyte_order!$C:$C,[2]analyte_order!$E:$E)</f>
        <v>22</v>
      </c>
      <c r="N583">
        <v>5.5383467343749992E-2</v>
      </c>
    </row>
    <row r="584" spans="1:14">
      <c r="A584" t="s">
        <v>134</v>
      </c>
      <c r="B584" t="str">
        <f>_xlfn.XLOOKUP(A584,'[1]Tissue Data'!$A:$A,'[1]Tissue Data'!$C:$C)</f>
        <v>Down</v>
      </c>
      <c r="C584" s="2">
        <f>_xlfn.XLOOKUP(A584,'[1]Tissue Data'!$A:$A,'[1]Tissue Data'!$D:$D)</f>
        <v>44314</v>
      </c>
      <c r="D584" s="2" t="s">
        <v>131</v>
      </c>
      <c r="E584" t="str">
        <f>_xlfn.XLOOKUP(A584,'[1]Tissue Data'!$A:$A,'[1]Tissue Data'!$H:$H)</f>
        <v>Clinostomus</v>
      </c>
      <c r="F584" t="str">
        <f>_xlfn.XLOOKUP(A584,'[1]Tissue Data'!$A:$A,'[1]Tissue Data'!$I:$I)</f>
        <v>funduloides</v>
      </c>
      <c r="G584" t="str">
        <f>_xlfn.XLOOKUP(A584,'[1]Tissue Data'!$A:$A,'[1]Tissue Data'!J:J)</f>
        <v>U</v>
      </c>
      <c r="H584" t="str">
        <f>_xlfn.XLOOKUP(A584,'[1]Tissue Data'!$A:$A,'[1]Tissue Data'!K:K)</f>
        <v>Whole Body</v>
      </c>
      <c r="I584">
        <f>_xlfn.XLOOKUP(A584,'[1]Tissue Data'!$A:$A,'[1]Tissue Data'!L:L)</f>
        <v>7.5</v>
      </c>
      <c r="J584">
        <f>_xlfn.XLOOKUP(A584,'[1]Tissue Data'!$A:$A,'[1]Tissue Data'!M:M)</f>
        <v>5.45</v>
      </c>
      <c r="K584" t="s">
        <v>44</v>
      </c>
      <c r="L584" t="str">
        <f>_xlfn.XLOOKUP(K584,[2]analyte_order!$B:$B,[2]analyte_order!$C:$C)</f>
        <v>27619-97-2</v>
      </c>
      <c r="M584">
        <f>_xlfn.XLOOKUP(L584,[2]analyte_order!$C:$C,[2]analyte_order!$E:$E)</f>
        <v>23</v>
      </c>
      <c r="N584">
        <v>4.0707934514982197E-2</v>
      </c>
    </row>
    <row r="585" spans="1:14">
      <c r="A585" t="s">
        <v>134</v>
      </c>
      <c r="B585" t="str">
        <f>_xlfn.XLOOKUP(A585,'[1]Tissue Data'!$A:$A,'[1]Tissue Data'!$C:$C)</f>
        <v>Down</v>
      </c>
      <c r="C585" s="2">
        <f>_xlfn.XLOOKUP(A585,'[1]Tissue Data'!$A:$A,'[1]Tissue Data'!$D:$D)</f>
        <v>44314</v>
      </c>
      <c r="D585" s="2" t="s">
        <v>131</v>
      </c>
      <c r="E585" t="str">
        <f>_xlfn.XLOOKUP(A585,'[1]Tissue Data'!$A:$A,'[1]Tissue Data'!$H:$H)</f>
        <v>Clinostomus</v>
      </c>
      <c r="F585" t="str">
        <f>_xlfn.XLOOKUP(A585,'[1]Tissue Data'!$A:$A,'[1]Tissue Data'!$I:$I)</f>
        <v>funduloides</v>
      </c>
      <c r="G585" t="str">
        <f>_xlfn.XLOOKUP(A585,'[1]Tissue Data'!$A:$A,'[1]Tissue Data'!J:J)</f>
        <v>U</v>
      </c>
      <c r="H585" t="str">
        <f>_xlfn.XLOOKUP(A585,'[1]Tissue Data'!$A:$A,'[1]Tissue Data'!K:K)</f>
        <v>Whole Body</v>
      </c>
      <c r="I585">
        <f>_xlfn.XLOOKUP(A585,'[1]Tissue Data'!$A:$A,'[1]Tissue Data'!L:L)</f>
        <v>7.5</v>
      </c>
      <c r="J585">
        <f>_xlfn.XLOOKUP(A585,'[1]Tissue Data'!$A:$A,'[1]Tissue Data'!M:M)</f>
        <v>5.45</v>
      </c>
      <c r="K585" t="s">
        <v>45</v>
      </c>
      <c r="L585" t="str">
        <f>_xlfn.XLOOKUP(K585,[2]analyte_order!$B:$B,[2]analyte_order!$C:$C)</f>
        <v>39108-34-4</v>
      </c>
      <c r="M585">
        <f>_xlfn.XLOOKUP(L585,[2]analyte_order!$C:$C,[2]analyte_order!$E:$E)</f>
        <v>24</v>
      </c>
      <c r="N585">
        <v>5.67</v>
      </c>
    </row>
    <row r="586" spans="1:14">
      <c r="A586" t="s">
        <v>134</v>
      </c>
      <c r="B586" t="str">
        <f>_xlfn.XLOOKUP(A586,'[1]Tissue Data'!$A:$A,'[1]Tissue Data'!$C:$C)</f>
        <v>Down</v>
      </c>
      <c r="C586" s="2">
        <f>_xlfn.XLOOKUP(A586,'[1]Tissue Data'!$A:$A,'[1]Tissue Data'!$D:$D)</f>
        <v>44314</v>
      </c>
      <c r="D586" s="2" t="s">
        <v>131</v>
      </c>
      <c r="E586" t="str">
        <f>_xlfn.XLOOKUP(A586,'[1]Tissue Data'!$A:$A,'[1]Tissue Data'!$H:$H)</f>
        <v>Clinostomus</v>
      </c>
      <c r="F586" t="str">
        <f>_xlfn.XLOOKUP(A586,'[1]Tissue Data'!$A:$A,'[1]Tissue Data'!$I:$I)</f>
        <v>funduloides</v>
      </c>
      <c r="G586" t="str">
        <f>_xlfn.XLOOKUP(A586,'[1]Tissue Data'!$A:$A,'[1]Tissue Data'!J:J)</f>
        <v>U</v>
      </c>
      <c r="H586" t="str">
        <f>_xlfn.XLOOKUP(A586,'[1]Tissue Data'!$A:$A,'[1]Tissue Data'!K:K)</f>
        <v>Whole Body</v>
      </c>
      <c r="I586">
        <f>_xlfn.XLOOKUP(A586,'[1]Tissue Data'!$A:$A,'[1]Tissue Data'!L:L)</f>
        <v>7.5</v>
      </c>
      <c r="J586">
        <f>_xlfn.XLOOKUP(A586,'[1]Tissue Data'!$A:$A,'[1]Tissue Data'!M:M)</f>
        <v>5.45</v>
      </c>
      <c r="K586" t="s">
        <v>46</v>
      </c>
      <c r="L586" t="str">
        <f>_xlfn.XLOOKUP(K586,[2]analyte_order!$B:$B,[2]analyte_order!$C:$C)</f>
        <v>120226-60-0</v>
      </c>
      <c r="M586">
        <f>_xlfn.XLOOKUP(L586,[2]analyte_order!$C:$C,[2]analyte_order!$E:$E)</f>
        <v>25</v>
      </c>
      <c r="N586">
        <v>0.88</v>
      </c>
    </row>
    <row r="587" spans="1:14">
      <c r="A587" t="s">
        <v>134</v>
      </c>
      <c r="B587" t="str">
        <f>_xlfn.XLOOKUP(A587,'[1]Tissue Data'!$A:$A,'[1]Tissue Data'!$C:$C)</f>
        <v>Down</v>
      </c>
      <c r="C587" s="2">
        <f>_xlfn.XLOOKUP(A587,'[1]Tissue Data'!$A:$A,'[1]Tissue Data'!$D:$D)</f>
        <v>44314</v>
      </c>
      <c r="D587" s="2" t="s">
        <v>131</v>
      </c>
      <c r="E587" t="str">
        <f>_xlfn.XLOOKUP(A587,'[1]Tissue Data'!$A:$A,'[1]Tissue Data'!$H:$H)</f>
        <v>Clinostomus</v>
      </c>
      <c r="F587" t="str">
        <f>_xlfn.XLOOKUP(A587,'[1]Tissue Data'!$A:$A,'[1]Tissue Data'!$I:$I)</f>
        <v>funduloides</v>
      </c>
      <c r="G587" t="str">
        <f>_xlfn.XLOOKUP(A587,'[1]Tissue Data'!$A:$A,'[1]Tissue Data'!J:J)</f>
        <v>U</v>
      </c>
      <c r="H587" t="str">
        <f>_xlfn.XLOOKUP(A587,'[1]Tissue Data'!$A:$A,'[1]Tissue Data'!K:K)</f>
        <v>Whole Body</v>
      </c>
      <c r="I587">
        <f>_xlfn.XLOOKUP(A587,'[1]Tissue Data'!$A:$A,'[1]Tissue Data'!L:L)</f>
        <v>7.5</v>
      </c>
      <c r="J587">
        <f>_xlfn.XLOOKUP(A587,'[1]Tissue Data'!$A:$A,'[1]Tissue Data'!M:M)</f>
        <v>5.45</v>
      </c>
      <c r="K587" t="s">
        <v>47</v>
      </c>
      <c r="L587" t="str">
        <f>_xlfn.XLOOKUP(K587,[2]analyte_order!$B:$B,[2]analyte_order!$C:$C)</f>
        <v>356-02-5</v>
      </c>
      <c r="M587">
        <f>_xlfn.XLOOKUP(L587,[2]analyte_order!$C:$C,[2]analyte_order!$E:$E)</f>
        <v>38</v>
      </c>
      <c r="N587">
        <v>7.7775876985265016E-2</v>
      </c>
    </row>
    <row r="588" spans="1:14">
      <c r="A588" t="s">
        <v>134</v>
      </c>
      <c r="B588" t="str">
        <f>_xlfn.XLOOKUP(A588,'[1]Tissue Data'!$A:$A,'[1]Tissue Data'!$C:$C)</f>
        <v>Down</v>
      </c>
      <c r="C588" s="2">
        <f>_xlfn.XLOOKUP(A588,'[1]Tissue Data'!$A:$A,'[1]Tissue Data'!$D:$D)</f>
        <v>44314</v>
      </c>
      <c r="D588" s="2" t="s">
        <v>131</v>
      </c>
      <c r="E588" t="str">
        <f>_xlfn.XLOOKUP(A588,'[1]Tissue Data'!$A:$A,'[1]Tissue Data'!$H:$H)</f>
        <v>Clinostomus</v>
      </c>
      <c r="F588" t="str">
        <f>_xlfn.XLOOKUP(A588,'[1]Tissue Data'!$A:$A,'[1]Tissue Data'!$I:$I)</f>
        <v>funduloides</v>
      </c>
      <c r="G588" t="str">
        <f>_xlfn.XLOOKUP(A588,'[1]Tissue Data'!$A:$A,'[1]Tissue Data'!J:J)</f>
        <v>U</v>
      </c>
      <c r="H588" t="str">
        <f>_xlfn.XLOOKUP(A588,'[1]Tissue Data'!$A:$A,'[1]Tissue Data'!K:K)</f>
        <v>Whole Body</v>
      </c>
      <c r="I588">
        <f>_xlfn.XLOOKUP(A588,'[1]Tissue Data'!$A:$A,'[1]Tissue Data'!L:L)</f>
        <v>7.5</v>
      </c>
      <c r="J588">
        <f>_xlfn.XLOOKUP(A588,'[1]Tissue Data'!$A:$A,'[1]Tissue Data'!M:M)</f>
        <v>5.45</v>
      </c>
      <c r="K588" t="s">
        <v>48</v>
      </c>
      <c r="L588" t="str">
        <f>_xlfn.XLOOKUP(K588,[2]analyte_order!$B:$B,[2]analyte_order!$C:$C)</f>
        <v>914637-49-3</v>
      </c>
      <c r="M588">
        <f>_xlfn.XLOOKUP(L588,[2]analyte_order!$C:$C,[2]analyte_order!$E:$E)</f>
        <v>39</v>
      </c>
      <c r="N588">
        <v>1.79</v>
      </c>
    </row>
    <row r="589" spans="1:14">
      <c r="A589" t="s">
        <v>134</v>
      </c>
      <c r="B589" t="str">
        <f>_xlfn.XLOOKUP(A589,'[1]Tissue Data'!$A:$A,'[1]Tissue Data'!$C:$C)</f>
        <v>Down</v>
      </c>
      <c r="C589" s="2">
        <f>_xlfn.XLOOKUP(A589,'[1]Tissue Data'!$A:$A,'[1]Tissue Data'!$D:$D)</f>
        <v>44314</v>
      </c>
      <c r="D589" s="2" t="s">
        <v>131</v>
      </c>
      <c r="E589" t="str">
        <f>_xlfn.XLOOKUP(A589,'[1]Tissue Data'!$A:$A,'[1]Tissue Data'!$H:$H)</f>
        <v>Clinostomus</v>
      </c>
      <c r="F589" t="str">
        <f>_xlfn.XLOOKUP(A589,'[1]Tissue Data'!$A:$A,'[1]Tissue Data'!$I:$I)</f>
        <v>funduloides</v>
      </c>
      <c r="G589" t="str">
        <f>_xlfn.XLOOKUP(A589,'[1]Tissue Data'!$A:$A,'[1]Tissue Data'!J:J)</f>
        <v>U</v>
      </c>
      <c r="H589" t="str">
        <f>_xlfn.XLOOKUP(A589,'[1]Tissue Data'!$A:$A,'[1]Tissue Data'!K:K)</f>
        <v>Whole Body</v>
      </c>
      <c r="I589">
        <f>_xlfn.XLOOKUP(A589,'[1]Tissue Data'!$A:$A,'[1]Tissue Data'!L:L)</f>
        <v>7.5</v>
      </c>
      <c r="J589">
        <f>_xlfn.XLOOKUP(A589,'[1]Tissue Data'!$A:$A,'[1]Tissue Data'!M:M)</f>
        <v>5.45</v>
      </c>
      <c r="K589" t="s">
        <v>49</v>
      </c>
      <c r="L589" t="str">
        <f>_xlfn.XLOOKUP(K589,[2]analyte_order!$B:$B,[2]analyte_order!$C:$C)</f>
        <v>812-70-4</v>
      </c>
      <c r="M589">
        <f>_xlfn.XLOOKUP(L589,[2]analyte_order!$C:$C,[2]analyte_order!$E:$E)</f>
        <v>40</v>
      </c>
      <c r="N589">
        <v>1.66</v>
      </c>
    </row>
    <row r="590" spans="1:14">
      <c r="A590" t="s">
        <v>134</v>
      </c>
      <c r="B590" t="str">
        <f>_xlfn.XLOOKUP(A590,'[1]Tissue Data'!$A:$A,'[1]Tissue Data'!$C:$C)</f>
        <v>Down</v>
      </c>
      <c r="C590" s="2">
        <f>_xlfn.XLOOKUP(A590,'[1]Tissue Data'!$A:$A,'[1]Tissue Data'!$D:$D)</f>
        <v>44314</v>
      </c>
      <c r="D590" s="2" t="s">
        <v>131</v>
      </c>
      <c r="E590" t="str">
        <f>_xlfn.XLOOKUP(A590,'[1]Tissue Data'!$A:$A,'[1]Tissue Data'!$H:$H)</f>
        <v>Clinostomus</v>
      </c>
      <c r="F590" t="str">
        <f>_xlfn.XLOOKUP(A590,'[1]Tissue Data'!$A:$A,'[1]Tissue Data'!$I:$I)</f>
        <v>funduloides</v>
      </c>
      <c r="G590" t="str">
        <f>_xlfn.XLOOKUP(A590,'[1]Tissue Data'!$A:$A,'[1]Tissue Data'!J:J)</f>
        <v>U</v>
      </c>
      <c r="H590" t="str">
        <f>_xlfn.XLOOKUP(A590,'[1]Tissue Data'!$A:$A,'[1]Tissue Data'!K:K)</f>
        <v>Whole Body</v>
      </c>
      <c r="I590">
        <f>_xlfn.XLOOKUP(A590,'[1]Tissue Data'!$A:$A,'[1]Tissue Data'!L:L)</f>
        <v>7.5</v>
      </c>
      <c r="J590">
        <f>_xlfn.XLOOKUP(A590,'[1]Tissue Data'!$A:$A,'[1]Tissue Data'!M:M)</f>
        <v>5.45</v>
      </c>
      <c r="K590" t="s">
        <v>50</v>
      </c>
      <c r="L590" t="str">
        <f>_xlfn.XLOOKUP(K590,[2]analyte_order!$B:$B,[2]analyte_order!$C:$C)</f>
        <v>53826-12-3</v>
      </c>
      <c r="M590">
        <f>_xlfn.XLOOKUP(L590,[2]analyte_order!$C:$C,[2]analyte_order!$E:$E)</f>
        <v>41</v>
      </c>
      <c r="N590">
        <v>2.77</v>
      </c>
    </row>
    <row r="591" spans="1:14">
      <c r="A591" t="s">
        <v>134</v>
      </c>
      <c r="B591" t="str">
        <f>_xlfn.XLOOKUP(A591,'[1]Tissue Data'!$A:$A,'[1]Tissue Data'!$C:$C)</f>
        <v>Down</v>
      </c>
      <c r="C591" s="2">
        <f>_xlfn.XLOOKUP(A591,'[1]Tissue Data'!$A:$A,'[1]Tissue Data'!$D:$D)</f>
        <v>44314</v>
      </c>
      <c r="D591" s="2" t="s">
        <v>131</v>
      </c>
      <c r="E591" t="str">
        <f>_xlfn.XLOOKUP(A591,'[1]Tissue Data'!$A:$A,'[1]Tissue Data'!$H:$H)</f>
        <v>Clinostomus</v>
      </c>
      <c r="F591" t="str">
        <f>_xlfn.XLOOKUP(A591,'[1]Tissue Data'!$A:$A,'[1]Tissue Data'!$I:$I)</f>
        <v>funduloides</v>
      </c>
      <c r="G591" t="str">
        <f>_xlfn.XLOOKUP(A591,'[1]Tissue Data'!$A:$A,'[1]Tissue Data'!J:J)</f>
        <v>U</v>
      </c>
      <c r="H591" t="str">
        <f>_xlfn.XLOOKUP(A591,'[1]Tissue Data'!$A:$A,'[1]Tissue Data'!K:K)</f>
        <v>Whole Body</v>
      </c>
      <c r="I591">
        <f>_xlfn.XLOOKUP(A591,'[1]Tissue Data'!$A:$A,'[1]Tissue Data'!L:L)</f>
        <v>7.5</v>
      </c>
      <c r="J591">
        <f>_xlfn.XLOOKUP(A591,'[1]Tissue Data'!$A:$A,'[1]Tissue Data'!M:M)</f>
        <v>5.45</v>
      </c>
      <c r="K591" t="s">
        <v>51</v>
      </c>
      <c r="L591" t="str">
        <f>_xlfn.XLOOKUP(K591,[2]analyte_order!$B:$B,[2]analyte_order!$C:$C)</f>
        <v>27854-31-5</v>
      </c>
      <c r="M591">
        <f>_xlfn.XLOOKUP(L591,[2]analyte_order!$C:$C,[2]analyte_order!$E:$E)</f>
        <v>42</v>
      </c>
      <c r="N591">
        <v>0.59</v>
      </c>
    </row>
    <row r="592" spans="1:14">
      <c r="A592" t="s">
        <v>134</v>
      </c>
      <c r="B592" t="str">
        <f>_xlfn.XLOOKUP(A592,'[1]Tissue Data'!$A:$A,'[1]Tissue Data'!$C:$C)</f>
        <v>Down</v>
      </c>
      <c r="C592" s="2">
        <f>_xlfn.XLOOKUP(A592,'[1]Tissue Data'!$A:$A,'[1]Tissue Data'!$D:$D)</f>
        <v>44314</v>
      </c>
      <c r="D592" s="2" t="s">
        <v>131</v>
      </c>
      <c r="E592" t="str">
        <f>_xlfn.XLOOKUP(A592,'[1]Tissue Data'!$A:$A,'[1]Tissue Data'!$H:$H)</f>
        <v>Clinostomus</v>
      </c>
      <c r="F592" t="str">
        <f>_xlfn.XLOOKUP(A592,'[1]Tissue Data'!$A:$A,'[1]Tissue Data'!$I:$I)</f>
        <v>funduloides</v>
      </c>
      <c r="G592" t="str">
        <f>_xlfn.XLOOKUP(A592,'[1]Tissue Data'!$A:$A,'[1]Tissue Data'!J:J)</f>
        <v>U</v>
      </c>
      <c r="H592" t="str">
        <f>_xlfn.XLOOKUP(A592,'[1]Tissue Data'!$A:$A,'[1]Tissue Data'!K:K)</f>
        <v>Whole Body</v>
      </c>
      <c r="I592">
        <f>_xlfn.XLOOKUP(A592,'[1]Tissue Data'!$A:$A,'[1]Tissue Data'!L:L)</f>
        <v>7.5</v>
      </c>
      <c r="J592">
        <f>_xlfn.XLOOKUP(A592,'[1]Tissue Data'!$A:$A,'[1]Tissue Data'!M:M)</f>
        <v>5.45</v>
      </c>
      <c r="K592" t="s">
        <v>52</v>
      </c>
      <c r="L592" t="str">
        <f>_xlfn.XLOOKUP(K592,[2]analyte_order!$B:$B,[2]analyte_order!$C:$C)</f>
        <v>53826-13-4</v>
      </c>
      <c r="M592">
        <f>_xlfn.XLOOKUP(L592,[2]analyte_order!$C:$C,[2]analyte_order!$E:$E)</f>
        <v>43</v>
      </c>
      <c r="N592">
        <v>0.10061352675979034</v>
      </c>
    </row>
    <row r="593" spans="1:14">
      <c r="A593" t="s">
        <v>134</v>
      </c>
      <c r="B593" t="str">
        <f>_xlfn.XLOOKUP(A593,'[1]Tissue Data'!$A:$A,'[1]Tissue Data'!$C:$C)</f>
        <v>Down</v>
      </c>
      <c r="C593" s="2">
        <f>_xlfn.XLOOKUP(A593,'[1]Tissue Data'!$A:$A,'[1]Tissue Data'!$D:$D)</f>
        <v>44314</v>
      </c>
      <c r="D593" s="2" t="s">
        <v>131</v>
      </c>
      <c r="E593" t="str">
        <f>_xlfn.XLOOKUP(A593,'[1]Tissue Data'!$A:$A,'[1]Tissue Data'!$H:$H)</f>
        <v>Clinostomus</v>
      </c>
      <c r="F593" t="str">
        <f>_xlfn.XLOOKUP(A593,'[1]Tissue Data'!$A:$A,'[1]Tissue Data'!$I:$I)</f>
        <v>funduloides</v>
      </c>
      <c r="G593" t="str">
        <f>_xlfn.XLOOKUP(A593,'[1]Tissue Data'!$A:$A,'[1]Tissue Data'!J:J)</f>
        <v>U</v>
      </c>
      <c r="H593" t="str">
        <f>_xlfn.XLOOKUP(A593,'[1]Tissue Data'!$A:$A,'[1]Tissue Data'!K:K)</f>
        <v>Whole Body</v>
      </c>
      <c r="I593">
        <f>_xlfn.XLOOKUP(A593,'[1]Tissue Data'!$A:$A,'[1]Tissue Data'!L:L)</f>
        <v>7.5</v>
      </c>
      <c r="J593">
        <f>_xlfn.XLOOKUP(A593,'[1]Tissue Data'!$A:$A,'[1]Tissue Data'!M:M)</f>
        <v>5.45</v>
      </c>
      <c r="K593" t="s">
        <v>53</v>
      </c>
      <c r="L593" t="str">
        <f>_xlfn.XLOOKUP(K593,[2]analyte_order!$B:$B,[2]analyte_order!$C:$C)</f>
        <v>161094-75-3</v>
      </c>
      <c r="M593">
        <f>_xlfn.XLOOKUP(L593,[2]analyte_order!$C:$C,[2]analyte_order!$E:$E)</f>
        <v>44</v>
      </c>
      <c r="N593">
        <v>5.2943164835838601E-2</v>
      </c>
    </row>
    <row r="594" spans="1:14">
      <c r="A594" t="s">
        <v>134</v>
      </c>
      <c r="B594" t="str">
        <f>_xlfn.XLOOKUP(A594,'[1]Tissue Data'!$A:$A,'[1]Tissue Data'!$C:$C)</f>
        <v>Down</v>
      </c>
      <c r="C594" s="2">
        <f>_xlfn.XLOOKUP(A594,'[1]Tissue Data'!$A:$A,'[1]Tissue Data'!$D:$D)</f>
        <v>44314</v>
      </c>
      <c r="D594" s="2" t="s">
        <v>131</v>
      </c>
      <c r="E594" t="str">
        <f>_xlfn.XLOOKUP(A594,'[1]Tissue Data'!$A:$A,'[1]Tissue Data'!$H:$H)</f>
        <v>Clinostomus</v>
      </c>
      <c r="F594" t="str">
        <f>_xlfn.XLOOKUP(A594,'[1]Tissue Data'!$A:$A,'[1]Tissue Data'!$I:$I)</f>
        <v>funduloides</v>
      </c>
      <c r="G594" t="str">
        <f>_xlfn.XLOOKUP(A594,'[1]Tissue Data'!$A:$A,'[1]Tissue Data'!J:J)</f>
        <v>U</v>
      </c>
      <c r="H594" t="str">
        <f>_xlfn.XLOOKUP(A594,'[1]Tissue Data'!$A:$A,'[1]Tissue Data'!K:K)</f>
        <v>Whole Body</v>
      </c>
      <c r="I594">
        <f>_xlfn.XLOOKUP(A594,'[1]Tissue Data'!$A:$A,'[1]Tissue Data'!L:L)</f>
        <v>7.5</v>
      </c>
      <c r="J594">
        <f>_xlfn.XLOOKUP(A594,'[1]Tissue Data'!$A:$A,'[1]Tissue Data'!M:M)</f>
        <v>5.45</v>
      </c>
      <c r="K594" t="s">
        <v>54</v>
      </c>
      <c r="L594" t="str">
        <f>_xlfn.XLOOKUP(K594,[2]analyte_order!$B:$B,[2]analyte_order!$C:$C)</f>
        <v>70887-84-2</v>
      </c>
      <c r="M594">
        <f>_xlfn.XLOOKUP(L594,[2]analyte_order!$C:$C,[2]analyte_order!$E:$E)</f>
        <v>45</v>
      </c>
      <c r="N594">
        <v>4.0746223817889636E-2</v>
      </c>
    </row>
    <row r="595" spans="1:14">
      <c r="A595" t="s">
        <v>134</v>
      </c>
      <c r="B595" t="str">
        <f>_xlfn.XLOOKUP(A595,'[1]Tissue Data'!$A:$A,'[1]Tissue Data'!$C:$C)</f>
        <v>Down</v>
      </c>
      <c r="C595" s="2">
        <f>_xlfn.XLOOKUP(A595,'[1]Tissue Data'!$A:$A,'[1]Tissue Data'!$D:$D)</f>
        <v>44314</v>
      </c>
      <c r="D595" s="2" t="s">
        <v>131</v>
      </c>
      <c r="E595" t="str">
        <f>_xlfn.XLOOKUP(A595,'[1]Tissue Data'!$A:$A,'[1]Tissue Data'!$H:$H)</f>
        <v>Clinostomus</v>
      </c>
      <c r="F595" t="str">
        <f>_xlfn.XLOOKUP(A595,'[1]Tissue Data'!$A:$A,'[1]Tissue Data'!$I:$I)</f>
        <v>funduloides</v>
      </c>
      <c r="G595" t="str">
        <f>_xlfn.XLOOKUP(A595,'[1]Tissue Data'!$A:$A,'[1]Tissue Data'!J:J)</f>
        <v>U</v>
      </c>
      <c r="H595" t="str">
        <f>_xlfn.XLOOKUP(A595,'[1]Tissue Data'!$A:$A,'[1]Tissue Data'!K:K)</f>
        <v>Whole Body</v>
      </c>
      <c r="I595">
        <f>_xlfn.XLOOKUP(A595,'[1]Tissue Data'!$A:$A,'[1]Tissue Data'!L:L)</f>
        <v>7.5</v>
      </c>
      <c r="J595">
        <f>_xlfn.XLOOKUP(A595,'[1]Tissue Data'!$A:$A,'[1]Tissue Data'!M:M)</f>
        <v>5.45</v>
      </c>
      <c r="K595" t="s">
        <v>55</v>
      </c>
      <c r="L595" t="str">
        <f>_xlfn.XLOOKUP(K595,[2]analyte_order!$B:$B,[2]analyte_order!$C:$C)</f>
        <v>919005-14-4</v>
      </c>
      <c r="M595">
        <f>_xlfn.XLOOKUP(L595,[2]analyte_order!$C:$C,[2]analyte_order!$E:$E)</f>
        <v>35</v>
      </c>
      <c r="N595">
        <v>6.7426639815880318E-2</v>
      </c>
    </row>
    <row r="596" spans="1:14">
      <c r="A596" t="s">
        <v>134</v>
      </c>
      <c r="B596" t="str">
        <f>_xlfn.XLOOKUP(A596,'[1]Tissue Data'!$A:$A,'[1]Tissue Data'!$C:$C)</f>
        <v>Down</v>
      </c>
      <c r="C596" s="2">
        <f>_xlfn.XLOOKUP(A596,'[1]Tissue Data'!$A:$A,'[1]Tissue Data'!$D:$D)</f>
        <v>44314</v>
      </c>
      <c r="D596" s="2" t="s">
        <v>131</v>
      </c>
      <c r="E596" t="str">
        <f>_xlfn.XLOOKUP(A596,'[1]Tissue Data'!$A:$A,'[1]Tissue Data'!$H:$H)</f>
        <v>Clinostomus</v>
      </c>
      <c r="F596" t="str">
        <f>_xlfn.XLOOKUP(A596,'[1]Tissue Data'!$A:$A,'[1]Tissue Data'!$I:$I)</f>
        <v>funduloides</v>
      </c>
      <c r="G596" t="str">
        <f>_xlfn.XLOOKUP(A596,'[1]Tissue Data'!$A:$A,'[1]Tissue Data'!J:J)</f>
        <v>U</v>
      </c>
      <c r="H596" t="str">
        <f>_xlfn.XLOOKUP(A596,'[1]Tissue Data'!$A:$A,'[1]Tissue Data'!K:K)</f>
        <v>Whole Body</v>
      </c>
      <c r="I596">
        <f>_xlfn.XLOOKUP(A596,'[1]Tissue Data'!$A:$A,'[1]Tissue Data'!L:L)</f>
        <v>7.5</v>
      </c>
      <c r="J596">
        <f>_xlfn.XLOOKUP(A596,'[1]Tissue Data'!$A:$A,'[1]Tissue Data'!M:M)</f>
        <v>5.45</v>
      </c>
      <c r="K596" t="s">
        <v>56</v>
      </c>
      <c r="L596" t="str">
        <f>_xlfn.XLOOKUP(K596,[2]analyte_order!$B:$B,[2]analyte_order!$C:$C)</f>
        <v>756426-58-1</v>
      </c>
      <c r="M596">
        <f>_xlfn.XLOOKUP(L596,[2]analyte_order!$C:$C,[2]analyte_order!$E:$E)</f>
        <v>36</v>
      </c>
      <c r="N596">
        <v>4.680127835690269E-2</v>
      </c>
    </row>
    <row r="597" spans="1:14">
      <c r="A597" t="s">
        <v>134</v>
      </c>
      <c r="B597" t="str">
        <f>_xlfn.XLOOKUP(A597,'[1]Tissue Data'!$A:$A,'[1]Tissue Data'!$C:$C)</f>
        <v>Down</v>
      </c>
      <c r="C597" s="2">
        <f>_xlfn.XLOOKUP(A597,'[1]Tissue Data'!$A:$A,'[1]Tissue Data'!$D:$D)</f>
        <v>44314</v>
      </c>
      <c r="D597" s="2" t="s">
        <v>131</v>
      </c>
      <c r="E597" t="str">
        <f>_xlfn.XLOOKUP(A597,'[1]Tissue Data'!$A:$A,'[1]Tissue Data'!$H:$H)</f>
        <v>Clinostomus</v>
      </c>
      <c r="F597" t="str">
        <f>_xlfn.XLOOKUP(A597,'[1]Tissue Data'!$A:$A,'[1]Tissue Data'!$I:$I)</f>
        <v>funduloides</v>
      </c>
      <c r="G597" t="str">
        <f>_xlfn.XLOOKUP(A597,'[1]Tissue Data'!$A:$A,'[1]Tissue Data'!J:J)</f>
        <v>U</v>
      </c>
      <c r="H597" t="str">
        <f>_xlfn.XLOOKUP(A597,'[1]Tissue Data'!$A:$A,'[1]Tissue Data'!K:K)</f>
        <v>Whole Body</v>
      </c>
      <c r="I597">
        <f>_xlfn.XLOOKUP(A597,'[1]Tissue Data'!$A:$A,'[1]Tissue Data'!L:L)</f>
        <v>7.5</v>
      </c>
      <c r="J597">
        <f>_xlfn.XLOOKUP(A597,'[1]Tissue Data'!$A:$A,'[1]Tissue Data'!M:M)</f>
        <v>5.45</v>
      </c>
      <c r="K597" t="s">
        <v>57</v>
      </c>
      <c r="L597" t="str">
        <f>_xlfn.XLOOKUP(K597,[2]analyte_order!$B:$B,[2]analyte_order!$C:$C)</f>
        <v>763051-92-9</v>
      </c>
      <c r="M597">
        <f>_xlfn.XLOOKUP(L597,[2]analyte_order!$C:$C,[2]analyte_order!$E:$E)</f>
        <v>37</v>
      </c>
      <c r="N597">
        <v>5.313155467909414E-2</v>
      </c>
    </row>
    <row r="598" spans="1:14">
      <c r="A598" t="s">
        <v>134</v>
      </c>
      <c r="B598" t="str">
        <f>_xlfn.XLOOKUP(A598,'[1]Tissue Data'!$A:$A,'[1]Tissue Data'!$C:$C)</f>
        <v>Down</v>
      </c>
      <c r="C598" s="2">
        <f>_xlfn.XLOOKUP(A598,'[1]Tissue Data'!$A:$A,'[1]Tissue Data'!$D:$D)</f>
        <v>44314</v>
      </c>
      <c r="D598" s="2" t="s">
        <v>131</v>
      </c>
      <c r="E598" t="str">
        <f>_xlfn.XLOOKUP(A598,'[1]Tissue Data'!$A:$A,'[1]Tissue Data'!$H:$H)</f>
        <v>Clinostomus</v>
      </c>
      <c r="F598" t="str">
        <f>_xlfn.XLOOKUP(A598,'[1]Tissue Data'!$A:$A,'[1]Tissue Data'!$I:$I)</f>
        <v>funduloides</v>
      </c>
      <c r="G598" t="str">
        <f>_xlfn.XLOOKUP(A598,'[1]Tissue Data'!$A:$A,'[1]Tissue Data'!J:J)</f>
        <v>U</v>
      </c>
      <c r="H598" t="str">
        <f>_xlfn.XLOOKUP(A598,'[1]Tissue Data'!$A:$A,'[1]Tissue Data'!K:K)</f>
        <v>Whole Body</v>
      </c>
      <c r="I598">
        <f>_xlfn.XLOOKUP(A598,'[1]Tissue Data'!$A:$A,'[1]Tissue Data'!L:L)</f>
        <v>7.5</v>
      </c>
      <c r="J598">
        <f>_xlfn.XLOOKUP(A598,'[1]Tissue Data'!$A:$A,'[1]Tissue Data'!M:M)</f>
        <v>5.45</v>
      </c>
      <c r="K598" t="s">
        <v>58</v>
      </c>
      <c r="L598" t="str">
        <f>_xlfn.XLOOKUP(K598,[2]analyte_order!$B:$B,[2]analyte_order!$C:$C)</f>
        <v>13252-13-6</v>
      </c>
      <c r="M598">
        <f>_xlfn.XLOOKUP(L598,[2]analyte_order!$C:$C,[2]analyte_order!$E:$E)</f>
        <v>34</v>
      </c>
      <c r="N598">
        <v>9.6759154175731818E-2</v>
      </c>
    </row>
    <row r="599" spans="1:14">
      <c r="A599" t="s">
        <v>134</v>
      </c>
      <c r="B599" t="str">
        <f>_xlfn.XLOOKUP(A599,'[1]Tissue Data'!$A:$A,'[1]Tissue Data'!$C:$C)</f>
        <v>Down</v>
      </c>
      <c r="C599" s="2">
        <f>_xlfn.XLOOKUP(A599,'[1]Tissue Data'!$A:$A,'[1]Tissue Data'!$D:$D)</f>
        <v>44314</v>
      </c>
      <c r="D599" s="2" t="s">
        <v>131</v>
      </c>
      <c r="E599" t="str">
        <f>_xlfn.XLOOKUP(A599,'[1]Tissue Data'!$A:$A,'[1]Tissue Data'!$H:$H)</f>
        <v>Clinostomus</v>
      </c>
      <c r="F599" t="str">
        <f>_xlfn.XLOOKUP(A599,'[1]Tissue Data'!$A:$A,'[1]Tissue Data'!$I:$I)</f>
        <v>funduloides</v>
      </c>
      <c r="G599" t="str">
        <f>_xlfn.XLOOKUP(A599,'[1]Tissue Data'!$A:$A,'[1]Tissue Data'!J:J)</f>
        <v>U</v>
      </c>
      <c r="H599" t="str">
        <f>_xlfn.XLOOKUP(A599,'[1]Tissue Data'!$A:$A,'[1]Tissue Data'!K:K)</f>
        <v>Whole Body</v>
      </c>
      <c r="I599">
        <f>_xlfn.XLOOKUP(A599,'[1]Tissue Data'!$A:$A,'[1]Tissue Data'!L:L)</f>
        <v>7.5</v>
      </c>
      <c r="J599">
        <f>_xlfn.XLOOKUP(A599,'[1]Tissue Data'!$A:$A,'[1]Tissue Data'!M:M)</f>
        <v>5.45</v>
      </c>
      <c r="K599" t="s">
        <v>59</v>
      </c>
      <c r="L599" t="str">
        <f>_xlfn.XLOOKUP(K599,[2]analyte_order!$B:$B,[2]analyte_order!$C:$C)</f>
        <v>57677-95-9</v>
      </c>
      <c r="M599">
        <f>_xlfn.XLOOKUP(L599,[2]analyte_order!$C:$C,[2]analyte_order!$E:$E)</f>
        <v>46</v>
      </c>
      <c r="N599">
        <v>7.1777609105518184E-2</v>
      </c>
    </row>
    <row r="600" spans="1:14">
      <c r="A600" t="s">
        <v>134</v>
      </c>
      <c r="B600" t="str">
        <f>_xlfn.XLOOKUP(A600,'[1]Tissue Data'!$A:$A,'[1]Tissue Data'!$C:$C)</f>
        <v>Down</v>
      </c>
      <c r="C600" s="2">
        <f>_xlfn.XLOOKUP(A600,'[1]Tissue Data'!$A:$A,'[1]Tissue Data'!$D:$D)</f>
        <v>44314</v>
      </c>
      <c r="D600" s="2" t="s">
        <v>131</v>
      </c>
      <c r="E600" t="str">
        <f>_xlfn.XLOOKUP(A600,'[1]Tissue Data'!$A:$A,'[1]Tissue Data'!$H:$H)</f>
        <v>Clinostomus</v>
      </c>
      <c r="F600" t="str">
        <f>_xlfn.XLOOKUP(A600,'[1]Tissue Data'!$A:$A,'[1]Tissue Data'!$I:$I)</f>
        <v>funduloides</v>
      </c>
      <c r="G600" t="str">
        <f>_xlfn.XLOOKUP(A600,'[1]Tissue Data'!$A:$A,'[1]Tissue Data'!J:J)</f>
        <v>U</v>
      </c>
      <c r="H600" t="str">
        <f>_xlfn.XLOOKUP(A600,'[1]Tissue Data'!$A:$A,'[1]Tissue Data'!K:K)</f>
        <v>Whole Body</v>
      </c>
      <c r="I600">
        <f>_xlfn.XLOOKUP(A600,'[1]Tissue Data'!$A:$A,'[1]Tissue Data'!L:L)</f>
        <v>7.5</v>
      </c>
      <c r="J600">
        <f>_xlfn.XLOOKUP(A600,'[1]Tissue Data'!$A:$A,'[1]Tissue Data'!M:M)</f>
        <v>5.45</v>
      </c>
      <c r="K600" t="s">
        <v>60</v>
      </c>
      <c r="L600" t="str">
        <f>_xlfn.XLOOKUP(K600,[2]analyte_order!$B:$B,[2]analyte_order!$C:$C)</f>
        <v>678-41-1</v>
      </c>
      <c r="M600">
        <f>_xlfn.XLOOKUP(L600,[2]analyte_order!$C:$C,[2]analyte_order!$E:$E)</f>
        <v>56</v>
      </c>
      <c r="N600">
        <v>8.9395183547765031E-2</v>
      </c>
    </row>
    <row r="601" spans="1:14">
      <c r="A601" t="s">
        <v>134</v>
      </c>
      <c r="B601" t="str">
        <f>_xlfn.XLOOKUP(A601,'[1]Tissue Data'!$A:$A,'[1]Tissue Data'!$C:$C)</f>
        <v>Down</v>
      </c>
      <c r="C601" s="2">
        <f>_xlfn.XLOOKUP(A601,'[1]Tissue Data'!$A:$A,'[1]Tissue Data'!$D:$D)</f>
        <v>44314</v>
      </c>
      <c r="D601" s="2" t="s">
        <v>131</v>
      </c>
      <c r="E601" t="str">
        <f>_xlfn.XLOOKUP(A601,'[1]Tissue Data'!$A:$A,'[1]Tissue Data'!$H:$H)</f>
        <v>Clinostomus</v>
      </c>
      <c r="F601" t="str">
        <f>_xlfn.XLOOKUP(A601,'[1]Tissue Data'!$A:$A,'[1]Tissue Data'!$I:$I)</f>
        <v>funduloides</v>
      </c>
      <c r="G601" t="str">
        <f>_xlfn.XLOOKUP(A601,'[1]Tissue Data'!$A:$A,'[1]Tissue Data'!J:J)</f>
        <v>U</v>
      </c>
      <c r="H601" t="str">
        <f>_xlfn.XLOOKUP(A601,'[1]Tissue Data'!$A:$A,'[1]Tissue Data'!K:K)</f>
        <v>Whole Body</v>
      </c>
      <c r="I601">
        <f>_xlfn.XLOOKUP(A601,'[1]Tissue Data'!$A:$A,'[1]Tissue Data'!L:L)</f>
        <v>7.5</v>
      </c>
      <c r="J601">
        <f>_xlfn.XLOOKUP(A601,'[1]Tissue Data'!$A:$A,'[1]Tissue Data'!M:M)</f>
        <v>5.45</v>
      </c>
      <c r="K601" t="s">
        <v>61</v>
      </c>
      <c r="L601" t="str">
        <f>_xlfn.XLOOKUP(K601,[2]analyte_order!$B:$B,[2]analyte_order!$C:$C)</f>
        <v>2965-52-8</v>
      </c>
      <c r="M601">
        <f>_xlfn.XLOOKUP(L601,[2]analyte_order!$C:$C,[2]analyte_order!$E:$E)</f>
        <v>57</v>
      </c>
      <c r="N601">
        <v>0.11867088607594935</v>
      </c>
    </row>
    <row r="602" spans="1:14">
      <c r="A602" t="s">
        <v>135</v>
      </c>
      <c r="B602" t="str">
        <f>_xlfn.XLOOKUP(A602,'[1]Tissue Data'!$A:$A,'[1]Tissue Data'!$C:$C)</f>
        <v>Down</v>
      </c>
      <c r="C602" s="2">
        <f>_xlfn.XLOOKUP(A602,'[1]Tissue Data'!$A:$A,'[1]Tissue Data'!$D:$D)</f>
        <v>44314</v>
      </c>
      <c r="D602" s="2" t="s">
        <v>131</v>
      </c>
      <c r="E602" t="str">
        <f>_xlfn.XLOOKUP(A602,'[1]Tissue Data'!$A:$A,'[1]Tissue Data'!$H:$H)</f>
        <v>Clinostomus</v>
      </c>
      <c r="F602" t="str">
        <f>_xlfn.XLOOKUP(A602,'[1]Tissue Data'!$A:$A,'[1]Tissue Data'!$I:$I)</f>
        <v>funduloides</v>
      </c>
      <c r="G602" t="str">
        <f>_xlfn.XLOOKUP(A602,'[1]Tissue Data'!$A:$A,'[1]Tissue Data'!J:J)</f>
        <v>U</v>
      </c>
      <c r="H602" t="str">
        <f>_xlfn.XLOOKUP(A602,'[1]Tissue Data'!$A:$A,'[1]Tissue Data'!K:K)</f>
        <v>Whole Body</v>
      </c>
      <c r="I602">
        <f>_xlfn.XLOOKUP(A602,'[1]Tissue Data'!$A:$A,'[1]Tissue Data'!L:L)</f>
        <v>8</v>
      </c>
      <c r="J602">
        <f>_xlfn.XLOOKUP(A602,'[1]Tissue Data'!$A:$A,'[1]Tissue Data'!M:M)</f>
        <v>8.15</v>
      </c>
      <c r="K602" t="s">
        <v>12</v>
      </c>
      <c r="L602" t="str">
        <f>_xlfn.XLOOKUP(K602,[2]analyte_order!$B:$B,[2]analyte_order!$C:$C)</f>
        <v>375-22-4</v>
      </c>
      <c r="M602">
        <f>_xlfn.XLOOKUP(L602,[2]analyte_order!$C:$C,[2]analyte_order!$E:$E)</f>
        <v>1</v>
      </c>
      <c r="N602">
        <v>2.7537083272139815E-2</v>
      </c>
    </row>
    <row r="603" spans="1:14">
      <c r="A603" t="s">
        <v>135</v>
      </c>
      <c r="B603" t="str">
        <f>_xlfn.XLOOKUP(A603,'[1]Tissue Data'!$A:$A,'[1]Tissue Data'!$C:$C)</f>
        <v>Down</v>
      </c>
      <c r="C603" s="2">
        <f>_xlfn.XLOOKUP(A603,'[1]Tissue Data'!$A:$A,'[1]Tissue Data'!$D:$D)</f>
        <v>44314</v>
      </c>
      <c r="D603" s="2" t="s">
        <v>131</v>
      </c>
      <c r="E603" t="str">
        <f>_xlfn.XLOOKUP(A603,'[1]Tissue Data'!$A:$A,'[1]Tissue Data'!$H:$H)</f>
        <v>Clinostomus</v>
      </c>
      <c r="F603" t="str">
        <f>_xlfn.XLOOKUP(A603,'[1]Tissue Data'!$A:$A,'[1]Tissue Data'!$I:$I)</f>
        <v>funduloides</v>
      </c>
      <c r="G603" t="str">
        <f>_xlfn.XLOOKUP(A603,'[1]Tissue Data'!$A:$A,'[1]Tissue Data'!J:J)</f>
        <v>U</v>
      </c>
      <c r="H603" t="str">
        <f>_xlfn.XLOOKUP(A603,'[1]Tissue Data'!$A:$A,'[1]Tissue Data'!K:K)</f>
        <v>Whole Body</v>
      </c>
      <c r="I603">
        <f>_xlfn.XLOOKUP(A603,'[1]Tissue Data'!$A:$A,'[1]Tissue Data'!L:L)</f>
        <v>8</v>
      </c>
      <c r="J603">
        <f>_xlfn.XLOOKUP(A603,'[1]Tissue Data'!$A:$A,'[1]Tissue Data'!M:M)</f>
        <v>8.15</v>
      </c>
      <c r="K603" t="s">
        <v>13</v>
      </c>
      <c r="L603" t="str">
        <f>_xlfn.XLOOKUP(K603,[2]analyte_order!$B:$B,[2]analyte_order!$C:$C)</f>
        <v>2706-90-3</v>
      </c>
      <c r="M603">
        <f>_xlfn.XLOOKUP(L603,[2]analyte_order!$C:$C,[2]analyte_order!$E:$E)</f>
        <v>2</v>
      </c>
      <c r="N603">
        <v>4.8640216082895801E-2</v>
      </c>
    </row>
    <row r="604" spans="1:14">
      <c r="A604" t="s">
        <v>135</v>
      </c>
      <c r="B604" t="str">
        <f>_xlfn.XLOOKUP(A604,'[1]Tissue Data'!$A:$A,'[1]Tissue Data'!$C:$C)</f>
        <v>Down</v>
      </c>
      <c r="C604" s="2">
        <f>_xlfn.XLOOKUP(A604,'[1]Tissue Data'!$A:$A,'[1]Tissue Data'!$D:$D)</f>
        <v>44314</v>
      </c>
      <c r="D604" s="2" t="s">
        <v>131</v>
      </c>
      <c r="E604" t="str">
        <f>_xlfn.XLOOKUP(A604,'[1]Tissue Data'!$A:$A,'[1]Tissue Data'!$H:$H)</f>
        <v>Clinostomus</v>
      </c>
      <c r="F604" t="str">
        <f>_xlfn.XLOOKUP(A604,'[1]Tissue Data'!$A:$A,'[1]Tissue Data'!$I:$I)</f>
        <v>funduloides</v>
      </c>
      <c r="G604" t="str">
        <f>_xlfn.XLOOKUP(A604,'[1]Tissue Data'!$A:$A,'[1]Tissue Data'!J:J)</f>
        <v>U</v>
      </c>
      <c r="H604" t="str">
        <f>_xlfn.XLOOKUP(A604,'[1]Tissue Data'!$A:$A,'[1]Tissue Data'!K:K)</f>
        <v>Whole Body</v>
      </c>
      <c r="I604">
        <f>_xlfn.XLOOKUP(A604,'[1]Tissue Data'!$A:$A,'[1]Tissue Data'!L:L)</f>
        <v>8</v>
      </c>
      <c r="J604">
        <f>_xlfn.XLOOKUP(A604,'[1]Tissue Data'!$A:$A,'[1]Tissue Data'!M:M)</f>
        <v>8.15</v>
      </c>
      <c r="K604" t="s">
        <v>14</v>
      </c>
      <c r="L604" t="str">
        <f>_xlfn.XLOOKUP(K604,[2]analyte_order!$B:$B,[2]analyte_order!$C:$C)</f>
        <v>307-24-4</v>
      </c>
      <c r="M604">
        <f>_xlfn.XLOOKUP(L604,[2]analyte_order!$C:$C,[2]analyte_order!$E:$E)</f>
        <v>3</v>
      </c>
      <c r="N604">
        <v>3.715380794088248E-2</v>
      </c>
    </row>
    <row r="605" spans="1:14">
      <c r="A605" t="s">
        <v>135</v>
      </c>
      <c r="B605" t="str">
        <f>_xlfn.XLOOKUP(A605,'[1]Tissue Data'!$A:$A,'[1]Tissue Data'!$C:$C)</f>
        <v>Down</v>
      </c>
      <c r="C605" s="2">
        <f>_xlfn.XLOOKUP(A605,'[1]Tissue Data'!$A:$A,'[1]Tissue Data'!$D:$D)</f>
        <v>44314</v>
      </c>
      <c r="D605" s="2" t="s">
        <v>131</v>
      </c>
      <c r="E605" t="str">
        <f>_xlfn.XLOOKUP(A605,'[1]Tissue Data'!$A:$A,'[1]Tissue Data'!$H:$H)</f>
        <v>Clinostomus</v>
      </c>
      <c r="F605" t="str">
        <f>_xlfn.XLOOKUP(A605,'[1]Tissue Data'!$A:$A,'[1]Tissue Data'!$I:$I)</f>
        <v>funduloides</v>
      </c>
      <c r="G605" t="str">
        <f>_xlfn.XLOOKUP(A605,'[1]Tissue Data'!$A:$A,'[1]Tissue Data'!J:J)</f>
        <v>U</v>
      </c>
      <c r="H605" t="str">
        <f>_xlfn.XLOOKUP(A605,'[1]Tissue Data'!$A:$A,'[1]Tissue Data'!K:K)</f>
        <v>Whole Body</v>
      </c>
      <c r="I605">
        <f>_xlfn.XLOOKUP(A605,'[1]Tissue Data'!$A:$A,'[1]Tissue Data'!L:L)</f>
        <v>8</v>
      </c>
      <c r="J605">
        <f>_xlfn.XLOOKUP(A605,'[1]Tissue Data'!$A:$A,'[1]Tissue Data'!M:M)</f>
        <v>8.15</v>
      </c>
      <c r="K605" t="s">
        <v>15</v>
      </c>
      <c r="L605" t="str">
        <f>_xlfn.XLOOKUP(K605,[2]analyte_order!$B:$B,[2]analyte_order!$C:$C)</f>
        <v>375-85-9</v>
      </c>
      <c r="M605">
        <f>_xlfn.XLOOKUP(L605,[2]analyte_order!$C:$C,[2]analyte_order!$E:$E)</f>
        <v>4</v>
      </c>
      <c r="N605">
        <v>9.0397750100441931E-2</v>
      </c>
    </row>
    <row r="606" spans="1:14">
      <c r="A606" t="s">
        <v>135</v>
      </c>
      <c r="B606" t="str">
        <f>_xlfn.XLOOKUP(A606,'[1]Tissue Data'!$A:$A,'[1]Tissue Data'!$C:$C)</f>
        <v>Down</v>
      </c>
      <c r="C606" s="2">
        <f>_xlfn.XLOOKUP(A606,'[1]Tissue Data'!$A:$A,'[1]Tissue Data'!$D:$D)</f>
        <v>44314</v>
      </c>
      <c r="D606" s="2" t="s">
        <v>131</v>
      </c>
      <c r="E606" t="str">
        <f>_xlfn.XLOOKUP(A606,'[1]Tissue Data'!$A:$A,'[1]Tissue Data'!$H:$H)</f>
        <v>Clinostomus</v>
      </c>
      <c r="F606" t="str">
        <f>_xlfn.XLOOKUP(A606,'[1]Tissue Data'!$A:$A,'[1]Tissue Data'!$I:$I)</f>
        <v>funduloides</v>
      </c>
      <c r="G606" t="str">
        <f>_xlfn.XLOOKUP(A606,'[1]Tissue Data'!$A:$A,'[1]Tissue Data'!J:J)</f>
        <v>U</v>
      </c>
      <c r="H606" t="str">
        <f>_xlfn.XLOOKUP(A606,'[1]Tissue Data'!$A:$A,'[1]Tissue Data'!K:K)</f>
        <v>Whole Body</v>
      </c>
      <c r="I606">
        <f>_xlfn.XLOOKUP(A606,'[1]Tissue Data'!$A:$A,'[1]Tissue Data'!L:L)</f>
        <v>8</v>
      </c>
      <c r="J606">
        <f>_xlfn.XLOOKUP(A606,'[1]Tissue Data'!$A:$A,'[1]Tissue Data'!M:M)</f>
        <v>8.15</v>
      </c>
      <c r="K606" t="s">
        <v>16</v>
      </c>
      <c r="L606" t="str">
        <f>_xlfn.XLOOKUP(K606,[2]analyte_order!$B:$B,[2]analyte_order!$C:$C)</f>
        <v>335-67-1</v>
      </c>
      <c r="M606">
        <f>_xlfn.XLOOKUP(L606,[2]analyte_order!$C:$C,[2]analyte_order!$E:$E)</f>
        <v>5</v>
      </c>
      <c r="N606">
        <v>0.68600000000000005</v>
      </c>
    </row>
    <row r="607" spans="1:14">
      <c r="A607" t="s">
        <v>135</v>
      </c>
      <c r="B607" t="str">
        <f>_xlfn.XLOOKUP(A607,'[1]Tissue Data'!$A:$A,'[1]Tissue Data'!$C:$C)</f>
        <v>Down</v>
      </c>
      <c r="C607" s="2">
        <f>_xlfn.XLOOKUP(A607,'[1]Tissue Data'!$A:$A,'[1]Tissue Data'!$D:$D)</f>
        <v>44314</v>
      </c>
      <c r="D607" s="2" t="s">
        <v>131</v>
      </c>
      <c r="E607" t="str">
        <f>_xlfn.XLOOKUP(A607,'[1]Tissue Data'!$A:$A,'[1]Tissue Data'!$H:$H)</f>
        <v>Clinostomus</v>
      </c>
      <c r="F607" t="str">
        <f>_xlfn.XLOOKUP(A607,'[1]Tissue Data'!$A:$A,'[1]Tissue Data'!$I:$I)</f>
        <v>funduloides</v>
      </c>
      <c r="G607" t="str">
        <f>_xlfn.XLOOKUP(A607,'[1]Tissue Data'!$A:$A,'[1]Tissue Data'!J:J)</f>
        <v>U</v>
      </c>
      <c r="H607" t="str">
        <f>_xlfn.XLOOKUP(A607,'[1]Tissue Data'!$A:$A,'[1]Tissue Data'!K:K)</f>
        <v>Whole Body</v>
      </c>
      <c r="I607">
        <f>_xlfn.XLOOKUP(A607,'[1]Tissue Data'!$A:$A,'[1]Tissue Data'!L:L)</f>
        <v>8</v>
      </c>
      <c r="J607">
        <f>_xlfn.XLOOKUP(A607,'[1]Tissue Data'!$A:$A,'[1]Tissue Data'!M:M)</f>
        <v>8.15</v>
      </c>
      <c r="K607" t="s">
        <v>17</v>
      </c>
      <c r="L607" t="str">
        <f>_xlfn.XLOOKUP(K607,[2]analyte_order!$B:$B,[2]analyte_order!$C:$C)</f>
        <v>375-95-1</v>
      </c>
      <c r="M607">
        <f>_xlfn.XLOOKUP(L607,[2]analyte_order!$C:$C,[2]analyte_order!$E:$E)</f>
        <v>6</v>
      </c>
      <c r="N607">
        <v>0.98699999999999999</v>
      </c>
    </row>
    <row r="608" spans="1:14">
      <c r="A608" t="s">
        <v>135</v>
      </c>
      <c r="B608" t="str">
        <f>_xlfn.XLOOKUP(A608,'[1]Tissue Data'!$A:$A,'[1]Tissue Data'!$C:$C)</f>
        <v>Down</v>
      </c>
      <c r="C608" s="2">
        <f>_xlfn.XLOOKUP(A608,'[1]Tissue Data'!$A:$A,'[1]Tissue Data'!$D:$D)</f>
        <v>44314</v>
      </c>
      <c r="D608" s="2" t="s">
        <v>131</v>
      </c>
      <c r="E608" t="str">
        <f>_xlfn.XLOOKUP(A608,'[1]Tissue Data'!$A:$A,'[1]Tissue Data'!$H:$H)</f>
        <v>Clinostomus</v>
      </c>
      <c r="F608" t="str">
        <f>_xlfn.XLOOKUP(A608,'[1]Tissue Data'!$A:$A,'[1]Tissue Data'!$I:$I)</f>
        <v>funduloides</v>
      </c>
      <c r="G608" t="str">
        <f>_xlfn.XLOOKUP(A608,'[1]Tissue Data'!$A:$A,'[1]Tissue Data'!J:J)</f>
        <v>U</v>
      </c>
      <c r="H608" t="str">
        <f>_xlfn.XLOOKUP(A608,'[1]Tissue Data'!$A:$A,'[1]Tissue Data'!K:K)</f>
        <v>Whole Body</v>
      </c>
      <c r="I608">
        <f>_xlfn.XLOOKUP(A608,'[1]Tissue Data'!$A:$A,'[1]Tissue Data'!L:L)</f>
        <v>8</v>
      </c>
      <c r="J608">
        <f>_xlfn.XLOOKUP(A608,'[1]Tissue Data'!$A:$A,'[1]Tissue Data'!M:M)</f>
        <v>8.15</v>
      </c>
      <c r="K608" t="s">
        <v>18</v>
      </c>
      <c r="L608" t="str">
        <f>_xlfn.XLOOKUP(K608,[2]analyte_order!$B:$B,[2]analyte_order!$C:$C)</f>
        <v>335-76-2</v>
      </c>
      <c r="M608">
        <f>_xlfn.XLOOKUP(L608,[2]analyte_order!$C:$C,[2]analyte_order!$E:$E)</f>
        <v>7</v>
      </c>
      <c r="N608">
        <v>4.8499999999999996</v>
      </c>
    </row>
    <row r="609" spans="1:14">
      <c r="A609" t="s">
        <v>135</v>
      </c>
      <c r="B609" t="str">
        <f>_xlfn.XLOOKUP(A609,'[1]Tissue Data'!$A:$A,'[1]Tissue Data'!$C:$C)</f>
        <v>Down</v>
      </c>
      <c r="C609" s="2">
        <f>_xlfn.XLOOKUP(A609,'[1]Tissue Data'!$A:$A,'[1]Tissue Data'!$D:$D)</f>
        <v>44314</v>
      </c>
      <c r="D609" s="2" t="s">
        <v>131</v>
      </c>
      <c r="E609" t="str">
        <f>_xlfn.XLOOKUP(A609,'[1]Tissue Data'!$A:$A,'[1]Tissue Data'!$H:$H)</f>
        <v>Clinostomus</v>
      </c>
      <c r="F609" t="str">
        <f>_xlfn.XLOOKUP(A609,'[1]Tissue Data'!$A:$A,'[1]Tissue Data'!$I:$I)</f>
        <v>funduloides</v>
      </c>
      <c r="G609" t="str">
        <f>_xlfn.XLOOKUP(A609,'[1]Tissue Data'!$A:$A,'[1]Tissue Data'!J:J)</f>
        <v>U</v>
      </c>
      <c r="H609" t="str">
        <f>_xlfn.XLOOKUP(A609,'[1]Tissue Data'!$A:$A,'[1]Tissue Data'!K:K)</f>
        <v>Whole Body</v>
      </c>
      <c r="I609">
        <f>_xlfn.XLOOKUP(A609,'[1]Tissue Data'!$A:$A,'[1]Tissue Data'!L:L)</f>
        <v>8</v>
      </c>
      <c r="J609">
        <f>_xlfn.XLOOKUP(A609,'[1]Tissue Data'!$A:$A,'[1]Tissue Data'!M:M)</f>
        <v>8.15</v>
      </c>
      <c r="K609" t="s">
        <v>19</v>
      </c>
      <c r="L609" t="str">
        <f>_xlfn.XLOOKUP(K609,[2]analyte_order!$B:$B,[2]analyte_order!$C:$C)</f>
        <v>2058-94-8</v>
      </c>
      <c r="M609">
        <f>_xlfn.XLOOKUP(L609,[2]analyte_order!$C:$C,[2]analyte_order!$E:$E)</f>
        <v>8</v>
      </c>
      <c r="N609">
        <v>8.7100000000000009</v>
      </c>
    </row>
    <row r="610" spans="1:14">
      <c r="A610" t="s">
        <v>135</v>
      </c>
      <c r="B610" t="str">
        <f>_xlfn.XLOOKUP(A610,'[1]Tissue Data'!$A:$A,'[1]Tissue Data'!$C:$C)</f>
        <v>Down</v>
      </c>
      <c r="C610" s="2">
        <f>_xlfn.XLOOKUP(A610,'[1]Tissue Data'!$A:$A,'[1]Tissue Data'!$D:$D)</f>
        <v>44314</v>
      </c>
      <c r="D610" s="2" t="s">
        <v>131</v>
      </c>
      <c r="E610" t="str">
        <f>_xlfn.XLOOKUP(A610,'[1]Tissue Data'!$A:$A,'[1]Tissue Data'!$H:$H)</f>
        <v>Clinostomus</v>
      </c>
      <c r="F610" t="str">
        <f>_xlfn.XLOOKUP(A610,'[1]Tissue Data'!$A:$A,'[1]Tissue Data'!$I:$I)</f>
        <v>funduloides</v>
      </c>
      <c r="G610" t="str">
        <f>_xlfn.XLOOKUP(A610,'[1]Tissue Data'!$A:$A,'[1]Tissue Data'!J:J)</f>
        <v>U</v>
      </c>
      <c r="H610" t="str">
        <f>_xlfn.XLOOKUP(A610,'[1]Tissue Data'!$A:$A,'[1]Tissue Data'!K:K)</f>
        <v>Whole Body</v>
      </c>
      <c r="I610">
        <f>_xlfn.XLOOKUP(A610,'[1]Tissue Data'!$A:$A,'[1]Tissue Data'!L:L)</f>
        <v>8</v>
      </c>
      <c r="J610">
        <f>_xlfn.XLOOKUP(A610,'[1]Tissue Data'!$A:$A,'[1]Tissue Data'!M:M)</f>
        <v>8.15</v>
      </c>
      <c r="K610" t="s">
        <v>20</v>
      </c>
      <c r="L610" t="str">
        <f>_xlfn.XLOOKUP(K610,[2]analyte_order!$B:$B,[2]analyte_order!$C:$C)</f>
        <v>307-55-1</v>
      </c>
      <c r="M610">
        <f>_xlfn.XLOOKUP(L610,[2]analyte_order!$C:$C,[2]analyte_order!$E:$E)</f>
        <v>9</v>
      </c>
      <c r="N610">
        <v>0.18044291919530933</v>
      </c>
    </row>
    <row r="611" spans="1:14">
      <c r="A611" t="s">
        <v>135</v>
      </c>
      <c r="B611" t="str">
        <f>_xlfn.XLOOKUP(A611,'[1]Tissue Data'!$A:$A,'[1]Tissue Data'!$C:$C)</f>
        <v>Down</v>
      </c>
      <c r="C611" s="2">
        <f>_xlfn.XLOOKUP(A611,'[1]Tissue Data'!$A:$A,'[1]Tissue Data'!$D:$D)</f>
        <v>44314</v>
      </c>
      <c r="D611" s="2" t="s">
        <v>131</v>
      </c>
      <c r="E611" t="str">
        <f>_xlfn.XLOOKUP(A611,'[1]Tissue Data'!$A:$A,'[1]Tissue Data'!$H:$H)</f>
        <v>Clinostomus</v>
      </c>
      <c r="F611" t="str">
        <f>_xlfn.XLOOKUP(A611,'[1]Tissue Data'!$A:$A,'[1]Tissue Data'!$I:$I)</f>
        <v>funduloides</v>
      </c>
      <c r="G611" t="str">
        <f>_xlfn.XLOOKUP(A611,'[1]Tissue Data'!$A:$A,'[1]Tissue Data'!J:J)</f>
        <v>U</v>
      </c>
      <c r="H611" t="str">
        <f>_xlfn.XLOOKUP(A611,'[1]Tissue Data'!$A:$A,'[1]Tissue Data'!K:K)</f>
        <v>Whole Body</v>
      </c>
      <c r="I611">
        <f>_xlfn.XLOOKUP(A611,'[1]Tissue Data'!$A:$A,'[1]Tissue Data'!L:L)</f>
        <v>8</v>
      </c>
      <c r="J611">
        <f>_xlfn.XLOOKUP(A611,'[1]Tissue Data'!$A:$A,'[1]Tissue Data'!M:M)</f>
        <v>8.15</v>
      </c>
      <c r="K611" t="s">
        <v>21</v>
      </c>
      <c r="L611" t="str">
        <f>_xlfn.XLOOKUP(K611,[2]analyte_order!$B:$B,[2]analyte_order!$C:$C)</f>
        <v>72629-94-8</v>
      </c>
      <c r="M611">
        <f>_xlfn.XLOOKUP(L611,[2]analyte_order!$C:$C,[2]analyte_order!$E:$E)</f>
        <v>10</v>
      </c>
      <c r="N611">
        <v>5.87</v>
      </c>
    </row>
    <row r="612" spans="1:14">
      <c r="A612" t="s">
        <v>135</v>
      </c>
      <c r="B612" t="str">
        <f>_xlfn.XLOOKUP(A612,'[1]Tissue Data'!$A:$A,'[1]Tissue Data'!$C:$C)</f>
        <v>Down</v>
      </c>
      <c r="C612" s="2">
        <f>_xlfn.XLOOKUP(A612,'[1]Tissue Data'!$A:$A,'[1]Tissue Data'!$D:$D)</f>
        <v>44314</v>
      </c>
      <c r="D612" s="2" t="s">
        <v>131</v>
      </c>
      <c r="E612" t="str">
        <f>_xlfn.XLOOKUP(A612,'[1]Tissue Data'!$A:$A,'[1]Tissue Data'!$H:$H)</f>
        <v>Clinostomus</v>
      </c>
      <c r="F612" t="str">
        <f>_xlfn.XLOOKUP(A612,'[1]Tissue Data'!$A:$A,'[1]Tissue Data'!$I:$I)</f>
        <v>funduloides</v>
      </c>
      <c r="G612" t="str">
        <f>_xlfn.XLOOKUP(A612,'[1]Tissue Data'!$A:$A,'[1]Tissue Data'!J:J)</f>
        <v>U</v>
      </c>
      <c r="H612" t="str">
        <f>_xlfn.XLOOKUP(A612,'[1]Tissue Data'!$A:$A,'[1]Tissue Data'!K:K)</f>
        <v>Whole Body</v>
      </c>
      <c r="I612">
        <f>_xlfn.XLOOKUP(A612,'[1]Tissue Data'!$A:$A,'[1]Tissue Data'!L:L)</f>
        <v>8</v>
      </c>
      <c r="J612">
        <f>_xlfn.XLOOKUP(A612,'[1]Tissue Data'!$A:$A,'[1]Tissue Data'!M:M)</f>
        <v>8.15</v>
      </c>
      <c r="K612" t="s">
        <v>22</v>
      </c>
      <c r="L612" t="str">
        <f>_xlfn.XLOOKUP(K612,[2]analyte_order!$B:$B,[2]analyte_order!$C:$C)</f>
        <v>376-06-7</v>
      </c>
      <c r="M612">
        <f>_xlfn.XLOOKUP(L612,[2]analyte_order!$C:$C,[2]analyte_order!$E:$E)</f>
        <v>11</v>
      </c>
      <c r="N612">
        <v>5.2</v>
      </c>
    </row>
    <row r="613" spans="1:14">
      <c r="A613" t="s">
        <v>135</v>
      </c>
      <c r="B613" t="str">
        <f>_xlfn.XLOOKUP(A613,'[1]Tissue Data'!$A:$A,'[1]Tissue Data'!$C:$C)</f>
        <v>Down</v>
      </c>
      <c r="C613" s="2">
        <f>_xlfn.XLOOKUP(A613,'[1]Tissue Data'!$A:$A,'[1]Tissue Data'!$D:$D)</f>
        <v>44314</v>
      </c>
      <c r="D613" s="2" t="s">
        <v>131</v>
      </c>
      <c r="E613" t="str">
        <f>_xlfn.XLOOKUP(A613,'[1]Tissue Data'!$A:$A,'[1]Tissue Data'!$H:$H)</f>
        <v>Clinostomus</v>
      </c>
      <c r="F613" t="str">
        <f>_xlfn.XLOOKUP(A613,'[1]Tissue Data'!$A:$A,'[1]Tissue Data'!$I:$I)</f>
        <v>funduloides</v>
      </c>
      <c r="G613" t="str">
        <f>_xlfn.XLOOKUP(A613,'[1]Tissue Data'!$A:$A,'[1]Tissue Data'!J:J)</f>
        <v>U</v>
      </c>
      <c r="H613" t="str">
        <f>_xlfn.XLOOKUP(A613,'[1]Tissue Data'!$A:$A,'[1]Tissue Data'!K:K)</f>
        <v>Whole Body</v>
      </c>
      <c r="I613">
        <f>_xlfn.XLOOKUP(A613,'[1]Tissue Data'!$A:$A,'[1]Tissue Data'!L:L)</f>
        <v>8</v>
      </c>
      <c r="J613">
        <f>_xlfn.XLOOKUP(A613,'[1]Tissue Data'!$A:$A,'[1]Tissue Data'!M:M)</f>
        <v>8.15</v>
      </c>
      <c r="K613" t="s">
        <v>23</v>
      </c>
      <c r="L613" t="str">
        <f>_xlfn.XLOOKUP(K613,[2]analyte_order!$B:$B,[2]analyte_order!$C:$C)</f>
        <v>67905-19-5</v>
      </c>
      <c r="M613">
        <f>_xlfn.XLOOKUP(L613,[2]analyte_order!$C:$C,[2]analyte_order!$E:$E)</f>
        <v>12</v>
      </c>
      <c r="N613">
        <v>8.204674935278676E-2</v>
      </c>
    </row>
    <row r="614" spans="1:14">
      <c r="A614" t="s">
        <v>135</v>
      </c>
      <c r="B614" t="str">
        <f>_xlfn.XLOOKUP(A614,'[1]Tissue Data'!$A:$A,'[1]Tissue Data'!$C:$C)</f>
        <v>Down</v>
      </c>
      <c r="C614" s="2">
        <f>_xlfn.XLOOKUP(A614,'[1]Tissue Data'!$A:$A,'[1]Tissue Data'!$D:$D)</f>
        <v>44314</v>
      </c>
      <c r="D614" s="2" t="s">
        <v>131</v>
      </c>
      <c r="E614" t="str">
        <f>_xlfn.XLOOKUP(A614,'[1]Tissue Data'!$A:$A,'[1]Tissue Data'!$H:$H)</f>
        <v>Clinostomus</v>
      </c>
      <c r="F614" t="str">
        <f>_xlfn.XLOOKUP(A614,'[1]Tissue Data'!$A:$A,'[1]Tissue Data'!$I:$I)</f>
        <v>funduloides</v>
      </c>
      <c r="G614" t="str">
        <f>_xlfn.XLOOKUP(A614,'[1]Tissue Data'!$A:$A,'[1]Tissue Data'!J:J)</f>
        <v>U</v>
      </c>
      <c r="H614" t="str">
        <f>_xlfn.XLOOKUP(A614,'[1]Tissue Data'!$A:$A,'[1]Tissue Data'!K:K)</f>
        <v>Whole Body</v>
      </c>
      <c r="I614">
        <f>_xlfn.XLOOKUP(A614,'[1]Tissue Data'!$A:$A,'[1]Tissue Data'!L:L)</f>
        <v>8</v>
      </c>
      <c r="J614">
        <f>_xlfn.XLOOKUP(A614,'[1]Tissue Data'!$A:$A,'[1]Tissue Data'!M:M)</f>
        <v>8.15</v>
      </c>
      <c r="K614" t="s">
        <v>24</v>
      </c>
      <c r="L614" t="str">
        <f>_xlfn.XLOOKUP(K614,[2]analyte_order!$B:$B,[2]analyte_order!$C:$C)</f>
        <v>423-41-6</v>
      </c>
      <c r="M614">
        <f>_xlfn.XLOOKUP(L614,[2]analyte_order!$C:$C,[2]analyte_order!$E:$E)</f>
        <v>53</v>
      </c>
      <c r="N614">
        <v>5.2523767053210824E-2</v>
      </c>
    </row>
    <row r="615" spans="1:14">
      <c r="A615" t="s">
        <v>135</v>
      </c>
      <c r="B615" t="str">
        <f>_xlfn.XLOOKUP(A615,'[1]Tissue Data'!$A:$A,'[1]Tissue Data'!$C:$C)</f>
        <v>Down</v>
      </c>
      <c r="C615" s="2">
        <f>_xlfn.XLOOKUP(A615,'[1]Tissue Data'!$A:$A,'[1]Tissue Data'!$D:$D)</f>
        <v>44314</v>
      </c>
      <c r="D615" s="2" t="s">
        <v>131</v>
      </c>
      <c r="E615" t="str">
        <f>_xlfn.XLOOKUP(A615,'[1]Tissue Data'!$A:$A,'[1]Tissue Data'!$H:$H)</f>
        <v>Clinostomus</v>
      </c>
      <c r="F615" t="str">
        <f>_xlfn.XLOOKUP(A615,'[1]Tissue Data'!$A:$A,'[1]Tissue Data'!$I:$I)</f>
        <v>funduloides</v>
      </c>
      <c r="G615" t="str">
        <f>_xlfn.XLOOKUP(A615,'[1]Tissue Data'!$A:$A,'[1]Tissue Data'!J:J)</f>
        <v>U</v>
      </c>
      <c r="H615" t="str">
        <f>_xlfn.XLOOKUP(A615,'[1]Tissue Data'!$A:$A,'[1]Tissue Data'!K:K)</f>
        <v>Whole Body</v>
      </c>
      <c r="I615">
        <f>_xlfn.XLOOKUP(A615,'[1]Tissue Data'!$A:$A,'[1]Tissue Data'!L:L)</f>
        <v>8</v>
      </c>
      <c r="J615">
        <f>_xlfn.XLOOKUP(A615,'[1]Tissue Data'!$A:$A,'[1]Tissue Data'!M:M)</f>
        <v>8.15</v>
      </c>
      <c r="K615" t="s">
        <v>25</v>
      </c>
      <c r="L615" t="str">
        <f>_xlfn.XLOOKUP(K615,[2]analyte_order!$B:$B,[2]analyte_order!$C:$C)</f>
        <v>375-73-5</v>
      </c>
      <c r="M615">
        <f>_xlfn.XLOOKUP(L615,[2]analyte_order!$C:$C,[2]analyte_order!$E:$E)</f>
        <v>14</v>
      </c>
      <c r="N615">
        <v>0.15381387792562271</v>
      </c>
    </row>
    <row r="616" spans="1:14">
      <c r="A616" t="s">
        <v>135</v>
      </c>
      <c r="B616" t="str">
        <f>_xlfn.XLOOKUP(A616,'[1]Tissue Data'!$A:$A,'[1]Tissue Data'!$C:$C)</f>
        <v>Down</v>
      </c>
      <c r="C616" s="2">
        <f>_xlfn.XLOOKUP(A616,'[1]Tissue Data'!$A:$A,'[1]Tissue Data'!$D:$D)</f>
        <v>44314</v>
      </c>
      <c r="D616" s="2" t="s">
        <v>131</v>
      </c>
      <c r="E616" t="str">
        <f>_xlfn.XLOOKUP(A616,'[1]Tissue Data'!$A:$A,'[1]Tissue Data'!$H:$H)</f>
        <v>Clinostomus</v>
      </c>
      <c r="F616" t="str">
        <f>_xlfn.XLOOKUP(A616,'[1]Tissue Data'!$A:$A,'[1]Tissue Data'!$I:$I)</f>
        <v>funduloides</v>
      </c>
      <c r="G616" t="str">
        <f>_xlfn.XLOOKUP(A616,'[1]Tissue Data'!$A:$A,'[1]Tissue Data'!J:J)</f>
        <v>U</v>
      </c>
      <c r="H616" t="str">
        <f>_xlfn.XLOOKUP(A616,'[1]Tissue Data'!$A:$A,'[1]Tissue Data'!K:K)</f>
        <v>Whole Body</v>
      </c>
      <c r="I616">
        <f>_xlfn.XLOOKUP(A616,'[1]Tissue Data'!$A:$A,'[1]Tissue Data'!L:L)</f>
        <v>8</v>
      </c>
      <c r="J616">
        <f>_xlfn.XLOOKUP(A616,'[1]Tissue Data'!$A:$A,'[1]Tissue Data'!M:M)</f>
        <v>8.15</v>
      </c>
      <c r="K616" t="s">
        <v>26</v>
      </c>
      <c r="L616" t="str">
        <f>_xlfn.XLOOKUP(K616,[2]analyte_order!$B:$B,[2]analyte_order!$C:$C)</f>
        <v>2706-91-4</v>
      </c>
      <c r="M616">
        <f>_xlfn.XLOOKUP(L616,[2]analyte_order!$C:$C,[2]analyte_order!$E:$E)</f>
        <v>15</v>
      </c>
      <c r="N616">
        <v>0.51100000000000001</v>
      </c>
    </row>
    <row r="617" spans="1:14">
      <c r="A617" t="s">
        <v>135</v>
      </c>
      <c r="B617" t="str">
        <f>_xlfn.XLOOKUP(A617,'[1]Tissue Data'!$A:$A,'[1]Tissue Data'!$C:$C)</f>
        <v>Down</v>
      </c>
      <c r="C617" s="2">
        <f>_xlfn.XLOOKUP(A617,'[1]Tissue Data'!$A:$A,'[1]Tissue Data'!$D:$D)</f>
        <v>44314</v>
      </c>
      <c r="D617" s="2" t="s">
        <v>131</v>
      </c>
      <c r="E617" t="str">
        <f>_xlfn.XLOOKUP(A617,'[1]Tissue Data'!$A:$A,'[1]Tissue Data'!$H:$H)</f>
        <v>Clinostomus</v>
      </c>
      <c r="F617" t="str">
        <f>_xlfn.XLOOKUP(A617,'[1]Tissue Data'!$A:$A,'[1]Tissue Data'!$I:$I)</f>
        <v>funduloides</v>
      </c>
      <c r="G617" t="str">
        <f>_xlfn.XLOOKUP(A617,'[1]Tissue Data'!$A:$A,'[1]Tissue Data'!J:J)</f>
        <v>U</v>
      </c>
      <c r="H617" t="str">
        <f>_xlfn.XLOOKUP(A617,'[1]Tissue Data'!$A:$A,'[1]Tissue Data'!K:K)</f>
        <v>Whole Body</v>
      </c>
      <c r="I617">
        <f>_xlfn.XLOOKUP(A617,'[1]Tissue Data'!$A:$A,'[1]Tissue Data'!L:L)</f>
        <v>8</v>
      </c>
      <c r="J617">
        <f>_xlfn.XLOOKUP(A617,'[1]Tissue Data'!$A:$A,'[1]Tissue Data'!M:M)</f>
        <v>8.15</v>
      </c>
      <c r="K617" t="s">
        <v>27</v>
      </c>
      <c r="L617" t="str">
        <f>_xlfn.XLOOKUP(K617,[2]analyte_order!$B:$B,[2]analyte_order!$C:$C)</f>
        <v>355-46-4</v>
      </c>
      <c r="M617">
        <f>_xlfn.XLOOKUP(L617,[2]analyte_order!$C:$C,[2]analyte_order!$E:$E)</f>
        <v>16</v>
      </c>
      <c r="N617">
        <v>45.8</v>
      </c>
    </row>
    <row r="618" spans="1:14">
      <c r="A618" t="s">
        <v>135</v>
      </c>
      <c r="B618" t="str">
        <f>_xlfn.XLOOKUP(A618,'[1]Tissue Data'!$A:$A,'[1]Tissue Data'!$C:$C)</f>
        <v>Down</v>
      </c>
      <c r="C618" s="2">
        <f>_xlfn.XLOOKUP(A618,'[1]Tissue Data'!$A:$A,'[1]Tissue Data'!$D:$D)</f>
        <v>44314</v>
      </c>
      <c r="D618" s="2" t="s">
        <v>131</v>
      </c>
      <c r="E618" t="str">
        <f>_xlfn.XLOOKUP(A618,'[1]Tissue Data'!$A:$A,'[1]Tissue Data'!$H:$H)</f>
        <v>Clinostomus</v>
      </c>
      <c r="F618" t="str">
        <f>_xlfn.XLOOKUP(A618,'[1]Tissue Data'!$A:$A,'[1]Tissue Data'!$I:$I)</f>
        <v>funduloides</v>
      </c>
      <c r="G618" t="str">
        <f>_xlfn.XLOOKUP(A618,'[1]Tissue Data'!$A:$A,'[1]Tissue Data'!J:J)</f>
        <v>U</v>
      </c>
      <c r="H618" t="str">
        <f>_xlfn.XLOOKUP(A618,'[1]Tissue Data'!$A:$A,'[1]Tissue Data'!K:K)</f>
        <v>Whole Body</v>
      </c>
      <c r="I618">
        <f>_xlfn.XLOOKUP(A618,'[1]Tissue Data'!$A:$A,'[1]Tissue Data'!L:L)</f>
        <v>8</v>
      </c>
      <c r="J618">
        <f>_xlfn.XLOOKUP(A618,'[1]Tissue Data'!$A:$A,'[1]Tissue Data'!M:M)</f>
        <v>8.15</v>
      </c>
      <c r="K618" t="s">
        <v>28</v>
      </c>
      <c r="L618" t="str">
        <f>_xlfn.XLOOKUP(K618,[2]analyte_order!$B:$B,[2]analyte_order!$C:$C)</f>
        <v>375-92-8</v>
      </c>
      <c r="M618">
        <f>_xlfn.XLOOKUP(L618,[2]analyte_order!$C:$C,[2]analyte_order!$E:$E)</f>
        <v>17</v>
      </c>
      <c r="N618">
        <v>3.31</v>
      </c>
    </row>
    <row r="619" spans="1:14">
      <c r="A619" t="s">
        <v>135</v>
      </c>
      <c r="B619" t="str">
        <f>_xlfn.XLOOKUP(A619,'[1]Tissue Data'!$A:$A,'[1]Tissue Data'!$C:$C)</f>
        <v>Down</v>
      </c>
      <c r="C619" s="2">
        <f>_xlfn.XLOOKUP(A619,'[1]Tissue Data'!$A:$A,'[1]Tissue Data'!$D:$D)</f>
        <v>44314</v>
      </c>
      <c r="D619" s="2" t="s">
        <v>131</v>
      </c>
      <c r="E619" t="str">
        <f>_xlfn.XLOOKUP(A619,'[1]Tissue Data'!$A:$A,'[1]Tissue Data'!$H:$H)</f>
        <v>Clinostomus</v>
      </c>
      <c r="F619" t="str">
        <f>_xlfn.XLOOKUP(A619,'[1]Tissue Data'!$A:$A,'[1]Tissue Data'!$I:$I)</f>
        <v>funduloides</v>
      </c>
      <c r="G619" t="str">
        <f>_xlfn.XLOOKUP(A619,'[1]Tissue Data'!$A:$A,'[1]Tissue Data'!J:J)</f>
        <v>U</v>
      </c>
      <c r="H619" t="str">
        <f>_xlfn.XLOOKUP(A619,'[1]Tissue Data'!$A:$A,'[1]Tissue Data'!K:K)</f>
        <v>Whole Body</v>
      </c>
      <c r="I619">
        <f>_xlfn.XLOOKUP(A619,'[1]Tissue Data'!$A:$A,'[1]Tissue Data'!L:L)</f>
        <v>8</v>
      </c>
      <c r="J619">
        <f>_xlfn.XLOOKUP(A619,'[1]Tissue Data'!$A:$A,'[1]Tissue Data'!M:M)</f>
        <v>8.15</v>
      </c>
      <c r="K619" t="s">
        <v>29</v>
      </c>
      <c r="L619" t="str">
        <f>_xlfn.XLOOKUP(K619,[2]analyte_order!$B:$B,[2]analyte_order!$C:$C)</f>
        <v>1763-23-1</v>
      </c>
      <c r="M619">
        <f>_xlfn.XLOOKUP(L619,[2]analyte_order!$C:$C,[2]analyte_order!$E:$E)</f>
        <v>18</v>
      </c>
      <c r="N619">
        <v>1120</v>
      </c>
    </row>
    <row r="620" spans="1:14">
      <c r="A620" t="s">
        <v>135</v>
      </c>
      <c r="B620" t="str">
        <f>_xlfn.XLOOKUP(A620,'[1]Tissue Data'!$A:$A,'[1]Tissue Data'!$C:$C)</f>
        <v>Down</v>
      </c>
      <c r="C620" s="2">
        <f>_xlfn.XLOOKUP(A620,'[1]Tissue Data'!$A:$A,'[1]Tissue Data'!$D:$D)</f>
        <v>44314</v>
      </c>
      <c r="D620" s="2" t="s">
        <v>131</v>
      </c>
      <c r="E620" t="str">
        <f>_xlfn.XLOOKUP(A620,'[1]Tissue Data'!$A:$A,'[1]Tissue Data'!$H:$H)</f>
        <v>Clinostomus</v>
      </c>
      <c r="F620" t="str">
        <f>_xlfn.XLOOKUP(A620,'[1]Tissue Data'!$A:$A,'[1]Tissue Data'!$I:$I)</f>
        <v>funduloides</v>
      </c>
      <c r="G620" t="str">
        <f>_xlfn.XLOOKUP(A620,'[1]Tissue Data'!$A:$A,'[1]Tissue Data'!J:J)</f>
        <v>U</v>
      </c>
      <c r="H620" t="str">
        <f>_xlfn.XLOOKUP(A620,'[1]Tissue Data'!$A:$A,'[1]Tissue Data'!K:K)</f>
        <v>Whole Body</v>
      </c>
      <c r="I620">
        <f>_xlfn.XLOOKUP(A620,'[1]Tissue Data'!$A:$A,'[1]Tissue Data'!L:L)</f>
        <v>8</v>
      </c>
      <c r="J620">
        <f>_xlfn.XLOOKUP(A620,'[1]Tissue Data'!$A:$A,'[1]Tissue Data'!M:M)</f>
        <v>8.15</v>
      </c>
      <c r="K620" t="s">
        <v>30</v>
      </c>
      <c r="L620" t="str">
        <f>_xlfn.XLOOKUP(K620,[2]analyte_order!$B:$B,[2]analyte_order!$C:$C)</f>
        <v>68259-12-1</v>
      </c>
      <c r="M620">
        <f>_xlfn.XLOOKUP(L620,[2]analyte_order!$C:$C,[2]analyte_order!$E:$E)</f>
        <v>19</v>
      </c>
      <c r="N620">
        <v>1.1100000000000001</v>
      </c>
    </row>
    <row r="621" spans="1:14">
      <c r="A621" t="s">
        <v>135</v>
      </c>
      <c r="B621" t="str">
        <f>_xlfn.XLOOKUP(A621,'[1]Tissue Data'!$A:$A,'[1]Tissue Data'!$C:$C)</f>
        <v>Down</v>
      </c>
      <c r="C621" s="2">
        <f>_xlfn.XLOOKUP(A621,'[1]Tissue Data'!$A:$A,'[1]Tissue Data'!$D:$D)</f>
        <v>44314</v>
      </c>
      <c r="D621" s="2" t="s">
        <v>131</v>
      </c>
      <c r="E621" t="str">
        <f>_xlfn.XLOOKUP(A621,'[1]Tissue Data'!$A:$A,'[1]Tissue Data'!$H:$H)</f>
        <v>Clinostomus</v>
      </c>
      <c r="F621" t="str">
        <f>_xlfn.XLOOKUP(A621,'[1]Tissue Data'!$A:$A,'[1]Tissue Data'!$I:$I)</f>
        <v>funduloides</v>
      </c>
      <c r="G621" t="str">
        <f>_xlfn.XLOOKUP(A621,'[1]Tissue Data'!$A:$A,'[1]Tissue Data'!J:J)</f>
        <v>U</v>
      </c>
      <c r="H621" t="str">
        <f>_xlfn.XLOOKUP(A621,'[1]Tissue Data'!$A:$A,'[1]Tissue Data'!K:K)</f>
        <v>Whole Body</v>
      </c>
      <c r="I621">
        <f>_xlfn.XLOOKUP(A621,'[1]Tissue Data'!$A:$A,'[1]Tissue Data'!L:L)</f>
        <v>8</v>
      </c>
      <c r="J621">
        <f>_xlfn.XLOOKUP(A621,'[1]Tissue Data'!$A:$A,'[1]Tissue Data'!M:M)</f>
        <v>8.15</v>
      </c>
      <c r="K621" t="s">
        <v>31</v>
      </c>
      <c r="L621" t="str">
        <f>_xlfn.XLOOKUP(K621,[2]analyte_order!$B:$B,[2]analyte_order!$C:$C)</f>
        <v>335-77-3</v>
      </c>
      <c r="M621">
        <f>_xlfn.XLOOKUP(L621,[2]analyte_order!$C:$C,[2]analyte_order!$E:$E)</f>
        <v>20</v>
      </c>
      <c r="N621">
        <v>2.2999999999999998</v>
      </c>
    </row>
    <row r="622" spans="1:14">
      <c r="A622" t="s">
        <v>135</v>
      </c>
      <c r="B622" t="str">
        <f>_xlfn.XLOOKUP(A622,'[1]Tissue Data'!$A:$A,'[1]Tissue Data'!$C:$C)</f>
        <v>Down</v>
      </c>
      <c r="C622" s="2">
        <f>_xlfn.XLOOKUP(A622,'[1]Tissue Data'!$A:$A,'[1]Tissue Data'!$D:$D)</f>
        <v>44314</v>
      </c>
      <c r="D622" s="2" t="s">
        <v>131</v>
      </c>
      <c r="E622" t="str">
        <f>_xlfn.XLOOKUP(A622,'[1]Tissue Data'!$A:$A,'[1]Tissue Data'!$H:$H)</f>
        <v>Clinostomus</v>
      </c>
      <c r="F622" t="str">
        <f>_xlfn.XLOOKUP(A622,'[1]Tissue Data'!$A:$A,'[1]Tissue Data'!$I:$I)</f>
        <v>funduloides</v>
      </c>
      <c r="G622" t="str">
        <f>_xlfn.XLOOKUP(A622,'[1]Tissue Data'!$A:$A,'[1]Tissue Data'!J:J)</f>
        <v>U</v>
      </c>
      <c r="H622" t="str">
        <f>_xlfn.XLOOKUP(A622,'[1]Tissue Data'!$A:$A,'[1]Tissue Data'!K:K)</f>
        <v>Whole Body</v>
      </c>
      <c r="I622">
        <f>_xlfn.XLOOKUP(A622,'[1]Tissue Data'!$A:$A,'[1]Tissue Data'!L:L)</f>
        <v>8</v>
      </c>
      <c r="J622">
        <f>_xlfn.XLOOKUP(A622,'[1]Tissue Data'!$A:$A,'[1]Tissue Data'!M:M)</f>
        <v>8.15</v>
      </c>
      <c r="K622" t="s">
        <v>32</v>
      </c>
      <c r="L622" t="str">
        <f>_xlfn.XLOOKUP(K622,[2]analyte_order!$B:$B,[2]analyte_order!$C:$C)</f>
        <v>79780-39-5</v>
      </c>
      <c r="M622">
        <f>_xlfn.XLOOKUP(L622,[2]analyte_order!$C:$C,[2]analyte_order!$E:$E)</f>
        <v>21</v>
      </c>
      <c r="N622">
        <v>1.1000000000000001</v>
      </c>
    </row>
    <row r="623" spans="1:14">
      <c r="A623" t="s">
        <v>135</v>
      </c>
      <c r="B623" t="str">
        <f>_xlfn.XLOOKUP(A623,'[1]Tissue Data'!$A:$A,'[1]Tissue Data'!$C:$C)</f>
        <v>Down</v>
      </c>
      <c r="C623" s="2">
        <f>_xlfn.XLOOKUP(A623,'[1]Tissue Data'!$A:$A,'[1]Tissue Data'!$D:$D)</f>
        <v>44314</v>
      </c>
      <c r="D623" s="2" t="s">
        <v>131</v>
      </c>
      <c r="E623" t="str">
        <f>_xlfn.XLOOKUP(A623,'[1]Tissue Data'!$A:$A,'[1]Tissue Data'!$H:$H)</f>
        <v>Clinostomus</v>
      </c>
      <c r="F623" t="str">
        <f>_xlfn.XLOOKUP(A623,'[1]Tissue Data'!$A:$A,'[1]Tissue Data'!$I:$I)</f>
        <v>funduloides</v>
      </c>
      <c r="G623" t="str">
        <f>_xlfn.XLOOKUP(A623,'[1]Tissue Data'!$A:$A,'[1]Tissue Data'!J:J)</f>
        <v>U</v>
      </c>
      <c r="H623" t="str">
        <f>_xlfn.XLOOKUP(A623,'[1]Tissue Data'!$A:$A,'[1]Tissue Data'!K:K)</f>
        <v>Whole Body</v>
      </c>
      <c r="I623">
        <f>_xlfn.XLOOKUP(A623,'[1]Tissue Data'!$A:$A,'[1]Tissue Data'!L:L)</f>
        <v>8</v>
      </c>
      <c r="J623">
        <f>_xlfn.XLOOKUP(A623,'[1]Tissue Data'!$A:$A,'[1]Tissue Data'!M:M)</f>
        <v>8.15</v>
      </c>
      <c r="K623" t="s">
        <v>33</v>
      </c>
      <c r="L623" t="str">
        <f>_xlfn.XLOOKUP(K623,[2]analyte_order!$B:$B,[2]analyte_order!$C:$C)</f>
        <v>777011-38-8</v>
      </c>
      <c r="M623">
        <f>_xlfn.XLOOKUP(L623,[2]analyte_order!$C:$C,[2]analyte_order!$E:$E)</f>
        <v>54</v>
      </c>
      <c r="N623">
        <v>0.33200000000000002</v>
      </c>
    </row>
    <row r="624" spans="1:14">
      <c r="A624" t="s">
        <v>135</v>
      </c>
      <c r="B624" t="str">
        <f>_xlfn.XLOOKUP(A624,'[1]Tissue Data'!$A:$A,'[1]Tissue Data'!$C:$C)</f>
        <v>Down</v>
      </c>
      <c r="C624" s="2">
        <f>_xlfn.XLOOKUP(A624,'[1]Tissue Data'!$A:$A,'[1]Tissue Data'!$D:$D)</f>
        <v>44314</v>
      </c>
      <c r="D624" s="2" t="s">
        <v>131</v>
      </c>
      <c r="E624" t="str">
        <f>_xlfn.XLOOKUP(A624,'[1]Tissue Data'!$A:$A,'[1]Tissue Data'!$H:$H)</f>
        <v>Clinostomus</v>
      </c>
      <c r="F624" t="str">
        <f>_xlfn.XLOOKUP(A624,'[1]Tissue Data'!$A:$A,'[1]Tissue Data'!$I:$I)</f>
        <v>funduloides</v>
      </c>
      <c r="G624" t="str">
        <f>_xlfn.XLOOKUP(A624,'[1]Tissue Data'!$A:$A,'[1]Tissue Data'!J:J)</f>
        <v>U</v>
      </c>
      <c r="H624" t="str">
        <f>_xlfn.XLOOKUP(A624,'[1]Tissue Data'!$A:$A,'[1]Tissue Data'!K:K)</f>
        <v>Whole Body</v>
      </c>
      <c r="I624">
        <f>_xlfn.XLOOKUP(A624,'[1]Tissue Data'!$A:$A,'[1]Tissue Data'!L:L)</f>
        <v>8</v>
      </c>
      <c r="J624">
        <f>_xlfn.XLOOKUP(A624,'[1]Tissue Data'!$A:$A,'[1]Tissue Data'!M:M)</f>
        <v>8.15</v>
      </c>
      <c r="K624" t="s">
        <v>34</v>
      </c>
      <c r="L624" t="str">
        <f>_xlfn.XLOOKUP(K624,[2]analyte_order!$B:$B,[2]analyte_order!$C:$C)</f>
        <v>646-83-3</v>
      </c>
      <c r="M624">
        <f>_xlfn.XLOOKUP(L624,[2]analyte_order!$C:$C,[2]analyte_order!$E:$E)</f>
        <v>55</v>
      </c>
      <c r="N624">
        <v>0.254</v>
      </c>
    </row>
    <row r="625" spans="1:14">
      <c r="A625" t="s">
        <v>135</v>
      </c>
      <c r="B625" t="str">
        <f>_xlfn.XLOOKUP(A625,'[1]Tissue Data'!$A:$A,'[1]Tissue Data'!$C:$C)</f>
        <v>Down</v>
      </c>
      <c r="C625" s="2">
        <f>_xlfn.XLOOKUP(A625,'[1]Tissue Data'!$A:$A,'[1]Tissue Data'!$D:$D)</f>
        <v>44314</v>
      </c>
      <c r="D625" s="2" t="s">
        <v>131</v>
      </c>
      <c r="E625" t="str">
        <f>_xlfn.XLOOKUP(A625,'[1]Tissue Data'!$A:$A,'[1]Tissue Data'!$H:$H)</f>
        <v>Clinostomus</v>
      </c>
      <c r="F625" t="str">
        <f>_xlfn.XLOOKUP(A625,'[1]Tissue Data'!$A:$A,'[1]Tissue Data'!$I:$I)</f>
        <v>funduloides</v>
      </c>
      <c r="G625" t="str">
        <f>_xlfn.XLOOKUP(A625,'[1]Tissue Data'!$A:$A,'[1]Tissue Data'!J:J)</f>
        <v>U</v>
      </c>
      <c r="H625" t="str">
        <f>_xlfn.XLOOKUP(A625,'[1]Tissue Data'!$A:$A,'[1]Tissue Data'!K:K)</f>
        <v>Whole Body</v>
      </c>
      <c r="I625">
        <f>_xlfn.XLOOKUP(A625,'[1]Tissue Data'!$A:$A,'[1]Tissue Data'!L:L)</f>
        <v>8</v>
      </c>
      <c r="J625">
        <f>_xlfn.XLOOKUP(A625,'[1]Tissue Data'!$A:$A,'[1]Tissue Data'!M:M)</f>
        <v>8.15</v>
      </c>
      <c r="K625" t="s">
        <v>35</v>
      </c>
      <c r="L625" t="str">
        <f>_xlfn.XLOOKUP(K625,[2]analyte_order!$B:$B,[2]analyte_order!$C:$C)</f>
        <v>30334-69-1</v>
      </c>
      <c r="M625">
        <f>_xlfn.XLOOKUP(L625,[2]analyte_order!$C:$C,[2]analyte_order!$E:$E)</f>
        <v>51</v>
      </c>
      <c r="N625">
        <v>11.3</v>
      </c>
    </row>
    <row r="626" spans="1:14">
      <c r="A626" t="s">
        <v>135</v>
      </c>
      <c r="B626" t="str">
        <f>_xlfn.XLOOKUP(A626,'[1]Tissue Data'!$A:$A,'[1]Tissue Data'!$C:$C)</f>
        <v>Down</v>
      </c>
      <c r="C626" s="2">
        <f>_xlfn.XLOOKUP(A626,'[1]Tissue Data'!$A:$A,'[1]Tissue Data'!$D:$D)</f>
        <v>44314</v>
      </c>
      <c r="D626" s="2" t="s">
        <v>131</v>
      </c>
      <c r="E626" t="str">
        <f>_xlfn.XLOOKUP(A626,'[1]Tissue Data'!$A:$A,'[1]Tissue Data'!$H:$H)</f>
        <v>Clinostomus</v>
      </c>
      <c r="F626" t="str">
        <f>_xlfn.XLOOKUP(A626,'[1]Tissue Data'!$A:$A,'[1]Tissue Data'!$I:$I)</f>
        <v>funduloides</v>
      </c>
      <c r="G626" t="str">
        <f>_xlfn.XLOOKUP(A626,'[1]Tissue Data'!$A:$A,'[1]Tissue Data'!J:J)</f>
        <v>U</v>
      </c>
      <c r="H626" t="str">
        <f>_xlfn.XLOOKUP(A626,'[1]Tissue Data'!$A:$A,'[1]Tissue Data'!K:K)</f>
        <v>Whole Body</v>
      </c>
      <c r="I626">
        <f>_xlfn.XLOOKUP(A626,'[1]Tissue Data'!$A:$A,'[1]Tissue Data'!L:L)</f>
        <v>8</v>
      </c>
      <c r="J626">
        <f>_xlfn.XLOOKUP(A626,'[1]Tissue Data'!$A:$A,'[1]Tissue Data'!M:M)</f>
        <v>8.15</v>
      </c>
      <c r="K626" t="s">
        <v>36</v>
      </c>
      <c r="L626" t="str">
        <f>_xlfn.XLOOKUP(K626,[2]analyte_order!$B:$B,[2]analyte_order!$C:$C)</f>
        <v>41997-13-1</v>
      </c>
      <c r="M626">
        <f>_xlfn.XLOOKUP(L626,[2]analyte_order!$C:$C,[2]analyte_order!$E:$E)</f>
        <v>52</v>
      </c>
      <c r="N626">
        <v>36.9</v>
      </c>
    </row>
    <row r="627" spans="1:14">
      <c r="A627" t="s">
        <v>135</v>
      </c>
      <c r="B627" t="str">
        <f>_xlfn.XLOOKUP(A627,'[1]Tissue Data'!$A:$A,'[1]Tissue Data'!$C:$C)</f>
        <v>Down</v>
      </c>
      <c r="C627" s="2">
        <f>_xlfn.XLOOKUP(A627,'[1]Tissue Data'!$A:$A,'[1]Tissue Data'!$D:$D)</f>
        <v>44314</v>
      </c>
      <c r="D627" s="2" t="s">
        <v>131</v>
      </c>
      <c r="E627" t="str">
        <f>_xlfn.XLOOKUP(A627,'[1]Tissue Data'!$A:$A,'[1]Tissue Data'!$H:$H)</f>
        <v>Clinostomus</v>
      </c>
      <c r="F627" t="str">
        <f>_xlfn.XLOOKUP(A627,'[1]Tissue Data'!$A:$A,'[1]Tissue Data'!$I:$I)</f>
        <v>funduloides</v>
      </c>
      <c r="G627" t="str">
        <f>_xlfn.XLOOKUP(A627,'[1]Tissue Data'!$A:$A,'[1]Tissue Data'!J:J)</f>
        <v>U</v>
      </c>
      <c r="H627" t="str">
        <f>_xlfn.XLOOKUP(A627,'[1]Tissue Data'!$A:$A,'[1]Tissue Data'!K:K)</f>
        <v>Whole Body</v>
      </c>
      <c r="I627">
        <f>_xlfn.XLOOKUP(A627,'[1]Tissue Data'!$A:$A,'[1]Tissue Data'!L:L)</f>
        <v>8</v>
      </c>
      <c r="J627">
        <f>_xlfn.XLOOKUP(A627,'[1]Tissue Data'!$A:$A,'[1]Tissue Data'!M:M)</f>
        <v>8.15</v>
      </c>
      <c r="K627" t="s">
        <v>37</v>
      </c>
      <c r="L627" t="str">
        <f>_xlfn.XLOOKUP(K627,[2]analyte_order!$B:$B,[2]analyte_order!$C:$C)</f>
        <v>754-91-6</v>
      </c>
      <c r="M627">
        <f>_xlfn.XLOOKUP(L627,[2]analyte_order!$C:$C,[2]analyte_order!$E:$E)</f>
        <v>28</v>
      </c>
      <c r="N627">
        <v>7.13</v>
      </c>
    </row>
    <row r="628" spans="1:14">
      <c r="A628" t="s">
        <v>135</v>
      </c>
      <c r="B628" t="str">
        <f>_xlfn.XLOOKUP(A628,'[1]Tissue Data'!$A:$A,'[1]Tissue Data'!$C:$C)</f>
        <v>Down</v>
      </c>
      <c r="C628" s="2">
        <f>_xlfn.XLOOKUP(A628,'[1]Tissue Data'!$A:$A,'[1]Tissue Data'!$D:$D)</f>
        <v>44314</v>
      </c>
      <c r="D628" s="2" t="s">
        <v>131</v>
      </c>
      <c r="E628" t="str">
        <f>_xlfn.XLOOKUP(A628,'[1]Tissue Data'!$A:$A,'[1]Tissue Data'!$H:$H)</f>
        <v>Clinostomus</v>
      </c>
      <c r="F628" t="str">
        <f>_xlfn.XLOOKUP(A628,'[1]Tissue Data'!$A:$A,'[1]Tissue Data'!$I:$I)</f>
        <v>funduloides</v>
      </c>
      <c r="G628" t="str">
        <f>_xlfn.XLOOKUP(A628,'[1]Tissue Data'!$A:$A,'[1]Tissue Data'!J:J)</f>
        <v>U</v>
      </c>
      <c r="H628" t="str">
        <f>_xlfn.XLOOKUP(A628,'[1]Tissue Data'!$A:$A,'[1]Tissue Data'!K:K)</f>
        <v>Whole Body</v>
      </c>
      <c r="I628">
        <f>_xlfn.XLOOKUP(A628,'[1]Tissue Data'!$A:$A,'[1]Tissue Data'!L:L)</f>
        <v>8</v>
      </c>
      <c r="J628">
        <f>_xlfn.XLOOKUP(A628,'[1]Tissue Data'!$A:$A,'[1]Tissue Data'!M:M)</f>
        <v>8.15</v>
      </c>
      <c r="K628" t="s">
        <v>38</v>
      </c>
      <c r="L628" t="str">
        <f>_xlfn.XLOOKUP(K628,[2]analyte_order!$B:$B,[2]analyte_order!$C:$C)</f>
        <v>31506-32-8</v>
      </c>
      <c r="M628">
        <f>_xlfn.XLOOKUP(L628,[2]analyte_order!$C:$C,[2]analyte_order!$E:$E)</f>
        <v>30</v>
      </c>
      <c r="N628">
        <v>5.3035267863489506E-2</v>
      </c>
    </row>
    <row r="629" spans="1:14">
      <c r="A629" t="s">
        <v>135</v>
      </c>
      <c r="B629" t="str">
        <f>_xlfn.XLOOKUP(A629,'[1]Tissue Data'!$A:$A,'[1]Tissue Data'!$C:$C)</f>
        <v>Down</v>
      </c>
      <c r="C629" s="2">
        <f>_xlfn.XLOOKUP(A629,'[1]Tissue Data'!$A:$A,'[1]Tissue Data'!$D:$D)</f>
        <v>44314</v>
      </c>
      <c r="D629" s="2" t="s">
        <v>131</v>
      </c>
      <c r="E629" t="str">
        <f>_xlfn.XLOOKUP(A629,'[1]Tissue Data'!$A:$A,'[1]Tissue Data'!$H:$H)</f>
        <v>Clinostomus</v>
      </c>
      <c r="F629" t="str">
        <f>_xlfn.XLOOKUP(A629,'[1]Tissue Data'!$A:$A,'[1]Tissue Data'!$I:$I)</f>
        <v>funduloides</v>
      </c>
      <c r="G629" t="str">
        <f>_xlfn.XLOOKUP(A629,'[1]Tissue Data'!$A:$A,'[1]Tissue Data'!J:J)</f>
        <v>U</v>
      </c>
      <c r="H629" t="str">
        <f>_xlfn.XLOOKUP(A629,'[1]Tissue Data'!$A:$A,'[1]Tissue Data'!K:K)</f>
        <v>Whole Body</v>
      </c>
      <c r="I629">
        <f>_xlfn.XLOOKUP(A629,'[1]Tissue Data'!$A:$A,'[1]Tissue Data'!L:L)</f>
        <v>8</v>
      </c>
      <c r="J629">
        <f>_xlfn.XLOOKUP(A629,'[1]Tissue Data'!$A:$A,'[1]Tissue Data'!M:M)</f>
        <v>8.15</v>
      </c>
      <c r="K629" t="s">
        <v>39</v>
      </c>
      <c r="L629" t="str">
        <f>_xlfn.XLOOKUP(K629,[2]analyte_order!$B:$B,[2]analyte_order!$C:$C)</f>
        <v>4151-50-2</v>
      </c>
      <c r="M629">
        <f>_xlfn.XLOOKUP(L629,[2]analyte_order!$C:$C,[2]analyte_order!$E:$E)</f>
        <v>31</v>
      </c>
      <c r="N629">
        <v>8.0336560506361065E-2</v>
      </c>
    </row>
    <row r="630" spans="1:14">
      <c r="A630" t="s">
        <v>135</v>
      </c>
      <c r="B630" t="str">
        <f>_xlfn.XLOOKUP(A630,'[1]Tissue Data'!$A:$A,'[1]Tissue Data'!$C:$C)</f>
        <v>Down</v>
      </c>
      <c r="C630" s="2">
        <f>_xlfn.XLOOKUP(A630,'[1]Tissue Data'!$A:$A,'[1]Tissue Data'!$D:$D)</f>
        <v>44314</v>
      </c>
      <c r="D630" s="2" t="s">
        <v>131</v>
      </c>
      <c r="E630" t="str">
        <f>_xlfn.XLOOKUP(A630,'[1]Tissue Data'!$A:$A,'[1]Tissue Data'!$H:$H)</f>
        <v>Clinostomus</v>
      </c>
      <c r="F630" t="str">
        <f>_xlfn.XLOOKUP(A630,'[1]Tissue Data'!$A:$A,'[1]Tissue Data'!$I:$I)</f>
        <v>funduloides</v>
      </c>
      <c r="G630" t="str">
        <f>_xlfn.XLOOKUP(A630,'[1]Tissue Data'!$A:$A,'[1]Tissue Data'!J:J)</f>
        <v>U</v>
      </c>
      <c r="H630" t="str">
        <f>_xlfn.XLOOKUP(A630,'[1]Tissue Data'!$A:$A,'[1]Tissue Data'!K:K)</f>
        <v>Whole Body</v>
      </c>
      <c r="I630">
        <f>_xlfn.XLOOKUP(A630,'[1]Tissue Data'!$A:$A,'[1]Tissue Data'!L:L)</f>
        <v>8</v>
      </c>
      <c r="J630">
        <f>_xlfn.XLOOKUP(A630,'[1]Tissue Data'!$A:$A,'[1]Tissue Data'!M:M)</f>
        <v>8.15</v>
      </c>
      <c r="K630" t="s">
        <v>40</v>
      </c>
      <c r="L630" t="str">
        <f>_xlfn.XLOOKUP(K630,[2]analyte_order!$B:$B,[2]analyte_order!$C:$C)</f>
        <v>2806-24-8</v>
      </c>
      <c r="M630">
        <f>_xlfn.XLOOKUP(L630,[2]analyte_order!$C:$C,[2]analyte_order!$E:$E)</f>
        <v>29</v>
      </c>
      <c r="N630">
        <v>5.4264246660945072E-2</v>
      </c>
    </row>
    <row r="631" spans="1:14">
      <c r="A631" t="s">
        <v>135</v>
      </c>
      <c r="B631" t="str">
        <f>_xlfn.XLOOKUP(A631,'[1]Tissue Data'!$A:$A,'[1]Tissue Data'!$C:$C)</f>
        <v>Down</v>
      </c>
      <c r="C631" s="2">
        <f>_xlfn.XLOOKUP(A631,'[1]Tissue Data'!$A:$A,'[1]Tissue Data'!$D:$D)</f>
        <v>44314</v>
      </c>
      <c r="D631" s="2" t="s">
        <v>131</v>
      </c>
      <c r="E631" t="str">
        <f>_xlfn.XLOOKUP(A631,'[1]Tissue Data'!$A:$A,'[1]Tissue Data'!$H:$H)</f>
        <v>Clinostomus</v>
      </c>
      <c r="F631" t="str">
        <f>_xlfn.XLOOKUP(A631,'[1]Tissue Data'!$A:$A,'[1]Tissue Data'!$I:$I)</f>
        <v>funduloides</v>
      </c>
      <c r="G631" t="str">
        <f>_xlfn.XLOOKUP(A631,'[1]Tissue Data'!$A:$A,'[1]Tissue Data'!J:J)</f>
        <v>U</v>
      </c>
      <c r="H631" t="str">
        <f>_xlfn.XLOOKUP(A631,'[1]Tissue Data'!$A:$A,'[1]Tissue Data'!K:K)</f>
        <v>Whole Body</v>
      </c>
      <c r="I631">
        <f>_xlfn.XLOOKUP(A631,'[1]Tissue Data'!$A:$A,'[1]Tissue Data'!L:L)</f>
        <v>8</v>
      </c>
      <c r="J631">
        <f>_xlfn.XLOOKUP(A631,'[1]Tissue Data'!$A:$A,'[1]Tissue Data'!M:M)</f>
        <v>8.15</v>
      </c>
      <c r="K631" t="s">
        <v>41</v>
      </c>
      <c r="L631" t="str">
        <f>_xlfn.XLOOKUP(K631,[2]analyte_order!$B:$B,[2]analyte_order!$C:$C)</f>
        <v>2355-31-9</v>
      </c>
      <c r="M631">
        <f>_xlfn.XLOOKUP(L631,[2]analyte_order!$C:$C,[2]analyte_order!$E:$E)</f>
        <v>26</v>
      </c>
      <c r="N631">
        <v>6.9259229095819871E-2</v>
      </c>
    </row>
    <row r="632" spans="1:14">
      <c r="A632" t="s">
        <v>135</v>
      </c>
      <c r="B632" t="str">
        <f>_xlfn.XLOOKUP(A632,'[1]Tissue Data'!$A:$A,'[1]Tissue Data'!$C:$C)</f>
        <v>Down</v>
      </c>
      <c r="C632" s="2">
        <f>_xlfn.XLOOKUP(A632,'[1]Tissue Data'!$A:$A,'[1]Tissue Data'!$D:$D)</f>
        <v>44314</v>
      </c>
      <c r="D632" s="2" t="s">
        <v>131</v>
      </c>
      <c r="E632" t="str">
        <f>_xlfn.XLOOKUP(A632,'[1]Tissue Data'!$A:$A,'[1]Tissue Data'!$H:$H)</f>
        <v>Clinostomus</v>
      </c>
      <c r="F632" t="str">
        <f>_xlfn.XLOOKUP(A632,'[1]Tissue Data'!$A:$A,'[1]Tissue Data'!$I:$I)</f>
        <v>funduloides</v>
      </c>
      <c r="G632" t="str">
        <f>_xlfn.XLOOKUP(A632,'[1]Tissue Data'!$A:$A,'[1]Tissue Data'!J:J)</f>
        <v>U</v>
      </c>
      <c r="H632" t="str">
        <f>_xlfn.XLOOKUP(A632,'[1]Tissue Data'!$A:$A,'[1]Tissue Data'!K:K)</f>
        <v>Whole Body</v>
      </c>
      <c r="I632">
        <f>_xlfn.XLOOKUP(A632,'[1]Tissue Data'!$A:$A,'[1]Tissue Data'!L:L)</f>
        <v>8</v>
      </c>
      <c r="J632">
        <f>_xlfn.XLOOKUP(A632,'[1]Tissue Data'!$A:$A,'[1]Tissue Data'!M:M)</f>
        <v>8.15</v>
      </c>
      <c r="K632" t="s">
        <v>42</v>
      </c>
      <c r="L632" t="str">
        <f>_xlfn.XLOOKUP(K632,[2]analyte_order!$B:$B,[2]analyte_order!$C:$C)</f>
        <v>2991-50-6</v>
      </c>
      <c r="M632">
        <f>_xlfn.XLOOKUP(L632,[2]analyte_order!$C:$C,[2]analyte_order!$E:$E)</f>
        <v>27</v>
      </c>
      <c r="N632">
        <v>5.975481430886511E-2</v>
      </c>
    </row>
    <row r="633" spans="1:14">
      <c r="A633" t="s">
        <v>135</v>
      </c>
      <c r="B633" t="str">
        <f>_xlfn.XLOOKUP(A633,'[1]Tissue Data'!$A:$A,'[1]Tissue Data'!$C:$C)</f>
        <v>Down</v>
      </c>
      <c r="C633" s="2">
        <f>_xlfn.XLOOKUP(A633,'[1]Tissue Data'!$A:$A,'[1]Tissue Data'!$D:$D)</f>
        <v>44314</v>
      </c>
      <c r="D633" s="2" t="s">
        <v>131</v>
      </c>
      <c r="E633" t="str">
        <f>_xlfn.XLOOKUP(A633,'[1]Tissue Data'!$A:$A,'[1]Tissue Data'!$H:$H)</f>
        <v>Clinostomus</v>
      </c>
      <c r="F633" t="str">
        <f>_xlfn.XLOOKUP(A633,'[1]Tissue Data'!$A:$A,'[1]Tissue Data'!$I:$I)</f>
        <v>funduloides</v>
      </c>
      <c r="G633" t="str">
        <f>_xlfn.XLOOKUP(A633,'[1]Tissue Data'!$A:$A,'[1]Tissue Data'!J:J)</f>
        <v>U</v>
      </c>
      <c r="H633" t="str">
        <f>_xlfn.XLOOKUP(A633,'[1]Tissue Data'!$A:$A,'[1]Tissue Data'!K:K)</f>
        <v>Whole Body</v>
      </c>
      <c r="I633">
        <f>_xlfn.XLOOKUP(A633,'[1]Tissue Data'!$A:$A,'[1]Tissue Data'!L:L)</f>
        <v>8</v>
      </c>
      <c r="J633">
        <f>_xlfn.XLOOKUP(A633,'[1]Tissue Data'!$A:$A,'[1]Tissue Data'!M:M)</f>
        <v>8.15</v>
      </c>
      <c r="K633" t="s">
        <v>43</v>
      </c>
      <c r="L633" t="str">
        <f>_xlfn.XLOOKUP(K633,[2]analyte_order!$B:$B,[2]analyte_order!$C:$C)</f>
        <v>757124-72-4</v>
      </c>
      <c r="M633">
        <f>_xlfn.XLOOKUP(L633,[2]analyte_order!$C:$C,[2]analyte_order!$E:$E)</f>
        <v>22</v>
      </c>
      <c r="N633">
        <v>5.6546609630452348E-2</v>
      </c>
    </row>
    <row r="634" spans="1:14">
      <c r="A634" t="s">
        <v>135</v>
      </c>
      <c r="B634" t="str">
        <f>_xlfn.XLOOKUP(A634,'[1]Tissue Data'!$A:$A,'[1]Tissue Data'!$C:$C)</f>
        <v>Down</v>
      </c>
      <c r="C634" s="2">
        <f>_xlfn.XLOOKUP(A634,'[1]Tissue Data'!$A:$A,'[1]Tissue Data'!$D:$D)</f>
        <v>44314</v>
      </c>
      <c r="D634" s="2" t="s">
        <v>131</v>
      </c>
      <c r="E634" t="str">
        <f>_xlfn.XLOOKUP(A634,'[1]Tissue Data'!$A:$A,'[1]Tissue Data'!$H:$H)</f>
        <v>Clinostomus</v>
      </c>
      <c r="F634" t="str">
        <f>_xlfn.XLOOKUP(A634,'[1]Tissue Data'!$A:$A,'[1]Tissue Data'!$I:$I)</f>
        <v>funduloides</v>
      </c>
      <c r="G634" t="str">
        <f>_xlfn.XLOOKUP(A634,'[1]Tissue Data'!$A:$A,'[1]Tissue Data'!J:J)</f>
        <v>U</v>
      </c>
      <c r="H634" t="str">
        <f>_xlfn.XLOOKUP(A634,'[1]Tissue Data'!$A:$A,'[1]Tissue Data'!K:K)</f>
        <v>Whole Body</v>
      </c>
      <c r="I634">
        <f>_xlfn.XLOOKUP(A634,'[1]Tissue Data'!$A:$A,'[1]Tissue Data'!L:L)</f>
        <v>8</v>
      </c>
      <c r="J634">
        <f>_xlfn.XLOOKUP(A634,'[1]Tissue Data'!$A:$A,'[1]Tissue Data'!M:M)</f>
        <v>8.15</v>
      </c>
      <c r="K634" t="s">
        <v>44</v>
      </c>
      <c r="L634" t="str">
        <f>_xlfn.XLOOKUP(K634,[2]analyte_order!$B:$B,[2]analyte_order!$C:$C)</f>
        <v>27619-97-2</v>
      </c>
      <c r="M634">
        <f>_xlfn.XLOOKUP(L634,[2]analyte_order!$C:$C,[2]analyte_order!$E:$E)</f>
        <v>23</v>
      </c>
      <c r="N634">
        <v>4.1562866903826733E-2</v>
      </c>
    </row>
    <row r="635" spans="1:14">
      <c r="A635" t="s">
        <v>135</v>
      </c>
      <c r="B635" t="str">
        <f>_xlfn.XLOOKUP(A635,'[1]Tissue Data'!$A:$A,'[1]Tissue Data'!$C:$C)</f>
        <v>Down</v>
      </c>
      <c r="C635" s="2">
        <f>_xlfn.XLOOKUP(A635,'[1]Tissue Data'!$A:$A,'[1]Tissue Data'!$D:$D)</f>
        <v>44314</v>
      </c>
      <c r="D635" s="2" t="s">
        <v>131</v>
      </c>
      <c r="E635" t="str">
        <f>_xlfn.XLOOKUP(A635,'[1]Tissue Data'!$A:$A,'[1]Tissue Data'!$H:$H)</f>
        <v>Clinostomus</v>
      </c>
      <c r="F635" t="str">
        <f>_xlfn.XLOOKUP(A635,'[1]Tissue Data'!$A:$A,'[1]Tissue Data'!$I:$I)</f>
        <v>funduloides</v>
      </c>
      <c r="G635" t="str">
        <f>_xlfn.XLOOKUP(A635,'[1]Tissue Data'!$A:$A,'[1]Tissue Data'!J:J)</f>
        <v>U</v>
      </c>
      <c r="H635" t="str">
        <f>_xlfn.XLOOKUP(A635,'[1]Tissue Data'!$A:$A,'[1]Tissue Data'!K:K)</f>
        <v>Whole Body</v>
      </c>
      <c r="I635">
        <f>_xlfn.XLOOKUP(A635,'[1]Tissue Data'!$A:$A,'[1]Tissue Data'!L:L)</f>
        <v>8</v>
      </c>
      <c r="J635">
        <f>_xlfn.XLOOKUP(A635,'[1]Tissue Data'!$A:$A,'[1]Tissue Data'!M:M)</f>
        <v>8.15</v>
      </c>
      <c r="K635" t="s">
        <v>45</v>
      </c>
      <c r="L635" t="str">
        <f>_xlfn.XLOOKUP(K635,[2]analyte_order!$B:$B,[2]analyte_order!$C:$C)</f>
        <v>39108-34-4</v>
      </c>
      <c r="M635">
        <f>_xlfn.XLOOKUP(L635,[2]analyte_order!$C:$C,[2]analyte_order!$E:$E)</f>
        <v>24</v>
      </c>
      <c r="N635">
        <v>4.59</v>
      </c>
    </row>
    <row r="636" spans="1:14">
      <c r="A636" t="s">
        <v>135</v>
      </c>
      <c r="B636" t="str">
        <f>_xlfn.XLOOKUP(A636,'[1]Tissue Data'!$A:$A,'[1]Tissue Data'!$C:$C)</f>
        <v>Down</v>
      </c>
      <c r="C636" s="2">
        <f>_xlfn.XLOOKUP(A636,'[1]Tissue Data'!$A:$A,'[1]Tissue Data'!$D:$D)</f>
        <v>44314</v>
      </c>
      <c r="D636" s="2" t="s">
        <v>131</v>
      </c>
      <c r="E636" t="str">
        <f>_xlfn.XLOOKUP(A636,'[1]Tissue Data'!$A:$A,'[1]Tissue Data'!$H:$H)</f>
        <v>Clinostomus</v>
      </c>
      <c r="F636" t="str">
        <f>_xlfn.XLOOKUP(A636,'[1]Tissue Data'!$A:$A,'[1]Tissue Data'!$I:$I)</f>
        <v>funduloides</v>
      </c>
      <c r="G636" t="str">
        <f>_xlfn.XLOOKUP(A636,'[1]Tissue Data'!$A:$A,'[1]Tissue Data'!J:J)</f>
        <v>U</v>
      </c>
      <c r="H636" t="str">
        <f>_xlfn.XLOOKUP(A636,'[1]Tissue Data'!$A:$A,'[1]Tissue Data'!K:K)</f>
        <v>Whole Body</v>
      </c>
      <c r="I636">
        <f>_xlfn.XLOOKUP(A636,'[1]Tissue Data'!$A:$A,'[1]Tissue Data'!L:L)</f>
        <v>8</v>
      </c>
      <c r="J636">
        <f>_xlfn.XLOOKUP(A636,'[1]Tissue Data'!$A:$A,'[1]Tissue Data'!M:M)</f>
        <v>8.15</v>
      </c>
      <c r="K636" t="s">
        <v>46</v>
      </c>
      <c r="L636" t="str">
        <f>_xlfn.XLOOKUP(K636,[2]analyte_order!$B:$B,[2]analyte_order!$C:$C)</f>
        <v>120226-60-0</v>
      </c>
      <c r="M636">
        <f>_xlfn.XLOOKUP(L636,[2]analyte_order!$C:$C,[2]analyte_order!$E:$E)</f>
        <v>25</v>
      </c>
      <c r="N636">
        <v>0.2566088233427079</v>
      </c>
    </row>
    <row r="637" spans="1:14">
      <c r="A637" t="s">
        <v>135</v>
      </c>
      <c r="B637" t="str">
        <f>_xlfn.XLOOKUP(A637,'[1]Tissue Data'!$A:$A,'[1]Tissue Data'!$C:$C)</f>
        <v>Down</v>
      </c>
      <c r="C637" s="2">
        <f>_xlfn.XLOOKUP(A637,'[1]Tissue Data'!$A:$A,'[1]Tissue Data'!$D:$D)</f>
        <v>44314</v>
      </c>
      <c r="D637" s="2" t="s">
        <v>131</v>
      </c>
      <c r="E637" t="str">
        <f>_xlfn.XLOOKUP(A637,'[1]Tissue Data'!$A:$A,'[1]Tissue Data'!$H:$H)</f>
        <v>Clinostomus</v>
      </c>
      <c r="F637" t="str">
        <f>_xlfn.XLOOKUP(A637,'[1]Tissue Data'!$A:$A,'[1]Tissue Data'!$I:$I)</f>
        <v>funduloides</v>
      </c>
      <c r="G637" t="str">
        <f>_xlfn.XLOOKUP(A637,'[1]Tissue Data'!$A:$A,'[1]Tissue Data'!J:J)</f>
        <v>U</v>
      </c>
      <c r="H637" t="str">
        <f>_xlfn.XLOOKUP(A637,'[1]Tissue Data'!$A:$A,'[1]Tissue Data'!K:K)</f>
        <v>Whole Body</v>
      </c>
      <c r="I637">
        <f>_xlfn.XLOOKUP(A637,'[1]Tissue Data'!$A:$A,'[1]Tissue Data'!L:L)</f>
        <v>8</v>
      </c>
      <c r="J637">
        <f>_xlfn.XLOOKUP(A637,'[1]Tissue Data'!$A:$A,'[1]Tissue Data'!M:M)</f>
        <v>8.15</v>
      </c>
      <c r="K637" t="s">
        <v>47</v>
      </c>
      <c r="L637" t="str">
        <f>_xlfn.XLOOKUP(K637,[2]analyte_order!$B:$B,[2]analyte_order!$C:$C)</f>
        <v>356-02-5</v>
      </c>
      <c r="M637">
        <f>_xlfn.XLOOKUP(L637,[2]analyte_order!$C:$C,[2]analyte_order!$E:$E)</f>
        <v>38</v>
      </c>
      <c r="N637">
        <v>7.9409296049575931E-2</v>
      </c>
    </row>
    <row r="638" spans="1:14">
      <c r="A638" t="s">
        <v>135</v>
      </c>
      <c r="B638" t="str">
        <f>_xlfn.XLOOKUP(A638,'[1]Tissue Data'!$A:$A,'[1]Tissue Data'!$C:$C)</f>
        <v>Down</v>
      </c>
      <c r="C638" s="2">
        <f>_xlfn.XLOOKUP(A638,'[1]Tissue Data'!$A:$A,'[1]Tissue Data'!$D:$D)</f>
        <v>44314</v>
      </c>
      <c r="D638" s="2" t="s">
        <v>131</v>
      </c>
      <c r="E638" t="str">
        <f>_xlfn.XLOOKUP(A638,'[1]Tissue Data'!$A:$A,'[1]Tissue Data'!$H:$H)</f>
        <v>Clinostomus</v>
      </c>
      <c r="F638" t="str">
        <f>_xlfn.XLOOKUP(A638,'[1]Tissue Data'!$A:$A,'[1]Tissue Data'!$I:$I)</f>
        <v>funduloides</v>
      </c>
      <c r="G638" t="str">
        <f>_xlfn.XLOOKUP(A638,'[1]Tissue Data'!$A:$A,'[1]Tissue Data'!J:J)</f>
        <v>U</v>
      </c>
      <c r="H638" t="str">
        <f>_xlfn.XLOOKUP(A638,'[1]Tissue Data'!$A:$A,'[1]Tissue Data'!K:K)</f>
        <v>Whole Body</v>
      </c>
      <c r="I638">
        <f>_xlfn.XLOOKUP(A638,'[1]Tissue Data'!$A:$A,'[1]Tissue Data'!L:L)</f>
        <v>8</v>
      </c>
      <c r="J638">
        <f>_xlfn.XLOOKUP(A638,'[1]Tissue Data'!$A:$A,'[1]Tissue Data'!M:M)</f>
        <v>8.15</v>
      </c>
      <c r="K638" t="s">
        <v>48</v>
      </c>
      <c r="L638" t="str">
        <f>_xlfn.XLOOKUP(K638,[2]analyte_order!$B:$B,[2]analyte_order!$C:$C)</f>
        <v>914637-49-3</v>
      </c>
      <c r="M638">
        <f>_xlfn.XLOOKUP(L638,[2]analyte_order!$C:$C,[2]analyte_order!$E:$E)</f>
        <v>39</v>
      </c>
      <c r="N638">
        <v>5.1952510831987077E-2</v>
      </c>
    </row>
    <row r="639" spans="1:14">
      <c r="A639" t="s">
        <v>135</v>
      </c>
      <c r="B639" t="str">
        <f>_xlfn.XLOOKUP(A639,'[1]Tissue Data'!$A:$A,'[1]Tissue Data'!$C:$C)</f>
        <v>Down</v>
      </c>
      <c r="C639" s="2">
        <f>_xlfn.XLOOKUP(A639,'[1]Tissue Data'!$A:$A,'[1]Tissue Data'!$D:$D)</f>
        <v>44314</v>
      </c>
      <c r="D639" s="2" t="s">
        <v>131</v>
      </c>
      <c r="E639" t="str">
        <f>_xlfn.XLOOKUP(A639,'[1]Tissue Data'!$A:$A,'[1]Tissue Data'!$H:$H)</f>
        <v>Clinostomus</v>
      </c>
      <c r="F639" t="str">
        <f>_xlfn.XLOOKUP(A639,'[1]Tissue Data'!$A:$A,'[1]Tissue Data'!$I:$I)</f>
        <v>funduloides</v>
      </c>
      <c r="G639" t="str">
        <f>_xlfn.XLOOKUP(A639,'[1]Tissue Data'!$A:$A,'[1]Tissue Data'!J:J)</f>
        <v>U</v>
      </c>
      <c r="H639" t="str">
        <f>_xlfn.XLOOKUP(A639,'[1]Tissue Data'!$A:$A,'[1]Tissue Data'!K:K)</f>
        <v>Whole Body</v>
      </c>
      <c r="I639">
        <f>_xlfn.XLOOKUP(A639,'[1]Tissue Data'!$A:$A,'[1]Tissue Data'!L:L)</f>
        <v>8</v>
      </c>
      <c r="J639">
        <f>_xlfn.XLOOKUP(A639,'[1]Tissue Data'!$A:$A,'[1]Tissue Data'!M:M)</f>
        <v>8.15</v>
      </c>
      <c r="K639" t="s">
        <v>49</v>
      </c>
      <c r="L639" t="str">
        <f>_xlfn.XLOOKUP(K639,[2]analyte_order!$B:$B,[2]analyte_order!$C:$C)</f>
        <v>812-70-4</v>
      </c>
      <c r="M639">
        <f>_xlfn.XLOOKUP(L639,[2]analyte_order!$C:$C,[2]analyte_order!$E:$E)</f>
        <v>40</v>
      </c>
      <c r="N639">
        <v>2.23</v>
      </c>
    </row>
    <row r="640" spans="1:14">
      <c r="A640" t="s">
        <v>135</v>
      </c>
      <c r="B640" t="str">
        <f>_xlfn.XLOOKUP(A640,'[1]Tissue Data'!$A:$A,'[1]Tissue Data'!$C:$C)</f>
        <v>Down</v>
      </c>
      <c r="C640" s="2">
        <f>_xlfn.XLOOKUP(A640,'[1]Tissue Data'!$A:$A,'[1]Tissue Data'!$D:$D)</f>
        <v>44314</v>
      </c>
      <c r="D640" s="2" t="s">
        <v>131</v>
      </c>
      <c r="E640" t="str">
        <f>_xlfn.XLOOKUP(A640,'[1]Tissue Data'!$A:$A,'[1]Tissue Data'!$H:$H)</f>
        <v>Clinostomus</v>
      </c>
      <c r="F640" t="str">
        <f>_xlfn.XLOOKUP(A640,'[1]Tissue Data'!$A:$A,'[1]Tissue Data'!$I:$I)</f>
        <v>funduloides</v>
      </c>
      <c r="G640" t="str">
        <f>_xlfn.XLOOKUP(A640,'[1]Tissue Data'!$A:$A,'[1]Tissue Data'!J:J)</f>
        <v>U</v>
      </c>
      <c r="H640" t="str">
        <f>_xlfn.XLOOKUP(A640,'[1]Tissue Data'!$A:$A,'[1]Tissue Data'!K:K)</f>
        <v>Whole Body</v>
      </c>
      <c r="I640">
        <f>_xlfn.XLOOKUP(A640,'[1]Tissue Data'!$A:$A,'[1]Tissue Data'!L:L)</f>
        <v>8</v>
      </c>
      <c r="J640">
        <f>_xlfn.XLOOKUP(A640,'[1]Tissue Data'!$A:$A,'[1]Tissue Data'!M:M)</f>
        <v>8.15</v>
      </c>
      <c r="K640" t="s">
        <v>50</v>
      </c>
      <c r="L640" t="str">
        <f>_xlfn.XLOOKUP(K640,[2]analyte_order!$B:$B,[2]analyte_order!$C:$C)</f>
        <v>53826-12-3</v>
      </c>
      <c r="M640">
        <f>_xlfn.XLOOKUP(L640,[2]analyte_order!$C:$C,[2]analyte_order!$E:$E)</f>
        <v>41</v>
      </c>
      <c r="N640">
        <v>4.4174077392922055E-2</v>
      </c>
    </row>
    <row r="641" spans="1:14">
      <c r="A641" t="s">
        <v>135</v>
      </c>
      <c r="B641" t="str">
        <f>_xlfn.XLOOKUP(A641,'[1]Tissue Data'!$A:$A,'[1]Tissue Data'!$C:$C)</f>
        <v>Down</v>
      </c>
      <c r="C641" s="2">
        <f>_xlfn.XLOOKUP(A641,'[1]Tissue Data'!$A:$A,'[1]Tissue Data'!$D:$D)</f>
        <v>44314</v>
      </c>
      <c r="D641" s="2" t="s">
        <v>131</v>
      </c>
      <c r="E641" t="str">
        <f>_xlfn.XLOOKUP(A641,'[1]Tissue Data'!$A:$A,'[1]Tissue Data'!$H:$H)</f>
        <v>Clinostomus</v>
      </c>
      <c r="F641" t="str">
        <f>_xlfn.XLOOKUP(A641,'[1]Tissue Data'!$A:$A,'[1]Tissue Data'!$I:$I)</f>
        <v>funduloides</v>
      </c>
      <c r="G641" t="str">
        <f>_xlfn.XLOOKUP(A641,'[1]Tissue Data'!$A:$A,'[1]Tissue Data'!J:J)</f>
        <v>U</v>
      </c>
      <c r="H641" t="str">
        <f>_xlfn.XLOOKUP(A641,'[1]Tissue Data'!$A:$A,'[1]Tissue Data'!K:K)</f>
        <v>Whole Body</v>
      </c>
      <c r="I641">
        <f>_xlfn.XLOOKUP(A641,'[1]Tissue Data'!$A:$A,'[1]Tissue Data'!L:L)</f>
        <v>8</v>
      </c>
      <c r="J641">
        <f>_xlfn.XLOOKUP(A641,'[1]Tissue Data'!$A:$A,'[1]Tissue Data'!M:M)</f>
        <v>8.15</v>
      </c>
      <c r="K641" t="s">
        <v>51</v>
      </c>
      <c r="L641" t="str">
        <f>_xlfn.XLOOKUP(K641,[2]analyte_order!$B:$B,[2]analyte_order!$C:$C)</f>
        <v>27854-31-5</v>
      </c>
      <c r="M641">
        <f>_xlfn.XLOOKUP(L641,[2]analyte_order!$C:$C,[2]analyte_order!$E:$E)</f>
        <v>42</v>
      </c>
      <c r="N641">
        <v>2.7537083272139815E-2</v>
      </c>
    </row>
    <row r="642" spans="1:14">
      <c r="A642" t="s">
        <v>135</v>
      </c>
      <c r="B642" t="str">
        <f>_xlfn.XLOOKUP(A642,'[1]Tissue Data'!$A:$A,'[1]Tissue Data'!$C:$C)</f>
        <v>Down</v>
      </c>
      <c r="C642" s="2">
        <f>_xlfn.XLOOKUP(A642,'[1]Tissue Data'!$A:$A,'[1]Tissue Data'!$D:$D)</f>
        <v>44314</v>
      </c>
      <c r="D642" s="2" t="s">
        <v>131</v>
      </c>
      <c r="E642" t="str">
        <f>_xlfn.XLOOKUP(A642,'[1]Tissue Data'!$A:$A,'[1]Tissue Data'!$H:$H)</f>
        <v>Clinostomus</v>
      </c>
      <c r="F642" t="str">
        <f>_xlfn.XLOOKUP(A642,'[1]Tissue Data'!$A:$A,'[1]Tissue Data'!$I:$I)</f>
        <v>funduloides</v>
      </c>
      <c r="G642" t="str">
        <f>_xlfn.XLOOKUP(A642,'[1]Tissue Data'!$A:$A,'[1]Tissue Data'!J:J)</f>
        <v>U</v>
      </c>
      <c r="H642" t="str">
        <f>_xlfn.XLOOKUP(A642,'[1]Tissue Data'!$A:$A,'[1]Tissue Data'!K:K)</f>
        <v>Whole Body</v>
      </c>
      <c r="I642">
        <f>_xlfn.XLOOKUP(A642,'[1]Tissue Data'!$A:$A,'[1]Tissue Data'!L:L)</f>
        <v>8</v>
      </c>
      <c r="J642">
        <f>_xlfn.XLOOKUP(A642,'[1]Tissue Data'!$A:$A,'[1]Tissue Data'!M:M)</f>
        <v>8.15</v>
      </c>
      <c r="K642" t="s">
        <v>52</v>
      </c>
      <c r="L642" t="str">
        <f>_xlfn.XLOOKUP(K642,[2]analyte_order!$B:$B,[2]analyte_order!$C:$C)</f>
        <v>53826-13-4</v>
      </c>
      <c r="M642">
        <f>_xlfn.XLOOKUP(L642,[2]analyte_order!$C:$C,[2]analyte_order!$E:$E)</f>
        <v>43</v>
      </c>
      <c r="N642">
        <v>0.10272657336379241</v>
      </c>
    </row>
    <row r="643" spans="1:14">
      <c r="A643" t="s">
        <v>135</v>
      </c>
      <c r="B643" t="str">
        <f>_xlfn.XLOOKUP(A643,'[1]Tissue Data'!$A:$A,'[1]Tissue Data'!$C:$C)</f>
        <v>Down</v>
      </c>
      <c r="C643" s="2">
        <f>_xlfn.XLOOKUP(A643,'[1]Tissue Data'!$A:$A,'[1]Tissue Data'!$D:$D)</f>
        <v>44314</v>
      </c>
      <c r="D643" s="2" t="s">
        <v>131</v>
      </c>
      <c r="E643" t="str">
        <f>_xlfn.XLOOKUP(A643,'[1]Tissue Data'!$A:$A,'[1]Tissue Data'!$H:$H)</f>
        <v>Clinostomus</v>
      </c>
      <c r="F643" t="str">
        <f>_xlfn.XLOOKUP(A643,'[1]Tissue Data'!$A:$A,'[1]Tissue Data'!$I:$I)</f>
        <v>funduloides</v>
      </c>
      <c r="G643" t="str">
        <f>_xlfn.XLOOKUP(A643,'[1]Tissue Data'!$A:$A,'[1]Tissue Data'!J:J)</f>
        <v>U</v>
      </c>
      <c r="H643" t="str">
        <f>_xlfn.XLOOKUP(A643,'[1]Tissue Data'!$A:$A,'[1]Tissue Data'!K:K)</f>
        <v>Whole Body</v>
      </c>
      <c r="I643">
        <f>_xlfn.XLOOKUP(A643,'[1]Tissue Data'!$A:$A,'[1]Tissue Data'!L:L)</f>
        <v>8</v>
      </c>
      <c r="J643">
        <f>_xlfn.XLOOKUP(A643,'[1]Tissue Data'!$A:$A,'[1]Tissue Data'!M:M)</f>
        <v>8.15</v>
      </c>
      <c r="K643" t="s">
        <v>53</v>
      </c>
      <c r="L643" t="str">
        <f>_xlfn.XLOOKUP(K643,[2]analyte_order!$B:$B,[2]analyte_order!$C:$C)</f>
        <v>161094-75-3</v>
      </c>
      <c r="M643">
        <f>_xlfn.XLOOKUP(L643,[2]analyte_order!$C:$C,[2]analyte_order!$E:$E)</f>
        <v>44</v>
      </c>
      <c r="N643">
        <v>5.4055056827544433E-2</v>
      </c>
    </row>
    <row r="644" spans="1:14">
      <c r="A644" t="s">
        <v>135</v>
      </c>
      <c r="B644" t="str">
        <f>_xlfn.XLOOKUP(A644,'[1]Tissue Data'!$A:$A,'[1]Tissue Data'!$C:$C)</f>
        <v>Down</v>
      </c>
      <c r="C644" s="2">
        <f>_xlfn.XLOOKUP(A644,'[1]Tissue Data'!$A:$A,'[1]Tissue Data'!$D:$D)</f>
        <v>44314</v>
      </c>
      <c r="D644" s="2" t="s">
        <v>131</v>
      </c>
      <c r="E644" t="str">
        <f>_xlfn.XLOOKUP(A644,'[1]Tissue Data'!$A:$A,'[1]Tissue Data'!$H:$H)</f>
        <v>Clinostomus</v>
      </c>
      <c r="F644" t="str">
        <f>_xlfn.XLOOKUP(A644,'[1]Tissue Data'!$A:$A,'[1]Tissue Data'!$I:$I)</f>
        <v>funduloides</v>
      </c>
      <c r="G644" t="str">
        <f>_xlfn.XLOOKUP(A644,'[1]Tissue Data'!$A:$A,'[1]Tissue Data'!J:J)</f>
        <v>U</v>
      </c>
      <c r="H644" t="str">
        <f>_xlfn.XLOOKUP(A644,'[1]Tissue Data'!$A:$A,'[1]Tissue Data'!K:K)</f>
        <v>Whole Body</v>
      </c>
      <c r="I644">
        <f>_xlfn.XLOOKUP(A644,'[1]Tissue Data'!$A:$A,'[1]Tissue Data'!L:L)</f>
        <v>8</v>
      </c>
      <c r="J644">
        <f>_xlfn.XLOOKUP(A644,'[1]Tissue Data'!$A:$A,'[1]Tissue Data'!M:M)</f>
        <v>8.15</v>
      </c>
      <c r="K644" t="s">
        <v>54</v>
      </c>
      <c r="L644" t="str">
        <f>_xlfn.XLOOKUP(K644,[2]analyte_order!$B:$B,[2]analyte_order!$C:$C)</f>
        <v>70887-84-2</v>
      </c>
      <c r="M644">
        <f>_xlfn.XLOOKUP(L644,[2]analyte_order!$C:$C,[2]analyte_order!$E:$E)</f>
        <v>45</v>
      </c>
      <c r="N644">
        <v>4.1601960343951944E-2</v>
      </c>
    </row>
    <row r="645" spans="1:14">
      <c r="A645" t="s">
        <v>135</v>
      </c>
      <c r="B645" t="str">
        <f>_xlfn.XLOOKUP(A645,'[1]Tissue Data'!$A:$A,'[1]Tissue Data'!$C:$C)</f>
        <v>Down</v>
      </c>
      <c r="C645" s="2">
        <f>_xlfn.XLOOKUP(A645,'[1]Tissue Data'!$A:$A,'[1]Tissue Data'!$D:$D)</f>
        <v>44314</v>
      </c>
      <c r="D645" s="2" t="s">
        <v>131</v>
      </c>
      <c r="E645" t="str">
        <f>_xlfn.XLOOKUP(A645,'[1]Tissue Data'!$A:$A,'[1]Tissue Data'!$H:$H)</f>
        <v>Clinostomus</v>
      </c>
      <c r="F645" t="str">
        <f>_xlfn.XLOOKUP(A645,'[1]Tissue Data'!$A:$A,'[1]Tissue Data'!$I:$I)</f>
        <v>funduloides</v>
      </c>
      <c r="G645" t="str">
        <f>_xlfn.XLOOKUP(A645,'[1]Tissue Data'!$A:$A,'[1]Tissue Data'!J:J)</f>
        <v>U</v>
      </c>
      <c r="H645" t="str">
        <f>_xlfn.XLOOKUP(A645,'[1]Tissue Data'!$A:$A,'[1]Tissue Data'!K:K)</f>
        <v>Whole Body</v>
      </c>
      <c r="I645">
        <f>_xlfn.XLOOKUP(A645,'[1]Tissue Data'!$A:$A,'[1]Tissue Data'!L:L)</f>
        <v>8</v>
      </c>
      <c r="J645">
        <f>_xlfn.XLOOKUP(A645,'[1]Tissue Data'!$A:$A,'[1]Tissue Data'!M:M)</f>
        <v>8.15</v>
      </c>
      <c r="K645" t="s">
        <v>55</v>
      </c>
      <c r="L645" t="str">
        <f>_xlfn.XLOOKUP(K645,[2]analyte_order!$B:$B,[2]analyte_order!$C:$C)</f>
        <v>919005-14-4</v>
      </c>
      <c r="M645">
        <f>_xlfn.XLOOKUP(L645,[2]analyte_order!$C:$C,[2]analyte_order!$E:$E)</f>
        <v>35</v>
      </c>
      <c r="N645">
        <v>6.8842708180349543E-2</v>
      </c>
    </row>
    <row r="646" spans="1:14">
      <c r="A646" t="s">
        <v>135</v>
      </c>
      <c r="B646" t="str">
        <f>_xlfn.XLOOKUP(A646,'[1]Tissue Data'!$A:$A,'[1]Tissue Data'!$C:$C)</f>
        <v>Down</v>
      </c>
      <c r="C646" s="2">
        <f>_xlfn.XLOOKUP(A646,'[1]Tissue Data'!$A:$A,'[1]Tissue Data'!$D:$D)</f>
        <v>44314</v>
      </c>
      <c r="D646" s="2" t="s">
        <v>131</v>
      </c>
      <c r="E646" t="str">
        <f>_xlfn.XLOOKUP(A646,'[1]Tissue Data'!$A:$A,'[1]Tissue Data'!$H:$H)</f>
        <v>Clinostomus</v>
      </c>
      <c r="F646" t="str">
        <f>_xlfn.XLOOKUP(A646,'[1]Tissue Data'!$A:$A,'[1]Tissue Data'!$I:$I)</f>
        <v>funduloides</v>
      </c>
      <c r="G646" t="str">
        <f>_xlfn.XLOOKUP(A646,'[1]Tissue Data'!$A:$A,'[1]Tissue Data'!J:J)</f>
        <v>U</v>
      </c>
      <c r="H646" t="str">
        <f>_xlfn.XLOOKUP(A646,'[1]Tissue Data'!$A:$A,'[1]Tissue Data'!K:K)</f>
        <v>Whole Body</v>
      </c>
      <c r="I646">
        <f>_xlfn.XLOOKUP(A646,'[1]Tissue Data'!$A:$A,'[1]Tissue Data'!L:L)</f>
        <v>8</v>
      </c>
      <c r="J646">
        <f>_xlfn.XLOOKUP(A646,'[1]Tissue Data'!$A:$A,'[1]Tissue Data'!M:M)</f>
        <v>8.15</v>
      </c>
      <c r="K646" t="s">
        <v>56</v>
      </c>
      <c r="L646" t="str">
        <f>_xlfn.XLOOKUP(K646,[2]analyte_order!$B:$B,[2]analyte_order!$C:$C)</f>
        <v>756426-58-1</v>
      </c>
      <c r="M646">
        <f>_xlfn.XLOOKUP(L646,[2]analyte_order!$C:$C,[2]analyte_order!$E:$E)</f>
        <v>36</v>
      </c>
      <c r="N646">
        <v>4.778418081027868E-2</v>
      </c>
    </row>
    <row r="647" spans="1:14">
      <c r="A647" t="s">
        <v>135</v>
      </c>
      <c r="B647" t="str">
        <f>_xlfn.XLOOKUP(A647,'[1]Tissue Data'!$A:$A,'[1]Tissue Data'!$C:$C)</f>
        <v>Down</v>
      </c>
      <c r="C647" s="2">
        <f>_xlfn.XLOOKUP(A647,'[1]Tissue Data'!$A:$A,'[1]Tissue Data'!$D:$D)</f>
        <v>44314</v>
      </c>
      <c r="D647" s="2" t="s">
        <v>131</v>
      </c>
      <c r="E647" t="str">
        <f>_xlfn.XLOOKUP(A647,'[1]Tissue Data'!$A:$A,'[1]Tissue Data'!$H:$H)</f>
        <v>Clinostomus</v>
      </c>
      <c r="F647" t="str">
        <f>_xlfn.XLOOKUP(A647,'[1]Tissue Data'!$A:$A,'[1]Tissue Data'!$I:$I)</f>
        <v>funduloides</v>
      </c>
      <c r="G647" t="str">
        <f>_xlfn.XLOOKUP(A647,'[1]Tissue Data'!$A:$A,'[1]Tissue Data'!J:J)</f>
        <v>U</v>
      </c>
      <c r="H647" t="str">
        <f>_xlfn.XLOOKUP(A647,'[1]Tissue Data'!$A:$A,'[1]Tissue Data'!K:K)</f>
        <v>Whole Body</v>
      </c>
      <c r="I647">
        <f>_xlfn.XLOOKUP(A647,'[1]Tissue Data'!$A:$A,'[1]Tissue Data'!L:L)</f>
        <v>8</v>
      </c>
      <c r="J647">
        <f>_xlfn.XLOOKUP(A647,'[1]Tissue Data'!$A:$A,'[1]Tissue Data'!M:M)</f>
        <v>8.15</v>
      </c>
      <c r="K647" t="s">
        <v>57</v>
      </c>
      <c r="L647" t="str">
        <f>_xlfn.XLOOKUP(K647,[2]analyte_order!$B:$B,[2]analyte_order!$C:$C)</f>
        <v>763051-92-9</v>
      </c>
      <c r="M647">
        <f>_xlfn.XLOOKUP(L647,[2]analyte_order!$C:$C,[2]analyte_order!$E:$E)</f>
        <v>37</v>
      </c>
      <c r="N647">
        <v>5.4247403161853801E-2</v>
      </c>
    </row>
    <row r="648" spans="1:14">
      <c r="A648" t="s">
        <v>135</v>
      </c>
      <c r="B648" t="str">
        <f>_xlfn.XLOOKUP(A648,'[1]Tissue Data'!$A:$A,'[1]Tissue Data'!$C:$C)</f>
        <v>Down</v>
      </c>
      <c r="C648" s="2">
        <f>_xlfn.XLOOKUP(A648,'[1]Tissue Data'!$A:$A,'[1]Tissue Data'!$D:$D)</f>
        <v>44314</v>
      </c>
      <c r="D648" s="2" t="s">
        <v>131</v>
      </c>
      <c r="E648" t="str">
        <f>_xlfn.XLOOKUP(A648,'[1]Tissue Data'!$A:$A,'[1]Tissue Data'!$H:$H)</f>
        <v>Clinostomus</v>
      </c>
      <c r="F648" t="str">
        <f>_xlfn.XLOOKUP(A648,'[1]Tissue Data'!$A:$A,'[1]Tissue Data'!$I:$I)</f>
        <v>funduloides</v>
      </c>
      <c r="G648" t="str">
        <f>_xlfn.XLOOKUP(A648,'[1]Tissue Data'!$A:$A,'[1]Tissue Data'!J:J)</f>
        <v>U</v>
      </c>
      <c r="H648" t="str">
        <f>_xlfn.XLOOKUP(A648,'[1]Tissue Data'!$A:$A,'[1]Tissue Data'!K:K)</f>
        <v>Whole Body</v>
      </c>
      <c r="I648">
        <f>_xlfn.XLOOKUP(A648,'[1]Tissue Data'!$A:$A,'[1]Tissue Data'!L:L)</f>
        <v>8</v>
      </c>
      <c r="J648">
        <f>_xlfn.XLOOKUP(A648,'[1]Tissue Data'!$A:$A,'[1]Tissue Data'!M:M)</f>
        <v>8.15</v>
      </c>
      <c r="K648" t="s">
        <v>58</v>
      </c>
      <c r="L648" t="str">
        <f>_xlfn.XLOOKUP(K648,[2]analyte_order!$B:$B,[2]analyte_order!$C:$C)</f>
        <v>13252-13-6</v>
      </c>
      <c r="M648">
        <f>_xlfn.XLOOKUP(L648,[2]analyte_order!$C:$C,[2]analyte_order!$E:$E)</f>
        <v>34</v>
      </c>
      <c r="N648">
        <v>9.8791252728695489E-2</v>
      </c>
    </row>
    <row r="649" spans="1:14">
      <c r="A649" t="s">
        <v>135</v>
      </c>
      <c r="B649" t="str">
        <f>_xlfn.XLOOKUP(A649,'[1]Tissue Data'!$A:$A,'[1]Tissue Data'!$C:$C)</f>
        <v>Down</v>
      </c>
      <c r="C649" s="2">
        <f>_xlfn.XLOOKUP(A649,'[1]Tissue Data'!$A:$A,'[1]Tissue Data'!$D:$D)</f>
        <v>44314</v>
      </c>
      <c r="D649" s="2" t="s">
        <v>131</v>
      </c>
      <c r="E649" t="str">
        <f>_xlfn.XLOOKUP(A649,'[1]Tissue Data'!$A:$A,'[1]Tissue Data'!$H:$H)</f>
        <v>Clinostomus</v>
      </c>
      <c r="F649" t="str">
        <f>_xlfn.XLOOKUP(A649,'[1]Tissue Data'!$A:$A,'[1]Tissue Data'!$I:$I)</f>
        <v>funduloides</v>
      </c>
      <c r="G649" t="str">
        <f>_xlfn.XLOOKUP(A649,'[1]Tissue Data'!$A:$A,'[1]Tissue Data'!J:J)</f>
        <v>U</v>
      </c>
      <c r="H649" t="str">
        <f>_xlfn.XLOOKUP(A649,'[1]Tissue Data'!$A:$A,'[1]Tissue Data'!K:K)</f>
        <v>Whole Body</v>
      </c>
      <c r="I649">
        <f>_xlfn.XLOOKUP(A649,'[1]Tissue Data'!$A:$A,'[1]Tissue Data'!L:L)</f>
        <v>8</v>
      </c>
      <c r="J649">
        <f>_xlfn.XLOOKUP(A649,'[1]Tissue Data'!$A:$A,'[1]Tissue Data'!M:M)</f>
        <v>8.15</v>
      </c>
      <c r="K649" t="s">
        <v>59</v>
      </c>
      <c r="L649" t="str">
        <f>_xlfn.XLOOKUP(K649,[2]analyte_order!$B:$B,[2]analyte_order!$C:$C)</f>
        <v>57677-95-9</v>
      </c>
      <c r="M649">
        <f>_xlfn.XLOOKUP(L649,[2]analyte_order!$C:$C,[2]analyte_order!$E:$E)</f>
        <v>46</v>
      </c>
      <c r="N649">
        <v>7.3285054854099349E-2</v>
      </c>
    </row>
    <row r="650" spans="1:14">
      <c r="A650" t="s">
        <v>135</v>
      </c>
      <c r="B650" t="str">
        <f>_xlfn.XLOOKUP(A650,'[1]Tissue Data'!$A:$A,'[1]Tissue Data'!$C:$C)</f>
        <v>Down</v>
      </c>
      <c r="C650" s="2">
        <f>_xlfn.XLOOKUP(A650,'[1]Tissue Data'!$A:$A,'[1]Tissue Data'!$D:$D)</f>
        <v>44314</v>
      </c>
      <c r="D650" s="2" t="s">
        <v>131</v>
      </c>
      <c r="E650" t="str">
        <f>_xlfn.XLOOKUP(A650,'[1]Tissue Data'!$A:$A,'[1]Tissue Data'!$H:$H)</f>
        <v>Clinostomus</v>
      </c>
      <c r="F650" t="str">
        <f>_xlfn.XLOOKUP(A650,'[1]Tissue Data'!$A:$A,'[1]Tissue Data'!$I:$I)</f>
        <v>funduloides</v>
      </c>
      <c r="G650" t="str">
        <f>_xlfn.XLOOKUP(A650,'[1]Tissue Data'!$A:$A,'[1]Tissue Data'!J:J)</f>
        <v>U</v>
      </c>
      <c r="H650" t="str">
        <f>_xlfn.XLOOKUP(A650,'[1]Tissue Data'!$A:$A,'[1]Tissue Data'!K:K)</f>
        <v>Whole Body</v>
      </c>
      <c r="I650">
        <f>_xlfn.XLOOKUP(A650,'[1]Tissue Data'!$A:$A,'[1]Tissue Data'!L:L)</f>
        <v>8</v>
      </c>
      <c r="J650">
        <f>_xlfn.XLOOKUP(A650,'[1]Tissue Data'!$A:$A,'[1]Tissue Data'!M:M)</f>
        <v>8.15</v>
      </c>
      <c r="K650" t="s">
        <v>60</v>
      </c>
      <c r="L650" t="str">
        <f>_xlfn.XLOOKUP(K650,[2]analyte_order!$B:$B,[2]analyte_order!$C:$C)</f>
        <v>678-41-1</v>
      </c>
      <c r="M650">
        <f>_xlfn.XLOOKUP(L650,[2]analyte_order!$C:$C,[2]analyte_order!$E:$E)</f>
        <v>56</v>
      </c>
      <c r="N650">
        <v>9.1272626820981417E-2</v>
      </c>
    </row>
    <row r="651" spans="1:14">
      <c r="A651" t="s">
        <v>135</v>
      </c>
      <c r="B651" t="str">
        <f>_xlfn.XLOOKUP(A651,'[1]Tissue Data'!$A:$A,'[1]Tissue Data'!$C:$C)</f>
        <v>Down</v>
      </c>
      <c r="C651" s="2">
        <f>_xlfn.XLOOKUP(A651,'[1]Tissue Data'!$A:$A,'[1]Tissue Data'!$D:$D)</f>
        <v>44314</v>
      </c>
      <c r="D651" s="2" t="s">
        <v>131</v>
      </c>
      <c r="E651" t="str">
        <f>_xlfn.XLOOKUP(A651,'[1]Tissue Data'!$A:$A,'[1]Tissue Data'!$H:$H)</f>
        <v>Clinostomus</v>
      </c>
      <c r="F651" t="str">
        <f>_xlfn.XLOOKUP(A651,'[1]Tissue Data'!$A:$A,'[1]Tissue Data'!$I:$I)</f>
        <v>funduloides</v>
      </c>
      <c r="G651" t="str">
        <f>_xlfn.XLOOKUP(A651,'[1]Tissue Data'!$A:$A,'[1]Tissue Data'!J:J)</f>
        <v>U</v>
      </c>
      <c r="H651" t="str">
        <f>_xlfn.XLOOKUP(A651,'[1]Tissue Data'!$A:$A,'[1]Tissue Data'!K:K)</f>
        <v>Whole Body</v>
      </c>
      <c r="I651">
        <f>_xlfn.XLOOKUP(A651,'[1]Tissue Data'!$A:$A,'[1]Tissue Data'!L:L)</f>
        <v>8</v>
      </c>
      <c r="J651">
        <f>_xlfn.XLOOKUP(A651,'[1]Tissue Data'!$A:$A,'[1]Tissue Data'!M:M)</f>
        <v>8.15</v>
      </c>
      <c r="K651" t="s">
        <v>61</v>
      </c>
      <c r="L651" t="str">
        <f>_xlfn.XLOOKUP(K651,[2]analyte_order!$B:$B,[2]analyte_order!$C:$C)</f>
        <v>2965-52-8</v>
      </c>
      <c r="M651">
        <f>_xlfn.XLOOKUP(L651,[2]analyte_order!$C:$C,[2]analyte_order!$E:$E)</f>
        <v>57</v>
      </c>
      <c r="N651">
        <v>0.12116316639741519</v>
      </c>
    </row>
    <row r="652" spans="1:14">
      <c r="A652" t="s">
        <v>136</v>
      </c>
      <c r="B652" t="str">
        <f>_xlfn.XLOOKUP(A652,'[1]Tissue Data'!$A:$A,'[1]Tissue Data'!$C:$C)</f>
        <v>Down</v>
      </c>
      <c r="C652" s="2">
        <f>_xlfn.XLOOKUP(A652,'[1]Tissue Data'!$A:$A,'[1]Tissue Data'!$D:$D)</f>
        <v>44314</v>
      </c>
      <c r="D652" s="2" t="s">
        <v>131</v>
      </c>
      <c r="E652" t="str">
        <f>_xlfn.XLOOKUP(A652,'[1]Tissue Data'!$A:$A,'[1]Tissue Data'!$H:$H)</f>
        <v>Clinostomus</v>
      </c>
      <c r="F652" t="str">
        <f>_xlfn.XLOOKUP(A652,'[1]Tissue Data'!$A:$A,'[1]Tissue Data'!$I:$I)</f>
        <v>funduloides</v>
      </c>
      <c r="G652" t="str">
        <f>_xlfn.XLOOKUP(A652,'[1]Tissue Data'!$A:$A,'[1]Tissue Data'!J:J)</f>
        <v>U</v>
      </c>
      <c r="H652" t="str">
        <f>_xlfn.XLOOKUP(A652,'[1]Tissue Data'!$A:$A,'[1]Tissue Data'!K:K)</f>
        <v>Whole Body</v>
      </c>
      <c r="I652">
        <f>_xlfn.XLOOKUP(A652,'[1]Tissue Data'!$A:$A,'[1]Tissue Data'!L:L)</f>
        <v>7.5</v>
      </c>
      <c r="J652">
        <f>_xlfn.XLOOKUP(A652,'[1]Tissue Data'!$A:$A,'[1]Tissue Data'!M:M)</f>
        <v>6.8</v>
      </c>
      <c r="K652" t="s">
        <v>12</v>
      </c>
      <c r="L652" t="str">
        <f>_xlfn.XLOOKUP(K652,[2]analyte_order!$B:$B,[2]analyte_order!$C:$C)</f>
        <v>375-22-4</v>
      </c>
      <c r="M652">
        <f>_xlfn.XLOOKUP(L652,[2]analyte_order!$C:$C,[2]analyte_order!$E:$E)</f>
        <v>1</v>
      </c>
      <c r="N652">
        <v>2.7393257606194526E-2</v>
      </c>
    </row>
    <row r="653" spans="1:14">
      <c r="A653" t="s">
        <v>136</v>
      </c>
      <c r="B653" t="str">
        <f>_xlfn.XLOOKUP(A653,'[1]Tissue Data'!$A:$A,'[1]Tissue Data'!$C:$C)</f>
        <v>Down</v>
      </c>
      <c r="C653" s="2">
        <f>_xlfn.XLOOKUP(A653,'[1]Tissue Data'!$A:$A,'[1]Tissue Data'!$D:$D)</f>
        <v>44314</v>
      </c>
      <c r="D653" s="2" t="s">
        <v>131</v>
      </c>
      <c r="E653" t="str">
        <f>_xlfn.XLOOKUP(A653,'[1]Tissue Data'!$A:$A,'[1]Tissue Data'!$H:$H)</f>
        <v>Clinostomus</v>
      </c>
      <c r="F653" t="str">
        <f>_xlfn.XLOOKUP(A653,'[1]Tissue Data'!$A:$A,'[1]Tissue Data'!$I:$I)</f>
        <v>funduloides</v>
      </c>
      <c r="G653" t="str">
        <f>_xlfn.XLOOKUP(A653,'[1]Tissue Data'!$A:$A,'[1]Tissue Data'!J:J)</f>
        <v>U</v>
      </c>
      <c r="H653" t="str">
        <f>_xlfn.XLOOKUP(A653,'[1]Tissue Data'!$A:$A,'[1]Tissue Data'!K:K)</f>
        <v>Whole Body</v>
      </c>
      <c r="I653">
        <f>_xlfn.XLOOKUP(A653,'[1]Tissue Data'!$A:$A,'[1]Tissue Data'!L:L)</f>
        <v>7.5</v>
      </c>
      <c r="J653">
        <f>_xlfn.XLOOKUP(A653,'[1]Tissue Data'!$A:$A,'[1]Tissue Data'!M:M)</f>
        <v>6.8</v>
      </c>
      <c r="K653" t="s">
        <v>13</v>
      </c>
      <c r="L653" t="str">
        <f>_xlfn.XLOOKUP(K653,[2]analyte_order!$B:$B,[2]analyte_order!$C:$C)</f>
        <v>2706-90-3</v>
      </c>
      <c r="M653">
        <f>_xlfn.XLOOKUP(L653,[2]analyte_order!$C:$C,[2]analyte_order!$E:$E)</f>
        <v>2</v>
      </c>
      <c r="N653">
        <v>4.8386169152772197E-2</v>
      </c>
    </row>
    <row r="654" spans="1:14">
      <c r="A654" t="s">
        <v>136</v>
      </c>
      <c r="B654" t="str">
        <f>_xlfn.XLOOKUP(A654,'[1]Tissue Data'!$A:$A,'[1]Tissue Data'!$C:$C)</f>
        <v>Down</v>
      </c>
      <c r="C654" s="2">
        <f>_xlfn.XLOOKUP(A654,'[1]Tissue Data'!$A:$A,'[1]Tissue Data'!$D:$D)</f>
        <v>44314</v>
      </c>
      <c r="D654" s="2" t="s">
        <v>131</v>
      </c>
      <c r="E654" t="str">
        <f>_xlfn.XLOOKUP(A654,'[1]Tissue Data'!$A:$A,'[1]Tissue Data'!$H:$H)</f>
        <v>Clinostomus</v>
      </c>
      <c r="F654" t="str">
        <f>_xlfn.XLOOKUP(A654,'[1]Tissue Data'!$A:$A,'[1]Tissue Data'!$I:$I)</f>
        <v>funduloides</v>
      </c>
      <c r="G654" t="str">
        <f>_xlfn.XLOOKUP(A654,'[1]Tissue Data'!$A:$A,'[1]Tissue Data'!J:J)</f>
        <v>U</v>
      </c>
      <c r="H654" t="str">
        <f>_xlfn.XLOOKUP(A654,'[1]Tissue Data'!$A:$A,'[1]Tissue Data'!K:K)</f>
        <v>Whole Body</v>
      </c>
      <c r="I654">
        <f>_xlfn.XLOOKUP(A654,'[1]Tissue Data'!$A:$A,'[1]Tissue Data'!L:L)</f>
        <v>7.5</v>
      </c>
      <c r="J654">
        <f>_xlfn.XLOOKUP(A654,'[1]Tissue Data'!$A:$A,'[1]Tissue Data'!M:M)</f>
        <v>6.8</v>
      </c>
      <c r="K654" t="s">
        <v>14</v>
      </c>
      <c r="L654" t="str">
        <f>_xlfn.XLOOKUP(K654,[2]analyte_order!$B:$B,[2]analyte_order!$C:$C)</f>
        <v>307-24-4</v>
      </c>
      <c r="M654">
        <f>_xlfn.XLOOKUP(L654,[2]analyte_order!$C:$C,[2]analyte_order!$E:$E)</f>
        <v>3</v>
      </c>
      <c r="N654">
        <v>3.6959754303585779E-2</v>
      </c>
    </row>
    <row r="655" spans="1:14">
      <c r="A655" t="s">
        <v>136</v>
      </c>
      <c r="B655" t="str">
        <f>_xlfn.XLOOKUP(A655,'[1]Tissue Data'!$A:$A,'[1]Tissue Data'!$C:$C)</f>
        <v>Down</v>
      </c>
      <c r="C655" s="2">
        <f>_xlfn.XLOOKUP(A655,'[1]Tissue Data'!$A:$A,'[1]Tissue Data'!$D:$D)</f>
        <v>44314</v>
      </c>
      <c r="D655" s="2" t="s">
        <v>131</v>
      </c>
      <c r="E655" t="str">
        <f>_xlfn.XLOOKUP(A655,'[1]Tissue Data'!$A:$A,'[1]Tissue Data'!$H:$H)</f>
        <v>Clinostomus</v>
      </c>
      <c r="F655" t="str">
        <f>_xlfn.XLOOKUP(A655,'[1]Tissue Data'!$A:$A,'[1]Tissue Data'!$I:$I)</f>
        <v>funduloides</v>
      </c>
      <c r="G655" t="str">
        <f>_xlfn.XLOOKUP(A655,'[1]Tissue Data'!$A:$A,'[1]Tissue Data'!J:J)</f>
        <v>U</v>
      </c>
      <c r="H655" t="str">
        <f>_xlfn.XLOOKUP(A655,'[1]Tissue Data'!$A:$A,'[1]Tissue Data'!K:K)</f>
        <v>Whole Body</v>
      </c>
      <c r="I655">
        <f>_xlfn.XLOOKUP(A655,'[1]Tissue Data'!$A:$A,'[1]Tissue Data'!L:L)</f>
        <v>7.5</v>
      </c>
      <c r="J655">
        <f>_xlfn.XLOOKUP(A655,'[1]Tissue Data'!$A:$A,'[1]Tissue Data'!M:M)</f>
        <v>6.8</v>
      </c>
      <c r="K655" t="s">
        <v>15</v>
      </c>
      <c r="L655" t="str">
        <f>_xlfn.XLOOKUP(K655,[2]analyte_order!$B:$B,[2]analyte_order!$C:$C)</f>
        <v>375-85-9</v>
      </c>
      <c r="M655">
        <f>_xlfn.XLOOKUP(L655,[2]analyte_order!$C:$C,[2]analyte_order!$E:$E)</f>
        <v>4</v>
      </c>
      <c r="N655">
        <v>9.5826235093696754E-2</v>
      </c>
    </row>
    <row r="656" spans="1:14">
      <c r="A656" t="s">
        <v>136</v>
      </c>
      <c r="B656" t="str">
        <f>_xlfn.XLOOKUP(A656,'[1]Tissue Data'!$A:$A,'[1]Tissue Data'!$C:$C)</f>
        <v>Down</v>
      </c>
      <c r="C656" s="2">
        <f>_xlfn.XLOOKUP(A656,'[1]Tissue Data'!$A:$A,'[1]Tissue Data'!$D:$D)</f>
        <v>44314</v>
      </c>
      <c r="D656" s="2" t="s">
        <v>131</v>
      </c>
      <c r="E656" t="str">
        <f>_xlfn.XLOOKUP(A656,'[1]Tissue Data'!$A:$A,'[1]Tissue Data'!$H:$H)</f>
        <v>Clinostomus</v>
      </c>
      <c r="F656" t="str">
        <f>_xlfn.XLOOKUP(A656,'[1]Tissue Data'!$A:$A,'[1]Tissue Data'!$I:$I)</f>
        <v>funduloides</v>
      </c>
      <c r="G656" t="str">
        <f>_xlfn.XLOOKUP(A656,'[1]Tissue Data'!$A:$A,'[1]Tissue Data'!J:J)</f>
        <v>U</v>
      </c>
      <c r="H656" t="str">
        <f>_xlfn.XLOOKUP(A656,'[1]Tissue Data'!$A:$A,'[1]Tissue Data'!K:K)</f>
        <v>Whole Body</v>
      </c>
      <c r="I656">
        <f>_xlfn.XLOOKUP(A656,'[1]Tissue Data'!$A:$A,'[1]Tissue Data'!L:L)</f>
        <v>7.5</v>
      </c>
      <c r="J656">
        <f>_xlfn.XLOOKUP(A656,'[1]Tissue Data'!$A:$A,'[1]Tissue Data'!M:M)</f>
        <v>6.8</v>
      </c>
      <c r="K656" t="s">
        <v>16</v>
      </c>
      <c r="L656" t="str">
        <f>_xlfn.XLOOKUP(K656,[2]analyte_order!$B:$B,[2]analyte_order!$C:$C)</f>
        <v>335-67-1</v>
      </c>
      <c r="M656">
        <f>_xlfn.XLOOKUP(L656,[2]analyte_order!$C:$C,[2]analyte_order!$E:$E)</f>
        <v>5</v>
      </c>
      <c r="N656">
        <v>0.61499999999999999</v>
      </c>
    </row>
    <row r="657" spans="1:14">
      <c r="A657" t="s">
        <v>136</v>
      </c>
      <c r="B657" t="str">
        <f>_xlfn.XLOOKUP(A657,'[1]Tissue Data'!$A:$A,'[1]Tissue Data'!$C:$C)</f>
        <v>Down</v>
      </c>
      <c r="C657" s="2">
        <f>_xlfn.XLOOKUP(A657,'[1]Tissue Data'!$A:$A,'[1]Tissue Data'!$D:$D)</f>
        <v>44314</v>
      </c>
      <c r="D657" s="2" t="s">
        <v>131</v>
      </c>
      <c r="E657" t="str">
        <f>_xlfn.XLOOKUP(A657,'[1]Tissue Data'!$A:$A,'[1]Tissue Data'!$H:$H)</f>
        <v>Clinostomus</v>
      </c>
      <c r="F657" t="str">
        <f>_xlfn.XLOOKUP(A657,'[1]Tissue Data'!$A:$A,'[1]Tissue Data'!$I:$I)</f>
        <v>funduloides</v>
      </c>
      <c r="G657" t="str">
        <f>_xlfn.XLOOKUP(A657,'[1]Tissue Data'!$A:$A,'[1]Tissue Data'!J:J)</f>
        <v>U</v>
      </c>
      <c r="H657" t="str">
        <f>_xlfn.XLOOKUP(A657,'[1]Tissue Data'!$A:$A,'[1]Tissue Data'!K:K)</f>
        <v>Whole Body</v>
      </c>
      <c r="I657">
        <f>_xlfn.XLOOKUP(A657,'[1]Tissue Data'!$A:$A,'[1]Tissue Data'!L:L)</f>
        <v>7.5</v>
      </c>
      <c r="J657">
        <f>_xlfn.XLOOKUP(A657,'[1]Tissue Data'!$A:$A,'[1]Tissue Data'!M:M)</f>
        <v>6.8</v>
      </c>
      <c r="K657" t="s">
        <v>17</v>
      </c>
      <c r="L657" t="str">
        <f>_xlfn.XLOOKUP(K657,[2]analyte_order!$B:$B,[2]analyte_order!$C:$C)</f>
        <v>375-95-1</v>
      </c>
      <c r="M657">
        <f>_xlfn.XLOOKUP(L657,[2]analyte_order!$C:$C,[2]analyte_order!$E:$E)</f>
        <v>6</v>
      </c>
      <c r="N657">
        <v>0.86</v>
      </c>
    </row>
    <row r="658" spans="1:14">
      <c r="A658" t="s">
        <v>136</v>
      </c>
      <c r="B658" t="str">
        <f>_xlfn.XLOOKUP(A658,'[1]Tissue Data'!$A:$A,'[1]Tissue Data'!$C:$C)</f>
        <v>Down</v>
      </c>
      <c r="C658" s="2">
        <f>_xlfn.XLOOKUP(A658,'[1]Tissue Data'!$A:$A,'[1]Tissue Data'!$D:$D)</f>
        <v>44314</v>
      </c>
      <c r="D658" s="2" t="s">
        <v>131</v>
      </c>
      <c r="E658" t="str">
        <f>_xlfn.XLOOKUP(A658,'[1]Tissue Data'!$A:$A,'[1]Tissue Data'!$H:$H)</f>
        <v>Clinostomus</v>
      </c>
      <c r="F658" t="str">
        <f>_xlfn.XLOOKUP(A658,'[1]Tissue Data'!$A:$A,'[1]Tissue Data'!$I:$I)</f>
        <v>funduloides</v>
      </c>
      <c r="G658" t="str">
        <f>_xlfn.XLOOKUP(A658,'[1]Tissue Data'!$A:$A,'[1]Tissue Data'!J:J)</f>
        <v>U</v>
      </c>
      <c r="H658" t="str">
        <f>_xlfn.XLOOKUP(A658,'[1]Tissue Data'!$A:$A,'[1]Tissue Data'!K:K)</f>
        <v>Whole Body</v>
      </c>
      <c r="I658">
        <f>_xlfn.XLOOKUP(A658,'[1]Tissue Data'!$A:$A,'[1]Tissue Data'!L:L)</f>
        <v>7.5</v>
      </c>
      <c r="J658">
        <f>_xlfn.XLOOKUP(A658,'[1]Tissue Data'!$A:$A,'[1]Tissue Data'!M:M)</f>
        <v>6.8</v>
      </c>
      <c r="K658" t="s">
        <v>18</v>
      </c>
      <c r="L658" t="str">
        <f>_xlfn.XLOOKUP(K658,[2]analyte_order!$B:$B,[2]analyte_order!$C:$C)</f>
        <v>335-76-2</v>
      </c>
      <c r="M658">
        <f>_xlfn.XLOOKUP(L658,[2]analyte_order!$C:$C,[2]analyte_order!$E:$E)</f>
        <v>7</v>
      </c>
      <c r="N658">
        <v>4.62</v>
      </c>
    </row>
    <row r="659" spans="1:14">
      <c r="A659" t="s">
        <v>136</v>
      </c>
      <c r="B659" t="str">
        <f>_xlfn.XLOOKUP(A659,'[1]Tissue Data'!$A:$A,'[1]Tissue Data'!$C:$C)</f>
        <v>Down</v>
      </c>
      <c r="C659" s="2">
        <f>_xlfn.XLOOKUP(A659,'[1]Tissue Data'!$A:$A,'[1]Tissue Data'!$D:$D)</f>
        <v>44314</v>
      </c>
      <c r="D659" s="2" t="s">
        <v>131</v>
      </c>
      <c r="E659" t="str">
        <f>_xlfn.XLOOKUP(A659,'[1]Tissue Data'!$A:$A,'[1]Tissue Data'!$H:$H)</f>
        <v>Clinostomus</v>
      </c>
      <c r="F659" t="str">
        <f>_xlfn.XLOOKUP(A659,'[1]Tissue Data'!$A:$A,'[1]Tissue Data'!$I:$I)</f>
        <v>funduloides</v>
      </c>
      <c r="G659" t="str">
        <f>_xlfn.XLOOKUP(A659,'[1]Tissue Data'!$A:$A,'[1]Tissue Data'!J:J)</f>
        <v>U</v>
      </c>
      <c r="H659" t="str">
        <f>_xlfn.XLOOKUP(A659,'[1]Tissue Data'!$A:$A,'[1]Tissue Data'!K:K)</f>
        <v>Whole Body</v>
      </c>
      <c r="I659">
        <f>_xlfn.XLOOKUP(A659,'[1]Tissue Data'!$A:$A,'[1]Tissue Data'!L:L)</f>
        <v>7.5</v>
      </c>
      <c r="J659">
        <f>_xlfn.XLOOKUP(A659,'[1]Tissue Data'!$A:$A,'[1]Tissue Data'!M:M)</f>
        <v>6.8</v>
      </c>
      <c r="K659" t="s">
        <v>19</v>
      </c>
      <c r="L659" t="str">
        <f>_xlfn.XLOOKUP(K659,[2]analyte_order!$B:$B,[2]analyte_order!$C:$C)</f>
        <v>2058-94-8</v>
      </c>
      <c r="M659">
        <f>_xlfn.XLOOKUP(L659,[2]analyte_order!$C:$C,[2]analyte_order!$E:$E)</f>
        <v>8</v>
      </c>
      <c r="N659">
        <v>6.64</v>
      </c>
    </row>
    <row r="660" spans="1:14">
      <c r="A660" t="s">
        <v>136</v>
      </c>
      <c r="B660" t="str">
        <f>_xlfn.XLOOKUP(A660,'[1]Tissue Data'!$A:$A,'[1]Tissue Data'!$C:$C)</f>
        <v>Down</v>
      </c>
      <c r="C660" s="2">
        <f>_xlfn.XLOOKUP(A660,'[1]Tissue Data'!$A:$A,'[1]Tissue Data'!$D:$D)</f>
        <v>44314</v>
      </c>
      <c r="D660" s="2" t="s">
        <v>131</v>
      </c>
      <c r="E660" t="str">
        <f>_xlfn.XLOOKUP(A660,'[1]Tissue Data'!$A:$A,'[1]Tissue Data'!$H:$H)</f>
        <v>Clinostomus</v>
      </c>
      <c r="F660" t="str">
        <f>_xlfn.XLOOKUP(A660,'[1]Tissue Data'!$A:$A,'[1]Tissue Data'!$I:$I)</f>
        <v>funduloides</v>
      </c>
      <c r="G660" t="str">
        <f>_xlfn.XLOOKUP(A660,'[1]Tissue Data'!$A:$A,'[1]Tissue Data'!J:J)</f>
        <v>U</v>
      </c>
      <c r="H660" t="str">
        <f>_xlfn.XLOOKUP(A660,'[1]Tissue Data'!$A:$A,'[1]Tissue Data'!K:K)</f>
        <v>Whole Body</v>
      </c>
      <c r="I660">
        <f>_xlfn.XLOOKUP(A660,'[1]Tissue Data'!$A:$A,'[1]Tissue Data'!L:L)</f>
        <v>7.5</v>
      </c>
      <c r="J660">
        <f>_xlfn.XLOOKUP(A660,'[1]Tissue Data'!$A:$A,'[1]Tissue Data'!M:M)</f>
        <v>6.8</v>
      </c>
      <c r="K660" t="s">
        <v>20</v>
      </c>
      <c r="L660" t="str">
        <f>_xlfn.XLOOKUP(K660,[2]analyte_order!$B:$B,[2]analyte_order!$C:$C)</f>
        <v>307-55-1</v>
      </c>
      <c r="M660">
        <f>_xlfn.XLOOKUP(L660,[2]analyte_order!$C:$C,[2]analyte_order!$E:$E)</f>
        <v>9</v>
      </c>
      <c r="N660">
        <v>5.4679672483427075E-2</v>
      </c>
    </row>
    <row r="661" spans="1:14">
      <c r="A661" t="s">
        <v>136</v>
      </c>
      <c r="B661" t="str">
        <f>_xlfn.XLOOKUP(A661,'[1]Tissue Data'!$A:$A,'[1]Tissue Data'!$C:$C)</f>
        <v>Down</v>
      </c>
      <c r="C661" s="2">
        <f>_xlfn.XLOOKUP(A661,'[1]Tissue Data'!$A:$A,'[1]Tissue Data'!$D:$D)</f>
        <v>44314</v>
      </c>
      <c r="D661" s="2" t="s">
        <v>131</v>
      </c>
      <c r="E661" t="str">
        <f>_xlfn.XLOOKUP(A661,'[1]Tissue Data'!$A:$A,'[1]Tissue Data'!$H:$H)</f>
        <v>Clinostomus</v>
      </c>
      <c r="F661" t="str">
        <f>_xlfn.XLOOKUP(A661,'[1]Tissue Data'!$A:$A,'[1]Tissue Data'!$I:$I)</f>
        <v>funduloides</v>
      </c>
      <c r="G661" t="str">
        <f>_xlfn.XLOOKUP(A661,'[1]Tissue Data'!$A:$A,'[1]Tissue Data'!J:J)</f>
        <v>U</v>
      </c>
      <c r="H661" t="str">
        <f>_xlfn.XLOOKUP(A661,'[1]Tissue Data'!$A:$A,'[1]Tissue Data'!K:K)</f>
        <v>Whole Body</v>
      </c>
      <c r="I661">
        <f>_xlfn.XLOOKUP(A661,'[1]Tissue Data'!$A:$A,'[1]Tissue Data'!L:L)</f>
        <v>7.5</v>
      </c>
      <c r="J661">
        <f>_xlfn.XLOOKUP(A661,'[1]Tissue Data'!$A:$A,'[1]Tissue Data'!M:M)</f>
        <v>6.8</v>
      </c>
      <c r="K661" t="s">
        <v>21</v>
      </c>
      <c r="L661" t="str">
        <f>_xlfn.XLOOKUP(K661,[2]analyte_order!$B:$B,[2]analyte_order!$C:$C)</f>
        <v>72629-94-8</v>
      </c>
      <c r="M661">
        <f>_xlfn.XLOOKUP(L661,[2]analyte_order!$C:$C,[2]analyte_order!$E:$E)</f>
        <v>10</v>
      </c>
      <c r="N661">
        <v>3.03</v>
      </c>
    </row>
    <row r="662" spans="1:14">
      <c r="A662" t="s">
        <v>136</v>
      </c>
      <c r="B662" t="str">
        <f>_xlfn.XLOOKUP(A662,'[1]Tissue Data'!$A:$A,'[1]Tissue Data'!$C:$C)</f>
        <v>Down</v>
      </c>
      <c r="C662" s="2">
        <f>_xlfn.XLOOKUP(A662,'[1]Tissue Data'!$A:$A,'[1]Tissue Data'!$D:$D)</f>
        <v>44314</v>
      </c>
      <c r="D662" s="2" t="s">
        <v>131</v>
      </c>
      <c r="E662" t="str">
        <f>_xlfn.XLOOKUP(A662,'[1]Tissue Data'!$A:$A,'[1]Tissue Data'!$H:$H)</f>
        <v>Clinostomus</v>
      </c>
      <c r="F662" t="str">
        <f>_xlfn.XLOOKUP(A662,'[1]Tissue Data'!$A:$A,'[1]Tissue Data'!$I:$I)</f>
        <v>funduloides</v>
      </c>
      <c r="G662" t="str">
        <f>_xlfn.XLOOKUP(A662,'[1]Tissue Data'!$A:$A,'[1]Tissue Data'!J:J)</f>
        <v>U</v>
      </c>
      <c r="H662" t="str">
        <f>_xlfn.XLOOKUP(A662,'[1]Tissue Data'!$A:$A,'[1]Tissue Data'!K:K)</f>
        <v>Whole Body</v>
      </c>
      <c r="I662">
        <f>_xlfn.XLOOKUP(A662,'[1]Tissue Data'!$A:$A,'[1]Tissue Data'!L:L)</f>
        <v>7.5</v>
      </c>
      <c r="J662">
        <f>_xlfn.XLOOKUP(A662,'[1]Tissue Data'!$A:$A,'[1]Tissue Data'!M:M)</f>
        <v>6.8</v>
      </c>
      <c r="K662" t="s">
        <v>22</v>
      </c>
      <c r="L662" t="str">
        <f>_xlfn.XLOOKUP(K662,[2]analyte_order!$B:$B,[2]analyte_order!$C:$C)</f>
        <v>376-06-7</v>
      </c>
      <c r="M662">
        <f>_xlfn.XLOOKUP(L662,[2]analyte_order!$C:$C,[2]analyte_order!$E:$E)</f>
        <v>11</v>
      </c>
      <c r="N662">
        <v>4.4800000000000004</v>
      </c>
    </row>
    <row r="663" spans="1:14">
      <c r="A663" t="s">
        <v>136</v>
      </c>
      <c r="B663" t="str">
        <f>_xlfn.XLOOKUP(A663,'[1]Tissue Data'!$A:$A,'[1]Tissue Data'!$C:$C)</f>
        <v>Down</v>
      </c>
      <c r="C663" s="2">
        <f>_xlfn.XLOOKUP(A663,'[1]Tissue Data'!$A:$A,'[1]Tissue Data'!$D:$D)</f>
        <v>44314</v>
      </c>
      <c r="D663" s="2" t="s">
        <v>131</v>
      </c>
      <c r="E663" t="str">
        <f>_xlfn.XLOOKUP(A663,'[1]Tissue Data'!$A:$A,'[1]Tissue Data'!$H:$H)</f>
        <v>Clinostomus</v>
      </c>
      <c r="F663" t="str">
        <f>_xlfn.XLOOKUP(A663,'[1]Tissue Data'!$A:$A,'[1]Tissue Data'!$I:$I)</f>
        <v>funduloides</v>
      </c>
      <c r="G663" t="str">
        <f>_xlfn.XLOOKUP(A663,'[1]Tissue Data'!$A:$A,'[1]Tissue Data'!J:J)</f>
        <v>U</v>
      </c>
      <c r="H663" t="str">
        <f>_xlfn.XLOOKUP(A663,'[1]Tissue Data'!$A:$A,'[1]Tissue Data'!K:K)</f>
        <v>Whole Body</v>
      </c>
      <c r="I663">
        <f>_xlfn.XLOOKUP(A663,'[1]Tissue Data'!$A:$A,'[1]Tissue Data'!L:L)</f>
        <v>7.5</v>
      </c>
      <c r="J663">
        <f>_xlfn.XLOOKUP(A663,'[1]Tissue Data'!$A:$A,'[1]Tissue Data'!M:M)</f>
        <v>6.8</v>
      </c>
      <c r="K663" t="s">
        <v>23</v>
      </c>
      <c r="L663" t="str">
        <f>_xlfn.XLOOKUP(K663,[2]analyte_order!$B:$B,[2]analyte_order!$C:$C)</f>
        <v>67905-19-5</v>
      </c>
      <c r="M663">
        <f>_xlfn.XLOOKUP(L663,[2]analyte_order!$C:$C,[2]analyte_order!$E:$E)</f>
        <v>12</v>
      </c>
      <c r="N663">
        <v>8.1618220730212937E-2</v>
      </c>
    </row>
    <row r="664" spans="1:14">
      <c r="A664" t="s">
        <v>136</v>
      </c>
      <c r="B664" t="str">
        <f>_xlfn.XLOOKUP(A664,'[1]Tissue Data'!$A:$A,'[1]Tissue Data'!$C:$C)</f>
        <v>Down</v>
      </c>
      <c r="C664" s="2">
        <f>_xlfn.XLOOKUP(A664,'[1]Tissue Data'!$A:$A,'[1]Tissue Data'!$D:$D)</f>
        <v>44314</v>
      </c>
      <c r="D664" s="2" t="s">
        <v>131</v>
      </c>
      <c r="E664" t="str">
        <f>_xlfn.XLOOKUP(A664,'[1]Tissue Data'!$A:$A,'[1]Tissue Data'!$H:$H)</f>
        <v>Clinostomus</v>
      </c>
      <c r="F664" t="str">
        <f>_xlfn.XLOOKUP(A664,'[1]Tissue Data'!$A:$A,'[1]Tissue Data'!$I:$I)</f>
        <v>funduloides</v>
      </c>
      <c r="G664" t="str">
        <f>_xlfn.XLOOKUP(A664,'[1]Tissue Data'!$A:$A,'[1]Tissue Data'!J:J)</f>
        <v>U</v>
      </c>
      <c r="H664" t="str">
        <f>_xlfn.XLOOKUP(A664,'[1]Tissue Data'!$A:$A,'[1]Tissue Data'!K:K)</f>
        <v>Whole Body</v>
      </c>
      <c r="I664">
        <f>_xlfn.XLOOKUP(A664,'[1]Tissue Data'!$A:$A,'[1]Tissue Data'!L:L)</f>
        <v>7.5</v>
      </c>
      <c r="J664">
        <f>_xlfn.XLOOKUP(A664,'[1]Tissue Data'!$A:$A,'[1]Tissue Data'!M:M)</f>
        <v>6.8</v>
      </c>
      <c r="K664" t="s">
        <v>24</v>
      </c>
      <c r="L664" t="str">
        <f>_xlfn.XLOOKUP(K664,[2]analyte_order!$B:$B,[2]analyte_order!$C:$C)</f>
        <v>423-41-6</v>
      </c>
      <c r="M664">
        <f>_xlfn.XLOOKUP(L664,[2]analyte_order!$C:$C,[2]analyte_order!$E:$E)</f>
        <v>53</v>
      </c>
      <c r="N664">
        <v>5.2249436409702692E-2</v>
      </c>
    </row>
    <row r="665" spans="1:14">
      <c r="A665" t="s">
        <v>136</v>
      </c>
      <c r="B665" t="str">
        <f>_xlfn.XLOOKUP(A665,'[1]Tissue Data'!$A:$A,'[1]Tissue Data'!$C:$C)</f>
        <v>Down</v>
      </c>
      <c r="C665" s="2">
        <f>_xlfn.XLOOKUP(A665,'[1]Tissue Data'!$A:$A,'[1]Tissue Data'!$D:$D)</f>
        <v>44314</v>
      </c>
      <c r="D665" s="2" t="s">
        <v>131</v>
      </c>
      <c r="E665" t="str">
        <f>_xlfn.XLOOKUP(A665,'[1]Tissue Data'!$A:$A,'[1]Tissue Data'!$H:$H)</f>
        <v>Clinostomus</v>
      </c>
      <c r="F665" t="str">
        <f>_xlfn.XLOOKUP(A665,'[1]Tissue Data'!$A:$A,'[1]Tissue Data'!$I:$I)</f>
        <v>funduloides</v>
      </c>
      <c r="G665" t="str">
        <f>_xlfn.XLOOKUP(A665,'[1]Tissue Data'!$A:$A,'[1]Tissue Data'!J:J)</f>
        <v>U</v>
      </c>
      <c r="H665" t="str">
        <f>_xlfn.XLOOKUP(A665,'[1]Tissue Data'!$A:$A,'[1]Tissue Data'!K:K)</f>
        <v>Whole Body</v>
      </c>
      <c r="I665">
        <f>_xlfn.XLOOKUP(A665,'[1]Tissue Data'!$A:$A,'[1]Tissue Data'!L:L)</f>
        <v>7.5</v>
      </c>
      <c r="J665">
        <f>_xlfn.XLOOKUP(A665,'[1]Tissue Data'!$A:$A,'[1]Tissue Data'!M:M)</f>
        <v>6.8</v>
      </c>
      <c r="K665" t="s">
        <v>25</v>
      </c>
      <c r="L665" t="str">
        <f>_xlfn.XLOOKUP(K665,[2]analyte_order!$B:$B,[2]analyte_order!$C:$C)</f>
        <v>375-73-5</v>
      </c>
      <c r="M665">
        <f>_xlfn.XLOOKUP(L665,[2]analyte_order!$C:$C,[2]analyte_order!$E:$E)</f>
        <v>14</v>
      </c>
      <c r="N665">
        <v>4.6610266038067491E-2</v>
      </c>
    </row>
    <row r="666" spans="1:14">
      <c r="A666" t="s">
        <v>136</v>
      </c>
      <c r="B666" t="str">
        <f>_xlfn.XLOOKUP(A666,'[1]Tissue Data'!$A:$A,'[1]Tissue Data'!$C:$C)</f>
        <v>Down</v>
      </c>
      <c r="C666" s="2">
        <f>_xlfn.XLOOKUP(A666,'[1]Tissue Data'!$A:$A,'[1]Tissue Data'!$D:$D)</f>
        <v>44314</v>
      </c>
      <c r="D666" s="2" t="s">
        <v>131</v>
      </c>
      <c r="E666" t="str">
        <f>_xlfn.XLOOKUP(A666,'[1]Tissue Data'!$A:$A,'[1]Tissue Data'!$H:$H)</f>
        <v>Clinostomus</v>
      </c>
      <c r="F666" t="str">
        <f>_xlfn.XLOOKUP(A666,'[1]Tissue Data'!$A:$A,'[1]Tissue Data'!$I:$I)</f>
        <v>funduloides</v>
      </c>
      <c r="G666" t="str">
        <f>_xlfn.XLOOKUP(A666,'[1]Tissue Data'!$A:$A,'[1]Tissue Data'!J:J)</f>
        <v>U</v>
      </c>
      <c r="H666" t="str">
        <f>_xlfn.XLOOKUP(A666,'[1]Tissue Data'!$A:$A,'[1]Tissue Data'!K:K)</f>
        <v>Whole Body</v>
      </c>
      <c r="I666">
        <f>_xlfn.XLOOKUP(A666,'[1]Tissue Data'!$A:$A,'[1]Tissue Data'!L:L)</f>
        <v>7.5</v>
      </c>
      <c r="J666">
        <f>_xlfn.XLOOKUP(A666,'[1]Tissue Data'!$A:$A,'[1]Tissue Data'!M:M)</f>
        <v>6.8</v>
      </c>
      <c r="K666" t="s">
        <v>26</v>
      </c>
      <c r="L666" t="str">
        <f>_xlfn.XLOOKUP(K666,[2]analyte_order!$B:$B,[2]analyte_order!$C:$C)</f>
        <v>2706-91-4</v>
      </c>
      <c r="M666">
        <f>_xlfn.XLOOKUP(L666,[2]analyte_order!$C:$C,[2]analyte_order!$E:$E)</f>
        <v>15</v>
      </c>
      <c r="N666">
        <v>0.40100000000000002</v>
      </c>
    </row>
    <row r="667" spans="1:14">
      <c r="A667" t="s">
        <v>136</v>
      </c>
      <c r="B667" t="str">
        <f>_xlfn.XLOOKUP(A667,'[1]Tissue Data'!$A:$A,'[1]Tissue Data'!$C:$C)</f>
        <v>Down</v>
      </c>
      <c r="C667" s="2">
        <f>_xlfn.XLOOKUP(A667,'[1]Tissue Data'!$A:$A,'[1]Tissue Data'!$D:$D)</f>
        <v>44314</v>
      </c>
      <c r="D667" s="2" t="s">
        <v>131</v>
      </c>
      <c r="E667" t="str">
        <f>_xlfn.XLOOKUP(A667,'[1]Tissue Data'!$A:$A,'[1]Tissue Data'!$H:$H)</f>
        <v>Clinostomus</v>
      </c>
      <c r="F667" t="str">
        <f>_xlfn.XLOOKUP(A667,'[1]Tissue Data'!$A:$A,'[1]Tissue Data'!$I:$I)</f>
        <v>funduloides</v>
      </c>
      <c r="G667" t="str">
        <f>_xlfn.XLOOKUP(A667,'[1]Tissue Data'!$A:$A,'[1]Tissue Data'!J:J)</f>
        <v>U</v>
      </c>
      <c r="H667" t="str">
        <f>_xlfn.XLOOKUP(A667,'[1]Tissue Data'!$A:$A,'[1]Tissue Data'!K:K)</f>
        <v>Whole Body</v>
      </c>
      <c r="I667">
        <f>_xlfn.XLOOKUP(A667,'[1]Tissue Data'!$A:$A,'[1]Tissue Data'!L:L)</f>
        <v>7.5</v>
      </c>
      <c r="J667">
        <f>_xlfn.XLOOKUP(A667,'[1]Tissue Data'!$A:$A,'[1]Tissue Data'!M:M)</f>
        <v>6.8</v>
      </c>
      <c r="K667" t="s">
        <v>27</v>
      </c>
      <c r="L667" t="str">
        <f>_xlfn.XLOOKUP(K667,[2]analyte_order!$B:$B,[2]analyte_order!$C:$C)</f>
        <v>355-46-4</v>
      </c>
      <c r="M667">
        <f>_xlfn.XLOOKUP(L667,[2]analyte_order!$C:$C,[2]analyte_order!$E:$E)</f>
        <v>16</v>
      </c>
      <c r="N667">
        <v>40.4</v>
      </c>
    </row>
    <row r="668" spans="1:14">
      <c r="A668" t="s">
        <v>136</v>
      </c>
      <c r="B668" t="str">
        <f>_xlfn.XLOOKUP(A668,'[1]Tissue Data'!$A:$A,'[1]Tissue Data'!$C:$C)</f>
        <v>Down</v>
      </c>
      <c r="C668" s="2">
        <f>_xlfn.XLOOKUP(A668,'[1]Tissue Data'!$A:$A,'[1]Tissue Data'!$D:$D)</f>
        <v>44314</v>
      </c>
      <c r="D668" s="2" t="s">
        <v>131</v>
      </c>
      <c r="E668" t="str">
        <f>_xlfn.XLOOKUP(A668,'[1]Tissue Data'!$A:$A,'[1]Tissue Data'!$H:$H)</f>
        <v>Clinostomus</v>
      </c>
      <c r="F668" t="str">
        <f>_xlfn.XLOOKUP(A668,'[1]Tissue Data'!$A:$A,'[1]Tissue Data'!$I:$I)</f>
        <v>funduloides</v>
      </c>
      <c r="G668" t="str">
        <f>_xlfn.XLOOKUP(A668,'[1]Tissue Data'!$A:$A,'[1]Tissue Data'!J:J)</f>
        <v>U</v>
      </c>
      <c r="H668" t="str">
        <f>_xlfn.XLOOKUP(A668,'[1]Tissue Data'!$A:$A,'[1]Tissue Data'!K:K)</f>
        <v>Whole Body</v>
      </c>
      <c r="I668">
        <f>_xlfn.XLOOKUP(A668,'[1]Tissue Data'!$A:$A,'[1]Tissue Data'!L:L)</f>
        <v>7.5</v>
      </c>
      <c r="J668">
        <f>_xlfn.XLOOKUP(A668,'[1]Tissue Data'!$A:$A,'[1]Tissue Data'!M:M)</f>
        <v>6.8</v>
      </c>
      <c r="K668" t="s">
        <v>28</v>
      </c>
      <c r="L668" t="str">
        <f>_xlfn.XLOOKUP(K668,[2]analyte_order!$B:$B,[2]analyte_order!$C:$C)</f>
        <v>375-92-8</v>
      </c>
      <c r="M668">
        <f>_xlfn.XLOOKUP(L668,[2]analyte_order!$C:$C,[2]analyte_order!$E:$E)</f>
        <v>17</v>
      </c>
      <c r="N668">
        <v>3.01</v>
      </c>
    </row>
    <row r="669" spans="1:14">
      <c r="A669" t="s">
        <v>136</v>
      </c>
      <c r="B669" t="str">
        <f>_xlfn.XLOOKUP(A669,'[1]Tissue Data'!$A:$A,'[1]Tissue Data'!$C:$C)</f>
        <v>Down</v>
      </c>
      <c r="C669" s="2">
        <f>_xlfn.XLOOKUP(A669,'[1]Tissue Data'!$A:$A,'[1]Tissue Data'!$D:$D)</f>
        <v>44314</v>
      </c>
      <c r="D669" s="2" t="s">
        <v>131</v>
      </c>
      <c r="E669" t="str">
        <f>_xlfn.XLOOKUP(A669,'[1]Tissue Data'!$A:$A,'[1]Tissue Data'!$H:$H)</f>
        <v>Clinostomus</v>
      </c>
      <c r="F669" t="str">
        <f>_xlfn.XLOOKUP(A669,'[1]Tissue Data'!$A:$A,'[1]Tissue Data'!$I:$I)</f>
        <v>funduloides</v>
      </c>
      <c r="G669" t="str">
        <f>_xlfn.XLOOKUP(A669,'[1]Tissue Data'!$A:$A,'[1]Tissue Data'!J:J)</f>
        <v>U</v>
      </c>
      <c r="H669" t="str">
        <f>_xlfn.XLOOKUP(A669,'[1]Tissue Data'!$A:$A,'[1]Tissue Data'!K:K)</f>
        <v>Whole Body</v>
      </c>
      <c r="I669">
        <f>_xlfn.XLOOKUP(A669,'[1]Tissue Data'!$A:$A,'[1]Tissue Data'!L:L)</f>
        <v>7.5</v>
      </c>
      <c r="J669">
        <f>_xlfn.XLOOKUP(A669,'[1]Tissue Data'!$A:$A,'[1]Tissue Data'!M:M)</f>
        <v>6.8</v>
      </c>
      <c r="K669" t="s">
        <v>29</v>
      </c>
      <c r="L669" t="str">
        <f>_xlfn.XLOOKUP(K669,[2]analyte_order!$B:$B,[2]analyte_order!$C:$C)</f>
        <v>1763-23-1</v>
      </c>
      <c r="M669">
        <f>_xlfn.XLOOKUP(L669,[2]analyte_order!$C:$C,[2]analyte_order!$E:$E)</f>
        <v>18</v>
      </c>
      <c r="N669">
        <v>1050</v>
      </c>
    </row>
    <row r="670" spans="1:14">
      <c r="A670" t="s">
        <v>136</v>
      </c>
      <c r="B670" t="str">
        <f>_xlfn.XLOOKUP(A670,'[1]Tissue Data'!$A:$A,'[1]Tissue Data'!$C:$C)</f>
        <v>Down</v>
      </c>
      <c r="C670" s="2">
        <f>_xlfn.XLOOKUP(A670,'[1]Tissue Data'!$A:$A,'[1]Tissue Data'!$D:$D)</f>
        <v>44314</v>
      </c>
      <c r="D670" s="2" t="s">
        <v>131</v>
      </c>
      <c r="E670" t="str">
        <f>_xlfn.XLOOKUP(A670,'[1]Tissue Data'!$A:$A,'[1]Tissue Data'!$H:$H)</f>
        <v>Clinostomus</v>
      </c>
      <c r="F670" t="str">
        <f>_xlfn.XLOOKUP(A670,'[1]Tissue Data'!$A:$A,'[1]Tissue Data'!$I:$I)</f>
        <v>funduloides</v>
      </c>
      <c r="G670" t="str">
        <f>_xlfn.XLOOKUP(A670,'[1]Tissue Data'!$A:$A,'[1]Tissue Data'!J:J)</f>
        <v>U</v>
      </c>
      <c r="H670" t="str">
        <f>_xlfn.XLOOKUP(A670,'[1]Tissue Data'!$A:$A,'[1]Tissue Data'!K:K)</f>
        <v>Whole Body</v>
      </c>
      <c r="I670">
        <f>_xlfn.XLOOKUP(A670,'[1]Tissue Data'!$A:$A,'[1]Tissue Data'!L:L)</f>
        <v>7.5</v>
      </c>
      <c r="J670">
        <f>_xlfn.XLOOKUP(A670,'[1]Tissue Data'!$A:$A,'[1]Tissue Data'!M:M)</f>
        <v>6.8</v>
      </c>
      <c r="K670" t="s">
        <v>30</v>
      </c>
      <c r="L670" t="str">
        <f>_xlfn.XLOOKUP(K670,[2]analyte_order!$B:$B,[2]analyte_order!$C:$C)</f>
        <v>68259-12-1</v>
      </c>
      <c r="M670">
        <f>_xlfn.XLOOKUP(L670,[2]analyte_order!$C:$C,[2]analyte_order!$E:$E)</f>
        <v>19</v>
      </c>
      <c r="N670">
        <v>1.1100000000000001</v>
      </c>
    </row>
    <row r="671" spans="1:14">
      <c r="A671" t="s">
        <v>136</v>
      </c>
      <c r="B671" t="str">
        <f>_xlfn.XLOOKUP(A671,'[1]Tissue Data'!$A:$A,'[1]Tissue Data'!$C:$C)</f>
        <v>Down</v>
      </c>
      <c r="C671" s="2">
        <f>_xlfn.XLOOKUP(A671,'[1]Tissue Data'!$A:$A,'[1]Tissue Data'!$D:$D)</f>
        <v>44314</v>
      </c>
      <c r="D671" s="2" t="s">
        <v>131</v>
      </c>
      <c r="E671" t="str">
        <f>_xlfn.XLOOKUP(A671,'[1]Tissue Data'!$A:$A,'[1]Tissue Data'!$H:$H)</f>
        <v>Clinostomus</v>
      </c>
      <c r="F671" t="str">
        <f>_xlfn.XLOOKUP(A671,'[1]Tissue Data'!$A:$A,'[1]Tissue Data'!$I:$I)</f>
        <v>funduloides</v>
      </c>
      <c r="G671" t="str">
        <f>_xlfn.XLOOKUP(A671,'[1]Tissue Data'!$A:$A,'[1]Tissue Data'!J:J)</f>
        <v>U</v>
      </c>
      <c r="H671" t="str">
        <f>_xlfn.XLOOKUP(A671,'[1]Tissue Data'!$A:$A,'[1]Tissue Data'!K:K)</f>
        <v>Whole Body</v>
      </c>
      <c r="I671">
        <f>_xlfn.XLOOKUP(A671,'[1]Tissue Data'!$A:$A,'[1]Tissue Data'!L:L)</f>
        <v>7.5</v>
      </c>
      <c r="J671">
        <f>_xlfn.XLOOKUP(A671,'[1]Tissue Data'!$A:$A,'[1]Tissue Data'!M:M)</f>
        <v>6.8</v>
      </c>
      <c r="K671" t="s">
        <v>31</v>
      </c>
      <c r="L671" t="str">
        <f>_xlfn.XLOOKUP(K671,[2]analyte_order!$B:$B,[2]analyte_order!$C:$C)</f>
        <v>335-77-3</v>
      </c>
      <c r="M671">
        <f>_xlfn.XLOOKUP(L671,[2]analyte_order!$C:$C,[2]analyte_order!$E:$E)</f>
        <v>20</v>
      </c>
      <c r="N671">
        <v>2.9</v>
      </c>
    </row>
    <row r="672" spans="1:14">
      <c r="A672" t="s">
        <v>136</v>
      </c>
      <c r="B672" t="str">
        <f>_xlfn.XLOOKUP(A672,'[1]Tissue Data'!$A:$A,'[1]Tissue Data'!$C:$C)</f>
        <v>Down</v>
      </c>
      <c r="C672" s="2">
        <f>_xlfn.XLOOKUP(A672,'[1]Tissue Data'!$A:$A,'[1]Tissue Data'!$D:$D)</f>
        <v>44314</v>
      </c>
      <c r="D672" s="2" t="s">
        <v>131</v>
      </c>
      <c r="E672" t="str">
        <f>_xlfn.XLOOKUP(A672,'[1]Tissue Data'!$A:$A,'[1]Tissue Data'!$H:$H)</f>
        <v>Clinostomus</v>
      </c>
      <c r="F672" t="str">
        <f>_xlfn.XLOOKUP(A672,'[1]Tissue Data'!$A:$A,'[1]Tissue Data'!$I:$I)</f>
        <v>funduloides</v>
      </c>
      <c r="G672" t="str">
        <f>_xlfn.XLOOKUP(A672,'[1]Tissue Data'!$A:$A,'[1]Tissue Data'!J:J)</f>
        <v>U</v>
      </c>
      <c r="H672" t="str">
        <f>_xlfn.XLOOKUP(A672,'[1]Tissue Data'!$A:$A,'[1]Tissue Data'!K:K)</f>
        <v>Whole Body</v>
      </c>
      <c r="I672">
        <f>_xlfn.XLOOKUP(A672,'[1]Tissue Data'!$A:$A,'[1]Tissue Data'!L:L)</f>
        <v>7.5</v>
      </c>
      <c r="J672">
        <f>_xlfn.XLOOKUP(A672,'[1]Tissue Data'!$A:$A,'[1]Tissue Data'!M:M)</f>
        <v>6.8</v>
      </c>
      <c r="K672" t="s">
        <v>32</v>
      </c>
      <c r="L672" t="str">
        <f>_xlfn.XLOOKUP(K672,[2]analyte_order!$B:$B,[2]analyte_order!$C:$C)</f>
        <v>79780-39-5</v>
      </c>
      <c r="M672">
        <f>_xlfn.XLOOKUP(L672,[2]analyte_order!$C:$C,[2]analyte_order!$E:$E)</f>
        <v>21</v>
      </c>
      <c r="N672">
        <v>2.35</v>
      </c>
    </row>
    <row r="673" spans="1:14">
      <c r="A673" t="s">
        <v>136</v>
      </c>
      <c r="B673" t="str">
        <f>_xlfn.XLOOKUP(A673,'[1]Tissue Data'!$A:$A,'[1]Tissue Data'!$C:$C)</f>
        <v>Down</v>
      </c>
      <c r="C673" s="2">
        <f>_xlfn.XLOOKUP(A673,'[1]Tissue Data'!$A:$A,'[1]Tissue Data'!$D:$D)</f>
        <v>44314</v>
      </c>
      <c r="D673" s="2" t="s">
        <v>131</v>
      </c>
      <c r="E673" t="str">
        <f>_xlfn.XLOOKUP(A673,'[1]Tissue Data'!$A:$A,'[1]Tissue Data'!$H:$H)</f>
        <v>Clinostomus</v>
      </c>
      <c r="F673" t="str">
        <f>_xlfn.XLOOKUP(A673,'[1]Tissue Data'!$A:$A,'[1]Tissue Data'!$I:$I)</f>
        <v>funduloides</v>
      </c>
      <c r="G673" t="str">
        <f>_xlfn.XLOOKUP(A673,'[1]Tissue Data'!$A:$A,'[1]Tissue Data'!J:J)</f>
        <v>U</v>
      </c>
      <c r="H673" t="str">
        <f>_xlfn.XLOOKUP(A673,'[1]Tissue Data'!$A:$A,'[1]Tissue Data'!K:K)</f>
        <v>Whole Body</v>
      </c>
      <c r="I673">
        <f>_xlfn.XLOOKUP(A673,'[1]Tissue Data'!$A:$A,'[1]Tissue Data'!L:L)</f>
        <v>7.5</v>
      </c>
      <c r="J673">
        <f>_xlfn.XLOOKUP(A673,'[1]Tissue Data'!$A:$A,'[1]Tissue Data'!M:M)</f>
        <v>6.8</v>
      </c>
      <c r="K673" t="s">
        <v>33</v>
      </c>
      <c r="L673" t="str">
        <f>_xlfn.XLOOKUP(K673,[2]analyte_order!$B:$B,[2]analyte_order!$C:$C)</f>
        <v>777011-38-8</v>
      </c>
      <c r="M673">
        <f>_xlfn.XLOOKUP(L673,[2]analyte_order!$C:$C,[2]analyte_order!$E:$E)</f>
        <v>54</v>
      </c>
      <c r="N673">
        <v>0.41899999999999998</v>
      </c>
    </row>
    <row r="674" spans="1:14">
      <c r="A674" t="s">
        <v>136</v>
      </c>
      <c r="B674" t="str">
        <f>_xlfn.XLOOKUP(A674,'[1]Tissue Data'!$A:$A,'[1]Tissue Data'!$C:$C)</f>
        <v>Down</v>
      </c>
      <c r="C674" s="2">
        <f>_xlfn.XLOOKUP(A674,'[1]Tissue Data'!$A:$A,'[1]Tissue Data'!$D:$D)</f>
        <v>44314</v>
      </c>
      <c r="D674" s="2" t="s">
        <v>131</v>
      </c>
      <c r="E674" t="str">
        <f>_xlfn.XLOOKUP(A674,'[1]Tissue Data'!$A:$A,'[1]Tissue Data'!$H:$H)</f>
        <v>Clinostomus</v>
      </c>
      <c r="F674" t="str">
        <f>_xlfn.XLOOKUP(A674,'[1]Tissue Data'!$A:$A,'[1]Tissue Data'!$I:$I)</f>
        <v>funduloides</v>
      </c>
      <c r="G674" t="str">
        <f>_xlfn.XLOOKUP(A674,'[1]Tissue Data'!$A:$A,'[1]Tissue Data'!J:J)</f>
        <v>U</v>
      </c>
      <c r="H674" t="str">
        <f>_xlfn.XLOOKUP(A674,'[1]Tissue Data'!$A:$A,'[1]Tissue Data'!K:K)</f>
        <v>Whole Body</v>
      </c>
      <c r="I674">
        <f>_xlfn.XLOOKUP(A674,'[1]Tissue Data'!$A:$A,'[1]Tissue Data'!L:L)</f>
        <v>7.5</v>
      </c>
      <c r="J674">
        <f>_xlfn.XLOOKUP(A674,'[1]Tissue Data'!$A:$A,'[1]Tissue Data'!M:M)</f>
        <v>6.8</v>
      </c>
      <c r="K674" t="s">
        <v>34</v>
      </c>
      <c r="L674" t="str">
        <f>_xlfn.XLOOKUP(K674,[2]analyte_order!$B:$B,[2]analyte_order!$C:$C)</f>
        <v>646-83-3</v>
      </c>
      <c r="M674">
        <f>_xlfn.XLOOKUP(L674,[2]analyte_order!$C:$C,[2]analyte_order!$E:$E)</f>
        <v>55</v>
      </c>
      <c r="N674">
        <v>0.39300000000000002</v>
      </c>
    </row>
    <row r="675" spans="1:14">
      <c r="A675" t="s">
        <v>136</v>
      </c>
      <c r="B675" t="str">
        <f>_xlfn.XLOOKUP(A675,'[1]Tissue Data'!$A:$A,'[1]Tissue Data'!$C:$C)</f>
        <v>Down</v>
      </c>
      <c r="C675" s="2">
        <f>_xlfn.XLOOKUP(A675,'[1]Tissue Data'!$A:$A,'[1]Tissue Data'!$D:$D)</f>
        <v>44314</v>
      </c>
      <c r="D675" s="2" t="s">
        <v>131</v>
      </c>
      <c r="E675" t="str">
        <f>_xlfn.XLOOKUP(A675,'[1]Tissue Data'!$A:$A,'[1]Tissue Data'!$H:$H)</f>
        <v>Clinostomus</v>
      </c>
      <c r="F675" t="str">
        <f>_xlfn.XLOOKUP(A675,'[1]Tissue Data'!$A:$A,'[1]Tissue Data'!$I:$I)</f>
        <v>funduloides</v>
      </c>
      <c r="G675" t="str">
        <f>_xlfn.XLOOKUP(A675,'[1]Tissue Data'!$A:$A,'[1]Tissue Data'!J:J)</f>
        <v>U</v>
      </c>
      <c r="H675" t="str">
        <f>_xlfn.XLOOKUP(A675,'[1]Tissue Data'!$A:$A,'[1]Tissue Data'!K:K)</f>
        <v>Whole Body</v>
      </c>
      <c r="I675">
        <f>_xlfn.XLOOKUP(A675,'[1]Tissue Data'!$A:$A,'[1]Tissue Data'!L:L)</f>
        <v>7.5</v>
      </c>
      <c r="J675">
        <f>_xlfn.XLOOKUP(A675,'[1]Tissue Data'!$A:$A,'[1]Tissue Data'!M:M)</f>
        <v>6.8</v>
      </c>
      <c r="K675" t="s">
        <v>35</v>
      </c>
      <c r="L675" t="str">
        <f>_xlfn.XLOOKUP(K675,[2]analyte_order!$B:$B,[2]analyte_order!$C:$C)</f>
        <v>30334-69-1</v>
      </c>
      <c r="M675">
        <f>_xlfn.XLOOKUP(L675,[2]analyte_order!$C:$C,[2]analyte_order!$E:$E)</f>
        <v>51</v>
      </c>
      <c r="N675">
        <v>9.7100000000000009</v>
      </c>
    </row>
    <row r="676" spans="1:14">
      <c r="A676" t="s">
        <v>136</v>
      </c>
      <c r="B676" t="str">
        <f>_xlfn.XLOOKUP(A676,'[1]Tissue Data'!$A:$A,'[1]Tissue Data'!$C:$C)</f>
        <v>Down</v>
      </c>
      <c r="C676" s="2">
        <f>_xlfn.XLOOKUP(A676,'[1]Tissue Data'!$A:$A,'[1]Tissue Data'!$D:$D)</f>
        <v>44314</v>
      </c>
      <c r="D676" s="2" t="s">
        <v>131</v>
      </c>
      <c r="E676" t="str">
        <f>_xlfn.XLOOKUP(A676,'[1]Tissue Data'!$A:$A,'[1]Tissue Data'!$H:$H)</f>
        <v>Clinostomus</v>
      </c>
      <c r="F676" t="str">
        <f>_xlfn.XLOOKUP(A676,'[1]Tissue Data'!$A:$A,'[1]Tissue Data'!$I:$I)</f>
        <v>funduloides</v>
      </c>
      <c r="G676" t="str">
        <f>_xlfn.XLOOKUP(A676,'[1]Tissue Data'!$A:$A,'[1]Tissue Data'!J:J)</f>
        <v>U</v>
      </c>
      <c r="H676" t="str">
        <f>_xlfn.XLOOKUP(A676,'[1]Tissue Data'!$A:$A,'[1]Tissue Data'!K:K)</f>
        <v>Whole Body</v>
      </c>
      <c r="I676">
        <f>_xlfn.XLOOKUP(A676,'[1]Tissue Data'!$A:$A,'[1]Tissue Data'!L:L)</f>
        <v>7.5</v>
      </c>
      <c r="J676">
        <f>_xlfn.XLOOKUP(A676,'[1]Tissue Data'!$A:$A,'[1]Tissue Data'!M:M)</f>
        <v>6.8</v>
      </c>
      <c r="K676" t="s">
        <v>36</v>
      </c>
      <c r="L676" t="str">
        <f>_xlfn.XLOOKUP(K676,[2]analyte_order!$B:$B,[2]analyte_order!$C:$C)</f>
        <v>41997-13-1</v>
      </c>
      <c r="M676">
        <f>_xlfn.XLOOKUP(L676,[2]analyte_order!$C:$C,[2]analyte_order!$E:$E)</f>
        <v>52</v>
      </c>
      <c r="N676">
        <v>48.5</v>
      </c>
    </row>
    <row r="677" spans="1:14">
      <c r="A677" t="s">
        <v>136</v>
      </c>
      <c r="B677" t="str">
        <f>_xlfn.XLOOKUP(A677,'[1]Tissue Data'!$A:$A,'[1]Tissue Data'!$C:$C)</f>
        <v>Down</v>
      </c>
      <c r="C677" s="2">
        <f>_xlfn.XLOOKUP(A677,'[1]Tissue Data'!$A:$A,'[1]Tissue Data'!$D:$D)</f>
        <v>44314</v>
      </c>
      <c r="D677" s="2" t="s">
        <v>131</v>
      </c>
      <c r="E677" t="str">
        <f>_xlfn.XLOOKUP(A677,'[1]Tissue Data'!$A:$A,'[1]Tissue Data'!$H:$H)</f>
        <v>Clinostomus</v>
      </c>
      <c r="F677" t="str">
        <f>_xlfn.XLOOKUP(A677,'[1]Tissue Data'!$A:$A,'[1]Tissue Data'!$I:$I)</f>
        <v>funduloides</v>
      </c>
      <c r="G677" t="str">
        <f>_xlfn.XLOOKUP(A677,'[1]Tissue Data'!$A:$A,'[1]Tissue Data'!J:J)</f>
        <v>U</v>
      </c>
      <c r="H677" t="str">
        <f>_xlfn.XLOOKUP(A677,'[1]Tissue Data'!$A:$A,'[1]Tissue Data'!K:K)</f>
        <v>Whole Body</v>
      </c>
      <c r="I677">
        <f>_xlfn.XLOOKUP(A677,'[1]Tissue Data'!$A:$A,'[1]Tissue Data'!L:L)</f>
        <v>7.5</v>
      </c>
      <c r="J677">
        <f>_xlfn.XLOOKUP(A677,'[1]Tissue Data'!$A:$A,'[1]Tissue Data'!M:M)</f>
        <v>6.8</v>
      </c>
      <c r="K677" t="s">
        <v>37</v>
      </c>
      <c r="L677" t="str">
        <f>_xlfn.XLOOKUP(K677,[2]analyte_order!$B:$B,[2]analyte_order!$C:$C)</f>
        <v>754-91-6</v>
      </c>
      <c r="M677">
        <f>_xlfn.XLOOKUP(L677,[2]analyte_order!$C:$C,[2]analyte_order!$E:$E)</f>
        <v>28</v>
      </c>
      <c r="N677">
        <v>6.39</v>
      </c>
    </row>
    <row r="678" spans="1:14">
      <c r="A678" t="s">
        <v>136</v>
      </c>
      <c r="B678" t="str">
        <f>_xlfn.XLOOKUP(A678,'[1]Tissue Data'!$A:$A,'[1]Tissue Data'!$C:$C)</f>
        <v>Down</v>
      </c>
      <c r="C678" s="2">
        <f>_xlfn.XLOOKUP(A678,'[1]Tissue Data'!$A:$A,'[1]Tissue Data'!$D:$D)</f>
        <v>44314</v>
      </c>
      <c r="D678" s="2" t="s">
        <v>131</v>
      </c>
      <c r="E678" t="str">
        <f>_xlfn.XLOOKUP(A678,'[1]Tissue Data'!$A:$A,'[1]Tissue Data'!$H:$H)</f>
        <v>Clinostomus</v>
      </c>
      <c r="F678" t="str">
        <f>_xlfn.XLOOKUP(A678,'[1]Tissue Data'!$A:$A,'[1]Tissue Data'!$I:$I)</f>
        <v>funduloides</v>
      </c>
      <c r="G678" t="str">
        <f>_xlfn.XLOOKUP(A678,'[1]Tissue Data'!$A:$A,'[1]Tissue Data'!J:J)</f>
        <v>U</v>
      </c>
      <c r="H678" t="str">
        <f>_xlfn.XLOOKUP(A678,'[1]Tissue Data'!$A:$A,'[1]Tissue Data'!K:K)</f>
        <v>Whole Body</v>
      </c>
      <c r="I678">
        <f>_xlfn.XLOOKUP(A678,'[1]Tissue Data'!$A:$A,'[1]Tissue Data'!L:L)</f>
        <v>7.5</v>
      </c>
      <c r="J678">
        <f>_xlfn.XLOOKUP(A678,'[1]Tissue Data'!$A:$A,'[1]Tissue Data'!M:M)</f>
        <v>6.8</v>
      </c>
      <c r="K678" t="s">
        <v>38</v>
      </c>
      <c r="L678" t="str">
        <f>_xlfn.XLOOKUP(K678,[2]analyte_order!$B:$B,[2]analyte_order!$C:$C)</f>
        <v>31506-32-8</v>
      </c>
      <c r="M678">
        <f>_xlfn.XLOOKUP(L678,[2]analyte_order!$C:$C,[2]analyte_order!$E:$E)</f>
        <v>30</v>
      </c>
      <c r="N678">
        <v>5.2758265660907994E-2</v>
      </c>
    </row>
    <row r="679" spans="1:14">
      <c r="A679" t="s">
        <v>136</v>
      </c>
      <c r="B679" t="str">
        <f>_xlfn.XLOOKUP(A679,'[1]Tissue Data'!$A:$A,'[1]Tissue Data'!$C:$C)</f>
        <v>Down</v>
      </c>
      <c r="C679" s="2">
        <f>_xlfn.XLOOKUP(A679,'[1]Tissue Data'!$A:$A,'[1]Tissue Data'!$D:$D)</f>
        <v>44314</v>
      </c>
      <c r="D679" s="2" t="s">
        <v>131</v>
      </c>
      <c r="E679" t="str">
        <f>_xlfn.XLOOKUP(A679,'[1]Tissue Data'!$A:$A,'[1]Tissue Data'!$H:$H)</f>
        <v>Clinostomus</v>
      </c>
      <c r="F679" t="str">
        <f>_xlfn.XLOOKUP(A679,'[1]Tissue Data'!$A:$A,'[1]Tissue Data'!$I:$I)</f>
        <v>funduloides</v>
      </c>
      <c r="G679" t="str">
        <f>_xlfn.XLOOKUP(A679,'[1]Tissue Data'!$A:$A,'[1]Tissue Data'!J:J)</f>
        <v>U</v>
      </c>
      <c r="H679" t="str">
        <f>_xlfn.XLOOKUP(A679,'[1]Tissue Data'!$A:$A,'[1]Tissue Data'!K:K)</f>
        <v>Whole Body</v>
      </c>
      <c r="I679">
        <f>_xlfn.XLOOKUP(A679,'[1]Tissue Data'!$A:$A,'[1]Tissue Data'!L:L)</f>
        <v>7.5</v>
      </c>
      <c r="J679">
        <f>_xlfn.XLOOKUP(A679,'[1]Tissue Data'!$A:$A,'[1]Tissue Data'!M:M)</f>
        <v>6.8</v>
      </c>
      <c r="K679" t="s">
        <v>39</v>
      </c>
      <c r="L679" t="str">
        <f>_xlfn.XLOOKUP(K679,[2]analyte_order!$B:$B,[2]analyte_order!$C:$C)</f>
        <v>4151-50-2</v>
      </c>
      <c r="M679">
        <f>_xlfn.XLOOKUP(L679,[2]analyte_order!$C:$C,[2]analyte_order!$E:$E)</f>
        <v>31</v>
      </c>
      <c r="N679">
        <v>7.9916964167838472E-2</v>
      </c>
    </row>
    <row r="680" spans="1:14">
      <c r="A680" t="s">
        <v>136</v>
      </c>
      <c r="B680" t="str">
        <f>_xlfn.XLOOKUP(A680,'[1]Tissue Data'!$A:$A,'[1]Tissue Data'!$C:$C)</f>
        <v>Down</v>
      </c>
      <c r="C680" s="2">
        <f>_xlfn.XLOOKUP(A680,'[1]Tissue Data'!$A:$A,'[1]Tissue Data'!$D:$D)</f>
        <v>44314</v>
      </c>
      <c r="D680" s="2" t="s">
        <v>131</v>
      </c>
      <c r="E680" t="str">
        <f>_xlfn.XLOOKUP(A680,'[1]Tissue Data'!$A:$A,'[1]Tissue Data'!$H:$H)</f>
        <v>Clinostomus</v>
      </c>
      <c r="F680" t="str">
        <f>_xlfn.XLOOKUP(A680,'[1]Tissue Data'!$A:$A,'[1]Tissue Data'!$I:$I)</f>
        <v>funduloides</v>
      </c>
      <c r="G680" t="str">
        <f>_xlfn.XLOOKUP(A680,'[1]Tissue Data'!$A:$A,'[1]Tissue Data'!J:J)</f>
        <v>U</v>
      </c>
      <c r="H680" t="str">
        <f>_xlfn.XLOOKUP(A680,'[1]Tissue Data'!$A:$A,'[1]Tissue Data'!K:K)</f>
        <v>Whole Body</v>
      </c>
      <c r="I680">
        <f>_xlfn.XLOOKUP(A680,'[1]Tissue Data'!$A:$A,'[1]Tissue Data'!L:L)</f>
        <v>7.5</v>
      </c>
      <c r="J680">
        <f>_xlfn.XLOOKUP(A680,'[1]Tissue Data'!$A:$A,'[1]Tissue Data'!M:M)</f>
        <v>6.8</v>
      </c>
      <c r="K680" t="s">
        <v>40</v>
      </c>
      <c r="L680" t="str">
        <f>_xlfn.XLOOKUP(K680,[2]analyte_order!$B:$B,[2]analyte_order!$C:$C)</f>
        <v>2806-24-8</v>
      </c>
      <c r="M680">
        <f>_xlfn.XLOOKUP(L680,[2]analyte_order!$C:$C,[2]analyte_order!$E:$E)</f>
        <v>29</v>
      </c>
      <c r="N680">
        <v>5.3980825525311367E-2</v>
      </c>
    </row>
    <row r="681" spans="1:14">
      <c r="A681" t="s">
        <v>136</v>
      </c>
      <c r="B681" t="str">
        <f>_xlfn.XLOOKUP(A681,'[1]Tissue Data'!$A:$A,'[1]Tissue Data'!$C:$C)</f>
        <v>Down</v>
      </c>
      <c r="C681" s="2">
        <f>_xlfn.XLOOKUP(A681,'[1]Tissue Data'!$A:$A,'[1]Tissue Data'!$D:$D)</f>
        <v>44314</v>
      </c>
      <c r="D681" s="2" t="s">
        <v>131</v>
      </c>
      <c r="E681" t="str">
        <f>_xlfn.XLOOKUP(A681,'[1]Tissue Data'!$A:$A,'[1]Tissue Data'!$H:$H)</f>
        <v>Clinostomus</v>
      </c>
      <c r="F681" t="str">
        <f>_xlfn.XLOOKUP(A681,'[1]Tissue Data'!$A:$A,'[1]Tissue Data'!$I:$I)</f>
        <v>funduloides</v>
      </c>
      <c r="G681" t="str">
        <f>_xlfn.XLOOKUP(A681,'[1]Tissue Data'!$A:$A,'[1]Tissue Data'!J:J)</f>
        <v>U</v>
      </c>
      <c r="H681" t="str">
        <f>_xlfn.XLOOKUP(A681,'[1]Tissue Data'!$A:$A,'[1]Tissue Data'!K:K)</f>
        <v>Whole Body</v>
      </c>
      <c r="I681">
        <f>_xlfn.XLOOKUP(A681,'[1]Tissue Data'!$A:$A,'[1]Tissue Data'!L:L)</f>
        <v>7.5</v>
      </c>
      <c r="J681">
        <f>_xlfn.XLOOKUP(A681,'[1]Tissue Data'!$A:$A,'[1]Tissue Data'!M:M)</f>
        <v>6.8</v>
      </c>
      <c r="K681" t="s">
        <v>41</v>
      </c>
      <c r="L681" t="str">
        <f>_xlfn.XLOOKUP(K681,[2]analyte_order!$B:$B,[2]analyte_order!$C:$C)</f>
        <v>2355-31-9</v>
      </c>
      <c r="M681">
        <f>_xlfn.XLOOKUP(L681,[2]analyte_order!$C:$C,[2]analyte_order!$E:$E)</f>
        <v>26</v>
      </c>
      <c r="N681">
        <v>6.8897489450080354E-2</v>
      </c>
    </row>
    <row r="682" spans="1:14">
      <c r="A682" t="s">
        <v>136</v>
      </c>
      <c r="B682" t="str">
        <f>_xlfn.XLOOKUP(A682,'[1]Tissue Data'!$A:$A,'[1]Tissue Data'!$C:$C)</f>
        <v>Down</v>
      </c>
      <c r="C682" s="2">
        <f>_xlfn.XLOOKUP(A682,'[1]Tissue Data'!$A:$A,'[1]Tissue Data'!$D:$D)</f>
        <v>44314</v>
      </c>
      <c r="D682" s="2" t="s">
        <v>131</v>
      </c>
      <c r="E682" t="str">
        <f>_xlfn.XLOOKUP(A682,'[1]Tissue Data'!$A:$A,'[1]Tissue Data'!$H:$H)</f>
        <v>Clinostomus</v>
      </c>
      <c r="F682" t="str">
        <f>_xlfn.XLOOKUP(A682,'[1]Tissue Data'!$A:$A,'[1]Tissue Data'!$I:$I)</f>
        <v>funduloides</v>
      </c>
      <c r="G682" t="str">
        <f>_xlfn.XLOOKUP(A682,'[1]Tissue Data'!$A:$A,'[1]Tissue Data'!J:J)</f>
        <v>U</v>
      </c>
      <c r="H682" t="str">
        <f>_xlfn.XLOOKUP(A682,'[1]Tissue Data'!$A:$A,'[1]Tissue Data'!K:K)</f>
        <v>Whole Body</v>
      </c>
      <c r="I682">
        <f>_xlfn.XLOOKUP(A682,'[1]Tissue Data'!$A:$A,'[1]Tissue Data'!L:L)</f>
        <v>7.5</v>
      </c>
      <c r="J682">
        <f>_xlfn.XLOOKUP(A682,'[1]Tissue Data'!$A:$A,'[1]Tissue Data'!M:M)</f>
        <v>6.8</v>
      </c>
      <c r="K682" t="s">
        <v>42</v>
      </c>
      <c r="L682" t="str">
        <f>_xlfn.XLOOKUP(K682,[2]analyte_order!$B:$B,[2]analyte_order!$C:$C)</f>
        <v>2991-50-6</v>
      </c>
      <c r="M682">
        <f>_xlfn.XLOOKUP(L682,[2]analyte_order!$C:$C,[2]analyte_order!$E:$E)</f>
        <v>27</v>
      </c>
      <c r="N682">
        <v>5.9442716042085161E-2</v>
      </c>
    </row>
    <row r="683" spans="1:14">
      <c r="A683" t="s">
        <v>136</v>
      </c>
      <c r="B683" t="str">
        <f>_xlfn.XLOOKUP(A683,'[1]Tissue Data'!$A:$A,'[1]Tissue Data'!$C:$C)</f>
        <v>Down</v>
      </c>
      <c r="C683" s="2">
        <f>_xlfn.XLOOKUP(A683,'[1]Tissue Data'!$A:$A,'[1]Tissue Data'!$D:$D)</f>
        <v>44314</v>
      </c>
      <c r="D683" s="2" t="s">
        <v>131</v>
      </c>
      <c r="E683" t="str">
        <f>_xlfn.XLOOKUP(A683,'[1]Tissue Data'!$A:$A,'[1]Tissue Data'!$H:$H)</f>
        <v>Clinostomus</v>
      </c>
      <c r="F683" t="str">
        <f>_xlfn.XLOOKUP(A683,'[1]Tissue Data'!$A:$A,'[1]Tissue Data'!$I:$I)</f>
        <v>funduloides</v>
      </c>
      <c r="G683" t="str">
        <f>_xlfn.XLOOKUP(A683,'[1]Tissue Data'!$A:$A,'[1]Tissue Data'!J:J)</f>
        <v>U</v>
      </c>
      <c r="H683" t="str">
        <f>_xlfn.XLOOKUP(A683,'[1]Tissue Data'!$A:$A,'[1]Tissue Data'!K:K)</f>
        <v>Whole Body</v>
      </c>
      <c r="I683">
        <f>_xlfn.XLOOKUP(A683,'[1]Tissue Data'!$A:$A,'[1]Tissue Data'!L:L)</f>
        <v>7.5</v>
      </c>
      <c r="J683">
        <f>_xlfn.XLOOKUP(A683,'[1]Tissue Data'!$A:$A,'[1]Tissue Data'!M:M)</f>
        <v>6.8</v>
      </c>
      <c r="K683" t="s">
        <v>43</v>
      </c>
      <c r="L683" t="str">
        <f>_xlfn.XLOOKUP(K683,[2]analyte_order!$B:$B,[2]analyte_order!$C:$C)</f>
        <v>757124-72-4</v>
      </c>
      <c r="M683">
        <f>_xlfn.XLOOKUP(L683,[2]analyte_order!$C:$C,[2]analyte_order!$E:$E)</f>
        <v>22</v>
      </c>
      <c r="N683">
        <v>5.6251267756126953E-2</v>
      </c>
    </row>
    <row r="684" spans="1:14">
      <c r="A684" t="s">
        <v>136</v>
      </c>
      <c r="B684" t="str">
        <f>_xlfn.XLOOKUP(A684,'[1]Tissue Data'!$A:$A,'[1]Tissue Data'!$C:$C)</f>
        <v>Down</v>
      </c>
      <c r="C684" s="2">
        <f>_xlfn.XLOOKUP(A684,'[1]Tissue Data'!$A:$A,'[1]Tissue Data'!$D:$D)</f>
        <v>44314</v>
      </c>
      <c r="D684" s="2" t="s">
        <v>131</v>
      </c>
      <c r="E684" t="str">
        <f>_xlfn.XLOOKUP(A684,'[1]Tissue Data'!$A:$A,'[1]Tissue Data'!$H:$H)</f>
        <v>Clinostomus</v>
      </c>
      <c r="F684" t="str">
        <f>_xlfn.XLOOKUP(A684,'[1]Tissue Data'!$A:$A,'[1]Tissue Data'!$I:$I)</f>
        <v>funduloides</v>
      </c>
      <c r="G684" t="str">
        <f>_xlfn.XLOOKUP(A684,'[1]Tissue Data'!$A:$A,'[1]Tissue Data'!J:J)</f>
        <v>U</v>
      </c>
      <c r="H684" t="str">
        <f>_xlfn.XLOOKUP(A684,'[1]Tissue Data'!$A:$A,'[1]Tissue Data'!K:K)</f>
        <v>Whole Body</v>
      </c>
      <c r="I684">
        <f>_xlfn.XLOOKUP(A684,'[1]Tissue Data'!$A:$A,'[1]Tissue Data'!L:L)</f>
        <v>7.5</v>
      </c>
      <c r="J684">
        <f>_xlfn.XLOOKUP(A684,'[1]Tissue Data'!$A:$A,'[1]Tissue Data'!M:M)</f>
        <v>6.8</v>
      </c>
      <c r="K684" t="s">
        <v>44</v>
      </c>
      <c r="L684" t="str">
        <f>_xlfn.XLOOKUP(K684,[2]analyte_order!$B:$B,[2]analyte_order!$C:$C)</f>
        <v>27619-97-2</v>
      </c>
      <c r="M684">
        <f>_xlfn.XLOOKUP(L684,[2]analyte_order!$C:$C,[2]analyte_order!$E:$E)</f>
        <v>23</v>
      </c>
      <c r="N684">
        <v>4.1345784834823228E-2</v>
      </c>
    </row>
    <row r="685" spans="1:14">
      <c r="A685" t="s">
        <v>136</v>
      </c>
      <c r="B685" t="str">
        <f>_xlfn.XLOOKUP(A685,'[1]Tissue Data'!$A:$A,'[1]Tissue Data'!$C:$C)</f>
        <v>Down</v>
      </c>
      <c r="C685" s="2">
        <f>_xlfn.XLOOKUP(A685,'[1]Tissue Data'!$A:$A,'[1]Tissue Data'!$D:$D)</f>
        <v>44314</v>
      </c>
      <c r="D685" s="2" t="s">
        <v>131</v>
      </c>
      <c r="E685" t="str">
        <f>_xlfn.XLOOKUP(A685,'[1]Tissue Data'!$A:$A,'[1]Tissue Data'!$H:$H)</f>
        <v>Clinostomus</v>
      </c>
      <c r="F685" t="str">
        <f>_xlfn.XLOOKUP(A685,'[1]Tissue Data'!$A:$A,'[1]Tissue Data'!$I:$I)</f>
        <v>funduloides</v>
      </c>
      <c r="G685" t="str">
        <f>_xlfn.XLOOKUP(A685,'[1]Tissue Data'!$A:$A,'[1]Tissue Data'!J:J)</f>
        <v>U</v>
      </c>
      <c r="H685" t="str">
        <f>_xlfn.XLOOKUP(A685,'[1]Tissue Data'!$A:$A,'[1]Tissue Data'!K:K)</f>
        <v>Whole Body</v>
      </c>
      <c r="I685">
        <f>_xlfn.XLOOKUP(A685,'[1]Tissue Data'!$A:$A,'[1]Tissue Data'!L:L)</f>
        <v>7.5</v>
      </c>
      <c r="J685">
        <f>_xlfn.XLOOKUP(A685,'[1]Tissue Data'!$A:$A,'[1]Tissue Data'!M:M)</f>
        <v>6.8</v>
      </c>
      <c r="K685" t="s">
        <v>45</v>
      </c>
      <c r="L685" t="str">
        <f>_xlfn.XLOOKUP(K685,[2]analyte_order!$B:$B,[2]analyte_order!$C:$C)</f>
        <v>39108-34-4</v>
      </c>
      <c r="M685">
        <f>_xlfn.XLOOKUP(L685,[2]analyte_order!$C:$C,[2]analyte_order!$E:$E)</f>
        <v>24</v>
      </c>
      <c r="N685">
        <v>4.6399999999999997</v>
      </c>
    </row>
    <row r="686" spans="1:14">
      <c r="A686" t="s">
        <v>136</v>
      </c>
      <c r="B686" t="str">
        <f>_xlfn.XLOOKUP(A686,'[1]Tissue Data'!$A:$A,'[1]Tissue Data'!$C:$C)</f>
        <v>Down</v>
      </c>
      <c r="C686" s="2">
        <f>_xlfn.XLOOKUP(A686,'[1]Tissue Data'!$A:$A,'[1]Tissue Data'!$D:$D)</f>
        <v>44314</v>
      </c>
      <c r="D686" s="2" t="s">
        <v>131</v>
      </c>
      <c r="E686" t="str">
        <f>_xlfn.XLOOKUP(A686,'[1]Tissue Data'!$A:$A,'[1]Tissue Data'!$H:$H)</f>
        <v>Clinostomus</v>
      </c>
      <c r="F686" t="str">
        <f>_xlfn.XLOOKUP(A686,'[1]Tissue Data'!$A:$A,'[1]Tissue Data'!$I:$I)</f>
        <v>funduloides</v>
      </c>
      <c r="G686" t="str">
        <f>_xlfn.XLOOKUP(A686,'[1]Tissue Data'!$A:$A,'[1]Tissue Data'!J:J)</f>
        <v>U</v>
      </c>
      <c r="H686" t="str">
        <f>_xlfn.XLOOKUP(A686,'[1]Tissue Data'!$A:$A,'[1]Tissue Data'!K:K)</f>
        <v>Whole Body</v>
      </c>
      <c r="I686">
        <f>_xlfn.XLOOKUP(A686,'[1]Tissue Data'!$A:$A,'[1]Tissue Data'!L:L)</f>
        <v>7.5</v>
      </c>
      <c r="J686">
        <f>_xlfn.XLOOKUP(A686,'[1]Tissue Data'!$A:$A,'[1]Tissue Data'!M:M)</f>
        <v>6.8</v>
      </c>
      <c r="K686" t="s">
        <v>46</v>
      </c>
      <c r="L686" t="str">
        <f>_xlfn.XLOOKUP(K686,[2]analyte_order!$B:$B,[2]analyte_order!$C:$C)</f>
        <v>120226-60-0</v>
      </c>
      <c r="M686">
        <f>_xlfn.XLOOKUP(L686,[2]analyte_order!$C:$C,[2]analyte_order!$E:$E)</f>
        <v>25</v>
      </c>
      <c r="N686">
        <v>0.27201846733390117</v>
      </c>
    </row>
    <row r="687" spans="1:14">
      <c r="A687" t="s">
        <v>136</v>
      </c>
      <c r="B687" t="str">
        <f>_xlfn.XLOOKUP(A687,'[1]Tissue Data'!$A:$A,'[1]Tissue Data'!$C:$C)</f>
        <v>Down</v>
      </c>
      <c r="C687" s="2">
        <f>_xlfn.XLOOKUP(A687,'[1]Tissue Data'!$A:$A,'[1]Tissue Data'!$D:$D)</f>
        <v>44314</v>
      </c>
      <c r="D687" s="2" t="s">
        <v>131</v>
      </c>
      <c r="E687" t="str">
        <f>_xlfn.XLOOKUP(A687,'[1]Tissue Data'!$A:$A,'[1]Tissue Data'!$H:$H)</f>
        <v>Clinostomus</v>
      </c>
      <c r="F687" t="str">
        <f>_xlfn.XLOOKUP(A687,'[1]Tissue Data'!$A:$A,'[1]Tissue Data'!$I:$I)</f>
        <v>funduloides</v>
      </c>
      <c r="G687" t="str">
        <f>_xlfn.XLOOKUP(A687,'[1]Tissue Data'!$A:$A,'[1]Tissue Data'!J:J)</f>
        <v>U</v>
      </c>
      <c r="H687" t="str">
        <f>_xlfn.XLOOKUP(A687,'[1]Tissue Data'!$A:$A,'[1]Tissue Data'!K:K)</f>
        <v>Whole Body</v>
      </c>
      <c r="I687">
        <f>_xlfn.XLOOKUP(A687,'[1]Tissue Data'!$A:$A,'[1]Tissue Data'!L:L)</f>
        <v>7.5</v>
      </c>
      <c r="J687">
        <f>_xlfn.XLOOKUP(A687,'[1]Tissue Data'!$A:$A,'[1]Tissue Data'!M:M)</f>
        <v>6.8</v>
      </c>
      <c r="K687" t="s">
        <v>47</v>
      </c>
      <c r="L687" t="str">
        <f>_xlfn.XLOOKUP(K687,[2]analyte_order!$B:$B,[2]analyte_order!$C:$C)</f>
        <v>356-02-5</v>
      </c>
      <c r="M687">
        <f>_xlfn.XLOOKUP(L687,[2]analyte_order!$C:$C,[2]analyte_order!$E:$E)</f>
        <v>38</v>
      </c>
      <c r="N687">
        <v>7.8994542795801523E-2</v>
      </c>
    </row>
    <row r="688" spans="1:14">
      <c r="A688" t="s">
        <v>136</v>
      </c>
      <c r="B688" t="str">
        <f>_xlfn.XLOOKUP(A688,'[1]Tissue Data'!$A:$A,'[1]Tissue Data'!$C:$C)</f>
        <v>Down</v>
      </c>
      <c r="C688" s="2">
        <f>_xlfn.XLOOKUP(A688,'[1]Tissue Data'!$A:$A,'[1]Tissue Data'!$D:$D)</f>
        <v>44314</v>
      </c>
      <c r="D688" s="2" t="s">
        <v>131</v>
      </c>
      <c r="E688" t="str">
        <f>_xlfn.XLOOKUP(A688,'[1]Tissue Data'!$A:$A,'[1]Tissue Data'!$H:$H)</f>
        <v>Clinostomus</v>
      </c>
      <c r="F688" t="str">
        <f>_xlfn.XLOOKUP(A688,'[1]Tissue Data'!$A:$A,'[1]Tissue Data'!$I:$I)</f>
        <v>funduloides</v>
      </c>
      <c r="G688" t="str">
        <f>_xlfn.XLOOKUP(A688,'[1]Tissue Data'!$A:$A,'[1]Tissue Data'!J:J)</f>
        <v>U</v>
      </c>
      <c r="H688" t="str">
        <f>_xlfn.XLOOKUP(A688,'[1]Tissue Data'!$A:$A,'[1]Tissue Data'!K:K)</f>
        <v>Whole Body</v>
      </c>
      <c r="I688">
        <f>_xlfn.XLOOKUP(A688,'[1]Tissue Data'!$A:$A,'[1]Tissue Data'!L:L)</f>
        <v>7.5</v>
      </c>
      <c r="J688">
        <f>_xlfn.XLOOKUP(A688,'[1]Tissue Data'!$A:$A,'[1]Tissue Data'!M:M)</f>
        <v>6.8</v>
      </c>
      <c r="K688" t="s">
        <v>48</v>
      </c>
      <c r="L688" t="str">
        <f>_xlfn.XLOOKUP(K688,[2]analyte_order!$B:$B,[2]analyte_order!$C:$C)</f>
        <v>914637-49-3</v>
      </c>
      <c r="M688">
        <f>_xlfn.XLOOKUP(L688,[2]analyte_order!$C:$C,[2]analyte_order!$E:$E)</f>
        <v>39</v>
      </c>
      <c r="N688">
        <v>5.1681163848935313E-2</v>
      </c>
    </row>
    <row r="689" spans="1:14">
      <c r="A689" t="s">
        <v>136</v>
      </c>
      <c r="B689" t="str">
        <f>_xlfn.XLOOKUP(A689,'[1]Tissue Data'!$A:$A,'[1]Tissue Data'!$C:$C)</f>
        <v>Down</v>
      </c>
      <c r="C689" s="2">
        <f>_xlfn.XLOOKUP(A689,'[1]Tissue Data'!$A:$A,'[1]Tissue Data'!$D:$D)</f>
        <v>44314</v>
      </c>
      <c r="D689" s="2" t="s">
        <v>131</v>
      </c>
      <c r="E689" t="str">
        <f>_xlfn.XLOOKUP(A689,'[1]Tissue Data'!$A:$A,'[1]Tissue Data'!$H:$H)</f>
        <v>Clinostomus</v>
      </c>
      <c r="F689" t="str">
        <f>_xlfn.XLOOKUP(A689,'[1]Tissue Data'!$A:$A,'[1]Tissue Data'!$I:$I)</f>
        <v>funduloides</v>
      </c>
      <c r="G689" t="str">
        <f>_xlfn.XLOOKUP(A689,'[1]Tissue Data'!$A:$A,'[1]Tissue Data'!J:J)</f>
        <v>U</v>
      </c>
      <c r="H689" t="str">
        <f>_xlfn.XLOOKUP(A689,'[1]Tissue Data'!$A:$A,'[1]Tissue Data'!K:K)</f>
        <v>Whole Body</v>
      </c>
      <c r="I689">
        <f>_xlfn.XLOOKUP(A689,'[1]Tissue Data'!$A:$A,'[1]Tissue Data'!L:L)</f>
        <v>7.5</v>
      </c>
      <c r="J689">
        <f>_xlfn.XLOOKUP(A689,'[1]Tissue Data'!$A:$A,'[1]Tissue Data'!M:M)</f>
        <v>6.8</v>
      </c>
      <c r="K689" t="s">
        <v>49</v>
      </c>
      <c r="L689" t="str">
        <f>_xlfn.XLOOKUP(K689,[2]analyte_order!$B:$B,[2]analyte_order!$C:$C)</f>
        <v>812-70-4</v>
      </c>
      <c r="M689">
        <f>_xlfn.XLOOKUP(L689,[2]analyte_order!$C:$C,[2]analyte_order!$E:$E)</f>
        <v>40</v>
      </c>
      <c r="N689">
        <v>6.08</v>
      </c>
    </row>
    <row r="690" spans="1:14">
      <c r="A690" t="s">
        <v>136</v>
      </c>
      <c r="B690" t="str">
        <f>_xlfn.XLOOKUP(A690,'[1]Tissue Data'!$A:$A,'[1]Tissue Data'!$C:$C)</f>
        <v>Down</v>
      </c>
      <c r="C690" s="2">
        <f>_xlfn.XLOOKUP(A690,'[1]Tissue Data'!$A:$A,'[1]Tissue Data'!$D:$D)</f>
        <v>44314</v>
      </c>
      <c r="D690" s="2" t="s">
        <v>131</v>
      </c>
      <c r="E690" t="str">
        <f>_xlfn.XLOOKUP(A690,'[1]Tissue Data'!$A:$A,'[1]Tissue Data'!$H:$H)</f>
        <v>Clinostomus</v>
      </c>
      <c r="F690" t="str">
        <f>_xlfn.XLOOKUP(A690,'[1]Tissue Data'!$A:$A,'[1]Tissue Data'!$I:$I)</f>
        <v>funduloides</v>
      </c>
      <c r="G690" t="str">
        <f>_xlfn.XLOOKUP(A690,'[1]Tissue Data'!$A:$A,'[1]Tissue Data'!J:J)</f>
        <v>U</v>
      </c>
      <c r="H690" t="str">
        <f>_xlfn.XLOOKUP(A690,'[1]Tissue Data'!$A:$A,'[1]Tissue Data'!K:K)</f>
        <v>Whole Body</v>
      </c>
      <c r="I690">
        <f>_xlfn.XLOOKUP(A690,'[1]Tissue Data'!$A:$A,'[1]Tissue Data'!L:L)</f>
        <v>7.5</v>
      </c>
      <c r="J690">
        <f>_xlfn.XLOOKUP(A690,'[1]Tissue Data'!$A:$A,'[1]Tissue Data'!M:M)</f>
        <v>6.8</v>
      </c>
      <c r="K690" t="s">
        <v>50</v>
      </c>
      <c r="L690" t="str">
        <f>_xlfn.XLOOKUP(K690,[2]analyte_order!$B:$B,[2]analyte_order!$C:$C)</f>
        <v>53826-12-3</v>
      </c>
      <c r="M690">
        <f>_xlfn.XLOOKUP(L690,[2]analyte_order!$C:$C,[2]analyte_order!$E:$E)</f>
        <v>41</v>
      </c>
      <c r="N690">
        <v>0.15372127408947506</v>
      </c>
    </row>
    <row r="691" spans="1:14">
      <c r="A691" t="s">
        <v>136</v>
      </c>
      <c r="B691" t="str">
        <f>_xlfn.XLOOKUP(A691,'[1]Tissue Data'!$A:$A,'[1]Tissue Data'!$C:$C)</f>
        <v>Down</v>
      </c>
      <c r="C691" s="2">
        <f>_xlfn.XLOOKUP(A691,'[1]Tissue Data'!$A:$A,'[1]Tissue Data'!$D:$D)</f>
        <v>44314</v>
      </c>
      <c r="D691" s="2" t="s">
        <v>131</v>
      </c>
      <c r="E691" t="str">
        <f>_xlfn.XLOOKUP(A691,'[1]Tissue Data'!$A:$A,'[1]Tissue Data'!$H:$H)</f>
        <v>Clinostomus</v>
      </c>
      <c r="F691" t="str">
        <f>_xlfn.XLOOKUP(A691,'[1]Tissue Data'!$A:$A,'[1]Tissue Data'!$I:$I)</f>
        <v>funduloides</v>
      </c>
      <c r="G691" t="str">
        <f>_xlfn.XLOOKUP(A691,'[1]Tissue Data'!$A:$A,'[1]Tissue Data'!J:J)</f>
        <v>U</v>
      </c>
      <c r="H691" t="str">
        <f>_xlfn.XLOOKUP(A691,'[1]Tissue Data'!$A:$A,'[1]Tissue Data'!K:K)</f>
        <v>Whole Body</v>
      </c>
      <c r="I691">
        <f>_xlfn.XLOOKUP(A691,'[1]Tissue Data'!$A:$A,'[1]Tissue Data'!L:L)</f>
        <v>7.5</v>
      </c>
      <c r="J691">
        <f>_xlfn.XLOOKUP(A691,'[1]Tissue Data'!$A:$A,'[1]Tissue Data'!M:M)</f>
        <v>6.8</v>
      </c>
      <c r="K691" t="s">
        <v>51</v>
      </c>
      <c r="L691" t="str">
        <f>_xlfn.XLOOKUP(K691,[2]analyte_order!$B:$B,[2]analyte_order!$C:$C)</f>
        <v>27854-31-5</v>
      </c>
      <c r="M691">
        <f>_xlfn.XLOOKUP(L691,[2]analyte_order!$C:$C,[2]analyte_order!$E:$E)</f>
        <v>42</v>
      </c>
      <c r="N691">
        <v>2.7393257606194526E-2</v>
      </c>
    </row>
    <row r="692" spans="1:14">
      <c r="A692" t="s">
        <v>136</v>
      </c>
      <c r="B692" t="str">
        <f>_xlfn.XLOOKUP(A692,'[1]Tissue Data'!$A:$A,'[1]Tissue Data'!$C:$C)</f>
        <v>Down</v>
      </c>
      <c r="C692" s="2">
        <f>_xlfn.XLOOKUP(A692,'[1]Tissue Data'!$A:$A,'[1]Tissue Data'!$D:$D)</f>
        <v>44314</v>
      </c>
      <c r="D692" s="2" t="s">
        <v>131</v>
      </c>
      <c r="E692" t="str">
        <f>_xlfn.XLOOKUP(A692,'[1]Tissue Data'!$A:$A,'[1]Tissue Data'!$H:$H)</f>
        <v>Clinostomus</v>
      </c>
      <c r="F692" t="str">
        <f>_xlfn.XLOOKUP(A692,'[1]Tissue Data'!$A:$A,'[1]Tissue Data'!$I:$I)</f>
        <v>funduloides</v>
      </c>
      <c r="G692" t="str">
        <f>_xlfn.XLOOKUP(A692,'[1]Tissue Data'!$A:$A,'[1]Tissue Data'!J:J)</f>
        <v>U</v>
      </c>
      <c r="H692" t="str">
        <f>_xlfn.XLOOKUP(A692,'[1]Tissue Data'!$A:$A,'[1]Tissue Data'!K:K)</f>
        <v>Whole Body</v>
      </c>
      <c r="I692">
        <f>_xlfn.XLOOKUP(A692,'[1]Tissue Data'!$A:$A,'[1]Tissue Data'!L:L)</f>
        <v>7.5</v>
      </c>
      <c r="J692">
        <f>_xlfn.XLOOKUP(A692,'[1]Tissue Data'!$A:$A,'[1]Tissue Data'!M:M)</f>
        <v>6.8</v>
      </c>
      <c r="K692" t="s">
        <v>52</v>
      </c>
      <c r="L692" t="str">
        <f>_xlfn.XLOOKUP(K692,[2]analyte_order!$B:$B,[2]analyte_order!$C:$C)</f>
        <v>53826-13-4</v>
      </c>
      <c r="M692">
        <f>_xlfn.XLOOKUP(L692,[2]analyte_order!$C:$C,[2]analyte_order!$E:$E)</f>
        <v>43</v>
      </c>
      <c r="N692">
        <v>0.102190034410908</v>
      </c>
    </row>
    <row r="693" spans="1:14">
      <c r="A693" t="s">
        <v>136</v>
      </c>
      <c r="B693" t="str">
        <f>_xlfn.XLOOKUP(A693,'[1]Tissue Data'!$A:$A,'[1]Tissue Data'!$C:$C)</f>
        <v>Down</v>
      </c>
      <c r="C693" s="2">
        <f>_xlfn.XLOOKUP(A693,'[1]Tissue Data'!$A:$A,'[1]Tissue Data'!$D:$D)</f>
        <v>44314</v>
      </c>
      <c r="D693" s="2" t="s">
        <v>131</v>
      </c>
      <c r="E693" t="str">
        <f>_xlfn.XLOOKUP(A693,'[1]Tissue Data'!$A:$A,'[1]Tissue Data'!$H:$H)</f>
        <v>Clinostomus</v>
      </c>
      <c r="F693" t="str">
        <f>_xlfn.XLOOKUP(A693,'[1]Tissue Data'!$A:$A,'[1]Tissue Data'!$I:$I)</f>
        <v>funduloides</v>
      </c>
      <c r="G693" t="str">
        <f>_xlfn.XLOOKUP(A693,'[1]Tissue Data'!$A:$A,'[1]Tissue Data'!J:J)</f>
        <v>U</v>
      </c>
      <c r="H693" t="str">
        <f>_xlfn.XLOOKUP(A693,'[1]Tissue Data'!$A:$A,'[1]Tissue Data'!K:K)</f>
        <v>Whole Body</v>
      </c>
      <c r="I693">
        <f>_xlfn.XLOOKUP(A693,'[1]Tissue Data'!$A:$A,'[1]Tissue Data'!L:L)</f>
        <v>7.5</v>
      </c>
      <c r="J693">
        <f>_xlfn.XLOOKUP(A693,'[1]Tissue Data'!$A:$A,'[1]Tissue Data'!M:M)</f>
        <v>6.8</v>
      </c>
      <c r="K693" t="s">
        <v>53</v>
      </c>
      <c r="L693" t="str">
        <f>_xlfn.XLOOKUP(K693,[2]analyte_order!$B:$B,[2]analyte_order!$C:$C)</f>
        <v>161094-75-3</v>
      </c>
      <c r="M693">
        <f>_xlfn.XLOOKUP(L693,[2]analyte_order!$C:$C,[2]analyte_order!$E:$E)</f>
        <v>44</v>
      </c>
      <c r="N693">
        <v>5.3772728286460431E-2</v>
      </c>
    </row>
    <row r="694" spans="1:14">
      <c r="A694" t="s">
        <v>136</v>
      </c>
      <c r="B694" t="str">
        <f>_xlfn.XLOOKUP(A694,'[1]Tissue Data'!$A:$A,'[1]Tissue Data'!$C:$C)</f>
        <v>Down</v>
      </c>
      <c r="C694" s="2">
        <f>_xlfn.XLOOKUP(A694,'[1]Tissue Data'!$A:$A,'[1]Tissue Data'!$D:$D)</f>
        <v>44314</v>
      </c>
      <c r="D694" s="2" t="s">
        <v>131</v>
      </c>
      <c r="E694" t="str">
        <f>_xlfn.XLOOKUP(A694,'[1]Tissue Data'!$A:$A,'[1]Tissue Data'!$H:$H)</f>
        <v>Clinostomus</v>
      </c>
      <c r="F694" t="str">
        <f>_xlfn.XLOOKUP(A694,'[1]Tissue Data'!$A:$A,'[1]Tissue Data'!$I:$I)</f>
        <v>funduloides</v>
      </c>
      <c r="G694" t="str">
        <f>_xlfn.XLOOKUP(A694,'[1]Tissue Data'!$A:$A,'[1]Tissue Data'!J:J)</f>
        <v>U</v>
      </c>
      <c r="H694" t="str">
        <f>_xlfn.XLOOKUP(A694,'[1]Tissue Data'!$A:$A,'[1]Tissue Data'!K:K)</f>
        <v>Whole Body</v>
      </c>
      <c r="I694">
        <f>_xlfn.XLOOKUP(A694,'[1]Tissue Data'!$A:$A,'[1]Tissue Data'!L:L)</f>
        <v>7.5</v>
      </c>
      <c r="J694">
        <f>_xlfn.XLOOKUP(A694,'[1]Tissue Data'!$A:$A,'[1]Tissue Data'!M:M)</f>
        <v>6.8</v>
      </c>
      <c r="K694" t="s">
        <v>54</v>
      </c>
      <c r="L694" t="str">
        <f>_xlfn.XLOOKUP(K694,[2]analyte_order!$B:$B,[2]analyte_order!$C:$C)</f>
        <v>70887-84-2</v>
      </c>
      <c r="M694">
        <f>_xlfn.XLOOKUP(L694,[2]analyte_order!$C:$C,[2]analyte_order!$E:$E)</f>
        <v>45</v>
      </c>
      <c r="N694">
        <v>4.138467409064886E-2</v>
      </c>
    </row>
    <row r="695" spans="1:14">
      <c r="A695" t="s">
        <v>136</v>
      </c>
      <c r="B695" t="str">
        <f>_xlfn.XLOOKUP(A695,'[1]Tissue Data'!$A:$A,'[1]Tissue Data'!$C:$C)</f>
        <v>Down</v>
      </c>
      <c r="C695" s="2">
        <f>_xlfn.XLOOKUP(A695,'[1]Tissue Data'!$A:$A,'[1]Tissue Data'!$D:$D)</f>
        <v>44314</v>
      </c>
      <c r="D695" s="2" t="s">
        <v>131</v>
      </c>
      <c r="E695" t="str">
        <f>_xlfn.XLOOKUP(A695,'[1]Tissue Data'!$A:$A,'[1]Tissue Data'!$H:$H)</f>
        <v>Clinostomus</v>
      </c>
      <c r="F695" t="str">
        <f>_xlfn.XLOOKUP(A695,'[1]Tissue Data'!$A:$A,'[1]Tissue Data'!$I:$I)</f>
        <v>funduloides</v>
      </c>
      <c r="G695" t="str">
        <f>_xlfn.XLOOKUP(A695,'[1]Tissue Data'!$A:$A,'[1]Tissue Data'!J:J)</f>
        <v>U</v>
      </c>
      <c r="H695" t="str">
        <f>_xlfn.XLOOKUP(A695,'[1]Tissue Data'!$A:$A,'[1]Tissue Data'!K:K)</f>
        <v>Whole Body</v>
      </c>
      <c r="I695">
        <f>_xlfn.XLOOKUP(A695,'[1]Tissue Data'!$A:$A,'[1]Tissue Data'!L:L)</f>
        <v>7.5</v>
      </c>
      <c r="J695">
        <f>_xlfn.XLOOKUP(A695,'[1]Tissue Data'!$A:$A,'[1]Tissue Data'!M:M)</f>
        <v>6.8</v>
      </c>
      <c r="K695" t="s">
        <v>55</v>
      </c>
      <c r="L695" t="str">
        <f>_xlfn.XLOOKUP(K695,[2]analyte_order!$B:$B,[2]analyte_order!$C:$C)</f>
        <v>919005-14-4</v>
      </c>
      <c r="M695">
        <f>_xlfn.XLOOKUP(L695,[2]analyte_order!$C:$C,[2]analyte_order!$E:$E)</f>
        <v>35</v>
      </c>
      <c r="N695">
        <v>6.848314401548633E-2</v>
      </c>
    </row>
    <row r="696" spans="1:14">
      <c r="A696" t="s">
        <v>136</v>
      </c>
      <c r="B696" t="str">
        <f>_xlfn.XLOOKUP(A696,'[1]Tissue Data'!$A:$A,'[1]Tissue Data'!$C:$C)</f>
        <v>Down</v>
      </c>
      <c r="C696" s="2">
        <f>_xlfn.XLOOKUP(A696,'[1]Tissue Data'!$A:$A,'[1]Tissue Data'!$D:$D)</f>
        <v>44314</v>
      </c>
      <c r="D696" s="2" t="s">
        <v>131</v>
      </c>
      <c r="E696" t="str">
        <f>_xlfn.XLOOKUP(A696,'[1]Tissue Data'!$A:$A,'[1]Tissue Data'!$H:$H)</f>
        <v>Clinostomus</v>
      </c>
      <c r="F696" t="str">
        <f>_xlfn.XLOOKUP(A696,'[1]Tissue Data'!$A:$A,'[1]Tissue Data'!$I:$I)</f>
        <v>funduloides</v>
      </c>
      <c r="G696" t="str">
        <f>_xlfn.XLOOKUP(A696,'[1]Tissue Data'!$A:$A,'[1]Tissue Data'!J:J)</f>
        <v>U</v>
      </c>
      <c r="H696" t="str">
        <f>_xlfn.XLOOKUP(A696,'[1]Tissue Data'!$A:$A,'[1]Tissue Data'!K:K)</f>
        <v>Whole Body</v>
      </c>
      <c r="I696">
        <f>_xlfn.XLOOKUP(A696,'[1]Tissue Data'!$A:$A,'[1]Tissue Data'!L:L)</f>
        <v>7.5</v>
      </c>
      <c r="J696">
        <f>_xlfn.XLOOKUP(A696,'[1]Tissue Data'!$A:$A,'[1]Tissue Data'!M:M)</f>
        <v>6.8</v>
      </c>
      <c r="K696" t="s">
        <v>56</v>
      </c>
      <c r="L696" t="str">
        <f>_xlfn.XLOOKUP(K696,[2]analyte_order!$B:$B,[2]analyte_order!$C:$C)</f>
        <v>756426-58-1</v>
      </c>
      <c r="M696">
        <f>_xlfn.XLOOKUP(L696,[2]analyte_order!$C:$C,[2]analyte_order!$E:$E)</f>
        <v>36</v>
      </c>
      <c r="N696">
        <v>4.753460493621936E-2</v>
      </c>
    </row>
    <row r="697" spans="1:14">
      <c r="A697" t="s">
        <v>136</v>
      </c>
      <c r="B697" t="str">
        <f>_xlfn.XLOOKUP(A697,'[1]Tissue Data'!$A:$A,'[1]Tissue Data'!$C:$C)</f>
        <v>Down</v>
      </c>
      <c r="C697" s="2">
        <f>_xlfn.XLOOKUP(A697,'[1]Tissue Data'!$A:$A,'[1]Tissue Data'!$D:$D)</f>
        <v>44314</v>
      </c>
      <c r="D697" s="2" t="s">
        <v>131</v>
      </c>
      <c r="E697" t="str">
        <f>_xlfn.XLOOKUP(A697,'[1]Tissue Data'!$A:$A,'[1]Tissue Data'!$H:$H)</f>
        <v>Clinostomus</v>
      </c>
      <c r="F697" t="str">
        <f>_xlfn.XLOOKUP(A697,'[1]Tissue Data'!$A:$A,'[1]Tissue Data'!$I:$I)</f>
        <v>funduloides</v>
      </c>
      <c r="G697" t="str">
        <f>_xlfn.XLOOKUP(A697,'[1]Tissue Data'!$A:$A,'[1]Tissue Data'!J:J)</f>
        <v>U</v>
      </c>
      <c r="H697" t="str">
        <f>_xlfn.XLOOKUP(A697,'[1]Tissue Data'!$A:$A,'[1]Tissue Data'!K:K)</f>
        <v>Whole Body</v>
      </c>
      <c r="I697">
        <f>_xlfn.XLOOKUP(A697,'[1]Tissue Data'!$A:$A,'[1]Tissue Data'!L:L)</f>
        <v>7.5</v>
      </c>
      <c r="J697">
        <f>_xlfn.XLOOKUP(A697,'[1]Tissue Data'!$A:$A,'[1]Tissue Data'!M:M)</f>
        <v>6.8</v>
      </c>
      <c r="K697" t="s">
        <v>57</v>
      </c>
      <c r="L697" t="str">
        <f>_xlfn.XLOOKUP(K697,[2]analyte_order!$B:$B,[2]analyte_order!$C:$C)</f>
        <v>763051-92-9</v>
      </c>
      <c r="M697">
        <f>_xlfn.XLOOKUP(L697,[2]analyte_order!$C:$C,[2]analyte_order!$E:$E)</f>
        <v>37</v>
      </c>
      <c r="N697">
        <v>5.396406999949778E-2</v>
      </c>
    </row>
    <row r="698" spans="1:14">
      <c r="A698" t="s">
        <v>136</v>
      </c>
      <c r="B698" t="str">
        <f>_xlfn.XLOOKUP(A698,'[1]Tissue Data'!$A:$A,'[1]Tissue Data'!$C:$C)</f>
        <v>Down</v>
      </c>
      <c r="C698" s="2">
        <f>_xlfn.XLOOKUP(A698,'[1]Tissue Data'!$A:$A,'[1]Tissue Data'!$D:$D)</f>
        <v>44314</v>
      </c>
      <c r="D698" s="2" t="s">
        <v>131</v>
      </c>
      <c r="E698" t="str">
        <f>_xlfn.XLOOKUP(A698,'[1]Tissue Data'!$A:$A,'[1]Tissue Data'!$H:$H)</f>
        <v>Clinostomus</v>
      </c>
      <c r="F698" t="str">
        <f>_xlfn.XLOOKUP(A698,'[1]Tissue Data'!$A:$A,'[1]Tissue Data'!$I:$I)</f>
        <v>funduloides</v>
      </c>
      <c r="G698" t="str">
        <f>_xlfn.XLOOKUP(A698,'[1]Tissue Data'!$A:$A,'[1]Tissue Data'!J:J)</f>
        <v>U</v>
      </c>
      <c r="H698" t="str">
        <f>_xlfn.XLOOKUP(A698,'[1]Tissue Data'!$A:$A,'[1]Tissue Data'!K:K)</f>
        <v>Whole Body</v>
      </c>
      <c r="I698">
        <f>_xlfn.XLOOKUP(A698,'[1]Tissue Data'!$A:$A,'[1]Tissue Data'!L:L)</f>
        <v>7.5</v>
      </c>
      <c r="J698">
        <f>_xlfn.XLOOKUP(A698,'[1]Tissue Data'!$A:$A,'[1]Tissue Data'!M:M)</f>
        <v>6.8</v>
      </c>
      <c r="K698" t="s">
        <v>58</v>
      </c>
      <c r="L698" t="str">
        <f>_xlfn.XLOOKUP(K698,[2]analyte_order!$B:$B,[2]analyte_order!$C:$C)</f>
        <v>13252-13-6</v>
      </c>
      <c r="M698">
        <f>_xlfn.XLOOKUP(L698,[2]analyte_order!$C:$C,[2]analyte_order!$E:$E)</f>
        <v>34</v>
      </c>
      <c r="N698">
        <v>9.8275267881177186E-2</v>
      </c>
    </row>
    <row r="699" spans="1:14">
      <c r="A699" t="s">
        <v>136</v>
      </c>
      <c r="B699" t="str">
        <f>_xlfn.XLOOKUP(A699,'[1]Tissue Data'!$A:$A,'[1]Tissue Data'!$C:$C)</f>
        <v>Down</v>
      </c>
      <c r="C699" s="2">
        <f>_xlfn.XLOOKUP(A699,'[1]Tissue Data'!$A:$A,'[1]Tissue Data'!$D:$D)</f>
        <v>44314</v>
      </c>
      <c r="D699" s="2" t="s">
        <v>131</v>
      </c>
      <c r="E699" t="str">
        <f>_xlfn.XLOOKUP(A699,'[1]Tissue Data'!$A:$A,'[1]Tissue Data'!$H:$H)</f>
        <v>Clinostomus</v>
      </c>
      <c r="F699" t="str">
        <f>_xlfn.XLOOKUP(A699,'[1]Tissue Data'!$A:$A,'[1]Tissue Data'!$I:$I)</f>
        <v>funduloides</v>
      </c>
      <c r="G699" t="str">
        <f>_xlfn.XLOOKUP(A699,'[1]Tissue Data'!$A:$A,'[1]Tissue Data'!J:J)</f>
        <v>U</v>
      </c>
      <c r="H699" t="str">
        <f>_xlfn.XLOOKUP(A699,'[1]Tissue Data'!$A:$A,'[1]Tissue Data'!K:K)</f>
        <v>Whole Body</v>
      </c>
      <c r="I699">
        <f>_xlfn.XLOOKUP(A699,'[1]Tissue Data'!$A:$A,'[1]Tissue Data'!L:L)</f>
        <v>7.5</v>
      </c>
      <c r="J699">
        <f>_xlfn.XLOOKUP(A699,'[1]Tissue Data'!$A:$A,'[1]Tissue Data'!M:M)</f>
        <v>6.8</v>
      </c>
      <c r="K699" t="s">
        <v>59</v>
      </c>
      <c r="L699" t="str">
        <f>_xlfn.XLOOKUP(K699,[2]analyte_order!$B:$B,[2]analyte_order!$C:$C)</f>
        <v>57677-95-9</v>
      </c>
      <c r="M699">
        <f>_xlfn.XLOOKUP(L699,[2]analyte_order!$C:$C,[2]analyte_order!$E:$E)</f>
        <v>46</v>
      </c>
      <c r="N699">
        <v>7.2902288396444345E-2</v>
      </c>
    </row>
    <row r="700" spans="1:14">
      <c r="A700" t="s">
        <v>136</v>
      </c>
      <c r="B700" t="str">
        <f>_xlfn.XLOOKUP(A700,'[1]Tissue Data'!$A:$A,'[1]Tissue Data'!$C:$C)</f>
        <v>Down</v>
      </c>
      <c r="C700" s="2">
        <f>_xlfn.XLOOKUP(A700,'[1]Tissue Data'!$A:$A,'[1]Tissue Data'!$D:$D)</f>
        <v>44314</v>
      </c>
      <c r="D700" s="2" t="s">
        <v>131</v>
      </c>
      <c r="E700" t="str">
        <f>_xlfn.XLOOKUP(A700,'[1]Tissue Data'!$A:$A,'[1]Tissue Data'!$H:$H)</f>
        <v>Clinostomus</v>
      </c>
      <c r="F700" t="str">
        <f>_xlfn.XLOOKUP(A700,'[1]Tissue Data'!$A:$A,'[1]Tissue Data'!$I:$I)</f>
        <v>funduloides</v>
      </c>
      <c r="G700" t="str">
        <f>_xlfn.XLOOKUP(A700,'[1]Tissue Data'!$A:$A,'[1]Tissue Data'!J:J)</f>
        <v>U</v>
      </c>
      <c r="H700" t="str">
        <f>_xlfn.XLOOKUP(A700,'[1]Tissue Data'!$A:$A,'[1]Tissue Data'!K:K)</f>
        <v>Whole Body</v>
      </c>
      <c r="I700">
        <f>_xlfn.XLOOKUP(A700,'[1]Tissue Data'!$A:$A,'[1]Tissue Data'!L:L)</f>
        <v>7.5</v>
      </c>
      <c r="J700">
        <f>_xlfn.XLOOKUP(A700,'[1]Tissue Data'!$A:$A,'[1]Tissue Data'!M:M)</f>
        <v>6.8</v>
      </c>
      <c r="K700" t="s">
        <v>60</v>
      </c>
      <c r="L700" t="str">
        <f>_xlfn.XLOOKUP(K700,[2]analyte_order!$B:$B,[2]analyte_order!$C:$C)</f>
        <v>678-41-1</v>
      </c>
      <c r="M700">
        <f>_xlfn.XLOOKUP(L700,[2]analyte_order!$C:$C,[2]analyte_order!$E:$E)</f>
        <v>56</v>
      </c>
      <c r="N700">
        <v>9.0795911614604263E-2</v>
      </c>
    </row>
    <row r="701" spans="1:14">
      <c r="A701" t="s">
        <v>136</v>
      </c>
      <c r="B701" t="str">
        <f>_xlfn.XLOOKUP(A701,'[1]Tissue Data'!$A:$A,'[1]Tissue Data'!$C:$C)</f>
        <v>Down</v>
      </c>
      <c r="C701" s="2">
        <f>_xlfn.XLOOKUP(A701,'[1]Tissue Data'!$A:$A,'[1]Tissue Data'!$D:$D)</f>
        <v>44314</v>
      </c>
      <c r="D701" s="2" t="s">
        <v>131</v>
      </c>
      <c r="E701" t="str">
        <f>_xlfn.XLOOKUP(A701,'[1]Tissue Data'!$A:$A,'[1]Tissue Data'!$H:$H)</f>
        <v>Clinostomus</v>
      </c>
      <c r="F701" t="str">
        <f>_xlfn.XLOOKUP(A701,'[1]Tissue Data'!$A:$A,'[1]Tissue Data'!$I:$I)</f>
        <v>funduloides</v>
      </c>
      <c r="G701" t="str">
        <f>_xlfn.XLOOKUP(A701,'[1]Tissue Data'!$A:$A,'[1]Tissue Data'!J:J)</f>
        <v>U</v>
      </c>
      <c r="H701" t="str">
        <f>_xlfn.XLOOKUP(A701,'[1]Tissue Data'!$A:$A,'[1]Tissue Data'!K:K)</f>
        <v>Whole Body</v>
      </c>
      <c r="I701">
        <f>_xlfn.XLOOKUP(A701,'[1]Tissue Data'!$A:$A,'[1]Tissue Data'!L:L)</f>
        <v>7.5</v>
      </c>
      <c r="J701">
        <f>_xlfn.XLOOKUP(A701,'[1]Tissue Data'!$A:$A,'[1]Tissue Data'!M:M)</f>
        <v>6.8</v>
      </c>
      <c r="K701" t="s">
        <v>61</v>
      </c>
      <c r="L701" t="str">
        <f>_xlfn.XLOOKUP(K701,[2]analyte_order!$B:$B,[2]analyte_order!$C:$C)</f>
        <v>2965-52-8</v>
      </c>
      <c r="M701">
        <f>_xlfn.XLOOKUP(L701,[2]analyte_order!$C:$C,[2]analyte_order!$E:$E)</f>
        <v>57</v>
      </c>
      <c r="N701">
        <v>0.1205303334672559</v>
      </c>
    </row>
    <row r="702" spans="1:14">
      <c r="A702" t="s">
        <v>137</v>
      </c>
      <c r="B702" t="str">
        <f>_xlfn.XLOOKUP(A702,'[1]Tissue Data'!$A:$A,'[1]Tissue Data'!$C:$C)</f>
        <v>Down</v>
      </c>
      <c r="C702" s="2">
        <f>_xlfn.XLOOKUP(A702,'[1]Tissue Data'!$A:$A,'[1]Tissue Data'!$D:$D)</f>
        <v>44314</v>
      </c>
      <c r="D702" s="2" t="s">
        <v>131</v>
      </c>
      <c r="E702" t="str">
        <f>_xlfn.XLOOKUP(A702,'[1]Tissue Data'!$A:$A,'[1]Tissue Data'!$H:$H)</f>
        <v>Clinostomus</v>
      </c>
      <c r="F702" t="str">
        <f>_xlfn.XLOOKUP(A702,'[1]Tissue Data'!$A:$A,'[1]Tissue Data'!$I:$I)</f>
        <v>funduloides</v>
      </c>
      <c r="G702" t="str">
        <f>_xlfn.XLOOKUP(A702,'[1]Tissue Data'!$A:$A,'[1]Tissue Data'!J:J)</f>
        <v>U</v>
      </c>
      <c r="H702" t="str">
        <f>_xlfn.XLOOKUP(A702,'[1]Tissue Data'!$A:$A,'[1]Tissue Data'!K:K)</f>
        <v>Whole Body</v>
      </c>
      <c r="I702">
        <f>_xlfn.XLOOKUP(A702,'[1]Tissue Data'!$A:$A,'[1]Tissue Data'!L:L)</f>
        <v>7.5</v>
      </c>
      <c r="J702">
        <f>_xlfn.XLOOKUP(A702,'[1]Tissue Data'!$A:$A,'[1]Tissue Data'!M:M)</f>
        <v>6.15</v>
      </c>
      <c r="K702" t="s">
        <v>12</v>
      </c>
      <c r="L702" t="str">
        <f>_xlfn.XLOOKUP(K702,[2]analyte_order!$B:$B,[2]analyte_order!$C:$C)</f>
        <v>375-22-4</v>
      </c>
      <c r="M702">
        <f>_xlfn.XLOOKUP(L702,[2]analyte_order!$C:$C,[2]analyte_order!$E:$E)</f>
        <v>1</v>
      </c>
      <c r="N702">
        <v>2.9038253058695989E-2</v>
      </c>
    </row>
    <row r="703" spans="1:14">
      <c r="A703" t="s">
        <v>137</v>
      </c>
      <c r="B703" t="str">
        <f>_xlfn.XLOOKUP(A703,'[1]Tissue Data'!$A:$A,'[1]Tissue Data'!$C:$C)</f>
        <v>Down</v>
      </c>
      <c r="C703" s="2">
        <f>_xlfn.XLOOKUP(A703,'[1]Tissue Data'!$A:$A,'[1]Tissue Data'!$D:$D)</f>
        <v>44314</v>
      </c>
      <c r="D703" s="2" t="s">
        <v>131</v>
      </c>
      <c r="E703" t="str">
        <f>_xlfn.XLOOKUP(A703,'[1]Tissue Data'!$A:$A,'[1]Tissue Data'!$H:$H)</f>
        <v>Clinostomus</v>
      </c>
      <c r="F703" t="str">
        <f>_xlfn.XLOOKUP(A703,'[1]Tissue Data'!$A:$A,'[1]Tissue Data'!$I:$I)</f>
        <v>funduloides</v>
      </c>
      <c r="G703" t="str">
        <f>_xlfn.XLOOKUP(A703,'[1]Tissue Data'!$A:$A,'[1]Tissue Data'!J:J)</f>
        <v>U</v>
      </c>
      <c r="H703" t="str">
        <f>_xlfn.XLOOKUP(A703,'[1]Tissue Data'!$A:$A,'[1]Tissue Data'!K:K)</f>
        <v>Whole Body</v>
      </c>
      <c r="I703">
        <f>_xlfn.XLOOKUP(A703,'[1]Tissue Data'!$A:$A,'[1]Tissue Data'!L:L)</f>
        <v>7.5</v>
      </c>
      <c r="J703">
        <f>_xlfn.XLOOKUP(A703,'[1]Tissue Data'!$A:$A,'[1]Tissue Data'!M:M)</f>
        <v>6.15</v>
      </c>
      <c r="K703" t="s">
        <v>13</v>
      </c>
      <c r="L703" t="str">
        <f>_xlfn.XLOOKUP(K703,[2]analyte_order!$B:$B,[2]analyte_order!$C:$C)</f>
        <v>2706-90-3</v>
      </c>
      <c r="M703">
        <f>_xlfn.XLOOKUP(L703,[2]analyte_order!$C:$C,[2]analyte_order!$E:$E)</f>
        <v>2</v>
      </c>
      <c r="N703">
        <v>5.1291812189629478E-2</v>
      </c>
    </row>
    <row r="704" spans="1:14">
      <c r="A704" t="s">
        <v>137</v>
      </c>
      <c r="B704" t="str">
        <f>_xlfn.XLOOKUP(A704,'[1]Tissue Data'!$A:$A,'[1]Tissue Data'!$C:$C)</f>
        <v>Down</v>
      </c>
      <c r="C704" s="2">
        <f>_xlfn.XLOOKUP(A704,'[1]Tissue Data'!$A:$A,'[1]Tissue Data'!$D:$D)</f>
        <v>44314</v>
      </c>
      <c r="D704" s="2" t="s">
        <v>131</v>
      </c>
      <c r="E704" t="str">
        <f>_xlfn.XLOOKUP(A704,'[1]Tissue Data'!$A:$A,'[1]Tissue Data'!$H:$H)</f>
        <v>Clinostomus</v>
      </c>
      <c r="F704" t="str">
        <f>_xlfn.XLOOKUP(A704,'[1]Tissue Data'!$A:$A,'[1]Tissue Data'!$I:$I)</f>
        <v>funduloides</v>
      </c>
      <c r="G704" t="str">
        <f>_xlfn.XLOOKUP(A704,'[1]Tissue Data'!$A:$A,'[1]Tissue Data'!J:J)</f>
        <v>U</v>
      </c>
      <c r="H704" t="str">
        <f>_xlfn.XLOOKUP(A704,'[1]Tissue Data'!$A:$A,'[1]Tissue Data'!K:K)</f>
        <v>Whole Body</v>
      </c>
      <c r="I704">
        <f>_xlfn.XLOOKUP(A704,'[1]Tissue Data'!$A:$A,'[1]Tissue Data'!L:L)</f>
        <v>7.5</v>
      </c>
      <c r="J704">
        <f>_xlfn.XLOOKUP(A704,'[1]Tissue Data'!$A:$A,'[1]Tissue Data'!M:M)</f>
        <v>6.15</v>
      </c>
      <c r="K704" t="s">
        <v>14</v>
      </c>
      <c r="L704" t="str">
        <f>_xlfn.XLOOKUP(K704,[2]analyte_order!$B:$B,[2]analyte_order!$C:$C)</f>
        <v>307-24-4</v>
      </c>
      <c r="M704">
        <f>_xlfn.XLOOKUP(L704,[2]analyte_order!$C:$C,[2]analyte_order!$E:$E)</f>
        <v>3</v>
      </c>
      <c r="N704">
        <v>3.9179228475990209E-2</v>
      </c>
    </row>
    <row r="705" spans="1:14">
      <c r="A705" t="s">
        <v>137</v>
      </c>
      <c r="B705" t="str">
        <f>_xlfn.XLOOKUP(A705,'[1]Tissue Data'!$A:$A,'[1]Tissue Data'!$C:$C)</f>
        <v>Down</v>
      </c>
      <c r="C705" s="2">
        <f>_xlfn.XLOOKUP(A705,'[1]Tissue Data'!$A:$A,'[1]Tissue Data'!$D:$D)</f>
        <v>44314</v>
      </c>
      <c r="D705" s="2" t="s">
        <v>131</v>
      </c>
      <c r="E705" t="str">
        <f>_xlfn.XLOOKUP(A705,'[1]Tissue Data'!$A:$A,'[1]Tissue Data'!$H:$H)</f>
        <v>Clinostomus</v>
      </c>
      <c r="F705" t="str">
        <f>_xlfn.XLOOKUP(A705,'[1]Tissue Data'!$A:$A,'[1]Tissue Data'!$I:$I)</f>
        <v>funduloides</v>
      </c>
      <c r="G705" t="str">
        <f>_xlfn.XLOOKUP(A705,'[1]Tissue Data'!$A:$A,'[1]Tissue Data'!J:J)</f>
        <v>U</v>
      </c>
      <c r="H705" t="str">
        <f>_xlfn.XLOOKUP(A705,'[1]Tissue Data'!$A:$A,'[1]Tissue Data'!K:K)</f>
        <v>Whole Body</v>
      </c>
      <c r="I705">
        <f>_xlfn.XLOOKUP(A705,'[1]Tissue Data'!$A:$A,'[1]Tissue Data'!L:L)</f>
        <v>7.5</v>
      </c>
      <c r="J705">
        <f>_xlfn.XLOOKUP(A705,'[1]Tissue Data'!$A:$A,'[1]Tissue Data'!M:M)</f>
        <v>6.15</v>
      </c>
      <c r="K705" t="s">
        <v>15</v>
      </c>
      <c r="L705" t="str">
        <f>_xlfn.XLOOKUP(K705,[2]analyte_order!$B:$B,[2]analyte_order!$C:$C)</f>
        <v>375-85-9</v>
      </c>
      <c r="M705">
        <f>_xlfn.XLOOKUP(L705,[2]analyte_order!$C:$C,[2]analyte_order!$E:$E)</f>
        <v>4</v>
      </c>
      <c r="N705">
        <v>2.9038253058695989E-2</v>
      </c>
    </row>
    <row r="706" spans="1:14">
      <c r="A706" t="s">
        <v>137</v>
      </c>
      <c r="B706" t="str">
        <f>_xlfn.XLOOKUP(A706,'[1]Tissue Data'!$A:$A,'[1]Tissue Data'!$C:$C)</f>
        <v>Down</v>
      </c>
      <c r="C706" s="2">
        <f>_xlfn.XLOOKUP(A706,'[1]Tissue Data'!$A:$A,'[1]Tissue Data'!$D:$D)</f>
        <v>44314</v>
      </c>
      <c r="D706" s="2" t="s">
        <v>131</v>
      </c>
      <c r="E706" t="str">
        <f>_xlfn.XLOOKUP(A706,'[1]Tissue Data'!$A:$A,'[1]Tissue Data'!$H:$H)</f>
        <v>Clinostomus</v>
      </c>
      <c r="F706" t="str">
        <f>_xlfn.XLOOKUP(A706,'[1]Tissue Data'!$A:$A,'[1]Tissue Data'!$I:$I)</f>
        <v>funduloides</v>
      </c>
      <c r="G706" t="str">
        <f>_xlfn.XLOOKUP(A706,'[1]Tissue Data'!$A:$A,'[1]Tissue Data'!J:J)</f>
        <v>U</v>
      </c>
      <c r="H706" t="str">
        <f>_xlfn.XLOOKUP(A706,'[1]Tissue Data'!$A:$A,'[1]Tissue Data'!K:K)</f>
        <v>Whole Body</v>
      </c>
      <c r="I706">
        <f>_xlfn.XLOOKUP(A706,'[1]Tissue Data'!$A:$A,'[1]Tissue Data'!L:L)</f>
        <v>7.5</v>
      </c>
      <c r="J706">
        <f>_xlfn.XLOOKUP(A706,'[1]Tissue Data'!$A:$A,'[1]Tissue Data'!M:M)</f>
        <v>6.15</v>
      </c>
      <c r="K706" t="s">
        <v>16</v>
      </c>
      <c r="L706" t="str">
        <f>_xlfn.XLOOKUP(K706,[2]analyte_order!$B:$B,[2]analyte_order!$C:$C)</f>
        <v>335-67-1</v>
      </c>
      <c r="M706">
        <f>_xlfn.XLOOKUP(L706,[2]analyte_order!$C:$C,[2]analyte_order!$E:$E)</f>
        <v>5</v>
      </c>
      <c r="N706">
        <v>0.94299999999999995</v>
      </c>
    </row>
    <row r="707" spans="1:14">
      <c r="A707" t="s">
        <v>137</v>
      </c>
      <c r="B707" t="str">
        <f>_xlfn.XLOOKUP(A707,'[1]Tissue Data'!$A:$A,'[1]Tissue Data'!$C:$C)</f>
        <v>Down</v>
      </c>
      <c r="C707" s="2">
        <f>_xlfn.XLOOKUP(A707,'[1]Tissue Data'!$A:$A,'[1]Tissue Data'!$D:$D)</f>
        <v>44314</v>
      </c>
      <c r="D707" s="2" t="s">
        <v>131</v>
      </c>
      <c r="E707" t="str">
        <f>_xlfn.XLOOKUP(A707,'[1]Tissue Data'!$A:$A,'[1]Tissue Data'!$H:$H)</f>
        <v>Clinostomus</v>
      </c>
      <c r="F707" t="str">
        <f>_xlfn.XLOOKUP(A707,'[1]Tissue Data'!$A:$A,'[1]Tissue Data'!$I:$I)</f>
        <v>funduloides</v>
      </c>
      <c r="G707" t="str">
        <f>_xlfn.XLOOKUP(A707,'[1]Tissue Data'!$A:$A,'[1]Tissue Data'!J:J)</f>
        <v>U</v>
      </c>
      <c r="H707" t="str">
        <f>_xlfn.XLOOKUP(A707,'[1]Tissue Data'!$A:$A,'[1]Tissue Data'!K:K)</f>
        <v>Whole Body</v>
      </c>
      <c r="I707">
        <f>_xlfn.XLOOKUP(A707,'[1]Tissue Data'!$A:$A,'[1]Tissue Data'!L:L)</f>
        <v>7.5</v>
      </c>
      <c r="J707">
        <f>_xlfn.XLOOKUP(A707,'[1]Tissue Data'!$A:$A,'[1]Tissue Data'!M:M)</f>
        <v>6.15</v>
      </c>
      <c r="K707" t="s">
        <v>17</v>
      </c>
      <c r="L707" t="str">
        <f>_xlfn.XLOOKUP(K707,[2]analyte_order!$B:$B,[2]analyte_order!$C:$C)</f>
        <v>375-95-1</v>
      </c>
      <c r="M707">
        <f>_xlfn.XLOOKUP(L707,[2]analyte_order!$C:$C,[2]analyte_order!$E:$E)</f>
        <v>6</v>
      </c>
      <c r="N707">
        <v>7.36</v>
      </c>
    </row>
    <row r="708" spans="1:14">
      <c r="A708" t="s">
        <v>137</v>
      </c>
      <c r="B708" t="str">
        <f>_xlfn.XLOOKUP(A708,'[1]Tissue Data'!$A:$A,'[1]Tissue Data'!$C:$C)</f>
        <v>Down</v>
      </c>
      <c r="C708" s="2">
        <f>_xlfn.XLOOKUP(A708,'[1]Tissue Data'!$A:$A,'[1]Tissue Data'!$D:$D)</f>
        <v>44314</v>
      </c>
      <c r="D708" s="2" t="s">
        <v>131</v>
      </c>
      <c r="E708" t="str">
        <f>_xlfn.XLOOKUP(A708,'[1]Tissue Data'!$A:$A,'[1]Tissue Data'!$H:$H)</f>
        <v>Clinostomus</v>
      </c>
      <c r="F708" t="str">
        <f>_xlfn.XLOOKUP(A708,'[1]Tissue Data'!$A:$A,'[1]Tissue Data'!$I:$I)</f>
        <v>funduloides</v>
      </c>
      <c r="G708" t="str">
        <f>_xlfn.XLOOKUP(A708,'[1]Tissue Data'!$A:$A,'[1]Tissue Data'!J:J)</f>
        <v>U</v>
      </c>
      <c r="H708" t="str">
        <f>_xlfn.XLOOKUP(A708,'[1]Tissue Data'!$A:$A,'[1]Tissue Data'!K:K)</f>
        <v>Whole Body</v>
      </c>
      <c r="I708">
        <f>_xlfn.XLOOKUP(A708,'[1]Tissue Data'!$A:$A,'[1]Tissue Data'!L:L)</f>
        <v>7.5</v>
      </c>
      <c r="J708">
        <f>_xlfn.XLOOKUP(A708,'[1]Tissue Data'!$A:$A,'[1]Tissue Data'!M:M)</f>
        <v>6.15</v>
      </c>
      <c r="K708" t="s">
        <v>18</v>
      </c>
      <c r="L708" t="str">
        <f>_xlfn.XLOOKUP(K708,[2]analyte_order!$B:$B,[2]analyte_order!$C:$C)</f>
        <v>335-76-2</v>
      </c>
      <c r="M708">
        <f>_xlfn.XLOOKUP(L708,[2]analyte_order!$C:$C,[2]analyte_order!$E:$E)</f>
        <v>7</v>
      </c>
      <c r="N708">
        <v>32</v>
      </c>
    </row>
    <row r="709" spans="1:14">
      <c r="A709" t="s">
        <v>137</v>
      </c>
      <c r="B709" t="str">
        <f>_xlfn.XLOOKUP(A709,'[1]Tissue Data'!$A:$A,'[1]Tissue Data'!$C:$C)</f>
        <v>Down</v>
      </c>
      <c r="C709" s="2">
        <f>_xlfn.XLOOKUP(A709,'[1]Tissue Data'!$A:$A,'[1]Tissue Data'!$D:$D)</f>
        <v>44314</v>
      </c>
      <c r="D709" s="2" t="s">
        <v>131</v>
      </c>
      <c r="E709" t="str">
        <f>_xlfn.XLOOKUP(A709,'[1]Tissue Data'!$A:$A,'[1]Tissue Data'!$H:$H)</f>
        <v>Clinostomus</v>
      </c>
      <c r="F709" t="str">
        <f>_xlfn.XLOOKUP(A709,'[1]Tissue Data'!$A:$A,'[1]Tissue Data'!$I:$I)</f>
        <v>funduloides</v>
      </c>
      <c r="G709" t="str">
        <f>_xlfn.XLOOKUP(A709,'[1]Tissue Data'!$A:$A,'[1]Tissue Data'!J:J)</f>
        <v>U</v>
      </c>
      <c r="H709" t="str">
        <f>_xlfn.XLOOKUP(A709,'[1]Tissue Data'!$A:$A,'[1]Tissue Data'!K:K)</f>
        <v>Whole Body</v>
      </c>
      <c r="I709">
        <f>_xlfn.XLOOKUP(A709,'[1]Tissue Data'!$A:$A,'[1]Tissue Data'!L:L)</f>
        <v>7.5</v>
      </c>
      <c r="J709">
        <f>_xlfn.XLOOKUP(A709,'[1]Tissue Data'!$A:$A,'[1]Tissue Data'!M:M)</f>
        <v>6.15</v>
      </c>
      <c r="K709" t="s">
        <v>19</v>
      </c>
      <c r="L709" t="str">
        <f>_xlfn.XLOOKUP(K709,[2]analyte_order!$B:$B,[2]analyte_order!$C:$C)</f>
        <v>2058-94-8</v>
      </c>
      <c r="M709">
        <f>_xlfn.XLOOKUP(L709,[2]analyte_order!$C:$C,[2]analyte_order!$E:$E)</f>
        <v>8</v>
      </c>
      <c r="N709">
        <v>24.6</v>
      </c>
    </row>
    <row r="710" spans="1:14">
      <c r="A710" t="s">
        <v>137</v>
      </c>
      <c r="B710" t="str">
        <f>_xlfn.XLOOKUP(A710,'[1]Tissue Data'!$A:$A,'[1]Tissue Data'!$C:$C)</f>
        <v>Down</v>
      </c>
      <c r="C710" s="2">
        <f>_xlfn.XLOOKUP(A710,'[1]Tissue Data'!$A:$A,'[1]Tissue Data'!$D:$D)</f>
        <v>44314</v>
      </c>
      <c r="D710" s="2" t="s">
        <v>131</v>
      </c>
      <c r="E710" t="str">
        <f>_xlfn.XLOOKUP(A710,'[1]Tissue Data'!$A:$A,'[1]Tissue Data'!$H:$H)</f>
        <v>Clinostomus</v>
      </c>
      <c r="F710" t="str">
        <f>_xlfn.XLOOKUP(A710,'[1]Tissue Data'!$A:$A,'[1]Tissue Data'!$I:$I)</f>
        <v>funduloides</v>
      </c>
      <c r="G710" t="str">
        <f>_xlfn.XLOOKUP(A710,'[1]Tissue Data'!$A:$A,'[1]Tissue Data'!J:J)</f>
        <v>U</v>
      </c>
      <c r="H710" t="str">
        <f>_xlfn.XLOOKUP(A710,'[1]Tissue Data'!$A:$A,'[1]Tissue Data'!K:K)</f>
        <v>Whole Body</v>
      </c>
      <c r="I710">
        <f>_xlfn.XLOOKUP(A710,'[1]Tissue Data'!$A:$A,'[1]Tissue Data'!L:L)</f>
        <v>7.5</v>
      </c>
      <c r="J710">
        <f>_xlfn.XLOOKUP(A710,'[1]Tissue Data'!$A:$A,'[1]Tissue Data'!M:M)</f>
        <v>6.15</v>
      </c>
      <c r="K710" t="s">
        <v>20</v>
      </c>
      <c r="L710" t="str">
        <f>_xlfn.XLOOKUP(K710,[2]analyte_order!$B:$B,[2]analyte_order!$C:$C)</f>
        <v>307-55-1</v>
      </c>
      <c r="M710">
        <f>_xlfn.XLOOKUP(L710,[2]analyte_order!$C:$C,[2]analyte_order!$E:$E)</f>
        <v>9</v>
      </c>
      <c r="N710">
        <v>5.7963247364246163E-2</v>
      </c>
    </row>
    <row r="711" spans="1:14">
      <c r="A711" t="s">
        <v>137</v>
      </c>
      <c r="B711" t="str">
        <f>_xlfn.XLOOKUP(A711,'[1]Tissue Data'!$A:$A,'[1]Tissue Data'!$C:$C)</f>
        <v>Down</v>
      </c>
      <c r="C711" s="2">
        <f>_xlfn.XLOOKUP(A711,'[1]Tissue Data'!$A:$A,'[1]Tissue Data'!$D:$D)</f>
        <v>44314</v>
      </c>
      <c r="D711" s="2" t="s">
        <v>131</v>
      </c>
      <c r="E711" t="str">
        <f>_xlfn.XLOOKUP(A711,'[1]Tissue Data'!$A:$A,'[1]Tissue Data'!$H:$H)</f>
        <v>Clinostomus</v>
      </c>
      <c r="F711" t="str">
        <f>_xlfn.XLOOKUP(A711,'[1]Tissue Data'!$A:$A,'[1]Tissue Data'!$I:$I)</f>
        <v>funduloides</v>
      </c>
      <c r="G711" t="str">
        <f>_xlfn.XLOOKUP(A711,'[1]Tissue Data'!$A:$A,'[1]Tissue Data'!J:J)</f>
        <v>U</v>
      </c>
      <c r="H711" t="str">
        <f>_xlfn.XLOOKUP(A711,'[1]Tissue Data'!$A:$A,'[1]Tissue Data'!K:K)</f>
        <v>Whole Body</v>
      </c>
      <c r="I711">
        <f>_xlfn.XLOOKUP(A711,'[1]Tissue Data'!$A:$A,'[1]Tissue Data'!L:L)</f>
        <v>7.5</v>
      </c>
      <c r="J711">
        <f>_xlfn.XLOOKUP(A711,'[1]Tissue Data'!$A:$A,'[1]Tissue Data'!M:M)</f>
        <v>6.15</v>
      </c>
      <c r="K711" t="s">
        <v>21</v>
      </c>
      <c r="L711" t="str">
        <f>_xlfn.XLOOKUP(K711,[2]analyte_order!$B:$B,[2]analyte_order!$C:$C)</f>
        <v>72629-94-8</v>
      </c>
      <c r="M711">
        <f>_xlfn.XLOOKUP(L711,[2]analyte_order!$C:$C,[2]analyte_order!$E:$E)</f>
        <v>10</v>
      </c>
      <c r="N711">
        <v>9.15</v>
      </c>
    </row>
    <row r="712" spans="1:14">
      <c r="A712" t="s">
        <v>137</v>
      </c>
      <c r="B712" t="str">
        <f>_xlfn.XLOOKUP(A712,'[1]Tissue Data'!$A:$A,'[1]Tissue Data'!$C:$C)</f>
        <v>Down</v>
      </c>
      <c r="C712" s="2">
        <f>_xlfn.XLOOKUP(A712,'[1]Tissue Data'!$A:$A,'[1]Tissue Data'!$D:$D)</f>
        <v>44314</v>
      </c>
      <c r="D712" s="2" t="s">
        <v>131</v>
      </c>
      <c r="E712" t="str">
        <f>_xlfn.XLOOKUP(A712,'[1]Tissue Data'!$A:$A,'[1]Tissue Data'!$H:$H)</f>
        <v>Clinostomus</v>
      </c>
      <c r="F712" t="str">
        <f>_xlfn.XLOOKUP(A712,'[1]Tissue Data'!$A:$A,'[1]Tissue Data'!$I:$I)</f>
        <v>funduloides</v>
      </c>
      <c r="G712" t="str">
        <f>_xlfn.XLOOKUP(A712,'[1]Tissue Data'!$A:$A,'[1]Tissue Data'!J:J)</f>
        <v>U</v>
      </c>
      <c r="H712" t="str">
        <f>_xlfn.XLOOKUP(A712,'[1]Tissue Data'!$A:$A,'[1]Tissue Data'!K:K)</f>
        <v>Whole Body</v>
      </c>
      <c r="I712">
        <f>_xlfn.XLOOKUP(A712,'[1]Tissue Data'!$A:$A,'[1]Tissue Data'!L:L)</f>
        <v>7.5</v>
      </c>
      <c r="J712">
        <f>_xlfn.XLOOKUP(A712,'[1]Tissue Data'!$A:$A,'[1]Tissue Data'!M:M)</f>
        <v>6.15</v>
      </c>
      <c r="K712" t="s">
        <v>22</v>
      </c>
      <c r="L712" t="str">
        <f>_xlfn.XLOOKUP(K712,[2]analyte_order!$B:$B,[2]analyte_order!$C:$C)</f>
        <v>376-06-7</v>
      </c>
      <c r="M712">
        <f>_xlfn.XLOOKUP(L712,[2]analyte_order!$C:$C,[2]analyte_order!$E:$E)</f>
        <v>11</v>
      </c>
      <c r="N712">
        <v>7.83</v>
      </c>
    </row>
    <row r="713" spans="1:14">
      <c r="A713" t="s">
        <v>137</v>
      </c>
      <c r="B713" t="str">
        <f>_xlfn.XLOOKUP(A713,'[1]Tissue Data'!$A:$A,'[1]Tissue Data'!$C:$C)</f>
        <v>Down</v>
      </c>
      <c r="C713" s="2">
        <f>_xlfn.XLOOKUP(A713,'[1]Tissue Data'!$A:$A,'[1]Tissue Data'!$D:$D)</f>
        <v>44314</v>
      </c>
      <c r="D713" s="2" t="s">
        <v>131</v>
      </c>
      <c r="E713" t="str">
        <f>_xlfn.XLOOKUP(A713,'[1]Tissue Data'!$A:$A,'[1]Tissue Data'!$H:$H)</f>
        <v>Clinostomus</v>
      </c>
      <c r="F713" t="str">
        <f>_xlfn.XLOOKUP(A713,'[1]Tissue Data'!$A:$A,'[1]Tissue Data'!$I:$I)</f>
        <v>funduloides</v>
      </c>
      <c r="G713" t="str">
        <f>_xlfn.XLOOKUP(A713,'[1]Tissue Data'!$A:$A,'[1]Tissue Data'!J:J)</f>
        <v>U</v>
      </c>
      <c r="H713" t="str">
        <f>_xlfn.XLOOKUP(A713,'[1]Tissue Data'!$A:$A,'[1]Tissue Data'!K:K)</f>
        <v>Whole Body</v>
      </c>
      <c r="I713">
        <f>_xlfn.XLOOKUP(A713,'[1]Tissue Data'!$A:$A,'[1]Tissue Data'!L:L)</f>
        <v>7.5</v>
      </c>
      <c r="J713">
        <f>_xlfn.XLOOKUP(A713,'[1]Tissue Data'!$A:$A,'[1]Tissue Data'!M:M)</f>
        <v>6.15</v>
      </c>
      <c r="K713" t="s">
        <v>23</v>
      </c>
      <c r="L713" t="str">
        <f>_xlfn.XLOOKUP(K713,[2]analyte_order!$B:$B,[2]analyte_order!$C:$C)</f>
        <v>67905-19-5</v>
      </c>
      <c r="M713">
        <f>_xlfn.XLOOKUP(L713,[2]analyte_order!$C:$C,[2]analyte_order!$E:$E)</f>
        <v>12</v>
      </c>
      <c r="N713">
        <v>8.6519485262989776E-2</v>
      </c>
    </row>
    <row r="714" spans="1:14">
      <c r="A714" t="s">
        <v>137</v>
      </c>
      <c r="B714" t="str">
        <f>_xlfn.XLOOKUP(A714,'[1]Tissue Data'!$A:$A,'[1]Tissue Data'!$C:$C)</f>
        <v>Down</v>
      </c>
      <c r="C714" s="2">
        <f>_xlfn.XLOOKUP(A714,'[1]Tissue Data'!$A:$A,'[1]Tissue Data'!$D:$D)</f>
        <v>44314</v>
      </c>
      <c r="D714" s="2" t="s">
        <v>131</v>
      </c>
      <c r="E714" t="str">
        <f>_xlfn.XLOOKUP(A714,'[1]Tissue Data'!$A:$A,'[1]Tissue Data'!$H:$H)</f>
        <v>Clinostomus</v>
      </c>
      <c r="F714" t="str">
        <f>_xlfn.XLOOKUP(A714,'[1]Tissue Data'!$A:$A,'[1]Tissue Data'!$I:$I)</f>
        <v>funduloides</v>
      </c>
      <c r="G714" t="str">
        <f>_xlfn.XLOOKUP(A714,'[1]Tissue Data'!$A:$A,'[1]Tissue Data'!J:J)</f>
        <v>U</v>
      </c>
      <c r="H714" t="str">
        <f>_xlfn.XLOOKUP(A714,'[1]Tissue Data'!$A:$A,'[1]Tissue Data'!K:K)</f>
        <v>Whole Body</v>
      </c>
      <c r="I714">
        <f>_xlfn.XLOOKUP(A714,'[1]Tissue Data'!$A:$A,'[1]Tissue Data'!L:L)</f>
        <v>7.5</v>
      </c>
      <c r="J714">
        <f>_xlfn.XLOOKUP(A714,'[1]Tissue Data'!$A:$A,'[1]Tissue Data'!M:M)</f>
        <v>6.15</v>
      </c>
      <c r="K714" t="s">
        <v>24</v>
      </c>
      <c r="L714" t="str">
        <f>_xlfn.XLOOKUP(K714,[2]analyte_order!$B:$B,[2]analyte_order!$C:$C)</f>
        <v>423-41-6</v>
      </c>
      <c r="M714">
        <f>_xlfn.XLOOKUP(L714,[2]analyte_order!$C:$C,[2]analyte_order!$E:$E)</f>
        <v>53</v>
      </c>
      <c r="N714">
        <v>5.5387072923232541E-2</v>
      </c>
    </row>
    <row r="715" spans="1:14">
      <c r="A715" t="s">
        <v>137</v>
      </c>
      <c r="B715" t="str">
        <f>_xlfn.XLOOKUP(A715,'[1]Tissue Data'!$A:$A,'[1]Tissue Data'!$C:$C)</f>
        <v>Down</v>
      </c>
      <c r="C715" s="2">
        <f>_xlfn.XLOOKUP(A715,'[1]Tissue Data'!$A:$A,'[1]Tissue Data'!$D:$D)</f>
        <v>44314</v>
      </c>
      <c r="D715" s="2" t="s">
        <v>131</v>
      </c>
      <c r="E715" t="str">
        <f>_xlfn.XLOOKUP(A715,'[1]Tissue Data'!$A:$A,'[1]Tissue Data'!$H:$H)</f>
        <v>Clinostomus</v>
      </c>
      <c r="F715" t="str">
        <f>_xlfn.XLOOKUP(A715,'[1]Tissue Data'!$A:$A,'[1]Tissue Data'!$I:$I)</f>
        <v>funduloides</v>
      </c>
      <c r="G715" t="str">
        <f>_xlfn.XLOOKUP(A715,'[1]Tissue Data'!$A:$A,'[1]Tissue Data'!J:J)</f>
        <v>U</v>
      </c>
      <c r="H715" t="str">
        <f>_xlfn.XLOOKUP(A715,'[1]Tissue Data'!$A:$A,'[1]Tissue Data'!K:K)</f>
        <v>Whole Body</v>
      </c>
      <c r="I715">
        <f>_xlfn.XLOOKUP(A715,'[1]Tissue Data'!$A:$A,'[1]Tissue Data'!L:L)</f>
        <v>7.5</v>
      </c>
      <c r="J715">
        <f>_xlfn.XLOOKUP(A715,'[1]Tissue Data'!$A:$A,'[1]Tissue Data'!M:M)</f>
        <v>6.15</v>
      </c>
      <c r="K715" t="s">
        <v>25</v>
      </c>
      <c r="L715" t="str">
        <f>_xlfn.XLOOKUP(K715,[2]analyte_order!$B:$B,[2]analyte_order!$C:$C)</f>
        <v>375-73-5</v>
      </c>
      <c r="M715">
        <f>_xlfn.XLOOKUP(L715,[2]analyte_order!$C:$C,[2]analyte_order!$E:$E)</f>
        <v>14</v>
      </c>
      <c r="N715">
        <v>0.15810148344285566</v>
      </c>
    </row>
    <row r="716" spans="1:14">
      <c r="A716" t="s">
        <v>137</v>
      </c>
      <c r="B716" t="str">
        <f>_xlfn.XLOOKUP(A716,'[1]Tissue Data'!$A:$A,'[1]Tissue Data'!$C:$C)</f>
        <v>Down</v>
      </c>
      <c r="C716" s="2">
        <f>_xlfn.XLOOKUP(A716,'[1]Tissue Data'!$A:$A,'[1]Tissue Data'!$D:$D)</f>
        <v>44314</v>
      </c>
      <c r="D716" s="2" t="s">
        <v>131</v>
      </c>
      <c r="E716" t="str">
        <f>_xlfn.XLOOKUP(A716,'[1]Tissue Data'!$A:$A,'[1]Tissue Data'!$H:$H)</f>
        <v>Clinostomus</v>
      </c>
      <c r="F716" t="str">
        <f>_xlfn.XLOOKUP(A716,'[1]Tissue Data'!$A:$A,'[1]Tissue Data'!$I:$I)</f>
        <v>funduloides</v>
      </c>
      <c r="G716" t="str">
        <f>_xlfn.XLOOKUP(A716,'[1]Tissue Data'!$A:$A,'[1]Tissue Data'!J:J)</f>
        <v>U</v>
      </c>
      <c r="H716" t="str">
        <f>_xlfn.XLOOKUP(A716,'[1]Tissue Data'!$A:$A,'[1]Tissue Data'!K:K)</f>
        <v>Whole Body</v>
      </c>
      <c r="I716">
        <f>_xlfn.XLOOKUP(A716,'[1]Tissue Data'!$A:$A,'[1]Tissue Data'!L:L)</f>
        <v>7.5</v>
      </c>
      <c r="J716">
        <f>_xlfn.XLOOKUP(A716,'[1]Tissue Data'!$A:$A,'[1]Tissue Data'!M:M)</f>
        <v>6.15</v>
      </c>
      <c r="K716" t="s">
        <v>26</v>
      </c>
      <c r="L716" t="str">
        <f>_xlfn.XLOOKUP(K716,[2]analyte_order!$B:$B,[2]analyte_order!$C:$C)</f>
        <v>2706-91-4</v>
      </c>
      <c r="M716">
        <f>_xlfn.XLOOKUP(L716,[2]analyte_order!$C:$C,[2]analyte_order!$E:$E)</f>
        <v>15</v>
      </c>
      <c r="N716">
        <v>0.57499999999999996</v>
      </c>
    </row>
    <row r="717" spans="1:14">
      <c r="A717" t="s">
        <v>137</v>
      </c>
      <c r="B717" t="str">
        <f>_xlfn.XLOOKUP(A717,'[1]Tissue Data'!$A:$A,'[1]Tissue Data'!$C:$C)</f>
        <v>Down</v>
      </c>
      <c r="C717" s="2">
        <f>_xlfn.XLOOKUP(A717,'[1]Tissue Data'!$A:$A,'[1]Tissue Data'!$D:$D)</f>
        <v>44314</v>
      </c>
      <c r="D717" s="2" t="s">
        <v>131</v>
      </c>
      <c r="E717" t="str">
        <f>_xlfn.XLOOKUP(A717,'[1]Tissue Data'!$A:$A,'[1]Tissue Data'!$H:$H)</f>
        <v>Clinostomus</v>
      </c>
      <c r="F717" t="str">
        <f>_xlfn.XLOOKUP(A717,'[1]Tissue Data'!$A:$A,'[1]Tissue Data'!$I:$I)</f>
        <v>funduloides</v>
      </c>
      <c r="G717" t="str">
        <f>_xlfn.XLOOKUP(A717,'[1]Tissue Data'!$A:$A,'[1]Tissue Data'!J:J)</f>
        <v>U</v>
      </c>
      <c r="H717" t="str">
        <f>_xlfn.XLOOKUP(A717,'[1]Tissue Data'!$A:$A,'[1]Tissue Data'!K:K)</f>
        <v>Whole Body</v>
      </c>
      <c r="I717">
        <f>_xlfn.XLOOKUP(A717,'[1]Tissue Data'!$A:$A,'[1]Tissue Data'!L:L)</f>
        <v>7.5</v>
      </c>
      <c r="J717">
        <f>_xlfn.XLOOKUP(A717,'[1]Tissue Data'!$A:$A,'[1]Tissue Data'!M:M)</f>
        <v>6.15</v>
      </c>
      <c r="K717" t="s">
        <v>27</v>
      </c>
      <c r="L717" t="str">
        <f>_xlfn.XLOOKUP(K717,[2]analyte_order!$B:$B,[2]analyte_order!$C:$C)</f>
        <v>355-46-4</v>
      </c>
      <c r="M717">
        <f>_xlfn.XLOOKUP(L717,[2]analyte_order!$C:$C,[2]analyte_order!$E:$E)</f>
        <v>16</v>
      </c>
      <c r="N717">
        <v>80.099999999999994</v>
      </c>
    </row>
    <row r="718" spans="1:14">
      <c r="A718" t="s">
        <v>137</v>
      </c>
      <c r="B718" t="str">
        <f>_xlfn.XLOOKUP(A718,'[1]Tissue Data'!$A:$A,'[1]Tissue Data'!$C:$C)</f>
        <v>Down</v>
      </c>
      <c r="C718" s="2">
        <f>_xlfn.XLOOKUP(A718,'[1]Tissue Data'!$A:$A,'[1]Tissue Data'!$D:$D)</f>
        <v>44314</v>
      </c>
      <c r="D718" s="2" t="s">
        <v>131</v>
      </c>
      <c r="E718" t="str">
        <f>_xlfn.XLOOKUP(A718,'[1]Tissue Data'!$A:$A,'[1]Tissue Data'!$H:$H)</f>
        <v>Clinostomus</v>
      </c>
      <c r="F718" t="str">
        <f>_xlfn.XLOOKUP(A718,'[1]Tissue Data'!$A:$A,'[1]Tissue Data'!$I:$I)</f>
        <v>funduloides</v>
      </c>
      <c r="G718" t="str">
        <f>_xlfn.XLOOKUP(A718,'[1]Tissue Data'!$A:$A,'[1]Tissue Data'!J:J)</f>
        <v>U</v>
      </c>
      <c r="H718" t="str">
        <f>_xlfn.XLOOKUP(A718,'[1]Tissue Data'!$A:$A,'[1]Tissue Data'!K:K)</f>
        <v>Whole Body</v>
      </c>
      <c r="I718">
        <f>_xlfn.XLOOKUP(A718,'[1]Tissue Data'!$A:$A,'[1]Tissue Data'!L:L)</f>
        <v>7.5</v>
      </c>
      <c r="J718">
        <f>_xlfn.XLOOKUP(A718,'[1]Tissue Data'!$A:$A,'[1]Tissue Data'!M:M)</f>
        <v>6.15</v>
      </c>
      <c r="K718" t="s">
        <v>28</v>
      </c>
      <c r="L718" t="str">
        <f>_xlfn.XLOOKUP(K718,[2]analyte_order!$B:$B,[2]analyte_order!$C:$C)</f>
        <v>375-92-8</v>
      </c>
      <c r="M718">
        <f>_xlfn.XLOOKUP(L718,[2]analyte_order!$C:$C,[2]analyte_order!$E:$E)</f>
        <v>17</v>
      </c>
      <c r="N718">
        <v>18.100000000000001</v>
      </c>
    </row>
    <row r="719" spans="1:14">
      <c r="A719" t="s">
        <v>137</v>
      </c>
      <c r="B719" t="str">
        <f>_xlfn.XLOOKUP(A719,'[1]Tissue Data'!$A:$A,'[1]Tissue Data'!$C:$C)</f>
        <v>Down</v>
      </c>
      <c r="C719" s="2">
        <f>_xlfn.XLOOKUP(A719,'[1]Tissue Data'!$A:$A,'[1]Tissue Data'!$D:$D)</f>
        <v>44314</v>
      </c>
      <c r="D719" s="2" t="s">
        <v>131</v>
      </c>
      <c r="E719" t="str">
        <f>_xlfn.XLOOKUP(A719,'[1]Tissue Data'!$A:$A,'[1]Tissue Data'!$H:$H)</f>
        <v>Clinostomus</v>
      </c>
      <c r="F719" t="str">
        <f>_xlfn.XLOOKUP(A719,'[1]Tissue Data'!$A:$A,'[1]Tissue Data'!$I:$I)</f>
        <v>funduloides</v>
      </c>
      <c r="G719" t="str">
        <f>_xlfn.XLOOKUP(A719,'[1]Tissue Data'!$A:$A,'[1]Tissue Data'!J:J)</f>
        <v>U</v>
      </c>
      <c r="H719" t="str">
        <f>_xlfn.XLOOKUP(A719,'[1]Tissue Data'!$A:$A,'[1]Tissue Data'!K:K)</f>
        <v>Whole Body</v>
      </c>
      <c r="I719">
        <f>_xlfn.XLOOKUP(A719,'[1]Tissue Data'!$A:$A,'[1]Tissue Data'!L:L)</f>
        <v>7.5</v>
      </c>
      <c r="J719">
        <f>_xlfn.XLOOKUP(A719,'[1]Tissue Data'!$A:$A,'[1]Tissue Data'!M:M)</f>
        <v>6.15</v>
      </c>
      <c r="K719" t="s">
        <v>29</v>
      </c>
      <c r="L719" t="str">
        <f>_xlfn.XLOOKUP(K719,[2]analyte_order!$B:$B,[2]analyte_order!$C:$C)</f>
        <v>1763-23-1</v>
      </c>
      <c r="M719">
        <f>_xlfn.XLOOKUP(L719,[2]analyte_order!$C:$C,[2]analyte_order!$E:$E)</f>
        <v>18</v>
      </c>
      <c r="N719">
        <v>4420</v>
      </c>
    </row>
    <row r="720" spans="1:14">
      <c r="A720" t="s">
        <v>137</v>
      </c>
      <c r="B720" t="str">
        <f>_xlfn.XLOOKUP(A720,'[1]Tissue Data'!$A:$A,'[1]Tissue Data'!$C:$C)</f>
        <v>Down</v>
      </c>
      <c r="C720" s="2">
        <f>_xlfn.XLOOKUP(A720,'[1]Tissue Data'!$A:$A,'[1]Tissue Data'!$D:$D)</f>
        <v>44314</v>
      </c>
      <c r="D720" s="2" t="s">
        <v>131</v>
      </c>
      <c r="E720" t="str">
        <f>_xlfn.XLOOKUP(A720,'[1]Tissue Data'!$A:$A,'[1]Tissue Data'!$H:$H)</f>
        <v>Clinostomus</v>
      </c>
      <c r="F720" t="str">
        <f>_xlfn.XLOOKUP(A720,'[1]Tissue Data'!$A:$A,'[1]Tissue Data'!$I:$I)</f>
        <v>funduloides</v>
      </c>
      <c r="G720" t="str">
        <f>_xlfn.XLOOKUP(A720,'[1]Tissue Data'!$A:$A,'[1]Tissue Data'!J:J)</f>
        <v>U</v>
      </c>
      <c r="H720" t="str">
        <f>_xlfn.XLOOKUP(A720,'[1]Tissue Data'!$A:$A,'[1]Tissue Data'!K:K)</f>
        <v>Whole Body</v>
      </c>
      <c r="I720">
        <f>_xlfn.XLOOKUP(A720,'[1]Tissue Data'!$A:$A,'[1]Tissue Data'!L:L)</f>
        <v>7.5</v>
      </c>
      <c r="J720">
        <f>_xlfn.XLOOKUP(A720,'[1]Tissue Data'!$A:$A,'[1]Tissue Data'!M:M)</f>
        <v>6.15</v>
      </c>
      <c r="K720" t="s">
        <v>30</v>
      </c>
      <c r="L720" t="str">
        <f>_xlfn.XLOOKUP(K720,[2]analyte_order!$B:$B,[2]analyte_order!$C:$C)</f>
        <v>68259-12-1</v>
      </c>
      <c r="M720">
        <f>_xlfn.XLOOKUP(L720,[2]analyte_order!$C:$C,[2]analyte_order!$E:$E)</f>
        <v>19</v>
      </c>
      <c r="N720">
        <v>5.97</v>
      </c>
    </row>
    <row r="721" spans="1:14">
      <c r="A721" t="s">
        <v>137</v>
      </c>
      <c r="B721" t="str">
        <f>_xlfn.XLOOKUP(A721,'[1]Tissue Data'!$A:$A,'[1]Tissue Data'!$C:$C)</f>
        <v>Down</v>
      </c>
      <c r="C721" s="2">
        <f>_xlfn.XLOOKUP(A721,'[1]Tissue Data'!$A:$A,'[1]Tissue Data'!$D:$D)</f>
        <v>44314</v>
      </c>
      <c r="D721" s="2" t="s">
        <v>131</v>
      </c>
      <c r="E721" t="str">
        <f>_xlfn.XLOOKUP(A721,'[1]Tissue Data'!$A:$A,'[1]Tissue Data'!$H:$H)</f>
        <v>Clinostomus</v>
      </c>
      <c r="F721" t="str">
        <f>_xlfn.XLOOKUP(A721,'[1]Tissue Data'!$A:$A,'[1]Tissue Data'!$I:$I)</f>
        <v>funduloides</v>
      </c>
      <c r="G721" t="str">
        <f>_xlfn.XLOOKUP(A721,'[1]Tissue Data'!$A:$A,'[1]Tissue Data'!J:J)</f>
        <v>U</v>
      </c>
      <c r="H721" t="str">
        <f>_xlfn.XLOOKUP(A721,'[1]Tissue Data'!$A:$A,'[1]Tissue Data'!K:K)</f>
        <v>Whole Body</v>
      </c>
      <c r="I721">
        <f>_xlfn.XLOOKUP(A721,'[1]Tissue Data'!$A:$A,'[1]Tissue Data'!L:L)</f>
        <v>7.5</v>
      </c>
      <c r="J721">
        <f>_xlfn.XLOOKUP(A721,'[1]Tissue Data'!$A:$A,'[1]Tissue Data'!M:M)</f>
        <v>6.15</v>
      </c>
      <c r="K721" t="s">
        <v>31</v>
      </c>
      <c r="L721" t="str">
        <f>_xlfn.XLOOKUP(K721,[2]analyte_order!$B:$B,[2]analyte_order!$C:$C)</f>
        <v>335-77-3</v>
      </c>
      <c r="M721">
        <f>_xlfn.XLOOKUP(L721,[2]analyte_order!$C:$C,[2]analyte_order!$E:$E)</f>
        <v>20</v>
      </c>
      <c r="N721">
        <v>7.82</v>
      </c>
    </row>
    <row r="722" spans="1:14">
      <c r="A722" t="s">
        <v>137</v>
      </c>
      <c r="B722" t="str">
        <f>_xlfn.XLOOKUP(A722,'[1]Tissue Data'!$A:$A,'[1]Tissue Data'!$C:$C)</f>
        <v>Down</v>
      </c>
      <c r="C722" s="2">
        <f>_xlfn.XLOOKUP(A722,'[1]Tissue Data'!$A:$A,'[1]Tissue Data'!$D:$D)</f>
        <v>44314</v>
      </c>
      <c r="D722" s="2" t="s">
        <v>131</v>
      </c>
      <c r="E722" t="str">
        <f>_xlfn.XLOOKUP(A722,'[1]Tissue Data'!$A:$A,'[1]Tissue Data'!$H:$H)</f>
        <v>Clinostomus</v>
      </c>
      <c r="F722" t="str">
        <f>_xlfn.XLOOKUP(A722,'[1]Tissue Data'!$A:$A,'[1]Tissue Data'!$I:$I)</f>
        <v>funduloides</v>
      </c>
      <c r="G722" t="str">
        <f>_xlfn.XLOOKUP(A722,'[1]Tissue Data'!$A:$A,'[1]Tissue Data'!J:J)</f>
        <v>U</v>
      </c>
      <c r="H722" t="str">
        <f>_xlfn.XLOOKUP(A722,'[1]Tissue Data'!$A:$A,'[1]Tissue Data'!K:K)</f>
        <v>Whole Body</v>
      </c>
      <c r="I722">
        <f>_xlfn.XLOOKUP(A722,'[1]Tissue Data'!$A:$A,'[1]Tissue Data'!L:L)</f>
        <v>7.5</v>
      </c>
      <c r="J722">
        <f>_xlfn.XLOOKUP(A722,'[1]Tissue Data'!$A:$A,'[1]Tissue Data'!M:M)</f>
        <v>6.15</v>
      </c>
      <c r="K722" t="s">
        <v>32</v>
      </c>
      <c r="L722" t="str">
        <f>_xlfn.XLOOKUP(K722,[2]analyte_order!$B:$B,[2]analyte_order!$C:$C)</f>
        <v>79780-39-5</v>
      </c>
      <c r="M722">
        <f>_xlfn.XLOOKUP(L722,[2]analyte_order!$C:$C,[2]analyte_order!$E:$E)</f>
        <v>21</v>
      </c>
      <c r="N722">
        <v>3.79</v>
      </c>
    </row>
    <row r="723" spans="1:14">
      <c r="A723" t="s">
        <v>137</v>
      </c>
      <c r="B723" t="str">
        <f>_xlfn.XLOOKUP(A723,'[1]Tissue Data'!$A:$A,'[1]Tissue Data'!$C:$C)</f>
        <v>Down</v>
      </c>
      <c r="C723" s="2">
        <f>_xlfn.XLOOKUP(A723,'[1]Tissue Data'!$A:$A,'[1]Tissue Data'!$D:$D)</f>
        <v>44314</v>
      </c>
      <c r="D723" s="2" t="s">
        <v>131</v>
      </c>
      <c r="E723" t="str">
        <f>_xlfn.XLOOKUP(A723,'[1]Tissue Data'!$A:$A,'[1]Tissue Data'!$H:$H)</f>
        <v>Clinostomus</v>
      </c>
      <c r="F723" t="str">
        <f>_xlfn.XLOOKUP(A723,'[1]Tissue Data'!$A:$A,'[1]Tissue Data'!$I:$I)</f>
        <v>funduloides</v>
      </c>
      <c r="G723" t="str">
        <f>_xlfn.XLOOKUP(A723,'[1]Tissue Data'!$A:$A,'[1]Tissue Data'!J:J)</f>
        <v>U</v>
      </c>
      <c r="H723" t="str">
        <f>_xlfn.XLOOKUP(A723,'[1]Tissue Data'!$A:$A,'[1]Tissue Data'!K:K)</f>
        <v>Whole Body</v>
      </c>
      <c r="I723">
        <f>_xlfn.XLOOKUP(A723,'[1]Tissue Data'!$A:$A,'[1]Tissue Data'!L:L)</f>
        <v>7.5</v>
      </c>
      <c r="J723">
        <f>_xlfn.XLOOKUP(A723,'[1]Tissue Data'!$A:$A,'[1]Tissue Data'!M:M)</f>
        <v>6.15</v>
      </c>
      <c r="K723" t="s">
        <v>33</v>
      </c>
      <c r="L723" t="str">
        <f>_xlfn.XLOOKUP(K723,[2]analyte_order!$B:$B,[2]analyte_order!$C:$C)</f>
        <v>777011-38-8</v>
      </c>
      <c r="M723">
        <f>_xlfn.XLOOKUP(L723,[2]analyte_order!$C:$C,[2]analyte_order!$E:$E)</f>
        <v>54</v>
      </c>
      <c r="N723">
        <v>1.77</v>
      </c>
    </row>
    <row r="724" spans="1:14">
      <c r="A724" t="s">
        <v>137</v>
      </c>
      <c r="B724" t="str">
        <f>_xlfn.XLOOKUP(A724,'[1]Tissue Data'!$A:$A,'[1]Tissue Data'!$C:$C)</f>
        <v>Down</v>
      </c>
      <c r="C724" s="2">
        <f>_xlfn.XLOOKUP(A724,'[1]Tissue Data'!$A:$A,'[1]Tissue Data'!$D:$D)</f>
        <v>44314</v>
      </c>
      <c r="D724" s="2" t="s">
        <v>131</v>
      </c>
      <c r="E724" t="str">
        <f>_xlfn.XLOOKUP(A724,'[1]Tissue Data'!$A:$A,'[1]Tissue Data'!$H:$H)</f>
        <v>Clinostomus</v>
      </c>
      <c r="F724" t="str">
        <f>_xlfn.XLOOKUP(A724,'[1]Tissue Data'!$A:$A,'[1]Tissue Data'!$I:$I)</f>
        <v>funduloides</v>
      </c>
      <c r="G724" t="str">
        <f>_xlfn.XLOOKUP(A724,'[1]Tissue Data'!$A:$A,'[1]Tissue Data'!J:J)</f>
        <v>U</v>
      </c>
      <c r="H724" t="str">
        <f>_xlfn.XLOOKUP(A724,'[1]Tissue Data'!$A:$A,'[1]Tissue Data'!K:K)</f>
        <v>Whole Body</v>
      </c>
      <c r="I724">
        <f>_xlfn.XLOOKUP(A724,'[1]Tissue Data'!$A:$A,'[1]Tissue Data'!L:L)</f>
        <v>7.5</v>
      </c>
      <c r="J724">
        <f>_xlfn.XLOOKUP(A724,'[1]Tissue Data'!$A:$A,'[1]Tissue Data'!M:M)</f>
        <v>6.15</v>
      </c>
      <c r="K724" t="s">
        <v>34</v>
      </c>
      <c r="L724" t="str">
        <f>_xlfn.XLOOKUP(K724,[2]analyte_order!$B:$B,[2]analyte_order!$C:$C)</f>
        <v>646-83-3</v>
      </c>
      <c r="M724">
        <f>_xlfn.XLOOKUP(L724,[2]analyte_order!$C:$C,[2]analyte_order!$E:$E)</f>
        <v>55</v>
      </c>
      <c r="N724">
        <v>0.38800000000000001</v>
      </c>
    </row>
    <row r="725" spans="1:14">
      <c r="A725" t="s">
        <v>137</v>
      </c>
      <c r="B725" t="str">
        <f>_xlfn.XLOOKUP(A725,'[1]Tissue Data'!$A:$A,'[1]Tissue Data'!$C:$C)</f>
        <v>Down</v>
      </c>
      <c r="C725" s="2">
        <f>_xlfn.XLOOKUP(A725,'[1]Tissue Data'!$A:$A,'[1]Tissue Data'!$D:$D)</f>
        <v>44314</v>
      </c>
      <c r="D725" s="2" t="s">
        <v>131</v>
      </c>
      <c r="E725" t="str">
        <f>_xlfn.XLOOKUP(A725,'[1]Tissue Data'!$A:$A,'[1]Tissue Data'!$H:$H)</f>
        <v>Clinostomus</v>
      </c>
      <c r="F725" t="str">
        <f>_xlfn.XLOOKUP(A725,'[1]Tissue Data'!$A:$A,'[1]Tissue Data'!$I:$I)</f>
        <v>funduloides</v>
      </c>
      <c r="G725" t="str">
        <f>_xlfn.XLOOKUP(A725,'[1]Tissue Data'!$A:$A,'[1]Tissue Data'!J:J)</f>
        <v>U</v>
      </c>
      <c r="H725" t="str">
        <f>_xlfn.XLOOKUP(A725,'[1]Tissue Data'!$A:$A,'[1]Tissue Data'!K:K)</f>
        <v>Whole Body</v>
      </c>
      <c r="I725">
        <f>_xlfn.XLOOKUP(A725,'[1]Tissue Data'!$A:$A,'[1]Tissue Data'!L:L)</f>
        <v>7.5</v>
      </c>
      <c r="J725">
        <f>_xlfn.XLOOKUP(A725,'[1]Tissue Data'!$A:$A,'[1]Tissue Data'!M:M)</f>
        <v>6.15</v>
      </c>
      <c r="K725" t="s">
        <v>35</v>
      </c>
      <c r="L725" t="str">
        <f>_xlfn.XLOOKUP(K725,[2]analyte_order!$B:$B,[2]analyte_order!$C:$C)</f>
        <v>30334-69-1</v>
      </c>
      <c r="M725">
        <f>_xlfn.XLOOKUP(L725,[2]analyte_order!$C:$C,[2]analyte_order!$E:$E)</f>
        <v>51</v>
      </c>
      <c r="N725">
        <v>25</v>
      </c>
    </row>
    <row r="726" spans="1:14">
      <c r="A726" t="s">
        <v>137</v>
      </c>
      <c r="B726" t="str">
        <f>_xlfn.XLOOKUP(A726,'[1]Tissue Data'!$A:$A,'[1]Tissue Data'!$C:$C)</f>
        <v>Down</v>
      </c>
      <c r="C726" s="2">
        <f>_xlfn.XLOOKUP(A726,'[1]Tissue Data'!$A:$A,'[1]Tissue Data'!$D:$D)</f>
        <v>44314</v>
      </c>
      <c r="D726" s="2" t="s">
        <v>131</v>
      </c>
      <c r="E726" t="str">
        <f>_xlfn.XLOOKUP(A726,'[1]Tissue Data'!$A:$A,'[1]Tissue Data'!$H:$H)</f>
        <v>Clinostomus</v>
      </c>
      <c r="F726" t="str">
        <f>_xlfn.XLOOKUP(A726,'[1]Tissue Data'!$A:$A,'[1]Tissue Data'!$I:$I)</f>
        <v>funduloides</v>
      </c>
      <c r="G726" t="str">
        <f>_xlfn.XLOOKUP(A726,'[1]Tissue Data'!$A:$A,'[1]Tissue Data'!J:J)</f>
        <v>U</v>
      </c>
      <c r="H726" t="str">
        <f>_xlfn.XLOOKUP(A726,'[1]Tissue Data'!$A:$A,'[1]Tissue Data'!K:K)</f>
        <v>Whole Body</v>
      </c>
      <c r="I726">
        <f>_xlfn.XLOOKUP(A726,'[1]Tissue Data'!$A:$A,'[1]Tissue Data'!L:L)</f>
        <v>7.5</v>
      </c>
      <c r="J726">
        <f>_xlfn.XLOOKUP(A726,'[1]Tissue Data'!$A:$A,'[1]Tissue Data'!M:M)</f>
        <v>6.15</v>
      </c>
      <c r="K726" t="s">
        <v>36</v>
      </c>
      <c r="L726" t="str">
        <f>_xlfn.XLOOKUP(K726,[2]analyte_order!$B:$B,[2]analyte_order!$C:$C)</f>
        <v>41997-13-1</v>
      </c>
      <c r="M726">
        <f>_xlfn.XLOOKUP(L726,[2]analyte_order!$C:$C,[2]analyte_order!$E:$E)</f>
        <v>52</v>
      </c>
      <c r="N726">
        <v>101</v>
      </c>
    </row>
    <row r="727" spans="1:14">
      <c r="A727" t="s">
        <v>137</v>
      </c>
      <c r="B727" t="str">
        <f>_xlfn.XLOOKUP(A727,'[1]Tissue Data'!$A:$A,'[1]Tissue Data'!$C:$C)</f>
        <v>Down</v>
      </c>
      <c r="C727" s="2">
        <f>_xlfn.XLOOKUP(A727,'[1]Tissue Data'!$A:$A,'[1]Tissue Data'!$D:$D)</f>
        <v>44314</v>
      </c>
      <c r="D727" s="2" t="s">
        <v>131</v>
      </c>
      <c r="E727" t="str">
        <f>_xlfn.XLOOKUP(A727,'[1]Tissue Data'!$A:$A,'[1]Tissue Data'!$H:$H)</f>
        <v>Clinostomus</v>
      </c>
      <c r="F727" t="str">
        <f>_xlfn.XLOOKUP(A727,'[1]Tissue Data'!$A:$A,'[1]Tissue Data'!$I:$I)</f>
        <v>funduloides</v>
      </c>
      <c r="G727" t="str">
        <f>_xlfn.XLOOKUP(A727,'[1]Tissue Data'!$A:$A,'[1]Tissue Data'!J:J)</f>
        <v>U</v>
      </c>
      <c r="H727" t="str">
        <f>_xlfn.XLOOKUP(A727,'[1]Tissue Data'!$A:$A,'[1]Tissue Data'!K:K)</f>
        <v>Whole Body</v>
      </c>
      <c r="I727">
        <f>_xlfn.XLOOKUP(A727,'[1]Tissue Data'!$A:$A,'[1]Tissue Data'!L:L)</f>
        <v>7.5</v>
      </c>
      <c r="J727">
        <f>_xlfn.XLOOKUP(A727,'[1]Tissue Data'!$A:$A,'[1]Tissue Data'!M:M)</f>
        <v>6.15</v>
      </c>
      <c r="K727" t="s">
        <v>37</v>
      </c>
      <c r="L727" t="str">
        <f>_xlfn.XLOOKUP(K727,[2]analyte_order!$B:$B,[2]analyte_order!$C:$C)</f>
        <v>754-91-6</v>
      </c>
      <c r="M727">
        <f>_xlfn.XLOOKUP(L727,[2]analyte_order!$C:$C,[2]analyte_order!$E:$E)</f>
        <v>28</v>
      </c>
      <c r="N727">
        <v>11.4</v>
      </c>
    </row>
    <row r="728" spans="1:14">
      <c r="A728" t="s">
        <v>137</v>
      </c>
      <c r="B728" t="str">
        <f>_xlfn.XLOOKUP(A728,'[1]Tissue Data'!$A:$A,'[1]Tissue Data'!$C:$C)</f>
        <v>Down</v>
      </c>
      <c r="C728" s="2">
        <f>_xlfn.XLOOKUP(A728,'[1]Tissue Data'!$A:$A,'[1]Tissue Data'!$D:$D)</f>
        <v>44314</v>
      </c>
      <c r="D728" s="2" t="s">
        <v>131</v>
      </c>
      <c r="E728" t="str">
        <f>_xlfn.XLOOKUP(A728,'[1]Tissue Data'!$A:$A,'[1]Tissue Data'!$H:$H)</f>
        <v>Clinostomus</v>
      </c>
      <c r="F728" t="str">
        <f>_xlfn.XLOOKUP(A728,'[1]Tissue Data'!$A:$A,'[1]Tissue Data'!$I:$I)</f>
        <v>funduloides</v>
      </c>
      <c r="G728" t="str">
        <f>_xlfn.XLOOKUP(A728,'[1]Tissue Data'!$A:$A,'[1]Tissue Data'!J:J)</f>
        <v>U</v>
      </c>
      <c r="H728" t="str">
        <f>_xlfn.XLOOKUP(A728,'[1]Tissue Data'!$A:$A,'[1]Tissue Data'!K:K)</f>
        <v>Whole Body</v>
      </c>
      <c r="I728">
        <f>_xlfn.XLOOKUP(A728,'[1]Tissue Data'!$A:$A,'[1]Tissue Data'!L:L)</f>
        <v>7.5</v>
      </c>
      <c r="J728">
        <f>_xlfn.XLOOKUP(A728,'[1]Tissue Data'!$A:$A,'[1]Tissue Data'!M:M)</f>
        <v>6.15</v>
      </c>
      <c r="K728" t="s">
        <v>38</v>
      </c>
      <c r="L728" t="str">
        <f>_xlfn.XLOOKUP(K728,[2]analyte_order!$B:$B,[2]analyte_order!$C:$C)</f>
        <v>31506-32-8</v>
      </c>
      <c r="M728">
        <f>_xlfn.XLOOKUP(L728,[2]analyte_order!$C:$C,[2]analyte_order!$E:$E)</f>
        <v>30</v>
      </c>
      <c r="N728">
        <v>5.5926457934412262E-2</v>
      </c>
    </row>
    <row r="729" spans="1:14">
      <c r="A729" t="s">
        <v>137</v>
      </c>
      <c r="B729" t="str">
        <f>_xlfn.XLOOKUP(A729,'[1]Tissue Data'!$A:$A,'[1]Tissue Data'!$C:$C)</f>
        <v>Down</v>
      </c>
      <c r="C729" s="2">
        <f>_xlfn.XLOOKUP(A729,'[1]Tissue Data'!$A:$A,'[1]Tissue Data'!$D:$D)</f>
        <v>44314</v>
      </c>
      <c r="D729" s="2" t="s">
        <v>131</v>
      </c>
      <c r="E729" t="str">
        <f>_xlfn.XLOOKUP(A729,'[1]Tissue Data'!$A:$A,'[1]Tissue Data'!$H:$H)</f>
        <v>Clinostomus</v>
      </c>
      <c r="F729" t="str">
        <f>_xlfn.XLOOKUP(A729,'[1]Tissue Data'!$A:$A,'[1]Tissue Data'!$I:$I)</f>
        <v>funduloides</v>
      </c>
      <c r="G729" t="str">
        <f>_xlfn.XLOOKUP(A729,'[1]Tissue Data'!$A:$A,'[1]Tissue Data'!J:J)</f>
        <v>U</v>
      </c>
      <c r="H729" t="str">
        <f>_xlfn.XLOOKUP(A729,'[1]Tissue Data'!$A:$A,'[1]Tissue Data'!K:K)</f>
        <v>Whole Body</v>
      </c>
      <c r="I729">
        <f>_xlfn.XLOOKUP(A729,'[1]Tissue Data'!$A:$A,'[1]Tissue Data'!L:L)</f>
        <v>7.5</v>
      </c>
      <c r="J729">
        <f>_xlfn.XLOOKUP(A729,'[1]Tissue Data'!$A:$A,'[1]Tissue Data'!M:M)</f>
        <v>6.15</v>
      </c>
      <c r="K729" t="s">
        <v>39</v>
      </c>
      <c r="L729" t="str">
        <f>_xlfn.XLOOKUP(K729,[2]analyte_order!$B:$B,[2]analyte_order!$C:$C)</f>
        <v>4151-50-2</v>
      </c>
      <c r="M729">
        <f>_xlfn.XLOOKUP(L729,[2]analyte_order!$C:$C,[2]analyte_order!$E:$E)</f>
        <v>31</v>
      </c>
      <c r="N729">
        <v>8.4716066360200168E-2</v>
      </c>
    </row>
    <row r="730" spans="1:14">
      <c r="A730" t="s">
        <v>137</v>
      </c>
      <c r="B730" t="str">
        <f>_xlfn.XLOOKUP(A730,'[1]Tissue Data'!$A:$A,'[1]Tissue Data'!$C:$C)</f>
        <v>Down</v>
      </c>
      <c r="C730" s="2">
        <f>_xlfn.XLOOKUP(A730,'[1]Tissue Data'!$A:$A,'[1]Tissue Data'!$D:$D)</f>
        <v>44314</v>
      </c>
      <c r="D730" s="2" t="s">
        <v>131</v>
      </c>
      <c r="E730" t="str">
        <f>_xlfn.XLOOKUP(A730,'[1]Tissue Data'!$A:$A,'[1]Tissue Data'!$H:$H)</f>
        <v>Clinostomus</v>
      </c>
      <c r="F730" t="str">
        <f>_xlfn.XLOOKUP(A730,'[1]Tissue Data'!$A:$A,'[1]Tissue Data'!$I:$I)</f>
        <v>funduloides</v>
      </c>
      <c r="G730" t="str">
        <f>_xlfn.XLOOKUP(A730,'[1]Tissue Data'!$A:$A,'[1]Tissue Data'!J:J)</f>
        <v>U</v>
      </c>
      <c r="H730" t="str">
        <f>_xlfn.XLOOKUP(A730,'[1]Tissue Data'!$A:$A,'[1]Tissue Data'!K:K)</f>
        <v>Whole Body</v>
      </c>
      <c r="I730">
        <f>_xlfn.XLOOKUP(A730,'[1]Tissue Data'!$A:$A,'[1]Tissue Data'!L:L)</f>
        <v>7.5</v>
      </c>
      <c r="J730">
        <f>_xlfn.XLOOKUP(A730,'[1]Tissue Data'!$A:$A,'[1]Tissue Data'!M:M)</f>
        <v>6.15</v>
      </c>
      <c r="K730" t="s">
        <v>40</v>
      </c>
      <c r="L730" t="str">
        <f>_xlfn.XLOOKUP(K730,[2]analyte_order!$B:$B,[2]analyte_order!$C:$C)</f>
        <v>2806-24-8</v>
      </c>
      <c r="M730">
        <f>_xlfn.XLOOKUP(L730,[2]analyte_order!$C:$C,[2]analyte_order!$E:$E)</f>
        <v>29</v>
      </c>
      <c r="N730">
        <v>5.7222433872444627E-2</v>
      </c>
    </row>
    <row r="731" spans="1:14">
      <c r="A731" t="s">
        <v>137</v>
      </c>
      <c r="B731" t="str">
        <f>_xlfn.XLOOKUP(A731,'[1]Tissue Data'!$A:$A,'[1]Tissue Data'!$C:$C)</f>
        <v>Down</v>
      </c>
      <c r="C731" s="2">
        <f>_xlfn.XLOOKUP(A731,'[1]Tissue Data'!$A:$A,'[1]Tissue Data'!$D:$D)</f>
        <v>44314</v>
      </c>
      <c r="D731" s="2" t="s">
        <v>131</v>
      </c>
      <c r="E731" t="str">
        <f>_xlfn.XLOOKUP(A731,'[1]Tissue Data'!$A:$A,'[1]Tissue Data'!$H:$H)</f>
        <v>Clinostomus</v>
      </c>
      <c r="F731" t="str">
        <f>_xlfn.XLOOKUP(A731,'[1]Tissue Data'!$A:$A,'[1]Tissue Data'!$I:$I)</f>
        <v>funduloides</v>
      </c>
      <c r="G731" t="str">
        <f>_xlfn.XLOOKUP(A731,'[1]Tissue Data'!$A:$A,'[1]Tissue Data'!J:J)</f>
        <v>U</v>
      </c>
      <c r="H731" t="str">
        <f>_xlfn.XLOOKUP(A731,'[1]Tissue Data'!$A:$A,'[1]Tissue Data'!K:K)</f>
        <v>Whole Body</v>
      </c>
      <c r="I731">
        <f>_xlfn.XLOOKUP(A731,'[1]Tissue Data'!$A:$A,'[1]Tissue Data'!L:L)</f>
        <v>7.5</v>
      </c>
      <c r="J731">
        <f>_xlfn.XLOOKUP(A731,'[1]Tissue Data'!$A:$A,'[1]Tissue Data'!M:M)</f>
        <v>6.15</v>
      </c>
      <c r="K731" t="s">
        <v>41</v>
      </c>
      <c r="L731" t="str">
        <f>_xlfn.XLOOKUP(K731,[2]analyte_order!$B:$B,[2]analyte_order!$C:$C)</f>
        <v>2355-31-9</v>
      </c>
      <c r="M731">
        <f>_xlfn.XLOOKUP(L731,[2]analyte_order!$C:$C,[2]analyte_order!$E:$E)</f>
        <v>26</v>
      </c>
      <c r="N731">
        <v>7.3034859983496597E-2</v>
      </c>
    </row>
    <row r="732" spans="1:14">
      <c r="A732" t="s">
        <v>137</v>
      </c>
      <c r="B732" t="str">
        <f>_xlfn.XLOOKUP(A732,'[1]Tissue Data'!$A:$A,'[1]Tissue Data'!$C:$C)</f>
        <v>Down</v>
      </c>
      <c r="C732" s="2">
        <f>_xlfn.XLOOKUP(A732,'[1]Tissue Data'!$A:$A,'[1]Tissue Data'!$D:$D)</f>
        <v>44314</v>
      </c>
      <c r="D732" s="2" t="s">
        <v>131</v>
      </c>
      <c r="E732" t="str">
        <f>_xlfn.XLOOKUP(A732,'[1]Tissue Data'!$A:$A,'[1]Tissue Data'!$H:$H)</f>
        <v>Clinostomus</v>
      </c>
      <c r="F732" t="str">
        <f>_xlfn.XLOOKUP(A732,'[1]Tissue Data'!$A:$A,'[1]Tissue Data'!$I:$I)</f>
        <v>funduloides</v>
      </c>
      <c r="G732" t="str">
        <f>_xlfn.XLOOKUP(A732,'[1]Tissue Data'!$A:$A,'[1]Tissue Data'!J:J)</f>
        <v>U</v>
      </c>
      <c r="H732" t="str">
        <f>_xlfn.XLOOKUP(A732,'[1]Tissue Data'!$A:$A,'[1]Tissue Data'!K:K)</f>
        <v>Whole Body</v>
      </c>
      <c r="I732">
        <f>_xlfn.XLOOKUP(A732,'[1]Tissue Data'!$A:$A,'[1]Tissue Data'!L:L)</f>
        <v>7.5</v>
      </c>
      <c r="J732">
        <f>_xlfn.XLOOKUP(A732,'[1]Tissue Data'!$A:$A,'[1]Tissue Data'!M:M)</f>
        <v>6.15</v>
      </c>
      <c r="K732" t="s">
        <v>42</v>
      </c>
      <c r="L732" t="str">
        <f>_xlfn.XLOOKUP(K732,[2]analyte_order!$B:$B,[2]analyte_order!$C:$C)</f>
        <v>2991-50-6</v>
      </c>
      <c r="M732">
        <f>_xlfn.XLOOKUP(L732,[2]analyte_order!$C:$C,[2]analyte_order!$E:$E)</f>
        <v>27</v>
      </c>
      <c r="N732">
        <v>6.3012316962840709E-2</v>
      </c>
    </row>
    <row r="733" spans="1:14">
      <c r="A733" t="s">
        <v>137</v>
      </c>
      <c r="B733" t="str">
        <f>_xlfn.XLOOKUP(A733,'[1]Tissue Data'!$A:$A,'[1]Tissue Data'!$C:$C)</f>
        <v>Down</v>
      </c>
      <c r="C733" s="2">
        <f>_xlfn.XLOOKUP(A733,'[1]Tissue Data'!$A:$A,'[1]Tissue Data'!$D:$D)</f>
        <v>44314</v>
      </c>
      <c r="D733" s="2" t="s">
        <v>131</v>
      </c>
      <c r="E733" t="str">
        <f>_xlfn.XLOOKUP(A733,'[1]Tissue Data'!$A:$A,'[1]Tissue Data'!$H:$H)</f>
        <v>Clinostomus</v>
      </c>
      <c r="F733" t="str">
        <f>_xlfn.XLOOKUP(A733,'[1]Tissue Data'!$A:$A,'[1]Tissue Data'!$I:$I)</f>
        <v>funduloides</v>
      </c>
      <c r="G733" t="str">
        <f>_xlfn.XLOOKUP(A733,'[1]Tissue Data'!$A:$A,'[1]Tissue Data'!J:J)</f>
        <v>U</v>
      </c>
      <c r="H733" t="str">
        <f>_xlfn.XLOOKUP(A733,'[1]Tissue Data'!$A:$A,'[1]Tissue Data'!K:K)</f>
        <v>Whole Body</v>
      </c>
      <c r="I733">
        <f>_xlfn.XLOOKUP(A733,'[1]Tissue Data'!$A:$A,'[1]Tissue Data'!L:L)</f>
        <v>7.5</v>
      </c>
      <c r="J733">
        <f>_xlfn.XLOOKUP(A733,'[1]Tissue Data'!$A:$A,'[1]Tissue Data'!M:M)</f>
        <v>6.15</v>
      </c>
      <c r="K733" t="s">
        <v>43</v>
      </c>
      <c r="L733" t="str">
        <f>_xlfn.XLOOKUP(K733,[2]analyte_order!$B:$B,[2]analyte_order!$C:$C)</f>
        <v>757124-72-4</v>
      </c>
      <c r="M733">
        <f>_xlfn.XLOOKUP(L733,[2]analyte_order!$C:$C,[2]analyte_order!$E:$E)</f>
        <v>22</v>
      </c>
      <c r="N733">
        <v>5.9629218673339E-2</v>
      </c>
    </row>
    <row r="734" spans="1:14">
      <c r="A734" t="s">
        <v>137</v>
      </c>
      <c r="B734" t="str">
        <f>_xlfn.XLOOKUP(A734,'[1]Tissue Data'!$A:$A,'[1]Tissue Data'!$C:$C)</f>
        <v>Down</v>
      </c>
      <c r="C734" s="2">
        <f>_xlfn.XLOOKUP(A734,'[1]Tissue Data'!$A:$A,'[1]Tissue Data'!$D:$D)</f>
        <v>44314</v>
      </c>
      <c r="D734" s="2" t="s">
        <v>131</v>
      </c>
      <c r="E734" t="str">
        <f>_xlfn.XLOOKUP(A734,'[1]Tissue Data'!$A:$A,'[1]Tissue Data'!$H:$H)</f>
        <v>Clinostomus</v>
      </c>
      <c r="F734" t="str">
        <f>_xlfn.XLOOKUP(A734,'[1]Tissue Data'!$A:$A,'[1]Tissue Data'!$I:$I)</f>
        <v>funduloides</v>
      </c>
      <c r="G734" t="str">
        <f>_xlfn.XLOOKUP(A734,'[1]Tissue Data'!$A:$A,'[1]Tissue Data'!J:J)</f>
        <v>U</v>
      </c>
      <c r="H734" t="str">
        <f>_xlfn.XLOOKUP(A734,'[1]Tissue Data'!$A:$A,'[1]Tissue Data'!K:K)</f>
        <v>Whole Body</v>
      </c>
      <c r="I734">
        <f>_xlfn.XLOOKUP(A734,'[1]Tissue Data'!$A:$A,'[1]Tissue Data'!L:L)</f>
        <v>7.5</v>
      </c>
      <c r="J734">
        <f>_xlfn.XLOOKUP(A734,'[1]Tissue Data'!$A:$A,'[1]Tissue Data'!M:M)</f>
        <v>6.15</v>
      </c>
      <c r="K734" t="s">
        <v>44</v>
      </c>
      <c r="L734" t="str">
        <f>_xlfn.XLOOKUP(K734,[2]analyte_order!$B:$B,[2]analyte_order!$C:$C)</f>
        <v>27619-97-2</v>
      </c>
      <c r="M734">
        <f>_xlfn.XLOOKUP(L734,[2]analyte_order!$C:$C,[2]analyte_order!$E:$E)</f>
        <v>23</v>
      </c>
      <c r="N734">
        <v>0.14024442407507226</v>
      </c>
    </row>
    <row r="735" spans="1:14">
      <c r="A735" t="s">
        <v>137</v>
      </c>
      <c r="B735" t="str">
        <f>_xlfn.XLOOKUP(A735,'[1]Tissue Data'!$A:$A,'[1]Tissue Data'!$C:$C)</f>
        <v>Down</v>
      </c>
      <c r="C735" s="2">
        <f>_xlfn.XLOOKUP(A735,'[1]Tissue Data'!$A:$A,'[1]Tissue Data'!$D:$D)</f>
        <v>44314</v>
      </c>
      <c r="D735" s="2" t="s">
        <v>131</v>
      </c>
      <c r="E735" t="str">
        <f>_xlfn.XLOOKUP(A735,'[1]Tissue Data'!$A:$A,'[1]Tissue Data'!$H:$H)</f>
        <v>Clinostomus</v>
      </c>
      <c r="F735" t="str">
        <f>_xlfn.XLOOKUP(A735,'[1]Tissue Data'!$A:$A,'[1]Tissue Data'!$I:$I)</f>
        <v>funduloides</v>
      </c>
      <c r="G735" t="str">
        <f>_xlfn.XLOOKUP(A735,'[1]Tissue Data'!$A:$A,'[1]Tissue Data'!J:J)</f>
        <v>U</v>
      </c>
      <c r="H735" t="str">
        <f>_xlfn.XLOOKUP(A735,'[1]Tissue Data'!$A:$A,'[1]Tissue Data'!K:K)</f>
        <v>Whole Body</v>
      </c>
      <c r="I735">
        <f>_xlfn.XLOOKUP(A735,'[1]Tissue Data'!$A:$A,'[1]Tissue Data'!L:L)</f>
        <v>7.5</v>
      </c>
      <c r="J735">
        <f>_xlfn.XLOOKUP(A735,'[1]Tissue Data'!$A:$A,'[1]Tissue Data'!M:M)</f>
        <v>6.15</v>
      </c>
      <c r="K735" t="s">
        <v>45</v>
      </c>
      <c r="L735" t="str">
        <f>_xlfn.XLOOKUP(K735,[2]analyte_order!$B:$B,[2]analyte_order!$C:$C)</f>
        <v>39108-34-4</v>
      </c>
      <c r="M735">
        <f>_xlfn.XLOOKUP(L735,[2]analyte_order!$C:$C,[2]analyte_order!$E:$E)</f>
        <v>24</v>
      </c>
      <c r="N735">
        <v>29.5</v>
      </c>
    </row>
    <row r="736" spans="1:14">
      <c r="A736" t="s">
        <v>137</v>
      </c>
      <c r="B736" t="str">
        <f>_xlfn.XLOOKUP(A736,'[1]Tissue Data'!$A:$A,'[1]Tissue Data'!$C:$C)</f>
        <v>Down</v>
      </c>
      <c r="C736" s="2">
        <f>_xlfn.XLOOKUP(A736,'[1]Tissue Data'!$A:$A,'[1]Tissue Data'!$D:$D)</f>
        <v>44314</v>
      </c>
      <c r="D736" s="2" t="s">
        <v>131</v>
      </c>
      <c r="E736" t="str">
        <f>_xlfn.XLOOKUP(A736,'[1]Tissue Data'!$A:$A,'[1]Tissue Data'!$H:$H)</f>
        <v>Clinostomus</v>
      </c>
      <c r="F736" t="str">
        <f>_xlfn.XLOOKUP(A736,'[1]Tissue Data'!$A:$A,'[1]Tissue Data'!$I:$I)</f>
        <v>funduloides</v>
      </c>
      <c r="G736" t="str">
        <f>_xlfn.XLOOKUP(A736,'[1]Tissue Data'!$A:$A,'[1]Tissue Data'!J:J)</f>
        <v>U</v>
      </c>
      <c r="H736" t="str">
        <f>_xlfn.XLOOKUP(A736,'[1]Tissue Data'!$A:$A,'[1]Tissue Data'!K:K)</f>
        <v>Whole Body</v>
      </c>
      <c r="I736">
        <f>_xlfn.XLOOKUP(A736,'[1]Tissue Data'!$A:$A,'[1]Tissue Data'!L:L)</f>
        <v>7.5</v>
      </c>
      <c r="J736">
        <f>_xlfn.XLOOKUP(A736,'[1]Tissue Data'!$A:$A,'[1]Tissue Data'!M:M)</f>
        <v>6.15</v>
      </c>
      <c r="K736" t="s">
        <v>46</v>
      </c>
      <c r="L736" t="str">
        <f>_xlfn.XLOOKUP(K736,[2]analyte_order!$B:$B,[2]analyte_order!$C:$C)</f>
        <v>120226-60-0</v>
      </c>
      <c r="M736">
        <f>_xlfn.XLOOKUP(L736,[2]analyte_order!$C:$C,[2]analyte_order!$E:$E)</f>
        <v>25</v>
      </c>
      <c r="N736">
        <v>4.08</v>
      </c>
    </row>
    <row r="737" spans="1:14">
      <c r="A737" t="s">
        <v>137</v>
      </c>
      <c r="B737" t="str">
        <f>_xlfn.XLOOKUP(A737,'[1]Tissue Data'!$A:$A,'[1]Tissue Data'!$C:$C)</f>
        <v>Down</v>
      </c>
      <c r="C737" s="2">
        <f>_xlfn.XLOOKUP(A737,'[1]Tissue Data'!$A:$A,'[1]Tissue Data'!$D:$D)</f>
        <v>44314</v>
      </c>
      <c r="D737" s="2" t="s">
        <v>131</v>
      </c>
      <c r="E737" t="str">
        <f>_xlfn.XLOOKUP(A737,'[1]Tissue Data'!$A:$A,'[1]Tissue Data'!$H:$H)</f>
        <v>Clinostomus</v>
      </c>
      <c r="F737" t="str">
        <f>_xlfn.XLOOKUP(A737,'[1]Tissue Data'!$A:$A,'[1]Tissue Data'!$I:$I)</f>
        <v>funduloides</v>
      </c>
      <c r="G737" t="str">
        <f>_xlfn.XLOOKUP(A737,'[1]Tissue Data'!$A:$A,'[1]Tissue Data'!J:J)</f>
        <v>U</v>
      </c>
      <c r="H737" t="str">
        <f>_xlfn.XLOOKUP(A737,'[1]Tissue Data'!$A:$A,'[1]Tissue Data'!K:K)</f>
        <v>Whole Body</v>
      </c>
      <c r="I737">
        <f>_xlfn.XLOOKUP(A737,'[1]Tissue Data'!$A:$A,'[1]Tissue Data'!L:L)</f>
        <v>7.5</v>
      </c>
      <c r="J737">
        <f>_xlfn.XLOOKUP(A737,'[1]Tissue Data'!$A:$A,'[1]Tissue Data'!M:M)</f>
        <v>6.15</v>
      </c>
      <c r="K737" t="s">
        <v>47</v>
      </c>
      <c r="L737" t="str">
        <f>_xlfn.XLOOKUP(K737,[2]analyte_order!$B:$B,[2]analyte_order!$C:$C)</f>
        <v>356-02-5</v>
      </c>
      <c r="M737">
        <f>_xlfn.XLOOKUP(L737,[2]analyte_order!$C:$C,[2]analyte_order!$E:$E)</f>
        <v>38</v>
      </c>
      <c r="N737">
        <v>8.3738252563351795E-2</v>
      </c>
    </row>
    <row r="738" spans="1:14">
      <c r="A738" t="s">
        <v>137</v>
      </c>
      <c r="B738" t="str">
        <f>_xlfn.XLOOKUP(A738,'[1]Tissue Data'!$A:$A,'[1]Tissue Data'!$C:$C)</f>
        <v>Down</v>
      </c>
      <c r="C738" s="2">
        <f>_xlfn.XLOOKUP(A738,'[1]Tissue Data'!$A:$A,'[1]Tissue Data'!$D:$D)</f>
        <v>44314</v>
      </c>
      <c r="D738" s="2" t="s">
        <v>131</v>
      </c>
      <c r="E738" t="str">
        <f>_xlfn.XLOOKUP(A738,'[1]Tissue Data'!$A:$A,'[1]Tissue Data'!$H:$H)</f>
        <v>Clinostomus</v>
      </c>
      <c r="F738" t="str">
        <f>_xlfn.XLOOKUP(A738,'[1]Tissue Data'!$A:$A,'[1]Tissue Data'!$I:$I)</f>
        <v>funduloides</v>
      </c>
      <c r="G738" t="str">
        <f>_xlfn.XLOOKUP(A738,'[1]Tissue Data'!$A:$A,'[1]Tissue Data'!J:J)</f>
        <v>U</v>
      </c>
      <c r="H738" t="str">
        <f>_xlfn.XLOOKUP(A738,'[1]Tissue Data'!$A:$A,'[1]Tissue Data'!K:K)</f>
        <v>Whole Body</v>
      </c>
      <c r="I738">
        <f>_xlfn.XLOOKUP(A738,'[1]Tissue Data'!$A:$A,'[1]Tissue Data'!L:L)</f>
        <v>7.5</v>
      </c>
      <c r="J738">
        <f>_xlfn.XLOOKUP(A738,'[1]Tissue Data'!$A:$A,'[1]Tissue Data'!M:M)</f>
        <v>6.15</v>
      </c>
      <c r="K738" t="s">
        <v>48</v>
      </c>
      <c r="L738" t="str">
        <f>_xlfn.XLOOKUP(K738,[2]analyte_order!$B:$B,[2]analyte_order!$C:$C)</f>
        <v>914637-49-3</v>
      </c>
      <c r="M738">
        <f>_xlfn.XLOOKUP(L738,[2]analyte_order!$C:$C,[2]analyte_order!$E:$E)</f>
        <v>39</v>
      </c>
      <c r="N738">
        <v>3.68</v>
      </c>
    </row>
    <row r="739" spans="1:14">
      <c r="A739" t="s">
        <v>137</v>
      </c>
      <c r="B739" t="str">
        <f>_xlfn.XLOOKUP(A739,'[1]Tissue Data'!$A:$A,'[1]Tissue Data'!$C:$C)</f>
        <v>Down</v>
      </c>
      <c r="C739" s="2">
        <f>_xlfn.XLOOKUP(A739,'[1]Tissue Data'!$A:$A,'[1]Tissue Data'!$D:$D)</f>
        <v>44314</v>
      </c>
      <c r="D739" s="2" t="s">
        <v>131</v>
      </c>
      <c r="E739" t="str">
        <f>_xlfn.XLOOKUP(A739,'[1]Tissue Data'!$A:$A,'[1]Tissue Data'!$H:$H)</f>
        <v>Clinostomus</v>
      </c>
      <c r="F739" t="str">
        <f>_xlfn.XLOOKUP(A739,'[1]Tissue Data'!$A:$A,'[1]Tissue Data'!$I:$I)</f>
        <v>funduloides</v>
      </c>
      <c r="G739" t="str">
        <f>_xlfn.XLOOKUP(A739,'[1]Tissue Data'!$A:$A,'[1]Tissue Data'!J:J)</f>
        <v>U</v>
      </c>
      <c r="H739" t="str">
        <f>_xlfn.XLOOKUP(A739,'[1]Tissue Data'!$A:$A,'[1]Tissue Data'!K:K)</f>
        <v>Whole Body</v>
      </c>
      <c r="I739">
        <f>_xlfn.XLOOKUP(A739,'[1]Tissue Data'!$A:$A,'[1]Tissue Data'!L:L)</f>
        <v>7.5</v>
      </c>
      <c r="J739">
        <f>_xlfn.XLOOKUP(A739,'[1]Tissue Data'!$A:$A,'[1]Tissue Data'!M:M)</f>
        <v>6.15</v>
      </c>
      <c r="K739" t="s">
        <v>49</v>
      </c>
      <c r="L739" t="str">
        <f>_xlfn.XLOOKUP(K739,[2]analyte_order!$B:$B,[2]analyte_order!$C:$C)</f>
        <v>812-70-4</v>
      </c>
      <c r="M739">
        <f>_xlfn.XLOOKUP(L739,[2]analyte_order!$C:$C,[2]analyte_order!$E:$E)</f>
        <v>40</v>
      </c>
      <c r="N739">
        <v>18</v>
      </c>
    </row>
    <row r="740" spans="1:14">
      <c r="A740" t="s">
        <v>137</v>
      </c>
      <c r="B740" t="str">
        <f>_xlfn.XLOOKUP(A740,'[1]Tissue Data'!$A:$A,'[1]Tissue Data'!$C:$C)</f>
        <v>Down</v>
      </c>
      <c r="C740" s="2">
        <f>_xlfn.XLOOKUP(A740,'[1]Tissue Data'!$A:$A,'[1]Tissue Data'!$D:$D)</f>
        <v>44314</v>
      </c>
      <c r="D740" s="2" t="s">
        <v>131</v>
      </c>
      <c r="E740" t="str">
        <f>_xlfn.XLOOKUP(A740,'[1]Tissue Data'!$A:$A,'[1]Tissue Data'!$H:$H)</f>
        <v>Clinostomus</v>
      </c>
      <c r="F740" t="str">
        <f>_xlfn.XLOOKUP(A740,'[1]Tissue Data'!$A:$A,'[1]Tissue Data'!$I:$I)</f>
        <v>funduloides</v>
      </c>
      <c r="G740" t="str">
        <f>_xlfn.XLOOKUP(A740,'[1]Tissue Data'!$A:$A,'[1]Tissue Data'!J:J)</f>
        <v>U</v>
      </c>
      <c r="H740" t="str">
        <f>_xlfn.XLOOKUP(A740,'[1]Tissue Data'!$A:$A,'[1]Tissue Data'!K:K)</f>
        <v>Whole Body</v>
      </c>
      <c r="I740">
        <f>_xlfn.XLOOKUP(A740,'[1]Tissue Data'!$A:$A,'[1]Tissue Data'!L:L)</f>
        <v>7.5</v>
      </c>
      <c r="J740">
        <f>_xlfn.XLOOKUP(A740,'[1]Tissue Data'!$A:$A,'[1]Tissue Data'!M:M)</f>
        <v>6.15</v>
      </c>
      <c r="K740" t="s">
        <v>50</v>
      </c>
      <c r="L740" t="str">
        <f>_xlfn.XLOOKUP(K740,[2]analyte_order!$B:$B,[2]analyte_order!$C:$C)</f>
        <v>53826-12-3</v>
      </c>
      <c r="M740">
        <f>_xlfn.XLOOKUP(L740,[2]analyte_order!$C:$C,[2]analyte_order!$E:$E)</f>
        <v>41</v>
      </c>
      <c r="N740">
        <v>3.12</v>
      </c>
    </row>
    <row r="741" spans="1:14">
      <c r="A741" t="s">
        <v>137</v>
      </c>
      <c r="B741" t="str">
        <f>_xlfn.XLOOKUP(A741,'[1]Tissue Data'!$A:$A,'[1]Tissue Data'!$C:$C)</f>
        <v>Down</v>
      </c>
      <c r="C741" s="2">
        <f>_xlfn.XLOOKUP(A741,'[1]Tissue Data'!$A:$A,'[1]Tissue Data'!$D:$D)</f>
        <v>44314</v>
      </c>
      <c r="D741" s="2" t="s">
        <v>131</v>
      </c>
      <c r="E741" t="str">
        <f>_xlfn.XLOOKUP(A741,'[1]Tissue Data'!$A:$A,'[1]Tissue Data'!$H:$H)</f>
        <v>Clinostomus</v>
      </c>
      <c r="F741" t="str">
        <f>_xlfn.XLOOKUP(A741,'[1]Tissue Data'!$A:$A,'[1]Tissue Data'!$I:$I)</f>
        <v>funduloides</v>
      </c>
      <c r="G741" t="str">
        <f>_xlfn.XLOOKUP(A741,'[1]Tissue Data'!$A:$A,'[1]Tissue Data'!J:J)</f>
        <v>U</v>
      </c>
      <c r="H741" t="str">
        <f>_xlfn.XLOOKUP(A741,'[1]Tissue Data'!$A:$A,'[1]Tissue Data'!K:K)</f>
        <v>Whole Body</v>
      </c>
      <c r="I741">
        <f>_xlfn.XLOOKUP(A741,'[1]Tissue Data'!$A:$A,'[1]Tissue Data'!L:L)</f>
        <v>7.5</v>
      </c>
      <c r="J741">
        <f>_xlfn.XLOOKUP(A741,'[1]Tissue Data'!$A:$A,'[1]Tissue Data'!M:M)</f>
        <v>6.15</v>
      </c>
      <c r="K741" t="s">
        <v>51</v>
      </c>
      <c r="L741" t="str">
        <f>_xlfn.XLOOKUP(K741,[2]analyte_order!$B:$B,[2]analyte_order!$C:$C)</f>
        <v>27854-31-5</v>
      </c>
      <c r="M741">
        <f>_xlfn.XLOOKUP(L741,[2]analyte_order!$C:$C,[2]analyte_order!$E:$E)</f>
        <v>42</v>
      </c>
      <c r="N741">
        <v>2.9038253058695989E-2</v>
      </c>
    </row>
    <row r="742" spans="1:14">
      <c r="A742" t="s">
        <v>137</v>
      </c>
      <c r="B742" t="str">
        <f>_xlfn.XLOOKUP(A742,'[1]Tissue Data'!$A:$A,'[1]Tissue Data'!$C:$C)</f>
        <v>Down</v>
      </c>
      <c r="C742" s="2">
        <f>_xlfn.XLOOKUP(A742,'[1]Tissue Data'!$A:$A,'[1]Tissue Data'!$D:$D)</f>
        <v>44314</v>
      </c>
      <c r="D742" s="2" t="s">
        <v>131</v>
      </c>
      <c r="E742" t="str">
        <f>_xlfn.XLOOKUP(A742,'[1]Tissue Data'!$A:$A,'[1]Tissue Data'!$H:$H)</f>
        <v>Clinostomus</v>
      </c>
      <c r="F742" t="str">
        <f>_xlfn.XLOOKUP(A742,'[1]Tissue Data'!$A:$A,'[1]Tissue Data'!$I:$I)</f>
        <v>funduloides</v>
      </c>
      <c r="G742" t="str">
        <f>_xlfn.XLOOKUP(A742,'[1]Tissue Data'!$A:$A,'[1]Tissue Data'!J:J)</f>
        <v>U</v>
      </c>
      <c r="H742" t="str">
        <f>_xlfn.XLOOKUP(A742,'[1]Tissue Data'!$A:$A,'[1]Tissue Data'!K:K)</f>
        <v>Whole Body</v>
      </c>
      <c r="I742">
        <f>_xlfn.XLOOKUP(A742,'[1]Tissue Data'!$A:$A,'[1]Tissue Data'!L:L)</f>
        <v>7.5</v>
      </c>
      <c r="J742">
        <f>_xlfn.XLOOKUP(A742,'[1]Tissue Data'!$A:$A,'[1]Tissue Data'!M:M)</f>
        <v>6.15</v>
      </c>
      <c r="K742" t="s">
        <v>52</v>
      </c>
      <c r="L742" t="str">
        <f>_xlfn.XLOOKUP(K742,[2]analyte_order!$B:$B,[2]analyte_order!$C:$C)</f>
        <v>53826-13-4</v>
      </c>
      <c r="M742">
        <f>_xlfn.XLOOKUP(L742,[2]analyte_order!$C:$C,[2]analyte_order!$E:$E)</f>
        <v>43</v>
      </c>
      <c r="N742">
        <v>0.10832665913490205</v>
      </c>
    </row>
    <row r="743" spans="1:14">
      <c r="A743" t="s">
        <v>137</v>
      </c>
      <c r="B743" t="str">
        <f>_xlfn.XLOOKUP(A743,'[1]Tissue Data'!$A:$A,'[1]Tissue Data'!$C:$C)</f>
        <v>Down</v>
      </c>
      <c r="C743" s="2">
        <f>_xlfn.XLOOKUP(A743,'[1]Tissue Data'!$A:$A,'[1]Tissue Data'!$D:$D)</f>
        <v>44314</v>
      </c>
      <c r="D743" s="2" t="s">
        <v>131</v>
      </c>
      <c r="E743" t="str">
        <f>_xlfn.XLOOKUP(A743,'[1]Tissue Data'!$A:$A,'[1]Tissue Data'!$H:$H)</f>
        <v>Clinostomus</v>
      </c>
      <c r="F743" t="str">
        <f>_xlfn.XLOOKUP(A743,'[1]Tissue Data'!$A:$A,'[1]Tissue Data'!$I:$I)</f>
        <v>funduloides</v>
      </c>
      <c r="G743" t="str">
        <f>_xlfn.XLOOKUP(A743,'[1]Tissue Data'!$A:$A,'[1]Tissue Data'!J:J)</f>
        <v>U</v>
      </c>
      <c r="H743" t="str">
        <f>_xlfn.XLOOKUP(A743,'[1]Tissue Data'!$A:$A,'[1]Tissue Data'!K:K)</f>
        <v>Whole Body</v>
      </c>
      <c r="I743">
        <f>_xlfn.XLOOKUP(A743,'[1]Tissue Data'!$A:$A,'[1]Tissue Data'!L:L)</f>
        <v>7.5</v>
      </c>
      <c r="J743">
        <f>_xlfn.XLOOKUP(A743,'[1]Tissue Data'!$A:$A,'[1]Tissue Data'!M:M)</f>
        <v>6.15</v>
      </c>
      <c r="K743" t="s">
        <v>53</v>
      </c>
      <c r="L743" t="str">
        <f>_xlfn.XLOOKUP(K743,[2]analyte_order!$B:$B,[2]analyte_order!$C:$C)</f>
        <v>161094-75-3</v>
      </c>
      <c r="M743">
        <f>_xlfn.XLOOKUP(L743,[2]analyte_order!$C:$C,[2]analyte_order!$E:$E)</f>
        <v>44</v>
      </c>
      <c r="N743">
        <v>5.7001840163969336E-2</v>
      </c>
    </row>
    <row r="744" spans="1:14">
      <c r="A744" t="s">
        <v>137</v>
      </c>
      <c r="B744" t="str">
        <f>_xlfn.XLOOKUP(A744,'[1]Tissue Data'!$A:$A,'[1]Tissue Data'!$C:$C)</f>
        <v>Down</v>
      </c>
      <c r="C744" s="2">
        <f>_xlfn.XLOOKUP(A744,'[1]Tissue Data'!$A:$A,'[1]Tissue Data'!$D:$D)</f>
        <v>44314</v>
      </c>
      <c r="D744" s="2" t="s">
        <v>131</v>
      </c>
      <c r="E744" t="str">
        <f>_xlfn.XLOOKUP(A744,'[1]Tissue Data'!$A:$A,'[1]Tissue Data'!$H:$H)</f>
        <v>Clinostomus</v>
      </c>
      <c r="F744" t="str">
        <f>_xlfn.XLOOKUP(A744,'[1]Tissue Data'!$A:$A,'[1]Tissue Data'!$I:$I)</f>
        <v>funduloides</v>
      </c>
      <c r="G744" t="str">
        <f>_xlfn.XLOOKUP(A744,'[1]Tissue Data'!$A:$A,'[1]Tissue Data'!J:J)</f>
        <v>U</v>
      </c>
      <c r="H744" t="str">
        <f>_xlfn.XLOOKUP(A744,'[1]Tissue Data'!$A:$A,'[1]Tissue Data'!K:K)</f>
        <v>Whole Body</v>
      </c>
      <c r="I744">
        <f>_xlfn.XLOOKUP(A744,'[1]Tissue Data'!$A:$A,'[1]Tissue Data'!L:L)</f>
        <v>7.5</v>
      </c>
      <c r="J744">
        <f>_xlfn.XLOOKUP(A744,'[1]Tissue Data'!$A:$A,'[1]Tissue Data'!M:M)</f>
        <v>6.15</v>
      </c>
      <c r="K744" t="s">
        <v>54</v>
      </c>
      <c r="L744" t="str">
        <f>_xlfn.XLOOKUP(K744,[2]analyte_order!$B:$B,[2]analyte_order!$C:$C)</f>
        <v>70887-84-2</v>
      </c>
      <c r="M744">
        <f>_xlfn.XLOOKUP(L744,[2]analyte_order!$C:$C,[2]analyte_order!$E:$E)</f>
        <v>45</v>
      </c>
      <c r="N744">
        <v>4.3869869596092417E-2</v>
      </c>
    </row>
    <row r="745" spans="1:14">
      <c r="A745" t="s">
        <v>137</v>
      </c>
      <c r="B745" t="str">
        <f>_xlfn.XLOOKUP(A745,'[1]Tissue Data'!$A:$A,'[1]Tissue Data'!$C:$C)</f>
        <v>Down</v>
      </c>
      <c r="C745" s="2">
        <f>_xlfn.XLOOKUP(A745,'[1]Tissue Data'!$A:$A,'[1]Tissue Data'!$D:$D)</f>
        <v>44314</v>
      </c>
      <c r="D745" s="2" t="s">
        <v>131</v>
      </c>
      <c r="E745" t="str">
        <f>_xlfn.XLOOKUP(A745,'[1]Tissue Data'!$A:$A,'[1]Tissue Data'!$H:$H)</f>
        <v>Clinostomus</v>
      </c>
      <c r="F745" t="str">
        <f>_xlfn.XLOOKUP(A745,'[1]Tissue Data'!$A:$A,'[1]Tissue Data'!$I:$I)</f>
        <v>funduloides</v>
      </c>
      <c r="G745" t="str">
        <f>_xlfn.XLOOKUP(A745,'[1]Tissue Data'!$A:$A,'[1]Tissue Data'!J:J)</f>
        <v>U</v>
      </c>
      <c r="H745" t="str">
        <f>_xlfn.XLOOKUP(A745,'[1]Tissue Data'!$A:$A,'[1]Tissue Data'!K:K)</f>
        <v>Whole Body</v>
      </c>
      <c r="I745">
        <f>_xlfn.XLOOKUP(A745,'[1]Tissue Data'!$A:$A,'[1]Tissue Data'!L:L)</f>
        <v>7.5</v>
      </c>
      <c r="J745">
        <f>_xlfn.XLOOKUP(A745,'[1]Tissue Data'!$A:$A,'[1]Tissue Data'!M:M)</f>
        <v>6.15</v>
      </c>
      <c r="K745" t="s">
        <v>55</v>
      </c>
      <c r="L745" t="str">
        <f>_xlfn.XLOOKUP(K745,[2]analyte_order!$B:$B,[2]analyte_order!$C:$C)</f>
        <v>919005-14-4</v>
      </c>
      <c r="M745">
        <f>_xlfn.XLOOKUP(L745,[2]analyte_order!$C:$C,[2]analyte_order!$E:$E)</f>
        <v>35</v>
      </c>
      <c r="N745">
        <v>7.2595632646739974E-2</v>
      </c>
    </row>
    <row r="746" spans="1:14">
      <c r="A746" t="s">
        <v>137</v>
      </c>
      <c r="B746" t="str">
        <f>_xlfn.XLOOKUP(A746,'[1]Tissue Data'!$A:$A,'[1]Tissue Data'!$C:$C)</f>
        <v>Down</v>
      </c>
      <c r="C746" s="2">
        <f>_xlfn.XLOOKUP(A746,'[1]Tissue Data'!$A:$A,'[1]Tissue Data'!$D:$D)</f>
        <v>44314</v>
      </c>
      <c r="D746" s="2" t="s">
        <v>131</v>
      </c>
      <c r="E746" t="str">
        <f>_xlfn.XLOOKUP(A746,'[1]Tissue Data'!$A:$A,'[1]Tissue Data'!$H:$H)</f>
        <v>Clinostomus</v>
      </c>
      <c r="F746" t="str">
        <f>_xlfn.XLOOKUP(A746,'[1]Tissue Data'!$A:$A,'[1]Tissue Data'!$I:$I)</f>
        <v>funduloides</v>
      </c>
      <c r="G746" t="str">
        <f>_xlfn.XLOOKUP(A746,'[1]Tissue Data'!$A:$A,'[1]Tissue Data'!J:J)</f>
        <v>U</v>
      </c>
      <c r="H746" t="str">
        <f>_xlfn.XLOOKUP(A746,'[1]Tissue Data'!$A:$A,'[1]Tissue Data'!K:K)</f>
        <v>Whole Body</v>
      </c>
      <c r="I746">
        <f>_xlfn.XLOOKUP(A746,'[1]Tissue Data'!$A:$A,'[1]Tissue Data'!L:L)</f>
        <v>7.5</v>
      </c>
      <c r="J746">
        <f>_xlfn.XLOOKUP(A746,'[1]Tissue Data'!$A:$A,'[1]Tissue Data'!M:M)</f>
        <v>6.15</v>
      </c>
      <c r="K746" t="s">
        <v>56</v>
      </c>
      <c r="L746" t="str">
        <f>_xlfn.XLOOKUP(K746,[2]analyte_order!$B:$B,[2]analyte_order!$C:$C)</f>
        <v>756426-58-1</v>
      </c>
      <c r="M746">
        <f>_xlfn.XLOOKUP(L746,[2]analyte_order!$C:$C,[2]analyte_order!$E:$E)</f>
        <v>36</v>
      </c>
      <c r="N746">
        <v>5.0389110598913968E-2</v>
      </c>
    </row>
    <row r="747" spans="1:14">
      <c r="A747" t="s">
        <v>137</v>
      </c>
      <c r="B747" t="str">
        <f>_xlfn.XLOOKUP(A747,'[1]Tissue Data'!$A:$A,'[1]Tissue Data'!$C:$C)</f>
        <v>Down</v>
      </c>
      <c r="C747" s="2">
        <f>_xlfn.XLOOKUP(A747,'[1]Tissue Data'!$A:$A,'[1]Tissue Data'!$D:$D)</f>
        <v>44314</v>
      </c>
      <c r="D747" s="2" t="s">
        <v>131</v>
      </c>
      <c r="E747" t="str">
        <f>_xlfn.XLOOKUP(A747,'[1]Tissue Data'!$A:$A,'[1]Tissue Data'!$H:$H)</f>
        <v>Clinostomus</v>
      </c>
      <c r="F747" t="str">
        <f>_xlfn.XLOOKUP(A747,'[1]Tissue Data'!$A:$A,'[1]Tissue Data'!$I:$I)</f>
        <v>funduloides</v>
      </c>
      <c r="G747" t="str">
        <f>_xlfn.XLOOKUP(A747,'[1]Tissue Data'!$A:$A,'[1]Tissue Data'!J:J)</f>
        <v>U</v>
      </c>
      <c r="H747" t="str">
        <f>_xlfn.XLOOKUP(A747,'[1]Tissue Data'!$A:$A,'[1]Tissue Data'!K:K)</f>
        <v>Whole Body</v>
      </c>
      <c r="I747">
        <f>_xlfn.XLOOKUP(A747,'[1]Tissue Data'!$A:$A,'[1]Tissue Data'!L:L)</f>
        <v>7.5</v>
      </c>
      <c r="J747">
        <f>_xlfn.XLOOKUP(A747,'[1]Tissue Data'!$A:$A,'[1]Tissue Data'!M:M)</f>
        <v>6.15</v>
      </c>
      <c r="K747" t="s">
        <v>57</v>
      </c>
      <c r="L747" t="str">
        <f>_xlfn.XLOOKUP(K747,[2]analyte_order!$B:$B,[2]analyte_order!$C:$C)</f>
        <v>763051-92-9</v>
      </c>
      <c r="M747">
        <f>_xlfn.XLOOKUP(L747,[2]analyte_order!$C:$C,[2]analyte_order!$E:$E)</f>
        <v>37</v>
      </c>
      <c r="N747">
        <v>5.7204672158752121E-2</v>
      </c>
    </row>
    <row r="748" spans="1:14">
      <c r="A748" t="s">
        <v>137</v>
      </c>
      <c r="B748" t="str">
        <f>_xlfn.XLOOKUP(A748,'[1]Tissue Data'!$A:$A,'[1]Tissue Data'!$C:$C)</f>
        <v>Down</v>
      </c>
      <c r="C748" s="2">
        <f>_xlfn.XLOOKUP(A748,'[1]Tissue Data'!$A:$A,'[1]Tissue Data'!$D:$D)</f>
        <v>44314</v>
      </c>
      <c r="D748" s="2" t="s">
        <v>131</v>
      </c>
      <c r="E748" t="str">
        <f>_xlfn.XLOOKUP(A748,'[1]Tissue Data'!$A:$A,'[1]Tissue Data'!$H:$H)</f>
        <v>Clinostomus</v>
      </c>
      <c r="F748" t="str">
        <f>_xlfn.XLOOKUP(A748,'[1]Tissue Data'!$A:$A,'[1]Tissue Data'!$I:$I)</f>
        <v>funduloides</v>
      </c>
      <c r="G748" t="str">
        <f>_xlfn.XLOOKUP(A748,'[1]Tissue Data'!$A:$A,'[1]Tissue Data'!J:J)</f>
        <v>U</v>
      </c>
      <c r="H748" t="str">
        <f>_xlfn.XLOOKUP(A748,'[1]Tissue Data'!$A:$A,'[1]Tissue Data'!K:K)</f>
        <v>Whole Body</v>
      </c>
      <c r="I748">
        <f>_xlfn.XLOOKUP(A748,'[1]Tissue Data'!$A:$A,'[1]Tissue Data'!L:L)</f>
        <v>7.5</v>
      </c>
      <c r="J748">
        <f>_xlfn.XLOOKUP(A748,'[1]Tissue Data'!$A:$A,'[1]Tissue Data'!M:M)</f>
        <v>6.15</v>
      </c>
      <c r="K748" t="s">
        <v>58</v>
      </c>
      <c r="L748" t="str">
        <f>_xlfn.XLOOKUP(K748,[2]analyte_order!$B:$B,[2]analyte_order!$C:$C)</f>
        <v>13252-13-6</v>
      </c>
      <c r="M748">
        <f>_xlfn.XLOOKUP(L748,[2]analyte_order!$C:$C,[2]analyte_order!$E:$E)</f>
        <v>34</v>
      </c>
      <c r="N748">
        <v>0.10417680654014055</v>
      </c>
    </row>
    <row r="749" spans="1:14">
      <c r="A749" t="s">
        <v>137</v>
      </c>
      <c r="B749" t="str">
        <f>_xlfn.XLOOKUP(A749,'[1]Tissue Data'!$A:$A,'[1]Tissue Data'!$C:$C)</f>
        <v>Down</v>
      </c>
      <c r="C749" s="2">
        <f>_xlfn.XLOOKUP(A749,'[1]Tissue Data'!$A:$A,'[1]Tissue Data'!$D:$D)</f>
        <v>44314</v>
      </c>
      <c r="D749" s="2" t="s">
        <v>131</v>
      </c>
      <c r="E749" t="str">
        <f>_xlfn.XLOOKUP(A749,'[1]Tissue Data'!$A:$A,'[1]Tissue Data'!$H:$H)</f>
        <v>Clinostomus</v>
      </c>
      <c r="F749" t="str">
        <f>_xlfn.XLOOKUP(A749,'[1]Tissue Data'!$A:$A,'[1]Tissue Data'!$I:$I)</f>
        <v>funduloides</v>
      </c>
      <c r="G749" t="str">
        <f>_xlfn.XLOOKUP(A749,'[1]Tissue Data'!$A:$A,'[1]Tissue Data'!J:J)</f>
        <v>U</v>
      </c>
      <c r="H749" t="str">
        <f>_xlfn.XLOOKUP(A749,'[1]Tissue Data'!$A:$A,'[1]Tissue Data'!K:K)</f>
        <v>Whole Body</v>
      </c>
      <c r="I749">
        <f>_xlfn.XLOOKUP(A749,'[1]Tissue Data'!$A:$A,'[1]Tissue Data'!L:L)</f>
        <v>7.5</v>
      </c>
      <c r="J749">
        <f>_xlfn.XLOOKUP(A749,'[1]Tissue Data'!$A:$A,'[1]Tissue Data'!M:M)</f>
        <v>6.15</v>
      </c>
      <c r="K749" t="s">
        <v>59</v>
      </c>
      <c r="L749" t="str">
        <f>_xlfn.XLOOKUP(K749,[2]analyte_order!$B:$B,[2]analyte_order!$C:$C)</f>
        <v>57677-95-9</v>
      </c>
      <c r="M749">
        <f>_xlfn.XLOOKUP(L749,[2]analyte_order!$C:$C,[2]analyte_order!$E:$E)</f>
        <v>46</v>
      </c>
      <c r="N749">
        <v>7.7280151541205294E-2</v>
      </c>
    </row>
    <row r="750" spans="1:14">
      <c r="A750" t="s">
        <v>137</v>
      </c>
      <c r="B750" t="str">
        <f>_xlfn.XLOOKUP(A750,'[1]Tissue Data'!$A:$A,'[1]Tissue Data'!$C:$C)</f>
        <v>Down</v>
      </c>
      <c r="C750" s="2">
        <f>_xlfn.XLOOKUP(A750,'[1]Tissue Data'!$A:$A,'[1]Tissue Data'!$D:$D)</f>
        <v>44314</v>
      </c>
      <c r="D750" s="2" t="s">
        <v>131</v>
      </c>
      <c r="E750" t="str">
        <f>_xlfn.XLOOKUP(A750,'[1]Tissue Data'!$A:$A,'[1]Tissue Data'!$H:$H)</f>
        <v>Clinostomus</v>
      </c>
      <c r="F750" t="str">
        <f>_xlfn.XLOOKUP(A750,'[1]Tissue Data'!$A:$A,'[1]Tissue Data'!$I:$I)</f>
        <v>funduloides</v>
      </c>
      <c r="G750" t="str">
        <f>_xlfn.XLOOKUP(A750,'[1]Tissue Data'!$A:$A,'[1]Tissue Data'!J:J)</f>
        <v>U</v>
      </c>
      <c r="H750" t="str">
        <f>_xlfn.XLOOKUP(A750,'[1]Tissue Data'!$A:$A,'[1]Tissue Data'!K:K)</f>
        <v>Whole Body</v>
      </c>
      <c r="I750">
        <f>_xlfn.XLOOKUP(A750,'[1]Tissue Data'!$A:$A,'[1]Tissue Data'!L:L)</f>
        <v>7.5</v>
      </c>
      <c r="J750">
        <f>_xlfn.XLOOKUP(A750,'[1]Tissue Data'!$A:$A,'[1]Tissue Data'!M:M)</f>
        <v>6.15</v>
      </c>
      <c r="K750" t="s">
        <v>60</v>
      </c>
      <c r="L750" t="str">
        <f>_xlfn.XLOOKUP(K750,[2]analyte_order!$B:$B,[2]analyte_order!$C:$C)</f>
        <v>678-41-1</v>
      </c>
      <c r="M750">
        <f>_xlfn.XLOOKUP(L750,[2]analyte_order!$C:$C,[2]analyte_order!$E:$E)</f>
        <v>56</v>
      </c>
      <c r="N750">
        <v>9.6248306647678875E-2</v>
      </c>
    </row>
    <row r="751" spans="1:14">
      <c r="A751" t="s">
        <v>137</v>
      </c>
      <c r="B751" t="str">
        <f>_xlfn.XLOOKUP(A751,'[1]Tissue Data'!$A:$A,'[1]Tissue Data'!$C:$C)</f>
        <v>Down</v>
      </c>
      <c r="C751" s="2">
        <f>_xlfn.XLOOKUP(A751,'[1]Tissue Data'!$A:$A,'[1]Tissue Data'!$D:$D)</f>
        <v>44314</v>
      </c>
      <c r="D751" s="2" t="s">
        <v>131</v>
      </c>
      <c r="E751" t="str">
        <f>_xlfn.XLOOKUP(A751,'[1]Tissue Data'!$A:$A,'[1]Tissue Data'!$H:$H)</f>
        <v>Clinostomus</v>
      </c>
      <c r="F751" t="str">
        <f>_xlfn.XLOOKUP(A751,'[1]Tissue Data'!$A:$A,'[1]Tissue Data'!$I:$I)</f>
        <v>funduloides</v>
      </c>
      <c r="G751" t="str">
        <f>_xlfn.XLOOKUP(A751,'[1]Tissue Data'!$A:$A,'[1]Tissue Data'!J:J)</f>
        <v>U</v>
      </c>
      <c r="H751" t="str">
        <f>_xlfn.XLOOKUP(A751,'[1]Tissue Data'!$A:$A,'[1]Tissue Data'!K:K)</f>
        <v>Whole Body</v>
      </c>
      <c r="I751">
        <f>_xlfn.XLOOKUP(A751,'[1]Tissue Data'!$A:$A,'[1]Tissue Data'!L:L)</f>
        <v>7.5</v>
      </c>
      <c r="J751">
        <f>_xlfn.XLOOKUP(A751,'[1]Tissue Data'!$A:$A,'[1]Tissue Data'!M:M)</f>
        <v>6.15</v>
      </c>
      <c r="K751" t="s">
        <v>61</v>
      </c>
      <c r="L751" t="str">
        <f>_xlfn.XLOOKUP(K751,[2]analyte_order!$B:$B,[2]analyte_order!$C:$C)</f>
        <v>2965-52-8</v>
      </c>
      <c r="M751">
        <f>_xlfn.XLOOKUP(L751,[2]analyte_order!$C:$C,[2]analyte_order!$E:$E)</f>
        <v>57</v>
      </c>
      <c r="N751">
        <v>0.12776831345826234</v>
      </c>
    </row>
    <row r="752" spans="1:14">
      <c r="A752" t="s">
        <v>310</v>
      </c>
      <c r="B752" t="str">
        <f>_xlfn.XLOOKUP(A752,'[1]Tissue Data'!$A:$A,'[1]Tissue Data'!$C:$C)</f>
        <v>Down</v>
      </c>
      <c r="C752" s="2">
        <f>_xlfn.XLOOKUP(A752,'[1]Tissue Data'!$A:$A,'[1]Tissue Data'!$D:$D)</f>
        <v>44314</v>
      </c>
      <c r="D752" s="2" t="s">
        <v>131</v>
      </c>
      <c r="E752" t="str">
        <f>_xlfn.XLOOKUP(A752,'[1]Tissue Data'!$A:$A,'[1]Tissue Data'!$H:$H)</f>
        <v>Clinostomus</v>
      </c>
      <c r="F752" t="str">
        <f>_xlfn.XLOOKUP(A752,'[1]Tissue Data'!$A:$A,'[1]Tissue Data'!$I:$I)</f>
        <v>funduloides</v>
      </c>
      <c r="G752" t="str">
        <f>_xlfn.XLOOKUP(A752,'[1]Tissue Data'!$A:$A,'[1]Tissue Data'!J:J)</f>
        <v>U</v>
      </c>
      <c r="H752" t="str">
        <f>_xlfn.XLOOKUP(A752,'[1]Tissue Data'!$A:$A,'[1]Tissue Data'!K:K)</f>
        <v>Whole Body</v>
      </c>
      <c r="I752">
        <f>_xlfn.XLOOKUP(A752,'[1]Tissue Data'!$A:$A,'[1]Tissue Data'!L:L)</f>
        <v>8</v>
      </c>
      <c r="J752">
        <f>_xlfn.XLOOKUP(A752,'[1]Tissue Data'!$A:$A,'[1]Tissue Data'!M:M)</f>
        <v>5.7</v>
      </c>
      <c r="K752" t="s">
        <v>12</v>
      </c>
      <c r="L752" t="str">
        <f>_xlfn.XLOOKUP(K752,[2]analyte_order!$B:$B,[2]analyte_order!$C:$C)</f>
        <v>375-22-4</v>
      </c>
      <c r="M752">
        <f>_xlfn.XLOOKUP(L752,[2]analyte_order!$C:$C,[2]analyte_order!$E:$E)</f>
        <v>1</v>
      </c>
      <c r="N752">
        <v>2.8156852439321981E-2</v>
      </c>
    </row>
    <row r="753" spans="1:14">
      <c r="A753" t="s">
        <v>310</v>
      </c>
      <c r="B753" t="str">
        <f>_xlfn.XLOOKUP(A753,'[1]Tissue Data'!$A:$A,'[1]Tissue Data'!$C:$C)</f>
        <v>Down</v>
      </c>
      <c r="C753" s="2">
        <f>_xlfn.XLOOKUP(A753,'[1]Tissue Data'!$A:$A,'[1]Tissue Data'!$D:$D)</f>
        <v>44314</v>
      </c>
      <c r="D753" s="2" t="s">
        <v>131</v>
      </c>
      <c r="E753" t="str">
        <f>_xlfn.XLOOKUP(A753,'[1]Tissue Data'!$A:$A,'[1]Tissue Data'!$H:$H)</f>
        <v>Clinostomus</v>
      </c>
      <c r="F753" t="str">
        <f>_xlfn.XLOOKUP(A753,'[1]Tissue Data'!$A:$A,'[1]Tissue Data'!$I:$I)</f>
        <v>funduloides</v>
      </c>
      <c r="G753" t="str">
        <f>_xlfn.XLOOKUP(A753,'[1]Tissue Data'!$A:$A,'[1]Tissue Data'!J:J)</f>
        <v>U</v>
      </c>
      <c r="H753" t="str">
        <f>_xlfn.XLOOKUP(A753,'[1]Tissue Data'!$A:$A,'[1]Tissue Data'!K:K)</f>
        <v>Whole Body</v>
      </c>
      <c r="I753">
        <f>_xlfn.XLOOKUP(A753,'[1]Tissue Data'!$A:$A,'[1]Tissue Data'!L:L)</f>
        <v>8</v>
      </c>
      <c r="J753">
        <f>_xlfn.XLOOKUP(A753,'[1]Tissue Data'!$A:$A,'[1]Tissue Data'!M:M)</f>
        <v>5.7</v>
      </c>
      <c r="K753" t="s">
        <v>13</v>
      </c>
      <c r="L753" t="str">
        <f>_xlfn.XLOOKUP(K753,[2]analyte_order!$B:$B,[2]analyte_order!$C:$C)</f>
        <v>2706-90-3</v>
      </c>
      <c r="M753">
        <f>_xlfn.XLOOKUP(L753,[2]analyte_order!$C:$C,[2]analyte_order!$E:$E)</f>
        <v>2</v>
      </c>
      <c r="N753">
        <v>4.9734947355461495E-2</v>
      </c>
    </row>
    <row r="754" spans="1:14">
      <c r="A754" t="s">
        <v>310</v>
      </c>
      <c r="B754" t="str">
        <f>_xlfn.XLOOKUP(A754,'[1]Tissue Data'!$A:$A,'[1]Tissue Data'!$C:$C)</f>
        <v>Down</v>
      </c>
      <c r="C754" s="2">
        <f>_xlfn.XLOOKUP(A754,'[1]Tissue Data'!$A:$A,'[1]Tissue Data'!$D:$D)</f>
        <v>44314</v>
      </c>
      <c r="D754" s="2" t="s">
        <v>131</v>
      </c>
      <c r="E754" t="str">
        <f>_xlfn.XLOOKUP(A754,'[1]Tissue Data'!$A:$A,'[1]Tissue Data'!$H:$H)</f>
        <v>Clinostomus</v>
      </c>
      <c r="F754" t="str">
        <f>_xlfn.XLOOKUP(A754,'[1]Tissue Data'!$A:$A,'[1]Tissue Data'!$I:$I)</f>
        <v>funduloides</v>
      </c>
      <c r="G754" t="str">
        <f>_xlfn.XLOOKUP(A754,'[1]Tissue Data'!$A:$A,'[1]Tissue Data'!J:J)</f>
        <v>U</v>
      </c>
      <c r="H754" t="str">
        <f>_xlfn.XLOOKUP(A754,'[1]Tissue Data'!$A:$A,'[1]Tissue Data'!K:K)</f>
        <v>Whole Body</v>
      </c>
      <c r="I754">
        <f>_xlfn.XLOOKUP(A754,'[1]Tissue Data'!$A:$A,'[1]Tissue Data'!L:L)</f>
        <v>8</v>
      </c>
      <c r="J754">
        <f>_xlfn.XLOOKUP(A754,'[1]Tissue Data'!$A:$A,'[1]Tissue Data'!M:M)</f>
        <v>5.7</v>
      </c>
      <c r="K754" t="s">
        <v>14</v>
      </c>
      <c r="L754" t="str">
        <f>_xlfn.XLOOKUP(K754,[2]analyte_order!$B:$B,[2]analyte_order!$C:$C)</f>
        <v>307-24-4</v>
      </c>
      <c r="M754">
        <f>_xlfn.XLOOKUP(L754,[2]analyte_order!$C:$C,[2]analyte_order!$E:$E)</f>
        <v>3</v>
      </c>
      <c r="N754">
        <v>0.379</v>
      </c>
    </row>
    <row r="755" spans="1:14">
      <c r="A755" t="s">
        <v>310</v>
      </c>
      <c r="B755" t="str">
        <f>_xlfn.XLOOKUP(A755,'[1]Tissue Data'!$A:$A,'[1]Tissue Data'!$C:$C)</f>
        <v>Down</v>
      </c>
      <c r="C755" s="2">
        <f>_xlfn.XLOOKUP(A755,'[1]Tissue Data'!$A:$A,'[1]Tissue Data'!$D:$D)</f>
        <v>44314</v>
      </c>
      <c r="D755" s="2" t="s">
        <v>131</v>
      </c>
      <c r="E755" t="str">
        <f>_xlfn.XLOOKUP(A755,'[1]Tissue Data'!$A:$A,'[1]Tissue Data'!$H:$H)</f>
        <v>Clinostomus</v>
      </c>
      <c r="F755" t="str">
        <f>_xlfn.XLOOKUP(A755,'[1]Tissue Data'!$A:$A,'[1]Tissue Data'!$I:$I)</f>
        <v>funduloides</v>
      </c>
      <c r="G755" t="str">
        <f>_xlfn.XLOOKUP(A755,'[1]Tissue Data'!$A:$A,'[1]Tissue Data'!J:J)</f>
        <v>U</v>
      </c>
      <c r="H755" t="str">
        <f>_xlfn.XLOOKUP(A755,'[1]Tissue Data'!$A:$A,'[1]Tissue Data'!K:K)</f>
        <v>Whole Body</v>
      </c>
      <c r="I755">
        <f>_xlfn.XLOOKUP(A755,'[1]Tissue Data'!$A:$A,'[1]Tissue Data'!L:L)</f>
        <v>8</v>
      </c>
      <c r="J755">
        <f>_xlfn.XLOOKUP(A755,'[1]Tissue Data'!$A:$A,'[1]Tissue Data'!M:M)</f>
        <v>5.7</v>
      </c>
      <c r="K755" t="s">
        <v>15</v>
      </c>
      <c r="L755" t="str">
        <f>_xlfn.XLOOKUP(K755,[2]analyte_order!$B:$B,[2]analyte_order!$C:$C)</f>
        <v>375-85-9</v>
      </c>
      <c r="M755">
        <f>_xlfn.XLOOKUP(L755,[2]analyte_order!$C:$C,[2]analyte_order!$E:$E)</f>
        <v>4</v>
      </c>
      <c r="N755">
        <v>9.7171237313755127E-2</v>
      </c>
    </row>
    <row r="756" spans="1:14">
      <c r="A756" t="s">
        <v>310</v>
      </c>
      <c r="B756" t="str">
        <f>_xlfn.XLOOKUP(A756,'[1]Tissue Data'!$A:$A,'[1]Tissue Data'!$C:$C)</f>
        <v>Down</v>
      </c>
      <c r="C756" s="2">
        <f>_xlfn.XLOOKUP(A756,'[1]Tissue Data'!$A:$A,'[1]Tissue Data'!$D:$D)</f>
        <v>44314</v>
      </c>
      <c r="D756" s="2" t="s">
        <v>131</v>
      </c>
      <c r="E756" t="str">
        <f>_xlfn.XLOOKUP(A756,'[1]Tissue Data'!$A:$A,'[1]Tissue Data'!$H:$H)</f>
        <v>Clinostomus</v>
      </c>
      <c r="F756" t="str">
        <f>_xlfn.XLOOKUP(A756,'[1]Tissue Data'!$A:$A,'[1]Tissue Data'!$I:$I)</f>
        <v>funduloides</v>
      </c>
      <c r="G756" t="str">
        <f>_xlfn.XLOOKUP(A756,'[1]Tissue Data'!$A:$A,'[1]Tissue Data'!J:J)</f>
        <v>U</v>
      </c>
      <c r="H756" t="str">
        <f>_xlfn.XLOOKUP(A756,'[1]Tissue Data'!$A:$A,'[1]Tissue Data'!K:K)</f>
        <v>Whole Body</v>
      </c>
      <c r="I756">
        <f>_xlfn.XLOOKUP(A756,'[1]Tissue Data'!$A:$A,'[1]Tissue Data'!L:L)</f>
        <v>8</v>
      </c>
      <c r="J756">
        <f>_xlfn.XLOOKUP(A756,'[1]Tissue Data'!$A:$A,'[1]Tissue Data'!M:M)</f>
        <v>5.7</v>
      </c>
      <c r="K756" t="s">
        <v>16</v>
      </c>
      <c r="L756" t="str">
        <f>_xlfn.XLOOKUP(K756,[2]analyte_order!$B:$B,[2]analyte_order!$C:$C)</f>
        <v>335-67-1</v>
      </c>
      <c r="M756">
        <f>_xlfn.XLOOKUP(L756,[2]analyte_order!$C:$C,[2]analyte_order!$E:$E)</f>
        <v>5</v>
      </c>
      <c r="N756">
        <v>2.21</v>
      </c>
    </row>
    <row r="757" spans="1:14">
      <c r="A757" t="s">
        <v>310</v>
      </c>
      <c r="B757" t="str">
        <f>_xlfn.XLOOKUP(A757,'[1]Tissue Data'!$A:$A,'[1]Tissue Data'!$C:$C)</f>
        <v>Down</v>
      </c>
      <c r="C757" s="2">
        <f>_xlfn.XLOOKUP(A757,'[1]Tissue Data'!$A:$A,'[1]Tissue Data'!$D:$D)</f>
        <v>44314</v>
      </c>
      <c r="D757" s="2" t="s">
        <v>131</v>
      </c>
      <c r="E757" t="str">
        <f>_xlfn.XLOOKUP(A757,'[1]Tissue Data'!$A:$A,'[1]Tissue Data'!$H:$H)</f>
        <v>Clinostomus</v>
      </c>
      <c r="F757" t="str">
        <f>_xlfn.XLOOKUP(A757,'[1]Tissue Data'!$A:$A,'[1]Tissue Data'!$I:$I)</f>
        <v>funduloides</v>
      </c>
      <c r="G757" t="str">
        <f>_xlfn.XLOOKUP(A757,'[1]Tissue Data'!$A:$A,'[1]Tissue Data'!J:J)</f>
        <v>U</v>
      </c>
      <c r="H757" t="str">
        <f>_xlfn.XLOOKUP(A757,'[1]Tissue Data'!$A:$A,'[1]Tissue Data'!K:K)</f>
        <v>Whole Body</v>
      </c>
      <c r="I757">
        <f>_xlfn.XLOOKUP(A757,'[1]Tissue Data'!$A:$A,'[1]Tissue Data'!L:L)</f>
        <v>8</v>
      </c>
      <c r="J757">
        <f>_xlfn.XLOOKUP(A757,'[1]Tissue Data'!$A:$A,'[1]Tissue Data'!M:M)</f>
        <v>5.7</v>
      </c>
      <c r="K757" t="s">
        <v>17</v>
      </c>
      <c r="L757" t="str">
        <f>_xlfn.XLOOKUP(K757,[2]analyte_order!$B:$B,[2]analyte_order!$C:$C)</f>
        <v>375-95-1</v>
      </c>
      <c r="M757">
        <f>_xlfn.XLOOKUP(L757,[2]analyte_order!$C:$C,[2]analyte_order!$E:$E)</f>
        <v>6</v>
      </c>
      <c r="N757">
        <v>6.46</v>
      </c>
    </row>
    <row r="758" spans="1:14">
      <c r="A758" t="s">
        <v>310</v>
      </c>
      <c r="B758" t="str">
        <f>_xlfn.XLOOKUP(A758,'[1]Tissue Data'!$A:$A,'[1]Tissue Data'!$C:$C)</f>
        <v>Down</v>
      </c>
      <c r="C758" s="2">
        <f>_xlfn.XLOOKUP(A758,'[1]Tissue Data'!$A:$A,'[1]Tissue Data'!$D:$D)</f>
        <v>44314</v>
      </c>
      <c r="D758" s="2" t="s">
        <v>131</v>
      </c>
      <c r="E758" t="str">
        <f>_xlfn.XLOOKUP(A758,'[1]Tissue Data'!$A:$A,'[1]Tissue Data'!$H:$H)</f>
        <v>Clinostomus</v>
      </c>
      <c r="F758" t="str">
        <f>_xlfn.XLOOKUP(A758,'[1]Tissue Data'!$A:$A,'[1]Tissue Data'!$I:$I)</f>
        <v>funduloides</v>
      </c>
      <c r="G758" t="str">
        <f>_xlfn.XLOOKUP(A758,'[1]Tissue Data'!$A:$A,'[1]Tissue Data'!J:J)</f>
        <v>U</v>
      </c>
      <c r="H758" t="str">
        <f>_xlfn.XLOOKUP(A758,'[1]Tissue Data'!$A:$A,'[1]Tissue Data'!K:K)</f>
        <v>Whole Body</v>
      </c>
      <c r="I758">
        <f>_xlfn.XLOOKUP(A758,'[1]Tissue Data'!$A:$A,'[1]Tissue Data'!L:L)</f>
        <v>8</v>
      </c>
      <c r="J758">
        <f>_xlfn.XLOOKUP(A758,'[1]Tissue Data'!$A:$A,'[1]Tissue Data'!M:M)</f>
        <v>5.7</v>
      </c>
      <c r="K758" t="s">
        <v>18</v>
      </c>
      <c r="L758" t="str">
        <f>_xlfn.XLOOKUP(K758,[2]analyte_order!$B:$B,[2]analyte_order!$C:$C)</f>
        <v>335-76-2</v>
      </c>
      <c r="M758">
        <f>_xlfn.XLOOKUP(L758,[2]analyte_order!$C:$C,[2]analyte_order!$E:$E)</f>
        <v>7</v>
      </c>
      <c r="N758">
        <v>11.4</v>
      </c>
    </row>
    <row r="759" spans="1:14">
      <c r="A759" t="s">
        <v>310</v>
      </c>
      <c r="B759" t="str">
        <f>_xlfn.XLOOKUP(A759,'[1]Tissue Data'!$A:$A,'[1]Tissue Data'!$C:$C)</f>
        <v>Down</v>
      </c>
      <c r="C759" s="2">
        <f>_xlfn.XLOOKUP(A759,'[1]Tissue Data'!$A:$A,'[1]Tissue Data'!$D:$D)</f>
        <v>44314</v>
      </c>
      <c r="D759" s="2" t="s">
        <v>131</v>
      </c>
      <c r="E759" t="str">
        <f>_xlfn.XLOOKUP(A759,'[1]Tissue Data'!$A:$A,'[1]Tissue Data'!$H:$H)</f>
        <v>Clinostomus</v>
      </c>
      <c r="F759" t="str">
        <f>_xlfn.XLOOKUP(A759,'[1]Tissue Data'!$A:$A,'[1]Tissue Data'!$I:$I)</f>
        <v>funduloides</v>
      </c>
      <c r="G759" t="str">
        <f>_xlfn.XLOOKUP(A759,'[1]Tissue Data'!$A:$A,'[1]Tissue Data'!J:J)</f>
        <v>U</v>
      </c>
      <c r="H759" t="str">
        <f>_xlfn.XLOOKUP(A759,'[1]Tissue Data'!$A:$A,'[1]Tissue Data'!K:K)</f>
        <v>Whole Body</v>
      </c>
      <c r="I759">
        <f>_xlfn.XLOOKUP(A759,'[1]Tissue Data'!$A:$A,'[1]Tissue Data'!L:L)</f>
        <v>8</v>
      </c>
      <c r="J759">
        <f>_xlfn.XLOOKUP(A759,'[1]Tissue Data'!$A:$A,'[1]Tissue Data'!M:M)</f>
        <v>5.7</v>
      </c>
      <c r="K759" t="s">
        <v>19</v>
      </c>
      <c r="L759" t="str">
        <f>_xlfn.XLOOKUP(K759,[2]analyte_order!$B:$B,[2]analyte_order!$C:$C)</f>
        <v>2058-94-8</v>
      </c>
      <c r="M759">
        <f>_xlfn.XLOOKUP(L759,[2]analyte_order!$C:$C,[2]analyte_order!$E:$E)</f>
        <v>8</v>
      </c>
      <c r="N759">
        <v>17.3</v>
      </c>
    </row>
    <row r="760" spans="1:14">
      <c r="A760" t="s">
        <v>310</v>
      </c>
      <c r="B760" t="str">
        <f>_xlfn.XLOOKUP(A760,'[1]Tissue Data'!$A:$A,'[1]Tissue Data'!$C:$C)</f>
        <v>Down</v>
      </c>
      <c r="C760" s="2">
        <f>_xlfn.XLOOKUP(A760,'[1]Tissue Data'!$A:$A,'[1]Tissue Data'!$D:$D)</f>
        <v>44314</v>
      </c>
      <c r="D760" s="2" t="s">
        <v>131</v>
      </c>
      <c r="E760" t="str">
        <f>_xlfn.XLOOKUP(A760,'[1]Tissue Data'!$A:$A,'[1]Tissue Data'!$H:$H)</f>
        <v>Clinostomus</v>
      </c>
      <c r="F760" t="str">
        <f>_xlfn.XLOOKUP(A760,'[1]Tissue Data'!$A:$A,'[1]Tissue Data'!$I:$I)</f>
        <v>funduloides</v>
      </c>
      <c r="G760" t="str">
        <f>_xlfn.XLOOKUP(A760,'[1]Tissue Data'!$A:$A,'[1]Tissue Data'!J:J)</f>
        <v>U</v>
      </c>
      <c r="H760" t="str">
        <f>_xlfn.XLOOKUP(A760,'[1]Tissue Data'!$A:$A,'[1]Tissue Data'!K:K)</f>
        <v>Whole Body</v>
      </c>
      <c r="I760">
        <f>_xlfn.XLOOKUP(A760,'[1]Tissue Data'!$A:$A,'[1]Tissue Data'!L:L)</f>
        <v>8</v>
      </c>
      <c r="J760">
        <f>_xlfn.XLOOKUP(A760,'[1]Tissue Data'!$A:$A,'[1]Tissue Data'!M:M)</f>
        <v>5.7</v>
      </c>
      <c r="K760" t="s">
        <v>20</v>
      </c>
      <c r="L760" t="str">
        <f>_xlfn.XLOOKUP(K760,[2]analyte_order!$B:$B,[2]analyte_order!$C:$C)</f>
        <v>307-55-1</v>
      </c>
      <c r="M760">
        <f>_xlfn.XLOOKUP(L760,[2]analyte_order!$C:$C,[2]analyte_order!$E:$E)</f>
        <v>9</v>
      </c>
      <c r="N760">
        <v>0.39900000000000002</v>
      </c>
    </row>
    <row r="761" spans="1:14">
      <c r="A761" t="s">
        <v>310</v>
      </c>
      <c r="B761" t="str">
        <f>_xlfn.XLOOKUP(A761,'[1]Tissue Data'!$A:$A,'[1]Tissue Data'!$C:$C)</f>
        <v>Down</v>
      </c>
      <c r="C761" s="2">
        <f>_xlfn.XLOOKUP(A761,'[1]Tissue Data'!$A:$A,'[1]Tissue Data'!$D:$D)</f>
        <v>44314</v>
      </c>
      <c r="D761" s="2" t="s">
        <v>131</v>
      </c>
      <c r="E761" t="str">
        <f>_xlfn.XLOOKUP(A761,'[1]Tissue Data'!$A:$A,'[1]Tissue Data'!$H:$H)</f>
        <v>Clinostomus</v>
      </c>
      <c r="F761" t="str">
        <f>_xlfn.XLOOKUP(A761,'[1]Tissue Data'!$A:$A,'[1]Tissue Data'!$I:$I)</f>
        <v>funduloides</v>
      </c>
      <c r="G761" t="str">
        <f>_xlfn.XLOOKUP(A761,'[1]Tissue Data'!$A:$A,'[1]Tissue Data'!J:J)</f>
        <v>U</v>
      </c>
      <c r="H761" t="str">
        <f>_xlfn.XLOOKUP(A761,'[1]Tissue Data'!$A:$A,'[1]Tissue Data'!K:K)</f>
        <v>Whole Body</v>
      </c>
      <c r="I761">
        <f>_xlfn.XLOOKUP(A761,'[1]Tissue Data'!$A:$A,'[1]Tissue Data'!L:L)</f>
        <v>8</v>
      </c>
      <c r="J761">
        <f>_xlfn.XLOOKUP(A761,'[1]Tissue Data'!$A:$A,'[1]Tissue Data'!M:M)</f>
        <v>5.7</v>
      </c>
      <c r="K761" t="s">
        <v>21</v>
      </c>
      <c r="L761" t="str">
        <f>_xlfn.XLOOKUP(K761,[2]analyte_order!$B:$B,[2]analyte_order!$C:$C)</f>
        <v>72629-94-8</v>
      </c>
      <c r="M761">
        <f>_xlfn.XLOOKUP(L761,[2]analyte_order!$C:$C,[2]analyte_order!$E:$E)</f>
        <v>10</v>
      </c>
      <c r="N761">
        <v>7.22</v>
      </c>
    </row>
    <row r="762" spans="1:14">
      <c r="A762" t="s">
        <v>310</v>
      </c>
      <c r="B762" t="str">
        <f>_xlfn.XLOOKUP(A762,'[1]Tissue Data'!$A:$A,'[1]Tissue Data'!$C:$C)</f>
        <v>Down</v>
      </c>
      <c r="C762" s="2">
        <f>_xlfn.XLOOKUP(A762,'[1]Tissue Data'!$A:$A,'[1]Tissue Data'!$D:$D)</f>
        <v>44314</v>
      </c>
      <c r="D762" s="2" t="s">
        <v>131</v>
      </c>
      <c r="E762" t="str">
        <f>_xlfn.XLOOKUP(A762,'[1]Tissue Data'!$A:$A,'[1]Tissue Data'!$H:$H)</f>
        <v>Clinostomus</v>
      </c>
      <c r="F762" t="str">
        <f>_xlfn.XLOOKUP(A762,'[1]Tissue Data'!$A:$A,'[1]Tissue Data'!$I:$I)</f>
        <v>funduloides</v>
      </c>
      <c r="G762" t="str">
        <f>_xlfn.XLOOKUP(A762,'[1]Tissue Data'!$A:$A,'[1]Tissue Data'!J:J)</f>
        <v>U</v>
      </c>
      <c r="H762" t="str">
        <f>_xlfn.XLOOKUP(A762,'[1]Tissue Data'!$A:$A,'[1]Tissue Data'!K:K)</f>
        <v>Whole Body</v>
      </c>
      <c r="I762">
        <f>_xlfn.XLOOKUP(A762,'[1]Tissue Data'!$A:$A,'[1]Tissue Data'!L:L)</f>
        <v>8</v>
      </c>
      <c r="J762">
        <f>_xlfn.XLOOKUP(A762,'[1]Tissue Data'!$A:$A,'[1]Tissue Data'!M:M)</f>
        <v>5.7</v>
      </c>
      <c r="K762" t="s">
        <v>22</v>
      </c>
      <c r="L762" t="str">
        <f>_xlfn.XLOOKUP(K762,[2]analyte_order!$B:$B,[2]analyte_order!$C:$C)</f>
        <v>376-06-7</v>
      </c>
      <c r="M762">
        <f>_xlfn.XLOOKUP(L762,[2]analyte_order!$C:$C,[2]analyte_order!$E:$E)</f>
        <v>11</v>
      </c>
      <c r="N762">
        <v>9.8000000000000007</v>
      </c>
    </row>
    <row r="763" spans="1:14">
      <c r="A763" t="s">
        <v>310</v>
      </c>
      <c r="B763" t="str">
        <f>_xlfn.XLOOKUP(A763,'[1]Tissue Data'!$A:$A,'[1]Tissue Data'!$C:$C)</f>
        <v>Down</v>
      </c>
      <c r="C763" s="2">
        <f>_xlfn.XLOOKUP(A763,'[1]Tissue Data'!$A:$A,'[1]Tissue Data'!$D:$D)</f>
        <v>44314</v>
      </c>
      <c r="D763" s="2" t="s">
        <v>131</v>
      </c>
      <c r="E763" t="str">
        <f>_xlfn.XLOOKUP(A763,'[1]Tissue Data'!$A:$A,'[1]Tissue Data'!$H:$H)</f>
        <v>Clinostomus</v>
      </c>
      <c r="F763" t="str">
        <f>_xlfn.XLOOKUP(A763,'[1]Tissue Data'!$A:$A,'[1]Tissue Data'!$I:$I)</f>
        <v>funduloides</v>
      </c>
      <c r="G763" t="str">
        <f>_xlfn.XLOOKUP(A763,'[1]Tissue Data'!$A:$A,'[1]Tissue Data'!J:J)</f>
        <v>U</v>
      </c>
      <c r="H763" t="str">
        <f>_xlfn.XLOOKUP(A763,'[1]Tissue Data'!$A:$A,'[1]Tissue Data'!K:K)</f>
        <v>Whole Body</v>
      </c>
      <c r="I763">
        <f>_xlfn.XLOOKUP(A763,'[1]Tissue Data'!$A:$A,'[1]Tissue Data'!L:L)</f>
        <v>8</v>
      </c>
      <c r="J763">
        <f>_xlfn.XLOOKUP(A763,'[1]Tissue Data'!$A:$A,'[1]Tissue Data'!M:M)</f>
        <v>5.7</v>
      </c>
      <c r="K763" t="s">
        <v>23</v>
      </c>
      <c r="L763" t="str">
        <f>_xlfn.XLOOKUP(K763,[2]analyte_order!$B:$B,[2]analyte_order!$C:$C)</f>
        <v>67905-19-5</v>
      </c>
      <c r="M763">
        <f>_xlfn.XLOOKUP(L763,[2]analyte_order!$C:$C,[2]analyte_order!$E:$E)</f>
        <v>12</v>
      </c>
      <c r="N763">
        <v>8.3893351805698943E-2</v>
      </c>
    </row>
    <row r="764" spans="1:14">
      <c r="A764" t="s">
        <v>310</v>
      </c>
      <c r="B764" t="str">
        <f>_xlfn.XLOOKUP(A764,'[1]Tissue Data'!$A:$A,'[1]Tissue Data'!$C:$C)</f>
        <v>Down</v>
      </c>
      <c r="C764" s="2">
        <f>_xlfn.XLOOKUP(A764,'[1]Tissue Data'!$A:$A,'[1]Tissue Data'!$D:$D)</f>
        <v>44314</v>
      </c>
      <c r="D764" s="2" t="s">
        <v>131</v>
      </c>
      <c r="E764" t="str">
        <f>_xlfn.XLOOKUP(A764,'[1]Tissue Data'!$A:$A,'[1]Tissue Data'!$H:$H)</f>
        <v>Clinostomus</v>
      </c>
      <c r="F764" t="str">
        <f>_xlfn.XLOOKUP(A764,'[1]Tissue Data'!$A:$A,'[1]Tissue Data'!$I:$I)</f>
        <v>funduloides</v>
      </c>
      <c r="G764" t="str">
        <f>_xlfn.XLOOKUP(A764,'[1]Tissue Data'!$A:$A,'[1]Tissue Data'!J:J)</f>
        <v>U</v>
      </c>
      <c r="H764" t="str">
        <f>_xlfn.XLOOKUP(A764,'[1]Tissue Data'!$A:$A,'[1]Tissue Data'!K:K)</f>
        <v>Whole Body</v>
      </c>
      <c r="I764">
        <f>_xlfn.XLOOKUP(A764,'[1]Tissue Data'!$A:$A,'[1]Tissue Data'!L:L)</f>
        <v>8</v>
      </c>
      <c r="J764">
        <f>_xlfn.XLOOKUP(A764,'[1]Tissue Data'!$A:$A,'[1]Tissue Data'!M:M)</f>
        <v>5.7</v>
      </c>
      <c r="K764" t="s">
        <v>24</v>
      </c>
      <c r="L764" t="str">
        <f>_xlfn.XLOOKUP(K764,[2]analyte_order!$B:$B,[2]analyte_order!$C:$C)</f>
        <v>423-41-6</v>
      </c>
      <c r="M764">
        <f>_xlfn.XLOOKUP(L764,[2]analyte_order!$C:$C,[2]analyte_order!$E:$E)</f>
        <v>53</v>
      </c>
      <c r="N764">
        <v>5.3705904284018169E-2</v>
      </c>
    </row>
    <row r="765" spans="1:14">
      <c r="A765" t="s">
        <v>310</v>
      </c>
      <c r="B765" t="str">
        <f>_xlfn.XLOOKUP(A765,'[1]Tissue Data'!$A:$A,'[1]Tissue Data'!$C:$C)</f>
        <v>Down</v>
      </c>
      <c r="C765" s="2">
        <f>_xlfn.XLOOKUP(A765,'[1]Tissue Data'!$A:$A,'[1]Tissue Data'!$D:$D)</f>
        <v>44314</v>
      </c>
      <c r="D765" s="2" t="s">
        <v>131</v>
      </c>
      <c r="E765" t="str">
        <f>_xlfn.XLOOKUP(A765,'[1]Tissue Data'!$A:$A,'[1]Tissue Data'!$H:$H)</f>
        <v>Clinostomus</v>
      </c>
      <c r="F765" t="str">
        <f>_xlfn.XLOOKUP(A765,'[1]Tissue Data'!$A:$A,'[1]Tissue Data'!$I:$I)</f>
        <v>funduloides</v>
      </c>
      <c r="G765" t="str">
        <f>_xlfn.XLOOKUP(A765,'[1]Tissue Data'!$A:$A,'[1]Tissue Data'!J:J)</f>
        <v>U</v>
      </c>
      <c r="H765" t="str">
        <f>_xlfn.XLOOKUP(A765,'[1]Tissue Data'!$A:$A,'[1]Tissue Data'!K:K)</f>
        <v>Whole Body</v>
      </c>
      <c r="I765">
        <f>_xlfn.XLOOKUP(A765,'[1]Tissue Data'!$A:$A,'[1]Tissue Data'!L:L)</f>
        <v>8</v>
      </c>
      <c r="J765">
        <f>_xlfn.XLOOKUP(A765,'[1]Tissue Data'!$A:$A,'[1]Tissue Data'!M:M)</f>
        <v>5.7</v>
      </c>
      <c r="K765" t="s">
        <v>25</v>
      </c>
      <c r="L765" t="str">
        <f>_xlfn.XLOOKUP(K765,[2]analyte_order!$B:$B,[2]analyte_order!$C:$C)</f>
        <v>375-73-5</v>
      </c>
      <c r="M765">
        <f>_xlfn.XLOOKUP(L765,[2]analyte_order!$C:$C,[2]analyte_order!$E:$E)</f>
        <v>14</v>
      </c>
      <c r="N765">
        <v>0.16533912423099761</v>
      </c>
    </row>
    <row r="766" spans="1:14">
      <c r="A766" t="s">
        <v>310</v>
      </c>
      <c r="B766" t="str">
        <f>_xlfn.XLOOKUP(A766,'[1]Tissue Data'!$A:$A,'[1]Tissue Data'!$C:$C)</f>
        <v>Down</v>
      </c>
      <c r="C766" s="2">
        <f>_xlfn.XLOOKUP(A766,'[1]Tissue Data'!$A:$A,'[1]Tissue Data'!$D:$D)</f>
        <v>44314</v>
      </c>
      <c r="D766" s="2" t="s">
        <v>131</v>
      </c>
      <c r="E766" t="str">
        <f>_xlfn.XLOOKUP(A766,'[1]Tissue Data'!$A:$A,'[1]Tissue Data'!$H:$H)</f>
        <v>Clinostomus</v>
      </c>
      <c r="F766" t="str">
        <f>_xlfn.XLOOKUP(A766,'[1]Tissue Data'!$A:$A,'[1]Tissue Data'!$I:$I)</f>
        <v>funduloides</v>
      </c>
      <c r="G766" t="str">
        <f>_xlfn.XLOOKUP(A766,'[1]Tissue Data'!$A:$A,'[1]Tissue Data'!J:J)</f>
        <v>U</v>
      </c>
      <c r="H766" t="str">
        <f>_xlfn.XLOOKUP(A766,'[1]Tissue Data'!$A:$A,'[1]Tissue Data'!K:K)</f>
        <v>Whole Body</v>
      </c>
      <c r="I766">
        <f>_xlfn.XLOOKUP(A766,'[1]Tissue Data'!$A:$A,'[1]Tissue Data'!L:L)</f>
        <v>8</v>
      </c>
      <c r="J766">
        <f>_xlfn.XLOOKUP(A766,'[1]Tissue Data'!$A:$A,'[1]Tissue Data'!M:M)</f>
        <v>5.7</v>
      </c>
      <c r="K766" t="s">
        <v>26</v>
      </c>
      <c r="L766" t="str">
        <f>_xlfn.XLOOKUP(K766,[2]analyte_order!$B:$B,[2]analyte_order!$C:$C)</f>
        <v>2706-91-4</v>
      </c>
      <c r="M766">
        <f>_xlfn.XLOOKUP(L766,[2]analyte_order!$C:$C,[2]analyte_order!$E:$E)</f>
        <v>15</v>
      </c>
      <c r="N766">
        <v>0.442</v>
      </c>
    </row>
    <row r="767" spans="1:14">
      <c r="A767" t="s">
        <v>310</v>
      </c>
      <c r="B767" t="str">
        <f>_xlfn.XLOOKUP(A767,'[1]Tissue Data'!$A:$A,'[1]Tissue Data'!$C:$C)</f>
        <v>Down</v>
      </c>
      <c r="C767" s="2">
        <f>_xlfn.XLOOKUP(A767,'[1]Tissue Data'!$A:$A,'[1]Tissue Data'!$D:$D)</f>
        <v>44314</v>
      </c>
      <c r="D767" s="2" t="s">
        <v>131</v>
      </c>
      <c r="E767" t="str">
        <f>_xlfn.XLOOKUP(A767,'[1]Tissue Data'!$A:$A,'[1]Tissue Data'!$H:$H)</f>
        <v>Clinostomus</v>
      </c>
      <c r="F767" t="str">
        <f>_xlfn.XLOOKUP(A767,'[1]Tissue Data'!$A:$A,'[1]Tissue Data'!$I:$I)</f>
        <v>funduloides</v>
      </c>
      <c r="G767" t="str">
        <f>_xlfn.XLOOKUP(A767,'[1]Tissue Data'!$A:$A,'[1]Tissue Data'!J:J)</f>
        <v>U</v>
      </c>
      <c r="H767" t="str">
        <f>_xlfn.XLOOKUP(A767,'[1]Tissue Data'!$A:$A,'[1]Tissue Data'!K:K)</f>
        <v>Whole Body</v>
      </c>
      <c r="I767">
        <f>_xlfn.XLOOKUP(A767,'[1]Tissue Data'!$A:$A,'[1]Tissue Data'!L:L)</f>
        <v>8</v>
      </c>
      <c r="J767">
        <f>_xlfn.XLOOKUP(A767,'[1]Tissue Data'!$A:$A,'[1]Tissue Data'!M:M)</f>
        <v>5.7</v>
      </c>
      <c r="K767" t="s">
        <v>27</v>
      </c>
      <c r="L767" t="str">
        <f>_xlfn.XLOOKUP(K767,[2]analyte_order!$B:$B,[2]analyte_order!$C:$C)</f>
        <v>355-46-4</v>
      </c>
      <c r="M767">
        <f>_xlfn.XLOOKUP(L767,[2]analyte_order!$C:$C,[2]analyte_order!$E:$E)</f>
        <v>16</v>
      </c>
      <c r="N767">
        <v>16.7</v>
      </c>
    </row>
    <row r="768" spans="1:14">
      <c r="A768" t="s">
        <v>310</v>
      </c>
      <c r="B768" t="str">
        <f>_xlfn.XLOOKUP(A768,'[1]Tissue Data'!$A:$A,'[1]Tissue Data'!$C:$C)</f>
        <v>Down</v>
      </c>
      <c r="C768" s="2">
        <f>_xlfn.XLOOKUP(A768,'[1]Tissue Data'!$A:$A,'[1]Tissue Data'!$D:$D)</f>
        <v>44314</v>
      </c>
      <c r="D768" s="2" t="s">
        <v>131</v>
      </c>
      <c r="E768" t="str">
        <f>_xlfn.XLOOKUP(A768,'[1]Tissue Data'!$A:$A,'[1]Tissue Data'!$H:$H)</f>
        <v>Clinostomus</v>
      </c>
      <c r="F768" t="str">
        <f>_xlfn.XLOOKUP(A768,'[1]Tissue Data'!$A:$A,'[1]Tissue Data'!$I:$I)</f>
        <v>funduloides</v>
      </c>
      <c r="G768" t="str">
        <f>_xlfn.XLOOKUP(A768,'[1]Tissue Data'!$A:$A,'[1]Tissue Data'!J:J)</f>
        <v>U</v>
      </c>
      <c r="H768" t="str">
        <f>_xlfn.XLOOKUP(A768,'[1]Tissue Data'!$A:$A,'[1]Tissue Data'!K:K)</f>
        <v>Whole Body</v>
      </c>
      <c r="I768">
        <f>_xlfn.XLOOKUP(A768,'[1]Tissue Data'!$A:$A,'[1]Tissue Data'!L:L)</f>
        <v>8</v>
      </c>
      <c r="J768">
        <f>_xlfn.XLOOKUP(A768,'[1]Tissue Data'!$A:$A,'[1]Tissue Data'!M:M)</f>
        <v>5.7</v>
      </c>
      <c r="K768" t="s">
        <v>28</v>
      </c>
      <c r="L768" t="str">
        <f>_xlfn.XLOOKUP(K768,[2]analyte_order!$B:$B,[2]analyte_order!$C:$C)</f>
        <v>375-92-8</v>
      </c>
      <c r="M768">
        <f>_xlfn.XLOOKUP(L768,[2]analyte_order!$C:$C,[2]analyte_order!$E:$E)</f>
        <v>17</v>
      </c>
      <c r="N768">
        <v>7.39</v>
      </c>
    </row>
    <row r="769" spans="1:14">
      <c r="A769" t="s">
        <v>310</v>
      </c>
      <c r="B769" t="str">
        <f>_xlfn.XLOOKUP(A769,'[1]Tissue Data'!$A:$A,'[1]Tissue Data'!$C:$C)</f>
        <v>Down</v>
      </c>
      <c r="C769" s="2">
        <f>_xlfn.XLOOKUP(A769,'[1]Tissue Data'!$A:$A,'[1]Tissue Data'!$D:$D)</f>
        <v>44314</v>
      </c>
      <c r="D769" s="2" t="s">
        <v>131</v>
      </c>
      <c r="E769" t="str">
        <f>_xlfn.XLOOKUP(A769,'[1]Tissue Data'!$A:$A,'[1]Tissue Data'!$H:$H)</f>
        <v>Clinostomus</v>
      </c>
      <c r="F769" t="str">
        <f>_xlfn.XLOOKUP(A769,'[1]Tissue Data'!$A:$A,'[1]Tissue Data'!$I:$I)</f>
        <v>funduloides</v>
      </c>
      <c r="G769" t="str">
        <f>_xlfn.XLOOKUP(A769,'[1]Tissue Data'!$A:$A,'[1]Tissue Data'!J:J)</f>
        <v>U</v>
      </c>
      <c r="H769" t="str">
        <f>_xlfn.XLOOKUP(A769,'[1]Tissue Data'!$A:$A,'[1]Tissue Data'!K:K)</f>
        <v>Whole Body</v>
      </c>
      <c r="I769">
        <f>_xlfn.XLOOKUP(A769,'[1]Tissue Data'!$A:$A,'[1]Tissue Data'!L:L)</f>
        <v>8</v>
      </c>
      <c r="J769">
        <f>_xlfn.XLOOKUP(A769,'[1]Tissue Data'!$A:$A,'[1]Tissue Data'!M:M)</f>
        <v>5.7</v>
      </c>
      <c r="K769" t="s">
        <v>29</v>
      </c>
      <c r="L769" t="str">
        <f>_xlfn.XLOOKUP(K769,[2]analyte_order!$B:$B,[2]analyte_order!$C:$C)</f>
        <v>1763-23-1</v>
      </c>
      <c r="M769">
        <f>_xlfn.XLOOKUP(L769,[2]analyte_order!$C:$C,[2]analyte_order!$E:$E)</f>
        <v>18</v>
      </c>
      <c r="N769">
        <v>1750</v>
      </c>
    </row>
    <row r="770" spans="1:14">
      <c r="A770" t="s">
        <v>310</v>
      </c>
      <c r="B770" t="str">
        <f>_xlfn.XLOOKUP(A770,'[1]Tissue Data'!$A:$A,'[1]Tissue Data'!$C:$C)</f>
        <v>Down</v>
      </c>
      <c r="C770" s="2">
        <f>_xlfn.XLOOKUP(A770,'[1]Tissue Data'!$A:$A,'[1]Tissue Data'!$D:$D)</f>
        <v>44314</v>
      </c>
      <c r="D770" s="2" t="s">
        <v>131</v>
      </c>
      <c r="E770" t="str">
        <f>_xlfn.XLOOKUP(A770,'[1]Tissue Data'!$A:$A,'[1]Tissue Data'!$H:$H)</f>
        <v>Clinostomus</v>
      </c>
      <c r="F770" t="str">
        <f>_xlfn.XLOOKUP(A770,'[1]Tissue Data'!$A:$A,'[1]Tissue Data'!$I:$I)</f>
        <v>funduloides</v>
      </c>
      <c r="G770" t="str">
        <f>_xlfn.XLOOKUP(A770,'[1]Tissue Data'!$A:$A,'[1]Tissue Data'!J:J)</f>
        <v>U</v>
      </c>
      <c r="H770" t="str">
        <f>_xlfn.XLOOKUP(A770,'[1]Tissue Data'!$A:$A,'[1]Tissue Data'!K:K)</f>
        <v>Whole Body</v>
      </c>
      <c r="I770">
        <f>_xlfn.XLOOKUP(A770,'[1]Tissue Data'!$A:$A,'[1]Tissue Data'!L:L)</f>
        <v>8</v>
      </c>
      <c r="J770">
        <f>_xlfn.XLOOKUP(A770,'[1]Tissue Data'!$A:$A,'[1]Tissue Data'!M:M)</f>
        <v>5.7</v>
      </c>
      <c r="K770" t="s">
        <v>30</v>
      </c>
      <c r="L770" t="str">
        <f>_xlfn.XLOOKUP(K770,[2]analyte_order!$B:$B,[2]analyte_order!$C:$C)</f>
        <v>68259-12-1</v>
      </c>
      <c r="M770">
        <f>_xlfn.XLOOKUP(L770,[2]analyte_order!$C:$C,[2]analyte_order!$E:$E)</f>
        <v>19</v>
      </c>
      <c r="N770">
        <v>1.35</v>
      </c>
    </row>
    <row r="771" spans="1:14">
      <c r="A771" t="s">
        <v>310</v>
      </c>
      <c r="B771" t="str">
        <f>_xlfn.XLOOKUP(A771,'[1]Tissue Data'!$A:$A,'[1]Tissue Data'!$C:$C)</f>
        <v>Down</v>
      </c>
      <c r="C771" s="2">
        <f>_xlfn.XLOOKUP(A771,'[1]Tissue Data'!$A:$A,'[1]Tissue Data'!$D:$D)</f>
        <v>44314</v>
      </c>
      <c r="D771" s="2" t="s">
        <v>131</v>
      </c>
      <c r="E771" t="str">
        <f>_xlfn.XLOOKUP(A771,'[1]Tissue Data'!$A:$A,'[1]Tissue Data'!$H:$H)</f>
        <v>Clinostomus</v>
      </c>
      <c r="F771" t="str">
        <f>_xlfn.XLOOKUP(A771,'[1]Tissue Data'!$A:$A,'[1]Tissue Data'!$I:$I)</f>
        <v>funduloides</v>
      </c>
      <c r="G771" t="str">
        <f>_xlfn.XLOOKUP(A771,'[1]Tissue Data'!$A:$A,'[1]Tissue Data'!J:J)</f>
        <v>U</v>
      </c>
      <c r="H771" t="str">
        <f>_xlfn.XLOOKUP(A771,'[1]Tissue Data'!$A:$A,'[1]Tissue Data'!K:K)</f>
        <v>Whole Body</v>
      </c>
      <c r="I771">
        <f>_xlfn.XLOOKUP(A771,'[1]Tissue Data'!$A:$A,'[1]Tissue Data'!L:L)</f>
        <v>8</v>
      </c>
      <c r="J771">
        <f>_xlfn.XLOOKUP(A771,'[1]Tissue Data'!$A:$A,'[1]Tissue Data'!M:M)</f>
        <v>5.7</v>
      </c>
      <c r="K771" t="s">
        <v>31</v>
      </c>
      <c r="L771" t="str">
        <f>_xlfn.XLOOKUP(K771,[2]analyte_order!$B:$B,[2]analyte_order!$C:$C)</f>
        <v>335-77-3</v>
      </c>
      <c r="M771">
        <f>_xlfn.XLOOKUP(L771,[2]analyte_order!$C:$C,[2]analyte_order!$E:$E)</f>
        <v>20</v>
      </c>
      <c r="N771">
        <v>4.74</v>
      </c>
    </row>
    <row r="772" spans="1:14">
      <c r="A772" t="s">
        <v>310</v>
      </c>
      <c r="B772" t="str">
        <f>_xlfn.XLOOKUP(A772,'[1]Tissue Data'!$A:$A,'[1]Tissue Data'!$C:$C)</f>
        <v>Down</v>
      </c>
      <c r="C772" s="2">
        <f>_xlfn.XLOOKUP(A772,'[1]Tissue Data'!$A:$A,'[1]Tissue Data'!$D:$D)</f>
        <v>44314</v>
      </c>
      <c r="D772" s="2" t="s">
        <v>131</v>
      </c>
      <c r="E772" t="str">
        <f>_xlfn.XLOOKUP(A772,'[1]Tissue Data'!$A:$A,'[1]Tissue Data'!$H:$H)</f>
        <v>Clinostomus</v>
      </c>
      <c r="F772" t="str">
        <f>_xlfn.XLOOKUP(A772,'[1]Tissue Data'!$A:$A,'[1]Tissue Data'!$I:$I)</f>
        <v>funduloides</v>
      </c>
      <c r="G772" t="str">
        <f>_xlfn.XLOOKUP(A772,'[1]Tissue Data'!$A:$A,'[1]Tissue Data'!J:J)</f>
        <v>U</v>
      </c>
      <c r="H772" t="str">
        <f>_xlfn.XLOOKUP(A772,'[1]Tissue Data'!$A:$A,'[1]Tissue Data'!K:K)</f>
        <v>Whole Body</v>
      </c>
      <c r="I772">
        <f>_xlfn.XLOOKUP(A772,'[1]Tissue Data'!$A:$A,'[1]Tissue Data'!L:L)</f>
        <v>8</v>
      </c>
      <c r="J772">
        <f>_xlfn.XLOOKUP(A772,'[1]Tissue Data'!$A:$A,'[1]Tissue Data'!M:M)</f>
        <v>5.7</v>
      </c>
      <c r="K772" t="s">
        <v>32</v>
      </c>
      <c r="L772" t="str">
        <f>_xlfn.XLOOKUP(K772,[2]analyte_order!$B:$B,[2]analyte_order!$C:$C)</f>
        <v>79780-39-5</v>
      </c>
      <c r="M772">
        <f>_xlfn.XLOOKUP(L772,[2]analyte_order!$C:$C,[2]analyte_order!$E:$E)</f>
        <v>21</v>
      </c>
      <c r="N772">
        <v>1.1100000000000001</v>
      </c>
    </row>
    <row r="773" spans="1:14">
      <c r="A773" t="s">
        <v>310</v>
      </c>
      <c r="B773" t="str">
        <f>_xlfn.XLOOKUP(A773,'[1]Tissue Data'!$A:$A,'[1]Tissue Data'!$C:$C)</f>
        <v>Down</v>
      </c>
      <c r="C773" s="2">
        <f>_xlfn.XLOOKUP(A773,'[1]Tissue Data'!$A:$A,'[1]Tissue Data'!$D:$D)</f>
        <v>44314</v>
      </c>
      <c r="D773" s="2" t="s">
        <v>131</v>
      </c>
      <c r="E773" t="str">
        <f>_xlfn.XLOOKUP(A773,'[1]Tissue Data'!$A:$A,'[1]Tissue Data'!$H:$H)</f>
        <v>Clinostomus</v>
      </c>
      <c r="F773" t="str">
        <f>_xlfn.XLOOKUP(A773,'[1]Tissue Data'!$A:$A,'[1]Tissue Data'!$I:$I)</f>
        <v>funduloides</v>
      </c>
      <c r="G773" t="str">
        <f>_xlfn.XLOOKUP(A773,'[1]Tissue Data'!$A:$A,'[1]Tissue Data'!J:J)</f>
        <v>U</v>
      </c>
      <c r="H773" t="str">
        <f>_xlfn.XLOOKUP(A773,'[1]Tissue Data'!$A:$A,'[1]Tissue Data'!K:K)</f>
        <v>Whole Body</v>
      </c>
      <c r="I773">
        <f>_xlfn.XLOOKUP(A773,'[1]Tissue Data'!$A:$A,'[1]Tissue Data'!L:L)</f>
        <v>8</v>
      </c>
      <c r="J773">
        <f>_xlfn.XLOOKUP(A773,'[1]Tissue Data'!$A:$A,'[1]Tissue Data'!M:M)</f>
        <v>5.7</v>
      </c>
      <c r="K773" t="s">
        <v>33</v>
      </c>
      <c r="L773" t="str">
        <f>_xlfn.XLOOKUP(K773,[2]analyte_order!$B:$B,[2]analyte_order!$C:$C)</f>
        <v>777011-38-8</v>
      </c>
      <c r="M773">
        <f>_xlfn.XLOOKUP(L773,[2]analyte_order!$C:$C,[2]analyte_order!$E:$E)</f>
        <v>54</v>
      </c>
      <c r="N773">
        <v>0.14762356215819475</v>
      </c>
    </row>
    <row r="774" spans="1:14">
      <c r="A774" t="s">
        <v>310</v>
      </c>
      <c r="B774" t="str">
        <f>_xlfn.XLOOKUP(A774,'[1]Tissue Data'!$A:$A,'[1]Tissue Data'!$C:$C)</f>
        <v>Down</v>
      </c>
      <c r="C774" s="2">
        <f>_xlfn.XLOOKUP(A774,'[1]Tissue Data'!$A:$A,'[1]Tissue Data'!$D:$D)</f>
        <v>44314</v>
      </c>
      <c r="D774" s="2" t="s">
        <v>131</v>
      </c>
      <c r="E774" t="str">
        <f>_xlfn.XLOOKUP(A774,'[1]Tissue Data'!$A:$A,'[1]Tissue Data'!$H:$H)</f>
        <v>Clinostomus</v>
      </c>
      <c r="F774" t="str">
        <f>_xlfn.XLOOKUP(A774,'[1]Tissue Data'!$A:$A,'[1]Tissue Data'!$I:$I)</f>
        <v>funduloides</v>
      </c>
      <c r="G774" t="str">
        <f>_xlfn.XLOOKUP(A774,'[1]Tissue Data'!$A:$A,'[1]Tissue Data'!J:J)</f>
        <v>U</v>
      </c>
      <c r="H774" t="str">
        <f>_xlfn.XLOOKUP(A774,'[1]Tissue Data'!$A:$A,'[1]Tissue Data'!K:K)</f>
        <v>Whole Body</v>
      </c>
      <c r="I774">
        <f>_xlfn.XLOOKUP(A774,'[1]Tissue Data'!$A:$A,'[1]Tissue Data'!L:L)</f>
        <v>8</v>
      </c>
      <c r="J774">
        <f>_xlfn.XLOOKUP(A774,'[1]Tissue Data'!$A:$A,'[1]Tissue Data'!M:M)</f>
        <v>5.7</v>
      </c>
      <c r="K774" t="s">
        <v>34</v>
      </c>
      <c r="L774" t="str">
        <f>_xlfn.XLOOKUP(K774,[2]analyte_order!$B:$B,[2]analyte_order!$C:$C)</f>
        <v>646-83-3</v>
      </c>
      <c r="M774">
        <f>_xlfn.XLOOKUP(L774,[2]analyte_order!$C:$C,[2]analyte_order!$E:$E)</f>
        <v>55</v>
      </c>
      <c r="N774">
        <v>0.57599999999999996</v>
      </c>
    </row>
    <row r="775" spans="1:14">
      <c r="A775" t="s">
        <v>310</v>
      </c>
      <c r="B775" t="str">
        <f>_xlfn.XLOOKUP(A775,'[1]Tissue Data'!$A:$A,'[1]Tissue Data'!$C:$C)</f>
        <v>Down</v>
      </c>
      <c r="C775" s="2">
        <f>_xlfn.XLOOKUP(A775,'[1]Tissue Data'!$A:$A,'[1]Tissue Data'!$D:$D)</f>
        <v>44314</v>
      </c>
      <c r="D775" s="2" t="s">
        <v>131</v>
      </c>
      <c r="E775" t="str">
        <f>_xlfn.XLOOKUP(A775,'[1]Tissue Data'!$A:$A,'[1]Tissue Data'!$H:$H)</f>
        <v>Clinostomus</v>
      </c>
      <c r="F775" t="str">
        <f>_xlfn.XLOOKUP(A775,'[1]Tissue Data'!$A:$A,'[1]Tissue Data'!$I:$I)</f>
        <v>funduloides</v>
      </c>
      <c r="G775" t="str">
        <f>_xlfn.XLOOKUP(A775,'[1]Tissue Data'!$A:$A,'[1]Tissue Data'!J:J)</f>
        <v>U</v>
      </c>
      <c r="H775" t="str">
        <f>_xlfn.XLOOKUP(A775,'[1]Tissue Data'!$A:$A,'[1]Tissue Data'!K:K)</f>
        <v>Whole Body</v>
      </c>
      <c r="I775">
        <f>_xlfn.XLOOKUP(A775,'[1]Tissue Data'!$A:$A,'[1]Tissue Data'!L:L)</f>
        <v>8</v>
      </c>
      <c r="J775">
        <f>_xlfn.XLOOKUP(A775,'[1]Tissue Data'!$A:$A,'[1]Tissue Data'!M:M)</f>
        <v>5.7</v>
      </c>
      <c r="K775" t="s">
        <v>35</v>
      </c>
      <c r="L775" t="str">
        <f>_xlfn.XLOOKUP(K775,[2]analyte_order!$B:$B,[2]analyte_order!$C:$C)</f>
        <v>30334-69-1</v>
      </c>
      <c r="M775">
        <f>_xlfn.XLOOKUP(L775,[2]analyte_order!$C:$C,[2]analyte_order!$E:$E)</f>
        <v>51</v>
      </c>
      <c r="N775">
        <v>185</v>
      </c>
    </row>
    <row r="776" spans="1:14">
      <c r="A776" t="s">
        <v>310</v>
      </c>
      <c r="B776" t="str">
        <f>_xlfn.XLOOKUP(A776,'[1]Tissue Data'!$A:$A,'[1]Tissue Data'!$C:$C)</f>
        <v>Down</v>
      </c>
      <c r="C776" s="2">
        <f>_xlfn.XLOOKUP(A776,'[1]Tissue Data'!$A:$A,'[1]Tissue Data'!$D:$D)</f>
        <v>44314</v>
      </c>
      <c r="D776" s="2" t="s">
        <v>131</v>
      </c>
      <c r="E776" t="str">
        <f>_xlfn.XLOOKUP(A776,'[1]Tissue Data'!$A:$A,'[1]Tissue Data'!$H:$H)</f>
        <v>Clinostomus</v>
      </c>
      <c r="F776" t="str">
        <f>_xlfn.XLOOKUP(A776,'[1]Tissue Data'!$A:$A,'[1]Tissue Data'!$I:$I)</f>
        <v>funduloides</v>
      </c>
      <c r="G776" t="str">
        <f>_xlfn.XLOOKUP(A776,'[1]Tissue Data'!$A:$A,'[1]Tissue Data'!J:J)</f>
        <v>U</v>
      </c>
      <c r="H776" t="str">
        <f>_xlfn.XLOOKUP(A776,'[1]Tissue Data'!$A:$A,'[1]Tissue Data'!K:K)</f>
        <v>Whole Body</v>
      </c>
      <c r="I776">
        <f>_xlfn.XLOOKUP(A776,'[1]Tissue Data'!$A:$A,'[1]Tissue Data'!L:L)</f>
        <v>8</v>
      </c>
      <c r="J776">
        <f>_xlfn.XLOOKUP(A776,'[1]Tissue Data'!$A:$A,'[1]Tissue Data'!M:M)</f>
        <v>5.7</v>
      </c>
      <c r="K776" t="s">
        <v>36</v>
      </c>
      <c r="L776" t="str">
        <f>_xlfn.XLOOKUP(K776,[2]analyte_order!$B:$B,[2]analyte_order!$C:$C)</f>
        <v>41997-13-1</v>
      </c>
      <c r="M776">
        <f>_xlfn.XLOOKUP(L776,[2]analyte_order!$C:$C,[2]analyte_order!$E:$E)</f>
        <v>52</v>
      </c>
      <c r="N776">
        <v>1050</v>
      </c>
    </row>
    <row r="777" spans="1:14">
      <c r="A777" t="s">
        <v>310</v>
      </c>
      <c r="B777" t="str">
        <f>_xlfn.XLOOKUP(A777,'[1]Tissue Data'!$A:$A,'[1]Tissue Data'!$C:$C)</f>
        <v>Down</v>
      </c>
      <c r="C777" s="2">
        <f>_xlfn.XLOOKUP(A777,'[1]Tissue Data'!$A:$A,'[1]Tissue Data'!$D:$D)</f>
        <v>44314</v>
      </c>
      <c r="D777" s="2" t="s">
        <v>131</v>
      </c>
      <c r="E777" t="str">
        <f>_xlfn.XLOOKUP(A777,'[1]Tissue Data'!$A:$A,'[1]Tissue Data'!$H:$H)</f>
        <v>Clinostomus</v>
      </c>
      <c r="F777" t="str">
        <f>_xlfn.XLOOKUP(A777,'[1]Tissue Data'!$A:$A,'[1]Tissue Data'!$I:$I)</f>
        <v>funduloides</v>
      </c>
      <c r="G777" t="str">
        <f>_xlfn.XLOOKUP(A777,'[1]Tissue Data'!$A:$A,'[1]Tissue Data'!J:J)</f>
        <v>U</v>
      </c>
      <c r="H777" t="str">
        <f>_xlfn.XLOOKUP(A777,'[1]Tissue Data'!$A:$A,'[1]Tissue Data'!K:K)</f>
        <v>Whole Body</v>
      </c>
      <c r="I777">
        <f>_xlfn.XLOOKUP(A777,'[1]Tissue Data'!$A:$A,'[1]Tissue Data'!L:L)</f>
        <v>8</v>
      </c>
      <c r="J777">
        <f>_xlfn.XLOOKUP(A777,'[1]Tissue Data'!$A:$A,'[1]Tissue Data'!M:M)</f>
        <v>5.7</v>
      </c>
      <c r="K777" t="s">
        <v>37</v>
      </c>
      <c r="L777" t="str">
        <f>_xlfn.XLOOKUP(K777,[2]analyte_order!$B:$B,[2]analyte_order!$C:$C)</f>
        <v>754-91-6</v>
      </c>
      <c r="M777">
        <f>_xlfn.XLOOKUP(L777,[2]analyte_order!$C:$C,[2]analyte_order!$E:$E)</f>
        <v>28</v>
      </c>
      <c r="N777">
        <v>93.4</v>
      </c>
    </row>
    <row r="778" spans="1:14">
      <c r="A778" t="s">
        <v>310</v>
      </c>
      <c r="B778" t="str">
        <f>_xlfn.XLOOKUP(A778,'[1]Tissue Data'!$A:$A,'[1]Tissue Data'!$C:$C)</f>
        <v>Down</v>
      </c>
      <c r="C778" s="2">
        <f>_xlfn.XLOOKUP(A778,'[1]Tissue Data'!$A:$A,'[1]Tissue Data'!$D:$D)</f>
        <v>44314</v>
      </c>
      <c r="D778" s="2" t="s">
        <v>131</v>
      </c>
      <c r="E778" t="str">
        <f>_xlfn.XLOOKUP(A778,'[1]Tissue Data'!$A:$A,'[1]Tissue Data'!$H:$H)</f>
        <v>Clinostomus</v>
      </c>
      <c r="F778" t="str">
        <f>_xlfn.XLOOKUP(A778,'[1]Tissue Data'!$A:$A,'[1]Tissue Data'!$I:$I)</f>
        <v>funduloides</v>
      </c>
      <c r="G778" t="str">
        <f>_xlfn.XLOOKUP(A778,'[1]Tissue Data'!$A:$A,'[1]Tissue Data'!J:J)</f>
        <v>U</v>
      </c>
      <c r="H778" t="str">
        <f>_xlfn.XLOOKUP(A778,'[1]Tissue Data'!$A:$A,'[1]Tissue Data'!K:K)</f>
        <v>Whole Body</v>
      </c>
      <c r="I778">
        <f>_xlfn.XLOOKUP(A778,'[1]Tissue Data'!$A:$A,'[1]Tissue Data'!L:L)</f>
        <v>8</v>
      </c>
      <c r="J778">
        <f>_xlfn.XLOOKUP(A778,'[1]Tissue Data'!$A:$A,'[1]Tissue Data'!M:M)</f>
        <v>5.7</v>
      </c>
      <c r="K778" t="s">
        <v>38</v>
      </c>
      <c r="L778" t="str">
        <f>_xlfn.XLOOKUP(K778,[2]analyte_order!$B:$B,[2]analyte_order!$C:$C)</f>
        <v>31506-32-8</v>
      </c>
      <c r="M778">
        <f>_xlfn.XLOOKUP(L778,[2]analyte_order!$C:$C,[2]analyte_order!$E:$E)</f>
        <v>30</v>
      </c>
      <c r="N778">
        <v>5.4228917295065036E-2</v>
      </c>
    </row>
    <row r="779" spans="1:14">
      <c r="A779" t="s">
        <v>310</v>
      </c>
      <c r="B779" t="str">
        <f>_xlfn.XLOOKUP(A779,'[1]Tissue Data'!$A:$A,'[1]Tissue Data'!$C:$C)</f>
        <v>Down</v>
      </c>
      <c r="C779" s="2">
        <f>_xlfn.XLOOKUP(A779,'[1]Tissue Data'!$A:$A,'[1]Tissue Data'!$D:$D)</f>
        <v>44314</v>
      </c>
      <c r="D779" s="2" t="s">
        <v>131</v>
      </c>
      <c r="E779" t="str">
        <f>_xlfn.XLOOKUP(A779,'[1]Tissue Data'!$A:$A,'[1]Tissue Data'!$H:$H)</f>
        <v>Clinostomus</v>
      </c>
      <c r="F779" t="str">
        <f>_xlfn.XLOOKUP(A779,'[1]Tissue Data'!$A:$A,'[1]Tissue Data'!$I:$I)</f>
        <v>funduloides</v>
      </c>
      <c r="G779" t="str">
        <f>_xlfn.XLOOKUP(A779,'[1]Tissue Data'!$A:$A,'[1]Tissue Data'!J:J)</f>
        <v>U</v>
      </c>
      <c r="H779" t="str">
        <f>_xlfn.XLOOKUP(A779,'[1]Tissue Data'!$A:$A,'[1]Tissue Data'!K:K)</f>
        <v>Whole Body</v>
      </c>
      <c r="I779">
        <f>_xlfn.XLOOKUP(A779,'[1]Tissue Data'!$A:$A,'[1]Tissue Data'!L:L)</f>
        <v>8</v>
      </c>
      <c r="J779">
        <f>_xlfn.XLOOKUP(A779,'[1]Tissue Data'!$A:$A,'[1]Tissue Data'!M:M)</f>
        <v>5.7</v>
      </c>
      <c r="K779" t="s">
        <v>39</v>
      </c>
      <c r="L779" t="str">
        <f>_xlfn.XLOOKUP(K779,[2]analyte_order!$B:$B,[2]analyte_order!$C:$C)</f>
        <v>4151-50-2</v>
      </c>
      <c r="M779">
        <f>_xlfn.XLOOKUP(L779,[2]analyte_order!$C:$C,[2]analyte_order!$E:$E)</f>
        <v>31</v>
      </c>
      <c r="N779">
        <v>8.2144672233636168E-2</v>
      </c>
    </row>
    <row r="780" spans="1:14">
      <c r="A780" t="s">
        <v>310</v>
      </c>
      <c r="B780" t="str">
        <f>_xlfn.XLOOKUP(A780,'[1]Tissue Data'!$A:$A,'[1]Tissue Data'!$C:$C)</f>
        <v>Down</v>
      </c>
      <c r="C780" s="2">
        <f>_xlfn.XLOOKUP(A780,'[1]Tissue Data'!$A:$A,'[1]Tissue Data'!$D:$D)</f>
        <v>44314</v>
      </c>
      <c r="D780" s="2" t="s">
        <v>131</v>
      </c>
      <c r="E780" t="str">
        <f>_xlfn.XLOOKUP(A780,'[1]Tissue Data'!$A:$A,'[1]Tissue Data'!$H:$H)</f>
        <v>Clinostomus</v>
      </c>
      <c r="F780" t="str">
        <f>_xlfn.XLOOKUP(A780,'[1]Tissue Data'!$A:$A,'[1]Tissue Data'!$I:$I)</f>
        <v>funduloides</v>
      </c>
      <c r="G780" t="str">
        <f>_xlfn.XLOOKUP(A780,'[1]Tissue Data'!$A:$A,'[1]Tissue Data'!J:J)</f>
        <v>U</v>
      </c>
      <c r="H780" t="str">
        <f>_xlfn.XLOOKUP(A780,'[1]Tissue Data'!$A:$A,'[1]Tissue Data'!K:K)</f>
        <v>Whole Body</v>
      </c>
      <c r="I780">
        <f>_xlfn.XLOOKUP(A780,'[1]Tissue Data'!$A:$A,'[1]Tissue Data'!L:L)</f>
        <v>8</v>
      </c>
      <c r="J780">
        <f>_xlfn.XLOOKUP(A780,'[1]Tissue Data'!$A:$A,'[1]Tissue Data'!M:M)</f>
        <v>5.7</v>
      </c>
      <c r="K780" t="s">
        <v>40</v>
      </c>
      <c r="L780" t="str">
        <f>_xlfn.XLOOKUP(K780,[2]analyte_order!$B:$B,[2]analyte_order!$C:$C)</f>
        <v>2806-24-8</v>
      </c>
      <c r="M780">
        <f>_xlfn.XLOOKUP(L780,[2]analyte_order!$C:$C,[2]analyte_order!$E:$E)</f>
        <v>29</v>
      </c>
      <c r="N780">
        <v>5.5485556362791656E-2</v>
      </c>
    </row>
    <row r="781" spans="1:14">
      <c r="A781" t="s">
        <v>310</v>
      </c>
      <c r="B781" t="str">
        <f>_xlfn.XLOOKUP(A781,'[1]Tissue Data'!$A:$A,'[1]Tissue Data'!$C:$C)</f>
        <v>Down</v>
      </c>
      <c r="C781" s="2">
        <f>_xlfn.XLOOKUP(A781,'[1]Tissue Data'!$A:$A,'[1]Tissue Data'!$D:$D)</f>
        <v>44314</v>
      </c>
      <c r="D781" s="2" t="s">
        <v>131</v>
      </c>
      <c r="E781" t="str">
        <f>_xlfn.XLOOKUP(A781,'[1]Tissue Data'!$A:$A,'[1]Tissue Data'!$H:$H)</f>
        <v>Clinostomus</v>
      </c>
      <c r="F781" t="str">
        <f>_xlfn.XLOOKUP(A781,'[1]Tissue Data'!$A:$A,'[1]Tissue Data'!$I:$I)</f>
        <v>funduloides</v>
      </c>
      <c r="G781" t="str">
        <f>_xlfn.XLOOKUP(A781,'[1]Tissue Data'!$A:$A,'[1]Tissue Data'!J:J)</f>
        <v>U</v>
      </c>
      <c r="H781" t="str">
        <f>_xlfn.XLOOKUP(A781,'[1]Tissue Data'!$A:$A,'[1]Tissue Data'!K:K)</f>
        <v>Whole Body</v>
      </c>
      <c r="I781">
        <f>_xlfn.XLOOKUP(A781,'[1]Tissue Data'!$A:$A,'[1]Tissue Data'!L:L)</f>
        <v>8</v>
      </c>
      <c r="J781">
        <f>_xlfn.XLOOKUP(A781,'[1]Tissue Data'!$A:$A,'[1]Tissue Data'!M:M)</f>
        <v>5.7</v>
      </c>
      <c r="K781" t="s">
        <v>41</v>
      </c>
      <c r="L781" t="str">
        <f>_xlfn.XLOOKUP(K781,[2]analyte_order!$B:$B,[2]analyte_order!$C:$C)</f>
        <v>2355-31-9</v>
      </c>
      <c r="M781">
        <f>_xlfn.XLOOKUP(L781,[2]analyte_order!$C:$C,[2]analyte_order!$E:$E)</f>
        <v>26</v>
      </c>
      <c r="N781">
        <v>7.081802652952715E-2</v>
      </c>
    </row>
    <row r="782" spans="1:14">
      <c r="A782" t="s">
        <v>310</v>
      </c>
      <c r="B782" t="str">
        <f>_xlfn.XLOOKUP(A782,'[1]Tissue Data'!$A:$A,'[1]Tissue Data'!$C:$C)</f>
        <v>Down</v>
      </c>
      <c r="C782" s="2">
        <f>_xlfn.XLOOKUP(A782,'[1]Tissue Data'!$A:$A,'[1]Tissue Data'!$D:$D)</f>
        <v>44314</v>
      </c>
      <c r="D782" s="2" t="s">
        <v>131</v>
      </c>
      <c r="E782" t="str">
        <f>_xlfn.XLOOKUP(A782,'[1]Tissue Data'!$A:$A,'[1]Tissue Data'!$H:$H)</f>
        <v>Clinostomus</v>
      </c>
      <c r="F782" t="str">
        <f>_xlfn.XLOOKUP(A782,'[1]Tissue Data'!$A:$A,'[1]Tissue Data'!$I:$I)</f>
        <v>funduloides</v>
      </c>
      <c r="G782" t="str">
        <f>_xlfn.XLOOKUP(A782,'[1]Tissue Data'!$A:$A,'[1]Tissue Data'!J:J)</f>
        <v>U</v>
      </c>
      <c r="H782" t="str">
        <f>_xlfn.XLOOKUP(A782,'[1]Tissue Data'!$A:$A,'[1]Tissue Data'!K:K)</f>
        <v>Whole Body</v>
      </c>
      <c r="I782">
        <f>_xlfn.XLOOKUP(A782,'[1]Tissue Data'!$A:$A,'[1]Tissue Data'!L:L)</f>
        <v>8</v>
      </c>
      <c r="J782">
        <f>_xlfn.XLOOKUP(A782,'[1]Tissue Data'!$A:$A,'[1]Tissue Data'!M:M)</f>
        <v>5.7</v>
      </c>
      <c r="K782" t="s">
        <v>42</v>
      </c>
      <c r="L782" t="str">
        <f>_xlfn.XLOOKUP(K782,[2]analyte_order!$B:$B,[2]analyte_order!$C:$C)</f>
        <v>2991-50-6</v>
      </c>
      <c r="M782">
        <f>_xlfn.XLOOKUP(L782,[2]analyte_order!$C:$C,[2]analyte_order!$E:$E)</f>
        <v>27</v>
      </c>
      <c r="N782">
        <v>6.1099698628432786E-2</v>
      </c>
    </row>
    <row r="783" spans="1:14">
      <c r="A783" t="s">
        <v>310</v>
      </c>
      <c r="B783" t="str">
        <f>_xlfn.XLOOKUP(A783,'[1]Tissue Data'!$A:$A,'[1]Tissue Data'!$C:$C)</f>
        <v>Down</v>
      </c>
      <c r="C783" s="2">
        <f>_xlfn.XLOOKUP(A783,'[1]Tissue Data'!$A:$A,'[1]Tissue Data'!$D:$D)</f>
        <v>44314</v>
      </c>
      <c r="D783" s="2" t="s">
        <v>131</v>
      </c>
      <c r="E783" t="str">
        <f>_xlfn.XLOOKUP(A783,'[1]Tissue Data'!$A:$A,'[1]Tissue Data'!$H:$H)</f>
        <v>Clinostomus</v>
      </c>
      <c r="F783" t="str">
        <f>_xlfn.XLOOKUP(A783,'[1]Tissue Data'!$A:$A,'[1]Tissue Data'!$I:$I)</f>
        <v>funduloides</v>
      </c>
      <c r="G783" t="str">
        <f>_xlfn.XLOOKUP(A783,'[1]Tissue Data'!$A:$A,'[1]Tissue Data'!J:J)</f>
        <v>U</v>
      </c>
      <c r="H783" t="str">
        <f>_xlfn.XLOOKUP(A783,'[1]Tissue Data'!$A:$A,'[1]Tissue Data'!K:K)</f>
        <v>Whole Body</v>
      </c>
      <c r="I783">
        <f>_xlfn.XLOOKUP(A783,'[1]Tissue Data'!$A:$A,'[1]Tissue Data'!L:L)</f>
        <v>8</v>
      </c>
      <c r="J783">
        <f>_xlfn.XLOOKUP(A783,'[1]Tissue Data'!$A:$A,'[1]Tissue Data'!M:M)</f>
        <v>5.7</v>
      </c>
      <c r="K783" t="s">
        <v>43</v>
      </c>
      <c r="L783" t="str">
        <f>_xlfn.XLOOKUP(K783,[2]analyte_order!$B:$B,[2]analyte_order!$C:$C)</f>
        <v>757124-72-4</v>
      </c>
      <c r="M783">
        <f>_xlfn.XLOOKUP(L783,[2]analyte_order!$C:$C,[2]analyte_order!$E:$E)</f>
        <v>22</v>
      </c>
      <c r="N783">
        <v>5.7819287815403672E-2</v>
      </c>
    </row>
    <row r="784" spans="1:14">
      <c r="A784" t="s">
        <v>310</v>
      </c>
      <c r="B784" t="str">
        <f>_xlfn.XLOOKUP(A784,'[1]Tissue Data'!$A:$A,'[1]Tissue Data'!$C:$C)</f>
        <v>Down</v>
      </c>
      <c r="C784" s="2">
        <f>_xlfn.XLOOKUP(A784,'[1]Tissue Data'!$A:$A,'[1]Tissue Data'!$D:$D)</f>
        <v>44314</v>
      </c>
      <c r="D784" s="2" t="s">
        <v>131</v>
      </c>
      <c r="E784" t="str">
        <f>_xlfn.XLOOKUP(A784,'[1]Tissue Data'!$A:$A,'[1]Tissue Data'!$H:$H)</f>
        <v>Clinostomus</v>
      </c>
      <c r="F784" t="str">
        <f>_xlfn.XLOOKUP(A784,'[1]Tissue Data'!$A:$A,'[1]Tissue Data'!$I:$I)</f>
        <v>funduloides</v>
      </c>
      <c r="G784" t="str">
        <f>_xlfn.XLOOKUP(A784,'[1]Tissue Data'!$A:$A,'[1]Tissue Data'!J:J)</f>
        <v>U</v>
      </c>
      <c r="H784" t="str">
        <f>_xlfn.XLOOKUP(A784,'[1]Tissue Data'!$A:$A,'[1]Tissue Data'!K:K)</f>
        <v>Whole Body</v>
      </c>
      <c r="I784">
        <f>_xlfn.XLOOKUP(A784,'[1]Tissue Data'!$A:$A,'[1]Tissue Data'!L:L)</f>
        <v>8</v>
      </c>
      <c r="J784">
        <f>_xlfn.XLOOKUP(A784,'[1]Tissue Data'!$A:$A,'[1]Tissue Data'!M:M)</f>
        <v>5.7</v>
      </c>
      <c r="K784" t="s">
        <v>44</v>
      </c>
      <c r="L784" t="str">
        <f>_xlfn.XLOOKUP(K784,[2]analyte_order!$B:$B,[2]analyte_order!$C:$C)</f>
        <v>27619-97-2</v>
      </c>
      <c r="M784">
        <f>_xlfn.XLOOKUP(L784,[2]analyte_order!$C:$C,[2]analyte_order!$E:$E)</f>
        <v>23</v>
      </c>
      <c r="N784">
        <v>3.89</v>
      </c>
    </row>
    <row r="785" spans="1:14">
      <c r="A785" t="s">
        <v>310</v>
      </c>
      <c r="B785" t="str">
        <f>_xlfn.XLOOKUP(A785,'[1]Tissue Data'!$A:$A,'[1]Tissue Data'!$C:$C)</f>
        <v>Down</v>
      </c>
      <c r="C785" s="2">
        <f>_xlfn.XLOOKUP(A785,'[1]Tissue Data'!$A:$A,'[1]Tissue Data'!$D:$D)</f>
        <v>44314</v>
      </c>
      <c r="D785" s="2" t="s">
        <v>131</v>
      </c>
      <c r="E785" t="str">
        <f>_xlfn.XLOOKUP(A785,'[1]Tissue Data'!$A:$A,'[1]Tissue Data'!$H:$H)</f>
        <v>Clinostomus</v>
      </c>
      <c r="F785" t="str">
        <f>_xlfn.XLOOKUP(A785,'[1]Tissue Data'!$A:$A,'[1]Tissue Data'!$I:$I)</f>
        <v>funduloides</v>
      </c>
      <c r="G785" t="str">
        <f>_xlfn.XLOOKUP(A785,'[1]Tissue Data'!$A:$A,'[1]Tissue Data'!J:J)</f>
        <v>U</v>
      </c>
      <c r="H785" t="str">
        <f>_xlfn.XLOOKUP(A785,'[1]Tissue Data'!$A:$A,'[1]Tissue Data'!K:K)</f>
        <v>Whole Body</v>
      </c>
      <c r="I785">
        <f>_xlfn.XLOOKUP(A785,'[1]Tissue Data'!$A:$A,'[1]Tissue Data'!L:L)</f>
        <v>8</v>
      </c>
      <c r="J785">
        <f>_xlfn.XLOOKUP(A785,'[1]Tissue Data'!$A:$A,'[1]Tissue Data'!M:M)</f>
        <v>5.7</v>
      </c>
      <c r="K785" t="s">
        <v>45</v>
      </c>
      <c r="L785" t="str">
        <f>_xlfn.XLOOKUP(K785,[2]analyte_order!$B:$B,[2]analyte_order!$C:$C)</f>
        <v>39108-34-4</v>
      </c>
      <c r="M785">
        <f>_xlfn.XLOOKUP(L785,[2]analyte_order!$C:$C,[2]analyte_order!$E:$E)</f>
        <v>24</v>
      </c>
      <c r="N785">
        <v>15.1</v>
      </c>
    </row>
    <row r="786" spans="1:14">
      <c r="A786" t="s">
        <v>310</v>
      </c>
      <c r="B786" t="str">
        <f>_xlfn.XLOOKUP(A786,'[1]Tissue Data'!$A:$A,'[1]Tissue Data'!$C:$C)</f>
        <v>Down</v>
      </c>
      <c r="C786" s="2">
        <f>_xlfn.XLOOKUP(A786,'[1]Tissue Data'!$A:$A,'[1]Tissue Data'!$D:$D)</f>
        <v>44314</v>
      </c>
      <c r="D786" s="2" t="s">
        <v>131</v>
      </c>
      <c r="E786" t="str">
        <f>_xlfn.XLOOKUP(A786,'[1]Tissue Data'!$A:$A,'[1]Tissue Data'!$H:$H)</f>
        <v>Clinostomus</v>
      </c>
      <c r="F786" t="str">
        <f>_xlfn.XLOOKUP(A786,'[1]Tissue Data'!$A:$A,'[1]Tissue Data'!$I:$I)</f>
        <v>funduloides</v>
      </c>
      <c r="G786" t="str">
        <f>_xlfn.XLOOKUP(A786,'[1]Tissue Data'!$A:$A,'[1]Tissue Data'!J:J)</f>
        <v>U</v>
      </c>
      <c r="H786" t="str">
        <f>_xlfn.XLOOKUP(A786,'[1]Tissue Data'!$A:$A,'[1]Tissue Data'!K:K)</f>
        <v>Whole Body</v>
      </c>
      <c r="I786">
        <f>_xlfn.XLOOKUP(A786,'[1]Tissue Data'!$A:$A,'[1]Tissue Data'!L:L)</f>
        <v>8</v>
      </c>
      <c r="J786">
        <f>_xlfn.XLOOKUP(A786,'[1]Tissue Data'!$A:$A,'[1]Tissue Data'!M:M)</f>
        <v>5.7</v>
      </c>
      <c r="K786" t="s">
        <v>46</v>
      </c>
      <c r="L786" t="str">
        <f>_xlfn.XLOOKUP(K786,[2]analyte_order!$B:$B,[2]analyte_order!$C:$C)</f>
        <v>120226-60-0</v>
      </c>
      <c r="M786">
        <f>_xlfn.XLOOKUP(L786,[2]analyte_order!$C:$C,[2]analyte_order!$E:$E)</f>
        <v>25</v>
      </c>
      <c r="N786">
        <v>0.27583647648456056</v>
      </c>
    </row>
    <row r="787" spans="1:14">
      <c r="A787" t="s">
        <v>310</v>
      </c>
      <c r="B787" t="str">
        <f>_xlfn.XLOOKUP(A787,'[1]Tissue Data'!$A:$A,'[1]Tissue Data'!$C:$C)</f>
        <v>Down</v>
      </c>
      <c r="C787" s="2">
        <f>_xlfn.XLOOKUP(A787,'[1]Tissue Data'!$A:$A,'[1]Tissue Data'!$D:$D)</f>
        <v>44314</v>
      </c>
      <c r="D787" s="2" t="s">
        <v>131</v>
      </c>
      <c r="E787" t="str">
        <f>_xlfn.XLOOKUP(A787,'[1]Tissue Data'!$A:$A,'[1]Tissue Data'!$H:$H)</f>
        <v>Clinostomus</v>
      </c>
      <c r="F787" t="str">
        <f>_xlfn.XLOOKUP(A787,'[1]Tissue Data'!$A:$A,'[1]Tissue Data'!$I:$I)</f>
        <v>funduloides</v>
      </c>
      <c r="G787" t="str">
        <f>_xlfn.XLOOKUP(A787,'[1]Tissue Data'!$A:$A,'[1]Tissue Data'!J:J)</f>
        <v>U</v>
      </c>
      <c r="H787" t="str">
        <f>_xlfn.XLOOKUP(A787,'[1]Tissue Data'!$A:$A,'[1]Tissue Data'!K:K)</f>
        <v>Whole Body</v>
      </c>
      <c r="I787">
        <f>_xlfn.XLOOKUP(A787,'[1]Tissue Data'!$A:$A,'[1]Tissue Data'!L:L)</f>
        <v>8</v>
      </c>
      <c r="J787">
        <f>_xlfn.XLOOKUP(A787,'[1]Tissue Data'!$A:$A,'[1]Tissue Data'!M:M)</f>
        <v>5.7</v>
      </c>
      <c r="K787" t="s">
        <v>47</v>
      </c>
      <c r="L787" t="str">
        <f>_xlfn.XLOOKUP(K787,[2]analyte_order!$B:$B,[2]analyte_order!$C:$C)</f>
        <v>356-02-5</v>
      </c>
      <c r="M787">
        <f>_xlfn.XLOOKUP(L787,[2]analyte_order!$C:$C,[2]analyte_order!$E:$E)</f>
        <v>38</v>
      </c>
      <c r="N787">
        <v>8.1196538103964488E-2</v>
      </c>
    </row>
    <row r="788" spans="1:14">
      <c r="A788" t="s">
        <v>310</v>
      </c>
      <c r="B788" t="str">
        <f>_xlfn.XLOOKUP(A788,'[1]Tissue Data'!$A:$A,'[1]Tissue Data'!$C:$C)</f>
        <v>Down</v>
      </c>
      <c r="C788" s="2">
        <f>_xlfn.XLOOKUP(A788,'[1]Tissue Data'!$A:$A,'[1]Tissue Data'!$D:$D)</f>
        <v>44314</v>
      </c>
      <c r="D788" s="2" t="s">
        <v>131</v>
      </c>
      <c r="E788" t="str">
        <f>_xlfn.XLOOKUP(A788,'[1]Tissue Data'!$A:$A,'[1]Tissue Data'!$H:$H)</f>
        <v>Clinostomus</v>
      </c>
      <c r="F788" t="str">
        <f>_xlfn.XLOOKUP(A788,'[1]Tissue Data'!$A:$A,'[1]Tissue Data'!$I:$I)</f>
        <v>funduloides</v>
      </c>
      <c r="G788" t="str">
        <f>_xlfn.XLOOKUP(A788,'[1]Tissue Data'!$A:$A,'[1]Tissue Data'!J:J)</f>
        <v>U</v>
      </c>
      <c r="H788" t="str">
        <f>_xlfn.XLOOKUP(A788,'[1]Tissue Data'!$A:$A,'[1]Tissue Data'!K:K)</f>
        <v>Whole Body</v>
      </c>
      <c r="I788">
        <f>_xlfn.XLOOKUP(A788,'[1]Tissue Data'!$A:$A,'[1]Tissue Data'!L:L)</f>
        <v>8</v>
      </c>
      <c r="J788">
        <f>_xlfn.XLOOKUP(A788,'[1]Tissue Data'!$A:$A,'[1]Tissue Data'!M:M)</f>
        <v>5.7</v>
      </c>
      <c r="K788" t="s">
        <v>48</v>
      </c>
      <c r="L788" t="str">
        <f>_xlfn.XLOOKUP(K788,[2]analyte_order!$B:$B,[2]analyte_order!$C:$C)</f>
        <v>914637-49-3</v>
      </c>
      <c r="M788">
        <f>_xlfn.XLOOKUP(L788,[2]analyte_order!$C:$C,[2]analyte_order!$E:$E)</f>
        <v>39</v>
      </c>
      <c r="N788">
        <v>2.61</v>
      </c>
    </row>
    <row r="789" spans="1:14">
      <c r="A789" t="s">
        <v>310</v>
      </c>
      <c r="B789" t="str">
        <f>_xlfn.XLOOKUP(A789,'[1]Tissue Data'!$A:$A,'[1]Tissue Data'!$C:$C)</f>
        <v>Down</v>
      </c>
      <c r="C789" s="2">
        <f>_xlfn.XLOOKUP(A789,'[1]Tissue Data'!$A:$A,'[1]Tissue Data'!$D:$D)</f>
        <v>44314</v>
      </c>
      <c r="D789" s="2" t="s">
        <v>131</v>
      </c>
      <c r="E789" t="str">
        <f>_xlfn.XLOOKUP(A789,'[1]Tissue Data'!$A:$A,'[1]Tissue Data'!$H:$H)</f>
        <v>Clinostomus</v>
      </c>
      <c r="F789" t="str">
        <f>_xlfn.XLOOKUP(A789,'[1]Tissue Data'!$A:$A,'[1]Tissue Data'!$I:$I)</f>
        <v>funduloides</v>
      </c>
      <c r="G789" t="str">
        <f>_xlfn.XLOOKUP(A789,'[1]Tissue Data'!$A:$A,'[1]Tissue Data'!J:J)</f>
        <v>U</v>
      </c>
      <c r="H789" t="str">
        <f>_xlfn.XLOOKUP(A789,'[1]Tissue Data'!$A:$A,'[1]Tissue Data'!K:K)</f>
        <v>Whole Body</v>
      </c>
      <c r="I789">
        <f>_xlfn.XLOOKUP(A789,'[1]Tissue Data'!$A:$A,'[1]Tissue Data'!L:L)</f>
        <v>8</v>
      </c>
      <c r="J789">
        <f>_xlfn.XLOOKUP(A789,'[1]Tissue Data'!$A:$A,'[1]Tissue Data'!M:M)</f>
        <v>5.7</v>
      </c>
      <c r="K789" t="s">
        <v>49</v>
      </c>
      <c r="L789" t="str">
        <f>_xlfn.XLOOKUP(K789,[2]analyte_order!$B:$B,[2]analyte_order!$C:$C)</f>
        <v>812-70-4</v>
      </c>
      <c r="M789">
        <f>_xlfn.XLOOKUP(L789,[2]analyte_order!$C:$C,[2]analyte_order!$E:$E)</f>
        <v>40</v>
      </c>
      <c r="N789">
        <v>0.19563498035273158</v>
      </c>
    </row>
    <row r="790" spans="1:14">
      <c r="A790" t="s">
        <v>310</v>
      </c>
      <c r="B790" t="str">
        <f>_xlfn.XLOOKUP(A790,'[1]Tissue Data'!$A:$A,'[1]Tissue Data'!$C:$C)</f>
        <v>Down</v>
      </c>
      <c r="C790" s="2">
        <f>_xlfn.XLOOKUP(A790,'[1]Tissue Data'!$A:$A,'[1]Tissue Data'!$D:$D)</f>
        <v>44314</v>
      </c>
      <c r="D790" s="2" t="s">
        <v>131</v>
      </c>
      <c r="E790" t="str">
        <f>_xlfn.XLOOKUP(A790,'[1]Tissue Data'!$A:$A,'[1]Tissue Data'!$H:$H)</f>
        <v>Clinostomus</v>
      </c>
      <c r="F790" t="str">
        <f>_xlfn.XLOOKUP(A790,'[1]Tissue Data'!$A:$A,'[1]Tissue Data'!$I:$I)</f>
        <v>funduloides</v>
      </c>
      <c r="G790" t="str">
        <f>_xlfn.XLOOKUP(A790,'[1]Tissue Data'!$A:$A,'[1]Tissue Data'!J:J)</f>
        <v>U</v>
      </c>
      <c r="H790" t="str">
        <f>_xlfn.XLOOKUP(A790,'[1]Tissue Data'!$A:$A,'[1]Tissue Data'!K:K)</f>
        <v>Whole Body</v>
      </c>
      <c r="I790">
        <f>_xlfn.XLOOKUP(A790,'[1]Tissue Data'!$A:$A,'[1]Tissue Data'!L:L)</f>
        <v>8</v>
      </c>
      <c r="J790">
        <f>_xlfn.XLOOKUP(A790,'[1]Tissue Data'!$A:$A,'[1]Tissue Data'!M:M)</f>
        <v>5.7</v>
      </c>
      <c r="K790" t="s">
        <v>50</v>
      </c>
      <c r="L790" t="str">
        <f>_xlfn.XLOOKUP(K790,[2]analyte_order!$B:$B,[2]analyte_order!$C:$C)</f>
        <v>53826-12-3</v>
      </c>
      <c r="M790">
        <f>_xlfn.XLOOKUP(L790,[2]analyte_order!$C:$C,[2]analyte_order!$E:$E)</f>
        <v>41</v>
      </c>
      <c r="N790">
        <v>4.3</v>
      </c>
    </row>
    <row r="791" spans="1:14">
      <c r="A791" t="s">
        <v>310</v>
      </c>
      <c r="B791" t="str">
        <f>_xlfn.XLOOKUP(A791,'[1]Tissue Data'!$A:$A,'[1]Tissue Data'!$C:$C)</f>
        <v>Down</v>
      </c>
      <c r="C791" s="2">
        <f>_xlfn.XLOOKUP(A791,'[1]Tissue Data'!$A:$A,'[1]Tissue Data'!$D:$D)</f>
        <v>44314</v>
      </c>
      <c r="D791" s="2" t="s">
        <v>131</v>
      </c>
      <c r="E791" t="str">
        <f>_xlfn.XLOOKUP(A791,'[1]Tissue Data'!$A:$A,'[1]Tissue Data'!$H:$H)</f>
        <v>Clinostomus</v>
      </c>
      <c r="F791" t="str">
        <f>_xlfn.XLOOKUP(A791,'[1]Tissue Data'!$A:$A,'[1]Tissue Data'!$I:$I)</f>
        <v>funduloides</v>
      </c>
      <c r="G791" t="str">
        <f>_xlfn.XLOOKUP(A791,'[1]Tissue Data'!$A:$A,'[1]Tissue Data'!J:J)</f>
        <v>U</v>
      </c>
      <c r="H791" t="str">
        <f>_xlfn.XLOOKUP(A791,'[1]Tissue Data'!$A:$A,'[1]Tissue Data'!K:K)</f>
        <v>Whole Body</v>
      </c>
      <c r="I791">
        <f>_xlfn.XLOOKUP(A791,'[1]Tissue Data'!$A:$A,'[1]Tissue Data'!L:L)</f>
        <v>8</v>
      </c>
      <c r="J791">
        <f>_xlfn.XLOOKUP(A791,'[1]Tissue Data'!$A:$A,'[1]Tissue Data'!M:M)</f>
        <v>5.7</v>
      </c>
      <c r="K791" t="s">
        <v>51</v>
      </c>
      <c r="L791" t="str">
        <f>_xlfn.XLOOKUP(K791,[2]analyte_order!$B:$B,[2]analyte_order!$C:$C)</f>
        <v>27854-31-5</v>
      </c>
      <c r="M791">
        <f>_xlfn.XLOOKUP(L791,[2]analyte_order!$C:$C,[2]analyte_order!$E:$E)</f>
        <v>42</v>
      </c>
      <c r="N791">
        <v>2.81</v>
      </c>
    </row>
    <row r="792" spans="1:14">
      <c r="A792" t="s">
        <v>310</v>
      </c>
      <c r="B792" t="str">
        <f>_xlfn.XLOOKUP(A792,'[1]Tissue Data'!$A:$A,'[1]Tissue Data'!$C:$C)</f>
        <v>Down</v>
      </c>
      <c r="C792" s="2">
        <f>_xlfn.XLOOKUP(A792,'[1]Tissue Data'!$A:$A,'[1]Tissue Data'!$D:$D)</f>
        <v>44314</v>
      </c>
      <c r="D792" s="2" t="s">
        <v>131</v>
      </c>
      <c r="E792" t="str">
        <f>_xlfn.XLOOKUP(A792,'[1]Tissue Data'!$A:$A,'[1]Tissue Data'!$H:$H)</f>
        <v>Clinostomus</v>
      </c>
      <c r="F792" t="str">
        <f>_xlfn.XLOOKUP(A792,'[1]Tissue Data'!$A:$A,'[1]Tissue Data'!$I:$I)</f>
        <v>funduloides</v>
      </c>
      <c r="G792" t="str">
        <f>_xlfn.XLOOKUP(A792,'[1]Tissue Data'!$A:$A,'[1]Tissue Data'!J:J)</f>
        <v>U</v>
      </c>
      <c r="H792" t="str">
        <f>_xlfn.XLOOKUP(A792,'[1]Tissue Data'!$A:$A,'[1]Tissue Data'!K:K)</f>
        <v>Whole Body</v>
      </c>
      <c r="I792">
        <f>_xlfn.XLOOKUP(A792,'[1]Tissue Data'!$A:$A,'[1]Tissue Data'!L:L)</f>
        <v>8</v>
      </c>
      <c r="J792">
        <f>_xlfn.XLOOKUP(A792,'[1]Tissue Data'!$A:$A,'[1]Tissue Data'!M:M)</f>
        <v>5.7</v>
      </c>
      <c r="K792" t="s">
        <v>52</v>
      </c>
      <c r="L792" t="str">
        <f>_xlfn.XLOOKUP(K792,[2]analyte_order!$B:$B,[2]analyte_order!$C:$C)</f>
        <v>53826-13-4</v>
      </c>
      <c r="M792">
        <f>_xlfn.XLOOKUP(L792,[2]analyte_order!$C:$C,[2]analyte_order!$E:$E)</f>
        <v>43</v>
      </c>
      <c r="N792">
        <v>0.1050386106333884</v>
      </c>
    </row>
    <row r="793" spans="1:14">
      <c r="A793" t="s">
        <v>310</v>
      </c>
      <c r="B793" t="str">
        <f>_xlfn.XLOOKUP(A793,'[1]Tissue Data'!$A:$A,'[1]Tissue Data'!$C:$C)</f>
        <v>Down</v>
      </c>
      <c r="C793" s="2">
        <f>_xlfn.XLOOKUP(A793,'[1]Tissue Data'!$A:$A,'[1]Tissue Data'!$D:$D)</f>
        <v>44314</v>
      </c>
      <c r="D793" s="2" t="s">
        <v>131</v>
      </c>
      <c r="E793" t="str">
        <f>_xlfn.XLOOKUP(A793,'[1]Tissue Data'!$A:$A,'[1]Tissue Data'!$H:$H)</f>
        <v>Clinostomus</v>
      </c>
      <c r="F793" t="str">
        <f>_xlfn.XLOOKUP(A793,'[1]Tissue Data'!$A:$A,'[1]Tissue Data'!$I:$I)</f>
        <v>funduloides</v>
      </c>
      <c r="G793" t="str">
        <f>_xlfn.XLOOKUP(A793,'[1]Tissue Data'!$A:$A,'[1]Tissue Data'!J:J)</f>
        <v>U</v>
      </c>
      <c r="H793" t="str">
        <f>_xlfn.XLOOKUP(A793,'[1]Tissue Data'!$A:$A,'[1]Tissue Data'!K:K)</f>
        <v>Whole Body</v>
      </c>
      <c r="I793">
        <f>_xlfn.XLOOKUP(A793,'[1]Tissue Data'!$A:$A,'[1]Tissue Data'!L:L)</f>
        <v>8</v>
      </c>
      <c r="J793">
        <f>_xlfn.XLOOKUP(A793,'[1]Tissue Data'!$A:$A,'[1]Tissue Data'!M:M)</f>
        <v>5.7</v>
      </c>
      <c r="K793" t="s">
        <v>53</v>
      </c>
      <c r="L793" t="str">
        <f>_xlfn.XLOOKUP(K793,[2]analyte_order!$B:$B,[2]analyte_order!$C:$C)</f>
        <v>161094-75-3</v>
      </c>
      <c r="M793">
        <f>_xlfn.XLOOKUP(L793,[2]analyte_order!$C:$C,[2]analyte_order!$E:$E)</f>
        <v>44</v>
      </c>
      <c r="N793">
        <v>5.5271658354325834E-2</v>
      </c>
    </row>
    <row r="794" spans="1:14">
      <c r="A794" t="s">
        <v>310</v>
      </c>
      <c r="B794" t="str">
        <f>_xlfn.XLOOKUP(A794,'[1]Tissue Data'!$A:$A,'[1]Tissue Data'!$C:$C)</f>
        <v>Down</v>
      </c>
      <c r="C794" s="2">
        <f>_xlfn.XLOOKUP(A794,'[1]Tissue Data'!$A:$A,'[1]Tissue Data'!$D:$D)</f>
        <v>44314</v>
      </c>
      <c r="D794" s="2" t="s">
        <v>131</v>
      </c>
      <c r="E794" t="str">
        <f>_xlfn.XLOOKUP(A794,'[1]Tissue Data'!$A:$A,'[1]Tissue Data'!$H:$H)</f>
        <v>Clinostomus</v>
      </c>
      <c r="F794" t="str">
        <f>_xlfn.XLOOKUP(A794,'[1]Tissue Data'!$A:$A,'[1]Tissue Data'!$I:$I)</f>
        <v>funduloides</v>
      </c>
      <c r="G794" t="str">
        <f>_xlfn.XLOOKUP(A794,'[1]Tissue Data'!$A:$A,'[1]Tissue Data'!J:J)</f>
        <v>U</v>
      </c>
      <c r="H794" t="str">
        <f>_xlfn.XLOOKUP(A794,'[1]Tissue Data'!$A:$A,'[1]Tissue Data'!K:K)</f>
        <v>Whole Body</v>
      </c>
      <c r="I794">
        <f>_xlfn.XLOOKUP(A794,'[1]Tissue Data'!$A:$A,'[1]Tissue Data'!L:L)</f>
        <v>8</v>
      </c>
      <c r="J794">
        <f>_xlfn.XLOOKUP(A794,'[1]Tissue Data'!$A:$A,'[1]Tissue Data'!M:M)</f>
        <v>5.7</v>
      </c>
      <c r="K794" t="s">
        <v>54</v>
      </c>
      <c r="L794" t="str">
        <f>_xlfn.XLOOKUP(K794,[2]analyte_order!$B:$B,[2]analyte_order!$C:$C)</f>
        <v>70887-84-2</v>
      </c>
      <c r="M794">
        <f>_xlfn.XLOOKUP(L794,[2]analyte_order!$C:$C,[2]analyte_order!$E:$E)</f>
        <v>45</v>
      </c>
      <c r="N794">
        <v>4.2538283630652492E-2</v>
      </c>
    </row>
    <row r="795" spans="1:14">
      <c r="A795" t="s">
        <v>310</v>
      </c>
      <c r="B795" t="str">
        <f>_xlfn.XLOOKUP(A795,'[1]Tissue Data'!$A:$A,'[1]Tissue Data'!$C:$C)</f>
        <v>Down</v>
      </c>
      <c r="C795" s="2">
        <f>_xlfn.XLOOKUP(A795,'[1]Tissue Data'!$A:$A,'[1]Tissue Data'!$D:$D)</f>
        <v>44314</v>
      </c>
      <c r="D795" s="2" t="s">
        <v>131</v>
      </c>
      <c r="E795" t="str">
        <f>_xlfn.XLOOKUP(A795,'[1]Tissue Data'!$A:$A,'[1]Tissue Data'!$H:$H)</f>
        <v>Clinostomus</v>
      </c>
      <c r="F795" t="str">
        <f>_xlfn.XLOOKUP(A795,'[1]Tissue Data'!$A:$A,'[1]Tissue Data'!$I:$I)</f>
        <v>funduloides</v>
      </c>
      <c r="G795" t="str">
        <f>_xlfn.XLOOKUP(A795,'[1]Tissue Data'!$A:$A,'[1]Tissue Data'!J:J)</f>
        <v>U</v>
      </c>
      <c r="H795" t="str">
        <f>_xlfn.XLOOKUP(A795,'[1]Tissue Data'!$A:$A,'[1]Tissue Data'!K:K)</f>
        <v>Whole Body</v>
      </c>
      <c r="I795">
        <f>_xlfn.XLOOKUP(A795,'[1]Tissue Data'!$A:$A,'[1]Tissue Data'!L:L)</f>
        <v>8</v>
      </c>
      <c r="J795">
        <f>_xlfn.XLOOKUP(A795,'[1]Tissue Data'!$A:$A,'[1]Tissue Data'!M:M)</f>
        <v>5.7</v>
      </c>
      <c r="K795" t="s">
        <v>55</v>
      </c>
      <c r="L795" t="str">
        <f>_xlfn.XLOOKUP(K795,[2]analyte_order!$B:$B,[2]analyte_order!$C:$C)</f>
        <v>919005-14-4</v>
      </c>
      <c r="M795">
        <f>_xlfn.XLOOKUP(L795,[2]analyte_order!$C:$C,[2]analyte_order!$E:$E)</f>
        <v>35</v>
      </c>
      <c r="N795">
        <v>7.0392131098304958E-2</v>
      </c>
    </row>
    <row r="796" spans="1:14">
      <c r="A796" t="s">
        <v>310</v>
      </c>
      <c r="B796" t="str">
        <f>_xlfn.XLOOKUP(A796,'[1]Tissue Data'!$A:$A,'[1]Tissue Data'!$C:$C)</f>
        <v>Down</v>
      </c>
      <c r="C796" s="2">
        <f>_xlfn.XLOOKUP(A796,'[1]Tissue Data'!$A:$A,'[1]Tissue Data'!$D:$D)</f>
        <v>44314</v>
      </c>
      <c r="D796" s="2" t="s">
        <v>131</v>
      </c>
      <c r="E796" t="str">
        <f>_xlfn.XLOOKUP(A796,'[1]Tissue Data'!$A:$A,'[1]Tissue Data'!$H:$H)</f>
        <v>Clinostomus</v>
      </c>
      <c r="F796" t="str">
        <f>_xlfn.XLOOKUP(A796,'[1]Tissue Data'!$A:$A,'[1]Tissue Data'!$I:$I)</f>
        <v>funduloides</v>
      </c>
      <c r="G796" t="str">
        <f>_xlfn.XLOOKUP(A796,'[1]Tissue Data'!$A:$A,'[1]Tissue Data'!J:J)</f>
        <v>U</v>
      </c>
      <c r="H796" t="str">
        <f>_xlfn.XLOOKUP(A796,'[1]Tissue Data'!$A:$A,'[1]Tissue Data'!K:K)</f>
        <v>Whole Body</v>
      </c>
      <c r="I796">
        <f>_xlfn.XLOOKUP(A796,'[1]Tissue Data'!$A:$A,'[1]Tissue Data'!L:L)</f>
        <v>8</v>
      </c>
      <c r="J796">
        <f>_xlfn.XLOOKUP(A796,'[1]Tissue Data'!$A:$A,'[1]Tissue Data'!M:M)</f>
        <v>5.7</v>
      </c>
      <c r="K796" t="s">
        <v>56</v>
      </c>
      <c r="L796" t="str">
        <f>_xlfn.XLOOKUP(K796,[2]analyte_order!$B:$B,[2]analyte_order!$C:$C)</f>
        <v>756426-58-1</v>
      </c>
      <c r="M796">
        <f>_xlfn.XLOOKUP(L796,[2]analyte_order!$C:$C,[2]analyte_order!$E:$E)</f>
        <v>36</v>
      </c>
      <c r="N796">
        <v>4.8859645544600455E-2</v>
      </c>
    </row>
    <row r="797" spans="1:14">
      <c r="A797" t="s">
        <v>310</v>
      </c>
      <c r="B797" t="str">
        <f>_xlfn.XLOOKUP(A797,'[1]Tissue Data'!$A:$A,'[1]Tissue Data'!$C:$C)</f>
        <v>Down</v>
      </c>
      <c r="C797" s="2">
        <f>_xlfn.XLOOKUP(A797,'[1]Tissue Data'!$A:$A,'[1]Tissue Data'!$D:$D)</f>
        <v>44314</v>
      </c>
      <c r="D797" s="2" t="s">
        <v>131</v>
      </c>
      <c r="E797" t="str">
        <f>_xlfn.XLOOKUP(A797,'[1]Tissue Data'!$A:$A,'[1]Tissue Data'!$H:$H)</f>
        <v>Clinostomus</v>
      </c>
      <c r="F797" t="str">
        <f>_xlfn.XLOOKUP(A797,'[1]Tissue Data'!$A:$A,'[1]Tissue Data'!$I:$I)</f>
        <v>funduloides</v>
      </c>
      <c r="G797" t="str">
        <f>_xlfn.XLOOKUP(A797,'[1]Tissue Data'!$A:$A,'[1]Tissue Data'!J:J)</f>
        <v>U</v>
      </c>
      <c r="H797" t="str">
        <f>_xlfn.XLOOKUP(A797,'[1]Tissue Data'!$A:$A,'[1]Tissue Data'!K:K)</f>
        <v>Whole Body</v>
      </c>
      <c r="I797">
        <f>_xlfn.XLOOKUP(A797,'[1]Tissue Data'!$A:$A,'[1]Tissue Data'!L:L)</f>
        <v>8</v>
      </c>
      <c r="J797">
        <f>_xlfn.XLOOKUP(A797,'[1]Tissue Data'!$A:$A,'[1]Tissue Data'!M:M)</f>
        <v>5.7</v>
      </c>
      <c r="K797" t="s">
        <v>57</v>
      </c>
      <c r="L797" t="str">
        <f>_xlfn.XLOOKUP(K797,[2]analyte_order!$B:$B,[2]analyte_order!$C:$C)</f>
        <v>763051-92-9</v>
      </c>
      <c r="M797">
        <f>_xlfn.XLOOKUP(L797,[2]analyte_order!$C:$C,[2]analyte_order!$E:$E)</f>
        <v>37</v>
      </c>
      <c r="N797">
        <v>5.5468333771938876E-2</v>
      </c>
    </row>
    <row r="798" spans="1:14">
      <c r="A798" t="s">
        <v>310</v>
      </c>
      <c r="B798" t="str">
        <f>_xlfn.XLOOKUP(A798,'[1]Tissue Data'!$A:$A,'[1]Tissue Data'!$C:$C)</f>
        <v>Down</v>
      </c>
      <c r="C798" s="2">
        <f>_xlfn.XLOOKUP(A798,'[1]Tissue Data'!$A:$A,'[1]Tissue Data'!$D:$D)</f>
        <v>44314</v>
      </c>
      <c r="D798" s="2" t="s">
        <v>131</v>
      </c>
      <c r="E798" t="str">
        <f>_xlfn.XLOOKUP(A798,'[1]Tissue Data'!$A:$A,'[1]Tissue Data'!$H:$H)</f>
        <v>Clinostomus</v>
      </c>
      <c r="F798" t="str">
        <f>_xlfn.XLOOKUP(A798,'[1]Tissue Data'!$A:$A,'[1]Tissue Data'!$I:$I)</f>
        <v>funduloides</v>
      </c>
      <c r="G798" t="str">
        <f>_xlfn.XLOOKUP(A798,'[1]Tissue Data'!$A:$A,'[1]Tissue Data'!J:J)</f>
        <v>U</v>
      </c>
      <c r="H798" t="str">
        <f>_xlfn.XLOOKUP(A798,'[1]Tissue Data'!$A:$A,'[1]Tissue Data'!K:K)</f>
        <v>Whole Body</v>
      </c>
      <c r="I798">
        <f>_xlfn.XLOOKUP(A798,'[1]Tissue Data'!$A:$A,'[1]Tissue Data'!L:L)</f>
        <v>8</v>
      </c>
      <c r="J798">
        <f>_xlfn.XLOOKUP(A798,'[1]Tissue Data'!$A:$A,'[1]Tissue Data'!M:M)</f>
        <v>5.7</v>
      </c>
      <c r="K798" t="s">
        <v>58</v>
      </c>
      <c r="L798" t="str">
        <f>_xlfn.XLOOKUP(K798,[2]analyte_order!$B:$B,[2]analyte_order!$C:$C)</f>
        <v>13252-13-6</v>
      </c>
      <c r="M798">
        <f>_xlfn.XLOOKUP(L798,[2]analyte_order!$C:$C,[2]analyte_order!$E:$E)</f>
        <v>34</v>
      </c>
      <c r="N798">
        <v>0.10101471887518068</v>
      </c>
    </row>
    <row r="799" spans="1:14">
      <c r="A799" t="s">
        <v>310</v>
      </c>
      <c r="B799" t="str">
        <f>_xlfn.XLOOKUP(A799,'[1]Tissue Data'!$A:$A,'[1]Tissue Data'!$C:$C)</f>
        <v>Down</v>
      </c>
      <c r="C799" s="2">
        <f>_xlfn.XLOOKUP(A799,'[1]Tissue Data'!$A:$A,'[1]Tissue Data'!$D:$D)</f>
        <v>44314</v>
      </c>
      <c r="D799" s="2" t="s">
        <v>131</v>
      </c>
      <c r="E799" t="str">
        <f>_xlfn.XLOOKUP(A799,'[1]Tissue Data'!$A:$A,'[1]Tissue Data'!$H:$H)</f>
        <v>Clinostomus</v>
      </c>
      <c r="F799" t="str">
        <f>_xlfn.XLOOKUP(A799,'[1]Tissue Data'!$A:$A,'[1]Tissue Data'!$I:$I)</f>
        <v>funduloides</v>
      </c>
      <c r="G799" t="str">
        <f>_xlfn.XLOOKUP(A799,'[1]Tissue Data'!$A:$A,'[1]Tissue Data'!J:J)</f>
        <v>U</v>
      </c>
      <c r="H799" t="str">
        <f>_xlfn.XLOOKUP(A799,'[1]Tissue Data'!$A:$A,'[1]Tissue Data'!K:K)</f>
        <v>Whole Body</v>
      </c>
      <c r="I799">
        <f>_xlfn.XLOOKUP(A799,'[1]Tissue Data'!$A:$A,'[1]Tissue Data'!L:L)</f>
        <v>8</v>
      </c>
      <c r="J799">
        <f>_xlfn.XLOOKUP(A799,'[1]Tissue Data'!$A:$A,'[1]Tissue Data'!M:M)</f>
        <v>5.7</v>
      </c>
      <c r="K799" t="s">
        <v>59</v>
      </c>
      <c r="L799" t="str">
        <f>_xlfn.XLOOKUP(K799,[2]analyte_order!$B:$B,[2]analyte_order!$C:$C)</f>
        <v>57677-95-9</v>
      </c>
      <c r="M799">
        <f>_xlfn.XLOOKUP(L799,[2]analyte_order!$C:$C,[2]analyte_order!$E:$E)</f>
        <v>46</v>
      </c>
      <c r="N799">
        <v>7.4934460383543261E-2</v>
      </c>
    </row>
    <row r="800" spans="1:14">
      <c r="A800" t="s">
        <v>310</v>
      </c>
      <c r="B800" t="str">
        <f>_xlfn.XLOOKUP(A800,'[1]Tissue Data'!$A:$A,'[1]Tissue Data'!$C:$C)</f>
        <v>Down</v>
      </c>
      <c r="C800" s="2">
        <f>_xlfn.XLOOKUP(A800,'[1]Tissue Data'!$A:$A,'[1]Tissue Data'!$D:$D)</f>
        <v>44314</v>
      </c>
      <c r="D800" s="2" t="s">
        <v>131</v>
      </c>
      <c r="E800" t="str">
        <f>_xlfn.XLOOKUP(A800,'[1]Tissue Data'!$A:$A,'[1]Tissue Data'!$H:$H)</f>
        <v>Clinostomus</v>
      </c>
      <c r="F800" t="str">
        <f>_xlfn.XLOOKUP(A800,'[1]Tissue Data'!$A:$A,'[1]Tissue Data'!$I:$I)</f>
        <v>funduloides</v>
      </c>
      <c r="G800" t="str">
        <f>_xlfn.XLOOKUP(A800,'[1]Tissue Data'!$A:$A,'[1]Tissue Data'!J:J)</f>
        <v>U</v>
      </c>
      <c r="H800" t="str">
        <f>_xlfn.XLOOKUP(A800,'[1]Tissue Data'!$A:$A,'[1]Tissue Data'!K:K)</f>
        <v>Whole Body</v>
      </c>
      <c r="I800">
        <f>_xlfn.XLOOKUP(A800,'[1]Tissue Data'!$A:$A,'[1]Tissue Data'!L:L)</f>
        <v>8</v>
      </c>
      <c r="J800">
        <f>_xlfn.XLOOKUP(A800,'[1]Tissue Data'!$A:$A,'[1]Tissue Data'!M:M)</f>
        <v>5.7</v>
      </c>
      <c r="K800" t="s">
        <v>60</v>
      </c>
      <c r="L800" t="str">
        <f>_xlfn.XLOOKUP(K800,[2]analyte_order!$B:$B,[2]analyte_order!$C:$C)</f>
        <v>678-41-1</v>
      </c>
      <c r="M800">
        <f>_xlfn.XLOOKUP(L800,[2]analyte_order!$C:$C,[2]analyte_order!$E:$E)</f>
        <v>56</v>
      </c>
      <c r="N800">
        <v>9.332687342917613E-2</v>
      </c>
    </row>
    <row r="801" spans="1:14">
      <c r="A801" t="s">
        <v>310</v>
      </c>
      <c r="B801" t="str">
        <f>_xlfn.XLOOKUP(A801,'[1]Tissue Data'!$A:$A,'[1]Tissue Data'!$C:$C)</f>
        <v>Down</v>
      </c>
      <c r="C801" s="2">
        <f>_xlfn.XLOOKUP(A801,'[1]Tissue Data'!$A:$A,'[1]Tissue Data'!$D:$D)</f>
        <v>44314</v>
      </c>
      <c r="D801" s="2" t="s">
        <v>131</v>
      </c>
      <c r="E801" t="str">
        <f>_xlfn.XLOOKUP(A801,'[1]Tissue Data'!$A:$A,'[1]Tissue Data'!$H:$H)</f>
        <v>Clinostomus</v>
      </c>
      <c r="F801" t="str">
        <f>_xlfn.XLOOKUP(A801,'[1]Tissue Data'!$A:$A,'[1]Tissue Data'!$I:$I)</f>
        <v>funduloides</v>
      </c>
      <c r="G801" t="str">
        <f>_xlfn.XLOOKUP(A801,'[1]Tissue Data'!$A:$A,'[1]Tissue Data'!J:J)</f>
        <v>U</v>
      </c>
      <c r="H801" t="str">
        <f>_xlfn.XLOOKUP(A801,'[1]Tissue Data'!$A:$A,'[1]Tissue Data'!K:K)</f>
        <v>Whole Body</v>
      </c>
      <c r="I801">
        <f>_xlfn.XLOOKUP(A801,'[1]Tissue Data'!$A:$A,'[1]Tissue Data'!L:L)</f>
        <v>8</v>
      </c>
      <c r="J801">
        <f>_xlfn.XLOOKUP(A801,'[1]Tissue Data'!$A:$A,'[1]Tissue Data'!M:M)</f>
        <v>5.7</v>
      </c>
      <c r="K801" t="s">
        <v>61</v>
      </c>
      <c r="L801" t="str">
        <f>_xlfn.XLOOKUP(K801,[2]analyte_order!$B:$B,[2]analyte_order!$C:$C)</f>
        <v>2965-52-8</v>
      </c>
      <c r="M801">
        <f>_xlfn.XLOOKUP(L801,[2]analyte_order!$C:$C,[2]analyte_order!$E:$E)</f>
        <v>57</v>
      </c>
      <c r="N801">
        <v>0.12389015073301672</v>
      </c>
    </row>
    <row r="802" spans="1:14">
      <c r="A802" t="s">
        <v>311</v>
      </c>
      <c r="B802" t="str">
        <f>_xlfn.XLOOKUP(A802,'[1]Tissue Data'!$A:$A,'[1]Tissue Data'!$C:$C)</f>
        <v>Down</v>
      </c>
      <c r="C802" s="2">
        <f>_xlfn.XLOOKUP(A802,'[1]Tissue Data'!$A:$A,'[1]Tissue Data'!$D:$D)</f>
        <v>44314</v>
      </c>
      <c r="D802" s="2" t="s">
        <v>131</v>
      </c>
      <c r="E802" t="str">
        <f>_xlfn.XLOOKUP(A802,'[1]Tissue Data'!$A:$A,'[1]Tissue Data'!$H:$H)</f>
        <v>Clinostomus</v>
      </c>
      <c r="F802" t="str">
        <f>_xlfn.XLOOKUP(A802,'[1]Tissue Data'!$A:$A,'[1]Tissue Data'!$I:$I)</f>
        <v>funduloides</v>
      </c>
      <c r="G802" t="str">
        <f>_xlfn.XLOOKUP(A802,'[1]Tissue Data'!$A:$A,'[1]Tissue Data'!J:J)</f>
        <v>U</v>
      </c>
      <c r="H802" t="str">
        <f>_xlfn.XLOOKUP(A802,'[1]Tissue Data'!$A:$A,'[1]Tissue Data'!K:K)</f>
        <v>Whole Body</v>
      </c>
      <c r="I802">
        <f>_xlfn.XLOOKUP(A802,'[1]Tissue Data'!$A:$A,'[1]Tissue Data'!L:L)</f>
        <v>7.5</v>
      </c>
      <c r="J802">
        <f>_xlfn.XLOOKUP(A802,'[1]Tissue Data'!$A:$A,'[1]Tissue Data'!M:M)</f>
        <v>5.2</v>
      </c>
      <c r="K802" t="s">
        <v>12</v>
      </c>
      <c r="L802" t="str">
        <f>_xlfn.XLOOKUP(K802,[2]analyte_order!$B:$B,[2]analyte_order!$C:$C)</f>
        <v>375-22-4</v>
      </c>
      <c r="M802">
        <f>_xlfn.XLOOKUP(L802,[2]analyte_order!$C:$C,[2]analyte_order!$E:$E)</f>
        <v>1</v>
      </c>
      <c r="N802">
        <v>2.9445829489016705E-2</v>
      </c>
    </row>
    <row r="803" spans="1:14">
      <c r="A803" t="s">
        <v>311</v>
      </c>
      <c r="B803" t="str">
        <f>_xlfn.XLOOKUP(A803,'[1]Tissue Data'!$A:$A,'[1]Tissue Data'!$C:$C)</f>
        <v>Down</v>
      </c>
      <c r="C803" s="2">
        <f>_xlfn.XLOOKUP(A803,'[1]Tissue Data'!$A:$A,'[1]Tissue Data'!$D:$D)</f>
        <v>44314</v>
      </c>
      <c r="D803" s="2" t="s">
        <v>131</v>
      </c>
      <c r="E803" t="str">
        <f>_xlfn.XLOOKUP(A803,'[1]Tissue Data'!$A:$A,'[1]Tissue Data'!$H:$H)</f>
        <v>Clinostomus</v>
      </c>
      <c r="F803" t="str">
        <f>_xlfn.XLOOKUP(A803,'[1]Tissue Data'!$A:$A,'[1]Tissue Data'!$I:$I)</f>
        <v>funduloides</v>
      </c>
      <c r="G803" t="str">
        <f>_xlfn.XLOOKUP(A803,'[1]Tissue Data'!$A:$A,'[1]Tissue Data'!J:J)</f>
        <v>U</v>
      </c>
      <c r="H803" t="str">
        <f>_xlfn.XLOOKUP(A803,'[1]Tissue Data'!$A:$A,'[1]Tissue Data'!K:K)</f>
        <v>Whole Body</v>
      </c>
      <c r="I803">
        <f>_xlfn.XLOOKUP(A803,'[1]Tissue Data'!$A:$A,'[1]Tissue Data'!L:L)</f>
        <v>7.5</v>
      </c>
      <c r="J803">
        <f>_xlfn.XLOOKUP(A803,'[1]Tissue Data'!$A:$A,'[1]Tissue Data'!M:M)</f>
        <v>5.2</v>
      </c>
      <c r="K803" t="s">
        <v>13</v>
      </c>
      <c r="L803" t="str">
        <f>_xlfn.XLOOKUP(K803,[2]analyte_order!$B:$B,[2]analyte_order!$C:$C)</f>
        <v>2706-90-3</v>
      </c>
      <c r="M803">
        <f>_xlfn.XLOOKUP(L803,[2]analyte_order!$C:$C,[2]analyte_order!$E:$E)</f>
        <v>2</v>
      </c>
      <c r="N803">
        <v>5.2011736135283961E-2</v>
      </c>
    </row>
    <row r="804" spans="1:14">
      <c r="A804" t="s">
        <v>311</v>
      </c>
      <c r="B804" t="str">
        <f>_xlfn.XLOOKUP(A804,'[1]Tissue Data'!$A:$A,'[1]Tissue Data'!$C:$C)</f>
        <v>Down</v>
      </c>
      <c r="C804" s="2">
        <f>_xlfn.XLOOKUP(A804,'[1]Tissue Data'!$A:$A,'[1]Tissue Data'!$D:$D)</f>
        <v>44314</v>
      </c>
      <c r="D804" s="2" t="s">
        <v>131</v>
      </c>
      <c r="E804" t="str">
        <f>_xlfn.XLOOKUP(A804,'[1]Tissue Data'!$A:$A,'[1]Tissue Data'!$H:$H)</f>
        <v>Clinostomus</v>
      </c>
      <c r="F804" t="str">
        <f>_xlfn.XLOOKUP(A804,'[1]Tissue Data'!$A:$A,'[1]Tissue Data'!$I:$I)</f>
        <v>funduloides</v>
      </c>
      <c r="G804" t="str">
        <f>_xlfn.XLOOKUP(A804,'[1]Tissue Data'!$A:$A,'[1]Tissue Data'!J:J)</f>
        <v>U</v>
      </c>
      <c r="H804" t="str">
        <f>_xlfn.XLOOKUP(A804,'[1]Tissue Data'!$A:$A,'[1]Tissue Data'!K:K)</f>
        <v>Whole Body</v>
      </c>
      <c r="I804">
        <f>_xlfn.XLOOKUP(A804,'[1]Tissue Data'!$A:$A,'[1]Tissue Data'!L:L)</f>
        <v>7.5</v>
      </c>
      <c r="J804">
        <f>_xlfn.XLOOKUP(A804,'[1]Tissue Data'!$A:$A,'[1]Tissue Data'!M:M)</f>
        <v>5.2</v>
      </c>
      <c r="K804" t="s">
        <v>14</v>
      </c>
      <c r="L804" t="str">
        <f>_xlfn.XLOOKUP(K804,[2]analyte_order!$B:$B,[2]analyte_order!$C:$C)</f>
        <v>307-24-4</v>
      </c>
      <c r="M804">
        <f>_xlfn.XLOOKUP(L804,[2]analyte_order!$C:$C,[2]analyte_order!$E:$E)</f>
        <v>3</v>
      </c>
      <c r="N804">
        <v>3.9729142069369464E-2</v>
      </c>
    </row>
    <row r="805" spans="1:14">
      <c r="A805" t="s">
        <v>311</v>
      </c>
      <c r="B805" t="str">
        <f>_xlfn.XLOOKUP(A805,'[1]Tissue Data'!$A:$A,'[1]Tissue Data'!$C:$C)</f>
        <v>Down</v>
      </c>
      <c r="C805" s="2">
        <f>_xlfn.XLOOKUP(A805,'[1]Tissue Data'!$A:$A,'[1]Tissue Data'!$D:$D)</f>
        <v>44314</v>
      </c>
      <c r="D805" s="2" t="s">
        <v>131</v>
      </c>
      <c r="E805" t="str">
        <f>_xlfn.XLOOKUP(A805,'[1]Tissue Data'!$A:$A,'[1]Tissue Data'!$H:$H)</f>
        <v>Clinostomus</v>
      </c>
      <c r="F805" t="str">
        <f>_xlfn.XLOOKUP(A805,'[1]Tissue Data'!$A:$A,'[1]Tissue Data'!$I:$I)</f>
        <v>funduloides</v>
      </c>
      <c r="G805" t="str">
        <f>_xlfn.XLOOKUP(A805,'[1]Tissue Data'!$A:$A,'[1]Tissue Data'!J:J)</f>
        <v>U</v>
      </c>
      <c r="H805" t="str">
        <f>_xlfn.XLOOKUP(A805,'[1]Tissue Data'!$A:$A,'[1]Tissue Data'!K:K)</f>
        <v>Whole Body</v>
      </c>
      <c r="I805">
        <f>_xlfn.XLOOKUP(A805,'[1]Tissue Data'!$A:$A,'[1]Tissue Data'!L:L)</f>
        <v>7.5</v>
      </c>
      <c r="J805">
        <f>_xlfn.XLOOKUP(A805,'[1]Tissue Data'!$A:$A,'[1]Tissue Data'!M:M)</f>
        <v>5.2</v>
      </c>
      <c r="K805" t="s">
        <v>15</v>
      </c>
      <c r="L805" t="str">
        <f>_xlfn.XLOOKUP(K805,[2]analyte_order!$B:$B,[2]analyte_order!$C:$C)</f>
        <v>375-85-9</v>
      </c>
      <c r="M805">
        <f>_xlfn.XLOOKUP(L805,[2]analyte_order!$C:$C,[2]analyte_order!$E:$E)</f>
        <v>4</v>
      </c>
      <c r="N805">
        <v>2.9445829489016705E-2</v>
      </c>
    </row>
    <row r="806" spans="1:14">
      <c r="A806" t="s">
        <v>311</v>
      </c>
      <c r="B806" t="str">
        <f>_xlfn.XLOOKUP(A806,'[1]Tissue Data'!$A:$A,'[1]Tissue Data'!$C:$C)</f>
        <v>Down</v>
      </c>
      <c r="C806" s="2">
        <f>_xlfn.XLOOKUP(A806,'[1]Tissue Data'!$A:$A,'[1]Tissue Data'!$D:$D)</f>
        <v>44314</v>
      </c>
      <c r="D806" s="2" t="s">
        <v>131</v>
      </c>
      <c r="E806" t="str">
        <f>_xlfn.XLOOKUP(A806,'[1]Tissue Data'!$A:$A,'[1]Tissue Data'!$H:$H)</f>
        <v>Clinostomus</v>
      </c>
      <c r="F806" t="str">
        <f>_xlfn.XLOOKUP(A806,'[1]Tissue Data'!$A:$A,'[1]Tissue Data'!$I:$I)</f>
        <v>funduloides</v>
      </c>
      <c r="G806" t="str">
        <f>_xlfn.XLOOKUP(A806,'[1]Tissue Data'!$A:$A,'[1]Tissue Data'!J:J)</f>
        <v>U</v>
      </c>
      <c r="H806" t="str">
        <f>_xlfn.XLOOKUP(A806,'[1]Tissue Data'!$A:$A,'[1]Tissue Data'!K:K)</f>
        <v>Whole Body</v>
      </c>
      <c r="I806">
        <f>_xlfn.XLOOKUP(A806,'[1]Tissue Data'!$A:$A,'[1]Tissue Data'!L:L)</f>
        <v>7.5</v>
      </c>
      <c r="J806">
        <f>_xlfn.XLOOKUP(A806,'[1]Tissue Data'!$A:$A,'[1]Tissue Data'!M:M)</f>
        <v>5.2</v>
      </c>
      <c r="K806" t="s">
        <v>16</v>
      </c>
      <c r="L806" t="str">
        <f>_xlfn.XLOOKUP(K806,[2]analyte_order!$B:$B,[2]analyte_order!$C:$C)</f>
        <v>335-67-1</v>
      </c>
      <c r="M806">
        <f>_xlfn.XLOOKUP(L806,[2]analyte_order!$C:$C,[2]analyte_order!$E:$E)</f>
        <v>5</v>
      </c>
      <c r="N806">
        <v>1.47</v>
      </c>
    </row>
    <row r="807" spans="1:14">
      <c r="A807" t="s">
        <v>311</v>
      </c>
      <c r="B807" t="str">
        <f>_xlfn.XLOOKUP(A807,'[1]Tissue Data'!$A:$A,'[1]Tissue Data'!$C:$C)</f>
        <v>Down</v>
      </c>
      <c r="C807" s="2">
        <f>_xlfn.XLOOKUP(A807,'[1]Tissue Data'!$A:$A,'[1]Tissue Data'!$D:$D)</f>
        <v>44314</v>
      </c>
      <c r="D807" s="2" t="s">
        <v>131</v>
      </c>
      <c r="E807" t="str">
        <f>_xlfn.XLOOKUP(A807,'[1]Tissue Data'!$A:$A,'[1]Tissue Data'!$H:$H)</f>
        <v>Clinostomus</v>
      </c>
      <c r="F807" t="str">
        <f>_xlfn.XLOOKUP(A807,'[1]Tissue Data'!$A:$A,'[1]Tissue Data'!$I:$I)</f>
        <v>funduloides</v>
      </c>
      <c r="G807" t="str">
        <f>_xlfn.XLOOKUP(A807,'[1]Tissue Data'!$A:$A,'[1]Tissue Data'!J:J)</f>
        <v>U</v>
      </c>
      <c r="H807" t="str">
        <f>_xlfn.XLOOKUP(A807,'[1]Tissue Data'!$A:$A,'[1]Tissue Data'!K:K)</f>
        <v>Whole Body</v>
      </c>
      <c r="I807">
        <f>_xlfn.XLOOKUP(A807,'[1]Tissue Data'!$A:$A,'[1]Tissue Data'!L:L)</f>
        <v>7.5</v>
      </c>
      <c r="J807">
        <f>_xlfn.XLOOKUP(A807,'[1]Tissue Data'!$A:$A,'[1]Tissue Data'!M:M)</f>
        <v>5.2</v>
      </c>
      <c r="K807" t="s">
        <v>17</v>
      </c>
      <c r="L807" t="str">
        <f>_xlfn.XLOOKUP(K807,[2]analyte_order!$B:$B,[2]analyte_order!$C:$C)</f>
        <v>375-95-1</v>
      </c>
      <c r="M807">
        <f>_xlfn.XLOOKUP(L807,[2]analyte_order!$C:$C,[2]analyte_order!$E:$E)</f>
        <v>6</v>
      </c>
      <c r="N807">
        <v>2.96</v>
      </c>
    </row>
    <row r="808" spans="1:14">
      <c r="A808" t="s">
        <v>311</v>
      </c>
      <c r="B808" t="str">
        <f>_xlfn.XLOOKUP(A808,'[1]Tissue Data'!$A:$A,'[1]Tissue Data'!$C:$C)</f>
        <v>Down</v>
      </c>
      <c r="C808" s="2">
        <f>_xlfn.XLOOKUP(A808,'[1]Tissue Data'!$A:$A,'[1]Tissue Data'!$D:$D)</f>
        <v>44314</v>
      </c>
      <c r="D808" s="2" t="s">
        <v>131</v>
      </c>
      <c r="E808" t="str">
        <f>_xlfn.XLOOKUP(A808,'[1]Tissue Data'!$A:$A,'[1]Tissue Data'!$H:$H)</f>
        <v>Clinostomus</v>
      </c>
      <c r="F808" t="str">
        <f>_xlfn.XLOOKUP(A808,'[1]Tissue Data'!$A:$A,'[1]Tissue Data'!$I:$I)</f>
        <v>funduloides</v>
      </c>
      <c r="G808" t="str">
        <f>_xlfn.XLOOKUP(A808,'[1]Tissue Data'!$A:$A,'[1]Tissue Data'!J:J)</f>
        <v>U</v>
      </c>
      <c r="H808" t="str">
        <f>_xlfn.XLOOKUP(A808,'[1]Tissue Data'!$A:$A,'[1]Tissue Data'!K:K)</f>
        <v>Whole Body</v>
      </c>
      <c r="I808">
        <f>_xlfn.XLOOKUP(A808,'[1]Tissue Data'!$A:$A,'[1]Tissue Data'!L:L)</f>
        <v>7.5</v>
      </c>
      <c r="J808">
        <f>_xlfn.XLOOKUP(A808,'[1]Tissue Data'!$A:$A,'[1]Tissue Data'!M:M)</f>
        <v>5.2</v>
      </c>
      <c r="K808" t="s">
        <v>18</v>
      </c>
      <c r="L808" t="str">
        <f>_xlfn.XLOOKUP(K808,[2]analyte_order!$B:$B,[2]analyte_order!$C:$C)</f>
        <v>335-76-2</v>
      </c>
      <c r="M808">
        <f>_xlfn.XLOOKUP(L808,[2]analyte_order!$C:$C,[2]analyte_order!$E:$E)</f>
        <v>7</v>
      </c>
      <c r="N808">
        <v>7.61</v>
      </c>
    </row>
    <row r="809" spans="1:14">
      <c r="A809" t="s">
        <v>311</v>
      </c>
      <c r="B809" t="str">
        <f>_xlfn.XLOOKUP(A809,'[1]Tissue Data'!$A:$A,'[1]Tissue Data'!$C:$C)</f>
        <v>Down</v>
      </c>
      <c r="C809" s="2">
        <f>_xlfn.XLOOKUP(A809,'[1]Tissue Data'!$A:$A,'[1]Tissue Data'!$D:$D)</f>
        <v>44314</v>
      </c>
      <c r="D809" s="2" t="s">
        <v>131</v>
      </c>
      <c r="E809" t="str">
        <f>_xlfn.XLOOKUP(A809,'[1]Tissue Data'!$A:$A,'[1]Tissue Data'!$H:$H)</f>
        <v>Clinostomus</v>
      </c>
      <c r="F809" t="str">
        <f>_xlfn.XLOOKUP(A809,'[1]Tissue Data'!$A:$A,'[1]Tissue Data'!$I:$I)</f>
        <v>funduloides</v>
      </c>
      <c r="G809" t="str">
        <f>_xlfn.XLOOKUP(A809,'[1]Tissue Data'!$A:$A,'[1]Tissue Data'!J:J)</f>
        <v>U</v>
      </c>
      <c r="H809" t="str">
        <f>_xlfn.XLOOKUP(A809,'[1]Tissue Data'!$A:$A,'[1]Tissue Data'!K:K)</f>
        <v>Whole Body</v>
      </c>
      <c r="I809">
        <f>_xlfn.XLOOKUP(A809,'[1]Tissue Data'!$A:$A,'[1]Tissue Data'!L:L)</f>
        <v>7.5</v>
      </c>
      <c r="J809">
        <f>_xlfn.XLOOKUP(A809,'[1]Tissue Data'!$A:$A,'[1]Tissue Data'!M:M)</f>
        <v>5.2</v>
      </c>
      <c r="K809" t="s">
        <v>19</v>
      </c>
      <c r="L809" t="str">
        <f>_xlfn.XLOOKUP(K809,[2]analyte_order!$B:$B,[2]analyte_order!$C:$C)</f>
        <v>2058-94-8</v>
      </c>
      <c r="M809">
        <f>_xlfn.XLOOKUP(L809,[2]analyte_order!$C:$C,[2]analyte_order!$E:$E)</f>
        <v>8</v>
      </c>
      <c r="N809">
        <v>16.100000000000001</v>
      </c>
    </row>
    <row r="810" spans="1:14">
      <c r="A810" t="s">
        <v>311</v>
      </c>
      <c r="B810" t="str">
        <f>_xlfn.XLOOKUP(A810,'[1]Tissue Data'!$A:$A,'[1]Tissue Data'!$C:$C)</f>
        <v>Down</v>
      </c>
      <c r="C810" s="2">
        <f>_xlfn.XLOOKUP(A810,'[1]Tissue Data'!$A:$A,'[1]Tissue Data'!$D:$D)</f>
        <v>44314</v>
      </c>
      <c r="D810" s="2" t="s">
        <v>131</v>
      </c>
      <c r="E810" t="str">
        <f>_xlfn.XLOOKUP(A810,'[1]Tissue Data'!$A:$A,'[1]Tissue Data'!$H:$H)</f>
        <v>Clinostomus</v>
      </c>
      <c r="F810" t="str">
        <f>_xlfn.XLOOKUP(A810,'[1]Tissue Data'!$A:$A,'[1]Tissue Data'!$I:$I)</f>
        <v>funduloides</v>
      </c>
      <c r="G810" t="str">
        <f>_xlfn.XLOOKUP(A810,'[1]Tissue Data'!$A:$A,'[1]Tissue Data'!J:J)</f>
        <v>U</v>
      </c>
      <c r="H810" t="str">
        <f>_xlfn.XLOOKUP(A810,'[1]Tissue Data'!$A:$A,'[1]Tissue Data'!K:K)</f>
        <v>Whole Body</v>
      </c>
      <c r="I810">
        <f>_xlfn.XLOOKUP(A810,'[1]Tissue Data'!$A:$A,'[1]Tissue Data'!L:L)</f>
        <v>7.5</v>
      </c>
      <c r="J810">
        <f>_xlfn.XLOOKUP(A810,'[1]Tissue Data'!$A:$A,'[1]Tissue Data'!M:M)</f>
        <v>5.2</v>
      </c>
      <c r="K810" t="s">
        <v>20</v>
      </c>
      <c r="L810" t="str">
        <f>_xlfn.XLOOKUP(K810,[2]analyte_order!$B:$B,[2]analyte_order!$C:$C)</f>
        <v>307-55-1</v>
      </c>
      <c r="M810">
        <f>_xlfn.XLOOKUP(L810,[2]analyte_order!$C:$C,[2]analyte_order!$E:$E)</f>
        <v>9</v>
      </c>
      <c r="N810">
        <v>5.8776810542539408E-2</v>
      </c>
    </row>
    <row r="811" spans="1:14">
      <c r="A811" t="s">
        <v>311</v>
      </c>
      <c r="B811" t="str">
        <f>_xlfn.XLOOKUP(A811,'[1]Tissue Data'!$A:$A,'[1]Tissue Data'!$C:$C)</f>
        <v>Down</v>
      </c>
      <c r="C811" s="2">
        <f>_xlfn.XLOOKUP(A811,'[1]Tissue Data'!$A:$A,'[1]Tissue Data'!$D:$D)</f>
        <v>44314</v>
      </c>
      <c r="D811" s="2" t="s">
        <v>131</v>
      </c>
      <c r="E811" t="str">
        <f>_xlfn.XLOOKUP(A811,'[1]Tissue Data'!$A:$A,'[1]Tissue Data'!$H:$H)</f>
        <v>Clinostomus</v>
      </c>
      <c r="F811" t="str">
        <f>_xlfn.XLOOKUP(A811,'[1]Tissue Data'!$A:$A,'[1]Tissue Data'!$I:$I)</f>
        <v>funduloides</v>
      </c>
      <c r="G811" t="str">
        <f>_xlfn.XLOOKUP(A811,'[1]Tissue Data'!$A:$A,'[1]Tissue Data'!J:J)</f>
        <v>U</v>
      </c>
      <c r="H811" t="str">
        <f>_xlfn.XLOOKUP(A811,'[1]Tissue Data'!$A:$A,'[1]Tissue Data'!K:K)</f>
        <v>Whole Body</v>
      </c>
      <c r="I811">
        <f>_xlfn.XLOOKUP(A811,'[1]Tissue Data'!$A:$A,'[1]Tissue Data'!L:L)</f>
        <v>7.5</v>
      </c>
      <c r="J811">
        <f>_xlfn.XLOOKUP(A811,'[1]Tissue Data'!$A:$A,'[1]Tissue Data'!M:M)</f>
        <v>5.2</v>
      </c>
      <c r="K811" t="s">
        <v>21</v>
      </c>
      <c r="L811" t="str">
        <f>_xlfn.XLOOKUP(K811,[2]analyte_order!$B:$B,[2]analyte_order!$C:$C)</f>
        <v>72629-94-8</v>
      </c>
      <c r="M811">
        <f>_xlfn.XLOOKUP(L811,[2]analyte_order!$C:$C,[2]analyte_order!$E:$E)</f>
        <v>10</v>
      </c>
      <c r="N811">
        <v>7.19</v>
      </c>
    </row>
    <row r="812" spans="1:14">
      <c r="A812" t="s">
        <v>311</v>
      </c>
      <c r="B812" t="str">
        <f>_xlfn.XLOOKUP(A812,'[1]Tissue Data'!$A:$A,'[1]Tissue Data'!$C:$C)</f>
        <v>Down</v>
      </c>
      <c r="C812" s="2">
        <f>_xlfn.XLOOKUP(A812,'[1]Tissue Data'!$A:$A,'[1]Tissue Data'!$D:$D)</f>
        <v>44314</v>
      </c>
      <c r="D812" s="2" t="s">
        <v>131</v>
      </c>
      <c r="E812" t="str">
        <f>_xlfn.XLOOKUP(A812,'[1]Tissue Data'!$A:$A,'[1]Tissue Data'!$H:$H)</f>
        <v>Clinostomus</v>
      </c>
      <c r="F812" t="str">
        <f>_xlfn.XLOOKUP(A812,'[1]Tissue Data'!$A:$A,'[1]Tissue Data'!$I:$I)</f>
        <v>funduloides</v>
      </c>
      <c r="G812" t="str">
        <f>_xlfn.XLOOKUP(A812,'[1]Tissue Data'!$A:$A,'[1]Tissue Data'!J:J)</f>
        <v>U</v>
      </c>
      <c r="H812" t="str">
        <f>_xlfn.XLOOKUP(A812,'[1]Tissue Data'!$A:$A,'[1]Tissue Data'!K:K)</f>
        <v>Whole Body</v>
      </c>
      <c r="I812">
        <f>_xlfn.XLOOKUP(A812,'[1]Tissue Data'!$A:$A,'[1]Tissue Data'!L:L)</f>
        <v>7.5</v>
      </c>
      <c r="J812">
        <f>_xlfn.XLOOKUP(A812,'[1]Tissue Data'!$A:$A,'[1]Tissue Data'!M:M)</f>
        <v>5.2</v>
      </c>
      <c r="K812" t="s">
        <v>22</v>
      </c>
      <c r="L812" t="str">
        <f>_xlfn.XLOOKUP(K812,[2]analyte_order!$B:$B,[2]analyte_order!$C:$C)</f>
        <v>376-06-7</v>
      </c>
      <c r="M812">
        <f>_xlfn.XLOOKUP(L812,[2]analyte_order!$C:$C,[2]analyte_order!$E:$E)</f>
        <v>11</v>
      </c>
      <c r="N812">
        <v>7.71</v>
      </c>
    </row>
    <row r="813" spans="1:14">
      <c r="A813" t="s">
        <v>311</v>
      </c>
      <c r="B813" t="str">
        <f>_xlfn.XLOOKUP(A813,'[1]Tissue Data'!$A:$A,'[1]Tissue Data'!$C:$C)</f>
        <v>Down</v>
      </c>
      <c r="C813" s="2">
        <f>_xlfn.XLOOKUP(A813,'[1]Tissue Data'!$A:$A,'[1]Tissue Data'!$D:$D)</f>
        <v>44314</v>
      </c>
      <c r="D813" s="2" t="s">
        <v>131</v>
      </c>
      <c r="E813" t="str">
        <f>_xlfn.XLOOKUP(A813,'[1]Tissue Data'!$A:$A,'[1]Tissue Data'!$H:$H)</f>
        <v>Clinostomus</v>
      </c>
      <c r="F813" t="str">
        <f>_xlfn.XLOOKUP(A813,'[1]Tissue Data'!$A:$A,'[1]Tissue Data'!$I:$I)</f>
        <v>funduloides</v>
      </c>
      <c r="G813" t="str">
        <f>_xlfn.XLOOKUP(A813,'[1]Tissue Data'!$A:$A,'[1]Tissue Data'!J:J)</f>
        <v>U</v>
      </c>
      <c r="H813" t="str">
        <f>_xlfn.XLOOKUP(A813,'[1]Tissue Data'!$A:$A,'[1]Tissue Data'!K:K)</f>
        <v>Whole Body</v>
      </c>
      <c r="I813">
        <f>_xlfn.XLOOKUP(A813,'[1]Tissue Data'!$A:$A,'[1]Tissue Data'!L:L)</f>
        <v>7.5</v>
      </c>
      <c r="J813">
        <f>_xlfn.XLOOKUP(A813,'[1]Tissue Data'!$A:$A,'[1]Tissue Data'!M:M)</f>
        <v>5.2</v>
      </c>
      <c r="K813" t="s">
        <v>23</v>
      </c>
      <c r="L813" t="str">
        <f>_xlfn.XLOOKUP(K813,[2]analyte_order!$B:$B,[2]analyte_order!$C:$C)</f>
        <v>67905-19-5</v>
      </c>
      <c r="M813">
        <f>_xlfn.XLOOKUP(L813,[2]analyte_order!$C:$C,[2]analyte_order!$E:$E)</f>
        <v>12</v>
      </c>
      <c r="N813">
        <v>8.7733859381343121E-2</v>
      </c>
    </row>
    <row r="814" spans="1:14">
      <c r="A814" t="s">
        <v>311</v>
      </c>
      <c r="B814" t="str">
        <f>_xlfn.XLOOKUP(A814,'[1]Tissue Data'!$A:$A,'[1]Tissue Data'!$C:$C)</f>
        <v>Down</v>
      </c>
      <c r="C814" s="2">
        <f>_xlfn.XLOOKUP(A814,'[1]Tissue Data'!$A:$A,'[1]Tissue Data'!$D:$D)</f>
        <v>44314</v>
      </c>
      <c r="D814" s="2" t="s">
        <v>131</v>
      </c>
      <c r="E814" t="str">
        <f>_xlfn.XLOOKUP(A814,'[1]Tissue Data'!$A:$A,'[1]Tissue Data'!$H:$H)</f>
        <v>Clinostomus</v>
      </c>
      <c r="F814" t="str">
        <f>_xlfn.XLOOKUP(A814,'[1]Tissue Data'!$A:$A,'[1]Tissue Data'!$I:$I)</f>
        <v>funduloides</v>
      </c>
      <c r="G814" t="str">
        <f>_xlfn.XLOOKUP(A814,'[1]Tissue Data'!$A:$A,'[1]Tissue Data'!J:J)</f>
        <v>U</v>
      </c>
      <c r="H814" t="str">
        <f>_xlfn.XLOOKUP(A814,'[1]Tissue Data'!$A:$A,'[1]Tissue Data'!K:K)</f>
        <v>Whole Body</v>
      </c>
      <c r="I814">
        <f>_xlfn.XLOOKUP(A814,'[1]Tissue Data'!$A:$A,'[1]Tissue Data'!L:L)</f>
        <v>7.5</v>
      </c>
      <c r="J814">
        <f>_xlfn.XLOOKUP(A814,'[1]Tissue Data'!$A:$A,'[1]Tissue Data'!M:M)</f>
        <v>5.2</v>
      </c>
      <c r="K814" t="s">
        <v>24</v>
      </c>
      <c r="L814" t="str">
        <f>_xlfn.XLOOKUP(K814,[2]analyte_order!$B:$B,[2]analyte_order!$C:$C)</f>
        <v>423-41-6</v>
      </c>
      <c r="M814">
        <f>_xlfn.XLOOKUP(L814,[2]analyte_order!$C:$C,[2]analyte_order!$E:$E)</f>
        <v>53</v>
      </c>
      <c r="N814">
        <v>5.6164477315374647E-2</v>
      </c>
    </row>
    <row r="815" spans="1:14">
      <c r="A815" t="s">
        <v>311</v>
      </c>
      <c r="B815" t="str">
        <f>_xlfn.XLOOKUP(A815,'[1]Tissue Data'!$A:$A,'[1]Tissue Data'!$C:$C)</f>
        <v>Down</v>
      </c>
      <c r="C815" s="2">
        <f>_xlfn.XLOOKUP(A815,'[1]Tissue Data'!$A:$A,'[1]Tissue Data'!$D:$D)</f>
        <v>44314</v>
      </c>
      <c r="D815" s="2" t="s">
        <v>131</v>
      </c>
      <c r="E815" t="str">
        <f>_xlfn.XLOOKUP(A815,'[1]Tissue Data'!$A:$A,'[1]Tissue Data'!$H:$H)</f>
        <v>Clinostomus</v>
      </c>
      <c r="F815" t="str">
        <f>_xlfn.XLOOKUP(A815,'[1]Tissue Data'!$A:$A,'[1]Tissue Data'!$I:$I)</f>
        <v>funduloides</v>
      </c>
      <c r="G815" t="str">
        <f>_xlfn.XLOOKUP(A815,'[1]Tissue Data'!$A:$A,'[1]Tissue Data'!J:J)</f>
        <v>U</v>
      </c>
      <c r="H815" t="str">
        <f>_xlfn.XLOOKUP(A815,'[1]Tissue Data'!$A:$A,'[1]Tissue Data'!K:K)</f>
        <v>Whole Body</v>
      </c>
      <c r="I815">
        <f>_xlfn.XLOOKUP(A815,'[1]Tissue Data'!$A:$A,'[1]Tissue Data'!L:L)</f>
        <v>7.5</v>
      </c>
      <c r="J815">
        <f>_xlfn.XLOOKUP(A815,'[1]Tissue Data'!$A:$A,'[1]Tissue Data'!M:M)</f>
        <v>5.2</v>
      </c>
      <c r="K815" t="s">
        <v>25</v>
      </c>
      <c r="L815" t="str">
        <f>_xlfn.XLOOKUP(K815,[2]analyte_order!$B:$B,[2]analyte_order!$C:$C)</f>
        <v>375-73-5</v>
      </c>
      <c r="M815">
        <f>_xlfn.XLOOKUP(L815,[2]analyte_order!$C:$C,[2]analyte_order!$E:$E)</f>
        <v>14</v>
      </c>
      <c r="N815">
        <v>5.010276491848413E-2</v>
      </c>
    </row>
    <row r="816" spans="1:14">
      <c r="A816" t="s">
        <v>311</v>
      </c>
      <c r="B816" t="str">
        <f>_xlfn.XLOOKUP(A816,'[1]Tissue Data'!$A:$A,'[1]Tissue Data'!$C:$C)</f>
        <v>Down</v>
      </c>
      <c r="C816" s="2">
        <f>_xlfn.XLOOKUP(A816,'[1]Tissue Data'!$A:$A,'[1]Tissue Data'!$D:$D)</f>
        <v>44314</v>
      </c>
      <c r="D816" s="2" t="s">
        <v>131</v>
      </c>
      <c r="E816" t="str">
        <f>_xlfn.XLOOKUP(A816,'[1]Tissue Data'!$A:$A,'[1]Tissue Data'!$H:$H)</f>
        <v>Clinostomus</v>
      </c>
      <c r="F816" t="str">
        <f>_xlfn.XLOOKUP(A816,'[1]Tissue Data'!$A:$A,'[1]Tissue Data'!$I:$I)</f>
        <v>funduloides</v>
      </c>
      <c r="G816" t="str">
        <f>_xlfn.XLOOKUP(A816,'[1]Tissue Data'!$A:$A,'[1]Tissue Data'!J:J)</f>
        <v>U</v>
      </c>
      <c r="H816" t="str">
        <f>_xlfn.XLOOKUP(A816,'[1]Tissue Data'!$A:$A,'[1]Tissue Data'!K:K)</f>
        <v>Whole Body</v>
      </c>
      <c r="I816">
        <f>_xlfn.XLOOKUP(A816,'[1]Tissue Data'!$A:$A,'[1]Tissue Data'!L:L)</f>
        <v>7.5</v>
      </c>
      <c r="J816">
        <f>_xlfn.XLOOKUP(A816,'[1]Tissue Data'!$A:$A,'[1]Tissue Data'!M:M)</f>
        <v>5.2</v>
      </c>
      <c r="K816" t="s">
        <v>26</v>
      </c>
      <c r="L816" t="str">
        <f>_xlfn.XLOOKUP(K816,[2]analyte_order!$B:$B,[2]analyte_order!$C:$C)</f>
        <v>2706-91-4</v>
      </c>
      <c r="M816">
        <f>_xlfn.XLOOKUP(L816,[2]analyte_order!$C:$C,[2]analyte_order!$E:$E)</f>
        <v>15</v>
      </c>
      <c r="N816">
        <v>0.25800000000000001</v>
      </c>
    </row>
    <row r="817" spans="1:14">
      <c r="A817" t="s">
        <v>311</v>
      </c>
      <c r="B817" t="str">
        <f>_xlfn.XLOOKUP(A817,'[1]Tissue Data'!$A:$A,'[1]Tissue Data'!$C:$C)</f>
        <v>Down</v>
      </c>
      <c r="C817" s="2">
        <f>_xlfn.XLOOKUP(A817,'[1]Tissue Data'!$A:$A,'[1]Tissue Data'!$D:$D)</f>
        <v>44314</v>
      </c>
      <c r="D817" s="2" t="s">
        <v>131</v>
      </c>
      <c r="E817" t="str">
        <f>_xlfn.XLOOKUP(A817,'[1]Tissue Data'!$A:$A,'[1]Tissue Data'!$H:$H)</f>
        <v>Clinostomus</v>
      </c>
      <c r="F817" t="str">
        <f>_xlfn.XLOOKUP(A817,'[1]Tissue Data'!$A:$A,'[1]Tissue Data'!$I:$I)</f>
        <v>funduloides</v>
      </c>
      <c r="G817" t="str">
        <f>_xlfn.XLOOKUP(A817,'[1]Tissue Data'!$A:$A,'[1]Tissue Data'!J:J)</f>
        <v>U</v>
      </c>
      <c r="H817" t="str">
        <f>_xlfn.XLOOKUP(A817,'[1]Tissue Data'!$A:$A,'[1]Tissue Data'!K:K)</f>
        <v>Whole Body</v>
      </c>
      <c r="I817">
        <f>_xlfn.XLOOKUP(A817,'[1]Tissue Data'!$A:$A,'[1]Tissue Data'!L:L)</f>
        <v>7.5</v>
      </c>
      <c r="J817">
        <f>_xlfn.XLOOKUP(A817,'[1]Tissue Data'!$A:$A,'[1]Tissue Data'!M:M)</f>
        <v>5.2</v>
      </c>
      <c r="K817" t="s">
        <v>27</v>
      </c>
      <c r="L817" t="str">
        <f>_xlfn.XLOOKUP(K817,[2]analyte_order!$B:$B,[2]analyte_order!$C:$C)</f>
        <v>355-46-4</v>
      </c>
      <c r="M817">
        <f>_xlfn.XLOOKUP(L817,[2]analyte_order!$C:$C,[2]analyte_order!$E:$E)</f>
        <v>16</v>
      </c>
      <c r="N817">
        <v>38</v>
      </c>
    </row>
    <row r="818" spans="1:14">
      <c r="A818" t="s">
        <v>311</v>
      </c>
      <c r="B818" t="str">
        <f>_xlfn.XLOOKUP(A818,'[1]Tissue Data'!$A:$A,'[1]Tissue Data'!$C:$C)</f>
        <v>Down</v>
      </c>
      <c r="C818" s="2">
        <f>_xlfn.XLOOKUP(A818,'[1]Tissue Data'!$A:$A,'[1]Tissue Data'!$D:$D)</f>
        <v>44314</v>
      </c>
      <c r="D818" s="2" t="s">
        <v>131</v>
      </c>
      <c r="E818" t="str">
        <f>_xlfn.XLOOKUP(A818,'[1]Tissue Data'!$A:$A,'[1]Tissue Data'!$H:$H)</f>
        <v>Clinostomus</v>
      </c>
      <c r="F818" t="str">
        <f>_xlfn.XLOOKUP(A818,'[1]Tissue Data'!$A:$A,'[1]Tissue Data'!$I:$I)</f>
        <v>funduloides</v>
      </c>
      <c r="G818" t="str">
        <f>_xlfn.XLOOKUP(A818,'[1]Tissue Data'!$A:$A,'[1]Tissue Data'!J:J)</f>
        <v>U</v>
      </c>
      <c r="H818" t="str">
        <f>_xlfn.XLOOKUP(A818,'[1]Tissue Data'!$A:$A,'[1]Tissue Data'!K:K)</f>
        <v>Whole Body</v>
      </c>
      <c r="I818">
        <f>_xlfn.XLOOKUP(A818,'[1]Tissue Data'!$A:$A,'[1]Tissue Data'!L:L)</f>
        <v>7.5</v>
      </c>
      <c r="J818">
        <f>_xlfn.XLOOKUP(A818,'[1]Tissue Data'!$A:$A,'[1]Tissue Data'!M:M)</f>
        <v>5.2</v>
      </c>
      <c r="K818" t="s">
        <v>28</v>
      </c>
      <c r="L818" t="str">
        <f>_xlfn.XLOOKUP(K818,[2]analyte_order!$B:$B,[2]analyte_order!$C:$C)</f>
        <v>375-92-8</v>
      </c>
      <c r="M818">
        <f>_xlfn.XLOOKUP(L818,[2]analyte_order!$C:$C,[2]analyte_order!$E:$E)</f>
        <v>17</v>
      </c>
      <c r="N818">
        <v>9.9600000000000009</v>
      </c>
    </row>
    <row r="819" spans="1:14">
      <c r="A819" t="s">
        <v>311</v>
      </c>
      <c r="B819" t="str">
        <f>_xlfn.XLOOKUP(A819,'[1]Tissue Data'!$A:$A,'[1]Tissue Data'!$C:$C)</f>
        <v>Down</v>
      </c>
      <c r="C819" s="2">
        <f>_xlfn.XLOOKUP(A819,'[1]Tissue Data'!$A:$A,'[1]Tissue Data'!$D:$D)</f>
        <v>44314</v>
      </c>
      <c r="D819" s="2" t="s">
        <v>131</v>
      </c>
      <c r="E819" t="str">
        <f>_xlfn.XLOOKUP(A819,'[1]Tissue Data'!$A:$A,'[1]Tissue Data'!$H:$H)</f>
        <v>Clinostomus</v>
      </c>
      <c r="F819" t="str">
        <f>_xlfn.XLOOKUP(A819,'[1]Tissue Data'!$A:$A,'[1]Tissue Data'!$I:$I)</f>
        <v>funduloides</v>
      </c>
      <c r="G819" t="str">
        <f>_xlfn.XLOOKUP(A819,'[1]Tissue Data'!$A:$A,'[1]Tissue Data'!J:J)</f>
        <v>U</v>
      </c>
      <c r="H819" t="str">
        <f>_xlfn.XLOOKUP(A819,'[1]Tissue Data'!$A:$A,'[1]Tissue Data'!K:K)</f>
        <v>Whole Body</v>
      </c>
      <c r="I819">
        <f>_xlfn.XLOOKUP(A819,'[1]Tissue Data'!$A:$A,'[1]Tissue Data'!L:L)</f>
        <v>7.5</v>
      </c>
      <c r="J819">
        <f>_xlfn.XLOOKUP(A819,'[1]Tissue Data'!$A:$A,'[1]Tissue Data'!M:M)</f>
        <v>5.2</v>
      </c>
      <c r="K819" t="s">
        <v>29</v>
      </c>
      <c r="L819" t="str">
        <f>_xlfn.XLOOKUP(K819,[2]analyte_order!$B:$B,[2]analyte_order!$C:$C)</f>
        <v>1763-23-1</v>
      </c>
      <c r="M819">
        <f>_xlfn.XLOOKUP(L819,[2]analyte_order!$C:$C,[2]analyte_order!$E:$E)</f>
        <v>18</v>
      </c>
      <c r="N819">
        <v>1260</v>
      </c>
    </row>
    <row r="820" spans="1:14">
      <c r="A820" t="s">
        <v>311</v>
      </c>
      <c r="B820" t="str">
        <f>_xlfn.XLOOKUP(A820,'[1]Tissue Data'!$A:$A,'[1]Tissue Data'!$C:$C)</f>
        <v>Down</v>
      </c>
      <c r="C820" s="2">
        <f>_xlfn.XLOOKUP(A820,'[1]Tissue Data'!$A:$A,'[1]Tissue Data'!$D:$D)</f>
        <v>44314</v>
      </c>
      <c r="D820" s="2" t="s">
        <v>131</v>
      </c>
      <c r="E820" t="str">
        <f>_xlfn.XLOOKUP(A820,'[1]Tissue Data'!$A:$A,'[1]Tissue Data'!$H:$H)</f>
        <v>Clinostomus</v>
      </c>
      <c r="F820" t="str">
        <f>_xlfn.XLOOKUP(A820,'[1]Tissue Data'!$A:$A,'[1]Tissue Data'!$I:$I)</f>
        <v>funduloides</v>
      </c>
      <c r="G820" t="str">
        <f>_xlfn.XLOOKUP(A820,'[1]Tissue Data'!$A:$A,'[1]Tissue Data'!J:J)</f>
        <v>U</v>
      </c>
      <c r="H820" t="str">
        <f>_xlfn.XLOOKUP(A820,'[1]Tissue Data'!$A:$A,'[1]Tissue Data'!K:K)</f>
        <v>Whole Body</v>
      </c>
      <c r="I820">
        <f>_xlfn.XLOOKUP(A820,'[1]Tissue Data'!$A:$A,'[1]Tissue Data'!L:L)</f>
        <v>7.5</v>
      </c>
      <c r="J820">
        <f>_xlfn.XLOOKUP(A820,'[1]Tissue Data'!$A:$A,'[1]Tissue Data'!M:M)</f>
        <v>5.2</v>
      </c>
      <c r="K820" t="s">
        <v>30</v>
      </c>
      <c r="L820" t="str">
        <f>_xlfn.XLOOKUP(K820,[2]analyte_order!$B:$B,[2]analyte_order!$C:$C)</f>
        <v>68259-12-1</v>
      </c>
      <c r="M820">
        <f>_xlfn.XLOOKUP(L820,[2]analyte_order!$C:$C,[2]analyte_order!$E:$E)</f>
        <v>19</v>
      </c>
      <c r="N820">
        <v>2.73</v>
      </c>
    </row>
    <row r="821" spans="1:14">
      <c r="A821" t="s">
        <v>311</v>
      </c>
      <c r="B821" t="str">
        <f>_xlfn.XLOOKUP(A821,'[1]Tissue Data'!$A:$A,'[1]Tissue Data'!$C:$C)</f>
        <v>Down</v>
      </c>
      <c r="C821" s="2">
        <f>_xlfn.XLOOKUP(A821,'[1]Tissue Data'!$A:$A,'[1]Tissue Data'!$D:$D)</f>
        <v>44314</v>
      </c>
      <c r="D821" s="2" t="s">
        <v>131</v>
      </c>
      <c r="E821" t="str">
        <f>_xlfn.XLOOKUP(A821,'[1]Tissue Data'!$A:$A,'[1]Tissue Data'!$H:$H)</f>
        <v>Clinostomus</v>
      </c>
      <c r="F821" t="str">
        <f>_xlfn.XLOOKUP(A821,'[1]Tissue Data'!$A:$A,'[1]Tissue Data'!$I:$I)</f>
        <v>funduloides</v>
      </c>
      <c r="G821" t="str">
        <f>_xlfn.XLOOKUP(A821,'[1]Tissue Data'!$A:$A,'[1]Tissue Data'!J:J)</f>
        <v>U</v>
      </c>
      <c r="H821" t="str">
        <f>_xlfn.XLOOKUP(A821,'[1]Tissue Data'!$A:$A,'[1]Tissue Data'!K:K)</f>
        <v>Whole Body</v>
      </c>
      <c r="I821">
        <f>_xlfn.XLOOKUP(A821,'[1]Tissue Data'!$A:$A,'[1]Tissue Data'!L:L)</f>
        <v>7.5</v>
      </c>
      <c r="J821">
        <f>_xlfn.XLOOKUP(A821,'[1]Tissue Data'!$A:$A,'[1]Tissue Data'!M:M)</f>
        <v>5.2</v>
      </c>
      <c r="K821" t="s">
        <v>31</v>
      </c>
      <c r="L821" t="str">
        <f>_xlfn.XLOOKUP(K821,[2]analyte_order!$B:$B,[2]analyte_order!$C:$C)</f>
        <v>335-77-3</v>
      </c>
      <c r="M821">
        <f>_xlfn.XLOOKUP(L821,[2]analyte_order!$C:$C,[2]analyte_order!$E:$E)</f>
        <v>20</v>
      </c>
      <c r="N821">
        <v>13.7</v>
      </c>
    </row>
    <row r="822" spans="1:14">
      <c r="A822" t="s">
        <v>311</v>
      </c>
      <c r="B822" t="str">
        <f>_xlfn.XLOOKUP(A822,'[1]Tissue Data'!$A:$A,'[1]Tissue Data'!$C:$C)</f>
        <v>Down</v>
      </c>
      <c r="C822" s="2">
        <f>_xlfn.XLOOKUP(A822,'[1]Tissue Data'!$A:$A,'[1]Tissue Data'!$D:$D)</f>
        <v>44314</v>
      </c>
      <c r="D822" s="2" t="s">
        <v>131</v>
      </c>
      <c r="E822" t="str">
        <f>_xlfn.XLOOKUP(A822,'[1]Tissue Data'!$A:$A,'[1]Tissue Data'!$H:$H)</f>
        <v>Clinostomus</v>
      </c>
      <c r="F822" t="str">
        <f>_xlfn.XLOOKUP(A822,'[1]Tissue Data'!$A:$A,'[1]Tissue Data'!$I:$I)</f>
        <v>funduloides</v>
      </c>
      <c r="G822" t="str">
        <f>_xlfn.XLOOKUP(A822,'[1]Tissue Data'!$A:$A,'[1]Tissue Data'!J:J)</f>
        <v>U</v>
      </c>
      <c r="H822" t="str">
        <f>_xlfn.XLOOKUP(A822,'[1]Tissue Data'!$A:$A,'[1]Tissue Data'!K:K)</f>
        <v>Whole Body</v>
      </c>
      <c r="I822">
        <f>_xlfn.XLOOKUP(A822,'[1]Tissue Data'!$A:$A,'[1]Tissue Data'!L:L)</f>
        <v>7.5</v>
      </c>
      <c r="J822">
        <f>_xlfn.XLOOKUP(A822,'[1]Tissue Data'!$A:$A,'[1]Tissue Data'!M:M)</f>
        <v>5.2</v>
      </c>
      <c r="K822" t="s">
        <v>32</v>
      </c>
      <c r="L822" t="str">
        <f>_xlfn.XLOOKUP(K822,[2]analyte_order!$B:$B,[2]analyte_order!$C:$C)</f>
        <v>79780-39-5</v>
      </c>
      <c r="M822">
        <f>_xlfn.XLOOKUP(L822,[2]analyte_order!$C:$C,[2]analyte_order!$E:$E)</f>
        <v>21</v>
      </c>
      <c r="N822">
        <v>4.3099999999999996</v>
      </c>
    </row>
    <row r="823" spans="1:14">
      <c r="A823" t="s">
        <v>311</v>
      </c>
      <c r="B823" t="str">
        <f>_xlfn.XLOOKUP(A823,'[1]Tissue Data'!$A:$A,'[1]Tissue Data'!$C:$C)</f>
        <v>Down</v>
      </c>
      <c r="C823" s="2">
        <f>_xlfn.XLOOKUP(A823,'[1]Tissue Data'!$A:$A,'[1]Tissue Data'!$D:$D)</f>
        <v>44314</v>
      </c>
      <c r="D823" s="2" t="s">
        <v>131</v>
      </c>
      <c r="E823" t="str">
        <f>_xlfn.XLOOKUP(A823,'[1]Tissue Data'!$A:$A,'[1]Tissue Data'!$H:$H)</f>
        <v>Clinostomus</v>
      </c>
      <c r="F823" t="str">
        <f>_xlfn.XLOOKUP(A823,'[1]Tissue Data'!$A:$A,'[1]Tissue Data'!$I:$I)</f>
        <v>funduloides</v>
      </c>
      <c r="G823" t="str">
        <f>_xlfn.XLOOKUP(A823,'[1]Tissue Data'!$A:$A,'[1]Tissue Data'!J:J)</f>
        <v>U</v>
      </c>
      <c r="H823" t="str">
        <f>_xlfn.XLOOKUP(A823,'[1]Tissue Data'!$A:$A,'[1]Tissue Data'!K:K)</f>
        <v>Whole Body</v>
      </c>
      <c r="I823">
        <f>_xlfn.XLOOKUP(A823,'[1]Tissue Data'!$A:$A,'[1]Tissue Data'!L:L)</f>
        <v>7.5</v>
      </c>
      <c r="J823">
        <f>_xlfn.XLOOKUP(A823,'[1]Tissue Data'!$A:$A,'[1]Tissue Data'!M:M)</f>
        <v>5.2</v>
      </c>
      <c r="K823" t="s">
        <v>33</v>
      </c>
      <c r="L823" t="str">
        <f>_xlfn.XLOOKUP(K823,[2]analyte_order!$B:$B,[2]analyte_order!$C:$C)</f>
        <v>777011-38-8</v>
      </c>
      <c r="M823">
        <f>_xlfn.XLOOKUP(L823,[2]analyte_order!$C:$C,[2]analyte_order!$E:$E)</f>
        <v>54</v>
      </c>
      <c r="N823">
        <v>0.73299999999999998</v>
      </c>
    </row>
    <row r="824" spans="1:14">
      <c r="A824" t="s">
        <v>311</v>
      </c>
      <c r="B824" t="str">
        <f>_xlfn.XLOOKUP(A824,'[1]Tissue Data'!$A:$A,'[1]Tissue Data'!$C:$C)</f>
        <v>Down</v>
      </c>
      <c r="C824" s="2">
        <f>_xlfn.XLOOKUP(A824,'[1]Tissue Data'!$A:$A,'[1]Tissue Data'!$D:$D)</f>
        <v>44314</v>
      </c>
      <c r="D824" s="2" t="s">
        <v>131</v>
      </c>
      <c r="E824" t="str">
        <f>_xlfn.XLOOKUP(A824,'[1]Tissue Data'!$A:$A,'[1]Tissue Data'!$H:$H)</f>
        <v>Clinostomus</v>
      </c>
      <c r="F824" t="str">
        <f>_xlfn.XLOOKUP(A824,'[1]Tissue Data'!$A:$A,'[1]Tissue Data'!$I:$I)</f>
        <v>funduloides</v>
      </c>
      <c r="G824" t="str">
        <f>_xlfn.XLOOKUP(A824,'[1]Tissue Data'!$A:$A,'[1]Tissue Data'!J:J)</f>
        <v>U</v>
      </c>
      <c r="H824" t="str">
        <f>_xlfn.XLOOKUP(A824,'[1]Tissue Data'!$A:$A,'[1]Tissue Data'!K:K)</f>
        <v>Whole Body</v>
      </c>
      <c r="I824">
        <f>_xlfn.XLOOKUP(A824,'[1]Tissue Data'!$A:$A,'[1]Tissue Data'!L:L)</f>
        <v>7.5</v>
      </c>
      <c r="J824">
        <f>_xlfn.XLOOKUP(A824,'[1]Tissue Data'!$A:$A,'[1]Tissue Data'!M:M)</f>
        <v>5.2</v>
      </c>
      <c r="K824" t="s">
        <v>34</v>
      </c>
      <c r="L824" t="str">
        <f>_xlfn.XLOOKUP(K824,[2]analyte_order!$B:$B,[2]analyte_order!$C:$C)</f>
        <v>646-83-3</v>
      </c>
      <c r="M824">
        <f>_xlfn.XLOOKUP(L824,[2]analyte_order!$C:$C,[2]analyte_order!$E:$E)</f>
        <v>55</v>
      </c>
      <c r="N824">
        <v>0.377</v>
      </c>
    </row>
    <row r="825" spans="1:14">
      <c r="A825" t="s">
        <v>311</v>
      </c>
      <c r="B825" t="str">
        <f>_xlfn.XLOOKUP(A825,'[1]Tissue Data'!$A:$A,'[1]Tissue Data'!$C:$C)</f>
        <v>Down</v>
      </c>
      <c r="C825" s="2">
        <f>_xlfn.XLOOKUP(A825,'[1]Tissue Data'!$A:$A,'[1]Tissue Data'!$D:$D)</f>
        <v>44314</v>
      </c>
      <c r="D825" s="2" t="s">
        <v>131</v>
      </c>
      <c r="E825" t="str">
        <f>_xlfn.XLOOKUP(A825,'[1]Tissue Data'!$A:$A,'[1]Tissue Data'!$H:$H)</f>
        <v>Clinostomus</v>
      </c>
      <c r="F825" t="str">
        <f>_xlfn.XLOOKUP(A825,'[1]Tissue Data'!$A:$A,'[1]Tissue Data'!$I:$I)</f>
        <v>funduloides</v>
      </c>
      <c r="G825" t="str">
        <f>_xlfn.XLOOKUP(A825,'[1]Tissue Data'!$A:$A,'[1]Tissue Data'!J:J)</f>
        <v>U</v>
      </c>
      <c r="H825" t="str">
        <f>_xlfn.XLOOKUP(A825,'[1]Tissue Data'!$A:$A,'[1]Tissue Data'!K:K)</f>
        <v>Whole Body</v>
      </c>
      <c r="I825">
        <f>_xlfn.XLOOKUP(A825,'[1]Tissue Data'!$A:$A,'[1]Tissue Data'!L:L)</f>
        <v>7.5</v>
      </c>
      <c r="J825">
        <f>_xlfn.XLOOKUP(A825,'[1]Tissue Data'!$A:$A,'[1]Tissue Data'!M:M)</f>
        <v>5.2</v>
      </c>
      <c r="K825" t="s">
        <v>35</v>
      </c>
      <c r="L825" t="str">
        <f>_xlfn.XLOOKUP(K825,[2]analyte_order!$B:$B,[2]analyte_order!$C:$C)</f>
        <v>30334-69-1</v>
      </c>
      <c r="M825">
        <f>_xlfn.XLOOKUP(L825,[2]analyte_order!$C:$C,[2]analyte_order!$E:$E)</f>
        <v>51</v>
      </c>
      <c r="N825">
        <v>14</v>
      </c>
    </row>
    <row r="826" spans="1:14">
      <c r="A826" t="s">
        <v>311</v>
      </c>
      <c r="B826" t="str">
        <f>_xlfn.XLOOKUP(A826,'[1]Tissue Data'!$A:$A,'[1]Tissue Data'!$C:$C)</f>
        <v>Down</v>
      </c>
      <c r="C826" s="2">
        <f>_xlfn.XLOOKUP(A826,'[1]Tissue Data'!$A:$A,'[1]Tissue Data'!$D:$D)</f>
        <v>44314</v>
      </c>
      <c r="D826" s="2" t="s">
        <v>131</v>
      </c>
      <c r="E826" t="str">
        <f>_xlfn.XLOOKUP(A826,'[1]Tissue Data'!$A:$A,'[1]Tissue Data'!$H:$H)</f>
        <v>Clinostomus</v>
      </c>
      <c r="F826" t="str">
        <f>_xlfn.XLOOKUP(A826,'[1]Tissue Data'!$A:$A,'[1]Tissue Data'!$I:$I)</f>
        <v>funduloides</v>
      </c>
      <c r="G826" t="str">
        <f>_xlfn.XLOOKUP(A826,'[1]Tissue Data'!$A:$A,'[1]Tissue Data'!J:J)</f>
        <v>U</v>
      </c>
      <c r="H826" t="str">
        <f>_xlfn.XLOOKUP(A826,'[1]Tissue Data'!$A:$A,'[1]Tissue Data'!K:K)</f>
        <v>Whole Body</v>
      </c>
      <c r="I826">
        <f>_xlfn.XLOOKUP(A826,'[1]Tissue Data'!$A:$A,'[1]Tissue Data'!L:L)</f>
        <v>7.5</v>
      </c>
      <c r="J826">
        <f>_xlfn.XLOOKUP(A826,'[1]Tissue Data'!$A:$A,'[1]Tissue Data'!M:M)</f>
        <v>5.2</v>
      </c>
      <c r="K826" t="s">
        <v>36</v>
      </c>
      <c r="L826" t="str">
        <f>_xlfn.XLOOKUP(K826,[2]analyte_order!$B:$B,[2]analyte_order!$C:$C)</f>
        <v>41997-13-1</v>
      </c>
      <c r="M826">
        <f>_xlfn.XLOOKUP(L826,[2]analyte_order!$C:$C,[2]analyte_order!$E:$E)</f>
        <v>52</v>
      </c>
      <c r="N826">
        <v>185</v>
      </c>
    </row>
    <row r="827" spans="1:14">
      <c r="A827" t="s">
        <v>311</v>
      </c>
      <c r="B827" t="str">
        <f>_xlfn.XLOOKUP(A827,'[1]Tissue Data'!$A:$A,'[1]Tissue Data'!$C:$C)</f>
        <v>Down</v>
      </c>
      <c r="C827" s="2">
        <f>_xlfn.XLOOKUP(A827,'[1]Tissue Data'!$A:$A,'[1]Tissue Data'!$D:$D)</f>
        <v>44314</v>
      </c>
      <c r="D827" s="2" t="s">
        <v>131</v>
      </c>
      <c r="E827" t="str">
        <f>_xlfn.XLOOKUP(A827,'[1]Tissue Data'!$A:$A,'[1]Tissue Data'!$H:$H)</f>
        <v>Clinostomus</v>
      </c>
      <c r="F827" t="str">
        <f>_xlfn.XLOOKUP(A827,'[1]Tissue Data'!$A:$A,'[1]Tissue Data'!$I:$I)</f>
        <v>funduloides</v>
      </c>
      <c r="G827" t="str">
        <f>_xlfn.XLOOKUP(A827,'[1]Tissue Data'!$A:$A,'[1]Tissue Data'!J:J)</f>
        <v>U</v>
      </c>
      <c r="H827" t="str">
        <f>_xlfn.XLOOKUP(A827,'[1]Tissue Data'!$A:$A,'[1]Tissue Data'!K:K)</f>
        <v>Whole Body</v>
      </c>
      <c r="I827">
        <f>_xlfn.XLOOKUP(A827,'[1]Tissue Data'!$A:$A,'[1]Tissue Data'!L:L)</f>
        <v>7.5</v>
      </c>
      <c r="J827">
        <f>_xlfn.XLOOKUP(A827,'[1]Tissue Data'!$A:$A,'[1]Tissue Data'!M:M)</f>
        <v>5.2</v>
      </c>
      <c r="K827" t="s">
        <v>37</v>
      </c>
      <c r="L827" t="str">
        <f>_xlfn.XLOOKUP(K827,[2]analyte_order!$B:$B,[2]analyte_order!$C:$C)</f>
        <v>754-91-6</v>
      </c>
      <c r="M827">
        <f>_xlfn.XLOOKUP(L827,[2]analyte_order!$C:$C,[2]analyte_order!$E:$E)</f>
        <v>28</v>
      </c>
      <c r="N827">
        <v>17</v>
      </c>
    </row>
    <row r="828" spans="1:14">
      <c r="A828" t="s">
        <v>311</v>
      </c>
      <c r="B828" t="str">
        <f>_xlfn.XLOOKUP(A828,'[1]Tissue Data'!$A:$A,'[1]Tissue Data'!$C:$C)</f>
        <v>Down</v>
      </c>
      <c r="C828" s="2">
        <f>_xlfn.XLOOKUP(A828,'[1]Tissue Data'!$A:$A,'[1]Tissue Data'!$D:$D)</f>
        <v>44314</v>
      </c>
      <c r="D828" s="2" t="s">
        <v>131</v>
      </c>
      <c r="E828" t="str">
        <f>_xlfn.XLOOKUP(A828,'[1]Tissue Data'!$A:$A,'[1]Tissue Data'!$H:$H)</f>
        <v>Clinostomus</v>
      </c>
      <c r="F828" t="str">
        <f>_xlfn.XLOOKUP(A828,'[1]Tissue Data'!$A:$A,'[1]Tissue Data'!$I:$I)</f>
        <v>funduloides</v>
      </c>
      <c r="G828" t="str">
        <f>_xlfn.XLOOKUP(A828,'[1]Tissue Data'!$A:$A,'[1]Tissue Data'!J:J)</f>
        <v>U</v>
      </c>
      <c r="H828" t="str">
        <f>_xlfn.XLOOKUP(A828,'[1]Tissue Data'!$A:$A,'[1]Tissue Data'!K:K)</f>
        <v>Whole Body</v>
      </c>
      <c r="I828">
        <f>_xlfn.XLOOKUP(A828,'[1]Tissue Data'!$A:$A,'[1]Tissue Data'!L:L)</f>
        <v>7.5</v>
      </c>
      <c r="J828">
        <f>_xlfn.XLOOKUP(A828,'[1]Tissue Data'!$A:$A,'[1]Tissue Data'!M:M)</f>
        <v>5.2</v>
      </c>
      <c r="K828" t="s">
        <v>38</v>
      </c>
      <c r="L828" t="str">
        <f>_xlfn.XLOOKUP(K828,[2]analyte_order!$B:$B,[2]analyte_order!$C:$C)</f>
        <v>31506-32-8</v>
      </c>
      <c r="M828">
        <f>_xlfn.XLOOKUP(L828,[2]analyte_order!$C:$C,[2]analyte_order!$E:$E)</f>
        <v>30</v>
      </c>
      <c r="N828">
        <v>5.6711433051176853E-2</v>
      </c>
    </row>
    <row r="829" spans="1:14">
      <c r="A829" t="s">
        <v>311</v>
      </c>
      <c r="B829" t="str">
        <f>_xlfn.XLOOKUP(A829,'[1]Tissue Data'!$A:$A,'[1]Tissue Data'!$C:$C)</f>
        <v>Down</v>
      </c>
      <c r="C829" s="2">
        <f>_xlfn.XLOOKUP(A829,'[1]Tissue Data'!$A:$A,'[1]Tissue Data'!$D:$D)</f>
        <v>44314</v>
      </c>
      <c r="D829" s="2" t="s">
        <v>131</v>
      </c>
      <c r="E829" t="str">
        <f>_xlfn.XLOOKUP(A829,'[1]Tissue Data'!$A:$A,'[1]Tissue Data'!$H:$H)</f>
        <v>Clinostomus</v>
      </c>
      <c r="F829" t="str">
        <f>_xlfn.XLOOKUP(A829,'[1]Tissue Data'!$A:$A,'[1]Tissue Data'!$I:$I)</f>
        <v>funduloides</v>
      </c>
      <c r="G829" t="str">
        <f>_xlfn.XLOOKUP(A829,'[1]Tissue Data'!$A:$A,'[1]Tissue Data'!J:J)</f>
        <v>U</v>
      </c>
      <c r="H829" t="str">
        <f>_xlfn.XLOOKUP(A829,'[1]Tissue Data'!$A:$A,'[1]Tissue Data'!K:K)</f>
        <v>Whole Body</v>
      </c>
      <c r="I829">
        <f>_xlfn.XLOOKUP(A829,'[1]Tissue Data'!$A:$A,'[1]Tissue Data'!L:L)</f>
        <v>7.5</v>
      </c>
      <c r="J829">
        <f>_xlfn.XLOOKUP(A829,'[1]Tissue Data'!$A:$A,'[1]Tissue Data'!M:M)</f>
        <v>5.2</v>
      </c>
      <c r="K829" t="s">
        <v>39</v>
      </c>
      <c r="L829" t="str">
        <f>_xlfn.XLOOKUP(K829,[2]analyte_order!$B:$B,[2]analyte_order!$C:$C)</f>
        <v>4151-50-2</v>
      </c>
      <c r="M829">
        <f>_xlfn.XLOOKUP(L829,[2]analyte_order!$C:$C,[2]analyte_order!$E:$E)</f>
        <v>31</v>
      </c>
      <c r="N829">
        <v>8.5905127969660974E-2</v>
      </c>
    </row>
    <row r="830" spans="1:14">
      <c r="A830" t="s">
        <v>311</v>
      </c>
      <c r="B830" t="str">
        <f>_xlfn.XLOOKUP(A830,'[1]Tissue Data'!$A:$A,'[1]Tissue Data'!$C:$C)</f>
        <v>Down</v>
      </c>
      <c r="C830" s="2">
        <f>_xlfn.XLOOKUP(A830,'[1]Tissue Data'!$A:$A,'[1]Tissue Data'!$D:$D)</f>
        <v>44314</v>
      </c>
      <c r="D830" s="2" t="s">
        <v>131</v>
      </c>
      <c r="E830" t="str">
        <f>_xlfn.XLOOKUP(A830,'[1]Tissue Data'!$A:$A,'[1]Tissue Data'!$H:$H)</f>
        <v>Clinostomus</v>
      </c>
      <c r="F830" t="str">
        <f>_xlfn.XLOOKUP(A830,'[1]Tissue Data'!$A:$A,'[1]Tissue Data'!$I:$I)</f>
        <v>funduloides</v>
      </c>
      <c r="G830" t="str">
        <f>_xlfn.XLOOKUP(A830,'[1]Tissue Data'!$A:$A,'[1]Tissue Data'!J:J)</f>
        <v>U</v>
      </c>
      <c r="H830" t="str">
        <f>_xlfn.XLOOKUP(A830,'[1]Tissue Data'!$A:$A,'[1]Tissue Data'!K:K)</f>
        <v>Whole Body</v>
      </c>
      <c r="I830">
        <f>_xlfn.XLOOKUP(A830,'[1]Tissue Data'!$A:$A,'[1]Tissue Data'!L:L)</f>
        <v>7.5</v>
      </c>
      <c r="J830">
        <f>_xlfn.XLOOKUP(A830,'[1]Tissue Data'!$A:$A,'[1]Tissue Data'!M:M)</f>
        <v>5.2</v>
      </c>
      <c r="K830" t="s">
        <v>40</v>
      </c>
      <c r="L830" t="str">
        <f>_xlfn.XLOOKUP(K830,[2]analyte_order!$B:$B,[2]analyte_order!$C:$C)</f>
        <v>2806-24-8</v>
      </c>
      <c r="M830">
        <f>_xlfn.XLOOKUP(L830,[2]analyte_order!$C:$C,[2]analyte_order!$E:$E)</f>
        <v>29</v>
      </c>
      <c r="N830">
        <v>5.8025599107104295E-2</v>
      </c>
    </row>
    <row r="831" spans="1:14">
      <c r="A831" t="s">
        <v>311</v>
      </c>
      <c r="B831" t="str">
        <f>_xlfn.XLOOKUP(A831,'[1]Tissue Data'!$A:$A,'[1]Tissue Data'!$C:$C)</f>
        <v>Down</v>
      </c>
      <c r="C831" s="2">
        <f>_xlfn.XLOOKUP(A831,'[1]Tissue Data'!$A:$A,'[1]Tissue Data'!$D:$D)</f>
        <v>44314</v>
      </c>
      <c r="D831" s="2" t="s">
        <v>131</v>
      </c>
      <c r="E831" t="str">
        <f>_xlfn.XLOOKUP(A831,'[1]Tissue Data'!$A:$A,'[1]Tissue Data'!$H:$H)</f>
        <v>Clinostomus</v>
      </c>
      <c r="F831" t="str">
        <f>_xlfn.XLOOKUP(A831,'[1]Tissue Data'!$A:$A,'[1]Tissue Data'!$I:$I)</f>
        <v>funduloides</v>
      </c>
      <c r="G831" t="str">
        <f>_xlfn.XLOOKUP(A831,'[1]Tissue Data'!$A:$A,'[1]Tissue Data'!J:J)</f>
        <v>U</v>
      </c>
      <c r="H831" t="str">
        <f>_xlfn.XLOOKUP(A831,'[1]Tissue Data'!$A:$A,'[1]Tissue Data'!K:K)</f>
        <v>Whole Body</v>
      </c>
      <c r="I831">
        <f>_xlfn.XLOOKUP(A831,'[1]Tissue Data'!$A:$A,'[1]Tissue Data'!L:L)</f>
        <v>7.5</v>
      </c>
      <c r="J831">
        <f>_xlfn.XLOOKUP(A831,'[1]Tissue Data'!$A:$A,'[1]Tissue Data'!M:M)</f>
        <v>5.2</v>
      </c>
      <c r="K831" t="s">
        <v>41</v>
      </c>
      <c r="L831" t="str">
        <f>_xlfn.XLOOKUP(K831,[2]analyte_order!$B:$B,[2]analyte_order!$C:$C)</f>
        <v>2355-31-9</v>
      </c>
      <c r="M831">
        <f>_xlfn.XLOOKUP(L831,[2]analyte_order!$C:$C,[2]analyte_order!$E:$E)</f>
        <v>26</v>
      </c>
      <c r="N831">
        <v>10.199999999999999</v>
      </c>
    </row>
    <row r="832" spans="1:14">
      <c r="A832" t="s">
        <v>311</v>
      </c>
      <c r="B832" t="str">
        <f>_xlfn.XLOOKUP(A832,'[1]Tissue Data'!$A:$A,'[1]Tissue Data'!$C:$C)</f>
        <v>Down</v>
      </c>
      <c r="C832" s="2">
        <f>_xlfn.XLOOKUP(A832,'[1]Tissue Data'!$A:$A,'[1]Tissue Data'!$D:$D)</f>
        <v>44314</v>
      </c>
      <c r="D832" s="2" t="s">
        <v>131</v>
      </c>
      <c r="E832" t="str">
        <f>_xlfn.XLOOKUP(A832,'[1]Tissue Data'!$A:$A,'[1]Tissue Data'!$H:$H)</f>
        <v>Clinostomus</v>
      </c>
      <c r="F832" t="str">
        <f>_xlfn.XLOOKUP(A832,'[1]Tissue Data'!$A:$A,'[1]Tissue Data'!$I:$I)</f>
        <v>funduloides</v>
      </c>
      <c r="G832" t="str">
        <f>_xlfn.XLOOKUP(A832,'[1]Tissue Data'!$A:$A,'[1]Tissue Data'!J:J)</f>
        <v>U</v>
      </c>
      <c r="H832" t="str">
        <f>_xlfn.XLOOKUP(A832,'[1]Tissue Data'!$A:$A,'[1]Tissue Data'!K:K)</f>
        <v>Whole Body</v>
      </c>
      <c r="I832">
        <f>_xlfn.XLOOKUP(A832,'[1]Tissue Data'!$A:$A,'[1]Tissue Data'!L:L)</f>
        <v>7.5</v>
      </c>
      <c r="J832">
        <f>_xlfn.XLOOKUP(A832,'[1]Tissue Data'!$A:$A,'[1]Tissue Data'!M:M)</f>
        <v>5.2</v>
      </c>
      <c r="K832" t="s">
        <v>42</v>
      </c>
      <c r="L832" t="str">
        <f>_xlfn.XLOOKUP(K832,[2]analyte_order!$B:$B,[2]analyte_order!$C:$C)</f>
        <v>2991-50-6</v>
      </c>
      <c r="M832">
        <f>_xlfn.XLOOKUP(L832,[2]analyte_order!$C:$C,[2]analyte_order!$E:$E)</f>
        <v>27</v>
      </c>
      <c r="N832">
        <v>6.3896748101381989E-2</v>
      </c>
    </row>
    <row r="833" spans="1:14">
      <c r="A833" t="s">
        <v>311</v>
      </c>
      <c r="B833" t="str">
        <f>_xlfn.XLOOKUP(A833,'[1]Tissue Data'!$A:$A,'[1]Tissue Data'!$C:$C)</f>
        <v>Down</v>
      </c>
      <c r="C833" s="2">
        <f>_xlfn.XLOOKUP(A833,'[1]Tissue Data'!$A:$A,'[1]Tissue Data'!$D:$D)</f>
        <v>44314</v>
      </c>
      <c r="D833" s="2" t="s">
        <v>131</v>
      </c>
      <c r="E833" t="str">
        <f>_xlfn.XLOOKUP(A833,'[1]Tissue Data'!$A:$A,'[1]Tissue Data'!$H:$H)</f>
        <v>Clinostomus</v>
      </c>
      <c r="F833" t="str">
        <f>_xlfn.XLOOKUP(A833,'[1]Tissue Data'!$A:$A,'[1]Tissue Data'!$I:$I)</f>
        <v>funduloides</v>
      </c>
      <c r="G833" t="str">
        <f>_xlfn.XLOOKUP(A833,'[1]Tissue Data'!$A:$A,'[1]Tissue Data'!J:J)</f>
        <v>U</v>
      </c>
      <c r="H833" t="str">
        <f>_xlfn.XLOOKUP(A833,'[1]Tissue Data'!$A:$A,'[1]Tissue Data'!K:K)</f>
        <v>Whole Body</v>
      </c>
      <c r="I833">
        <f>_xlfn.XLOOKUP(A833,'[1]Tissue Data'!$A:$A,'[1]Tissue Data'!L:L)</f>
        <v>7.5</v>
      </c>
      <c r="J833">
        <f>_xlfn.XLOOKUP(A833,'[1]Tissue Data'!$A:$A,'[1]Tissue Data'!M:M)</f>
        <v>5.2</v>
      </c>
      <c r="K833" t="s">
        <v>43</v>
      </c>
      <c r="L833" t="str">
        <f>_xlfn.XLOOKUP(K833,[2]analyte_order!$B:$B,[2]analyte_order!$C:$C)</f>
        <v>757124-72-4</v>
      </c>
      <c r="M833">
        <f>_xlfn.XLOOKUP(L833,[2]analyte_order!$C:$C,[2]analyte_order!$E:$E)</f>
        <v>22</v>
      </c>
      <c r="N833">
        <v>6.0466165167350462E-2</v>
      </c>
    </row>
    <row r="834" spans="1:14">
      <c r="A834" t="s">
        <v>311</v>
      </c>
      <c r="B834" t="str">
        <f>_xlfn.XLOOKUP(A834,'[1]Tissue Data'!$A:$A,'[1]Tissue Data'!$C:$C)</f>
        <v>Down</v>
      </c>
      <c r="C834" s="2">
        <f>_xlfn.XLOOKUP(A834,'[1]Tissue Data'!$A:$A,'[1]Tissue Data'!$D:$D)</f>
        <v>44314</v>
      </c>
      <c r="D834" s="2" t="s">
        <v>131</v>
      </c>
      <c r="E834" t="str">
        <f>_xlfn.XLOOKUP(A834,'[1]Tissue Data'!$A:$A,'[1]Tissue Data'!$H:$H)</f>
        <v>Clinostomus</v>
      </c>
      <c r="F834" t="str">
        <f>_xlfn.XLOOKUP(A834,'[1]Tissue Data'!$A:$A,'[1]Tissue Data'!$I:$I)</f>
        <v>funduloides</v>
      </c>
      <c r="G834" t="str">
        <f>_xlfn.XLOOKUP(A834,'[1]Tissue Data'!$A:$A,'[1]Tissue Data'!J:J)</f>
        <v>U</v>
      </c>
      <c r="H834" t="str">
        <f>_xlfn.XLOOKUP(A834,'[1]Tissue Data'!$A:$A,'[1]Tissue Data'!K:K)</f>
        <v>Whole Body</v>
      </c>
      <c r="I834">
        <f>_xlfn.XLOOKUP(A834,'[1]Tissue Data'!$A:$A,'[1]Tissue Data'!L:L)</f>
        <v>7.5</v>
      </c>
      <c r="J834">
        <f>_xlfn.XLOOKUP(A834,'[1]Tissue Data'!$A:$A,'[1]Tissue Data'!M:M)</f>
        <v>5.2</v>
      </c>
      <c r="K834" t="s">
        <v>44</v>
      </c>
      <c r="L834" t="str">
        <f>_xlfn.XLOOKUP(K834,[2]analyte_order!$B:$B,[2]analyte_order!$C:$C)</f>
        <v>27619-97-2</v>
      </c>
      <c r="M834">
        <f>_xlfn.XLOOKUP(L834,[2]analyte_order!$C:$C,[2]analyte_order!$E:$E)</f>
        <v>23</v>
      </c>
      <c r="N834">
        <v>0.13679833752176737</v>
      </c>
    </row>
    <row r="835" spans="1:14">
      <c r="A835" t="s">
        <v>311</v>
      </c>
      <c r="B835" t="str">
        <f>_xlfn.XLOOKUP(A835,'[1]Tissue Data'!$A:$A,'[1]Tissue Data'!$C:$C)</f>
        <v>Down</v>
      </c>
      <c r="C835" s="2">
        <f>_xlfn.XLOOKUP(A835,'[1]Tissue Data'!$A:$A,'[1]Tissue Data'!$D:$D)</f>
        <v>44314</v>
      </c>
      <c r="D835" s="2" t="s">
        <v>131</v>
      </c>
      <c r="E835" t="str">
        <f>_xlfn.XLOOKUP(A835,'[1]Tissue Data'!$A:$A,'[1]Tissue Data'!$H:$H)</f>
        <v>Clinostomus</v>
      </c>
      <c r="F835" t="str">
        <f>_xlfn.XLOOKUP(A835,'[1]Tissue Data'!$A:$A,'[1]Tissue Data'!$I:$I)</f>
        <v>funduloides</v>
      </c>
      <c r="G835" t="str">
        <f>_xlfn.XLOOKUP(A835,'[1]Tissue Data'!$A:$A,'[1]Tissue Data'!J:J)</f>
        <v>U</v>
      </c>
      <c r="H835" t="str">
        <f>_xlfn.XLOOKUP(A835,'[1]Tissue Data'!$A:$A,'[1]Tissue Data'!K:K)</f>
        <v>Whole Body</v>
      </c>
      <c r="I835">
        <f>_xlfn.XLOOKUP(A835,'[1]Tissue Data'!$A:$A,'[1]Tissue Data'!L:L)</f>
        <v>7.5</v>
      </c>
      <c r="J835">
        <f>_xlfn.XLOOKUP(A835,'[1]Tissue Data'!$A:$A,'[1]Tissue Data'!M:M)</f>
        <v>5.2</v>
      </c>
      <c r="K835" t="s">
        <v>45</v>
      </c>
      <c r="L835" t="str">
        <f>_xlfn.XLOOKUP(K835,[2]analyte_order!$B:$B,[2]analyte_order!$C:$C)</f>
        <v>39108-34-4</v>
      </c>
      <c r="M835">
        <f>_xlfn.XLOOKUP(L835,[2]analyte_order!$C:$C,[2]analyte_order!$E:$E)</f>
        <v>24</v>
      </c>
      <c r="N835">
        <v>6.94</v>
      </c>
    </row>
    <row r="836" spans="1:14">
      <c r="A836" t="s">
        <v>311</v>
      </c>
      <c r="B836" t="str">
        <f>_xlfn.XLOOKUP(A836,'[1]Tissue Data'!$A:$A,'[1]Tissue Data'!$C:$C)</f>
        <v>Down</v>
      </c>
      <c r="C836" s="2">
        <f>_xlfn.XLOOKUP(A836,'[1]Tissue Data'!$A:$A,'[1]Tissue Data'!$D:$D)</f>
        <v>44314</v>
      </c>
      <c r="D836" s="2" t="s">
        <v>131</v>
      </c>
      <c r="E836" t="str">
        <f>_xlfn.XLOOKUP(A836,'[1]Tissue Data'!$A:$A,'[1]Tissue Data'!$H:$H)</f>
        <v>Clinostomus</v>
      </c>
      <c r="F836" t="str">
        <f>_xlfn.XLOOKUP(A836,'[1]Tissue Data'!$A:$A,'[1]Tissue Data'!$I:$I)</f>
        <v>funduloides</v>
      </c>
      <c r="G836" t="str">
        <f>_xlfn.XLOOKUP(A836,'[1]Tissue Data'!$A:$A,'[1]Tissue Data'!J:J)</f>
        <v>U</v>
      </c>
      <c r="H836" t="str">
        <f>_xlfn.XLOOKUP(A836,'[1]Tissue Data'!$A:$A,'[1]Tissue Data'!K:K)</f>
        <v>Whole Body</v>
      </c>
      <c r="I836">
        <f>_xlfn.XLOOKUP(A836,'[1]Tissue Data'!$A:$A,'[1]Tissue Data'!L:L)</f>
        <v>7.5</v>
      </c>
      <c r="J836">
        <f>_xlfn.XLOOKUP(A836,'[1]Tissue Data'!$A:$A,'[1]Tissue Data'!M:M)</f>
        <v>5.2</v>
      </c>
      <c r="K836" t="s">
        <v>46</v>
      </c>
      <c r="L836" t="str">
        <f>_xlfn.XLOOKUP(K836,[2]analyte_order!$B:$B,[2]analyte_order!$C:$C)</f>
        <v>120226-60-0</v>
      </c>
      <c r="M836">
        <f>_xlfn.XLOOKUP(L836,[2]analyte_order!$C:$C,[2]analyte_order!$E:$E)</f>
        <v>25</v>
      </c>
      <c r="N836">
        <v>0.64800000000000002</v>
      </c>
    </row>
    <row r="837" spans="1:14">
      <c r="A837" t="s">
        <v>311</v>
      </c>
      <c r="B837" t="str">
        <f>_xlfn.XLOOKUP(A837,'[1]Tissue Data'!$A:$A,'[1]Tissue Data'!$C:$C)</f>
        <v>Down</v>
      </c>
      <c r="C837" s="2">
        <f>_xlfn.XLOOKUP(A837,'[1]Tissue Data'!$A:$A,'[1]Tissue Data'!$D:$D)</f>
        <v>44314</v>
      </c>
      <c r="D837" s="2" t="s">
        <v>131</v>
      </c>
      <c r="E837" t="str">
        <f>_xlfn.XLOOKUP(A837,'[1]Tissue Data'!$A:$A,'[1]Tissue Data'!$H:$H)</f>
        <v>Clinostomus</v>
      </c>
      <c r="F837" t="str">
        <f>_xlfn.XLOOKUP(A837,'[1]Tissue Data'!$A:$A,'[1]Tissue Data'!$I:$I)</f>
        <v>funduloides</v>
      </c>
      <c r="G837" t="str">
        <f>_xlfn.XLOOKUP(A837,'[1]Tissue Data'!$A:$A,'[1]Tissue Data'!J:J)</f>
        <v>U</v>
      </c>
      <c r="H837" t="str">
        <f>_xlfn.XLOOKUP(A837,'[1]Tissue Data'!$A:$A,'[1]Tissue Data'!K:K)</f>
        <v>Whole Body</v>
      </c>
      <c r="I837">
        <f>_xlfn.XLOOKUP(A837,'[1]Tissue Data'!$A:$A,'[1]Tissue Data'!L:L)</f>
        <v>7.5</v>
      </c>
      <c r="J837">
        <f>_xlfn.XLOOKUP(A837,'[1]Tissue Data'!$A:$A,'[1]Tissue Data'!M:M)</f>
        <v>5.2</v>
      </c>
      <c r="K837" t="s">
        <v>47</v>
      </c>
      <c r="L837" t="str">
        <f>_xlfn.XLOOKUP(K837,[2]analyte_order!$B:$B,[2]analyte_order!$C:$C)</f>
        <v>356-02-5</v>
      </c>
      <c r="M837">
        <f>_xlfn.XLOOKUP(L837,[2]analyte_order!$C:$C,[2]analyte_order!$E:$E)</f>
        <v>38</v>
      </c>
      <c r="N837">
        <v>8.4913589729540065E-2</v>
      </c>
    </row>
    <row r="838" spans="1:14">
      <c r="A838" t="s">
        <v>311</v>
      </c>
      <c r="B838" t="str">
        <f>_xlfn.XLOOKUP(A838,'[1]Tissue Data'!$A:$A,'[1]Tissue Data'!$C:$C)</f>
        <v>Down</v>
      </c>
      <c r="C838" s="2">
        <f>_xlfn.XLOOKUP(A838,'[1]Tissue Data'!$A:$A,'[1]Tissue Data'!$D:$D)</f>
        <v>44314</v>
      </c>
      <c r="D838" s="2" t="s">
        <v>131</v>
      </c>
      <c r="E838" t="str">
        <f>_xlfn.XLOOKUP(A838,'[1]Tissue Data'!$A:$A,'[1]Tissue Data'!$H:$H)</f>
        <v>Clinostomus</v>
      </c>
      <c r="F838" t="str">
        <f>_xlfn.XLOOKUP(A838,'[1]Tissue Data'!$A:$A,'[1]Tissue Data'!$I:$I)</f>
        <v>funduloides</v>
      </c>
      <c r="G838" t="str">
        <f>_xlfn.XLOOKUP(A838,'[1]Tissue Data'!$A:$A,'[1]Tissue Data'!J:J)</f>
        <v>U</v>
      </c>
      <c r="H838" t="str">
        <f>_xlfn.XLOOKUP(A838,'[1]Tissue Data'!$A:$A,'[1]Tissue Data'!K:K)</f>
        <v>Whole Body</v>
      </c>
      <c r="I838">
        <f>_xlfn.XLOOKUP(A838,'[1]Tissue Data'!$A:$A,'[1]Tissue Data'!L:L)</f>
        <v>7.5</v>
      </c>
      <c r="J838">
        <f>_xlfn.XLOOKUP(A838,'[1]Tissue Data'!$A:$A,'[1]Tissue Data'!M:M)</f>
        <v>5.2</v>
      </c>
      <c r="K838" t="s">
        <v>48</v>
      </c>
      <c r="L838" t="str">
        <f>_xlfn.XLOOKUP(K838,[2]analyte_order!$B:$B,[2]analyte_order!$C:$C)</f>
        <v>914637-49-3</v>
      </c>
      <c r="M838">
        <f>_xlfn.XLOOKUP(L838,[2]analyte_order!$C:$C,[2]analyte_order!$E:$E)</f>
        <v>39</v>
      </c>
      <c r="N838">
        <v>0.17099439093897278</v>
      </c>
    </row>
    <row r="839" spans="1:14">
      <c r="A839" t="s">
        <v>311</v>
      </c>
      <c r="B839" t="str">
        <f>_xlfn.XLOOKUP(A839,'[1]Tissue Data'!$A:$A,'[1]Tissue Data'!$C:$C)</f>
        <v>Down</v>
      </c>
      <c r="C839" s="2">
        <f>_xlfn.XLOOKUP(A839,'[1]Tissue Data'!$A:$A,'[1]Tissue Data'!$D:$D)</f>
        <v>44314</v>
      </c>
      <c r="D839" s="2" t="s">
        <v>131</v>
      </c>
      <c r="E839" t="str">
        <f>_xlfn.XLOOKUP(A839,'[1]Tissue Data'!$A:$A,'[1]Tissue Data'!$H:$H)</f>
        <v>Clinostomus</v>
      </c>
      <c r="F839" t="str">
        <f>_xlfn.XLOOKUP(A839,'[1]Tissue Data'!$A:$A,'[1]Tissue Data'!$I:$I)</f>
        <v>funduloides</v>
      </c>
      <c r="G839" t="str">
        <f>_xlfn.XLOOKUP(A839,'[1]Tissue Data'!$A:$A,'[1]Tissue Data'!J:J)</f>
        <v>U</v>
      </c>
      <c r="H839" t="str">
        <f>_xlfn.XLOOKUP(A839,'[1]Tissue Data'!$A:$A,'[1]Tissue Data'!K:K)</f>
        <v>Whole Body</v>
      </c>
      <c r="I839">
        <f>_xlfn.XLOOKUP(A839,'[1]Tissue Data'!$A:$A,'[1]Tissue Data'!L:L)</f>
        <v>7.5</v>
      </c>
      <c r="J839">
        <f>_xlfn.XLOOKUP(A839,'[1]Tissue Data'!$A:$A,'[1]Tissue Data'!M:M)</f>
        <v>5.2</v>
      </c>
      <c r="K839" t="s">
        <v>49</v>
      </c>
      <c r="L839" t="str">
        <f>_xlfn.XLOOKUP(K839,[2]analyte_order!$B:$B,[2]analyte_order!$C:$C)</f>
        <v>812-70-4</v>
      </c>
      <c r="M839">
        <f>_xlfn.XLOOKUP(L839,[2]analyte_order!$C:$C,[2]analyte_order!$E:$E)</f>
        <v>40</v>
      </c>
      <c r="N839">
        <v>4.8600000000000003</v>
      </c>
    </row>
    <row r="840" spans="1:14">
      <c r="A840" t="s">
        <v>311</v>
      </c>
      <c r="B840" t="str">
        <f>_xlfn.XLOOKUP(A840,'[1]Tissue Data'!$A:$A,'[1]Tissue Data'!$C:$C)</f>
        <v>Down</v>
      </c>
      <c r="C840" s="2">
        <f>_xlfn.XLOOKUP(A840,'[1]Tissue Data'!$A:$A,'[1]Tissue Data'!$D:$D)</f>
        <v>44314</v>
      </c>
      <c r="D840" s="2" t="s">
        <v>131</v>
      </c>
      <c r="E840" t="str">
        <f>_xlfn.XLOOKUP(A840,'[1]Tissue Data'!$A:$A,'[1]Tissue Data'!$H:$H)</f>
        <v>Clinostomus</v>
      </c>
      <c r="F840" t="str">
        <f>_xlfn.XLOOKUP(A840,'[1]Tissue Data'!$A:$A,'[1]Tissue Data'!$I:$I)</f>
        <v>funduloides</v>
      </c>
      <c r="G840" t="str">
        <f>_xlfn.XLOOKUP(A840,'[1]Tissue Data'!$A:$A,'[1]Tissue Data'!J:J)</f>
        <v>U</v>
      </c>
      <c r="H840" t="str">
        <f>_xlfn.XLOOKUP(A840,'[1]Tissue Data'!$A:$A,'[1]Tissue Data'!K:K)</f>
        <v>Whole Body</v>
      </c>
      <c r="I840">
        <f>_xlfn.XLOOKUP(A840,'[1]Tissue Data'!$A:$A,'[1]Tissue Data'!L:L)</f>
        <v>7.5</v>
      </c>
      <c r="J840">
        <f>_xlfn.XLOOKUP(A840,'[1]Tissue Data'!$A:$A,'[1]Tissue Data'!M:M)</f>
        <v>5.2</v>
      </c>
      <c r="K840" t="s">
        <v>50</v>
      </c>
      <c r="L840" t="str">
        <f>_xlfn.XLOOKUP(K840,[2]analyte_order!$B:$B,[2]analyte_order!$C:$C)</f>
        <v>53826-12-3</v>
      </c>
      <c r="M840">
        <f>_xlfn.XLOOKUP(L840,[2]analyte_order!$C:$C,[2]analyte_order!$E:$E)</f>
        <v>41</v>
      </c>
      <c r="N840">
        <v>3.5</v>
      </c>
    </row>
    <row r="841" spans="1:14">
      <c r="A841" t="s">
        <v>311</v>
      </c>
      <c r="B841" t="str">
        <f>_xlfn.XLOOKUP(A841,'[1]Tissue Data'!$A:$A,'[1]Tissue Data'!$C:$C)</f>
        <v>Down</v>
      </c>
      <c r="C841" s="2">
        <f>_xlfn.XLOOKUP(A841,'[1]Tissue Data'!$A:$A,'[1]Tissue Data'!$D:$D)</f>
        <v>44314</v>
      </c>
      <c r="D841" s="2" t="s">
        <v>131</v>
      </c>
      <c r="E841" t="str">
        <f>_xlfn.XLOOKUP(A841,'[1]Tissue Data'!$A:$A,'[1]Tissue Data'!$H:$H)</f>
        <v>Clinostomus</v>
      </c>
      <c r="F841" t="str">
        <f>_xlfn.XLOOKUP(A841,'[1]Tissue Data'!$A:$A,'[1]Tissue Data'!$I:$I)</f>
        <v>funduloides</v>
      </c>
      <c r="G841" t="str">
        <f>_xlfn.XLOOKUP(A841,'[1]Tissue Data'!$A:$A,'[1]Tissue Data'!J:J)</f>
        <v>U</v>
      </c>
      <c r="H841" t="str">
        <f>_xlfn.XLOOKUP(A841,'[1]Tissue Data'!$A:$A,'[1]Tissue Data'!K:K)</f>
        <v>Whole Body</v>
      </c>
      <c r="I841">
        <f>_xlfn.XLOOKUP(A841,'[1]Tissue Data'!$A:$A,'[1]Tissue Data'!L:L)</f>
        <v>7.5</v>
      </c>
      <c r="J841">
        <f>_xlfn.XLOOKUP(A841,'[1]Tissue Data'!$A:$A,'[1]Tissue Data'!M:M)</f>
        <v>5.2</v>
      </c>
      <c r="K841" t="s">
        <v>51</v>
      </c>
      <c r="L841" t="str">
        <f>_xlfn.XLOOKUP(K841,[2]analyte_order!$B:$B,[2]analyte_order!$C:$C)</f>
        <v>27854-31-5</v>
      </c>
      <c r="M841">
        <f>_xlfn.XLOOKUP(L841,[2]analyte_order!$C:$C,[2]analyte_order!$E:$E)</f>
        <v>42</v>
      </c>
      <c r="N841">
        <v>2.9445829489016705E-2</v>
      </c>
    </row>
    <row r="842" spans="1:14">
      <c r="A842" t="s">
        <v>311</v>
      </c>
      <c r="B842" t="str">
        <f>_xlfn.XLOOKUP(A842,'[1]Tissue Data'!$A:$A,'[1]Tissue Data'!$C:$C)</f>
        <v>Down</v>
      </c>
      <c r="C842" s="2">
        <f>_xlfn.XLOOKUP(A842,'[1]Tissue Data'!$A:$A,'[1]Tissue Data'!$D:$D)</f>
        <v>44314</v>
      </c>
      <c r="D842" s="2" t="s">
        <v>131</v>
      </c>
      <c r="E842" t="str">
        <f>_xlfn.XLOOKUP(A842,'[1]Tissue Data'!$A:$A,'[1]Tissue Data'!$H:$H)</f>
        <v>Clinostomus</v>
      </c>
      <c r="F842" t="str">
        <f>_xlfn.XLOOKUP(A842,'[1]Tissue Data'!$A:$A,'[1]Tissue Data'!$I:$I)</f>
        <v>funduloides</v>
      </c>
      <c r="G842" t="str">
        <f>_xlfn.XLOOKUP(A842,'[1]Tissue Data'!$A:$A,'[1]Tissue Data'!J:J)</f>
        <v>U</v>
      </c>
      <c r="H842" t="str">
        <f>_xlfn.XLOOKUP(A842,'[1]Tissue Data'!$A:$A,'[1]Tissue Data'!K:K)</f>
        <v>Whole Body</v>
      </c>
      <c r="I842">
        <f>_xlfn.XLOOKUP(A842,'[1]Tissue Data'!$A:$A,'[1]Tissue Data'!L:L)</f>
        <v>7.5</v>
      </c>
      <c r="J842">
        <f>_xlfn.XLOOKUP(A842,'[1]Tissue Data'!$A:$A,'[1]Tissue Data'!M:M)</f>
        <v>5.2</v>
      </c>
      <c r="K842" t="s">
        <v>52</v>
      </c>
      <c r="L842" t="str">
        <f>_xlfn.XLOOKUP(K842,[2]analyte_order!$B:$B,[2]analyte_order!$C:$C)</f>
        <v>53826-13-4</v>
      </c>
      <c r="M842">
        <f>_xlfn.XLOOKUP(L842,[2]analyte_order!$C:$C,[2]analyte_order!$E:$E)</f>
        <v>43</v>
      </c>
      <c r="N842">
        <v>0.10984711537410927</v>
      </c>
    </row>
    <row r="843" spans="1:14">
      <c r="A843" t="s">
        <v>311</v>
      </c>
      <c r="B843" t="str">
        <f>_xlfn.XLOOKUP(A843,'[1]Tissue Data'!$A:$A,'[1]Tissue Data'!$C:$C)</f>
        <v>Down</v>
      </c>
      <c r="C843" s="2">
        <f>_xlfn.XLOOKUP(A843,'[1]Tissue Data'!$A:$A,'[1]Tissue Data'!$D:$D)</f>
        <v>44314</v>
      </c>
      <c r="D843" s="2" t="s">
        <v>131</v>
      </c>
      <c r="E843" t="str">
        <f>_xlfn.XLOOKUP(A843,'[1]Tissue Data'!$A:$A,'[1]Tissue Data'!$H:$H)</f>
        <v>Clinostomus</v>
      </c>
      <c r="F843" t="str">
        <f>_xlfn.XLOOKUP(A843,'[1]Tissue Data'!$A:$A,'[1]Tissue Data'!$I:$I)</f>
        <v>funduloides</v>
      </c>
      <c r="G843" t="str">
        <f>_xlfn.XLOOKUP(A843,'[1]Tissue Data'!$A:$A,'[1]Tissue Data'!J:J)</f>
        <v>U</v>
      </c>
      <c r="H843" t="str">
        <f>_xlfn.XLOOKUP(A843,'[1]Tissue Data'!$A:$A,'[1]Tissue Data'!K:K)</f>
        <v>Whole Body</v>
      </c>
      <c r="I843">
        <f>_xlfn.XLOOKUP(A843,'[1]Tissue Data'!$A:$A,'[1]Tissue Data'!L:L)</f>
        <v>7.5</v>
      </c>
      <c r="J843">
        <f>_xlfn.XLOOKUP(A843,'[1]Tissue Data'!$A:$A,'[1]Tissue Data'!M:M)</f>
        <v>5.2</v>
      </c>
      <c r="K843" t="s">
        <v>53</v>
      </c>
      <c r="L843" t="str">
        <f>_xlfn.XLOOKUP(K843,[2]analyte_order!$B:$B,[2]analyte_order!$C:$C)</f>
        <v>161094-75-3</v>
      </c>
      <c r="M843">
        <f>_xlfn.XLOOKUP(L843,[2]analyte_order!$C:$C,[2]analyte_order!$E:$E)</f>
        <v>44</v>
      </c>
      <c r="N843">
        <v>5.7801909179442883E-2</v>
      </c>
    </row>
    <row r="844" spans="1:14">
      <c r="A844" t="s">
        <v>311</v>
      </c>
      <c r="B844" t="str">
        <f>_xlfn.XLOOKUP(A844,'[1]Tissue Data'!$A:$A,'[1]Tissue Data'!$C:$C)</f>
        <v>Down</v>
      </c>
      <c r="C844" s="2">
        <f>_xlfn.XLOOKUP(A844,'[1]Tissue Data'!$A:$A,'[1]Tissue Data'!$D:$D)</f>
        <v>44314</v>
      </c>
      <c r="D844" s="2" t="s">
        <v>131</v>
      </c>
      <c r="E844" t="str">
        <f>_xlfn.XLOOKUP(A844,'[1]Tissue Data'!$A:$A,'[1]Tissue Data'!$H:$H)</f>
        <v>Clinostomus</v>
      </c>
      <c r="F844" t="str">
        <f>_xlfn.XLOOKUP(A844,'[1]Tissue Data'!$A:$A,'[1]Tissue Data'!$I:$I)</f>
        <v>funduloides</v>
      </c>
      <c r="G844" t="str">
        <f>_xlfn.XLOOKUP(A844,'[1]Tissue Data'!$A:$A,'[1]Tissue Data'!J:J)</f>
        <v>U</v>
      </c>
      <c r="H844" t="str">
        <f>_xlfn.XLOOKUP(A844,'[1]Tissue Data'!$A:$A,'[1]Tissue Data'!K:K)</f>
        <v>Whole Body</v>
      </c>
      <c r="I844">
        <f>_xlfn.XLOOKUP(A844,'[1]Tissue Data'!$A:$A,'[1]Tissue Data'!L:L)</f>
        <v>7.5</v>
      </c>
      <c r="J844">
        <f>_xlfn.XLOOKUP(A844,'[1]Tissue Data'!$A:$A,'[1]Tissue Data'!M:M)</f>
        <v>5.2</v>
      </c>
      <c r="K844" t="s">
        <v>54</v>
      </c>
      <c r="L844" t="str">
        <f>_xlfn.XLOOKUP(K844,[2]analyte_order!$B:$B,[2]analyte_order!$C:$C)</f>
        <v>70887-84-2</v>
      </c>
      <c r="M844">
        <f>_xlfn.XLOOKUP(L844,[2]analyte_order!$C:$C,[2]analyte_order!$E:$E)</f>
        <v>45</v>
      </c>
      <c r="N844">
        <v>4.4485620303012306E-2</v>
      </c>
    </row>
    <row r="845" spans="1:14">
      <c r="A845" t="s">
        <v>311</v>
      </c>
      <c r="B845" t="str">
        <f>_xlfn.XLOOKUP(A845,'[1]Tissue Data'!$A:$A,'[1]Tissue Data'!$C:$C)</f>
        <v>Down</v>
      </c>
      <c r="C845" s="2">
        <f>_xlfn.XLOOKUP(A845,'[1]Tissue Data'!$A:$A,'[1]Tissue Data'!$D:$D)</f>
        <v>44314</v>
      </c>
      <c r="D845" s="2" t="s">
        <v>131</v>
      </c>
      <c r="E845" t="str">
        <f>_xlfn.XLOOKUP(A845,'[1]Tissue Data'!$A:$A,'[1]Tissue Data'!$H:$H)</f>
        <v>Clinostomus</v>
      </c>
      <c r="F845" t="str">
        <f>_xlfn.XLOOKUP(A845,'[1]Tissue Data'!$A:$A,'[1]Tissue Data'!$I:$I)</f>
        <v>funduloides</v>
      </c>
      <c r="G845" t="str">
        <f>_xlfn.XLOOKUP(A845,'[1]Tissue Data'!$A:$A,'[1]Tissue Data'!J:J)</f>
        <v>U</v>
      </c>
      <c r="H845" t="str">
        <f>_xlfn.XLOOKUP(A845,'[1]Tissue Data'!$A:$A,'[1]Tissue Data'!K:K)</f>
        <v>Whole Body</v>
      </c>
      <c r="I845">
        <f>_xlfn.XLOOKUP(A845,'[1]Tissue Data'!$A:$A,'[1]Tissue Data'!L:L)</f>
        <v>7.5</v>
      </c>
      <c r="J845">
        <f>_xlfn.XLOOKUP(A845,'[1]Tissue Data'!$A:$A,'[1]Tissue Data'!M:M)</f>
        <v>5.2</v>
      </c>
      <c r="K845" t="s">
        <v>55</v>
      </c>
      <c r="L845" t="str">
        <f>_xlfn.XLOOKUP(K845,[2]analyte_order!$B:$B,[2]analyte_order!$C:$C)</f>
        <v>919005-14-4</v>
      </c>
      <c r="M845">
        <f>_xlfn.XLOOKUP(L845,[2]analyte_order!$C:$C,[2]analyte_order!$E:$E)</f>
        <v>35</v>
      </c>
      <c r="N845">
        <v>7.3614573722541765E-2</v>
      </c>
    </row>
    <row r="846" spans="1:14">
      <c r="A846" t="s">
        <v>311</v>
      </c>
      <c r="B846" t="str">
        <f>_xlfn.XLOOKUP(A846,'[1]Tissue Data'!$A:$A,'[1]Tissue Data'!$C:$C)</f>
        <v>Down</v>
      </c>
      <c r="C846" s="2">
        <f>_xlfn.XLOOKUP(A846,'[1]Tissue Data'!$A:$A,'[1]Tissue Data'!$D:$D)</f>
        <v>44314</v>
      </c>
      <c r="D846" s="2" t="s">
        <v>131</v>
      </c>
      <c r="E846" t="str">
        <f>_xlfn.XLOOKUP(A846,'[1]Tissue Data'!$A:$A,'[1]Tissue Data'!$H:$H)</f>
        <v>Clinostomus</v>
      </c>
      <c r="F846" t="str">
        <f>_xlfn.XLOOKUP(A846,'[1]Tissue Data'!$A:$A,'[1]Tissue Data'!$I:$I)</f>
        <v>funduloides</v>
      </c>
      <c r="G846" t="str">
        <f>_xlfn.XLOOKUP(A846,'[1]Tissue Data'!$A:$A,'[1]Tissue Data'!J:J)</f>
        <v>U</v>
      </c>
      <c r="H846" t="str">
        <f>_xlfn.XLOOKUP(A846,'[1]Tissue Data'!$A:$A,'[1]Tissue Data'!K:K)</f>
        <v>Whole Body</v>
      </c>
      <c r="I846">
        <f>_xlfn.XLOOKUP(A846,'[1]Tissue Data'!$A:$A,'[1]Tissue Data'!L:L)</f>
        <v>7.5</v>
      </c>
      <c r="J846">
        <f>_xlfn.XLOOKUP(A846,'[1]Tissue Data'!$A:$A,'[1]Tissue Data'!M:M)</f>
        <v>5.2</v>
      </c>
      <c r="K846" t="s">
        <v>56</v>
      </c>
      <c r="L846" t="str">
        <f>_xlfn.XLOOKUP(K846,[2]analyte_order!$B:$B,[2]analyte_order!$C:$C)</f>
        <v>756426-58-1</v>
      </c>
      <c r="M846">
        <f>_xlfn.XLOOKUP(L846,[2]analyte_order!$C:$C,[2]analyte_order!$E:$E)</f>
        <v>36</v>
      </c>
      <c r="N846">
        <v>5.1096364364608078E-2</v>
      </c>
    </row>
    <row r="847" spans="1:14">
      <c r="A847" t="s">
        <v>311</v>
      </c>
      <c r="B847" t="str">
        <f>_xlfn.XLOOKUP(A847,'[1]Tissue Data'!$A:$A,'[1]Tissue Data'!$C:$C)</f>
        <v>Down</v>
      </c>
      <c r="C847" s="2">
        <f>_xlfn.XLOOKUP(A847,'[1]Tissue Data'!$A:$A,'[1]Tissue Data'!$D:$D)</f>
        <v>44314</v>
      </c>
      <c r="D847" s="2" t="s">
        <v>131</v>
      </c>
      <c r="E847" t="str">
        <f>_xlfn.XLOOKUP(A847,'[1]Tissue Data'!$A:$A,'[1]Tissue Data'!$H:$H)</f>
        <v>Clinostomus</v>
      </c>
      <c r="F847" t="str">
        <f>_xlfn.XLOOKUP(A847,'[1]Tissue Data'!$A:$A,'[1]Tissue Data'!$I:$I)</f>
        <v>funduloides</v>
      </c>
      <c r="G847" t="str">
        <f>_xlfn.XLOOKUP(A847,'[1]Tissue Data'!$A:$A,'[1]Tissue Data'!J:J)</f>
        <v>U</v>
      </c>
      <c r="H847" t="str">
        <f>_xlfn.XLOOKUP(A847,'[1]Tissue Data'!$A:$A,'[1]Tissue Data'!K:K)</f>
        <v>Whole Body</v>
      </c>
      <c r="I847">
        <f>_xlfn.XLOOKUP(A847,'[1]Tissue Data'!$A:$A,'[1]Tissue Data'!L:L)</f>
        <v>7.5</v>
      </c>
      <c r="J847">
        <f>_xlfn.XLOOKUP(A847,'[1]Tissue Data'!$A:$A,'[1]Tissue Data'!M:M)</f>
        <v>5.2</v>
      </c>
      <c r="K847" t="s">
        <v>57</v>
      </c>
      <c r="L847" t="str">
        <f>_xlfn.XLOOKUP(K847,[2]analyte_order!$B:$B,[2]analyte_order!$C:$C)</f>
        <v>763051-92-9</v>
      </c>
      <c r="M847">
        <f>_xlfn.XLOOKUP(L847,[2]analyte_order!$C:$C,[2]analyte_order!$E:$E)</f>
        <v>37</v>
      </c>
      <c r="N847">
        <v>5.8007588092744554E-2</v>
      </c>
    </row>
    <row r="848" spans="1:14">
      <c r="A848" t="s">
        <v>311</v>
      </c>
      <c r="B848" t="str">
        <f>_xlfn.XLOOKUP(A848,'[1]Tissue Data'!$A:$A,'[1]Tissue Data'!$C:$C)</f>
        <v>Down</v>
      </c>
      <c r="C848" s="2">
        <f>_xlfn.XLOOKUP(A848,'[1]Tissue Data'!$A:$A,'[1]Tissue Data'!$D:$D)</f>
        <v>44314</v>
      </c>
      <c r="D848" s="2" t="s">
        <v>131</v>
      </c>
      <c r="E848" t="str">
        <f>_xlfn.XLOOKUP(A848,'[1]Tissue Data'!$A:$A,'[1]Tissue Data'!$H:$H)</f>
        <v>Clinostomus</v>
      </c>
      <c r="F848" t="str">
        <f>_xlfn.XLOOKUP(A848,'[1]Tissue Data'!$A:$A,'[1]Tissue Data'!$I:$I)</f>
        <v>funduloides</v>
      </c>
      <c r="G848" t="str">
        <f>_xlfn.XLOOKUP(A848,'[1]Tissue Data'!$A:$A,'[1]Tissue Data'!J:J)</f>
        <v>U</v>
      </c>
      <c r="H848" t="str">
        <f>_xlfn.XLOOKUP(A848,'[1]Tissue Data'!$A:$A,'[1]Tissue Data'!K:K)</f>
        <v>Whole Body</v>
      </c>
      <c r="I848">
        <f>_xlfn.XLOOKUP(A848,'[1]Tissue Data'!$A:$A,'[1]Tissue Data'!L:L)</f>
        <v>7.5</v>
      </c>
      <c r="J848">
        <f>_xlfn.XLOOKUP(A848,'[1]Tissue Data'!$A:$A,'[1]Tissue Data'!M:M)</f>
        <v>5.2</v>
      </c>
      <c r="K848" t="s">
        <v>58</v>
      </c>
      <c r="L848" t="str">
        <f>_xlfn.XLOOKUP(K848,[2]analyte_order!$B:$B,[2]analyte_order!$C:$C)</f>
        <v>13252-13-6</v>
      </c>
      <c r="M848">
        <f>_xlfn.XLOOKUP(L848,[2]analyte_order!$C:$C,[2]analyte_order!$E:$E)</f>
        <v>34</v>
      </c>
      <c r="N848">
        <v>0.10563901608993739</v>
      </c>
    </row>
    <row r="849" spans="1:14">
      <c r="A849" t="s">
        <v>311</v>
      </c>
      <c r="B849" t="str">
        <f>_xlfn.XLOOKUP(A849,'[1]Tissue Data'!$A:$A,'[1]Tissue Data'!$C:$C)</f>
        <v>Down</v>
      </c>
      <c r="C849" s="2">
        <f>_xlfn.XLOOKUP(A849,'[1]Tissue Data'!$A:$A,'[1]Tissue Data'!$D:$D)</f>
        <v>44314</v>
      </c>
      <c r="D849" s="2" t="s">
        <v>131</v>
      </c>
      <c r="E849" t="str">
        <f>_xlfn.XLOOKUP(A849,'[1]Tissue Data'!$A:$A,'[1]Tissue Data'!$H:$H)</f>
        <v>Clinostomus</v>
      </c>
      <c r="F849" t="str">
        <f>_xlfn.XLOOKUP(A849,'[1]Tissue Data'!$A:$A,'[1]Tissue Data'!$I:$I)</f>
        <v>funduloides</v>
      </c>
      <c r="G849" t="str">
        <f>_xlfn.XLOOKUP(A849,'[1]Tissue Data'!$A:$A,'[1]Tissue Data'!J:J)</f>
        <v>U</v>
      </c>
      <c r="H849" t="str">
        <f>_xlfn.XLOOKUP(A849,'[1]Tissue Data'!$A:$A,'[1]Tissue Data'!K:K)</f>
        <v>Whole Body</v>
      </c>
      <c r="I849">
        <f>_xlfn.XLOOKUP(A849,'[1]Tissue Data'!$A:$A,'[1]Tissue Data'!L:L)</f>
        <v>7.5</v>
      </c>
      <c r="J849">
        <f>_xlfn.XLOOKUP(A849,'[1]Tissue Data'!$A:$A,'[1]Tissue Data'!M:M)</f>
        <v>5.2</v>
      </c>
      <c r="K849" t="s">
        <v>59</v>
      </c>
      <c r="L849" t="str">
        <f>_xlfn.XLOOKUP(K849,[2]analyte_order!$B:$B,[2]analyte_order!$C:$C)</f>
        <v>57677-95-9</v>
      </c>
      <c r="M849">
        <f>_xlfn.XLOOKUP(L849,[2]analyte_order!$C:$C,[2]analyte_order!$E:$E)</f>
        <v>46</v>
      </c>
      <c r="N849">
        <v>7.8364843799935205E-2</v>
      </c>
    </row>
    <row r="850" spans="1:14">
      <c r="A850" t="s">
        <v>311</v>
      </c>
      <c r="B850" t="str">
        <f>_xlfn.XLOOKUP(A850,'[1]Tissue Data'!$A:$A,'[1]Tissue Data'!$C:$C)</f>
        <v>Down</v>
      </c>
      <c r="C850" s="2">
        <f>_xlfn.XLOOKUP(A850,'[1]Tissue Data'!$A:$A,'[1]Tissue Data'!$D:$D)</f>
        <v>44314</v>
      </c>
      <c r="D850" s="2" t="s">
        <v>131</v>
      </c>
      <c r="E850" t="str">
        <f>_xlfn.XLOOKUP(A850,'[1]Tissue Data'!$A:$A,'[1]Tissue Data'!$H:$H)</f>
        <v>Clinostomus</v>
      </c>
      <c r="F850" t="str">
        <f>_xlfn.XLOOKUP(A850,'[1]Tissue Data'!$A:$A,'[1]Tissue Data'!$I:$I)</f>
        <v>funduloides</v>
      </c>
      <c r="G850" t="str">
        <f>_xlfn.XLOOKUP(A850,'[1]Tissue Data'!$A:$A,'[1]Tissue Data'!J:J)</f>
        <v>U</v>
      </c>
      <c r="H850" t="str">
        <f>_xlfn.XLOOKUP(A850,'[1]Tissue Data'!$A:$A,'[1]Tissue Data'!K:K)</f>
        <v>Whole Body</v>
      </c>
      <c r="I850">
        <f>_xlfn.XLOOKUP(A850,'[1]Tissue Data'!$A:$A,'[1]Tissue Data'!L:L)</f>
        <v>7.5</v>
      </c>
      <c r="J850">
        <f>_xlfn.XLOOKUP(A850,'[1]Tissue Data'!$A:$A,'[1]Tissue Data'!M:M)</f>
        <v>5.2</v>
      </c>
      <c r="K850" t="s">
        <v>60</v>
      </c>
      <c r="L850" t="str">
        <f>_xlfn.XLOOKUP(K850,[2]analyte_order!$B:$B,[2]analyte_order!$C:$C)</f>
        <v>678-41-1</v>
      </c>
      <c r="M850">
        <f>_xlfn.XLOOKUP(L850,[2]analyte_order!$C:$C,[2]analyte_order!$E:$E)</f>
        <v>56</v>
      </c>
      <c r="N850">
        <v>9.7599232998812346E-2</v>
      </c>
    </row>
    <row r="851" spans="1:14">
      <c r="A851" t="s">
        <v>311</v>
      </c>
      <c r="B851" t="str">
        <f>_xlfn.XLOOKUP(A851,'[1]Tissue Data'!$A:$A,'[1]Tissue Data'!$C:$C)</f>
        <v>Down</v>
      </c>
      <c r="C851" s="2">
        <f>_xlfn.XLOOKUP(A851,'[1]Tissue Data'!$A:$A,'[1]Tissue Data'!$D:$D)</f>
        <v>44314</v>
      </c>
      <c r="D851" s="2" t="s">
        <v>131</v>
      </c>
      <c r="E851" t="str">
        <f>_xlfn.XLOOKUP(A851,'[1]Tissue Data'!$A:$A,'[1]Tissue Data'!$H:$H)</f>
        <v>Clinostomus</v>
      </c>
      <c r="F851" t="str">
        <f>_xlfn.XLOOKUP(A851,'[1]Tissue Data'!$A:$A,'[1]Tissue Data'!$I:$I)</f>
        <v>funduloides</v>
      </c>
      <c r="G851" t="str">
        <f>_xlfn.XLOOKUP(A851,'[1]Tissue Data'!$A:$A,'[1]Tissue Data'!J:J)</f>
        <v>U</v>
      </c>
      <c r="H851" t="str">
        <f>_xlfn.XLOOKUP(A851,'[1]Tissue Data'!$A:$A,'[1]Tissue Data'!K:K)</f>
        <v>Whole Body</v>
      </c>
      <c r="I851">
        <f>_xlfn.XLOOKUP(A851,'[1]Tissue Data'!$A:$A,'[1]Tissue Data'!L:L)</f>
        <v>7.5</v>
      </c>
      <c r="J851">
        <f>_xlfn.XLOOKUP(A851,'[1]Tissue Data'!$A:$A,'[1]Tissue Data'!M:M)</f>
        <v>5.2</v>
      </c>
      <c r="K851" t="s">
        <v>61</v>
      </c>
      <c r="L851" t="str">
        <f>_xlfn.XLOOKUP(K851,[2]analyte_order!$B:$B,[2]analyte_order!$C:$C)</f>
        <v>2965-52-8</v>
      </c>
      <c r="M851">
        <f>_xlfn.XLOOKUP(L851,[2]analyte_order!$C:$C,[2]analyte_order!$E:$E)</f>
        <v>57</v>
      </c>
      <c r="N851">
        <v>0.1295616497516735</v>
      </c>
    </row>
    <row r="852" spans="1:14">
      <c r="A852" t="s">
        <v>182</v>
      </c>
      <c r="B852" t="str">
        <f>_xlfn.XLOOKUP(A852,'[1]Tissue Data'!$A:$A,'[1]Tissue Data'!$C:$C)</f>
        <v>Down</v>
      </c>
      <c r="C852" s="2">
        <f>_xlfn.XLOOKUP(A852,'[1]Tissue Data'!$A:$A,'[1]Tissue Data'!$D:$D)</f>
        <v>44314</v>
      </c>
      <c r="D852" s="2" t="str">
        <f>_xlfn.XLOOKUP(A852,'[1]Tissue Data'!$A:$A,'[1]Tissue Data'!$F:$F)</f>
        <v>Swallowtail Shiner</v>
      </c>
      <c r="E852" t="str">
        <f>_xlfn.XLOOKUP(A852,'[1]Tissue Data'!$A:$A,'[1]Tissue Data'!$H:$H)</f>
        <v>Notropis</v>
      </c>
      <c r="F852" t="str">
        <f>_xlfn.XLOOKUP(A852,'[1]Tissue Data'!$A:$A,'[1]Tissue Data'!$I:$I)</f>
        <v>procne</v>
      </c>
      <c r="G852" t="str">
        <f>_xlfn.XLOOKUP(A852,'[1]Tissue Data'!$A:$A,'[1]Tissue Data'!J:J)</f>
        <v>U</v>
      </c>
      <c r="H852" t="str">
        <f>_xlfn.XLOOKUP(A852,'[1]Tissue Data'!$A:$A,'[1]Tissue Data'!K:K)</f>
        <v>Whole Body</v>
      </c>
      <c r="I852">
        <f>_xlfn.XLOOKUP(A852,'[1]Tissue Data'!$A:$A,'[1]Tissue Data'!L:L)</f>
        <v>6.5</v>
      </c>
      <c r="J852">
        <f>_xlfn.XLOOKUP(A852,'[1]Tissue Data'!$A:$A,'[1]Tissue Data'!M:M)</f>
        <v>2.8</v>
      </c>
      <c r="K852" t="s">
        <v>12</v>
      </c>
      <c r="L852" t="str">
        <f>_xlfn.XLOOKUP(K852,[2]analyte_order!$B:$B,[2]analyte_order!$C:$C)</f>
        <v>375-22-4</v>
      </c>
      <c r="M852">
        <f>_xlfn.XLOOKUP(L852,[2]analyte_order!$C:$C,[2]analyte_order!$E:$E)</f>
        <v>1</v>
      </c>
      <c r="N852">
        <v>2.7464982147761604E-2</v>
      </c>
    </row>
    <row r="853" spans="1:14">
      <c r="A853" t="s">
        <v>182</v>
      </c>
      <c r="B853" t="str">
        <f>_xlfn.XLOOKUP(A853,'[1]Tissue Data'!$A:$A,'[1]Tissue Data'!$C:$C)</f>
        <v>Down</v>
      </c>
      <c r="C853" s="2">
        <f>_xlfn.XLOOKUP(A853,'[1]Tissue Data'!$A:$A,'[1]Tissue Data'!$D:$D)</f>
        <v>44314</v>
      </c>
      <c r="D853" s="2" t="str">
        <f>_xlfn.XLOOKUP(A853,'[1]Tissue Data'!$A:$A,'[1]Tissue Data'!$F:$F)</f>
        <v>Swallowtail Shiner</v>
      </c>
      <c r="E853" t="str">
        <f>_xlfn.XLOOKUP(A853,'[1]Tissue Data'!$A:$A,'[1]Tissue Data'!$H:$H)</f>
        <v>Notropis</v>
      </c>
      <c r="F853" t="str">
        <f>_xlfn.XLOOKUP(A853,'[1]Tissue Data'!$A:$A,'[1]Tissue Data'!$I:$I)</f>
        <v>procne</v>
      </c>
      <c r="G853" t="str">
        <f>_xlfn.XLOOKUP(A853,'[1]Tissue Data'!$A:$A,'[1]Tissue Data'!J:J)</f>
        <v>U</v>
      </c>
      <c r="H853" t="str">
        <f>_xlfn.XLOOKUP(A853,'[1]Tissue Data'!$A:$A,'[1]Tissue Data'!K:K)</f>
        <v>Whole Body</v>
      </c>
      <c r="I853">
        <f>_xlfn.XLOOKUP(A853,'[1]Tissue Data'!$A:$A,'[1]Tissue Data'!L:L)</f>
        <v>6.5</v>
      </c>
      <c r="J853">
        <f>_xlfn.XLOOKUP(A853,'[1]Tissue Data'!$A:$A,'[1]Tissue Data'!M:M)</f>
        <v>2.8</v>
      </c>
      <c r="K853" t="s">
        <v>13</v>
      </c>
      <c r="L853" t="str">
        <f>_xlfn.XLOOKUP(K853,[2]analyte_order!$B:$B,[2]analyte_order!$C:$C)</f>
        <v>2706-90-3</v>
      </c>
      <c r="M853">
        <f>_xlfn.XLOOKUP(L853,[2]analyte_order!$C:$C,[2]analyte_order!$E:$E)</f>
        <v>2</v>
      </c>
      <c r="N853">
        <v>4.8512860028700908E-2</v>
      </c>
    </row>
    <row r="854" spans="1:14">
      <c r="A854" t="s">
        <v>182</v>
      </c>
      <c r="B854" t="str">
        <f>_xlfn.XLOOKUP(A854,'[1]Tissue Data'!$A:$A,'[1]Tissue Data'!$C:$C)</f>
        <v>Down</v>
      </c>
      <c r="C854" s="2">
        <f>_xlfn.XLOOKUP(A854,'[1]Tissue Data'!$A:$A,'[1]Tissue Data'!$D:$D)</f>
        <v>44314</v>
      </c>
      <c r="D854" s="2" t="str">
        <f>_xlfn.XLOOKUP(A854,'[1]Tissue Data'!$A:$A,'[1]Tissue Data'!$F:$F)</f>
        <v>Swallowtail Shiner</v>
      </c>
      <c r="E854" t="str">
        <f>_xlfn.XLOOKUP(A854,'[1]Tissue Data'!$A:$A,'[1]Tissue Data'!$H:$H)</f>
        <v>Notropis</v>
      </c>
      <c r="F854" t="str">
        <f>_xlfn.XLOOKUP(A854,'[1]Tissue Data'!$A:$A,'[1]Tissue Data'!$I:$I)</f>
        <v>procne</v>
      </c>
      <c r="G854" t="str">
        <f>_xlfn.XLOOKUP(A854,'[1]Tissue Data'!$A:$A,'[1]Tissue Data'!J:J)</f>
        <v>U</v>
      </c>
      <c r="H854" t="str">
        <f>_xlfn.XLOOKUP(A854,'[1]Tissue Data'!$A:$A,'[1]Tissue Data'!K:K)</f>
        <v>Whole Body</v>
      </c>
      <c r="I854">
        <f>_xlfn.XLOOKUP(A854,'[1]Tissue Data'!$A:$A,'[1]Tissue Data'!L:L)</f>
        <v>6.5</v>
      </c>
      <c r="J854">
        <f>_xlfn.XLOOKUP(A854,'[1]Tissue Data'!$A:$A,'[1]Tissue Data'!M:M)</f>
        <v>2.8</v>
      </c>
      <c r="K854" t="s">
        <v>14</v>
      </c>
      <c r="L854" t="str">
        <f>_xlfn.XLOOKUP(K854,[2]analyte_order!$B:$B,[2]analyte_order!$C:$C)</f>
        <v>307-24-4</v>
      </c>
      <c r="M854">
        <f>_xlfn.XLOOKUP(L854,[2]analyte_order!$C:$C,[2]analyte_order!$E:$E)</f>
        <v>3</v>
      </c>
      <c r="N854">
        <v>0.36299999999999999</v>
      </c>
    </row>
    <row r="855" spans="1:14">
      <c r="A855" t="s">
        <v>182</v>
      </c>
      <c r="B855" t="str">
        <f>_xlfn.XLOOKUP(A855,'[1]Tissue Data'!$A:$A,'[1]Tissue Data'!$C:$C)</f>
        <v>Down</v>
      </c>
      <c r="C855" s="2">
        <f>_xlfn.XLOOKUP(A855,'[1]Tissue Data'!$A:$A,'[1]Tissue Data'!$D:$D)</f>
        <v>44314</v>
      </c>
      <c r="D855" s="2" t="str">
        <f>_xlfn.XLOOKUP(A855,'[1]Tissue Data'!$A:$A,'[1]Tissue Data'!$F:$F)</f>
        <v>Swallowtail Shiner</v>
      </c>
      <c r="E855" t="str">
        <f>_xlfn.XLOOKUP(A855,'[1]Tissue Data'!$A:$A,'[1]Tissue Data'!$H:$H)</f>
        <v>Notropis</v>
      </c>
      <c r="F855" t="str">
        <f>_xlfn.XLOOKUP(A855,'[1]Tissue Data'!$A:$A,'[1]Tissue Data'!$I:$I)</f>
        <v>procne</v>
      </c>
      <c r="G855" t="str">
        <f>_xlfn.XLOOKUP(A855,'[1]Tissue Data'!$A:$A,'[1]Tissue Data'!J:J)</f>
        <v>U</v>
      </c>
      <c r="H855" t="str">
        <f>_xlfn.XLOOKUP(A855,'[1]Tissue Data'!$A:$A,'[1]Tissue Data'!K:K)</f>
        <v>Whole Body</v>
      </c>
      <c r="I855">
        <f>_xlfn.XLOOKUP(A855,'[1]Tissue Data'!$A:$A,'[1]Tissue Data'!L:L)</f>
        <v>6.5</v>
      </c>
      <c r="J855">
        <f>_xlfn.XLOOKUP(A855,'[1]Tissue Data'!$A:$A,'[1]Tissue Data'!M:M)</f>
        <v>2.8</v>
      </c>
      <c r="K855" t="s">
        <v>15</v>
      </c>
      <c r="L855" t="str">
        <f>_xlfn.XLOOKUP(K855,[2]analyte_order!$B:$B,[2]analyte_order!$C:$C)</f>
        <v>375-85-9</v>
      </c>
      <c r="M855">
        <f>_xlfn.XLOOKUP(L855,[2]analyte_order!$C:$C,[2]analyte_order!$E:$E)</f>
        <v>4</v>
      </c>
      <c r="N855">
        <v>2.7464982147761604E-2</v>
      </c>
    </row>
    <row r="856" spans="1:14">
      <c r="A856" t="s">
        <v>182</v>
      </c>
      <c r="B856" t="str">
        <f>_xlfn.XLOOKUP(A856,'[1]Tissue Data'!$A:$A,'[1]Tissue Data'!$C:$C)</f>
        <v>Down</v>
      </c>
      <c r="C856" s="2">
        <f>_xlfn.XLOOKUP(A856,'[1]Tissue Data'!$A:$A,'[1]Tissue Data'!$D:$D)</f>
        <v>44314</v>
      </c>
      <c r="D856" s="2" t="str">
        <f>_xlfn.XLOOKUP(A856,'[1]Tissue Data'!$A:$A,'[1]Tissue Data'!$F:$F)</f>
        <v>Swallowtail Shiner</v>
      </c>
      <c r="E856" t="str">
        <f>_xlfn.XLOOKUP(A856,'[1]Tissue Data'!$A:$A,'[1]Tissue Data'!$H:$H)</f>
        <v>Notropis</v>
      </c>
      <c r="F856" t="str">
        <f>_xlfn.XLOOKUP(A856,'[1]Tissue Data'!$A:$A,'[1]Tissue Data'!$I:$I)</f>
        <v>procne</v>
      </c>
      <c r="G856" t="str">
        <f>_xlfn.XLOOKUP(A856,'[1]Tissue Data'!$A:$A,'[1]Tissue Data'!J:J)</f>
        <v>U</v>
      </c>
      <c r="H856" t="str">
        <f>_xlfn.XLOOKUP(A856,'[1]Tissue Data'!$A:$A,'[1]Tissue Data'!K:K)</f>
        <v>Whole Body</v>
      </c>
      <c r="I856">
        <f>_xlfn.XLOOKUP(A856,'[1]Tissue Data'!$A:$A,'[1]Tissue Data'!L:L)</f>
        <v>6.5</v>
      </c>
      <c r="J856">
        <f>_xlfn.XLOOKUP(A856,'[1]Tissue Data'!$A:$A,'[1]Tissue Data'!M:M)</f>
        <v>2.8</v>
      </c>
      <c r="K856" t="s">
        <v>16</v>
      </c>
      <c r="L856" t="str">
        <f>_xlfn.XLOOKUP(K856,[2]analyte_order!$B:$B,[2]analyte_order!$C:$C)</f>
        <v>335-67-1</v>
      </c>
      <c r="M856">
        <f>_xlfn.XLOOKUP(L856,[2]analyte_order!$C:$C,[2]analyte_order!$E:$E)</f>
        <v>5</v>
      </c>
      <c r="N856">
        <v>3.4</v>
      </c>
    </row>
    <row r="857" spans="1:14">
      <c r="A857" t="s">
        <v>182</v>
      </c>
      <c r="B857" t="str">
        <f>_xlfn.XLOOKUP(A857,'[1]Tissue Data'!$A:$A,'[1]Tissue Data'!$C:$C)</f>
        <v>Down</v>
      </c>
      <c r="C857" s="2">
        <f>_xlfn.XLOOKUP(A857,'[1]Tissue Data'!$A:$A,'[1]Tissue Data'!$D:$D)</f>
        <v>44314</v>
      </c>
      <c r="D857" s="2" t="str">
        <f>_xlfn.XLOOKUP(A857,'[1]Tissue Data'!$A:$A,'[1]Tissue Data'!$F:$F)</f>
        <v>Swallowtail Shiner</v>
      </c>
      <c r="E857" t="str">
        <f>_xlfn.XLOOKUP(A857,'[1]Tissue Data'!$A:$A,'[1]Tissue Data'!$H:$H)</f>
        <v>Notropis</v>
      </c>
      <c r="F857" t="str">
        <f>_xlfn.XLOOKUP(A857,'[1]Tissue Data'!$A:$A,'[1]Tissue Data'!$I:$I)</f>
        <v>procne</v>
      </c>
      <c r="G857" t="str">
        <f>_xlfn.XLOOKUP(A857,'[1]Tissue Data'!$A:$A,'[1]Tissue Data'!J:J)</f>
        <v>U</v>
      </c>
      <c r="H857" t="str">
        <f>_xlfn.XLOOKUP(A857,'[1]Tissue Data'!$A:$A,'[1]Tissue Data'!K:K)</f>
        <v>Whole Body</v>
      </c>
      <c r="I857">
        <f>_xlfn.XLOOKUP(A857,'[1]Tissue Data'!$A:$A,'[1]Tissue Data'!L:L)</f>
        <v>6.5</v>
      </c>
      <c r="J857">
        <f>_xlfn.XLOOKUP(A857,'[1]Tissue Data'!$A:$A,'[1]Tissue Data'!M:M)</f>
        <v>2.8</v>
      </c>
      <c r="K857" t="s">
        <v>17</v>
      </c>
      <c r="L857" t="str">
        <f>_xlfn.XLOOKUP(K857,[2]analyte_order!$B:$B,[2]analyte_order!$C:$C)</f>
        <v>375-95-1</v>
      </c>
      <c r="M857">
        <f>_xlfn.XLOOKUP(L857,[2]analyte_order!$C:$C,[2]analyte_order!$E:$E)</f>
        <v>6</v>
      </c>
      <c r="N857">
        <v>16.100000000000001</v>
      </c>
    </row>
    <row r="858" spans="1:14">
      <c r="A858" t="s">
        <v>182</v>
      </c>
      <c r="B858" t="str">
        <f>_xlfn.XLOOKUP(A858,'[1]Tissue Data'!$A:$A,'[1]Tissue Data'!$C:$C)</f>
        <v>Down</v>
      </c>
      <c r="C858" s="2">
        <f>_xlfn.XLOOKUP(A858,'[1]Tissue Data'!$A:$A,'[1]Tissue Data'!$D:$D)</f>
        <v>44314</v>
      </c>
      <c r="D858" s="2" t="str">
        <f>_xlfn.XLOOKUP(A858,'[1]Tissue Data'!$A:$A,'[1]Tissue Data'!$F:$F)</f>
        <v>Swallowtail Shiner</v>
      </c>
      <c r="E858" t="str">
        <f>_xlfn.XLOOKUP(A858,'[1]Tissue Data'!$A:$A,'[1]Tissue Data'!$H:$H)</f>
        <v>Notropis</v>
      </c>
      <c r="F858" t="str">
        <f>_xlfn.XLOOKUP(A858,'[1]Tissue Data'!$A:$A,'[1]Tissue Data'!$I:$I)</f>
        <v>procne</v>
      </c>
      <c r="G858" t="str">
        <f>_xlfn.XLOOKUP(A858,'[1]Tissue Data'!$A:$A,'[1]Tissue Data'!J:J)</f>
        <v>U</v>
      </c>
      <c r="H858" t="str">
        <f>_xlfn.XLOOKUP(A858,'[1]Tissue Data'!$A:$A,'[1]Tissue Data'!K:K)</f>
        <v>Whole Body</v>
      </c>
      <c r="I858">
        <f>_xlfn.XLOOKUP(A858,'[1]Tissue Data'!$A:$A,'[1]Tissue Data'!L:L)</f>
        <v>6.5</v>
      </c>
      <c r="J858">
        <f>_xlfn.XLOOKUP(A858,'[1]Tissue Data'!$A:$A,'[1]Tissue Data'!M:M)</f>
        <v>2.8</v>
      </c>
      <c r="K858" t="s">
        <v>18</v>
      </c>
      <c r="L858" t="str">
        <f>_xlfn.XLOOKUP(K858,[2]analyte_order!$B:$B,[2]analyte_order!$C:$C)</f>
        <v>335-76-2</v>
      </c>
      <c r="M858">
        <f>_xlfn.XLOOKUP(L858,[2]analyte_order!$C:$C,[2]analyte_order!$E:$E)</f>
        <v>7</v>
      </c>
      <c r="N858">
        <v>32.1</v>
      </c>
    </row>
    <row r="859" spans="1:14">
      <c r="A859" t="s">
        <v>182</v>
      </c>
      <c r="B859" t="str">
        <f>_xlfn.XLOOKUP(A859,'[1]Tissue Data'!$A:$A,'[1]Tissue Data'!$C:$C)</f>
        <v>Down</v>
      </c>
      <c r="C859" s="2">
        <f>_xlfn.XLOOKUP(A859,'[1]Tissue Data'!$A:$A,'[1]Tissue Data'!$D:$D)</f>
        <v>44314</v>
      </c>
      <c r="D859" s="2" t="str">
        <f>_xlfn.XLOOKUP(A859,'[1]Tissue Data'!$A:$A,'[1]Tissue Data'!$F:$F)</f>
        <v>Swallowtail Shiner</v>
      </c>
      <c r="E859" t="str">
        <f>_xlfn.XLOOKUP(A859,'[1]Tissue Data'!$A:$A,'[1]Tissue Data'!$H:$H)</f>
        <v>Notropis</v>
      </c>
      <c r="F859" t="str">
        <f>_xlfn.XLOOKUP(A859,'[1]Tissue Data'!$A:$A,'[1]Tissue Data'!$I:$I)</f>
        <v>procne</v>
      </c>
      <c r="G859" t="str">
        <f>_xlfn.XLOOKUP(A859,'[1]Tissue Data'!$A:$A,'[1]Tissue Data'!J:J)</f>
        <v>U</v>
      </c>
      <c r="H859" t="str">
        <f>_xlfn.XLOOKUP(A859,'[1]Tissue Data'!$A:$A,'[1]Tissue Data'!K:K)</f>
        <v>Whole Body</v>
      </c>
      <c r="I859">
        <f>_xlfn.XLOOKUP(A859,'[1]Tissue Data'!$A:$A,'[1]Tissue Data'!L:L)</f>
        <v>6.5</v>
      </c>
      <c r="J859">
        <f>_xlfn.XLOOKUP(A859,'[1]Tissue Data'!$A:$A,'[1]Tissue Data'!M:M)</f>
        <v>2.8</v>
      </c>
      <c r="K859" t="s">
        <v>19</v>
      </c>
      <c r="L859" t="str">
        <f>_xlfn.XLOOKUP(K859,[2]analyte_order!$B:$B,[2]analyte_order!$C:$C)</f>
        <v>2058-94-8</v>
      </c>
      <c r="M859">
        <f>_xlfn.XLOOKUP(L859,[2]analyte_order!$C:$C,[2]analyte_order!$E:$E)</f>
        <v>8</v>
      </c>
      <c r="N859">
        <v>19.7</v>
      </c>
    </row>
    <row r="860" spans="1:14">
      <c r="A860" t="s">
        <v>182</v>
      </c>
      <c r="B860" t="str">
        <f>_xlfn.XLOOKUP(A860,'[1]Tissue Data'!$A:$A,'[1]Tissue Data'!$C:$C)</f>
        <v>Down</v>
      </c>
      <c r="C860" s="2">
        <f>_xlfn.XLOOKUP(A860,'[1]Tissue Data'!$A:$A,'[1]Tissue Data'!$D:$D)</f>
        <v>44314</v>
      </c>
      <c r="D860" s="2" t="str">
        <f>_xlfn.XLOOKUP(A860,'[1]Tissue Data'!$A:$A,'[1]Tissue Data'!$F:$F)</f>
        <v>Swallowtail Shiner</v>
      </c>
      <c r="E860" t="str">
        <f>_xlfn.XLOOKUP(A860,'[1]Tissue Data'!$A:$A,'[1]Tissue Data'!$H:$H)</f>
        <v>Notropis</v>
      </c>
      <c r="F860" t="str">
        <f>_xlfn.XLOOKUP(A860,'[1]Tissue Data'!$A:$A,'[1]Tissue Data'!$I:$I)</f>
        <v>procne</v>
      </c>
      <c r="G860" t="str">
        <f>_xlfn.XLOOKUP(A860,'[1]Tissue Data'!$A:$A,'[1]Tissue Data'!J:J)</f>
        <v>U</v>
      </c>
      <c r="H860" t="str">
        <f>_xlfn.XLOOKUP(A860,'[1]Tissue Data'!$A:$A,'[1]Tissue Data'!K:K)</f>
        <v>Whole Body</v>
      </c>
      <c r="I860">
        <f>_xlfn.XLOOKUP(A860,'[1]Tissue Data'!$A:$A,'[1]Tissue Data'!L:L)</f>
        <v>6.5</v>
      </c>
      <c r="J860">
        <f>_xlfn.XLOOKUP(A860,'[1]Tissue Data'!$A:$A,'[1]Tissue Data'!M:M)</f>
        <v>2.8</v>
      </c>
      <c r="K860" t="s">
        <v>20</v>
      </c>
      <c r="L860" t="str">
        <f>_xlfn.XLOOKUP(K860,[2]analyte_order!$B:$B,[2]analyte_order!$C:$C)</f>
        <v>307-55-1</v>
      </c>
      <c r="M860">
        <f>_xlfn.XLOOKUP(L860,[2]analyte_order!$C:$C,[2]analyte_order!$E:$E)</f>
        <v>9</v>
      </c>
      <c r="N860">
        <v>38.1</v>
      </c>
    </row>
    <row r="861" spans="1:14">
      <c r="A861" t="s">
        <v>182</v>
      </c>
      <c r="B861" t="str">
        <f>_xlfn.XLOOKUP(A861,'[1]Tissue Data'!$A:$A,'[1]Tissue Data'!$C:$C)</f>
        <v>Down</v>
      </c>
      <c r="C861" s="2">
        <f>_xlfn.XLOOKUP(A861,'[1]Tissue Data'!$A:$A,'[1]Tissue Data'!$D:$D)</f>
        <v>44314</v>
      </c>
      <c r="D861" s="2" t="str">
        <f>_xlfn.XLOOKUP(A861,'[1]Tissue Data'!$A:$A,'[1]Tissue Data'!$F:$F)</f>
        <v>Swallowtail Shiner</v>
      </c>
      <c r="E861" t="str">
        <f>_xlfn.XLOOKUP(A861,'[1]Tissue Data'!$A:$A,'[1]Tissue Data'!$H:$H)</f>
        <v>Notropis</v>
      </c>
      <c r="F861" t="str">
        <f>_xlfn.XLOOKUP(A861,'[1]Tissue Data'!$A:$A,'[1]Tissue Data'!$I:$I)</f>
        <v>procne</v>
      </c>
      <c r="G861" t="str">
        <f>_xlfn.XLOOKUP(A861,'[1]Tissue Data'!$A:$A,'[1]Tissue Data'!J:J)</f>
        <v>U</v>
      </c>
      <c r="H861" t="str">
        <f>_xlfn.XLOOKUP(A861,'[1]Tissue Data'!$A:$A,'[1]Tissue Data'!K:K)</f>
        <v>Whole Body</v>
      </c>
      <c r="I861">
        <f>_xlfn.XLOOKUP(A861,'[1]Tissue Data'!$A:$A,'[1]Tissue Data'!L:L)</f>
        <v>6.5</v>
      </c>
      <c r="J861">
        <f>_xlfn.XLOOKUP(A861,'[1]Tissue Data'!$A:$A,'[1]Tissue Data'!M:M)</f>
        <v>2.8</v>
      </c>
      <c r="K861" t="s">
        <v>21</v>
      </c>
      <c r="L861" t="str">
        <f>_xlfn.XLOOKUP(K861,[2]analyte_order!$B:$B,[2]analyte_order!$C:$C)</f>
        <v>72629-94-8</v>
      </c>
      <c r="M861">
        <f>_xlfn.XLOOKUP(L861,[2]analyte_order!$C:$C,[2]analyte_order!$E:$E)</f>
        <v>10</v>
      </c>
      <c r="N861">
        <v>8.3000000000000007</v>
      </c>
    </row>
    <row r="862" spans="1:14">
      <c r="A862" t="s">
        <v>182</v>
      </c>
      <c r="B862" t="str">
        <f>_xlfn.XLOOKUP(A862,'[1]Tissue Data'!$A:$A,'[1]Tissue Data'!$C:$C)</f>
        <v>Down</v>
      </c>
      <c r="C862" s="2">
        <f>_xlfn.XLOOKUP(A862,'[1]Tissue Data'!$A:$A,'[1]Tissue Data'!$D:$D)</f>
        <v>44314</v>
      </c>
      <c r="D862" s="2" t="str">
        <f>_xlfn.XLOOKUP(A862,'[1]Tissue Data'!$A:$A,'[1]Tissue Data'!$F:$F)</f>
        <v>Swallowtail Shiner</v>
      </c>
      <c r="E862" t="str">
        <f>_xlfn.XLOOKUP(A862,'[1]Tissue Data'!$A:$A,'[1]Tissue Data'!$H:$H)</f>
        <v>Notropis</v>
      </c>
      <c r="F862" t="str">
        <f>_xlfn.XLOOKUP(A862,'[1]Tissue Data'!$A:$A,'[1]Tissue Data'!$I:$I)</f>
        <v>procne</v>
      </c>
      <c r="G862" t="str">
        <f>_xlfn.XLOOKUP(A862,'[1]Tissue Data'!$A:$A,'[1]Tissue Data'!J:J)</f>
        <v>U</v>
      </c>
      <c r="H862" t="str">
        <f>_xlfn.XLOOKUP(A862,'[1]Tissue Data'!$A:$A,'[1]Tissue Data'!K:K)</f>
        <v>Whole Body</v>
      </c>
      <c r="I862">
        <f>_xlfn.XLOOKUP(A862,'[1]Tissue Data'!$A:$A,'[1]Tissue Data'!L:L)</f>
        <v>6.5</v>
      </c>
      <c r="J862">
        <f>_xlfn.XLOOKUP(A862,'[1]Tissue Data'!$A:$A,'[1]Tissue Data'!M:M)</f>
        <v>2.8</v>
      </c>
      <c r="K862" t="s">
        <v>22</v>
      </c>
      <c r="L862" t="str">
        <f>_xlfn.XLOOKUP(K862,[2]analyte_order!$B:$B,[2]analyte_order!$C:$C)</f>
        <v>376-06-7</v>
      </c>
      <c r="M862">
        <f>_xlfn.XLOOKUP(L862,[2]analyte_order!$C:$C,[2]analyte_order!$E:$E)</f>
        <v>11</v>
      </c>
      <c r="N862">
        <v>5.26</v>
      </c>
    </row>
    <row r="863" spans="1:14">
      <c r="A863" t="s">
        <v>182</v>
      </c>
      <c r="B863" t="str">
        <f>_xlfn.XLOOKUP(A863,'[1]Tissue Data'!$A:$A,'[1]Tissue Data'!$C:$C)</f>
        <v>Down</v>
      </c>
      <c r="C863" s="2">
        <f>_xlfn.XLOOKUP(A863,'[1]Tissue Data'!$A:$A,'[1]Tissue Data'!$D:$D)</f>
        <v>44314</v>
      </c>
      <c r="D863" s="2" t="str">
        <f>_xlfn.XLOOKUP(A863,'[1]Tissue Data'!$A:$A,'[1]Tissue Data'!$F:$F)</f>
        <v>Swallowtail Shiner</v>
      </c>
      <c r="E863" t="str">
        <f>_xlfn.XLOOKUP(A863,'[1]Tissue Data'!$A:$A,'[1]Tissue Data'!$H:$H)</f>
        <v>Notropis</v>
      </c>
      <c r="F863" t="str">
        <f>_xlfn.XLOOKUP(A863,'[1]Tissue Data'!$A:$A,'[1]Tissue Data'!$I:$I)</f>
        <v>procne</v>
      </c>
      <c r="G863" t="str">
        <f>_xlfn.XLOOKUP(A863,'[1]Tissue Data'!$A:$A,'[1]Tissue Data'!J:J)</f>
        <v>U</v>
      </c>
      <c r="H863" t="str">
        <f>_xlfn.XLOOKUP(A863,'[1]Tissue Data'!$A:$A,'[1]Tissue Data'!K:K)</f>
        <v>Whole Body</v>
      </c>
      <c r="I863">
        <f>_xlfn.XLOOKUP(A863,'[1]Tissue Data'!$A:$A,'[1]Tissue Data'!L:L)</f>
        <v>6.5</v>
      </c>
      <c r="J863">
        <f>_xlfn.XLOOKUP(A863,'[1]Tissue Data'!$A:$A,'[1]Tissue Data'!M:M)</f>
        <v>2.8</v>
      </c>
      <c r="K863" t="s">
        <v>23</v>
      </c>
      <c r="L863" t="str">
        <f>_xlfn.XLOOKUP(K863,[2]analyte_order!$B:$B,[2]analyte_order!$C:$C)</f>
        <v>67905-19-5</v>
      </c>
      <c r="M863">
        <f>_xlfn.XLOOKUP(L863,[2]analyte_order!$C:$C,[2]analyte_order!$E:$E)</f>
        <v>12</v>
      </c>
      <c r="N863">
        <v>8.1831924027190348E-2</v>
      </c>
    </row>
    <row r="864" spans="1:14">
      <c r="A864" t="s">
        <v>182</v>
      </c>
      <c r="B864" t="str">
        <f>_xlfn.XLOOKUP(A864,'[1]Tissue Data'!$A:$A,'[1]Tissue Data'!$C:$C)</f>
        <v>Down</v>
      </c>
      <c r="C864" s="2">
        <f>_xlfn.XLOOKUP(A864,'[1]Tissue Data'!$A:$A,'[1]Tissue Data'!$D:$D)</f>
        <v>44314</v>
      </c>
      <c r="D864" s="2" t="str">
        <f>_xlfn.XLOOKUP(A864,'[1]Tissue Data'!$A:$A,'[1]Tissue Data'!$F:$F)</f>
        <v>Swallowtail Shiner</v>
      </c>
      <c r="E864" t="str">
        <f>_xlfn.XLOOKUP(A864,'[1]Tissue Data'!$A:$A,'[1]Tissue Data'!$H:$H)</f>
        <v>Notropis</v>
      </c>
      <c r="F864" t="str">
        <f>_xlfn.XLOOKUP(A864,'[1]Tissue Data'!$A:$A,'[1]Tissue Data'!$I:$I)</f>
        <v>procne</v>
      </c>
      <c r="G864" t="str">
        <f>_xlfn.XLOOKUP(A864,'[1]Tissue Data'!$A:$A,'[1]Tissue Data'!J:J)</f>
        <v>U</v>
      </c>
      <c r="H864" t="str">
        <f>_xlfn.XLOOKUP(A864,'[1]Tissue Data'!$A:$A,'[1]Tissue Data'!K:K)</f>
        <v>Whole Body</v>
      </c>
      <c r="I864">
        <f>_xlfn.XLOOKUP(A864,'[1]Tissue Data'!$A:$A,'[1]Tissue Data'!L:L)</f>
        <v>6.5</v>
      </c>
      <c r="J864">
        <f>_xlfn.XLOOKUP(A864,'[1]Tissue Data'!$A:$A,'[1]Tissue Data'!M:M)</f>
        <v>2.8</v>
      </c>
      <c r="K864" t="s">
        <v>24</v>
      </c>
      <c r="L864" t="str">
        <f>_xlfn.XLOOKUP(K864,[2]analyte_order!$B:$B,[2]analyte_order!$C:$C)</f>
        <v>423-41-6</v>
      </c>
      <c r="M864">
        <f>_xlfn.XLOOKUP(L864,[2]analyte_order!$C:$C,[2]analyte_order!$E:$E)</f>
        <v>53</v>
      </c>
      <c r="N864">
        <v>5.2386242587613291E-2</v>
      </c>
    </row>
    <row r="865" spans="1:14">
      <c r="A865" t="s">
        <v>182</v>
      </c>
      <c r="B865" t="str">
        <f>_xlfn.XLOOKUP(A865,'[1]Tissue Data'!$A:$A,'[1]Tissue Data'!$C:$C)</f>
        <v>Down</v>
      </c>
      <c r="C865" s="2">
        <f>_xlfn.XLOOKUP(A865,'[1]Tissue Data'!$A:$A,'[1]Tissue Data'!$D:$D)</f>
        <v>44314</v>
      </c>
      <c r="D865" s="2" t="str">
        <f>_xlfn.XLOOKUP(A865,'[1]Tissue Data'!$A:$A,'[1]Tissue Data'!$F:$F)</f>
        <v>Swallowtail Shiner</v>
      </c>
      <c r="E865" t="str">
        <f>_xlfn.XLOOKUP(A865,'[1]Tissue Data'!$A:$A,'[1]Tissue Data'!$H:$H)</f>
        <v>Notropis</v>
      </c>
      <c r="F865" t="str">
        <f>_xlfn.XLOOKUP(A865,'[1]Tissue Data'!$A:$A,'[1]Tissue Data'!$I:$I)</f>
        <v>procne</v>
      </c>
      <c r="G865" t="str">
        <f>_xlfn.XLOOKUP(A865,'[1]Tissue Data'!$A:$A,'[1]Tissue Data'!J:J)</f>
        <v>U</v>
      </c>
      <c r="H865" t="str">
        <f>_xlfn.XLOOKUP(A865,'[1]Tissue Data'!$A:$A,'[1]Tissue Data'!K:K)</f>
        <v>Whole Body</v>
      </c>
      <c r="I865">
        <f>_xlfn.XLOOKUP(A865,'[1]Tissue Data'!$A:$A,'[1]Tissue Data'!L:L)</f>
        <v>6.5</v>
      </c>
      <c r="J865">
        <f>_xlfn.XLOOKUP(A865,'[1]Tissue Data'!$A:$A,'[1]Tissue Data'!M:M)</f>
        <v>2.8</v>
      </c>
      <c r="K865" t="s">
        <v>25</v>
      </c>
      <c r="L865" t="str">
        <f>_xlfn.XLOOKUP(K865,[2]analyte_order!$B:$B,[2]analyte_order!$C:$C)</f>
        <v>375-73-5</v>
      </c>
      <c r="M865">
        <f>_xlfn.XLOOKUP(L865,[2]analyte_order!$C:$C,[2]analyte_order!$E:$E)</f>
        <v>14</v>
      </c>
      <c r="N865">
        <v>0.15693492197453368</v>
      </c>
    </row>
    <row r="866" spans="1:14">
      <c r="A866" t="s">
        <v>182</v>
      </c>
      <c r="B866" t="str">
        <f>_xlfn.XLOOKUP(A866,'[1]Tissue Data'!$A:$A,'[1]Tissue Data'!$C:$C)</f>
        <v>Down</v>
      </c>
      <c r="C866" s="2">
        <f>_xlfn.XLOOKUP(A866,'[1]Tissue Data'!$A:$A,'[1]Tissue Data'!$D:$D)</f>
        <v>44314</v>
      </c>
      <c r="D866" s="2" t="str">
        <f>_xlfn.XLOOKUP(A866,'[1]Tissue Data'!$A:$A,'[1]Tissue Data'!$F:$F)</f>
        <v>Swallowtail Shiner</v>
      </c>
      <c r="E866" t="str">
        <f>_xlfn.XLOOKUP(A866,'[1]Tissue Data'!$A:$A,'[1]Tissue Data'!$H:$H)</f>
        <v>Notropis</v>
      </c>
      <c r="F866" t="str">
        <f>_xlfn.XLOOKUP(A866,'[1]Tissue Data'!$A:$A,'[1]Tissue Data'!$I:$I)</f>
        <v>procne</v>
      </c>
      <c r="G866" t="str">
        <f>_xlfn.XLOOKUP(A866,'[1]Tissue Data'!$A:$A,'[1]Tissue Data'!J:J)</f>
        <v>U</v>
      </c>
      <c r="H866" t="str">
        <f>_xlfn.XLOOKUP(A866,'[1]Tissue Data'!$A:$A,'[1]Tissue Data'!K:K)</f>
        <v>Whole Body</v>
      </c>
      <c r="I866">
        <f>_xlfn.XLOOKUP(A866,'[1]Tissue Data'!$A:$A,'[1]Tissue Data'!L:L)</f>
        <v>6.5</v>
      </c>
      <c r="J866">
        <f>_xlfn.XLOOKUP(A866,'[1]Tissue Data'!$A:$A,'[1]Tissue Data'!M:M)</f>
        <v>2.8</v>
      </c>
      <c r="K866" t="s">
        <v>26</v>
      </c>
      <c r="L866" t="str">
        <f>_xlfn.XLOOKUP(K866,[2]analyte_order!$B:$B,[2]analyte_order!$C:$C)</f>
        <v>2706-91-4</v>
      </c>
      <c r="M866">
        <f>_xlfn.XLOOKUP(L866,[2]analyte_order!$C:$C,[2]analyte_order!$E:$E)</f>
        <v>15</v>
      </c>
      <c r="N866">
        <v>2.11</v>
      </c>
    </row>
    <row r="867" spans="1:14">
      <c r="A867" t="s">
        <v>182</v>
      </c>
      <c r="B867" t="str">
        <f>_xlfn.XLOOKUP(A867,'[1]Tissue Data'!$A:$A,'[1]Tissue Data'!$C:$C)</f>
        <v>Down</v>
      </c>
      <c r="C867" s="2">
        <f>_xlfn.XLOOKUP(A867,'[1]Tissue Data'!$A:$A,'[1]Tissue Data'!$D:$D)</f>
        <v>44314</v>
      </c>
      <c r="D867" s="2" t="str">
        <f>_xlfn.XLOOKUP(A867,'[1]Tissue Data'!$A:$A,'[1]Tissue Data'!$F:$F)</f>
        <v>Swallowtail Shiner</v>
      </c>
      <c r="E867" t="str">
        <f>_xlfn.XLOOKUP(A867,'[1]Tissue Data'!$A:$A,'[1]Tissue Data'!$H:$H)</f>
        <v>Notropis</v>
      </c>
      <c r="F867" t="str">
        <f>_xlfn.XLOOKUP(A867,'[1]Tissue Data'!$A:$A,'[1]Tissue Data'!$I:$I)</f>
        <v>procne</v>
      </c>
      <c r="G867" t="str">
        <f>_xlfn.XLOOKUP(A867,'[1]Tissue Data'!$A:$A,'[1]Tissue Data'!J:J)</f>
        <v>U</v>
      </c>
      <c r="H867" t="str">
        <f>_xlfn.XLOOKUP(A867,'[1]Tissue Data'!$A:$A,'[1]Tissue Data'!K:K)</f>
        <v>Whole Body</v>
      </c>
      <c r="I867">
        <f>_xlfn.XLOOKUP(A867,'[1]Tissue Data'!$A:$A,'[1]Tissue Data'!L:L)</f>
        <v>6.5</v>
      </c>
      <c r="J867">
        <f>_xlfn.XLOOKUP(A867,'[1]Tissue Data'!$A:$A,'[1]Tissue Data'!M:M)</f>
        <v>2.8</v>
      </c>
      <c r="K867" t="s">
        <v>27</v>
      </c>
      <c r="L867" t="str">
        <f>_xlfn.XLOOKUP(K867,[2]analyte_order!$B:$B,[2]analyte_order!$C:$C)</f>
        <v>355-46-4</v>
      </c>
      <c r="M867">
        <f>_xlfn.XLOOKUP(L867,[2]analyte_order!$C:$C,[2]analyte_order!$E:$E)</f>
        <v>16</v>
      </c>
      <c r="N867">
        <v>143</v>
      </c>
    </row>
    <row r="868" spans="1:14">
      <c r="A868" t="s">
        <v>182</v>
      </c>
      <c r="B868" t="str">
        <f>_xlfn.XLOOKUP(A868,'[1]Tissue Data'!$A:$A,'[1]Tissue Data'!$C:$C)</f>
        <v>Down</v>
      </c>
      <c r="C868" s="2">
        <f>_xlfn.XLOOKUP(A868,'[1]Tissue Data'!$A:$A,'[1]Tissue Data'!$D:$D)</f>
        <v>44314</v>
      </c>
      <c r="D868" s="2" t="str">
        <f>_xlfn.XLOOKUP(A868,'[1]Tissue Data'!$A:$A,'[1]Tissue Data'!$F:$F)</f>
        <v>Swallowtail Shiner</v>
      </c>
      <c r="E868" t="str">
        <f>_xlfn.XLOOKUP(A868,'[1]Tissue Data'!$A:$A,'[1]Tissue Data'!$H:$H)</f>
        <v>Notropis</v>
      </c>
      <c r="F868" t="str">
        <f>_xlfn.XLOOKUP(A868,'[1]Tissue Data'!$A:$A,'[1]Tissue Data'!$I:$I)</f>
        <v>procne</v>
      </c>
      <c r="G868" t="str">
        <f>_xlfn.XLOOKUP(A868,'[1]Tissue Data'!$A:$A,'[1]Tissue Data'!J:J)</f>
        <v>U</v>
      </c>
      <c r="H868" t="str">
        <f>_xlfn.XLOOKUP(A868,'[1]Tissue Data'!$A:$A,'[1]Tissue Data'!K:K)</f>
        <v>Whole Body</v>
      </c>
      <c r="I868">
        <f>_xlfn.XLOOKUP(A868,'[1]Tissue Data'!$A:$A,'[1]Tissue Data'!L:L)</f>
        <v>6.5</v>
      </c>
      <c r="J868">
        <f>_xlfn.XLOOKUP(A868,'[1]Tissue Data'!$A:$A,'[1]Tissue Data'!M:M)</f>
        <v>2.8</v>
      </c>
      <c r="K868" t="s">
        <v>28</v>
      </c>
      <c r="L868" t="str">
        <f>_xlfn.XLOOKUP(K868,[2]analyte_order!$B:$B,[2]analyte_order!$C:$C)</f>
        <v>375-92-8</v>
      </c>
      <c r="M868">
        <f>_xlfn.XLOOKUP(L868,[2]analyte_order!$C:$C,[2]analyte_order!$E:$E)</f>
        <v>17</v>
      </c>
      <c r="N868">
        <v>24.9</v>
      </c>
    </row>
    <row r="869" spans="1:14">
      <c r="A869" t="s">
        <v>182</v>
      </c>
      <c r="B869" t="str">
        <f>_xlfn.XLOOKUP(A869,'[1]Tissue Data'!$A:$A,'[1]Tissue Data'!$C:$C)</f>
        <v>Down</v>
      </c>
      <c r="C869" s="2">
        <f>_xlfn.XLOOKUP(A869,'[1]Tissue Data'!$A:$A,'[1]Tissue Data'!$D:$D)</f>
        <v>44314</v>
      </c>
      <c r="D869" s="2" t="str">
        <f>_xlfn.XLOOKUP(A869,'[1]Tissue Data'!$A:$A,'[1]Tissue Data'!$F:$F)</f>
        <v>Swallowtail Shiner</v>
      </c>
      <c r="E869" t="str">
        <f>_xlfn.XLOOKUP(A869,'[1]Tissue Data'!$A:$A,'[1]Tissue Data'!$H:$H)</f>
        <v>Notropis</v>
      </c>
      <c r="F869" t="str">
        <f>_xlfn.XLOOKUP(A869,'[1]Tissue Data'!$A:$A,'[1]Tissue Data'!$I:$I)</f>
        <v>procne</v>
      </c>
      <c r="G869" t="str">
        <f>_xlfn.XLOOKUP(A869,'[1]Tissue Data'!$A:$A,'[1]Tissue Data'!J:J)</f>
        <v>U</v>
      </c>
      <c r="H869" t="str">
        <f>_xlfn.XLOOKUP(A869,'[1]Tissue Data'!$A:$A,'[1]Tissue Data'!K:K)</f>
        <v>Whole Body</v>
      </c>
      <c r="I869">
        <f>_xlfn.XLOOKUP(A869,'[1]Tissue Data'!$A:$A,'[1]Tissue Data'!L:L)</f>
        <v>6.5</v>
      </c>
      <c r="J869">
        <f>_xlfn.XLOOKUP(A869,'[1]Tissue Data'!$A:$A,'[1]Tissue Data'!M:M)</f>
        <v>2.8</v>
      </c>
      <c r="K869" t="s">
        <v>29</v>
      </c>
      <c r="L869" t="str">
        <f>_xlfn.XLOOKUP(K869,[2]analyte_order!$B:$B,[2]analyte_order!$C:$C)</f>
        <v>1763-23-1</v>
      </c>
      <c r="M869">
        <f>_xlfn.XLOOKUP(L869,[2]analyte_order!$C:$C,[2]analyte_order!$E:$E)</f>
        <v>18</v>
      </c>
      <c r="N869">
        <v>4620</v>
      </c>
    </row>
    <row r="870" spans="1:14">
      <c r="A870" t="s">
        <v>182</v>
      </c>
      <c r="B870" t="str">
        <f>_xlfn.XLOOKUP(A870,'[1]Tissue Data'!$A:$A,'[1]Tissue Data'!$C:$C)</f>
        <v>Down</v>
      </c>
      <c r="C870" s="2">
        <f>_xlfn.XLOOKUP(A870,'[1]Tissue Data'!$A:$A,'[1]Tissue Data'!$D:$D)</f>
        <v>44314</v>
      </c>
      <c r="D870" s="2" t="str">
        <f>_xlfn.XLOOKUP(A870,'[1]Tissue Data'!$A:$A,'[1]Tissue Data'!$F:$F)</f>
        <v>Swallowtail Shiner</v>
      </c>
      <c r="E870" t="str">
        <f>_xlfn.XLOOKUP(A870,'[1]Tissue Data'!$A:$A,'[1]Tissue Data'!$H:$H)</f>
        <v>Notropis</v>
      </c>
      <c r="F870" t="str">
        <f>_xlfn.XLOOKUP(A870,'[1]Tissue Data'!$A:$A,'[1]Tissue Data'!$I:$I)</f>
        <v>procne</v>
      </c>
      <c r="G870" t="str">
        <f>_xlfn.XLOOKUP(A870,'[1]Tissue Data'!$A:$A,'[1]Tissue Data'!J:J)</f>
        <v>U</v>
      </c>
      <c r="H870" t="str">
        <f>_xlfn.XLOOKUP(A870,'[1]Tissue Data'!$A:$A,'[1]Tissue Data'!K:K)</f>
        <v>Whole Body</v>
      </c>
      <c r="I870">
        <f>_xlfn.XLOOKUP(A870,'[1]Tissue Data'!$A:$A,'[1]Tissue Data'!L:L)</f>
        <v>6.5</v>
      </c>
      <c r="J870">
        <f>_xlfn.XLOOKUP(A870,'[1]Tissue Data'!$A:$A,'[1]Tissue Data'!M:M)</f>
        <v>2.8</v>
      </c>
      <c r="K870" t="s">
        <v>30</v>
      </c>
      <c r="L870" t="str">
        <f>_xlfn.XLOOKUP(K870,[2]analyte_order!$B:$B,[2]analyte_order!$C:$C)</f>
        <v>68259-12-1</v>
      </c>
      <c r="M870">
        <f>_xlfn.XLOOKUP(L870,[2]analyte_order!$C:$C,[2]analyte_order!$E:$E)</f>
        <v>19</v>
      </c>
      <c r="N870">
        <v>9.9600000000000009</v>
      </c>
    </row>
    <row r="871" spans="1:14">
      <c r="A871" t="s">
        <v>182</v>
      </c>
      <c r="B871" t="str">
        <f>_xlfn.XLOOKUP(A871,'[1]Tissue Data'!$A:$A,'[1]Tissue Data'!$C:$C)</f>
        <v>Down</v>
      </c>
      <c r="C871" s="2">
        <f>_xlfn.XLOOKUP(A871,'[1]Tissue Data'!$A:$A,'[1]Tissue Data'!$D:$D)</f>
        <v>44314</v>
      </c>
      <c r="D871" s="2" t="str">
        <f>_xlfn.XLOOKUP(A871,'[1]Tissue Data'!$A:$A,'[1]Tissue Data'!$F:$F)</f>
        <v>Swallowtail Shiner</v>
      </c>
      <c r="E871" t="str">
        <f>_xlfn.XLOOKUP(A871,'[1]Tissue Data'!$A:$A,'[1]Tissue Data'!$H:$H)</f>
        <v>Notropis</v>
      </c>
      <c r="F871" t="str">
        <f>_xlfn.XLOOKUP(A871,'[1]Tissue Data'!$A:$A,'[1]Tissue Data'!$I:$I)</f>
        <v>procne</v>
      </c>
      <c r="G871" t="str">
        <f>_xlfn.XLOOKUP(A871,'[1]Tissue Data'!$A:$A,'[1]Tissue Data'!J:J)</f>
        <v>U</v>
      </c>
      <c r="H871" t="str">
        <f>_xlfn.XLOOKUP(A871,'[1]Tissue Data'!$A:$A,'[1]Tissue Data'!K:K)</f>
        <v>Whole Body</v>
      </c>
      <c r="I871">
        <f>_xlfn.XLOOKUP(A871,'[1]Tissue Data'!$A:$A,'[1]Tissue Data'!L:L)</f>
        <v>6.5</v>
      </c>
      <c r="J871">
        <f>_xlfn.XLOOKUP(A871,'[1]Tissue Data'!$A:$A,'[1]Tissue Data'!M:M)</f>
        <v>2.8</v>
      </c>
      <c r="K871" t="s">
        <v>31</v>
      </c>
      <c r="L871" t="str">
        <f>_xlfn.XLOOKUP(K871,[2]analyte_order!$B:$B,[2]analyte_order!$C:$C)</f>
        <v>335-77-3</v>
      </c>
      <c r="M871">
        <f>_xlfn.XLOOKUP(L871,[2]analyte_order!$C:$C,[2]analyte_order!$E:$E)</f>
        <v>20</v>
      </c>
      <c r="N871">
        <v>4.79</v>
      </c>
    </row>
    <row r="872" spans="1:14">
      <c r="A872" t="s">
        <v>182</v>
      </c>
      <c r="B872" t="str">
        <f>_xlfn.XLOOKUP(A872,'[1]Tissue Data'!$A:$A,'[1]Tissue Data'!$C:$C)</f>
        <v>Down</v>
      </c>
      <c r="C872" s="2">
        <f>_xlfn.XLOOKUP(A872,'[1]Tissue Data'!$A:$A,'[1]Tissue Data'!$D:$D)</f>
        <v>44314</v>
      </c>
      <c r="D872" s="2" t="str">
        <f>_xlfn.XLOOKUP(A872,'[1]Tissue Data'!$A:$A,'[1]Tissue Data'!$F:$F)</f>
        <v>Swallowtail Shiner</v>
      </c>
      <c r="E872" t="str">
        <f>_xlfn.XLOOKUP(A872,'[1]Tissue Data'!$A:$A,'[1]Tissue Data'!$H:$H)</f>
        <v>Notropis</v>
      </c>
      <c r="F872" t="str">
        <f>_xlfn.XLOOKUP(A872,'[1]Tissue Data'!$A:$A,'[1]Tissue Data'!$I:$I)</f>
        <v>procne</v>
      </c>
      <c r="G872" t="str">
        <f>_xlfn.XLOOKUP(A872,'[1]Tissue Data'!$A:$A,'[1]Tissue Data'!J:J)</f>
        <v>U</v>
      </c>
      <c r="H872" t="str">
        <f>_xlfn.XLOOKUP(A872,'[1]Tissue Data'!$A:$A,'[1]Tissue Data'!K:K)</f>
        <v>Whole Body</v>
      </c>
      <c r="I872">
        <f>_xlfn.XLOOKUP(A872,'[1]Tissue Data'!$A:$A,'[1]Tissue Data'!L:L)</f>
        <v>6.5</v>
      </c>
      <c r="J872">
        <f>_xlfn.XLOOKUP(A872,'[1]Tissue Data'!$A:$A,'[1]Tissue Data'!M:M)</f>
        <v>2.8</v>
      </c>
      <c r="K872" t="s">
        <v>32</v>
      </c>
      <c r="L872" t="str">
        <f>_xlfn.XLOOKUP(K872,[2]analyte_order!$B:$B,[2]analyte_order!$C:$C)</f>
        <v>79780-39-5</v>
      </c>
      <c r="M872">
        <f>_xlfn.XLOOKUP(L872,[2]analyte_order!$C:$C,[2]analyte_order!$E:$E)</f>
        <v>21</v>
      </c>
      <c r="N872">
        <v>2.46</v>
      </c>
    </row>
    <row r="873" spans="1:14">
      <c r="A873" t="s">
        <v>182</v>
      </c>
      <c r="B873" t="str">
        <f>_xlfn.XLOOKUP(A873,'[1]Tissue Data'!$A:$A,'[1]Tissue Data'!$C:$C)</f>
        <v>Down</v>
      </c>
      <c r="C873" s="2">
        <f>_xlfn.XLOOKUP(A873,'[1]Tissue Data'!$A:$A,'[1]Tissue Data'!$D:$D)</f>
        <v>44314</v>
      </c>
      <c r="D873" s="2" t="str">
        <f>_xlfn.XLOOKUP(A873,'[1]Tissue Data'!$A:$A,'[1]Tissue Data'!$F:$F)</f>
        <v>Swallowtail Shiner</v>
      </c>
      <c r="E873" t="str">
        <f>_xlfn.XLOOKUP(A873,'[1]Tissue Data'!$A:$A,'[1]Tissue Data'!$H:$H)</f>
        <v>Notropis</v>
      </c>
      <c r="F873" t="str">
        <f>_xlfn.XLOOKUP(A873,'[1]Tissue Data'!$A:$A,'[1]Tissue Data'!$I:$I)</f>
        <v>procne</v>
      </c>
      <c r="G873" t="str">
        <f>_xlfn.XLOOKUP(A873,'[1]Tissue Data'!$A:$A,'[1]Tissue Data'!J:J)</f>
        <v>U</v>
      </c>
      <c r="H873" t="str">
        <f>_xlfn.XLOOKUP(A873,'[1]Tissue Data'!$A:$A,'[1]Tissue Data'!K:K)</f>
        <v>Whole Body</v>
      </c>
      <c r="I873">
        <f>_xlfn.XLOOKUP(A873,'[1]Tissue Data'!$A:$A,'[1]Tissue Data'!L:L)</f>
        <v>6.5</v>
      </c>
      <c r="J873">
        <f>_xlfn.XLOOKUP(A873,'[1]Tissue Data'!$A:$A,'[1]Tissue Data'!M:M)</f>
        <v>2.8</v>
      </c>
      <c r="K873" t="s">
        <v>33</v>
      </c>
      <c r="L873" t="str">
        <f>_xlfn.XLOOKUP(K873,[2]analyte_order!$B:$B,[2]analyte_order!$C:$C)</f>
        <v>777011-38-8</v>
      </c>
      <c r="M873">
        <f>_xlfn.XLOOKUP(L873,[2]analyte_order!$C:$C,[2]analyte_order!$E:$E)</f>
        <v>54</v>
      </c>
      <c r="N873">
        <v>4.1100000000000003</v>
      </c>
    </row>
    <row r="874" spans="1:14">
      <c r="A874" t="s">
        <v>182</v>
      </c>
      <c r="B874" t="str">
        <f>_xlfn.XLOOKUP(A874,'[1]Tissue Data'!$A:$A,'[1]Tissue Data'!$C:$C)</f>
        <v>Down</v>
      </c>
      <c r="C874" s="2">
        <f>_xlfn.XLOOKUP(A874,'[1]Tissue Data'!$A:$A,'[1]Tissue Data'!$D:$D)</f>
        <v>44314</v>
      </c>
      <c r="D874" s="2" t="str">
        <f>_xlfn.XLOOKUP(A874,'[1]Tissue Data'!$A:$A,'[1]Tissue Data'!$F:$F)</f>
        <v>Swallowtail Shiner</v>
      </c>
      <c r="E874" t="str">
        <f>_xlfn.XLOOKUP(A874,'[1]Tissue Data'!$A:$A,'[1]Tissue Data'!$H:$H)</f>
        <v>Notropis</v>
      </c>
      <c r="F874" t="str">
        <f>_xlfn.XLOOKUP(A874,'[1]Tissue Data'!$A:$A,'[1]Tissue Data'!$I:$I)</f>
        <v>procne</v>
      </c>
      <c r="G874" t="str">
        <f>_xlfn.XLOOKUP(A874,'[1]Tissue Data'!$A:$A,'[1]Tissue Data'!J:J)</f>
        <v>U</v>
      </c>
      <c r="H874" t="str">
        <f>_xlfn.XLOOKUP(A874,'[1]Tissue Data'!$A:$A,'[1]Tissue Data'!K:K)</f>
        <v>Whole Body</v>
      </c>
      <c r="I874">
        <f>_xlfn.XLOOKUP(A874,'[1]Tissue Data'!$A:$A,'[1]Tissue Data'!L:L)</f>
        <v>6.5</v>
      </c>
      <c r="J874">
        <f>_xlfn.XLOOKUP(A874,'[1]Tissue Data'!$A:$A,'[1]Tissue Data'!M:M)</f>
        <v>2.8</v>
      </c>
      <c r="K874" t="s">
        <v>34</v>
      </c>
      <c r="L874" t="str">
        <f>_xlfn.XLOOKUP(K874,[2]analyte_order!$B:$B,[2]analyte_order!$C:$C)</f>
        <v>646-83-3</v>
      </c>
      <c r="M874">
        <f>_xlfn.XLOOKUP(L874,[2]analyte_order!$C:$C,[2]analyte_order!$E:$E)</f>
        <v>55</v>
      </c>
      <c r="N874">
        <v>0.41399999999999998</v>
      </c>
    </row>
    <row r="875" spans="1:14">
      <c r="A875" t="s">
        <v>182</v>
      </c>
      <c r="B875" t="str">
        <f>_xlfn.XLOOKUP(A875,'[1]Tissue Data'!$A:$A,'[1]Tissue Data'!$C:$C)</f>
        <v>Down</v>
      </c>
      <c r="C875" s="2">
        <f>_xlfn.XLOOKUP(A875,'[1]Tissue Data'!$A:$A,'[1]Tissue Data'!$D:$D)</f>
        <v>44314</v>
      </c>
      <c r="D875" s="2" t="str">
        <f>_xlfn.XLOOKUP(A875,'[1]Tissue Data'!$A:$A,'[1]Tissue Data'!$F:$F)</f>
        <v>Swallowtail Shiner</v>
      </c>
      <c r="E875" t="str">
        <f>_xlfn.XLOOKUP(A875,'[1]Tissue Data'!$A:$A,'[1]Tissue Data'!$H:$H)</f>
        <v>Notropis</v>
      </c>
      <c r="F875" t="str">
        <f>_xlfn.XLOOKUP(A875,'[1]Tissue Data'!$A:$A,'[1]Tissue Data'!$I:$I)</f>
        <v>procne</v>
      </c>
      <c r="G875" t="str">
        <f>_xlfn.XLOOKUP(A875,'[1]Tissue Data'!$A:$A,'[1]Tissue Data'!J:J)</f>
        <v>U</v>
      </c>
      <c r="H875" t="str">
        <f>_xlfn.XLOOKUP(A875,'[1]Tissue Data'!$A:$A,'[1]Tissue Data'!K:K)</f>
        <v>Whole Body</v>
      </c>
      <c r="I875">
        <f>_xlfn.XLOOKUP(A875,'[1]Tissue Data'!$A:$A,'[1]Tissue Data'!L:L)</f>
        <v>6.5</v>
      </c>
      <c r="J875">
        <f>_xlfn.XLOOKUP(A875,'[1]Tissue Data'!$A:$A,'[1]Tissue Data'!M:M)</f>
        <v>2.8</v>
      </c>
      <c r="K875" t="s">
        <v>35</v>
      </c>
      <c r="L875" t="str">
        <f>_xlfn.XLOOKUP(K875,[2]analyte_order!$B:$B,[2]analyte_order!$C:$C)</f>
        <v>30334-69-1</v>
      </c>
      <c r="M875">
        <f>_xlfn.XLOOKUP(L875,[2]analyte_order!$C:$C,[2]analyte_order!$E:$E)</f>
        <v>51</v>
      </c>
      <c r="N875">
        <v>73.3</v>
      </c>
    </row>
    <row r="876" spans="1:14">
      <c r="A876" t="s">
        <v>182</v>
      </c>
      <c r="B876" t="str">
        <f>_xlfn.XLOOKUP(A876,'[1]Tissue Data'!$A:$A,'[1]Tissue Data'!$C:$C)</f>
        <v>Down</v>
      </c>
      <c r="C876" s="2">
        <f>_xlfn.XLOOKUP(A876,'[1]Tissue Data'!$A:$A,'[1]Tissue Data'!$D:$D)</f>
        <v>44314</v>
      </c>
      <c r="D876" s="2" t="str">
        <f>_xlfn.XLOOKUP(A876,'[1]Tissue Data'!$A:$A,'[1]Tissue Data'!$F:$F)</f>
        <v>Swallowtail Shiner</v>
      </c>
      <c r="E876" t="str">
        <f>_xlfn.XLOOKUP(A876,'[1]Tissue Data'!$A:$A,'[1]Tissue Data'!$H:$H)</f>
        <v>Notropis</v>
      </c>
      <c r="F876" t="str">
        <f>_xlfn.XLOOKUP(A876,'[1]Tissue Data'!$A:$A,'[1]Tissue Data'!$I:$I)</f>
        <v>procne</v>
      </c>
      <c r="G876" t="str">
        <f>_xlfn.XLOOKUP(A876,'[1]Tissue Data'!$A:$A,'[1]Tissue Data'!J:J)</f>
        <v>U</v>
      </c>
      <c r="H876" t="str">
        <f>_xlfn.XLOOKUP(A876,'[1]Tissue Data'!$A:$A,'[1]Tissue Data'!K:K)</f>
        <v>Whole Body</v>
      </c>
      <c r="I876">
        <f>_xlfn.XLOOKUP(A876,'[1]Tissue Data'!$A:$A,'[1]Tissue Data'!L:L)</f>
        <v>6.5</v>
      </c>
      <c r="J876">
        <f>_xlfn.XLOOKUP(A876,'[1]Tissue Data'!$A:$A,'[1]Tissue Data'!M:M)</f>
        <v>2.8</v>
      </c>
      <c r="K876" t="s">
        <v>36</v>
      </c>
      <c r="L876" t="str">
        <f>_xlfn.XLOOKUP(K876,[2]analyte_order!$B:$B,[2]analyte_order!$C:$C)</f>
        <v>41997-13-1</v>
      </c>
      <c r="M876">
        <f>_xlfn.XLOOKUP(L876,[2]analyte_order!$C:$C,[2]analyte_order!$E:$E)</f>
        <v>52</v>
      </c>
      <c r="N876">
        <v>609</v>
      </c>
    </row>
    <row r="877" spans="1:14">
      <c r="A877" t="s">
        <v>182</v>
      </c>
      <c r="B877" t="str">
        <f>_xlfn.XLOOKUP(A877,'[1]Tissue Data'!$A:$A,'[1]Tissue Data'!$C:$C)</f>
        <v>Down</v>
      </c>
      <c r="C877" s="2">
        <f>_xlfn.XLOOKUP(A877,'[1]Tissue Data'!$A:$A,'[1]Tissue Data'!$D:$D)</f>
        <v>44314</v>
      </c>
      <c r="D877" s="2" t="str">
        <f>_xlfn.XLOOKUP(A877,'[1]Tissue Data'!$A:$A,'[1]Tissue Data'!$F:$F)</f>
        <v>Swallowtail Shiner</v>
      </c>
      <c r="E877" t="str">
        <f>_xlfn.XLOOKUP(A877,'[1]Tissue Data'!$A:$A,'[1]Tissue Data'!$H:$H)</f>
        <v>Notropis</v>
      </c>
      <c r="F877" t="str">
        <f>_xlfn.XLOOKUP(A877,'[1]Tissue Data'!$A:$A,'[1]Tissue Data'!$I:$I)</f>
        <v>procne</v>
      </c>
      <c r="G877" t="str">
        <f>_xlfn.XLOOKUP(A877,'[1]Tissue Data'!$A:$A,'[1]Tissue Data'!J:J)</f>
        <v>U</v>
      </c>
      <c r="H877" t="str">
        <f>_xlfn.XLOOKUP(A877,'[1]Tissue Data'!$A:$A,'[1]Tissue Data'!K:K)</f>
        <v>Whole Body</v>
      </c>
      <c r="I877">
        <f>_xlfn.XLOOKUP(A877,'[1]Tissue Data'!$A:$A,'[1]Tissue Data'!L:L)</f>
        <v>6.5</v>
      </c>
      <c r="J877">
        <f>_xlfn.XLOOKUP(A877,'[1]Tissue Data'!$A:$A,'[1]Tissue Data'!M:M)</f>
        <v>2.8</v>
      </c>
      <c r="K877" t="s">
        <v>37</v>
      </c>
      <c r="L877" t="str">
        <f>_xlfn.XLOOKUP(K877,[2]analyte_order!$B:$B,[2]analyte_order!$C:$C)</f>
        <v>754-91-6</v>
      </c>
      <c r="M877">
        <f>_xlfn.XLOOKUP(L877,[2]analyte_order!$C:$C,[2]analyte_order!$E:$E)</f>
        <v>28</v>
      </c>
      <c r="N877">
        <v>25.2</v>
      </c>
    </row>
    <row r="878" spans="1:14">
      <c r="A878" t="s">
        <v>182</v>
      </c>
      <c r="B878" t="str">
        <f>_xlfn.XLOOKUP(A878,'[1]Tissue Data'!$A:$A,'[1]Tissue Data'!$C:$C)</f>
        <v>Down</v>
      </c>
      <c r="C878" s="2">
        <f>_xlfn.XLOOKUP(A878,'[1]Tissue Data'!$A:$A,'[1]Tissue Data'!$D:$D)</f>
        <v>44314</v>
      </c>
      <c r="D878" s="2" t="str">
        <f>_xlfn.XLOOKUP(A878,'[1]Tissue Data'!$A:$A,'[1]Tissue Data'!$F:$F)</f>
        <v>Swallowtail Shiner</v>
      </c>
      <c r="E878" t="str">
        <f>_xlfn.XLOOKUP(A878,'[1]Tissue Data'!$A:$A,'[1]Tissue Data'!$H:$H)</f>
        <v>Notropis</v>
      </c>
      <c r="F878" t="str">
        <f>_xlfn.XLOOKUP(A878,'[1]Tissue Data'!$A:$A,'[1]Tissue Data'!$I:$I)</f>
        <v>procne</v>
      </c>
      <c r="G878" t="str">
        <f>_xlfn.XLOOKUP(A878,'[1]Tissue Data'!$A:$A,'[1]Tissue Data'!J:J)</f>
        <v>U</v>
      </c>
      <c r="H878" t="str">
        <f>_xlfn.XLOOKUP(A878,'[1]Tissue Data'!$A:$A,'[1]Tissue Data'!K:K)</f>
        <v>Whole Body</v>
      </c>
      <c r="I878">
        <f>_xlfn.XLOOKUP(A878,'[1]Tissue Data'!$A:$A,'[1]Tissue Data'!L:L)</f>
        <v>6.5</v>
      </c>
      <c r="J878">
        <f>_xlfn.XLOOKUP(A878,'[1]Tissue Data'!$A:$A,'[1]Tissue Data'!M:M)</f>
        <v>2.8</v>
      </c>
      <c r="K878" t="s">
        <v>38</v>
      </c>
      <c r="L878" t="str">
        <f>_xlfn.XLOOKUP(K878,[2]analyte_order!$B:$B,[2]analyte_order!$C:$C)</f>
        <v>31506-32-8</v>
      </c>
      <c r="M878">
        <f>_xlfn.XLOOKUP(L878,[2]analyte_order!$C:$C,[2]analyte_order!$E:$E)</f>
        <v>30</v>
      </c>
      <c r="N878">
        <v>5.2896404120845918E-2</v>
      </c>
    </row>
    <row r="879" spans="1:14">
      <c r="A879" t="s">
        <v>182</v>
      </c>
      <c r="B879" t="str">
        <f>_xlfn.XLOOKUP(A879,'[1]Tissue Data'!$A:$A,'[1]Tissue Data'!$C:$C)</f>
        <v>Down</v>
      </c>
      <c r="C879" s="2">
        <f>_xlfn.XLOOKUP(A879,'[1]Tissue Data'!$A:$A,'[1]Tissue Data'!$D:$D)</f>
        <v>44314</v>
      </c>
      <c r="D879" s="2" t="str">
        <f>_xlfn.XLOOKUP(A879,'[1]Tissue Data'!$A:$A,'[1]Tissue Data'!$F:$F)</f>
        <v>Swallowtail Shiner</v>
      </c>
      <c r="E879" t="str">
        <f>_xlfn.XLOOKUP(A879,'[1]Tissue Data'!$A:$A,'[1]Tissue Data'!$H:$H)</f>
        <v>Notropis</v>
      </c>
      <c r="F879" t="str">
        <f>_xlfn.XLOOKUP(A879,'[1]Tissue Data'!$A:$A,'[1]Tissue Data'!$I:$I)</f>
        <v>procne</v>
      </c>
      <c r="G879" t="str">
        <f>_xlfn.XLOOKUP(A879,'[1]Tissue Data'!$A:$A,'[1]Tissue Data'!J:J)</f>
        <v>U</v>
      </c>
      <c r="H879" t="str">
        <f>_xlfn.XLOOKUP(A879,'[1]Tissue Data'!$A:$A,'[1]Tissue Data'!K:K)</f>
        <v>Whole Body</v>
      </c>
      <c r="I879">
        <f>_xlfn.XLOOKUP(A879,'[1]Tissue Data'!$A:$A,'[1]Tissue Data'!L:L)</f>
        <v>6.5</v>
      </c>
      <c r="J879">
        <f>_xlfn.XLOOKUP(A879,'[1]Tissue Data'!$A:$A,'[1]Tissue Data'!M:M)</f>
        <v>2.8</v>
      </c>
      <c r="K879" t="s">
        <v>39</v>
      </c>
      <c r="L879" t="str">
        <f>_xlfn.XLOOKUP(K879,[2]analyte_order!$B:$B,[2]analyte_order!$C:$C)</f>
        <v>4151-50-2</v>
      </c>
      <c r="M879">
        <f>_xlfn.XLOOKUP(L879,[2]analyte_order!$C:$C,[2]analyte_order!$E:$E)</f>
        <v>31</v>
      </c>
      <c r="N879">
        <v>8.0126213016616307E-2</v>
      </c>
    </row>
    <row r="880" spans="1:14">
      <c r="A880" t="s">
        <v>182</v>
      </c>
      <c r="B880" t="str">
        <f>_xlfn.XLOOKUP(A880,'[1]Tissue Data'!$A:$A,'[1]Tissue Data'!$C:$C)</f>
        <v>Down</v>
      </c>
      <c r="C880" s="2">
        <f>_xlfn.XLOOKUP(A880,'[1]Tissue Data'!$A:$A,'[1]Tissue Data'!$D:$D)</f>
        <v>44314</v>
      </c>
      <c r="D880" s="2" t="str">
        <f>_xlfn.XLOOKUP(A880,'[1]Tissue Data'!$A:$A,'[1]Tissue Data'!$F:$F)</f>
        <v>Swallowtail Shiner</v>
      </c>
      <c r="E880" t="str">
        <f>_xlfn.XLOOKUP(A880,'[1]Tissue Data'!$A:$A,'[1]Tissue Data'!$H:$H)</f>
        <v>Notropis</v>
      </c>
      <c r="F880" t="str">
        <f>_xlfn.XLOOKUP(A880,'[1]Tissue Data'!$A:$A,'[1]Tissue Data'!$I:$I)</f>
        <v>procne</v>
      </c>
      <c r="G880" t="str">
        <f>_xlfn.XLOOKUP(A880,'[1]Tissue Data'!$A:$A,'[1]Tissue Data'!J:J)</f>
        <v>U</v>
      </c>
      <c r="H880" t="str">
        <f>_xlfn.XLOOKUP(A880,'[1]Tissue Data'!$A:$A,'[1]Tissue Data'!K:K)</f>
        <v>Whole Body</v>
      </c>
      <c r="I880">
        <f>_xlfn.XLOOKUP(A880,'[1]Tissue Data'!$A:$A,'[1]Tissue Data'!L:L)</f>
        <v>6.5</v>
      </c>
      <c r="J880">
        <f>_xlfn.XLOOKUP(A880,'[1]Tissue Data'!$A:$A,'[1]Tissue Data'!M:M)</f>
        <v>2.8</v>
      </c>
      <c r="K880" t="s">
        <v>40</v>
      </c>
      <c r="L880" t="str">
        <f>_xlfn.XLOOKUP(K880,[2]analyte_order!$B:$B,[2]analyte_order!$C:$C)</f>
        <v>2806-24-8</v>
      </c>
      <c r="M880">
        <f>_xlfn.XLOOKUP(L880,[2]analyte_order!$C:$C,[2]analyte_order!$E:$E)</f>
        <v>29</v>
      </c>
      <c r="N880">
        <v>0.18175130420875177</v>
      </c>
    </row>
    <row r="881" spans="1:14">
      <c r="A881" t="s">
        <v>182</v>
      </c>
      <c r="B881" t="str">
        <f>_xlfn.XLOOKUP(A881,'[1]Tissue Data'!$A:$A,'[1]Tissue Data'!$C:$C)</f>
        <v>Down</v>
      </c>
      <c r="C881" s="2">
        <f>_xlfn.XLOOKUP(A881,'[1]Tissue Data'!$A:$A,'[1]Tissue Data'!$D:$D)</f>
        <v>44314</v>
      </c>
      <c r="D881" s="2" t="str">
        <f>_xlfn.XLOOKUP(A881,'[1]Tissue Data'!$A:$A,'[1]Tissue Data'!$F:$F)</f>
        <v>Swallowtail Shiner</v>
      </c>
      <c r="E881" t="str">
        <f>_xlfn.XLOOKUP(A881,'[1]Tissue Data'!$A:$A,'[1]Tissue Data'!$H:$H)</f>
        <v>Notropis</v>
      </c>
      <c r="F881" t="str">
        <f>_xlfn.XLOOKUP(A881,'[1]Tissue Data'!$A:$A,'[1]Tissue Data'!$I:$I)</f>
        <v>procne</v>
      </c>
      <c r="G881" t="str">
        <f>_xlfn.XLOOKUP(A881,'[1]Tissue Data'!$A:$A,'[1]Tissue Data'!J:J)</f>
        <v>U</v>
      </c>
      <c r="H881" t="str">
        <f>_xlfn.XLOOKUP(A881,'[1]Tissue Data'!$A:$A,'[1]Tissue Data'!K:K)</f>
        <v>Whole Body</v>
      </c>
      <c r="I881">
        <f>_xlfn.XLOOKUP(A881,'[1]Tissue Data'!$A:$A,'[1]Tissue Data'!L:L)</f>
        <v>6.5</v>
      </c>
      <c r="J881">
        <f>_xlfn.XLOOKUP(A881,'[1]Tissue Data'!$A:$A,'[1]Tissue Data'!M:M)</f>
        <v>2.8</v>
      </c>
      <c r="K881" t="s">
        <v>41</v>
      </c>
      <c r="L881" t="str">
        <f>_xlfn.XLOOKUP(K881,[2]analyte_order!$B:$B,[2]analyte_order!$C:$C)</f>
        <v>2355-31-9</v>
      </c>
      <c r="M881">
        <f>_xlfn.XLOOKUP(L881,[2]analyte_order!$C:$C,[2]analyte_order!$E:$E)</f>
        <v>26</v>
      </c>
      <c r="N881">
        <v>6.907788569637463E-2</v>
      </c>
    </row>
    <row r="882" spans="1:14">
      <c r="A882" t="s">
        <v>182</v>
      </c>
      <c r="B882" t="str">
        <f>_xlfn.XLOOKUP(A882,'[1]Tissue Data'!$A:$A,'[1]Tissue Data'!$C:$C)</f>
        <v>Down</v>
      </c>
      <c r="C882" s="2">
        <f>_xlfn.XLOOKUP(A882,'[1]Tissue Data'!$A:$A,'[1]Tissue Data'!$D:$D)</f>
        <v>44314</v>
      </c>
      <c r="D882" s="2" t="str">
        <f>_xlfn.XLOOKUP(A882,'[1]Tissue Data'!$A:$A,'[1]Tissue Data'!$F:$F)</f>
        <v>Swallowtail Shiner</v>
      </c>
      <c r="E882" t="str">
        <f>_xlfn.XLOOKUP(A882,'[1]Tissue Data'!$A:$A,'[1]Tissue Data'!$H:$H)</f>
        <v>Notropis</v>
      </c>
      <c r="F882" t="str">
        <f>_xlfn.XLOOKUP(A882,'[1]Tissue Data'!$A:$A,'[1]Tissue Data'!$I:$I)</f>
        <v>procne</v>
      </c>
      <c r="G882" t="str">
        <f>_xlfn.XLOOKUP(A882,'[1]Tissue Data'!$A:$A,'[1]Tissue Data'!J:J)</f>
        <v>U</v>
      </c>
      <c r="H882" t="str">
        <f>_xlfn.XLOOKUP(A882,'[1]Tissue Data'!$A:$A,'[1]Tissue Data'!K:K)</f>
        <v>Whole Body</v>
      </c>
      <c r="I882">
        <f>_xlfn.XLOOKUP(A882,'[1]Tissue Data'!$A:$A,'[1]Tissue Data'!L:L)</f>
        <v>6.5</v>
      </c>
      <c r="J882">
        <f>_xlfn.XLOOKUP(A882,'[1]Tissue Data'!$A:$A,'[1]Tissue Data'!M:M)</f>
        <v>2.8</v>
      </c>
      <c r="K882" t="s">
        <v>42</v>
      </c>
      <c r="L882" t="str">
        <f>_xlfn.XLOOKUP(K882,[2]analyte_order!$B:$B,[2]analyte_order!$C:$C)</f>
        <v>2991-50-6</v>
      </c>
      <c r="M882">
        <f>_xlfn.XLOOKUP(L882,[2]analyte_order!$C:$C,[2]analyte_order!$E:$E)</f>
        <v>27</v>
      </c>
      <c r="N882">
        <v>5.9598356587613296E-2</v>
      </c>
    </row>
    <row r="883" spans="1:14">
      <c r="A883" t="s">
        <v>182</v>
      </c>
      <c r="B883" t="str">
        <f>_xlfn.XLOOKUP(A883,'[1]Tissue Data'!$A:$A,'[1]Tissue Data'!$C:$C)</f>
        <v>Down</v>
      </c>
      <c r="C883" s="2">
        <f>_xlfn.XLOOKUP(A883,'[1]Tissue Data'!$A:$A,'[1]Tissue Data'!$D:$D)</f>
        <v>44314</v>
      </c>
      <c r="D883" s="2" t="str">
        <f>_xlfn.XLOOKUP(A883,'[1]Tissue Data'!$A:$A,'[1]Tissue Data'!$F:$F)</f>
        <v>Swallowtail Shiner</v>
      </c>
      <c r="E883" t="str">
        <f>_xlfn.XLOOKUP(A883,'[1]Tissue Data'!$A:$A,'[1]Tissue Data'!$H:$H)</f>
        <v>Notropis</v>
      </c>
      <c r="F883" t="str">
        <f>_xlfn.XLOOKUP(A883,'[1]Tissue Data'!$A:$A,'[1]Tissue Data'!$I:$I)</f>
        <v>procne</v>
      </c>
      <c r="G883" t="str">
        <f>_xlfn.XLOOKUP(A883,'[1]Tissue Data'!$A:$A,'[1]Tissue Data'!J:J)</f>
        <v>U</v>
      </c>
      <c r="H883" t="str">
        <f>_xlfn.XLOOKUP(A883,'[1]Tissue Data'!$A:$A,'[1]Tissue Data'!K:K)</f>
        <v>Whole Body</v>
      </c>
      <c r="I883">
        <f>_xlfn.XLOOKUP(A883,'[1]Tissue Data'!$A:$A,'[1]Tissue Data'!L:L)</f>
        <v>6.5</v>
      </c>
      <c r="J883">
        <f>_xlfn.XLOOKUP(A883,'[1]Tissue Data'!$A:$A,'[1]Tissue Data'!M:M)</f>
        <v>2.8</v>
      </c>
      <c r="K883" t="s">
        <v>43</v>
      </c>
      <c r="L883" t="str">
        <f>_xlfn.XLOOKUP(K883,[2]analyte_order!$B:$B,[2]analyte_order!$C:$C)</f>
        <v>757124-72-4</v>
      </c>
      <c r="M883">
        <f>_xlfn.XLOOKUP(L883,[2]analyte_order!$C:$C,[2]analyte_order!$E:$E)</f>
        <v>22</v>
      </c>
      <c r="N883">
        <v>5.6398552042296067E-2</v>
      </c>
    </row>
    <row r="884" spans="1:14">
      <c r="A884" t="s">
        <v>182</v>
      </c>
      <c r="B884" t="str">
        <f>_xlfn.XLOOKUP(A884,'[1]Tissue Data'!$A:$A,'[1]Tissue Data'!$C:$C)</f>
        <v>Down</v>
      </c>
      <c r="C884" s="2">
        <f>_xlfn.XLOOKUP(A884,'[1]Tissue Data'!$A:$A,'[1]Tissue Data'!$D:$D)</f>
        <v>44314</v>
      </c>
      <c r="D884" s="2" t="str">
        <f>_xlfn.XLOOKUP(A884,'[1]Tissue Data'!$A:$A,'[1]Tissue Data'!$F:$F)</f>
        <v>Swallowtail Shiner</v>
      </c>
      <c r="E884" t="str">
        <f>_xlfn.XLOOKUP(A884,'[1]Tissue Data'!$A:$A,'[1]Tissue Data'!$H:$H)</f>
        <v>Notropis</v>
      </c>
      <c r="F884" t="str">
        <f>_xlfn.XLOOKUP(A884,'[1]Tissue Data'!$A:$A,'[1]Tissue Data'!$I:$I)</f>
        <v>procne</v>
      </c>
      <c r="G884" t="str">
        <f>_xlfn.XLOOKUP(A884,'[1]Tissue Data'!$A:$A,'[1]Tissue Data'!J:J)</f>
        <v>U</v>
      </c>
      <c r="H884" t="str">
        <f>_xlfn.XLOOKUP(A884,'[1]Tissue Data'!$A:$A,'[1]Tissue Data'!K:K)</f>
        <v>Whole Body</v>
      </c>
      <c r="I884">
        <f>_xlfn.XLOOKUP(A884,'[1]Tissue Data'!$A:$A,'[1]Tissue Data'!L:L)</f>
        <v>6.5</v>
      </c>
      <c r="J884">
        <f>_xlfn.XLOOKUP(A884,'[1]Tissue Data'!$A:$A,'[1]Tissue Data'!M:M)</f>
        <v>2.8</v>
      </c>
      <c r="K884" t="s">
        <v>44</v>
      </c>
      <c r="L884" t="str">
        <f>_xlfn.XLOOKUP(K884,[2]analyte_order!$B:$B,[2]analyte_order!$C:$C)</f>
        <v>27619-97-2</v>
      </c>
      <c r="M884">
        <f>_xlfn.XLOOKUP(L884,[2]analyte_order!$C:$C,[2]analyte_order!$E:$E)</f>
        <v>23</v>
      </c>
      <c r="N884">
        <v>1.06</v>
      </c>
    </row>
    <row r="885" spans="1:14">
      <c r="A885" t="s">
        <v>182</v>
      </c>
      <c r="B885" t="str">
        <f>_xlfn.XLOOKUP(A885,'[1]Tissue Data'!$A:$A,'[1]Tissue Data'!$C:$C)</f>
        <v>Down</v>
      </c>
      <c r="C885" s="2">
        <f>_xlfn.XLOOKUP(A885,'[1]Tissue Data'!$A:$A,'[1]Tissue Data'!$D:$D)</f>
        <v>44314</v>
      </c>
      <c r="D885" s="2" t="str">
        <f>_xlfn.XLOOKUP(A885,'[1]Tissue Data'!$A:$A,'[1]Tissue Data'!$F:$F)</f>
        <v>Swallowtail Shiner</v>
      </c>
      <c r="E885" t="str">
        <f>_xlfn.XLOOKUP(A885,'[1]Tissue Data'!$A:$A,'[1]Tissue Data'!$H:$H)</f>
        <v>Notropis</v>
      </c>
      <c r="F885" t="str">
        <f>_xlfn.XLOOKUP(A885,'[1]Tissue Data'!$A:$A,'[1]Tissue Data'!$I:$I)</f>
        <v>procne</v>
      </c>
      <c r="G885" t="str">
        <f>_xlfn.XLOOKUP(A885,'[1]Tissue Data'!$A:$A,'[1]Tissue Data'!J:J)</f>
        <v>U</v>
      </c>
      <c r="H885" t="str">
        <f>_xlfn.XLOOKUP(A885,'[1]Tissue Data'!$A:$A,'[1]Tissue Data'!K:K)</f>
        <v>Whole Body</v>
      </c>
      <c r="I885">
        <f>_xlfn.XLOOKUP(A885,'[1]Tissue Data'!$A:$A,'[1]Tissue Data'!L:L)</f>
        <v>6.5</v>
      </c>
      <c r="J885">
        <f>_xlfn.XLOOKUP(A885,'[1]Tissue Data'!$A:$A,'[1]Tissue Data'!M:M)</f>
        <v>2.8</v>
      </c>
      <c r="K885" t="s">
        <v>45</v>
      </c>
      <c r="L885" t="str">
        <f>_xlfn.XLOOKUP(K885,[2]analyte_order!$B:$B,[2]analyte_order!$C:$C)</f>
        <v>39108-34-4</v>
      </c>
      <c r="M885">
        <f>_xlfn.XLOOKUP(L885,[2]analyte_order!$C:$C,[2]analyte_order!$E:$E)</f>
        <v>24</v>
      </c>
      <c r="N885">
        <v>38.6</v>
      </c>
    </row>
    <row r="886" spans="1:14">
      <c r="A886" t="s">
        <v>182</v>
      </c>
      <c r="B886" t="str">
        <f>_xlfn.XLOOKUP(A886,'[1]Tissue Data'!$A:$A,'[1]Tissue Data'!$C:$C)</f>
        <v>Down</v>
      </c>
      <c r="C886" s="2">
        <f>_xlfn.XLOOKUP(A886,'[1]Tissue Data'!$A:$A,'[1]Tissue Data'!$D:$D)</f>
        <v>44314</v>
      </c>
      <c r="D886" s="2" t="str">
        <f>_xlfn.XLOOKUP(A886,'[1]Tissue Data'!$A:$A,'[1]Tissue Data'!$F:$F)</f>
        <v>Swallowtail Shiner</v>
      </c>
      <c r="E886" t="str">
        <f>_xlfn.XLOOKUP(A886,'[1]Tissue Data'!$A:$A,'[1]Tissue Data'!$H:$H)</f>
        <v>Notropis</v>
      </c>
      <c r="F886" t="str">
        <f>_xlfn.XLOOKUP(A886,'[1]Tissue Data'!$A:$A,'[1]Tissue Data'!$I:$I)</f>
        <v>procne</v>
      </c>
      <c r="G886" t="str">
        <f>_xlfn.XLOOKUP(A886,'[1]Tissue Data'!$A:$A,'[1]Tissue Data'!J:J)</f>
        <v>U</v>
      </c>
      <c r="H886" t="str">
        <f>_xlfn.XLOOKUP(A886,'[1]Tissue Data'!$A:$A,'[1]Tissue Data'!K:K)</f>
        <v>Whole Body</v>
      </c>
      <c r="I886">
        <f>_xlfn.XLOOKUP(A886,'[1]Tissue Data'!$A:$A,'[1]Tissue Data'!L:L)</f>
        <v>6.5</v>
      </c>
      <c r="J886">
        <f>_xlfn.XLOOKUP(A886,'[1]Tissue Data'!$A:$A,'[1]Tissue Data'!M:M)</f>
        <v>2.8</v>
      </c>
      <c r="K886" t="s">
        <v>46</v>
      </c>
      <c r="L886" t="str">
        <f>_xlfn.XLOOKUP(K886,[2]analyte_order!$B:$B,[2]analyte_order!$C:$C)</f>
        <v>120226-60-0</v>
      </c>
      <c r="M886">
        <f>_xlfn.XLOOKUP(L886,[2]analyte_order!$C:$C,[2]analyte_order!$E:$E)</f>
        <v>25</v>
      </c>
      <c r="N886">
        <v>1.54</v>
      </c>
    </row>
    <row r="887" spans="1:14">
      <c r="A887" t="s">
        <v>182</v>
      </c>
      <c r="B887" t="str">
        <f>_xlfn.XLOOKUP(A887,'[1]Tissue Data'!$A:$A,'[1]Tissue Data'!$C:$C)</f>
        <v>Down</v>
      </c>
      <c r="C887" s="2">
        <f>_xlfn.XLOOKUP(A887,'[1]Tissue Data'!$A:$A,'[1]Tissue Data'!$D:$D)</f>
        <v>44314</v>
      </c>
      <c r="D887" s="2" t="str">
        <f>_xlfn.XLOOKUP(A887,'[1]Tissue Data'!$A:$A,'[1]Tissue Data'!$F:$F)</f>
        <v>Swallowtail Shiner</v>
      </c>
      <c r="E887" t="str">
        <f>_xlfn.XLOOKUP(A887,'[1]Tissue Data'!$A:$A,'[1]Tissue Data'!$H:$H)</f>
        <v>Notropis</v>
      </c>
      <c r="F887" t="str">
        <f>_xlfn.XLOOKUP(A887,'[1]Tissue Data'!$A:$A,'[1]Tissue Data'!$I:$I)</f>
        <v>procne</v>
      </c>
      <c r="G887" t="str">
        <f>_xlfn.XLOOKUP(A887,'[1]Tissue Data'!$A:$A,'[1]Tissue Data'!J:J)</f>
        <v>U</v>
      </c>
      <c r="H887" t="str">
        <f>_xlfn.XLOOKUP(A887,'[1]Tissue Data'!$A:$A,'[1]Tissue Data'!K:K)</f>
        <v>Whole Body</v>
      </c>
      <c r="I887">
        <f>_xlfn.XLOOKUP(A887,'[1]Tissue Data'!$A:$A,'[1]Tissue Data'!L:L)</f>
        <v>6.5</v>
      </c>
      <c r="J887">
        <f>_xlfn.XLOOKUP(A887,'[1]Tissue Data'!$A:$A,'[1]Tissue Data'!M:M)</f>
        <v>2.8</v>
      </c>
      <c r="K887" t="s">
        <v>47</v>
      </c>
      <c r="L887" t="str">
        <f>_xlfn.XLOOKUP(K887,[2]analyte_order!$B:$B,[2]analyte_order!$C:$C)</f>
        <v>356-02-5</v>
      </c>
      <c r="M887">
        <f>_xlfn.XLOOKUP(L887,[2]analyte_order!$C:$C,[2]analyte_order!$E:$E)</f>
        <v>38</v>
      </c>
      <c r="N887">
        <v>7.9201376442598198E-2</v>
      </c>
    </row>
    <row r="888" spans="1:14">
      <c r="A888" t="s">
        <v>182</v>
      </c>
      <c r="B888" t="str">
        <f>_xlfn.XLOOKUP(A888,'[1]Tissue Data'!$A:$A,'[1]Tissue Data'!$C:$C)</f>
        <v>Down</v>
      </c>
      <c r="C888" s="2">
        <f>_xlfn.XLOOKUP(A888,'[1]Tissue Data'!$A:$A,'[1]Tissue Data'!$D:$D)</f>
        <v>44314</v>
      </c>
      <c r="D888" s="2" t="str">
        <f>_xlfn.XLOOKUP(A888,'[1]Tissue Data'!$A:$A,'[1]Tissue Data'!$F:$F)</f>
        <v>Swallowtail Shiner</v>
      </c>
      <c r="E888" t="str">
        <f>_xlfn.XLOOKUP(A888,'[1]Tissue Data'!$A:$A,'[1]Tissue Data'!$H:$H)</f>
        <v>Notropis</v>
      </c>
      <c r="F888" t="str">
        <f>_xlfn.XLOOKUP(A888,'[1]Tissue Data'!$A:$A,'[1]Tissue Data'!$I:$I)</f>
        <v>procne</v>
      </c>
      <c r="G888" t="str">
        <f>_xlfn.XLOOKUP(A888,'[1]Tissue Data'!$A:$A,'[1]Tissue Data'!J:J)</f>
        <v>U</v>
      </c>
      <c r="H888" t="str">
        <f>_xlfn.XLOOKUP(A888,'[1]Tissue Data'!$A:$A,'[1]Tissue Data'!K:K)</f>
        <v>Whole Body</v>
      </c>
      <c r="I888">
        <f>_xlfn.XLOOKUP(A888,'[1]Tissue Data'!$A:$A,'[1]Tissue Data'!L:L)</f>
        <v>6.5</v>
      </c>
      <c r="J888">
        <f>_xlfn.XLOOKUP(A888,'[1]Tissue Data'!$A:$A,'[1]Tissue Data'!M:M)</f>
        <v>2.8</v>
      </c>
      <c r="K888" t="s">
        <v>48</v>
      </c>
      <c r="L888" t="str">
        <f>_xlfn.XLOOKUP(K888,[2]analyte_order!$B:$B,[2]analyte_order!$C:$C)</f>
        <v>914637-49-3</v>
      </c>
      <c r="M888">
        <f>_xlfn.XLOOKUP(L888,[2]analyte_order!$C:$C,[2]analyte_order!$E:$E)</f>
        <v>39</v>
      </c>
      <c r="N888">
        <v>24.4</v>
      </c>
    </row>
    <row r="889" spans="1:14">
      <c r="A889" t="s">
        <v>182</v>
      </c>
      <c r="B889" t="str">
        <f>_xlfn.XLOOKUP(A889,'[1]Tissue Data'!$A:$A,'[1]Tissue Data'!$C:$C)</f>
        <v>Down</v>
      </c>
      <c r="C889" s="2">
        <f>_xlfn.XLOOKUP(A889,'[1]Tissue Data'!$A:$A,'[1]Tissue Data'!$D:$D)</f>
        <v>44314</v>
      </c>
      <c r="D889" s="2" t="str">
        <f>_xlfn.XLOOKUP(A889,'[1]Tissue Data'!$A:$A,'[1]Tissue Data'!$F:$F)</f>
        <v>Swallowtail Shiner</v>
      </c>
      <c r="E889" t="str">
        <f>_xlfn.XLOOKUP(A889,'[1]Tissue Data'!$A:$A,'[1]Tissue Data'!$H:$H)</f>
        <v>Notropis</v>
      </c>
      <c r="F889" t="str">
        <f>_xlfn.XLOOKUP(A889,'[1]Tissue Data'!$A:$A,'[1]Tissue Data'!$I:$I)</f>
        <v>procne</v>
      </c>
      <c r="G889" t="str">
        <f>_xlfn.XLOOKUP(A889,'[1]Tissue Data'!$A:$A,'[1]Tissue Data'!J:J)</f>
        <v>U</v>
      </c>
      <c r="H889" t="str">
        <f>_xlfn.XLOOKUP(A889,'[1]Tissue Data'!$A:$A,'[1]Tissue Data'!K:K)</f>
        <v>Whole Body</v>
      </c>
      <c r="I889">
        <f>_xlfn.XLOOKUP(A889,'[1]Tissue Data'!$A:$A,'[1]Tissue Data'!L:L)</f>
        <v>6.5</v>
      </c>
      <c r="J889">
        <f>_xlfn.XLOOKUP(A889,'[1]Tissue Data'!$A:$A,'[1]Tissue Data'!M:M)</f>
        <v>2.8</v>
      </c>
      <c r="K889" t="s">
        <v>49</v>
      </c>
      <c r="L889" t="str">
        <f>_xlfn.XLOOKUP(K889,[2]analyte_order!$B:$B,[2]analyte_order!$C:$C)</f>
        <v>812-70-4</v>
      </c>
      <c r="M889">
        <f>_xlfn.XLOOKUP(L889,[2]analyte_order!$C:$C,[2]analyte_order!$E:$E)</f>
        <v>40</v>
      </c>
      <c r="N889">
        <v>41.8</v>
      </c>
    </row>
    <row r="890" spans="1:14">
      <c r="A890" t="s">
        <v>182</v>
      </c>
      <c r="B890" t="str">
        <f>_xlfn.XLOOKUP(A890,'[1]Tissue Data'!$A:$A,'[1]Tissue Data'!$C:$C)</f>
        <v>Down</v>
      </c>
      <c r="C890" s="2">
        <f>_xlfn.XLOOKUP(A890,'[1]Tissue Data'!$A:$A,'[1]Tissue Data'!$D:$D)</f>
        <v>44314</v>
      </c>
      <c r="D890" s="2" t="str">
        <f>_xlfn.XLOOKUP(A890,'[1]Tissue Data'!$A:$A,'[1]Tissue Data'!$F:$F)</f>
        <v>Swallowtail Shiner</v>
      </c>
      <c r="E890" t="str">
        <f>_xlfn.XLOOKUP(A890,'[1]Tissue Data'!$A:$A,'[1]Tissue Data'!$H:$H)</f>
        <v>Notropis</v>
      </c>
      <c r="F890" t="str">
        <f>_xlfn.XLOOKUP(A890,'[1]Tissue Data'!$A:$A,'[1]Tissue Data'!$I:$I)</f>
        <v>procne</v>
      </c>
      <c r="G890" t="str">
        <f>_xlfn.XLOOKUP(A890,'[1]Tissue Data'!$A:$A,'[1]Tissue Data'!J:J)</f>
        <v>U</v>
      </c>
      <c r="H890" t="str">
        <f>_xlfn.XLOOKUP(A890,'[1]Tissue Data'!$A:$A,'[1]Tissue Data'!K:K)</f>
        <v>Whole Body</v>
      </c>
      <c r="I890">
        <f>_xlfn.XLOOKUP(A890,'[1]Tissue Data'!$A:$A,'[1]Tissue Data'!L:L)</f>
        <v>6.5</v>
      </c>
      <c r="J890">
        <f>_xlfn.XLOOKUP(A890,'[1]Tissue Data'!$A:$A,'[1]Tissue Data'!M:M)</f>
        <v>2.8</v>
      </c>
      <c r="K890" t="s">
        <v>50</v>
      </c>
      <c r="L890" t="str">
        <f>_xlfn.XLOOKUP(K890,[2]analyte_order!$B:$B,[2]analyte_order!$C:$C)</f>
        <v>53826-12-3</v>
      </c>
      <c r="M890">
        <f>_xlfn.XLOOKUP(L890,[2]analyte_order!$C:$C,[2]analyte_order!$E:$E)</f>
        <v>41</v>
      </c>
      <c r="N890">
        <v>4.4058415156042294E-2</v>
      </c>
    </row>
    <row r="891" spans="1:14">
      <c r="A891" t="s">
        <v>182</v>
      </c>
      <c r="B891" t="str">
        <f>_xlfn.XLOOKUP(A891,'[1]Tissue Data'!$A:$A,'[1]Tissue Data'!$C:$C)</f>
        <v>Down</v>
      </c>
      <c r="C891" s="2">
        <f>_xlfn.XLOOKUP(A891,'[1]Tissue Data'!$A:$A,'[1]Tissue Data'!$D:$D)</f>
        <v>44314</v>
      </c>
      <c r="D891" s="2" t="str">
        <f>_xlfn.XLOOKUP(A891,'[1]Tissue Data'!$A:$A,'[1]Tissue Data'!$F:$F)</f>
        <v>Swallowtail Shiner</v>
      </c>
      <c r="E891" t="str">
        <f>_xlfn.XLOOKUP(A891,'[1]Tissue Data'!$A:$A,'[1]Tissue Data'!$H:$H)</f>
        <v>Notropis</v>
      </c>
      <c r="F891" t="str">
        <f>_xlfn.XLOOKUP(A891,'[1]Tissue Data'!$A:$A,'[1]Tissue Data'!$I:$I)</f>
        <v>procne</v>
      </c>
      <c r="G891" t="str">
        <f>_xlfn.XLOOKUP(A891,'[1]Tissue Data'!$A:$A,'[1]Tissue Data'!J:J)</f>
        <v>U</v>
      </c>
      <c r="H891" t="str">
        <f>_xlfn.XLOOKUP(A891,'[1]Tissue Data'!$A:$A,'[1]Tissue Data'!K:K)</f>
        <v>Whole Body</v>
      </c>
      <c r="I891">
        <f>_xlfn.XLOOKUP(A891,'[1]Tissue Data'!$A:$A,'[1]Tissue Data'!L:L)</f>
        <v>6.5</v>
      </c>
      <c r="J891">
        <f>_xlfn.XLOOKUP(A891,'[1]Tissue Data'!$A:$A,'[1]Tissue Data'!M:M)</f>
        <v>2.8</v>
      </c>
      <c r="K891" t="s">
        <v>51</v>
      </c>
      <c r="L891" t="str">
        <f>_xlfn.XLOOKUP(K891,[2]analyte_order!$B:$B,[2]analyte_order!$C:$C)</f>
        <v>27854-31-5</v>
      </c>
      <c r="M891">
        <f>_xlfn.XLOOKUP(L891,[2]analyte_order!$C:$C,[2]analyte_order!$E:$E)</f>
        <v>42</v>
      </c>
      <c r="N891">
        <v>2.7464982147761604E-2</v>
      </c>
    </row>
    <row r="892" spans="1:14">
      <c r="A892" t="s">
        <v>182</v>
      </c>
      <c r="B892" t="str">
        <f>_xlfn.XLOOKUP(A892,'[1]Tissue Data'!$A:$A,'[1]Tissue Data'!$C:$C)</f>
        <v>Down</v>
      </c>
      <c r="C892" s="2">
        <f>_xlfn.XLOOKUP(A892,'[1]Tissue Data'!$A:$A,'[1]Tissue Data'!$D:$D)</f>
        <v>44314</v>
      </c>
      <c r="D892" s="2" t="str">
        <f>_xlfn.XLOOKUP(A892,'[1]Tissue Data'!$A:$A,'[1]Tissue Data'!$F:$F)</f>
        <v>Swallowtail Shiner</v>
      </c>
      <c r="E892" t="str">
        <f>_xlfn.XLOOKUP(A892,'[1]Tissue Data'!$A:$A,'[1]Tissue Data'!$H:$H)</f>
        <v>Notropis</v>
      </c>
      <c r="F892" t="str">
        <f>_xlfn.XLOOKUP(A892,'[1]Tissue Data'!$A:$A,'[1]Tissue Data'!$I:$I)</f>
        <v>procne</v>
      </c>
      <c r="G892" t="str">
        <f>_xlfn.XLOOKUP(A892,'[1]Tissue Data'!$A:$A,'[1]Tissue Data'!J:J)</f>
        <v>U</v>
      </c>
      <c r="H892" t="str">
        <f>_xlfn.XLOOKUP(A892,'[1]Tissue Data'!$A:$A,'[1]Tissue Data'!K:K)</f>
        <v>Whole Body</v>
      </c>
      <c r="I892">
        <f>_xlfn.XLOOKUP(A892,'[1]Tissue Data'!$A:$A,'[1]Tissue Data'!L:L)</f>
        <v>6.5</v>
      </c>
      <c r="J892">
        <f>_xlfn.XLOOKUP(A892,'[1]Tissue Data'!$A:$A,'[1]Tissue Data'!M:M)</f>
        <v>2.8</v>
      </c>
      <c r="K892" t="s">
        <v>52</v>
      </c>
      <c r="L892" t="str">
        <f>_xlfn.XLOOKUP(K892,[2]analyte_order!$B:$B,[2]analyte_order!$C:$C)</f>
        <v>53826-13-4</v>
      </c>
      <c r="M892">
        <f>_xlfn.XLOOKUP(L892,[2]analyte_order!$C:$C,[2]analyte_order!$E:$E)</f>
        <v>43</v>
      </c>
      <c r="N892">
        <v>0.10245760146978854</v>
      </c>
    </row>
    <row r="893" spans="1:14">
      <c r="A893" t="s">
        <v>182</v>
      </c>
      <c r="B893" t="str">
        <f>_xlfn.XLOOKUP(A893,'[1]Tissue Data'!$A:$A,'[1]Tissue Data'!$C:$C)</f>
        <v>Down</v>
      </c>
      <c r="C893" s="2">
        <f>_xlfn.XLOOKUP(A893,'[1]Tissue Data'!$A:$A,'[1]Tissue Data'!$D:$D)</f>
        <v>44314</v>
      </c>
      <c r="D893" s="2" t="str">
        <f>_xlfn.XLOOKUP(A893,'[1]Tissue Data'!$A:$A,'[1]Tissue Data'!$F:$F)</f>
        <v>Swallowtail Shiner</v>
      </c>
      <c r="E893" t="str">
        <f>_xlfn.XLOOKUP(A893,'[1]Tissue Data'!$A:$A,'[1]Tissue Data'!$H:$H)</f>
        <v>Notropis</v>
      </c>
      <c r="F893" t="str">
        <f>_xlfn.XLOOKUP(A893,'[1]Tissue Data'!$A:$A,'[1]Tissue Data'!$I:$I)</f>
        <v>procne</v>
      </c>
      <c r="G893" t="str">
        <f>_xlfn.XLOOKUP(A893,'[1]Tissue Data'!$A:$A,'[1]Tissue Data'!J:J)</f>
        <v>U</v>
      </c>
      <c r="H893" t="str">
        <f>_xlfn.XLOOKUP(A893,'[1]Tissue Data'!$A:$A,'[1]Tissue Data'!K:K)</f>
        <v>Whole Body</v>
      </c>
      <c r="I893">
        <f>_xlfn.XLOOKUP(A893,'[1]Tissue Data'!$A:$A,'[1]Tissue Data'!L:L)</f>
        <v>6.5</v>
      </c>
      <c r="J893">
        <f>_xlfn.XLOOKUP(A893,'[1]Tissue Data'!$A:$A,'[1]Tissue Data'!M:M)</f>
        <v>2.8</v>
      </c>
      <c r="K893" t="s">
        <v>53</v>
      </c>
      <c r="L893" t="str">
        <f>_xlfn.XLOOKUP(K893,[2]analyte_order!$B:$B,[2]analyte_order!$C:$C)</f>
        <v>161094-75-3</v>
      </c>
      <c r="M893">
        <f>_xlfn.XLOOKUP(L893,[2]analyte_order!$C:$C,[2]analyte_order!$E:$E)</f>
        <v>44</v>
      </c>
      <c r="N893">
        <v>5.3913522942598185E-2</v>
      </c>
    </row>
    <row r="894" spans="1:14">
      <c r="A894" t="s">
        <v>182</v>
      </c>
      <c r="B894" t="str">
        <f>_xlfn.XLOOKUP(A894,'[1]Tissue Data'!$A:$A,'[1]Tissue Data'!$C:$C)</f>
        <v>Down</v>
      </c>
      <c r="C894" s="2">
        <f>_xlfn.XLOOKUP(A894,'[1]Tissue Data'!$A:$A,'[1]Tissue Data'!$D:$D)</f>
        <v>44314</v>
      </c>
      <c r="D894" s="2" t="str">
        <f>_xlfn.XLOOKUP(A894,'[1]Tissue Data'!$A:$A,'[1]Tissue Data'!$F:$F)</f>
        <v>Swallowtail Shiner</v>
      </c>
      <c r="E894" t="str">
        <f>_xlfn.XLOOKUP(A894,'[1]Tissue Data'!$A:$A,'[1]Tissue Data'!$H:$H)</f>
        <v>Notropis</v>
      </c>
      <c r="F894" t="str">
        <f>_xlfn.XLOOKUP(A894,'[1]Tissue Data'!$A:$A,'[1]Tissue Data'!$I:$I)</f>
        <v>procne</v>
      </c>
      <c r="G894" t="str">
        <f>_xlfn.XLOOKUP(A894,'[1]Tissue Data'!$A:$A,'[1]Tissue Data'!J:J)</f>
        <v>U</v>
      </c>
      <c r="H894" t="str">
        <f>_xlfn.XLOOKUP(A894,'[1]Tissue Data'!$A:$A,'[1]Tissue Data'!K:K)</f>
        <v>Whole Body</v>
      </c>
      <c r="I894">
        <f>_xlfn.XLOOKUP(A894,'[1]Tissue Data'!$A:$A,'[1]Tissue Data'!L:L)</f>
        <v>6.5</v>
      </c>
      <c r="J894">
        <f>_xlfn.XLOOKUP(A894,'[1]Tissue Data'!$A:$A,'[1]Tissue Data'!M:M)</f>
        <v>2.8</v>
      </c>
      <c r="K894" t="s">
        <v>54</v>
      </c>
      <c r="L894" t="str">
        <f>_xlfn.XLOOKUP(K894,[2]analyte_order!$B:$B,[2]analyte_order!$C:$C)</f>
        <v>70887-84-2</v>
      </c>
      <c r="M894">
        <f>_xlfn.XLOOKUP(L894,[2]analyte_order!$C:$C,[2]analyte_order!$E:$E)</f>
        <v>45</v>
      </c>
      <c r="N894">
        <v>4.1493032753927489E-2</v>
      </c>
    </row>
    <row r="895" spans="1:14">
      <c r="A895" t="s">
        <v>182</v>
      </c>
      <c r="B895" t="str">
        <f>_xlfn.XLOOKUP(A895,'[1]Tissue Data'!$A:$A,'[1]Tissue Data'!$C:$C)</f>
        <v>Down</v>
      </c>
      <c r="C895" s="2">
        <f>_xlfn.XLOOKUP(A895,'[1]Tissue Data'!$A:$A,'[1]Tissue Data'!$D:$D)</f>
        <v>44314</v>
      </c>
      <c r="D895" s="2" t="str">
        <f>_xlfn.XLOOKUP(A895,'[1]Tissue Data'!$A:$A,'[1]Tissue Data'!$F:$F)</f>
        <v>Swallowtail Shiner</v>
      </c>
      <c r="E895" t="str">
        <f>_xlfn.XLOOKUP(A895,'[1]Tissue Data'!$A:$A,'[1]Tissue Data'!$H:$H)</f>
        <v>Notropis</v>
      </c>
      <c r="F895" t="str">
        <f>_xlfn.XLOOKUP(A895,'[1]Tissue Data'!$A:$A,'[1]Tissue Data'!$I:$I)</f>
        <v>procne</v>
      </c>
      <c r="G895" t="str">
        <f>_xlfn.XLOOKUP(A895,'[1]Tissue Data'!$A:$A,'[1]Tissue Data'!J:J)</f>
        <v>U</v>
      </c>
      <c r="H895" t="str">
        <f>_xlfn.XLOOKUP(A895,'[1]Tissue Data'!$A:$A,'[1]Tissue Data'!K:K)</f>
        <v>Whole Body</v>
      </c>
      <c r="I895">
        <f>_xlfn.XLOOKUP(A895,'[1]Tissue Data'!$A:$A,'[1]Tissue Data'!L:L)</f>
        <v>6.5</v>
      </c>
      <c r="J895">
        <f>_xlfn.XLOOKUP(A895,'[1]Tissue Data'!$A:$A,'[1]Tissue Data'!M:M)</f>
        <v>2.8</v>
      </c>
      <c r="K895" t="s">
        <v>55</v>
      </c>
      <c r="L895" t="str">
        <f>_xlfn.XLOOKUP(K895,[2]analyte_order!$B:$B,[2]analyte_order!$C:$C)</f>
        <v>919005-14-4</v>
      </c>
      <c r="M895">
        <f>_xlfn.XLOOKUP(L895,[2]analyte_order!$C:$C,[2]analyte_order!$E:$E)</f>
        <v>35</v>
      </c>
      <c r="N895">
        <v>6.8662455369404019E-2</v>
      </c>
    </row>
    <row r="896" spans="1:14">
      <c r="A896" t="s">
        <v>182</v>
      </c>
      <c r="B896" t="str">
        <f>_xlfn.XLOOKUP(A896,'[1]Tissue Data'!$A:$A,'[1]Tissue Data'!$C:$C)</f>
        <v>Down</v>
      </c>
      <c r="C896" s="2">
        <f>_xlfn.XLOOKUP(A896,'[1]Tissue Data'!$A:$A,'[1]Tissue Data'!$D:$D)</f>
        <v>44314</v>
      </c>
      <c r="D896" s="2" t="str">
        <f>_xlfn.XLOOKUP(A896,'[1]Tissue Data'!$A:$A,'[1]Tissue Data'!$F:$F)</f>
        <v>Swallowtail Shiner</v>
      </c>
      <c r="E896" t="str">
        <f>_xlfn.XLOOKUP(A896,'[1]Tissue Data'!$A:$A,'[1]Tissue Data'!$H:$H)</f>
        <v>Notropis</v>
      </c>
      <c r="F896" t="str">
        <f>_xlfn.XLOOKUP(A896,'[1]Tissue Data'!$A:$A,'[1]Tissue Data'!$I:$I)</f>
        <v>procne</v>
      </c>
      <c r="G896" t="str">
        <f>_xlfn.XLOOKUP(A896,'[1]Tissue Data'!$A:$A,'[1]Tissue Data'!J:J)</f>
        <v>U</v>
      </c>
      <c r="H896" t="str">
        <f>_xlfn.XLOOKUP(A896,'[1]Tissue Data'!$A:$A,'[1]Tissue Data'!K:K)</f>
        <v>Whole Body</v>
      </c>
      <c r="I896">
        <f>_xlfn.XLOOKUP(A896,'[1]Tissue Data'!$A:$A,'[1]Tissue Data'!L:L)</f>
        <v>6.5</v>
      </c>
      <c r="J896">
        <f>_xlfn.XLOOKUP(A896,'[1]Tissue Data'!$A:$A,'[1]Tissue Data'!M:M)</f>
        <v>2.8</v>
      </c>
      <c r="K896" t="s">
        <v>56</v>
      </c>
      <c r="L896" t="str">
        <f>_xlfn.XLOOKUP(K896,[2]analyte_order!$B:$B,[2]analyte_order!$C:$C)</f>
        <v>756426-58-1</v>
      </c>
      <c r="M896">
        <f>_xlfn.XLOOKUP(L896,[2]analyte_order!$C:$C,[2]analyte_order!$E:$E)</f>
        <v>36</v>
      </c>
      <c r="N896">
        <v>4.7659066137462243E-2</v>
      </c>
    </row>
    <row r="897" spans="1:14">
      <c r="A897" t="s">
        <v>182</v>
      </c>
      <c r="B897" t="str">
        <f>_xlfn.XLOOKUP(A897,'[1]Tissue Data'!$A:$A,'[1]Tissue Data'!$C:$C)</f>
        <v>Down</v>
      </c>
      <c r="C897" s="2">
        <f>_xlfn.XLOOKUP(A897,'[1]Tissue Data'!$A:$A,'[1]Tissue Data'!$D:$D)</f>
        <v>44314</v>
      </c>
      <c r="D897" s="2" t="str">
        <f>_xlfn.XLOOKUP(A897,'[1]Tissue Data'!$A:$A,'[1]Tissue Data'!$F:$F)</f>
        <v>Swallowtail Shiner</v>
      </c>
      <c r="E897" t="str">
        <f>_xlfn.XLOOKUP(A897,'[1]Tissue Data'!$A:$A,'[1]Tissue Data'!$H:$H)</f>
        <v>Notropis</v>
      </c>
      <c r="F897" t="str">
        <f>_xlfn.XLOOKUP(A897,'[1]Tissue Data'!$A:$A,'[1]Tissue Data'!$I:$I)</f>
        <v>procne</v>
      </c>
      <c r="G897" t="str">
        <f>_xlfn.XLOOKUP(A897,'[1]Tissue Data'!$A:$A,'[1]Tissue Data'!J:J)</f>
        <v>U</v>
      </c>
      <c r="H897" t="str">
        <f>_xlfn.XLOOKUP(A897,'[1]Tissue Data'!$A:$A,'[1]Tissue Data'!K:K)</f>
        <v>Whole Body</v>
      </c>
      <c r="I897">
        <f>_xlfn.XLOOKUP(A897,'[1]Tissue Data'!$A:$A,'[1]Tissue Data'!L:L)</f>
        <v>6.5</v>
      </c>
      <c r="J897">
        <f>_xlfn.XLOOKUP(A897,'[1]Tissue Data'!$A:$A,'[1]Tissue Data'!M:M)</f>
        <v>2.8</v>
      </c>
      <c r="K897" t="s">
        <v>57</v>
      </c>
      <c r="L897" t="str">
        <f>_xlfn.XLOOKUP(K897,[2]analyte_order!$B:$B,[2]analyte_order!$C:$C)</f>
        <v>763051-92-9</v>
      </c>
      <c r="M897">
        <f>_xlfn.XLOOKUP(L897,[2]analyte_order!$C:$C,[2]analyte_order!$E:$E)</f>
        <v>37</v>
      </c>
      <c r="N897">
        <v>5.4105365651057398E-2</v>
      </c>
    </row>
    <row r="898" spans="1:14">
      <c r="A898" t="s">
        <v>182</v>
      </c>
      <c r="B898" t="str">
        <f>_xlfn.XLOOKUP(A898,'[1]Tissue Data'!$A:$A,'[1]Tissue Data'!$C:$C)</f>
        <v>Down</v>
      </c>
      <c r="C898" s="2">
        <f>_xlfn.XLOOKUP(A898,'[1]Tissue Data'!$A:$A,'[1]Tissue Data'!$D:$D)</f>
        <v>44314</v>
      </c>
      <c r="D898" s="2" t="str">
        <f>_xlfn.XLOOKUP(A898,'[1]Tissue Data'!$A:$A,'[1]Tissue Data'!$F:$F)</f>
        <v>Swallowtail Shiner</v>
      </c>
      <c r="E898" t="str">
        <f>_xlfn.XLOOKUP(A898,'[1]Tissue Data'!$A:$A,'[1]Tissue Data'!$H:$H)</f>
        <v>Notropis</v>
      </c>
      <c r="F898" t="str">
        <f>_xlfn.XLOOKUP(A898,'[1]Tissue Data'!$A:$A,'[1]Tissue Data'!$I:$I)</f>
        <v>procne</v>
      </c>
      <c r="G898" t="str">
        <f>_xlfn.XLOOKUP(A898,'[1]Tissue Data'!$A:$A,'[1]Tissue Data'!J:J)</f>
        <v>U</v>
      </c>
      <c r="H898" t="str">
        <f>_xlfn.XLOOKUP(A898,'[1]Tissue Data'!$A:$A,'[1]Tissue Data'!K:K)</f>
        <v>Whole Body</v>
      </c>
      <c r="I898">
        <f>_xlfn.XLOOKUP(A898,'[1]Tissue Data'!$A:$A,'[1]Tissue Data'!L:L)</f>
        <v>6.5</v>
      </c>
      <c r="J898">
        <f>_xlfn.XLOOKUP(A898,'[1]Tissue Data'!$A:$A,'[1]Tissue Data'!M:M)</f>
        <v>2.8</v>
      </c>
      <c r="K898" t="s">
        <v>58</v>
      </c>
      <c r="L898" t="str">
        <f>_xlfn.XLOOKUP(K898,[2]analyte_order!$B:$B,[2]analyte_order!$C:$C)</f>
        <v>13252-13-6</v>
      </c>
      <c r="M898">
        <f>_xlfn.XLOOKUP(L898,[2]analyte_order!$C:$C,[2]analyte_order!$E:$E)</f>
        <v>34</v>
      </c>
      <c r="N898">
        <v>9.8532584796072506E-2</v>
      </c>
    </row>
    <row r="899" spans="1:14">
      <c r="A899" t="s">
        <v>182</v>
      </c>
      <c r="B899" t="str">
        <f>_xlfn.XLOOKUP(A899,'[1]Tissue Data'!$A:$A,'[1]Tissue Data'!$C:$C)</f>
        <v>Down</v>
      </c>
      <c r="C899" s="2">
        <f>_xlfn.XLOOKUP(A899,'[1]Tissue Data'!$A:$A,'[1]Tissue Data'!$D:$D)</f>
        <v>44314</v>
      </c>
      <c r="D899" s="2" t="str">
        <f>_xlfn.XLOOKUP(A899,'[1]Tissue Data'!$A:$A,'[1]Tissue Data'!$F:$F)</f>
        <v>Swallowtail Shiner</v>
      </c>
      <c r="E899" t="str">
        <f>_xlfn.XLOOKUP(A899,'[1]Tissue Data'!$A:$A,'[1]Tissue Data'!$H:$H)</f>
        <v>Notropis</v>
      </c>
      <c r="F899" t="str">
        <f>_xlfn.XLOOKUP(A899,'[1]Tissue Data'!$A:$A,'[1]Tissue Data'!$I:$I)</f>
        <v>procne</v>
      </c>
      <c r="G899" t="str">
        <f>_xlfn.XLOOKUP(A899,'[1]Tissue Data'!$A:$A,'[1]Tissue Data'!J:J)</f>
        <v>U</v>
      </c>
      <c r="H899" t="str">
        <f>_xlfn.XLOOKUP(A899,'[1]Tissue Data'!$A:$A,'[1]Tissue Data'!K:K)</f>
        <v>Whole Body</v>
      </c>
      <c r="I899">
        <f>_xlfn.XLOOKUP(A899,'[1]Tissue Data'!$A:$A,'[1]Tissue Data'!L:L)</f>
        <v>6.5</v>
      </c>
      <c r="J899">
        <f>_xlfn.XLOOKUP(A899,'[1]Tissue Data'!$A:$A,'[1]Tissue Data'!M:M)</f>
        <v>2.8</v>
      </c>
      <c r="K899" t="s">
        <v>59</v>
      </c>
      <c r="L899" t="str">
        <f>_xlfn.XLOOKUP(K899,[2]analyte_order!$B:$B,[2]analyte_order!$C:$C)</f>
        <v>57677-95-9</v>
      </c>
      <c r="M899">
        <f>_xlfn.XLOOKUP(L899,[2]analyte_order!$C:$C,[2]analyte_order!$E:$E)</f>
        <v>46</v>
      </c>
      <c r="N899">
        <v>7.3093170521148026E-2</v>
      </c>
    </row>
    <row r="900" spans="1:14">
      <c r="A900" t="s">
        <v>182</v>
      </c>
      <c r="B900" t="str">
        <f>_xlfn.XLOOKUP(A900,'[1]Tissue Data'!$A:$A,'[1]Tissue Data'!$C:$C)</f>
        <v>Down</v>
      </c>
      <c r="C900" s="2">
        <f>_xlfn.XLOOKUP(A900,'[1]Tissue Data'!$A:$A,'[1]Tissue Data'!$D:$D)</f>
        <v>44314</v>
      </c>
      <c r="D900" s="2" t="str">
        <f>_xlfn.XLOOKUP(A900,'[1]Tissue Data'!$A:$A,'[1]Tissue Data'!$F:$F)</f>
        <v>Swallowtail Shiner</v>
      </c>
      <c r="E900" t="str">
        <f>_xlfn.XLOOKUP(A900,'[1]Tissue Data'!$A:$A,'[1]Tissue Data'!$H:$H)</f>
        <v>Notropis</v>
      </c>
      <c r="F900" t="str">
        <f>_xlfn.XLOOKUP(A900,'[1]Tissue Data'!$A:$A,'[1]Tissue Data'!$I:$I)</f>
        <v>procne</v>
      </c>
      <c r="G900" t="str">
        <f>_xlfn.XLOOKUP(A900,'[1]Tissue Data'!$A:$A,'[1]Tissue Data'!J:J)</f>
        <v>U</v>
      </c>
      <c r="H900" t="str">
        <f>_xlfn.XLOOKUP(A900,'[1]Tissue Data'!$A:$A,'[1]Tissue Data'!K:K)</f>
        <v>Whole Body</v>
      </c>
      <c r="I900">
        <f>_xlfn.XLOOKUP(A900,'[1]Tissue Data'!$A:$A,'[1]Tissue Data'!L:L)</f>
        <v>6.5</v>
      </c>
      <c r="J900">
        <f>_xlfn.XLOOKUP(A900,'[1]Tissue Data'!$A:$A,'[1]Tissue Data'!M:M)</f>
        <v>2.8</v>
      </c>
      <c r="K900" t="s">
        <v>60</v>
      </c>
      <c r="L900" t="str">
        <f>_xlfn.XLOOKUP(K900,[2]analyte_order!$B:$B,[2]analyte_order!$C:$C)</f>
        <v>678-41-1</v>
      </c>
      <c r="M900">
        <f>_xlfn.XLOOKUP(L900,[2]analyte_order!$C:$C,[2]analyte_order!$E:$E)</f>
        <v>56</v>
      </c>
      <c r="N900">
        <v>9.1033645119335344E-2</v>
      </c>
    </row>
    <row r="901" spans="1:14">
      <c r="A901" t="s">
        <v>182</v>
      </c>
      <c r="B901" t="str">
        <f>_xlfn.XLOOKUP(A901,'[1]Tissue Data'!$A:$A,'[1]Tissue Data'!$C:$C)</f>
        <v>Down</v>
      </c>
      <c r="C901" s="2">
        <f>_xlfn.XLOOKUP(A901,'[1]Tissue Data'!$A:$A,'[1]Tissue Data'!$D:$D)</f>
        <v>44314</v>
      </c>
      <c r="D901" s="2" t="str">
        <f>_xlfn.XLOOKUP(A901,'[1]Tissue Data'!$A:$A,'[1]Tissue Data'!$F:$F)</f>
        <v>Swallowtail Shiner</v>
      </c>
      <c r="E901" t="str">
        <f>_xlfn.XLOOKUP(A901,'[1]Tissue Data'!$A:$A,'[1]Tissue Data'!$H:$H)</f>
        <v>Notropis</v>
      </c>
      <c r="F901" t="str">
        <f>_xlfn.XLOOKUP(A901,'[1]Tissue Data'!$A:$A,'[1]Tissue Data'!$I:$I)</f>
        <v>procne</v>
      </c>
      <c r="G901" t="str">
        <f>_xlfn.XLOOKUP(A901,'[1]Tissue Data'!$A:$A,'[1]Tissue Data'!J:J)</f>
        <v>U</v>
      </c>
      <c r="H901" t="str">
        <f>_xlfn.XLOOKUP(A901,'[1]Tissue Data'!$A:$A,'[1]Tissue Data'!K:K)</f>
        <v>Whole Body</v>
      </c>
      <c r="I901">
        <f>_xlfn.XLOOKUP(A901,'[1]Tissue Data'!$A:$A,'[1]Tissue Data'!L:L)</f>
        <v>6.5</v>
      </c>
      <c r="J901">
        <f>_xlfn.XLOOKUP(A901,'[1]Tissue Data'!$A:$A,'[1]Tissue Data'!M:M)</f>
        <v>2.8</v>
      </c>
      <c r="K901" t="s">
        <v>61</v>
      </c>
      <c r="L901" t="str">
        <f>_xlfn.XLOOKUP(K901,[2]analyte_order!$B:$B,[2]analyte_order!$C:$C)</f>
        <v>2965-52-8</v>
      </c>
      <c r="M901">
        <f>_xlfn.XLOOKUP(L901,[2]analyte_order!$C:$C,[2]analyte_order!$E:$E)</f>
        <v>57</v>
      </c>
      <c r="N901">
        <v>0.12084592145015104</v>
      </c>
    </row>
    <row r="902" spans="1:14">
      <c r="A902" t="s">
        <v>120</v>
      </c>
      <c r="B902" t="str">
        <f>_xlfn.XLOOKUP(A902,'[1]Tissue Data'!$A:$A,'[1]Tissue Data'!$C:$C)</f>
        <v>Down</v>
      </c>
      <c r="C902" s="2">
        <f>_xlfn.XLOOKUP(A902,'[1]Tissue Data'!$A:$A,'[1]Tissue Data'!$D:$D)</f>
        <v>44314</v>
      </c>
      <c r="D902" s="2" t="s">
        <v>122</v>
      </c>
      <c r="E902" t="str">
        <f>_xlfn.XLOOKUP(A902,'[1]Tissue Data'!$A:$A,'[1]Tissue Data'!$H:$H)</f>
        <v>Etheostoma</v>
      </c>
      <c r="F902" t="str">
        <f>_xlfn.XLOOKUP(A902,'[1]Tissue Data'!$A:$A,'[1]Tissue Data'!$I:$I)</f>
        <v>fusiforme</v>
      </c>
      <c r="G902" t="str">
        <f>_xlfn.XLOOKUP(A902,'[1]Tissue Data'!$A:$A,'[1]Tissue Data'!J:J)</f>
        <v>U</v>
      </c>
      <c r="H902" t="str">
        <f>_xlfn.XLOOKUP(A902,'[1]Tissue Data'!$A:$A,'[1]Tissue Data'!K:K)</f>
        <v>Whole Body</v>
      </c>
      <c r="I902">
        <f>_xlfn.XLOOKUP(A902,'[1]Tissue Data'!$A:$A,'[1]Tissue Data'!L:L)</f>
        <v>7.5</v>
      </c>
      <c r="J902">
        <f>_xlfn.XLOOKUP(A902,'[1]Tissue Data'!$A:$A,'[1]Tissue Data'!M:M)</f>
        <v>4.25</v>
      </c>
      <c r="K902" t="s">
        <v>12</v>
      </c>
      <c r="L902" t="str">
        <f>_xlfn.XLOOKUP(K902,[2]analyte_order!$B:$B,[2]analyte_order!$C:$C)</f>
        <v>375-22-4</v>
      </c>
      <c r="M902">
        <f>_xlfn.XLOOKUP(L902,[2]analyte_order!$C:$C,[2]analyte_order!$E:$E)</f>
        <v>1</v>
      </c>
      <c r="N902">
        <v>8.6638428956488253E-2</v>
      </c>
    </row>
    <row r="903" spans="1:14">
      <c r="A903" t="s">
        <v>120</v>
      </c>
      <c r="B903" t="str">
        <f>_xlfn.XLOOKUP(A903,'[1]Tissue Data'!$A:$A,'[1]Tissue Data'!$C:$C)</f>
        <v>Down</v>
      </c>
      <c r="C903" s="2">
        <f>_xlfn.XLOOKUP(A903,'[1]Tissue Data'!$A:$A,'[1]Tissue Data'!$D:$D)</f>
        <v>44314</v>
      </c>
      <c r="D903" s="2" t="s">
        <v>122</v>
      </c>
      <c r="E903" t="str">
        <f>_xlfn.XLOOKUP(A903,'[1]Tissue Data'!$A:$A,'[1]Tissue Data'!$H:$H)</f>
        <v>Etheostoma</v>
      </c>
      <c r="F903" t="str">
        <f>_xlfn.XLOOKUP(A903,'[1]Tissue Data'!$A:$A,'[1]Tissue Data'!$I:$I)</f>
        <v>fusiforme</v>
      </c>
      <c r="G903" t="str">
        <f>_xlfn.XLOOKUP(A903,'[1]Tissue Data'!$A:$A,'[1]Tissue Data'!J:J)</f>
        <v>U</v>
      </c>
      <c r="H903" t="str">
        <f>_xlfn.XLOOKUP(A903,'[1]Tissue Data'!$A:$A,'[1]Tissue Data'!K:K)</f>
        <v>Whole Body</v>
      </c>
      <c r="I903">
        <f>_xlfn.XLOOKUP(A903,'[1]Tissue Data'!$A:$A,'[1]Tissue Data'!L:L)</f>
        <v>7.5</v>
      </c>
      <c r="J903">
        <f>_xlfn.XLOOKUP(A903,'[1]Tissue Data'!$A:$A,'[1]Tissue Data'!M:M)</f>
        <v>4.25</v>
      </c>
      <c r="K903" t="s">
        <v>13</v>
      </c>
      <c r="L903" t="str">
        <f>_xlfn.XLOOKUP(K903,[2]analyte_order!$B:$B,[2]analyte_order!$C:$C)</f>
        <v>2706-90-3</v>
      </c>
      <c r="M903">
        <f>_xlfn.XLOOKUP(L903,[2]analyte_order!$C:$C,[2]analyte_order!$E:$E)</f>
        <v>2</v>
      </c>
      <c r="N903">
        <v>4.9367975003586799E-2</v>
      </c>
    </row>
    <row r="904" spans="1:14">
      <c r="A904" t="s">
        <v>120</v>
      </c>
      <c r="B904" t="str">
        <f>_xlfn.XLOOKUP(A904,'[1]Tissue Data'!$A:$A,'[1]Tissue Data'!$C:$C)</f>
        <v>Down</v>
      </c>
      <c r="C904" s="2">
        <f>_xlfn.XLOOKUP(A904,'[1]Tissue Data'!$A:$A,'[1]Tissue Data'!$D:$D)</f>
        <v>44314</v>
      </c>
      <c r="D904" s="2" t="s">
        <v>122</v>
      </c>
      <c r="E904" t="str">
        <f>_xlfn.XLOOKUP(A904,'[1]Tissue Data'!$A:$A,'[1]Tissue Data'!$H:$H)</f>
        <v>Etheostoma</v>
      </c>
      <c r="F904" t="str">
        <f>_xlfn.XLOOKUP(A904,'[1]Tissue Data'!$A:$A,'[1]Tissue Data'!$I:$I)</f>
        <v>fusiforme</v>
      </c>
      <c r="G904" t="str">
        <f>_xlfn.XLOOKUP(A904,'[1]Tissue Data'!$A:$A,'[1]Tissue Data'!J:J)</f>
        <v>U</v>
      </c>
      <c r="H904" t="str">
        <f>_xlfn.XLOOKUP(A904,'[1]Tissue Data'!$A:$A,'[1]Tissue Data'!K:K)</f>
        <v>Whole Body</v>
      </c>
      <c r="I904">
        <f>_xlfn.XLOOKUP(A904,'[1]Tissue Data'!$A:$A,'[1]Tissue Data'!L:L)</f>
        <v>7.5</v>
      </c>
      <c r="J904">
        <f>_xlfn.XLOOKUP(A904,'[1]Tissue Data'!$A:$A,'[1]Tissue Data'!M:M)</f>
        <v>4.25</v>
      </c>
      <c r="K904" t="s">
        <v>14</v>
      </c>
      <c r="L904" t="str">
        <f>_xlfn.XLOOKUP(K904,[2]analyte_order!$B:$B,[2]analyte_order!$C:$C)</f>
        <v>307-24-4</v>
      </c>
      <c r="M904">
        <f>_xlfn.XLOOKUP(L904,[2]analyte_order!$C:$C,[2]analyte_order!$E:$E)</f>
        <v>3</v>
      </c>
      <c r="N904">
        <v>0.116895007286624</v>
      </c>
    </row>
    <row r="905" spans="1:14">
      <c r="A905" t="s">
        <v>120</v>
      </c>
      <c r="B905" t="str">
        <f>_xlfn.XLOOKUP(A905,'[1]Tissue Data'!$A:$A,'[1]Tissue Data'!$C:$C)</f>
        <v>Down</v>
      </c>
      <c r="C905" s="2">
        <f>_xlfn.XLOOKUP(A905,'[1]Tissue Data'!$A:$A,'[1]Tissue Data'!$D:$D)</f>
        <v>44314</v>
      </c>
      <c r="D905" s="2" t="s">
        <v>122</v>
      </c>
      <c r="E905" t="str">
        <f>_xlfn.XLOOKUP(A905,'[1]Tissue Data'!$A:$A,'[1]Tissue Data'!$H:$H)</f>
        <v>Etheostoma</v>
      </c>
      <c r="F905" t="str">
        <f>_xlfn.XLOOKUP(A905,'[1]Tissue Data'!$A:$A,'[1]Tissue Data'!$I:$I)</f>
        <v>fusiforme</v>
      </c>
      <c r="G905" t="str">
        <f>_xlfn.XLOOKUP(A905,'[1]Tissue Data'!$A:$A,'[1]Tissue Data'!J:J)</f>
        <v>U</v>
      </c>
      <c r="H905" t="str">
        <f>_xlfn.XLOOKUP(A905,'[1]Tissue Data'!$A:$A,'[1]Tissue Data'!K:K)</f>
        <v>Whole Body</v>
      </c>
      <c r="I905">
        <f>_xlfn.XLOOKUP(A905,'[1]Tissue Data'!$A:$A,'[1]Tissue Data'!L:L)</f>
        <v>7.5</v>
      </c>
      <c r="J905">
        <f>_xlfn.XLOOKUP(A905,'[1]Tissue Data'!$A:$A,'[1]Tissue Data'!M:M)</f>
        <v>4.25</v>
      </c>
      <c r="K905" t="s">
        <v>15</v>
      </c>
      <c r="L905" t="str">
        <f>_xlfn.XLOOKUP(K905,[2]analyte_order!$B:$B,[2]analyte_order!$C:$C)</f>
        <v>375-85-9</v>
      </c>
      <c r="M905">
        <f>_xlfn.XLOOKUP(L905,[2]analyte_order!$C:$C,[2]analyte_order!$E:$E)</f>
        <v>4</v>
      </c>
      <c r="N905">
        <v>8.6638428956488253E-2</v>
      </c>
    </row>
    <row r="906" spans="1:14">
      <c r="A906" t="s">
        <v>120</v>
      </c>
      <c r="B906" t="str">
        <f>_xlfn.XLOOKUP(A906,'[1]Tissue Data'!$A:$A,'[1]Tissue Data'!$C:$C)</f>
        <v>Down</v>
      </c>
      <c r="C906" s="2">
        <f>_xlfn.XLOOKUP(A906,'[1]Tissue Data'!$A:$A,'[1]Tissue Data'!$D:$D)</f>
        <v>44314</v>
      </c>
      <c r="D906" s="2" t="s">
        <v>122</v>
      </c>
      <c r="E906" t="str">
        <f>_xlfn.XLOOKUP(A906,'[1]Tissue Data'!$A:$A,'[1]Tissue Data'!$H:$H)</f>
        <v>Etheostoma</v>
      </c>
      <c r="F906" t="str">
        <f>_xlfn.XLOOKUP(A906,'[1]Tissue Data'!$A:$A,'[1]Tissue Data'!$I:$I)</f>
        <v>fusiforme</v>
      </c>
      <c r="G906" t="str">
        <f>_xlfn.XLOOKUP(A906,'[1]Tissue Data'!$A:$A,'[1]Tissue Data'!J:J)</f>
        <v>U</v>
      </c>
      <c r="H906" t="str">
        <f>_xlfn.XLOOKUP(A906,'[1]Tissue Data'!$A:$A,'[1]Tissue Data'!K:K)</f>
        <v>Whole Body</v>
      </c>
      <c r="I906">
        <f>_xlfn.XLOOKUP(A906,'[1]Tissue Data'!$A:$A,'[1]Tissue Data'!L:L)</f>
        <v>7.5</v>
      </c>
      <c r="J906">
        <f>_xlfn.XLOOKUP(A906,'[1]Tissue Data'!$A:$A,'[1]Tissue Data'!M:M)</f>
        <v>4.25</v>
      </c>
      <c r="K906" t="s">
        <v>16</v>
      </c>
      <c r="L906" t="str">
        <f>_xlfn.XLOOKUP(K906,[2]analyte_order!$B:$B,[2]analyte_order!$C:$C)</f>
        <v>335-67-1</v>
      </c>
      <c r="M906">
        <f>_xlfn.XLOOKUP(L906,[2]analyte_order!$C:$C,[2]analyte_order!$E:$E)</f>
        <v>5</v>
      </c>
      <c r="N906">
        <v>0.54600000000000004</v>
      </c>
    </row>
    <row r="907" spans="1:14">
      <c r="A907" t="s">
        <v>120</v>
      </c>
      <c r="B907" t="str">
        <f>_xlfn.XLOOKUP(A907,'[1]Tissue Data'!$A:$A,'[1]Tissue Data'!$C:$C)</f>
        <v>Down</v>
      </c>
      <c r="C907" s="2">
        <f>_xlfn.XLOOKUP(A907,'[1]Tissue Data'!$A:$A,'[1]Tissue Data'!$D:$D)</f>
        <v>44314</v>
      </c>
      <c r="D907" s="2" t="s">
        <v>122</v>
      </c>
      <c r="E907" t="str">
        <f>_xlfn.XLOOKUP(A907,'[1]Tissue Data'!$A:$A,'[1]Tissue Data'!$H:$H)</f>
        <v>Etheostoma</v>
      </c>
      <c r="F907" t="str">
        <f>_xlfn.XLOOKUP(A907,'[1]Tissue Data'!$A:$A,'[1]Tissue Data'!$I:$I)</f>
        <v>fusiforme</v>
      </c>
      <c r="G907" t="str">
        <f>_xlfn.XLOOKUP(A907,'[1]Tissue Data'!$A:$A,'[1]Tissue Data'!J:J)</f>
        <v>U</v>
      </c>
      <c r="H907" t="str">
        <f>_xlfn.XLOOKUP(A907,'[1]Tissue Data'!$A:$A,'[1]Tissue Data'!K:K)</f>
        <v>Whole Body</v>
      </c>
      <c r="I907">
        <f>_xlfn.XLOOKUP(A907,'[1]Tissue Data'!$A:$A,'[1]Tissue Data'!L:L)</f>
        <v>7.5</v>
      </c>
      <c r="J907">
        <f>_xlfn.XLOOKUP(A907,'[1]Tissue Data'!$A:$A,'[1]Tissue Data'!M:M)</f>
        <v>4.25</v>
      </c>
      <c r="K907" t="s">
        <v>17</v>
      </c>
      <c r="L907" t="str">
        <f>_xlfn.XLOOKUP(K907,[2]analyte_order!$B:$B,[2]analyte_order!$C:$C)</f>
        <v>375-95-1</v>
      </c>
      <c r="M907">
        <f>_xlfn.XLOOKUP(L907,[2]analyte_order!$C:$C,[2]analyte_order!$E:$E)</f>
        <v>6</v>
      </c>
      <c r="N907">
        <v>0.51200000000000001</v>
      </c>
    </row>
    <row r="908" spans="1:14">
      <c r="A908" t="s">
        <v>120</v>
      </c>
      <c r="B908" t="str">
        <f>_xlfn.XLOOKUP(A908,'[1]Tissue Data'!$A:$A,'[1]Tissue Data'!$C:$C)</f>
        <v>Down</v>
      </c>
      <c r="C908" s="2">
        <f>_xlfn.XLOOKUP(A908,'[1]Tissue Data'!$A:$A,'[1]Tissue Data'!$D:$D)</f>
        <v>44314</v>
      </c>
      <c r="D908" s="2" t="s">
        <v>122</v>
      </c>
      <c r="E908" t="str">
        <f>_xlfn.XLOOKUP(A908,'[1]Tissue Data'!$A:$A,'[1]Tissue Data'!$H:$H)</f>
        <v>Etheostoma</v>
      </c>
      <c r="F908" t="str">
        <f>_xlfn.XLOOKUP(A908,'[1]Tissue Data'!$A:$A,'[1]Tissue Data'!$I:$I)</f>
        <v>fusiforme</v>
      </c>
      <c r="G908" t="str">
        <f>_xlfn.XLOOKUP(A908,'[1]Tissue Data'!$A:$A,'[1]Tissue Data'!J:J)</f>
        <v>U</v>
      </c>
      <c r="H908" t="str">
        <f>_xlfn.XLOOKUP(A908,'[1]Tissue Data'!$A:$A,'[1]Tissue Data'!K:K)</f>
        <v>Whole Body</v>
      </c>
      <c r="I908">
        <f>_xlfn.XLOOKUP(A908,'[1]Tissue Data'!$A:$A,'[1]Tissue Data'!L:L)</f>
        <v>7.5</v>
      </c>
      <c r="J908">
        <f>_xlfn.XLOOKUP(A908,'[1]Tissue Data'!$A:$A,'[1]Tissue Data'!M:M)</f>
        <v>4.25</v>
      </c>
      <c r="K908" t="s">
        <v>18</v>
      </c>
      <c r="L908" t="str">
        <f>_xlfn.XLOOKUP(K908,[2]analyte_order!$B:$B,[2]analyte_order!$C:$C)</f>
        <v>335-76-2</v>
      </c>
      <c r="M908">
        <f>_xlfn.XLOOKUP(L908,[2]analyte_order!$C:$C,[2]analyte_order!$E:$E)</f>
        <v>7</v>
      </c>
      <c r="N908">
        <v>4.59</v>
      </c>
    </row>
    <row r="909" spans="1:14">
      <c r="A909" t="s">
        <v>120</v>
      </c>
      <c r="B909" t="str">
        <f>_xlfn.XLOOKUP(A909,'[1]Tissue Data'!$A:$A,'[1]Tissue Data'!$C:$C)</f>
        <v>Down</v>
      </c>
      <c r="C909" s="2">
        <f>_xlfn.XLOOKUP(A909,'[1]Tissue Data'!$A:$A,'[1]Tissue Data'!$D:$D)</f>
        <v>44314</v>
      </c>
      <c r="D909" s="2" t="s">
        <v>122</v>
      </c>
      <c r="E909" t="str">
        <f>_xlfn.XLOOKUP(A909,'[1]Tissue Data'!$A:$A,'[1]Tissue Data'!$H:$H)</f>
        <v>Etheostoma</v>
      </c>
      <c r="F909" t="str">
        <f>_xlfn.XLOOKUP(A909,'[1]Tissue Data'!$A:$A,'[1]Tissue Data'!$I:$I)</f>
        <v>fusiforme</v>
      </c>
      <c r="G909" t="str">
        <f>_xlfn.XLOOKUP(A909,'[1]Tissue Data'!$A:$A,'[1]Tissue Data'!J:J)</f>
        <v>U</v>
      </c>
      <c r="H909" t="str">
        <f>_xlfn.XLOOKUP(A909,'[1]Tissue Data'!$A:$A,'[1]Tissue Data'!K:K)</f>
        <v>Whole Body</v>
      </c>
      <c r="I909">
        <f>_xlfn.XLOOKUP(A909,'[1]Tissue Data'!$A:$A,'[1]Tissue Data'!L:L)</f>
        <v>7.5</v>
      </c>
      <c r="J909">
        <f>_xlfn.XLOOKUP(A909,'[1]Tissue Data'!$A:$A,'[1]Tissue Data'!M:M)</f>
        <v>4.25</v>
      </c>
      <c r="K909" t="s">
        <v>19</v>
      </c>
      <c r="L909" t="str">
        <f>_xlfn.XLOOKUP(K909,[2]analyte_order!$B:$B,[2]analyte_order!$C:$C)</f>
        <v>2058-94-8</v>
      </c>
      <c r="M909">
        <f>_xlfn.XLOOKUP(L909,[2]analyte_order!$C:$C,[2]analyte_order!$E:$E)</f>
        <v>8</v>
      </c>
      <c r="N909">
        <v>5.93</v>
      </c>
    </row>
    <row r="910" spans="1:14">
      <c r="A910" t="s">
        <v>120</v>
      </c>
      <c r="B910" t="str">
        <f>_xlfn.XLOOKUP(A910,'[1]Tissue Data'!$A:$A,'[1]Tissue Data'!$C:$C)</f>
        <v>Down</v>
      </c>
      <c r="C910" s="2">
        <f>_xlfn.XLOOKUP(A910,'[1]Tissue Data'!$A:$A,'[1]Tissue Data'!$D:$D)</f>
        <v>44314</v>
      </c>
      <c r="D910" s="2" t="s">
        <v>122</v>
      </c>
      <c r="E910" t="str">
        <f>_xlfn.XLOOKUP(A910,'[1]Tissue Data'!$A:$A,'[1]Tissue Data'!$H:$H)</f>
        <v>Etheostoma</v>
      </c>
      <c r="F910" t="str">
        <f>_xlfn.XLOOKUP(A910,'[1]Tissue Data'!$A:$A,'[1]Tissue Data'!$I:$I)</f>
        <v>fusiforme</v>
      </c>
      <c r="G910" t="str">
        <f>_xlfn.XLOOKUP(A910,'[1]Tissue Data'!$A:$A,'[1]Tissue Data'!J:J)</f>
        <v>U</v>
      </c>
      <c r="H910" t="str">
        <f>_xlfn.XLOOKUP(A910,'[1]Tissue Data'!$A:$A,'[1]Tissue Data'!K:K)</f>
        <v>Whole Body</v>
      </c>
      <c r="I910">
        <f>_xlfn.XLOOKUP(A910,'[1]Tissue Data'!$A:$A,'[1]Tissue Data'!L:L)</f>
        <v>7.5</v>
      </c>
      <c r="J910">
        <f>_xlfn.XLOOKUP(A910,'[1]Tissue Data'!$A:$A,'[1]Tissue Data'!M:M)</f>
        <v>4.25</v>
      </c>
      <c r="K910" t="s">
        <v>20</v>
      </c>
      <c r="L910" t="str">
        <f>_xlfn.XLOOKUP(K910,[2]analyte_order!$B:$B,[2]analyte_order!$C:$C)</f>
        <v>307-55-1</v>
      </c>
      <c r="M910">
        <f>_xlfn.XLOOKUP(L910,[2]analyte_order!$C:$C,[2]analyte_order!$E:$E)</f>
        <v>9</v>
      </c>
      <c r="N910">
        <v>5.5789180082496413E-2</v>
      </c>
    </row>
    <row r="911" spans="1:14">
      <c r="A911" t="s">
        <v>120</v>
      </c>
      <c r="B911" t="str">
        <f>_xlfn.XLOOKUP(A911,'[1]Tissue Data'!$A:$A,'[1]Tissue Data'!$C:$C)</f>
        <v>Down</v>
      </c>
      <c r="C911" s="2">
        <f>_xlfn.XLOOKUP(A911,'[1]Tissue Data'!$A:$A,'[1]Tissue Data'!$D:$D)</f>
        <v>44314</v>
      </c>
      <c r="D911" s="2" t="s">
        <v>122</v>
      </c>
      <c r="E911" t="str">
        <f>_xlfn.XLOOKUP(A911,'[1]Tissue Data'!$A:$A,'[1]Tissue Data'!$H:$H)</f>
        <v>Etheostoma</v>
      </c>
      <c r="F911" t="str">
        <f>_xlfn.XLOOKUP(A911,'[1]Tissue Data'!$A:$A,'[1]Tissue Data'!$I:$I)</f>
        <v>fusiforme</v>
      </c>
      <c r="G911" t="str">
        <f>_xlfn.XLOOKUP(A911,'[1]Tissue Data'!$A:$A,'[1]Tissue Data'!J:J)</f>
        <v>U</v>
      </c>
      <c r="H911" t="str">
        <f>_xlfn.XLOOKUP(A911,'[1]Tissue Data'!$A:$A,'[1]Tissue Data'!K:K)</f>
        <v>Whole Body</v>
      </c>
      <c r="I911">
        <f>_xlfn.XLOOKUP(A911,'[1]Tissue Data'!$A:$A,'[1]Tissue Data'!L:L)</f>
        <v>7.5</v>
      </c>
      <c r="J911">
        <f>_xlfn.XLOOKUP(A911,'[1]Tissue Data'!$A:$A,'[1]Tissue Data'!M:M)</f>
        <v>4.25</v>
      </c>
      <c r="K911" t="s">
        <v>21</v>
      </c>
      <c r="L911" t="str">
        <f>_xlfn.XLOOKUP(K911,[2]analyte_order!$B:$B,[2]analyte_order!$C:$C)</f>
        <v>72629-94-8</v>
      </c>
      <c r="M911">
        <f>_xlfn.XLOOKUP(L911,[2]analyte_order!$C:$C,[2]analyte_order!$E:$E)</f>
        <v>10</v>
      </c>
      <c r="N911">
        <v>1.98</v>
      </c>
    </row>
    <row r="912" spans="1:14">
      <c r="A912" t="s">
        <v>120</v>
      </c>
      <c r="B912" t="str">
        <f>_xlfn.XLOOKUP(A912,'[1]Tissue Data'!$A:$A,'[1]Tissue Data'!$C:$C)</f>
        <v>Down</v>
      </c>
      <c r="C912" s="2">
        <f>_xlfn.XLOOKUP(A912,'[1]Tissue Data'!$A:$A,'[1]Tissue Data'!$D:$D)</f>
        <v>44314</v>
      </c>
      <c r="D912" s="2" t="s">
        <v>122</v>
      </c>
      <c r="E912" t="str">
        <f>_xlfn.XLOOKUP(A912,'[1]Tissue Data'!$A:$A,'[1]Tissue Data'!$H:$H)</f>
        <v>Etheostoma</v>
      </c>
      <c r="F912" t="str">
        <f>_xlfn.XLOOKUP(A912,'[1]Tissue Data'!$A:$A,'[1]Tissue Data'!$I:$I)</f>
        <v>fusiforme</v>
      </c>
      <c r="G912" t="str">
        <f>_xlfn.XLOOKUP(A912,'[1]Tissue Data'!$A:$A,'[1]Tissue Data'!J:J)</f>
        <v>U</v>
      </c>
      <c r="H912" t="str">
        <f>_xlfn.XLOOKUP(A912,'[1]Tissue Data'!$A:$A,'[1]Tissue Data'!K:K)</f>
        <v>Whole Body</v>
      </c>
      <c r="I912">
        <f>_xlfn.XLOOKUP(A912,'[1]Tissue Data'!$A:$A,'[1]Tissue Data'!L:L)</f>
        <v>7.5</v>
      </c>
      <c r="J912">
        <f>_xlfn.XLOOKUP(A912,'[1]Tissue Data'!$A:$A,'[1]Tissue Data'!M:M)</f>
        <v>4.25</v>
      </c>
      <c r="K912" t="s">
        <v>22</v>
      </c>
      <c r="L912" t="str">
        <f>_xlfn.XLOOKUP(K912,[2]analyte_order!$B:$B,[2]analyte_order!$C:$C)</f>
        <v>376-06-7</v>
      </c>
      <c r="M912">
        <f>_xlfn.XLOOKUP(L912,[2]analyte_order!$C:$C,[2]analyte_order!$E:$E)</f>
        <v>11</v>
      </c>
      <c r="N912">
        <v>3.19</v>
      </c>
    </row>
    <row r="913" spans="1:14">
      <c r="A913" t="s">
        <v>120</v>
      </c>
      <c r="B913" t="str">
        <f>_xlfn.XLOOKUP(A913,'[1]Tissue Data'!$A:$A,'[1]Tissue Data'!$C:$C)</f>
        <v>Down</v>
      </c>
      <c r="C913" s="2">
        <f>_xlfn.XLOOKUP(A913,'[1]Tissue Data'!$A:$A,'[1]Tissue Data'!$D:$D)</f>
        <v>44314</v>
      </c>
      <c r="D913" s="2" t="s">
        <v>122</v>
      </c>
      <c r="E913" t="str">
        <f>_xlfn.XLOOKUP(A913,'[1]Tissue Data'!$A:$A,'[1]Tissue Data'!$H:$H)</f>
        <v>Etheostoma</v>
      </c>
      <c r="F913" t="str">
        <f>_xlfn.XLOOKUP(A913,'[1]Tissue Data'!$A:$A,'[1]Tissue Data'!$I:$I)</f>
        <v>fusiforme</v>
      </c>
      <c r="G913" t="str">
        <f>_xlfn.XLOOKUP(A913,'[1]Tissue Data'!$A:$A,'[1]Tissue Data'!J:J)</f>
        <v>U</v>
      </c>
      <c r="H913" t="str">
        <f>_xlfn.XLOOKUP(A913,'[1]Tissue Data'!$A:$A,'[1]Tissue Data'!K:K)</f>
        <v>Whole Body</v>
      </c>
      <c r="I913">
        <f>_xlfn.XLOOKUP(A913,'[1]Tissue Data'!$A:$A,'[1]Tissue Data'!L:L)</f>
        <v>7.5</v>
      </c>
      <c r="J913">
        <f>_xlfn.XLOOKUP(A913,'[1]Tissue Data'!$A:$A,'[1]Tissue Data'!M:M)</f>
        <v>4.25</v>
      </c>
      <c r="K913" t="s">
        <v>23</v>
      </c>
      <c r="L913" t="str">
        <f>_xlfn.XLOOKUP(K913,[2]analyte_order!$B:$B,[2]analyte_order!$C:$C)</f>
        <v>67905-19-5</v>
      </c>
      <c r="M913">
        <f>_xlfn.XLOOKUP(L913,[2]analyte_order!$C:$C,[2]analyte_order!$E:$E)</f>
        <v>12</v>
      </c>
      <c r="N913">
        <v>8.327433957675752E-2</v>
      </c>
    </row>
    <row r="914" spans="1:14">
      <c r="A914" t="s">
        <v>120</v>
      </c>
      <c r="B914" t="str">
        <f>_xlfn.XLOOKUP(A914,'[1]Tissue Data'!$A:$A,'[1]Tissue Data'!$C:$C)</f>
        <v>Down</v>
      </c>
      <c r="C914" s="2">
        <f>_xlfn.XLOOKUP(A914,'[1]Tissue Data'!$A:$A,'[1]Tissue Data'!$D:$D)</f>
        <v>44314</v>
      </c>
      <c r="D914" s="2" t="s">
        <v>122</v>
      </c>
      <c r="E914" t="str">
        <f>_xlfn.XLOOKUP(A914,'[1]Tissue Data'!$A:$A,'[1]Tissue Data'!$H:$H)</f>
        <v>Etheostoma</v>
      </c>
      <c r="F914" t="str">
        <f>_xlfn.XLOOKUP(A914,'[1]Tissue Data'!$A:$A,'[1]Tissue Data'!$I:$I)</f>
        <v>fusiforme</v>
      </c>
      <c r="G914" t="str">
        <f>_xlfn.XLOOKUP(A914,'[1]Tissue Data'!$A:$A,'[1]Tissue Data'!J:J)</f>
        <v>U</v>
      </c>
      <c r="H914" t="str">
        <f>_xlfn.XLOOKUP(A914,'[1]Tissue Data'!$A:$A,'[1]Tissue Data'!K:K)</f>
        <v>Whole Body</v>
      </c>
      <c r="I914">
        <f>_xlfn.XLOOKUP(A914,'[1]Tissue Data'!$A:$A,'[1]Tissue Data'!L:L)</f>
        <v>7.5</v>
      </c>
      <c r="J914">
        <f>_xlfn.XLOOKUP(A914,'[1]Tissue Data'!$A:$A,'[1]Tissue Data'!M:M)</f>
        <v>4.25</v>
      </c>
      <c r="K914" t="s">
        <v>24</v>
      </c>
      <c r="L914" t="str">
        <f>_xlfn.XLOOKUP(K914,[2]analyte_order!$B:$B,[2]analyte_order!$C:$C)</f>
        <v>423-41-6</v>
      </c>
      <c r="M914">
        <f>_xlfn.XLOOKUP(L914,[2]analyte_order!$C:$C,[2]analyte_order!$E:$E)</f>
        <v>53</v>
      </c>
      <c r="N914">
        <v>5.3309631983500722E-2</v>
      </c>
    </row>
    <row r="915" spans="1:14">
      <c r="A915" t="s">
        <v>120</v>
      </c>
      <c r="B915" t="str">
        <f>_xlfn.XLOOKUP(A915,'[1]Tissue Data'!$A:$A,'[1]Tissue Data'!$C:$C)</f>
        <v>Down</v>
      </c>
      <c r="C915" s="2">
        <f>_xlfn.XLOOKUP(A915,'[1]Tissue Data'!$A:$A,'[1]Tissue Data'!$D:$D)</f>
        <v>44314</v>
      </c>
      <c r="D915" s="2" t="s">
        <v>122</v>
      </c>
      <c r="E915" t="str">
        <f>_xlfn.XLOOKUP(A915,'[1]Tissue Data'!$A:$A,'[1]Tissue Data'!$H:$H)</f>
        <v>Etheostoma</v>
      </c>
      <c r="F915" t="str">
        <f>_xlfn.XLOOKUP(A915,'[1]Tissue Data'!$A:$A,'[1]Tissue Data'!$I:$I)</f>
        <v>fusiforme</v>
      </c>
      <c r="G915" t="str">
        <f>_xlfn.XLOOKUP(A915,'[1]Tissue Data'!$A:$A,'[1]Tissue Data'!J:J)</f>
        <v>U</v>
      </c>
      <c r="H915" t="str">
        <f>_xlfn.XLOOKUP(A915,'[1]Tissue Data'!$A:$A,'[1]Tissue Data'!K:K)</f>
        <v>Whole Body</v>
      </c>
      <c r="I915">
        <f>_xlfn.XLOOKUP(A915,'[1]Tissue Data'!$A:$A,'[1]Tissue Data'!L:L)</f>
        <v>7.5</v>
      </c>
      <c r="J915">
        <f>_xlfn.XLOOKUP(A915,'[1]Tissue Data'!$A:$A,'[1]Tissue Data'!M:M)</f>
        <v>4.25</v>
      </c>
      <c r="K915" t="s">
        <v>25</v>
      </c>
      <c r="L915" t="str">
        <f>_xlfn.XLOOKUP(K915,[2]analyte_order!$B:$B,[2]analyte_order!$C:$C)</f>
        <v>375-73-5</v>
      </c>
      <c r="M915">
        <f>_xlfn.XLOOKUP(L915,[2]analyte_order!$C:$C,[2]analyte_order!$E:$E)</f>
        <v>14</v>
      </c>
      <c r="N915">
        <v>0.42199999999999999</v>
      </c>
    </row>
    <row r="916" spans="1:14">
      <c r="A916" t="s">
        <v>120</v>
      </c>
      <c r="B916" t="str">
        <f>_xlfn.XLOOKUP(A916,'[1]Tissue Data'!$A:$A,'[1]Tissue Data'!$C:$C)</f>
        <v>Down</v>
      </c>
      <c r="C916" s="2">
        <f>_xlfn.XLOOKUP(A916,'[1]Tissue Data'!$A:$A,'[1]Tissue Data'!$D:$D)</f>
        <v>44314</v>
      </c>
      <c r="D916" s="2" t="s">
        <v>122</v>
      </c>
      <c r="E916" t="str">
        <f>_xlfn.XLOOKUP(A916,'[1]Tissue Data'!$A:$A,'[1]Tissue Data'!$H:$H)</f>
        <v>Etheostoma</v>
      </c>
      <c r="F916" t="str">
        <f>_xlfn.XLOOKUP(A916,'[1]Tissue Data'!$A:$A,'[1]Tissue Data'!$I:$I)</f>
        <v>fusiforme</v>
      </c>
      <c r="G916" t="str">
        <f>_xlfn.XLOOKUP(A916,'[1]Tissue Data'!$A:$A,'[1]Tissue Data'!J:J)</f>
        <v>U</v>
      </c>
      <c r="H916" t="str">
        <f>_xlfn.XLOOKUP(A916,'[1]Tissue Data'!$A:$A,'[1]Tissue Data'!K:K)</f>
        <v>Whole Body</v>
      </c>
      <c r="I916">
        <f>_xlfn.XLOOKUP(A916,'[1]Tissue Data'!$A:$A,'[1]Tissue Data'!L:L)</f>
        <v>7.5</v>
      </c>
      <c r="J916">
        <f>_xlfn.XLOOKUP(A916,'[1]Tissue Data'!$A:$A,'[1]Tissue Data'!M:M)</f>
        <v>4.25</v>
      </c>
      <c r="K916" t="s">
        <v>26</v>
      </c>
      <c r="L916" t="str">
        <f>_xlfn.XLOOKUP(K916,[2]analyte_order!$B:$B,[2]analyte_order!$C:$C)</f>
        <v>2706-91-4</v>
      </c>
      <c r="M916">
        <f>_xlfn.XLOOKUP(L916,[2]analyte_order!$C:$C,[2]analyte_order!$E:$E)</f>
        <v>15</v>
      </c>
      <c r="N916">
        <v>0.11469735353510783</v>
      </c>
    </row>
    <row r="917" spans="1:14">
      <c r="A917" t="s">
        <v>120</v>
      </c>
      <c r="B917" t="str">
        <f>_xlfn.XLOOKUP(A917,'[1]Tissue Data'!$A:$A,'[1]Tissue Data'!$C:$C)</f>
        <v>Down</v>
      </c>
      <c r="C917" s="2">
        <f>_xlfn.XLOOKUP(A917,'[1]Tissue Data'!$A:$A,'[1]Tissue Data'!$D:$D)</f>
        <v>44314</v>
      </c>
      <c r="D917" s="2" t="s">
        <v>122</v>
      </c>
      <c r="E917" t="str">
        <f>_xlfn.XLOOKUP(A917,'[1]Tissue Data'!$A:$A,'[1]Tissue Data'!$H:$H)</f>
        <v>Etheostoma</v>
      </c>
      <c r="F917" t="str">
        <f>_xlfn.XLOOKUP(A917,'[1]Tissue Data'!$A:$A,'[1]Tissue Data'!$I:$I)</f>
        <v>fusiforme</v>
      </c>
      <c r="G917" t="str">
        <f>_xlfn.XLOOKUP(A917,'[1]Tissue Data'!$A:$A,'[1]Tissue Data'!J:J)</f>
        <v>U</v>
      </c>
      <c r="H917" t="str">
        <f>_xlfn.XLOOKUP(A917,'[1]Tissue Data'!$A:$A,'[1]Tissue Data'!K:K)</f>
        <v>Whole Body</v>
      </c>
      <c r="I917">
        <f>_xlfn.XLOOKUP(A917,'[1]Tissue Data'!$A:$A,'[1]Tissue Data'!L:L)</f>
        <v>7.5</v>
      </c>
      <c r="J917">
        <f>_xlfn.XLOOKUP(A917,'[1]Tissue Data'!$A:$A,'[1]Tissue Data'!M:M)</f>
        <v>4.25</v>
      </c>
      <c r="K917" t="s">
        <v>27</v>
      </c>
      <c r="L917" t="str">
        <f>_xlfn.XLOOKUP(K917,[2]analyte_order!$B:$B,[2]analyte_order!$C:$C)</f>
        <v>355-46-4</v>
      </c>
      <c r="M917">
        <f>_xlfn.XLOOKUP(L917,[2]analyte_order!$C:$C,[2]analyte_order!$E:$E)</f>
        <v>16</v>
      </c>
      <c r="N917">
        <v>11.6</v>
      </c>
    </row>
    <row r="918" spans="1:14">
      <c r="A918" t="s">
        <v>120</v>
      </c>
      <c r="B918" t="str">
        <f>_xlfn.XLOOKUP(A918,'[1]Tissue Data'!$A:$A,'[1]Tissue Data'!$C:$C)</f>
        <v>Down</v>
      </c>
      <c r="C918" s="2">
        <f>_xlfn.XLOOKUP(A918,'[1]Tissue Data'!$A:$A,'[1]Tissue Data'!$D:$D)</f>
        <v>44314</v>
      </c>
      <c r="D918" s="2" t="s">
        <v>122</v>
      </c>
      <c r="E918" t="str">
        <f>_xlfn.XLOOKUP(A918,'[1]Tissue Data'!$A:$A,'[1]Tissue Data'!$H:$H)</f>
        <v>Etheostoma</v>
      </c>
      <c r="F918" t="str">
        <f>_xlfn.XLOOKUP(A918,'[1]Tissue Data'!$A:$A,'[1]Tissue Data'!$I:$I)</f>
        <v>fusiforme</v>
      </c>
      <c r="G918" t="str">
        <f>_xlfn.XLOOKUP(A918,'[1]Tissue Data'!$A:$A,'[1]Tissue Data'!J:J)</f>
        <v>U</v>
      </c>
      <c r="H918" t="str">
        <f>_xlfn.XLOOKUP(A918,'[1]Tissue Data'!$A:$A,'[1]Tissue Data'!K:K)</f>
        <v>Whole Body</v>
      </c>
      <c r="I918">
        <f>_xlfn.XLOOKUP(A918,'[1]Tissue Data'!$A:$A,'[1]Tissue Data'!L:L)</f>
        <v>7.5</v>
      </c>
      <c r="J918">
        <f>_xlfn.XLOOKUP(A918,'[1]Tissue Data'!$A:$A,'[1]Tissue Data'!M:M)</f>
        <v>4.25</v>
      </c>
      <c r="K918" t="s">
        <v>28</v>
      </c>
      <c r="L918" t="str">
        <f>_xlfn.XLOOKUP(K918,[2]analyte_order!$B:$B,[2]analyte_order!$C:$C)</f>
        <v>375-92-8</v>
      </c>
      <c r="M918">
        <f>_xlfn.XLOOKUP(L918,[2]analyte_order!$C:$C,[2]analyte_order!$E:$E)</f>
        <v>17</v>
      </c>
      <c r="N918">
        <v>2.77</v>
      </c>
    </row>
    <row r="919" spans="1:14">
      <c r="A919" t="s">
        <v>120</v>
      </c>
      <c r="B919" t="str">
        <f>_xlfn.XLOOKUP(A919,'[1]Tissue Data'!$A:$A,'[1]Tissue Data'!$C:$C)</f>
        <v>Down</v>
      </c>
      <c r="C919" s="2">
        <f>_xlfn.XLOOKUP(A919,'[1]Tissue Data'!$A:$A,'[1]Tissue Data'!$D:$D)</f>
        <v>44314</v>
      </c>
      <c r="D919" s="2" t="s">
        <v>122</v>
      </c>
      <c r="E919" t="str">
        <f>_xlfn.XLOOKUP(A919,'[1]Tissue Data'!$A:$A,'[1]Tissue Data'!$H:$H)</f>
        <v>Etheostoma</v>
      </c>
      <c r="F919" t="str">
        <f>_xlfn.XLOOKUP(A919,'[1]Tissue Data'!$A:$A,'[1]Tissue Data'!$I:$I)</f>
        <v>fusiforme</v>
      </c>
      <c r="G919" t="str">
        <f>_xlfn.XLOOKUP(A919,'[1]Tissue Data'!$A:$A,'[1]Tissue Data'!J:J)</f>
        <v>U</v>
      </c>
      <c r="H919" t="str">
        <f>_xlfn.XLOOKUP(A919,'[1]Tissue Data'!$A:$A,'[1]Tissue Data'!K:K)</f>
        <v>Whole Body</v>
      </c>
      <c r="I919">
        <f>_xlfn.XLOOKUP(A919,'[1]Tissue Data'!$A:$A,'[1]Tissue Data'!L:L)</f>
        <v>7.5</v>
      </c>
      <c r="J919">
        <f>_xlfn.XLOOKUP(A919,'[1]Tissue Data'!$A:$A,'[1]Tissue Data'!M:M)</f>
        <v>4.25</v>
      </c>
      <c r="K919" t="s">
        <v>29</v>
      </c>
      <c r="L919" t="str">
        <f>_xlfn.XLOOKUP(K919,[2]analyte_order!$B:$B,[2]analyte_order!$C:$C)</f>
        <v>1763-23-1</v>
      </c>
      <c r="M919">
        <f>_xlfn.XLOOKUP(L919,[2]analyte_order!$C:$C,[2]analyte_order!$E:$E)</f>
        <v>18</v>
      </c>
      <c r="N919">
        <v>872</v>
      </c>
    </row>
    <row r="920" spans="1:14">
      <c r="A920" t="s">
        <v>120</v>
      </c>
      <c r="B920" t="str">
        <f>_xlfn.XLOOKUP(A920,'[1]Tissue Data'!$A:$A,'[1]Tissue Data'!$C:$C)</f>
        <v>Down</v>
      </c>
      <c r="C920" s="2">
        <f>_xlfn.XLOOKUP(A920,'[1]Tissue Data'!$A:$A,'[1]Tissue Data'!$D:$D)</f>
        <v>44314</v>
      </c>
      <c r="D920" s="2" t="s">
        <v>122</v>
      </c>
      <c r="E920" t="str">
        <f>_xlfn.XLOOKUP(A920,'[1]Tissue Data'!$A:$A,'[1]Tissue Data'!$H:$H)</f>
        <v>Etheostoma</v>
      </c>
      <c r="F920" t="str">
        <f>_xlfn.XLOOKUP(A920,'[1]Tissue Data'!$A:$A,'[1]Tissue Data'!$I:$I)</f>
        <v>fusiforme</v>
      </c>
      <c r="G920" t="str">
        <f>_xlfn.XLOOKUP(A920,'[1]Tissue Data'!$A:$A,'[1]Tissue Data'!J:J)</f>
        <v>U</v>
      </c>
      <c r="H920" t="str">
        <f>_xlfn.XLOOKUP(A920,'[1]Tissue Data'!$A:$A,'[1]Tissue Data'!K:K)</f>
        <v>Whole Body</v>
      </c>
      <c r="I920">
        <f>_xlfn.XLOOKUP(A920,'[1]Tissue Data'!$A:$A,'[1]Tissue Data'!L:L)</f>
        <v>7.5</v>
      </c>
      <c r="J920">
        <f>_xlfn.XLOOKUP(A920,'[1]Tissue Data'!$A:$A,'[1]Tissue Data'!M:M)</f>
        <v>4.25</v>
      </c>
      <c r="K920" t="s">
        <v>30</v>
      </c>
      <c r="L920" t="str">
        <f>_xlfn.XLOOKUP(K920,[2]analyte_order!$B:$B,[2]analyte_order!$C:$C)</f>
        <v>68259-12-1</v>
      </c>
      <c r="M920">
        <f>_xlfn.XLOOKUP(L920,[2]analyte_order!$C:$C,[2]analyte_order!$E:$E)</f>
        <v>19</v>
      </c>
      <c r="N920">
        <v>1.1499999999999999</v>
      </c>
    </row>
    <row r="921" spans="1:14">
      <c r="A921" t="s">
        <v>120</v>
      </c>
      <c r="B921" t="str">
        <f>_xlfn.XLOOKUP(A921,'[1]Tissue Data'!$A:$A,'[1]Tissue Data'!$C:$C)</f>
        <v>Down</v>
      </c>
      <c r="C921" s="2">
        <f>_xlfn.XLOOKUP(A921,'[1]Tissue Data'!$A:$A,'[1]Tissue Data'!$D:$D)</f>
        <v>44314</v>
      </c>
      <c r="D921" s="2" t="s">
        <v>122</v>
      </c>
      <c r="E921" t="str">
        <f>_xlfn.XLOOKUP(A921,'[1]Tissue Data'!$A:$A,'[1]Tissue Data'!$H:$H)</f>
        <v>Etheostoma</v>
      </c>
      <c r="F921" t="str">
        <f>_xlfn.XLOOKUP(A921,'[1]Tissue Data'!$A:$A,'[1]Tissue Data'!$I:$I)</f>
        <v>fusiforme</v>
      </c>
      <c r="G921" t="str">
        <f>_xlfn.XLOOKUP(A921,'[1]Tissue Data'!$A:$A,'[1]Tissue Data'!J:J)</f>
        <v>U</v>
      </c>
      <c r="H921" t="str">
        <f>_xlfn.XLOOKUP(A921,'[1]Tissue Data'!$A:$A,'[1]Tissue Data'!K:K)</f>
        <v>Whole Body</v>
      </c>
      <c r="I921">
        <f>_xlfn.XLOOKUP(A921,'[1]Tissue Data'!$A:$A,'[1]Tissue Data'!L:L)</f>
        <v>7.5</v>
      </c>
      <c r="J921">
        <f>_xlfn.XLOOKUP(A921,'[1]Tissue Data'!$A:$A,'[1]Tissue Data'!M:M)</f>
        <v>4.25</v>
      </c>
      <c r="K921" t="s">
        <v>31</v>
      </c>
      <c r="L921" t="str">
        <f>_xlfn.XLOOKUP(K921,[2]analyte_order!$B:$B,[2]analyte_order!$C:$C)</f>
        <v>335-77-3</v>
      </c>
      <c r="M921">
        <f>_xlfn.XLOOKUP(L921,[2]analyte_order!$C:$C,[2]analyte_order!$E:$E)</f>
        <v>20</v>
      </c>
      <c r="N921">
        <v>0.91500000000000004</v>
      </c>
    </row>
    <row r="922" spans="1:14">
      <c r="A922" t="s">
        <v>120</v>
      </c>
      <c r="B922" t="str">
        <f>_xlfn.XLOOKUP(A922,'[1]Tissue Data'!$A:$A,'[1]Tissue Data'!$C:$C)</f>
        <v>Down</v>
      </c>
      <c r="C922" s="2">
        <f>_xlfn.XLOOKUP(A922,'[1]Tissue Data'!$A:$A,'[1]Tissue Data'!$D:$D)</f>
        <v>44314</v>
      </c>
      <c r="D922" s="2" t="s">
        <v>122</v>
      </c>
      <c r="E922" t="str">
        <f>_xlfn.XLOOKUP(A922,'[1]Tissue Data'!$A:$A,'[1]Tissue Data'!$H:$H)</f>
        <v>Etheostoma</v>
      </c>
      <c r="F922" t="str">
        <f>_xlfn.XLOOKUP(A922,'[1]Tissue Data'!$A:$A,'[1]Tissue Data'!$I:$I)</f>
        <v>fusiforme</v>
      </c>
      <c r="G922" t="str">
        <f>_xlfn.XLOOKUP(A922,'[1]Tissue Data'!$A:$A,'[1]Tissue Data'!J:J)</f>
        <v>U</v>
      </c>
      <c r="H922" t="str">
        <f>_xlfn.XLOOKUP(A922,'[1]Tissue Data'!$A:$A,'[1]Tissue Data'!K:K)</f>
        <v>Whole Body</v>
      </c>
      <c r="I922">
        <f>_xlfn.XLOOKUP(A922,'[1]Tissue Data'!$A:$A,'[1]Tissue Data'!L:L)</f>
        <v>7.5</v>
      </c>
      <c r="J922">
        <f>_xlfn.XLOOKUP(A922,'[1]Tissue Data'!$A:$A,'[1]Tissue Data'!M:M)</f>
        <v>4.25</v>
      </c>
      <c r="K922" t="s">
        <v>32</v>
      </c>
      <c r="L922" t="str">
        <f>_xlfn.XLOOKUP(K922,[2]analyte_order!$B:$B,[2]analyte_order!$C:$C)</f>
        <v>79780-39-5</v>
      </c>
      <c r="M922">
        <f>_xlfn.XLOOKUP(L922,[2]analyte_order!$C:$C,[2]analyte_order!$E:$E)</f>
        <v>21</v>
      </c>
      <c r="N922">
        <v>0.23162139910613211</v>
      </c>
    </row>
    <row r="923" spans="1:14">
      <c r="A923" t="s">
        <v>120</v>
      </c>
      <c r="B923" t="str">
        <f>_xlfn.XLOOKUP(A923,'[1]Tissue Data'!$A:$A,'[1]Tissue Data'!$C:$C)</f>
        <v>Down</v>
      </c>
      <c r="C923" s="2">
        <f>_xlfn.XLOOKUP(A923,'[1]Tissue Data'!$A:$A,'[1]Tissue Data'!$D:$D)</f>
        <v>44314</v>
      </c>
      <c r="D923" s="2" t="s">
        <v>122</v>
      </c>
      <c r="E923" t="str">
        <f>_xlfn.XLOOKUP(A923,'[1]Tissue Data'!$A:$A,'[1]Tissue Data'!$H:$H)</f>
        <v>Etheostoma</v>
      </c>
      <c r="F923" t="str">
        <f>_xlfn.XLOOKUP(A923,'[1]Tissue Data'!$A:$A,'[1]Tissue Data'!$I:$I)</f>
        <v>fusiforme</v>
      </c>
      <c r="G923" t="str">
        <f>_xlfn.XLOOKUP(A923,'[1]Tissue Data'!$A:$A,'[1]Tissue Data'!J:J)</f>
        <v>U</v>
      </c>
      <c r="H923" t="str">
        <f>_xlfn.XLOOKUP(A923,'[1]Tissue Data'!$A:$A,'[1]Tissue Data'!K:K)</f>
        <v>Whole Body</v>
      </c>
      <c r="I923">
        <f>_xlfn.XLOOKUP(A923,'[1]Tissue Data'!$A:$A,'[1]Tissue Data'!L:L)</f>
        <v>7.5</v>
      </c>
      <c r="J923">
        <f>_xlfn.XLOOKUP(A923,'[1]Tissue Data'!$A:$A,'[1]Tissue Data'!M:M)</f>
        <v>4.25</v>
      </c>
      <c r="K923" t="s">
        <v>33</v>
      </c>
      <c r="L923" t="str">
        <f>_xlfn.XLOOKUP(K923,[2]analyte_order!$B:$B,[2]analyte_order!$C:$C)</f>
        <v>777011-38-8</v>
      </c>
      <c r="M923">
        <f>_xlfn.XLOOKUP(L923,[2]analyte_order!$C:$C,[2]analyte_order!$E:$E)</f>
        <v>54</v>
      </c>
      <c r="N923">
        <v>0.1316220093097035</v>
      </c>
    </row>
    <row r="924" spans="1:14">
      <c r="A924" t="s">
        <v>120</v>
      </c>
      <c r="B924" t="str">
        <f>_xlfn.XLOOKUP(A924,'[1]Tissue Data'!$A:$A,'[1]Tissue Data'!$C:$C)</f>
        <v>Down</v>
      </c>
      <c r="C924" s="2">
        <f>_xlfn.XLOOKUP(A924,'[1]Tissue Data'!$A:$A,'[1]Tissue Data'!$D:$D)</f>
        <v>44314</v>
      </c>
      <c r="D924" s="2" t="s">
        <v>122</v>
      </c>
      <c r="E924" t="str">
        <f>_xlfn.XLOOKUP(A924,'[1]Tissue Data'!$A:$A,'[1]Tissue Data'!$H:$H)</f>
        <v>Etheostoma</v>
      </c>
      <c r="F924" t="str">
        <f>_xlfn.XLOOKUP(A924,'[1]Tissue Data'!$A:$A,'[1]Tissue Data'!$I:$I)</f>
        <v>fusiforme</v>
      </c>
      <c r="G924" t="str">
        <f>_xlfn.XLOOKUP(A924,'[1]Tissue Data'!$A:$A,'[1]Tissue Data'!J:J)</f>
        <v>U</v>
      </c>
      <c r="H924" t="str">
        <f>_xlfn.XLOOKUP(A924,'[1]Tissue Data'!$A:$A,'[1]Tissue Data'!K:K)</f>
        <v>Whole Body</v>
      </c>
      <c r="I924">
        <f>_xlfn.XLOOKUP(A924,'[1]Tissue Data'!$A:$A,'[1]Tissue Data'!L:L)</f>
        <v>7.5</v>
      </c>
      <c r="J924">
        <f>_xlfn.XLOOKUP(A924,'[1]Tissue Data'!$A:$A,'[1]Tissue Data'!M:M)</f>
        <v>4.25</v>
      </c>
      <c r="K924" t="s">
        <v>34</v>
      </c>
      <c r="L924" t="str">
        <f>_xlfn.XLOOKUP(K924,[2]analyte_order!$B:$B,[2]analyte_order!$C:$C)</f>
        <v>646-83-3</v>
      </c>
      <c r="M924">
        <f>_xlfn.XLOOKUP(L924,[2]analyte_order!$C:$C,[2]analyte_order!$E:$E)</f>
        <v>55</v>
      </c>
      <c r="N924">
        <v>0.35099999999999998</v>
      </c>
    </row>
    <row r="925" spans="1:14">
      <c r="A925" t="s">
        <v>120</v>
      </c>
      <c r="B925" t="str">
        <f>_xlfn.XLOOKUP(A925,'[1]Tissue Data'!$A:$A,'[1]Tissue Data'!$C:$C)</f>
        <v>Down</v>
      </c>
      <c r="C925" s="2">
        <f>_xlfn.XLOOKUP(A925,'[1]Tissue Data'!$A:$A,'[1]Tissue Data'!$D:$D)</f>
        <v>44314</v>
      </c>
      <c r="D925" s="2" t="s">
        <v>122</v>
      </c>
      <c r="E925" t="str">
        <f>_xlfn.XLOOKUP(A925,'[1]Tissue Data'!$A:$A,'[1]Tissue Data'!$H:$H)</f>
        <v>Etheostoma</v>
      </c>
      <c r="F925" t="str">
        <f>_xlfn.XLOOKUP(A925,'[1]Tissue Data'!$A:$A,'[1]Tissue Data'!$I:$I)</f>
        <v>fusiforme</v>
      </c>
      <c r="G925" t="str">
        <f>_xlfn.XLOOKUP(A925,'[1]Tissue Data'!$A:$A,'[1]Tissue Data'!J:J)</f>
        <v>U</v>
      </c>
      <c r="H925" t="str">
        <f>_xlfn.XLOOKUP(A925,'[1]Tissue Data'!$A:$A,'[1]Tissue Data'!K:K)</f>
        <v>Whole Body</v>
      </c>
      <c r="I925">
        <f>_xlfn.XLOOKUP(A925,'[1]Tissue Data'!$A:$A,'[1]Tissue Data'!L:L)</f>
        <v>7.5</v>
      </c>
      <c r="J925">
        <f>_xlfn.XLOOKUP(A925,'[1]Tissue Data'!$A:$A,'[1]Tissue Data'!M:M)</f>
        <v>4.25</v>
      </c>
      <c r="K925" t="s">
        <v>35</v>
      </c>
      <c r="L925" t="str">
        <f>_xlfn.XLOOKUP(K925,[2]analyte_order!$B:$B,[2]analyte_order!$C:$C)</f>
        <v>30334-69-1</v>
      </c>
      <c r="M925">
        <f>_xlfn.XLOOKUP(L925,[2]analyte_order!$C:$C,[2]analyte_order!$E:$E)</f>
        <v>51</v>
      </c>
      <c r="N925">
        <v>22.6</v>
      </c>
    </row>
    <row r="926" spans="1:14">
      <c r="A926" t="s">
        <v>120</v>
      </c>
      <c r="B926" t="str">
        <f>_xlfn.XLOOKUP(A926,'[1]Tissue Data'!$A:$A,'[1]Tissue Data'!$C:$C)</f>
        <v>Down</v>
      </c>
      <c r="C926" s="2">
        <f>_xlfn.XLOOKUP(A926,'[1]Tissue Data'!$A:$A,'[1]Tissue Data'!$D:$D)</f>
        <v>44314</v>
      </c>
      <c r="D926" s="2" t="s">
        <v>122</v>
      </c>
      <c r="E926" t="str">
        <f>_xlfn.XLOOKUP(A926,'[1]Tissue Data'!$A:$A,'[1]Tissue Data'!$H:$H)</f>
        <v>Etheostoma</v>
      </c>
      <c r="F926" t="str">
        <f>_xlfn.XLOOKUP(A926,'[1]Tissue Data'!$A:$A,'[1]Tissue Data'!$I:$I)</f>
        <v>fusiforme</v>
      </c>
      <c r="G926" t="str">
        <f>_xlfn.XLOOKUP(A926,'[1]Tissue Data'!$A:$A,'[1]Tissue Data'!J:J)</f>
        <v>U</v>
      </c>
      <c r="H926" t="str">
        <f>_xlfn.XLOOKUP(A926,'[1]Tissue Data'!$A:$A,'[1]Tissue Data'!K:K)</f>
        <v>Whole Body</v>
      </c>
      <c r="I926">
        <f>_xlfn.XLOOKUP(A926,'[1]Tissue Data'!$A:$A,'[1]Tissue Data'!L:L)</f>
        <v>7.5</v>
      </c>
      <c r="J926">
        <f>_xlfn.XLOOKUP(A926,'[1]Tissue Data'!$A:$A,'[1]Tissue Data'!M:M)</f>
        <v>4.25</v>
      </c>
      <c r="K926" t="s">
        <v>36</v>
      </c>
      <c r="L926" t="str">
        <f>_xlfn.XLOOKUP(K926,[2]analyte_order!$B:$B,[2]analyte_order!$C:$C)</f>
        <v>41997-13-1</v>
      </c>
      <c r="M926">
        <f>_xlfn.XLOOKUP(L926,[2]analyte_order!$C:$C,[2]analyte_order!$E:$E)</f>
        <v>52</v>
      </c>
      <c r="N926">
        <v>158</v>
      </c>
    </row>
    <row r="927" spans="1:14">
      <c r="A927" t="s">
        <v>120</v>
      </c>
      <c r="B927" t="str">
        <f>_xlfn.XLOOKUP(A927,'[1]Tissue Data'!$A:$A,'[1]Tissue Data'!$C:$C)</f>
        <v>Down</v>
      </c>
      <c r="C927" s="2">
        <f>_xlfn.XLOOKUP(A927,'[1]Tissue Data'!$A:$A,'[1]Tissue Data'!$D:$D)</f>
        <v>44314</v>
      </c>
      <c r="D927" s="2" t="s">
        <v>122</v>
      </c>
      <c r="E927" t="str">
        <f>_xlfn.XLOOKUP(A927,'[1]Tissue Data'!$A:$A,'[1]Tissue Data'!$H:$H)</f>
        <v>Etheostoma</v>
      </c>
      <c r="F927" t="str">
        <f>_xlfn.XLOOKUP(A927,'[1]Tissue Data'!$A:$A,'[1]Tissue Data'!$I:$I)</f>
        <v>fusiforme</v>
      </c>
      <c r="G927" t="str">
        <f>_xlfn.XLOOKUP(A927,'[1]Tissue Data'!$A:$A,'[1]Tissue Data'!J:J)</f>
        <v>U</v>
      </c>
      <c r="H927" t="str">
        <f>_xlfn.XLOOKUP(A927,'[1]Tissue Data'!$A:$A,'[1]Tissue Data'!K:K)</f>
        <v>Whole Body</v>
      </c>
      <c r="I927">
        <f>_xlfn.XLOOKUP(A927,'[1]Tissue Data'!$A:$A,'[1]Tissue Data'!L:L)</f>
        <v>7.5</v>
      </c>
      <c r="J927">
        <f>_xlfn.XLOOKUP(A927,'[1]Tissue Data'!$A:$A,'[1]Tissue Data'!M:M)</f>
        <v>4.25</v>
      </c>
      <c r="K927" t="s">
        <v>37</v>
      </c>
      <c r="L927" t="str">
        <f>_xlfn.XLOOKUP(K927,[2]analyte_order!$B:$B,[2]analyte_order!$C:$C)</f>
        <v>754-91-6</v>
      </c>
      <c r="M927">
        <f>_xlfn.XLOOKUP(L927,[2]analyte_order!$C:$C,[2]analyte_order!$E:$E)</f>
        <v>28</v>
      </c>
      <c r="N927">
        <v>42.7</v>
      </c>
    </row>
    <row r="928" spans="1:14">
      <c r="A928" t="s">
        <v>120</v>
      </c>
      <c r="B928" t="str">
        <f>_xlfn.XLOOKUP(A928,'[1]Tissue Data'!$A:$A,'[1]Tissue Data'!$C:$C)</f>
        <v>Down</v>
      </c>
      <c r="C928" s="2">
        <f>_xlfn.XLOOKUP(A928,'[1]Tissue Data'!$A:$A,'[1]Tissue Data'!$D:$D)</f>
        <v>44314</v>
      </c>
      <c r="D928" s="2" t="s">
        <v>122</v>
      </c>
      <c r="E928" t="str">
        <f>_xlfn.XLOOKUP(A928,'[1]Tissue Data'!$A:$A,'[1]Tissue Data'!$H:$H)</f>
        <v>Etheostoma</v>
      </c>
      <c r="F928" t="str">
        <f>_xlfn.XLOOKUP(A928,'[1]Tissue Data'!$A:$A,'[1]Tissue Data'!$I:$I)</f>
        <v>fusiforme</v>
      </c>
      <c r="G928" t="str">
        <f>_xlfn.XLOOKUP(A928,'[1]Tissue Data'!$A:$A,'[1]Tissue Data'!J:J)</f>
        <v>U</v>
      </c>
      <c r="H928" t="str">
        <f>_xlfn.XLOOKUP(A928,'[1]Tissue Data'!$A:$A,'[1]Tissue Data'!K:K)</f>
        <v>Whole Body</v>
      </c>
      <c r="I928">
        <f>_xlfn.XLOOKUP(A928,'[1]Tissue Data'!$A:$A,'[1]Tissue Data'!L:L)</f>
        <v>7.5</v>
      </c>
      <c r="J928">
        <f>_xlfn.XLOOKUP(A928,'[1]Tissue Data'!$A:$A,'[1]Tissue Data'!M:M)</f>
        <v>4.25</v>
      </c>
      <c r="K928" t="s">
        <v>38</v>
      </c>
      <c r="L928" t="str">
        <f>_xlfn.XLOOKUP(K928,[2]analyte_order!$B:$B,[2]analyte_order!$C:$C)</f>
        <v>31506-32-8</v>
      </c>
      <c r="M928">
        <f>_xlfn.XLOOKUP(L928,[2]analyte_order!$C:$C,[2]analyte_order!$E:$E)</f>
        <v>30</v>
      </c>
      <c r="N928">
        <v>5.3828785911047346E-2</v>
      </c>
    </row>
    <row r="929" spans="1:14">
      <c r="A929" t="s">
        <v>120</v>
      </c>
      <c r="B929" t="str">
        <f>_xlfn.XLOOKUP(A929,'[1]Tissue Data'!$A:$A,'[1]Tissue Data'!$C:$C)</f>
        <v>Down</v>
      </c>
      <c r="C929" s="2">
        <f>_xlfn.XLOOKUP(A929,'[1]Tissue Data'!$A:$A,'[1]Tissue Data'!$D:$D)</f>
        <v>44314</v>
      </c>
      <c r="D929" s="2" t="s">
        <v>122</v>
      </c>
      <c r="E929" t="str">
        <f>_xlfn.XLOOKUP(A929,'[1]Tissue Data'!$A:$A,'[1]Tissue Data'!$H:$H)</f>
        <v>Etheostoma</v>
      </c>
      <c r="F929" t="str">
        <f>_xlfn.XLOOKUP(A929,'[1]Tissue Data'!$A:$A,'[1]Tissue Data'!$I:$I)</f>
        <v>fusiforme</v>
      </c>
      <c r="G929" t="str">
        <f>_xlfn.XLOOKUP(A929,'[1]Tissue Data'!$A:$A,'[1]Tissue Data'!J:J)</f>
        <v>U</v>
      </c>
      <c r="H929" t="str">
        <f>_xlfn.XLOOKUP(A929,'[1]Tissue Data'!$A:$A,'[1]Tissue Data'!K:K)</f>
        <v>Whole Body</v>
      </c>
      <c r="I929">
        <f>_xlfn.XLOOKUP(A929,'[1]Tissue Data'!$A:$A,'[1]Tissue Data'!L:L)</f>
        <v>7.5</v>
      </c>
      <c r="J929">
        <f>_xlfn.XLOOKUP(A929,'[1]Tissue Data'!$A:$A,'[1]Tissue Data'!M:M)</f>
        <v>4.25</v>
      </c>
      <c r="K929" t="s">
        <v>39</v>
      </c>
      <c r="L929" t="str">
        <f>_xlfn.XLOOKUP(K929,[2]analyte_order!$B:$B,[2]analyte_order!$C:$C)</f>
        <v>4151-50-2</v>
      </c>
      <c r="M929">
        <f>_xlfn.XLOOKUP(L929,[2]analyte_order!$C:$C,[2]analyte_order!$E:$E)</f>
        <v>31</v>
      </c>
      <c r="N929">
        <v>8.1538562743902449E-2</v>
      </c>
    </row>
    <row r="930" spans="1:14">
      <c r="A930" t="s">
        <v>120</v>
      </c>
      <c r="B930" t="str">
        <f>_xlfn.XLOOKUP(A930,'[1]Tissue Data'!$A:$A,'[1]Tissue Data'!$C:$C)</f>
        <v>Down</v>
      </c>
      <c r="C930" s="2">
        <f>_xlfn.XLOOKUP(A930,'[1]Tissue Data'!$A:$A,'[1]Tissue Data'!$D:$D)</f>
        <v>44314</v>
      </c>
      <c r="D930" s="2" t="s">
        <v>122</v>
      </c>
      <c r="E930" t="str">
        <f>_xlfn.XLOOKUP(A930,'[1]Tissue Data'!$A:$A,'[1]Tissue Data'!$H:$H)</f>
        <v>Etheostoma</v>
      </c>
      <c r="F930" t="str">
        <f>_xlfn.XLOOKUP(A930,'[1]Tissue Data'!$A:$A,'[1]Tissue Data'!$I:$I)</f>
        <v>fusiforme</v>
      </c>
      <c r="G930" t="str">
        <f>_xlfn.XLOOKUP(A930,'[1]Tissue Data'!$A:$A,'[1]Tissue Data'!J:J)</f>
        <v>U</v>
      </c>
      <c r="H930" t="str">
        <f>_xlfn.XLOOKUP(A930,'[1]Tissue Data'!$A:$A,'[1]Tissue Data'!K:K)</f>
        <v>Whole Body</v>
      </c>
      <c r="I930">
        <f>_xlfn.XLOOKUP(A930,'[1]Tissue Data'!$A:$A,'[1]Tissue Data'!L:L)</f>
        <v>7.5</v>
      </c>
      <c r="J930">
        <f>_xlfn.XLOOKUP(A930,'[1]Tissue Data'!$A:$A,'[1]Tissue Data'!M:M)</f>
        <v>4.25</v>
      </c>
      <c r="K930" t="s">
        <v>40</v>
      </c>
      <c r="L930" t="str">
        <f>_xlfn.XLOOKUP(K930,[2]analyte_order!$B:$B,[2]analyte_order!$C:$C)</f>
        <v>2806-24-8</v>
      </c>
      <c r="M930">
        <f>_xlfn.XLOOKUP(L930,[2]analyte_order!$C:$C,[2]analyte_order!$E:$E)</f>
        <v>29</v>
      </c>
      <c r="N930">
        <v>5.5076152790530838E-2</v>
      </c>
    </row>
    <row r="931" spans="1:14">
      <c r="A931" t="s">
        <v>120</v>
      </c>
      <c r="B931" t="str">
        <f>_xlfn.XLOOKUP(A931,'[1]Tissue Data'!$A:$A,'[1]Tissue Data'!$C:$C)</f>
        <v>Down</v>
      </c>
      <c r="C931" s="2">
        <f>_xlfn.XLOOKUP(A931,'[1]Tissue Data'!$A:$A,'[1]Tissue Data'!$D:$D)</f>
        <v>44314</v>
      </c>
      <c r="D931" s="2" t="s">
        <v>122</v>
      </c>
      <c r="E931" t="str">
        <f>_xlfn.XLOOKUP(A931,'[1]Tissue Data'!$A:$A,'[1]Tissue Data'!$H:$H)</f>
        <v>Etheostoma</v>
      </c>
      <c r="F931" t="str">
        <f>_xlfn.XLOOKUP(A931,'[1]Tissue Data'!$A:$A,'[1]Tissue Data'!$I:$I)</f>
        <v>fusiforme</v>
      </c>
      <c r="G931" t="str">
        <f>_xlfn.XLOOKUP(A931,'[1]Tissue Data'!$A:$A,'[1]Tissue Data'!J:J)</f>
        <v>U</v>
      </c>
      <c r="H931" t="str">
        <f>_xlfn.XLOOKUP(A931,'[1]Tissue Data'!$A:$A,'[1]Tissue Data'!K:K)</f>
        <v>Whole Body</v>
      </c>
      <c r="I931">
        <f>_xlfn.XLOOKUP(A931,'[1]Tissue Data'!$A:$A,'[1]Tissue Data'!L:L)</f>
        <v>7.5</v>
      </c>
      <c r="J931">
        <f>_xlfn.XLOOKUP(A931,'[1]Tissue Data'!$A:$A,'[1]Tissue Data'!M:M)</f>
        <v>4.25</v>
      </c>
      <c r="K931" t="s">
        <v>41</v>
      </c>
      <c r="L931" t="str">
        <f>_xlfn.XLOOKUP(K931,[2]analyte_order!$B:$B,[2]analyte_order!$C:$C)</f>
        <v>2355-31-9</v>
      </c>
      <c r="M931">
        <f>_xlfn.XLOOKUP(L931,[2]analyte_order!$C:$C,[2]analyte_order!$E:$E)</f>
        <v>26</v>
      </c>
      <c r="N931">
        <v>13.3</v>
      </c>
    </row>
    <row r="932" spans="1:14">
      <c r="A932" t="s">
        <v>120</v>
      </c>
      <c r="B932" t="str">
        <f>_xlfn.XLOOKUP(A932,'[1]Tissue Data'!$A:$A,'[1]Tissue Data'!$C:$C)</f>
        <v>Down</v>
      </c>
      <c r="C932" s="2">
        <f>_xlfn.XLOOKUP(A932,'[1]Tissue Data'!$A:$A,'[1]Tissue Data'!$D:$D)</f>
        <v>44314</v>
      </c>
      <c r="D932" s="2" t="s">
        <v>122</v>
      </c>
      <c r="E932" t="str">
        <f>_xlfn.XLOOKUP(A932,'[1]Tissue Data'!$A:$A,'[1]Tissue Data'!$H:$H)</f>
        <v>Etheostoma</v>
      </c>
      <c r="F932" t="str">
        <f>_xlfn.XLOOKUP(A932,'[1]Tissue Data'!$A:$A,'[1]Tissue Data'!$I:$I)</f>
        <v>fusiforme</v>
      </c>
      <c r="G932" t="str">
        <f>_xlfn.XLOOKUP(A932,'[1]Tissue Data'!$A:$A,'[1]Tissue Data'!J:J)</f>
        <v>U</v>
      </c>
      <c r="H932" t="str">
        <f>_xlfn.XLOOKUP(A932,'[1]Tissue Data'!$A:$A,'[1]Tissue Data'!K:K)</f>
        <v>Whole Body</v>
      </c>
      <c r="I932">
        <f>_xlfn.XLOOKUP(A932,'[1]Tissue Data'!$A:$A,'[1]Tissue Data'!L:L)</f>
        <v>7.5</v>
      </c>
      <c r="J932">
        <f>_xlfn.XLOOKUP(A932,'[1]Tissue Data'!$A:$A,'[1]Tissue Data'!M:M)</f>
        <v>4.25</v>
      </c>
      <c r="K932" t="s">
        <v>42</v>
      </c>
      <c r="L932" t="str">
        <f>_xlfn.XLOOKUP(K932,[2]analyte_order!$B:$B,[2]analyte_order!$C:$C)</f>
        <v>2991-50-6</v>
      </c>
      <c r="M932">
        <f>_xlfn.XLOOKUP(L932,[2]analyte_order!$C:$C,[2]analyte_order!$E:$E)</f>
        <v>27</v>
      </c>
      <c r="N932">
        <v>0.18800332566610511</v>
      </c>
    </row>
    <row r="933" spans="1:14">
      <c r="A933" t="s">
        <v>120</v>
      </c>
      <c r="B933" t="str">
        <f>_xlfn.XLOOKUP(A933,'[1]Tissue Data'!$A:$A,'[1]Tissue Data'!$C:$C)</f>
        <v>Down</v>
      </c>
      <c r="C933" s="2">
        <f>_xlfn.XLOOKUP(A933,'[1]Tissue Data'!$A:$A,'[1]Tissue Data'!$D:$D)</f>
        <v>44314</v>
      </c>
      <c r="D933" s="2" t="s">
        <v>122</v>
      </c>
      <c r="E933" t="str">
        <f>_xlfn.XLOOKUP(A933,'[1]Tissue Data'!$A:$A,'[1]Tissue Data'!$H:$H)</f>
        <v>Etheostoma</v>
      </c>
      <c r="F933" t="str">
        <f>_xlfn.XLOOKUP(A933,'[1]Tissue Data'!$A:$A,'[1]Tissue Data'!$I:$I)</f>
        <v>fusiforme</v>
      </c>
      <c r="G933" t="str">
        <f>_xlfn.XLOOKUP(A933,'[1]Tissue Data'!$A:$A,'[1]Tissue Data'!J:J)</f>
        <v>U</v>
      </c>
      <c r="H933" t="str">
        <f>_xlfn.XLOOKUP(A933,'[1]Tissue Data'!$A:$A,'[1]Tissue Data'!K:K)</f>
        <v>Whole Body</v>
      </c>
      <c r="I933">
        <f>_xlfn.XLOOKUP(A933,'[1]Tissue Data'!$A:$A,'[1]Tissue Data'!L:L)</f>
        <v>7.5</v>
      </c>
      <c r="J933">
        <f>_xlfn.XLOOKUP(A933,'[1]Tissue Data'!$A:$A,'[1]Tissue Data'!M:M)</f>
        <v>4.25</v>
      </c>
      <c r="K933" t="s">
        <v>43</v>
      </c>
      <c r="L933" t="str">
        <f>_xlfn.XLOOKUP(K933,[2]analyte_order!$B:$B,[2]analyte_order!$C:$C)</f>
        <v>757124-72-4</v>
      </c>
      <c r="M933">
        <f>_xlfn.XLOOKUP(L933,[2]analyte_order!$C:$C,[2]analyte_order!$E:$E)</f>
        <v>22</v>
      </c>
      <c r="N933">
        <v>5.7392664662840744E-2</v>
      </c>
    </row>
    <row r="934" spans="1:14">
      <c r="A934" t="s">
        <v>120</v>
      </c>
      <c r="B934" t="str">
        <f>_xlfn.XLOOKUP(A934,'[1]Tissue Data'!$A:$A,'[1]Tissue Data'!$C:$C)</f>
        <v>Down</v>
      </c>
      <c r="C934" s="2">
        <f>_xlfn.XLOOKUP(A934,'[1]Tissue Data'!$A:$A,'[1]Tissue Data'!$D:$D)</f>
        <v>44314</v>
      </c>
      <c r="D934" s="2" t="s">
        <v>122</v>
      </c>
      <c r="E934" t="str">
        <f>_xlfn.XLOOKUP(A934,'[1]Tissue Data'!$A:$A,'[1]Tissue Data'!$H:$H)</f>
        <v>Etheostoma</v>
      </c>
      <c r="F934" t="str">
        <f>_xlfn.XLOOKUP(A934,'[1]Tissue Data'!$A:$A,'[1]Tissue Data'!$I:$I)</f>
        <v>fusiforme</v>
      </c>
      <c r="G934" t="str">
        <f>_xlfn.XLOOKUP(A934,'[1]Tissue Data'!$A:$A,'[1]Tissue Data'!J:J)</f>
        <v>U</v>
      </c>
      <c r="H934" t="str">
        <f>_xlfn.XLOOKUP(A934,'[1]Tissue Data'!$A:$A,'[1]Tissue Data'!K:K)</f>
        <v>Whole Body</v>
      </c>
      <c r="I934">
        <f>_xlfn.XLOOKUP(A934,'[1]Tissue Data'!$A:$A,'[1]Tissue Data'!L:L)</f>
        <v>7.5</v>
      </c>
      <c r="J934">
        <f>_xlfn.XLOOKUP(A934,'[1]Tissue Data'!$A:$A,'[1]Tissue Data'!M:M)</f>
        <v>4.25</v>
      </c>
      <c r="K934" t="s">
        <v>44</v>
      </c>
      <c r="L934" t="str">
        <f>_xlfn.XLOOKUP(K934,[2]analyte_order!$B:$B,[2]analyte_order!$C:$C)</f>
        <v>27619-97-2</v>
      </c>
      <c r="M934">
        <f>_xlfn.XLOOKUP(L934,[2]analyte_order!$C:$C,[2]analyte_order!$E:$E)</f>
        <v>23</v>
      </c>
      <c r="N934">
        <v>0.13076698994909031</v>
      </c>
    </row>
    <row r="935" spans="1:14">
      <c r="A935" t="s">
        <v>120</v>
      </c>
      <c r="B935" t="str">
        <f>_xlfn.XLOOKUP(A935,'[1]Tissue Data'!$A:$A,'[1]Tissue Data'!$C:$C)</f>
        <v>Down</v>
      </c>
      <c r="C935" s="2">
        <f>_xlfn.XLOOKUP(A935,'[1]Tissue Data'!$A:$A,'[1]Tissue Data'!$D:$D)</f>
        <v>44314</v>
      </c>
      <c r="D935" s="2" t="s">
        <v>122</v>
      </c>
      <c r="E935" t="str">
        <f>_xlfn.XLOOKUP(A935,'[1]Tissue Data'!$A:$A,'[1]Tissue Data'!$H:$H)</f>
        <v>Etheostoma</v>
      </c>
      <c r="F935" t="str">
        <f>_xlfn.XLOOKUP(A935,'[1]Tissue Data'!$A:$A,'[1]Tissue Data'!$I:$I)</f>
        <v>fusiforme</v>
      </c>
      <c r="G935" t="str">
        <f>_xlfn.XLOOKUP(A935,'[1]Tissue Data'!$A:$A,'[1]Tissue Data'!J:J)</f>
        <v>U</v>
      </c>
      <c r="H935" t="str">
        <f>_xlfn.XLOOKUP(A935,'[1]Tissue Data'!$A:$A,'[1]Tissue Data'!K:K)</f>
        <v>Whole Body</v>
      </c>
      <c r="I935">
        <f>_xlfn.XLOOKUP(A935,'[1]Tissue Data'!$A:$A,'[1]Tissue Data'!L:L)</f>
        <v>7.5</v>
      </c>
      <c r="J935">
        <f>_xlfn.XLOOKUP(A935,'[1]Tissue Data'!$A:$A,'[1]Tissue Data'!M:M)</f>
        <v>4.25</v>
      </c>
      <c r="K935" t="s">
        <v>45</v>
      </c>
      <c r="L935" t="str">
        <f>_xlfn.XLOOKUP(K935,[2]analyte_order!$B:$B,[2]analyte_order!$C:$C)</f>
        <v>39108-34-4</v>
      </c>
      <c r="M935">
        <f>_xlfn.XLOOKUP(L935,[2]analyte_order!$C:$C,[2]analyte_order!$E:$E)</f>
        <v>24</v>
      </c>
      <c r="N935">
        <v>2.5</v>
      </c>
    </row>
    <row r="936" spans="1:14">
      <c r="A936" t="s">
        <v>120</v>
      </c>
      <c r="B936" t="str">
        <f>_xlfn.XLOOKUP(A936,'[1]Tissue Data'!$A:$A,'[1]Tissue Data'!$C:$C)</f>
        <v>Down</v>
      </c>
      <c r="C936" s="2">
        <f>_xlfn.XLOOKUP(A936,'[1]Tissue Data'!$A:$A,'[1]Tissue Data'!$D:$D)</f>
        <v>44314</v>
      </c>
      <c r="D936" s="2" t="s">
        <v>122</v>
      </c>
      <c r="E936" t="str">
        <f>_xlfn.XLOOKUP(A936,'[1]Tissue Data'!$A:$A,'[1]Tissue Data'!$H:$H)</f>
        <v>Etheostoma</v>
      </c>
      <c r="F936" t="str">
        <f>_xlfn.XLOOKUP(A936,'[1]Tissue Data'!$A:$A,'[1]Tissue Data'!$I:$I)</f>
        <v>fusiforme</v>
      </c>
      <c r="G936" t="str">
        <f>_xlfn.XLOOKUP(A936,'[1]Tissue Data'!$A:$A,'[1]Tissue Data'!J:J)</f>
        <v>U</v>
      </c>
      <c r="H936" t="str">
        <f>_xlfn.XLOOKUP(A936,'[1]Tissue Data'!$A:$A,'[1]Tissue Data'!K:K)</f>
        <v>Whole Body</v>
      </c>
      <c r="I936">
        <f>_xlfn.XLOOKUP(A936,'[1]Tissue Data'!$A:$A,'[1]Tissue Data'!L:L)</f>
        <v>7.5</v>
      </c>
      <c r="J936">
        <f>_xlfn.XLOOKUP(A936,'[1]Tissue Data'!$A:$A,'[1]Tissue Data'!M:M)</f>
        <v>4.25</v>
      </c>
      <c r="K936" t="s">
        <v>46</v>
      </c>
      <c r="L936" t="str">
        <f>_xlfn.XLOOKUP(K936,[2]analyte_order!$B:$B,[2]analyte_order!$C:$C)</f>
        <v>120226-60-0</v>
      </c>
      <c r="M936">
        <f>_xlfn.XLOOKUP(L936,[2]analyte_order!$C:$C,[2]analyte_order!$E:$E)</f>
        <v>25</v>
      </c>
      <c r="N936">
        <v>7.9338086083213771E-2</v>
      </c>
    </row>
    <row r="937" spans="1:14">
      <c r="A937" t="s">
        <v>120</v>
      </c>
      <c r="B937" t="str">
        <f>_xlfn.XLOOKUP(A937,'[1]Tissue Data'!$A:$A,'[1]Tissue Data'!$C:$C)</f>
        <v>Down</v>
      </c>
      <c r="C937" s="2">
        <f>_xlfn.XLOOKUP(A937,'[1]Tissue Data'!$A:$A,'[1]Tissue Data'!$D:$D)</f>
        <v>44314</v>
      </c>
      <c r="D937" s="2" t="s">
        <v>122</v>
      </c>
      <c r="E937" t="str">
        <f>_xlfn.XLOOKUP(A937,'[1]Tissue Data'!$A:$A,'[1]Tissue Data'!$H:$H)</f>
        <v>Etheostoma</v>
      </c>
      <c r="F937" t="str">
        <f>_xlfn.XLOOKUP(A937,'[1]Tissue Data'!$A:$A,'[1]Tissue Data'!$I:$I)</f>
        <v>fusiforme</v>
      </c>
      <c r="G937" t="str">
        <f>_xlfn.XLOOKUP(A937,'[1]Tissue Data'!$A:$A,'[1]Tissue Data'!J:J)</f>
        <v>U</v>
      </c>
      <c r="H937" t="str">
        <f>_xlfn.XLOOKUP(A937,'[1]Tissue Data'!$A:$A,'[1]Tissue Data'!K:K)</f>
        <v>Whole Body</v>
      </c>
      <c r="I937">
        <f>_xlfn.XLOOKUP(A937,'[1]Tissue Data'!$A:$A,'[1]Tissue Data'!L:L)</f>
        <v>7.5</v>
      </c>
      <c r="J937">
        <f>_xlfn.XLOOKUP(A937,'[1]Tissue Data'!$A:$A,'[1]Tissue Data'!M:M)</f>
        <v>4.25</v>
      </c>
      <c r="K937" t="s">
        <v>47</v>
      </c>
      <c r="L937" t="str">
        <f>_xlfn.XLOOKUP(K937,[2]analyte_order!$B:$B,[2]analyte_order!$C:$C)</f>
        <v>356-02-5</v>
      </c>
      <c r="M937">
        <f>_xlfn.XLOOKUP(L937,[2]analyte_order!$C:$C,[2]analyte_order!$E:$E)</f>
        <v>38</v>
      </c>
      <c r="N937">
        <v>8.0597424479913915E-2</v>
      </c>
    </row>
    <row r="938" spans="1:14">
      <c r="A938" t="s">
        <v>120</v>
      </c>
      <c r="B938" t="str">
        <f>_xlfn.XLOOKUP(A938,'[1]Tissue Data'!$A:$A,'[1]Tissue Data'!$C:$C)</f>
        <v>Down</v>
      </c>
      <c r="C938" s="2">
        <f>_xlfn.XLOOKUP(A938,'[1]Tissue Data'!$A:$A,'[1]Tissue Data'!$D:$D)</f>
        <v>44314</v>
      </c>
      <c r="D938" s="2" t="s">
        <v>122</v>
      </c>
      <c r="E938" t="str">
        <f>_xlfn.XLOOKUP(A938,'[1]Tissue Data'!$A:$A,'[1]Tissue Data'!$H:$H)</f>
        <v>Etheostoma</v>
      </c>
      <c r="F938" t="str">
        <f>_xlfn.XLOOKUP(A938,'[1]Tissue Data'!$A:$A,'[1]Tissue Data'!$I:$I)</f>
        <v>fusiforme</v>
      </c>
      <c r="G938" t="str">
        <f>_xlfn.XLOOKUP(A938,'[1]Tissue Data'!$A:$A,'[1]Tissue Data'!J:J)</f>
        <v>U</v>
      </c>
      <c r="H938" t="str">
        <f>_xlfn.XLOOKUP(A938,'[1]Tissue Data'!$A:$A,'[1]Tissue Data'!K:K)</f>
        <v>Whole Body</v>
      </c>
      <c r="I938">
        <f>_xlfn.XLOOKUP(A938,'[1]Tissue Data'!$A:$A,'[1]Tissue Data'!L:L)</f>
        <v>7.5</v>
      </c>
      <c r="J938">
        <f>_xlfn.XLOOKUP(A938,'[1]Tissue Data'!$A:$A,'[1]Tissue Data'!M:M)</f>
        <v>4.25</v>
      </c>
      <c r="K938" t="s">
        <v>48</v>
      </c>
      <c r="L938" t="str">
        <f>_xlfn.XLOOKUP(K938,[2]analyte_order!$B:$B,[2]analyte_order!$C:$C)</f>
        <v>914637-49-3</v>
      </c>
      <c r="M938">
        <f>_xlfn.XLOOKUP(L938,[2]analyte_order!$C:$C,[2]analyte_order!$E:$E)</f>
        <v>39</v>
      </c>
      <c r="N938">
        <v>0.45100000000000001</v>
      </c>
    </row>
    <row r="939" spans="1:14">
      <c r="A939" t="s">
        <v>120</v>
      </c>
      <c r="B939" t="str">
        <f>_xlfn.XLOOKUP(A939,'[1]Tissue Data'!$A:$A,'[1]Tissue Data'!$C:$C)</f>
        <v>Down</v>
      </c>
      <c r="C939" s="2">
        <f>_xlfn.XLOOKUP(A939,'[1]Tissue Data'!$A:$A,'[1]Tissue Data'!$D:$D)</f>
        <v>44314</v>
      </c>
      <c r="D939" s="2" t="s">
        <v>122</v>
      </c>
      <c r="E939" t="str">
        <f>_xlfn.XLOOKUP(A939,'[1]Tissue Data'!$A:$A,'[1]Tissue Data'!$H:$H)</f>
        <v>Etheostoma</v>
      </c>
      <c r="F939" t="str">
        <f>_xlfn.XLOOKUP(A939,'[1]Tissue Data'!$A:$A,'[1]Tissue Data'!$I:$I)</f>
        <v>fusiforme</v>
      </c>
      <c r="G939" t="str">
        <f>_xlfn.XLOOKUP(A939,'[1]Tissue Data'!$A:$A,'[1]Tissue Data'!J:J)</f>
        <v>U</v>
      </c>
      <c r="H939" t="str">
        <f>_xlfn.XLOOKUP(A939,'[1]Tissue Data'!$A:$A,'[1]Tissue Data'!K:K)</f>
        <v>Whole Body</v>
      </c>
      <c r="I939">
        <f>_xlfn.XLOOKUP(A939,'[1]Tissue Data'!$A:$A,'[1]Tissue Data'!L:L)</f>
        <v>7.5</v>
      </c>
      <c r="J939">
        <f>_xlfn.XLOOKUP(A939,'[1]Tissue Data'!$A:$A,'[1]Tissue Data'!M:M)</f>
        <v>4.25</v>
      </c>
      <c r="K939" t="s">
        <v>49</v>
      </c>
      <c r="L939" t="str">
        <f>_xlfn.XLOOKUP(K939,[2]analyte_order!$B:$B,[2]analyte_order!$C:$C)</f>
        <v>812-70-4</v>
      </c>
      <c r="M939">
        <f>_xlfn.XLOOKUP(L939,[2]analyte_order!$C:$C,[2]analyte_order!$E:$E)</f>
        <v>40</v>
      </c>
      <c r="N939">
        <v>2.82</v>
      </c>
    </row>
    <row r="940" spans="1:14">
      <c r="A940" t="s">
        <v>120</v>
      </c>
      <c r="B940" t="str">
        <f>_xlfn.XLOOKUP(A940,'[1]Tissue Data'!$A:$A,'[1]Tissue Data'!$C:$C)</f>
        <v>Down</v>
      </c>
      <c r="C940" s="2">
        <f>_xlfn.XLOOKUP(A940,'[1]Tissue Data'!$A:$A,'[1]Tissue Data'!$D:$D)</f>
        <v>44314</v>
      </c>
      <c r="D940" s="2" t="s">
        <v>122</v>
      </c>
      <c r="E940" t="str">
        <f>_xlfn.XLOOKUP(A940,'[1]Tissue Data'!$A:$A,'[1]Tissue Data'!$H:$H)</f>
        <v>Etheostoma</v>
      </c>
      <c r="F940" t="str">
        <f>_xlfn.XLOOKUP(A940,'[1]Tissue Data'!$A:$A,'[1]Tissue Data'!$I:$I)</f>
        <v>fusiforme</v>
      </c>
      <c r="G940" t="str">
        <f>_xlfn.XLOOKUP(A940,'[1]Tissue Data'!$A:$A,'[1]Tissue Data'!J:J)</f>
        <v>U</v>
      </c>
      <c r="H940" t="str">
        <f>_xlfn.XLOOKUP(A940,'[1]Tissue Data'!$A:$A,'[1]Tissue Data'!K:K)</f>
        <v>Whole Body</v>
      </c>
      <c r="I940">
        <f>_xlfn.XLOOKUP(A940,'[1]Tissue Data'!$A:$A,'[1]Tissue Data'!L:L)</f>
        <v>7.5</v>
      </c>
      <c r="J940">
        <f>_xlfn.XLOOKUP(A940,'[1]Tissue Data'!$A:$A,'[1]Tissue Data'!M:M)</f>
        <v>4.25</v>
      </c>
      <c r="K940" t="s">
        <v>50</v>
      </c>
      <c r="L940" t="str">
        <f>_xlfn.XLOOKUP(K940,[2]analyte_order!$B:$B,[2]analyte_order!$C:$C)</f>
        <v>53826-12-3</v>
      </c>
      <c r="M940">
        <f>_xlfn.XLOOKUP(L940,[2]analyte_order!$C:$C,[2]analyte_order!$E:$E)</f>
        <v>41</v>
      </c>
      <c r="N940">
        <v>2.97</v>
      </c>
    </row>
    <row r="941" spans="1:14">
      <c r="A941" t="s">
        <v>120</v>
      </c>
      <c r="B941" t="str">
        <f>_xlfn.XLOOKUP(A941,'[1]Tissue Data'!$A:$A,'[1]Tissue Data'!$C:$C)</f>
        <v>Down</v>
      </c>
      <c r="C941" s="2">
        <f>_xlfn.XLOOKUP(A941,'[1]Tissue Data'!$A:$A,'[1]Tissue Data'!$D:$D)</f>
        <v>44314</v>
      </c>
      <c r="D941" s="2" t="s">
        <v>122</v>
      </c>
      <c r="E941" t="str">
        <f>_xlfn.XLOOKUP(A941,'[1]Tissue Data'!$A:$A,'[1]Tissue Data'!$H:$H)</f>
        <v>Etheostoma</v>
      </c>
      <c r="F941" t="str">
        <f>_xlfn.XLOOKUP(A941,'[1]Tissue Data'!$A:$A,'[1]Tissue Data'!$I:$I)</f>
        <v>fusiforme</v>
      </c>
      <c r="G941" t="str">
        <f>_xlfn.XLOOKUP(A941,'[1]Tissue Data'!$A:$A,'[1]Tissue Data'!J:J)</f>
        <v>U</v>
      </c>
      <c r="H941" t="str">
        <f>_xlfn.XLOOKUP(A941,'[1]Tissue Data'!$A:$A,'[1]Tissue Data'!K:K)</f>
        <v>Whole Body</v>
      </c>
      <c r="I941">
        <f>_xlfn.XLOOKUP(A941,'[1]Tissue Data'!$A:$A,'[1]Tissue Data'!L:L)</f>
        <v>7.5</v>
      </c>
      <c r="J941">
        <f>_xlfn.XLOOKUP(A941,'[1]Tissue Data'!$A:$A,'[1]Tissue Data'!M:M)</f>
        <v>4.25</v>
      </c>
      <c r="K941" t="s">
        <v>51</v>
      </c>
      <c r="L941" t="str">
        <f>_xlfn.XLOOKUP(K941,[2]analyte_order!$B:$B,[2]analyte_order!$C:$C)</f>
        <v>27854-31-5</v>
      </c>
      <c r="M941">
        <f>_xlfn.XLOOKUP(L941,[2]analyte_order!$C:$C,[2]analyte_order!$E:$E)</f>
        <v>42</v>
      </c>
      <c r="N941">
        <v>0.193</v>
      </c>
    </row>
    <row r="942" spans="1:14">
      <c r="A942" t="s">
        <v>120</v>
      </c>
      <c r="B942" t="str">
        <f>_xlfn.XLOOKUP(A942,'[1]Tissue Data'!$A:$A,'[1]Tissue Data'!$C:$C)</f>
        <v>Down</v>
      </c>
      <c r="C942" s="2">
        <f>_xlfn.XLOOKUP(A942,'[1]Tissue Data'!$A:$A,'[1]Tissue Data'!$D:$D)</f>
        <v>44314</v>
      </c>
      <c r="D942" s="2" t="s">
        <v>122</v>
      </c>
      <c r="E942" t="str">
        <f>_xlfn.XLOOKUP(A942,'[1]Tissue Data'!$A:$A,'[1]Tissue Data'!$H:$H)</f>
        <v>Etheostoma</v>
      </c>
      <c r="F942" t="str">
        <f>_xlfn.XLOOKUP(A942,'[1]Tissue Data'!$A:$A,'[1]Tissue Data'!$I:$I)</f>
        <v>fusiforme</v>
      </c>
      <c r="G942" t="str">
        <f>_xlfn.XLOOKUP(A942,'[1]Tissue Data'!$A:$A,'[1]Tissue Data'!J:J)</f>
        <v>U</v>
      </c>
      <c r="H942" t="str">
        <f>_xlfn.XLOOKUP(A942,'[1]Tissue Data'!$A:$A,'[1]Tissue Data'!K:K)</f>
        <v>Whole Body</v>
      </c>
      <c r="I942">
        <f>_xlfn.XLOOKUP(A942,'[1]Tissue Data'!$A:$A,'[1]Tissue Data'!L:L)</f>
        <v>7.5</v>
      </c>
      <c r="J942">
        <f>_xlfn.XLOOKUP(A942,'[1]Tissue Data'!$A:$A,'[1]Tissue Data'!M:M)</f>
        <v>4.25</v>
      </c>
      <c r="K942" t="s">
        <v>52</v>
      </c>
      <c r="L942" t="str">
        <f>_xlfn.XLOOKUP(K942,[2]analyte_order!$B:$B,[2]analyte_order!$C:$C)</f>
        <v>53826-13-4</v>
      </c>
      <c r="M942">
        <f>_xlfn.XLOOKUP(L942,[2]analyte_order!$C:$C,[2]analyte_order!$E:$E)</f>
        <v>43</v>
      </c>
      <c r="N942">
        <v>0.1042635768185079</v>
      </c>
    </row>
    <row r="943" spans="1:14">
      <c r="A943" t="s">
        <v>120</v>
      </c>
      <c r="B943" t="str">
        <f>_xlfn.XLOOKUP(A943,'[1]Tissue Data'!$A:$A,'[1]Tissue Data'!$C:$C)</f>
        <v>Down</v>
      </c>
      <c r="C943" s="2">
        <f>_xlfn.XLOOKUP(A943,'[1]Tissue Data'!$A:$A,'[1]Tissue Data'!$D:$D)</f>
        <v>44314</v>
      </c>
      <c r="D943" s="2" t="s">
        <v>122</v>
      </c>
      <c r="E943" t="str">
        <f>_xlfn.XLOOKUP(A943,'[1]Tissue Data'!$A:$A,'[1]Tissue Data'!$H:$H)</f>
        <v>Etheostoma</v>
      </c>
      <c r="F943" t="str">
        <f>_xlfn.XLOOKUP(A943,'[1]Tissue Data'!$A:$A,'[1]Tissue Data'!$I:$I)</f>
        <v>fusiforme</v>
      </c>
      <c r="G943" t="str">
        <f>_xlfn.XLOOKUP(A943,'[1]Tissue Data'!$A:$A,'[1]Tissue Data'!J:J)</f>
        <v>U</v>
      </c>
      <c r="H943" t="str">
        <f>_xlfn.XLOOKUP(A943,'[1]Tissue Data'!$A:$A,'[1]Tissue Data'!K:K)</f>
        <v>Whole Body</v>
      </c>
      <c r="I943">
        <f>_xlfn.XLOOKUP(A943,'[1]Tissue Data'!$A:$A,'[1]Tissue Data'!L:L)</f>
        <v>7.5</v>
      </c>
      <c r="J943">
        <f>_xlfn.XLOOKUP(A943,'[1]Tissue Data'!$A:$A,'[1]Tissue Data'!M:M)</f>
        <v>4.25</v>
      </c>
      <c r="K943" t="s">
        <v>53</v>
      </c>
      <c r="L943" t="str">
        <f>_xlfn.XLOOKUP(K943,[2]analyte_order!$B:$B,[2]analyte_order!$C:$C)</f>
        <v>161094-75-3</v>
      </c>
      <c r="M943">
        <f>_xlfn.XLOOKUP(L943,[2]analyte_order!$C:$C,[2]analyte_order!$E:$E)</f>
        <v>44</v>
      </c>
      <c r="N943">
        <v>5.4863833041606892E-2</v>
      </c>
    </row>
    <row r="944" spans="1:14">
      <c r="A944" t="s">
        <v>120</v>
      </c>
      <c r="B944" t="str">
        <f>_xlfn.XLOOKUP(A944,'[1]Tissue Data'!$A:$A,'[1]Tissue Data'!$C:$C)</f>
        <v>Down</v>
      </c>
      <c r="C944" s="2">
        <f>_xlfn.XLOOKUP(A944,'[1]Tissue Data'!$A:$A,'[1]Tissue Data'!$D:$D)</f>
        <v>44314</v>
      </c>
      <c r="D944" s="2" t="s">
        <v>122</v>
      </c>
      <c r="E944" t="str">
        <f>_xlfn.XLOOKUP(A944,'[1]Tissue Data'!$A:$A,'[1]Tissue Data'!$H:$H)</f>
        <v>Etheostoma</v>
      </c>
      <c r="F944" t="str">
        <f>_xlfn.XLOOKUP(A944,'[1]Tissue Data'!$A:$A,'[1]Tissue Data'!$I:$I)</f>
        <v>fusiforme</v>
      </c>
      <c r="G944" t="str">
        <f>_xlfn.XLOOKUP(A944,'[1]Tissue Data'!$A:$A,'[1]Tissue Data'!J:J)</f>
        <v>U</v>
      </c>
      <c r="H944" t="str">
        <f>_xlfn.XLOOKUP(A944,'[1]Tissue Data'!$A:$A,'[1]Tissue Data'!K:K)</f>
        <v>Whole Body</v>
      </c>
      <c r="I944">
        <f>_xlfn.XLOOKUP(A944,'[1]Tissue Data'!$A:$A,'[1]Tissue Data'!L:L)</f>
        <v>7.5</v>
      </c>
      <c r="J944">
        <f>_xlfn.XLOOKUP(A944,'[1]Tissue Data'!$A:$A,'[1]Tissue Data'!M:M)</f>
        <v>4.25</v>
      </c>
      <c r="K944" t="s">
        <v>54</v>
      </c>
      <c r="L944" t="str">
        <f>_xlfn.XLOOKUP(K944,[2]analyte_order!$B:$B,[2]analyte_order!$C:$C)</f>
        <v>70887-84-2</v>
      </c>
      <c r="M944">
        <f>_xlfn.XLOOKUP(L944,[2]analyte_order!$C:$C,[2]analyte_order!$E:$E)</f>
        <v>45</v>
      </c>
      <c r="N944">
        <v>4.2224412302367294E-2</v>
      </c>
    </row>
    <row r="945" spans="1:14">
      <c r="A945" t="s">
        <v>120</v>
      </c>
      <c r="B945" t="str">
        <f>_xlfn.XLOOKUP(A945,'[1]Tissue Data'!$A:$A,'[1]Tissue Data'!$C:$C)</f>
        <v>Down</v>
      </c>
      <c r="C945" s="2">
        <f>_xlfn.XLOOKUP(A945,'[1]Tissue Data'!$A:$A,'[1]Tissue Data'!$D:$D)</f>
        <v>44314</v>
      </c>
      <c r="D945" s="2" t="s">
        <v>122</v>
      </c>
      <c r="E945" t="str">
        <f>_xlfn.XLOOKUP(A945,'[1]Tissue Data'!$A:$A,'[1]Tissue Data'!$H:$H)</f>
        <v>Etheostoma</v>
      </c>
      <c r="F945" t="str">
        <f>_xlfn.XLOOKUP(A945,'[1]Tissue Data'!$A:$A,'[1]Tissue Data'!$I:$I)</f>
        <v>fusiforme</v>
      </c>
      <c r="G945" t="str">
        <f>_xlfn.XLOOKUP(A945,'[1]Tissue Data'!$A:$A,'[1]Tissue Data'!J:J)</f>
        <v>U</v>
      </c>
      <c r="H945" t="str">
        <f>_xlfn.XLOOKUP(A945,'[1]Tissue Data'!$A:$A,'[1]Tissue Data'!K:K)</f>
        <v>Whole Body</v>
      </c>
      <c r="I945">
        <f>_xlfn.XLOOKUP(A945,'[1]Tissue Data'!$A:$A,'[1]Tissue Data'!L:L)</f>
        <v>7.5</v>
      </c>
      <c r="J945">
        <f>_xlfn.XLOOKUP(A945,'[1]Tissue Data'!$A:$A,'[1]Tissue Data'!M:M)</f>
        <v>4.25</v>
      </c>
      <c r="K945" t="s">
        <v>55</v>
      </c>
      <c r="L945" t="str">
        <f>_xlfn.XLOOKUP(K945,[2]analyte_order!$B:$B,[2]analyte_order!$C:$C)</f>
        <v>919005-14-4</v>
      </c>
      <c r="M945">
        <f>_xlfn.XLOOKUP(L945,[2]analyte_order!$C:$C,[2]analyte_order!$E:$E)</f>
        <v>35</v>
      </c>
      <c r="N945">
        <v>6.9872738452365427E-2</v>
      </c>
    </row>
    <row r="946" spans="1:14">
      <c r="A946" t="s">
        <v>120</v>
      </c>
      <c r="B946" t="str">
        <f>_xlfn.XLOOKUP(A946,'[1]Tissue Data'!$A:$A,'[1]Tissue Data'!$C:$C)</f>
        <v>Down</v>
      </c>
      <c r="C946" s="2">
        <f>_xlfn.XLOOKUP(A946,'[1]Tissue Data'!$A:$A,'[1]Tissue Data'!$D:$D)</f>
        <v>44314</v>
      </c>
      <c r="D946" s="2" t="s">
        <v>122</v>
      </c>
      <c r="E946" t="str">
        <f>_xlfn.XLOOKUP(A946,'[1]Tissue Data'!$A:$A,'[1]Tissue Data'!$H:$H)</f>
        <v>Etheostoma</v>
      </c>
      <c r="F946" t="str">
        <f>_xlfn.XLOOKUP(A946,'[1]Tissue Data'!$A:$A,'[1]Tissue Data'!$I:$I)</f>
        <v>fusiforme</v>
      </c>
      <c r="G946" t="str">
        <f>_xlfn.XLOOKUP(A946,'[1]Tissue Data'!$A:$A,'[1]Tissue Data'!J:J)</f>
        <v>U</v>
      </c>
      <c r="H946" t="str">
        <f>_xlfn.XLOOKUP(A946,'[1]Tissue Data'!$A:$A,'[1]Tissue Data'!K:K)</f>
        <v>Whole Body</v>
      </c>
      <c r="I946">
        <f>_xlfn.XLOOKUP(A946,'[1]Tissue Data'!$A:$A,'[1]Tissue Data'!L:L)</f>
        <v>7.5</v>
      </c>
      <c r="J946">
        <f>_xlfn.XLOOKUP(A946,'[1]Tissue Data'!$A:$A,'[1]Tissue Data'!M:M)</f>
        <v>4.25</v>
      </c>
      <c r="K946" t="s">
        <v>56</v>
      </c>
      <c r="L946" t="str">
        <f>_xlfn.XLOOKUP(K946,[2]analyte_order!$B:$B,[2]analyte_order!$C:$C)</f>
        <v>756426-58-1</v>
      </c>
      <c r="M946">
        <f>_xlfn.XLOOKUP(L946,[2]analyte_order!$C:$C,[2]analyte_order!$E:$E)</f>
        <v>36</v>
      </c>
      <c r="N946">
        <v>4.8499131660688664E-2</v>
      </c>
    </row>
    <row r="947" spans="1:14">
      <c r="A947" t="s">
        <v>120</v>
      </c>
      <c r="B947" t="str">
        <f>_xlfn.XLOOKUP(A947,'[1]Tissue Data'!$A:$A,'[1]Tissue Data'!$C:$C)</f>
        <v>Down</v>
      </c>
      <c r="C947" s="2">
        <f>_xlfn.XLOOKUP(A947,'[1]Tissue Data'!$A:$A,'[1]Tissue Data'!$D:$D)</f>
        <v>44314</v>
      </c>
      <c r="D947" s="2" t="s">
        <v>122</v>
      </c>
      <c r="E947" t="str">
        <f>_xlfn.XLOOKUP(A947,'[1]Tissue Data'!$A:$A,'[1]Tissue Data'!$H:$H)</f>
        <v>Etheostoma</v>
      </c>
      <c r="F947" t="str">
        <f>_xlfn.XLOOKUP(A947,'[1]Tissue Data'!$A:$A,'[1]Tissue Data'!$I:$I)</f>
        <v>fusiforme</v>
      </c>
      <c r="G947" t="str">
        <f>_xlfn.XLOOKUP(A947,'[1]Tissue Data'!$A:$A,'[1]Tissue Data'!J:J)</f>
        <v>U</v>
      </c>
      <c r="H947" t="str">
        <f>_xlfn.XLOOKUP(A947,'[1]Tissue Data'!$A:$A,'[1]Tissue Data'!K:K)</f>
        <v>Whole Body</v>
      </c>
      <c r="I947">
        <f>_xlfn.XLOOKUP(A947,'[1]Tissue Data'!$A:$A,'[1]Tissue Data'!L:L)</f>
        <v>7.5</v>
      </c>
      <c r="J947">
        <f>_xlfn.XLOOKUP(A947,'[1]Tissue Data'!$A:$A,'[1]Tissue Data'!M:M)</f>
        <v>4.25</v>
      </c>
      <c r="K947" t="s">
        <v>57</v>
      </c>
      <c r="L947" t="str">
        <f>_xlfn.XLOOKUP(K947,[2]analyte_order!$B:$B,[2]analyte_order!$C:$C)</f>
        <v>763051-92-9</v>
      </c>
      <c r="M947">
        <f>_xlfn.XLOOKUP(L947,[2]analyte_order!$C:$C,[2]analyte_order!$E:$E)</f>
        <v>37</v>
      </c>
      <c r="N947">
        <v>5.505905727761836E-2</v>
      </c>
    </row>
    <row r="948" spans="1:14">
      <c r="A948" t="s">
        <v>120</v>
      </c>
      <c r="B948" t="str">
        <f>_xlfn.XLOOKUP(A948,'[1]Tissue Data'!$A:$A,'[1]Tissue Data'!$C:$C)</f>
        <v>Down</v>
      </c>
      <c r="C948" s="2">
        <f>_xlfn.XLOOKUP(A948,'[1]Tissue Data'!$A:$A,'[1]Tissue Data'!$D:$D)</f>
        <v>44314</v>
      </c>
      <c r="D948" s="2" t="s">
        <v>122</v>
      </c>
      <c r="E948" t="str">
        <f>_xlfn.XLOOKUP(A948,'[1]Tissue Data'!$A:$A,'[1]Tissue Data'!$H:$H)</f>
        <v>Etheostoma</v>
      </c>
      <c r="F948" t="str">
        <f>_xlfn.XLOOKUP(A948,'[1]Tissue Data'!$A:$A,'[1]Tissue Data'!$I:$I)</f>
        <v>fusiforme</v>
      </c>
      <c r="G948" t="str">
        <f>_xlfn.XLOOKUP(A948,'[1]Tissue Data'!$A:$A,'[1]Tissue Data'!J:J)</f>
        <v>U</v>
      </c>
      <c r="H948" t="str">
        <f>_xlfn.XLOOKUP(A948,'[1]Tissue Data'!$A:$A,'[1]Tissue Data'!K:K)</f>
        <v>Whole Body</v>
      </c>
      <c r="I948">
        <f>_xlfn.XLOOKUP(A948,'[1]Tissue Data'!$A:$A,'[1]Tissue Data'!L:L)</f>
        <v>7.5</v>
      </c>
      <c r="J948">
        <f>_xlfn.XLOOKUP(A948,'[1]Tissue Data'!$A:$A,'[1]Tissue Data'!M:M)</f>
        <v>4.25</v>
      </c>
      <c r="K948" t="s">
        <v>58</v>
      </c>
      <c r="L948" t="str">
        <f>_xlfn.XLOOKUP(K948,[2]analyte_order!$B:$B,[2]analyte_order!$C:$C)</f>
        <v>13252-13-6</v>
      </c>
      <c r="M948">
        <f>_xlfn.XLOOKUP(L948,[2]analyte_order!$C:$C,[2]analyte_order!$E:$E)</f>
        <v>34</v>
      </c>
      <c r="N948">
        <v>0.10026937559182211</v>
      </c>
    </row>
    <row r="949" spans="1:14">
      <c r="A949" t="s">
        <v>120</v>
      </c>
      <c r="B949" t="str">
        <f>_xlfn.XLOOKUP(A949,'[1]Tissue Data'!$A:$A,'[1]Tissue Data'!$C:$C)</f>
        <v>Down</v>
      </c>
      <c r="C949" s="2">
        <f>_xlfn.XLOOKUP(A949,'[1]Tissue Data'!$A:$A,'[1]Tissue Data'!$D:$D)</f>
        <v>44314</v>
      </c>
      <c r="D949" s="2" t="s">
        <v>122</v>
      </c>
      <c r="E949" t="str">
        <f>_xlfn.XLOOKUP(A949,'[1]Tissue Data'!$A:$A,'[1]Tissue Data'!$H:$H)</f>
        <v>Etheostoma</v>
      </c>
      <c r="F949" t="str">
        <f>_xlfn.XLOOKUP(A949,'[1]Tissue Data'!$A:$A,'[1]Tissue Data'!$I:$I)</f>
        <v>fusiforme</v>
      </c>
      <c r="G949" t="str">
        <f>_xlfn.XLOOKUP(A949,'[1]Tissue Data'!$A:$A,'[1]Tissue Data'!J:J)</f>
        <v>U</v>
      </c>
      <c r="H949" t="str">
        <f>_xlfn.XLOOKUP(A949,'[1]Tissue Data'!$A:$A,'[1]Tissue Data'!K:K)</f>
        <v>Whole Body</v>
      </c>
      <c r="I949">
        <f>_xlfn.XLOOKUP(A949,'[1]Tissue Data'!$A:$A,'[1]Tissue Data'!L:L)</f>
        <v>7.5</v>
      </c>
      <c r="J949">
        <f>_xlfn.XLOOKUP(A949,'[1]Tissue Data'!$A:$A,'[1]Tissue Data'!M:M)</f>
        <v>4.25</v>
      </c>
      <c r="K949" t="s">
        <v>59</v>
      </c>
      <c r="L949" t="str">
        <f>_xlfn.XLOOKUP(K949,[2]analyte_order!$B:$B,[2]analyte_order!$C:$C)</f>
        <v>57677-95-9</v>
      </c>
      <c r="M949">
        <f>_xlfn.XLOOKUP(L949,[2]analyte_order!$C:$C,[2]analyte_order!$E:$E)</f>
        <v>46</v>
      </c>
      <c r="N949">
        <v>7.4381551883070302E-2</v>
      </c>
    </row>
    <row r="950" spans="1:14">
      <c r="A950" t="s">
        <v>120</v>
      </c>
      <c r="B950" t="str">
        <f>_xlfn.XLOOKUP(A950,'[1]Tissue Data'!$A:$A,'[1]Tissue Data'!$C:$C)</f>
        <v>Down</v>
      </c>
      <c r="C950" s="2">
        <f>_xlfn.XLOOKUP(A950,'[1]Tissue Data'!$A:$A,'[1]Tissue Data'!$D:$D)</f>
        <v>44314</v>
      </c>
      <c r="D950" s="2" t="s">
        <v>122</v>
      </c>
      <c r="E950" t="str">
        <f>_xlfn.XLOOKUP(A950,'[1]Tissue Data'!$A:$A,'[1]Tissue Data'!$H:$H)</f>
        <v>Etheostoma</v>
      </c>
      <c r="F950" t="str">
        <f>_xlfn.XLOOKUP(A950,'[1]Tissue Data'!$A:$A,'[1]Tissue Data'!$I:$I)</f>
        <v>fusiforme</v>
      </c>
      <c r="G950" t="str">
        <f>_xlfn.XLOOKUP(A950,'[1]Tissue Data'!$A:$A,'[1]Tissue Data'!J:J)</f>
        <v>U</v>
      </c>
      <c r="H950" t="str">
        <f>_xlfn.XLOOKUP(A950,'[1]Tissue Data'!$A:$A,'[1]Tissue Data'!K:K)</f>
        <v>Whole Body</v>
      </c>
      <c r="I950">
        <f>_xlfn.XLOOKUP(A950,'[1]Tissue Data'!$A:$A,'[1]Tissue Data'!L:L)</f>
        <v>7.5</v>
      </c>
      <c r="J950">
        <f>_xlfn.XLOOKUP(A950,'[1]Tissue Data'!$A:$A,'[1]Tissue Data'!M:M)</f>
        <v>4.25</v>
      </c>
      <c r="K950" t="s">
        <v>60</v>
      </c>
      <c r="L950" t="str">
        <f>_xlfn.XLOOKUP(K950,[2]analyte_order!$B:$B,[2]analyte_order!$C:$C)</f>
        <v>678-41-1</v>
      </c>
      <c r="M950">
        <f>_xlfn.XLOOKUP(L950,[2]analyte_order!$C:$C,[2]analyte_order!$E:$E)</f>
        <v>56</v>
      </c>
      <c r="N950">
        <v>9.2638255383787657E-2</v>
      </c>
    </row>
    <row r="951" spans="1:14">
      <c r="A951" t="s">
        <v>120</v>
      </c>
      <c r="B951" t="str">
        <f>_xlfn.XLOOKUP(A951,'[1]Tissue Data'!$A:$A,'[1]Tissue Data'!$C:$C)</f>
        <v>Down</v>
      </c>
      <c r="C951" s="2">
        <f>_xlfn.XLOOKUP(A951,'[1]Tissue Data'!$A:$A,'[1]Tissue Data'!$D:$D)</f>
        <v>44314</v>
      </c>
      <c r="D951" s="2" t="s">
        <v>122</v>
      </c>
      <c r="E951" t="str">
        <f>_xlfn.XLOOKUP(A951,'[1]Tissue Data'!$A:$A,'[1]Tissue Data'!$H:$H)</f>
        <v>Etheostoma</v>
      </c>
      <c r="F951" t="str">
        <f>_xlfn.XLOOKUP(A951,'[1]Tissue Data'!$A:$A,'[1]Tissue Data'!$I:$I)</f>
        <v>fusiforme</v>
      </c>
      <c r="G951" t="str">
        <f>_xlfn.XLOOKUP(A951,'[1]Tissue Data'!$A:$A,'[1]Tissue Data'!J:J)</f>
        <v>U</v>
      </c>
      <c r="H951" t="str">
        <f>_xlfn.XLOOKUP(A951,'[1]Tissue Data'!$A:$A,'[1]Tissue Data'!K:K)</f>
        <v>Whole Body</v>
      </c>
      <c r="I951">
        <f>_xlfn.XLOOKUP(A951,'[1]Tissue Data'!$A:$A,'[1]Tissue Data'!L:L)</f>
        <v>7.5</v>
      </c>
      <c r="J951">
        <f>_xlfn.XLOOKUP(A951,'[1]Tissue Data'!$A:$A,'[1]Tissue Data'!M:M)</f>
        <v>4.25</v>
      </c>
      <c r="K951" t="s">
        <v>61</v>
      </c>
      <c r="L951" t="str">
        <f>_xlfn.XLOOKUP(K951,[2]analyte_order!$B:$B,[2]analyte_order!$C:$C)</f>
        <v>2965-52-8</v>
      </c>
      <c r="M951">
        <f>_xlfn.XLOOKUP(L951,[2]analyte_order!$C:$C,[2]analyte_order!$E:$E)</f>
        <v>57</v>
      </c>
      <c r="N951">
        <v>0.12297601967616312</v>
      </c>
    </row>
    <row r="952" spans="1:14">
      <c r="A952" t="s">
        <v>312</v>
      </c>
      <c r="B952" t="str">
        <f>_xlfn.XLOOKUP(A952,'[1]Tissue Data'!$A:$A,'[1]Tissue Data'!$C:$C)</f>
        <v>Down</v>
      </c>
      <c r="C952" s="2">
        <f>_xlfn.XLOOKUP(A952,'[1]Tissue Data'!$A:$A,'[1]Tissue Data'!$D:$D)</f>
        <v>44314</v>
      </c>
      <c r="D952" s="2" t="s">
        <v>131</v>
      </c>
      <c r="E952" t="str">
        <f>_xlfn.XLOOKUP(A952,'[1]Tissue Data'!$A:$A,'[1]Tissue Data'!$H:$H)</f>
        <v>Rhinichthys</v>
      </c>
      <c r="F952" t="str">
        <f>_xlfn.XLOOKUP(A952,'[1]Tissue Data'!$A:$A,'[1]Tissue Data'!$I:$I)</f>
        <v>atratulus</v>
      </c>
      <c r="G952" t="str">
        <f>_xlfn.XLOOKUP(A952,'[1]Tissue Data'!$A:$A,'[1]Tissue Data'!J:J)</f>
        <v>U</v>
      </c>
      <c r="H952" t="str">
        <f>_xlfn.XLOOKUP(A952,'[1]Tissue Data'!$A:$A,'[1]Tissue Data'!K:K)</f>
        <v>Whole Body</v>
      </c>
      <c r="I952">
        <f>_xlfn.XLOOKUP(A952,'[1]Tissue Data'!$A:$A,'[1]Tissue Data'!L:L)</f>
        <v>5.5</v>
      </c>
      <c r="J952">
        <f>_xlfn.XLOOKUP(A952,'[1]Tissue Data'!$A:$A,'[1]Tissue Data'!M:M)</f>
        <v>1.75</v>
      </c>
      <c r="K952" t="s">
        <v>12</v>
      </c>
      <c r="L952" t="str">
        <f>_xlfn.XLOOKUP(K952,[2]analyte_order!$B:$B,[2]analyte_order!$C:$C)</f>
        <v>375-22-4</v>
      </c>
      <c r="M952">
        <f>_xlfn.XLOOKUP(L952,[2]analyte_order!$C:$C,[2]analyte_order!$E:$E)</f>
        <v>1</v>
      </c>
      <c r="N952">
        <v>9.8554533508541403E-2</v>
      </c>
    </row>
    <row r="953" spans="1:14">
      <c r="A953" t="s">
        <v>312</v>
      </c>
      <c r="B953" t="str">
        <f>_xlfn.XLOOKUP(A953,'[1]Tissue Data'!$A:$A,'[1]Tissue Data'!$C:$C)</f>
        <v>Down</v>
      </c>
      <c r="C953" s="2">
        <f>_xlfn.XLOOKUP(A953,'[1]Tissue Data'!$A:$A,'[1]Tissue Data'!$D:$D)</f>
        <v>44314</v>
      </c>
      <c r="D953" s="2" t="s">
        <v>131</v>
      </c>
      <c r="E953" t="str">
        <f>_xlfn.XLOOKUP(A953,'[1]Tissue Data'!$A:$A,'[1]Tissue Data'!$H:$H)</f>
        <v>Rhinichthys</v>
      </c>
      <c r="F953" t="str">
        <f>_xlfn.XLOOKUP(A953,'[1]Tissue Data'!$A:$A,'[1]Tissue Data'!$I:$I)</f>
        <v>atratulus</v>
      </c>
      <c r="G953" t="str">
        <f>_xlfn.XLOOKUP(A953,'[1]Tissue Data'!$A:$A,'[1]Tissue Data'!J:J)</f>
        <v>U</v>
      </c>
      <c r="H953" t="str">
        <f>_xlfn.XLOOKUP(A953,'[1]Tissue Data'!$A:$A,'[1]Tissue Data'!K:K)</f>
        <v>Whole Body</v>
      </c>
      <c r="I953">
        <f>_xlfn.XLOOKUP(A953,'[1]Tissue Data'!$A:$A,'[1]Tissue Data'!L:L)</f>
        <v>5.5</v>
      </c>
      <c r="J953">
        <f>_xlfn.XLOOKUP(A953,'[1]Tissue Data'!$A:$A,'[1]Tissue Data'!M:M)</f>
        <v>1.75</v>
      </c>
      <c r="K953" t="s">
        <v>13</v>
      </c>
      <c r="L953" t="str">
        <f>_xlfn.XLOOKUP(K953,[2]analyte_order!$B:$B,[2]analyte_order!$C:$C)</f>
        <v>2706-90-3</v>
      </c>
      <c r="M953">
        <f>_xlfn.XLOOKUP(L953,[2]analyte_order!$C:$C,[2]analyte_order!$E:$E)</f>
        <v>2</v>
      </c>
      <c r="N953">
        <v>4.6373960347035045E-2</v>
      </c>
    </row>
    <row r="954" spans="1:14">
      <c r="A954" t="s">
        <v>312</v>
      </c>
      <c r="B954" t="str">
        <f>_xlfn.XLOOKUP(A954,'[1]Tissue Data'!$A:$A,'[1]Tissue Data'!$C:$C)</f>
        <v>Down</v>
      </c>
      <c r="C954" s="2">
        <f>_xlfn.XLOOKUP(A954,'[1]Tissue Data'!$A:$A,'[1]Tissue Data'!$D:$D)</f>
        <v>44314</v>
      </c>
      <c r="D954" s="2" t="s">
        <v>131</v>
      </c>
      <c r="E954" t="str">
        <f>_xlfn.XLOOKUP(A954,'[1]Tissue Data'!$A:$A,'[1]Tissue Data'!$H:$H)</f>
        <v>Rhinichthys</v>
      </c>
      <c r="F954" t="str">
        <f>_xlfn.XLOOKUP(A954,'[1]Tissue Data'!$A:$A,'[1]Tissue Data'!$I:$I)</f>
        <v>atratulus</v>
      </c>
      <c r="G954" t="str">
        <f>_xlfn.XLOOKUP(A954,'[1]Tissue Data'!$A:$A,'[1]Tissue Data'!J:J)</f>
        <v>U</v>
      </c>
      <c r="H954" t="str">
        <f>_xlfn.XLOOKUP(A954,'[1]Tissue Data'!$A:$A,'[1]Tissue Data'!K:K)</f>
        <v>Whole Body</v>
      </c>
      <c r="I954">
        <f>_xlfn.XLOOKUP(A954,'[1]Tissue Data'!$A:$A,'[1]Tissue Data'!L:L)</f>
        <v>5.5</v>
      </c>
      <c r="J954">
        <f>_xlfn.XLOOKUP(A954,'[1]Tissue Data'!$A:$A,'[1]Tissue Data'!M:M)</f>
        <v>1.75</v>
      </c>
      <c r="K954" t="s">
        <v>14</v>
      </c>
      <c r="L954" t="str">
        <f>_xlfn.XLOOKUP(K954,[2]analyte_order!$B:$B,[2]analyte_order!$C:$C)</f>
        <v>307-24-4</v>
      </c>
      <c r="M954">
        <f>_xlfn.XLOOKUP(L954,[2]analyte_order!$C:$C,[2]analyte_order!$E:$E)</f>
        <v>3</v>
      </c>
      <c r="N954">
        <v>0.13297255099577857</v>
      </c>
    </row>
    <row r="955" spans="1:14">
      <c r="A955" t="s">
        <v>312</v>
      </c>
      <c r="B955" t="str">
        <f>_xlfn.XLOOKUP(A955,'[1]Tissue Data'!$A:$A,'[1]Tissue Data'!$C:$C)</f>
        <v>Down</v>
      </c>
      <c r="C955" s="2">
        <f>_xlfn.XLOOKUP(A955,'[1]Tissue Data'!$A:$A,'[1]Tissue Data'!$D:$D)</f>
        <v>44314</v>
      </c>
      <c r="D955" s="2" t="s">
        <v>131</v>
      </c>
      <c r="E955" t="str">
        <f>_xlfn.XLOOKUP(A955,'[1]Tissue Data'!$A:$A,'[1]Tissue Data'!$H:$H)</f>
        <v>Rhinichthys</v>
      </c>
      <c r="F955" t="str">
        <f>_xlfn.XLOOKUP(A955,'[1]Tissue Data'!$A:$A,'[1]Tissue Data'!$I:$I)</f>
        <v>atratulus</v>
      </c>
      <c r="G955" t="str">
        <f>_xlfn.XLOOKUP(A955,'[1]Tissue Data'!$A:$A,'[1]Tissue Data'!J:J)</f>
        <v>U</v>
      </c>
      <c r="H955" t="str">
        <f>_xlfn.XLOOKUP(A955,'[1]Tissue Data'!$A:$A,'[1]Tissue Data'!K:K)</f>
        <v>Whole Body</v>
      </c>
      <c r="I955">
        <f>_xlfn.XLOOKUP(A955,'[1]Tissue Data'!$A:$A,'[1]Tissue Data'!L:L)</f>
        <v>5.5</v>
      </c>
      <c r="J955">
        <f>_xlfn.XLOOKUP(A955,'[1]Tissue Data'!$A:$A,'[1]Tissue Data'!M:M)</f>
        <v>1.75</v>
      </c>
      <c r="K955" t="s">
        <v>15</v>
      </c>
      <c r="L955" t="str">
        <f>_xlfn.XLOOKUP(K955,[2]analyte_order!$B:$B,[2]analyte_order!$C:$C)</f>
        <v>375-85-9</v>
      </c>
      <c r="M955">
        <f>_xlfn.XLOOKUP(L955,[2]analyte_order!$C:$C,[2]analyte_order!$E:$E)</f>
        <v>4</v>
      </c>
      <c r="N955">
        <v>9.8554533508541403E-2</v>
      </c>
    </row>
    <row r="956" spans="1:14">
      <c r="A956" t="s">
        <v>312</v>
      </c>
      <c r="B956" t="str">
        <f>_xlfn.XLOOKUP(A956,'[1]Tissue Data'!$A:$A,'[1]Tissue Data'!$C:$C)</f>
        <v>Down</v>
      </c>
      <c r="C956" s="2">
        <f>_xlfn.XLOOKUP(A956,'[1]Tissue Data'!$A:$A,'[1]Tissue Data'!$D:$D)</f>
        <v>44314</v>
      </c>
      <c r="D956" s="2" t="s">
        <v>131</v>
      </c>
      <c r="E956" t="str">
        <f>_xlfn.XLOOKUP(A956,'[1]Tissue Data'!$A:$A,'[1]Tissue Data'!$H:$H)</f>
        <v>Rhinichthys</v>
      </c>
      <c r="F956" t="str">
        <f>_xlfn.XLOOKUP(A956,'[1]Tissue Data'!$A:$A,'[1]Tissue Data'!$I:$I)</f>
        <v>atratulus</v>
      </c>
      <c r="G956" t="str">
        <f>_xlfn.XLOOKUP(A956,'[1]Tissue Data'!$A:$A,'[1]Tissue Data'!J:J)</f>
        <v>U</v>
      </c>
      <c r="H956" t="str">
        <f>_xlfn.XLOOKUP(A956,'[1]Tissue Data'!$A:$A,'[1]Tissue Data'!K:K)</f>
        <v>Whole Body</v>
      </c>
      <c r="I956">
        <f>_xlfn.XLOOKUP(A956,'[1]Tissue Data'!$A:$A,'[1]Tissue Data'!L:L)</f>
        <v>5.5</v>
      </c>
      <c r="J956">
        <f>_xlfn.XLOOKUP(A956,'[1]Tissue Data'!$A:$A,'[1]Tissue Data'!M:M)</f>
        <v>1.75</v>
      </c>
      <c r="K956" t="s">
        <v>16</v>
      </c>
      <c r="L956" t="str">
        <f>_xlfn.XLOOKUP(K956,[2]analyte_order!$B:$B,[2]analyte_order!$C:$C)</f>
        <v>335-67-1</v>
      </c>
      <c r="M956">
        <f>_xlfn.XLOOKUP(L956,[2]analyte_order!$C:$C,[2]analyte_order!$E:$E)</f>
        <v>5</v>
      </c>
      <c r="N956">
        <v>4.5</v>
      </c>
    </row>
    <row r="957" spans="1:14">
      <c r="A957" t="s">
        <v>312</v>
      </c>
      <c r="B957" t="str">
        <f>_xlfn.XLOOKUP(A957,'[1]Tissue Data'!$A:$A,'[1]Tissue Data'!$C:$C)</f>
        <v>Down</v>
      </c>
      <c r="C957" s="2">
        <f>_xlfn.XLOOKUP(A957,'[1]Tissue Data'!$A:$A,'[1]Tissue Data'!$D:$D)</f>
        <v>44314</v>
      </c>
      <c r="D957" s="2" t="s">
        <v>131</v>
      </c>
      <c r="E957" t="str">
        <f>_xlfn.XLOOKUP(A957,'[1]Tissue Data'!$A:$A,'[1]Tissue Data'!$H:$H)</f>
        <v>Rhinichthys</v>
      </c>
      <c r="F957" t="str">
        <f>_xlfn.XLOOKUP(A957,'[1]Tissue Data'!$A:$A,'[1]Tissue Data'!$I:$I)</f>
        <v>atratulus</v>
      </c>
      <c r="G957" t="str">
        <f>_xlfn.XLOOKUP(A957,'[1]Tissue Data'!$A:$A,'[1]Tissue Data'!J:J)</f>
        <v>U</v>
      </c>
      <c r="H957" t="str">
        <f>_xlfn.XLOOKUP(A957,'[1]Tissue Data'!$A:$A,'[1]Tissue Data'!K:K)</f>
        <v>Whole Body</v>
      </c>
      <c r="I957">
        <f>_xlfn.XLOOKUP(A957,'[1]Tissue Data'!$A:$A,'[1]Tissue Data'!L:L)</f>
        <v>5.5</v>
      </c>
      <c r="J957">
        <f>_xlfn.XLOOKUP(A957,'[1]Tissue Data'!$A:$A,'[1]Tissue Data'!M:M)</f>
        <v>1.75</v>
      </c>
      <c r="K957" t="s">
        <v>17</v>
      </c>
      <c r="L957" t="str">
        <f>_xlfn.XLOOKUP(K957,[2]analyte_order!$B:$B,[2]analyte_order!$C:$C)</f>
        <v>375-95-1</v>
      </c>
      <c r="M957">
        <f>_xlfn.XLOOKUP(L957,[2]analyte_order!$C:$C,[2]analyte_order!$E:$E)</f>
        <v>6</v>
      </c>
      <c r="N957">
        <v>34.799999999999997</v>
      </c>
    </row>
    <row r="958" spans="1:14">
      <c r="A958" t="s">
        <v>312</v>
      </c>
      <c r="B958" t="str">
        <f>_xlfn.XLOOKUP(A958,'[1]Tissue Data'!$A:$A,'[1]Tissue Data'!$C:$C)</f>
        <v>Down</v>
      </c>
      <c r="C958" s="2">
        <f>_xlfn.XLOOKUP(A958,'[1]Tissue Data'!$A:$A,'[1]Tissue Data'!$D:$D)</f>
        <v>44314</v>
      </c>
      <c r="D958" s="2" t="s">
        <v>131</v>
      </c>
      <c r="E958" t="str">
        <f>_xlfn.XLOOKUP(A958,'[1]Tissue Data'!$A:$A,'[1]Tissue Data'!$H:$H)</f>
        <v>Rhinichthys</v>
      </c>
      <c r="F958" t="str">
        <f>_xlfn.XLOOKUP(A958,'[1]Tissue Data'!$A:$A,'[1]Tissue Data'!$I:$I)</f>
        <v>atratulus</v>
      </c>
      <c r="G958" t="str">
        <f>_xlfn.XLOOKUP(A958,'[1]Tissue Data'!$A:$A,'[1]Tissue Data'!J:J)</f>
        <v>U</v>
      </c>
      <c r="H958" t="str">
        <f>_xlfn.XLOOKUP(A958,'[1]Tissue Data'!$A:$A,'[1]Tissue Data'!K:K)</f>
        <v>Whole Body</v>
      </c>
      <c r="I958">
        <f>_xlfn.XLOOKUP(A958,'[1]Tissue Data'!$A:$A,'[1]Tissue Data'!L:L)</f>
        <v>5.5</v>
      </c>
      <c r="J958">
        <f>_xlfn.XLOOKUP(A958,'[1]Tissue Data'!$A:$A,'[1]Tissue Data'!M:M)</f>
        <v>1.75</v>
      </c>
      <c r="K958" t="s">
        <v>18</v>
      </c>
      <c r="L958" t="str">
        <f>_xlfn.XLOOKUP(K958,[2]analyte_order!$B:$B,[2]analyte_order!$C:$C)</f>
        <v>335-76-2</v>
      </c>
      <c r="M958">
        <f>_xlfn.XLOOKUP(L958,[2]analyte_order!$C:$C,[2]analyte_order!$E:$E)</f>
        <v>7</v>
      </c>
      <c r="N958">
        <v>33.5</v>
      </c>
    </row>
    <row r="959" spans="1:14">
      <c r="A959" t="s">
        <v>312</v>
      </c>
      <c r="B959" t="str">
        <f>_xlfn.XLOOKUP(A959,'[1]Tissue Data'!$A:$A,'[1]Tissue Data'!$C:$C)</f>
        <v>Down</v>
      </c>
      <c r="C959" s="2">
        <f>_xlfn.XLOOKUP(A959,'[1]Tissue Data'!$A:$A,'[1]Tissue Data'!$D:$D)</f>
        <v>44314</v>
      </c>
      <c r="D959" s="2" t="s">
        <v>131</v>
      </c>
      <c r="E959" t="str">
        <f>_xlfn.XLOOKUP(A959,'[1]Tissue Data'!$A:$A,'[1]Tissue Data'!$H:$H)</f>
        <v>Rhinichthys</v>
      </c>
      <c r="F959" t="str">
        <f>_xlfn.XLOOKUP(A959,'[1]Tissue Data'!$A:$A,'[1]Tissue Data'!$I:$I)</f>
        <v>atratulus</v>
      </c>
      <c r="G959" t="str">
        <f>_xlfn.XLOOKUP(A959,'[1]Tissue Data'!$A:$A,'[1]Tissue Data'!J:J)</f>
        <v>U</v>
      </c>
      <c r="H959" t="str">
        <f>_xlfn.XLOOKUP(A959,'[1]Tissue Data'!$A:$A,'[1]Tissue Data'!K:K)</f>
        <v>Whole Body</v>
      </c>
      <c r="I959">
        <f>_xlfn.XLOOKUP(A959,'[1]Tissue Data'!$A:$A,'[1]Tissue Data'!L:L)</f>
        <v>5.5</v>
      </c>
      <c r="J959">
        <f>_xlfn.XLOOKUP(A959,'[1]Tissue Data'!$A:$A,'[1]Tissue Data'!M:M)</f>
        <v>1.75</v>
      </c>
      <c r="K959" t="s">
        <v>19</v>
      </c>
      <c r="L959" t="str">
        <f>_xlfn.XLOOKUP(K959,[2]analyte_order!$B:$B,[2]analyte_order!$C:$C)</f>
        <v>2058-94-8</v>
      </c>
      <c r="M959">
        <f>_xlfn.XLOOKUP(L959,[2]analyte_order!$C:$C,[2]analyte_order!$E:$E)</f>
        <v>8</v>
      </c>
      <c r="N959">
        <v>25.1</v>
      </c>
    </row>
    <row r="960" spans="1:14">
      <c r="A960" t="s">
        <v>312</v>
      </c>
      <c r="B960" t="str">
        <f>_xlfn.XLOOKUP(A960,'[1]Tissue Data'!$A:$A,'[1]Tissue Data'!$C:$C)</f>
        <v>Down</v>
      </c>
      <c r="C960" s="2">
        <f>_xlfn.XLOOKUP(A960,'[1]Tissue Data'!$A:$A,'[1]Tissue Data'!$D:$D)</f>
        <v>44314</v>
      </c>
      <c r="D960" s="2" t="s">
        <v>131</v>
      </c>
      <c r="E960" t="str">
        <f>_xlfn.XLOOKUP(A960,'[1]Tissue Data'!$A:$A,'[1]Tissue Data'!$H:$H)</f>
        <v>Rhinichthys</v>
      </c>
      <c r="F960" t="str">
        <f>_xlfn.XLOOKUP(A960,'[1]Tissue Data'!$A:$A,'[1]Tissue Data'!$I:$I)</f>
        <v>atratulus</v>
      </c>
      <c r="G960" t="str">
        <f>_xlfn.XLOOKUP(A960,'[1]Tissue Data'!$A:$A,'[1]Tissue Data'!J:J)</f>
        <v>U</v>
      </c>
      <c r="H960" t="str">
        <f>_xlfn.XLOOKUP(A960,'[1]Tissue Data'!$A:$A,'[1]Tissue Data'!K:K)</f>
        <v>Whole Body</v>
      </c>
      <c r="I960">
        <f>_xlfn.XLOOKUP(A960,'[1]Tissue Data'!$A:$A,'[1]Tissue Data'!L:L)</f>
        <v>5.5</v>
      </c>
      <c r="J960">
        <f>_xlfn.XLOOKUP(A960,'[1]Tissue Data'!$A:$A,'[1]Tissue Data'!M:M)</f>
        <v>1.75</v>
      </c>
      <c r="K960" t="s">
        <v>20</v>
      </c>
      <c r="L960" t="str">
        <f>_xlfn.XLOOKUP(K960,[2]analyte_order!$B:$B,[2]analyte_order!$C:$C)</f>
        <v>307-55-1</v>
      </c>
      <c r="M960">
        <f>_xlfn.XLOOKUP(L960,[2]analyte_order!$C:$C,[2]analyte_order!$E:$E)</f>
        <v>9</v>
      </c>
      <c r="N960">
        <v>5.2405739241913746E-2</v>
      </c>
    </row>
    <row r="961" spans="1:14">
      <c r="A961" t="s">
        <v>312</v>
      </c>
      <c r="B961" t="str">
        <f>_xlfn.XLOOKUP(A961,'[1]Tissue Data'!$A:$A,'[1]Tissue Data'!$C:$C)</f>
        <v>Down</v>
      </c>
      <c r="C961" s="2">
        <f>_xlfn.XLOOKUP(A961,'[1]Tissue Data'!$A:$A,'[1]Tissue Data'!$D:$D)</f>
        <v>44314</v>
      </c>
      <c r="D961" s="2" t="s">
        <v>131</v>
      </c>
      <c r="E961" t="str">
        <f>_xlfn.XLOOKUP(A961,'[1]Tissue Data'!$A:$A,'[1]Tissue Data'!$H:$H)</f>
        <v>Rhinichthys</v>
      </c>
      <c r="F961" t="str">
        <f>_xlfn.XLOOKUP(A961,'[1]Tissue Data'!$A:$A,'[1]Tissue Data'!$I:$I)</f>
        <v>atratulus</v>
      </c>
      <c r="G961" t="str">
        <f>_xlfn.XLOOKUP(A961,'[1]Tissue Data'!$A:$A,'[1]Tissue Data'!J:J)</f>
        <v>U</v>
      </c>
      <c r="H961" t="str">
        <f>_xlfn.XLOOKUP(A961,'[1]Tissue Data'!$A:$A,'[1]Tissue Data'!K:K)</f>
        <v>Whole Body</v>
      </c>
      <c r="I961">
        <f>_xlfn.XLOOKUP(A961,'[1]Tissue Data'!$A:$A,'[1]Tissue Data'!L:L)</f>
        <v>5.5</v>
      </c>
      <c r="J961">
        <f>_xlfn.XLOOKUP(A961,'[1]Tissue Data'!$A:$A,'[1]Tissue Data'!M:M)</f>
        <v>1.75</v>
      </c>
      <c r="K961" t="s">
        <v>21</v>
      </c>
      <c r="L961" t="str">
        <f>_xlfn.XLOOKUP(K961,[2]analyte_order!$B:$B,[2]analyte_order!$C:$C)</f>
        <v>72629-94-8</v>
      </c>
      <c r="M961">
        <f>_xlfn.XLOOKUP(L961,[2]analyte_order!$C:$C,[2]analyte_order!$E:$E)</f>
        <v>10</v>
      </c>
      <c r="N961">
        <v>5.94</v>
      </c>
    </row>
    <row r="962" spans="1:14">
      <c r="A962" t="s">
        <v>312</v>
      </c>
      <c r="B962" t="str">
        <f>_xlfn.XLOOKUP(A962,'[1]Tissue Data'!$A:$A,'[1]Tissue Data'!$C:$C)</f>
        <v>Down</v>
      </c>
      <c r="C962" s="2">
        <f>_xlfn.XLOOKUP(A962,'[1]Tissue Data'!$A:$A,'[1]Tissue Data'!$D:$D)</f>
        <v>44314</v>
      </c>
      <c r="D962" s="2" t="s">
        <v>131</v>
      </c>
      <c r="E962" t="str">
        <f>_xlfn.XLOOKUP(A962,'[1]Tissue Data'!$A:$A,'[1]Tissue Data'!$H:$H)</f>
        <v>Rhinichthys</v>
      </c>
      <c r="F962" t="str">
        <f>_xlfn.XLOOKUP(A962,'[1]Tissue Data'!$A:$A,'[1]Tissue Data'!$I:$I)</f>
        <v>atratulus</v>
      </c>
      <c r="G962" t="str">
        <f>_xlfn.XLOOKUP(A962,'[1]Tissue Data'!$A:$A,'[1]Tissue Data'!J:J)</f>
        <v>U</v>
      </c>
      <c r="H962" t="str">
        <f>_xlfn.XLOOKUP(A962,'[1]Tissue Data'!$A:$A,'[1]Tissue Data'!K:K)</f>
        <v>Whole Body</v>
      </c>
      <c r="I962">
        <f>_xlfn.XLOOKUP(A962,'[1]Tissue Data'!$A:$A,'[1]Tissue Data'!L:L)</f>
        <v>5.5</v>
      </c>
      <c r="J962">
        <f>_xlfn.XLOOKUP(A962,'[1]Tissue Data'!$A:$A,'[1]Tissue Data'!M:M)</f>
        <v>1.75</v>
      </c>
      <c r="K962" t="s">
        <v>22</v>
      </c>
      <c r="L962" t="str">
        <f>_xlfn.XLOOKUP(K962,[2]analyte_order!$B:$B,[2]analyte_order!$C:$C)</f>
        <v>376-06-7</v>
      </c>
      <c r="M962">
        <f>_xlfn.XLOOKUP(L962,[2]analyte_order!$C:$C,[2]analyte_order!$E:$E)</f>
        <v>11</v>
      </c>
      <c r="N962">
        <v>5.5</v>
      </c>
    </row>
    <row r="963" spans="1:14">
      <c r="A963" t="s">
        <v>312</v>
      </c>
      <c r="B963" t="str">
        <f>_xlfn.XLOOKUP(A963,'[1]Tissue Data'!$A:$A,'[1]Tissue Data'!$C:$C)</f>
        <v>Down</v>
      </c>
      <c r="C963" s="2">
        <f>_xlfn.XLOOKUP(A963,'[1]Tissue Data'!$A:$A,'[1]Tissue Data'!$D:$D)</f>
        <v>44314</v>
      </c>
      <c r="D963" s="2" t="s">
        <v>131</v>
      </c>
      <c r="E963" t="str">
        <f>_xlfn.XLOOKUP(A963,'[1]Tissue Data'!$A:$A,'[1]Tissue Data'!$H:$H)</f>
        <v>Rhinichthys</v>
      </c>
      <c r="F963" t="str">
        <f>_xlfn.XLOOKUP(A963,'[1]Tissue Data'!$A:$A,'[1]Tissue Data'!$I:$I)</f>
        <v>atratulus</v>
      </c>
      <c r="G963" t="str">
        <f>_xlfn.XLOOKUP(A963,'[1]Tissue Data'!$A:$A,'[1]Tissue Data'!J:J)</f>
        <v>U</v>
      </c>
      <c r="H963" t="str">
        <f>_xlfn.XLOOKUP(A963,'[1]Tissue Data'!$A:$A,'[1]Tissue Data'!K:K)</f>
        <v>Whole Body</v>
      </c>
      <c r="I963">
        <f>_xlfn.XLOOKUP(A963,'[1]Tissue Data'!$A:$A,'[1]Tissue Data'!L:L)</f>
        <v>5.5</v>
      </c>
      <c r="J963">
        <f>_xlfn.XLOOKUP(A963,'[1]Tissue Data'!$A:$A,'[1]Tissue Data'!M:M)</f>
        <v>1.75</v>
      </c>
      <c r="K963" t="s">
        <v>23</v>
      </c>
      <c r="L963" t="str">
        <f>_xlfn.XLOOKUP(K963,[2]analyte_order!$B:$B,[2]analyte_order!$C:$C)</f>
        <v>67905-19-5</v>
      </c>
      <c r="M963">
        <f>_xlfn.XLOOKUP(L963,[2]analyte_order!$C:$C,[2]analyte_order!$E:$E)</f>
        <v>12</v>
      </c>
      <c r="N963">
        <v>7.8224009009433965E-2</v>
      </c>
    </row>
    <row r="964" spans="1:14">
      <c r="A964" t="s">
        <v>312</v>
      </c>
      <c r="B964" t="str">
        <f>_xlfn.XLOOKUP(A964,'[1]Tissue Data'!$A:$A,'[1]Tissue Data'!$C:$C)</f>
        <v>Down</v>
      </c>
      <c r="C964" s="2">
        <f>_xlfn.XLOOKUP(A964,'[1]Tissue Data'!$A:$A,'[1]Tissue Data'!$D:$D)</f>
        <v>44314</v>
      </c>
      <c r="D964" s="2" t="s">
        <v>131</v>
      </c>
      <c r="E964" t="str">
        <f>_xlfn.XLOOKUP(A964,'[1]Tissue Data'!$A:$A,'[1]Tissue Data'!$H:$H)</f>
        <v>Rhinichthys</v>
      </c>
      <c r="F964" t="str">
        <f>_xlfn.XLOOKUP(A964,'[1]Tissue Data'!$A:$A,'[1]Tissue Data'!$I:$I)</f>
        <v>atratulus</v>
      </c>
      <c r="G964" t="str">
        <f>_xlfn.XLOOKUP(A964,'[1]Tissue Data'!$A:$A,'[1]Tissue Data'!J:J)</f>
        <v>U</v>
      </c>
      <c r="H964" t="str">
        <f>_xlfn.XLOOKUP(A964,'[1]Tissue Data'!$A:$A,'[1]Tissue Data'!K:K)</f>
        <v>Whole Body</v>
      </c>
      <c r="I964">
        <f>_xlfn.XLOOKUP(A964,'[1]Tissue Data'!$A:$A,'[1]Tissue Data'!L:L)</f>
        <v>5.5</v>
      </c>
      <c r="J964">
        <f>_xlfn.XLOOKUP(A964,'[1]Tissue Data'!$A:$A,'[1]Tissue Data'!M:M)</f>
        <v>1.75</v>
      </c>
      <c r="K964" t="s">
        <v>24</v>
      </c>
      <c r="L964" t="str">
        <f>_xlfn.XLOOKUP(K964,[2]analyte_order!$B:$B,[2]analyte_order!$C:$C)</f>
        <v>423-41-6</v>
      </c>
      <c r="M964">
        <f>_xlfn.XLOOKUP(L964,[2]analyte_order!$C:$C,[2]analyte_order!$E:$E)</f>
        <v>53</v>
      </c>
      <c r="N964">
        <v>5.0076568049191375E-2</v>
      </c>
    </row>
    <row r="965" spans="1:14">
      <c r="A965" t="s">
        <v>312</v>
      </c>
      <c r="B965" t="str">
        <f>_xlfn.XLOOKUP(A965,'[1]Tissue Data'!$A:$A,'[1]Tissue Data'!$C:$C)</f>
        <v>Down</v>
      </c>
      <c r="C965" s="2">
        <f>_xlfn.XLOOKUP(A965,'[1]Tissue Data'!$A:$A,'[1]Tissue Data'!$D:$D)</f>
        <v>44314</v>
      </c>
      <c r="D965" s="2" t="s">
        <v>131</v>
      </c>
      <c r="E965" t="str">
        <f>_xlfn.XLOOKUP(A965,'[1]Tissue Data'!$A:$A,'[1]Tissue Data'!$H:$H)</f>
        <v>Rhinichthys</v>
      </c>
      <c r="F965" t="str">
        <f>_xlfn.XLOOKUP(A965,'[1]Tissue Data'!$A:$A,'[1]Tissue Data'!$I:$I)</f>
        <v>atratulus</v>
      </c>
      <c r="G965" t="str">
        <f>_xlfn.XLOOKUP(A965,'[1]Tissue Data'!$A:$A,'[1]Tissue Data'!J:J)</f>
        <v>U</v>
      </c>
      <c r="H965" t="str">
        <f>_xlfn.XLOOKUP(A965,'[1]Tissue Data'!$A:$A,'[1]Tissue Data'!K:K)</f>
        <v>Whole Body</v>
      </c>
      <c r="I965">
        <f>_xlfn.XLOOKUP(A965,'[1]Tissue Data'!$A:$A,'[1]Tissue Data'!L:L)</f>
        <v>5.5</v>
      </c>
      <c r="J965">
        <f>_xlfn.XLOOKUP(A965,'[1]Tissue Data'!$A:$A,'[1]Tissue Data'!M:M)</f>
        <v>1.75</v>
      </c>
      <c r="K965" t="s">
        <v>25</v>
      </c>
      <c r="L965" t="str">
        <f>_xlfn.XLOOKUP(K965,[2]analyte_order!$B:$B,[2]analyte_order!$C:$C)</f>
        <v>375-73-5</v>
      </c>
      <c r="M965">
        <f>_xlfn.XLOOKUP(L965,[2]analyte_order!$C:$C,[2]analyte_order!$E:$E)</f>
        <v>14</v>
      </c>
      <c r="N965">
        <v>0.16769283493511822</v>
      </c>
    </row>
    <row r="966" spans="1:14">
      <c r="A966" t="s">
        <v>312</v>
      </c>
      <c r="B966" t="str">
        <f>_xlfn.XLOOKUP(A966,'[1]Tissue Data'!$A:$A,'[1]Tissue Data'!$C:$C)</f>
        <v>Down</v>
      </c>
      <c r="C966" s="2">
        <f>_xlfn.XLOOKUP(A966,'[1]Tissue Data'!$A:$A,'[1]Tissue Data'!$D:$D)</f>
        <v>44314</v>
      </c>
      <c r="D966" s="2" t="s">
        <v>131</v>
      </c>
      <c r="E966" t="str">
        <f>_xlfn.XLOOKUP(A966,'[1]Tissue Data'!$A:$A,'[1]Tissue Data'!$H:$H)</f>
        <v>Rhinichthys</v>
      </c>
      <c r="F966" t="str">
        <f>_xlfn.XLOOKUP(A966,'[1]Tissue Data'!$A:$A,'[1]Tissue Data'!$I:$I)</f>
        <v>atratulus</v>
      </c>
      <c r="G966" t="str">
        <f>_xlfn.XLOOKUP(A966,'[1]Tissue Data'!$A:$A,'[1]Tissue Data'!J:J)</f>
        <v>U</v>
      </c>
      <c r="H966" t="str">
        <f>_xlfn.XLOOKUP(A966,'[1]Tissue Data'!$A:$A,'[1]Tissue Data'!K:K)</f>
        <v>Whole Body</v>
      </c>
      <c r="I966">
        <f>_xlfn.XLOOKUP(A966,'[1]Tissue Data'!$A:$A,'[1]Tissue Data'!L:L)</f>
        <v>5.5</v>
      </c>
      <c r="J966">
        <f>_xlfn.XLOOKUP(A966,'[1]Tissue Data'!$A:$A,'[1]Tissue Data'!M:M)</f>
        <v>1.75</v>
      </c>
      <c r="K966" t="s">
        <v>26</v>
      </c>
      <c r="L966" t="str">
        <f>_xlfn.XLOOKUP(K966,[2]analyte_order!$B:$B,[2]analyte_order!$C:$C)</f>
        <v>2706-91-4</v>
      </c>
      <c r="M966">
        <f>_xlfn.XLOOKUP(L966,[2]analyte_order!$C:$C,[2]analyte_order!$E:$E)</f>
        <v>15</v>
      </c>
      <c r="N966">
        <v>0.623</v>
      </c>
    </row>
    <row r="967" spans="1:14">
      <c r="A967" t="s">
        <v>312</v>
      </c>
      <c r="B967" t="str">
        <f>_xlfn.XLOOKUP(A967,'[1]Tissue Data'!$A:$A,'[1]Tissue Data'!$C:$C)</f>
        <v>Down</v>
      </c>
      <c r="C967" s="2">
        <f>_xlfn.XLOOKUP(A967,'[1]Tissue Data'!$A:$A,'[1]Tissue Data'!$D:$D)</f>
        <v>44314</v>
      </c>
      <c r="D967" s="2" t="s">
        <v>131</v>
      </c>
      <c r="E967" t="str">
        <f>_xlfn.XLOOKUP(A967,'[1]Tissue Data'!$A:$A,'[1]Tissue Data'!$H:$H)</f>
        <v>Rhinichthys</v>
      </c>
      <c r="F967" t="str">
        <f>_xlfn.XLOOKUP(A967,'[1]Tissue Data'!$A:$A,'[1]Tissue Data'!$I:$I)</f>
        <v>atratulus</v>
      </c>
      <c r="G967" t="str">
        <f>_xlfn.XLOOKUP(A967,'[1]Tissue Data'!$A:$A,'[1]Tissue Data'!J:J)</f>
        <v>U</v>
      </c>
      <c r="H967" t="str">
        <f>_xlfn.XLOOKUP(A967,'[1]Tissue Data'!$A:$A,'[1]Tissue Data'!K:K)</f>
        <v>Whole Body</v>
      </c>
      <c r="I967">
        <f>_xlfn.XLOOKUP(A967,'[1]Tissue Data'!$A:$A,'[1]Tissue Data'!L:L)</f>
        <v>5.5</v>
      </c>
      <c r="J967">
        <f>_xlfn.XLOOKUP(A967,'[1]Tissue Data'!$A:$A,'[1]Tissue Data'!M:M)</f>
        <v>1.75</v>
      </c>
      <c r="K967" t="s">
        <v>27</v>
      </c>
      <c r="L967" t="str">
        <f>_xlfn.XLOOKUP(K967,[2]analyte_order!$B:$B,[2]analyte_order!$C:$C)</f>
        <v>355-46-4</v>
      </c>
      <c r="M967">
        <f>_xlfn.XLOOKUP(L967,[2]analyte_order!$C:$C,[2]analyte_order!$E:$E)</f>
        <v>16</v>
      </c>
      <c r="N967">
        <v>92.9</v>
      </c>
    </row>
    <row r="968" spans="1:14">
      <c r="A968" t="s">
        <v>312</v>
      </c>
      <c r="B968" t="str">
        <f>_xlfn.XLOOKUP(A968,'[1]Tissue Data'!$A:$A,'[1]Tissue Data'!$C:$C)</f>
        <v>Down</v>
      </c>
      <c r="C968" s="2">
        <f>_xlfn.XLOOKUP(A968,'[1]Tissue Data'!$A:$A,'[1]Tissue Data'!$D:$D)</f>
        <v>44314</v>
      </c>
      <c r="D968" s="2" t="s">
        <v>131</v>
      </c>
      <c r="E968" t="str">
        <f>_xlfn.XLOOKUP(A968,'[1]Tissue Data'!$A:$A,'[1]Tissue Data'!$H:$H)</f>
        <v>Rhinichthys</v>
      </c>
      <c r="F968" t="str">
        <f>_xlfn.XLOOKUP(A968,'[1]Tissue Data'!$A:$A,'[1]Tissue Data'!$I:$I)</f>
        <v>atratulus</v>
      </c>
      <c r="G968" t="str">
        <f>_xlfn.XLOOKUP(A968,'[1]Tissue Data'!$A:$A,'[1]Tissue Data'!J:J)</f>
        <v>U</v>
      </c>
      <c r="H968" t="str">
        <f>_xlfn.XLOOKUP(A968,'[1]Tissue Data'!$A:$A,'[1]Tissue Data'!K:K)</f>
        <v>Whole Body</v>
      </c>
      <c r="I968">
        <f>_xlfn.XLOOKUP(A968,'[1]Tissue Data'!$A:$A,'[1]Tissue Data'!L:L)</f>
        <v>5.5</v>
      </c>
      <c r="J968">
        <f>_xlfn.XLOOKUP(A968,'[1]Tissue Data'!$A:$A,'[1]Tissue Data'!M:M)</f>
        <v>1.75</v>
      </c>
      <c r="K968" t="s">
        <v>28</v>
      </c>
      <c r="L968" t="str">
        <f>_xlfn.XLOOKUP(K968,[2]analyte_order!$B:$B,[2]analyte_order!$C:$C)</f>
        <v>375-92-8</v>
      </c>
      <c r="M968">
        <f>_xlfn.XLOOKUP(L968,[2]analyte_order!$C:$C,[2]analyte_order!$E:$E)</f>
        <v>17</v>
      </c>
      <c r="N968">
        <v>12.3</v>
      </c>
    </row>
    <row r="969" spans="1:14">
      <c r="A969" t="s">
        <v>312</v>
      </c>
      <c r="B969" t="str">
        <f>_xlfn.XLOOKUP(A969,'[1]Tissue Data'!$A:$A,'[1]Tissue Data'!$C:$C)</f>
        <v>Down</v>
      </c>
      <c r="C969" s="2">
        <f>_xlfn.XLOOKUP(A969,'[1]Tissue Data'!$A:$A,'[1]Tissue Data'!$D:$D)</f>
        <v>44314</v>
      </c>
      <c r="D969" s="2" t="s">
        <v>131</v>
      </c>
      <c r="E969" t="str">
        <f>_xlfn.XLOOKUP(A969,'[1]Tissue Data'!$A:$A,'[1]Tissue Data'!$H:$H)</f>
        <v>Rhinichthys</v>
      </c>
      <c r="F969" t="str">
        <f>_xlfn.XLOOKUP(A969,'[1]Tissue Data'!$A:$A,'[1]Tissue Data'!$I:$I)</f>
        <v>atratulus</v>
      </c>
      <c r="G969" t="str">
        <f>_xlfn.XLOOKUP(A969,'[1]Tissue Data'!$A:$A,'[1]Tissue Data'!J:J)</f>
        <v>U</v>
      </c>
      <c r="H969" t="str">
        <f>_xlfn.XLOOKUP(A969,'[1]Tissue Data'!$A:$A,'[1]Tissue Data'!K:K)</f>
        <v>Whole Body</v>
      </c>
      <c r="I969">
        <f>_xlfn.XLOOKUP(A969,'[1]Tissue Data'!$A:$A,'[1]Tissue Data'!L:L)</f>
        <v>5.5</v>
      </c>
      <c r="J969">
        <f>_xlfn.XLOOKUP(A969,'[1]Tissue Data'!$A:$A,'[1]Tissue Data'!M:M)</f>
        <v>1.75</v>
      </c>
      <c r="K969" t="s">
        <v>29</v>
      </c>
      <c r="L969" t="str">
        <f>_xlfn.XLOOKUP(K969,[2]analyte_order!$B:$B,[2]analyte_order!$C:$C)</f>
        <v>1763-23-1</v>
      </c>
      <c r="M969">
        <f>_xlfn.XLOOKUP(L969,[2]analyte_order!$C:$C,[2]analyte_order!$E:$E)</f>
        <v>18</v>
      </c>
      <c r="N969">
        <v>3330</v>
      </c>
    </row>
    <row r="970" spans="1:14">
      <c r="A970" t="s">
        <v>312</v>
      </c>
      <c r="B970" t="str">
        <f>_xlfn.XLOOKUP(A970,'[1]Tissue Data'!$A:$A,'[1]Tissue Data'!$C:$C)</f>
        <v>Down</v>
      </c>
      <c r="C970" s="2">
        <f>_xlfn.XLOOKUP(A970,'[1]Tissue Data'!$A:$A,'[1]Tissue Data'!$D:$D)</f>
        <v>44314</v>
      </c>
      <c r="D970" s="2" t="s">
        <v>131</v>
      </c>
      <c r="E970" t="str">
        <f>_xlfn.XLOOKUP(A970,'[1]Tissue Data'!$A:$A,'[1]Tissue Data'!$H:$H)</f>
        <v>Rhinichthys</v>
      </c>
      <c r="F970" t="str">
        <f>_xlfn.XLOOKUP(A970,'[1]Tissue Data'!$A:$A,'[1]Tissue Data'!$I:$I)</f>
        <v>atratulus</v>
      </c>
      <c r="G970" t="str">
        <f>_xlfn.XLOOKUP(A970,'[1]Tissue Data'!$A:$A,'[1]Tissue Data'!J:J)</f>
        <v>U</v>
      </c>
      <c r="H970" t="str">
        <f>_xlfn.XLOOKUP(A970,'[1]Tissue Data'!$A:$A,'[1]Tissue Data'!K:K)</f>
        <v>Whole Body</v>
      </c>
      <c r="I970">
        <f>_xlfn.XLOOKUP(A970,'[1]Tissue Data'!$A:$A,'[1]Tissue Data'!L:L)</f>
        <v>5.5</v>
      </c>
      <c r="J970">
        <f>_xlfn.XLOOKUP(A970,'[1]Tissue Data'!$A:$A,'[1]Tissue Data'!M:M)</f>
        <v>1.75</v>
      </c>
      <c r="K970" t="s">
        <v>30</v>
      </c>
      <c r="L970" t="str">
        <f>_xlfn.XLOOKUP(K970,[2]analyte_order!$B:$B,[2]analyte_order!$C:$C)</f>
        <v>68259-12-1</v>
      </c>
      <c r="M970">
        <f>_xlfn.XLOOKUP(L970,[2]analyte_order!$C:$C,[2]analyte_order!$E:$E)</f>
        <v>19</v>
      </c>
      <c r="N970">
        <v>2.46</v>
      </c>
    </row>
    <row r="971" spans="1:14">
      <c r="A971" t="s">
        <v>312</v>
      </c>
      <c r="B971" t="str">
        <f>_xlfn.XLOOKUP(A971,'[1]Tissue Data'!$A:$A,'[1]Tissue Data'!$C:$C)</f>
        <v>Down</v>
      </c>
      <c r="C971" s="2">
        <f>_xlfn.XLOOKUP(A971,'[1]Tissue Data'!$A:$A,'[1]Tissue Data'!$D:$D)</f>
        <v>44314</v>
      </c>
      <c r="D971" s="2" t="s">
        <v>131</v>
      </c>
      <c r="E971" t="str">
        <f>_xlfn.XLOOKUP(A971,'[1]Tissue Data'!$A:$A,'[1]Tissue Data'!$H:$H)</f>
        <v>Rhinichthys</v>
      </c>
      <c r="F971" t="str">
        <f>_xlfn.XLOOKUP(A971,'[1]Tissue Data'!$A:$A,'[1]Tissue Data'!$I:$I)</f>
        <v>atratulus</v>
      </c>
      <c r="G971" t="str">
        <f>_xlfn.XLOOKUP(A971,'[1]Tissue Data'!$A:$A,'[1]Tissue Data'!J:J)</f>
        <v>U</v>
      </c>
      <c r="H971" t="str">
        <f>_xlfn.XLOOKUP(A971,'[1]Tissue Data'!$A:$A,'[1]Tissue Data'!K:K)</f>
        <v>Whole Body</v>
      </c>
      <c r="I971">
        <f>_xlfn.XLOOKUP(A971,'[1]Tissue Data'!$A:$A,'[1]Tissue Data'!L:L)</f>
        <v>5.5</v>
      </c>
      <c r="J971">
        <f>_xlfn.XLOOKUP(A971,'[1]Tissue Data'!$A:$A,'[1]Tissue Data'!M:M)</f>
        <v>1.75</v>
      </c>
      <c r="K971" t="s">
        <v>31</v>
      </c>
      <c r="L971" t="str">
        <f>_xlfn.XLOOKUP(K971,[2]analyte_order!$B:$B,[2]analyte_order!$C:$C)</f>
        <v>335-77-3</v>
      </c>
      <c r="M971">
        <f>_xlfn.XLOOKUP(L971,[2]analyte_order!$C:$C,[2]analyte_order!$E:$E)</f>
        <v>20</v>
      </c>
      <c r="N971">
        <v>2.1</v>
      </c>
    </row>
    <row r="972" spans="1:14">
      <c r="A972" t="s">
        <v>312</v>
      </c>
      <c r="B972" t="str">
        <f>_xlfn.XLOOKUP(A972,'[1]Tissue Data'!$A:$A,'[1]Tissue Data'!$C:$C)</f>
        <v>Down</v>
      </c>
      <c r="C972" s="2">
        <f>_xlfn.XLOOKUP(A972,'[1]Tissue Data'!$A:$A,'[1]Tissue Data'!$D:$D)</f>
        <v>44314</v>
      </c>
      <c r="D972" s="2" t="s">
        <v>131</v>
      </c>
      <c r="E972" t="str">
        <f>_xlfn.XLOOKUP(A972,'[1]Tissue Data'!$A:$A,'[1]Tissue Data'!$H:$H)</f>
        <v>Rhinichthys</v>
      </c>
      <c r="F972" t="str">
        <f>_xlfn.XLOOKUP(A972,'[1]Tissue Data'!$A:$A,'[1]Tissue Data'!$I:$I)</f>
        <v>atratulus</v>
      </c>
      <c r="G972" t="str">
        <f>_xlfn.XLOOKUP(A972,'[1]Tissue Data'!$A:$A,'[1]Tissue Data'!J:J)</f>
        <v>U</v>
      </c>
      <c r="H972" t="str">
        <f>_xlfn.XLOOKUP(A972,'[1]Tissue Data'!$A:$A,'[1]Tissue Data'!K:K)</f>
        <v>Whole Body</v>
      </c>
      <c r="I972">
        <f>_xlfn.XLOOKUP(A972,'[1]Tissue Data'!$A:$A,'[1]Tissue Data'!L:L)</f>
        <v>5.5</v>
      </c>
      <c r="J972">
        <f>_xlfn.XLOOKUP(A972,'[1]Tissue Data'!$A:$A,'[1]Tissue Data'!M:M)</f>
        <v>1.75</v>
      </c>
      <c r="K972" t="s">
        <v>32</v>
      </c>
      <c r="L972" t="str">
        <f>_xlfn.XLOOKUP(K972,[2]analyte_order!$B:$B,[2]analyte_order!$C:$C)</f>
        <v>79780-39-5</v>
      </c>
      <c r="M972">
        <f>_xlfn.XLOOKUP(L972,[2]analyte_order!$C:$C,[2]analyte_order!$E:$E)</f>
        <v>21</v>
      </c>
      <c r="N972">
        <v>0.58099999999999996</v>
      </c>
    </row>
    <row r="973" spans="1:14">
      <c r="A973" t="s">
        <v>312</v>
      </c>
      <c r="B973" t="str">
        <f>_xlfn.XLOOKUP(A973,'[1]Tissue Data'!$A:$A,'[1]Tissue Data'!$C:$C)</f>
        <v>Down</v>
      </c>
      <c r="C973" s="2">
        <f>_xlfn.XLOOKUP(A973,'[1]Tissue Data'!$A:$A,'[1]Tissue Data'!$D:$D)</f>
        <v>44314</v>
      </c>
      <c r="D973" s="2" t="s">
        <v>131</v>
      </c>
      <c r="E973" t="str">
        <f>_xlfn.XLOOKUP(A973,'[1]Tissue Data'!$A:$A,'[1]Tissue Data'!$H:$H)</f>
        <v>Rhinichthys</v>
      </c>
      <c r="F973" t="str">
        <f>_xlfn.XLOOKUP(A973,'[1]Tissue Data'!$A:$A,'[1]Tissue Data'!$I:$I)</f>
        <v>atratulus</v>
      </c>
      <c r="G973" t="str">
        <f>_xlfn.XLOOKUP(A973,'[1]Tissue Data'!$A:$A,'[1]Tissue Data'!J:J)</f>
        <v>U</v>
      </c>
      <c r="H973" t="str">
        <f>_xlfn.XLOOKUP(A973,'[1]Tissue Data'!$A:$A,'[1]Tissue Data'!K:K)</f>
        <v>Whole Body</v>
      </c>
      <c r="I973">
        <f>_xlfn.XLOOKUP(A973,'[1]Tissue Data'!$A:$A,'[1]Tissue Data'!L:L)</f>
        <v>5.5</v>
      </c>
      <c r="J973">
        <f>_xlfn.XLOOKUP(A973,'[1]Tissue Data'!$A:$A,'[1]Tissue Data'!M:M)</f>
        <v>1.75</v>
      </c>
      <c r="K973" t="s">
        <v>33</v>
      </c>
      <c r="L973" t="str">
        <f>_xlfn.XLOOKUP(K973,[2]analyte_order!$B:$B,[2]analyte_order!$C:$C)</f>
        <v>777011-38-8</v>
      </c>
      <c r="M973">
        <f>_xlfn.XLOOKUP(L973,[2]analyte_order!$C:$C,[2]analyte_order!$E:$E)</f>
        <v>54</v>
      </c>
      <c r="N973">
        <v>1.28</v>
      </c>
    </row>
    <row r="974" spans="1:14">
      <c r="A974" t="s">
        <v>312</v>
      </c>
      <c r="B974" t="str">
        <f>_xlfn.XLOOKUP(A974,'[1]Tissue Data'!$A:$A,'[1]Tissue Data'!$C:$C)</f>
        <v>Down</v>
      </c>
      <c r="C974" s="2">
        <f>_xlfn.XLOOKUP(A974,'[1]Tissue Data'!$A:$A,'[1]Tissue Data'!$D:$D)</f>
        <v>44314</v>
      </c>
      <c r="D974" s="2" t="s">
        <v>131</v>
      </c>
      <c r="E974" t="str">
        <f>_xlfn.XLOOKUP(A974,'[1]Tissue Data'!$A:$A,'[1]Tissue Data'!$H:$H)</f>
        <v>Rhinichthys</v>
      </c>
      <c r="F974" t="str">
        <f>_xlfn.XLOOKUP(A974,'[1]Tissue Data'!$A:$A,'[1]Tissue Data'!$I:$I)</f>
        <v>atratulus</v>
      </c>
      <c r="G974" t="str">
        <f>_xlfn.XLOOKUP(A974,'[1]Tissue Data'!$A:$A,'[1]Tissue Data'!J:J)</f>
        <v>U</v>
      </c>
      <c r="H974" t="str">
        <f>_xlfn.XLOOKUP(A974,'[1]Tissue Data'!$A:$A,'[1]Tissue Data'!K:K)</f>
        <v>Whole Body</v>
      </c>
      <c r="I974">
        <f>_xlfn.XLOOKUP(A974,'[1]Tissue Data'!$A:$A,'[1]Tissue Data'!L:L)</f>
        <v>5.5</v>
      </c>
      <c r="J974">
        <f>_xlfn.XLOOKUP(A974,'[1]Tissue Data'!$A:$A,'[1]Tissue Data'!M:M)</f>
        <v>1.75</v>
      </c>
      <c r="K974" t="s">
        <v>34</v>
      </c>
      <c r="L974" t="str">
        <f>_xlfn.XLOOKUP(K974,[2]analyte_order!$B:$B,[2]analyte_order!$C:$C)</f>
        <v>646-83-3</v>
      </c>
      <c r="M974">
        <f>_xlfn.XLOOKUP(L974,[2]analyte_order!$C:$C,[2]analyte_order!$E:$E)</f>
        <v>55</v>
      </c>
      <c r="N974">
        <v>0.40300000000000002</v>
      </c>
    </row>
    <row r="975" spans="1:14">
      <c r="A975" t="s">
        <v>312</v>
      </c>
      <c r="B975" t="str">
        <f>_xlfn.XLOOKUP(A975,'[1]Tissue Data'!$A:$A,'[1]Tissue Data'!$C:$C)</f>
        <v>Down</v>
      </c>
      <c r="C975" s="2">
        <f>_xlfn.XLOOKUP(A975,'[1]Tissue Data'!$A:$A,'[1]Tissue Data'!$D:$D)</f>
        <v>44314</v>
      </c>
      <c r="D975" s="2" t="s">
        <v>131</v>
      </c>
      <c r="E975" t="str">
        <f>_xlfn.XLOOKUP(A975,'[1]Tissue Data'!$A:$A,'[1]Tissue Data'!$H:$H)</f>
        <v>Rhinichthys</v>
      </c>
      <c r="F975" t="str">
        <f>_xlfn.XLOOKUP(A975,'[1]Tissue Data'!$A:$A,'[1]Tissue Data'!$I:$I)</f>
        <v>atratulus</v>
      </c>
      <c r="G975" t="str">
        <f>_xlfn.XLOOKUP(A975,'[1]Tissue Data'!$A:$A,'[1]Tissue Data'!J:J)</f>
        <v>U</v>
      </c>
      <c r="H975" t="str">
        <f>_xlfn.XLOOKUP(A975,'[1]Tissue Data'!$A:$A,'[1]Tissue Data'!K:K)</f>
        <v>Whole Body</v>
      </c>
      <c r="I975">
        <f>_xlfn.XLOOKUP(A975,'[1]Tissue Data'!$A:$A,'[1]Tissue Data'!L:L)</f>
        <v>5.5</v>
      </c>
      <c r="J975">
        <f>_xlfn.XLOOKUP(A975,'[1]Tissue Data'!$A:$A,'[1]Tissue Data'!M:M)</f>
        <v>1.75</v>
      </c>
      <c r="K975" t="s">
        <v>35</v>
      </c>
      <c r="L975" t="str">
        <f>_xlfn.XLOOKUP(K975,[2]analyte_order!$B:$B,[2]analyte_order!$C:$C)</f>
        <v>30334-69-1</v>
      </c>
      <c r="M975">
        <f>_xlfn.XLOOKUP(L975,[2]analyte_order!$C:$C,[2]analyte_order!$E:$E)</f>
        <v>51</v>
      </c>
      <c r="N975">
        <v>81.3</v>
      </c>
    </row>
    <row r="976" spans="1:14">
      <c r="A976" t="s">
        <v>312</v>
      </c>
      <c r="B976" t="str">
        <f>_xlfn.XLOOKUP(A976,'[1]Tissue Data'!$A:$A,'[1]Tissue Data'!$C:$C)</f>
        <v>Down</v>
      </c>
      <c r="C976" s="2">
        <f>_xlfn.XLOOKUP(A976,'[1]Tissue Data'!$A:$A,'[1]Tissue Data'!$D:$D)</f>
        <v>44314</v>
      </c>
      <c r="D976" s="2" t="s">
        <v>131</v>
      </c>
      <c r="E976" t="str">
        <f>_xlfn.XLOOKUP(A976,'[1]Tissue Data'!$A:$A,'[1]Tissue Data'!$H:$H)</f>
        <v>Rhinichthys</v>
      </c>
      <c r="F976" t="str">
        <f>_xlfn.XLOOKUP(A976,'[1]Tissue Data'!$A:$A,'[1]Tissue Data'!$I:$I)</f>
        <v>atratulus</v>
      </c>
      <c r="G976" t="str">
        <f>_xlfn.XLOOKUP(A976,'[1]Tissue Data'!$A:$A,'[1]Tissue Data'!J:J)</f>
        <v>U</v>
      </c>
      <c r="H976" t="str">
        <f>_xlfn.XLOOKUP(A976,'[1]Tissue Data'!$A:$A,'[1]Tissue Data'!K:K)</f>
        <v>Whole Body</v>
      </c>
      <c r="I976">
        <f>_xlfn.XLOOKUP(A976,'[1]Tissue Data'!$A:$A,'[1]Tissue Data'!L:L)</f>
        <v>5.5</v>
      </c>
      <c r="J976">
        <f>_xlfn.XLOOKUP(A976,'[1]Tissue Data'!$A:$A,'[1]Tissue Data'!M:M)</f>
        <v>1.75</v>
      </c>
      <c r="K976" t="s">
        <v>36</v>
      </c>
      <c r="L976" t="str">
        <f>_xlfn.XLOOKUP(K976,[2]analyte_order!$B:$B,[2]analyte_order!$C:$C)</f>
        <v>41997-13-1</v>
      </c>
      <c r="M976">
        <f>_xlfn.XLOOKUP(L976,[2]analyte_order!$C:$C,[2]analyte_order!$E:$E)</f>
        <v>52</v>
      </c>
      <c r="N976">
        <v>401</v>
      </c>
    </row>
    <row r="977" spans="1:14">
      <c r="A977" t="s">
        <v>312</v>
      </c>
      <c r="B977" t="str">
        <f>_xlfn.XLOOKUP(A977,'[1]Tissue Data'!$A:$A,'[1]Tissue Data'!$C:$C)</f>
        <v>Down</v>
      </c>
      <c r="C977" s="2">
        <f>_xlfn.XLOOKUP(A977,'[1]Tissue Data'!$A:$A,'[1]Tissue Data'!$D:$D)</f>
        <v>44314</v>
      </c>
      <c r="D977" s="2" t="s">
        <v>131</v>
      </c>
      <c r="E977" t="str">
        <f>_xlfn.XLOOKUP(A977,'[1]Tissue Data'!$A:$A,'[1]Tissue Data'!$H:$H)</f>
        <v>Rhinichthys</v>
      </c>
      <c r="F977" t="str">
        <f>_xlfn.XLOOKUP(A977,'[1]Tissue Data'!$A:$A,'[1]Tissue Data'!$I:$I)</f>
        <v>atratulus</v>
      </c>
      <c r="G977" t="str">
        <f>_xlfn.XLOOKUP(A977,'[1]Tissue Data'!$A:$A,'[1]Tissue Data'!J:J)</f>
        <v>U</v>
      </c>
      <c r="H977" t="str">
        <f>_xlfn.XLOOKUP(A977,'[1]Tissue Data'!$A:$A,'[1]Tissue Data'!K:K)</f>
        <v>Whole Body</v>
      </c>
      <c r="I977">
        <f>_xlfn.XLOOKUP(A977,'[1]Tissue Data'!$A:$A,'[1]Tissue Data'!L:L)</f>
        <v>5.5</v>
      </c>
      <c r="J977">
        <f>_xlfn.XLOOKUP(A977,'[1]Tissue Data'!$A:$A,'[1]Tissue Data'!M:M)</f>
        <v>1.75</v>
      </c>
      <c r="K977" t="s">
        <v>37</v>
      </c>
      <c r="L977" t="str">
        <f>_xlfn.XLOOKUP(K977,[2]analyte_order!$B:$B,[2]analyte_order!$C:$C)</f>
        <v>754-91-6</v>
      </c>
      <c r="M977">
        <f>_xlfn.XLOOKUP(L977,[2]analyte_order!$C:$C,[2]analyte_order!$E:$E)</f>
        <v>28</v>
      </c>
      <c r="N977">
        <v>41.9</v>
      </c>
    </row>
    <row r="978" spans="1:14">
      <c r="A978" t="s">
        <v>312</v>
      </c>
      <c r="B978" t="str">
        <f>_xlfn.XLOOKUP(A978,'[1]Tissue Data'!$A:$A,'[1]Tissue Data'!$C:$C)</f>
        <v>Down</v>
      </c>
      <c r="C978" s="2">
        <f>_xlfn.XLOOKUP(A978,'[1]Tissue Data'!$A:$A,'[1]Tissue Data'!$D:$D)</f>
        <v>44314</v>
      </c>
      <c r="D978" s="2" t="s">
        <v>131</v>
      </c>
      <c r="E978" t="str">
        <f>_xlfn.XLOOKUP(A978,'[1]Tissue Data'!$A:$A,'[1]Tissue Data'!$H:$H)</f>
        <v>Rhinichthys</v>
      </c>
      <c r="F978" t="str">
        <f>_xlfn.XLOOKUP(A978,'[1]Tissue Data'!$A:$A,'[1]Tissue Data'!$I:$I)</f>
        <v>atratulus</v>
      </c>
      <c r="G978" t="str">
        <f>_xlfn.XLOOKUP(A978,'[1]Tissue Data'!$A:$A,'[1]Tissue Data'!J:J)</f>
        <v>U</v>
      </c>
      <c r="H978" t="str">
        <f>_xlfn.XLOOKUP(A978,'[1]Tissue Data'!$A:$A,'[1]Tissue Data'!K:K)</f>
        <v>Whole Body</v>
      </c>
      <c r="I978">
        <f>_xlfn.XLOOKUP(A978,'[1]Tissue Data'!$A:$A,'[1]Tissue Data'!L:L)</f>
        <v>5.5</v>
      </c>
      <c r="J978">
        <f>_xlfn.XLOOKUP(A978,'[1]Tissue Data'!$A:$A,'[1]Tissue Data'!M:M)</f>
        <v>1.75</v>
      </c>
      <c r="K978" t="s">
        <v>38</v>
      </c>
      <c r="L978" t="str">
        <f>_xlfn.XLOOKUP(K978,[2]analyte_order!$B:$B,[2]analyte_order!$C:$C)</f>
        <v>31506-32-8</v>
      </c>
      <c r="M978">
        <f>_xlfn.XLOOKUP(L978,[2]analyte_order!$C:$C,[2]analyte_order!$E:$E)</f>
        <v>30</v>
      </c>
      <c r="N978">
        <v>5.0564236900269545E-2</v>
      </c>
    </row>
    <row r="979" spans="1:14">
      <c r="A979" t="s">
        <v>312</v>
      </c>
      <c r="B979" t="str">
        <f>_xlfn.XLOOKUP(A979,'[1]Tissue Data'!$A:$A,'[1]Tissue Data'!$C:$C)</f>
        <v>Down</v>
      </c>
      <c r="C979" s="2">
        <f>_xlfn.XLOOKUP(A979,'[1]Tissue Data'!$A:$A,'[1]Tissue Data'!$D:$D)</f>
        <v>44314</v>
      </c>
      <c r="D979" s="2" t="s">
        <v>131</v>
      </c>
      <c r="E979" t="str">
        <f>_xlfn.XLOOKUP(A979,'[1]Tissue Data'!$A:$A,'[1]Tissue Data'!$H:$H)</f>
        <v>Rhinichthys</v>
      </c>
      <c r="F979" t="str">
        <f>_xlfn.XLOOKUP(A979,'[1]Tissue Data'!$A:$A,'[1]Tissue Data'!$I:$I)</f>
        <v>atratulus</v>
      </c>
      <c r="G979" t="str">
        <f>_xlfn.XLOOKUP(A979,'[1]Tissue Data'!$A:$A,'[1]Tissue Data'!J:J)</f>
        <v>U</v>
      </c>
      <c r="H979" t="str">
        <f>_xlfn.XLOOKUP(A979,'[1]Tissue Data'!$A:$A,'[1]Tissue Data'!K:K)</f>
        <v>Whole Body</v>
      </c>
      <c r="I979">
        <f>_xlfn.XLOOKUP(A979,'[1]Tissue Data'!$A:$A,'[1]Tissue Data'!L:L)</f>
        <v>5.5</v>
      </c>
      <c r="J979">
        <f>_xlfn.XLOOKUP(A979,'[1]Tissue Data'!$A:$A,'[1]Tissue Data'!M:M)</f>
        <v>1.75</v>
      </c>
      <c r="K979" t="s">
        <v>39</v>
      </c>
      <c r="L979" t="str">
        <f>_xlfn.XLOOKUP(K979,[2]analyte_order!$B:$B,[2]analyte_order!$C:$C)</f>
        <v>4151-50-2</v>
      </c>
      <c r="M979">
        <f>_xlfn.XLOOKUP(L979,[2]analyte_order!$C:$C,[2]analyte_order!$E:$E)</f>
        <v>31</v>
      </c>
      <c r="N979">
        <v>7.6593501661051208E-2</v>
      </c>
    </row>
    <row r="980" spans="1:14">
      <c r="A980" t="s">
        <v>312</v>
      </c>
      <c r="B980" t="str">
        <f>_xlfn.XLOOKUP(A980,'[1]Tissue Data'!$A:$A,'[1]Tissue Data'!$C:$C)</f>
        <v>Down</v>
      </c>
      <c r="C980" s="2">
        <f>_xlfn.XLOOKUP(A980,'[1]Tissue Data'!$A:$A,'[1]Tissue Data'!$D:$D)</f>
        <v>44314</v>
      </c>
      <c r="D980" s="2" t="s">
        <v>131</v>
      </c>
      <c r="E980" t="str">
        <f>_xlfn.XLOOKUP(A980,'[1]Tissue Data'!$A:$A,'[1]Tissue Data'!$H:$H)</f>
        <v>Rhinichthys</v>
      </c>
      <c r="F980" t="str">
        <f>_xlfn.XLOOKUP(A980,'[1]Tissue Data'!$A:$A,'[1]Tissue Data'!$I:$I)</f>
        <v>atratulus</v>
      </c>
      <c r="G980" t="str">
        <f>_xlfn.XLOOKUP(A980,'[1]Tissue Data'!$A:$A,'[1]Tissue Data'!J:J)</f>
        <v>U</v>
      </c>
      <c r="H980" t="str">
        <f>_xlfn.XLOOKUP(A980,'[1]Tissue Data'!$A:$A,'[1]Tissue Data'!K:K)</f>
        <v>Whole Body</v>
      </c>
      <c r="I980">
        <f>_xlfn.XLOOKUP(A980,'[1]Tissue Data'!$A:$A,'[1]Tissue Data'!L:L)</f>
        <v>5.5</v>
      </c>
      <c r="J980">
        <f>_xlfn.XLOOKUP(A980,'[1]Tissue Data'!$A:$A,'[1]Tissue Data'!M:M)</f>
        <v>1.75</v>
      </c>
      <c r="K980" t="s">
        <v>40</v>
      </c>
      <c r="L980" t="str">
        <f>_xlfn.XLOOKUP(K980,[2]analyte_order!$B:$B,[2]analyte_order!$C:$C)</f>
        <v>2806-24-8</v>
      </c>
      <c r="M980">
        <f>_xlfn.XLOOKUP(L980,[2]analyte_order!$C:$C,[2]analyte_order!$E:$E)</f>
        <v>29</v>
      </c>
      <c r="N980">
        <v>0.19421038397601839</v>
      </c>
    </row>
    <row r="981" spans="1:14">
      <c r="A981" t="s">
        <v>312</v>
      </c>
      <c r="B981" t="str">
        <f>_xlfn.XLOOKUP(A981,'[1]Tissue Data'!$A:$A,'[1]Tissue Data'!$C:$C)</f>
        <v>Down</v>
      </c>
      <c r="C981" s="2">
        <f>_xlfn.XLOOKUP(A981,'[1]Tissue Data'!$A:$A,'[1]Tissue Data'!$D:$D)</f>
        <v>44314</v>
      </c>
      <c r="D981" s="2" t="s">
        <v>131</v>
      </c>
      <c r="E981" t="str">
        <f>_xlfn.XLOOKUP(A981,'[1]Tissue Data'!$A:$A,'[1]Tissue Data'!$H:$H)</f>
        <v>Rhinichthys</v>
      </c>
      <c r="F981" t="str">
        <f>_xlfn.XLOOKUP(A981,'[1]Tissue Data'!$A:$A,'[1]Tissue Data'!$I:$I)</f>
        <v>atratulus</v>
      </c>
      <c r="G981" t="str">
        <f>_xlfn.XLOOKUP(A981,'[1]Tissue Data'!$A:$A,'[1]Tissue Data'!J:J)</f>
        <v>U</v>
      </c>
      <c r="H981" t="str">
        <f>_xlfn.XLOOKUP(A981,'[1]Tissue Data'!$A:$A,'[1]Tissue Data'!K:K)</f>
        <v>Whole Body</v>
      </c>
      <c r="I981">
        <f>_xlfn.XLOOKUP(A981,'[1]Tissue Data'!$A:$A,'[1]Tissue Data'!L:L)</f>
        <v>5.5</v>
      </c>
      <c r="J981">
        <f>_xlfn.XLOOKUP(A981,'[1]Tissue Data'!$A:$A,'[1]Tissue Data'!M:M)</f>
        <v>1.75</v>
      </c>
      <c r="K981" t="s">
        <v>41</v>
      </c>
      <c r="L981" t="str">
        <f>_xlfn.XLOOKUP(K981,[2]analyte_order!$B:$B,[2]analyte_order!$C:$C)</f>
        <v>2355-31-9</v>
      </c>
      <c r="M981">
        <f>_xlfn.XLOOKUP(L981,[2]analyte_order!$C:$C,[2]analyte_order!$E:$E)</f>
        <v>26</v>
      </c>
      <c r="N981">
        <v>6.6032287732479794E-2</v>
      </c>
    </row>
    <row r="982" spans="1:14">
      <c r="A982" t="s">
        <v>312</v>
      </c>
      <c r="B982" t="str">
        <f>_xlfn.XLOOKUP(A982,'[1]Tissue Data'!$A:$A,'[1]Tissue Data'!$C:$C)</f>
        <v>Down</v>
      </c>
      <c r="C982" s="2">
        <f>_xlfn.XLOOKUP(A982,'[1]Tissue Data'!$A:$A,'[1]Tissue Data'!$D:$D)</f>
        <v>44314</v>
      </c>
      <c r="D982" s="2" t="s">
        <v>131</v>
      </c>
      <c r="E982" t="str">
        <f>_xlfn.XLOOKUP(A982,'[1]Tissue Data'!$A:$A,'[1]Tissue Data'!$H:$H)</f>
        <v>Rhinichthys</v>
      </c>
      <c r="F982" t="str">
        <f>_xlfn.XLOOKUP(A982,'[1]Tissue Data'!$A:$A,'[1]Tissue Data'!$I:$I)</f>
        <v>atratulus</v>
      </c>
      <c r="G982" t="str">
        <f>_xlfn.XLOOKUP(A982,'[1]Tissue Data'!$A:$A,'[1]Tissue Data'!J:J)</f>
        <v>U</v>
      </c>
      <c r="H982" t="str">
        <f>_xlfn.XLOOKUP(A982,'[1]Tissue Data'!$A:$A,'[1]Tissue Data'!K:K)</f>
        <v>Whole Body</v>
      </c>
      <c r="I982">
        <f>_xlfn.XLOOKUP(A982,'[1]Tissue Data'!$A:$A,'[1]Tissue Data'!L:L)</f>
        <v>5.5</v>
      </c>
      <c r="J982">
        <f>_xlfn.XLOOKUP(A982,'[1]Tissue Data'!$A:$A,'[1]Tissue Data'!M:M)</f>
        <v>1.75</v>
      </c>
      <c r="K982" t="s">
        <v>42</v>
      </c>
      <c r="L982" t="str">
        <f>_xlfn.XLOOKUP(K982,[2]analyte_order!$B:$B,[2]analyte_order!$C:$C)</f>
        <v>2991-50-6</v>
      </c>
      <c r="M982">
        <f>_xlfn.XLOOKUP(L982,[2]analyte_order!$C:$C,[2]analyte_order!$E:$E)</f>
        <v>27</v>
      </c>
      <c r="N982">
        <v>5.6970704747304583E-2</v>
      </c>
    </row>
    <row r="983" spans="1:14">
      <c r="A983" t="s">
        <v>312</v>
      </c>
      <c r="B983" t="str">
        <f>_xlfn.XLOOKUP(A983,'[1]Tissue Data'!$A:$A,'[1]Tissue Data'!$C:$C)</f>
        <v>Down</v>
      </c>
      <c r="C983" s="2">
        <f>_xlfn.XLOOKUP(A983,'[1]Tissue Data'!$A:$A,'[1]Tissue Data'!$D:$D)</f>
        <v>44314</v>
      </c>
      <c r="D983" s="2" t="s">
        <v>131</v>
      </c>
      <c r="E983" t="str">
        <f>_xlfn.XLOOKUP(A983,'[1]Tissue Data'!$A:$A,'[1]Tissue Data'!$H:$H)</f>
        <v>Rhinichthys</v>
      </c>
      <c r="F983" t="str">
        <f>_xlfn.XLOOKUP(A983,'[1]Tissue Data'!$A:$A,'[1]Tissue Data'!$I:$I)</f>
        <v>atratulus</v>
      </c>
      <c r="G983" t="str">
        <f>_xlfn.XLOOKUP(A983,'[1]Tissue Data'!$A:$A,'[1]Tissue Data'!J:J)</f>
        <v>U</v>
      </c>
      <c r="H983" t="str">
        <f>_xlfn.XLOOKUP(A983,'[1]Tissue Data'!$A:$A,'[1]Tissue Data'!K:K)</f>
        <v>Whole Body</v>
      </c>
      <c r="I983">
        <f>_xlfn.XLOOKUP(A983,'[1]Tissue Data'!$A:$A,'[1]Tissue Data'!L:L)</f>
        <v>5.5</v>
      </c>
      <c r="J983">
        <f>_xlfn.XLOOKUP(A983,'[1]Tissue Data'!$A:$A,'[1]Tissue Data'!M:M)</f>
        <v>1.75</v>
      </c>
      <c r="K983" t="s">
        <v>43</v>
      </c>
      <c r="L983" t="str">
        <f>_xlfn.XLOOKUP(K983,[2]analyte_order!$B:$B,[2]analyte_order!$C:$C)</f>
        <v>757124-72-4</v>
      </c>
      <c r="M983">
        <f>_xlfn.XLOOKUP(L983,[2]analyte_order!$C:$C,[2]analyte_order!$E:$E)</f>
        <v>22</v>
      </c>
      <c r="N983">
        <v>5.391197745283019E-2</v>
      </c>
    </row>
    <row r="984" spans="1:14">
      <c r="A984" t="s">
        <v>312</v>
      </c>
      <c r="B984" t="str">
        <f>_xlfn.XLOOKUP(A984,'[1]Tissue Data'!$A:$A,'[1]Tissue Data'!$C:$C)</f>
        <v>Down</v>
      </c>
      <c r="C984" s="2">
        <f>_xlfn.XLOOKUP(A984,'[1]Tissue Data'!$A:$A,'[1]Tissue Data'!$D:$D)</f>
        <v>44314</v>
      </c>
      <c r="D984" s="2" t="s">
        <v>131</v>
      </c>
      <c r="E984" t="str">
        <f>_xlfn.XLOOKUP(A984,'[1]Tissue Data'!$A:$A,'[1]Tissue Data'!$H:$H)</f>
        <v>Rhinichthys</v>
      </c>
      <c r="F984" t="str">
        <f>_xlfn.XLOOKUP(A984,'[1]Tissue Data'!$A:$A,'[1]Tissue Data'!$I:$I)</f>
        <v>atratulus</v>
      </c>
      <c r="G984" t="str">
        <f>_xlfn.XLOOKUP(A984,'[1]Tissue Data'!$A:$A,'[1]Tissue Data'!J:J)</f>
        <v>U</v>
      </c>
      <c r="H984" t="str">
        <f>_xlfn.XLOOKUP(A984,'[1]Tissue Data'!$A:$A,'[1]Tissue Data'!K:K)</f>
        <v>Whole Body</v>
      </c>
      <c r="I984">
        <f>_xlfn.XLOOKUP(A984,'[1]Tissue Data'!$A:$A,'[1]Tissue Data'!L:L)</f>
        <v>5.5</v>
      </c>
      <c r="J984">
        <f>_xlfn.XLOOKUP(A984,'[1]Tissue Data'!$A:$A,'[1]Tissue Data'!M:M)</f>
        <v>1.75</v>
      </c>
      <c r="K984" t="s">
        <v>44</v>
      </c>
      <c r="L984" t="str">
        <f>_xlfn.XLOOKUP(K984,[2]analyte_order!$B:$B,[2]analyte_order!$C:$C)</f>
        <v>27619-97-2</v>
      </c>
      <c r="M984">
        <f>_xlfn.XLOOKUP(L984,[2]analyte_order!$C:$C,[2]analyte_order!$E:$E)</f>
        <v>23</v>
      </c>
      <c r="N984">
        <v>0.65500000000000003</v>
      </c>
    </row>
    <row r="985" spans="1:14">
      <c r="A985" t="s">
        <v>312</v>
      </c>
      <c r="B985" t="str">
        <f>_xlfn.XLOOKUP(A985,'[1]Tissue Data'!$A:$A,'[1]Tissue Data'!$C:$C)</f>
        <v>Down</v>
      </c>
      <c r="C985" s="2">
        <f>_xlfn.XLOOKUP(A985,'[1]Tissue Data'!$A:$A,'[1]Tissue Data'!$D:$D)</f>
        <v>44314</v>
      </c>
      <c r="D985" s="2" t="s">
        <v>131</v>
      </c>
      <c r="E985" t="str">
        <f>_xlfn.XLOOKUP(A985,'[1]Tissue Data'!$A:$A,'[1]Tissue Data'!$H:$H)</f>
        <v>Rhinichthys</v>
      </c>
      <c r="F985" t="str">
        <f>_xlfn.XLOOKUP(A985,'[1]Tissue Data'!$A:$A,'[1]Tissue Data'!$I:$I)</f>
        <v>atratulus</v>
      </c>
      <c r="G985" t="str">
        <f>_xlfn.XLOOKUP(A985,'[1]Tissue Data'!$A:$A,'[1]Tissue Data'!J:J)</f>
        <v>U</v>
      </c>
      <c r="H985" t="str">
        <f>_xlfn.XLOOKUP(A985,'[1]Tissue Data'!$A:$A,'[1]Tissue Data'!K:K)</f>
        <v>Whole Body</v>
      </c>
      <c r="I985">
        <f>_xlfn.XLOOKUP(A985,'[1]Tissue Data'!$A:$A,'[1]Tissue Data'!L:L)</f>
        <v>5.5</v>
      </c>
      <c r="J985">
        <f>_xlfn.XLOOKUP(A985,'[1]Tissue Data'!$A:$A,'[1]Tissue Data'!M:M)</f>
        <v>1.75</v>
      </c>
      <c r="K985" t="s">
        <v>45</v>
      </c>
      <c r="L985" t="str">
        <f>_xlfn.XLOOKUP(K985,[2]analyte_order!$B:$B,[2]analyte_order!$C:$C)</f>
        <v>39108-34-4</v>
      </c>
      <c r="M985">
        <f>_xlfn.XLOOKUP(L985,[2]analyte_order!$C:$C,[2]analyte_order!$E:$E)</f>
        <v>24</v>
      </c>
      <c r="N985">
        <v>44</v>
      </c>
    </row>
    <row r="986" spans="1:14">
      <c r="A986" t="s">
        <v>312</v>
      </c>
      <c r="B986" t="str">
        <f>_xlfn.XLOOKUP(A986,'[1]Tissue Data'!$A:$A,'[1]Tissue Data'!$C:$C)</f>
        <v>Down</v>
      </c>
      <c r="C986" s="2">
        <f>_xlfn.XLOOKUP(A986,'[1]Tissue Data'!$A:$A,'[1]Tissue Data'!$D:$D)</f>
        <v>44314</v>
      </c>
      <c r="D986" s="2" t="s">
        <v>131</v>
      </c>
      <c r="E986" t="str">
        <f>_xlfn.XLOOKUP(A986,'[1]Tissue Data'!$A:$A,'[1]Tissue Data'!$H:$H)</f>
        <v>Rhinichthys</v>
      </c>
      <c r="F986" t="str">
        <f>_xlfn.XLOOKUP(A986,'[1]Tissue Data'!$A:$A,'[1]Tissue Data'!$I:$I)</f>
        <v>atratulus</v>
      </c>
      <c r="G986" t="str">
        <f>_xlfn.XLOOKUP(A986,'[1]Tissue Data'!$A:$A,'[1]Tissue Data'!J:J)</f>
        <v>U</v>
      </c>
      <c r="H986" t="str">
        <f>_xlfn.XLOOKUP(A986,'[1]Tissue Data'!$A:$A,'[1]Tissue Data'!K:K)</f>
        <v>Whole Body</v>
      </c>
      <c r="I986">
        <f>_xlfn.XLOOKUP(A986,'[1]Tissue Data'!$A:$A,'[1]Tissue Data'!L:L)</f>
        <v>5.5</v>
      </c>
      <c r="J986">
        <f>_xlfn.XLOOKUP(A986,'[1]Tissue Data'!$A:$A,'[1]Tissue Data'!M:M)</f>
        <v>1.75</v>
      </c>
      <c r="K986" t="s">
        <v>46</v>
      </c>
      <c r="L986" t="str">
        <f>_xlfn.XLOOKUP(K986,[2]analyte_order!$B:$B,[2]analyte_order!$C:$C)</f>
        <v>120226-60-0</v>
      </c>
      <c r="M986">
        <f>_xlfn.XLOOKUP(L986,[2]analyte_order!$C:$C,[2]analyte_order!$E:$E)</f>
        <v>25</v>
      </c>
      <c r="N986">
        <v>1.17</v>
      </c>
    </row>
    <row r="987" spans="1:14">
      <c r="A987" t="s">
        <v>312</v>
      </c>
      <c r="B987" t="str">
        <f>_xlfn.XLOOKUP(A987,'[1]Tissue Data'!$A:$A,'[1]Tissue Data'!$C:$C)</f>
        <v>Down</v>
      </c>
      <c r="C987" s="2">
        <f>_xlfn.XLOOKUP(A987,'[1]Tissue Data'!$A:$A,'[1]Tissue Data'!$D:$D)</f>
        <v>44314</v>
      </c>
      <c r="D987" s="2" t="s">
        <v>131</v>
      </c>
      <c r="E987" t="str">
        <f>_xlfn.XLOOKUP(A987,'[1]Tissue Data'!$A:$A,'[1]Tissue Data'!$H:$H)</f>
        <v>Rhinichthys</v>
      </c>
      <c r="F987" t="str">
        <f>_xlfn.XLOOKUP(A987,'[1]Tissue Data'!$A:$A,'[1]Tissue Data'!$I:$I)</f>
        <v>atratulus</v>
      </c>
      <c r="G987" t="str">
        <f>_xlfn.XLOOKUP(A987,'[1]Tissue Data'!$A:$A,'[1]Tissue Data'!J:J)</f>
        <v>U</v>
      </c>
      <c r="H987" t="str">
        <f>_xlfn.XLOOKUP(A987,'[1]Tissue Data'!$A:$A,'[1]Tissue Data'!K:K)</f>
        <v>Whole Body</v>
      </c>
      <c r="I987">
        <f>_xlfn.XLOOKUP(A987,'[1]Tissue Data'!$A:$A,'[1]Tissue Data'!L:L)</f>
        <v>5.5</v>
      </c>
      <c r="J987">
        <f>_xlfn.XLOOKUP(A987,'[1]Tissue Data'!$A:$A,'[1]Tissue Data'!M:M)</f>
        <v>1.75</v>
      </c>
      <c r="K987" t="s">
        <v>47</v>
      </c>
      <c r="L987" t="str">
        <f>_xlfn.XLOOKUP(K987,[2]analyte_order!$B:$B,[2]analyte_order!$C:$C)</f>
        <v>356-02-5</v>
      </c>
      <c r="M987">
        <f>_xlfn.XLOOKUP(L987,[2]analyte_order!$C:$C,[2]analyte_order!$E:$E)</f>
        <v>38</v>
      </c>
      <c r="N987">
        <v>7.570944051549866E-2</v>
      </c>
    </row>
    <row r="988" spans="1:14">
      <c r="A988" t="s">
        <v>312</v>
      </c>
      <c r="B988" t="str">
        <f>_xlfn.XLOOKUP(A988,'[1]Tissue Data'!$A:$A,'[1]Tissue Data'!$C:$C)</f>
        <v>Down</v>
      </c>
      <c r="C988" s="2">
        <f>_xlfn.XLOOKUP(A988,'[1]Tissue Data'!$A:$A,'[1]Tissue Data'!$D:$D)</f>
        <v>44314</v>
      </c>
      <c r="D988" s="2" t="s">
        <v>131</v>
      </c>
      <c r="E988" t="str">
        <f>_xlfn.XLOOKUP(A988,'[1]Tissue Data'!$A:$A,'[1]Tissue Data'!$H:$H)</f>
        <v>Rhinichthys</v>
      </c>
      <c r="F988" t="str">
        <f>_xlfn.XLOOKUP(A988,'[1]Tissue Data'!$A:$A,'[1]Tissue Data'!$I:$I)</f>
        <v>atratulus</v>
      </c>
      <c r="G988" t="str">
        <f>_xlfn.XLOOKUP(A988,'[1]Tissue Data'!$A:$A,'[1]Tissue Data'!J:J)</f>
        <v>U</v>
      </c>
      <c r="H988" t="str">
        <f>_xlfn.XLOOKUP(A988,'[1]Tissue Data'!$A:$A,'[1]Tissue Data'!K:K)</f>
        <v>Whole Body</v>
      </c>
      <c r="I988">
        <f>_xlfn.XLOOKUP(A988,'[1]Tissue Data'!$A:$A,'[1]Tissue Data'!L:L)</f>
        <v>5.5</v>
      </c>
      <c r="J988">
        <f>_xlfn.XLOOKUP(A988,'[1]Tissue Data'!$A:$A,'[1]Tissue Data'!M:M)</f>
        <v>1.75</v>
      </c>
      <c r="K988" t="s">
        <v>48</v>
      </c>
      <c r="L988" t="str">
        <f>_xlfn.XLOOKUP(K988,[2]analyte_order!$B:$B,[2]analyte_order!$C:$C)</f>
        <v>914637-49-3</v>
      </c>
      <c r="M988">
        <f>_xlfn.XLOOKUP(L988,[2]analyte_order!$C:$C,[2]analyte_order!$E:$E)</f>
        <v>39</v>
      </c>
      <c r="N988">
        <v>10.199999999999999</v>
      </c>
    </row>
    <row r="989" spans="1:14">
      <c r="A989" t="s">
        <v>312</v>
      </c>
      <c r="B989" t="str">
        <f>_xlfn.XLOOKUP(A989,'[1]Tissue Data'!$A:$A,'[1]Tissue Data'!$C:$C)</f>
        <v>Down</v>
      </c>
      <c r="C989" s="2">
        <f>_xlfn.XLOOKUP(A989,'[1]Tissue Data'!$A:$A,'[1]Tissue Data'!$D:$D)</f>
        <v>44314</v>
      </c>
      <c r="D989" s="2" t="s">
        <v>131</v>
      </c>
      <c r="E989" t="str">
        <f>_xlfn.XLOOKUP(A989,'[1]Tissue Data'!$A:$A,'[1]Tissue Data'!$H:$H)</f>
        <v>Rhinichthys</v>
      </c>
      <c r="F989" t="str">
        <f>_xlfn.XLOOKUP(A989,'[1]Tissue Data'!$A:$A,'[1]Tissue Data'!$I:$I)</f>
        <v>atratulus</v>
      </c>
      <c r="G989" t="str">
        <f>_xlfn.XLOOKUP(A989,'[1]Tissue Data'!$A:$A,'[1]Tissue Data'!J:J)</f>
        <v>U</v>
      </c>
      <c r="H989" t="str">
        <f>_xlfn.XLOOKUP(A989,'[1]Tissue Data'!$A:$A,'[1]Tissue Data'!K:K)</f>
        <v>Whole Body</v>
      </c>
      <c r="I989">
        <f>_xlfn.XLOOKUP(A989,'[1]Tissue Data'!$A:$A,'[1]Tissue Data'!L:L)</f>
        <v>5.5</v>
      </c>
      <c r="J989">
        <f>_xlfn.XLOOKUP(A989,'[1]Tissue Data'!$A:$A,'[1]Tissue Data'!M:M)</f>
        <v>1.75</v>
      </c>
      <c r="K989" t="s">
        <v>49</v>
      </c>
      <c r="L989" t="str">
        <f>_xlfn.XLOOKUP(K989,[2]analyte_order!$B:$B,[2]analyte_order!$C:$C)</f>
        <v>812-70-4</v>
      </c>
      <c r="M989">
        <f>_xlfn.XLOOKUP(L989,[2]analyte_order!$C:$C,[2]analyte_order!$E:$E)</f>
        <v>40</v>
      </c>
      <c r="N989">
        <v>19</v>
      </c>
    </row>
    <row r="990" spans="1:14">
      <c r="A990" t="s">
        <v>312</v>
      </c>
      <c r="B990" t="str">
        <f>_xlfn.XLOOKUP(A990,'[1]Tissue Data'!$A:$A,'[1]Tissue Data'!$C:$C)</f>
        <v>Down</v>
      </c>
      <c r="C990" s="2">
        <f>_xlfn.XLOOKUP(A990,'[1]Tissue Data'!$A:$A,'[1]Tissue Data'!$D:$D)</f>
        <v>44314</v>
      </c>
      <c r="D990" s="2" t="s">
        <v>131</v>
      </c>
      <c r="E990" t="str">
        <f>_xlfn.XLOOKUP(A990,'[1]Tissue Data'!$A:$A,'[1]Tissue Data'!$H:$H)</f>
        <v>Rhinichthys</v>
      </c>
      <c r="F990" t="str">
        <f>_xlfn.XLOOKUP(A990,'[1]Tissue Data'!$A:$A,'[1]Tissue Data'!$I:$I)</f>
        <v>atratulus</v>
      </c>
      <c r="G990" t="str">
        <f>_xlfn.XLOOKUP(A990,'[1]Tissue Data'!$A:$A,'[1]Tissue Data'!J:J)</f>
        <v>U</v>
      </c>
      <c r="H990" t="str">
        <f>_xlfn.XLOOKUP(A990,'[1]Tissue Data'!$A:$A,'[1]Tissue Data'!K:K)</f>
        <v>Whole Body</v>
      </c>
      <c r="I990">
        <f>_xlfn.XLOOKUP(A990,'[1]Tissue Data'!$A:$A,'[1]Tissue Data'!L:L)</f>
        <v>5.5</v>
      </c>
      <c r="J990">
        <f>_xlfn.XLOOKUP(A990,'[1]Tissue Data'!$A:$A,'[1]Tissue Data'!M:M)</f>
        <v>1.75</v>
      </c>
      <c r="K990" t="s">
        <v>50</v>
      </c>
      <c r="L990" t="str">
        <f>_xlfn.XLOOKUP(K990,[2]analyte_order!$B:$B,[2]analyte_order!$C:$C)</f>
        <v>53826-12-3</v>
      </c>
      <c r="M990">
        <f>_xlfn.XLOOKUP(L990,[2]analyte_order!$C:$C,[2]analyte_order!$E:$E)</f>
        <v>41</v>
      </c>
      <c r="N990">
        <v>3.68</v>
      </c>
    </row>
    <row r="991" spans="1:14">
      <c r="A991" t="s">
        <v>312</v>
      </c>
      <c r="B991" t="str">
        <f>_xlfn.XLOOKUP(A991,'[1]Tissue Data'!$A:$A,'[1]Tissue Data'!$C:$C)</f>
        <v>Down</v>
      </c>
      <c r="C991" s="2">
        <f>_xlfn.XLOOKUP(A991,'[1]Tissue Data'!$A:$A,'[1]Tissue Data'!$D:$D)</f>
        <v>44314</v>
      </c>
      <c r="D991" s="2" t="s">
        <v>131</v>
      </c>
      <c r="E991" t="str">
        <f>_xlfn.XLOOKUP(A991,'[1]Tissue Data'!$A:$A,'[1]Tissue Data'!$H:$H)</f>
        <v>Rhinichthys</v>
      </c>
      <c r="F991" t="str">
        <f>_xlfn.XLOOKUP(A991,'[1]Tissue Data'!$A:$A,'[1]Tissue Data'!$I:$I)</f>
        <v>atratulus</v>
      </c>
      <c r="G991" t="str">
        <f>_xlfn.XLOOKUP(A991,'[1]Tissue Data'!$A:$A,'[1]Tissue Data'!J:J)</f>
        <v>U</v>
      </c>
      <c r="H991" t="str">
        <f>_xlfn.XLOOKUP(A991,'[1]Tissue Data'!$A:$A,'[1]Tissue Data'!K:K)</f>
        <v>Whole Body</v>
      </c>
      <c r="I991">
        <f>_xlfn.XLOOKUP(A991,'[1]Tissue Data'!$A:$A,'[1]Tissue Data'!L:L)</f>
        <v>5.5</v>
      </c>
      <c r="J991">
        <f>_xlfn.XLOOKUP(A991,'[1]Tissue Data'!$A:$A,'[1]Tissue Data'!M:M)</f>
        <v>1.75</v>
      </c>
      <c r="K991" t="s">
        <v>51</v>
      </c>
      <c r="L991" t="str">
        <f>_xlfn.XLOOKUP(K991,[2]analyte_order!$B:$B,[2]analyte_order!$C:$C)</f>
        <v>27854-31-5</v>
      </c>
      <c r="M991">
        <f>_xlfn.XLOOKUP(L991,[2]analyte_order!$C:$C,[2]analyte_order!$E:$E)</f>
        <v>42</v>
      </c>
      <c r="N991">
        <v>0.68600000000000005</v>
      </c>
    </row>
    <row r="992" spans="1:14">
      <c r="A992" t="s">
        <v>312</v>
      </c>
      <c r="B992" t="str">
        <f>_xlfn.XLOOKUP(A992,'[1]Tissue Data'!$A:$A,'[1]Tissue Data'!$C:$C)</f>
        <v>Down</v>
      </c>
      <c r="C992" s="2">
        <f>_xlfn.XLOOKUP(A992,'[1]Tissue Data'!$A:$A,'[1]Tissue Data'!$D:$D)</f>
        <v>44314</v>
      </c>
      <c r="D992" s="2" t="s">
        <v>131</v>
      </c>
      <c r="E992" t="str">
        <f>_xlfn.XLOOKUP(A992,'[1]Tissue Data'!$A:$A,'[1]Tissue Data'!$H:$H)</f>
        <v>Rhinichthys</v>
      </c>
      <c r="F992" t="str">
        <f>_xlfn.XLOOKUP(A992,'[1]Tissue Data'!$A:$A,'[1]Tissue Data'!$I:$I)</f>
        <v>atratulus</v>
      </c>
      <c r="G992" t="str">
        <f>_xlfn.XLOOKUP(A992,'[1]Tissue Data'!$A:$A,'[1]Tissue Data'!J:J)</f>
        <v>U</v>
      </c>
      <c r="H992" t="str">
        <f>_xlfn.XLOOKUP(A992,'[1]Tissue Data'!$A:$A,'[1]Tissue Data'!K:K)</f>
        <v>Whole Body</v>
      </c>
      <c r="I992">
        <f>_xlfn.XLOOKUP(A992,'[1]Tissue Data'!$A:$A,'[1]Tissue Data'!L:L)</f>
        <v>5.5</v>
      </c>
      <c r="J992">
        <f>_xlfn.XLOOKUP(A992,'[1]Tissue Data'!$A:$A,'[1]Tissue Data'!M:M)</f>
        <v>1.75</v>
      </c>
      <c r="K992" t="s">
        <v>52</v>
      </c>
      <c r="L992" t="str">
        <f>_xlfn.XLOOKUP(K992,[2]analyte_order!$B:$B,[2]analyte_order!$C:$C)</f>
        <v>53826-13-4</v>
      </c>
      <c r="M992">
        <f>_xlfn.XLOOKUP(L992,[2]analyte_order!$C:$C,[2]analyte_order!$E:$E)</f>
        <v>43</v>
      </c>
      <c r="N992">
        <v>9.7940314073450149E-2</v>
      </c>
    </row>
    <row r="993" spans="1:14">
      <c r="A993" t="s">
        <v>312</v>
      </c>
      <c r="B993" t="str">
        <f>_xlfn.XLOOKUP(A993,'[1]Tissue Data'!$A:$A,'[1]Tissue Data'!$C:$C)</f>
        <v>Down</v>
      </c>
      <c r="C993" s="2">
        <f>_xlfn.XLOOKUP(A993,'[1]Tissue Data'!$A:$A,'[1]Tissue Data'!$D:$D)</f>
        <v>44314</v>
      </c>
      <c r="D993" s="2" t="s">
        <v>131</v>
      </c>
      <c r="E993" t="str">
        <f>_xlfn.XLOOKUP(A993,'[1]Tissue Data'!$A:$A,'[1]Tissue Data'!$H:$H)</f>
        <v>Rhinichthys</v>
      </c>
      <c r="F993" t="str">
        <f>_xlfn.XLOOKUP(A993,'[1]Tissue Data'!$A:$A,'[1]Tissue Data'!$I:$I)</f>
        <v>atratulus</v>
      </c>
      <c r="G993" t="str">
        <f>_xlfn.XLOOKUP(A993,'[1]Tissue Data'!$A:$A,'[1]Tissue Data'!J:J)</f>
        <v>U</v>
      </c>
      <c r="H993" t="str">
        <f>_xlfn.XLOOKUP(A993,'[1]Tissue Data'!$A:$A,'[1]Tissue Data'!K:K)</f>
        <v>Whole Body</v>
      </c>
      <c r="I993">
        <f>_xlfn.XLOOKUP(A993,'[1]Tissue Data'!$A:$A,'[1]Tissue Data'!L:L)</f>
        <v>5.5</v>
      </c>
      <c r="J993">
        <f>_xlfn.XLOOKUP(A993,'[1]Tissue Data'!$A:$A,'[1]Tissue Data'!M:M)</f>
        <v>1.75</v>
      </c>
      <c r="K993" t="s">
        <v>53</v>
      </c>
      <c r="L993" t="str">
        <f>_xlfn.XLOOKUP(K993,[2]analyte_order!$B:$B,[2]analyte_order!$C:$C)</f>
        <v>161094-75-3</v>
      </c>
      <c r="M993">
        <f>_xlfn.XLOOKUP(L993,[2]analyte_order!$C:$C,[2]analyte_order!$E:$E)</f>
        <v>44</v>
      </c>
      <c r="N993">
        <v>5.1536511630727769E-2</v>
      </c>
    </row>
    <row r="994" spans="1:14">
      <c r="A994" t="s">
        <v>312</v>
      </c>
      <c r="B994" t="str">
        <f>_xlfn.XLOOKUP(A994,'[1]Tissue Data'!$A:$A,'[1]Tissue Data'!$C:$C)</f>
        <v>Down</v>
      </c>
      <c r="C994" s="2">
        <f>_xlfn.XLOOKUP(A994,'[1]Tissue Data'!$A:$A,'[1]Tissue Data'!$D:$D)</f>
        <v>44314</v>
      </c>
      <c r="D994" s="2" t="s">
        <v>131</v>
      </c>
      <c r="E994" t="str">
        <f>_xlfn.XLOOKUP(A994,'[1]Tissue Data'!$A:$A,'[1]Tissue Data'!$H:$H)</f>
        <v>Rhinichthys</v>
      </c>
      <c r="F994" t="str">
        <f>_xlfn.XLOOKUP(A994,'[1]Tissue Data'!$A:$A,'[1]Tissue Data'!$I:$I)</f>
        <v>atratulus</v>
      </c>
      <c r="G994" t="str">
        <f>_xlfn.XLOOKUP(A994,'[1]Tissue Data'!$A:$A,'[1]Tissue Data'!J:J)</f>
        <v>U</v>
      </c>
      <c r="H994" t="str">
        <f>_xlfn.XLOOKUP(A994,'[1]Tissue Data'!$A:$A,'[1]Tissue Data'!K:K)</f>
        <v>Whole Body</v>
      </c>
      <c r="I994">
        <f>_xlfn.XLOOKUP(A994,'[1]Tissue Data'!$A:$A,'[1]Tissue Data'!L:L)</f>
        <v>5.5</v>
      </c>
      <c r="J994">
        <f>_xlfn.XLOOKUP(A994,'[1]Tissue Data'!$A:$A,'[1]Tissue Data'!M:M)</f>
        <v>1.75</v>
      </c>
      <c r="K994" t="s">
        <v>54</v>
      </c>
      <c r="L994" t="str">
        <f>_xlfn.XLOOKUP(K994,[2]analyte_order!$B:$B,[2]analyte_order!$C:$C)</f>
        <v>70887-84-2</v>
      </c>
      <c r="M994">
        <f>_xlfn.XLOOKUP(L994,[2]analyte_order!$C:$C,[2]analyte_order!$E:$E)</f>
        <v>45</v>
      </c>
      <c r="N994">
        <v>3.9663632580525604E-2</v>
      </c>
    </row>
    <row r="995" spans="1:14">
      <c r="A995" t="s">
        <v>312</v>
      </c>
      <c r="B995" t="str">
        <f>_xlfn.XLOOKUP(A995,'[1]Tissue Data'!$A:$A,'[1]Tissue Data'!$C:$C)</f>
        <v>Down</v>
      </c>
      <c r="C995" s="2">
        <f>_xlfn.XLOOKUP(A995,'[1]Tissue Data'!$A:$A,'[1]Tissue Data'!$D:$D)</f>
        <v>44314</v>
      </c>
      <c r="D995" s="2" t="s">
        <v>131</v>
      </c>
      <c r="E995" t="str">
        <f>_xlfn.XLOOKUP(A995,'[1]Tissue Data'!$A:$A,'[1]Tissue Data'!$H:$H)</f>
        <v>Rhinichthys</v>
      </c>
      <c r="F995" t="str">
        <f>_xlfn.XLOOKUP(A995,'[1]Tissue Data'!$A:$A,'[1]Tissue Data'!$I:$I)</f>
        <v>atratulus</v>
      </c>
      <c r="G995" t="str">
        <f>_xlfn.XLOOKUP(A995,'[1]Tissue Data'!$A:$A,'[1]Tissue Data'!J:J)</f>
        <v>U</v>
      </c>
      <c r="H995" t="str">
        <f>_xlfn.XLOOKUP(A995,'[1]Tissue Data'!$A:$A,'[1]Tissue Data'!K:K)</f>
        <v>Whole Body</v>
      </c>
      <c r="I995">
        <f>_xlfn.XLOOKUP(A995,'[1]Tissue Data'!$A:$A,'[1]Tissue Data'!L:L)</f>
        <v>5.5</v>
      </c>
      <c r="J995">
        <f>_xlfn.XLOOKUP(A995,'[1]Tissue Data'!$A:$A,'[1]Tissue Data'!M:M)</f>
        <v>1.75</v>
      </c>
      <c r="K995" t="s">
        <v>55</v>
      </c>
      <c r="L995" t="str">
        <f>_xlfn.XLOOKUP(K995,[2]analyte_order!$B:$B,[2]analyte_order!$C:$C)</f>
        <v>919005-14-4</v>
      </c>
      <c r="M995">
        <f>_xlfn.XLOOKUP(L995,[2]analyte_order!$C:$C,[2]analyte_order!$E:$E)</f>
        <v>35</v>
      </c>
      <c r="N995">
        <v>6.5635173451885048E-2</v>
      </c>
    </row>
    <row r="996" spans="1:14">
      <c r="A996" t="s">
        <v>312</v>
      </c>
      <c r="B996" t="str">
        <f>_xlfn.XLOOKUP(A996,'[1]Tissue Data'!$A:$A,'[1]Tissue Data'!$C:$C)</f>
        <v>Down</v>
      </c>
      <c r="C996" s="2">
        <f>_xlfn.XLOOKUP(A996,'[1]Tissue Data'!$A:$A,'[1]Tissue Data'!$D:$D)</f>
        <v>44314</v>
      </c>
      <c r="D996" s="2" t="s">
        <v>131</v>
      </c>
      <c r="E996" t="str">
        <f>_xlfn.XLOOKUP(A996,'[1]Tissue Data'!$A:$A,'[1]Tissue Data'!$H:$H)</f>
        <v>Rhinichthys</v>
      </c>
      <c r="F996" t="str">
        <f>_xlfn.XLOOKUP(A996,'[1]Tissue Data'!$A:$A,'[1]Tissue Data'!$I:$I)</f>
        <v>atratulus</v>
      </c>
      <c r="G996" t="str">
        <f>_xlfn.XLOOKUP(A996,'[1]Tissue Data'!$A:$A,'[1]Tissue Data'!J:J)</f>
        <v>U</v>
      </c>
      <c r="H996" t="str">
        <f>_xlfn.XLOOKUP(A996,'[1]Tissue Data'!$A:$A,'[1]Tissue Data'!K:K)</f>
        <v>Whole Body</v>
      </c>
      <c r="I996">
        <f>_xlfn.XLOOKUP(A996,'[1]Tissue Data'!$A:$A,'[1]Tissue Data'!L:L)</f>
        <v>5.5</v>
      </c>
      <c r="J996">
        <f>_xlfn.XLOOKUP(A996,'[1]Tissue Data'!$A:$A,'[1]Tissue Data'!M:M)</f>
        <v>1.75</v>
      </c>
      <c r="K996" t="s">
        <v>56</v>
      </c>
      <c r="L996" t="str">
        <f>_xlfn.XLOOKUP(K996,[2]analyte_order!$B:$B,[2]analyte_order!$C:$C)</f>
        <v>756426-58-1</v>
      </c>
      <c r="M996">
        <f>_xlfn.XLOOKUP(L996,[2]analyte_order!$C:$C,[2]analyte_order!$E:$E)</f>
        <v>36</v>
      </c>
      <c r="N996">
        <v>4.5557809659703505E-2</v>
      </c>
    </row>
    <row r="997" spans="1:14">
      <c r="A997" t="s">
        <v>312</v>
      </c>
      <c r="B997" t="str">
        <f>_xlfn.XLOOKUP(A997,'[1]Tissue Data'!$A:$A,'[1]Tissue Data'!$C:$C)</f>
        <v>Down</v>
      </c>
      <c r="C997" s="2">
        <f>_xlfn.XLOOKUP(A997,'[1]Tissue Data'!$A:$A,'[1]Tissue Data'!$D:$D)</f>
        <v>44314</v>
      </c>
      <c r="D997" s="2" t="s">
        <v>131</v>
      </c>
      <c r="E997" t="str">
        <f>_xlfn.XLOOKUP(A997,'[1]Tissue Data'!$A:$A,'[1]Tissue Data'!$H:$H)</f>
        <v>Rhinichthys</v>
      </c>
      <c r="F997" t="str">
        <f>_xlfn.XLOOKUP(A997,'[1]Tissue Data'!$A:$A,'[1]Tissue Data'!$I:$I)</f>
        <v>atratulus</v>
      </c>
      <c r="G997" t="str">
        <f>_xlfn.XLOOKUP(A997,'[1]Tissue Data'!$A:$A,'[1]Tissue Data'!J:J)</f>
        <v>U</v>
      </c>
      <c r="H997" t="str">
        <f>_xlfn.XLOOKUP(A997,'[1]Tissue Data'!$A:$A,'[1]Tissue Data'!K:K)</f>
        <v>Whole Body</v>
      </c>
      <c r="I997">
        <f>_xlfn.XLOOKUP(A997,'[1]Tissue Data'!$A:$A,'[1]Tissue Data'!L:L)</f>
        <v>5.5</v>
      </c>
      <c r="J997">
        <f>_xlfn.XLOOKUP(A997,'[1]Tissue Data'!$A:$A,'[1]Tissue Data'!M:M)</f>
        <v>1.75</v>
      </c>
      <c r="K997" t="s">
        <v>57</v>
      </c>
      <c r="L997" t="str">
        <f>_xlfn.XLOOKUP(K997,[2]analyte_order!$B:$B,[2]analyte_order!$C:$C)</f>
        <v>763051-92-9</v>
      </c>
      <c r="M997">
        <f>_xlfn.XLOOKUP(L997,[2]analyte_order!$C:$C,[2]analyte_order!$E:$E)</f>
        <v>37</v>
      </c>
      <c r="N997">
        <v>5.1719896121967653E-2</v>
      </c>
    </row>
    <row r="998" spans="1:14">
      <c r="A998" t="s">
        <v>312</v>
      </c>
      <c r="B998" t="str">
        <f>_xlfn.XLOOKUP(A998,'[1]Tissue Data'!$A:$A,'[1]Tissue Data'!$C:$C)</f>
        <v>Down</v>
      </c>
      <c r="C998" s="2">
        <f>_xlfn.XLOOKUP(A998,'[1]Tissue Data'!$A:$A,'[1]Tissue Data'!$D:$D)</f>
        <v>44314</v>
      </c>
      <c r="D998" s="2" t="s">
        <v>131</v>
      </c>
      <c r="E998" t="str">
        <f>_xlfn.XLOOKUP(A998,'[1]Tissue Data'!$A:$A,'[1]Tissue Data'!$H:$H)</f>
        <v>Rhinichthys</v>
      </c>
      <c r="F998" t="str">
        <f>_xlfn.XLOOKUP(A998,'[1]Tissue Data'!$A:$A,'[1]Tissue Data'!$I:$I)</f>
        <v>atratulus</v>
      </c>
      <c r="G998" t="str">
        <f>_xlfn.XLOOKUP(A998,'[1]Tissue Data'!$A:$A,'[1]Tissue Data'!J:J)</f>
        <v>U</v>
      </c>
      <c r="H998" t="str">
        <f>_xlfn.XLOOKUP(A998,'[1]Tissue Data'!$A:$A,'[1]Tissue Data'!K:K)</f>
        <v>Whole Body</v>
      </c>
      <c r="I998">
        <f>_xlfn.XLOOKUP(A998,'[1]Tissue Data'!$A:$A,'[1]Tissue Data'!L:L)</f>
        <v>5.5</v>
      </c>
      <c r="J998">
        <f>_xlfn.XLOOKUP(A998,'[1]Tissue Data'!$A:$A,'[1]Tissue Data'!M:M)</f>
        <v>1.75</v>
      </c>
      <c r="K998" t="s">
        <v>58</v>
      </c>
      <c r="L998" t="str">
        <f>_xlfn.XLOOKUP(K998,[2]analyte_order!$B:$B,[2]analyte_order!$C:$C)</f>
        <v>13252-13-6</v>
      </c>
      <c r="M998">
        <f>_xlfn.XLOOKUP(L998,[2]analyte_order!$C:$C,[2]analyte_order!$E:$E)</f>
        <v>34</v>
      </c>
      <c r="N998">
        <v>9.418834877021566E-2</v>
      </c>
    </row>
    <row r="999" spans="1:14">
      <c r="A999" t="s">
        <v>312</v>
      </c>
      <c r="B999" t="str">
        <f>_xlfn.XLOOKUP(A999,'[1]Tissue Data'!$A:$A,'[1]Tissue Data'!$C:$C)</f>
        <v>Down</v>
      </c>
      <c r="C999" s="2">
        <f>_xlfn.XLOOKUP(A999,'[1]Tissue Data'!$A:$A,'[1]Tissue Data'!$D:$D)</f>
        <v>44314</v>
      </c>
      <c r="D999" s="2" t="s">
        <v>131</v>
      </c>
      <c r="E999" t="str">
        <f>_xlfn.XLOOKUP(A999,'[1]Tissue Data'!$A:$A,'[1]Tissue Data'!$H:$H)</f>
        <v>Rhinichthys</v>
      </c>
      <c r="F999" t="str">
        <f>_xlfn.XLOOKUP(A999,'[1]Tissue Data'!$A:$A,'[1]Tissue Data'!$I:$I)</f>
        <v>atratulus</v>
      </c>
      <c r="G999" t="str">
        <f>_xlfn.XLOOKUP(A999,'[1]Tissue Data'!$A:$A,'[1]Tissue Data'!J:J)</f>
        <v>U</v>
      </c>
      <c r="H999" t="str">
        <f>_xlfn.XLOOKUP(A999,'[1]Tissue Data'!$A:$A,'[1]Tissue Data'!K:K)</f>
        <v>Whole Body</v>
      </c>
      <c r="I999">
        <f>_xlfn.XLOOKUP(A999,'[1]Tissue Data'!$A:$A,'[1]Tissue Data'!L:L)</f>
        <v>5.5</v>
      </c>
      <c r="J999">
        <f>_xlfn.XLOOKUP(A999,'[1]Tissue Data'!$A:$A,'[1]Tissue Data'!M:M)</f>
        <v>1.75</v>
      </c>
      <c r="K999" t="s">
        <v>59</v>
      </c>
      <c r="L999" t="str">
        <f>_xlfn.XLOOKUP(K999,[2]analyte_order!$B:$B,[2]analyte_order!$C:$C)</f>
        <v>57677-95-9</v>
      </c>
      <c r="M999">
        <f>_xlfn.XLOOKUP(L999,[2]analyte_order!$C:$C,[2]analyte_order!$E:$E)</f>
        <v>46</v>
      </c>
      <c r="N999">
        <v>6.9870541324124E-2</v>
      </c>
    </row>
    <row r="1000" spans="1:14">
      <c r="A1000" t="s">
        <v>312</v>
      </c>
      <c r="B1000" t="str">
        <f>_xlfn.XLOOKUP(A1000,'[1]Tissue Data'!$A:$A,'[1]Tissue Data'!$C:$C)</f>
        <v>Down</v>
      </c>
      <c r="C1000" s="2">
        <f>_xlfn.XLOOKUP(A1000,'[1]Tissue Data'!$A:$A,'[1]Tissue Data'!$D:$D)</f>
        <v>44314</v>
      </c>
      <c r="D1000" s="2" t="s">
        <v>131</v>
      </c>
      <c r="E1000" t="str">
        <f>_xlfn.XLOOKUP(A1000,'[1]Tissue Data'!$A:$A,'[1]Tissue Data'!$H:$H)</f>
        <v>Rhinichthys</v>
      </c>
      <c r="F1000" t="str">
        <f>_xlfn.XLOOKUP(A1000,'[1]Tissue Data'!$A:$A,'[1]Tissue Data'!$I:$I)</f>
        <v>atratulus</v>
      </c>
      <c r="G1000" t="str">
        <f>_xlfn.XLOOKUP(A1000,'[1]Tissue Data'!$A:$A,'[1]Tissue Data'!J:J)</f>
        <v>U</v>
      </c>
      <c r="H1000" t="str">
        <f>_xlfn.XLOOKUP(A1000,'[1]Tissue Data'!$A:$A,'[1]Tissue Data'!K:K)</f>
        <v>Whole Body</v>
      </c>
      <c r="I1000">
        <f>_xlfn.XLOOKUP(A1000,'[1]Tissue Data'!$A:$A,'[1]Tissue Data'!L:L)</f>
        <v>5.5</v>
      </c>
      <c r="J1000">
        <f>_xlfn.XLOOKUP(A1000,'[1]Tissue Data'!$A:$A,'[1]Tissue Data'!M:M)</f>
        <v>1.75</v>
      </c>
      <c r="K1000" t="s">
        <v>60</v>
      </c>
      <c r="L1000" t="str">
        <f>_xlfn.XLOOKUP(K1000,[2]analyte_order!$B:$B,[2]analyte_order!$C:$C)</f>
        <v>678-41-1</v>
      </c>
      <c r="M1000">
        <f>_xlfn.XLOOKUP(L1000,[2]analyte_order!$C:$C,[2]analyte_order!$E:$E)</f>
        <v>56</v>
      </c>
      <c r="N1000">
        <v>8.7020032348382764E-2</v>
      </c>
    </row>
    <row r="1001" spans="1:14">
      <c r="A1001" t="s">
        <v>312</v>
      </c>
      <c r="B1001" t="str">
        <f>_xlfn.XLOOKUP(A1001,'[1]Tissue Data'!$A:$A,'[1]Tissue Data'!$C:$C)</f>
        <v>Down</v>
      </c>
      <c r="C1001" s="2">
        <f>_xlfn.XLOOKUP(A1001,'[1]Tissue Data'!$A:$A,'[1]Tissue Data'!$D:$D)</f>
        <v>44314</v>
      </c>
      <c r="D1001" s="2" t="s">
        <v>131</v>
      </c>
      <c r="E1001" t="str">
        <f>_xlfn.XLOOKUP(A1001,'[1]Tissue Data'!$A:$A,'[1]Tissue Data'!$H:$H)</f>
        <v>Rhinichthys</v>
      </c>
      <c r="F1001" t="str">
        <f>_xlfn.XLOOKUP(A1001,'[1]Tissue Data'!$A:$A,'[1]Tissue Data'!$I:$I)</f>
        <v>atratulus</v>
      </c>
      <c r="G1001" t="str">
        <f>_xlfn.XLOOKUP(A1001,'[1]Tissue Data'!$A:$A,'[1]Tissue Data'!J:J)</f>
        <v>U</v>
      </c>
      <c r="H1001" t="str">
        <f>_xlfn.XLOOKUP(A1001,'[1]Tissue Data'!$A:$A,'[1]Tissue Data'!K:K)</f>
        <v>Whole Body</v>
      </c>
      <c r="I1001">
        <f>_xlfn.XLOOKUP(A1001,'[1]Tissue Data'!$A:$A,'[1]Tissue Data'!L:L)</f>
        <v>5.5</v>
      </c>
      <c r="J1001">
        <f>_xlfn.XLOOKUP(A1001,'[1]Tissue Data'!$A:$A,'[1]Tissue Data'!M:M)</f>
        <v>1.75</v>
      </c>
      <c r="K1001" t="s">
        <v>61</v>
      </c>
      <c r="L1001" t="str">
        <f>_xlfn.XLOOKUP(K1001,[2]analyte_order!$B:$B,[2]analyte_order!$C:$C)</f>
        <v>2965-52-8</v>
      </c>
      <c r="M1001">
        <f>_xlfn.XLOOKUP(L1001,[2]analyte_order!$C:$C,[2]analyte_order!$E:$E)</f>
        <v>57</v>
      </c>
      <c r="N1001">
        <v>0.11551790527531768</v>
      </c>
    </row>
    <row r="1002" spans="1:14">
      <c r="A1002" t="s">
        <v>164</v>
      </c>
      <c r="B1002" t="str">
        <f>_xlfn.XLOOKUP(A1002,'[1]Tissue Data'!$A:$A,'[1]Tissue Data'!$C:$C)</f>
        <v>Down</v>
      </c>
      <c r="C1002" s="2">
        <f>_xlfn.XLOOKUP(A1002,'[1]Tissue Data'!$A:$A,'[1]Tissue Data'!$D:$D)</f>
        <v>44314</v>
      </c>
      <c r="D1002" s="2" t="str">
        <f>_xlfn.XLOOKUP(A1002,'[1]Tissue Data'!$A:$A,'[1]Tissue Data'!$F:$F)</f>
        <v>Eastern Mudminnow</v>
      </c>
      <c r="E1002" t="str">
        <f>_xlfn.XLOOKUP(A1002,'[1]Tissue Data'!$A:$A,'[1]Tissue Data'!$H:$H)</f>
        <v>Umbra</v>
      </c>
      <c r="F1002" t="str">
        <f>_xlfn.XLOOKUP(A1002,'[1]Tissue Data'!$A:$A,'[1]Tissue Data'!$I:$I)</f>
        <v>pygmaea</v>
      </c>
      <c r="G1002" t="str">
        <f>_xlfn.XLOOKUP(A1002,'[1]Tissue Data'!$A:$A,'[1]Tissue Data'!J:J)</f>
        <v>U</v>
      </c>
      <c r="H1002" t="str">
        <f>_xlfn.XLOOKUP(A1002,'[1]Tissue Data'!$A:$A,'[1]Tissue Data'!K:K)</f>
        <v>Whole Body</v>
      </c>
      <c r="I1002">
        <f>_xlfn.XLOOKUP(A1002,'[1]Tissue Data'!$A:$A,'[1]Tissue Data'!L:L)</f>
        <v>5.5</v>
      </c>
      <c r="J1002">
        <f>_xlfn.XLOOKUP(A1002,'[1]Tissue Data'!$A:$A,'[1]Tissue Data'!M:M)</f>
        <v>2.25</v>
      </c>
      <c r="K1002" t="s">
        <v>12</v>
      </c>
      <c r="L1002" t="str">
        <f>_xlfn.XLOOKUP(K1002,[2]analyte_order!$B:$B,[2]analyte_order!$C:$C)</f>
        <v>375-22-4</v>
      </c>
      <c r="M1002">
        <f>_xlfn.XLOOKUP(L1002,[2]analyte_order!$C:$C,[2]analyte_order!$E:$E)</f>
        <v>1</v>
      </c>
      <c r="N1002">
        <v>9.3477357706688816E-2</v>
      </c>
    </row>
    <row r="1003" spans="1:14">
      <c r="A1003" t="s">
        <v>164</v>
      </c>
      <c r="B1003" t="str">
        <f>_xlfn.XLOOKUP(A1003,'[1]Tissue Data'!$A:$A,'[1]Tissue Data'!$C:$C)</f>
        <v>Down</v>
      </c>
      <c r="C1003" s="2">
        <f>_xlfn.XLOOKUP(A1003,'[1]Tissue Data'!$A:$A,'[1]Tissue Data'!$D:$D)</f>
        <v>44314</v>
      </c>
      <c r="D1003" s="2" t="str">
        <f>_xlfn.XLOOKUP(A1003,'[1]Tissue Data'!$A:$A,'[1]Tissue Data'!$F:$F)</f>
        <v>Eastern Mudminnow</v>
      </c>
      <c r="E1003" t="str">
        <f>_xlfn.XLOOKUP(A1003,'[1]Tissue Data'!$A:$A,'[1]Tissue Data'!$H:$H)</f>
        <v>Umbra</v>
      </c>
      <c r="F1003" t="str">
        <f>_xlfn.XLOOKUP(A1003,'[1]Tissue Data'!$A:$A,'[1]Tissue Data'!$I:$I)</f>
        <v>pygmaea</v>
      </c>
      <c r="G1003" t="str">
        <f>_xlfn.XLOOKUP(A1003,'[1]Tissue Data'!$A:$A,'[1]Tissue Data'!J:J)</f>
        <v>U</v>
      </c>
      <c r="H1003" t="str">
        <f>_xlfn.XLOOKUP(A1003,'[1]Tissue Data'!$A:$A,'[1]Tissue Data'!K:K)</f>
        <v>Whole Body</v>
      </c>
      <c r="I1003">
        <f>_xlfn.XLOOKUP(A1003,'[1]Tissue Data'!$A:$A,'[1]Tissue Data'!L:L)</f>
        <v>5.5</v>
      </c>
      <c r="J1003">
        <f>_xlfn.XLOOKUP(A1003,'[1]Tissue Data'!$A:$A,'[1]Tissue Data'!M:M)</f>
        <v>2.25</v>
      </c>
      <c r="K1003" t="s">
        <v>13</v>
      </c>
      <c r="L1003" t="str">
        <f>_xlfn.XLOOKUP(K1003,[2]analyte_order!$B:$B,[2]analyte_order!$C:$C)</f>
        <v>2706-90-3</v>
      </c>
      <c r="M1003">
        <f>_xlfn.XLOOKUP(L1003,[2]analyte_order!$C:$C,[2]analyte_order!$E:$E)</f>
        <v>2</v>
      </c>
      <c r="N1003">
        <v>5.2752157258541398E-2</v>
      </c>
    </row>
    <row r="1004" spans="1:14">
      <c r="A1004" t="s">
        <v>164</v>
      </c>
      <c r="B1004" t="str">
        <f>_xlfn.XLOOKUP(A1004,'[1]Tissue Data'!$A:$A,'[1]Tissue Data'!$C:$C)</f>
        <v>Down</v>
      </c>
      <c r="C1004" s="2">
        <f>_xlfn.XLOOKUP(A1004,'[1]Tissue Data'!$A:$A,'[1]Tissue Data'!$D:$D)</f>
        <v>44314</v>
      </c>
      <c r="D1004" s="2" t="str">
        <f>_xlfn.XLOOKUP(A1004,'[1]Tissue Data'!$A:$A,'[1]Tissue Data'!$F:$F)</f>
        <v>Eastern Mudminnow</v>
      </c>
      <c r="E1004" t="str">
        <f>_xlfn.XLOOKUP(A1004,'[1]Tissue Data'!$A:$A,'[1]Tissue Data'!$H:$H)</f>
        <v>Umbra</v>
      </c>
      <c r="F1004" t="str">
        <f>_xlfn.XLOOKUP(A1004,'[1]Tissue Data'!$A:$A,'[1]Tissue Data'!$I:$I)</f>
        <v>pygmaea</v>
      </c>
      <c r="G1004" t="str">
        <f>_xlfn.XLOOKUP(A1004,'[1]Tissue Data'!$A:$A,'[1]Tissue Data'!J:J)</f>
        <v>U</v>
      </c>
      <c r="H1004" t="str">
        <f>_xlfn.XLOOKUP(A1004,'[1]Tissue Data'!$A:$A,'[1]Tissue Data'!K:K)</f>
        <v>Whole Body</v>
      </c>
      <c r="I1004">
        <f>_xlfn.XLOOKUP(A1004,'[1]Tissue Data'!$A:$A,'[1]Tissue Data'!L:L)</f>
        <v>5.5</v>
      </c>
      <c r="J1004">
        <f>_xlfn.XLOOKUP(A1004,'[1]Tissue Data'!$A:$A,'[1]Tissue Data'!M:M)</f>
        <v>2.25</v>
      </c>
      <c r="K1004" t="s">
        <v>14</v>
      </c>
      <c r="L1004" t="str">
        <f>_xlfn.XLOOKUP(K1004,[2]analyte_order!$B:$B,[2]analyte_order!$C:$C)</f>
        <v>307-24-4</v>
      </c>
      <c r="M1004">
        <f>_xlfn.XLOOKUP(L1004,[2]analyte_order!$C:$C,[2]analyte_order!$E:$E)</f>
        <v>3</v>
      </c>
      <c r="N1004">
        <v>4.0294712422963203E-2</v>
      </c>
    </row>
    <row r="1005" spans="1:14">
      <c r="A1005" t="s">
        <v>164</v>
      </c>
      <c r="B1005" t="str">
        <f>_xlfn.XLOOKUP(A1005,'[1]Tissue Data'!$A:$A,'[1]Tissue Data'!$C:$C)</f>
        <v>Down</v>
      </c>
      <c r="C1005" s="2">
        <f>_xlfn.XLOOKUP(A1005,'[1]Tissue Data'!$A:$A,'[1]Tissue Data'!$D:$D)</f>
        <v>44314</v>
      </c>
      <c r="D1005" s="2" t="str">
        <f>_xlfn.XLOOKUP(A1005,'[1]Tissue Data'!$A:$A,'[1]Tissue Data'!$F:$F)</f>
        <v>Eastern Mudminnow</v>
      </c>
      <c r="E1005" t="str">
        <f>_xlfn.XLOOKUP(A1005,'[1]Tissue Data'!$A:$A,'[1]Tissue Data'!$H:$H)</f>
        <v>Umbra</v>
      </c>
      <c r="F1005" t="str">
        <f>_xlfn.XLOOKUP(A1005,'[1]Tissue Data'!$A:$A,'[1]Tissue Data'!$I:$I)</f>
        <v>pygmaea</v>
      </c>
      <c r="G1005" t="str">
        <f>_xlfn.XLOOKUP(A1005,'[1]Tissue Data'!$A:$A,'[1]Tissue Data'!J:J)</f>
        <v>U</v>
      </c>
      <c r="H1005" t="str">
        <f>_xlfn.XLOOKUP(A1005,'[1]Tissue Data'!$A:$A,'[1]Tissue Data'!K:K)</f>
        <v>Whole Body</v>
      </c>
      <c r="I1005">
        <f>_xlfn.XLOOKUP(A1005,'[1]Tissue Data'!$A:$A,'[1]Tissue Data'!L:L)</f>
        <v>5.5</v>
      </c>
      <c r="J1005">
        <f>_xlfn.XLOOKUP(A1005,'[1]Tissue Data'!$A:$A,'[1]Tissue Data'!M:M)</f>
        <v>2.25</v>
      </c>
      <c r="K1005" t="s">
        <v>15</v>
      </c>
      <c r="L1005" t="str">
        <f>_xlfn.XLOOKUP(K1005,[2]analyte_order!$B:$B,[2]analyte_order!$C:$C)</f>
        <v>375-85-9</v>
      </c>
      <c r="M1005">
        <f>_xlfn.XLOOKUP(L1005,[2]analyte_order!$C:$C,[2]analyte_order!$E:$E)</f>
        <v>4</v>
      </c>
      <c r="N1005">
        <v>9.3477357706688816E-2</v>
      </c>
    </row>
    <row r="1006" spans="1:14">
      <c r="A1006" t="s">
        <v>164</v>
      </c>
      <c r="B1006" t="str">
        <f>_xlfn.XLOOKUP(A1006,'[1]Tissue Data'!$A:$A,'[1]Tissue Data'!$C:$C)</f>
        <v>Down</v>
      </c>
      <c r="C1006" s="2">
        <f>_xlfn.XLOOKUP(A1006,'[1]Tissue Data'!$A:$A,'[1]Tissue Data'!$D:$D)</f>
        <v>44314</v>
      </c>
      <c r="D1006" s="2" t="str">
        <f>_xlfn.XLOOKUP(A1006,'[1]Tissue Data'!$A:$A,'[1]Tissue Data'!$F:$F)</f>
        <v>Eastern Mudminnow</v>
      </c>
      <c r="E1006" t="str">
        <f>_xlfn.XLOOKUP(A1006,'[1]Tissue Data'!$A:$A,'[1]Tissue Data'!$H:$H)</f>
        <v>Umbra</v>
      </c>
      <c r="F1006" t="str">
        <f>_xlfn.XLOOKUP(A1006,'[1]Tissue Data'!$A:$A,'[1]Tissue Data'!$I:$I)</f>
        <v>pygmaea</v>
      </c>
      <c r="G1006" t="str">
        <f>_xlfn.XLOOKUP(A1006,'[1]Tissue Data'!$A:$A,'[1]Tissue Data'!J:J)</f>
        <v>U</v>
      </c>
      <c r="H1006" t="str">
        <f>_xlfn.XLOOKUP(A1006,'[1]Tissue Data'!$A:$A,'[1]Tissue Data'!K:K)</f>
        <v>Whole Body</v>
      </c>
      <c r="I1006">
        <f>_xlfn.XLOOKUP(A1006,'[1]Tissue Data'!$A:$A,'[1]Tissue Data'!L:L)</f>
        <v>5.5</v>
      </c>
      <c r="J1006">
        <f>_xlfn.XLOOKUP(A1006,'[1]Tissue Data'!$A:$A,'[1]Tissue Data'!M:M)</f>
        <v>2.25</v>
      </c>
      <c r="K1006" t="s">
        <v>16</v>
      </c>
      <c r="L1006" t="str">
        <f>_xlfn.XLOOKUP(K1006,[2]analyte_order!$B:$B,[2]analyte_order!$C:$C)</f>
        <v>335-67-1</v>
      </c>
      <c r="M1006">
        <f>_xlfn.XLOOKUP(L1006,[2]analyte_order!$C:$C,[2]analyte_order!$E:$E)</f>
        <v>5</v>
      </c>
      <c r="N1006">
        <v>3.26</v>
      </c>
    </row>
    <row r="1007" spans="1:14">
      <c r="A1007" t="s">
        <v>164</v>
      </c>
      <c r="B1007" t="str">
        <f>_xlfn.XLOOKUP(A1007,'[1]Tissue Data'!$A:$A,'[1]Tissue Data'!$C:$C)</f>
        <v>Down</v>
      </c>
      <c r="C1007" s="2">
        <f>_xlfn.XLOOKUP(A1007,'[1]Tissue Data'!$A:$A,'[1]Tissue Data'!$D:$D)</f>
        <v>44314</v>
      </c>
      <c r="D1007" s="2" t="str">
        <f>_xlfn.XLOOKUP(A1007,'[1]Tissue Data'!$A:$A,'[1]Tissue Data'!$F:$F)</f>
        <v>Eastern Mudminnow</v>
      </c>
      <c r="E1007" t="str">
        <f>_xlfn.XLOOKUP(A1007,'[1]Tissue Data'!$A:$A,'[1]Tissue Data'!$H:$H)</f>
        <v>Umbra</v>
      </c>
      <c r="F1007" t="str">
        <f>_xlfn.XLOOKUP(A1007,'[1]Tissue Data'!$A:$A,'[1]Tissue Data'!$I:$I)</f>
        <v>pygmaea</v>
      </c>
      <c r="G1007" t="str">
        <f>_xlfn.XLOOKUP(A1007,'[1]Tissue Data'!$A:$A,'[1]Tissue Data'!J:J)</f>
        <v>U</v>
      </c>
      <c r="H1007" t="str">
        <f>_xlfn.XLOOKUP(A1007,'[1]Tissue Data'!$A:$A,'[1]Tissue Data'!K:K)</f>
        <v>Whole Body</v>
      </c>
      <c r="I1007">
        <f>_xlfn.XLOOKUP(A1007,'[1]Tissue Data'!$A:$A,'[1]Tissue Data'!L:L)</f>
        <v>5.5</v>
      </c>
      <c r="J1007">
        <f>_xlfn.XLOOKUP(A1007,'[1]Tissue Data'!$A:$A,'[1]Tissue Data'!M:M)</f>
        <v>2.25</v>
      </c>
      <c r="K1007" t="s">
        <v>17</v>
      </c>
      <c r="L1007" t="str">
        <f>_xlfn.XLOOKUP(K1007,[2]analyte_order!$B:$B,[2]analyte_order!$C:$C)</f>
        <v>375-95-1</v>
      </c>
      <c r="M1007">
        <f>_xlfn.XLOOKUP(L1007,[2]analyte_order!$C:$C,[2]analyte_order!$E:$E)</f>
        <v>6</v>
      </c>
      <c r="N1007">
        <v>1.44</v>
      </c>
    </row>
    <row r="1008" spans="1:14">
      <c r="A1008" t="s">
        <v>164</v>
      </c>
      <c r="B1008" t="str">
        <f>_xlfn.XLOOKUP(A1008,'[1]Tissue Data'!$A:$A,'[1]Tissue Data'!$C:$C)</f>
        <v>Down</v>
      </c>
      <c r="C1008" s="2">
        <f>_xlfn.XLOOKUP(A1008,'[1]Tissue Data'!$A:$A,'[1]Tissue Data'!$D:$D)</f>
        <v>44314</v>
      </c>
      <c r="D1008" s="2" t="str">
        <f>_xlfn.XLOOKUP(A1008,'[1]Tissue Data'!$A:$A,'[1]Tissue Data'!$F:$F)</f>
        <v>Eastern Mudminnow</v>
      </c>
      <c r="E1008" t="str">
        <f>_xlfn.XLOOKUP(A1008,'[1]Tissue Data'!$A:$A,'[1]Tissue Data'!$H:$H)</f>
        <v>Umbra</v>
      </c>
      <c r="F1008" t="str">
        <f>_xlfn.XLOOKUP(A1008,'[1]Tissue Data'!$A:$A,'[1]Tissue Data'!$I:$I)</f>
        <v>pygmaea</v>
      </c>
      <c r="G1008" t="str">
        <f>_xlfn.XLOOKUP(A1008,'[1]Tissue Data'!$A:$A,'[1]Tissue Data'!J:J)</f>
        <v>U</v>
      </c>
      <c r="H1008" t="str">
        <f>_xlfn.XLOOKUP(A1008,'[1]Tissue Data'!$A:$A,'[1]Tissue Data'!K:K)</f>
        <v>Whole Body</v>
      </c>
      <c r="I1008">
        <f>_xlfn.XLOOKUP(A1008,'[1]Tissue Data'!$A:$A,'[1]Tissue Data'!L:L)</f>
        <v>5.5</v>
      </c>
      <c r="J1008">
        <f>_xlfn.XLOOKUP(A1008,'[1]Tissue Data'!$A:$A,'[1]Tissue Data'!M:M)</f>
        <v>2.25</v>
      </c>
      <c r="K1008" t="s">
        <v>18</v>
      </c>
      <c r="L1008" t="str">
        <f>_xlfn.XLOOKUP(K1008,[2]analyte_order!$B:$B,[2]analyte_order!$C:$C)</f>
        <v>335-76-2</v>
      </c>
      <c r="M1008">
        <f>_xlfn.XLOOKUP(L1008,[2]analyte_order!$C:$C,[2]analyte_order!$E:$E)</f>
        <v>7</v>
      </c>
      <c r="N1008">
        <v>3.18</v>
      </c>
    </row>
    <row r="1009" spans="1:14">
      <c r="A1009" t="s">
        <v>164</v>
      </c>
      <c r="B1009" t="str">
        <f>_xlfn.XLOOKUP(A1009,'[1]Tissue Data'!$A:$A,'[1]Tissue Data'!$C:$C)</f>
        <v>Down</v>
      </c>
      <c r="C1009" s="2">
        <f>_xlfn.XLOOKUP(A1009,'[1]Tissue Data'!$A:$A,'[1]Tissue Data'!$D:$D)</f>
        <v>44314</v>
      </c>
      <c r="D1009" s="2" t="str">
        <f>_xlfn.XLOOKUP(A1009,'[1]Tissue Data'!$A:$A,'[1]Tissue Data'!$F:$F)</f>
        <v>Eastern Mudminnow</v>
      </c>
      <c r="E1009" t="str">
        <f>_xlfn.XLOOKUP(A1009,'[1]Tissue Data'!$A:$A,'[1]Tissue Data'!$H:$H)</f>
        <v>Umbra</v>
      </c>
      <c r="F1009" t="str">
        <f>_xlfn.XLOOKUP(A1009,'[1]Tissue Data'!$A:$A,'[1]Tissue Data'!$I:$I)</f>
        <v>pygmaea</v>
      </c>
      <c r="G1009" t="str">
        <f>_xlfn.XLOOKUP(A1009,'[1]Tissue Data'!$A:$A,'[1]Tissue Data'!J:J)</f>
        <v>U</v>
      </c>
      <c r="H1009" t="str">
        <f>_xlfn.XLOOKUP(A1009,'[1]Tissue Data'!$A:$A,'[1]Tissue Data'!K:K)</f>
        <v>Whole Body</v>
      </c>
      <c r="I1009">
        <f>_xlfn.XLOOKUP(A1009,'[1]Tissue Data'!$A:$A,'[1]Tissue Data'!L:L)</f>
        <v>5.5</v>
      </c>
      <c r="J1009">
        <f>_xlfn.XLOOKUP(A1009,'[1]Tissue Data'!$A:$A,'[1]Tissue Data'!M:M)</f>
        <v>2.25</v>
      </c>
      <c r="K1009" t="s">
        <v>19</v>
      </c>
      <c r="L1009" t="str">
        <f>_xlfn.XLOOKUP(K1009,[2]analyte_order!$B:$B,[2]analyte_order!$C:$C)</f>
        <v>2058-94-8</v>
      </c>
      <c r="M1009">
        <f>_xlfn.XLOOKUP(L1009,[2]analyte_order!$C:$C,[2]analyte_order!$E:$E)</f>
        <v>8</v>
      </c>
      <c r="N1009">
        <v>6.01</v>
      </c>
    </row>
    <row r="1010" spans="1:14">
      <c r="A1010" t="s">
        <v>164</v>
      </c>
      <c r="B1010" t="str">
        <f>_xlfn.XLOOKUP(A1010,'[1]Tissue Data'!$A:$A,'[1]Tissue Data'!$C:$C)</f>
        <v>Down</v>
      </c>
      <c r="C1010" s="2">
        <f>_xlfn.XLOOKUP(A1010,'[1]Tissue Data'!$A:$A,'[1]Tissue Data'!$D:$D)</f>
        <v>44314</v>
      </c>
      <c r="D1010" s="2" t="str">
        <f>_xlfn.XLOOKUP(A1010,'[1]Tissue Data'!$A:$A,'[1]Tissue Data'!$F:$F)</f>
        <v>Eastern Mudminnow</v>
      </c>
      <c r="E1010" t="str">
        <f>_xlfn.XLOOKUP(A1010,'[1]Tissue Data'!$A:$A,'[1]Tissue Data'!$H:$H)</f>
        <v>Umbra</v>
      </c>
      <c r="F1010" t="str">
        <f>_xlfn.XLOOKUP(A1010,'[1]Tissue Data'!$A:$A,'[1]Tissue Data'!$I:$I)</f>
        <v>pygmaea</v>
      </c>
      <c r="G1010" t="str">
        <f>_xlfn.XLOOKUP(A1010,'[1]Tissue Data'!$A:$A,'[1]Tissue Data'!J:J)</f>
        <v>U</v>
      </c>
      <c r="H1010" t="str">
        <f>_xlfn.XLOOKUP(A1010,'[1]Tissue Data'!$A:$A,'[1]Tissue Data'!K:K)</f>
        <v>Whole Body</v>
      </c>
      <c r="I1010">
        <f>_xlfn.XLOOKUP(A1010,'[1]Tissue Data'!$A:$A,'[1]Tissue Data'!L:L)</f>
        <v>5.5</v>
      </c>
      <c r="J1010">
        <f>_xlfn.XLOOKUP(A1010,'[1]Tissue Data'!$A:$A,'[1]Tissue Data'!M:M)</f>
        <v>2.25</v>
      </c>
      <c r="K1010" t="s">
        <v>20</v>
      </c>
      <c r="L1010" t="str">
        <f>_xlfn.XLOOKUP(K1010,[2]analyte_order!$B:$B,[2]analyte_order!$C:$C)</f>
        <v>307-55-1</v>
      </c>
      <c r="M1010">
        <f>_xlfn.XLOOKUP(L1010,[2]analyte_order!$C:$C,[2]analyte_order!$E:$E)</f>
        <v>9</v>
      </c>
      <c r="N1010">
        <v>5.961353693002628E-2</v>
      </c>
    </row>
    <row r="1011" spans="1:14">
      <c r="A1011" t="s">
        <v>164</v>
      </c>
      <c r="B1011" t="str">
        <f>_xlfn.XLOOKUP(A1011,'[1]Tissue Data'!$A:$A,'[1]Tissue Data'!$C:$C)</f>
        <v>Down</v>
      </c>
      <c r="C1011" s="2">
        <f>_xlfn.XLOOKUP(A1011,'[1]Tissue Data'!$A:$A,'[1]Tissue Data'!$D:$D)</f>
        <v>44314</v>
      </c>
      <c r="D1011" s="2" t="str">
        <f>_xlfn.XLOOKUP(A1011,'[1]Tissue Data'!$A:$A,'[1]Tissue Data'!$F:$F)</f>
        <v>Eastern Mudminnow</v>
      </c>
      <c r="E1011" t="str">
        <f>_xlfn.XLOOKUP(A1011,'[1]Tissue Data'!$A:$A,'[1]Tissue Data'!$H:$H)</f>
        <v>Umbra</v>
      </c>
      <c r="F1011" t="str">
        <f>_xlfn.XLOOKUP(A1011,'[1]Tissue Data'!$A:$A,'[1]Tissue Data'!$I:$I)</f>
        <v>pygmaea</v>
      </c>
      <c r="G1011" t="str">
        <f>_xlfn.XLOOKUP(A1011,'[1]Tissue Data'!$A:$A,'[1]Tissue Data'!J:J)</f>
        <v>U</v>
      </c>
      <c r="H1011" t="str">
        <f>_xlfn.XLOOKUP(A1011,'[1]Tissue Data'!$A:$A,'[1]Tissue Data'!K:K)</f>
        <v>Whole Body</v>
      </c>
      <c r="I1011">
        <f>_xlfn.XLOOKUP(A1011,'[1]Tissue Data'!$A:$A,'[1]Tissue Data'!L:L)</f>
        <v>5.5</v>
      </c>
      <c r="J1011">
        <f>_xlfn.XLOOKUP(A1011,'[1]Tissue Data'!$A:$A,'[1]Tissue Data'!M:M)</f>
        <v>2.25</v>
      </c>
      <c r="K1011" t="s">
        <v>21</v>
      </c>
      <c r="L1011" t="str">
        <f>_xlfn.XLOOKUP(K1011,[2]analyte_order!$B:$B,[2]analyte_order!$C:$C)</f>
        <v>72629-94-8</v>
      </c>
      <c r="M1011">
        <f>_xlfn.XLOOKUP(L1011,[2]analyte_order!$C:$C,[2]analyte_order!$E:$E)</f>
        <v>10</v>
      </c>
      <c r="N1011">
        <v>1.95</v>
      </c>
    </row>
    <row r="1012" spans="1:14">
      <c r="A1012" t="s">
        <v>164</v>
      </c>
      <c r="B1012" t="str">
        <f>_xlfn.XLOOKUP(A1012,'[1]Tissue Data'!$A:$A,'[1]Tissue Data'!$C:$C)</f>
        <v>Down</v>
      </c>
      <c r="C1012" s="2">
        <f>_xlfn.XLOOKUP(A1012,'[1]Tissue Data'!$A:$A,'[1]Tissue Data'!$D:$D)</f>
        <v>44314</v>
      </c>
      <c r="D1012" s="2" t="str">
        <f>_xlfn.XLOOKUP(A1012,'[1]Tissue Data'!$A:$A,'[1]Tissue Data'!$F:$F)</f>
        <v>Eastern Mudminnow</v>
      </c>
      <c r="E1012" t="str">
        <f>_xlfn.XLOOKUP(A1012,'[1]Tissue Data'!$A:$A,'[1]Tissue Data'!$H:$H)</f>
        <v>Umbra</v>
      </c>
      <c r="F1012" t="str">
        <f>_xlfn.XLOOKUP(A1012,'[1]Tissue Data'!$A:$A,'[1]Tissue Data'!$I:$I)</f>
        <v>pygmaea</v>
      </c>
      <c r="G1012" t="str">
        <f>_xlfn.XLOOKUP(A1012,'[1]Tissue Data'!$A:$A,'[1]Tissue Data'!J:J)</f>
        <v>U</v>
      </c>
      <c r="H1012" t="str">
        <f>_xlfn.XLOOKUP(A1012,'[1]Tissue Data'!$A:$A,'[1]Tissue Data'!K:K)</f>
        <v>Whole Body</v>
      </c>
      <c r="I1012">
        <f>_xlfn.XLOOKUP(A1012,'[1]Tissue Data'!$A:$A,'[1]Tissue Data'!L:L)</f>
        <v>5.5</v>
      </c>
      <c r="J1012">
        <f>_xlfn.XLOOKUP(A1012,'[1]Tissue Data'!$A:$A,'[1]Tissue Data'!M:M)</f>
        <v>2.25</v>
      </c>
      <c r="K1012" t="s">
        <v>22</v>
      </c>
      <c r="L1012" t="str">
        <f>_xlfn.XLOOKUP(K1012,[2]analyte_order!$B:$B,[2]analyte_order!$C:$C)</f>
        <v>376-06-7</v>
      </c>
      <c r="M1012">
        <f>_xlfn.XLOOKUP(L1012,[2]analyte_order!$C:$C,[2]analyte_order!$E:$E)</f>
        <v>11</v>
      </c>
      <c r="N1012">
        <v>5.05</v>
      </c>
    </row>
    <row r="1013" spans="1:14">
      <c r="A1013" t="s">
        <v>164</v>
      </c>
      <c r="B1013" t="str">
        <f>_xlfn.XLOOKUP(A1013,'[1]Tissue Data'!$A:$A,'[1]Tissue Data'!$C:$C)</f>
        <v>Down</v>
      </c>
      <c r="C1013" s="2">
        <f>_xlfn.XLOOKUP(A1013,'[1]Tissue Data'!$A:$A,'[1]Tissue Data'!$D:$D)</f>
        <v>44314</v>
      </c>
      <c r="D1013" s="2" t="str">
        <f>_xlfn.XLOOKUP(A1013,'[1]Tissue Data'!$A:$A,'[1]Tissue Data'!$F:$F)</f>
        <v>Eastern Mudminnow</v>
      </c>
      <c r="E1013" t="str">
        <f>_xlfn.XLOOKUP(A1013,'[1]Tissue Data'!$A:$A,'[1]Tissue Data'!$H:$H)</f>
        <v>Umbra</v>
      </c>
      <c r="F1013" t="str">
        <f>_xlfn.XLOOKUP(A1013,'[1]Tissue Data'!$A:$A,'[1]Tissue Data'!$I:$I)</f>
        <v>pygmaea</v>
      </c>
      <c r="G1013" t="str">
        <f>_xlfn.XLOOKUP(A1013,'[1]Tissue Data'!$A:$A,'[1]Tissue Data'!J:J)</f>
        <v>U</v>
      </c>
      <c r="H1013" t="str">
        <f>_xlfn.XLOOKUP(A1013,'[1]Tissue Data'!$A:$A,'[1]Tissue Data'!K:K)</f>
        <v>Whole Body</v>
      </c>
      <c r="I1013">
        <f>_xlfn.XLOOKUP(A1013,'[1]Tissue Data'!$A:$A,'[1]Tissue Data'!L:L)</f>
        <v>5.5</v>
      </c>
      <c r="J1013">
        <f>_xlfn.XLOOKUP(A1013,'[1]Tissue Data'!$A:$A,'[1]Tissue Data'!M:M)</f>
        <v>2.25</v>
      </c>
      <c r="K1013" t="s">
        <v>23</v>
      </c>
      <c r="L1013" t="str">
        <f>_xlfn.XLOOKUP(K1013,[2]analyte_order!$B:$B,[2]analyte_order!$C:$C)</f>
        <v>67905-19-5</v>
      </c>
      <c r="M1013">
        <f>_xlfn.XLOOKUP(L1013,[2]analyte_order!$C:$C,[2]analyte_order!$E:$E)</f>
        <v>12</v>
      </c>
      <c r="N1013">
        <v>8.8982808321287785E-2</v>
      </c>
    </row>
    <row r="1014" spans="1:14">
      <c r="A1014" t="s">
        <v>164</v>
      </c>
      <c r="B1014" t="str">
        <f>_xlfn.XLOOKUP(A1014,'[1]Tissue Data'!$A:$A,'[1]Tissue Data'!$C:$C)</f>
        <v>Down</v>
      </c>
      <c r="C1014" s="2">
        <f>_xlfn.XLOOKUP(A1014,'[1]Tissue Data'!$A:$A,'[1]Tissue Data'!$D:$D)</f>
        <v>44314</v>
      </c>
      <c r="D1014" s="2" t="str">
        <f>_xlfn.XLOOKUP(A1014,'[1]Tissue Data'!$A:$A,'[1]Tissue Data'!$F:$F)</f>
        <v>Eastern Mudminnow</v>
      </c>
      <c r="E1014" t="str">
        <f>_xlfn.XLOOKUP(A1014,'[1]Tissue Data'!$A:$A,'[1]Tissue Data'!$H:$H)</f>
        <v>Umbra</v>
      </c>
      <c r="F1014" t="str">
        <f>_xlfn.XLOOKUP(A1014,'[1]Tissue Data'!$A:$A,'[1]Tissue Data'!$I:$I)</f>
        <v>pygmaea</v>
      </c>
      <c r="G1014" t="str">
        <f>_xlfn.XLOOKUP(A1014,'[1]Tissue Data'!$A:$A,'[1]Tissue Data'!J:J)</f>
        <v>U</v>
      </c>
      <c r="H1014" t="str">
        <f>_xlfn.XLOOKUP(A1014,'[1]Tissue Data'!$A:$A,'[1]Tissue Data'!K:K)</f>
        <v>Whole Body</v>
      </c>
      <c r="I1014">
        <f>_xlfn.XLOOKUP(A1014,'[1]Tissue Data'!$A:$A,'[1]Tissue Data'!L:L)</f>
        <v>5.5</v>
      </c>
      <c r="J1014">
        <f>_xlfn.XLOOKUP(A1014,'[1]Tissue Data'!$A:$A,'[1]Tissue Data'!M:M)</f>
        <v>2.25</v>
      </c>
      <c r="K1014" t="s">
        <v>24</v>
      </c>
      <c r="L1014" t="str">
        <f>_xlfn.XLOOKUP(K1014,[2]analyte_order!$B:$B,[2]analyte_order!$C:$C)</f>
        <v>423-41-6</v>
      </c>
      <c r="M1014">
        <f>_xlfn.XLOOKUP(L1014,[2]analyte_order!$C:$C,[2]analyte_order!$E:$E)</f>
        <v>53</v>
      </c>
      <c r="N1014">
        <v>5.6964015428712218E-2</v>
      </c>
    </row>
    <row r="1015" spans="1:14">
      <c r="A1015" t="s">
        <v>164</v>
      </c>
      <c r="B1015" t="str">
        <f>_xlfn.XLOOKUP(A1015,'[1]Tissue Data'!$A:$A,'[1]Tissue Data'!$C:$C)</f>
        <v>Down</v>
      </c>
      <c r="C1015" s="2">
        <f>_xlfn.XLOOKUP(A1015,'[1]Tissue Data'!$A:$A,'[1]Tissue Data'!$D:$D)</f>
        <v>44314</v>
      </c>
      <c r="D1015" s="2" t="str">
        <f>_xlfn.XLOOKUP(A1015,'[1]Tissue Data'!$A:$A,'[1]Tissue Data'!$F:$F)</f>
        <v>Eastern Mudminnow</v>
      </c>
      <c r="E1015" t="str">
        <f>_xlfn.XLOOKUP(A1015,'[1]Tissue Data'!$A:$A,'[1]Tissue Data'!$H:$H)</f>
        <v>Umbra</v>
      </c>
      <c r="F1015" t="str">
        <f>_xlfn.XLOOKUP(A1015,'[1]Tissue Data'!$A:$A,'[1]Tissue Data'!$I:$I)</f>
        <v>pygmaea</v>
      </c>
      <c r="G1015" t="str">
        <f>_xlfn.XLOOKUP(A1015,'[1]Tissue Data'!$A:$A,'[1]Tissue Data'!J:J)</f>
        <v>U</v>
      </c>
      <c r="H1015" t="str">
        <f>_xlfn.XLOOKUP(A1015,'[1]Tissue Data'!$A:$A,'[1]Tissue Data'!K:K)</f>
        <v>Whole Body</v>
      </c>
      <c r="I1015">
        <f>_xlfn.XLOOKUP(A1015,'[1]Tissue Data'!$A:$A,'[1]Tissue Data'!L:L)</f>
        <v>5.5</v>
      </c>
      <c r="J1015">
        <f>_xlfn.XLOOKUP(A1015,'[1]Tissue Data'!$A:$A,'[1]Tissue Data'!M:M)</f>
        <v>2.25</v>
      </c>
      <c r="K1015" t="s">
        <v>25</v>
      </c>
      <c r="L1015" t="str">
        <f>_xlfn.XLOOKUP(K1015,[2]analyte_order!$B:$B,[2]analyte_order!$C:$C)</f>
        <v>375-73-5</v>
      </c>
      <c r="M1015">
        <f>_xlfn.XLOOKUP(L1015,[2]analyte_order!$C:$C,[2]analyte_order!$E:$E)</f>
        <v>14</v>
      </c>
      <c r="N1015">
        <v>0.67800000000000005</v>
      </c>
    </row>
    <row r="1016" spans="1:14">
      <c r="A1016" t="s">
        <v>164</v>
      </c>
      <c r="B1016" t="str">
        <f>_xlfn.XLOOKUP(A1016,'[1]Tissue Data'!$A:$A,'[1]Tissue Data'!$C:$C)</f>
        <v>Down</v>
      </c>
      <c r="C1016" s="2">
        <f>_xlfn.XLOOKUP(A1016,'[1]Tissue Data'!$A:$A,'[1]Tissue Data'!$D:$D)</f>
        <v>44314</v>
      </c>
      <c r="D1016" s="2" t="str">
        <f>_xlfn.XLOOKUP(A1016,'[1]Tissue Data'!$A:$A,'[1]Tissue Data'!$F:$F)</f>
        <v>Eastern Mudminnow</v>
      </c>
      <c r="E1016" t="str">
        <f>_xlfn.XLOOKUP(A1016,'[1]Tissue Data'!$A:$A,'[1]Tissue Data'!$H:$H)</f>
        <v>Umbra</v>
      </c>
      <c r="F1016" t="str">
        <f>_xlfn.XLOOKUP(A1016,'[1]Tissue Data'!$A:$A,'[1]Tissue Data'!$I:$I)</f>
        <v>pygmaea</v>
      </c>
      <c r="G1016" t="str">
        <f>_xlfn.XLOOKUP(A1016,'[1]Tissue Data'!$A:$A,'[1]Tissue Data'!J:J)</f>
        <v>U</v>
      </c>
      <c r="H1016" t="str">
        <f>_xlfn.XLOOKUP(A1016,'[1]Tissue Data'!$A:$A,'[1]Tissue Data'!K:K)</f>
        <v>Whole Body</v>
      </c>
      <c r="I1016">
        <f>_xlfn.XLOOKUP(A1016,'[1]Tissue Data'!$A:$A,'[1]Tissue Data'!L:L)</f>
        <v>5.5</v>
      </c>
      <c r="J1016">
        <f>_xlfn.XLOOKUP(A1016,'[1]Tissue Data'!$A:$A,'[1]Tissue Data'!M:M)</f>
        <v>2.25</v>
      </c>
      <c r="K1016" t="s">
        <v>26</v>
      </c>
      <c r="L1016" t="str">
        <f>_xlfn.XLOOKUP(K1016,[2]analyte_order!$B:$B,[2]analyte_order!$C:$C)</f>
        <v>2706-91-4</v>
      </c>
      <c r="M1016">
        <f>_xlfn.XLOOKUP(L1016,[2]analyte_order!$C:$C,[2]analyte_order!$E:$E)</f>
        <v>15</v>
      </c>
      <c r="N1016">
        <v>0.12375115377261114</v>
      </c>
    </row>
    <row r="1017" spans="1:14">
      <c r="A1017" t="s">
        <v>164</v>
      </c>
      <c r="B1017" t="str">
        <f>_xlfn.XLOOKUP(A1017,'[1]Tissue Data'!$A:$A,'[1]Tissue Data'!$C:$C)</f>
        <v>Down</v>
      </c>
      <c r="C1017" s="2">
        <f>_xlfn.XLOOKUP(A1017,'[1]Tissue Data'!$A:$A,'[1]Tissue Data'!$D:$D)</f>
        <v>44314</v>
      </c>
      <c r="D1017" s="2" t="str">
        <f>_xlfn.XLOOKUP(A1017,'[1]Tissue Data'!$A:$A,'[1]Tissue Data'!$F:$F)</f>
        <v>Eastern Mudminnow</v>
      </c>
      <c r="E1017" t="str">
        <f>_xlfn.XLOOKUP(A1017,'[1]Tissue Data'!$A:$A,'[1]Tissue Data'!$H:$H)</f>
        <v>Umbra</v>
      </c>
      <c r="F1017" t="str">
        <f>_xlfn.XLOOKUP(A1017,'[1]Tissue Data'!$A:$A,'[1]Tissue Data'!$I:$I)</f>
        <v>pygmaea</v>
      </c>
      <c r="G1017" t="str">
        <f>_xlfn.XLOOKUP(A1017,'[1]Tissue Data'!$A:$A,'[1]Tissue Data'!J:J)</f>
        <v>U</v>
      </c>
      <c r="H1017" t="str">
        <f>_xlfn.XLOOKUP(A1017,'[1]Tissue Data'!$A:$A,'[1]Tissue Data'!K:K)</f>
        <v>Whole Body</v>
      </c>
      <c r="I1017">
        <f>_xlfn.XLOOKUP(A1017,'[1]Tissue Data'!$A:$A,'[1]Tissue Data'!L:L)</f>
        <v>5.5</v>
      </c>
      <c r="J1017">
        <f>_xlfn.XLOOKUP(A1017,'[1]Tissue Data'!$A:$A,'[1]Tissue Data'!M:M)</f>
        <v>2.25</v>
      </c>
      <c r="K1017" t="s">
        <v>27</v>
      </c>
      <c r="L1017" t="str">
        <f>_xlfn.XLOOKUP(K1017,[2]analyte_order!$B:$B,[2]analyte_order!$C:$C)</f>
        <v>355-46-4</v>
      </c>
      <c r="M1017">
        <f>_xlfn.XLOOKUP(L1017,[2]analyte_order!$C:$C,[2]analyte_order!$E:$E)</f>
        <v>16</v>
      </c>
      <c r="N1017">
        <v>26.2</v>
      </c>
    </row>
    <row r="1018" spans="1:14">
      <c r="A1018" t="s">
        <v>164</v>
      </c>
      <c r="B1018" t="str">
        <f>_xlfn.XLOOKUP(A1018,'[1]Tissue Data'!$A:$A,'[1]Tissue Data'!$C:$C)</f>
        <v>Down</v>
      </c>
      <c r="C1018" s="2">
        <f>_xlfn.XLOOKUP(A1018,'[1]Tissue Data'!$A:$A,'[1]Tissue Data'!$D:$D)</f>
        <v>44314</v>
      </c>
      <c r="D1018" s="2" t="str">
        <f>_xlfn.XLOOKUP(A1018,'[1]Tissue Data'!$A:$A,'[1]Tissue Data'!$F:$F)</f>
        <v>Eastern Mudminnow</v>
      </c>
      <c r="E1018" t="str">
        <f>_xlfn.XLOOKUP(A1018,'[1]Tissue Data'!$A:$A,'[1]Tissue Data'!$H:$H)</f>
        <v>Umbra</v>
      </c>
      <c r="F1018" t="str">
        <f>_xlfn.XLOOKUP(A1018,'[1]Tissue Data'!$A:$A,'[1]Tissue Data'!$I:$I)</f>
        <v>pygmaea</v>
      </c>
      <c r="G1018" t="str">
        <f>_xlfn.XLOOKUP(A1018,'[1]Tissue Data'!$A:$A,'[1]Tissue Data'!J:J)</f>
        <v>U</v>
      </c>
      <c r="H1018" t="str">
        <f>_xlfn.XLOOKUP(A1018,'[1]Tissue Data'!$A:$A,'[1]Tissue Data'!K:K)</f>
        <v>Whole Body</v>
      </c>
      <c r="I1018">
        <f>_xlfn.XLOOKUP(A1018,'[1]Tissue Data'!$A:$A,'[1]Tissue Data'!L:L)</f>
        <v>5.5</v>
      </c>
      <c r="J1018">
        <f>_xlfn.XLOOKUP(A1018,'[1]Tissue Data'!$A:$A,'[1]Tissue Data'!M:M)</f>
        <v>2.25</v>
      </c>
      <c r="K1018" t="s">
        <v>28</v>
      </c>
      <c r="L1018" t="str">
        <f>_xlfn.XLOOKUP(K1018,[2]analyte_order!$B:$B,[2]analyte_order!$C:$C)</f>
        <v>375-92-8</v>
      </c>
      <c r="M1018">
        <f>_xlfn.XLOOKUP(L1018,[2]analyte_order!$C:$C,[2]analyte_order!$E:$E)</f>
        <v>17</v>
      </c>
      <c r="N1018">
        <v>1.43</v>
      </c>
    </row>
    <row r="1019" spans="1:14">
      <c r="A1019" t="s">
        <v>164</v>
      </c>
      <c r="B1019" t="str">
        <f>_xlfn.XLOOKUP(A1019,'[1]Tissue Data'!$A:$A,'[1]Tissue Data'!$C:$C)</f>
        <v>Down</v>
      </c>
      <c r="C1019" s="2">
        <f>_xlfn.XLOOKUP(A1019,'[1]Tissue Data'!$A:$A,'[1]Tissue Data'!$D:$D)</f>
        <v>44314</v>
      </c>
      <c r="D1019" s="2" t="str">
        <f>_xlfn.XLOOKUP(A1019,'[1]Tissue Data'!$A:$A,'[1]Tissue Data'!$F:$F)</f>
        <v>Eastern Mudminnow</v>
      </c>
      <c r="E1019" t="str">
        <f>_xlfn.XLOOKUP(A1019,'[1]Tissue Data'!$A:$A,'[1]Tissue Data'!$H:$H)</f>
        <v>Umbra</v>
      </c>
      <c r="F1019" t="str">
        <f>_xlfn.XLOOKUP(A1019,'[1]Tissue Data'!$A:$A,'[1]Tissue Data'!$I:$I)</f>
        <v>pygmaea</v>
      </c>
      <c r="G1019" t="str">
        <f>_xlfn.XLOOKUP(A1019,'[1]Tissue Data'!$A:$A,'[1]Tissue Data'!J:J)</f>
        <v>U</v>
      </c>
      <c r="H1019" t="str">
        <f>_xlfn.XLOOKUP(A1019,'[1]Tissue Data'!$A:$A,'[1]Tissue Data'!K:K)</f>
        <v>Whole Body</v>
      </c>
      <c r="I1019">
        <f>_xlfn.XLOOKUP(A1019,'[1]Tissue Data'!$A:$A,'[1]Tissue Data'!L:L)</f>
        <v>5.5</v>
      </c>
      <c r="J1019">
        <f>_xlfn.XLOOKUP(A1019,'[1]Tissue Data'!$A:$A,'[1]Tissue Data'!M:M)</f>
        <v>2.25</v>
      </c>
      <c r="K1019" t="s">
        <v>29</v>
      </c>
      <c r="L1019" t="str">
        <f>_xlfn.XLOOKUP(K1019,[2]analyte_order!$B:$B,[2]analyte_order!$C:$C)</f>
        <v>1763-23-1</v>
      </c>
      <c r="M1019">
        <f>_xlfn.XLOOKUP(L1019,[2]analyte_order!$C:$C,[2]analyte_order!$E:$E)</f>
        <v>18</v>
      </c>
      <c r="N1019">
        <v>595</v>
      </c>
    </row>
    <row r="1020" spans="1:14">
      <c r="A1020" t="s">
        <v>164</v>
      </c>
      <c r="B1020" t="str">
        <f>_xlfn.XLOOKUP(A1020,'[1]Tissue Data'!$A:$A,'[1]Tissue Data'!$C:$C)</f>
        <v>Down</v>
      </c>
      <c r="C1020" s="2">
        <f>_xlfn.XLOOKUP(A1020,'[1]Tissue Data'!$A:$A,'[1]Tissue Data'!$D:$D)</f>
        <v>44314</v>
      </c>
      <c r="D1020" s="2" t="str">
        <f>_xlfn.XLOOKUP(A1020,'[1]Tissue Data'!$A:$A,'[1]Tissue Data'!$F:$F)</f>
        <v>Eastern Mudminnow</v>
      </c>
      <c r="E1020" t="str">
        <f>_xlfn.XLOOKUP(A1020,'[1]Tissue Data'!$A:$A,'[1]Tissue Data'!$H:$H)</f>
        <v>Umbra</v>
      </c>
      <c r="F1020" t="str">
        <f>_xlfn.XLOOKUP(A1020,'[1]Tissue Data'!$A:$A,'[1]Tissue Data'!$I:$I)</f>
        <v>pygmaea</v>
      </c>
      <c r="G1020" t="str">
        <f>_xlfn.XLOOKUP(A1020,'[1]Tissue Data'!$A:$A,'[1]Tissue Data'!J:J)</f>
        <v>U</v>
      </c>
      <c r="H1020" t="str">
        <f>_xlfn.XLOOKUP(A1020,'[1]Tissue Data'!$A:$A,'[1]Tissue Data'!K:K)</f>
        <v>Whole Body</v>
      </c>
      <c r="I1020">
        <f>_xlfn.XLOOKUP(A1020,'[1]Tissue Data'!$A:$A,'[1]Tissue Data'!L:L)</f>
        <v>5.5</v>
      </c>
      <c r="J1020">
        <f>_xlfn.XLOOKUP(A1020,'[1]Tissue Data'!$A:$A,'[1]Tissue Data'!M:M)</f>
        <v>2.25</v>
      </c>
      <c r="K1020" t="s">
        <v>30</v>
      </c>
      <c r="L1020" t="str">
        <f>_xlfn.XLOOKUP(K1020,[2]analyte_order!$B:$B,[2]analyte_order!$C:$C)</f>
        <v>68259-12-1</v>
      </c>
      <c r="M1020">
        <f>_xlfn.XLOOKUP(L1020,[2]analyte_order!$C:$C,[2]analyte_order!$E:$E)</f>
        <v>19</v>
      </c>
      <c r="N1020">
        <v>0.872</v>
      </c>
    </row>
    <row r="1021" spans="1:14">
      <c r="A1021" t="s">
        <v>164</v>
      </c>
      <c r="B1021" t="str">
        <f>_xlfn.XLOOKUP(A1021,'[1]Tissue Data'!$A:$A,'[1]Tissue Data'!$C:$C)</f>
        <v>Down</v>
      </c>
      <c r="C1021" s="2">
        <f>_xlfn.XLOOKUP(A1021,'[1]Tissue Data'!$A:$A,'[1]Tissue Data'!$D:$D)</f>
        <v>44314</v>
      </c>
      <c r="D1021" s="2" t="str">
        <f>_xlfn.XLOOKUP(A1021,'[1]Tissue Data'!$A:$A,'[1]Tissue Data'!$F:$F)</f>
        <v>Eastern Mudminnow</v>
      </c>
      <c r="E1021" t="str">
        <f>_xlfn.XLOOKUP(A1021,'[1]Tissue Data'!$A:$A,'[1]Tissue Data'!$H:$H)</f>
        <v>Umbra</v>
      </c>
      <c r="F1021" t="str">
        <f>_xlfn.XLOOKUP(A1021,'[1]Tissue Data'!$A:$A,'[1]Tissue Data'!$I:$I)</f>
        <v>pygmaea</v>
      </c>
      <c r="G1021" t="str">
        <f>_xlfn.XLOOKUP(A1021,'[1]Tissue Data'!$A:$A,'[1]Tissue Data'!J:J)</f>
        <v>U</v>
      </c>
      <c r="H1021" t="str">
        <f>_xlfn.XLOOKUP(A1021,'[1]Tissue Data'!$A:$A,'[1]Tissue Data'!K:K)</f>
        <v>Whole Body</v>
      </c>
      <c r="I1021">
        <f>_xlfn.XLOOKUP(A1021,'[1]Tissue Data'!$A:$A,'[1]Tissue Data'!L:L)</f>
        <v>5.5</v>
      </c>
      <c r="J1021">
        <f>_xlfn.XLOOKUP(A1021,'[1]Tissue Data'!$A:$A,'[1]Tissue Data'!M:M)</f>
        <v>2.25</v>
      </c>
      <c r="K1021" t="s">
        <v>31</v>
      </c>
      <c r="L1021" t="str">
        <f>_xlfn.XLOOKUP(K1021,[2]analyte_order!$B:$B,[2]analyte_order!$C:$C)</f>
        <v>335-77-3</v>
      </c>
      <c r="M1021">
        <f>_xlfn.XLOOKUP(L1021,[2]analyte_order!$C:$C,[2]analyte_order!$E:$E)</f>
        <v>20</v>
      </c>
      <c r="N1021">
        <v>0.98399999999999999</v>
      </c>
    </row>
    <row r="1022" spans="1:14">
      <c r="A1022" t="s">
        <v>164</v>
      </c>
      <c r="B1022" t="str">
        <f>_xlfn.XLOOKUP(A1022,'[1]Tissue Data'!$A:$A,'[1]Tissue Data'!$C:$C)</f>
        <v>Down</v>
      </c>
      <c r="C1022" s="2">
        <f>_xlfn.XLOOKUP(A1022,'[1]Tissue Data'!$A:$A,'[1]Tissue Data'!$D:$D)</f>
        <v>44314</v>
      </c>
      <c r="D1022" s="2" t="str">
        <f>_xlfn.XLOOKUP(A1022,'[1]Tissue Data'!$A:$A,'[1]Tissue Data'!$F:$F)</f>
        <v>Eastern Mudminnow</v>
      </c>
      <c r="E1022" t="str">
        <f>_xlfn.XLOOKUP(A1022,'[1]Tissue Data'!$A:$A,'[1]Tissue Data'!$H:$H)</f>
        <v>Umbra</v>
      </c>
      <c r="F1022" t="str">
        <f>_xlfn.XLOOKUP(A1022,'[1]Tissue Data'!$A:$A,'[1]Tissue Data'!$I:$I)</f>
        <v>pygmaea</v>
      </c>
      <c r="G1022" t="str">
        <f>_xlfn.XLOOKUP(A1022,'[1]Tissue Data'!$A:$A,'[1]Tissue Data'!J:J)</f>
        <v>U</v>
      </c>
      <c r="H1022" t="str">
        <f>_xlfn.XLOOKUP(A1022,'[1]Tissue Data'!$A:$A,'[1]Tissue Data'!K:K)</f>
        <v>Whole Body</v>
      </c>
      <c r="I1022">
        <f>_xlfn.XLOOKUP(A1022,'[1]Tissue Data'!$A:$A,'[1]Tissue Data'!L:L)</f>
        <v>5.5</v>
      </c>
      <c r="J1022">
        <f>_xlfn.XLOOKUP(A1022,'[1]Tissue Data'!$A:$A,'[1]Tissue Data'!M:M)</f>
        <v>2.25</v>
      </c>
      <c r="K1022" t="s">
        <v>32</v>
      </c>
      <c r="L1022" t="str">
        <f>_xlfn.XLOOKUP(K1022,[2]analyte_order!$B:$B,[2]analyte_order!$C:$C)</f>
        <v>79780-39-5</v>
      </c>
      <c r="M1022">
        <f>_xlfn.XLOOKUP(L1022,[2]analyte_order!$C:$C,[2]analyte_order!$E:$E)</f>
        <v>21</v>
      </c>
      <c r="N1022">
        <v>0.627</v>
      </c>
    </row>
    <row r="1023" spans="1:14">
      <c r="A1023" t="s">
        <v>164</v>
      </c>
      <c r="B1023" t="str">
        <f>_xlfn.XLOOKUP(A1023,'[1]Tissue Data'!$A:$A,'[1]Tissue Data'!$C:$C)</f>
        <v>Down</v>
      </c>
      <c r="C1023" s="2">
        <f>_xlfn.XLOOKUP(A1023,'[1]Tissue Data'!$A:$A,'[1]Tissue Data'!$D:$D)</f>
        <v>44314</v>
      </c>
      <c r="D1023" s="2" t="str">
        <f>_xlfn.XLOOKUP(A1023,'[1]Tissue Data'!$A:$A,'[1]Tissue Data'!$F:$F)</f>
        <v>Eastern Mudminnow</v>
      </c>
      <c r="E1023" t="str">
        <f>_xlfn.XLOOKUP(A1023,'[1]Tissue Data'!$A:$A,'[1]Tissue Data'!$H:$H)</f>
        <v>Umbra</v>
      </c>
      <c r="F1023" t="str">
        <f>_xlfn.XLOOKUP(A1023,'[1]Tissue Data'!$A:$A,'[1]Tissue Data'!$I:$I)</f>
        <v>pygmaea</v>
      </c>
      <c r="G1023" t="str">
        <f>_xlfn.XLOOKUP(A1023,'[1]Tissue Data'!$A:$A,'[1]Tissue Data'!J:J)</f>
        <v>U</v>
      </c>
      <c r="H1023" t="str">
        <f>_xlfn.XLOOKUP(A1023,'[1]Tissue Data'!$A:$A,'[1]Tissue Data'!K:K)</f>
        <v>Whole Body</v>
      </c>
      <c r="I1023">
        <f>_xlfn.XLOOKUP(A1023,'[1]Tissue Data'!$A:$A,'[1]Tissue Data'!L:L)</f>
        <v>5.5</v>
      </c>
      <c r="J1023">
        <f>_xlfn.XLOOKUP(A1023,'[1]Tissue Data'!$A:$A,'[1]Tissue Data'!M:M)</f>
        <v>2.25</v>
      </c>
      <c r="K1023" t="s">
        <v>33</v>
      </c>
      <c r="L1023" t="str">
        <f>_xlfn.XLOOKUP(K1023,[2]analyte_order!$B:$B,[2]analyte_order!$C:$C)</f>
        <v>777011-38-8</v>
      </c>
      <c r="M1023">
        <f>_xlfn.XLOOKUP(L1023,[2]analyte_order!$C:$C,[2]analyte_order!$E:$E)</f>
        <v>54</v>
      </c>
      <c r="N1023">
        <v>0.14201178154437058</v>
      </c>
    </row>
    <row r="1024" spans="1:14">
      <c r="A1024" t="s">
        <v>164</v>
      </c>
      <c r="B1024" t="str">
        <f>_xlfn.XLOOKUP(A1024,'[1]Tissue Data'!$A:$A,'[1]Tissue Data'!$C:$C)</f>
        <v>Down</v>
      </c>
      <c r="C1024" s="2">
        <f>_xlfn.XLOOKUP(A1024,'[1]Tissue Data'!$A:$A,'[1]Tissue Data'!$D:$D)</f>
        <v>44314</v>
      </c>
      <c r="D1024" s="2" t="str">
        <f>_xlfn.XLOOKUP(A1024,'[1]Tissue Data'!$A:$A,'[1]Tissue Data'!$F:$F)</f>
        <v>Eastern Mudminnow</v>
      </c>
      <c r="E1024" t="str">
        <f>_xlfn.XLOOKUP(A1024,'[1]Tissue Data'!$A:$A,'[1]Tissue Data'!$H:$H)</f>
        <v>Umbra</v>
      </c>
      <c r="F1024" t="str">
        <f>_xlfn.XLOOKUP(A1024,'[1]Tissue Data'!$A:$A,'[1]Tissue Data'!$I:$I)</f>
        <v>pygmaea</v>
      </c>
      <c r="G1024" t="str">
        <f>_xlfn.XLOOKUP(A1024,'[1]Tissue Data'!$A:$A,'[1]Tissue Data'!J:J)</f>
        <v>U</v>
      </c>
      <c r="H1024" t="str">
        <f>_xlfn.XLOOKUP(A1024,'[1]Tissue Data'!$A:$A,'[1]Tissue Data'!K:K)</f>
        <v>Whole Body</v>
      </c>
      <c r="I1024">
        <f>_xlfn.XLOOKUP(A1024,'[1]Tissue Data'!$A:$A,'[1]Tissue Data'!L:L)</f>
        <v>5.5</v>
      </c>
      <c r="J1024">
        <f>_xlfn.XLOOKUP(A1024,'[1]Tissue Data'!$A:$A,'[1]Tissue Data'!M:M)</f>
        <v>2.25</v>
      </c>
      <c r="K1024" t="s">
        <v>34</v>
      </c>
      <c r="L1024" t="str">
        <f>_xlfn.XLOOKUP(K1024,[2]analyte_order!$B:$B,[2]analyte_order!$C:$C)</f>
        <v>646-83-3</v>
      </c>
      <c r="M1024">
        <f>_xlfn.XLOOKUP(L1024,[2]analyte_order!$C:$C,[2]analyte_order!$E:$E)</f>
        <v>55</v>
      </c>
      <c r="N1024">
        <v>0.20399999999999999</v>
      </c>
    </row>
    <row r="1025" spans="1:14">
      <c r="A1025" t="s">
        <v>164</v>
      </c>
      <c r="B1025" t="str">
        <f>_xlfn.XLOOKUP(A1025,'[1]Tissue Data'!$A:$A,'[1]Tissue Data'!$C:$C)</f>
        <v>Down</v>
      </c>
      <c r="C1025" s="2">
        <f>_xlfn.XLOOKUP(A1025,'[1]Tissue Data'!$A:$A,'[1]Tissue Data'!$D:$D)</f>
        <v>44314</v>
      </c>
      <c r="D1025" s="2" t="str">
        <f>_xlfn.XLOOKUP(A1025,'[1]Tissue Data'!$A:$A,'[1]Tissue Data'!$F:$F)</f>
        <v>Eastern Mudminnow</v>
      </c>
      <c r="E1025" t="str">
        <f>_xlfn.XLOOKUP(A1025,'[1]Tissue Data'!$A:$A,'[1]Tissue Data'!$H:$H)</f>
        <v>Umbra</v>
      </c>
      <c r="F1025" t="str">
        <f>_xlfn.XLOOKUP(A1025,'[1]Tissue Data'!$A:$A,'[1]Tissue Data'!$I:$I)</f>
        <v>pygmaea</v>
      </c>
      <c r="G1025" t="str">
        <f>_xlfn.XLOOKUP(A1025,'[1]Tissue Data'!$A:$A,'[1]Tissue Data'!J:J)</f>
        <v>U</v>
      </c>
      <c r="H1025" t="str">
        <f>_xlfn.XLOOKUP(A1025,'[1]Tissue Data'!$A:$A,'[1]Tissue Data'!K:K)</f>
        <v>Whole Body</v>
      </c>
      <c r="I1025">
        <f>_xlfn.XLOOKUP(A1025,'[1]Tissue Data'!$A:$A,'[1]Tissue Data'!L:L)</f>
        <v>5.5</v>
      </c>
      <c r="J1025">
        <f>_xlfn.XLOOKUP(A1025,'[1]Tissue Data'!$A:$A,'[1]Tissue Data'!M:M)</f>
        <v>2.25</v>
      </c>
      <c r="K1025" t="s">
        <v>35</v>
      </c>
      <c r="L1025" t="str">
        <f>_xlfn.XLOOKUP(K1025,[2]analyte_order!$B:$B,[2]analyte_order!$C:$C)</f>
        <v>30334-69-1</v>
      </c>
      <c r="M1025">
        <f>_xlfn.XLOOKUP(L1025,[2]analyte_order!$C:$C,[2]analyte_order!$E:$E)</f>
        <v>51</v>
      </c>
      <c r="N1025">
        <v>18.8</v>
      </c>
    </row>
    <row r="1026" spans="1:14">
      <c r="A1026" t="s">
        <v>164</v>
      </c>
      <c r="B1026" t="str">
        <f>_xlfn.XLOOKUP(A1026,'[1]Tissue Data'!$A:$A,'[1]Tissue Data'!$C:$C)</f>
        <v>Down</v>
      </c>
      <c r="C1026" s="2">
        <f>_xlfn.XLOOKUP(A1026,'[1]Tissue Data'!$A:$A,'[1]Tissue Data'!$D:$D)</f>
        <v>44314</v>
      </c>
      <c r="D1026" s="2" t="str">
        <f>_xlfn.XLOOKUP(A1026,'[1]Tissue Data'!$A:$A,'[1]Tissue Data'!$F:$F)</f>
        <v>Eastern Mudminnow</v>
      </c>
      <c r="E1026" t="str">
        <f>_xlfn.XLOOKUP(A1026,'[1]Tissue Data'!$A:$A,'[1]Tissue Data'!$H:$H)</f>
        <v>Umbra</v>
      </c>
      <c r="F1026" t="str">
        <f>_xlfn.XLOOKUP(A1026,'[1]Tissue Data'!$A:$A,'[1]Tissue Data'!$I:$I)</f>
        <v>pygmaea</v>
      </c>
      <c r="G1026" t="str">
        <f>_xlfn.XLOOKUP(A1026,'[1]Tissue Data'!$A:$A,'[1]Tissue Data'!J:J)</f>
        <v>U</v>
      </c>
      <c r="H1026" t="str">
        <f>_xlfn.XLOOKUP(A1026,'[1]Tissue Data'!$A:$A,'[1]Tissue Data'!K:K)</f>
        <v>Whole Body</v>
      </c>
      <c r="I1026">
        <f>_xlfn.XLOOKUP(A1026,'[1]Tissue Data'!$A:$A,'[1]Tissue Data'!L:L)</f>
        <v>5.5</v>
      </c>
      <c r="J1026">
        <f>_xlfn.XLOOKUP(A1026,'[1]Tissue Data'!$A:$A,'[1]Tissue Data'!M:M)</f>
        <v>2.25</v>
      </c>
      <c r="K1026" t="s">
        <v>36</v>
      </c>
      <c r="L1026" t="str">
        <f>_xlfn.XLOOKUP(K1026,[2]analyte_order!$B:$B,[2]analyte_order!$C:$C)</f>
        <v>41997-13-1</v>
      </c>
      <c r="M1026">
        <f>_xlfn.XLOOKUP(L1026,[2]analyte_order!$C:$C,[2]analyte_order!$E:$E)</f>
        <v>52</v>
      </c>
      <c r="N1026">
        <v>99.3</v>
      </c>
    </row>
    <row r="1027" spans="1:14">
      <c r="A1027" t="s">
        <v>164</v>
      </c>
      <c r="B1027" t="str">
        <f>_xlfn.XLOOKUP(A1027,'[1]Tissue Data'!$A:$A,'[1]Tissue Data'!$C:$C)</f>
        <v>Down</v>
      </c>
      <c r="C1027" s="2">
        <f>_xlfn.XLOOKUP(A1027,'[1]Tissue Data'!$A:$A,'[1]Tissue Data'!$D:$D)</f>
        <v>44314</v>
      </c>
      <c r="D1027" s="2" t="str">
        <f>_xlfn.XLOOKUP(A1027,'[1]Tissue Data'!$A:$A,'[1]Tissue Data'!$F:$F)</f>
        <v>Eastern Mudminnow</v>
      </c>
      <c r="E1027" t="str">
        <f>_xlfn.XLOOKUP(A1027,'[1]Tissue Data'!$A:$A,'[1]Tissue Data'!$H:$H)</f>
        <v>Umbra</v>
      </c>
      <c r="F1027" t="str">
        <f>_xlfn.XLOOKUP(A1027,'[1]Tissue Data'!$A:$A,'[1]Tissue Data'!$I:$I)</f>
        <v>pygmaea</v>
      </c>
      <c r="G1027" t="str">
        <f>_xlfn.XLOOKUP(A1027,'[1]Tissue Data'!$A:$A,'[1]Tissue Data'!J:J)</f>
        <v>U</v>
      </c>
      <c r="H1027" t="str">
        <f>_xlfn.XLOOKUP(A1027,'[1]Tissue Data'!$A:$A,'[1]Tissue Data'!K:K)</f>
        <v>Whole Body</v>
      </c>
      <c r="I1027">
        <f>_xlfn.XLOOKUP(A1027,'[1]Tissue Data'!$A:$A,'[1]Tissue Data'!L:L)</f>
        <v>5.5</v>
      </c>
      <c r="J1027">
        <f>_xlfn.XLOOKUP(A1027,'[1]Tissue Data'!$A:$A,'[1]Tissue Data'!M:M)</f>
        <v>2.25</v>
      </c>
      <c r="K1027" t="s">
        <v>37</v>
      </c>
      <c r="L1027" t="str">
        <f>_xlfn.XLOOKUP(K1027,[2]analyte_order!$B:$B,[2]analyte_order!$C:$C)</f>
        <v>754-91-6</v>
      </c>
      <c r="M1027">
        <f>_xlfn.XLOOKUP(L1027,[2]analyte_order!$C:$C,[2]analyte_order!$E:$E)</f>
        <v>28</v>
      </c>
      <c r="N1027">
        <v>13.4</v>
      </c>
    </row>
    <row r="1028" spans="1:14">
      <c r="A1028" t="s">
        <v>164</v>
      </c>
      <c r="B1028" t="str">
        <f>_xlfn.XLOOKUP(A1028,'[1]Tissue Data'!$A:$A,'[1]Tissue Data'!$C:$C)</f>
        <v>Down</v>
      </c>
      <c r="C1028" s="2">
        <f>_xlfn.XLOOKUP(A1028,'[1]Tissue Data'!$A:$A,'[1]Tissue Data'!$D:$D)</f>
        <v>44314</v>
      </c>
      <c r="D1028" s="2" t="str">
        <f>_xlfn.XLOOKUP(A1028,'[1]Tissue Data'!$A:$A,'[1]Tissue Data'!$F:$F)</f>
        <v>Eastern Mudminnow</v>
      </c>
      <c r="E1028" t="str">
        <f>_xlfn.XLOOKUP(A1028,'[1]Tissue Data'!$A:$A,'[1]Tissue Data'!$H:$H)</f>
        <v>Umbra</v>
      </c>
      <c r="F1028" t="str">
        <f>_xlfn.XLOOKUP(A1028,'[1]Tissue Data'!$A:$A,'[1]Tissue Data'!$I:$I)</f>
        <v>pygmaea</v>
      </c>
      <c r="G1028" t="str">
        <f>_xlfn.XLOOKUP(A1028,'[1]Tissue Data'!$A:$A,'[1]Tissue Data'!J:J)</f>
        <v>U</v>
      </c>
      <c r="H1028" t="str">
        <f>_xlfn.XLOOKUP(A1028,'[1]Tissue Data'!$A:$A,'[1]Tissue Data'!K:K)</f>
        <v>Whole Body</v>
      </c>
      <c r="I1028">
        <f>_xlfn.XLOOKUP(A1028,'[1]Tissue Data'!$A:$A,'[1]Tissue Data'!L:L)</f>
        <v>5.5</v>
      </c>
      <c r="J1028">
        <f>_xlfn.XLOOKUP(A1028,'[1]Tissue Data'!$A:$A,'[1]Tissue Data'!M:M)</f>
        <v>2.25</v>
      </c>
      <c r="K1028" t="s">
        <v>38</v>
      </c>
      <c r="L1028" t="str">
        <f>_xlfn.XLOOKUP(K1028,[2]analyte_order!$B:$B,[2]analyte_order!$C:$C)</f>
        <v>31506-32-8</v>
      </c>
      <c r="M1028">
        <f>_xlfn.XLOOKUP(L1028,[2]analyte_order!$C:$C,[2]analyte_order!$E:$E)</f>
        <v>30</v>
      </c>
      <c r="N1028">
        <v>5.7518757437582127E-2</v>
      </c>
    </row>
    <row r="1029" spans="1:14">
      <c r="A1029" t="s">
        <v>164</v>
      </c>
      <c r="B1029" t="str">
        <f>_xlfn.XLOOKUP(A1029,'[1]Tissue Data'!$A:$A,'[1]Tissue Data'!$C:$C)</f>
        <v>Down</v>
      </c>
      <c r="C1029" s="2">
        <f>_xlfn.XLOOKUP(A1029,'[1]Tissue Data'!$A:$A,'[1]Tissue Data'!$D:$D)</f>
        <v>44314</v>
      </c>
      <c r="D1029" s="2" t="str">
        <f>_xlfn.XLOOKUP(A1029,'[1]Tissue Data'!$A:$A,'[1]Tissue Data'!$F:$F)</f>
        <v>Eastern Mudminnow</v>
      </c>
      <c r="E1029" t="str">
        <f>_xlfn.XLOOKUP(A1029,'[1]Tissue Data'!$A:$A,'[1]Tissue Data'!$H:$H)</f>
        <v>Umbra</v>
      </c>
      <c r="F1029" t="str">
        <f>_xlfn.XLOOKUP(A1029,'[1]Tissue Data'!$A:$A,'[1]Tissue Data'!$I:$I)</f>
        <v>pygmaea</v>
      </c>
      <c r="G1029" t="str">
        <f>_xlfn.XLOOKUP(A1029,'[1]Tissue Data'!$A:$A,'[1]Tissue Data'!J:J)</f>
        <v>U</v>
      </c>
      <c r="H1029" t="str">
        <f>_xlfn.XLOOKUP(A1029,'[1]Tissue Data'!$A:$A,'[1]Tissue Data'!K:K)</f>
        <v>Whole Body</v>
      </c>
      <c r="I1029">
        <f>_xlfn.XLOOKUP(A1029,'[1]Tissue Data'!$A:$A,'[1]Tissue Data'!L:L)</f>
        <v>5.5</v>
      </c>
      <c r="J1029">
        <f>_xlfn.XLOOKUP(A1029,'[1]Tissue Data'!$A:$A,'[1]Tissue Data'!M:M)</f>
        <v>2.25</v>
      </c>
      <c r="K1029" t="s">
        <v>39</v>
      </c>
      <c r="L1029" t="str">
        <f>_xlfn.XLOOKUP(K1029,[2]analyte_order!$B:$B,[2]analyte_order!$C:$C)</f>
        <v>4151-50-2</v>
      </c>
      <c r="M1029">
        <f>_xlfn.XLOOKUP(L1029,[2]analyte_order!$C:$C,[2]analyte_order!$E:$E)</f>
        <v>31</v>
      </c>
      <c r="N1029">
        <v>8.7128043720433632E-2</v>
      </c>
    </row>
    <row r="1030" spans="1:14">
      <c r="A1030" t="s">
        <v>164</v>
      </c>
      <c r="B1030" t="str">
        <f>_xlfn.XLOOKUP(A1030,'[1]Tissue Data'!$A:$A,'[1]Tissue Data'!$C:$C)</f>
        <v>Down</v>
      </c>
      <c r="C1030" s="2">
        <f>_xlfn.XLOOKUP(A1030,'[1]Tissue Data'!$A:$A,'[1]Tissue Data'!$D:$D)</f>
        <v>44314</v>
      </c>
      <c r="D1030" s="2" t="str">
        <f>_xlfn.XLOOKUP(A1030,'[1]Tissue Data'!$A:$A,'[1]Tissue Data'!$F:$F)</f>
        <v>Eastern Mudminnow</v>
      </c>
      <c r="E1030" t="str">
        <f>_xlfn.XLOOKUP(A1030,'[1]Tissue Data'!$A:$A,'[1]Tissue Data'!$H:$H)</f>
        <v>Umbra</v>
      </c>
      <c r="F1030" t="str">
        <f>_xlfn.XLOOKUP(A1030,'[1]Tissue Data'!$A:$A,'[1]Tissue Data'!$I:$I)</f>
        <v>pygmaea</v>
      </c>
      <c r="G1030" t="str">
        <f>_xlfn.XLOOKUP(A1030,'[1]Tissue Data'!$A:$A,'[1]Tissue Data'!J:J)</f>
        <v>U</v>
      </c>
      <c r="H1030" t="str">
        <f>_xlfn.XLOOKUP(A1030,'[1]Tissue Data'!$A:$A,'[1]Tissue Data'!K:K)</f>
        <v>Whole Body</v>
      </c>
      <c r="I1030">
        <f>_xlfn.XLOOKUP(A1030,'[1]Tissue Data'!$A:$A,'[1]Tissue Data'!L:L)</f>
        <v>5.5</v>
      </c>
      <c r="J1030">
        <f>_xlfn.XLOOKUP(A1030,'[1]Tissue Data'!$A:$A,'[1]Tissue Data'!M:M)</f>
        <v>2.25</v>
      </c>
      <c r="K1030" t="s">
        <v>40</v>
      </c>
      <c r="L1030" t="str">
        <f>_xlfn.XLOOKUP(K1030,[2]analyte_order!$B:$B,[2]analyte_order!$C:$C)</f>
        <v>2806-24-8</v>
      </c>
      <c r="M1030">
        <f>_xlfn.XLOOKUP(L1030,[2]analyte_order!$C:$C,[2]analyte_order!$E:$E)</f>
        <v>29</v>
      </c>
      <c r="N1030">
        <v>5.8851631507884361E-2</v>
      </c>
    </row>
    <row r="1031" spans="1:14">
      <c r="A1031" t="s">
        <v>164</v>
      </c>
      <c r="B1031" t="str">
        <f>_xlfn.XLOOKUP(A1031,'[1]Tissue Data'!$A:$A,'[1]Tissue Data'!$C:$C)</f>
        <v>Down</v>
      </c>
      <c r="C1031" s="2">
        <f>_xlfn.XLOOKUP(A1031,'[1]Tissue Data'!$A:$A,'[1]Tissue Data'!$D:$D)</f>
        <v>44314</v>
      </c>
      <c r="D1031" s="2" t="str">
        <f>_xlfn.XLOOKUP(A1031,'[1]Tissue Data'!$A:$A,'[1]Tissue Data'!$F:$F)</f>
        <v>Eastern Mudminnow</v>
      </c>
      <c r="E1031" t="str">
        <f>_xlfn.XLOOKUP(A1031,'[1]Tissue Data'!$A:$A,'[1]Tissue Data'!$H:$H)</f>
        <v>Umbra</v>
      </c>
      <c r="F1031" t="str">
        <f>_xlfn.XLOOKUP(A1031,'[1]Tissue Data'!$A:$A,'[1]Tissue Data'!$I:$I)</f>
        <v>pygmaea</v>
      </c>
      <c r="G1031" t="str">
        <f>_xlfn.XLOOKUP(A1031,'[1]Tissue Data'!$A:$A,'[1]Tissue Data'!J:J)</f>
        <v>U</v>
      </c>
      <c r="H1031" t="str">
        <f>_xlfn.XLOOKUP(A1031,'[1]Tissue Data'!$A:$A,'[1]Tissue Data'!K:K)</f>
        <v>Whole Body</v>
      </c>
      <c r="I1031">
        <f>_xlfn.XLOOKUP(A1031,'[1]Tissue Data'!$A:$A,'[1]Tissue Data'!L:L)</f>
        <v>5.5</v>
      </c>
      <c r="J1031">
        <f>_xlfn.XLOOKUP(A1031,'[1]Tissue Data'!$A:$A,'[1]Tissue Data'!M:M)</f>
        <v>2.25</v>
      </c>
      <c r="K1031" t="s">
        <v>41</v>
      </c>
      <c r="L1031" t="str">
        <f>_xlfn.XLOOKUP(K1031,[2]analyte_order!$B:$B,[2]analyte_order!$C:$C)</f>
        <v>2355-31-9</v>
      </c>
      <c r="M1031">
        <f>_xlfn.XLOOKUP(L1031,[2]analyte_order!$C:$C,[2]analyte_order!$E:$E)</f>
        <v>26</v>
      </c>
      <c r="N1031">
        <v>0.82699999999999996</v>
      </c>
    </row>
    <row r="1032" spans="1:14">
      <c r="A1032" t="s">
        <v>164</v>
      </c>
      <c r="B1032" t="str">
        <f>_xlfn.XLOOKUP(A1032,'[1]Tissue Data'!$A:$A,'[1]Tissue Data'!$C:$C)</f>
        <v>Down</v>
      </c>
      <c r="C1032" s="2">
        <f>_xlfn.XLOOKUP(A1032,'[1]Tissue Data'!$A:$A,'[1]Tissue Data'!$D:$D)</f>
        <v>44314</v>
      </c>
      <c r="D1032" s="2" t="str">
        <f>_xlfn.XLOOKUP(A1032,'[1]Tissue Data'!$A:$A,'[1]Tissue Data'!$F:$F)</f>
        <v>Eastern Mudminnow</v>
      </c>
      <c r="E1032" t="str">
        <f>_xlfn.XLOOKUP(A1032,'[1]Tissue Data'!$A:$A,'[1]Tissue Data'!$H:$H)</f>
        <v>Umbra</v>
      </c>
      <c r="F1032" t="str">
        <f>_xlfn.XLOOKUP(A1032,'[1]Tissue Data'!$A:$A,'[1]Tissue Data'!$I:$I)</f>
        <v>pygmaea</v>
      </c>
      <c r="G1032" t="str">
        <f>_xlfn.XLOOKUP(A1032,'[1]Tissue Data'!$A:$A,'[1]Tissue Data'!J:J)</f>
        <v>U</v>
      </c>
      <c r="H1032" t="str">
        <f>_xlfn.XLOOKUP(A1032,'[1]Tissue Data'!$A:$A,'[1]Tissue Data'!K:K)</f>
        <v>Whole Body</v>
      </c>
      <c r="I1032">
        <f>_xlfn.XLOOKUP(A1032,'[1]Tissue Data'!$A:$A,'[1]Tissue Data'!L:L)</f>
        <v>5.5</v>
      </c>
      <c r="J1032">
        <f>_xlfn.XLOOKUP(A1032,'[1]Tissue Data'!$A:$A,'[1]Tissue Data'!M:M)</f>
        <v>2.25</v>
      </c>
      <c r="K1032" t="s">
        <v>42</v>
      </c>
      <c r="L1032" t="str">
        <f>_xlfn.XLOOKUP(K1032,[2]analyte_order!$B:$B,[2]analyte_order!$C:$C)</f>
        <v>2991-50-6</v>
      </c>
      <c r="M1032">
        <f>_xlfn.XLOOKUP(L1032,[2]analyte_order!$C:$C,[2]analyte_order!$E:$E)</f>
        <v>27</v>
      </c>
      <c r="N1032">
        <v>6.4806360152759521E-2</v>
      </c>
    </row>
    <row r="1033" spans="1:14">
      <c r="A1033" t="s">
        <v>164</v>
      </c>
      <c r="B1033" t="str">
        <f>_xlfn.XLOOKUP(A1033,'[1]Tissue Data'!$A:$A,'[1]Tissue Data'!$C:$C)</f>
        <v>Down</v>
      </c>
      <c r="C1033" s="2">
        <f>_xlfn.XLOOKUP(A1033,'[1]Tissue Data'!$A:$A,'[1]Tissue Data'!$D:$D)</f>
        <v>44314</v>
      </c>
      <c r="D1033" s="2" t="str">
        <f>_xlfn.XLOOKUP(A1033,'[1]Tissue Data'!$A:$A,'[1]Tissue Data'!$F:$F)</f>
        <v>Eastern Mudminnow</v>
      </c>
      <c r="E1033" t="str">
        <f>_xlfn.XLOOKUP(A1033,'[1]Tissue Data'!$A:$A,'[1]Tissue Data'!$H:$H)</f>
        <v>Umbra</v>
      </c>
      <c r="F1033" t="str">
        <f>_xlfn.XLOOKUP(A1033,'[1]Tissue Data'!$A:$A,'[1]Tissue Data'!$I:$I)</f>
        <v>pygmaea</v>
      </c>
      <c r="G1033" t="str">
        <f>_xlfn.XLOOKUP(A1033,'[1]Tissue Data'!$A:$A,'[1]Tissue Data'!J:J)</f>
        <v>U</v>
      </c>
      <c r="H1033" t="str">
        <f>_xlfn.XLOOKUP(A1033,'[1]Tissue Data'!$A:$A,'[1]Tissue Data'!K:K)</f>
        <v>Whole Body</v>
      </c>
      <c r="I1033">
        <f>_xlfn.XLOOKUP(A1033,'[1]Tissue Data'!$A:$A,'[1]Tissue Data'!L:L)</f>
        <v>5.5</v>
      </c>
      <c r="J1033">
        <f>_xlfn.XLOOKUP(A1033,'[1]Tissue Data'!$A:$A,'[1]Tissue Data'!M:M)</f>
        <v>2.25</v>
      </c>
      <c r="K1033" t="s">
        <v>43</v>
      </c>
      <c r="L1033" t="str">
        <f>_xlfn.XLOOKUP(K1033,[2]analyte_order!$B:$B,[2]analyte_order!$C:$C)</f>
        <v>757124-72-4</v>
      </c>
      <c r="M1033">
        <f>_xlfn.XLOOKUP(L1033,[2]analyte_order!$C:$C,[2]analyte_order!$E:$E)</f>
        <v>22</v>
      </c>
      <c r="N1033">
        <v>6.1326940624178705E-2</v>
      </c>
    </row>
    <row r="1034" spans="1:14">
      <c r="A1034" t="s">
        <v>164</v>
      </c>
      <c r="B1034" t="str">
        <f>_xlfn.XLOOKUP(A1034,'[1]Tissue Data'!$A:$A,'[1]Tissue Data'!$C:$C)</f>
        <v>Down</v>
      </c>
      <c r="C1034" s="2">
        <f>_xlfn.XLOOKUP(A1034,'[1]Tissue Data'!$A:$A,'[1]Tissue Data'!$D:$D)</f>
        <v>44314</v>
      </c>
      <c r="D1034" s="2" t="str">
        <f>_xlfn.XLOOKUP(A1034,'[1]Tissue Data'!$A:$A,'[1]Tissue Data'!$F:$F)</f>
        <v>Eastern Mudminnow</v>
      </c>
      <c r="E1034" t="str">
        <f>_xlfn.XLOOKUP(A1034,'[1]Tissue Data'!$A:$A,'[1]Tissue Data'!$H:$H)</f>
        <v>Umbra</v>
      </c>
      <c r="F1034" t="str">
        <f>_xlfn.XLOOKUP(A1034,'[1]Tissue Data'!$A:$A,'[1]Tissue Data'!$I:$I)</f>
        <v>pygmaea</v>
      </c>
      <c r="G1034" t="str">
        <f>_xlfn.XLOOKUP(A1034,'[1]Tissue Data'!$A:$A,'[1]Tissue Data'!J:J)</f>
        <v>U</v>
      </c>
      <c r="H1034" t="str">
        <f>_xlfn.XLOOKUP(A1034,'[1]Tissue Data'!$A:$A,'[1]Tissue Data'!K:K)</f>
        <v>Whole Body</v>
      </c>
      <c r="I1034">
        <f>_xlfn.XLOOKUP(A1034,'[1]Tissue Data'!$A:$A,'[1]Tissue Data'!L:L)</f>
        <v>5.5</v>
      </c>
      <c r="J1034">
        <f>_xlfn.XLOOKUP(A1034,'[1]Tissue Data'!$A:$A,'[1]Tissue Data'!M:M)</f>
        <v>2.25</v>
      </c>
      <c r="K1034" t="s">
        <v>44</v>
      </c>
      <c r="L1034" t="str">
        <f>_xlfn.XLOOKUP(K1034,[2]analyte_order!$B:$B,[2]analyte_order!$C:$C)</f>
        <v>27619-97-2</v>
      </c>
      <c r="M1034">
        <f>_xlfn.XLOOKUP(L1034,[2]analyte_order!$C:$C,[2]analyte_order!$E:$E)</f>
        <v>23</v>
      </c>
      <c r="N1034">
        <v>0.48899999999999999</v>
      </c>
    </row>
    <row r="1035" spans="1:14">
      <c r="A1035" t="s">
        <v>164</v>
      </c>
      <c r="B1035" t="str">
        <f>_xlfn.XLOOKUP(A1035,'[1]Tissue Data'!$A:$A,'[1]Tissue Data'!$C:$C)</f>
        <v>Down</v>
      </c>
      <c r="C1035" s="2">
        <f>_xlfn.XLOOKUP(A1035,'[1]Tissue Data'!$A:$A,'[1]Tissue Data'!$D:$D)</f>
        <v>44314</v>
      </c>
      <c r="D1035" s="2" t="str">
        <f>_xlfn.XLOOKUP(A1035,'[1]Tissue Data'!$A:$A,'[1]Tissue Data'!$F:$F)</f>
        <v>Eastern Mudminnow</v>
      </c>
      <c r="E1035" t="str">
        <f>_xlfn.XLOOKUP(A1035,'[1]Tissue Data'!$A:$A,'[1]Tissue Data'!$H:$H)</f>
        <v>Umbra</v>
      </c>
      <c r="F1035" t="str">
        <f>_xlfn.XLOOKUP(A1035,'[1]Tissue Data'!$A:$A,'[1]Tissue Data'!$I:$I)</f>
        <v>pygmaea</v>
      </c>
      <c r="G1035" t="str">
        <f>_xlfn.XLOOKUP(A1035,'[1]Tissue Data'!$A:$A,'[1]Tissue Data'!J:J)</f>
        <v>U</v>
      </c>
      <c r="H1035" t="str">
        <f>_xlfn.XLOOKUP(A1035,'[1]Tissue Data'!$A:$A,'[1]Tissue Data'!K:K)</f>
        <v>Whole Body</v>
      </c>
      <c r="I1035">
        <f>_xlfn.XLOOKUP(A1035,'[1]Tissue Data'!$A:$A,'[1]Tissue Data'!L:L)</f>
        <v>5.5</v>
      </c>
      <c r="J1035">
        <f>_xlfn.XLOOKUP(A1035,'[1]Tissue Data'!$A:$A,'[1]Tissue Data'!M:M)</f>
        <v>2.25</v>
      </c>
      <c r="K1035" t="s">
        <v>45</v>
      </c>
      <c r="L1035" t="str">
        <f>_xlfn.XLOOKUP(K1035,[2]analyte_order!$B:$B,[2]analyte_order!$C:$C)</f>
        <v>39108-34-4</v>
      </c>
      <c r="M1035">
        <f>_xlfn.XLOOKUP(L1035,[2]analyte_order!$C:$C,[2]analyte_order!$E:$E)</f>
        <v>24</v>
      </c>
      <c r="N1035">
        <v>1.43</v>
      </c>
    </row>
    <row r="1036" spans="1:14">
      <c r="A1036" t="s">
        <v>164</v>
      </c>
      <c r="B1036" t="str">
        <f>_xlfn.XLOOKUP(A1036,'[1]Tissue Data'!$A:$A,'[1]Tissue Data'!$C:$C)</f>
        <v>Down</v>
      </c>
      <c r="C1036" s="2">
        <f>_xlfn.XLOOKUP(A1036,'[1]Tissue Data'!$A:$A,'[1]Tissue Data'!$D:$D)</f>
        <v>44314</v>
      </c>
      <c r="D1036" s="2" t="str">
        <f>_xlfn.XLOOKUP(A1036,'[1]Tissue Data'!$A:$A,'[1]Tissue Data'!$F:$F)</f>
        <v>Eastern Mudminnow</v>
      </c>
      <c r="E1036" t="str">
        <f>_xlfn.XLOOKUP(A1036,'[1]Tissue Data'!$A:$A,'[1]Tissue Data'!$H:$H)</f>
        <v>Umbra</v>
      </c>
      <c r="F1036" t="str">
        <f>_xlfn.XLOOKUP(A1036,'[1]Tissue Data'!$A:$A,'[1]Tissue Data'!$I:$I)</f>
        <v>pygmaea</v>
      </c>
      <c r="G1036" t="str">
        <f>_xlfn.XLOOKUP(A1036,'[1]Tissue Data'!$A:$A,'[1]Tissue Data'!J:J)</f>
        <v>U</v>
      </c>
      <c r="H1036" t="str">
        <f>_xlfn.XLOOKUP(A1036,'[1]Tissue Data'!$A:$A,'[1]Tissue Data'!K:K)</f>
        <v>Whole Body</v>
      </c>
      <c r="I1036">
        <f>_xlfn.XLOOKUP(A1036,'[1]Tissue Data'!$A:$A,'[1]Tissue Data'!L:L)</f>
        <v>5.5</v>
      </c>
      <c r="J1036">
        <f>_xlfn.XLOOKUP(A1036,'[1]Tissue Data'!$A:$A,'[1]Tissue Data'!M:M)</f>
        <v>2.25</v>
      </c>
      <c r="K1036" t="s">
        <v>46</v>
      </c>
      <c r="L1036" t="str">
        <f>_xlfn.XLOOKUP(K1036,[2]analyte_order!$B:$B,[2]analyte_order!$C:$C)</f>
        <v>120226-60-0</v>
      </c>
      <c r="M1036">
        <f>_xlfn.XLOOKUP(L1036,[2]analyte_order!$C:$C,[2]analyte_order!$E:$E)</f>
        <v>25</v>
      </c>
      <c r="N1036">
        <v>0.26535079405899453</v>
      </c>
    </row>
    <row r="1037" spans="1:14">
      <c r="A1037" t="s">
        <v>164</v>
      </c>
      <c r="B1037" t="str">
        <f>_xlfn.XLOOKUP(A1037,'[1]Tissue Data'!$A:$A,'[1]Tissue Data'!$C:$C)</f>
        <v>Down</v>
      </c>
      <c r="C1037" s="2">
        <f>_xlfn.XLOOKUP(A1037,'[1]Tissue Data'!$A:$A,'[1]Tissue Data'!$D:$D)</f>
        <v>44314</v>
      </c>
      <c r="D1037" s="2" t="str">
        <f>_xlfn.XLOOKUP(A1037,'[1]Tissue Data'!$A:$A,'[1]Tissue Data'!$F:$F)</f>
        <v>Eastern Mudminnow</v>
      </c>
      <c r="E1037" t="str">
        <f>_xlfn.XLOOKUP(A1037,'[1]Tissue Data'!$A:$A,'[1]Tissue Data'!$H:$H)</f>
        <v>Umbra</v>
      </c>
      <c r="F1037" t="str">
        <f>_xlfn.XLOOKUP(A1037,'[1]Tissue Data'!$A:$A,'[1]Tissue Data'!$I:$I)</f>
        <v>pygmaea</v>
      </c>
      <c r="G1037" t="str">
        <f>_xlfn.XLOOKUP(A1037,'[1]Tissue Data'!$A:$A,'[1]Tissue Data'!J:J)</f>
        <v>U</v>
      </c>
      <c r="H1037" t="str">
        <f>_xlfn.XLOOKUP(A1037,'[1]Tissue Data'!$A:$A,'[1]Tissue Data'!K:K)</f>
        <v>Whole Body</v>
      </c>
      <c r="I1037">
        <f>_xlfn.XLOOKUP(A1037,'[1]Tissue Data'!$A:$A,'[1]Tissue Data'!L:L)</f>
        <v>5.5</v>
      </c>
      <c r="J1037">
        <f>_xlfn.XLOOKUP(A1037,'[1]Tissue Data'!$A:$A,'[1]Tissue Data'!M:M)</f>
        <v>2.25</v>
      </c>
      <c r="K1037" t="s">
        <v>47</v>
      </c>
      <c r="L1037" t="str">
        <f>_xlfn.XLOOKUP(K1037,[2]analyte_order!$B:$B,[2]analyte_order!$C:$C)</f>
        <v>356-02-5</v>
      </c>
      <c r="M1037">
        <f>_xlfn.XLOOKUP(L1037,[2]analyte_order!$C:$C,[2]analyte_order!$E:$E)</f>
        <v>38</v>
      </c>
      <c r="N1037">
        <v>8.6122390284165573E-2</v>
      </c>
    </row>
    <row r="1038" spans="1:14">
      <c r="A1038" t="s">
        <v>164</v>
      </c>
      <c r="B1038" t="str">
        <f>_xlfn.XLOOKUP(A1038,'[1]Tissue Data'!$A:$A,'[1]Tissue Data'!$C:$C)</f>
        <v>Down</v>
      </c>
      <c r="C1038" s="2">
        <f>_xlfn.XLOOKUP(A1038,'[1]Tissue Data'!$A:$A,'[1]Tissue Data'!$D:$D)</f>
        <v>44314</v>
      </c>
      <c r="D1038" s="2" t="str">
        <f>_xlfn.XLOOKUP(A1038,'[1]Tissue Data'!$A:$A,'[1]Tissue Data'!$F:$F)</f>
        <v>Eastern Mudminnow</v>
      </c>
      <c r="E1038" t="str">
        <f>_xlfn.XLOOKUP(A1038,'[1]Tissue Data'!$A:$A,'[1]Tissue Data'!$H:$H)</f>
        <v>Umbra</v>
      </c>
      <c r="F1038" t="str">
        <f>_xlfn.XLOOKUP(A1038,'[1]Tissue Data'!$A:$A,'[1]Tissue Data'!$I:$I)</f>
        <v>pygmaea</v>
      </c>
      <c r="G1038" t="str">
        <f>_xlfn.XLOOKUP(A1038,'[1]Tissue Data'!$A:$A,'[1]Tissue Data'!J:J)</f>
        <v>U</v>
      </c>
      <c r="H1038" t="str">
        <f>_xlfn.XLOOKUP(A1038,'[1]Tissue Data'!$A:$A,'[1]Tissue Data'!K:K)</f>
        <v>Whole Body</v>
      </c>
      <c r="I1038">
        <f>_xlfn.XLOOKUP(A1038,'[1]Tissue Data'!$A:$A,'[1]Tissue Data'!L:L)</f>
        <v>5.5</v>
      </c>
      <c r="J1038">
        <f>_xlfn.XLOOKUP(A1038,'[1]Tissue Data'!$A:$A,'[1]Tissue Data'!M:M)</f>
        <v>2.25</v>
      </c>
      <c r="K1038" t="s">
        <v>48</v>
      </c>
      <c r="L1038" t="str">
        <f>_xlfn.XLOOKUP(K1038,[2]analyte_order!$B:$B,[2]analyte_order!$C:$C)</f>
        <v>914637-49-3</v>
      </c>
      <c r="M1038">
        <f>_xlfn.XLOOKUP(L1038,[2]analyte_order!$C:$C,[2]analyte_order!$E:$E)</f>
        <v>39</v>
      </c>
      <c r="N1038">
        <v>0.35599999999999998</v>
      </c>
    </row>
    <row r="1039" spans="1:14">
      <c r="A1039" t="s">
        <v>164</v>
      </c>
      <c r="B1039" t="str">
        <f>_xlfn.XLOOKUP(A1039,'[1]Tissue Data'!$A:$A,'[1]Tissue Data'!$C:$C)</f>
        <v>Down</v>
      </c>
      <c r="C1039" s="2">
        <f>_xlfn.XLOOKUP(A1039,'[1]Tissue Data'!$A:$A,'[1]Tissue Data'!$D:$D)</f>
        <v>44314</v>
      </c>
      <c r="D1039" s="2" t="str">
        <f>_xlfn.XLOOKUP(A1039,'[1]Tissue Data'!$A:$A,'[1]Tissue Data'!$F:$F)</f>
        <v>Eastern Mudminnow</v>
      </c>
      <c r="E1039" t="str">
        <f>_xlfn.XLOOKUP(A1039,'[1]Tissue Data'!$A:$A,'[1]Tissue Data'!$H:$H)</f>
        <v>Umbra</v>
      </c>
      <c r="F1039" t="str">
        <f>_xlfn.XLOOKUP(A1039,'[1]Tissue Data'!$A:$A,'[1]Tissue Data'!$I:$I)</f>
        <v>pygmaea</v>
      </c>
      <c r="G1039" t="str">
        <f>_xlfn.XLOOKUP(A1039,'[1]Tissue Data'!$A:$A,'[1]Tissue Data'!J:J)</f>
        <v>U</v>
      </c>
      <c r="H1039" t="str">
        <f>_xlfn.XLOOKUP(A1039,'[1]Tissue Data'!$A:$A,'[1]Tissue Data'!K:K)</f>
        <v>Whole Body</v>
      </c>
      <c r="I1039">
        <f>_xlfn.XLOOKUP(A1039,'[1]Tissue Data'!$A:$A,'[1]Tissue Data'!L:L)</f>
        <v>5.5</v>
      </c>
      <c r="J1039">
        <f>_xlfn.XLOOKUP(A1039,'[1]Tissue Data'!$A:$A,'[1]Tissue Data'!M:M)</f>
        <v>2.25</v>
      </c>
      <c r="K1039" t="s">
        <v>49</v>
      </c>
      <c r="L1039" t="str">
        <f>_xlfn.XLOOKUP(K1039,[2]analyte_order!$B:$B,[2]analyte_order!$C:$C)</f>
        <v>812-70-4</v>
      </c>
      <c r="M1039">
        <f>_xlfn.XLOOKUP(L1039,[2]analyte_order!$C:$C,[2]analyte_order!$E:$E)</f>
        <v>40</v>
      </c>
      <c r="N1039">
        <v>5.36</v>
      </c>
    </row>
    <row r="1040" spans="1:14">
      <c r="A1040" t="s">
        <v>164</v>
      </c>
      <c r="B1040" t="str">
        <f>_xlfn.XLOOKUP(A1040,'[1]Tissue Data'!$A:$A,'[1]Tissue Data'!$C:$C)</f>
        <v>Down</v>
      </c>
      <c r="C1040" s="2">
        <f>_xlfn.XLOOKUP(A1040,'[1]Tissue Data'!$A:$A,'[1]Tissue Data'!$D:$D)</f>
        <v>44314</v>
      </c>
      <c r="D1040" s="2" t="str">
        <f>_xlfn.XLOOKUP(A1040,'[1]Tissue Data'!$A:$A,'[1]Tissue Data'!$F:$F)</f>
        <v>Eastern Mudminnow</v>
      </c>
      <c r="E1040" t="str">
        <f>_xlfn.XLOOKUP(A1040,'[1]Tissue Data'!$A:$A,'[1]Tissue Data'!$H:$H)</f>
        <v>Umbra</v>
      </c>
      <c r="F1040" t="str">
        <f>_xlfn.XLOOKUP(A1040,'[1]Tissue Data'!$A:$A,'[1]Tissue Data'!$I:$I)</f>
        <v>pygmaea</v>
      </c>
      <c r="G1040" t="str">
        <f>_xlfn.XLOOKUP(A1040,'[1]Tissue Data'!$A:$A,'[1]Tissue Data'!J:J)</f>
        <v>U</v>
      </c>
      <c r="H1040" t="str">
        <f>_xlfn.XLOOKUP(A1040,'[1]Tissue Data'!$A:$A,'[1]Tissue Data'!K:K)</f>
        <v>Whole Body</v>
      </c>
      <c r="I1040">
        <f>_xlfn.XLOOKUP(A1040,'[1]Tissue Data'!$A:$A,'[1]Tissue Data'!L:L)</f>
        <v>5.5</v>
      </c>
      <c r="J1040">
        <f>_xlfn.XLOOKUP(A1040,'[1]Tissue Data'!$A:$A,'[1]Tissue Data'!M:M)</f>
        <v>2.25</v>
      </c>
      <c r="K1040" t="s">
        <v>50</v>
      </c>
      <c r="L1040" t="str">
        <f>_xlfn.XLOOKUP(K1040,[2]analyte_order!$B:$B,[2]analyte_order!$C:$C)</f>
        <v>53826-12-3</v>
      </c>
      <c r="M1040">
        <f>_xlfn.XLOOKUP(L1040,[2]analyte_order!$C:$C,[2]analyte_order!$E:$E)</f>
        <v>41</v>
      </c>
      <c r="N1040">
        <v>1.81</v>
      </c>
    </row>
    <row r="1041" spans="1:14">
      <c r="A1041" t="s">
        <v>164</v>
      </c>
      <c r="B1041" t="str">
        <f>_xlfn.XLOOKUP(A1041,'[1]Tissue Data'!$A:$A,'[1]Tissue Data'!$C:$C)</f>
        <v>Down</v>
      </c>
      <c r="C1041" s="2">
        <f>_xlfn.XLOOKUP(A1041,'[1]Tissue Data'!$A:$A,'[1]Tissue Data'!$D:$D)</f>
        <v>44314</v>
      </c>
      <c r="D1041" s="2" t="str">
        <f>_xlfn.XLOOKUP(A1041,'[1]Tissue Data'!$A:$A,'[1]Tissue Data'!$F:$F)</f>
        <v>Eastern Mudminnow</v>
      </c>
      <c r="E1041" t="str">
        <f>_xlfn.XLOOKUP(A1041,'[1]Tissue Data'!$A:$A,'[1]Tissue Data'!$H:$H)</f>
        <v>Umbra</v>
      </c>
      <c r="F1041" t="str">
        <f>_xlfn.XLOOKUP(A1041,'[1]Tissue Data'!$A:$A,'[1]Tissue Data'!$I:$I)</f>
        <v>pygmaea</v>
      </c>
      <c r="G1041" t="str">
        <f>_xlfn.XLOOKUP(A1041,'[1]Tissue Data'!$A:$A,'[1]Tissue Data'!J:J)</f>
        <v>U</v>
      </c>
      <c r="H1041" t="str">
        <f>_xlfn.XLOOKUP(A1041,'[1]Tissue Data'!$A:$A,'[1]Tissue Data'!K:K)</f>
        <v>Whole Body</v>
      </c>
      <c r="I1041">
        <f>_xlfn.XLOOKUP(A1041,'[1]Tissue Data'!$A:$A,'[1]Tissue Data'!L:L)</f>
        <v>5.5</v>
      </c>
      <c r="J1041">
        <f>_xlfn.XLOOKUP(A1041,'[1]Tissue Data'!$A:$A,'[1]Tissue Data'!M:M)</f>
        <v>2.25</v>
      </c>
      <c r="K1041" t="s">
        <v>51</v>
      </c>
      <c r="L1041" t="str">
        <f>_xlfn.XLOOKUP(K1041,[2]analyte_order!$B:$B,[2]analyte_order!$C:$C)</f>
        <v>27854-31-5</v>
      </c>
      <c r="M1041">
        <f>_xlfn.XLOOKUP(L1041,[2]analyte_order!$C:$C,[2]analyte_order!$E:$E)</f>
        <v>42</v>
      </c>
      <c r="N1041">
        <v>2.9865010154103457E-2</v>
      </c>
    </row>
    <row r="1042" spans="1:14">
      <c r="A1042" t="s">
        <v>164</v>
      </c>
      <c r="B1042" t="str">
        <f>_xlfn.XLOOKUP(A1042,'[1]Tissue Data'!$A:$A,'[1]Tissue Data'!$C:$C)</f>
        <v>Down</v>
      </c>
      <c r="C1042" s="2">
        <f>_xlfn.XLOOKUP(A1042,'[1]Tissue Data'!$A:$A,'[1]Tissue Data'!$D:$D)</f>
        <v>44314</v>
      </c>
      <c r="D1042" s="2" t="str">
        <f>_xlfn.XLOOKUP(A1042,'[1]Tissue Data'!$A:$A,'[1]Tissue Data'!$F:$F)</f>
        <v>Eastern Mudminnow</v>
      </c>
      <c r="E1042" t="str">
        <f>_xlfn.XLOOKUP(A1042,'[1]Tissue Data'!$A:$A,'[1]Tissue Data'!$H:$H)</f>
        <v>Umbra</v>
      </c>
      <c r="F1042" t="str">
        <f>_xlfn.XLOOKUP(A1042,'[1]Tissue Data'!$A:$A,'[1]Tissue Data'!$I:$I)</f>
        <v>pygmaea</v>
      </c>
      <c r="G1042" t="str">
        <f>_xlfn.XLOOKUP(A1042,'[1]Tissue Data'!$A:$A,'[1]Tissue Data'!J:J)</f>
        <v>U</v>
      </c>
      <c r="H1042" t="str">
        <f>_xlfn.XLOOKUP(A1042,'[1]Tissue Data'!$A:$A,'[1]Tissue Data'!K:K)</f>
        <v>Whole Body</v>
      </c>
      <c r="I1042">
        <f>_xlfn.XLOOKUP(A1042,'[1]Tissue Data'!$A:$A,'[1]Tissue Data'!L:L)</f>
        <v>5.5</v>
      </c>
      <c r="J1042">
        <f>_xlfn.XLOOKUP(A1042,'[1]Tissue Data'!$A:$A,'[1]Tissue Data'!M:M)</f>
        <v>2.25</v>
      </c>
      <c r="K1042" t="s">
        <v>52</v>
      </c>
      <c r="L1042" t="str">
        <f>_xlfn.XLOOKUP(K1042,[2]analyte_order!$B:$B,[2]analyte_order!$C:$C)</f>
        <v>53826-13-4</v>
      </c>
      <c r="M1042">
        <f>_xlfn.XLOOKUP(L1042,[2]analyte_order!$C:$C,[2]analyte_order!$E:$E)</f>
        <v>43</v>
      </c>
      <c r="N1042">
        <v>0.11141086099375822</v>
      </c>
    </row>
    <row r="1043" spans="1:14">
      <c r="A1043" t="s">
        <v>164</v>
      </c>
      <c r="B1043" t="str">
        <f>_xlfn.XLOOKUP(A1043,'[1]Tissue Data'!$A:$A,'[1]Tissue Data'!$C:$C)</f>
        <v>Down</v>
      </c>
      <c r="C1043" s="2">
        <f>_xlfn.XLOOKUP(A1043,'[1]Tissue Data'!$A:$A,'[1]Tissue Data'!$D:$D)</f>
        <v>44314</v>
      </c>
      <c r="D1043" s="2" t="str">
        <f>_xlfn.XLOOKUP(A1043,'[1]Tissue Data'!$A:$A,'[1]Tissue Data'!$F:$F)</f>
        <v>Eastern Mudminnow</v>
      </c>
      <c r="E1043" t="str">
        <f>_xlfn.XLOOKUP(A1043,'[1]Tissue Data'!$A:$A,'[1]Tissue Data'!$H:$H)</f>
        <v>Umbra</v>
      </c>
      <c r="F1043" t="str">
        <f>_xlfn.XLOOKUP(A1043,'[1]Tissue Data'!$A:$A,'[1]Tissue Data'!$I:$I)</f>
        <v>pygmaea</v>
      </c>
      <c r="G1043" t="str">
        <f>_xlfn.XLOOKUP(A1043,'[1]Tissue Data'!$A:$A,'[1]Tissue Data'!J:J)</f>
        <v>U</v>
      </c>
      <c r="H1043" t="str">
        <f>_xlfn.XLOOKUP(A1043,'[1]Tissue Data'!$A:$A,'[1]Tissue Data'!K:K)</f>
        <v>Whole Body</v>
      </c>
      <c r="I1043">
        <f>_xlfn.XLOOKUP(A1043,'[1]Tissue Data'!$A:$A,'[1]Tissue Data'!L:L)</f>
        <v>5.5</v>
      </c>
      <c r="J1043">
        <f>_xlfn.XLOOKUP(A1043,'[1]Tissue Data'!$A:$A,'[1]Tissue Data'!M:M)</f>
        <v>2.25</v>
      </c>
      <c r="K1043" t="s">
        <v>53</v>
      </c>
      <c r="L1043" t="str">
        <f>_xlfn.XLOOKUP(K1043,[2]analyte_order!$B:$B,[2]analyte_order!$C:$C)</f>
        <v>161094-75-3</v>
      </c>
      <c r="M1043">
        <f>_xlfn.XLOOKUP(L1043,[2]analyte_order!$C:$C,[2]analyte_order!$E:$E)</f>
        <v>44</v>
      </c>
      <c r="N1043">
        <v>5.8624757207621558E-2</v>
      </c>
    </row>
    <row r="1044" spans="1:14">
      <c r="A1044" t="s">
        <v>164</v>
      </c>
      <c r="B1044" t="str">
        <f>_xlfn.XLOOKUP(A1044,'[1]Tissue Data'!$A:$A,'[1]Tissue Data'!$C:$C)</f>
        <v>Down</v>
      </c>
      <c r="C1044" s="2">
        <f>_xlfn.XLOOKUP(A1044,'[1]Tissue Data'!$A:$A,'[1]Tissue Data'!$D:$D)</f>
        <v>44314</v>
      </c>
      <c r="D1044" s="2" t="str">
        <f>_xlfn.XLOOKUP(A1044,'[1]Tissue Data'!$A:$A,'[1]Tissue Data'!$F:$F)</f>
        <v>Eastern Mudminnow</v>
      </c>
      <c r="E1044" t="str">
        <f>_xlfn.XLOOKUP(A1044,'[1]Tissue Data'!$A:$A,'[1]Tissue Data'!$H:$H)</f>
        <v>Umbra</v>
      </c>
      <c r="F1044" t="str">
        <f>_xlfn.XLOOKUP(A1044,'[1]Tissue Data'!$A:$A,'[1]Tissue Data'!$I:$I)</f>
        <v>pygmaea</v>
      </c>
      <c r="G1044" t="str">
        <f>_xlfn.XLOOKUP(A1044,'[1]Tissue Data'!$A:$A,'[1]Tissue Data'!J:J)</f>
        <v>U</v>
      </c>
      <c r="H1044" t="str">
        <f>_xlfn.XLOOKUP(A1044,'[1]Tissue Data'!$A:$A,'[1]Tissue Data'!K:K)</f>
        <v>Whole Body</v>
      </c>
      <c r="I1044">
        <f>_xlfn.XLOOKUP(A1044,'[1]Tissue Data'!$A:$A,'[1]Tissue Data'!L:L)</f>
        <v>5.5</v>
      </c>
      <c r="J1044">
        <f>_xlfn.XLOOKUP(A1044,'[1]Tissue Data'!$A:$A,'[1]Tissue Data'!M:M)</f>
        <v>2.25</v>
      </c>
      <c r="K1044" t="s">
        <v>54</v>
      </c>
      <c r="L1044" t="str">
        <f>_xlfn.XLOOKUP(K1044,[2]analyte_order!$B:$B,[2]analyte_order!$C:$C)</f>
        <v>70887-84-2</v>
      </c>
      <c r="M1044">
        <f>_xlfn.XLOOKUP(L1044,[2]analyte_order!$C:$C,[2]analyte_order!$E:$E)</f>
        <v>45</v>
      </c>
      <c r="N1044">
        <v>4.511890223899475E-2</v>
      </c>
    </row>
    <row r="1045" spans="1:14">
      <c r="A1045" t="s">
        <v>164</v>
      </c>
      <c r="B1045" t="str">
        <f>_xlfn.XLOOKUP(A1045,'[1]Tissue Data'!$A:$A,'[1]Tissue Data'!$C:$C)</f>
        <v>Down</v>
      </c>
      <c r="C1045" s="2">
        <f>_xlfn.XLOOKUP(A1045,'[1]Tissue Data'!$A:$A,'[1]Tissue Data'!$D:$D)</f>
        <v>44314</v>
      </c>
      <c r="D1045" s="2" t="str">
        <f>_xlfn.XLOOKUP(A1045,'[1]Tissue Data'!$A:$A,'[1]Tissue Data'!$F:$F)</f>
        <v>Eastern Mudminnow</v>
      </c>
      <c r="E1045" t="str">
        <f>_xlfn.XLOOKUP(A1045,'[1]Tissue Data'!$A:$A,'[1]Tissue Data'!$H:$H)</f>
        <v>Umbra</v>
      </c>
      <c r="F1045" t="str">
        <f>_xlfn.XLOOKUP(A1045,'[1]Tissue Data'!$A:$A,'[1]Tissue Data'!$I:$I)</f>
        <v>pygmaea</v>
      </c>
      <c r="G1045" t="str">
        <f>_xlfn.XLOOKUP(A1045,'[1]Tissue Data'!$A:$A,'[1]Tissue Data'!J:J)</f>
        <v>U</v>
      </c>
      <c r="H1045" t="str">
        <f>_xlfn.XLOOKUP(A1045,'[1]Tissue Data'!$A:$A,'[1]Tissue Data'!K:K)</f>
        <v>Whole Body</v>
      </c>
      <c r="I1045">
        <f>_xlfn.XLOOKUP(A1045,'[1]Tissue Data'!$A:$A,'[1]Tissue Data'!L:L)</f>
        <v>5.5</v>
      </c>
      <c r="J1045">
        <f>_xlfn.XLOOKUP(A1045,'[1]Tissue Data'!$A:$A,'[1]Tissue Data'!M:M)</f>
        <v>2.25</v>
      </c>
      <c r="K1045" t="s">
        <v>55</v>
      </c>
      <c r="L1045" t="str">
        <f>_xlfn.XLOOKUP(K1045,[2]analyte_order!$B:$B,[2]analyte_order!$C:$C)</f>
        <v>919005-14-4</v>
      </c>
      <c r="M1045">
        <f>_xlfn.XLOOKUP(L1045,[2]analyte_order!$C:$C,[2]analyte_order!$E:$E)</f>
        <v>35</v>
      </c>
      <c r="N1045">
        <v>7.4662525385258638E-2</v>
      </c>
    </row>
    <row r="1046" spans="1:14">
      <c r="A1046" t="s">
        <v>164</v>
      </c>
      <c r="B1046" t="str">
        <f>_xlfn.XLOOKUP(A1046,'[1]Tissue Data'!$A:$A,'[1]Tissue Data'!$C:$C)</f>
        <v>Down</v>
      </c>
      <c r="C1046" s="2">
        <f>_xlfn.XLOOKUP(A1046,'[1]Tissue Data'!$A:$A,'[1]Tissue Data'!$D:$D)</f>
        <v>44314</v>
      </c>
      <c r="D1046" s="2" t="str">
        <f>_xlfn.XLOOKUP(A1046,'[1]Tissue Data'!$A:$A,'[1]Tissue Data'!$F:$F)</f>
        <v>Eastern Mudminnow</v>
      </c>
      <c r="E1046" t="str">
        <f>_xlfn.XLOOKUP(A1046,'[1]Tissue Data'!$A:$A,'[1]Tissue Data'!$H:$H)</f>
        <v>Umbra</v>
      </c>
      <c r="F1046" t="str">
        <f>_xlfn.XLOOKUP(A1046,'[1]Tissue Data'!$A:$A,'[1]Tissue Data'!$I:$I)</f>
        <v>pygmaea</v>
      </c>
      <c r="G1046" t="str">
        <f>_xlfn.XLOOKUP(A1046,'[1]Tissue Data'!$A:$A,'[1]Tissue Data'!J:J)</f>
        <v>U</v>
      </c>
      <c r="H1046" t="str">
        <f>_xlfn.XLOOKUP(A1046,'[1]Tissue Data'!$A:$A,'[1]Tissue Data'!K:K)</f>
        <v>Whole Body</v>
      </c>
      <c r="I1046">
        <f>_xlfn.XLOOKUP(A1046,'[1]Tissue Data'!$A:$A,'[1]Tissue Data'!L:L)</f>
        <v>5.5</v>
      </c>
      <c r="J1046">
        <f>_xlfn.XLOOKUP(A1046,'[1]Tissue Data'!$A:$A,'[1]Tissue Data'!M:M)</f>
        <v>2.25</v>
      </c>
      <c r="K1046" t="s">
        <v>56</v>
      </c>
      <c r="L1046" t="str">
        <f>_xlfn.XLOOKUP(K1046,[2]analyte_order!$B:$B,[2]analyte_order!$C:$C)</f>
        <v>756426-58-1</v>
      </c>
      <c r="M1046">
        <f>_xlfn.XLOOKUP(L1046,[2]analyte_order!$C:$C,[2]analyte_order!$E:$E)</f>
        <v>36</v>
      </c>
      <c r="N1046">
        <v>5.1823754571287781E-2</v>
      </c>
    </row>
    <row r="1047" spans="1:14">
      <c r="A1047" t="s">
        <v>164</v>
      </c>
      <c r="B1047" t="str">
        <f>_xlfn.XLOOKUP(A1047,'[1]Tissue Data'!$A:$A,'[1]Tissue Data'!$C:$C)</f>
        <v>Down</v>
      </c>
      <c r="C1047" s="2">
        <f>_xlfn.XLOOKUP(A1047,'[1]Tissue Data'!$A:$A,'[1]Tissue Data'!$D:$D)</f>
        <v>44314</v>
      </c>
      <c r="D1047" s="2" t="str">
        <f>_xlfn.XLOOKUP(A1047,'[1]Tissue Data'!$A:$A,'[1]Tissue Data'!$F:$F)</f>
        <v>Eastern Mudminnow</v>
      </c>
      <c r="E1047" t="str">
        <f>_xlfn.XLOOKUP(A1047,'[1]Tissue Data'!$A:$A,'[1]Tissue Data'!$H:$H)</f>
        <v>Umbra</v>
      </c>
      <c r="F1047" t="str">
        <f>_xlfn.XLOOKUP(A1047,'[1]Tissue Data'!$A:$A,'[1]Tissue Data'!$I:$I)</f>
        <v>pygmaea</v>
      </c>
      <c r="G1047" t="str">
        <f>_xlfn.XLOOKUP(A1047,'[1]Tissue Data'!$A:$A,'[1]Tissue Data'!J:J)</f>
        <v>U</v>
      </c>
      <c r="H1047" t="str">
        <f>_xlfn.XLOOKUP(A1047,'[1]Tissue Data'!$A:$A,'[1]Tissue Data'!K:K)</f>
        <v>Whole Body</v>
      </c>
      <c r="I1047">
        <f>_xlfn.XLOOKUP(A1047,'[1]Tissue Data'!$A:$A,'[1]Tissue Data'!L:L)</f>
        <v>5.5</v>
      </c>
      <c r="J1047">
        <f>_xlfn.XLOOKUP(A1047,'[1]Tissue Data'!$A:$A,'[1]Tissue Data'!M:M)</f>
        <v>2.25</v>
      </c>
      <c r="K1047" t="s">
        <v>57</v>
      </c>
      <c r="L1047" t="str">
        <f>_xlfn.XLOOKUP(K1047,[2]analyte_order!$B:$B,[2]analyte_order!$C:$C)</f>
        <v>763051-92-9</v>
      </c>
      <c r="M1047">
        <f>_xlfn.XLOOKUP(L1047,[2]analyte_order!$C:$C,[2]analyte_order!$E:$E)</f>
        <v>37</v>
      </c>
      <c r="N1047">
        <v>5.8833364094940874E-2</v>
      </c>
    </row>
    <row r="1048" spans="1:14">
      <c r="A1048" t="s">
        <v>164</v>
      </c>
      <c r="B1048" t="str">
        <f>_xlfn.XLOOKUP(A1048,'[1]Tissue Data'!$A:$A,'[1]Tissue Data'!$C:$C)</f>
        <v>Down</v>
      </c>
      <c r="C1048" s="2">
        <f>_xlfn.XLOOKUP(A1048,'[1]Tissue Data'!$A:$A,'[1]Tissue Data'!$D:$D)</f>
        <v>44314</v>
      </c>
      <c r="D1048" s="2" t="str">
        <f>_xlfn.XLOOKUP(A1048,'[1]Tissue Data'!$A:$A,'[1]Tissue Data'!$F:$F)</f>
        <v>Eastern Mudminnow</v>
      </c>
      <c r="E1048" t="str">
        <f>_xlfn.XLOOKUP(A1048,'[1]Tissue Data'!$A:$A,'[1]Tissue Data'!$H:$H)</f>
        <v>Umbra</v>
      </c>
      <c r="F1048" t="str">
        <f>_xlfn.XLOOKUP(A1048,'[1]Tissue Data'!$A:$A,'[1]Tissue Data'!$I:$I)</f>
        <v>pygmaea</v>
      </c>
      <c r="G1048" t="str">
        <f>_xlfn.XLOOKUP(A1048,'[1]Tissue Data'!$A:$A,'[1]Tissue Data'!J:J)</f>
        <v>U</v>
      </c>
      <c r="H1048" t="str">
        <f>_xlfn.XLOOKUP(A1048,'[1]Tissue Data'!$A:$A,'[1]Tissue Data'!K:K)</f>
        <v>Whole Body</v>
      </c>
      <c r="I1048">
        <f>_xlfn.XLOOKUP(A1048,'[1]Tissue Data'!$A:$A,'[1]Tissue Data'!L:L)</f>
        <v>5.5</v>
      </c>
      <c r="J1048">
        <f>_xlfn.XLOOKUP(A1048,'[1]Tissue Data'!$A:$A,'[1]Tissue Data'!M:M)</f>
        <v>2.25</v>
      </c>
      <c r="K1048" t="s">
        <v>58</v>
      </c>
      <c r="L1048" t="str">
        <f>_xlfn.XLOOKUP(K1048,[2]analyte_order!$B:$B,[2]analyte_order!$C:$C)</f>
        <v>13252-13-6</v>
      </c>
      <c r="M1048">
        <f>_xlfn.XLOOKUP(L1048,[2]analyte_order!$C:$C,[2]analyte_order!$E:$E)</f>
        <v>34</v>
      </c>
      <c r="N1048">
        <v>0.1071428566606439</v>
      </c>
    </row>
    <row r="1049" spans="1:14">
      <c r="A1049" t="s">
        <v>164</v>
      </c>
      <c r="B1049" t="str">
        <f>_xlfn.XLOOKUP(A1049,'[1]Tissue Data'!$A:$A,'[1]Tissue Data'!$C:$C)</f>
        <v>Down</v>
      </c>
      <c r="C1049" s="2">
        <f>_xlfn.XLOOKUP(A1049,'[1]Tissue Data'!$A:$A,'[1]Tissue Data'!$D:$D)</f>
        <v>44314</v>
      </c>
      <c r="D1049" s="2" t="str">
        <f>_xlfn.XLOOKUP(A1049,'[1]Tissue Data'!$A:$A,'[1]Tissue Data'!$F:$F)</f>
        <v>Eastern Mudminnow</v>
      </c>
      <c r="E1049" t="str">
        <f>_xlfn.XLOOKUP(A1049,'[1]Tissue Data'!$A:$A,'[1]Tissue Data'!$H:$H)</f>
        <v>Umbra</v>
      </c>
      <c r="F1049" t="str">
        <f>_xlfn.XLOOKUP(A1049,'[1]Tissue Data'!$A:$A,'[1]Tissue Data'!$I:$I)</f>
        <v>pygmaea</v>
      </c>
      <c r="G1049" t="str">
        <f>_xlfn.XLOOKUP(A1049,'[1]Tissue Data'!$A:$A,'[1]Tissue Data'!J:J)</f>
        <v>U</v>
      </c>
      <c r="H1049" t="str">
        <f>_xlfn.XLOOKUP(A1049,'[1]Tissue Data'!$A:$A,'[1]Tissue Data'!K:K)</f>
        <v>Whole Body</v>
      </c>
      <c r="I1049">
        <f>_xlfn.XLOOKUP(A1049,'[1]Tissue Data'!$A:$A,'[1]Tissue Data'!L:L)</f>
        <v>5.5</v>
      </c>
      <c r="J1049">
        <f>_xlfn.XLOOKUP(A1049,'[1]Tissue Data'!$A:$A,'[1]Tissue Data'!M:M)</f>
        <v>2.25</v>
      </c>
      <c r="K1049" t="s">
        <v>59</v>
      </c>
      <c r="L1049" t="str">
        <f>_xlfn.XLOOKUP(K1049,[2]analyte_order!$B:$B,[2]analyte_order!$C:$C)</f>
        <v>57677-95-9</v>
      </c>
      <c r="M1049">
        <f>_xlfn.XLOOKUP(L1049,[2]analyte_order!$C:$C,[2]analyte_order!$E:$E)</f>
        <v>46</v>
      </c>
      <c r="N1049">
        <v>7.9480418667871228E-2</v>
      </c>
    </row>
    <row r="1050" spans="1:14">
      <c r="A1050" t="s">
        <v>164</v>
      </c>
      <c r="B1050" t="str">
        <f>_xlfn.XLOOKUP(A1050,'[1]Tissue Data'!$A:$A,'[1]Tissue Data'!$C:$C)</f>
        <v>Down</v>
      </c>
      <c r="C1050" s="2">
        <f>_xlfn.XLOOKUP(A1050,'[1]Tissue Data'!$A:$A,'[1]Tissue Data'!$D:$D)</f>
        <v>44314</v>
      </c>
      <c r="D1050" s="2" t="str">
        <f>_xlfn.XLOOKUP(A1050,'[1]Tissue Data'!$A:$A,'[1]Tissue Data'!$F:$F)</f>
        <v>Eastern Mudminnow</v>
      </c>
      <c r="E1050" t="str">
        <f>_xlfn.XLOOKUP(A1050,'[1]Tissue Data'!$A:$A,'[1]Tissue Data'!$H:$H)</f>
        <v>Umbra</v>
      </c>
      <c r="F1050" t="str">
        <f>_xlfn.XLOOKUP(A1050,'[1]Tissue Data'!$A:$A,'[1]Tissue Data'!$I:$I)</f>
        <v>pygmaea</v>
      </c>
      <c r="G1050" t="str">
        <f>_xlfn.XLOOKUP(A1050,'[1]Tissue Data'!$A:$A,'[1]Tissue Data'!J:J)</f>
        <v>U</v>
      </c>
      <c r="H1050" t="str">
        <f>_xlfn.XLOOKUP(A1050,'[1]Tissue Data'!$A:$A,'[1]Tissue Data'!K:K)</f>
        <v>Whole Body</v>
      </c>
      <c r="I1050">
        <f>_xlfn.XLOOKUP(A1050,'[1]Tissue Data'!$A:$A,'[1]Tissue Data'!L:L)</f>
        <v>5.5</v>
      </c>
      <c r="J1050">
        <f>_xlfn.XLOOKUP(A1050,'[1]Tissue Data'!$A:$A,'[1]Tissue Data'!M:M)</f>
        <v>2.25</v>
      </c>
      <c r="K1050" t="s">
        <v>60</v>
      </c>
      <c r="L1050" t="str">
        <f>_xlfn.XLOOKUP(K1050,[2]analyte_order!$B:$B,[2]analyte_order!$C:$C)</f>
        <v>678-41-1</v>
      </c>
      <c r="M1050">
        <f>_xlfn.XLOOKUP(L1050,[2]analyte_order!$C:$C,[2]analyte_order!$E:$E)</f>
        <v>56</v>
      </c>
      <c r="N1050">
        <v>9.898862199244414E-2</v>
      </c>
    </row>
    <row r="1051" spans="1:14">
      <c r="A1051" t="s">
        <v>164</v>
      </c>
      <c r="B1051" t="str">
        <f>_xlfn.XLOOKUP(A1051,'[1]Tissue Data'!$A:$A,'[1]Tissue Data'!$C:$C)</f>
        <v>Down</v>
      </c>
      <c r="C1051" s="2">
        <f>_xlfn.XLOOKUP(A1051,'[1]Tissue Data'!$A:$A,'[1]Tissue Data'!$D:$D)</f>
        <v>44314</v>
      </c>
      <c r="D1051" s="2" t="str">
        <f>_xlfn.XLOOKUP(A1051,'[1]Tissue Data'!$A:$A,'[1]Tissue Data'!$F:$F)</f>
        <v>Eastern Mudminnow</v>
      </c>
      <c r="E1051" t="str">
        <f>_xlfn.XLOOKUP(A1051,'[1]Tissue Data'!$A:$A,'[1]Tissue Data'!$H:$H)</f>
        <v>Umbra</v>
      </c>
      <c r="F1051" t="str">
        <f>_xlfn.XLOOKUP(A1051,'[1]Tissue Data'!$A:$A,'[1]Tissue Data'!$I:$I)</f>
        <v>pygmaea</v>
      </c>
      <c r="G1051" t="str">
        <f>_xlfn.XLOOKUP(A1051,'[1]Tissue Data'!$A:$A,'[1]Tissue Data'!J:J)</f>
        <v>U</v>
      </c>
      <c r="H1051" t="str">
        <f>_xlfn.XLOOKUP(A1051,'[1]Tissue Data'!$A:$A,'[1]Tissue Data'!K:K)</f>
        <v>Whole Body</v>
      </c>
      <c r="I1051">
        <f>_xlfn.XLOOKUP(A1051,'[1]Tissue Data'!$A:$A,'[1]Tissue Data'!L:L)</f>
        <v>5.5</v>
      </c>
      <c r="J1051">
        <f>_xlfn.XLOOKUP(A1051,'[1]Tissue Data'!$A:$A,'[1]Tissue Data'!M:M)</f>
        <v>2.25</v>
      </c>
      <c r="K1051" t="s">
        <v>61</v>
      </c>
      <c r="L1051" t="str">
        <f>_xlfn.XLOOKUP(K1051,[2]analyte_order!$B:$B,[2]analyte_order!$C:$C)</f>
        <v>2965-52-8</v>
      </c>
      <c r="M1051">
        <f>_xlfn.XLOOKUP(L1051,[2]analyte_order!$C:$C,[2]analyte_order!$E:$E)</f>
        <v>57</v>
      </c>
      <c r="N1051">
        <v>0.13140604467805517</v>
      </c>
    </row>
    <row r="1052" spans="1:14">
      <c r="A1052" t="s">
        <v>156</v>
      </c>
      <c r="B1052" t="str">
        <f>_xlfn.XLOOKUP(A1052,'[1]Tissue Data'!$A:$A,'[1]Tissue Data'!$C:$C)</f>
        <v>Down</v>
      </c>
      <c r="C1052" s="2">
        <f>_xlfn.XLOOKUP(A1052,'[1]Tissue Data'!$A:$A,'[1]Tissue Data'!$D:$D)</f>
        <v>44314</v>
      </c>
      <c r="D1052" s="2" t="s">
        <v>122</v>
      </c>
      <c r="E1052" t="str">
        <f>_xlfn.XLOOKUP(A1052,'[1]Tissue Data'!$A:$A,'[1]Tissue Data'!$H:$H)</f>
        <v>Etheostoma</v>
      </c>
      <c r="F1052" t="str">
        <f>_xlfn.XLOOKUP(A1052,'[1]Tissue Data'!$A:$A,'[1]Tissue Data'!$I:$I)</f>
        <v>olmstedi</v>
      </c>
      <c r="G1052" t="str">
        <f>_xlfn.XLOOKUP(A1052,'[1]Tissue Data'!$A:$A,'[1]Tissue Data'!J:J)</f>
        <v>U</v>
      </c>
      <c r="H1052" t="str">
        <f>_xlfn.XLOOKUP(A1052,'[1]Tissue Data'!$A:$A,'[1]Tissue Data'!K:K)</f>
        <v>Whole Body</v>
      </c>
      <c r="I1052">
        <f>_xlfn.XLOOKUP(A1052,'[1]Tissue Data'!$A:$A,'[1]Tissue Data'!L:L)</f>
        <v>6</v>
      </c>
      <c r="J1052">
        <f>_xlfn.XLOOKUP(A1052,'[1]Tissue Data'!$A:$A,'[1]Tissue Data'!M:M)</f>
        <v>2.5</v>
      </c>
      <c r="K1052" t="s">
        <v>12</v>
      </c>
      <c r="L1052" t="str">
        <f>_xlfn.XLOOKUP(K1052,[2]analyte_order!$B:$B,[2]analyte_order!$C:$C)</f>
        <v>375-22-4</v>
      </c>
      <c r="M1052">
        <f>_xlfn.XLOOKUP(L1052,[2]analyte_order!$C:$C,[2]analyte_order!$E:$E)</f>
        <v>1</v>
      </c>
      <c r="N1052">
        <v>9.7402597402597393E-2</v>
      </c>
    </row>
    <row r="1053" spans="1:14">
      <c r="A1053" t="s">
        <v>156</v>
      </c>
      <c r="B1053" t="str">
        <f>_xlfn.XLOOKUP(A1053,'[1]Tissue Data'!$A:$A,'[1]Tissue Data'!$C:$C)</f>
        <v>Down</v>
      </c>
      <c r="C1053" s="2">
        <f>_xlfn.XLOOKUP(A1053,'[1]Tissue Data'!$A:$A,'[1]Tissue Data'!$D:$D)</f>
        <v>44314</v>
      </c>
      <c r="D1053" s="2" t="s">
        <v>122</v>
      </c>
      <c r="E1053" t="str">
        <f>_xlfn.XLOOKUP(A1053,'[1]Tissue Data'!$A:$A,'[1]Tissue Data'!$H:$H)</f>
        <v>Etheostoma</v>
      </c>
      <c r="F1053" t="str">
        <f>_xlfn.XLOOKUP(A1053,'[1]Tissue Data'!$A:$A,'[1]Tissue Data'!$I:$I)</f>
        <v>olmstedi</v>
      </c>
      <c r="G1053" t="str">
        <f>_xlfn.XLOOKUP(A1053,'[1]Tissue Data'!$A:$A,'[1]Tissue Data'!J:J)</f>
        <v>U</v>
      </c>
      <c r="H1053" t="str">
        <f>_xlfn.XLOOKUP(A1053,'[1]Tissue Data'!$A:$A,'[1]Tissue Data'!K:K)</f>
        <v>Whole Body</v>
      </c>
      <c r="I1053">
        <f>_xlfn.XLOOKUP(A1053,'[1]Tissue Data'!$A:$A,'[1]Tissue Data'!L:L)</f>
        <v>6</v>
      </c>
      <c r="J1053">
        <f>_xlfn.XLOOKUP(A1053,'[1]Tissue Data'!$A:$A,'[1]Tissue Data'!M:M)</f>
        <v>2.5</v>
      </c>
      <c r="K1053" t="s">
        <v>13</v>
      </c>
      <c r="L1053" t="str">
        <f>_xlfn.XLOOKUP(K1053,[2]analyte_order!$B:$B,[2]analyte_order!$C:$C)</f>
        <v>2706-90-3</v>
      </c>
      <c r="M1053">
        <f>_xlfn.XLOOKUP(L1053,[2]analyte_order!$C:$C,[2]analyte_order!$E:$E)</f>
        <v>2</v>
      </c>
      <c r="N1053">
        <v>5.0034555472060663E-2</v>
      </c>
    </row>
    <row r="1054" spans="1:14">
      <c r="A1054" t="s">
        <v>156</v>
      </c>
      <c r="B1054" t="str">
        <f>_xlfn.XLOOKUP(A1054,'[1]Tissue Data'!$A:$A,'[1]Tissue Data'!$C:$C)</f>
        <v>Down</v>
      </c>
      <c r="C1054" s="2">
        <f>_xlfn.XLOOKUP(A1054,'[1]Tissue Data'!$A:$A,'[1]Tissue Data'!$D:$D)</f>
        <v>44314</v>
      </c>
      <c r="D1054" s="2" t="s">
        <v>122</v>
      </c>
      <c r="E1054" t="str">
        <f>_xlfn.XLOOKUP(A1054,'[1]Tissue Data'!$A:$A,'[1]Tissue Data'!$H:$H)</f>
        <v>Etheostoma</v>
      </c>
      <c r="F1054" t="str">
        <f>_xlfn.XLOOKUP(A1054,'[1]Tissue Data'!$A:$A,'[1]Tissue Data'!$I:$I)</f>
        <v>olmstedi</v>
      </c>
      <c r="G1054" t="str">
        <f>_xlfn.XLOOKUP(A1054,'[1]Tissue Data'!$A:$A,'[1]Tissue Data'!J:J)</f>
        <v>U</v>
      </c>
      <c r="H1054" t="str">
        <f>_xlfn.XLOOKUP(A1054,'[1]Tissue Data'!$A:$A,'[1]Tissue Data'!K:K)</f>
        <v>Whole Body</v>
      </c>
      <c r="I1054">
        <f>_xlfn.XLOOKUP(A1054,'[1]Tissue Data'!$A:$A,'[1]Tissue Data'!L:L)</f>
        <v>6</v>
      </c>
      <c r="J1054">
        <f>_xlfn.XLOOKUP(A1054,'[1]Tissue Data'!$A:$A,'[1]Tissue Data'!M:M)</f>
        <v>2.5</v>
      </c>
      <c r="K1054" t="s">
        <v>14</v>
      </c>
      <c r="L1054" t="str">
        <f>_xlfn.XLOOKUP(K1054,[2]analyte_order!$B:$B,[2]analyte_order!$C:$C)</f>
        <v>307-24-4</v>
      </c>
      <c r="M1054">
        <f>_xlfn.XLOOKUP(L1054,[2]analyte_order!$C:$C,[2]analyte_order!$E:$E)</f>
        <v>3</v>
      </c>
      <c r="N1054">
        <v>0.61099999999999999</v>
      </c>
    </row>
    <row r="1055" spans="1:14">
      <c r="A1055" t="s">
        <v>156</v>
      </c>
      <c r="B1055" t="str">
        <f>_xlfn.XLOOKUP(A1055,'[1]Tissue Data'!$A:$A,'[1]Tissue Data'!$C:$C)</f>
        <v>Down</v>
      </c>
      <c r="C1055" s="2">
        <f>_xlfn.XLOOKUP(A1055,'[1]Tissue Data'!$A:$A,'[1]Tissue Data'!$D:$D)</f>
        <v>44314</v>
      </c>
      <c r="D1055" s="2" t="s">
        <v>122</v>
      </c>
      <c r="E1055" t="str">
        <f>_xlfn.XLOOKUP(A1055,'[1]Tissue Data'!$A:$A,'[1]Tissue Data'!$H:$H)</f>
        <v>Etheostoma</v>
      </c>
      <c r="F1055" t="str">
        <f>_xlfn.XLOOKUP(A1055,'[1]Tissue Data'!$A:$A,'[1]Tissue Data'!$I:$I)</f>
        <v>olmstedi</v>
      </c>
      <c r="G1055" t="str">
        <f>_xlfn.XLOOKUP(A1055,'[1]Tissue Data'!$A:$A,'[1]Tissue Data'!J:J)</f>
        <v>U</v>
      </c>
      <c r="H1055" t="str">
        <f>_xlfn.XLOOKUP(A1055,'[1]Tissue Data'!$A:$A,'[1]Tissue Data'!K:K)</f>
        <v>Whole Body</v>
      </c>
      <c r="I1055">
        <f>_xlfn.XLOOKUP(A1055,'[1]Tissue Data'!$A:$A,'[1]Tissue Data'!L:L)</f>
        <v>6</v>
      </c>
      <c r="J1055">
        <f>_xlfn.XLOOKUP(A1055,'[1]Tissue Data'!$A:$A,'[1]Tissue Data'!M:M)</f>
        <v>2.5</v>
      </c>
      <c r="K1055" t="s">
        <v>15</v>
      </c>
      <c r="L1055" t="str">
        <f>_xlfn.XLOOKUP(K1055,[2]analyte_order!$B:$B,[2]analyte_order!$C:$C)</f>
        <v>375-85-9</v>
      </c>
      <c r="M1055">
        <f>_xlfn.XLOOKUP(L1055,[2]analyte_order!$C:$C,[2]analyte_order!$E:$E)</f>
        <v>4</v>
      </c>
      <c r="N1055">
        <v>0.245</v>
      </c>
    </row>
    <row r="1056" spans="1:14">
      <c r="A1056" t="s">
        <v>156</v>
      </c>
      <c r="B1056" t="str">
        <f>_xlfn.XLOOKUP(A1056,'[1]Tissue Data'!$A:$A,'[1]Tissue Data'!$C:$C)</f>
        <v>Down</v>
      </c>
      <c r="C1056" s="2">
        <f>_xlfn.XLOOKUP(A1056,'[1]Tissue Data'!$A:$A,'[1]Tissue Data'!$D:$D)</f>
        <v>44314</v>
      </c>
      <c r="D1056" s="2" t="s">
        <v>122</v>
      </c>
      <c r="E1056" t="str">
        <f>_xlfn.XLOOKUP(A1056,'[1]Tissue Data'!$A:$A,'[1]Tissue Data'!$H:$H)</f>
        <v>Etheostoma</v>
      </c>
      <c r="F1056" t="str">
        <f>_xlfn.XLOOKUP(A1056,'[1]Tissue Data'!$A:$A,'[1]Tissue Data'!$I:$I)</f>
        <v>olmstedi</v>
      </c>
      <c r="G1056" t="str">
        <f>_xlfn.XLOOKUP(A1056,'[1]Tissue Data'!$A:$A,'[1]Tissue Data'!J:J)</f>
        <v>U</v>
      </c>
      <c r="H1056" t="str">
        <f>_xlfn.XLOOKUP(A1056,'[1]Tissue Data'!$A:$A,'[1]Tissue Data'!K:K)</f>
        <v>Whole Body</v>
      </c>
      <c r="I1056">
        <f>_xlfn.XLOOKUP(A1056,'[1]Tissue Data'!$A:$A,'[1]Tissue Data'!L:L)</f>
        <v>6</v>
      </c>
      <c r="J1056">
        <f>_xlfn.XLOOKUP(A1056,'[1]Tissue Data'!$A:$A,'[1]Tissue Data'!M:M)</f>
        <v>2.5</v>
      </c>
      <c r="K1056" t="s">
        <v>16</v>
      </c>
      <c r="L1056" t="str">
        <f>_xlfn.XLOOKUP(K1056,[2]analyte_order!$B:$B,[2]analyte_order!$C:$C)</f>
        <v>335-67-1</v>
      </c>
      <c r="M1056">
        <f>_xlfn.XLOOKUP(L1056,[2]analyte_order!$C:$C,[2]analyte_order!$E:$E)</f>
        <v>5</v>
      </c>
      <c r="N1056">
        <v>5.4</v>
      </c>
    </row>
    <row r="1057" spans="1:14">
      <c r="A1057" t="s">
        <v>156</v>
      </c>
      <c r="B1057" t="str">
        <f>_xlfn.XLOOKUP(A1057,'[1]Tissue Data'!$A:$A,'[1]Tissue Data'!$C:$C)</f>
        <v>Down</v>
      </c>
      <c r="C1057" s="2">
        <f>_xlfn.XLOOKUP(A1057,'[1]Tissue Data'!$A:$A,'[1]Tissue Data'!$D:$D)</f>
        <v>44314</v>
      </c>
      <c r="D1057" s="2" t="s">
        <v>122</v>
      </c>
      <c r="E1057" t="str">
        <f>_xlfn.XLOOKUP(A1057,'[1]Tissue Data'!$A:$A,'[1]Tissue Data'!$H:$H)</f>
        <v>Etheostoma</v>
      </c>
      <c r="F1057" t="str">
        <f>_xlfn.XLOOKUP(A1057,'[1]Tissue Data'!$A:$A,'[1]Tissue Data'!$I:$I)</f>
        <v>olmstedi</v>
      </c>
      <c r="G1057" t="str">
        <f>_xlfn.XLOOKUP(A1057,'[1]Tissue Data'!$A:$A,'[1]Tissue Data'!J:J)</f>
        <v>U</v>
      </c>
      <c r="H1057" t="str">
        <f>_xlfn.XLOOKUP(A1057,'[1]Tissue Data'!$A:$A,'[1]Tissue Data'!K:K)</f>
        <v>Whole Body</v>
      </c>
      <c r="I1057">
        <f>_xlfn.XLOOKUP(A1057,'[1]Tissue Data'!$A:$A,'[1]Tissue Data'!L:L)</f>
        <v>6</v>
      </c>
      <c r="J1057">
        <f>_xlfn.XLOOKUP(A1057,'[1]Tissue Data'!$A:$A,'[1]Tissue Data'!M:M)</f>
        <v>2.5</v>
      </c>
      <c r="K1057" t="s">
        <v>17</v>
      </c>
      <c r="L1057" t="str">
        <f>_xlfn.XLOOKUP(K1057,[2]analyte_order!$B:$B,[2]analyte_order!$C:$C)</f>
        <v>375-95-1</v>
      </c>
      <c r="M1057">
        <f>_xlfn.XLOOKUP(L1057,[2]analyte_order!$C:$C,[2]analyte_order!$E:$E)</f>
        <v>6</v>
      </c>
      <c r="N1057">
        <v>2.71</v>
      </c>
    </row>
    <row r="1058" spans="1:14">
      <c r="A1058" t="s">
        <v>156</v>
      </c>
      <c r="B1058" t="str">
        <f>_xlfn.XLOOKUP(A1058,'[1]Tissue Data'!$A:$A,'[1]Tissue Data'!$C:$C)</f>
        <v>Down</v>
      </c>
      <c r="C1058" s="2">
        <f>_xlfn.XLOOKUP(A1058,'[1]Tissue Data'!$A:$A,'[1]Tissue Data'!$D:$D)</f>
        <v>44314</v>
      </c>
      <c r="D1058" s="2" t="s">
        <v>122</v>
      </c>
      <c r="E1058" t="str">
        <f>_xlfn.XLOOKUP(A1058,'[1]Tissue Data'!$A:$A,'[1]Tissue Data'!$H:$H)</f>
        <v>Etheostoma</v>
      </c>
      <c r="F1058" t="str">
        <f>_xlfn.XLOOKUP(A1058,'[1]Tissue Data'!$A:$A,'[1]Tissue Data'!$I:$I)</f>
        <v>olmstedi</v>
      </c>
      <c r="G1058" t="str">
        <f>_xlfn.XLOOKUP(A1058,'[1]Tissue Data'!$A:$A,'[1]Tissue Data'!J:J)</f>
        <v>U</v>
      </c>
      <c r="H1058" t="str">
        <f>_xlfn.XLOOKUP(A1058,'[1]Tissue Data'!$A:$A,'[1]Tissue Data'!K:K)</f>
        <v>Whole Body</v>
      </c>
      <c r="I1058">
        <f>_xlfn.XLOOKUP(A1058,'[1]Tissue Data'!$A:$A,'[1]Tissue Data'!L:L)</f>
        <v>6</v>
      </c>
      <c r="J1058">
        <f>_xlfn.XLOOKUP(A1058,'[1]Tissue Data'!$A:$A,'[1]Tissue Data'!M:M)</f>
        <v>2.5</v>
      </c>
      <c r="K1058" t="s">
        <v>18</v>
      </c>
      <c r="L1058" t="str">
        <f>_xlfn.XLOOKUP(K1058,[2]analyte_order!$B:$B,[2]analyte_order!$C:$C)</f>
        <v>335-76-2</v>
      </c>
      <c r="M1058">
        <f>_xlfn.XLOOKUP(L1058,[2]analyte_order!$C:$C,[2]analyte_order!$E:$E)</f>
        <v>7</v>
      </c>
      <c r="N1058">
        <v>1.84</v>
      </c>
    </row>
    <row r="1059" spans="1:14">
      <c r="A1059" t="s">
        <v>156</v>
      </c>
      <c r="B1059" t="str">
        <f>_xlfn.XLOOKUP(A1059,'[1]Tissue Data'!$A:$A,'[1]Tissue Data'!$C:$C)</f>
        <v>Down</v>
      </c>
      <c r="C1059" s="2">
        <f>_xlfn.XLOOKUP(A1059,'[1]Tissue Data'!$A:$A,'[1]Tissue Data'!$D:$D)</f>
        <v>44314</v>
      </c>
      <c r="D1059" s="2" t="s">
        <v>122</v>
      </c>
      <c r="E1059" t="str">
        <f>_xlfn.XLOOKUP(A1059,'[1]Tissue Data'!$A:$A,'[1]Tissue Data'!$H:$H)</f>
        <v>Etheostoma</v>
      </c>
      <c r="F1059" t="str">
        <f>_xlfn.XLOOKUP(A1059,'[1]Tissue Data'!$A:$A,'[1]Tissue Data'!$I:$I)</f>
        <v>olmstedi</v>
      </c>
      <c r="G1059" t="str">
        <f>_xlfn.XLOOKUP(A1059,'[1]Tissue Data'!$A:$A,'[1]Tissue Data'!J:J)</f>
        <v>U</v>
      </c>
      <c r="H1059" t="str">
        <f>_xlfn.XLOOKUP(A1059,'[1]Tissue Data'!$A:$A,'[1]Tissue Data'!K:K)</f>
        <v>Whole Body</v>
      </c>
      <c r="I1059">
        <f>_xlfn.XLOOKUP(A1059,'[1]Tissue Data'!$A:$A,'[1]Tissue Data'!L:L)</f>
        <v>6</v>
      </c>
      <c r="J1059">
        <f>_xlfn.XLOOKUP(A1059,'[1]Tissue Data'!$A:$A,'[1]Tissue Data'!M:M)</f>
        <v>2.5</v>
      </c>
      <c r="K1059" t="s">
        <v>19</v>
      </c>
      <c r="L1059" t="str">
        <f>_xlfn.XLOOKUP(K1059,[2]analyte_order!$B:$B,[2]analyte_order!$C:$C)</f>
        <v>2058-94-8</v>
      </c>
      <c r="M1059">
        <f>_xlfn.XLOOKUP(L1059,[2]analyte_order!$C:$C,[2]analyte_order!$E:$E)</f>
        <v>8</v>
      </c>
      <c r="N1059">
        <v>1.94</v>
      </c>
    </row>
    <row r="1060" spans="1:14">
      <c r="A1060" t="s">
        <v>156</v>
      </c>
      <c r="B1060" t="str">
        <f>_xlfn.XLOOKUP(A1060,'[1]Tissue Data'!$A:$A,'[1]Tissue Data'!$C:$C)</f>
        <v>Down</v>
      </c>
      <c r="C1060" s="2">
        <f>_xlfn.XLOOKUP(A1060,'[1]Tissue Data'!$A:$A,'[1]Tissue Data'!$D:$D)</f>
        <v>44314</v>
      </c>
      <c r="D1060" s="2" t="s">
        <v>122</v>
      </c>
      <c r="E1060" t="str">
        <f>_xlfn.XLOOKUP(A1060,'[1]Tissue Data'!$A:$A,'[1]Tissue Data'!$H:$H)</f>
        <v>Etheostoma</v>
      </c>
      <c r="F1060" t="str">
        <f>_xlfn.XLOOKUP(A1060,'[1]Tissue Data'!$A:$A,'[1]Tissue Data'!$I:$I)</f>
        <v>olmstedi</v>
      </c>
      <c r="G1060" t="str">
        <f>_xlfn.XLOOKUP(A1060,'[1]Tissue Data'!$A:$A,'[1]Tissue Data'!J:J)</f>
        <v>U</v>
      </c>
      <c r="H1060" t="str">
        <f>_xlfn.XLOOKUP(A1060,'[1]Tissue Data'!$A:$A,'[1]Tissue Data'!K:K)</f>
        <v>Whole Body</v>
      </c>
      <c r="I1060">
        <f>_xlfn.XLOOKUP(A1060,'[1]Tissue Data'!$A:$A,'[1]Tissue Data'!L:L)</f>
        <v>6</v>
      </c>
      <c r="J1060">
        <f>_xlfn.XLOOKUP(A1060,'[1]Tissue Data'!$A:$A,'[1]Tissue Data'!M:M)</f>
        <v>2.5</v>
      </c>
      <c r="K1060" t="s">
        <v>20</v>
      </c>
      <c r="L1060" t="str">
        <f>_xlfn.XLOOKUP(K1060,[2]analyte_order!$B:$B,[2]analyte_order!$C:$C)</f>
        <v>307-55-1</v>
      </c>
      <c r="M1060">
        <f>_xlfn.XLOOKUP(L1060,[2]analyte_order!$C:$C,[2]analyte_order!$E:$E)</f>
        <v>9</v>
      </c>
      <c r="N1060">
        <v>5.654246149200249E-2</v>
      </c>
    </row>
    <row r="1061" spans="1:14">
      <c r="A1061" t="s">
        <v>156</v>
      </c>
      <c r="B1061" t="str">
        <f>_xlfn.XLOOKUP(A1061,'[1]Tissue Data'!$A:$A,'[1]Tissue Data'!$C:$C)</f>
        <v>Down</v>
      </c>
      <c r="C1061" s="2">
        <f>_xlfn.XLOOKUP(A1061,'[1]Tissue Data'!$A:$A,'[1]Tissue Data'!$D:$D)</f>
        <v>44314</v>
      </c>
      <c r="D1061" s="2" t="s">
        <v>122</v>
      </c>
      <c r="E1061" t="str">
        <f>_xlfn.XLOOKUP(A1061,'[1]Tissue Data'!$A:$A,'[1]Tissue Data'!$H:$H)</f>
        <v>Etheostoma</v>
      </c>
      <c r="F1061" t="str">
        <f>_xlfn.XLOOKUP(A1061,'[1]Tissue Data'!$A:$A,'[1]Tissue Data'!$I:$I)</f>
        <v>olmstedi</v>
      </c>
      <c r="G1061" t="str">
        <f>_xlfn.XLOOKUP(A1061,'[1]Tissue Data'!$A:$A,'[1]Tissue Data'!J:J)</f>
        <v>U</v>
      </c>
      <c r="H1061" t="str">
        <f>_xlfn.XLOOKUP(A1061,'[1]Tissue Data'!$A:$A,'[1]Tissue Data'!K:K)</f>
        <v>Whole Body</v>
      </c>
      <c r="I1061">
        <f>_xlfn.XLOOKUP(A1061,'[1]Tissue Data'!$A:$A,'[1]Tissue Data'!L:L)</f>
        <v>6</v>
      </c>
      <c r="J1061">
        <f>_xlfn.XLOOKUP(A1061,'[1]Tissue Data'!$A:$A,'[1]Tissue Data'!M:M)</f>
        <v>2.5</v>
      </c>
      <c r="K1061" t="s">
        <v>21</v>
      </c>
      <c r="L1061" t="str">
        <f>_xlfn.XLOOKUP(K1061,[2]analyte_order!$B:$B,[2]analyte_order!$C:$C)</f>
        <v>72629-94-8</v>
      </c>
      <c r="M1061">
        <f>_xlfn.XLOOKUP(L1061,[2]analyte_order!$C:$C,[2]analyte_order!$E:$E)</f>
        <v>10</v>
      </c>
      <c r="N1061">
        <v>0.59299999999999997</v>
      </c>
    </row>
    <row r="1062" spans="1:14">
      <c r="A1062" t="s">
        <v>156</v>
      </c>
      <c r="B1062" t="str">
        <f>_xlfn.XLOOKUP(A1062,'[1]Tissue Data'!$A:$A,'[1]Tissue Data'!$C:$C)</f>
        <v>Down</v>
      </c>
      <c r="C1062" s="2">
        <f>_xlfn.XLOOKUP(A1062,'[1]Tissue Data'!$A:$A,'[1]Tissue Data'!$D:$D)</f>
        <v>44314</v>
      </c>
      <c r="D1062" s="2" t="s">
        <v>122</v>
      </c>
      <c r="E1062" t="str">
        <f>_xlfn.XLOOKUP(A1062,'[1]Tissue Data'!$A:$A,'[1]Tissue Data'!$H:$H)</f>
        <v>Etheostoma</v>
      </c>
      <c r="F1062" t="str">
        <f>_xlfn.XLOOKUP(A1062,'[1]Tissue Data'!$A:$A,'[1]Tissue Data'!$I:$I)</f>
        <v>olmstedi</v>
      </c>
      <c r="G1062" t="str">
        <f>_xlfn.XLOOKUP(A1062,'[1]Tissue Data'!$A:$A,'[1]Tissue Data'!J:J)</f>
        <v>U</v>
      </c>
      <c r="H1062" t="str">
        <f>_xlfn.XLOOKUP(A1062,'[1]Tissue Data'!$A:$A,'[1]Tissue Data'!K:K)</f>
        <v>Whole Body</v>
      </c>
      <c r="I1062">
        <f>_xlfn.XLOOKUP(A1062,'[1]Tissue Data'!$A:$A,'[1]Tissue Data'!L:L)</f>
        <v>6</v>
      </c>
      <c r="J1062">
        <f>_xlfn.XLOOKUP(A1062,'[1]Tissue Data'!$A:$A,'[1]Tissue Data'!M:M)</f>
        <v>2.5</v>
      </c>
      <c r="K1062" t="s">
        <v>22</v>
      </c>
      <c r="L1062" t="str">
        <f>_xlfn.XLOOKUP(K1062,[2]analyte_order!$B:$B,[2]analyte_order!$C:$C)</f>
        <v>376-06-7</v>
      </c>
      <c r="M1062">
        <f>_xlfn.XLOOKUP(L1062,[2]analyte_order!$C:$C,[2]analyte_order!$E:$E)</f>
        <v>11</v>
      </c>
      <c r="N1062">
        <v>0.83299999999999996</v>
      </c>
    </row>
    <row r="1063" spans="1:14">
      <c r="A1063" t="s">
        <v>156</v>
      </c>
      <c r="B1063" t="str">
        <f>_xlfn.XLOOKUP(A1063,'[1]Tissue Data'!$A:$A,'[1]Tissue Data'!$C:$C)</f>
        <v>Down</v>
      </c>
      <c r="C1063" s="2">
        <f>_xlfn.XLOOKUP(A1063,'[1]Tissue Data'!$A:$A,'[1]Tissue Data'!$D:$D)</f>
        <v>44314</v>
      </c>
      <c r="D1063" s="2" t="s">
        <v>122</v>
      </c>
      <c r="E1063" t="str">
        <f>_xlfn.XLOOKUP(A1063,'[1]Tissue Data'!$A:$A,'[1]Tissue Data'!$H:$H)</f>
        <v>Etheostoma</v>
      </c>
      <c r="F1063" t="str">
        <f>_xlfn.XLOOKUP(A1063,'[1]Tissue Data'!$A:$A,'[1]Tissue Data'!$I:$I)</f>
        <v>olmstedi</v>
      </c>
      <c r="G1063" t="str">
        <f>_xlfn.XLOOKUP(A1063,'[1]Tissue Data'!$A:$A,'[1]Tissue Data'!J:J)</f>
        <v>U</v>
      </c>
      <c r="H1063" t="str">
        <f>_xlfn.XLOOKUP(A1063,'[1]Tissue Data'!$A:$A,'[1]Tissue Data'!K:K)</f>
        <v>Whole Body</v>
      </c>
      <c r="I1063">
        <f>_xlfn.XLOOKUP(A1063,'[1]Tissue Data'!$A:$A,'[1]Tissue Data'!L:L)</f>
        <v>6</v>
      </c>
      <c r="J1063">
        <f>_xlfn.XLOOKUP(A1063,'[1]Tissue Data'!$A:$A,'[1]Tissue Data'!M:M)</f>
        <v>2.5</v>
      </c>
      <c r="K1063" t="s">
        <v>23</v>
      </c>
      <c r="L1063" t="str">
        <f>_xlfn.XLOOKUP(K1063,[2]analyte_order!$B:$B,[2]analyte_order!$C:$C)</f>
        <v>67905-19-5</v>
      </c>
      <c r="M1063">
        <f>_xlfn.XLOOKUP(L1063,[2]analyte_order!$C:$C,[2]analyte_order!$E:$E)</f>
        <v>12</v>
      </c>
      <c r="N1063">
        <v>8.4398733443082671E-2</v>
      </c>
    </row>
    <row r="1064" spans="1:14">
      <c r="A1064" t="s">
        <v>156</v>
      </c>
      <c r="B1064" t="str">
        <f>_xlfn.XLOOKUP(A1064,'[1]Tissue Data'!$A:$A,'[1]Tissue Data'!$C:$C)</f>
        <v>Down</v>
      </c>
      <c r="C1064" s="2">
        <f>_xlfn.XLOOKUP(A1064,'[1]Tissue Data'!$A:$A,'[1]Tissue Data'!$D:$D)</f>
        <v>44314</v>
      </c>
      <c r="D1064" s="2" t="s">
        <v>122</v>
      </c>
      <c r="E1064" t="str">
        <f>_xlfn.XLOOKUP(A1064,'[1]Tissue Data'!$A:$A,'[1]Tissue Data'!$H:$H)</f>
        <v>Etheostoma</v>
      </c>
      <c r="F1064" t="str">
        <f>_xlfn.XLOOKUP(A1064,'[1]Tissue Data'!$A:$A,'[1]Tissue Data'!$I:$I)</f>
        <v>olmstedi</v>
      </c>
      <c r="G1064" t="str">
        <f>_xlfn.XLOOKUP(A1064,'[1]Tissue Data'!$A:$A,'[1]Tissue Data'!J:J)</f>
        <v>U</v>
      </c>
      <c r="H1064" t="str">
        <f>_xlfn.XLOOKUP(A1064,'[1]Tissue Data'!$A:$A,'[1]Tissue Data'!K:K)</f>
        <v>Whole Body</v>
      </c>
      <c r="I1064">
        <f>_xlfn.XLOOKUP(A1064,'[1]Tissue Data'!$A:$A,'[1]Tissue Data'!L:L)</f>
        <v>6</v>
      </c>
      <c r="J1064">
        <f>_xlfn.XLOOKUP(A1064,'[1]Tissue Data'!$A:$A,'[1]Tissue Data'!M:M)</f>
        <v>2.5</v>
      </c>
      <c r="K1064" t="s">
        <v>24</v>
      </c>
      <c r="L1064" t="str">
        <f>_xlfn.XLOOKUP(K1064,[2]analyte_order!$B:$B,[2]analyte_order!$C:$C)</f>
        <v>423-41-6</v>
      </c>
      <c r="M1064">
        <f>_xlfn.XLOOKUP(L1064,[2]analyte_order!$C:$C,[2]analyte_order!$E:$E)</f>
        <v>53</v>
      </c>
      <c r="N1064">
        <v>5.4029433827897801E-2</v>
      </c>
    </row>
    <row r="1065" spans="1:14">
      <c r="A1065" t="s">
        <v>156</v>
      </c>
      <c r="B1065" t="str">
        <f>_xlfn.XLOOKUP(A1065,'[1]Tissue Data'!$A:$A,'[1]Tissue Data'!$C:$C)</f>
        <v>Down</v>
      </c>
      <c r="C1065" s="2">
        <f>_xlfn.XLOOKUP(A1065,'[1]Tissue Data'!$A:$A,'[1]Tissue Data'!$D:$D)</f>
        <v>44314</v>
      </c>
      <c r="D1065" s="2" t="s">
        <v>122</v>
      </c>
      <c r="E1065" t="str">
        <f>_xlfn.XLOOKUP(A1065,'[1]Tissue Data'!$A:$A,'[1]Tissue Data'!$H:$H)</f>
        <v>Etheostoma</v>
      </c>
      <c r="F1065" t="str">
        <f>_xlfn.XLOOKUP(A1065,'[1]Tissue Data'!$A:$A,'[1]Tissue Data'!$I:$I)</f>
        <v>olmstedi</v>
      </c>
      <c r="G1065" t="str">
        <f>_xlfn.XLOOKUP(A1065,'[1]Tissue Data'!$A:$A,'[1]Tissue Data'!J:J)</f>
        <v>U</v>
      </c>
      <c r="H1065" t="str">
        <f>_xlfn.XLOOKUP(A1065,'[1]Tissue Data'!$A:$A,'[1]Tissue Data'!K:K)</f>
        <v>Whole Body</v>
      </c>
      <c r="I1065">
        <f>_xlfn.XLOOKUP(A1065,'[1]Tissue Data'!$A:$A,'[1]Tissue Data'!L:L)</f>
        <v>6</v>
      </c>
      <c r="J1065">
        <f>_xlfn.XLOOKUP(A1065,'[1]Tissue Data'!$A:$A,'[1]Tissue Data'!M:M)</f>
        <v>2.5</v>
      </c>
      <c r="K1065" t="s">
        <v>25</v>
      </c>
      <c r="L1065" t="str">
        <f>_xlfn.XLOOKUP(K1065,[2]analyte_order!$B:$B,[2]analyte_order!$C:$C)</f>
        <v>375-73-5</v>
      </c>
      <c r="M1065">
        <f>_xlfn.XLOOKUP(L1065,[2]analyte_order!$C:$C,[2]analyte_order!$E:$E)</f>
        <v>14</v>
      </c>
      <c r="N1065">
        <v>0.16573278881249998</v>
      </c>
    </row>
    <row r="1066" spans="1:14">
      <c r="A1066" t="s">
        <v>156</v>
      </c>
      <c r="B1066" t="str">
        <f>_xlfn.XLOOKUP(A1066,'[1]Tissue Data'!$A:$A,'[1]Tissue Data'!$C:$C)</f>
        <v>Down</v>
      </c>
      <c r="C1066" s="2">
        <f>_xlfn.XLOOKUP(A1066,'[1]Tissue Data'!$A:$A,'[1]Tissue Data'!$D:$D)</f>
        <v>44314</v>
      </c>
      <c r="D1066" s="2" t="s">
        <v>122</v>
      </c>
      <c r="E1066" t="str">
        <f>_xlfn.XLOOKUP(A1066,'[1]Tissue Data'!$A:$A,'[1]Tissue Data'!$H:$H)</f>
        <v>Etheostoma</v>
      </c>
      <c r="F1066" t="str">
        <f>_xlfn.XLOOKUP(A1066,'[1]Tissue Data'!$A:$A,'[1]Tissue Data'!$I:$I)</f>
        <v>olmstedi</v>
      </c>
      <c r="G1066" t="str">
        <f>_xlfn.XLOOKUP(A1066,'[1]Tissue Data'!$A:$A,'[1]Tissue Data'!J:J)</f>
        <v>U</v>
      </c>
      <c r="H1066" t="str">
        <f>_xlfn.XLOOKUP(A1066,'[1]Tissue Data'!$A:$A,'[1]Tissue Data'!K:K)</f>
        <v>Whole Body</v>
      </c>
      <c r="I1066">
        <f>_xlfn.XLOOKUP(A1066,'[1]Tissue Data'!$A:$A,'[1]Tissue Data'!L:L)</f>
        <v>6</v>
      </c>
      <c r="J1066">
        <f>_xlfn.XLOOKUP(A1066,'[1]Tissue Data'!$A:$A,'[1]Tissue Data'!M:M)</f>
        <v>2.5</v>
      </c>
      <c r="K1066" t="s">
        <v>26</v>
      </c>
      <c r="L1066" t="str">
        <f>_xlfn.XLOOKUP(K1066,[2]analyte_order!$B:$B,[2]analyte_order!$C:$C)</f>
        <v>2706-91-4</v>
      </c>
      <c r="M1066">
        <f>_xlfn.XLOOKUP(L1066,[2]analyte_order!$C:$C,[2]analyte_order!$E:$E)</f>
        <v>15</v>
      </c>
      <c r="N1066">
        <v>1.02</v>
      </c>
    </row>
    <row r="1067" spans="1:14">
      <c r="A1067" t="s">
        <v>156</v>
      </c>
      <c r="B1067" t="str">
        <f>_xlfn.XLOOKUP(A1067,'[1]Tissue Data'!$A:$A,'[1]Tissue Data'!$C:$C)</f>
        <v>Down</v>
      </c>
      <c r="C1067" s="2">
        <f>_xlfn.XLOOKUP(A1067,'[1]Tissue Data'!$A:$A,'[1]Tissue Data'!$D:$D)</f>
        <v>44314</v>
      </c>
      <c r="D1067" s="2" t="s">
        <v>122</v>
      </c>
      <c r="E1067" t="str">
        <f>_xlfn.XLOOKUP(A1067,'[1]Tissue Data'!$A:$A,'[1]Tissue Data'!$H:$H)</f>
        <v>Etheostoma</v>
      </c>
      <c r="F1067" t="str">
        <f>_xlfn.XLOOKUP(A1067,'[1]Tissue Data'!$A:$A,'[1]Tissue Data'!$I:$I)</f>
        <v>olmstedi</v>
      </c>
      <c r="G1067" t="str">
        <f>_xlfn.XLOOKUP(A1067,'[1]Tissue Data'!$A:$A,'[1]Tissue Data'!J:J)</f>
        <v>U</v>
      </c>
      <c r="H1067" t="str">
        <f>_xlfn.XLOOKUP(A1067,'[1]Tissue Data'!$A:$A,'[1]Tissue Data'!K:K)</f>
        <v>Whole Body</v>
      </c>
      <c r="I1067">
        <f>_xlfn.XLOOKUP(A1067,'[1]Tissue Data'!$A:$A,'[1]Tissue Data'!L:L)</f>
        <v>6</v>
      </c>
      <c r="J1067">
        <f>_xlfn.XLOOKUP(A1067,'[1]Tissue Data'!$A:$A,'[1]Tissue Data'!M:M)</f>
        <v>2.5</v>
      </c>
      <c r="K1067" t="s">
        <v>27</v>
      </c>
      <c r="L1067" t="str">
        <f>_xlfn.XLOOKUP(K1067,[2]analyte_order!$B:$B,[2]analyte_order!$C:$C)</f>
        <v>355-46-4</v>
      </c>
      <c r="M1067">
        <f>_xlfn.XLOOKUP(L1067,[2]analyte_order!$C:$C,[2]analyte_order!$E:$E)</f>
        <v>16</v>
      </c>
      <c r="N1067">
        <v>60.4</v>
      </c>
    </row>
    <row r="1068" spans="1:14">
      <c r="A1068" t="s">
        <v>156</v>
      </c>
      <c r="B1068" t="str">
        <f>_xlfn.XLOOKUP(A1068,'[1]Tissue Data'!$A:$A,'[1]Tissue Data'!$C:$C)</f>
        <v>Down</v>
      </c>
      <c r="C1068" s="2">
        <f>_xlfn.XLOOKUP(A1068,'[1]Tissue Data'!$A:$A,'[1]Tissue Data'!$D:$D)</f>
        <v>44314</v>
      </c>
      <c r="D1068" s="2" t="s">
        <v>122</v>
      </c>
      <c r="E1068" t="str">
        <f>_xlfn.XLOOKUP(A1068,'[1]Tissue Data'!$A:$A,'[1]Tissue Data'!$H:$H)</f>
        <v>Etheostoma</v>
      </c>
      <c r="F1068" t="str">
        <f>_xlfn.XLOOKUP(A1068,'[1]Tissue Data'!$A:$A,'[1]Tissue Data'!$I:$I)</f>
        <v>olmstedi</v>
      </c>
      <c r="G1068" t="str">
        <f>_xlfn.XLOOKUP(A1068,'[1]Tissue Data'!$A:$A,'[1]Tissue Data'!J:J)</f>
        <v>U</v>
      </c>
      <c r="H1068" t="str">
        <f>_xlfn.XLOOKUP(A1068,'[1]Tissue Data'!$A:$A,'[1]Tissue Data'!K:K)</f>
        <v>Whole Body</v>
      </c>
      <c r="I1068">
        <f>_xlfn.XLOOKUP(A1068,'[1]Tissue Data'!$A:$A,'[1]Tissue Data'!L:L)</f>
        <v>6</v>
      </c>
      <c r="J1068">
        <f>_xlfn.XLOOKUP(A1068,'[1]Tissue Data'!$A:$A,'[1]Tissue Data'!M:M)</f>
        <v>2.5</v>
      </c>
      <c r="K1068" t="s">
        <v>28</v>
      </c>
      <c r="L1068" t="str">
        <f>_xlfn.XLOOKUP(K1068,[2]analyte_order!$B:$B,[2]analyte_order!$C:$C)</f>
        <v>375-92-8</v>
      </c>
      <c r="M1068">
        <f>_xlfn.XLOOKUP(L1068,[2]analyte_order!$C:$C,[2]analyte_order!$E:$E)</f>
        <v>17</v>
      </c>
      <c r="N1068">
        <v>1.88</v>
      </c>
    </row>
    <row r="1069" spans="1:14">
      <c r="A1069" t="s">
        <v>156</v>
      </c>
      <c r="B1069" t="str">
        <f>_xlfn.XLOOKUP(A1069,'[1]Tissue Data'!$A:$A,'[1]Tissue Data'!$C:$C)</f>
        <v>Down</v>
      </c>
      <c r="C1069" s="2">
        <f>_xlfn.XLOOKUP(A1069,'[1]Tissue Data'!$A:$A,'[1]Tissue Data'!$D:$D)</f>
        <v>44314</v>
      </c>
      <c r="D1069" s="2" t="s">
        <v>122</v>
      </c>
      <c r="E1069" t="str">
        <f>_xlfn.XLOOKUP(A1069,'[1]Tissue Data'!$A:$A,'[1]Tissue Data'!$H:$H)</f>
        <v>Etheostoma</v>
      </c>
      <c r="F1069" t="str">
        <f>_xlfn.XLOOKUP(A1069,'[1]Tissue Data'!$A:$A,'[1]Tissue Data'!$I:$I)</f>
        <v>olmstedi</v>
      </c>
      <c r="G1069" t="str">
        <f>_xlfn.XLOOKUP(A1069,'[1]Tissue Data'!$A:$A,'[1]Tissue Data'!J:J)</f>
        <v>U</v>
      </c>
      <c r="H1069" t="str">
        <f>_xlfn.XLOOKUP(A1069,'[1]Tissue Data'!$A:$A,'[1]Tissue Data'!K:K)</f>
        <v>Whole Body</v>
      </c>
      <c r="I1069">
        <f>_xlfn.XLOOKUP(A1069,'[1]Tissue Data'!$A:$A,'[1]Tissue Data'!L:L)</f>
        <v>6</v>
      </c>
      <c r="J1069">
        <f>_xlfn.XLOOKUP(A1069,'[1]Tissue Data'!$A:$A,'[1]Tissue Data'!M:M)</f>
        <v>2.5</v>
      </c>
      <c r="K1069" t="s">
        <v>29</v>
      </c>
      <c r="L1069" t="str">
        <f>_xlfn.XLOOKUP(K1069,[2]analyte_order!$B:$B,[2]analyte_order!$C:$C)</f>
        <v>1763-23-1</v>
      </c>
      <c r="M1069">
        <f>_xlfn.XLOOKUP(L1069,[2]analyte_order!$C:$C,[2]analyte_order!$E:$E)</f>
        <v>18</v>
      </c>
      <c r="N1069">
        <v>351</v>
      </c>
    </row>
    <row r="1070" spans="1:14">
      <c r="A1070" t="s">
        <v>156</v>
      </c>
      <c r="B1070" t="str">
        <f>_xlfn.XLOOKUP(A1070,'[1]Tissue Data'!$A:$A,'[1]Tissue Data'!$C:$C)</f>
        <v>Down</v>
      </c>
      <c r="C1070" s="2">
        <f>_xlfn.XLOOKUP(A1070,'[1]Tissue Data'!$A:$A,'[1]Tissue Data'!$D:$D)</f>
        <v>44314</v>
      </c>
      <c r="D1070" s="2" t="s">
        <v>122</v>
      </c>
      <c r="E1070" t="str">
        <f>_xlfn.XLOOKUP(A1070,'[1]Tissue Data'!$A:$A,'[1]Tissue Data'!$H:$H)</f>
        <v>Etheostoma</v>
      </c>
      <c r="F1070" t="str">
        <f>_xlfn.XLOOKUP(A1070,'[1]Tissue Data'!$A:$A,'[1]Tissue Data'!$I:$I)</f>
        <v>olmstedi</v>
      </c>
      <c r="G1070" t="str">
        <f>_xlfn.XLOOKUP(A1070,'[1]Tissue Data'!$A:$A,'[1]Tissue Data'!J:J)</f>
        <v>U</v>
      </c>
      <c r="H1070" t="str">
        <f>_xlfn.XLOOKUP(A1070,'[1]Tissue Data'!$A:$A,'[1]Tissue Data'!K:K)</f>
        <v>Whole Body</v>
      </c>
      <c r="I1070">
        <f>_xlfn.XLOOKUP(A1070,'[1]Tissue Data'!$A:$A,'[1]Tissue Data'!L:L)</f>
        <v>6</v>
      </c>
      <c r="J1070">
        <f>_xlfn.XLOOKUP(A1070,'[1]Tissue Data'!$A:$A,'[1]Tissue Data'!M:M)</f>
        <v>2.5</v>
      </c>
      <c r="K1070" t="s">
        <v>30</v>
      </c>
      <c r="L1070" t="str">
        <f>_xlfn.XLOOKUP(K1070,[2]analyte_order!$B:$B,[2]analyte_order!$C:$C)</f>
        <v>68259-12-1</v>
      </c>
      <c r="M1070">
        <f>_xlfn.XLOOKUP(L1070,[2]analyte_order!$C:$C,[2]analyte_order!$E:$E)</f>
        <v>19</v>
      </c>
      <c r="N1070">
        <v>0.39700000000000002</v>
      </c>
    </row>
    <row r="1071" spans="1:14">
      <c r="A1071" t="s">
        <v>156</v>
      </c>
      <c r="B1071" t="str">
        <f>_xlfn.XLOOKUP(A1071,'[1]Tissue Data'!$A:$A,'[1]Tissue Data'!$C:$C)</f>
        <v>Down</v>
      </c>
      <c r="C1071" s="2">
        <f>_xlfn.XLOOKUP(A1071,'[1]Tissue Data'!$A:$A,'[1]Tissue Data'!$D:$D)</f>
        <v>44314</v>
      </c>
      <c r="D1071" s="2" t="s">
        <v>122</v>
      </c>
      <c r="E1071" t="str">
        <f>_xlfn.XLOOKUP(A1071,'[1]Tissue Data'!$A:$A,'[1]Tissue Data'!$H:$H)</f>
        <v>Etheostoma</v>
      </c>
      <c r="F1071" t="str">
        <f>_xlfn.XLOOKUP(A1071,'[1]Tissue Data'!$A:$A,'[1]Tissue Data'!$I:$I)</f>
        <v>olmstedi</v>
      </c>
      <c r="G1071" t="str">
        <f>_xlfn.XLOOKUP(A1071,'[1]Tissue Data'!$A:$A,'[1]Tissue Data'!J:J)</f>
        <v>U</v>
      </c>
      <c r="H1071" t="str">
        <f>_xlfn.XLOOKUP(A1071,'[1]Tissue Data'!$A:$A,'[1]Tissue Data'!K:K)</f>
        <v>Whole Body</v>
      </c>
      <c r="I1071">
        <f>_xlfn.XLOOKUP(A1071,'[1]Tissue Data'!$A:$A,'[1]Tissue Data'!L:L)</f>
        <v>6</v>
      </c>
      <c r="J1071">
        <f>_xlfn.XLOOKUP(A1071,'[1]Tissue Data'!$A:$A,'[1]Tissue Data'!M:M)</f>
        <v>2.5</v>
      </c>
      <c r="K1071" t="s">
        <v>31</v>
      </c>
      <c r="L1071" t="str">
        <f>_xlfn.XLOOKUP(K1071,[2]analyte_order!$B:$B,[2]analyte_order!$C:$C)</f>
        <v>335-77-3</v>
      </c>
      <c r="M1071">
        <f>_xlfn.XLOOKUP(L1071,[2]analyte_order!$C:$C,[2]analyte_order!$E:$E)</f>
        <v>20</v>
      </c>
      <c r="N1071">
        <v>0.19941993044999998</v>
      </c>
    </row>
    <row r="1072" spans="1:14">
      <c r="A1072" t="s">
        <v>156</v>
      </c>
      <c r="B1072" t="str">
        <f>_xlfn.XLOOKUP(A1072,'[1]Tissue Data'!$A:$A,'[1]Tissue Data'!$C:$C)</f>
        <v>Down</v>
      </c>
      <c r="C1072" s="2">
        <f>_xlfn.XLOOKUP(A1072,'[1]Tissue Data'!$A:$A,'[1]Tissue Data'!$D:$D)</f>
        <v>44314</v>
      </c>
      <c r="D1072" s="2" t="s">
        <v>122</v>
      </c>
      <c r="E1072" t="str">
        <f>_xlfn.XLOOKUP(A1072,'[1]Tissue Data'!$A:$A,'[1]Tissue Data'!$H:$H)</f>
        <v>Etheostoma</v>
      </c>
      <c r="F1072" t="str">
        <f>_xlfn.XLOOKUP(A1072,'[1]Tissue Data'!$A:$A,'[1]Tissue Data'!$I:$I)</f>
        <v>olmstedi</v>
      </c>
      <c r="G1072" t="str">
        <f>_xlfn.XLOOKUP(A1072,'[1]Tissue Data'!$A:$A,'[1]Tissue Data'!J:J)</f>
        <v>U</v>
      </c>
      <c r="H1072" t="str">
        <f>_xlfn.XLOOKUP(A1072,'[1]Tissue Data'!$A:$A,'[1]Tissue Data'!K:K)</f>
        <v>Whole Body</v>
      </c>
      <c r="I1072">
        <f>_xlfn.XLOOKUP(A1072,'[1]Tissue Data'!$A:$A,'[1]Tissue Data'!L:L)</f>
        <v>6</v>
      </c>
      <c r="J1072">
        <f>_xlfn.XLOOKUP(A1072,'[1]Tissue Data'!$A:$A,'[1]Tissue Data'!M:M)</f>
        <v>2.5</v>
      </c>
      <c r="K1072" t="s">
        <v>32</v>
      </c>
      <c r="L1072" t="str">
        <f>_xlfn.XLOOKUP(K1072,[2]analyte_order!$B:$B,[2]analyte_order!$C:$C)</f>
        <v>79780-39-5</v>
      </c>
      <c r="M1072">
        <f>_xlfn.XLOOKUP(L1072,[2]analyte_order!$C:$C,[2]analyte_order!$E:$E)</f>
        <v>21</v>
      </c>
      <c r="N1072">
        <v>0.26039860323750003</v>
      </c>
    </row>
    <row r="1073" spans="1:14">
      <c r="A1073" t="s">
        <v>156</v>
      </c>
      <c r="B1073" t="str">
        <f>_xlfn.XLOOKUP(A1073,'[1]Tissue Data'!$A:$A,'[1]Tissue Data'!$C:$C)</f>
        <v>Down</v>
      </c>
      <c r="C1073" s="2">
        <f>_xlfn.XLOOKUP(A1073,'[1]Tissue Data'!$A:$A,'[1]Tissue Data'!$D:$D)</f>
        <v>44314</v>
      </c>
      <c r="D1073" s="2" t="s">
        <v>122</v>
      </c>
      <c r="E1073" t="str">
        <f>_xlfn.XLOOKUP(A1073,'[1]Tissue Data'!$A:$A,'[1]Tissue Data'!$H:$H)</f>
        <v>Etheostoma</v>
      </c>
      <c r="F1073" t="str">
        <f>_xlfn.XLOOKUP(A1073,'[1]Tissue Data'!$A:$A,'[1]Tissue Data'!$I:$I)</f>
        <v>olmstedi</v>
      </c>
      <c r="G1073" t="str">
        <f>_xlfn.XLOOKUP(A1073,'[1]Tissue Data'!$A:$A,'[1]Tissue Data'!J:J)</f>
        <v>U</v>
      </c>
      <c r="H1073" t="str">
        <f>_xlfn.XLOOKUP(A1073,'[1]Tissue Data'!$A:$A,'[1]Tissue Data'!K:K)</f>
        <v>Whole Body</v>
      </c>
      <c r="I1073">
        <f>_xlfn.XLOOKUP(A1073,'[1]Tissue Data'!$A:$A,'[1]Tissue Data'!L:L)</f>
        <v>6</v>
      </c>
      <c r="J1073">
        <f>_xlfn.XLOOKUP(A1073,'[1]Tissue Data'!$A:$A,'[1]Tissue Data'!M:M)</f>
        <v>2.5</v>
      </c>
      <c r="K1073" t="s">
        <v>33</v>
      </c>
      <c r="L1073" t="str">
        <f>_xlfn.XLOOKUP(K1073,[2]analyte_order!$B:$B,[2]analyte_order!$C:$C)</f>
        <v>777011-38-8</v>
      </c>
      <c r="M1073">
        <f>_xlfn.XLOOKUP(L1073,[2]analyte_order!$C:$C,[2]analyte_order!$E:$E)</f>
        <v>54</v>
      </c>
      <c r="N1073">
        <v>0.14797504682999998</v>
      </c>
    </row>
    <row r="1074" spans="1:14">
      <c r="A1074" t="s">
        <v>156</v>
      </c>
      <c r="B1074" t="str">
        <f>_xlfn.XLOOKUP(A1074,'[1]Tissue Data'!$A:$A,'[1]Tissue Data'!$C:$C)</f>
        <v>Down</v>
      </c>
      <c r="C1074" s="2">
        <f>_xlfn.XLOOKUP(A1074,'[1]Tissue Data'!$A:$A,'[1]Tissue Data'!$D:$D)</f>
        <v>44314</v>
      </c>
      <c r="D1074" s="2" t="s">
        <v>122</v>
      </c>
      <c r="E1074" t="str">
        <f>_xlfn.XLOOKUP(A1074,'[1]Tissue Data'!$A:$A,'[1]Tissue Data'!$H:$H)</f>
        <v>Etheostoma</v>
      </c>
      <c r="F1074" t="str">
        <f>_xlfn.XLOOKUP(A1074,'[1]Tissue Data'!$A:$A,'[1]Tissue Data'!$I:$I)</f>
        <v>olmstedi</v>
      </c>
      <c r="G1074" t="str">
        <f>_xlfn.XLOOKUP(A1074,'[1]Tissue Data'!$A:$A,'[1]Tissue Data'!J:J)</f>
        <v>U</v>
      </c>
      <c r="H1074" t="str">
        <f>_xlfn.XLOOKUP(A1074,'[1]Tissue Data'!$A:$A,'[1]Tissue Data'!K:K)</f>
        <v>Whole Body</v>
      </c>
      <c r="I1074">
        <f>_xlfn.XLOOKUP(A1074,'[1]Tissue Data'!$A:$A,'[1]Tissue Data'!L:L)</f>
        <v>6</v>
      </c>
      <c r="J1074">
        <f>_xlfn.XLOOKUP(A1074,'[1]Tissue Data'!$A:$A,'[1]Tissue Data'!M:M)</f>
        <v>2.5</v>
      </c>
      <c r="K1074" t="s">
        <v>34</v>
      </c>
      <c r="L1074" t="str">
        <f>_xlfn.XLOOKUP(K1074,[2]analyte_order!$B:$B,[2]analyte_order!$C:$C)</f>
        <v>646-83-3</v>
      </c>
      <c r="M1074">
        <f>_xlfn.XLOOKUP(L1074,[2]analyte_order!$C:$C,[2]analyte_order!$E:$E)</f>
        <v>55</v>
      </c>
      <c r="N1074">
        <v>0.25</v>
      </c>
    </row>
    <row r="1075" spans="1:14">
      <c r="A1075" t="s">
        <v>156</v>
      </c>
      <c r="B1075" t="str">
        <f>_xlfn.XLOOKUP(A1075,'[1]Tissue Data'!$A:$A,'[1]Tissue Data'!$C:$C)</f>
        <v>Down</v>
      </c>
      <c r="C1075" s="2">
        <f>_xlfn.XLOOKUP(A1075,'[1]Tissue Data'!$A:$A,'[1]Tissue Data'!$D:$D)</f>
        <v>44314</v>
      </c>
      <c r="D1075" s="2" t="s">
        <v>122</v>
      </c>
      <c r="E1075" t="str">
        <f>_xlfn.XLOOKUP(A1075,'[1]Tissue Data'!$A:$A,'[1]Tissue Data'!$H:$H)</f>
        <v>Etheostoma</v>
      </c>
      <c r="F1075" t="str">
        <f>_xlfn.XLOOKUP(A1075,'[1]Tissue Data'!$A:$A,'[1]Tissue Data'!$I:$I)</f>
        <v>olmstedi</v>
      </c>
      <c r="G1075" t="str">
        <f>_xlfn.XLOOKUP(A1075,'[1]Tissue Data'!$A:$A,'[1]Tissue Data'!J:J)</f>
        <v>U</v>
      </c>
      <c r="H1075" t="str">
        <f>_xlfn.XLOOKUP(A1075,'[1]Tissue Data'!$A:$A,'[1]Tissue Data'!K:K)</f>
        <v>Whole Body</v>
      </c>
      <c r="I1075">
        <f>_xlfn.XLOOKUP(A1075,'[1]Tissue Data'!$A:$A,'[1]Tissue Data'!L:L)</f>
        <v>6</v>
      </c>
      <c r="J1075">
        <f>_xlfn.XLOOKUP(A1075,'[1]Tissue Data'!$A:$A,'[1]Tissue Data'!M:M)</f>
        <v>2.5</v>
      </c>
      <c r="K1075" t="s">
        <v>35</v>
      </c>
      <c r="L1075" t="str">
        <f>_xlfn.XLOOKUP(K1075,[2]analyte_order!$B:$B,[2]analyte_order!$C:$C)</f>
        <v>30334-69-1</v>
      </c>
      <c r="M1075">
        <f>_xlfn.XLOOKUP(L1075,[2]analyte_order!$C:$C,[2]analyte_order!$E:$E)</f>
        <v>51</v>
      </c>
      <c r="N1075">
        <v>20.3</v>
      </c>
    </row>
    <row r="1076" spans="1:14">
      <c r="A1076" t="s">
        <v>156</v>
      </c>
      <c r="B1076" t="str">
        <f>_xlfn.XLOOKUP(A1076,'[1]Tissue Data'!$A:$A,'[1]Tissue Data'!$C:$C)</f>
        <v>Down</v>
      </c>
      <c r="C1076" s="2">
        <f>_xlfn.XLOOKUP(A1076,'[1]Tissue Data'!$A:$A,'[1]Tissue Data'!$D:$D)</f>
        <v>44314</v>
      </c>
      <c r="D1076" s="2" t="s">
        <v>122</v>
      </c>
      <c r="E1076" t="str">
        <f>_xlfn.XLOOKUP(A1076,'[1]Tissue Data'!$A:$A,'[1]Tissue Data'!$H:$H)</f>
        <v>Etheostoma</v>
      </c>
      <c r="F1076" t="str">
        <f>_xlfn.XLOOKUP(A1076,'[1]Tissue Data'!$A:$A,'[1]Tissue Data'!$I:$I)</f>
        <v>olmstedi</v>
      </c>
      <c r="G1076" t="str">
        <f>_xlfn.XLOOKUP(A1076,'[1]Tissue Data'!$A:$A,'[1]Tissue Data'!J:J)</f>
        <v>U</v>
      </c>
      <c r="H1076" t="str">
        <f>_xlfn.XLOOKUP(A1076,'[1]Tissue Data'!$A:$A,'[1]Tissue Data'!K:K)</f>
        <v>Whole Body</v>
      </c>
      <c r="I1076">
        <f>_xlfn.XLOOKUP(A1076,'[1]Tissue Data'!$A:$A,'[1]Tissue Data'!L:L)</f>
        <v>6</v>
      </c>
      <c r="J1076">
        <f>_xlfn.XLOOKUP(A1076,'[1]Tissue Data'!$A:$A,'[1]Tissue Data'!M:M)</f>
        <v>2.5</v>
      </c>
      <c r="K1076" t="s">
        <v>36</v>
      </c>
      <c r="L1076" t="str">
        <f>_xlfn.XLOOKUP(K1076,[2]analyte_order!$B:$B,[2]analyte_order!$C:$C)</f>
        <v>41997-13-1</v>
      </c>
      <c r="M1076">
        <f>_xlfn.XLOOKUP(L1076,[2]analyte_order!$C:$C,[2]analyte_order!$E:$E)</f>
        <v>52</v>
      </c>
      <c r="N1076">
        <v>72.099999999999994</v>
      </c>
    </row>
    <row r="1077" spans="1:14">
      <c r="A1077" t="s">
        <v>156</v>
      </c>
      <c r="B1077" t="str">
        <f>_xlfn.XLOOKUP(A1077,'[1]Tissue Data'!$A:$A,'[1]Tissue Data'!$C:$C)</f>
        <v>Down</v>
      </c>
      <c r="C1077" s="2">
        <f>_xlfn.XLOOKUP(A1077,'[1]Tissue Data'!$A:$A,'[1]Tissue Data'!$D:$D)</f>
        <v>44314</v>
      </c>
      <c r="D1077" s="2" t="s">
        <v>122</v>
      </c>
      <c r="E1077" t="str">
        <f>_xlfn.XLOOKUP(A1077,'[1]Tissue Data'!$A:$A,'[1]Tissue Data'!$H:$H)</f>
        <v>Etheostoma</v>
      </c>
      <c r="F1077" t="str">
        <f>_xlfn.XLOOKUP(A1077,'[1]Tissue Data'!$A:$A,'[1]Tissue Data'!$I:$I)</f>
        <v>olmstedi</v>
      </c>
      <c r="G1077" t="str">
        <f>_xlfn.XLOOKUP(A1077,'[1]Tissue Data'!$A:$A,'[1]Tissue Data'!J:J)</f>
        <v>U</v>
      </c>
      <c r="H1077" t="str">
        <f>_xlfn.XLOOKUP(A1077,'[1]Tissue Data'!$A:$A,'[1]Tissue Data'!K:K)</f>
        <v>Whole Body</v>
      </c>
      <c r="I1077">
        <f>_xlfn.XLOOKUP(A1077,'[1]Tissue Data'!$A:$A,'[1]Tissue Data'!L:L)</f>
        <v>6</v>
      </c>
      <c r="J1077">
        <f>_xlfn.XLOOKUP(A1077,'[1]Tissue Data'!$A:$A,'[1]Tissue Data'!M:M)</f>
        <v>2.5</v>
      </c>
      <c r="K1077" t="s">
        <v>37</v>
      </c>
      <c r="L1077" t="str">
        <f>_xlfn.XLOOKUP(K1077,[2]analyte_order!$B:$B,[2]analyte_order!$C:$C)</f>
        <v>754-91-6</v>
      </c>
      <c r="M1077">
        <f>_xlfn.XLOOKUP(L1077,[2]analyte_order!$C:$C,[2]analyte_order!$E:$E)</f>
        <v>28</v>
      </c>
      <c r="N1077">
        <v>40.700000000000003</v>
      </c>
    </row>
    <row r="1078" spans="1:14">
      <c r="A1078" t="s">
        <v>156</v>
      </c>
      <c r="B1078" t="str">
        <f>_xlfn.XLOOKUP(A1078,'[1]Tissue Data'!$A:$A,'[1]Tissue Data'!$C:$C)</f>
        <v>Down</v>
      </c>
      <c r="C1078" s="2">
        <f>_xlfn.XLOOKUP(A1078,'[1]Tissue Data'!$A:$A,'[1]Tissue Data'!$D:$D)</f>
        <v>44314</v>
      </c>
      <c r="D1078" s="2" t="s">
        <v>122</v>
      </c>
      <c r="E1078" t="str">
        <f>_xlfn.XLOOKUP(A1078,'[1]Tissue Data'!$A:$A,'[1]Tissue Data'!$H:$H)</f>
        <v>Etheostoma</v>
      </c>
      <c r="F1078" t="str">
        <f>_xlfn.XLOOKUP(A1078,'[1]Tissue Data'!$A:$A,'[1]Tissue Data'!$I:$I)</f>
        <v>olmstedi</v>
      </c>
      <c r="G1078" t="str">
        <f>_xlfn.XLOOKUP(A1078,'[1]Tissue Data'!$A:$A,'[1]Tissue Data'!J:J)</f>
        <v>U</v>
      </c>
      <c r="H1078" t="str">
        <f>_xlfn.XLOOKUP(A1078,'[1]Tissue Data'!$A:$A,'[1]Tissue Data'!K:K)</f>
        <v>Whole Body</v>
      </c>
      <c r="I1078">
        <f>_xlfn.XLOOKUP(A1078,'[1]Tissue Data'!$A:$A,'[1]Tissue Data'!L:L)</f>
        <v>6</v>
      </c>
      <c r="J1078">
        <f>_xlfn.XLOOKUP(A1078,'[1]Tissue Data'!$A:$A,'[1]Tissue Data'!M:M)</f>
        <v>2.5</v>
      </c>
      <c r="K1078" t="s">
        <v>38</v>
      </c>
      <c r="L1078" t="str">
        <f>_xlfn.XLOOKUP(K1078,[2]analyte_order!$B:$B,[2]analyte_order!$C:$C)</f>
        <v>31506-32-8</v>
      </c>
      <c r="M1078">
        <f>_xlfn.XLOOKUP(L1078,[2]analyte_order!$C:$C,[2]analyte_order!$E:$E)</f>
        <v>30</v>
      </c>
      <c r="N1078">
        <v>5.4555597519734107E-2</v>
      </c>
    </row>
    <row r="1079" spans="1:14">
      <c r="A1079" t="s">
        <v>156</v>
      </c>
      <c r="B1079" t="str">
        <f>_xlfn.XLOOKUP(A1079,'[1]Tissue Data'!$A:$A,'[1]Tissue Data'!$C:$C)</f>
        <v>Down</v>
      </c>
      <c r="C1079" s="2">
        <f>_xlfn.XLOOKUP(A1079,'[1]Tissue Data'!$A:$A,'[1]Tissue Data'!$D:$D)</f>
        <v>44314</v>
      </c>
      <c r="D1079" s="2" t="s">
        <v>122</v>
      </c>
      <c r="E1079" t="str">
        <f>_xlfn.XLOOKUP(A1079,'[1]Tissue Data'!$A:$A,'[1]Tissue Data'!$H:$H)</f>
        <v>Etheostoma</v>
      </c>
      <c r="F1079" t="str">
        <f>_xlfn.XLOOKUP(A1079,'[1]Tissue Data'!$A:$A,'[1]Tissue Data'!$I:$I)</f>
        <v>olmstedi</v>
      </c>
      <c r="G1079" t="str">
        <f>_xlfn.XLOOKUP(A1079,'[1]Tissue Data'!$A:$A,'[1]Tissue Data'!J:J)</f>
        <v>U</v>
      </c>
      <c r="H1079" t="str">
        <f>_xlfn.XLOOKUP(A1079,'[1]Tissue Data'!$A:$A,'[1]Tissue Data'!K:K)</f>
        <v>Whole Body</v>
      </c>
      <c r="I1079">
        <f>_xlfn.XLOOKUP(A1079,'[1]Tissue Data'!$A:$A,'[1]Tissue Data'!L:L)</f>
        <v>6</v>
      </c>
      <c r="J1079">
        <f>_xlfn.XLOOKUP(A1079,'[1]Tissue Data'!$A:$A,'[1]Tissue Data'!M:M)</f>
        <v>2.5</v>
      </c>
      <c r="K1079" t="s">
        <v>39</v>
      </c>
      <c r="L1079" t="str">
        <f>_xlfn.XLOOKUP(K1079,[2]analyte_order!$B:$B,[2]analyte_order!$C:$C)</f>
        <v>4151-50-2</v>
      </c>
      <c r="M1079">
        <f>_xlfn.XLOOKUP(L1079,[2]analyte_order!$C:$C,[2]analyte_order!$E:$E)</f>
        <v>31</v>
      </c>
      <c r="N1079">
        <v>8.2639519656730373E-2</v>
      </c>
    </row>
    <row r="1080" spans="1:14">
      <c r="A1080" t="s">
        <v>156</v>
      </c>
      <c r="B1080" t="str">
        <f>_xlfn.XLOOKUP(A1080,'[1]Tissue Data'!$A:$A,'[1]Tissue Data'!$C:$C)</f>
        <v>Down</v>
      </c>
      <c r="C1080" s="2">
        <f>_xlfn.XLOOKUP(A1080,'[1]Tissue Data'!$A:$A,'[1]Tissue Data'!$D:$D)</f>
        <v>44314</v>
      </c>
      <c r="D1080" s="2" t="s">
        <v>122</v>
      </c>
      <c r="E1080" t="str">
        <f>_xlfn.XLOOKUP(A1080,'[1]Tissue Data'!$A:$A,'[1]Tissue Data'!$H:$H)</f>
        <v>Etheostoma</v>
      </c>
      <c r="F1080" t="str">
        <f>_xlfn.XLOOKUP(A1080,'[1]Tissue Data'!$A:$A,'[1]Tissue Data'!$I:$I)</f>
        <v>olmstedi</v>
      </c>
      <c r="G1080" t="str">
        <f>_xlfn.XLOOKUP(A1080,'[1]Tissue Data'!$A:$A,'[1]Tissue Data'!J:J)</f>
        <v>U</v>
      </c>
      <c r="H1080" t="str">
        <f>_xlfn.XLOOKUP(A1080,'[1]Tissue Data'!$A:$A,'[1]Tissue Data'!K:K)</f>
        <v>Whole Body</v>
      </c>
      <c r="I1080">
        <f>_xlfn.XLOOKUP(A1080,'[1]Tissue Data'!$A:$A,'[1]Tissue Data'!L:L)</f>
        <v>6</v>
      </c>
      <c r="J1080">
        <f>_xlfn.XLOOKUP(A1080,'[1]Tissue Data'!$A:$A,'[1]Tissue Data'!M:M)</f>
        <v>2.5</v>
      </c>
      <c r="K1080" t="s">
        <v>40</v>
      </c>
      <c r="L1080" t="str">
        <f>_xlfn.XLOOKUP(K1080,[2]analyte_order!$B:$B,[2]analyte_order!$C:$C)</f>
        <v>2806-24-8</v>
      </c>
      <c r="M1080">
        <f>_xlfn.XLOOKUP(L1080,[2]analyte_order!$C:$C,[2]analyte_order!$E:$E)</f>
        <v>29</v>
      </c>
      <c r="N1080">
        <v>5.5819806702326551E-2</v>
      </c>
    </row>
    <row r="1081" spans="1:14">
      <c r="A1081" t="s">
        <v>156</v>
      </c>
      <c r="B1081" t="str">
        <f>_xlfn.XLOOKUP(A1081,'[1]Tissue Data'!$A:$A,'[1]Tissue Data'!$C:$C)</f>
        <v>Down</v>
      </c>
      <c r="C1081" s="2">
        <f>_xlfn.XLOOKUP(A1081,'[1]Tissue Data'!$A:$A,'[1]Tissue Data'!$D:$D)</f>
        <v>44314</v>
      </c>
      <c r="D1081" s="2" t="s">
        <v>122</v>
      </c>
      <c r="E1081" t="str">
        <f>_xlfn.XLOOKUP(A1081,'[1]Tissue Data'!$A:$A,'[1]Tissue Data'!$H:$H)</f>
        <v>Etheostoma</v>
      </c>
      <c r="F1081" t="str">
        <f>_xlfn.XLOOKUP(A1081,'[1]Tissue Data'!$A:$A,'[1]Tissue Data'!$I:$I)</f>
        <v>olmstedi</v>
      </c>
      <c r="G1081" t="str">
        <f>_xlfn.XLOOKUP(A1081,'[1]Tissue Data'!$A:$A,'[1]Tissue Data'!J:J)</f>
        <v>U</v>
      </c>
      <c r="H1081" t="str">
        <f>_xlfn.XLOOKUP(A1081,'[1]Tissue Data'!$A:$A,'[1]Tissue Data'!K:K)</f>
        <v>Whole Body</v>
      </c>
      <c r="I1081">
        <f>_xlfn.XLOOKUP(A1081,'[1]Tissue Data'!$A:$A,'[1]Tissue Data'!L:L)</f>
        <v>6</v>
      </c>
      <c r="J1081">
        <f>_xlfn.XLOOKUP(A1081,'[1]Tissue Data'!$A:$A,'[1]Tissue Data'!M:M)</f>
        <v>2.5</v>
      </c>
      <c r="K1081" t="s">
        <v>41</v>
      </c>
      <c r="L1081" t="str">
        <f>_xlfn.XLOOKUP(K1081,[2]analyte_order!$B:$B,[2]analyte_order!$C:$C)</f>
        <v>2355-31-9</v>
      </c>
      <c r="M1081">
        <f>_xlfn.XLOOKUP(L1081,[2]analyte_order!$C:$C,[2]analyte_order!$E:$E)</f>
        <v>26</v>
      </c>
      <c r="N1081">
        <v>17.600000000000001</v>
      </c>
    </row>
    <row r="1082" spans="1:14">
      <c r="A1082" t="s">
        <v>156</v>
      </c>
      <c r="B1082" t="str">
        <f>_xlfn.XLOOKUP(A1082,'[1]Tissue Data'!$A:$A,'[1]Tissue Data'!$C:$C)</f>
        <v>Down</v>
      </c>
      <c r="C1082" s="2">
        <f>_xlfn.XLOOKUP(A1082,'[1]Tissue Data'!$A:$A,'[1]Tissue Data'!$D:$D)</f>
        <v>44314</v>
      </c>
      <c r="D1082" s="2" t="s">
        <v>122</v>
      </c>
      <c r="E1082" t="str">
        <f>_xlfn.XLOOKUP(A1082,'[1]Tissue Data'!$A:$A,'[1]Tissue Data'!$H:$H)</f>
        <v>Etheostoma</v>
      </c>
      <c r="F1082" t="str">
        <f>_xlfn.XLOOKUP(A1082,'[1]Tissue Data'!$A:$A,'[1]Tissue Data'!$I:$I)</f>
        <v>olmstedi</v>
      </c>
      <c r="G1082" t="str">
        <f>_xlfn.XLOOKUP(A1082,'[1]Tissue Data'!$A:$A,'[1]Tissue Data'!J:J)</f>
        <v>U</v>
      </c>
      <c r="H1082" t="str">
        <f>_xlfn.XLOOKUP(A1082,'[1]Tissue Data'!$A:$A,'[1]Tissue Data'!K:K)</f>
        <v>Whole Body</v>
      </c>
      <c r="I1082">
        <f>_xlfn.XLOOKUP(A1082,'[1]Tissue Data'!$A:$A,'[1]Tissue Data'!L:L)</f>
        <v>6</v>
      </c>
      <c r="J1082">
        <f>_xlfn.XLOOKUP(A1082,'[1]Tissue Data'!$A:$A,'[1]Tissue Data'!M:M)</f>
        <v>2.5</v>
      </c>
      <c r="K1082" t="s">
        <v>42</v>
      </c>
      <c r="L1082" t="str">
        <f>_xlfn.XLOOKUP(K1082,[2]analyte_order!$B:$B,[2]analyte_order!$C:$C)</f>
        <v>2991-50-6</v>
      </c>
      <c r="M1082">
        <f>_xlfn.XLOOKUP(L1082,[2]analyte_order!$C:$C,[2]analyte_order!$E:$E)</f>
        <v>27</v>
      </c>
      <c r="N1082">
        <v>6.1467769102098044E-2</v>
      </c>
    </row>
    <row r="1083" spans="1:14">
      <c r="A1083" t="s">
        <v>156</v>
      </c>
      <c r="B1083" t="str">
        <f>_xlfn.XLOOKUP(A1083,'[1]Tissue Data'!$A:$A,'[1]Tissue Data'!$C:$C)</f>
        <v>Down</v>
      </c>
      <c r="C1083" s="2">
        <f>_xlfn.XLOOKUP(A1083,'[1]Tissue Data'!$A:$A,'[1]Tissue Data'!$D:$D)</f>
        <v>44314</v>
      </c>
      <c r="D1083" s="2" t="s">
        <v>122</v>
      </c>
      <c r="E1083" t="str">
        <f>_xlfn.XLOOKUP(A1083,'[1]Tissue Data'!$A:$A,'[1]Tissue Data'!$H:$H)</f>
        <v>Etheostoma</v>
      </c>
      <c r="F1083" t="str">
        <f>_xlfn.XLOOKUP(A1083,'[1]Tissue Data'!$A:$A,'[1]Tissue Data'!$I:$I)</f>
        <v>olmstedi</v>
      </c>
      <c r="G1083" t="str">
        <f>_xlfn.XLOOKUP(A1083,'[1]Tissue Data'!$A:$A,'[1]Tissue Data'!J:J)</f>
        <v>U</v>
      </c>
      <c r="H1083" t="str">
        <f>_xlfn.XLOOKUP(A1083,'[1]Tissue Data'!$A:$A,'[1]Tissue Data'!K:K)</f>
        <v>Whole Body</v>
      </c>
      <c r="I1083">
        <f>_xlfn.XLOOKUP(A1083,'[1]Tissue Data'!$A:$A,'[1]Tissue Data'!L:L)</f>
        <v>6</v>
      </c>
      <c r="J1083">
        <f>_xlfn.XLOOKUP(A1083,'[1]Tissue Data'!$A:$A,'[1]Tissue Data'!M:M)</f>
        <v>2.5</v>
      </c>
      <c r="K1083" t="s">
        <v>43</v>
      </c>
      <c r="L1083" t="str">
        <f>_xlfn.XLOOKUP(K1083,[2]analyte_order!$B:$B,[2]analyte_order!$C:$C)</f>
        <v>757124-72-4</v>
      </c>
      <c r="M1083">
        <f>_xlfn.XLOOKUP(L1083,[2]analyte_order!$C:$C,[2]analyte_order!$E:$E)</f>
        <v>22</v>
      </c>
      <c r="N1083">
        <v>5.816759677814707E-2</v>
      </c>
    </row>
    <row r="1084" spans="1:14">
      <c r="A1084" t="s">
        <v>156</v>
      </c>
      <c r="B1084" t="str">
        <f>_xlfn.XLOOKUP(A1084,'[1]Tissue Data'!$A:$A,'[1]Tissue Data'!$C:$C)</f>
        <v>Down</v>
      </c>
      <c r="C1084" s="2">
        <f>_xlfn.XLOOKUP(A1084,'[1]Tissue Data'!$A:$A,'[1]Tissue Data'!$D:$D)</f>
        <v>44314</v>
      </c>
      <c r="D1084" s="2" t="s">
        <v>122</v>
      </c>
      <c r="E1084" t="str">
        <f>_xlfn.XLOOKUP(A1084,'[1]Tissue Data'!$A:$A,'[1]Tissue Data'!$H:$H)</f>
        <v>Etheostoma</v>
      </c>
      <c r="F1084" t="str">
        <f>_xlfn.XLOOKUP(A1084,'[1]Tissue Data'!$A:$A,'[1]Tissue Data'!$I:$I)</f>
        <v>olmstedi</v>
      </c>
      <c r="G1084" t="str">
        <f>_xlfn.XLOOKUP(A1084,'[1]Tissue Data'!$A:$A,'[1]Tissue Data'!J:J)</f>
        <v>U</v>
      </c>
      <c r="H1084" t="str">
        <f>_xlfn.XLOOKUP(A1084,'[1]Tissue Data'!$A:$A,'[1]Tissue Data'!K:K)</f>
        <v>Whole Body</v>
      </c>
      <c r="I1084">
        <f>_xlfn.XLOOKUP(A1084,'[1]Tissue Data'!$A:$A,'[1]Tissue Data'!L:L)</f>
        <v>6</v>
      </c>
      <c r="J1084">
        <f>_xlfn.XLOOKUP(A1084,'[1]Tissue Data'!$A:$A,'[1]Tissue Data'!M:M)</f>
        <v>2.5</v>
      </c>
      <c r="K1084" t="s">
        <v>44</v>
      </c>
      <c r="L1084" t="str">
        <f>_xlfn.XLOOKUP(K1084,[2]analyte_order!$B:$B,[2]analyte_order!$C:$C)</f>
        <v>27619-97-2</v>
      </c>
      <c r="M1084">
        <f>_xlfn.XLOOKUP(L1084,[2]analyte_order!$C:$C,[2]analyte_order!$E:$E)</f>
        <v>23</v>
      </c>
      <c r="N1084">
        <v>2.35</v>
      </c>
    </row>
    <row r="1085" spans="1:14">
      <c r="A1085" t="s">
        <v>156</v>
      </c>
      <c r="B1085" t="str">
        <f>_xlfn.XLOOKUP(A1085,'[1]Tissue Data'!$A:$A,'[1]Tissue Data'!$C:$C)</f>
        <v>Down</v>
      </c>
      <c r="C1085" s="2">
        <f>_xlfn.XLOOKUP(A1085,'[1]Tissue Data'!$A:$A,'[1]Tissue Data'!$D:$D)</f>
        <v>44314</v>
      </c>
      <c r="D1085" s="2" t="s">
        <v>122</v>
      </c>
      <c r="E1085" t="str">
        <f>_xlfn.XLOOKUP(A1085,'[1]Tissue Data'!$A:$A,'[1]Tissue Data'!$H:$H)</f>
        <v>Etheostoma</v>
      </c>
      <c r="F1085" t="str">
        <f>_xlfn.XLOOKUP(A1085,'[1]Tissue Data'!$A:$A,'[1]Tissue Data'!$I:$I)</f>
        <v>olmstedi</v>
      </c>
      <c r="G1085" t="str">
        <f>_xlfn.XLOOKUP(A1085,'[1]Tissue Data'!$A:$A,'[1]Tissue Data'!J:J)</f>
        <v>U</v>
      </c>
      <c r="H1085" t="str">
        <f>_xlfn.XLOOKUP(A1085,'[1]Tissue Data'!$A:$A,'[1]Tissue Data'!K:K)</f>
        <v>Whole Body</v>
      </c>
      <c r="I1085">
        <f>_xlfn.XLOOKUP(A1085,'[1]Tissue Data'!$A:$A,'[1]Tissue Data'!L:L)</f>
        <v>6</v>
      </c>
      <c r="J1085">
        <f>_xlfn.XLOOKUP(A1085,'[1]Tissue Data'!$A:$A,'[1]Tissue Data'!M:M)</f>
        <v>2.5</v>
      </c>
      <c r="K1085" t="s">
        <v>45</v>
      </c>
      <c r="L1085" t="str">
        <f>_xlfn.XLOOKUP(K1085,[2]analyte_order!$B:$B,[2]analyte_order!$C:$C)</f>
        <v>39108-34-4</v>
      </c>
      <c r="M1085">
        <f>_xlfn.XLOOKUP(L1085,[2]analyte_order!$C:$C,[2]analyte_order!$E:$E)</f>
        <v>24</v>
      </c>
      <c r="N1085">
        <v>1.84</v>
      </c>
    </row>
    <row r="1086" spans="1:14">
      <c r="A1086" t="s">
        <v>156</v>
      </c>
      <c r="B1086" t="str">
        <f>_xlfn.XLOOKUP(A1086,'[1]Tissue Data'!$A:$A,'[1]Tissue Data'!$C:$C)</f>
        <v>Down</v>
      </c>
      <c r="C1086" s="2">
        <f>_xlfn.XLOOKUP(A1086,'[1]Tissue Data'!$A:$A,'[1]Tissue Data'!$D:$D)</f>
        <v>44314</v>
      </c>
      <c r="D1086" s="2" t="s">
        <v>122</v>
      </c>
      <c r="E1086" t="str">
        <f>_xlfn.XLOOKUP(A1086,'[1]Tissue Data'!$A:$A,'[1]Tissue Data'!$H:$H)</f>
        <v>Etheostoma</v>
      </c>
      <c r="F1086" t="str">
        <f>_xlfn.XLOOKUP(A1086,'[1]Tissue Data'!$A:$A,'[1]Tissue Data'!$I:$I)</f>
        <v>olmstedi</v>
      </c>
      <c r="G1086" t="str">
        <f>_xlfn.XLOOKUP(A1086,'[1]Tissue Data'!$A:$A,'[1]Tissue Data'!J:J)</f>
        <v>U</v>
      </c>
      <c r="H1086" t="str">
        <f>_xlfn.XLOOKUP(A1086,'[1]Tissue Data'!$A:$A,'[1]Tissue Data'!K:K)</f>
        <v>Whole Body</v>
      </c>
      <c r="I1086">
        <f>_xlfn.XLOOKUP(A1086,'[1]Tissue Data'!$A:$A,'[1]Tissue Data'!L:L)</f>
        <v>6</v>
      </c>
      <c r="J1086">
        <f>_xlfn.XLOOKUP(A1086,'[1]Tissue Data'!$A:$A,'[1]Tissue Data'!M:M)</f>
        <v>2.5</v>
      </c>
      <c r="K1086" t="s">
        <v>46</v>
      </c>
      <c r="L1086" t="str">
        <f>_xlfn.XLOOKUP(K1086,[2]analyte_order!$B:$B,[2]analyte_order!$C:$C)</f>
        <v>120226-60-0</v>
      </c>
      <c r="M1086">
        <f>_xlfn.XLOOKUP(L1086,[2]analyte_order!$C:$C,[2]analyte_order!$E:$E)</f>
        <v>25</v>
      </c>
      <c r="N1086">
        <v>8.040933153302865E-2</v>
      </c>
    </row>
    <row r="1087" spans="1:14">
      <c r="A1087" t="s">
        <v>156</v>
      </c>
      <c r="B1087" t="str">
        <f>_xlfn.XLOOKUP(A1087,'[1]Tissue Data'!$A:$A,'[1]Tissue Data'!$C:$C)</f>
        <v>Down</v>
      </c>
      <c r="C1087" s="2">
        <f>_xlfn.XLOOKUP(A1087,'[1]Tissue Data'!$A:$A,'[1]Tissue Data'!$D:$D)</f>
        <v>44314</v>
      </c>
      <c r="D1087" s="2" t="s">
        <v>122</v>
      </c>
      <c r="E1087" t="str">
        <f>_xlfn.XLOOKUP(A1087,'[1]Tissue Data'!$A:$A,'[1]Tissue Data'!$H:$H)</f>
        <v>Etheostoma</v>
      </c>
      <c r="F1087" t="str">
        <f>_xlfn.XLOOKUP(A1087,'[1]Tissue Data'!$A:$A,'[1]Tissue Data'!$I:$I)</f>
        <v>olmstedi</v>
      </c>
      <c r="G1087" t="str">
        <f>_xlfn.XLOOKUP(A1087,'[1]Tissue Data'!$A:$A,'[1]Tissue Data'!J:J)</f>
        <v>U</v>
      </c>
      <c r="H1087" t="str">
        <f>_xlfn.XLOOKUP(A1087,'[1]Tissue Data'!$A:$A,'[1]Tissue Data'!K:K)</f>
        <v>Whole Body</v>
      </c>
      <c r="I1087">
        <f>_xlfn.XLOOKUP(A1087,'[1]Tissue Data'!$A:$A,'[1]Tissue Data'!L:L)</f>
        <v>6</v>
      </c>
      <c r="J1087">
        <f>_xlfn.XLOOKUP(A1087,'[1]Tissue Data'!$A:$A,'[1]Tissue Data'!M:M)</f>
        <v>2.5</v>
      </c>
      <c r="K1087" t="s">
        <v>47</v>
      </c>
      <c r="L1087" t="str">
        <f>_xlfn.XLOOKUP(K1087,[2]analyte_order!$B:$B,[2]analyte_order!$C:$C)</f>
        <v>356-02-5</v>
      </c>
      <c r="M1087">
        <f>_xlfn.XLOOKUP(L1087,[2]analyte_order!$C:$C,[2]analyte_order!$E:$E)</f>
        <v>38</v>
      </c>
      <c r="N1087">
        <v>8.168567387567513E-2</v>
      </c>
    </row>
    <row r="1088" spans="1:14">
      <c r="A1088" t="s">
        <v>156</v>
      </c>
      <c r="B1088" t="str">
        <f>_xlfn.XLOOKUP(A1088,'[1]Tissue Data'!$A:$A,'[1]Tissue Data'!$C:$C)</f>
        <v>Down</v>
      </c>
      <c r="C1088" s="2">
        <f>_xlfn.XLOOKUP(A1088,'[1]Tissue Data'!$A:$A,'[1]Tissue Data'!$D:$D)</f>
        <v>44314</v>
      </c>
      <c r="D1088" s="2" t="s">
        <v>122</v>
      </c>
      <c r="E1088" t="str">
        <f>_xlfn.XLOOKUP(A1088,'[1]Tissue Data'!$A:$A,'[1]Tissue Data'!$H:$H)</f>
        <v>Etheostoma</v>
      </c>
      <c r="F1088" t="str">
        <f>_xlfn.XLOOKUP(A1088,'[1]Tissue Data'!$A:$A,'[1]Tissue Data'!$I:$I)</f>
        <v>olmstedi</v>
      </c>
      <c r="G1088" t="str">
        <f>_xlfn.XLOOKUP(A1088,'[1]Tissue Data'!$A:$A,'[1]Tissue Data'!J:J)</f>
        <v>U</v>
      </c>
      <c r="H1088" t="str">
        <f>_xlfn.XLOOKUP(A1088,'[1]Tissue Data'!$A:$A,'[1]Tissue Data'!K:K)</f>
        <v>Whole Body</v>
      </c>
      <c r="I1088">
        <f>_xlfn.XLOOKUP(A1088,'[1]Tissue Data'!$A:$A,'[1]Tissue Data'!L:L)</f>
        <v>6</v>
      </c>
      <c r="J1088">
        <f>_xlfn.XLOOKUP(A1088,'[1]Tissue Data'!$A:$A,'[1]Tissue Data'!M:M)</f>
        <v>2.5</v>
      </c>
      <c r="K1088" t="s">
        <v>48</v>
      </c>
      <c r="L1088" t="str">
        <f>_xlfn.XLOOKUP(K1088,[2]analyte_order!$B:$B,[2]analyte_order!$C:$C)</f>
        <v>914637-49-3</v>
      </c>
      <c r="M1088">
        <f>_xlfn.XLOOKUP(L1088,[2]analyte_order!$C:$C,[2]analyte_order!$E:$E)</f>
        <v>39</v>
      </c>
      <c r="N1088">
        <v>0.18376345259999999</v>
      </c>
    </row>
    <row r="1089" spans="1:14">
      <c r="A1089" t="s">
        <v>156</v>
      </c>
      <c r="B1089" t="str">
        <f>_xlfn.XLOOKUP(A1089,'[1]Tissue Data'!$A:$A,'[1]Tissue Data'!$C:$C)</f>
        <v>Down</v>
      </c>
      <c r="C1089" s="2">
        <f>_xlfn.XLOOKUP(A1089,'[1]Tissue Data'!$A:$A,'[1]Tissue Data'!$D:$D)</f>
        <v>44314</v>
      </c>
      <c r="D1089" s="2" t="s">
        <v>122</v>
      </c>
      <c r="E1089" t="str">
        <f>_xlfn.XLOOKUP(A1089,'[1]Tissue Data'!$A:$A,'[1]Tissue Data'!$H:$H)</f>
        <v>Etheostoma</v>
      </c>
      <c r="F1089" t="str">
        <f>_xlfn.XLOOKUP(A1089,'[1]Tissue Data'!$A:$A,'[1]Tissue Data'!$I:$I)</f>
        <v>olmstedi</v>
      </c>
      <c r="G1089" t="str">
        <f>_xlfn.XLOOKUP(A1089,'[1]Tissue Data'!$A:$A,'[1]Tissue Data'!J:J)</f>
        <v>U</v>
      </c>
      <c r="H1089" t="str">
        <f>_xlfn.XLOOKUP(A1089,'[1]Tissue Data'!$A:$A,'[1]Tissue Data'!K:K)</f>
        <v>Whole Body</v>
      </c>
      <c r="I1089">
        <f>_xlfn.XLOOKUP(A1089,'[1]Tissue Data'!$A:$A,'[1]Tissue Data'!L:L)</f>
        <v>6</v>
      </c>
      <c r="J1089">
        <f>_xlfn.XLOOKUP(A1089,'[1]Tissue Data'!$A:$A,'[1]Tissue Data'!M:M)</f>
        <v>2.5</v>
      </c>
      <c r="K1089" t="s">
        <v>49</v>
      </c>
      <c r="L1089" t="str">
        <f>_xlfn.XLOOKUP(K1089,[2]analyte_order!$B:$B,[2]analyte_order!$C:$C)</f>
        <v>812-70-4</v>
      </c>
      <c r="M1089">
        <f>_xlfn.XLOOKUP(L1089,[2]analyte_order!$C:$C,[2]analyte_order!$E:$E)</f>
        <v>40</v>
      </c>
      <c r="N1089">
        <v>2.59</v>
      </c>
    </row>
    <row r="1090" spans="1:14">
      <c r="A1090" t="s">
        <v>156</v>
      </c>
      <c r="B1090" t="str">
        <f>_xlfn.XLOOKUP(A1090,'[1]Tissue Data'!$A:$A,'[1]Tissue Data'!$C:$C)</f>
        <v>Down</v>
      </c>
      <c r="C1090" s="2">
        <f>_xlfn.XLOOKUP(A1090,'[1]Tissue Data'!$A:$A,'[1]Tissue Data'!$D:$D)</f>
        <v>44314</v>
      </c>
      <c r="D1090" s="2" t="s">
        <v>122</v>
      </c>
      <c r="E1090" t="str">
        <f>_xlfn.XLOOKUP(A1090,'[1]Tissue Data'!$A:$A,'[1]Tissue Data'!$H:$H)</f>
        <v>Etheostoma</v>
      </c>
      <c r="F1090" t="str">
        <f>_xlfn.XLOOKUP(A1090,'[1]Tissue Data'!$A:$A,'[1]Tissue Data'!$I:$I)</f>
        <v>olmstedi</v>
      </c>
      <c r="G1090" t="str">
        <f>_xlfn.XLOOKUP(A1090,'[1]Tissue Data'!$A:$A,'[1]Tissue Data'!J:J)</f>
        <v>U</v>
      </c>
      <c r="H1090" t="str">
        <f>_xlfn.XLOOKUP(A1090,'[1]Tissue Data'!$A:$A,'[1]Tissue Data'!K:K)</f>
        <v>Whole Body</v>
      </c>
      <c r="I1090">
        <f>_xlfn.XLOOKUP(A1090,'[1]Tissue Data'!$A:$A,'[1]Tissue Data'!L:L)</f>
        <v>6</v>
      </c>
      <c r="J1090">
        <f>_xlfn.XLOOKUP(A1090,'[1]Tissue Data'!$A:$A,'[1]Tissue Data'!M:M)</f>
        <v>2.5</v>
      </c>
      <c r="K1090" t="s">
        <v>50</v>
      </c>
      <c r="L1090" t="str">
        <f>_xlfn.XLOOKUP(K1090,[2]analyte_order!$B:$B,[2]analyte_order!$C:$C)</f>
        <v>53826-12-3</v>
      </c>
      <c r="M1090">
        <f>_xlfn.XLOOKUP(L1090,[2]analyte_order!$C:$C,[2]analyte_order!$E:$E)</f>
        <v>41</v>
      </c>
      <c r="N1090">
        <v>3.47</v>
      </c>
    </row>
    <row r="1091" spans="1:14">
      <c r="A1091" t="s">
        <v>156</v>
      </c>
      <c r="B1091" t="str">
        <f>_xlfn.XLOOKUP(A1091,'[1]Tissue Data'!$A:$A,'[1]Tissue Data'!$C:$C)</f>
        <v>Down</v>
      </c>
      <c r="C1091" s="2">
        <f>_xlfn.XLOOKUP(A1091,'[1]Tissue Data'!$A:$A,'[1]Tissue Data'!$D:$D)</f>
        <v>44314</v>
      </c>
      <c r="D1091" s="2" t="s">
        <v>122</v>
      </c>
      <c r="E1091" t="str">
        <f>_xlfn.XLOOKUP(A1091,'[1]Tissue Data'!$A:$A,'[1]Tissue Data'!$H:$H)</f>
        <v>Etheostoma</v>
      </c>
      <c r="F1091" t="str">
        <f>_xlfn.XLOOKUP(A1091,'[1]Tissue Data'!$A:$A,'[1]Tissue Data'!$I:$I)</f>
        <v>olmstedi</v>
      </c>
      <c r="G1091" t="str">
        <f>_xlfn.XLOOKUP(A1091,'[1]Tissue Data'!$A:$A,'[1]Tissue Data'!J:J)</f>
        <v>U</v>
      </c>
      <c r="H1091" t="str">
        <f>_xlfn.XLOOKUP(A1091,'[1]Tissue Data'!$A:$A,'[1]Tissue Data'!K:K)</f>
        <v>Whole Body</v>
      </c>
      <c r="I1091">
        <f>_xlfn.XLOOKUP(A1091,'[1]Tissue Data'!$A:$A,'[1]Tissue Data'!L:L)</f>
        <v>6</v>
      </c>
      <c r="J1091">
        <f>_xlfn.XLOOKUP(A1091,'[1]Tissue Data'!$A:$A,'[1]Tissue Data'!M:M)</f>
        <v>2.5</v>
      </c>
      <c r="K1091" t="s">
        <v>51</v>
      </c>
      <c r="L1091" t="str">
        <f>_xlfn.XLOOKUP(K1091,[2]analyte_order!$B:$B,[2]analyte_order!$C:$C)</f>
        <v>27854-31-5</v>
      </c>
      <c r="M1091">
        <f>_xlfn.XLOOKUP(L1091,[2]analyte_order!$C:$C,[2]analyte_order!$E:$E)</f>
        <v>42</v>
      </c>
      <c r="N1091">
        <v>2.8326472032329946E-2</v>
      </c>
    </row>
    <row r="1092" spans="1:14">
      <c r="A1092" t="s">
        <v>156</v>
      </c>
      <c r="B1092" t="str">
        <f>_xlfn.XLOOKUP(A1092,'[1]Tissue Data'!$A:$A,'[1]Tissue Data'!$C:$C)</f>
        <v>Down</v>
      </c>
      <c r="C1092" s="2">
        <f>_xlfn.XLOOKUP(A1092,'[1]Tissue Data'!$A:$A,'[1]Tissue Data'!$D:$D)</f>
        <v>44314</v>
      </c>
      <c r="D1092" s="2" t="s">
        <v>122</v>
      </c>
      <c r="E1092" t="str">
        <f>_xlfn.XLOOKUP(A1092,'[1]Tissue Data'!$A:$A,'[1]Tissue Data'!$H:$H)</f>
        <v>Etheostoma</v>
      </c>
      <c r="F1092" t="str">
        <f>_xlfn.XLOOKUP(A1092,'[1]Tissue Data'!$A:$A,'[1]Tissue Data'!$I:$I)</f>
        <v>olmstedi</v>
      </c>
      <c r="G1092" t="str">
        <f>_xlfn.XLOOKUP(A1092,'[1]Tissue Data'!$A:$A,'[1]Tissue Data'!J:J)</f>
        <v>U</v>
      </c>
      <c r="H1092" t="str">
        <f>_xlfn.XLOOKUP(A1092,'[1]Tissue Data'!$A:$A,'[1]Tissue Data'!K:K)</f>
        <v>Whole Body</v>
      </c>
      <c r="I1092">
        <f>_xlfn.XLOOKUP(A1092,'[1]Tissue Data'!$A:$A,'[1]Tissue Data'!L:L)</f>
        <v>6</v>
      </c>
      <c r="J1092">
        <f>_xlfn.XLOOKUP(A1092,'[1]Tissue Data'!$A:$A,'[1]Tissue Data'!M:M)</f>
        <v>2.5</v>
      </c>
      <c r="K1092" t="s">
        <v>52</v>
      </c>
      <c r="L1092" t="str">
        <f>_xlfn.XLOOKUP(K1092,[2]analyte_order!$B:$B,[2]analyte_order!$C:$C)</f>
        <v>53826-13-4</v>
      </c>
      <c r="M1092">
        <f>_xlfn.XLOOKUP(L1092,[2]analyte_order!$C:$C,[2]analyte_order!$E:$E)</f>
        <v>43</v>
      </c>
      <c r="N1092">
        <v>0.10567137334804738</v>
      </c>
    </row>
    <row r="1093" spans="1:14">
      <c r="A1093" t="s">
        <v>156</v>
      </c>
      <c r="B1093" t="str">
        <f>_xlfn.XLOOKUP(A1093,'[1]Tissue Data'!$A:$A,'[1]Tissue Data'!$C:$C)</f>
        <v>Down</v>
      </c>
      <c r="C1093" s="2">
        <f>_xlfn.XLOOKUP(A1093,'[1]Tissue Data'!$A:$A,'[1]Tissue Data'!$D:$D)</f>
        <v>44314</v>
      </c>
      <c r="D1093" s="2" t="s">
        <v>122</v>
      </c>
      <c r="E1093" t="str">
        <f>_xlfn.XLOOKUP(A1093,'[1]Tissue Data'!$A:$A,'[1]Tissue Data'!$H:$H)</f>
        <v>Etheostoma</v>
      </c>
      <c r="F1093" t="str">
        <f>_xlfn.XLOOKUP(A1093,'[1]Tissue Data'!$A:$A,'[1]Tissue Data'!$I:$I)</f>
        <v>olmstedi</v>
      </c>
      <c r="G1093" t="str">
        <f>_xlfn.XLOOKUP(A1093,'[1]Tissue Data'!$A:$A,'[1]Tissue Data'!J:J)</f>
        <v>U</v>
      </c>
      <c r="H1093" t="str">
        <f>_xlfn.XLOOKUP(A1093,'[1]Tissue Data'!$A:$A,'[1]Tissue Data'!K:K)</f>
        <v>Whole Body</v>
      </c>
      <c r="I1093">
        <f>_xlfn.XLOOKUP(A1093,'[1]Tissue Data'!$A:$A,'[1]Tissue Data'!L:L)</f>
        <v>6</v>
      </c>
      <c r="J1093">
        <f>_xlfn.XLOOKUP(A1093,'[1]Tissue Data'!$A:$A,'[1]Tissue Data'!M:M)</f>
        <v>2.5</v>
      </c>
      <c r="K1093" t="s">
        <v>53</v>
      </c>
      <c r="L1093" t="str">
        <f>_xlfn.XLOOKUP(K1093,[2]analyte_order!$B:$B,[2]analyte_order!$C:$C)</f>
        <v>161094-75-3</v>
      </c>
      <c r="M1093">
        <f>_xlfn.XLOOKUP(L1093,[2]analyte_order!$C:$C,[2]analyte_order!$E:$E)</f>
        <v>44</v>
      </c>
      <c r="N1093">
        <v>5.560462015164104E-2</v>
      </c>
    </row>
    <row r="1094" spans="1:14">
      <c r="A1094" t="s">
        <v>156</v>
      </c>
      <c r="B1094" t="str">
        <f>_xlfn.XLOOKUP(A1094,'[1]Tissue Data'!$A:$A,'[1]Tissue Data'!$C:$C)</f>
        <v>Down</v>
      </c>
      <c r="C1094" s="2">
        <f>_xlfn.XLOOKUP(A1094,'[1]Tissue Data'!$A:$A,'[1]Tissue Data'!$D:$D)</f>
        <v>44314</v>
      </c>
      <c r="D1094" s="2" t="s">
        <v>122</v>
      </c>
      <c r="E1094" t="str">
        <f>_xlfn.XLOOKUP(A1094,'[1]Tissue Data'!$A:$A,'[1]Tissue Data'!$H:$H)</f>
        <v>Etheostoma</v>
      </c>
      <c r="F1094" t="str">
        <f>_xlfn.XLOOKUP(A1094,'[1]Tissue Data'!$A:$A,'[1]Tissue Data'!$I:$I)</f>
        <v>olmstedi</v>
      </c>
      <c r="G1094" t="str">
        <f>_xlfn.XLOOKUP(A1094,'[1]Tissue Data'!$A:$A,'[1]Tissue Data'!J:J)</f>
        <v>U</v>
      </c>
      <c r="H1094" t="str">
        <f>_xlfn.XLOOKUP(A1094,'[1]Tissue Data'!$A:$A,'[1]Tissue Data'!K:K)</f>
        <v>Whole Body</v>
      </c>
      <c r="I1094">
        <f>_xlfn.XLOOKUP(A1094,'[1]Tissue Data'!$A:$A,'[1]Tissue Data'!L:L)</f>
        <v>6</v>
      </c>
      <c r="J1094">
        <f>_xlfn.XLOOKUP(A1094,'[1]Tissue Data'!$A:$A,'[1]Tissue Data'!M:M)</f>
        <v>2.5</v>
      </c>
      <c r="K1094" t="s">
        <v>54</v>
      </c>
      <c r="L1094" t="str">
        <f>_xlfn.XLOOKUP(K1094,[2]analyte_order!$B:$B,[2]analyte_order!$C:$C)</f>
        <v>70887-84-2</v>
      </c>
      <c r="M1094">
        <f>_xlfn.XLOOKUP(L1094,[2]analyte_order!$C:$C,[2]analyte_order!$E:$E)</f>
        <v>45</v>
      </c>
      <c r="N1094">
        <v>4.2794538351319071E-2</v>
      </c>
    </row>
    <row r="1095" spans="1:14">
      <c r="A1095" t="s">
        <v>156</v>
      </c>
      <c r="B1095" t="str">
        <f>_xlfn.XLOOKUP(A1095,'[1]Tissue Data'!$A:$A,'[1]Tissue Data'!$C:$C)</f>
        <v>Down</v>
      </c>
      <c r="C1095" s="2">
        <f>_xlfn.XLOOKUP(A1095,'[1]Tissue Data'!$A:$A,'[1]Tissue Data'!$D:$D)</f>
        <v>44314</v>
      </c>
      <c r="D1095" s="2" t="s">
        <v>122</v>
      </c>
      <c r="E1095" t="str">
        <f>_xlfn.XLOOKUP(A1095,'[1]Tissue Data'!$A:$A,'[1]Tissue Data'!$H:$H)</f>
        <v>Etheostoma</v>
      </c>
      <c r="F1095" t="str">
        <f>_xlfn.XLOOKUP(A1095,'[1]Tissue Data'!$A:$A,'[1]Tissue Data'!$I:$I)</f>
        <v>olmstedi</v>
      </c>
      <c r="G1095" t="str">
        <f>_xlfn.XLOOKUP(A1095,'[1]Tissue Data'!$A:$A,'[1]Tissue Data'!J:J)</f>
        <v>U</v>
      </c>
      <c r="H1095" t="str">
        <f>_xlfn.XLOOKUP(A1095,'[1]Tissue Data'!$A:$A,'[1]Tissue Data'!K:K)</f>
        <v>Whole Body</v>
      </c>
      <c r="I1095">
        <f>_xlfn.XLOOKUP(A1095,'[1]Tissue Data'!$A:$A,'[1]Tissue Data'!L:L)</f>
        <v>6</v>
      </c>
      <c r="J1095">
        <f>_xlfn.XLOOKUP(A1095,'[1]Tissue Data'!$A:$A,'[1]Tissue Data'!M:M)</f>
        <v>2.5</v>
      </c>
      <c r="K1095" t="s">
        <v>55</v>
      </c>
      <c r="L1095" t="str">
        <f>_xlfn.XLOOKUP(K1095,[2]analyte_order!$B:$B,[2]analyte_order!$C:$C)</f>
        <v>919005-14-4</v>
      </c>
      <c r="M1095">
        <f>_xlfn.XLOOKUP(L1095,[2]analyte_order!$C:$C,[2]analyte_order!$E:$E)</f>
        <v>35</v>
      </c>
      <c r="N1095">
        <v>7.0816180080824881E-2</v>
      </c>
    </row>
    <row r="1096" spans="1:14">
      <c r="A1096" t="s">
        <v>156</v>
      </c>
      <c r="B1096" t="str">
        <f>_xlfn.XLOOKUP(A1096,'[1]Tissue Data'!$A:$A,'[1]Tissue Data'!$C:$C)</f>
        <v>Down</v>
      </c>
      <c r="C1096" s="2">
        <f>_xlfn.XLOOKUP(A1096,'[1]Tissue Data'!$A:$A,'[1]Tissue Data'!$D:$D)</f>
        <v>44314</v>
      </c>
      <c r="D1096" s="2" t="s">
        <v>122</v>
      </c>
      <c r="E1096" t="str">
        <f>_xlfn.XLOOKUP(A1096,'[1]Tissue Data'!$A:$A,'[1]Tissue Data'!$H:$H)</f>
        <v>Etheostoma</v>
      </c>
      <c r="F1096" t="str">
        <f>_xlfn.XLOOKUP(A1096,'[1]Tissue Data'!$A:$A,'[1]Tissue Data'!$I:$I)</f>
        <v>olmstedi</v>
      </c>
      <c r="G1096" t="str">
        <f>_xlfn.XLOOKUP(A1096,'[1]Tissue Data'!$A:$A,'[1]Tissue Data'!J:J)</f>
        <v>U</v>
      </c>
      <c r="H1096" t="str">
        <f>_xlfn.XLOOKUP(A1096,'[1]Tissue Data'!$A:$A,'[1]Tissue Data'!K:K)</f>
        <v>Whole Body</v>
      </c>
      <c r="I1096">
        <f>_xlfn.XLOOKUP(A1096,'[1]Tissue Data'!$A:$A,'[1]Tissue Data'!L:L)</f>
        <v>6</v>
      </c>
      <c r="J1096">
        <f>_xlfn.XLOOKUP(A1096,'[1]Tissue Data'!$A:$A,'[1]Tissue Data'!M:M)</f>
        <v>2.5</v>
      </c>
      <c r="K1096" t="s">
        <v>56</v>
      </c>
      <c r="L1096" t="str">
        <f>_xlfn.XLOOKUP(K1096,[2]analyte_order!$B:$B,[2]analyte_order!$C:$C)</f>
        <v>756426-58-1</v>
      </c>
      <c r="M1096">
        <f>_xlfn.XLOOKUP(L1096,[2]analyte_order!$C:$C,[2]analyte_order!$E:$E)</f>
        <v>36</v>
      </c>
      <c r="N1096">
        <v>4.9153980758724562E-2</v>
      </c>
    </row>
    <row r="1097" spans="1:14">
      <c r="A1097" t="s">
        <v>156</v>
      </c>
      <c r="B1097" t="str">
        <f>_xlfn.XLOOKUP(A1097,'[1]Tissue Data'!$A:$A,'[1]Tissue Data'!$C:$C)</f>
        <v>Down</v>
      </c>
      <c r="C1097" s="2">
        <f>_xlfn.XLOOKUP(A1097,'[1]Tissue Data'!$A:$A,'[1]Tissue Data'!$D:$D)</f>
        <v>44314</v>
      </c>
      <c r="D1097" s="2" t="s">
        <v>122</v>
      </c>
      <c r="E1097" t="str">
        <f>_xlfn.XLOOKUP(A1097,'[1]Tissue Data'!$A:$A,'[1]Tissue Data'!$H:$H)</f>
        <v>Etheostoma</v>
      </c>
      <c r="F1097" t="str">
        <f>_xlfn.XLOOKUP(A1097,'[1]Tissue Data'!$A:$A,'[1]Tissue Data'!$I:$I)</f>
        <v>olmstedi</v>
      </c>
      <c r="G1097" t="str">
        <f>_xlfn.XLOOKUP(A1097,'[1]Tissue Data'!$A:$A,'[1]Tissue Data'!J:J)</f>
        <v>U</v>
      </c>
      <c r="H1097" t="str">
        <f>_xlfn.XLOOKUP(A1097,'[1]Tissue Data'!$A:$A,'[1]Tissue Data'!K:K)</f>
        <v>Whole Body</v>
      </c>
      <c r="I1097">
        <f>_xlfn.XLOOKUP(A1097,'[1]Tissue Data'!$A:$A,'[1]Tissue Data'!L:L)</f>
        <v>6</v>
      </c>
      <c r="J1097">
        <f>_xlfn.XLOOKUP(A1097,'[1]Tissue Data'!$A:$A,'[1]Tissue Data'!M:M)</f>
        <v>2.5</v>
      </c>
      <c r="K1097" t="s">
        <v>57</v>
      </c>
      <c r="L1097" t="str">
        <f>_xlfn.XLOOKUP(K1097,[2]analyte_order!$B:$B,[2]analyte_order!$C:$C)</f>
        <v>763051-92-9</v>
      </c>
      <c r="M1097">
        <f>_xlfn.XLOOKUP(L1097,[2]analyte_order!$C:$C,[2]analyte_order!$E:$E)</f>
        <v>37</v>
      </c>
      <c r="N1097">
        <v>5.5802480360926464E-2</v>
      </c>
    </row>
    <row r="1098" spans="1:14">
      <c r="A1098" t="s">
        <v>156</v>
      </c>
      <c r="B1098" t="str">
        <f>_xlfn.XLOOKUP(A1098,'[1]Tissue Data'!$A:$A,'[1]Tissue Data'!$C:$C)</f>
        <v>Down</v>
      </c>
      <c r="C1098" s="2">
        <f>_xlfn.XLOOKUP(A1098,'[1]Tissue Data'!$A:$A,'[1]Tissue Data'!$D:$D)</f>
        <v>44314</v>
      </c>
      <c r="D1098" s="2" t="s">
        <v>122</v>
      </c>
      <c r="E1098" t="str">
        <f>_xlfn.XLOOKUP(A1098,'[1]Tissue Data'!$A:$A,'[1]Tissue Data'!$H:$H)</f>
        <v>Etheostoma</v>
      </c>
      <c r="F1098" t="str">
        <f>_xlfn.XLOOKUP(A1098,'[1]Tissue Data'!$A:$A,'[1]Tissue Data'!$I:$I)</f>
        <v>olmstedi</v>
      </c>
      <c r="G1098" t="str">
        <f>_xlfn.XLOOKUP(A1098,'[1]Tissue Data'!$A:$A,'[1]Tissue Data'!J:J)</f>
        <v>U</v>
      </c>
      <c r="H1098" t="str">
        <f>_xlfn.XLOOKUP(A1098,'[1]Tissue Data'!$A:$A,'[1]Tissue Data'!K:K)</f>
        <v>Whole Body</v>
      </c>
      <c r="I1098">
        <f>_xlfn.XLOOKUP(A1098,'[1]Tissue Data'!$A:$A,'[1]Tissue Data'!L:L)</f>
        <v>6</v>
      </c>
      <c r="J1098">
        <f>_xlfn.XLOOKUP(A1098,'[1]Tissue Data'!$A:$A,'[1]Tissue Data'!M:M)</f>
        <v>2.5</v>
      </c>
      <c r="K1098" t="s">
        <v>58</v>
      </c>
      <c r="L1098" t="str">
        <f>_xlfn.XLOOKUP(K1098,[2]analyte_order!$B:$B,[2]analyte_order!$C:$C)</f>
        <v>13252-13-6</v>
      </c>
      <c r="M1098">
        <f>_xlfn.XLOOKUP(L1098,[2]analyte_order!$C:$C,[2]analyte_order!$E:$E)</f>
        <v>34</v>
      </c>
      <c r="N1098">
        <v>0.10162324127804322</v>
      </c>
    </row>
    <row r="1099" spans="1:14">
      <c r="A1099" t="s">
        <v>156</v>
      </c>
      <c r="B1099" t="str">
        <f>_xlfn.XLOOKUP(A1099,'[1]Tissue Data'!$A:$A,'[1]Tissue Data'!$C:$C)</f>
        <v>Down</v>
      </c>
      <c r="C1099" s="2">
        <f>_xlfn.XLOOKUP(A1099,'[1]Tissue Data'!$A:$A,'[1]Tissue Data'!$D:$D)</f>
        <v>44314</v>
      </c>
      <c r="D1099" s="2" t="s">
        <v>122</v>
      </c>
      <c r="E1099" t="str">
        <f>_xlfn.XLOOKUP(A1099,'[1]Tissue Data'!$A:$A,'[1]Tissue Data'!$H:$H)</f>
        <v>Etheostoma</v>
      </c>
      <c r="F1099" t="str">
        <f>_xlfn.XLOOKUP(A1099,'[1]Tissue Data'!$A:$A,'[1]Tissue Data'!$I:$I)</f>
        <v>olmstedi</v>
      </c>
      <c r="G1099" t="str">
        <f>_xlfn.XLOOKUP(A1099,'[1]Tissue Data'!$A:$A,'[1]Tissue Data'!J:J)</f>
        <v>U</v>
      </c>
      <c r="H1099" t="str">
        <f>_xlfn.XLOOKUP(A1099,'[1]Tissue Data'!$A:$A,'[1]Tissue Data'!K:K)</f>
        <v>Whole Body</v>
      </c>
      <c r="I1099">
        <f>_xlfn.XLOOKUP(A1099,'[1]Tissue Data'!$A:$A,'[1]Tissue Data'!L:L)</f>
        <v>6</v>
      </c>
      <c r="J1099">
        <f>_xlfn.XLOOKUP(A1099,'[1]Tissue Data'!$A:$A,'[1]Tissue Data'!M:M)</f>
        <v>2.5</v>
      </c>
      <c r="K1099" t="s">
        <v>59</v>
      </c>
      <c r="L1099" t="str">
        <f>_xlfn.XLOOKUP(K1099,[2]analyte_order!$B:$B,[2]analyte_order!$C:$C)</f>
        <v>57677-95-9</v>
      </c>
      <c r="M1099">
        <f>_xlfn.XLOOKUP(L1099,[2]analyte_order!$C:$C,[2]analyte_order!$E:$E)</f>
        <v>46</v>
      </c>
      <c r="N1099">
        <v>7.5385872795492317E-2</v>
      </c>
    </row>
    <row r="1100" spans="1:14">
      <c r="A1100" t="s">
        <v>156</v>
      </c>
      <c r="B1100" t="str">
        <f>_xlfn.XLOOKUP(A1100,'[1]Tissue Data'!$A:$A,'[1]Tissue Data'!$C:$C)</f>
        <v>Down</v>
      </c>
      <c r="C1100" s="2">
        <f>_xlfn.XLOOKUP(A1100,'[1]Tissue Data'!$A:$A,'[1]Tissue Data'!$D:$D)</f>
        <v>44314</v>
      </c>
      <c r="D1100" s="2" t="s">
        <v>122</v>
      </c>
      <c r="E1100" t="str">
        <f>_xlfn.XLOOKUP(A1100,'[1]Tissue Data'!$A:$A,'[1]Tissue Data'!$H:$H)</f>
        <v>Etheostoma</v>
      </c>
      <c r="F1100" t="str">
        <f>_xlfn.XLOOKUP(A1100,'[1]Tissue Data'!$A:$A,'[1]Tissue Data'!$I:$I)</f>
        <v>olmstedi</v>
      </c>
      <c r="G1100" t="str">
        <f>_xlfn.XLOOKUP(A1100,'[1]Tissue Data'!$A:$A,'[1]Tissue Data'!J:J)</f>
        <v>U</v>
      </c>
      <c r="H1100" t="str">
        <f>_xlfn.XLOOKUP(A1100,'[1]Tissue Data'!$A:$A,'[1]Tissue Data'!K:K)</f>
        <v>Whole Body</v>
      </c>
      <c r="I1100">
        <f>_xlfn.XLOOKUP(A1100,'[1]Tissue Data'!$A:$A,'[1]Tissue Data'!L:L)</f>
        <v>6</v>
      </c>
      <c r="J1100">
        <f>_xlfn.XLOOKUP(A1100,'[1]Tissue Data'!$A:$A,'[1]Tissue Data'!M:M)</f>
        <v>2.5</v>
      </c>
      <c r="K1100" t="s">
        <v>60</v>
      </c>
      <c r="L1100" t="str">
        <f>_xlfn.XLOOKUP(K1100,[2]analyte_order!$B:$B,[2]analyte_order!$C:$C)</f>
        <v>678-41-1</v>
      </c>
      <c r="M1100">
        <f>_xlfn.XLOOKUP(L1100,[2]analyte_order!$C:$C,[2]analyte_order!$E:$E)</f>
        <v>56</v>
      </c>
      <c r="N1100">
        <v>9.3889083510074786E-2</v>
      </c>
    </row>
    <row r="1101" spans="1:14">
      <c r="A1101" t="s">
        <v>156</v>
      </c>
      <c r="B1101" t="str">
        <f>_xlfn.XLOOKUP(A1101,'[1]Tissue Data'!$A:$A,'[1]Tissue Data'!$C:$C)</f>
        <v>Down</v>
      </c>
      <c r="C1101" s="2">
        <f>_xlfn.XLOOKUP(A1101,'[1]Tissue Data'!$A:$A,'[1]Tissue Data'!$D:$D)</f>
        <v>44314</v>
      </c>
      <c r="D1101" s="2" t="s">
        <v>122</v>
      </c>
      <c r="E1101" t="str">
        <f>_xlfn.XLOOKUP(A1101,'[1]Tissue Data'!$A:$A,'[1]Tissue Data'!$H:$H)</f>
        <v>Etheostoma</v>
      </c>
      <c r="F1101" t="str">
        <f>_xlfn.XLOOKUP(A1101,'[1]Tissue Data'!$A:$A,'[1]Tissue Data'!$I:$I)</f>
        <v>olmstedi</v>
      </c>
      <c r="G1101" t="str">
        <f>_xlfn.XLOOKUP(A1101,'[1]Tissue Data'!$A:$A,'[1]Tissue Data'!J:J)</f>
        <v>U</v>
      </c>
      <c r="H1101" t="str">
        <f>_xlfn.XLOOKUP(A1101,'[1]Tissue Data'!$A:$A,'[1]Tissue Data'!K:K)</f>
        <v>Whole Body</v>
      </c>
      <c r="I1101">
        <f>_xlfn.XLOOKUP(A1101,'[1]Tissue Data'!$A:$A,'[1]Tissue Data'!L:L)</f>
        <v>6</v>
      </c>
      <c r="J1101">
        <f>_xlfn.XLOOKUP(A1101,'[1]Tissue Data'!$A:$A,'[1]Tissue Data'!M:M)</f>
        <v>2.5</v>
      </c>
      <c r="K1101" t="s">
        <v>61</v>
      </c>
      <c r="L1101" t="str">
        <f>_xlfn.XLOOKUP(K1101,[2]analyte_order!$B:$B,[2]analyte_order!$C:$C)</f>
        <v>2965-52-8</v>
      </c>
      <c r="M1101">
        <f>_xlfn.XLOOKUP(L1101,[2]analyte_order!$C:$C,[2]analyte_order!$E:$E)</f>
        <v>57</v>
      </c>
      <c r="N1101">
        <v>0.12463647694225174</v>
      </c>
    </row>
    <row r="1102" spans="1:14">
      <c r="A1102" t="s">
        <v>158</v>
      </c>
      <c r="B1102" t="str">
        <f>_xlfn.XLOOKUP(A1102,'[1]Tissue Data'!$A:$A,'[1]Tissue Data'!$C:$C)</f>
        <v>Down</v>
      </c>
      <c r="C1102" s="2">
        <f>_xlfn.XLOOKUP(A1102,'[1]Tissue Data'!$A:$A,'[1]Tissue Data'!$D:$D)</f>
        <v>44314</v>
      </c>
      <c r="D1102" s="2" t="s">
        <v>122</v>
      </c>
      <c r="E1102" t="str">
        <f>_xlfn.XLOOKUP(A1102,'[1]Tissue Data'!$A:$A,'[1]Tissue Data'!$H:$H)</f>
        <v>Etheostoma</v>
      </c>
      <c r="F1102" t="str">
        <f>_xlfn.XLOOKUP(A1102,'[1]Tissue Data'!$A:$A,'[1]Tissue Data'!$I:$I)</f>
        <v>olmstedi</v>
      </c>
      <c r="G1102" t="str">
        <f>_xlfn.XLOOKUP(A1102,'[1]Tissue Data'!$A:$A,'[1]Tissue Data'!J:J)</f>
        <v>U</v>
      </c>
      <c r="H1102" t="str">
        <f>_xlfn.XLOOKUP(A1102,'[1]Tissue Data'!$A:$A,'[1]Tissue Data'!K:K)</f>
        <v>Whole Body</v>
      </c>
      <c r="I1102">
        <f>_xlfn.XLOOKUP(A1102,'[1]Tissue Data'!$A:$A,'[1]Tissue Data'!L:L)</f>
        <v>7</v>
      </c>
      <c r="J1102">
        <f>_xlfn.XLOOKUP(A1102,'[1]Tissue Data'!$A:$A,'[1]Tissue Data'!M:M)</f>
        <v>3</v>
      </c>
      <c r="K1102" t="s">
        <v>12</v>
      </c>
      <c r="L1102" t="str">
        <f>_xlfn.XLOOKUP(K1102,[2]analyte_order!$B:$B,[2]analyte_order!$C:$C)</f>
        <v>375-22-4</v>
      </c>
      <c r="M1102">
        <f>_xlfn.XLOOKUP(L1102,[2]analyte_order!$C:$C,[2]analyte_order!$E:$E)</f>
        <v>1</v>
      </c>
      <c r="N1102">
        <v>9.5928373481134074E-2</v>
      </c>
    </row>
    <row r="1103" spans="1:14">
      <c r="A1103" t="s">
        <v>158</v>
      </c>
      <c r="B1103" t="str">
        <f>_xlfn.XLOOKUP(A1103,'[1]Tissue Data'!$A:$A,'[1]Tissue Data'!$C:$C)</f>
        <v>Down</v>
      </c>
      <c r="C1103" s="2">
        <f>_xlfn.XLOOKUP(A1103,'[1]Tissue Data'!$A:$A,'[1]Tissue Data'!$D:$D)</f>
        <v>44314</v>
      </c>
      <c r="D1103" s="2" t="s">
        <v>122</v>
      </c>
      <c r="E1103" t="str">
        <f>_xlfn.XLOOKUP(A1103,'[1]Tissue Data'!$A:$A,'[1]Tissue Data'!$H:$H)</f>
        <v>Etheostoma</v>
      </c>
      <c r="F1103" t="str">
        <f>_xlfn.XLOOKUP(A1103,'[1]Tissue Data'!$A:$A,'[1]Tissue Data'!$I:$I)</f>
        <v>olmstedi</v>
      </c>
      <c r="G1103" t="str">
        <f>_xlfn.XLOOKUP(A1103,'[1]Tissue Data'!$A:$A,'[1]Tissue Data'!J:J)</f>
        <v>U</v>
      </c>
      <c r="H1103" t="str">
        <f>_xlfn.XLOOKUP(A1103,'[1]Tissue Data'!$A:$A,'[1]Tissue Data'!K:K)</f>
        <v>Whole Body</v>
      </c>
      <c r="I1103">
        <f>_xlfn.XLOOKUP(A1103,'[1]Tissue Data'!$A:$A,'[1]Tissue Data'!L:L)</f>
        <v>7</v>
      </c>
      <c r="J1103">
        <f>_xlfn.XLOOKUP(A1103,'[1]Tissue Data'!$A:$A,'[1]Tissue Data'!M:M)</f>
        <v>3</v>
      </c>
      <c r="K1103" t="s">
        <v>13</v>
      </c>
      <c r="L1103" t="str">
        <f>_xlfn.XLOOKUP(K1103,[2]analyte_order!$B:$B,[2]analyte_order!$C:$C)</f>
        <v>2706-90-3</v>
      </c>
      <c r="M1103">
        <f>_xlfn.XLOOKUP(L1103,[2]analyte_order!$C:$C,[2]analyte_order!$E:$E)</f>
        <v>2</v>
      </c>
      <c r="N1103">
        <v>0.16944339269670644</v>
      </c>
    </row>
    <row r="1104" spans="1:14">
      <c r="A1104" t="s">
        <v>158</v>
      </c>
      <c r="B1104" t="str">
        <f>_xlfn.XLOOKUP(A1104,'[1]Tissue Data'!$A:$A,'[1]Tissue Data'!$C:$C)</f>
        <v>Down</v>
      </c>
      <c r="C1104" s="2">
        <f>_xlfn.XLOOKUP(A1104,'[1]Tissue Data'!$A:$A,'[1]Tissue Data'!$D:$D)</f>
        <v>44314</v>
      </c>
      <c r="D1104" s="2" t="s">
        <v>122</v>
      </c>
      <c r="E1104" t="str">
        <f>_xlfn.XLOOKUP(A1104,'[1]Tissue Data'!$A:$A,'[1]Tissue Data'!$H:$H)</f>
        <v>Etheostoma</v>
      </c>
      <c r="F1104" t="str">
        <f>_xlfn.XLOOKUP(A1104,'[1]Tissue Data'!$A:$A,'[1]Tissue Data'!$I:$I)</f>
        <v>olmstedi</v>
      </c>
      <c r="G1104" t="str">
        <f>_xlfn.XLOOKUP(A1104,'[1]Tissue Data'!$A:$A,'[1]Tissue Data'!J:J)</f>
        <v>U</v>
      </c>
      <c r="H1104" t="str">
        <f>_xlfn.XLOOKUP(A1104,'[1]Tissue Data'!$A:$A,'[1]Tissue Data'!K:K)</f>
        <v>Whole Body</v>
      </c>
      <c r="I1104">
        <f>_xlfn.XLOOKUP(A1104,'[1]Tissue Data'!$A:$A,'[1]Tissue Data'!L:L)</f>
        <v>7</v>
      </c>
      <c r="J1104">
        <f>_xlfn.XLOOKUP(A1104,'[1]Tissue Data'!$A:$A,'[1]Tissue Data'!M:M)</f>
        <v>3</v>
      </c>
      <c r="K1104" t="s">
        <v>14</v>
      </c>
      <c r="L1104" t="str">
        <f>_xlfn.XLOOKUP(K1104,[2]analyte_order!$B:$B,[2]analyte_order!$C:$C)</f>
        <v>307-24-4</v>
      </c>
      <c r="M1104">
        <f>_xlfn.XLOOKUP(L1104,[2]analyte_order!$C:$C,[2]analyte_order!$E:$E)</f>
        <v>3</v>
      </c>
      <c r="N1104">
        <v>1.37</v>
      </c>
    </row>
    <row r="1105" spans="1:14">
      <c r="A1105" t="s">
        <v>158</v>
      </c>
      <c r="B1105" t="str">
        <f>_xlfn.XLOOKUP(A1105,'[1]Tissue Data'!$A:$A,'[1]Tissue Data'!$C:$C)</f>
        <v>Down</v>
      </c>
      <c r="C1105" s="2">
        <f>_xlfn.XLOOKUP(A1105,'[1]Tissue Data'!$A:$A,'[1]Tissue Data'!$D:$D)</f>
        <v>44314</v>
      </c>
      <c r="D1105" s="2" t="s">
        <v>122</v>
      </c>
      <c r="E1105" t="str">
        <f>_xlfn.XLOOKUP(A1105,'[1]Tissue Data'!$A:$A,'[1]Tissue Data'!$H:$H)</f>
        <v>Etheostoma</v>
      </c>
      <c r="F1105" t="str">
        <f>_xlfn.XLOOKUP(A1105,'[1]Tissue Data'!$A:$A,'[1]Tissue Data'!$I:$I)</f>
        <v>olmstedi</v>
      </c>
      <c r="G1105" t="str">
        <f>_xlfn.XLOOKUP(A1105,'[1]Tissue Data'!$A:$A,'[1]Tissue Data'!J:J)</f>
        <v>U</v>
      </c>
      <c r="H1105" t="str">
        <f>_xlfn.XLOOKUP(A1105,'[1]Tissue Data'!$A:$A,'[1]Tissue Data'!K:K)</f>
        <v>Whole Body</v>
      </c>
      <c r="I1105">
        <f>_xlfn.XLOOKUP(A1105,'[1]Tissue Data'!$A:$A,'[1]Tissue Data'!L:L)</f>
        <v>7</v>
      </c>
      <c r="J1105">
        <f>_xlfn.XLOOKUP(A1105,'[1]Tissue Data'!$A:$A,'[1]Tissue Data'!M:M)</f>
        <v>3</v>
      </c>
      <c r="K1105" t="s">
        <v>15</v>
      </c>
      <c r="L1105" t="str">
        <f>_xlfn.XLOOKUP(K1105,[2]analyte_order!$B:$B,[2]analyte_order!$C:$C)</f>
        <v>375-85-9</v>
      </c>
      <c r="M1105">
        <f>_xlfn.XLOOKUP(L1105,[2]analyte_order!$C:$C,[2]analyte_order!$E:$E)</f>
        <v>4</v>
      </c>
      <c r="N1105">
        <v>0.48699999999999999</v>
      </c>
    </row>
    <row r="1106" spans="1:14">
      <c r="A1106" t="s">
        <v>158</v>
      </c>
      <c r="B1106" t="str">
        <f>_xlfn.XLOOKUP(A1106,'[1]Tissue Data'!$A:$A,'[1]Tissue Data'!$C:$C)</f>
        <v>Down</v>
      </c>
      <c r="C1106" s="2">
        <f>_xlfn.XLOOKUP(A1106,'[1]Tissue Data'!$A:$A,'[1]Tissue Data'!$D:$D)</f>
        <v>44314</v>
      </c>
      <c r="D1106" s="2" t="s">
        <v>122</v>
      </c>
      <c r="E1106" t="str">
        <f>_xlfn.XLOOKUP(A1106,'[1]Tissue Data'!$A:$A,'[1]Tissue Data'!$H:$H)</f>
        <v>Etheostoma</v>
      </c>
      <c r="F1106" t="str">
        <f>_xlfn.XLOOKUP(A1106,'[1]Tissue Data'!$A:$A,'[1]Tissue Data'!$I:$I)</f>
        <v>olmstedi</v>
      </c>
      <c r="G1106" t="str">
        <f>_xlfn.XLOOKUP(A1106,'[1]Tissue Data'!$A:$A,'[1]Tissue Data'!J:J)</f>
        <v>U</v>
      </c>
      <c r="H1106" t="str">
        <f>_xlfn.XLOOKUP(A1106,'[1]Tissue Data'!$A:$A,'[1]Tissue Data'!K:K)</f>
        <v>Whole Body</v>
      </c>
      <c r="I1106">
        <f>_xlfn.XLOOKUP(A1106,'[1]Tissue Data'!$A:$A,'[1]Tissue Data'!L:L)</f>
        <v>7</v>
      </c>
      <c r="J1106">
        <f>_xlfn.XLOOKUP(A1106,'[1]Tissue Data'!$A:$A,'[1]Tissue Data'!M:M)</f>
        <v>3</v>
      </c>
      <c r="K1106" t="s">
        <v>16</v>
      </c>
      <c r="L1106" t="str">
        <f>_xlfn.XLOOKUP(K1106,[2]analyte_order!$B:$B,[2]analyte_order!$C:$C)</f>
        <v>335-67-1</v>
      </c>
      <c r="M1106">
        <f>_xlfn.XLOOKUP(L1106,[2]analyte_order!$C:$C,[2]analyte_order!$E:$E)</f>
        <v>5</v>
      </c>
      <c r="N1106">
        <v>5.74</v>
      </c>
    </row>
    <row r="1107" spans="1:14">
      <c r="A1107" t="s">
        <v>158</v>
      </c>
      <c r="B1107" t="str">
        <f>_xlfn.XLOOKUP(A1107,'[1]Tissue Data'!$A:$A,'[1]Tissue Data'!$C:$C)</f>
        <v>Down</v>
      </c>
      <c r="C1107" s="2">
        <f>_xlfn.XLOOKUP(A1107,'[1]Tissue Data'!$A:$A,'[1]Tissue Data'!$D:$D)</f>
        <v>44314</v>
      </c>
      <c r="D1107" s="2" t="s">
        <v>122</v>
      </c>
      <c r="E1107" t="str">
        <f>_xlfn.XLOOKUP(A1107,'[1]Tissue Data'!$A:$A,'[1]Tissue Data'!$H:$H)</f>
        <v>Etheostoma</v>
      </c>
      <c r="F1107" t="str">
        <f>_xlfn.XLOOKUP(A1107,'[1]Tissue Data'!$A:$A,'[1]Tissue Data'!$I:$I)</f>
        <v>olmstedi</v>
      </c>
      <c r="G1107" t="str">
        <f>_xlfn.XLOOKUP(A1107,'[1]Tissue Data'!$A:$A,'[1]Tissue Data'!J:J)</f>
        <v>U</v>
      </c>
      <c r="H1107" t="str">
        <f>_xlfn.XLOOKUP(A1107,'[1]Tissue Data'!$A:$A,'[1]Tissue Data'!K:K)</f>
        <v>Whole Body</v>
      </c>
      <c r="I1107">
        <f>_xlfn.XLOOKUP(A1107,'[1]Tissue Data'!$A:$A,'[1]Tissue Data'!L:L)</f>
        <v>7</v>
      </c>
      <c r="J1107">
        <f>_xlfn.XLOOKUP(A1107,'[1]Tissue Data'!$A:$A,'[1]Tissue Data'!M:M)</f>
        <v>3</v>
      </c>
      <c r="K1107" t="s">
        <v>17</v>
      </c>
      <c r="L1107" t="str">
        <f>_xlfn.XLOOKUP(K1107,[2]analyte_order!$B:$B,[2]analyte_order!$C:$C)</f>
        <v>375-95-1</v>
      </c>
      <c r="M1107">
        <f>_xlfn.XLOOKUP(L1107,[2]analyte_order!$C:$C,[2]analyte_order!$E:$E)</f>
        <v>6</v>
      </c>
      <c r="N1107">
        <v>2.16</v>
      </c>
    </row>
    <row r="1108" spans="1:14">
      <c r="A1108" t="s">
        <v>158</v>
      </c>
      <c r="B1108" t="str">
        <f>_xlfn.XLOOKUP(A1108,'[1]Tissue Data'!$A:$A,'[1]Tissue Data'!$C:$C)</f>
        <v>Down</v>
      </c>
      <c r="C1108" s="2">
        <f>_xlfn.XLOOKUP(A1108,'[1]Tissue Data'!$A:$A,'[1]Tissue Data'!$D:$D)</f>
        <v>44314</v>
      </c>
      <c r="D1108" s="2" t="s">
        <v>122</v>
      </c>
      <c r="E1108" t="str">
        <f>_xlfn.XLOOKUP(A1108,'[1]Tissue Data'!$A:$A,'[1]Tissue Data'!$H:$H)</f>
        <v>Etheostoma</v>
      </c>
      <c r="F1108" t="str">
        <f>_xlfn.XLOOKUP(A1108,'[1]Tissue Data'!$A:$A,'[1]Tissue Data'!$I:$I)</f>
        <v>olmstedi</v>
      </c>
      <c r="G1108" t="str">
        <f>_xlfn.XLOOKUP(A1108,'[1]Tissue Data'!$A:$A,'[1]Tissue Data'!J:J)</f>
        <v>U</v>
      </c>
      <c r="H1108" t="str">
        <f>_xlfn.XLOOKUP(A1108,'[1]Tissue Data'!$A:$A,'[1]Tissue Data'!K:K)</f>
        <v>Whole Body</v>
      </c>
      <c r="I1108">
        <f>_xlfn.XLOOKUP(A1108,'[1]Tissue Data'!$A:$A,'[1]Tissue Data'!L:L)</f>
        <v>7</v>
      </c>
      <c r="J1108">
        <f>_xlfn.XLOOKUP(A1108,'[1]Tissue Data'!$A:$A,'[1]Tissue Data'!M:M)</f>
        <v>3</v>
      </c>
      <c r="K1108" t="s">
        <v>18</v>
      </c>
      <c r="L1108" t="str">
        <f>_xlfn.XLOOKUP(K1108,[2]analyte_order!$B:$B,[2]analyte_order!$C:$C)</f>
        <v>335-76-2</v>
      </c>
      <c r="M1108">
        <f>_xlfn.XLOOKUP(L1108,[2]analyte_order!$C:$C,[2]analyte_order!$E:$E)</f>
        <v>7</v>
      </c>
      <c r="N1108">
        <v>3.45</v>
      </c>
    </row>
    <row r="1109" spans="1:14">
      <c r="A1109" t="s">
        <v>158</v>
      </c>
      <c r="B1109" t="str">
        <f>_xlfn.XLOOKUP(A1109,'[1]Tissue Data'!$A:$A,'[1]Tissue Data'!$C:$C)</f>
        <v>Down</v>
      </c>
      <c r="C1109" s="2">
        <f>_xlfn.XLOOKUP(A1109,'[1]Tissue Data'!$A:$A,'[1]Tissue Data'!$D:$D)</f>
        <v>44314</v>
      </c>
      <c r="D1109" s="2" t="s">
        <v>122</v>
      </c>
      <c r="E1109" t="str">
        <f>_xlfn.XLOOKUP(A1109,'[1]Tissue Data'!$A:$A,'[1]Tissue Data'!$H:$H)</f>
        <v>Etheostoma</v>
      </c>
      <c r="F1109" t="str">
        <f>_xlfn.XLOOKUP(A1109,'[1]Tissue Data'!$A:$A,'[1]Tissue Data'!$I:$I)</f>
        <v>olmstedi</v>
      </c>
      <c r="G1109" t="str">
        <f>_xlfn.XLOOKUP(A1109,'[1]Tissue Data'!$A:$A,'[1]Tissue Data'!J:J)</f>
        <v>U</v>
      </c>
      <c r="H1109" t="str">
        <f>_xlfn.XLOOKUP(A1109,'[1]Tissue Data'!$A:$A,'[1]Tissue Data'!K:K)</f>
        <v>Whole Body</v>
      </c>
      <c r="I1109">
        <f>_xlfn.XLOOKUP(A1109,'[1]Tissue Data'!$A:$A,'[1]Tissue Data'!L:L)</f>
        <v>7</v>
      </c>
      <c r="J1109">
        <f>_xlfn.XLOOKUP(A1109,'[1]Tissue Data'!$A:$A,'[1]Tissue Data'!M:M)</f>
        <v>3</v>
      </c>
      <c r="K1109" t="s">
        <v>19</v>
      </c>
      <c r="L1109" t="str">
        <f>_xlfn.XLOOKUP(K1109,[2]analyte_order!$B:$B,[2]analyte_order!$C:$C)</f>
        <v>2058-94-8</v>
      </c>
      <c r="M1109">
        <f>_xlfn.XLOOKUP(L1109,[2]analyte_order!$C:$C,[2]analyte_order!$E:$E)</f>
        <v>8</v>
      </c>
      <c r="N1109">
        <v>3.41</v>
      </c>
    </row>
    <row r="1110" spans="1:14">
      <c r="A1110" t="s">
        <v>158</v>
      </c>
      <c r="B1110" t="str">
        <f>_xlfn.XLOOKUP(A1110,'[1]Tissue Data'!$A:$A,'[1]Tissue Data'!$C:$C)</f>
        <v>Down</v>
      </c>
      <c r="C1110" s="2">
        <f>_xlfn.XLOOKUP(A1110,'[1]Tissue Data'!$A:$A,'[1]Tissue Data'!$D:$D)</f>
        <v>44314</v>
      </c>
      <c r="D1110" s="2" t="s">
        <v>122</v>
      </c>
      <c r="E1110" t="str">
        <f>_xlfn.XLOOKUP(A1110,'[1]Tissue Data'!$A:$A,'[1]Tissue Data'!$H:$H)</f>
        <v>Etheostoma</v>
      </c>
      <c r="F1110" t="str">
        <f>_xlfn.XLOOKUP(A1110,'[1]Tissue Data'!$A:$A,'[1]Tissue Data'!$I:$I)</f>
        <v>olmstedi</v>
      </c>
      <c r="G1110" t="str">
        <f>_xlfn.XLOOKUP(A1110,'[1]Tissue Data'!$A:$A,'[1]Tissue Data'!J:J)</f>
        <v>U</v>
      </c>
      <c r="H1110" t="str">
        <f>_xlfn.XLOOKUP(A1110,'[1]Tissue Data'!$A:$A,'[1]Tissue Data'!K:K)</f>
        <v>Whole Body</v>
      </c>
      <c r="I1110">
        <f>_xlfn.XLOOKUP(A1110,'[1]Tissue Data'!$A:$A,'[1]Tissue Data'!L:L)</f>
        <v>7</v>
      </c>
      <c r="J1110">
        <f>_xlfn.XLOOKUP(A1110,'[1]Tissue Data'!$A:$A,'[1]Tissue Data'!M:M)</f>
        <v>3</v>
      </c>
      <c r="K1110" t="s">
        <v>20</v>
      </c>
      <c r="L1110" t="str">
        <f>_xlfn.XLOOKUP(K1110,[2]analyte_order!$B:$B,[2]analyte_order!$C:$C)</f>
        <v>307-55-1</v>
      </c>
      <c r="M1110">
        <f>_xlfn.XLOOKUP(L1110,[2]analyte_order!$C:$C,[2]analyte_order!$E:$E)</f>
        <v>9</v>
      </c>
      <c r="N1110">
        <v>5.8916755329545448E-2</v>
      </c>
    </row>
    <row r="1111" spans="1:14">
      <c r="A1111" t="s">
        <v>158</v>
      </c>
      <c r="B1111" t="str">
        <f>_xlfn.XLOOKUP(A1111,'[1]Tissue Data'!$A:$A,'[1]Tissue Data'!$C:$C)</f>
        <v>Down</v>
      </c>
      <c r="C1111" s="2">
        <f>_xlfn.XLOOKUP(A1111,'[1]Tissue Data'!$A:$A,'[1]Tissue Data'!$D:$D)</f>
        <v>44314</v>
      </c>
      <c r="D1111" s="2" t="s">
        <v>122</v>
      </c>
      <c r="E1111" t="str">
        <f>_xlfn.XLOOKUP(A1111,'[1]Tissue Data'!$A:$A,'[1]Tissue Data'!$H:$H)</f>
        <v>Etheostoma</v>
      </c>
      <c r="F1111" t="str">
        <f>_xlfn.XLOOKUP(A1111,'[1]Tissue Data'!$A:$A,'[1]Tissue Data'!$I:$I)</f>
        <v>olmstedi</v>
      </c>
      <c r="G1111" t="str">
        <f>_xlfn.XLOOKUP(A1111,'[1]Tissue Data'!$A:$A,'[1]Tissue Data'!J:J)</f>
        <v>U</v>
      </c>
      <c r="H1111" t="str">
        <f>_xlfn.XLOOKUP(A1111,'[1]Tissue Data'!$A:$A,'[1]Tissue Data'!K:K)</f>
        <v>Whole Body</v>
      </c>
      <c r="I1111">
        <f>_xlfn.XLOOKUP(A1111,'[1]Tissue Data'!$A:$A,'[1]Tissue Data'!L:L)</f>
        <v>7</v>
      </c>
      <c r="J1111">
        <f>_xlfn.XLOOKUP(A1111,'[1]Tissue Data'!$A:$A,'[1]Tissue Data'!M:M)</f>
        <v>3</v>
      </c>
      <c r="K1111" t="s">
        <v>21</v>
      </c>
      <c r="L1111" t="str">
        <f>_xlfn.XLOOKUP(K1111,[2]analyte_order!$B:$B,[2]analyte_order!$C:$C)</f>
        <v>72629-94-8</v>
      </c>
      <c r="M1111">
        <f>_xlfn.XLOOKUP(L1111,[2]analyte_order!$C:$C,[2]analyte_order!$E:$E)</f>
        <v>10</v>
      </c>
      <c r="N1111">
        <v>0.90700000000000003</v>
      </c>
    </row>
    <row r="1112" spans="1:14">
      <c r="A1112" t="s">
        <v>158</v>
      </c>
      <c r="B1112" t="str">
        <f>_xlfn.XLOOKUP(A1112,'[1]Tissue Data'!$A:$A,'[1]Tissue Data'!$C:$C)</f>
        <v>Down</v>
      </c>
      <c r="C1112" s="2">
        <f>_xlfn.XLOOKUP(A1112,'[1]Tissue Data'!$A:$A,'[1]Tissue Data'!$D:$D)</f>
        <v>44314</v>
      </c>
      <c r="D1112" s="2" t="s">
        <v>122</v>
      </c>
      <c r="E1112" t="str">
        <f>_xlfn.XLOOKUP(A1112,'[1]Tissue Data'!$A:$A,'[1]Tissue Data'!$H:$H)</f>
        <v>Etheostoma</v>
      </c>
      <c r="F1112" t="str">
        <f>_xlfn.XLOOKUP(A1112,'[1]Tissue Data'!$A:$A,'[1]Tissue Data'!$I:$I)</f>
        <v>olmstedi</v>
      </c>
      <c r="G1112" t="str">
        <f>_xlfn.XLOOKUP(A1112,'[1]Tissue Data'!$A:$A,'[1]Tissue Data'!J:J)</f>
        <v>U</v>
      </c>
      <c r="H1112" t="str">
        <f>_xlfn.XLOOKUP(A1112,'[1]Tissue Data'!$A:$A,'[1]Tissue Data'!K:K)</f>
        <v>Whole Body</v>
      </c>
      <c r="I1112">
        <f>_xlfn.XLOOKUP(A1112,'[1]Tissue Data'!$A:$A,'[1]Tissue Data'!L:L)</f>
        <v>7</v>
      </c>
      <c r="J1112">
        <f>_xlfn.XLOOKUP(A1112,'[1]Tissue Data'!$A:$A,'[1]Tissue Data'!M:M)</f>
        <v>3</v>
      </c>
      <c r="K1112" t="s">
        <v>22</v>
      </c>
      <c r="L1112" t="str">
        <f>_xlfn.XLOOKUP(K1112,[2]analyte_order!$B:$B,[2]analyte_order!$C:$C)</f>
        <v>376-06-7</v>
      </c>
      <c r="M1112">
        <f>_xlfn.XLOOKUP(L1112,[2]analyte_order!$C:$C,[2]analyte_order!$E:$E)</f>
        <v>11</v>
      </c>
      <c r="N1112">
        <v>1.19</v>
      </c>
    </row>
    <row r="1113" spans="1:14">
      <c r="A1113" t="s">
        <v>158</v>
      </c>
      <c r="B1113" t="str">
        <f>_xlfn.XLOOKUP(A1113,'[1]Tissue Data'!$A:$A,'[1]Tissue Data'!$C:$C)</f>
        <v>Down</v>
      </c>
      <c r="C1113" s="2">
        <f>_xlfn.XLOOKUP(A1113,'[1]Tissue Data'!$A:$A,'[1]Tissue Data'!$D:$D)</f>
        <v>44314</v>
      </c>
      <c r="D1113" s="2" t="s">
        <v>122</v>
      </c>
      <c r="E1113" t="str">
        <f>_xlfn.XLOOKUP(A1113,'[1]Tissue Data'!$A:$A,'[1]Tissue Data'!$H:$H)</f>
        <v>Etheostoma</v>
      </c>
      <c r="F1113" t="str">
        <f>_xlfn.XLOOKUP(A1113,'[1]Tissue Data'!$A:$A,'[1]Tissue Data'!$I:$I)</f>
        <v>olmstedi</v>
      </c>
      <c r="G1113" t="str">
        <f>_xlfn.XLOOKUP(A1113,'[1]Tissue Data'!$A:$A,'[1]Tissue Data'!J:J)</f>
        <v>U</v>
      </c>
      <c r="H1113" t="str">
        <f>_xlfn.XLOOKUP(A1113,'[1]Tissue Data'!$A:$A,'[1]Tissue Data'!K:K)</f>
        <v>Whole Body</v>
      </c>
      <c r="I1113">
        <f>_xlfn.XLOOKUP(A1113,'[1]Tissue Data'!$A:$A,'[1]Tissue Data'!L:L)</f>
        <v>7</v>
      </c>
      <c r="J1113">
        <f>_xlfn.XLOOKUP(A1113,'[1]Tissue Data'!$A:$A,'[1]Tissue Data'!M:M)</f>
        <v>3</v>
      </c>
      <c r="K1113" t="s">
        <v>23</v>
      </c>
      <c r="L1113" t="str">
        <f>_xlfn.XLOOKUP(K1113,[2]analyte_order!$B:$B,[2]analyte_order!$C:$C)</f>
        <v>67905-19-5</v>
      </c>
      <c r="M1113">
        <f>_xlfn.XLOOKUP(L1113,[2]analyte_order!$C:$C,[2]analyte_order!$E:$E)</f>
        <v>12</v>
      </c>
      <c r="N1113">
        <v>8.7942749522727265E-2</v>
      </c>
    </row>
    <row r="1114" spans="1:14">
      <c r="A1114" t="s">
        <v>158</v>
      </c>
      <c r="B1114" t="str">
        <f>_xlfn.XLOOKUP(A1114,'[1]Tissue Data'!$A:$A,'[1]Tissue Data'!$C:$C)</f>
        <v>Down</v>
      </c>
      <c r="C1114" s="2">
        <f>_xlfn.XLOOKUP(A1114,'[1]Tissue Data'!$A:$A,'[1]Tissue Data'!$D:$D)</f>
        <v>44314</v>
      </c>
      <c r="D1114" s="2" t="s">
        <v>122</v>
      </c>
      <c r="E1114" t="str">
        <f>_xlfn.XLOOKUP(A1114,'[1]Tissue Data'!$A:$A,'[1]Tissue Data'!$H:$H)</f>
        <v>Etheostoma</v>
      </c>
      <c r="F1114" t="str">
        <f>_xlfn.XLOOKUP(A1114,'[1]Tissue Data'!$A:$A,'[1]Tissue Data'!$I:$I)</f>
        <v>olmstedi</v>
      </c>
      <c r="G1114" t="str">
        <f>_xlfn.XLOOKUP(A1114,'[1]Tissue Data'!$A:$A,'[1]Tissue Data'!J:J)</f>
        <v>U</v>
      </c>
      <c r="H1114" t="str">
        <f>_xlfn.XLOOKUP(A1114,'[1]Tissue Data'!$A:$A,'[1]Tissue Data'!K:K)</f>
        <v>Whole Body</v>
      </c>
      <c r="I1114">
        <f>_xlfn.XLOOKUP(A1114,'[1]Tissue Data'!$A:$A,'[1]Tissue Data'!L:L)</f>
        <v>7</v>
      </c>
      <c r="J1114">
        <f>_xlfn.XLOOKUP(A1114,'[1]Tissue Data'!$A:$A,'[1]Tissue Data'!M:M)</f>
        <v>3</v>
      </c>
      <c r="K1114" t="s">
        <v>24</v>
      </c>
      <c r="L1114" t="str">
        <f>_xlfn.XLOOKUP(K1114,[2]analyte_order!$B:$B,[2]analyte_order!$C:$C)</f>
        <v>423-41-6</v>
      </c>
      <c r="M1114">
        <f>_xlfn.XLOOKUP(L1114,[2]analyte_order!$C:$C,[2]analyte_order!$E:$E)</f>
        <v>53</v>
      </c>
      <c r="N1114">
        <v>5.6298202261363631E-2</v>
      </c>
    </row>
    <row r="1115" spans="1:14">
      <c r="A1115" t="s">
        <v>158</v>
      </c>
      <c r="B1115" t="str">
        <f>_xlfn.XLOOKUP(A1115,'[1]Tissue Data'!$A:$A,'[1]Tissue Data'!$C:$C)</f>
        <v>Down</v>
      </c>
      <c r="C1115" s="2">
        <f>_xlfn.XLOOKUP(A1115,'[1]Tissue Data'!$A:$A,'[1]Tissue Data'!$D:$D)</f>
        <v>44314</v>
      </c>
      <c r="D1115" s="2" t="s">
        <v>122</v>
      </c>
      <c r="E1115" t="str">
        <f>_xlfn.XLOOKUP(A1115,'[1]Tissue Data'!$A:$A,'[1]Tissue Data'!$H:$H)</f>
        <v>Etheostoma</v>
      </c>
      <c r="F1115" t="str">
        <f>_xlfn.XLOOKUP(A1115,'[1]Tissue Data'!$A:$A,'[1]Tissue Data'!$I:$I)</f>
        <v>olmstedi</v>
      </c>
      <c r="G1115" t="str">
        <f>_xlfn.XLOOKUP(A1115,'[1]Tissue Data'!$A:$A,'[1]Tissue Data'!J:J)</f>
        <v>U</v>
      </c>
      <c r="H1115" t="str">
        <f>_xlfn.XLOOKUP(A1115,'[1]Tissue Data'!$A:$A,'[1]Tissue Data'!K:K)</f>
        <v>Whole Body</v>
      </c>
      <c r="I1115">
        <f>_xlfn.XLOOKUP(A1115,'[1]Tissue Data'!$A:$A,'[1]Tissue Data'!L:L)</f>
        <v>7</v>
      </c>
      <c r="J1115">
        <f>_xlfn.XLOOKUP(A1115,'[1]Tissue Data'!$A:$A,'[1]Tissue Data'!M:M)</f>
        <v>3</v>
      </c>
      <c r="K1115" t="s">
        <v>25</v>
      </c>
      <c r="L1115" t="str">
        <f>_xlfn.XLOOKUP(K1115,[2]analyte_order!$B:$B,[2]analyte_order!$C:$C)</f>
        <v>375-73-5</v>
      </c>
      <c r="M1115">
        <f>_xlfn.XLOOKUP(L1115,[2]analyte_order!$C:$C,[2]analyte_order!$E:$E)</f>
        <v>14</v>
      </c>
      <c r="N1115">
        <v>1.29</v>
      </c>
    </row>
    <row r="1116" spans="1:14">
      <c r="A1116" t="s">
        <v>158</v>
      </c>
      <c r="B1116" t="str">
        <f>_xlfn.XLOOKUP(A1116,'[1]Tissue Data'!$A:$A,'[1]Tissue Data'!$C:$C)</f>
        <v>Down</v>
      </c>
      <c r="C1116" s="2">
        <f>_xlfn.XLOOKUP(A1116,'[1]Tissue Data'!$A:$A,'[1]Tissue Data'!$D:$D)</f>
        <v>44314</v>
      </c>
      <c r="D1116" s="2" t="s">
        <v>122</v>
      </c>
      <c r="E1116" t="str">
        <f>_xlfn.XLOOKUP(A1116,'[1]Tissue Data'!$A:$A,'[1]Tissue Data'!$H:$H)</f>
        <v>Etheostoma</v>
      </c>
      <c r="F1116" t="str">
        <f>_xlfn.XLOOKUP(A1116,'[1]Tissue Data'!$A:$A,'[1]Tissue Data'!$I:$I)</f>
        <v>olmstedi</v>
      </c>
      <c r="G1116" t="str">
        <f>_xlfn.XLOOKUP(A1116,'[1]Tissue Data'!$A:$A,'[1]Tissue Data'!J:J)</f>
        <v>U</v>
      </c>
      <c r="H1116" t="str">
        <f>_xlfn.XLOOKUP(A1116,'[1]Tissue Data'!$A:$A,'[1]Tissue Data'!K:K)</f>
        <v>Whole Body</v>
      </c>
      <c r="I1116">
        <f>_xlfn.XLOOKUP(A1116,'[1]Tissue Data'!$A:$A,'[1]Tissue Data'!L:L)</f>
        <v>7</v>
      </c>
      <c r="J1116">
        <f>_xlfn.XLOOKUP(A1116,'[1]Tissue Data'!$A:$A,'[1]Tissue Data'!M:M)</f>
        <v>3</v>
      </c>
      <c r="K1116" t="s">
        <v>26</v>
      </c>
      <c r="L1116" t="str">
        <f>_xlfn.XLOOKUP(K1116,[2]analyte_order!$B:$B,[2]analyte_order!$C:$C)</f>
        <v>2706-91-4</v>
      </c>
      <c r="M1116">
        <f>_xlfn.XLOOKUP(L1116,[2]analyte_order!$C:$C,[2]analyte_order!$E:$E)</f>
        <v>15</v>
      </c>
      <c r="N1116">
        <v>1.84</v>
      </c>
    </row>
    <row r="1117" spans="1:14">
      <c r="A1117" t="s">
        <v>158</v>
      </c>
      <c r="B1117" t="str">
        <f>_xlfn.XLOOKUP(A1117,'[1]Tissue Data'!$A:$A,'[1]Tissue Data'!$C:$C)</f>
        <v>Down</v>
      </c>
      <c r="C1117" s="2">
        <f>_xlfn.XLOOKUP(A1117,'[1]Tissue Data'!$A:$A,'[1]Tissue Data'!$D:$D)</f>
        <v>44314</v>
      </c>
      <c r="D1117" s="2" t="s">
        <v>122</v>
      </c>
      <c r="E1117" t="str">
        <f>_xlfn.XLOOKUP(A1117,'[1]Tissue Data'!$A:$A,'[1]Tissue Data'!$H:$H)</f>
        <v>Etheostoma</v>
      </c>
      <c r="F1117" t="str">
        <f>_xlfn.XLOOKUP(A1117,'[1]Tissue Data'!$A:$A,'[1]Tissue Data'!$I:$I)</f>
        <v>olmstedi</v>
      </c>
      <c r="G1117" t="str">
        <f>_xlfn.XLOOKUP(A1117,'[1]Tissue Data'!$A:$A,'[1]Tissue Data'!J:J)</f>
        <v>U</v>
      </c>
      <c r="H1117" t="str">
        <f>_xlfn.XLOOKUP(A1117,'[1]Tissue Data'!$A:$A,'[1]Tissue Data'!K:K)</f>
        <v>Whole Body</v>
      </c>
      <c r="I1117">
        <f>_xlfn.XLOOKUP(A1117,'[1]Tissue Data'!$A:$A,'[1]Tissue Data'!L:L)</f>
        <v>7</v>
      </c>
      <c r="J1117">
        <f>_xlfn.XLOOKUP(A1117,'[1]Tissue Data'!$A:$A,'[1]Tissue Data'!M:M)</f>
        <v>3</v>
      </c>
      <c r="K1117" t="s">
        <v>27</v>
      </c>
      <c r="L1117" t="str">
        <f>_xlfn.XLOOKUP(K1117,[2]analyte_order!$B:$B,[2]analyte_order!$C:$C)</f>
        <v>355-46-4</v>
      </c>
      <c r="M1117">
        <f>_xlfn.XLOOKUP(L1117,[2]analyte_order!$C:$C,[2]analyte_order!$E:$E)</f>
        <v>16</v>
      </c>
      <c r="N1117">
        <v>79.099999999999994</v>
      </c>
    </row>
    <row r="1118" spans="1:14">
      <c r="A1118" t="s">
        <v>158</v>
      </c>
      <c r="B1118" t="str">
        <f>_xlfn.XLOOKUP(A1118,'[1]Tissue Data'!$A:$A,'[1]Tissue Data'!$C:$C)</f>
        <v>Down</v>
      </c>
      <c r="C1118" s="2">
        <f>_xlfn.XLOOKUP(A1118,'[1]Tissue Data'!$A:$A,'[1]Tissue Data'!$D:$D)</f>
        <v>44314</v>
      </c>
      <c r="D1118" s="2" t="s">
        <v>122</v>
      </c>
      <c r="E1118" t="str">
        <f>_xlfn.XLOOKUP(A1118,'[1]Tissue Data'!$A:$A,'[1]Tissue Data'!$H:$H)</f>
        <v>Etheostoma</v>
      </c>
      <c r="F1118" t="str">
        <f>_xlfn.XLOOKUP(A1118,'[1]Tissue Data'!$A:$A,'[1]Tissue Data'!$I:$I)</f>
        <v>olmstedi</v>
      </c>
      <c r="G1118" t="str">
        <f>_xlfn.XLOOKUP(A1118,'[1]Tissue Data'!$A:$A,'[1]Tissue Data'!J:J)</f>
        <v>U</v>
      </c>
      <c r="H1118" t="str">
        <f>_xlfn.XLOOKUP(A1118,'[1]Tissue Data'!$A:$A,'[1]Tissue Data'!K:K)</f>
        <v>Whole Body</v>
      </c>
      <c r="I1118">
        <f>_xlfn.XLOOKUP(A1118,'[1]Tissue Data'!$A:$A,'[1]Tissue Data'!L:L)</f>
        <v>7</v>
      </c>
      <c r="J1118">
        <f>_xlfn.XLOOKUP(A1118,'[1]Tissue Data'!$A:$A,'[1]Tissue Data'!M:M)</f>
        <v>3</v>
      </c>
      <c r="K1118" t="s">
        <v>28</v>
      </c>
      <c r="L1118" t="str">
        <f>_xlfn.XLOOKUP(K1118,[2]analyte_order!$B:$B,[2]analyte_order!$C:$C)</f>
        <v>375-92-8</v>
      </c>
      <c r="M1118">
        <f>_xlfn.XLOOKUP(L1118,[2]analyte_order!$C:$C,[2]analyte_order!$E:$E)</f>
        <v>17</v>
      </c>
      <c r="N1118">
        <v>3.32</v>
      </c>
    </row>
    <row r="1119" spans="1:14">
      <c r="A1119" t="s">
        <v>158</v>
      </c>
      <c r="B1119" t="str">
        <f>_xlfn.XLOOKUP(A1119,'[1]Tissue Data'!$A:$A,'[1]Tissue Data'!$C:$C)</f>
        <v>Down</v>
      </c>
      <c r="C1119" s="2">
        <f>_xlfn.XLOOKUP(A1119,'[1]Tissue Data'!$A:$A,'[1]Tissue Data'!$D:$D)</f>
        <v>44314</v>
      </c>
      <c r="D1119" s="2" t="s">
        <v>122</v>
      </c>
      <c r="E1119" t="str">
        <f>_xlfn.XLOOKUP(A1119,'[1]Tissue Data'!$A:$A,'[1]Tissue Data'!$H:$H)</f>
        <v>Etheostoma</v>
      </c>
      <c r="F1119" t="str">
        <f>_xlfn.XLOOKUP(A1119,'[1]Tissue Data'!$A:$A,'[1]Tissue Data'!$I:$I)</f>
        <v>olmstedi</v>
      </c>
      <c r="G1119" t="str">
        <f>_xlfn.XLOOKUP(A1119,'[1]Tissue Data'!$A:$A,'[1]Tissue Data'!J:J)</f>
        <v>U</v>
      </c>
      <c r="H1119" t="str">
        <f>_xlfn.XLOOKUP(A1119,'[1]Tissue Data'!$A:$A,'[1]Tissue Data'!K:K)</f>
        <v>Whole Body</v>
      </c>
      <c r="I1119">
        <f>_xlfn.XLOOKUP(A1119,'[1]Tissue Data'!$A:$A,'[1]Tissue Data'!L:L)</f>
        <v>7</v>
      </c>
      <c r="J1119">
        <f>_xlfn.XLOOKUP(A1119,'[1]Tissue Data'!$A:$A,'[1]Tissue Data'!M:M)</f>
        <v>3</v>
      </c>
      <c r="K1119" t="s">
        <v>29</v>
      </c>
      <c r="L1119" t="str">
        <f>_xlfn.XLOOKUP(K1119,[2]analyte_order!$B:$B,[2]analyte_order!$C:$C)</f>
        <v>1763-23-1</v>
      </c>
      <c r="M1119">
        <f>_xlfn.XLOOKUP(L1119,[2]analyte_order!$C:$C,[2]analyte_order!$E:$E)</f>
        <v>18</v>
      </c>
      <c r="N1119">
        <v>551</v>
      </c>
    </row>
    <row r="1120" spans="1:14">
      <c r="A1120" t="s">
        <v>158</v>
      </c>
      <c r="B1120" t="str">
        <f>_xlfn.XLOOKUP(A1120,'[1]Tissue Data'!$A:$A,'[1]Tissue Data'!$C:$C)</f>
        <v>Down</v>
      </c>
      <c r="C1120" s="2">
        <f>_xlfn.XLOOKUP(A1120,'[1]Tissue Data'!$A:$A,'[1]Tissue Data'!$D:$D)</f>
        <v>44314</v>
      </c>
      <c r="D1120" s="2" t="s">
        <v>122</v>
      </c>
      <c r="E1120" t="str">
        <f>_xlfn.XLOOKUP(A1120,'[1]Tissue Data'!$A:$A,'[1]Tissue Data'!$H:$H)</f>
        <v>Etheostoma</v>
      </c>
      <c r="F1120" t="str">
        <f>_xlfn.XLOOKUP(A1120,'[1]Tissue Data'!$A:$A,'[1]Tissue Data'!$I:$I)</f>
        <v>olmstedi</v>
      </c>
      <c r="G1120" t="str">
        <f>_xlfn.XLOOKUP(A1120,'[1]Tissue Data'!$A:$A,'[1]Tissue Data'!J:J)</f>
        <v>U</v>
      </c>
      <c r="H1120" t="str">
        <f>_xlfn.XLOOKUP(A1120,'[1]Tissue Data'!$A:$A,'[1]Tissue Data'!K:K)</f>
        <v>Whole Body</v>
      </c>
      <c r="I1120">
        <f>_xlfn.XLOOKUP(A1120,'[1]Tissue Data'!$A:$A,'[1]Tissue Data'!L:L)</f>
        <v>7</v>
      </c>
      <c r="J1120">
        <f>_xlfn.XLOOKUP(A1120,'[1]Tissue Data'!$A:$A,'[1]Tissue Data'!M:M)</f>
        <v>3</v>
      </c>
      <c r="K1120" t="s">
        <v>30</v>
      </c>
      <c r="L1120" t="str">
        <f>_xlfn.XLOOKUP(K1120,[2]analyte_order!$B:$B,[2]analyte_order!$C:$C)</f>
        <v>68259-12-1</v>
      </c>
      <c r="M1120">
        <f>_xlfn.XLOOKUP(L1120,[2]analyte_order!$C:$C,[2]analyte_order!$E:$E)</f>
        <v>19</v>
      </c>
      <c r="N1120">
        <v>0.88300000000000001</v>
      </c>
    </row>
    <row r="1121" spans="1:14">
      <c r="A1121" t="s">
        <v>158</v>
      </c>
      <c r="B1121" t="str">
        <f>_xlfn.XLOOKUP(A1121,'[1]Tissue Data'!$A:$A,'[1]Tissue Data'!$C:$C)</f>
        <v>Down</v>
      </c>
      <c r="C1121" s="2">
        <f>_xlfn.XLOOKUP(A1121,'[1]Tissue Data'!$A:$A,'[1]Tissue Data'!$D:$D)</f>
        <v>44314</v>
      </c>
      <c r="D1121" s="2" t="s">
        <v>122</v>
      </c>
      <c r="E1121" t="str">
        <f>_xlfn.XLOOKUP(A1121,'[1]Tissue Data'!$A:$A,'[1]Tissue Data'!$H:$H)</f>
        <v>Etheostoma</v>
      </c>
      <c r="F1121" t="str">
        <f>_xlfn.XLOOKUP(A1121,'[1]Tissue Data'!$A:$A,'[1]Tissue Data'!$I:$I)</f>
        <v>olmstedi</v>
      </c>
      <c r="G1121" t="str">
        <f>_xlfn.XLOOKUP(A1121,'[1]Tissue Data'!$A:$A,'[1]Tissue Data'!J:J)</f>
        <v>U</v>
      </c>
      <c r="H1121" t="str">
        <f>_xlfn.XLOOKUP(A1121,'[1]Tissue Data'!$A:$A,'[1]Tissue Data'!K:K)</f>
        <v>Whole Body</v>
      </c>
      <c r="I1121">
        <f>_xlfn.XLOOKUP(A1121,'[1]Tissue Data'!$A:$A,'[1]Tissue Data'!L:L)</f>
        <v>7</v>
      </c>
      <c r="J1121">
        <f>_xlfn.XLOOKUP(A1121,'[1]Tissue Data'!$A:$A,'[1]Tissue Data'!M:M)</f>
        <v>3</v>
      </c>
      <c r="K1121" t="s">
        <v>31</v>
      </c>
      <c r="L1121" t="str">
        <f>_xlfn.XLOOKUP(K1121,[2]analyte_order!$B:$B,[2]analyte_order!$C:$C)</f>
        <v>335-77-3</v>
      </c>
      <c r="M1121">
        <f>_xlfn.XLOOKUP(L1121,[2]analyte_order!$C:$C,[2]analyte_order!$E:$E)</f>
        <v>20</v>
      </c>
      <c r="N1121">
        <v>0.65700000000000003</v>
      </c>
    </row>
    <row r="1122" spans="1:14">
      <c r="A1122" t="s">
        <v>158</v>
      </c>
      <c r="B1122" t="str">
        <f>_xlfn.XLOOKUP(A1122,'[1]Tissue Data'!$A:$A,'[1]Tissue Data'!$C:$C)</f>
        <v>Down</v>
      </c>
      <c r="C1122" s="2">
        <f>_xlfn.XLOOKUP(A1122,'[1]Tissue Data'!$A:$A,'[1]Tissue Data'!$D:$D)</f>
        <v>44314</v>
      </c>
      <c r="D1122" s="2" t="s">
        <v>122</v>
      </c>
      <c r="E1122" t="str">
        <f>_xlfn.XLOOKUP(A1122,'[1]Tissue Data'!$A:$A,'[1]Tissue Data'!$H:$H)</f>
        <v>Etheostoma</v>
      </c>
      <c r="F1122" t="str">
        <f>_xlfn.XLOOKUP(A1122,'[1]Tissue Data'!$A:$A,'[1]Tissue Data'!$I:$I)</f>
        <v>olmstedi</v>
      </c>
      <c r="G1122" t="str">
        <f>_xlfn.XLOOKUP(A1122,'[1]Tissue Data'!$A:$A,'[1]Tissue Data'!J:J)</f>
        <v>U</v>
      </c>
      <c r="H1122" t="str">
        <f>_xlfn.XLOOKUP(A1122,'[1]Tissue Data'!$A:$A,'[1]Tissue Data'!K:K)</f>
        <v>Whole Body</v>
      </c>
      <c r="I1122">
        <f>_xlfn.XLOOKUP(A1122,'[1]Tissue Data'!$A:$A,'[1]Tissue Data'!L:L)</f>
        <v>7</v>
      </c>
      <c r="J1122">
        <f>_xlfn.XLOOKUP(A1122,'[1]Tissue Data'!$A:$A,'[1]Tissue Data'!M:M)</f>
        <v>3</v>
      </c>
      <c r="K1122" t="s">
        <v>32</v>
      </c>
      <c r="L1122" t="str">
        <f>_xlfn.XLOOKUP(K1122,[2]analyte_order!$B:$B,[2]analyte_order!$C:$C)</f>
        <v>79780-39-5</v>
      </c>
      <c r="M1122">
        <f>_xlfn.XLOOKUP(L1122,[2]analyte_order!$C:$C,[2]analyte_order!$E:$E)</f>
        <v>21</v>
      </c>
      <c r="N1122">
        <v>0.25645737517741424</v>
      </c>
    </row>
    <row r="1123" spans="1:14">
      <c r="A1123" t="s">
        <v>158</v>
      </c>
      <c r="B1123" t="str">
        <f>_xlfn.XLOOKUP(A1123,'[1]Tissue Data'!$A:$A,'[1]Tissue Data'!$C:$C)</f>
        <v>Down</v>
      </c>
      <c r="C1123" s="2">
        <f>_xlfn.XLOOKUP(A1123,'[1]Tissue Data'!$A:$A,'[1]Tissue Data'!$D:$D)</f>
        <v>44314</v>
      </c>
      <c r="D1123" s="2" t="s">
        <v>122</v>
      </c>
      <c r="E1123" t="str">
        <f>_xlfn.XLOOKUP(A1123,'[1]Tissue Data'!$A:$A,'[1]Tissue Data'!$H:$H)</f>
        <v>Etheostoma</v>
      </c>
      <c r="F1123" t="str">
        <f>_xlfn.XLOOKUP(A1123,'[1]Tissue Data'!$A:$A,'[1]Tissue Data'!$I:$I)</f>
        <v>olmstedi</v>
      </c>
      <c r="G1123" t="str">
        <f>_xlfn.XLOOKUP(A1123,'[1]Tissue Data'!$A:$A,'[1]Tissue Data'!J:J)</f>
        <v>U</v>
      </c>
      <c r="H1123" t="str">
        <f>_xlfn.XLOOKUP(A1123,'[1]Tissue Data'!$A:$A,'[1]Tissue Data'!K:K)</f>
        <v>Whole Body</v>
      </c>
      <c r="I1123">
        <f>_xlfn.XLOOKUP(A1123,'[1]Tissue Data'!$A:$A,'[1]Tissue Data'!L:L)</f>
        <v>7</v>
      </c>
      <c r="J1123">
        <f>_xlfn.XLOOKUP(A1123,'[1]Tissue Data'!$A:$A,'[1]Tissue Data'!M:M)</f>
        <v>3</v>
      </c>
      <c r="K1123" t="s">
        <v>33</v>
      </c>
      <c r="L1123" t="str">
        <f>_xlfn.XLOOKUP(K1123,[2]analyte_order!$B:$B,[2]analyte_order!$C:$C)</f>
        <v>777011-38-8</v>
      </c>
      <c r="M1123">
        <f>_xlfn.XLOOKUP(L1123,[2]analyte_order!$C:$C,[2]analyte_order!$E:$E)</f>
        <v>54</v>
      </c>
      <c r="N1123">
        <v>0.14573539039748454</v>
      </c>
    </row>
    <row r="1124" spans="1:14">
      <c r="A1124" t="s">
        <v>158</v>
      </c>
      <c r="B1124" t="str">
        <f>_xlfn.XLOOKUP(A1124,'[1]Tissue Data'!$A:$A,'[1]Tissue Data'!$C:$C)</f>
        <v>Down</v>
      </c>
      <c r="C1124" s="2">
        <f>_xlfn.XLOOKUP(A1124,'[1]Tissue Data'!$A:$A,'[1]Tissue Data'!$D:$D)</f>
        <v>44314</v>
      </c>
      <c r="D1124" s="2" t="s">
        <v>122</v>
      </c>
      <c r="E1124" t="str">
        <f>_xlfn.XLOOKUP(A1124,'[1]Tissue Data'!$A:$A,'[1]Tissue Data'!$H:$H)</f>
        <v>Etheostoma</v>
      </c>
      <c r="F1124" t="str">
        <f>_xlfn.XLOOKUP(A1124,'[1]Tissue Data'!$A:$A,'[1]Tissue Data'!$I:$I)</f>
        <v>olmstedi</v>
      </c>
      <c r="G1124" t="str">
        <f>_xlfn.XLOOKUP(A1124,'[1]Tissue Data'!$A:$A,'[1]Tissue Data'!J:J)</f>
        <v>U</v>
      </c>
      <c r="H1124" t="str">
        <f>_xlfn.XLOOKUP(A1124,'[1]Tissue Data'!$A:$A,'[1]Tissue Data'!K:K)</f>
        <v>Whole Body</v>
      </c>
      <c r="I1124">
        <f>_xlfn.XLOOKUP(A1124,'[1]Tissue Data'!$A:$A,'[1]Tissue Data'!L:L)</f>
        <v>7</v>
      </c>
      <c r="J1124">
        <f>_xlfn.XLOOKUP(A1124,'[1]Tissue Data'!$A:$A,'[1]Tissue Data'!M:M)</f>
        <v>3</v>
      </c>
      <c r="K1124" t="s">
        <v>34</v>
      </c>
      <c r="L1124" t="str">
        <f>_xlfn.XLOOKUP(K1124,[2]analyte_order!$B:$B,[2]analyte_order!$C:$C)</f>
        <v>646-83-3</v>
      </c>
      <c r="M1124">
        <f>_xlfn.XLOOKUP(L1124,[2]analyte_order!$C:$C,[2]analyte_order!$E:$E)</f>
        <v>55</v>
      </c>
      <c r="N1124">
        <v>0.501</v>
      </c>
    </row>
    <row r="1125" spans="1:14">
      <c r="A1125" t="s">
        <v>158</v>
      </c>
      <c r="B1125" t="str">
        <f>_xlfn.XLOOKUP(A1125,'[1]Tissue Data'!$A:$A,'[1]Tissue Data'!$C:$C)</f>
        <v>Down</v>
      </c>
      <c r="C1125" s="2">
        <f>_xlfn.XLOOKUP(A1125,'[1]Tissue Data'!$A:$A,'[1]Tissue Data'!$D:$D)</f>
        <v>44314</v>
      </c>
      <c r="D1125" s="2" t="s">
        <v>122</v>
      </c>
      <c r="E1125" t="str">
        <f>_xlfn.XLOOKUP(A1125,'[1]Tissue Data'!$A:$A,'[1]Tissue Data'!$H:$H)</f>
        <v>Etheostoma</v>
      </c>
      <c r="F1125" t="str">
        <f>_xlfn.XLOOKUP(A1125,'[1]Tissue Data'!$A:$A,'[1]Tissue Data'!$I:$I)</f>
        <v>olmstedi</v>
      </c>
      <c r="G1125" t="str">
        <f>_xlfn.XLOOKUP(A1125,'[1]Tissue Data'!$A:$A,'[1]Tissue Data'!J:J)</f>
        <v>U</v>
      </c>
      <c r="H1125" t="str">
        <f>_xlfn.XLOOKUP(A1125,'[1]Tissue Data'!$A:$A,'[1]Tissue Data'!K:K)</f>
        <v>Whole Body</v>
      </c>
      <c r="I1125">
        <f>_xlfn.XLOOKUP(A1125,'[1]Tissue Data'!$A:$A,'[1]Tissue Data'!L:L)</f>
        <v>7</v>
      </c>
      <c r="J1125">
        <f>_xlfn.XLOOKUP(A1125,'[1]Tissue Data'!$A:$A,'[1]Tissue Data'!M:M)</f>
        <v>3</v>
      </c>
      <c r="K1125" t="s">
        <v>35</v>
      </c>
      <c r="L1125" t="str">
        <f>_xlfn.XLOOKUP(K1125,[2]analyte_order!$B:$B,[2]analyte_order!$C:$C)</f>
        <v>30334-69-1</v>
      </c>
      <c r="M1125">
        <f>_xlfn.XLOOKUP(L1125,[2]analyte_order!$C:$C,[2]analyte_order!$E:$E)</f>
        <v>51</v>
      </c>
      <c r="N1125">
        <v>11.7</v>
      </c>
    </row>
    <row r="1126" spans="1:14">
      <c r="A1126" t="s">
        <v>158</v>
      </c>
      <c r="B1126" t="str">
        <f>_xlfn.XLOOKUP(A1126,'[1]Tissue Data'!$A:$A,'[1]Tissue Data'!$C:$C)</f>
        <v>Down</v>
      </c>
      <c r="C1126" s="2">
        <f>_xlfn.XLOOKUP(A1126,'[1]Tissue Data'!$A:$A,'[1]Tissue Data'!$D:$D)</f>
        <v>44314</v>
      </c>
      <c r="D1126" s="2" t="s">
        <v>122</v>
      </c>
      <c r="E1126" t="str">
        <f>_xlfn.XLOOKUP(A1126,'[1]Tissue Data'!$A:$A,'[1]Tissue Data'!$H:$H)</f>
        <v>Etheostoma</v>
      </c>
      <c r="F1126" t="str">
        <f>_xlfn.XLOOKUP(A1126,'[1]Tissue Data'!$A:$A,'[1]Tissue Data'!$I:$I)</f>
        <v>olmstedi</v>
      </c>
      <c r="G1126" t="str">
        <f>_xlfn.XLOOKUP(A1126,'[1]Tissue Data'!$A:$A,'[1]Tissue Data'!J:J)</f>
        <v>U</v>
      </c>
      <c r="H1126" t="str">
        <f>_xlfn.XLOOKUP(A1126,'[1]Tissue Data'!$A:$A,'[1]Tissue Data'!K:K)</f>
        <v>Whole Body</v>
      </c>
      <c r="I1126">
        <f>_xlfn.XLOOKUP(A1126,'[1]Tissue Data'!$A:$A,'[1]Tissue Data'!L:L)</f>
        <v>7</v>
      </c>
      <c r="J1126">
        <f>_xlfn.XLOOKUP(A1126,'[1]Tissue Data'!$A:$A,'[1]Tissue Data'!M:M)</f>
        <v>3</v>
      </c>
      <c r="K1126" t="s">
        <v>36</v>
      </c>
      <c r="L1126" t="str">
        <f>_xlfn.XLOOKUP(K1126,[2]analyte_order!$B:$B,[2]analyte_order!$C:$C)</f>
        <v>41997-13-1</v>
      </c>
      <c r="M1126">
        <f>_xlfn.XLOOKUP(L1126,[2]analyte_order!$C:$C,[2]analyte_order!$E:$E)</f>
        <v>52</v>
      </c>
      <c r="N1126">
        <v>41</v>
      </c>
    </row>
    <row r="1127" spans="1:14">
      <c r="A1127" t="s">
        <v>158</v>
      </c>
      <c r="B1127" t="str">
        <f>_xlfn.XLOOKUP(A1127,'[1]Tissue Data'!$A:$A,'[1]Tissue Data'!$C:$C)</f>
        <v>Down</v>
      </c>
      <c r="C1127" s="2">
        <f>_xlfn.XLOOKUP(A1127,'[1]Tissue Data'!$A:$A,'[1]Tissue Data'!$D:$D)</f>
        <v>44314</v>
      </c>
      <c r="D1127" s="2" t="s">
        <v>122</v>
      </c>
      <c r="E1127" t="str">
        <f>_xlfn.XLOOKUP(A1127,'[1]Tissue Data'!$A:$A,'[1]Tissue Data'!$H:$H)</f>
        <v>Etheostoma</v>
      </c>
      <c r="F1127" t="str">
        <f>_xlfn.XLOOKUP(A1127,'[1]Tissue Data'!$A:$A,'[1]Tissue Data'!$I:$I)</f>
        <v>olmstedi</v>
      </c>
      <c r="G1127" t="str">
        <f>_xlfn.XLOOKUP(A1127,'[1]Tissue Data'!$A:$A,'[1]Tissue Data'!J:J)</f>
        <v>U</v>
      </c>
      <c r="H1127" t="str">
        <f>_xlfn.XLOOKUP(A1127,'[1]Tissue Data'!$A:$A,'[1]Tissue Data'!K:K)</f>
        <v>Whole Body</v>
      </c>
      <c r="I1127">
        <f>_xlfn.XLOOKUP(A1127,'[1]Tissue Data'!$A:$A,'[1]Tissue Data'!L:L)</f>
        <v>7</v>
      </c>
      <c r="J1127">
        <f>_xlfn.XLOOKUP(A1127,'[1]Tissue Data'!$A:$A,'[1]Tissue Data'!M:M)</f>
        <v>3</v>
      </c>
      <c r="K1127" t="s">
        <v>37</v>
      </c>
      <c r="L1127" t="str">
        <f>_xlfn.XLOOKUP(K1127,[2]analyte_order!$B:$B,[2]analyte_order!$C:$C)</f>
        <v>754-91-6</v>
      </c>
      <c r="M1127">
        <f>_xlfn.XLOOKUP(L1127,[2]analyte_order!$C:$C,[2]analyte_order!$E:$E)</f>
        <v>28</v>
      </c>
      <c r="N1127">
        <v>47</v>
      </c>
    </row>
    <row r="1128" spans="1:14">
      <c r="A1128" t="s">
        <v>158</v>
      </c>
      <c r="B1128" t="str">
        <f>_xlfn.XLOOKUP(A1128,'[1]Tissue Data'!$A:$A,'[1]Tissue Data'!$C:$C)</f>
        <v>Down</v>
      </c>
      <c r="C1128" s="2">
        <f>_xlfn.XLOOKUP(A1128,'[1]Tissue Data'!$A:$A,'[1]Tissue Data'!$D:$D)</f>
        <v>44314</v>
      </c>
      <c r="D1128" s="2" t="s">
        <v>122</v>
      </c>
      <c r="E1128" t="str">
        <f>_xlfn.XLOOKUP(A1128,'[1]Tissue Data'!$A:$A,'[1]Tissue Data'!$H:$H)</f>
        <v>Etheostoma</v>
      </c>
      <c r="F1128" t="str">
        <f>_xlfn.XLOOKUP(A1128,'[1]Tissue Data'!$A:$A,'[1]Tissue Data'!$I:$I)</f>
        <v>olmstedi</v>
      </c>
      <c r="G1128" t="str">
        <f>_xlfn.XLOOKUP(A1128,'[1]Tissue Data'!$A:$A,'[1]Tissue Data'!J:J)</f>
        <v>U</v>
      </c>
      <c r="H1128" t="str">
        <f>_xlfn.XLOOKUP(A1128,'[1]Tissue Data'!$A:$A,'[1]Tissue Data'!K:K)</f>
        <v>Whole Body</v>
      </c>
      <c r="I1128">
        <f>_xlfn.XLOOKUP(A1128,'[1]Tissue Data'!$A:$A,'[1]Tissue Data'!L:L)</f>
        <v>7</v>
      </c>
      <c r="J1128">
        <f>_xlfn.XLOOKUP(A1128,'[1]Tissue Data'!$A:$A,'[1]Tissue Data'!M:M)</f>
        <v>3</v>
      </c>
      <c r="K1128" t="s">
        <v>38</v>
      </c>
      <c r="L1128" t="str">
        <f>_xlfn.XLOOKUP(K1128,[2]analyte_order!$B:$B,[2]analyte_order!$C:$C)</f>
        <v>31506-32-8</v>
      </c>
      <c r="M1128">
        <f>_xlfn.XLOOKUP(L1128,[2]analyte_order!$C:$C,[2]analyte_order!$E:$E)</f>
        <v>30</v>
      </c>
      <c r="N1128">
        <v>5.6846460272727273E-2</v>
      </c>
    </row>
    <row r="1129" spans="1:14">
      <c r="A1129" t="s">
        <v>158</v>
      </c>
      <c r="B1129" t="str">
        <f>_xlfn.XLOOKUP(A1129,'[1]Tissue Data'!$A:$A,'[1]Tissue Data'!$C:$C)</f>
        <v>Down</v>
      </c>
      <c r="C1129" s="2">
        <f>_xlfn.XLOOKUP(A1129,'[1]Tissue Data'!$A:$A,'[1]Tissue Data'!$D:$D)</f>
        <v>44314</v>
      </c>
      <c r="D1129" s="2" t="s">
        <v>122</v>
      </c>
      <c r="E1129" t="str">
        <f>_xlfn.XLOOKUP(A1129,'[1]Tissue Data'!$A:$A,'[1]Tissue Data'!$H:$H)</f>
        <v>Etheostoma</v>
      </c>
      <c r="F1129" t="str">
        <f>_xlfn.XLOOKUP(A1129,'[1]Tissue Data'!$A:$A,'[1]Tissue Data'!$I:$I)</f>
        <v>olmstedi</v>
      </c>
      <c r="G1129" t="str">
        <f>_xlfn.XLOOKUP(A1129,'[1]Tissue Data'!$A:$A,'[1]Tissue Data'!J:J)</f>
        <v>U</v>
      </c>
      <c r="H1129" t="str">
        <f>_xlfn.XLOOKUP(A1129,'[1]Tissue Data'!$A:$A,'[1]Tissue Data'!K:K)</f>
        <v>Whole Body</v>
      </c>
      <c r="I1129">
        <f>_xlfn.XLOOKUP(A1129,'[1]Tissue Data'!$A:$A,'[1]Tissue Data'!L:L)</f>
        <v>7</v>
      </c>
      <c r="J1129">
        <f>_xlfn.XLOOKUP(A1129,'[1]Tissue Data'!$A:$A,'[1]Tissue Data'!M:M)</f>
        <v>3</v>
      </c>
      <c r="K1129" t="s">
        <v>39</v>
      </c>
      <c r="L1129" t="str">
        <f>_xlfn.XLOOKUP(K1129,[2]analyte_order!$B:$B,[2]analyte_order!$C:$C)</f>
        <v>4151-50-2</v>
      </c>
      <c r="M1129">
        <f>_xlfn.XLOOKUP(L1129,[2]analyte_order!$C:$C,[2]analyte_order!$E:$E)</f>
        <v>31</v>
      </c>
      <c r="N1129">
        <v>8.6109663988636356E-2</v>
      </c>
    </row>
    <row r="1130" spans="1:14">
      <c r="A1130" t="s">
        <v>158</v>
      </c>
      <c r="B1130" t="str">
        <f>_xlfn.XLOOKUP(A1130,'[1]Tissue Data'!$A:$A,'[1]Tissue Data'!$C:$C)</f>
        <v>Down</v>
      </c>
      <c r="C1130" s="2">
        <f>_xlfn.XLOOKUP(A1130,'[1]Tissue Data'!$A:$A,'[1]Tissue Data'!$D:$D)</f>
        <v>44314</v>
      </c>
      <c r="D1130" s="2" t="s">
        <v>122</v>
      </c>
      <c r="E1130" t="str">
        <f>_xlfn.XLOOKUP(A1130,'[1]Tissue Data'!$A:$A,'[1]Tissue Data'!$H:$H)</f>
        <v>Etheostoma</v>
      </c>
      <c r="F1130" t="str">
        <f>_xlfn.XLOOKUP(A1130,'[1]Tissue Data'!$A:$A,'[1]Tissue Data'!$I:$I)</f>
        <v>olmstedi</v>
      </c>
      <c r="G1130" t="str">
        <f>_xlfn.XLOOKUP(A1130,'[1]Tissue Data'!$A:$A,'[1]Tissue Data'!J:J)</f>
        <v>U</v>
      </c>
      <c r="H1130" t="str">
        <f>_xlfn.XLOOKUP(A1130,'[1]Tissue Data'!$A:$A,'[1]Tissue Data'!K:K)</f>
        <v>Whole Body</v>
      </c>
      <c r="I1130">
        <f>_xlfn.XLOOKUP(A1130,'[1]Tissue Data'!$A:$A,'[1]Tissue Data'!L:L)</f>
        <v>7</v>
      </c>
      <c r="J1130">
        <f>_xlfn.XLOOKUP(A1130,'[1]Tissue Data'!$A:$A,'[1]Tissue Data'!M:M)</f>
        <v>3</v>
      </c>
      <c r="K1130" t="s">
        <v>40</v>
      </c>
      <c r="L1130" t="str">
        <f>_xlfn.XLOOKUP(K1130,[2]analyte_order!$B:$B,[2]analyte_order!$C:$C)</f>
        <v>2806-24-8</v>
      </c>
      <c r="M1130">
        <f>_xlfn.XLOOKUP(L1130,[2]analyte_order!$C:$C,[2]analyte_order!$E:$E)</f>
        <v>29</v>
      </c>
      <c r="N1130">
        <v>5.8163755295454547E-2</v>
      </c>
    </row>
    <row r="1131" spans="1:14">
      <c r="A1131" t="s">
        <v>158</v>
      </c>
      <c r="B1131" t="str">
        <f>_xlfn.XLOOKUP(A1131,'[1]Tissue Data'!$A:$A,'[1]Tissue Data'!$C:$C)</f>
        <v>Down</v>
      </c>
      <c r="C1131" s="2">
        <f>_xlfn.XLOOKUP(A1131,'[1]Tissue Data'!$A:$A,'[1]Tissue Data'!$D:$D)</f>
        <v>44314</v>
      </c>
      <c r="D1131" s="2" t="s">
        <v>122</v>
      </c>
      <c r="E1131" t="str">
        <f>_xlfn.XLOOKUP(A1131,'[1]Tissue Data'!$A:$A,'[1]Tissue Data'!$H:$H)</f>
        <v>Etheostoma</v>
      </c>
      <c r="F1131" t="str">
        <f>_xlfn.XLOOKUP(A1131,'[1]Tissue Data'!$A:$A,'[1]Tissue Data'!$I:$I)</f>
        <v>olmstedi</v>
      </c>
      <c r="G1131" t="str">
        <f>_xlfn.XLOOKUP(A1131,'[1]Tissue Data'!$A:$A,'[1]Tissue Data'!J:J)</f>
        <v>U</v>
      </c>
      <c r="H1131" t="str">
        <f>_xlfn.XLOOKUP(A1131,'[1]Tissue Data'!$A:$A,'[1]Tissue Data'!K:K)</f>
        <v>Whole Body</v>
      </c>
      <c r="I1131">
        <f>_xlfn.XLOOKUP(A1131,'[1]Tissue Data'!$A:$A,'[1]Tissue Data'!L:L)</f>
        <v>7</v>
      </c>
      <c r="J1131">
        <f>_xlfn.XLOOKUP(A1131,'[1]Tissue Data'!$A:$A,'[1]Tissue Data'!M:M)</f>
        <v>3</v>
      </c>
      <c r="K1131" t="s">
        <v>41</v>
      </c>
      <c r="L1131" t="str">
        <f>_xlfn.XLOOKUP(K1131,[2]analyte_order!$B:$B,[2]analyte_order!$C:$C)</f>
        <v>2355-31-9</v>
      </c>
      <c r="M1131">
        <f>_xlfn.XLOOKUP(L1131,[2]analyte_order!$C:$C,[2]analyte_order!$E:$E)</f>
        <v>26</v>
      </c>
      <c r="N1131">
        <v>15.2</v>
      </c>
    </row>
    <row r="1132" spans="1:14">
      <c r="A1132" t="s">
        <v>158</v>
      </c>
      <c r="B1132" t="str">
        <f>_xlfn.XLOOKUP(A1132,'[1]Tissue Data'!$A:$A,'[1]Tissue Data'!$C:$C)</f>
        <v>Down</v>
      </c>
      <c r="C1132" s="2">
        <f>_xlfn.XLOOKUP(A1132,'[1]Tissue Data'!$A:$A,'[1]Tissue Data'!$D:$D)</f>
        <v>44314</v>
      </c>
      <c r="D1132" s="2" t="s">
        <v>122</v>
      </c>
      <c r="E1132" t="str">
        <f>_xlfn.XLOOKUP(A1132,'[1]Tissue Data'!$A:$A,'[1]Tissue Data'!$H:$H)</f>
        <v>Etheostoma</v>
      </c>
      <c r="F1132" t="str">
        <f>_xlfn.XLOOKUP(A1132,'[1]Tissue Data'!$A:$A,'[1]Tissue Data'!$I:$I)</f>
        <v>olmstedi</v>
      </c>
      <c r="G1132" t="str">
        <f>_xlfn.XLOOKUP(A1132,'[1]Tissue Data'!$A:$A,'[1]Tissue Data'!J:J)</f>
        <v>U</v>
      </c>
      <c r="H1132" t="str">
        <f>_xlfn.XLOOKUP(A1132,'[1]Tissue Data'!$A:$A,'[1]Tissue Data'!K:K)</f>
        <v>Whole Body</v>
      </c>
      <c r="I1132">
        <f>_xlfn.XLOOKUP(A1132,'[1]Tissue Data'!$A:$A,'[1]Tissue Data'!L:L)</f>
        <v>7</v>
      </c>
      <c r="J1132">
        <f>_xlfn.XLOOKUP(A1132,'[1]Tissue Data'!$A:$A,'[1]Tissue Data'!M:M)</f>
        <v>3</v>
      </c>
      <c r="K1132" t="s">
        <v>42</v>
      </c>
      <c r="L1132" t="str">
        <f>_xlfn.XLOOKUP(K1132,[2]analyte_order!$B:$B,[2]analyte_order!$C:$C)</f>
        <v>2991-50-6</v>
      </c>
      <c r="M1132">
        <f>_xlfn.XLOOKUP(L1132,[2]analyte_order!$C:$C,[2]analyte_order!$E:$E)</f>
        <v>27</v>
      </c>
      <c r="N1132">
        <v>0.20816228384347685</v>
      </c>
    </row>
    <row r="1133" spans="1:14">
      <c r="A1133" t="s">
        <v>158</v>
      </c>
      <c r="B1133" t="str">
        <f>_xlfn.XLOOKUP(A1133,'[1]Tissue Data'!$A:$A,'[1]Tissue Data'!$C:$C)</f>
        <v>Down</v>
      </c>
      <c r="C1133" s="2">
        <f>_xlfn.XLOOKUP(A1133,'[1]Tissue Data'!$A:$A,'[1]Tissue Data'!$D:$D)</f>
        <v>44314</v>
      </c>
      <c r="D1133" s="2" t="s">
        <v>122</v>
      </c>
      <c r="E1133" t="str">
        <f>_xlfn.XLOOKUP(A1133,'[1]Tissue Data'!$A:$A,'[1]Tissue Data'!$H:$H)</f>
        <v>Etheostoma</v>
      </c>
      <c r="F1133" t="str">
        <f>_xlfn.XLOOKUP(A1133,'[1]Tissue Data'!$A:$A,'[1]Tissue Data'!$I:$I)</f>
        <v>olmstedi</v>
      </c>
      <c r="G1133" t="str">
        <f>_xlfn.XLOOKUP(A1133,'[1]Tissue Data'!$A:$A,'[1]Tissue Data'!J:J)</f>
        <v>U</v>
      </c>
      <c r="H1133" t="str">
        <f>_xlfn.XLOOKUP(A1133,'[1]Tissue Data'!$A:$A,'[1]Tissue Data'!K:K)</f>
        <v>Whole Body</v>
      </c>
      <c r="I1133">
        <f>_xlfn.XLOOKUP(A1133,'[1]Tissue Data'!$A:$A,'[1]Tissue Data'!L:L)</f>
        <v>7</v>
      </c>
      <c r="J1133">
        <f>_xlfn.XLOOKUP(A1133,'[1]Tissue Data'!$A:$A,'[1]Tissue Data'!M:M)</f>
        <v>3</v>
      </c>
      <c r="K1133" t="s">
        <v>43</v>
      </c>
      <c r="L1133" t="str">
        <f>_xlfn.XLOOKUP(K1133,[2]analyte_order!$B:$B,[2]analyte_order!$C:$C)</f>
        <v>757124-72-4</v>
      </c>
      <c r="M1133">
        <f>_xlfn.XLOOKUP(L1133,[2]analyte_order!$C:$C,[2]analyte_order!$E:$E)</f>
        <v>22</v>
      </c>
      <c r="N1133">
        <v>6.0610132227272719E-2</v>
      </c>
    </row>
    <row r="1134" spans="1:14">
      <c r="A1134" t="s">
        <v>158</v>
      </c>
      <c r="B1134" t="str">
        <f>_xlfn.XLOOKUP(A1134,'[1]Tissue Data'!$A:$A,'[1]Tissue Data'!$C:$C)</f>
        <v>Down</v>
      </c>
      <c r="C1134" s="2">
        <f>_xlfn.XLOOKUP(A1134,'[1]Tissue Data'!$A:$A,'[1]Tissue Data'!$D:$D)</f>
        <v>44314</v>
      </c>
      <c r="D1134" s="2" t="s">
        <v>122</v>
      </c>
      <c r="E1134" t="str">
        <f>_xlfn.XLOOKUP(A1134,'[1]Tissue Data'!$A:$A,'[1]Tissue Data'!$H:$H)</f>
        <v>Etheostoma</v>
      </c>
      <c r="F1134" t="str">
        <f>_xlfn.XLOOKUP(A1134,'[1]Tissue Data'!$A:$A,'[1]Tissue Data'!$I:$I)</f>
        <v>olmstedi</v>
      </c>
      <c r="G1134" t="str">
        <f>_xlfn.XLOOKUP(A1134,'[1]Tissue Data'!$A:$A,'[1]Tissue Data'!J:J)</f>
        <v>U</v>
      </c>
      <c r="H1134" t="str">
        <f>_xlfn.XLOOKUP(A1134,'[1]Tissue Data'!$A:$A,'[1]Tissue Data'!K:K)</f>
        <v>Whole Body</v>
      </c>
      <c r="I1134">
        <f>_xlfn.XLOOKUP(A1134,'[1]Tissue Data'!$A:$A,'[1]Tissue Data'!L:L)</f>
        <v>7</v>
      </c>
      <c r="J1134">
        <f>_xlfn.XLOOKUP(A1134,'[1]Tissue Data'!$A:$A,'[1]Tissue Data'!M:M)</f>
        <v>3</v>
      </c>
      <c r="K1134" t="s">
        <v>44</v>
      </c>
      <c r="L1134" t="str">
        <f>_xlfn.XLOOKUP(K1134,[2]analyte_order!$B:$B,[2]analyte_order!$C:$C)</f>
        <v>27619-97-2</v>
      </c>
      <c r="M1134">
        <f>_xlfn.XLOOKUP(L1134,[2]analyte_order!$C:$C,[2]analyte_order!$E:$E)</f>
        <v>23</v>
      </c>
      <c r="N1134">
        <v>1.66</v>
      </c>
    </row>
    <row r="1135" spans="1:14">
      <c r="A1135" t="s">
        <v>158</v>
      </c>
      <c r="B1135" t="str">
        <f>_xlfn.XLOOKUP(A1135,'[1]Tissue Data'!$A:$A,'[1]Tissue Data'!$C:$C)</f>
        <v>Down</v>
      </c>
      <c r="C1135" s="2">
        <f>_xlfn.XLOOKUP(A1135,'[1]Tissue Data'!$A:$A,'[1]Tissue Data'!$D:$D)</f>
        <v>44314</v>
      </c>
      <c r="D1135" s="2" t="s">
        <v>122</v>
      </c>
      <c r="E1135" t="str">
        <f>_xlfn.XLOOKUP(A1135,'[1]Tissue Data'!$A:$A,'[1]Tissue Data'!$H:$H)</f>
        <v>Etheostoma</v>
      </c>
      <c r="F1135" t="str">
        <f>_xlfn.XLOOKUP(A1135,'[1]Tissue Data'!$A:$A,'[1]Tissue Data'!$I:$I)</f>
        <v>olmstedi</v>
      </c>
      <c r="G1135" t="str">
        <f>_xlfn.XLOOKUP(A1135,'[1]Tissue Data'!$A:$A,'[1]Tissue Data'!J:J)</f>
        <v>U</v>
      </c>
      <c r="H1135" t="str">
        <f>_xlfn.XLOOKUP(A1135,'[1]Tissue Data'!$A:$A,'[1]Tissue Data'!K:K)</f>
        <v>Whole Body</v>
      </c>
      <c r="I1135">
        <f>_xlfn.XLOOKUP(A1135,'[1]Tissue Data'!$A:$A,'[1]Tissue Data'!L:L)</f>
        <v>7</v>
      </c>
      <c r="J1135">
        <f>_xlfn.XLOOKUP(A1135,'[1]Tissue Data'!$A:$A,'[1]Tissue Data'!M:M)</f>
        <v>3</v>
      </c>
      <c r="K1135" t="s">
        <v>45</v>
      </c>
      <c r="L1135" t="str">
        <f>_xlfn.XLOOKUP(K1135,[2]analyte_order!$B:$B,[2]analyte_order!$C:$C)</f>
        <v>39108-34-4</v>
      </c>
      <c r="M1135">
        <f>_xlfn.XLOOKUP(L1135,[2]analyte_order!$C:$C,[2]analyte_order!$E:$E)</f>
        <v>24</v>
      </c>
      <c r="N1135">
        <v>1.87</v>
      </c>
    </row>
    <row r="1136" spans="1:14">
      <c r="A1136" t="s">
        <v>158</v>
      </c>
      <c r="B1136" t="str">
        <f>_xlfn.XLOOKUP(A1136,'[1]Tissue Data'!$A:$A,'[1]Tissue Data'!$C:$C)</f>
        <v>Down</v>
      </c>
      <c r="C1136" s="2">
        <f>_xlfn.XLOOKUP(A1136,'[1]Tissue Data'!$A:$A,'[1]Tissue Data'!$D:$D)</f>
        <v>44314</v>
      </c>
      <c r="D1136" s="2" t="s">
        <v>122</v>
      </c>
      <c r="E1136" t="str">
        <f>_xlfn.XLOOKUP(A1136,'[1]Tissue Data'!$A:$A,'[1]Tissue Data'!$H:$H)</f>
        <v>Etheostoma</v>
      </c>
      <c r="F1136" t="str">
        <f>_xlfn.XLOOKUP(A1136,'[1]Tissue Data'!$A:$A,'[1]Tissue Data'!$I:$I)</f>
        <v>olmstedi</v>
      </c>
      <c r="G1136" t="str">
        <f>_xlfn.XLOOKUP(A1136,'[1]Tissue Data'!$A:$A,'[1]Tissue Data'!J:J)</f>
        <v>U</v>
      </c>
      <c r="H1136" t="str">
        <f>_xlfn.XLOOKUP(A1136,'[1]Tissue Data'!$A:$A,'[1]Tissue Data'!K:K)</f>
        <v>Whole Body</v>
      </c>
      <c r="I1136">
        <f>_xlfn.XLOOKUP(A1136,'[1]Tissue Data'!$A:$A,'[1]Tissue Data'!L:L)</f>
        <v>7</v>
      </c>
      <c r="J1136">
        <f>_xlfn.XLOOKUP(A1136,'[1]Tissue Data'!$A:$A,'[1]Tissue Data'!M:M)</f>
        <v>3</v>
      </c>
      <c r="K1136" t="s">
        <v>46</v>
      </c>
      <c r="L1136" t="str">
        <f>_xlfn.XLOOKUP(K1136,[2]analyte_order!$B:$B,[2]analyte_order!$C:$C)</f>
        <v>120226-60-0</v>
      </c>
      <c r="M1136">
        <f>_xlfn.XLOOKUP(L1136,[2]analyte_order!$C:$C,[2]analyte_order!$E:$E)</f>
        <v>25</v>
      </c>
      <c r="N1136">
        <v>8.3785827272727265E-2</v>
      </c>
    </row>
    <row r="1137" spans="1:14">
      <c r="A1137" t="s">
        <v>158</v>
      </c>
      <c r="B1137" t="str">
        <f>_xlfn.XLOOKUP(A1137,'[1]Tissue Data'!$A:$A,'[1]Tissue Data'!$C:$C)</f>
        <v>Down</v>
      </c>
      <c r="C1137" s="2">
        <f>_xlfn.XLOOKUP(A1137,'[1]Tissue Data'!$A:$A,'[1]Tissue Data'!$D:$D)</f>
        <v>44314</v>
      </c>
      <c r="D1137" s="2" t="s">
        <v>122</v>
      </c>
      <c r="E1137" t="str">
        <f>_xlfn.XLOOKUP(A1137,'[1]Tissue Data'!$A:$A,'[1]Tissue Data'!$H:$H)</f>
        <v>Etheostoma</v>
      </c>
      <c r="F1137" t="str">
        <f>_xlfn.XLOOKUP(A1137,'[1]Tissue Data'!$A:$A,'[1]Tissue Data'!$I:$I)</f>
        <v>olmstedi</v>
      </c>
      <c r="G1137" t="str">
        <f>_xlfn.XLOOKUP(A1137,'[1]Tissue Data'!$A:$A,'[1]Tissue Data'!J:J)</f>
        <v>U</v>
      </c>
      <c r="H1137" t="str">
        <f>_xlfn.XLOOKUP(A1137,'[1]Tissue Data'!$A:$A,'[1]Tissue Data'!K:K)</f>
        <v>Whole Body</v>
      </c>
      <c r="I1137">
        <f>_xlfn.XLOOKUP(A1137,'[1]Tissue Data'!$A:$A,'[1]Tissue Data'!L:L)</f>
        <v>7</v>
      </c>
      <c r="J1137">
        <f>_xlfn.XLOOKUP(A1137,'[1]Tissue Data'!$A:$A,'[1]Tissue Data'!M:M)</f>
        <v>3</v>
      </c>
      <c r="K1137" t="s">
        <v>47</v>
      </c>
      <c r="L1137" t="str">
        <f>_xlfn.XLOOKUP(K1137,[2]analyte_order!$B:$B,[2]analyte_order!$C:$C)</f>
        <v>356-02-5</v>
      </c>
      <c r="M1137">
        <f>_xlfn.XLOOKUP(L1137,[2]analyte_order!$C:$C,[2]analyte_order!$E:$E)</f>
        <v>38</v>
      </c>
      <c r="N1137">
        <v>8.5115764943181821E-2</v>
      </c>
    </row>
    <row r="1138" spans="1:14">
      <c r="A1138" t="s">
        <v>158</v>
      </c>
      <c r="B1138" t="str">
        <f>_xlfn.XLOOKUP(A1138,'[1]Tissue Data'!$A:$A,'[1]Tissue Data'!$C:$C)</f>
        <v>Down</v>
      </c>
      <c r="C1138" s="2">
        <f>_xlfn.XLOOKUP(A1138,'[1]Tissue Data'!$A:$A,'[1]Tissue Data'!$D:$D)</f>
        <v>44314</v>
      </c>
      <c r="D1138" s="2" t="s">
        <v>122</v>
      </c>
      <c r="E1138" t="str">
        <f>_xlfn.XLOOKUP(A1138,'[1]Tissue Data'!$A:$A,'[1]Tissue Data'!$H:$H)</f>
        <v>Etheostoma</v>
      </c>
      <c r="F1138" t="str">
        <f>_xlfn.XLOOKUP(A1138,'[1]Tissue Data'!$A:$A,'[1]Tissue Data'!$I:$I)</f>
        <v>olmstedi</v>
      </c>
      <c r="G1138" t="str">
        <f>_xlfn.XLOOKUP(A1138,'[1]Tissue Data'!$A:$A,'[1]Tissue Data'!J:J)</f>
        <v>U</v>
      </c>
      <c r="H1138" t="str">
        <f>_xlfn.XLOOKUP(A1138,'[1]Tissue Data'!$A:$A,'[1]Tissue Data'!K:K)</f>
        <v>Whole Body</v>
      </c>
      <c r="I1138">
        <f>_xlfn.XLOOKUP(A1138,'[1]Tissue Data'!$A:$A,'[1]Tissue Data'!L:L)</f>
        <v>7</v>
      </c>
      <c r="J1138">
        <f>_xlfn.XLOOKUP(A1138,'[1]Tissue Data'!$A:$A,'[1]Tissue Data'!M:M)</f>
        <v>3</v>
      </c>
      <c r="K1138" t="s">
        <v>48</v>
      </c>
      <c r="L1138" t="str">
        <f>_xlfn.XLOOKUP(K1138,[2]analyte_order!$B:$B,[2]analyte_order!$C:$C)</f>
        <v>914637-49-3</v>
      </c>
      <c r="M1138">
        <f>_xlfn.XLOOKUP(L1138,[2]analyte_order!$C:$C,[2]analyte_order!$E:$E)</f>
        <v>39</v>
      </c>
      <c r="N1138">
        <v>0.56899999999999995</v>
      </c>
    </row>
    <row r="1139" spans="1:14">
      <c r="A1139" t="s">
        <v>158</v>
      </c>
      <c r="B1139" t="str">
        <f>_xlfn.XLOOKUP(A1139,'[1]Tissue Data'!$A:$A,'[1]Tissue Data'!$C:$C)</f>
        <v>Down</v>
      </c>
      <c r="C1139" s="2">
        <f>_xlfn.XLOOKUP(A1139,'[1]Tissue Data'!$A:$A,'[1]Tissue Data'!$D:$D)</f>
        <v>44314</v>
      </c>
      <c r="D1139" s="2" t="s">
        <v>122</v>
      </c>
      <c r="E1139" t="str">
        <f>_xlfn.XLOOKUP(A1139,'[1]Tissue Data'!$A:$A,'[1]Tissue Data'!$H:$H)</f>
        <v>Etheostoma</v>
      </c>
      <c r="F1139" t="str">
        <f>_xlfn.XLOOKUP(A1139,'[1]Tissue Data'!$A:$A,'[1]Tissue Data'!$I:$I)</f>
        <v>olmstedi</v>
      </c>
      <c r="G1139" t="str">
        <f>_xlfn.XLOOKUP(A1139,'[1]Tissue Data'!$A:$A,'[1]Tissue Data'!J:J)</f>
        <v>U</v>
      </c>
      <c r="H1139" t="str">
        <f>_xlfn.XLOOKUP(A1139,'[1]Tissue Data'!$A:$A,'[1]Tissue Data'!K:K)</f>
        <v>Whole Body</v>
      </c>
      <c r="I1139">
        <f>_xlfn.XLOOKUP(A1139,'[1]Tissue Data'!$A:$A,'[1]Tissue Data'!L:L)</f>
        <v>7</v>
      </c>
      <c r="J1139">
        <f>_xlfn.XLOOKUP(A1139,'[1]Tissue Data'!$A:$A,'[1]Tissue Data'!M:M)</f>
        <v>3</v>
      </c>
      <c r="K1139" t="s">
        <v>49</v>
      </c>
      <c r="L1139" t="str">
        <f>_xlfn.XLOOKUP(K1139,[2]analyte_order!$B:$B,[2]analyte_order!$C:$C)</f>
        <v>812-70-4</v>
      </c>
      <c r="M1139">
        <f>_xlfn.XLOOKUP(L1139,[2]analyte_order!$C:$C,[2]analyte_order!$E:$E)</f>
        <v>40</v>
      </c>
      <c r="N1139">
        <v>5.62</v>
      </c>
    </row>
    <row r="1140" spans="1:14">
      <c r="A1140" t="s">
        <v>158</v>
      </c>
      <c r="B1140" t="str">
        <f>_xlfn.XLOOKUP(A1140,'[1]Tissue Data'!$A:$A,'[1]Tissue Data'!$C:$C)</f>
        <v>Down</v>
      </c>
      <c r="C1140" s="2">
        <f>_xlfn.XLOOKUP(A1140,'[1]Tissue Data'!$A:$A,'[1]Tissue Data'!$D:$D)</f>
        <v>44314</v>
      </c>
      <c r="D1140" s="2" t="s">
        <v>122</v>
      </c>
      <c r="E1140" t="str">
        <f>_xlfn.XLOOKUP(A1140,'[1]Tissue Data'!$A:$A,'[1]Tissue Data'!$H:$H)</f>
        <v>Etheostoma</v>
      </c>
      <c r="F1140" t="str">
        <f>_xlfn.XLOOKUP(A1140,'[1]Tissue Data'!$A:$A,'[1]Tissue Data'!$I:$I)</f>
        <v>olmstedi</v>
      </c>
      <c r="G1140" t="str">
        <f>_xlfn.XLOOKUP(A1140,'[1]Tissue Data'!$A:$A,'[1]Tissue Data'!J:J)</f>
        <v>U</v>
      </c>
      <c r="H1140" t="str">
        <f>_xlfn.XLOOKUP(A1140,'[1]Tissue Data'!$A:$A,'[1]Tissue Data'!K:K)</f>
        <v>Whole Body</v>
      </c>
      <c r="I1140">
        <f>_xlfn.XLOOKUP(A1140,'[1]Tissue Data'!$A:$A,'[1]Tissue Data'!L:L)</f>
        <v>7</v>
      </c>
      <c r="J1140">
        <f>_xlfn.XLOOKUP(A1140,'[1]Tissue Data'!$A:$A,'[1]Tissue Data'!M:M)</f>
        <v>3</v>
      </c>
      <c r="K1140" t="s">
        <v>50</v>
      </c>
      <c r="L1140" t="str">
        <f>_xlfn.XLOOKUP(K1140,[2]analyte_order!$B:$B,[2]analyte_order!$C:$C)</f>
        <v>53826-12-3</v>
      </c>
      <c r="M1140">
        <f>_xlfn.XLOOKUP(L1140,[2]analyte_order!$C:$C,[2]analyte_order!$E:$E)</f>
        <v>41</v>
      </c>
      <c r="N1140">
        <v>4.0599999999999996</v>
      </c>
    </row>
    <row r="1141" spans="1:14">
      <c r="A1141" t="s">
        <v>158</v>
      </c>
      <c r="B1141" t="str">
        <f>_xlfn.XLOOKUP(A1141,'[1]Tissue Data'!$A:$A,'[1]Tissue Data'!$C:$C)</f>
        <v>Down</v>
      </c>
      <c r="C1141" s="2">
        <f>_xlfn.XLOOKUP(A1141,'[1]Tissue Data'!$A:$A,'[1]Tissue Data'!$D:$D)</f>
        <v>44314</v>
      </c>
      <c r="D1141" s="2" t="s">
        <v>122</v>
      </c>
      <c r="E1141" t="str">
        <f>_xlfn.XLOOKUP(A1141,'[1]Tissue Data'!$A:$A,'[1]Tissue Data'!$H:$H)</f>
        <v>Etheostoma</v>
      </c>
      <c r="F1141" t="str">
        <f>_xlfn.XLOOKUP(A1141,'[1]Tissue Data'!$A:$A,'[1]Tissue Data'!$I:$I)</f>
        <v>olmstedi</v>
      </c>
      <c r="G1141" t="str">
        <f>_xlfn.XLOOKUP(A1141,'[1]Tissue Data'!$A:$A,'[1]Tissue Data'!J:J)</f>
        <v>U</v>
      </c>
      <c r="H1141" t="str">
        <f>_xlfn.XLOOKUP(A1141,'[1]Tissue Data'!$A:$A,'[1]Tissue Data'!K:K)</f>
        <v>Whole Body</v>
      </c>
      <c r="I1141">
        <f>_xlfn.XLOOKUP(A1141,'[1]Tissue Data'!$A:$A,'[1]Tissue Data'!L:L)</f>
        <v>7</v>
      </c>
      <c r="J1141">
        <f>_xlfn.XLOOKUP(A1141,'[1]Tissue Data'!$A:$A,'[1]Tissue Data'!M:M)</f>
        <v>3</v>
      </c>
      <c r="K1141" t="s">
        <v>51</v>
      </c>
      <c r="L1141" t="str">
        <f>_xlfn.XLOOKUP(K1141,[2]analyte_order!$B:$B,[2]analyte_order!$C:$C)</f>
        <v>27854-31-5</v>
      </c>
      <c r="M1141">
        <f>_xlfn.XLOOKUP(L1141,[2]analyte_order!$C:$C,[2]analyte_order!$E:$E)</f>
        <v>42</v>
      </c>
      <c r="N1141">
        <v>2.9515938606847696E-2</v>
      </c>
    </row>
    <row r="1142" spans="1:14">
      <c r="A1142" t="s">
        <v>158</v>
      </c>
      <c r="B1142" t="str">
        <f>_xlfn.XLOOKUP(A1142,'[1]Tissue Data'!$A:$A,'[1]Tissue Data'!$C:$C)</f>
        <v>Down</v>
      </c>
      <c r="C1142" s="2">
        <f>_xlfn.XLOOKUP(A1142,'[1]Tissue Data'!$A:$A,'[1]Tissue Data'!$D:$D)</f>
        <v>44314</v>
      </c>
      <c r="D1142" s="2" t="s">
        <v>122</v>
      </c>
      <c r="E1142" t="str">
        <f>_xlfn.XLOOKUP(A1142,'[1]Tissue Data'!$A:$A,'[1]Tissue Data'!$H:$H)</f>
        <v>Etheostoma</v>
      </c>
      <c r="F1142" t="str">
        <f>_xlfn.XLOOKUP(A1142,'[1]Tissue Data'!$A:$A,'[1]Tissue Data'!$I:$I)</f>
        <v>olmstedi</v>
      </c>
      <c r="G1142" t="str">
        <f>_xlfn.XLOOKUP(A1142,'[1]Tissue Data'!$A:$A,'[1]Tissue Data'!J:J)</f>
        <v>U</v>
      </c>
      <c r="H1142" t="str">
        <f>_xlfn.XLOOKUP(A1142,'[1]Tissue Data'!$A:$A,'[1]Tissue Data'!K:K)</f>
        <v>Whole Body</v>
      </c>
      <c r="I1142">
        <f>_xlfn.XLOOKUP(A1142,'[1]Tissue Data'!$A:$A,'[1]Tissue Data'!L:L)</f>
        <v>7</v>
      </c>
      <c r="J1142">
        <f>_xlfn.XLOOKUP(A1142,'[1]Tissue Data'!$A:$A,'[1]Tissue Data'!M:M)</f>
        <v>3</v>
      </c>
      <c r="K1142" t="s">
        <v>52</v>
      </c>
      <c r="L1142" t="str">
        <f>_xlfn.XLOOKUP(K1142,[2]analyte_order!$B:$B,[2]analyte_order!$C:$C)</f>
        <v>53826-13-4</v>
      </c>
      <c r="M1142">
        <f>_xlfn.XLOOKUP(L1142,[2]analyte_order!$C:$C,[2]analyte_order!$E:$E)</f>
        <v>43</v>
      </c>
      <c r="N1142">
        <v>0.110108656125</v>
      </c>
    </row>
    <row r="1143" spans="1:14">
      <c r="A1143" t="s">
        <v>158</v>
      </c>
      <c r="B1143" t="str">
        <f>_xlfn.XLOOKUP(A1143,'[1]Tissue Data'!$A:$A,'[1]Tissue Data'!$C:$C)</f>
        <v>Down</v>
      </c>
      <c r="C1143" s="2">
        <f>_xlfn.XLOOKUP(A1143,'[1]Tissue Data'!$A:$A,'[1]Tissue Data'!$D:$D)</f>
        <v>44314</v>
      </c>
      <c r="D1143" s="2" t="s">
        <v>122</v>
      </c>
      <c r="E1143" t="str">
        <f>_xlfn.XLOOKUP(A1143,'[1]Tissue Data'!$A:$A,'[1]Tissue Data'!$H:$H)</f>
        <v>Etheostoma</v>
      </c>
      <c r="F1143" t="str">
        <f>_xlfn.XLOOKUP(A1143,'[1]Tissue Data'!$A:$A,'[1]Tissue Data'!$I:$I)</f>
        <v>olmstedi</v>
      </c>
      <c r="G1143" t="str">
        <f>_xlfn.XLOOKUP(A1143,'[1]Tissue Data'!$A:$A,'[1]Tissue Data'!J:J)</f>
        <v>U</v>
      </c>
      <c r="H1143" t="str">
        <f>_xlfn.XLOOKUP(A1143,'[1]Tissue Data'!$A:$A,'[1]Tissue Data'!K:K)</f>
        <v>Whole Body</v>
      </c>
      <c r="I1143">
        <f>_xlfn.XLOOKUP(A1143,'[1]Tissue Data'!$A:$A,'[1]Tissue Data'!L:L)</f>
        <v>7</v>
      </c>
      <c r="J1143">
        <f>_xlfn.XLOOKUP(A1143,'[1]Tissue Data'!$A:$A,'[1]Tissue Data'!M:M)</f>
        <v>3</v>
      </c>
      <c r="K1143" t="s">
        <v>53</v>
      </c>
      <c r="L1143" t="str">
        <f>_xlfn.XLOOKUP(K1143,[2]analyte_order!$B:$B,[2]analyte_order!$C:$C)</f>
        <v>161094-75-3</v>
      </c>
      <c r="M1143">
        <f>_xlfn.XLOOKUP(L1143,[2]analyte_order!$C:$C,[2]analyte_order!$E:$E)</f>
        <v>44</v>
      </c>
      <c r="N1143">
        <v>5.7939532772727266E-2</v>
      </c>
    </row>
    <row r="1144" spans="1:14">
      <c r="A1144" t="s">
        <v>158</v>
      </c>
      <c r="B1144" t="str">
        <f>_xlfn.XLOOKUP(A1144,'[1]Tissue Data'!$A:$A,'[1]Tissue Data'!$C:$C)</f>
        <v>Down</v>
      </c>
      <c r="C1144" s="2">
        <f>_xlfn.XLOOKUP(A1144,'[1]Tissue Data'!$A:$A,'[1]Tissue Data'!$D:$D)</f>
        <v>44314</v>
      </c>
      <c r="D1144" s="2" t="s">
        <v>122</v>
      </c>
      <c r="E1144" t="str">
        <f>_xlfn.XLOOKUP(A1144,'[1]Tissue Data'!$A:$A,'[1]Tissue Data'!$H:$H)</f>
        <v>Etheostoma</v>
      </c>
      <c r="F1144" t="str">
        <f>_xlfn.XLOOKUP(A1144,'[1]Tissue Data'!$A:$A,'[1]Tissue Data'!$I:$I)</f>
        <v>olmstedi</v>
      </c>
      <c r="G1144" t="str">
        <f>_xlfn.XLOOKUP(A1144,'[1]Tissue Data'!$A:$A,'[1]Tissue Data'!J:J)</f>
        <v>U</v>
      </c>
      <c r="H1144" t="str">
        <f>_xlfn.XLOOKUP(A1144,'[1]Tissue Data'!$A:$A,'[1]Tissue Data'!K:K)</f>
        <v>Whole Body</v>
      </c>
      <c r="I1144">
        <f>_xlfn.XLOOKUP(A1144,'[1]Tissue Data'!$A:$A,'[1]Tissue Data'!L:L)</f>
        <v>7</v>
      </c>
      <c r="J1144">
        <f>_xlfn.XLOOKUP(A1144,'[1]Tissue Data'!$A:$A,'[1]Tissue Data'!M:M)</f>
        <v>3</v>
      </c>
      <c r="K1144" t="s">
        <v>54</v>
      </c>
      <c r="L1144" t="str">
        <f>_xlfn.XLOOKUP(K1144,[2]analyte_order!$B:$B,[2]analyte_order!$C:$C)</f>
        <v>70887-84-2</v>
      </c>
      <c r="M1144">
        <f>_xlfn.XLOOKUP(L1144,[2]analyte_order!$C:$C,[2]analyte_order!$E:$E)</f>
        <v>45</v>
      </c>
      <c r="N1144">
        <v>4.4591538446590903E-2</v>
      </c>
    </row>
    <row r="1145" spans="1:14">
      <c r="A1145" t="s">
        <v>158</v>
      </c>
      <c r="B1145" t="str">
        <f>_xlfn.XLOOKUP(A1145,'[1]Tissue Data'!$A:$A,'[1]Tissue Data'!$C:$C)</f>
        <v>Down</v>
      </c>
      <c r="C1145" s="2">
        <f>_xlfn.XLOOKUP(A1145,'[1]Tissue Data'!$A:$A,'[1]Tissue Data'!$D:$D)</f>
        <v>44314</v>
      </c>
      <c r="D1145" s="2" t="s">
        <v>122</v>
      </c>
      <c r="E1145" t="str">
        <f>_xlfn.XLOOKUP(A1145,'[1]Tissue Data'!$A:$A,'[1]Tissue Data'!$H:$H)</f>
        <v>Etheostoma</v>
      </c>
      <c r="F1145" t="str">
        <f>_xlfn.XLOOKUP(A1145,'[1]Tissue Data'!$A:$A,'[1]Tissue Data'!$I:$I)</f>
        <v>olmstedi</v>
      </c>
      <c r="G1145" t="str">
        <f>_xlfn.XLOOKUP(A1145,'[1]Tissue Data'!$A:$A,'[1]Tissue Data'!J:J)</f>
        <v>U</v>
      </c>
      <c r="H1145" t="str">
        <f>_xlfn.XLOOKUP(A1145,'[1]Tissue Data'!$A:$A,'[1]Tissue Data'!K:K)</f>
        <v>Whole Body</v>
      </c>
      <c r="I1145">
        <f>_xlfn.XLOOKUP(A1145,'[1]Tissue Data'!$A:$A,'[1]Tissue Data'!L:L)</f>
        <v>7</v>
      </c>
      <c r="J1145">
        <f>_xlfn.XLOOKUP(A1145,'[1]Tissue Data'!$A:$A,'[1]Tissue Data'!M:M)</f>
        <v>3</v>
      </c>
      <c r="K1145" t="s">
        <v>55</v>
      </c>
      <c r="L1145" t="str">
        <f>_xlfn.XLOOKUP(K1145,[2]analyte_order!$B:$B,[2]analyte_order!$C:$C)</f>
        <v>919005-14-4</v>
      </c>
      <c r="M1145">
        <f>_xlfn.XLOOKUP(L1145,[2]analyte_order!$C:$C,[2]analyte_order!$E:$E)</f>
        <v>35</v>
      </c>
      <c r="N1145">
        <v>7.3789846517119242E-2</v>
      </c>
    </row>
    <row r="1146" spans="1:14">
      <c r="A1146" t="s">
        <v>158</v>
      </c>
      <c r="B1146" t="str">
        <f>_xlfn.XLOOKUP(A1146,'[1]Tissue Data'!$A:$A,'[1]Tissue Data'!$C:$C)</f>
        <v>Down</v>
      </c>
      <c r="C1146" s="2">
        <f>_xlfn.XLOOKUP(A1146,'[1]Tissue Data'!$A:$A,'[1]Tissue Data'!$D:$D)</f>
        <v>44314</v>
      </c>
      <c r="D1146" s="2" t="s">
        <v>122</v>
      </c>
      <c r="E1146" t="str">
        <f>_xlfn.XLOOKUP(A1146,'[1]Tissue Data'!$A:$A,'[1]Tissue Data'!$H:$H)</f>
        <v>Etheostoma</v>
      </c>
      <c r="F1146" t="str">
        <f>_xlfn.XLOOKUP(A1146,'[1]Tissue Data'!$A:$A,'[1]Tissue Data'!$I:$I)</f>
        <v>olmstedi</v>
      </c>
      <c r="G1146" t="str">
        <f>_xlfn.XLOOKUP(A1146,'[1]Tissue Data'!$A:$A,'[1]Tissue Data'!J:J)</f>
        <v>U</v>
      </c>
      <c r="H1146" t="str">
        <f>_xlfn.XLOOKUP(A1146,'[1]Tissue Data'!$A:$A,'[1]Tissue Data'!K:K)</f>
        <v>Whole Body</v>
      </c>
      <c r="I1146">
        <f>_xlfn.XLOOKUP(A1146,'[1]Tissue Data'!$A:$A,'[1]Tissue Data'!L:L)</f>
        <v>7</v>
      </c>
      <c r="J1146">
        <f>_xlfn.XLOOKUP(A1146,'[1]Tissue Data'!$A:$A,'[1]Tissue Data'!M:M)</f>
        <v>3</v>
      </c>
      <c r="K1146" t="s">
        <v>56</v>
      </c>
      <c r="L1146" t="str">
        <f>_xlfn.XLOOKUP(K1146,[2]analyte_order!$B:$B,[2]analyte_order!$C:$C)</f>
        <v>756426-58-1</v>
      </c>
      <c r="M1146">
        <f>_xlfn.XLOOKUP(L1146,[2]analyte_order!$C:$C,[2]analyte_order!$E:$E)</f>
        <v>36</v>
      </c>
      <c r="N1146">
        <v>5.1218022374999998E-2</v>
      </c>
    </row>
    <row r="1147" spans="1:14">
      <c r="A1147" t="s">
        <v>158</v>
      </c>
      <c r="B1147" t="str">
        <f>_xlfn.XLOOKUP(A1147,'[1]Tissue Data'!$A:$A,'[1]Tissue Data'!$C:$C)</f>
        <v>Down</v>
      </c>
      <c r="C1147" s="2">
        <f>_xlfn.XLOOKUP(A1147,'[1]Tissue Data'!$A:$A,'[1]Tissue Data'!$D:$D)</f>
        <v>44314</v>
      </c>
      <c r="D1147" s="2" t="s">
        <v>122</v>
      </c>
      <c r="E1147" t="str">
        <f>_xlfn.XLOOKUP(A1147,'[1]Tissue Data'!$A:$A,'[1]Tissue Data'!$H:$H)</f>
        <v>Etheostoma</v>
      </c>
      <c r="F1147" t="str">
        <f>_xlfn.XLOOKUP(A1147,'[1]Tissue Data'!$A:$A,'[1]Tissue Data'!$I:$I)</f>
        <v>olmstedi</v>
      </c>
      <c r="G1147" t="str">
        <f>_xlfn.XLOOKUP(A1147,'[1]Tissue Data'!$A:$A,'[1]Tissue Data'!J:J)</f>
        <v>U</v>
      </c>
      <c r="H1147" t="str">
        <f>_xlfn.XLOOKUP(A1147,'[1]Tissue Data'!$A:$A,'[1]Tissue Data'!K:K)</f>
        <v>Whole Body</v>
      </c>
      <c r="I1147">
        <f>_xlfn.XLOOKUP(A1147,'[1]Tissue Data'!$A:$A,'[1]Tissue Data'!L:L)</f>
        <v>7</v>
      </c>
      <c r="J1147">
        <f>_xlfn.XLOOKUP(A1147,'[1]Tissue Data'!$A:$A,'[1]Tissue Data'!M:M)</f>
        <v>3</v>
      </c>
      <c r="K1147" t="s">
        <v>57</v>
      </c>
      <c r="L1147" t="str">
        <f>_xlfn.XLOOKUP(K1147,[2]analyte_order!$B:$B,[2]analyte_order!$C:$C)</f>
        <v>763051-92-9</v>
      </c>
      <c r="M1147">
        <f>_xlfn.XLOOKUP(L1147,[2]analyte_order!$C:$C,[2]analyte_order!$E:$E)</f>
        <v>37</v>
      </c>
      <c r="N1147">
        <v>5.8145701397727262E-2</v>
      </c>
    </row>
    <row r="1148" spans="1:14">
      <c r="A1148" t="s">
        <v>158</v>
      </c>
      <c r="B1148" t="str">
        <f>_xlfn.XLOOKUP(A1148,'[1]Tissue Data'!$A:$A,'[1]Tissue Data'!$C:$C)</f>
        <v>Down</v>
      </c>
      <c r="C1148" s="2">
        <f>_xlfn.XLOOKUP(A1148,'[1]Tissue Data'!$A:$A,'[1]Tissue Data'!$D:$D)</f>
        <v>44314</v>
      </c>
      <c r="D1148" s="2" t="s">
        <v>122</v>
      </c>
      <c r="E1148" t="str">
        <f>_xlfn.XLOOKUP(A1148,'[1]Tissue Data'!$A:$A,'[1]Tissue Data'!$H:$H)</f>
        <v>Etheostoma</v>
      </c>
      <c r="F1148" t="str">
        <f>_xlfn.XLOOKUP(A1148,'[1]Tissue Data'!$A:$A,'[1]Tissue Data'!$I:$I)</f>
        <v>olmstedi</v>
      </c>
      <c r="G1148" t="str">
        <f>_xlfn.XLOOKUP(A1148,'[1]Tissue Data'!$A:$A,'[1]Tissue Data'!J:J)</f>
        <v>U</v>
      </c>
      <c r="H1148" t="str">
        <f>_xlfn.XLOOKUP(A1148,'[1]Tissue Data'!$A:$A,'[1]Tissue Data'!K:K)</f>
        <v>Whole Body</v>
      </c>
      <c r="I1148">
        <f>_xlfn.XLOOKUP(A1148,'[1]Tissue Data'!$A:$A,'[1]Tissue Data'!L:L)</f>
        <v>7</v>
      </c>
      <c r="J1148">
        <f>_xlfn.XLOOKUP(A1148,'[1]Tissue Data'!$A:$A,'[1]Tissue Data'!M:M)</f>
        <v>3</v>
      </c>
      <c r="K1148" t="s">
        <v>58</v>
      </c>
      <c r="L1148" t="str">
        <f>_xlfn.XLOOKUP(K1148,[2]analyte_order!$B:$B,[2]analyte_order!$C:$C)</f>
        <v>13252-13-6</v>
      </c>
      <c r="M1148">
        <f>_xlfn.XLOOKUP(L1148,[2]analyte_order!$C:$C,[2]analyte_order!$E:$E)</f>
        <v>34</v>
      </c>
      <c r="N1148">
        <v>0.10589053755681818</v>
      </c>
    </row>
    <row r="1149" spans="1:14">
      <c r="A1149" t="s">
        <v>158</v>
      </c>
      <c r="B1149" t="str">
        <f>_xlfn.XLOOKUP(A1149,'[1]Tissue Data'!$A:$A,'[1]Tissue Data'!$C:$C)</f>
        <v>Down</v>
      </c>
      <c r="C1149" s="2">
        <f>_xlfn.XLOOKUP(A1149,'[1]Tissue Data'!$A:$A,'[1]Tissue Data'!$D:$D)</f>
        <v>44314</v>
      </c>
      <c r="D1149" s="2" t="s">
        <v>122</v>
      </c>
      <c r="E1149" t="str">
        <f>_xlfn.XLOOKUP(A1149,'[1]Tissue Data'!$A:$A,'[1]Tissue Data'!$H:$H)</f>
        <v>Etheostoma</v>
      </c>
      <c r="F1149" t="str">
        <f>_xlfn.XLOOKUP(A1149,'[1]Tissue Data'!$A:$A,'[1]Tissue Data'!$I:$I)</f>
        <v>olmstedi</v>
      </c>
      <c r="G1149" t="str">
        <f>_xlfn.XLOOKUP(A1149,'[1]Tissue Data'!$A:$A,'[1]Tissue Data'!J:J)</f>
        <v>U</v>
      </c>
      <c r="H1149" t="str">
        <f>_xlfn.XLOOKUP(A1149,'[1]Tissue Data'!$A:$A,'[1]Tissue Data'!K:K)</f>
        <v>Whole Body</v>
      </c>
      <c r="I1149">
        <f>_xlfn.XLOOKUP(A1149,'[1]Tissue Data'!$A:$A,'[1]Tissue Data'!L:L)</f>
        <v>7</v>
      </c>
      <c r="J1149">
        <f>_xlfn.XLOOKUP(A1149,'[1]Tissue Data'!$A:$A,'[1]Tissue Data'!M:M)</f>
        <v>3</v>
      </c>
      <c r="K1149" t="s">
        <v>59</v>
      </c>
      <c r="L1149" t="str">
        <f>_xlfn.XLOOKUP(K1149,[2]analyte_order!$B:$B,[2]analyte_order!$C:$C)</f>
        <v>57677-95-9</v>
      </c>
      <c r="M1149">
        <f>_xlfn.XLOOKUP(L1149,[2]analyte_order!$C:$C,[2]analyte_order!$E:$E)</f>
        <v>46</v>
      </c>
      <c r="N1149">
        <v>7.8551426761363632E-2</v>
      </c>
    </row>
    <row r="1150" spans="1:14">
      <c r="A1150" t="s">
        <v>158</v>
      </c>
      <c r="B1150" t="str">
        <f>_xlfn.XLOOKUP(A1150,'[1]Tissue Data'!$A:$A,'[1]Tissue Data'!$C:$C)</f>
        <v>Down</v>
      </c>
      <c r="C1150" s="2">
        <f>_xlfn.XLOOKUP(A1150,'[1]Tissue Data'!$A:$A,'[1]Tissue Data'!$D:$D)</f>
        <v>44314</v>
      </c>
      <c r="D1150" s="2" t="s">
        <v>122</v>
      </c>
      <c r="E1150" t="str">
        <f>_xlfn.XLOOKUP(A1150,'[1]Tissue Data'!$A:$A,'[1]Tissue Data'!$H:$H)</f>
        <v>Etheostoma</v>
      </c>
      <c r="F1150" t="str">
        <f>_xlfn.XLOOKUP(A1150,'[1]Tissue Data'!$A:$A,'[1]Tissue Data'!$I:$I)</f>
        <v>olmstedi</v>
      </c>
      <c r="G1150" t="str">
        <f>_xlfn.XLOOKUP(A1150,'[1]Tissue Data'!$A:$A,'[1]Tissue Data'!J:J)</f>
        <v>U</v>
      </c>
      <c r="H1150" t="str">
        <f>_xlfn.XLOOKUP(A1150,'[1]Tissue Data'!$A:$A,'[1]Tissue Data'!K:K)</f>
        <v>Whole Body</v>
      </c>
      <c r="I1150">
        <f>_xlfn.XLOOKUP(A1150,'[1]Tissue Data'!$A:$A,'[1]Tissue Data'!L:L)</f>
        <v>7</v>
      </c>
      <c r="J1150">
        <f>_xlfn.XLOOKUP(A1150,'[1]Tissue Data'!$A:$A,'[1]Tissue Data'!M:M)</f>
        <v>3</v>
      </c>
      <c r="K1150" t="s">
        <v>60</v>
      </c>
      <c r="L1150" t="str">
        <f>_xlfn.XLOOKUP(K1150,[2]analyte_order!$B:$B,[2]analyte_order!$C:$C)</f>
        <v>678-41-1</v>
      </c>
      <c r="M1150">
        <f>_xlfn.XLOOKUP(L1150,[2]analyte_order!$C:$C,[2]analyte_order!$E:$E)</f>
        <v>56</v>
      </c>
      <c r="N1150">
        <v>9.7831612124999995E-2</v>
      </c>
    </row>
    <row r="1151" spans="1:14">
      <c r="A1151" t="s">
        <v>158</v>
      </c>
      <c r="B1151" t="str">
        <f>_xlfn.XLOOKUP(A1151,'[1]Tissue Data'!$A:$A,'[1]Tissue Data'!$C:$C)</f>
        <v>Down</v>
      </c>
      <c r="C1151" s="2">
        <f>_xlfn.XLOOKUP(A1151,'[1]Tissue Data'!$A:$A,'[1]Tissue Data'!$D:$D)</f>
        <v>44314</v>
      </c>
      <c r="D1151" s="2" t="s">
        <v>122</v>
      </c>
      <c r="E1151" t="str">
        <f>_xlfn.XLOOKUP(A1151,'[1]Tissue Data'!$A:$A,'[1]Tissue Data'!$H:$H)</f>
        <v>Etheostoma</v>
      </c>
      <c r="F1151" t="str">
        <f>_xlfn.XLOOKUP(A1151,'[1]Tissue Data'!$A:$A,'[1]Tissue Data'!$I:$I)</f>
        <v>olmstedi</v>
      </c>
      <c r="G1151" t="str">
        <f>_xlfn.XLOOKUP(A1151,'[1]Tissue Data'!$A:$A,'[1]Tissue Data'!J:J)</f>
        <v>U</v>
      </c>
      <c r="H1151" t="str">
        <f>_xlfn.XLOOKUP(A1151,'[1]Tissue Data'!$A:$A,'[1]Tissue Data'!K:K)</f>
        <v>Whole Body</v>
      </c>
      <c r="I1151">
        <f>_xlfn.XLOOKUP(A1151,'[1]Tissue Data'!$A:$A,'[1]Tissue Data'!L:L)</f>
        <v>7</v>
      </c>
      <c r="J1151">
        <f>_xlfn.XLOOKUP(A1151,'[1]Tissue Data'!$A:$A,'[1]Tissue Data'!M:M)</f>
        <v>3</v>
      </c>
      <c r="K1151" t="s">
        <v>61</v>
      </c>
      <c r="L1151" t="str">
        <f>_xlfn.XLOOKUP(K1151,[2]analyte_order!$B:$B,[2]analyte_order!$C:$C)</f>
        <v>2965-52-8</v>
      </c>
      <c r="M1151">
        <f>_xlfn.XLOOKUP(L1151,[2]analyte_order!$C:$C,[2]analyte_order!$E:$E)</f>
        <v>57</v>
      </c>
      <c r="N1151">
        <v>0.12987012987012986</v>
      </c>
    </row>
    <row r="1152" spans="1:14">
      <c r="A1152" t="s">
        <v>159</v>
      </c>
      <c r="B1152" t="str">
        <f>_xlfn.XLOOKUP(A1152,'[1]Tissue Data'!$A:$A,'[1]Tissue Data'!$C:$C)</f>
        <v>Down</v>
      </c>
      <c r="C1152" s="2">
        <f>_xlfn.XLOOKUP(A1152,'[1]Tissue Data'!$A:$A,'[1]Tissue Data'!$D:$D)</f>
        <v>44314</v>
      </c>
      <c r="D1152" s="2" t="s">
        <v>122</v>
      </c>
      <c r="E1152" t="str">
        <f>_xlfn.XLOOKUP(A1152,'[1]Tissue Data'!$A:$A,'[1]Tissue Data'!$H:$H)</f>
        <v>Etheostoma</v>
      </c>
      <c r="F1152" t="str">
        <f>_xlfn.XLOOKUP(A1152,'[1]Tissue Data'!$A:$A,'[1]Tissue Data'!$I:$I)</f>
        <v>olmstedi</v>
      </c>
      <c r="G1152" t="str">
        <f>_xlfn.XLOOKUP(A1152,'[1]Tissue Data'!$A:$A,'[1]Tissue Data'!J:J)</f>
        <v>U</v>
      </c>
      <c r="H1152" t="str">
        <f>_xlfn.XLOOKUP(A1152,'[1]Tissue Data'!$A:$A,'[1]Tissue Data'!K:K)</f>
        <v>Whole Body</v>
      </c>
      <c r="I1152">
        <f>_xlfn.XLOOKUP(A1152,'[1]Tissue Data'!$A:$A,'[1]Tissue Data'!L:L)</f>
        <v>8.5</v>
      </c>
      <c r="J1152">
        <f>_xlfn.XLOOKUP(A1152,'[1]Tissue Data'!$A:$A,'[1]Tissue Data'!M:M)</f>
        <v>3.25</v>
      </c>
      <c r="K1152" t="s">
        <v>12</v>
      </c>
      <c r="L1152" t="str">
        <f>_xlfn.XLOOKUP(K1152,[2]analyte_order!$B:$B,[2]analyte_order!$C:$C)</f>
        <v>375-22-4</v>
      </c>
      <c r="M1152">
        <f>_xlfn.XLOOKUP(L1152,[2]analyte_order!$C:$C,[2]analyte_order!$E:$E)</f>
        <v>1</v>
      </c>
      <c r="N1152">
        <v>9.3071354705274043E-2</v>
      </c>
    </row>
    <row r="1153" spans="1:14">
      <c r="A1153" t="s">
        <v>159</v>
      </c>
      <c r="B1153" t="str">
        <f>_xlfn.XLOOKUP(A1153,'[1]Tissue Data'!$A:$A,'[1]Tissue Data'!$C:$C)</f>
        <v>Down</v>
      </c>
      <c r="C1153" s="2">
        <f>_xlfn.XLOOKUP(A1153,'[1]Tissue Data'!$A:$A,'[1]Tissue Data'!$D:$D)</f>
        <v>44314</v>
      </c>
      <c r="D1153" s="2" t="s">
        <v>122</v>
      </c>
      <c r="E1153" t="str">
        <f>_xlfn.XLOOKUP(A1153,'[1]Tissue Data'!$A:$A,'[1]Tissue Data'!$H:$H)</f>
        <v>Etheostoma</v>
      </c>
      <c r="F1153" t="str">
        <f>_xlfn.XLOOKUP(A1153,'[1]Tissue Data'!$A:$A,'[1]Tissue Data'!$I:$I)</f>
        <v>olmstedi</v>
      </c>
      <c r="G1153" t="str">
        <f>_xlfn.XLOOKUP(A1153,'[1]Tissue Data'!$A:$A,'[1]Tissue Data'!J:J)</f>
        <v>U</v>
      </c>
      <c r="H1153" t="str">
        <f>_xlfn.XLOOKUP(A1153,'[1]Tissue Data'!$A:$A,'[1]Tissue Data'!K:K)</f>
        <v>Whole Body</v>
      </c>
      <c r="I1153">
        <f>_xlfn.XLOOKUP(A1153,'[1]Tissue Data'!$A:$A,'[1]Tissue Data'!L:L)</f>
        <v>8.5</v>
      </c>
      <c r="J1153">
        <f>_xlfn.XLOOKUP(A1153,'[1]Tissue Data'!$A:$A,'[1]Tissue Data'!M:M)</f>
        <v>3.25</v>
      </c>
      <c r="K1153" t="s">
        <v>13</v>
      </c>
      <c r="L1153" t="str">
        <f>_xlfn.XLOOKUP(K1153,[2]analyte_order!$B:$B,[2]analyte_order!$C:$C)</f>
        <v>2706-90-3</v>
      </c>
      <c r="M1153">
        <f>_xlfn.XLOOKUP(L1153,[2]analyte_order!$C:$C,[2]analyte_order!$E:$E)</f>
        <v>2</v>
      </c>
      <c r="N1153">
        <v>0.16439688834338159</v>
      </c>
    </row>
    <row r="1154" spans="1:14">
      <c r="A1154" t="s">
        <v>159</v>
      </c>
      <c r="B1154" t="str">
        <f>_xlfn.XLOOKUP(A1154,'[1]Tissue Data'!$A:$A,'[1]Tissue Data'!$C:$C)</f>
        <v>Down</v>
      </c>
      <c r="C1154" s="2">
        <f>_xlfn.XLOOKUP(A1154,'[1]Tissue Data'!$A:$A,'[1]Tissue Data'!$D:$D)</f>
        <v>44314</v>
      </c>
      <c r="D1154" s="2" t="s">
        <v>122</v>
      </c>
      <c r="E1154" t="str">
        <f>_xlfn.XLOOKUP(A1154,'[1]Tissue Data'!$A:$A,'[1]Tissue Data'!$H:$H)</f>
        <v>Etheostoma</v>
      </c>
      <c r="F1154" t="str">
        <f>_xlfn.XLOOKUP(A1154,'[1]Tissue Data'!$A:$A,'[1]Tissue Data'!$I:$I)</f>
        <v>olmstedi</v>
      </c>
      <c r="G1154" t="str">
        <f>_xlfn.XLOOKUP(A1154,'[1]Tissue Data'!$A:$A,'[1]Tissue Data'!J:J)</f>
        <v>U</v>
      </c>
      <c r="H1154" t="str">
        <f>_xlfn.XLOOKUP(A1154,'[1]Tissue Data'!$A:$A,'[1]Tissue Data'!K:K)</f>
        <v>Whole Body</v>
      </c>
      <c r="I1154">
        <f>_xlfn.XLOOKUP(A1154,'[1]Tissue Data'!$A:$A,'[1]Tissue Data'!L:L)</f>
        <v>8.5</v>
      </c>
      <c r="J1154">
        <f>_xlfn.XLOOKUP(A1154,'[1]Tissue Data'!$A:$A,'[1]Tissue Data'!M:M)</f>
        <v>3.25</v>
      </c>
      <c r="K1154" t="s">
        <v>14</v>
      </c>
      <c r="L1154" t="str">
        <f>_xlfn.XLOOKUP(K1154,[2]analyte_order!$B:$B,[2]analyte_order!$C:$C)</f>
        <v>307-24-4</v>
      </c>
      <c r="M1154">
        <f>_xlfn.XLOOKUP(L1154,[2]analyte_order!$C:$C,[2]analyte_order!$E:$E)</f>
        <v>3</v>
      </c>
      <c r="N1154">
        <v>0.91400000000000003</v>
      </c>
    </row>
    <row r="1155" spans="1:14">
      <c r="A1155" t="s">
        <v>159</v>
      </c>
      <c r="B1155" t="str">
        <f>_xlfn.XLOOKUP(A1155,'[1]Tissue Data'!$A:$A,'[1]Tissue Data'!$C:$C)</f>
        <v>Down</v>
      </c>
      <c r="C1155" s="2">
        <f>_xlfn.XLOOKUP(A1155,'[1]Tissue Data'!$A:$A,'[1]Tissue Data'!$D:$D)</f>
        <v>44314</v>
      </c>
      <c r="D1155" s="2" t="s">
        <v>122</v>
      </c>
      <c r="E1155" t="str">
        <f>_xlfn.XLOOKUP(A1155,'[1]Tissue Data'!$A:$A,'[1]Tissue Data'!$H:$H)</f>
        <v>Etheostoma</v>
      </c>
      <c r="F1155" t="str">
        <f>_xlfn.XLOOKUP(A1155,'[1]Tissue Data'!$A:$A,'[1]Tissue Data'!$I:$I)</f>
        <v>olmstedi</v>
      </c>
      <c r="G1155" t="str">
        <f>_xlfn.XLOOKUP(A1155,'[1]Tissue Data'!$A:$A,'[1]Tissue Data'!J:J)</f>
        <v>U</v>
      </c>
      <c r="H1155" t="str">
        <f>_xlfn.XLOOKUP(A1155,'[1]Tissue Data'!$A:$A,'[1]Tissue Data'!K:K)</f>
        <v>Whole Body</v>
      </c>
      <c r="I1155">
        <f>_xlfn.XLOOKUP(A1155,'[1]Tissue Data'!$A:$A,'[1]Tissue Data'!L:L)</f>
        <v>8.5</v>
      </c>
      <c r="J1155">
        <f>_xlfn.XLOOKUP(A1155,'[1]Tissue Data'!$A:$A,'[1]Tissue Data'!M:M)</f>
        <v>3.25</v>
      </c>
      <c r="K1155" t="s">
        <v>15</v>
      </c>
      <c r="L1155" t="str">
        <f>_xlfn.XLOOKUP(K1155,[2]analyte_order!$B:$B,[2]analyte_order!$C:$C)</f>
        <v>375-85-9</v>
      </c>
      <c r="M1155">
        <f>_xlfn.XLOOKUP(L1155,[2]analyte_order!$C:$C,[2]analyte_order!$E:$E)</f>
        <v>4</v>
      </c>
      <c r="N1155">
        <v>0.32</v>
      </c>
    </row>
    <row r="1156" spans="1:14">
      <c r="A1156" t="s">
        <v>159</v>
      </c>
      <c r="B1156" t="str">
        <f>_xlfn.XLOOKUP(A1156,'[1]Tissue Data'!$A:$A,'[1]Tissue Data'!$C:$C)</f>
        <v>Down</v>
      </c>
      <c r="C1156" s="2">
        <f>_xlfn.XLOOKUP(A1156,'[1]Tissue Data'!$A:$A,'[1]Tissue Data'!$D:$D)</f>
        <v>44314</v>
      </c>
      <c r="D1156" s="2" t="s">
        <v>122</v>
      </c>
      <c r="E1156" t="str">
        <f>_xlfn.XLOOKUP(A1156,'[1]Tissue Data'!$A:$A,'[1]Tissue Data'!$H:$H)</f>
        <v>Etheostoma</v>
      </c>
      <c r="F1156" t="str">
        <f>_xlfn.XLOOKUP(A1156,'[1]Tissue Data'!$A:$A,'[1]Tissue Data'!$I:$I)</f>
        <v>olmstedi</v>
      </c>
      <c r="G1156" t="str">
        <f>_xlfn.XLOOKUP(A1156,'[1]Tissue Data'!$A:$A,'[1]Tissue Data'!J:J)</f>
        <v>U</v>
      </c>
      <c r="H1156" t="str">
        <f>_xlfn.XLOOKUP(A1156,'[1]Tissue Data'!$A:$A,'[1]Tissue Data'!K:K)</f>
        <v>Whole Body</v>
      </c>
      <c r="I1156">
        <f>_xlfn.XLOOKUP(A1156,'[1]Tissue Data'!$A:$A,'[1]Tissue Data'!L:L)</f>
        <v>8.5</v>
      </c>
      <c r="J1156">
        <f>_xlfn.XLOOKUP(A1156,'[1]Tissue Data'!$A:$A,'[1]Tissue Data'!M:M)</f>
        <v>3.25</v>
      </c>
      <c r="K1156" t="s">
        <v>16</v>
      </c>
      <c r="L1156" t="str">
        <f>_xlfn.XLOOKUP(K1156,[2]analyte_order!$B:$B,[2]analyte_order!$C:$C)</f>
        <v>335-67-1</v>
      </c>
      <c r="M1156">
        <f>_xlfn.XLOOKUP(L1156,[2]analyte_order!$C:$C,[2]analyte_order!$E:$E)</f>
        <v>5</v>
      </c>
      <c r="N1156">
        <v>4.96</v>
      </c>
    </row>
    <row r="1157" spans="1:14">
      <c r="A1157" t="s">
        <v>159</v>
      </c>
      <c r="B1157" t="str">
        <f>_xlfn.XLOOKUP(A1157,'[1]Tissue Data'!$A:$A,'[1]Tissue Data'!$C:$C)</f>
        <v>Down</v>
      </c>
      <c r="C1157" s="2">
        <f>_xlfn.XLOOKUP(A1157,'[1]Tissue Data'!$A:$A,'[1]Tissue Data'!$D:$D)</f>
        <v>44314</v>
      </c>
      <c r="D1157" s="2" t="s">
        <v>122</v>
      </c>
      <c r="E1157" t="str">
        <f>_xlfn.XLOOKUP(A1157,'[1]Tissue Data'!$A:$A,'[1]Tissue Data'!$H:$H)</f>
        <v>Etheostoma</v>
      </c>
      <c r="F1157" t="str">
        <f>_xlfn.XLOOKUP(A1157,'[1]Tissue Data'!$A:$A,'[1]Tissue Data'!$I:$I)</f>
        <v>olmstedi</v>
      </c>
      <c r="G1157" t="str">
        <f>_xlfn.XLOOKUP(A1157,'[1]Tissue Data'!$A:$A,'[1]Tissue Data'!J:J)</f>
        <v>U</v>
      </c>
      <c r="H1157" t="str">
        <f>_xlfn.XLOOKUP(A1157,'[1]Tissue Data'!$A:$A,'[1]Tissue Data'!K:K)</f>
        <v>Whole Body</v>
      </c>
      <c r="I1157">
        <f>_xlfn.XLOOKUP(A1157,'[1]Tissue Data'!$A:$A,'[1]Tissue Data'!L:L)</f>
        <v>8.5</v>
      </c>
      <c r="J1157">
        <f>_xlfn.XLOOKUP(A1157,'[1]Tissue Data'!$A:$A,'[1]Tissue Data'!M:M)</f>
        <v>3.25</v>
      </c>
      <c r="K1157" t="s">
        <v>17</v>
      </c>
      <c r="L1157" t="str">
        <f>_xlfn.XLOOKUP(K1157,[2]analyte_order!$B:$B,[2]analyte_order!$C:$C)</f>
        <v>375-95-1</v>
      </c>
      <c r="M1157">
        <f>_xlfn.XLOOKUP(L1157,[2]analyte_order!$C:$C,[2]analyte_order!$E:$E)</f>
        <v>6</v>
      </c>
      <c r="N1157">
        <v>2.79</v>
      </c>
    </row>
    <row r="1158" spans="1:14">
      <c r="A1158" t="s">
        <v>159</v>
      </c>
      <c r="B1158" t="str">
        <f>_xlfn.XLOOKUP(A1158,'[1]Tissue Data'!$A:$A,'[1]Tissue Data'!$C:$C)</f>
        <v>Down</v>
      </c>
      <c r="C1158" s="2">
        <f>_xlfn.XLOOKUP(A1158,'[1]Tissue Data'!$A:$A,'[1]Tissue Data'!$D:$D)</f>
        <v>44314</v>
      </c>
      <c r="D1158" s="2" t="s">
        <v>122</v>
      </c>
      <c r="E1158" t="str">
        <f>_xlfn.XLOOKUP(A1158,'[1]Tissue Data'!$A:$A,'[1]Tissue Data'!$H:$H)</f>
        <v>Etheostoma</v>
      </c>
      <c r="F1158" t="str">
        <f>_xlfn.XLOOKUP(A1158,'[1]Tissue Data'!$A:$A,'[1]Tissue Data'!$I:$I)</f>
        <v>olmstedi</v>
      </c>
      <c r="G1158" t="str">
        <f>_xlfn.XLOOKUP(A1158,'[1]Tissue Data'!$A:$A,'[1]Tissue Data'!J:J)</f>
        <v>U</v>
      </c>
      <c r="H1158" t="str">
        <f>_xlfn.XLOOKUP(A1158,'[1]Tissue Data'!$A:$A,'[1]Tissue Data'!K:K)</f>
        <v>Whole Body</v>
      </c>
      <c r="I1158">
        <f>_xlfn.XLOOKUP(A1158,'[1]Tissue Data'!$A:$A,'[1]Tissue Data'!L:L)</f>
        <v>8.5</v>
      </c>
      <c r="J1158">
        <f>_xlfn.XLOOKUP(A1158,'[1]Tissue Data'!$A:$A,'[1]Tissue Data'!M:M)</f>
        <v>3.25</v>
      </c>
      <c r="K1158" t="s">
        <v>18</v>
      </c>
      <c r="L1158" t="str">
        <f>_xlfn.XLOOKUP(K1158,[2]analyte_order!$B:$B,[2]analyte_order!$C:$C)</f>
        <v>335-76-2</v>
      </c>
      <c r="M1158">
        <f>_xlfn.XLOOKUP(L1158,[2]analyte_order!$C:$C,[2]analyte_order!$E:$E)</f>
        <v>7</v>
      </c>
      <c r="N1158">
        <v>2.93</v>
      </c>
    </row>
    <row r="1159" spans="1:14">
      <c r="A1159" t="s">
        <v>159</v>
      </c>
      <c r="B1159" t="str">
        <f>_xlfn.XLOOKUP(A1159,'[1]Tissue Data'!$A:$A,'[1]Tissue Data'!$C:$C)</f>
        <v>Down</v>
      </c>
      <c r="C1159" s="2">
        <f>_xlfn.XLOOKUP(A1159,'[1]Tissue Data'!$A:$A,'[1]Tissue Data'!$D:$D)</f>
        <v>44314</v>
      </c>
      <c r="D1159" s="2" t="s">
        <v>122</v>
      </c>
      <c r="E1159" t="str">
        <f>_xlfn.XLOOKUP(A1159,'[1]Tissue Data'!$A:$A,'[1]Tissue Data'!$H:$H)</f>
        <v>Etheostoma</v>
      </c>
      <c r="F1159" t="str">
        <f>_xlfn.XLOOKUP(A1159,'[1]Tissue Data'!$A:$A,'[1]Tissue Data'!$I:$I)</f>
        <v>olmstedi</v>
      </c>
      <c r="G1159" t="str">
        <f>_xlfn.XLOOKUP(A1159,'[1]Tissue Data'!$A:$A,'[1]Tissue Data'!J:J)</f>
        <v>U</v>
      </c>
      <c r="H1159" t="str">
        <f>_xlfn.XLOOKUP(A1159,'[1]Tissue Data'!$A:$A,'[1]Tissue Data'!K:K)</f>
        <v>Whole Body</v>
      </c>
      <c r="I1159">
        <f>_xlfn.XLOOKUP(A1159,'[1]Tissue Data'!$A:$A,'[1]Tissue Data'!L:L)</f>
        <v>8.5</v>
      </c>
      <c r="J1159">
        <f>_xlfn.XLOOKUP(A1159,'[1]Tissue Data'!$A:$A,'[1]Tissue Data'!M:M)</f>
        <v>3.25</v>
      </c>
      <c r="K1159" t="s">
        <v>19</v>
      </c>
      <c r="L1159" t="str">
        <f>_xlfn.XLOOKUP(K1159,[2]analyte_order!$B:$B,[2]analyte_order!$C:$C)</f>
        <v>2058-94-8</v>
      </c>
      <c r="M1159">
        <f>_xlfn.XLOOKUP(L1159,[2]analyte_order!$C:$C,[2]analyte_order!$E:$E)</f>
        <v>8</v>
      </c>
      <c r="N1159">
        <v>2.87</v>
      </c>
    </row>
    <row r="1160" spans="1:14">
      <c r="A1160" t="s">
        <v>159</v>
      </c>
      <c r="B1160" t="str">
        <f>_xlfn.XLOOKUP(A1160,'[1]Tissue Data'!$A:$A,'[1]Tissue Data'!$C:$C)</f>
        <v>Down</v>
      </c>
      <c r="C1160" s="2">
        <f>_xlfn.XLOOKUP(A1160,'[1]Tissue Data'!$A:$A,'[1]Tissue Data'!$D:$D)</f>
        <v>44314</v>
      </c>
      <c r="D1160" s="2" t="s">
        <v>122</v>
      </c>
      <c r="E1160" t="str">
        <f>_xlfn.XLOOKUP(A1160,'[1]Tissue Data'!$A:$A,'[1]Tissue Data'!$H:$H)</f>
        <v>Etheostoma</v>
      </c>
      <c r="F1160" t="str">
        <f>_xlfn.XLOOKUP(A1160,'[1]Tissue Data'!$A:$A,'[1]Tissue Data'!$I:$I)</f>
        <v>olmstedi</v>
      </c>
      <c r="G1160" t="str">
        <f>_xlfn.XLOOKUP(A1160,'[1]Tissue Data'!$A:$A,'[1]Tissue Data'!J:J)</f>
        <v>U</v>
      </c>
      <c r="H1160" t="str">
        <f>_xlfn.XLOOKUP(A1160,'[1]Tissue Data'!$A:$A,'[1]Tissue Data'!K:K)</f>
        <v>Whole Body</v>
      </c>
      <c r="I1160">
        <f>_xlfn.XLOOKUP(A1160,'[1]Tissue Data'!$A:$A,'[1]Tissue Data'!L:L)</f>
        <v>8.5</v>
      </c>
      <c r="J1160">
        <f>_xlfn.XLOOKUP(A1160,'[1]Tissue Data'!$A:$A,'[1]Tissue Data'!M:M)</f>
        <v>3.25</v>
      </c>
      <c r="K1160" t="s">
        <v>20</v>
      </c>
      <c r="L1160" t="str">
        <f>_xlfn.XLOOKUP(K1160,[2]analyte_order!$B:$B,[2]analyte_order!$C:$C)</f>
        <v>307-55-1</v>
      </c>
      <c r="M1160">
        <f>_xlfn.XLOOKUP(L1160,[2]analyte_order!$C:$C,[2]analyte_order!$E:$E)</f>
        <v>9</v>
      </c>
      <c r="N1160">
        <v>5.80250286980388E-2</v>
      </c>
    </row>
    <row r="1161" spans="1:14">
      <c r="A1161" t="s">
        <v>159</v>
      </c>
      <c r="B1161" t="str">
        <f>_xlfn.XLOOKUP(A1161,'[1]Tissue Data'!$A:$A,'[1]Tissue Data'!$C:$C)</f>
        <v>Down</v>
      </c>
      <c r="C1161" s="2">
        <f>_xlfn.XLOOKUP(A1161,'[1]Tissue Data'!$A:$A,'[1]Tissue Data'!$D:$D)</f>
        <v>44314</v>
      </c>
      <c r="D1161" s="2" t="s">
        <v>122</v>
      </c>
      <c r="E1161" t="str">
        <f>_xlfn.XLOOKUP(A1161,'[1]Tissue Data'!$A:$A,'[1]Tissue Data'!$H:$H)</f>
        <v>Etheostoma</v>
      </c>
      <c r="F1161" t="str">
        <f>_xlfn.XLOOKUP(A1161,'[1]Tissue Data'!$A:$A,'[1]Tissue Data'!$I:$I)</f>
        <v>olmstedi</v>
      </c>
      <c r="G1161" t="str">
        <f>_xlfn.XLOOKUP(A1161,'[1]Tissue Data'!$A:$A,'[1]Tissue Data'!J:J)</f>
        <v>U</v>
      </c>
      <c r="H1161" t="str">
        <f>_xlfn.XLOOKUP(A1161,'[1]Tissue Data'!$A:$A,'[1]Tissue Data'!K:K)</f>
        <v>Whole Body</v>
      </c>
      <c r="I1161">
        <f>_xlfn.XLOOKUP(A1161,'[1]Tissue Data'!$A:$A,'[1]Tissue Data'!L:L)</f>
        <v>8.5</v>
      </c>
      <c r="J1161">
        <f>_xlfn.XLOOKUP(A1161,'[1]Tissue Data'!$A:$A,'[1]Tissue Data'!M:M)</f>
        <v>3.25</v>
      </c>
      <c r="K1161" t="s">
        <v>21</v>
      </c>
      <c r="L1161" t="str">
        <f>_xlfn.XLOOKUP(K1161,[2]analyte_order!$B:$B,[2]analyte_order!$C:$C)</f>
        <v>72629-94-8</v>
      </c>
      <c r="M1161">
        <f>_xlfn.XLOOKUP(L1161,[2]analyte_order!$C:$C,[2]analyte_order!$E:$E)</f>
        <v>10</v>
      </c>
      <c r="N1161">
        <v>0.55000000000000004</v>
      </c>
    </row>
    <row r="1162" spans="1:14">
      <c r="A1162" t="s">
        <v>159</v>
      </c>
      <c r="B1162" t="str">
        <f>_xlfn.XLOOKUP(A1162,'[1]Tissue Data'!$A:$A,'[1]Tissue Data'!$C:$C)</f>
        <v>Down</v>
      </c>
      <c r="C1162" s="2">
        <f>_xlfn.XLOOKUP(A1162,'[1]Tissue Data'!$A:$A,'[1]Tissue Data'!$D:$D)</f>
        <v>44314</v>
      </c>
      <c r="D1162" s="2" t="s">
        <v>122</v>
      </c>
      <c r="E1162" t="str">
        <f>_xlfn.XLOOKUP(A1162,'[1]Tissue Data'!$A:$A,'[1]Tissue Data'!$H:$H)</f>
        <v>Etheostoma</v>
      </c>
      <c r="F1162" t="str">
        <f>_xlfn.XLOOKUP(A1162,'[1]Tissue Data'!$A:$A,'[1]Tissue Data'!$I:$I)</f>
        <v>olmstedi</v>
      </c>
      <c r="G1162" t="str">
        <f>_xlfn.XLOOKUP(A1162,'[1]Tissue Data'!$A:$A,'[1]Tissue Data'!J:J)</f>
        <v>U</v>
      </c>
      <c r="H1162" t="str">
        <f>_xlfn.XLOOKUP(A1162,'[1]Tissue Data'!$A:$A,'[1]Tissue Data'!K:K)</f>
        <v>Whole Body</v>
      </c>
      <c r="I1162">
        <f>_xlfn.XLOOKUP(A1162,'[1]Tissue Data'!$A:$A,'[1]Tissue Data'!L:L)</f>
        <v>8.5</v>
      </c>
      <c r="J1162">
        <f>_xlfn.XLOOKUP(A1162,'[1]Tissue Data'!$A:$A,'[1]Tissue Data'!M:M)</f>
        <v>3.25</v>
      </c>
      <c r="K1162" t="s">
        <v>22</v>
      </c>
      <c r="L1162" t="str">
        <f>_xlfn.XLOOKUP(K1162,[2]analyte_order!$B:$B,[2]analyte_order!$C:$C)</f>
        <v>376-06-7</v>
      </c>
      <c r="M1162">
        <f>_xlfn.XLOOKUP(L1162,[2]analyte_order!$C:$C,[2]analyte_order!$E:$E)</f>
        <v>11</v>
      </c>
      <c r="N1162">
        <v>1.23</v>
      </c>
    </row>
    <row r="1163" spans="1:14">
      <c r="A1163" t="s">
        <v>159</v>
      </c>
      <c r="B1163" t="str">
        <f>_xlfn.XLOOKUP(A1163,'[1]Tissue Data'!$A:$A,'[1]Tissue Data'!$C:$C)</f>
        <v>Down</v>
      </c>
      <c r="C1163" s="2">
        <f>_xlfn.XLOOKUP(A1163,'[1]Tissue Data'!$A:$A,'[1]Tissue Data'!$D:$D)</f>
        <v>44314</v>
      </c>
      <c r="D1163" s="2" t="s">
        <v>122</v>
      </c>
      <c r="E1163" t="str">
        <f>_xlfn.XLOOKUP(A1163,'[1]Tissue Data'!$A:$A,'[1]Tissue Data'!$H:$H)</f>
        <v>Etheostoma</v>
      </c>
      <c r="F1163" t="str">
        <f>_xlfn.XLOOKUP(A1163,'[1]Tissue Data'!$A:$A,'[1]Tissue Data'!$I:$I)</f>
        <v>olmstedi</v>
      </c>
      <c r="G1163" t="str">
        <f>_xlfn.XLOOKUP(A1163,'[1]Tissue Data'!$A:$A,'[1]Tissue Data'!J:J)</f>
        <v>U</v>
      </c>
      <c r="H1163" t="str">
        <f>_xlfn.XLOOKUP(A1163,'[1]Tissue Data'!$A:$A,'[1]Tissue Data'!K:K)</f>
        <v>Whole Body</v>
      </c>
      <c r="I1163">
        <f>_xlfn.XLOOKUP(A1163,'[1]Tissue Data'!$A:$A,'[1]Tissue Data'!L:L)</f>
        <v>8.5</v>
      </c>
      <c r="J1163">
        <f>_xlfn.XLOOKUP(A1163,'[1]Tissue Data'!$A:$A,'[1]Tissue Data'!M:M)</f>
        <v>3.25</v>
      </c>
      <c r="K1163" t="s">
        <v>23</v>
      </c>
      <c r="L1163" t="str">
        <f>_xlfn.XLOOKUP(K1163,[2]analyte_order!$B:$B,[2]analyte_order!$C:$C)</f>
        <v>67905-19-5</v>
      </c>
      <c r="M1163">
        <f>_xlfn.XLOOKUP(L1163,[2]analyte_order!$C:$C,[2]analyte_order!$E:$E)</f>
        <v>12</v>
      </c>
      <c r="N1163">
        <v>8.6611703857386479E-2</v>
      </c>
    </row>
    <row r="1164" spans="1:14">
      <c r="A1164" t="s">
        <v>159</v>
      </c>
      <c r="B1164" t="str">
        <f>_xlfn.XLOOKUP(A1164,'[1]Tissue Data'!$A:$A,'[1]Tissue Data'!$C:$C)</f>
        <v>Down</v>
      </c>
      <c r="C1164" s="2">
        <f>_xlfn.XLOOKUP(A1164,'[1]Tissue Data'!$A:$A,'[1]Tissue Data'!$D:$D)</f>
        <v>44314</v>
      </c>
      <c r="D1164" s="2" t="s">
        <v>122</v>
      </c>
      <c r="E1164" t="str">
        <f>_xlfn.XLOOKUP(A1164,'[1]Tissue Data'!$A:$A,'[1]Tissue Data'!$H:$H)</f>
        <v>Etheostoma</v>
      </c>
      <c r="F1164" t="str">
        <f>_xlfn.XLOOKUP(A1164,'[1]Tissue Data'!$A:$A,'[1]Tissue Data'!$I:$I)</f>
        <v>olmstedi</v>
      </c>
      <c r="G1164" t="str">
        <f>_xlfn.XLOOKUP(A1164,'[1]Tissue Data'!$A:$A,'[1]Tissue Data'!J:J)</f>
        <v>U</v>
      </c>
      <c r="H1164" t="str">
        <f>_xlfn.XLOOKUP(A1164,'[1]Tissue Data'!$A:$A,'[1]Tissue Data'!K:K)</f>
        <v>Whole Body</v>
      </c>
      <c r="I1164">
        <f>_xlfn.XLOOKUP(A1164,'[1]Tissue Data'!$A:$A,'[1]Tissue Data'!L:L)</f>
        <v>8.5</v>
      </c>
      <c r="J1164">
        <f>_xlfn.XLOOKUP(A1164,'[1]Tissue Data'!$A:$A,'[1]Tissue Data'!M:M)</f>
        <v>3.25</v>
      </c>
      <c r="K1164" t="s">
        <v>24</v>
      </c>
      <c r="L1164" t="str">
        <f>_xlfn.XLOOKUP(K1164,[2]analyte_order!$B:$B,[2]analyte_order!$C:$C)</f>
        <v>423-41-6</v>
      </c>
      <c r="M1164">
        <f>_xlfn.XLOOKUP(L1164,[2]analyte_order!$C:$C,[2]analyte_order!$E:$E)</f>
        <v>53</v>
      </c>
      <c r="N1164">
        <v>5.5446108387870389E-2</v>
      </c>
    </row>
    <row r="1165" spans="1:14">
      <c r="A1165" t="s">
        <v>159</v>
      </c>
      <c r="B1165" t="str">
        <f>_xlfn.XLOOKUP(A1165,'[1]Tissue Data'!$A:$A,'[1]Tissue Data'!$C:$C)</f>
        <v>Down</v>
      </c>
      <c r="C1165" s="2">
        <f>_xlfn.XLOOKUP(A1165,'[1]Tissue Data'!$A:$A,'[1]Tissue Data'!$D:$D)</f>
        <v>44314</v>
      </c>
      <c r="D1165" s="2" t="s">
        <v>122</v>
      </c>
      <c r="E1165" t="str">
        <f>_xlfn.XLOOKUP(A1165,'[1]Tissue Data'!$A:$A,'[1]Tissue Data'!$H:$H)</f>
        <v>Etheostoma</v>
      </c>
      <c r="F1165" t="str">
        <f>_xlfn.XLOOKUP(A1165,'[1]Tissue Data'!$A:$A,'[1]Tissue Data'!$I:$I)</f>
        <v>olmstedi</v>
      </c>
      <c r="G1165" t="str">
        <f>_xlfn.XLOOKUP(A1165,'[1]Tissue Data'!$A:$A,'[1]Tissue Data'!J:J)</f>
        <v>U</v>
      </c>
      <c r="H1165" t="str">
        <f>_xlfn.XLOOKUP(A1165,'[1]Tissue Data'!$A:$A,'[1]Tissue Data'!K:K)</f>
        <v>Whole Body</v>
      </c>
      <c r="I1165">
        <f>_xlfn.XLOOKUP(A1165,'[1]Tissue Data'!$A:$A,'[1]Tissue Data'!L:L)</f>
        <v>8.5</v>
      </c>
      <c r="J1165">
        <f>_xlfn.XLOOKUP(A1165,'[1]Tissue Data'!$A:$A,'[1]Tissue Data'!M:M)</f>
        <v>3.25</v>
      </c>
      <c r="K1165" t="s">
        <v>25</v>
      </c>
      <c r="L1165" t="str">
        <f>_xlfn.XLOOKUP(K1165,[2]analyte_order!$B:$B,[2]analyte_order!$C:$C)</f>
        <v>375-73-5</v>
      </c>
      <c r="M1165">
        <f>_xlfn.XLOOKUP(L1165,[2]analyte_order!$C:$C,[2]analyte_order!$E:$E)</f>
        <v>14</v>
      </c>
      <c r="N1165">
        <v>0.44600000000000001</v>
      </c>
    </row>
    <row r="1166" spans="1:14">
      <c r="A1166" t="s">
        <v>159</v>
      </c>
      <c r="B1166" t="str">
        <f>_xlfn.XLOOKUP(A1166,'[1]Tissue Data'!$A:$A,'[1]Tissue Data'!$C:$C)</f>
        <v>Down</v>
      </c>
      <c r="C1166" s="2">
        <f>_xlfn.XLOOKUP(A1166,'[1]Tissue Data'!$A:$A,'[1]Tissue Data'!$D:$D)</f>
        <v>44314</v>
      </c>
      <c r="D1166" s="2" t="s">
        <v>122</v>
      </c>
      <c r="E1166" t="str">
        <f>_xlfn.XLOOKUP(A1166,'[1]Tissue Data'!$A:$A,'[1]Tissue Data'!$H:$H)</f>
        <v>Etheostoma</v>
      </c>
      <c r="F1166" t="str">
        <f>_xlfn.XLOOKUP(A1166,'[1]Tissue Data'!$A:$A,'[1]Tissue Data'!$I:$I)</f>
        <v>olmstedi</v>
      </c>
      <c r="G1166" t="str">
        <f>_xlfn.XLOOKUP(A1166,'[1]Tissue Data'!$A:$A,'[1]Tissue Data'!J:J)</f>
        <v>U</v>
      </c>
      <c r="H1166" t="str">
        <f>_xlfn.XLOOKUP(A1166,'[1]Tissue Data'!$A:$A,'[1]Tissue Data'!K:K)</f>
        <v>Whole Body</v>
      </c>
      <c r="I1166">
        <f>_xlfn.XLOOKUP(A1166,'[1]Tissue Data'!$A:$A,'[1]Tissue Data'!L:L)</f>
        <v>8.5</v>
      </c>
      <c r="J1166">
        <f>_xlfn.XLOOKUP(A1166,'[1]Tissue Data'!$A:$A,'[1]Tissue Data'!M:M)</f>
        <v>3.25</v>
      </c>
      <c r="K1166" t="s">
        <v>26</v>
      </c>
      <c r="L1166" t="str">
        <f>_xlfn.XLOOKUP(K1166,[2]analyte_order!$B:$B,[2]analyte_order!$C:$C)</f>
        <v>2706-91-4</v>
      </c>
      <c r="M1166">
        <f>_xlfn.XLOOKUP(L1166,[2]analyte_order!$C:$C,[2]analyte_order!$E:$E)</f>
        <v>15</v>
      </c>
      <c r="N1166">
        <v>1.22</v>
      </c>
    </row>
    <row r="1167" spans="1:14">
      <c r="A1167" t="s">
        <v>159</v>
      </c>
      <c r="B1167" t="str">
        <f>_xlfn.XLOOKUP(A1167,'[1]Tissue Data'!$A:$A,'[1]Tissue Data'!$C:$C)</f>
        <v>Down</v>
      </c>
      <c r="C1167" s="2">
        <f>_xlfn.XLOOKUP(A1167,'[1]Tissue Data'!$A:$A,'[1]Tissue Data'!$D:$D)</f>
        <v>44314</v>
      </c>
      <c r="D1167" s="2" t="s">
        <v>122</v>
      </c>
      <c r="E1167" t="str">
        <f>_xlfn.XLOOKUP(A1167,'[1]Tissue Data'!$A:$A,'[1]Tissue Data'!$H:$H)</f>
        <v>Etheostoma</v>
      </c>
      <c r="F1167" t="str">
        <f>_xlfn.XLOOKUP(A1167,'[1]Tissue Data'!$A:$A,'[1]Tissue Data'!$I:$I)</f>
        <v>olmstedi</v>
      </c>
      <c r="G1167" t="str">
        <f>_xlfn.XLOOKUP(A1167,'[1]Tissue Data'!$A:$A,'[1]Tissue Data'!J:J)</f>
        <v>U</v>
      </c>
      <c r="H1167" t="str">
        <f>_xlfn.XLOOKUP(A1167,'[1]Tissue Data'!$A:$A,'[1]Tissue Data'!K:K)</f>
        <v>Whole Body</v>
      </c>
      <c r="I1167">
        <f>_xlfn.XLOOKUP(A1167,'[1]Tissue Data'!$A:$A,'[1]Tissue Data'!L:L)</f>
        <v>8.5</v>
      </c>
      <c r="J1167">
        <f>_xlfn.XLOOKUP(A1167,'[1]Tissue Data'!$A:$A,'[1]Tissue Data'!M:M)</f>
        <v>3.25</v>
      </c>
      <c r="K1167" t="s">
        <v>27</v>
      </c>
      <c r="L1167" t="str">
        <f>_xlfn.XLOOKUP(K1167,[2]analyte_order!$B:$B,[2]analyte_order!$C:$C)</f>
        <v>355-46-4</v>
      </c>
      <c r="M1167">
        <f>_xlfn.XLOOKUP(L1167,[2]analyte_order!$C:$C,[2]analyte_order!$E:$E)</f>
        <v>16</v>
      </c>
      <c r="N1167">
        <v>79.5</v>
      </c>
    </row>
    <row r="1168" spans="1:14">
      <c r="A1168" t="s">
        <v>159</v>
      </c>
      <c r="B1168" t="str">
        <f>_xlfn.XLOOKUP(A1168,'[1]Tissue Data'!$A:$A,'[1]Tissue Data'!$C:$C)</f>
        <v>Down</v>
      </c>
      <c r="C1168" s="2">
        <f>_xlfn.XLOOKUP(A1168,'[1]Tissue Data'!$A:$A,'[1]Tissue Data'!$D:$D)</f>
        <v>44314</v>
      </c>
      <c r="D1168" s="2" t="s">
        <v>122</v>
      </c>
      <c r="E1168" t="str">
        <f>_xlfn.XLOOKUP(A1168,'[1]Tissue Data'!$A:$A,'[1]Tissue Data'!$H:$H)</f>
        <v>Etheostoma</v>
      </c>
      <c r="F1168" t="str">
        <f>_xlfn.XLOOKUP(A1168,'[1]Tissue Data'!$A:$A,'[1]Tissue Data'!$I:$I)</f>
        <v>olmstedi</v>
      </c>
      <c r="G1168" t="str">
        <f>_xlfn.XLOOKUP(A1168,'[1]Tissue Data'!$A:$A,'[1]Tissue Data'!J:J)</f>
        <v>U</v>
      </c>
      <c r="H1168" t="str">
        <f>_xlfn.XLOOKUP(A1168,'[1]Tissue Data'!$A:$A,'[1]Tissue Data'!K:K)</f>
        <v>Whole Body</v>
      </c>
      <c r="I1168">
        <f>_xlfn.XLOOKUP(A1168,'[1]Tissue Data'!$A:$A,'[1]Tissue Data'!L:L)</f>
        <v>8.5</v>
      </c>
      <c r="J1168">
        <f>_xlfn.XLOOKUP(A1168,'[1]Tissue Data'!$A:$A,'[1]Tissue Data'!M:M)</f>
        <v>3.25</v>
      </c>
      <c r="K1168" t="s">
        <v>28</v>
      </c>
      <c r="L1168" t="str">
        <f>_xlfn.XLOOKUP(K1168,[2]analyte_order!$B:$B,[2]analyte_order!$C:$C)</f>
        <v>375-92-8</v>
      </c>
      <c r="M1168">
        <f>_xlfn.XLOOKUP(L1168,[2]analyte_order!$C:$C,[2]analyte_order!$E:$E)</f>
        <v>17</v>
      </c>
      <c r="N1168">
        <v>3.57</v>
      </c>
    </row>
    <row r="1169" spans="1:14">
      <c r="A1169" t="s">
        <v>159</v>
      </c>
      <c r="B1169" t="str">
        <f>_xlfn.XLOOKUP(A1169,'[1]Tissue Data'!$A:$A,'[1]Tissue Data'!$C:$C)</f>
        <v>Down</v>
      </c>
      <c r="C1169" s="2">
        <f>_xlfn.XLOOKUP(A1169,'[1]Tissue Data'!$A:$A,'[1]Tissue Data'!$D:$D)</f>
        <v>44314</v>
      </c>
      <c r="D1169" s="2" t="s">
        <v>122</v>
      </c>
      <c r="E1169" t="str">
        <f>_xlfn.XLOOKUP(A1169,'[1]Tissue Data'!$A:$A,'[1]Tissue Data'!$H:$H)</f>
        <v>Etheostoma</v>
      </c>
      <c r="F1169" t="str">
        <f>_xlfn.XLOOKUP(A1169,'[1]Tissue Data'!$A:$A,'[1]Tissue Data'!$I:$I)</f>
        <v>olmstedi</v>
      </c>
      <c r="G1169" t="str">
        <f>_xlfn.XLOOKUP(A1169,'[1]Tissue Data'!$A:$A,'[1]Tissue Data'!J:J)</f>
        <v>U</v>
      </c>
      <c r="H1169" t="str">
        <f>_xlfn.XLOOKUP(A1169,'[1]Tissue Data'!$A:$A,'[1]Tissue Data'!K:K)</f>
        <v>Whole Body</v>
      </c>
      <c r="I1169">
        <f>_xlfn.XLOOKUP(A1169,'[1]Tissue Data'!$A:$A,'[1]Tissue Data'!L:L)</f>
        <v>8.5</v>
      </c>
      <c r="J1169">
        <f>_xlfn.XLOOKUP(A1169,'[1]Tissue Data'!$A:$A,'[1]Tissue Data'!M:M)</f>
        <v>3.25</v>
      </c>
      <c r="K1169" t="s">
        <v>29</v>
      </c>
      <c r="L1169" t="str">
        <f>_xlfn.XLOOKUP(K1169,[2]analyte_order!$B:$B,[2]analyte_order!$C:$C)</f>
        <v>1763-23-1</v>
      </c>
      <c r="M1169">
        <f>_xlfn.XLOOKUP(L1169,[2]analyte_order!$C:$C,[2]analyte_order!$E:$E)</f>
        <v>18</v>
      </c>
      <c r="N1169">
        <v>506</v>
      </c>
    </row>
    <row r="1170" spans="1:14">
      <c r="A1170" t="s">
        <v>159</v>
      </c>
      <c r="B1170" t="str">
        <f>_xlfn.XLOOKUP(A1170,'[1]Tissue Data'!$A:$A,'[1]Tissue Data'!$C:$C)</f>
        <v>Down</v>
      </c>
      <c r="C1170" s="2">
        <f>_xlfn.XLOOKUP(A1170,'[1]Tissue Data'!$A:$A,'[1]Tissue Data'!$D:$D)</f>
        <v>44314</v>
      </c>
      <c r="D1170" s="2" t="s">
        <v>122</v>
      </c>
      <c r="E1170" t="str">
        <f>_xlfn.XLOOKUP(A1170,'[1]Tissue Data'!$A:$A,'[1]Tissue Data'!$H:$H)</f>
        <v>Etheostoma</v>
      </c>
      <c r="F1170" t="str">
        <f>_xlfn.XLOOKUP(A1170,'[1]Tissue Data'!$A:$A,'[1]Tissue Data'!$I:$I)</f>
        <v>olmstedi</v>
      </c>
      <c r="G1170" t="str">
        <f>_xlfn.XLOOKUP(A1170,'[1]Tissue Data'!$A:$A,'[1]Tissue Data'!J:J)</f>
        <v>U</v>
      </c>
      <c r="H1170" t="str">
        <f>_xlfn.XLOOKUP(A1170,'[1]Tissue Data'!$A:$A,'[1]Tissue Data'!K:K)</f>
        <v>Whole Body</v>
      </c>
      <c r="I1170">
        <f>_xlfn.XLOOKUP(A1170,'[1]Tissue Data'!$A:$A,'[1]Tissue Data'!L:L)</f>
        <v>8.5</v>
      </c>
      <c r="J1170">
        <f>_xlfn.XLOOKUP(A1170,'[1]Tissue Data'!$A:$A,'[1]Tissue Data'!M:M)</f>
        <v>3.25</v>
      </c>
      <c r="K1170" t="s">
        <v>30</v>
      </c>
      <c r="L1170" t="str">
        <f>_xlfn.XLOOKUP(K1170,[2]analyte_order!$B:$B,[2]analyte_order!$C:$C)</f>
        <v>68259-12-1</v>
      </c>
      <c r="M1170">
        <f>_xlfn.XLOOKUP(L1170,[2]analyte_order!$C:$C,[2]analyte_order!$E:$E)</f>
        <v>19</v>
      </c>
      <c r="N1170">
        <v>1.1100000000000001</v>
      </c>
    </row>
    <row r="1171" spans="1:14">
      <c r="A1171" t="s">
        <v>159</v>
      </c>
      <c r="B1171" t="str">
        <f>_xlfn.XLOOKUP(A1171,'[1]Tissue Data'!$A:$A,'[1]Tissue Data'!$C:$C)</f>
        <v>Down</v>
      </c>
      <c r="C1171" s="2">
        <f>_xlfn.XLOOKUP(A1171,'[1]Tissue Data'!$A:$A,'[1]Tissue Data'!$D:$D)</f>
        <v>44314</v>
      </c>
      <c r="D1171" s="2" t="s">
        <v>122</v>
      </c>
      <c r="E1171" t="str">
        <f>_xlfn.XLOOKUP(A1171,'[1]Tissue Data'!$A:$A,'[1]Tissue Data'!$H:$H)</f>
        <v>Etheostoma</v>
      </c>
      <c r="F1171" t="str">
        <f>_xlfn.XLOOKUP(A1171,'[1]Tissue Data'!$A:$A,'[1]Tissue Data'!$I:$I)</f>
        <v>olmstedi</v>
      </c>
      <c r="G1171" t="str">
        <f>_xlfn.XLOOKUP(A1171,'[1]Tissue Data'!$A:$A,'[1]Tissue Data'!J:J)</f>
        <v>U</v>
      </c>
      <c r="H1171" t="str">
        <f>_xlfn.XLOOKUP(A1171,'[1]Tissue Data'!$A:$A,'[1]Tissue Data'!K:K)</f>
        <v>Whole Body</v>
      </c>
      <c r="I1171">
        <f>_xlfn.XLOOKUP(A1171,'[1]Tissue Data'!$A:$A,'[1]Tissue Data'!L:L)</f>
        <v>8.5</v>
      </c>
      <c r="J1171">
        <f>_xlfn.XLOOKUP(A1171,'[1]Tissue Data'!$A:$A,'[1]Tissue Data'!M:M)</f>
        <v>3.25</v>
      </c>
      <c r="K1171" t="s">
        <v>31</v>
      </c>
      <c r="L1171" t="str">
        <f>_xlfn.XLOOKUP(K1171,[2]analyte_order!$B:$B,[2]analyte_order!$C:$C)</f>
        <v>335-77-3</v>
      </c>
      <c r="M1171">
        <f>_xlfn.XLOOKUP(L1171,[2]analyte_order!$C:$C,[2]analyte_order!$E:$E)</f>
        <v>20</v>
      </c>
      <c r="N1171">
        <v>0.67900000000000005</v>
      </c>
    </row>
    <row r="1172" spans="1:14">
      <c r="A1172" t="s">
        <v>159</v>
      </c>
      <c r="B1172" t="str">
        <f>_xlfn.XLOOKUP(A1172,'[1]Tissue Data'!$A:$A,'[1]Tissue Data'!$C:$C)</f>
        <v>Down</v>
      </c>
      <c r="C1172" s="2">
        <f>_xlfn.XLOOKUP(A1172,'[1]Tissue Data'!$A:$A,'[1]Tissue Data'!$D:$D)</f>
        <v>44314</v>
      </c>
      <c r="D1172" s="2" t="s">
        <v>122</v>
      </c>
      <c r="E1172" t="str">
        <f>_xlfn.XLOOKUP(A1172,'[1]Tissue Data'!$A:$A,'[1]Tissue Data'!$H:$H)</f>
        <v>Etheostoma</v>
      </c>
      <c r="F1172" t="str">
        <f>_xlfn.XLOOKUP(A1172,'[1]Tissue Data'!$A:$A,'[1]Tissue Data'!$I:$I)</f>
        <v>olmstedi</v>
      </c>
      <c r="G1172" t="str">
        <f>_xlfn.XLOOKUP(A1172,'[1]Tissue Data'!$A:$A,'[1]Tissue Data'!J:J)</f>
        <v>U</v>
      </c>
      <c r="H1172" t="str">
        <f>_xlfn.XLOOKUP(A1172,'[1]Tissue Data'!$A:$A,'[1]Tissue Data'!K:K)</f>
        <v>Whole Body</v>
      </c>
      <c r="I1172">
        <f>_xlfn.XLOOKUP(A1172,'[1]Tissue Data'!$A:$A,'[1]Tissue Data'!L:L)</f>
        <v>8.5</v>
      </c>
      <c r="J1172">
        <f>_xlfn.XLOOKUP(A1172,'[1]Tissue Data'!$A:$A,'[1]Tissue Data'!M:M)</f>
        <v>3.25</v>
      </c>
      <c r="K1172" t="s">
        <v>32</v>
      </c>
      <c r="L1172" t="str">
        <f>_xlfn.XLOOKUP(K1172,[2]analyte_order!$B:$B,[2]analyte_order!$C:$C)</f>
        <v>79780-39-5</v>
      </c>
      <c r="M1172">
        <f>_xlfn.XLOOKUP(L1172,[2]analyte_order!$C:$C,[2]analyte_order!$E:$E)</f>
        <v>21</v>
      </c>
      <c r="N1172">
        <v>0.24881934787119964</v>
      </c>
    </row>
    <row r="1173" spans="1:14">
      <c r="A1173" t="s">
        <v>159</v>
      </c>
      <c r="B1173" t="str">
        <f>_xlfn.XLOOKUP(A1173,'[1]Tissue Data'!$A:$A,'[1]Tissue Data'!$C:$C)</f>
        <v>Down</v>
      </c>
      <c r="C1173" s="2">
        <f>_xlfn.XLOOKUP(A1173,'[1]Tissue Data'!$A:$A,'[1]Tissue Data'!$D:$D)</f>
        <v>44314</v>
      </c>
      <c r="D1173" s="2" t="s">
        <v>122</v>
      </c>
      <c r="E1173" t="str">
        <f>_xlfn.XLOOKUP(A1173,'[1]Tissue Data'!$A:$A,'[1]Tissue Data'!$H:$H)</f>
        <v>Etheostoma</v>
      </c>
      <c r="F1173" t="str">
        <f>_xlfn.XLOOKUP(A1173,'[1]Tissue Data'!$A:$A,'[1]Tissue Data'!$I:$I)</f>
        <v>olmstedi</v>
      </c>
      <c r="G1173" t="str">
        <f>_xlfn.XLOOKUP(A1173,'[1]Tissue Data'!$A:$A,'[1]Tissue Data'!J:J)</f>
        <v>U</v>
      </c>
      <c r="H1173" t="str">
        <f>_xlfn.XLOOKUP(A1173,'[1]Tissue Data'!$A:$A,'[1]Tissue Data'!K:K)</f>
        <v>Whole Body</v>
      </c>
      <c r="I1173">
        <f>_xlfn.XLOOKUP(A1173,'[1]Tissue Data'!$A:$A,'[1]Tissue Data'!L:L)</f>
        <v>8.5</v>
      </c>
      <c r="J1173">
        <f>_xlfn.XLOOKUP(A1173,'[1]Tissue Data'!$A:$A,'[1]Tissue Data'!M:M)</f>
        <v>3.25</v>
      </c>
      <c r="K1173" t="s">
        <v>33</v>
      </c>
      <c r="L1173" t="str">
        <f>_xlfn.XLOOKUP(K1173,[2]analyte_order!$B:$B,[2]analyte_order!$C:$C)</f>
        <v>777011-38-8</v>
      </c>
      <c r="M1173">
        <f>_xlfn.XLOOKUP(L1173,[2]analyte_order!$C:$C,[2]analyte_order!$E:$E)</f>
        <v>54</v>
      </c>
      <c r="N1173">
        <v>0.14139497752938987</v>
      </c>
    </row>
    <row r="1174" spans="1:14">
      <c r="A1174" t="s">
        <v>159</v>
      </c>
      <c r="B1174" t="str">
        <f>_xlfn.XLOOKUP(A1174,'[1]Tissue Data'!$A:$A,'[1]Tissue Data'!$C:$C)</f>
        <v>Down</v>
      </c>
      <c r="C1174" s="2">
        <f>_xlfn.XLOOKUP(A1174,'[1]Tissue Data'!$A:$A,'[1]Tissue Data'!$D:$D)</f>
        <v>44314</v>
      </c>
      <c r="D1174" s="2" t="s">
        <v>122</v>
      </c>
      <c r="E1174" t="str">
        <f>_xlfn.XLOOKUP(A1174,'[1]Tissue Data'!$A:$A,'[1]Tissue Data'!$H:$H)</f>
        <v>Etheostoma</v>
      </c>
      <c r="F1174" t="str">
        <f>_xlfn.XLOOKUP(A1174,'[1]Tissue Data'!$A:$A,'[1]Tissue Data'!$I:$I)</f>
        <v>olmstedi</v>
      </c>
      <c r="G1174" t="str">
        <f>_xlfn.XLOOKUP(A1174,'[1]Tissue Data'!$A:$A,'[1]Tissue Data'!J:J)</f>
        <v>U</v>
      </c>
      <c r="H1174" t="str">
        <f>_xlfn.XLOOKUP(A1174,'[1]Tissue Data'!$A:$A,'[1]Tissue Data'!K:K)</f>
        <v>Whole Body</v>
      </c>
      <c r="I1174">
        <f>_xlfn.XLOOKUP(A1174,'[1]Tissue Data'!$A:$A,'[1]Tissue Data'!L:L)</f>
        <v>8.5</v>
      </c>
      <c r="J1174">
        <f>_xlfn.XLOOKUP(A1174,'[1]Tissue Data'!$A:$A,'[1]Tissue Data'!M:M)</f>
        <v>3.25</v>
      </c>
      <c r="K1174" t="s">
        <v>34</v>
      </c>
      <c r="L1174" t="str">
        <f>_xlfn.XLOOKUP(K1174,[2]analyte_order!$B:$B,[2]analyte_order!$C:$C)</f>
        <v>646-83-3</v>
      </c>
      <c r="M1174">
        <f>_xlfn.XLOOKUP(L1174,[2]analyte_order!$C:$C,[2]analyte_order!$E:$E)</f>
        <v>55</v>
      </c>
      <c r="N1174">
        <v>0.501</v>
      </c>
    </row>
    <row r="1175" spans="1:14">
      <c r="A1175" t="s">
        <v>159</v>
      </c>
      <c r="B1175" t="str">
        <f>_xlfn.XLOOKUP(A1175,'[1]Tissue Data'!$A:$A,'[1]Tissue Data'!$C:$C)</f>
        <v>Down</v>
      </c>
      <c r="C1175" s="2">
        <f>_xlfn.XLOOKUP(A1175,'[1]Tissue Data'!$A:$A,'[1]Tissue Data'!$D:$D)</f>
        <v>44314</v>
      </c>
      <c r="D1175" s="2" t="s">
        <v>122</v>
      </c>
      <c r="E1175" t="str">
        <f>_xlfn.XLOOKUP(A1175,'[1]Tissue Data'!$A:$A,'[1]Tissue Data'!$H:$H)</f>
        <v>Etheostoma</v>
      </c>
      <c r="F1175" t="str">
        <f>_xlfn.XLOOKUP(A1175,'[1]Tissue Data'!$A:$A,'[1]Tissue Data'!$I:$I)</f>
        <v>olmstedi</v>
      </c>
      <c r="G1175" t="str">
        <f>_xlfn.XLOOKUP(A1175,'[1]Tissue Data'!$A:$A,'[1]Tissue Data'!J:J)</f>
        <v>U</v>
      </c>
      <c r="H1175" t="str">
        <f>_xlfn.XLOOKUP(A1175,'[1]Tissue Data'!$A:$A,'[1]Tissue Data'!K:K)</f>
        <v>Whole Body</v>
      </c>
      <c r="I1175">
        <f>_xlfn.XLOOKUP(A1175,'[1]Tissue Data'!$A:$A,'[1]Tissue Data'!L:L)</f>
        <v>8.5</v>
      </c>
      <c r="J1175">
        <f>_xlfn.XLOOKUP(A1175,'[1]Tissue Data'!$A:$A,'[1]Tissue Data'!M:M)</f>
        <v>3.25</v>
      </c>
      <c r="K1175" t="s">
        <v>35</v>
      </c>
      <c r="L1175" t="str">
        <f>_xlfn.XLOOKUP(K1175,[2]analyte_order!$B:$B,[2]analyte_order!$C:$C)</f>
        <v>30334-69-1</v>
      </c>
      <c r="M1175">
        <f>_xlfn.XLOOKUP(L1175,[2]analyte_order!$C:$C,[2]analyte_order!$E:$E)</f>
        <v>51</v>
      </c>
      <c r="N1175">
        <v>9.1199999999999992</v>
      </c>
    </row>
    <row r="1176" spans="1:14">
      <c r="A1176" t="s">
        <v>159</v>
      </c>
      <c r="B1176" t="str">
        <f>_xlfn.XLOOKUP(A1176,'[1]Tissue Data'!$A:$A,'[1]Tissue Data'!$C:$C)</f>
        <v>Down</v>
      </c>
      <c r="C1176" s="2">
        <f>_xlfn.XLOOKUP(A1176,'[1]Tissue Data'!$A:$A,'[1]Tissue Data'!$D:$D)</f>
        <v>44314</v>
      </c>
      <c r="D1176" s="2" t="s">
        <v>122</v>
      </c>
      <c r="E1176" t="str">
        <f>_xlfn.XLOOKUP(A1176,'[1]Tissue Data'!$A:$A,'[1]Tissue Data'!$H:$H)</f>
        <v>Etheostoma</v>
      </c>
      <c r="F1176" t="str">
        <f>_xlfn.XLOOKUP(A1176,'[1]Tissue Data'!$A:$A,'[1]Tissue Data'!$I:$I)</f>
        <v>olmstedi</v>
      </c>
      <c r="G1176" t="str">
        <f>_xlfn.XLOOKUP(A1176,'[1]Tissue Data'!$A:$A,'[1]Tissue Data'!J:J)</f>
        <v>U</v>
      </c>
      <c r="H1176" t="str">
        <f>_xlfn.XLOOKUP(A1176,'[1]Tissue Data'!$A:$A,'[1]Tissue Data'!K:K)</f>
        <v>Whole Body</v>
      </c>
      <c r="I1176">
        <f>_xlfn.XLOOKUP(A1176,'[1]Tissue Data'!$A:$A,'[1]Tissue Data'!L:L)</f>
        <v>8.5</v>
      </c>
      <c r="J1176">
        <f>_xlfn.XLOOKUP(A1176,'[1]Tissue Data'!$A:$A,'[1]Tissue Data'!M:M)</f>
        <v>3.25</v>
      </c>
      <c r="K1176" t="s">
        <v>36</v>
      </c>
      <c r="L1176" t="str">
        <f>_xlfn.XLOOKUP(K1176,[2]analyte_order!$B:$B,[2]analyte_order!$C:$C)</f>
        <v>41997-13-1</v>
      </c>
      <c r="M1176">
        <f>_xlfn.XLOOKUP(L1176,[2]analyte_order!$C:$C,[2]analyte_order!$E:$E)</f>
        <v>52</v>
      </c>
      <c r="N1176">
        <v>46.2</v>
      </c>
    </row>
    <row r="1177" spans="1:14">
      <c r="A1177" t="s">
        <v>159</v>
      </c>
      <c r="B1177" t="str">
        <f>_xlfn.XLOOKUP(A1177,'[1]Tissue Data'!$A:$A,'[1]Tissue Data'!$C:$C)</f>
        <v>Down</v>
      </c>
      <c r="C1177" s="2">
        <f>_xlfn.XLOOKUP(A1177,'[1]Tissue Data'!$A:$A,'[1]Tissue Data'!$D:$D)</f>
        <v>44314</v>
      </c>
      <c r="D1177" s="2" t="s">
        <v>122</v>
      </c>
      <c r="E1177" t="str">
        <f>_xlfn.XLOOKUP(A1177,'[1]Tissue Data'!$A:$A,'[1]Tissue Data'!$H:$H)</f>
        <v>Etheostoma</v>
      </c>
      <c r="F1177" t="str">
        <f>_xlfn.XLOOKUP(A1177,'[1]Tissue Data'!$A:$A,'[1]Tissue Data'!$I:$I)</f>
        <v>olmstedi</v>
      </c>
      <c r="G1177" t="str">
        <f>_xlfn.XLOOKUP(A1177,'[1]Tissue Data'!$A:$A,'[1]Tissue Data'!J:J)</f>
        <v>U</v>
      </c>
      <c r="H1177" t="str">
        <f>_xlfn.XLOOKUP(A1177,'[1]Tissue Data'!$A:$A,'[1]Tissue Data'!K:K)</f>
        <v>Whole Body</v>
      </c>
      <c r="I1177">
        <f>_xlfn.XLOOKUP(A1177,'[1]Tissue Data'!$A:$A,'[1]Tissue Data'!L:L)</f>
        <v>8.5</v>
      </c>
      <c r="J1177">
        <f>_xlfn.XLOOKUP(A1177,'[1]Tissue Data'!$A:$A,'[1]Tissue Data'!M:M)</f>
        <v>3.25</v>
      </c>
      <c r="K1177" t="s">
        <v>37</v>
      </c>
      <c r="L1177" t="str">
        <f>_xlfn.XLOOKUP(K1177,[2]analyte_order!$B:$B,[2]analyte_order!$C:$C)</f>
        <v>754-91-6</v>
      </c>
      <c r="M1177">
        <f>_xlfn.XLOOKUP(L1177,[2]analyte_order!$C:$C,[2]analyte_order!$E:$E)</f>
        <v>28</v>
      </c>
      <c r="N1177">
        <v>53.2</v>
      </c>
    </row>
    <row r="1178" spans="1:14">
      <c r="A1178" t="s">
        <v>159</v>
      </c>
      <c r="B1178" t="str">
        <f>_xlfn.XLOOKUP(A1178,'[1]Tissue Data'!$A:$A,'[1]Tissue Data'!$C:$C)</f>
        <v>Down</v>
      </c>
      <c r="C1178" s="2">
        <f>_xlfn.XLOOKUP(A1178,'[1]Tissue Data'!$A:$A,'[1]Tissue Data'!$D:$D)</f>
        <v>44314</v>
      </c>
      <c r="D1178" s="2" t="s">
        <v>122</v>
      </c>
      <c r="E1178" t="str">
        <f>_xlfn.XLOOKUP(A1178,'[1]Tissue Data'!$A:$A,'[1]Tissue Data'!$H:$H)</f>
        <v>Etheostoma</v>
      </c>
      <c r="F1178" t="str">
        <f>_xlfn.XLOOKUP(A1178,'[1]Tissue Data'!$A:$A,'[1]Tissue Data'!$I:$I)</f>
        <v>olmstedi</v>
      </c>
      <c r="G1178" t="str">
        <f>_xlfn.XLOOKUP(A1178,'[1]Tissue Data'!$A:$A,'[1]Tissue Data'!J:J)</f>
        <v>U</v>
      </c>
      <c r="H1178" t="str">
        <f>_xlfn.XLOOKUP(A1178,'[1]Tissue Data'!$A:$A,'[1]Tissue Data'!K:K)</f>
        <v>Whole Body</v>
      </c>
      <c r="I1178">
        <f>_xlfn.XLOOKUP(A1178,'[1]Tissue Data'!$A:$A,'[1]Tissue Data'!L:L)</f>
        <v>8.5</v>
      </c>
      <c r="J1178">
        <f>_xlfn.XLOOKUP(A1178,'[1]Tissue Data'!$A:$A,'[1]Tissue Data'!M:M)</f>
        <v>3.25</v>
      </c>
      <c r="K1178" t="s">
        <v>38</v>
      </c>
      <c r="L1178" t="str">
        <f>_xlfn.XLOOKUP(K1178,[2]analyte_order!$B:$B,[2]analyte_order!$C:$C)</f>
        <v>31506-32-8</v>
      </c>
      <c r="M1178">
        <f>_xlfn.XLOOKUP(L1178,[2]analyte_order!$C:$C,[2]analyte_order!$E:$E)</f>
        <v>30</v>
      </c>
      <c r="N1178">
        <v>5.5986068313792367E-2</v>
      </c>
    </row>
    <row r="1179" spans="1:14">
      <c r="A1179" t="s">
        <v>159</v>
      </c>
      <c r="B1179" t="str">
        <f>_xlfn.XLOOKUP(A1179,'[1]Tissue Data'!$A:$A,'[1]Tissue Data'!$C:$C)</f>
        <v>Down</v>
      </c>
      <c r="C1179" s="2">
        <f>_xlfn.XLOOKUP(A1179,'[1]Tissue Data'!$A:$A,'[1]Tissue Data'!$D:$D)</f>
        <v>44314</v>
      </c>
      <c r="D1179" s="2" t="s">
        <v>122</v>
      </c>
      <c r="E1179" t="str">
        <f>_xlfn.XLOOKUP(A1179,'[1]Tissue Data'!$A:$A,'[1]Tissue Data'!$H:$H)</f>
        <v>Etheostoma</v>
      </c>
      <c r="F1179" t="str">
        <f>_xlfn.XLOOKUP(A1179,'[1]Tissue Data'!$A:$A,'[1]Tissue Data'!$I:$I)</f>
        <v>olmstedi</v>
      </c>
      <c r="G1179" t="str">
        <f>_xlfn.XLOOKUP(A1179,'[1]Tissue Data'!$A:$A,'[1]Tissue Data'!J:J)</f>
        <v>U</v>
      </c>
      <c r="H1179" t="str">
        <f>_xlfn.XLOOKUP(A1179,'[1]Tissue Data'!$A:$A,'[1]Tissue Data'!K:K)</f>
        <v>Whole Body</v>
      </c>
      <c r="I1179">
        <f>_xlfn.XLOOKUP(A1179,'[1]Tissue Data'!$A:$A,'[1]Tissue Data'!L:L)</f>
        <v>8.5</v>
      </c>
      <c r="J1179">
        <f>_xlfn.XLOOKUP(A1179,'[1]Tissue Data'!$A:$A,'[1]Tissue Data'!M:M)</f>
        <v>3.25</v>
      </c>
      <c r="K1179" t="s">
        <v>39</v>
      </c>
      <c r="L1179" t="str">
        <f>_xlfn.XLOOKUP(K1179,[2]analyte_order!$B:$B,[2]analyte_order!$C:$C)</f>
        <v>4151-50-2</v>
      </c>
      <c r="M1179">
        <f>_xlfn.XLOOKUP(L1179,[2]analyte_order!$C:$C,[2]analyte_order!$E:$E)</f>
        <v>31</v>
      </c>
      <c r="N1179">
        <v>8.4806362743018532E-2</v>
      </c>
    </row>
    <row r="1180" spans="1:14">
      <c r="A1180" t="s">
        <v>159</v>
      </c>
      <c r="B1180" t="str">
        <f>_xlfn.XLOOKUP(A1180,'[1]Tissue Data'!$A:$A,'[1]Tissue Data'!$C:$C)</f>
        <v>Down</v>
      </c>
      <c r="C1180" s="2">
        <f>_xlfn.XLOOKUP(A1180,'[1]Tissue Data'!$A:$A,'[1]Tissue Data'!$D:$D)</f>
        <v>44314</v>
      </c>
      <c r="D1180" s="2" t="s">
        <v>122</v>
      </c>
      <c r="E1180" t="str">
        <f>_xlfn.XLOOKUP(A1180,'[1]Tissue Data'!$A:$A,'[1]Tissue Data'!$H:$H)</f>
        <v>Etheostoma</v>
      </c>
      <c r="F1180" t="str">
        <f>_xlfn.XLOOKUP(A1180,'[1]Tissue Data'!$A:$A,'[1]Tissue Data'!$I:$I)</f>
        <v>olmstedi</v>
      </c>
      <c r="G1180" t="str">
        <f>_xlfn.XLOOKUP(A1180,'[1]Tissue Data'!$A:$A,'[1]Tissue Data'!J:J)</f>
        <v>U</v>
      </c>
      <c r="H1180" t="str">
        <f>_xlfn.XLOOKUP(A1180,'[1]Tissue Data'!$A:$A,'[1]Tissue Data'!K:K)</f>
        <v>Whole Body</v>
      </c>
      <c r="I1180">
        <f>_xlfn.XLOOKUP(A1180,'[1]Tissue Data'!$A:$A,'[1]Tissue Data'!L:L)</f>
        <v>8.5</v>
      </c>
      <c r="J1180">
        <f>_xlfn.XLOOKUP(A1180,'[1]Tissue Data'!$A:$A,'[1]Tissue Data'!M:M)</f>
        <v>3.25</v>
      </c>
      <c r="K1180" t="s">
        <v>40</v>
      </c>
      <c r="L1180" t="str">
        <f>_xlfn.XLOOKUP(K1180,[2]analyte_order!$B:$B,[2]analyte_order!$C:$C)</f>
        <v>2806-24-8</v>
      </c>
      <c r="M1180">
        <f>_xlfn.XLOOKUP(L1180,[2]analyte_order!$C:$C,[2]analyte_order!$E:$E)</f>
        <v>29</v>
      </c>
      <c r="N1180">
        <v>5.7283425594755917E-2</v>
      </c>
    </row>
    <row r="1181" spans="1:14">
      <c r="A1181" t="s">
        <v>159</v>
      </c>
      <c r="B1181" t="str">
        <f>_xlfn.XLOOKUP(A1181,'[1]Tissue Data'!$A:$A,'[1]Tissue Data'!$C:$C)</f>
        <v>Down</v>
      </c>
      <c r="C1181" s="2">
        <f>_xlfn.XLOOKUP(A1181,'[1]Tissue Data'!$A:$A,'[1]Tissue Data'!$D:$D)</f>
        <v>44314</v>
      </c>
      <c r="D1181" s="2" t="s">
        <v>122</v>
      </c>
      <c r="E1181" t="str">
        <f>_xlfn.XLOOKUP(A1181,'[1]Tissue Data'!$A:$A,'[1]Tissue Data'!$H:$H)</f>
        <v>Etheostoma</v>
      </c>
      <c r="F1181" t="str">
        <f>_xlfn.XLOOKUP(A1181,'[1]Tissue Data'!$A:$A,'[1]Tissue Data'!$I:$I)</f>
        <v>olmstedi</v>
      </c>
      <c r="G1181" t="str">
        <f>_xlfn.XLOOKUP(A1181,'[1]Tissue Data'!$A:$A,'[1]Tissue Data'!J:J)</f>
        <v>U</v>
      </c>
      <c r="H1181" t="str">
        <f>_xlfn.XLOOKUP(A1181,'[1]Tissue Data'!$A:$A,'[1]Tissue Data'!K:K)</f>
        <v>Whole Body</v>
      </c>
      <c r="I1181">
        <f>_xlfn.XLOOKUP(A1181,'[1]Tissue Data'!$A:$A,'[1]Tissue Data'!L:L)</f>
        <v>8.5</v>
      </c>
      <c r="J1181">
        <f>_xlfn.XLOOKUP(A1181,'[1]Tissue Data'!$A:$A,'[1]Tissue Data'!M:M)</f>
        <v>3.25</v>
      </c>
      <c r="K1181" t="s">
        <v>41</v>
      </c>
      <c r="L1181" t="str">
        <f>_xlfn.XLOOKUP(K1181,[2]analyte_order!$B:$B,[2]analyte_order!$C:$C)</f>
        <v>2355-31-9</v>
      </c>
      <c r="M1181">
        <f>_xlfn.XLOOKUP(L1181,[2]analyte_order!$C:$C,[2]analyte_order!$E:$E)</f>
        <v>26</v>
      </c>
      <c r="N1181">
        <v>13</v>
      </c>
    </row>
    <row r="1182" spans="1:14">
      <c r="A1182" t="s">
        <v>159</v>
      </c>
      <c r="B1182" t="str">
        <f>_xlfn.XLOOKUP(A1182,'[1]Tissue Data'!$A:$A,'[1]Tissue Data'!$C:$C)</f>
        <v>Down</v>
      </c>
      <c r="C1182" s="2">
        <f>_xlfn.XLOOKUP(A1182,'[1]Tissue Data'!$A:$A,'[1]Tissue Data'!$D:$D)</f>
        <v>44314</v>
      </c>
      <c r="D1182" s="2" t="s">
        <v>122</v>
      </c>
      <c r="E1182" t="str">
        <f>_xlfn.XLOOKUP(A1182,'[1]Tissue Data'!$A:$A,'[1]Tissue Data'!$H:$H)</f>
        <v>Etheostoma</v>
      </c>
      <c r="F1182" t="str">
        <f>_xlfn.XLOOKUP(A1182,'[1]Tissue Data'!$A:$A,'[1]Tissue Data'!$I:$I)</f>
        <v>olmstedi</v>
      </c>
      <c r="G1182" t="str">
        <f>_xlfn.XLOOKUP(A1182,'[1]Tissue Data'!$A:$A,'[1]Tissue Data'!J:J)</f>
        <v>U</v>
      </c>
      <c r="H1182" t="str">
        <f>_xlfn.XLOOKUP(A1182,'[1]Tissue Data'!$A:$A,'[1]Tissue Data'!K:K)</f>
        <v>Whole Body</v>
      </c>
      <c r="I1182">
        <f>_xlfn.XLOOKUP(A1182,'[1]Tissue Data'!$A:$A,'[1]Tissue Data'!L:L)</f>
        <v>8.5</v>
      </c>
      <c r="J1182">
        <f>_xlfn.XLOOKUP(A1182,'[1]Tissue Data'!$A:$A,'[1]Tissue Data'!M:M)</f>
        <v>3.25</v>
      </c>
      <c r="K1182" t="s">
        <v>42</v>
      </c>
      <c r="L1182" t="str">
        <f>_xlfn.XLOOKUP(K1182,[2]analyte_order!$B:$B,[2]analyte_order!$C:$C)</f>
        <v>2991-50-6</v>
      </c>
      <c r="M1182">
        <f>_xlfn.XLOOKUP(L1182,[2]analyte_order!$C:$C,[2]analyte_order!$E:$E)</f>
        <v>27</v>
      </c>
      <c r="N1182">
        <v>0.20196262120160285</v>
      </c>
    </row>
    <row r="1183" spans="1:14">
      <c r="A1183" t="s">
        <v>159</v>
      </c>
      <c r="B1183" t="str">
        <f>_xlfn.XLOOKUP(A1183,'[1]Tissue Data'!$A:$A,'[1]Tissue Data'!$C:$C)</f>
        <v>Down</v>
      </c>
      <c r="C1183" s="2">
        <f>_xlfn.XLOOKUP(A1183,'[1]Tissue Data'!$A:$A,'[1]Tissue Data'!$D:$D)</f>
        <v>44314</v>
      </c>
      <c r="D1183" s="2" t="s">
        <v>122</v>
      </c>
      <c r="E1183" t="str">
        <f>_xlfn.XLOOKUP(A1183,'[1]Tissue Data'!$A:$A,'[1]Tissue Data'!$H:$H)</f>
        <v>Etheostoma</v>
      </c>
      <c r="F1183" t="str">
        <f>_xlfn.XLOOKUP(A1183,'[1]Tissue Data'!$A:$A,'[1]Tissue Data'!$I:$I)</f>
        <v>olmstedi</v>
      </c>
      <c r="G1183" t="str">
        <f>_xlfn.XLOOKUP(A1183,'[1]Tissue Data'!$A:$A,'[1]Tissue Data'!J:J)</f>
        <v>U</v>
      </c>
      <c r="H1183" t="str">
        <f>_xlfn.XLOOKUP(A1183,'[1]Tissue Data'!$A:$A,'[1]Tissue Data'!K:K)</f>
        <v>Whole Body</v>
      </c>
      <c r="I1183">
        <f>_xlfn.XLOOKUP(A1183,'[1]Tissue Data'!$A:$A,'[1]Tissue Data'!L:L)</f>
        <v>8.5</v>
      </c>
      <c r="J1183">
        <f>_xlfn.XLOOKUP(A1183,'[1]Tissue Data'!$A:$A,'[1]Tissue Data'!M:M)</f>
        <v>3.25</v>
      </c>
      <c r="K1183" t="s">
        <v>43</v>
      </c>
      <c r="L1183" t="str">
        <f>_xlfn.XLOOKUP(K1183,[2]analyte_order!$B:$B,[2]analyte_order!$C:$C)</f>
        <v>757124-72-4</v>
      </c>
      <c r="M1183">
        <f>_xlfn.XLOOKUP(L1183,[2]analyte_order!$C:$C,[2]analyte_order!$E:$E)</f>
        <v>22</v>
      </c>
      <c r="N1183">
        <v>5.9692775717331059E-2</v>
      </c>
    </row>
    <row r="1184" spans="1:14">
      <c r="A1184" t="s">
        <v>159</v>
      </c>
      <c r="B1184" t="str">
        <f>_xlfn.XLOOKUP(A1184,'[1]Tissue Data'!$A:$A,'[1]Tissue Data'!$C:$C)</f>
        <v>Down</v>
      </c>
      <c r="C1184" s="2">
        <f>_xlfn.XLOOKUP(A1184,'[1]Tissue Data'!$A:$A,'[1]Tissue Data'!$D:$D)</f>
        <v>44314</v>
      </c>
      <c r="D1184" s="2" t="s">
        <v>122</v>
      </c>
      <c r="E1184" t="str">
        <f>_xlfn.XLOOKUP(A1184,'[1]Tissue Data'!$A:$A,'[1]Tissue Data'!$H:$H)</f>
        <v>Etheostoma</v>
      </c>
      <c r="F1184" t="str">
        <f>_xlfn.XLOOKUP(A1184,'[1]Tissue Data'!$A:$A,'[1]Tissue Data'!$I:$I)</f>
        <v>olmstedi</v>
      </c>
      <c r="G1184" t="str">
        <f>_xlfn.XLOOKUP(A1184,'[1]Tissue Data'!$A:$A,'[1]Tissue Data'!J:J)</f>
        <v>U</v>
      </c>
      <c r="H1184" t="str">
        <f>_xlfn.XLOOKUP(A1184,'[1]Tissue Data'!$A:$A,'[1]Tissue Data'!K:K)</f>
        <v>Whole Body</v>
      </c>
      <c r="I1184">
        <f>_xlfn.XLOOKUP(A1184,'[1]Tissue Data'!$A:$A,'[1]Tissue Data'!L:L)</f>
        <v>8.5</v>
      </c>
      <c r="J1184">
        <f>_xlfn.XLOOKUP(A1184,'[1]Tissue Data'!$A:$A,'[1]Tissue Data'!M:M)</f>
        <v>3.25</v>
      </c>
      <c r="K1184" t="s">
        <v>44</v>
      </c>
      <c r="L1184" t="str">
        <f>_xlfn.XLOOKUP(K1184,[2]analyte_order!$B:$B,[2]analyte_order!$C:$C)</f>
        <v>27619-97-2</v>
      </c>
      <c r="M1184">
        <f>_xlfn.XLOOKUP(L1184,[2]analyte_order!$C:$C,[2]analyte_order!$E:$E)</f>
        <v>23</v>
      </c>
      <c r="N1184">
        <v>2.34</v>
      </c>
    </row>
    <row r="1185" spans="1:14">
      <c r="A1185" t="s">
        <v>159</v>
      </c>
      <c r="B1185" t="str">
        <f>_xlfn.XLOOKUP(A1185,'[1]Tissue Data'!$A:$A,'[1]Tissue Data'!$C:$C)</f>
        <v>Down</v>
      </c>
      <c r="C1185" s="2">
        <f>_xlfn.XLOOKUP(A1185,'[1]Tissue Data'!$A:$A,'[1]Tissue Data'!$D:$D)</f>
        <v>44314</v>
      </c>
      <c r="D1185" s="2" t="s">
        <v>122</v>
      </c>
      <c r="E1185" t="str">
        <f>_xlfn.XLOOKUP(A1185,'[1]Tissue Data'!$A:$A,'[1]Tissue Data'!$H:$H)</f>
        <v>Etheostoma</v>
      </c>
      <c r="F1185" t="str">
        <f>_xlfn.XLOOKUP(A1185,'[1]Tissue Data'!$A:$A,'[1]Tissue Data'!$I:$I)</f>
        <v>olmstedi</v>
      </c>
      <c r="G1185" t="str">
        <f>_xlfn.XLOOKUP(A1185,'[1]Tissue Data'!$A:$A,'[1]Tissue Data'!J:J)</f>
        <v>U</v>
      </c>
      <c r="H1185" t="str">
        <f>_xlfn.XLOOKUP(A1185,'[1]Tissue Data'!$A:$A,'[1]Tissue Data'!K:K)</f>
        <v>Whole Body</v>
      </c>
      <c r="I1185">
        <f>_xlfn.XLOOKUP(A1185,'[1]Tissue Data'!$A:$A,'[1]Tissue Data'!L:L)</f>
        <v>8.5</v>
      </c>
      <c r="J1185">
        <f>_xlfn.XLOOKUP(A1185,'[1]Tissue Data'!$A:$A,'[1]Tissue Data'!M:M)</f>
        <v>3.25</v>
      </c>
      <c r="K1185" t="s">
        <v>45</v>
      </c>
      <c r="L1185" t="str">
        <f>_xlfn.XLOOKUP(K1185,[2]analyte_order!$B:$B,[2]analyte_order!$C:$C)</f>
        <v>39108-34-4</v>
      </c>
      <c r="M1185">
        <f>_xlfn.XLOOKUP(L1185,[2]analyte_order!$C:$C,[2]analyte_order!$E:$E)</f>
        <v>24</v>
      </c>
      <c r="N1185">
        <v>3.27</v>
      </c>
    </row>
    <row r="1186" spans="1:14">
      <c r="A1186" t="s">
        <v>159</v>
      </c>
      <c r="B1186" t="str">
        <f>_xlfn.XLOOKUP(A1186,'[1]Tissue Data'!$A:$A,'[1]Tissue Data'!$C:$C)</f>
        <v>Down</v>
      </c>
      <c r="C1186" s="2">
        <f>_xlfn.XLOOKUP(A1186,'[1]Tissue Data'!$A:$A,'[1]Tissue Data'!$D:$D)</f>
        <v>44314</v>
      </c>
      <c r="D1186" s="2" t="s">
        <v>122</v>
      </c>
      <c r="E1186" t="str">
        <f>_xlfn.XLOOKUP(A1186,'[1]Tissue Data'!$A:$A,'[1]Tissue Data'!$H:$H)</f>
        <v>Etheostoma</v>
      </c>
      <c r="F1186" t="str">
        <f>_xlfn.XLOOKUP(A1186,'[1]Tissue Data'!$A:$A,'[1]Tissue Data'!$I:$I)</f>
        <v>olmstedi</v>
      </c>
      <c r="G1186" t="str">
        <f>_xlfn.XLOOKUP(A1186,'[1]Tissue Data'!$A:$A,'[1]Tissue Data'!J:J)</f>
        <v>U</v>
      </c>
      <c r="H1186" t="str">
        <f>_xlfn.XLOOKUP(A1186,'[1]Tissue Data'!$A:$A,'[1]Tissue Data'!K:K)</f>
        <v>Whole Body</v>
      </c>
      <c r="I1186">
        <f>_xlfn.XLOOKUP(A1186,'[1]Tissue Data'!$A:$A,'[1]Tissue Data'!L:L)</f>
        <v>8.5</v>
      </c>
      <c r="J1186">
        <f>_xlfn.XLOOKUP(A1186,'[1]Tissue Data'!$A:$A,'[1]Tissue Data'!M:M)</f>
        <v>3.25</v>
      </c>
      <c r="K1186" t="s">
        <v>46</v>
      </c>
      <c r="L1186" t="str">
        <f>_xlfn.XLOOKUP(K1186,[2]analyte_order!$B:$B,[2]analyte_order!$C:$C)</f>
        <v>120226-60-0</v>
      </c>
      <c r="M1186">
        <f>_xlfn.XLOOKUP(L1186,[2]analyte_order!$C:$C,[2]analyte_order!$E:$E)</f>
        <v>25</v>
      </c>
      <c r="N1186">
        <v>8.2517698145384774E-2</v>
      </c>
    </row>
    <row r="1187" spans="1:14">
      <c r="A1187" t="s">
        <v>159</v>
      </c>
      <c r="B1187" t="str">
        <f>_xlfn.XLOOKUP(A1187,'[1]Tissue Data'!$A:$A,'[1]Tissue Data'!$C:$C)</f>
        <v>Down</v>
      </c>
      <c r="C1187" s="2">
        <f>_xlfn.XLOOKUP(A1187,'[1]Tissue Data'!$A:$A,'[1]Tissue Data'!$D:$D)</f>
        <v>44314</v>
      </c>
      <c r="D1187" s="2" t="s">
        <v>122</v>
      </c>
      <c r="E1187" t="str">
        <f>_xlfn.XLOOKUP(A1187,'[1]Tissue Data'!$A:$A,'[1]Tissue Data'!$H:$H)</f>
        <v>Etheostoma</v>
      </c>
      <c r="F1187" t="str">
        <f>_xlfn.XLOOKUP(A1187,'[1]Tissue Data'!$A:$A,'[1]Tissue Data'!$I:$I)</f>
        <v>olmstedi</v>
      </c>
      <c r="G1187" t="str">
        <f>_xlfn.XLOOKUP(A1187,'[1]Tissue Data'!$A:$A,'[1]Tissue Data'!J:J)</f>
        <v>U</v>
      </c>
      <c r="H1187" t="str">
        <f>_xlfn.XLOOKUP(A1187,'[1]Tissue Data'!$A:$A,'[1]Tissue Data'!K:K)</f>
        <v>Whole Body</v>
      </c>
      <c r="I1187">
        <f>_xlfn.XLOOKUP(A1187,'[1]Tissue Data'!$A:$A,'[1]Tissue Data'!L:L)</f>
        <v>8.5</v>
      </c>
      <c r="J1187">
        <f>_xlfn.XLOOKUP(A1187,'[1]Tissue Data'!$A:$A,'[1]Tissue Data'!M:M)</f>
        <v>3.25</v>
      </c>
      <c r="K1187" t="s">
        <v>47</v>
      </c>
      <c r="L1187" t="str">
        <f>_xlfn.XLOOKUP(K1187,[2]analyte_order!$B:$B,[2]analyte_order!$C:$C)</f>
        <v>356-02-5</v>
      </c>
      <c r="M1187">
        <f>_xlfn.XLOOKUP(L1187,[2]analyte_order!$C:$C,[2]analyte_order!$E:$E)</f>
        <v>38</v>
      </c>
      <c r="N1187">
        <v>8.3827506722980172E-2</v>
      </c>
    </row>
    <row r="1188" spans="1:14">
      <c r="A1188" t="s">
        <v>159</v>
      </c>
      <c r="B1188" t="str">
        <f>_xlfn.XLOOKUP(A1188,'[1]Tissue Data'!$A:$A,'[1]Tissue Data'!$C:$C)</f>
        <v>Down</v>
      </c>
      <c r="C1188" s="2">
        <f>_xlfn.XLOOKUP(A1188,'[1]Tissue Data'!$A:$A,'[1]Tissue Data'!$D:$D)</f>
        <v>44314</v>
      </c>
      <c r="D1188" s="2" t="s">
        <v>122</v>
      </c>
      <c r="E1188" t="str">
        <f>_xlfn.XLOOKUP(A1188,'[1]Tissue Data'!$A:$A,'[1]Tissue Data'!$H:$H)</f>
        <v>Etheostoma</v>
      </c>
      <c r="F1188" t="str">
        <f>_xlfn.XLOOKUP(A1188,'[1]Tissue Data'!$A:$A,'[1]Tissue Data'!$I:$I)</f>
        <v>olmstedi</v>
      </c>
      <c r="G1188" t="str">
        <f>_xlfn.XLOOKUP(A1188,'[1]Tissue Data'!$A:$A,'[1]Tissue Data'!J:J)</f>
        <v>U</v>
      </c>
      <c r="H1188" t="str">
        <f>_xlfn.XLOOKUP(A1188,'[1]Tissue Data'!$A:$A,'[1]Tissue Data'!K:K)</f>
        <v>Whole Body</v>
      </c>
      <c r="I1188">
        <f>_xlfn.XLOOKUP(A1188,'[1]Tissue Data'!$A:$A,'[1]Tissue Data'!L:L)</f>
        <v>8.5</v>
      </c>
      <c r="J1188">
        <f>_xlfn.XLOOKUP(A1188,'[1]Tissue Data'!$A:$A,'[1]Tissue Data'!M:M)</f>
        <v>3.25</v>
      </c>
      <c r="K1188" t="s">
        <v>48</v>
      </c>
      <c r="L1188" t="str">
        <f>_xlfn.XLOOKUP(K1188,[2]analyte_order!$B:$B,[2]analyte_order!$C:$C)</f>
        <v>914637-49-3</v>
      </c>
      <c r="M1188">
        <f>_xlfn.XLOOKUP(L1188,[2]analyte_order!$C:$C,[2]analyte_order!$E:$E)</f>
        <v>39</v>
      </c>
      <c r="N1188">
        <v>0.17559196504901756</v>
      </c>
    </row>
    <row r="1189" spans="1:14">
      <c r="A1189" t="s">
        <v>159</v>
      </c>
      <c r="B1189" t="str">
        <f>_xlfn.XLOOKUP(A1189,'[1]Tissue Data'!$A:$A,'[1]Tissue Data'!$C:$C)</f>
        <v>Down</v>
      </c>
      <c r="C1189" s="2">
        <f>_xlfn.XLOOKUP(A1189,'[1]Tissue Data'!$A:$A,'[1]Tissue Data'!$D:$D)</f>
        <v>44314</v>
      </c>
      <c r="D1189" s="2" t="s">
        <v>122</v>
      </c>
      <c r="E1189" t="str">
        <f>_xlfn.XLOOKUP(A1189,'[1]Tissue Data'!$A:$A,'[1]Tissue Data'!$H:$H)</f>
        <v>Etheostoma</v>
      </c>
      <c r="F1189" t="str">
        <f>_xlfn.XLOOKUP(A1189,'[1]Tissue Data'!$A:$A,'[1]Tissue Data'!$I:$I)</f>
        <v>olmstedi</v>
      </c>
      <c r="G1189" t="str">
        <f>_xlfn.XLOOKUP(A1189,'[1]Tissue Data'!$A:$A,'[1]Tissue Data'!J:J)</f>
        <v>U</v>
      </c>
      <c r="H1189" t="str">
        <f>_xlfn.XLOOKUP(A1189,'[1]Tissue Data'!$A:$A,'[1]Tissue Data'!K:K)</f>
        <v>Whole Body</v>
      </c>
      <c r="I1189">
        <f>_xlfn.XLOOKUP(A1189,'[1]Tissue Data'!$A:$A,'[1]Tissue Data'!L:L)</f>
        <v>8.5</v>
      </c>
      <c r="J1189">
        <f>_xlfn.XLOOKUP(A1189,'[1]Tissue Data'!$A:$A,'[1]Tissue Data'!M:M)</f>
        <v>3.25</v>
      </c>
      <c r="K1189" t="s">
        <v>49</v>
      </c>
      <c r="L1189" t="str">
        <f>_xlfn.XLOOKUP(K1189,[2]analyte_order!$B:$B,[2]analyte_order!$C:$C)</f>
        <v>812-70-4</v>
      </c>
      <c r="M1189">
        <f>_xlfn.XLOOKUP(L1189,[2]analyte_order!$C:$C,[2]analyte_order!$E:$E)</f>
        <v>40</v>
      </c>
      <c r="N1189">
        <v>40.5</v>
      </c>
    </row>
    <row r="1190" spans="1:14">
      <c r="A1190" t="s">
        <v>159</v>
      </c>
      <c r="B1190" t="str">
        <f>_xlfn.XLOOKUP(A1190,'[1]Tissue Data'!$A:$A,'[1]Tissue Data'!$C:$C)</f>
        <v>Down</v>
      </c>
      <c r="C1190" s="2">
        <f>_xlfn.XLOOKUP(A1190,'[1]Tissue Data'!$A:$A,'[1]Tissue Data'!$D:$D)</f>
        <v>44314</v>
      </c>
      <c r="D1190" s="2" t="s">
        <v>122</v>
      </c>
      <c r="E1190" t="str">
        <f>_xlfn.XLOOKUP(A1190,'[1]Tissue Data'!$A:$A,'[1]Tissue Data'!$H:$H)</f>
        <v>Etheostoma</v>
      </c>
      <c r="F1190" t="str">
        <f>_xlfn.XLOOKUP(A1190,'[1]Tissue Data'!$A:$A,'[1]Tissue Data'!$I:$I)</f>
        <v>olmstedi</v>
      </c>
      <c r="G1190" t="str">
        <f>_xlfn.XLOOKUP(A1190,'[1]Tissue Data'!$A:$A,'[1]Tissue Data'!J:J)</f>
        <v>U</v>
      </c>
      <c r="H1190" t="str">
        <f>_xlfn.XLOOKUP(A1190,'[1]Tissue Data'!$A:$A,'[1]Tissue Data'!K:K)</f>
        <v>Whole Body</v>
      </c>
      <c r="I1190">
        <f>_xlfn.XLOOKUP(A1190,'[1]Tissue Data'!$A:$A,'[1]Tissue Data'!L:L)</f>
        <v>8.5</v>
      </c>
      <c r="J1190">
        <f>_xlfn.XLOOKUP(A1190,'[1]Tissue Data'!$A:$A,'[1]Tissue Data'!M:M)</f>
        <v>3.25</v>
      </c>
      <c r="K1190" t="s">
        <v>50</v>
      </c>
      <c r="L1190" t="str">
        <f>_xlfn.XLOOKUP(K1190,[2]analyte_order!$B:$B,[2]analyte_order!$C:$C)</f>
        <v>53826-12-3</v>
      </c>
      <c r="M1190">
        <f>_xlfn.XLOOKUP(L1190,[2]analyte_order!$C:$C,[2]analyte_order!$E:$E)</f>
        <v>41</v>
      </c>
      <c r="N1190">
        <v>4.28</v>
      </c>
    </row>
    <row r="1191" spans="1:14">
      <c r="A1191" t="s">
        <v>159</v>
      </c>
      <c r="B1191" t="str">
        <f>_xlfn.XLOOKUP(A1191,'[1]Tissue Data'!$A:$A,'[1]Tissue Data'!$C:$C)</f>
        <v>Down</v>
      </c>
      <c r="C1191" s="2">
        <f>_xlfn.XLOOKUP(A1191,'[1]Tissue Data'!$A:$A,'[1]Tissue Data'!$D:$D)</f>
        <v>44314</v>
      </c>
      <c r="D1191" s="2" t="s">
        <v>122</v>
      </c>
      <c r="E1191" t="str">
        <f>_xlfn.XLOOKUP(A1191,'[1]Tissue Data'!$A:$A,'[1]Tissue Data'!$H:$H)</f>
        <v>Etheostoma</v>
      </c>
      <c r="F1191" t="str">
        <f>_xlfn.XLOOKUP(A1191,'[1]Tissue Data'!$A:$A,'[1]Tissue Data'!$I:$I)</f>
        <v>olmstedi</v>
      </c>
      <c r="G1191" t="str">
        <f>_xlfn.XLOOKUP(A1191,'[1]Tissue Data'!$A:$A,'[1]Tissue Data'!J:J)</f>
        <v>U</v>
      </c>
      <c r="H1191" t="str">
        <f>_xlfn.XLOOKUP(A1191,'[1]Tissue Data'!$A:$A,'[1]Tissue Data'!K:K)</f>
        <v>Whole Body</v>
      </c>
      <c r="I1191">
        <f>_xlfn.XLOOKUP(A1191,'[1]Tissue Data'!$A:$A,'[1]Tissue Data'!L:L)</f>
        <v>8.5</v>
      </c>
      <c r="J1191">
        <f>_xlfn.XLOOKUP(A1191,'[1]Tissue Data'!$A:$A,'[1]Tissue Data'!M:M)</f>
        <v>3.25</v>
      </c>
      <c r="K1191" t="s">
        <v>51</v>
      </c>
      <c r="L1191" t="str">
        <f>_xlfn.XLOOKUP(K1191,[2]analyte_order!$B:$B,[2]analyte_order!$C:$C)</f>
        <v>27854-31-5</v>
      </c>
      <c r="M1191">
        <f>_xlfn.XLOOKUP(L1191,[2]analyte_order!$C:$C,[2]analyte_order!$E:$E)</f>
        <v>42</v>
      </c>
      <c r="N1191">
        <v>2.61</v>
      </c>
    </row>
    <row r="1192" spans="1:14">
      <c r="A1192" t="s">
        <v>159</v>
      </c>
      <c r="B1192" t="str">
        <f>_xlfn.XLOOKUP(A1192,'[1]Tissue Data'!$A:$A,'[1]Tissue Data'!$C:$C)</f>
        <v>Down</v>
      </c>
      <c r="C1192" s="2">
        <f>_xlfn.XLOOKUP(A1192,'[1]Tissue Data'!$A:$A,'[1]Tissue Data'!$D:$D)</f>
        <v>44314</v>
      </c>
      <c r="D1192" s="2" t="s">
        <v>122</v>
      </c>
      <c r="E1192" t="str">
        <f>_xlfn.XLOOKUP(A1192,'[1]Tissue Data'!$A:$A,'[1]Tissue Data'!$H:$H)</f>
        <v>Etheostoma</v>
      </c>
      <c r="F1192" t="str">
        <f>_xlfn.XLOOKUP(A1192,'[1]Tissue Data'!$A:$A,'[1]Tissue Data'!$I:$I)</f>
        <v>olmstedi</v>
      </c>
      <c r="G1192" t="str">
        <f>_xlfn.XLOOKUP(A1192,'[1]Tissue Data'!$A:$A,'[1]Tissue Data'!J:J)</f>
        <v>U</v>
      </c>
      <c r="H1192" t="str">
        <f>_xlfn.XLOOKUP(A1192,'[1]Tissue Data'!$A:$A,'[1]Tissue Data'!K:K)</f>
        <v>Whole Body</v>
      </c>
      <c r="I1192">
        <f>_xlfn.XLOOKUP(A1192,'[1]Tissue Data'!$A:$A,'[1]Tissue Data'!L:L)</f>
        <v>8.5</v>
      </c>
      <c r="J1192">
        <f>_xlfn.XLOOKUP(A1192,'[1]Tissue Data'!$A:$A,'[1]Tissue Data'!M:M)</f>
        <v>3.25</v>
      </c>
      <c r="K1192" t="s">
        <v>52</v>
      </c>
      <c r="L1192" t="str">
        <f>_xlfn.XLOOKUP(K1192,[2]analyte_order!$B:$B,[2]analyte_order!$C:$C)</f>
        <v>53826-13-4</v>
      </c>
      <c r="M1192">
        <f>_xlfn.XLOOKUP(L1192,[2]analyte_order!$C:$C,[2]analyte_order!$E:$E)</f>
        <v>43</v>
      </c>
      <c r="N1192">
        <v>1.41</v>
      </c>
    </row>
    <row r="1193" spans="1:14">
      <c r="A1193" t="s">
        <v>159</v>
      </c>
      <c r="B1193" t="str">
        <f>_xlfn.XLOOKUP(A1193,'[1]Tissue Data'!$A:$A,'[1]Tissue Data'!$C:$C)</f>
        <v>Down</v>
      </c>
      <c r="C1193" s="2">
        <f>_xlfn.XLOOKUP(A1193,'[1]Tissue Data'!$A:$A,'[1]Tissue Data'!$D:$D)</f>
        <v>44314</v>
      </c>
      <c r="D1193" s="2" t="s">
        <v>122</v>
      </c>
      <c r="E1193" t="str">
        <f>_xlfn.XLOOKUP(A1193,'[1]Tissue Data'!$A:$A,'[1]Tissue Data'!$H:$H)</f>
        <v>Etheostoma</v>
      </c>
      <c r="F1193" t="str">
        <f>_xlfn.XLOOKUP(A1193,'[1]Tissue Data'!$A:$A,'[1]Tissue Data'!$I:$I)</f>
        <v>olmstedi</v>
      </c>
      <c r="G1193" t="str">
        <f>_xlfn.XLOOKUP(A1193,'[1]Tissue Data'!$A:$A,'[1]Tissue Data'!J:J)</f>
        <v>U</v>
      </c>
      <c r="H1193" t="str">
        <f>_xlfn.XLOOKUP(A1193,'[1]Tissue Data'!$A:$A,'[1]Tissue Data'!K:K)</f>
        <v>Whole Body</v>
      </c>
      <c r="I1193">
        <f>_xlfn.XLOOKUP(A1193,'[1]Tissue Data'!$A:$A,'[1]Tissue Data'!L:L)</f>
        <v>8.5</v>
      </c>
      <c r="J1193">
        <f>_xlfn.XLOOKUP(A1193,'[1]Tissue Data'!$A:$A,'[1]Tissue Data'!M:M)</f>
        <v>3.25</v>
      </c>
      <c r="K1193" t="s">
        <v>53</v>
      </c>
      <c r="L1193" t="str">
        <f>_xlfn.XLOOKUP(K1193,[2]analyte_order!$B:$B,[2]analyte_order!$C:$C)</f>
        <v>161094-75-3</v>
      </c>
      <c r="M1193">
        <f>_xlfn.XLOOKUP(L1193,[2]analyte_order!$C:$C,[2]analyte_order!$E:$E)</f>
        <v>44</v>
      </c>
      <c r="N1193">
        <v>5.7062596761884452E-2</v>
      </c>
    </row>
    <row r="1194" spans="1:14">
      <c r="A1194" t="s">
        <v>159</v>
      </c>
      <c r="B1194" t="str">
        <f>_xlfn.XLOOKUP(A1194,'[1]Tissue Data'!$A:$A,'[1]Tissue Data'!$C:$C)</f>
        <v>Down</v>
      </c>
      <c r="C1194" s="2">
        <f>_xlfn.XLOOKUP(A1194,'[1]Tissue Data'!$A:$A,'[1]Tissue Data'!$D:$D)</f>
        <v>44314</v>
      </c>
      <c r="D1194" s="2" t="s">
        <v>122</v>
      </c>
      <c r="E1194" t="str">
        <f>_xlfn.XLOOKUP(A1194,'[1]Tissue Data'!$A:$A,'[1]Tissue Data'!$H:$H)</f>
        <v>Etheostoma</v>
      </c>
      <c r="F1194" t="str">
        <f>_xlfn.XLOOKUP(A1194,'[1]Tissue Data'!$A:$A,'[1]Tissue Data'!$I:$I)</f>
        <v>olmstedi</v>
      </c>
      <c r="G1194" t="str">
        <f>_xlfn.XLOOKUP(A1194,'[1]Tissue Data'!$A:$A,'[1]Tissue Data'!J:J)</f>
        <v>U</v>
      </c>
      <c r="H1194" t="str">
        <f>_xlfn.XLOOKUP(A1194,'[1]Tissue Data'!$A:$A,'[1]Tissue Data'!K:K)</f>
        <v>Whole Body</v>
      </c>
      <c r="I1194">
        <f>_xlfn.XLOOKUP(A1194,'[1]Tissue Data'!$A:$A,'[1]Tissue Data'!L:L)</f>
        <v>8.5</v>
      </c>
      <c r="J1194">
        <f>_xlfn.XLOOKUP(A1194,'[1]Tissue Data'!$A:$A,'[1]Tissue Data'!M:M)</f>
        <v>3.25</v>
      </c>
      <c r="K1194" t="s">
        <v>54</v>
      </c>
      <c r="L1194" t="str">
        <f>_xlfn.XLOOKUP(K1194,[2]analyte_order!$B:$B,[2]analyte_order!$C:$C)</f>
        <v>70887-84-2</v>
      </c>
      <c r="M1194">
        <f>_xlfn.XLOOKUP(L1194,[2]analyte_order!$C:$C,[2]analyte_order!$E:$E)</f>
        <v>45</v>
      </c>
      <c r="N1194">
        <v>4.3916629209816663E-2</v>
      </c>
    </row>
    <row r="1195" spans="1:14">
      <c r="A1195" t="s">
        <v>159</v>
      </c>
      <c r="B1195" t="str">
        <f>_xlfn.XLOOKUP(A1195,'[1]Tissue Data'!$A:$A,'[1]Tissue Data'!$C:$C)</f>
        <v>Down</v>
      </c>
      <c r="C1195" s="2">
        <f>_xlfn.XLOOKUP(A1195,'[1]Tissue Data'!$A:$A,'[1]Tissue Data'!$D:$D)</f>
        <v>44314</v>
      </c>
      <c r="D1195" s="2" t="s">
        <v>122</v>
      </c>
      <c r="E1195" t="str">
        <f>_xlfn.XLOOKUP(A1195,'[1]Tissue Data'!$A:$A,'[1]Tissue Data'!$H:$H)</f>
        <v>Etheostoma</v>
      </c>
      <c r="F1195" t="str">
        <f>_xlfn.XLOOKUP(A1195,'[1]Tissue Data'!$A:$A,'[1]Tissue Data'!$I:$I)</f>
        <v>olmstedi</v>
      </c>
      <c r="G1195" t="str">
        <f>_xlfn.XLOOKUP(A1195,'[1]Tissue Data'!$A:$A,'[1]Tissue Data'!J:J)</f>
        <v>U</v>
      </c>
      <c r="H1195" t="str">
        <f>_xlfn.XLOOKUP(A1195,'[1]Tissue Data'!$A:$A,'[1]Tissue Data'!K:K)</f>
        <v>Whole Body</v>
      </c>
      <c r="I1195">
        <f>_xlfn.XLOOKUP(A1195,'[1]Tissue Data'!$A:$A,'[1]Tissue Data'!L:L)</f>
        <v>8.5</v>
      </c>
      <c r="J1195">
        <f>_xlfn.XLOOKUP(A1195,'[1]Tissue Data'!$A:$A,'[1]Tissue Data'!M:M)</f>
        <v>3.25</v>
      </c>
      <c r="K1195" t="s">
        <v>55</v>
      </c>
      <c r="L1195" t="str">
        <f>_xlfn.XLOOKUP(K1195,[2]analyte_order!$B:$B,[2]analyte_order!$C:$C)</f>
        <v>919005-14-4</v>
      </c>
      <c r="M1195">
        <f>_xlfn.XLOOKUP(L1195,[2]analyte_order!$C:$C,[2]analyte_order!$E:$E)</f>
        <v>35</v>
      </c>
      <c r="N1195">
        <v>7.2673010212980366E-2</v>
      </c>
    </row>
    <row r="1196" spans="1:14">
      <c r="A1196" t="s">
        <v>159</v>
      </c>
      <c r="B1196" t="str">
        <f>_xlfn.XLOOKUP(A1196,'[1]Tissue Data'!$A:$A,'[1]Tissue Data'!$C:$C)</f>
        <v>Down</v>
      </c>
      <c r="C1196" s="2">
        <f>_xlfn.XLOOKUP(A1196,'[1]Tissue Data'!$A:$A,'[1]Tissue Data'!$D:$D)</f>
        <v>44314</v>
      </c>
      <c r="D1196" s="2" t="s">
        <v>122</v>
      </c>
      <c r="E1196" t="str">
        <f>_xlfn.XLOOKUP(A1196,'[1]Tissue Data'!$A:$A,'[1]Tissue Data'!$H:$H)</f>
        <v>Etheostoma</v>
      </c>
      <c r="F1196" t="str">
        <f>_xlfn.XLOOKUP(A1196,'[1]Tissue Data'!$A:$A,'[1]Tissue Data'!$I:$I)</f>
        <v>olmstedi</v>
      </c>
      <c r="G1196" t="str">
        <f>_xlfn.XLOOKUP(A1196,'[1]Tissue Data'!$A:$A,'[1]Tissue Data'!J:J)</f>
        <v>U</v>
      </c>
      <c r="H1196" t="str">
        <f>_xlfn.XLOOKUP(A1196,'[1]Tissue Data'!$A:$A,'[1]Tissue Data'!K:K)</f>
        <v>Whole Body</v>
      </c>
      <c r="I1196">
        <f>_xlfn.XLOOKUP(A1196,'[1]Tissue Data'!$A:$A,'[1]Tissue Data'!L:L)</f>
        <v>8.5</v>
      </c>
      <c r="J1196">
        <f>_xlfn.XLOOKUP(A1196,'[1]Tissue Data'!$A:$A,'[1]Tissue Data'!M:M)</f>
        <v>3.25</v>
      </c>
      <c r="K1196" t="s">
        <v>56</v>
      </c>
      <c r="L1196" t="str">
        <f>_xlfn.XLOOKUP(K1196,[2]analyte_order!$B:$B,[2]analyte_order!$C:$C)</f>
        <v>756426-58-1</v>
      </c>
      <c r="M1196">
        <f>_xlfn.XLOOKUP(L1196,[2]analyte_order!$C:$C,[2]analyte_order!$E:$E)</f>
        <v>36</v>
      </c>
      <c r="N1196">
        <v>5.0442818881368576E-2</v>
      </c>
    </row>
    <row r="1197" spans="1:14">
      <c r="A1197" t="s">
        <v>159</v>
      </c>
      <c r="B1197" t="str">
        <f>_xlfn.XLOOKUP(A1197,'[1]Tissue Data'!$A:$A,'[1]Tissue Data'!$C:$C)</f>
        <v>Down</v>
      </c>
      <c r="C1197" s="2">
        <f>_xlfn.XLOOKUP(A1197,'[1]Tissue Data'!$A:$A,'[1]Tissue Data'!$D:$D)</f>
        <v>44314</v>
      </c>
      <c r="D1197" s="2" t="s">
        <v>122</v>
      </c>
      <c r="E1197" t="str">
        <f>_xlfn.XLOOKUP(A1197,'[1]Tissue Data'!$A:$A,'[1]Tissue Data'!$H:$H)</f>
        <v>Etheostoma</v>
      </c>
      <c r="F1197" t="str">
        <f>_xlfn.XLOOKUP(A1197,'[1]Tissue Data'!$A:$A,'[1]Tissue Data'!$I:$I)</f>
        <v>olmstedi</v>
      </c>
      <c r="G1197" t="str">
        <f>_xlfn.XLOOKUP(A1197,'[1]Tissue Data'!$A:$A,'[1]Tissue Data'!J:J)</f>
        <v>U</v>
      </c>
      <c r="H1197" t="str">
        <f>_xlfn.XLOOKUP(A1197,'[1]Tissue Data'!$A:$A,'[1]Tissue Data'!K:K)</f>
        <v>Whole Body</v>
      </c>
      <c r="I1197">
        <f>_xlfn.XLOOKUP(A1197,'[1]Tissue Data'!$A:$A,'[1]Tissue Data'!L:L)</f>
        <v>8.5</v>
      </c>
      <c r="J1197">
        <f>_xlfn.XLOOKUP(A1197,'[1]Tissue Data'!$A:$A,'[1]Tissue Data'!M:M)</f>
        <v>3.25</v>
      </c>
      <c r="K1197" t="s">
        <v>57</v>
      </c>
      <c r="L1197" t="str">
        <f>_xlfn.XLOOKUP(K1197,[2]analyte_order!$B:$B,[2]analyte_order!$C:$C)</f>
        <v>763051-92-9</v>
      </c>
      <c r="M1197">
        <f>_xlfn.XLOOKUP(L1197,[2]analyte_order!$C:$C,[2]analyte_order!$E:$E)</f>
        <v>37</v>
      </c>
      <c r="N1197">
        <v>5.7265644949371142E-2</v>
      </c>
    </row>
    <row r="1198" spans="1:14">
      <c r="A1198" t="s">
        <v>159</v>
      </c>
      <c r="B1198" t="str">
        <f>_xlfn.XLOOKUP(A1198,'[1]Tissue Data'!$A:$A,'[1]Tissue Data'!$C:$C)</f>
        <v>Down</v>
      </c>
      <c r="C1198" s="2">
        <f>_xlfn.XLOOKUP(A1198,'[1]Tissue Data'!$A:$A,'[1]Tissue Data'!$D:$D)</f>
        <v>44314</v>
      </c>
      <c r="D1198" s="2" t="s">
        <v>122</v>
      </c>
      <c r="E1198" t="str">
        <f>_xlfn.XLOOKUP(A1198,'[1]Tissue Data'!$A:$A,'[1]Tissue Data'!$H:$H)</f>
        <v>Etheostoma</v>
      </c>
      <c r="F1198" t="str">
        <f>_xlfn.XLOOKUP(A1198,'[1]Tissue Data'!$A:$A,'[1]Tissue Data'!$I:$I)</f>
        <v>olmstedi</v>
      </c>
      <c r="G1198" t="str">
        <f>_xlfn.XLOOKUP(A1198,'[1]Tissue Data'!$A:$A,'[1]Tissue Data'!J:J)</f>
        <v>U</v>
      </c>
      <c r="H1198" t="str">
        <f>_xlfn.XLOOKUP(A1198,'[1]Tissue Data'!$A:$A,'[1]Tissue Data'!K:K)</f>
        <v>Whole Body</v>
      </c>
      <c r="I1198">
        <f>_xlfn.XLOOKUP(A1198,'[1]Tissue Data'!$A:$A,'[1]Tissue Data'!L:L)</f>
        <v>8.5</v>
      </c>
      <c r="J1198">
        <f>_xlfn.XLOOKUP(A1198,'[1]Tissue Data'!$A:$A,'[1]Tissue Data'!M:M)</f>
        <v>3.25</v>
      </c>
      <c r="K1198" t="s">
        <v>58</v>
      </c>
      <c r="L1198" t="str">
        <f>_xlfn.XLOOKUP(K1198,[2]analyte_order!$B:$B,[2]analyte_order!$C:$C)</f>
        <v>13252-13-6</v>
      </c>
      <c r="M1198">
        <f>_xlfn.XLOOKUP(L1198,[2]analyte_order!$C:$C,[2]analyte_order!$E:$E)</f>
        <v>34</v>
      </c>
      <c r="N1198">
        <v>0.3339001314563082</v>
      </c>
    </row>
    <row r="1199" spans="1:14">
      <c r="A1199" t="s">
        <v>159</v>
      </c>
      <c r="B1199" t="str">
        <f>_xlfn.XLOOKUP(A1199,'[1]Tissue Data'!$A:$A,'[1]Tissue Data'!$C:$C)</f>
        <v>Down</v>
      </c>
      <c r="C1199" s="2">
        <f>_xlfn.XLOOKUP(A1199,'[1]Tissue Data'!$A:$A,'[1]Tissue Data'!$D:$D)</f>
        <v>44314</v>
      </c>
      <c r="D1199" s="2" t="s">
        <v>122</v>
      </c>
      <c r="E1199" t="str">
        <f>_xlfn.XLOOKUP(A1199,'[1]Tissue Data'!$A:$A,'[1]Tissue Data'!$H:$H)</f>
        <v>Etheostoma</v>
      </c>
      <c r="F1199" t="str">
        <f>_xlfn.XLOOKUP(A1199,'[1]Tissue Data'!$A:$A,'[1]Tissue Data'!$I:$I)</f>
        <v>olmstedi</v>
      </c>
      <c r="G1199" t="str">
        <f>_xlfn.XLOOKUP(A1199,'[1]Tissue Data'!$A:$A,'[1]Tissue Data'!J:J)</f>
        <v>U</v>
      </c>
      <c r="H1199" t="str">
        <f>_xlfn.XLOOKUP(A1199,'[1]Tissue Data'!$A:$A,'[1]Tissue Data'!K:K)</f>
        <v>Whole Body</v>
      </c>
      <c r="I1199">
        <f>_xlfn.XLOOKUP(A1199,'[1]Tissue Data'!$A:$A,'[1]Tissue Data'!L:L)</f>
        <v>8.5</v>
      </c>
      <c r="J1199">
        <f>_xlfn.XLOOKUP(A1199,'[1]Tissue Data'!$A:$A,'[1]Tissue Data'!M:M)</f>
        <v>3.25</v>
      </c>
      <c r="K1199" t="s">
        <v>59</v>
      </c>
      <c r="L1199" t="str">
        <f>_xlfn.XLOOKUP(K1199,[2]analyte_order!$B:$B,[2]analyte_order!$C:$C)</f>
        <v>57677-95-9</v>
      </c>
      <c r="M1199">
        <f>_xlfn.XLOOKUP(L1199,[2]analyte_order!$C:$C,[2]analyte_order!$E:$E)</f>
        <v>46</v>
      </c>
      <c r="N1199">
        <v>7.7362522199424424E-2</v>
      </c>
    </row>
    <row r="1200" spans="1:14">
      <c r="A1200" t="s">
        <v>159</v>
      </c>
      <c r="B1200" t="str">
        <f>_xlfn.XLOOKUP(A1200,'[1]Tissue Data'!$A:$A,'[1]Tissue Data'!$C:$C)</f>
        <v>Down</v>
      </c>
      <c r="C1200" s="2">
        <f>_xlfn.XLOOKUP(A1200,'[1]Tissue Data'!$A:$A,'[1]Tissue Data'!$D:$D)</f>
        <v>44314</v>
      </c>
      <c r="D1200" s="2" t="s">
        <v>122</v>
      </c>
      <c r="E1200" t="str">
        <f>_xlfn.XLOOKUP(A1200,'[1]Tissue Data'!$A:$A,'[1]Tissue Data'!$H:$H)</f>
        <v>Etheostoma</v>
      </c>
      <c r="F1200" t="str">
        <f>_xlfn.XLOOKUP(A1200,'[1]Tissue Data'!$A:$A,'[1]Tissue Data'!$I:$I)</f>
        <v>olmstedi</v>
      </c>
      <c r="G1200" t="str">
        <f>_xlfn.XLOOKUP(A1200,'[1]Tissue Data'!$A:$A,'[1]Tissue Data'!J:J)</f>
        <v>U</v>
      </c>
      <c r="H1200" t="str">
        <f>_xlfn.XLOOKUP(A1200,'[1]Tissue Data'!$A:$A,'[1]Tissue Data'!K:K)</f>
        <v>Whole Body</v>
      </c>
      <c r="I1200">
        <f>_xlfn.XLOOKUP(A1200,'[1]Tissue Data'!$A:$A,'[1]Tissue Data'!L:L)</f>
        <v>8.5</v>
      </c>
      <c r="J1200">
        <f>_xlfn.XLOOKUP(A1200,'[1]Tissue Data'!$A:$A,'[1]Tissue Data'!M:M)</f>
        <v>3.25</v>
      </c>
      <c r="K1200" t="s">
        <v>60</v>
      </c>
      <c r="L1200" t="str">
        <f>_xlfn.XLOOKUP(K1200,[2]analyte_order!$B:$B,[2]analyte_order!$C:$C)</f>
        <v>678-41-1</v>
      </c>
      <c r="M1200">
        <f>_xlfn.XLOOKUP(L1200,[2]analyte_order!$C:$C,[2]analyte_order!$E:$E)</f>
        <v>56</v>
      </c>
      <c r="N1200">
        <v>9.6350894908868043E-2</v>
      </c>
    </row>
    <row r="1201" spans="1:14">
      <c r="A1201" t="s">
        <v>159</v>
      </c>
      <c r="B1201" t="str">
        <f>_xlfn.XLOOKUP(A1201,'[1]Tissue Data'!$A:$A,'[1]Tissue Data'!$C:$C)</f>
        <v>Down</v>
      </c>
      <c r="C1201" s="2">
        <f>_xlfn.XLOOKUP(A1201,'[1]Tissue Data'!$A:$A,'[1]Tissue Data'!$D:$D)</f>
        <v>44314</v>
      </c>
      <c r="D1201" s="2" t="s">
        <v>122</v>
      </c>
      <c r="E1201" t="str">
        <f>_xlfn.XLOOKUP(A1201,'[1]Tissue Data'!$A:$A,'[1]Tissue Data'!$H:$H)</f>
        <v>Etheostoma</v>
      </c>
      <c r="F1201" t="str">
        <f>_xlfn.XLOOKUP(A1201,'[1]Tissue Data'!$A:$A,'[1]Tissue Data'!$I:$I)</f>
        <v>olmstedi</v>
      </c>
      <c r="G1201" t="str">
        <f>_xlfn.XLOOKUP(A1201,'[1]Tissue Data'!$A:$A,'[1]Tissue Data'!J:J)</f>
        <v>U</v>
      </c>
      <c r="H1201" t="str">
        <f>_xlfn.XLOOKUP(A1201,'[1]Tissue Data'!$A:$A,'[1]Tissue Data'!K:K)</f>
        <v>Whole Body</v>
      </c>
      <c r="I1201">
        <f>_xlfn.XLOOKUP(A1201,'[1]Tissue Data'!$A:$A,'[1]Tissue Data'!L:L)</f>
        <v>8.5</v>
      </c>
      <c r="J1201">
        <f>_xlfn.XLOOKUP(A1201,'[1]Tissue Data'!$A:$A,'[1]Tissue Data'!M:M)</f>
        <v>3.25</v>
      </c>
      <c r="K1201" t="s">
        <v>61</v>
      </c>
      <c r="L1201" t="str">
        <f>_xlfn.XLOOKUP(K1201,[2]analyte_order!$B:$B,[2]analyte_order!$C:$C)</f>
        <v>2965-52-8</v>
      </c>
      <c r="M1201">
        <f>_xlfn.XLOOKUP(L1201,[2]analyte_order!$C:$C,[2]analyte_order!$E:$E)</f>
        <v>57</v>
      </c>
      <c r="N1201">
        <v>0.12790449797484543</v>
      </c>
    </row>
    <row r="1202" spans="1:14">
      <c r="A1202" t="s">
        <v>160</v>
      </c>
      <c r="B1202" t="str">
        <f>_xlfn.XLOOKUP(A1202,'[1]Tissue Data'!$A:$A,'[1]Tissue Data'!$C:$C)</f>
        <v>Down</v>
      </c>
      <c r="C1202" s="2">
        <f>_xlfn.XLOOKUP(A1202,'[1]Tissue Data'!$A:$A,'[1]Tissue Data'!$D:$D)</f>
        <v>44314</v>
      </c>
      <c r="D1202" s="2" t="s">
        <v>122</v>
      </c>
      <c r="E1202" t="str">
        <f>_xlfn.XLOOKUP(A1202,'[1]Tissue Data'!$A:$A,'[1]Tissue Data'!$H:$H)</f>
        <v>Etheostoma</v>
      </c>
      <c r="F1202" t="str">
        <f>_xlfn.XLOOKUP(A1202,'[1]Tissue Data'!$A:$A,'[1]Tissue Data'!$I:$I)</f>
        <v>olmstedi</v>
      </c>
      <c r="G1202" t="str">
        <f>_xlfn.XLOOKUP(A1202,'[1]Tissue Data'!$A:$A,'[1]Tissue Data'!J:J)</f>
        <v>U</v>
      </c>
      <c r="H1202" t="str">
        <f>_xlfn.XLOOKUP(A1202,'[1]Tissue Data'!$A:$A,'[1]Tissue Data'!K:K)</f>
        <v>Whole Body</v>
      </c>
      <c r="I1202">
        <f>_xlfn.XLOOKUP(A1202,'[1]Tissue Data'!$A:$A,'[1]Tissue Data'!L:L)</f>
        <v>6</v>
      </c>
      <c r="J1202">
        <f>_xlfn.XLOOKUP(A1202,'[1]Tissue Data'!$A:$A,'[1]Tissue Data'!M:M)</f>
        <v>2.35</v>
      </c>
      <c r="K1202" t="s">
        <v>12</v>
      </c>
      <c r="L1202" t="str">
        <f>_xlfn.XLOOKUP(K1202,[2]analyte_order!$B:$B,[2]analyte_order!$C:$C)</f>
        <v>375-22-4</v>
      </c>
      <c r="M1202">
        <f>_xlfn.XLOOKUP(L1202,[2]analyte_order!$C:$C,[2]analyte_order!$E:$E)</f>
        <v>1</v>
      </c>
      <c r="N1202">
        <v>8.8845014807502468E-2</v>
      </c>
    </row>
    <row r="1203" spans="1:14">
      <c r="A1203" t="s">
        <v>160</v>
      </c>
      <c r="B1203" t="str">
        <f>_xlfn.XLOOKUP(A1203,'[1]Tissue Data'!$A:$A,'[1]Tissue Data'!$C:$C)</f>
        <v>Down</v>
      </c>
      <c r="C1203" s="2">
        <f>_xlfn.XLOOKUP(A1203,'[1]Tissue Data'!$A:$A,'[1]Tissue Data'!$D:$D)</f>
        <v>44314</v>
      </c>
      <c r="D1203" s="2" t="s">
        <v>122</v>
      </c>
      <c r="E1203" t="str">
        <f>_xlfn.XLOOKUP(A1203,'[1]Tissue Data'!$A:$A,'[1]Tissue Data'!$H:$H)</f>
        <v>Etheostoma</v>
      </c>
      <c r="F1203" t="str">
        <f>_xlfn.XLOOKUP(A1203,'[1]Tissue Data'!$A:$A,'[1]Tissue Data'!$I:$I)</f>
        <v>olmstedi</v>
      </c>
      <c r="G1203" t="str">
        <f>_xlfn.XLOOKUP(A1203,'[1]Tissue Data'!$A:$A,'[1]Tissue Data'!J:J)</f>
        <v>U</v>
      </c>
      <c r="H1203" t="str">
        <f>_xlfn.XLOOKUP(A1203,'[1]Tissue Data'!$A:$A,'[1]Tissue Data'!K:K)</f>
        <v>Whole Body</v>
      </c>
      <c r="I1203">
        <f>_xlfn.XLOOKUP(A1203,'[1]Tissue Data'!$A:$A,'[1]Tissue Data'!L:L)</f>
        <v>6</v>
      </c>
      <c r="J1203">
        <f>_xlfn.XLOOKUP(A1203,'[1]Tissue Data'!$A:$A,'[1]Tissue Data'!M:M)</f>
        <v>2.35</v>
      </c>
      <c r="K1203" t="s">
        <v>13</v>
      </c>
      <c r="L1203" t="str">
        <f>_xlfn.XLOOKUP(K1203,[2]analyte_order!$B:$B,[2]analyte_order!$C:$C)</f>
        <v>2706-90-3</v>
      </c>
      <c r="M1203">
        <f>_xlfn.XLOOKUP(L1203,[2]analyte_order!$C:$C,[2]analyte_order!$E:$E)</f>
        <v>2</v>
      </c>
      <c r="N1203">
        <v>0.1569316791984699</v>
      </c>
    </row>
    <row r="1204" spans="1:14">
      <c r="A1204" t="s">
        <v>160</v>
      </c>
      <c r="B1204" t="str">
        <f>_xlfn.XLOOKUP(A1204,'[1]Tissue Data'!$A:$A,'[1]Tissue Data'!$C:$C)</f>
        <v>Down</v>
      </c>
      <c r="C1204" s="2">
        <f>_xlfn.XLOOKUP(A1204,'[1]Tissue Data'!$A:$A,'[1]Tissue Data'!$D:$D)</f>
        <v>44314</v>
      </c>
      <c r="D1204" s="2" t="s">
        <v>122</v>
      </c>
      <c r="E1204" t="str">
        <f>_xlfn.XLOOKUP(A1204,'[1]Tissue Data'!$A:$A,'[1]Tissue Data'!$H:$H)</f>
        <v>Etheostoma</v>
      </c>
      <c r="F1204" t="str">
        <f>_xlfn.XLOOKUP(A1204,'[1]Tissue Data'!$A:$A,'[1]Tissue Data'!$I:$I)</f>
        <v>olmstedi</v>
      </c>
      <c r="G1204" t="str">
        <f>_xlfn.XLOOKUP(A1204,'[1]Tissue Data'!$A:$A,'[1]Tissue Data'!J:J)</f>
        <v>U</v>
      </c>
      <c r="H1204" t="str">
        <f>_xlfn.XLOOKUP(A1204,'[1]Tissue Data'!$A:$A,'[1]Tissue Data'!K:K)</f>
        <v>Whole Body</v>
      </c>
      <c r="I1204">
        <f>_xlfn.XLOOKUP(A1204,'[1]Tissue Data'!$A:$A,'[1]Tissue Data'!L:L)</f>
        <v>6</v>
      </c>
      <c r="J1204">
        <f>_xlfn.XLOOKUP(A1204,'[1]Tissue Data'!$A:$A,'[1]Tissue Data'!M:M)</f>
        <v>2.35</v>
      </c>
      <c r="K1204" t="s">
        <v>14</v>
      </c>
      <c r="L1204" t="str">
        <f>_xlfn.XLOOKUP(K1204,[2]analyte_order!$B:$B,[2]analyte_order!$C:$C)</f>
        <v>307-24-4</v>
      </c>
      <c r="M1204">
        <f>_xlfn.XLOOKUP(L1204,[2]analyte_order!$C:$C,[2]analyte_order!$E:$E)</f>
        <v>3</v>
      </c>
      <c r="N1204">
        <v>0.753</v>
      </c>
    </row>
    <row r="1205" spans="1:14">
      <c r="A1205" t="s">
        <v>160</v>
      </c>
      <c r="B1205" t="str">
        <f>_xlfn.XLOOKUP(A1205,'[1]Tissue Data'!$A:$A,'[1]Tissue Data'!$C:$C)</f>
        <v>Down</v>
      </c>
      <c r="C1205" s="2">
        <f>_xlfn.XLOOKUP(A1205,'[1]Tissue Data'!$A:$A,'[1]Tissue Data'!$D:$D)</f>
        <v>44314</v>
      </c>
      <c r="D1205" s="2" t="s">
        <v>122</v>
      </c>
      <c r="E1205" t="str">
        <f>_xlfn.XLOOKUP(A1205,'[1]Tissue Data'!$A:$A,'[1]Tissue Data'!$H:$H)</f>
        <v>Etheostoma</v>
      </c>
      <c r="F1205" t="str">
        <f>_xlfn.XLOOKUP(A1205,'[1]Tissue Data'!$A:$A,'[1]Tissue Data'!$I:$I)</f>
        <v>olmstedi</v>
      </c>
      <c r="G1205" t="str">
        <f>_xlfn.XLOOKUP(A1205,'[1]Tissue Data'!$A:$A,'[1]Tissue Data'!J:J)</f>
        <v>U</v>
      </c>
      <c r="H1205" t="str">
        <f>_xlfn.XLOOKUP(A1205,'[1]Tissue Data'!$A:$A,'[1]Tissue Data'!K:K)</f>
        <v>Whole Body</v>
      </c>
      <c r="I1205">
        <f>_xlfn.XLOOKUP(A1205,'[1]Tissue Data'!$A:$A,'[1]Tissue Data'!L:L)</f>
        <v>6</v>
      </c>
      <c r="J1205">
        <f>_xlfn.XLOOKUP(A1205,'[1]Tissue Data'!$A:$A,'[1]Tissue Data'!M:M)</f>
        <v>2.35</v>
      </c>
      <c r="K1205" t="s">
        <v>15</v>
      </c>
      <c r="L1205" t="str">
        <f>_xlfn.XLOOKUP(K1205,[2]analyte_order!$B:$B,[2]analyte_order!$C:$C)</f>
        <v>375-85-9</v>
      </c>
      <c r="M1205">
        <f>_xlfn.XLOOKUP(L1205,[2]analyte_order!$C:$C,[2]analyte_order!$E:$E)</f>
        <v>4</v>
      </c>
      <c r="N1205">
        <v>0.29099999999999998</v>
      </c>
    </row>
    <row r="1206" spans="1:14">
      <c r="A1206" t="s">
        <v>160</v>
      </c>
      <c r="B1206" t="str">
        <f>_xlfn.XLOOKUP(A1206,'[1]Tissue Data'!$A:$A,'[1]Tissue Data'!$C:$C)</f>
        <v>Down</v>
      </c>
      <c r="C1206" s="2">
        <f>_xlfn.XLOOKUP(A1206,'[1]Tissue Data'!$A:$A,'[1]Tissue Data'!$D:$D)</f>
        <v>44314</v>
      </c>
      <c r="D1206" s="2" t="s">
        <v>122</v>
      </c>
      <c r="E1206" t="str">
        <f>_xlfn.XLOOKUP(A1206,'[1]Tissue Data'!$A:$A,'[1]Tissue Data'!$H:$H)</f>
        <v>Etheostoma</v>
      </c>
      <c r="F1206" t="str">
        <f>_xlfn.XLOOKUP(A1206,'[1]Tissue Data'!$A:$A,'[1]Tissue Data'!$I:$I)</f>
        <v>olmstedi</v>
      </c>
      <c r="G1206" t="str">
        <f>_xlfn.XLOOKUP(A1206,'[1]Tissue Data'!$A:$A,'[1]Tissue Data'!J:J)</f>
        <v>U</v>
      </c>
      <c r="H1206" t="str">
        <f>_xlfn.XLOOKUP(A1206,'[1]Tissue Data'!$A:$A,'[1]Tissue Data'!K:K)</f>
        <v>Whole Body</v>
      </c>
      <c r="I1206">
        <f>_xlfn.XLOOKUP(A1206,'[1]Tissue Data'!$A:$A,'[1]Tissue Data'!L:L)</f>
        <v>6</v>
      </c>
      <c r="J1206">
        <f>_xlfn.XLOOKUP(A1206,'[1]Tissue Data'!$A:$A,'[1]Tissue Data'!M:M)</f>
        <v>2.35</v>
      </c>
      <c r="K1206" t="s">
        <v>16</v>
      </c>
      <c r="L1206" t="str">
        <f>_xlfn.XLOOKUP(K1206,[2]analyte_order!$B:$B,[2]analyte_order!$C:$C)</f>
        <v>335-67-1</v>
      </c>
      <c r="M1206">
        <f>_xlfn.XLOOKUP(L1206,[2]analyte_order!$C:$C,[2]analyte_order!$E:$E)</f>
        <v>5</v>
      </c>
      <c r="N1206">
        <v>3.78</v>
      </c>
    </row>
    <row r="1207" spans="1:14">
      <c r="A1207" t="s">
        <v>160</v>
      </c>
      <c r="B1207" t="str">
        <f>_xlfn.XLOOKUP(A1207,'[1]Tissue Data'!$A:$A,'[1]Tissue Data'!$C:$C)</f>
        <v>Down</v>
      </c>
      <c r="C1207" s="2">
        <f>_xlfn.XLOOKUP(A1207,'[1]Tissue Data'!$A:$A,'[1]Tissue Data'!$D:$D)</f>
        <v>44314</v>
      </c>
      <c r="D1207" s="2" t="s">
        <v>122</v>
      </c>
      <c r="E1207" t="str">
        <f>_xlfn.XLOOKUP(A1207,'[1]Tissue Data'!$A:$A,'[1]Tissue Data'!$H:$H)</f>
        <v>Etheostoma</v>
      </c>
      <c r="F1207" t="str">
        <f>_xlfn.XLOOKUP(A1207,'[1]Tissue Data'!$A:$A,'[1]Tissue Data'!$I:$I)</f>
        <v>olmstedi</v>
      </c>
      <c r="G1207" t="str">
        <f>_xlfn.XLOOKUP(A1207,'[1]Tissue Data'!$A:$A,'[1]Tissue Data'!J:J)</f>
        <v>U</v>
      </c>
      <c r="H1207" t="str">
        <f>_xlfn.XLOOKUP(A1207,'[1]Tissue Data'!$A:$A,'[1]Tissue Data'!K:K)</f>
        <v>Whole Body</v>
      </c>
      <c r="I1207">
        <f>_xlfn.XLOOKUP(A1207,'[1]Tissue Data'!$A:$A,'[1]Tissue Data'!L:L)</f>
        <v>6</v>
      </c>
      <c r="J1207">
        <f>_xlfn.XLOOKUP(A1207,'[1]Tissue Data'!$A:$A,'[1]Tissue Data'!M:M)</f>
        <v>2.35</v>
      </c>
      <c r="K1207" t="s">
        <v>17</v>
      </c>
      <c r="L1207" t="str">
        <f>_xlfn.XLOOKUP(K1207,[2]analyte_order!$B:$B,[2]analyte_order!$C:$C)</f>
        <v>375-95-1</v>
      </c>
      <c r="M1207">
        <f>_xlfn.XLOOKUP(L1207,[2]analyte_order!$C:$C,[2]analyte_order!$E:$E)</f>
        <v>6</v>
      </c>
      <c r="N1207">
        <v>2.63</v>
      </c>
    </row>
    <row r="1208" spans="1:14">
      <c r="A1208" t="s">
        <v>160</v>
      </c>
      <c r="B1208" t="str">
        <f>_xlfn.XLOOKUP(A1208,'[1]Tissue Data'!$A:$A,'[1]Tissue Data'!$C:$C)</f>
        <v>Down</v>
      </c>
      <c r="C1208" s="2">
        <f>_xlfn.XLOOKUP(A1208,'[1]Tissue Data'!$A:$A,'[1]Tissue Data'!$D:$D)</f>
        <v>44314</v>
      </c>
      <c r="D1208" s="2" t="s">
        <v>122</v>
      </c>
      <c r="E1208" t="str">
        <f>_xlfn.XLOOKUP(A1208,'[1]Tissue Data'!$A:$A,'[1]Tissue Data'!$H:$H)</f>
        <v>Etheostoma</v>
      </c>
      <c r="F1208" t="str">
        <f>_xlfn.XLOOKUP(A1208,'[1]Tissue Data'!$A:$A,'[1]Tissue Data'!$I:$I)</f>
        <v>olmstedi</v>
      </c>
      <c r="G1208" t="str">
        <f>_xlfn.XLOOKUP(A1208,'[1]Tissue Data'!$A:$A,'[1]Tissue Data'!J:J)</f>
        <v>U</v>
      </c>
      <c r="H1208" t="str">
        <f>_xlfn.XLOOKUP(A1208,'[1]Tissue Data'!$A:$A,'[1]Tissue Data'!K:K)</f>
        <v>Whole Body</v>
      </c>
      <c r="I1208">
        <f>_xlfn.XLOOKUP(A1208,'[1]Tissue Data'!$A:$A,'[1]Tissue Data'!L:L)</f>
        <v>6</v>
      </c>
      <c r="J1208">
        <f>_xlfn.XLOOKUP(A1208,'[1]Tissue Data'!$A:$A,'[1]Tissue Data'!M:M)</f>
        <v>2.35</v>
      </c>
      <c r="K1208" t="s">
        <v>18</v>
      </c>
      <c r="L1208" t="str">
        <f>_xlfn.XLOOKUP(K1208,[2]analyte_order!$B:$B,[2]analyte_order!$C:$C)</f>
        <v>335-76-2</v>
      </c>
      <c r="M1208">
        <f>_xlfn.XLOOKUP(L1208,[2]analyte_order!$C:$C,[2]analyte_order!$E:$E)</f>
        <v>7</v>
      </c>
      <c r="N1208">
        <v>2.94</v>
      </c>
    </row>
    <row r="1209" spans="1:14">
      <c r="A1209" t="s">
        <v>160</v>
      </c>
      <c r="B1209" t="str">
        <f>_xlfn.XLOOKUP(A1209,'[1]Tissue Data'!$A:$A,'[1]Tissue Data'!$C:$C)</f>
        <v>Down</v>
      </c>
      <c r="C1209" s="2">
        <f>_xlfn.XLOOKUP(A1209,'[1]Tissue Data'!$A:$A,'[1]Tissue Data'!$D:$D)</f>
        <v>44314</v>
      </c>
      <c r="D1209" s="2" t="s">
        <v>122</v>
      </c>
      <c r="E1209" t="str">
        <f>_xlfn.XLOOKUP(A1209,'[1]Tissue Data'!$A:$A,'[1]Tissue Data'!$H:$H)</f>
        <v>Etheostoma</v>
      </c>
      <c r="F1209" t="str">
        <f>_xlfn.XLOOKUP(A1209,'[1]Tissue Data'!$A:$A,'[1]Tissue Data'!$I:$I)</f>
        <v>olmstedi</v>
      </c>
      <c r="G1209" t="str">
        <f>_xlfn.XLOOKUP(A1209,'[1]Tissue Data'!$A:$A,'[1]Tissue Data'!J:J)</f>
        <v>U</v>
      </c>
      <c r="H1209" t="str">
        <f>_xlfn.XLOOKUP(A1209,'[1]Tissue Data'!$A:$A,'[1]Tissue Data'!K:K)</f>
        <v>Whole Body</v>
      </c>
      <c r="I1209">
        <f>_xlfn.XLOOKUP(A1209,'[1]Tissue Data'!$A:$A,'[1]Tissue Data'!L:L)</f>
        <v>6</v>
      </c>
      <c r="J1209">
        <f>_xlfn.XLOOKUP(A1209,'[1]Tissue Data'!$A:$A,'[1]Tissue Data'!M:M)</f>
        <v>2.35</v>
      </c>
      <c r="K1209" t="s">
        <v>19</v>
      </c>
      <c r="L1209" t="str">
        <f>_xlfn.XLOOKUP(K1209,[2]analyte_order!$B:$B,[2]analyte_order!$C:$C)</f>
        <v>2058-94-8</v>
      </c>
      <c r="M1209">
        <f>_xlfn.XLOOKUP(L1209,[2]analyte_order!$C:$C,[2]analyte_order!$E:$E)</f>
        <v>8</v>
      </c>
      <c r="N1209">
        <v>2.99</v>
      </c>
    </row>
    <row r="1210" spans="1:14">
      <c r="A1210" t="s">
        <v>160</v>
      </c>
      <c r="B1210" t="str">
        <f>_xlfn.XLOOKUP(A1210,'[1]Tissue Data'!$A:$A,'[1]Tissue Data'!$C:$C)</f>
        <v>Down</v>
      </c>
      <c r="C1210" s="2">
        <f>_xlfn.XLOOKUP(A1210,'[1]Tissue Data'!$A:$A,'[1]Tissue Data'!$D:$D)</f>
        <v>44314</v>
      </c>
      <c r="D1210" s="2" t="s">
        <v>122</v>
      </c>
      <c r="E1210" t="str">
        <f>_xlfn.XLOOKUP(A1210,'[1]Tissue Data'!$A:$A,'[1]Tissue Data'!$H:$H)</f>
        <v>Etheostoma</v>
      </c>
      <c r="F1210" t="str">
        <f>_xlfn.XLOOKUP(A1210,'[1]Tissue Data'!$A:$A,'[1]Tissue Data'!$I:$I)</f>
        <v>olmstedi</v>
      </c>
      <c r="G1210" t="str">
        <f>_xlfn.XLOOKUP(A1210,'[1]Tissue Data'!$A:$A,'[1]Tissue Data'!J:J)</f>
        <v>U</v>
      </c>
      <c r="H1210" t="str">
        <f>_xlfn.XLOOKUP(A1210,'[1]Tissue Data'!$A:$A,'[1]Tissue Data'!K:K)</f>
        <v>Whole Body</v>
      </c>
      <c r="I1210">
        <f>_xlfn.XLOOKUP(A1210,'[1]Tissue Data'!$A:$A,'[1]Tissue Data'!L:L)</f>
        <v>6</v>
      </c>
      <c r="J1210">
        <f>_xlfn.XLOOKUP(A1210,'[1]Tissue Data'!$A:$A,'[1]Tissue Data'!M:M)</f>
        <v>2.35</v>
      </c>
      <c r="K1210" t="s">
        <v>20</v>
      </c>
      <c r="L1210" t="str">
        <f>_xlfn.XLOOKUP(K1210,[2]analyte_order!$B:$B,[2]analyte_order!$C:$C)</f>
        <v>307-55-1</v>
      </c>
      <c r="M1210">
        <f>_xlfn.XLOOKUP(L1210,[2]analyte_order!$C:$C,[2]analyte_order!$E:$E)</f>
        <v>9</v>
      </c>
      <c r="N1210">
        <v>5.6296878929162353E-2</v>
      </c>
    </row>
    <row r="1211" spans="1:14">
      <c r="A1211" t="s">
        <v>160</v>
      </c>
      <c r="B1211" t="str">
        <f>_xlfn.XLOOKUP(A1211,'[1]Tissue Data'!$A:$A,'[1]Tissue Data'!$C:$C)</f>
        <v>Down</v>
      </c>
      <c r="C1211" s="2">
        <f>_xlfn.XLOOKUP(A1211,'[1]Tissue Data'!$A:$A,'[1]Tissue Data'!$D:$D)</f>
        <v>44314</v>
      </c>
      <c r="D1211" s="2" t="s">
        <v>122</v>
      </c>
      <c r="E1211" t="str">
        <f>_xlfn.XLOOKUP(A1211,'[1]Tissue Data'!$A:$A,'[1]Tissue Data'!$H:$H)</f>
        <v>Etheostoma</v>
      </c>
      <c r="F1211" t="str">
        <f>_xlfn.XLOOKUP(A1211,'[1]Tissue Data'!$A:$A,'[1]Tissue Data'!$I:$I)</f>
        <v>olmstedi</v>
      </c>
      <c r="G1211" t="str">
        <f>_xlfn.XLOOKUP(A1211,'[1]Tissue Data'!$A:$A,'[1]Tissue Data'!J:J)</f>
        <v>U</v>
      </c>
      <c r="H1211" t="str">
        <f>_xlfn.XLOOKUP(A1211,'[1]Tissue Data'!$A:$A,'[1]Tissue Data'!K:K)</f>
        <v>Whole Body</v>
      </c>
      <c r="I1211">
        <f>_xlfn.XLOOKUP(A1211,'[1]Tissue Data'!$A:$A,'[1]Tissue Data'!L:L)</f>
        <v>6</v>
      </c>
      <c r="J1211">
        <f>_xlfn.XLOOKUP(A1211,'[1]Tissue Data'!$A:$A,'[1]Tissue Data'!M:M)</f>
        <v>2.35</v>
      </c>
      <c r="K1211" t="s">
        <v>21</v>
      </c>
      <c r="L1211" t="str">
        <f>_xlfn.XLOOKUP(K1211,[2]analyte_order!$B:$B,[2]analyte_order!$C:$C)</f>
        <v>72629-94-8</v>
      </c>
      <c r="M1211">
        <f>_xlfn.XLOOKUP(L1211,[2]analyte_order!$C:$C,[2]analyte_order!$E:$E)</f>
        <v>10</v>
      </c>
      <c r="N1211">
        <v>0.52400000000000002</v>
      </c>
    </row>
    <row r="1212" spans="1:14">
      <c r="A1212" t="s">
        <v>160</v>
      </c>
      <c r="B1212" t="str">
        <f>_xlfn.XLOOKUP(A1212,'[1]Tissue Data'!$A:$A,'[1]Tissue Data'!$C:$C)</f>
        <v>Down</v>
      </c>
      <c r="C1212" s="2">
        <f>_xlfn.XLOOKUP(A1212,'[1]Tissue Data'!$A:$A,'[1]Tissue Data'!$D:$D)</f>
        <v>44314</v>
      </c>
      <c r="D1212" s="2" t="s">
        <v>122</v>
      </c>
      <c r="E1212" t="str">
        <f>_xlfn.XLOOKUP(A1212,'[1]Tissue Data'!$A:$A,'[1]Tissue Data'!$H:$H)</f>
        <v>Etheostoma</v>
      </c>
      <c r="F1212" t="str">
        <f>_xlfn.XLOOKUP(A1212,'[1]Tissue Data'!$A:$A,'[1]Tissue Data'!$I:$I)</f>
        <v>olmstedi</v>
      </c>
      <c r="G1212" t="str">
        <f>_xlfn.XLOOKUP(A1212,'[1]Tissue Data'!$A:$A,'[1]Tissue Data'!J:J)</f>
        <v>U</v>
      </c>
      <c r="H1212" t="str">
        <f>_xlfn.XLOOKUP(A1212,'[1]Tissue Data'!$A:$A,'[1]Tissue Data'!K:K)</f>
        <v>Whole Body</v>
      </c>
      <c r="I1212">
        <f>_xlfn.XLOOKUP(A1212,'[1]Tissue Data'!$A:$A,'[1]Tissue Data'!L:L)</f>
        <v>6</v>
      </c>
      <c r="J1212">
        <f>_xlfn.XLOOKUP(A1212,'[1]Tissue Data'!$A:$A,'[1]Tissue Data'!M:M)</f>
        <v>2.35</v>
      </c>
      <c r="K1212" t="s">
        <v>22</v>
      </c>
      <c r="L1212" t="str">
        <f>_xlfn.XLOOKUP(K1212,[2]analyte_order!$B:$B,[2]analyte_order!$C:$C)</f>
        <v>376-06-7</v>
      </c>
      <c r="M1212">
        <f>_xlfn.XLOOKUP(L1212,[2]analyte_order!$C:$C,[2]analyte_order!$E:$E)</f>
        <v>11</v>
      </c>
      <c r="N1212">
        <v>0.52400000000000002</v>
      </c>
    </row>
    <row r="1213" spans="1:14">
      <c r="A1213" t="s">
        <v>160</v>
      </c>
      <c r="B1213" t="str">
        <f>_xlfn.XLOOKUP(A1213,'[1]Tissue Data'!$A:$A,'[1]Tissue Data'!$C:$C)</f>
        <v>Down</v>
      </c>
      <c r="C1213" s="2">
        <f>_xlfn.XLOOKUP(A1213,'[1]Tissue Data'!$A:$A,'[1]Tissue Data'!$D:$D)</f>
        <v>44314</v>
      </c>
      <c r="D1213" s="2" t="s">
        <v>122</v>
      </c>
      <c r="E1213" t="str">
        <f>_xlfn.XLOOKUP(A1213,'[1]Tissue Data'!$A:$A,'[1]Tissue Data'!$H:$H)</f>
        <v>Etheostoma</v>
      </c>
      <c r="F1213" t="str">
        <f>_xlfn.XLOOKUP(A1213,'[1]Tissue Data'!$A:$A,'[1]Tissue Data'!$I:$I)</f>
        <v>olmstedi</v>
      </c>
      <c r="G1213" t="str">
        <f>_xlfn.XLOOKUP(A1213,'[1]Tissue Data'!$A:$A,'[1]Tissue Data'!J:J)</f>
        <v>U</v>
      </c>
      <c r="H1213" t="str">
        <f>_xlfn.XLOOKUP(A1213,'[1]Tissue Data'!$A:$A,'[1]Tissue Data'!K:K)</f>
        <v>Whole Body</v>
      </c>
      <c r="I1213">
        <f>_xlfn.XLOOKUP(A1213,'[1]Tissue Data'!$A:$A,'[1]Tissue Data'!L:L)</f>
        <v>6</v>
      </c>
      <c r="J1213">
        <f>_xlfn.XLOOKUP(A1213,'[1]Tissue Data'!$A:$A,'[1]Tissue Data'!M:M)</f>
        <v>2.35</v>
      </c>
      <c r="K1213" t="s">
        <v>23</v>
      </c>
      <c r="L1213" t="str">
        <f>_xlfn.XLOOKUP(K1213,[2]analyte_order!$B:$B,[2]analyte_order!$C:$C)</f>
        <v>67905-19-5</v>
      </c>
      <c r="M1213">
        <f>_xlfn.XLOOKUP(L1213,[2]analyte_order!$C:$C,[2]analyte_order!$E:$E)</f>
        <v>12</v>
      </c>
      <c r="N1213">
        <v>8.403216190175801E-2</v>
      </c>
    </row>
    <row r="1214" spans="1:14">
      <c r="A1214" t="s">
        <v>160</v>
      </c>
      <c r="B1214" t="str">
        <f>_xlfn.XLOOKUP(A1214,'[1]Tissue Data'!$A:$A,'[1]Tissue Data'!$C:$C)</f>
        <v>Down</v>
      </c>
      <c r="C1214" s="2">
        <f>_xlfn.XLOOKUP(A1214,'[1]Tissue Data'!$A:$A,'[1]Tissue Data'!$D:$D)</f>
        <v>44314</v>
      </c>
      <c r="D1214" s="2" t="s">
        <v>122</v>
      </c>
      <c r="E1214" t="str">
        <f>_xlfn.XLOOKUP(A1214,'[1]Tissue Data'!$A:$A,'[1]Tissue Data'!$H:$H)</f>
        <v>Etheostoma</v>
      </c>
      <c r="F1214" t="str">
        <f>_xlfn.XLOOKUP(A1214,'[1]Tissue Data'!$A:$A,'[1]Tissue Data'!$I:$I)</f>
        <v>olmstedi</v>
      </c>
      <c r="G1214" t="str">
        <f>_xlfn.XLOOKUP(A1214,'[1]Tissue Data'!$A:$A,'[1]Tissue Data'!J:J)</f>
        <v>U</v>
      </c>
      <c r="H1214" t="str">
        <f>_xlfn.XLOOKUP(A1214,'[1]Tissue Data'!$A:$A,'[1]Tissue Data'!K:K)</f>
        <v>Whole Body</v>
      </c>
      <c r="I1214">
        <f>_xlfn.XLOOKUP(A1214,'[1]Tissue Data'!$A:$A,'[1]Tissue Data'!L:L)</f>
        <v>6</v>
      </c>
      <c r="J1214">
        <f>_xlfn.XLOOKUP(A1214,'[1]Tissue Data'!$A:$A,'[1]Tissue Data'!M:M)</f>
        <v>2.35</v>
      </c>
      <c r="K1214" t="s">
        <v>24</v>
      </c>
      <c r="L1214" t="str">
        <f>_xlfn.XLOOKUP(K1214,[2]analyte_order!$B:$B,[2]analyte_order!$C:$C)</f>
        <v>423-41-6</v>
      </c>
      <c r="M1214">
        <f>_xlfn.XLOOKUP(L1214,[2]analyte_order!$C:$C,[2]analyte_order!$E:$E)</f>
        <v>53</v>
      </c>
      <c r="N1214">
        <v>5.3794766173216144E-2</v>
      </c>
    </row>
    <row r="1215" spans="1:14">
      <c r="A1215" t="s">
        <v>160</v>
      </c>
      <c r="B1215" t="str">
        <f>_xlfn.XLOOKUP(A1215,'[1]Tissue Data'!$A:$A,'[1]Tissue Data'!$C:$C)</f>
        <v>Down</v>
      </c>
      <c r="C1215" s="2">
        <f>_xlfn.XLOOKUP(A1215,'[1]Tissue Data'!$A:$A,'[1]Tissue Data'!$D:$D)</f>
        <v>44314</v>
      </c>
      <c r="D1215" s="2" t="s">
        <v>122</v>
      </c>
      <c r="E1215" t="str">
        <f>_xlfn.XLOOKUP(A1215,'[1]Tissue Data'!$A:$A,'[1]Tissue Data'!$H:$H)</f>
        <v>Etheostoma</v>
      </c>
      <c r="F1215" t="str">
        <f>_xlfn.XLOOKUP(A1215,'[1]Tissue Data'!$A:$A,'[1]Tissue Data'!$I:$I)</f>
        <v>olmstedi</v>
      </c>
      <c r="G1215" t="str">
        <f>_xlfn.XLOOKUP(A1215,'[1]Tissue Data'!$A:$A,'[1]Tissue Data'!J:J)</f>
        <v>U</v>
      </c>
      <c r="H1215" t="str">
        <f>_xlfn.XLOOKUP(A1215,'[1]Tissue Data'!$A:$A,'[1]Tissue Data'!K:K)</f>
        <v>Whole Body</v>
      </c>
      <c r="I1215">
        <f>_xlfn.XLOOKUP(A1215,'[1]Tissue Data'!$A:$A,'[1]Tissue Data'!L:L)</f>
        <v>6</v>
      </c>
      <c r="J1215">
        <f>_xlfn.XLOOKUP(A1215,'[1]Tissue Data'!$A:$A,'[1]Tissue Data'!M:M)</f>
        <v>2.35</v>
      </c>
      <c r="K1215" t="s">
        <v>25</v>
      </c>
      <c r="L1215" t="str">
        <f>_xlfn.XLOOKUP(K1215,[2]analyte_order!$B:$B,[2]analyte_order!$C:$C)</f>
        <v>375-73-5</v>
      </c>
      <c r="M1215">
        <f>_xlfn.XLOOKUP(L1215,[2]analyte_order!$C:$C,[2]analyte_order!$E:$E)</f>
        <v>14</v>
      </c>
      <c r="N1215">
        <v>0.1511718626483218</v>
      </c>
    </row>
    <row r="1216" spans="1:14">
      <c r="A1216" t="s">
        <v>160</v>
      </c>
      <c r="B1216" t="str">
        <f>_xlfn.XLOOKUP(A1216,'[1]Tissue Data'!$A:$A,'[1]Tissue Data'!$C:$C)</f>
        <v>Down</v>
      </c>
      <c r="C1216" s="2">
        <f>_xlfn.XLOOKUP(A1216,'[1]Tissue Data'!$A:$A,'[1]Tissue Data'!$D:$D)</f>
        <v>44314</v>
      </c>
      <c r="D1216" s="2" t="s">
        <v>122</v>
      </c>
      <c r="E1216" t="str">
        <f>_xlfn.XLOOKUP(A1216,'[1]Tissue Data'!$A:$A,'[1]Tissue Data'!$H:$H)</f>
        <v>Etheostoma</v>
      </c>
      <c r="F1216" t="str">
        <f>_xlfn.XLOOKUP(A1216,'[1]Tissue Data'!$A:$A,'[1]Tissue Data'!$I:$I)</f>
        <v>olmstedi</v>
      </c>
      <c r="G1216" t="str">
        <f>_xlfn.XLOOKUP(A1216,'[1]Tissue Data'!$A:$A,'[1]Tissue Data'!J:J)</f>
        <v>U</v>
      </c>
      <c r="H1216" t="str">
        <f>_xlfn.XLOOKUP(A1216,'[1]Tissue Data'!$A:$A,'[1]Tissue Data'!K:K)</f>
        <v>Whole Body</v>
      </c>
      <c r="I1216">
        <f>_xlfn.XLOOKUP(A1216,'[1]Tissue Data'!$A:$A,'[1]Tissue Data'!L:L)</f>
        <v>6</v>
      </c>
      <c r="J1216">
        <f>_xlfn.XLOOKUP(A1216,'[1]Tissue Data'!$A:$A,'[1]Tissue Data'!M:M)</f>
        <v>2.35</v>
      </c>
      <c r="K1216" t="s">
        <v>26</v>
      </c>
      <c r="L1216" t="str">
        <f>_xlfn.XLOOKUP(K1216,[2]analyte_order!$B:$B,[2]analyte_order!$C:$C)</f>
        <v>2706-91-4</v>
      </c>
      <c r="M1216">
        <f>_xlfn.XLOOKUP(L1216,[2]analyte_order!$C:$C,[2]analyte_order!$E:$E)</f>
        <v>15</v>
      </c>
      <c r="N1216">
        <v>0.99299999999999999</v>
      </c>
    </row>
    <row r="1217" spans="1:14">
      <c r="A1217" t="s">
        <v>160</v>
      </c>
      <c r="B1217" t="str">
        <f>_xlfn.XLOOKUP(A1217,'[1]Tissue Data'!$A:$A,'[1]Tissue Data'!$C:$C)</f>
        <v>Down</v>
      </c>
      <c r="C1217" s="2">
        <f>_xlfn.XLOOKUP(A1217,'[1]Tissue Data'!$A:$A,'[1]Tissue Data'!$D:$D)</f>
        <v>44314</v>
      </c>
      <c r="D1217" s="2" t="s">
        <v>122</v>
      </c>
      <c r="E1217" t="str">
        <f>_xlfn.XLOOKUP(A1217,'[1]Tissue Data'!$A:$A,'[1]Tissue Data'!$H:$H)</f>
        <v>Etheostoma</v>
      </c>
      <c r="F1217" t="str">
        <f>_xlfn.XLOOKUP(A1217,'[1]Tissue Data'!$A:$A,'[1]Tissue Data'!$I:$I)</f>
        <v>olmstedi</v>
      </c>
      <c r="G1217" t="str">
        <f>_xlfn.XLOOKUP(A1217,'[1]Tissue Data'!$A:$A,'[1]Tissue Data'!J:J)</f>
        <v>U</v>
      </c>
      <c r="H1217" t="str">
        <f>_xlfn.XLOOKUP(A1217,'[1]Tissue Data'!$A:$A,'[1]Tissue Data'!K:K)</f>
        <v>Whole Body</v>
      </c>
      <c r="I1217">
        <f>_xlfn.XLOOKUP(A1217,'[1]Tissue Data'!$A:$A,'[1]Tissue Data'!L:L)</f>
        <v>6</v>
      </c>
      <c r="J1217">
        <f>_xlfn.XLOOKUP(A1217,'[1]Tissue Data'!$A:$A,'[1]Tissue Data'!M:M)</f>
        <v>2.35</v>
      </c>
      <c r="K1217" t="s">
        <v>27</v>
      </c>
      <c r="L1217" t="str">
        <f>_xlfn.XLOOKUP(K1217,[2]analyte_order!$B:$B,[2]analyte_order!$C:$C)</f>
        <v>355-46-4</v>
      </c>
      <c r="M1217">
        <f>_xlfn.XLOOKUP(L1217,[2]analyte_order!$C:$C,[2]analyte_order!$E:$E)</f>
        <v>16</v>
      </c>
      <c r="N1217">
        <v>51.5</v>
      </c>
    </row>
    <row r="1218" spans="1:14">
      <c r="A1218" t="s">
        <v>160</v>
      </c>
      <c r="B1218" t="str">
        <f>_xlfn.XLOOKUP(A1218,'[1]Tissue Data'!$A:$A,'[1]Tissue Data'!$C:$C)</f>
        <v>Down</v>
      </c>
      <c r="C1218" s="2">
        <f>_xlfn.XLOOKUP(A1218,'[1]Tissue Data'!$A:$A,'[1]Tissue Data'!$D:$D)</f>
        <v>44314</v>
      </c>
      <c r="D1218" s="2" t="s">
        <v>122</v>
      </c>
      <c r="E1218" t="str">
        <f>_xlfn.XLOOKUP(A1218,'[1]Tissue Data'!$A:$A,'[1]Tissue Data'!$H:$H)</f>
        <v>Etheostoma</v>
      </c>
      <c r="F1218" t="str">
        <f>_xlfn.XLOOKUP(A1218,'[1]Tissue Data'!$A:$A,'[1]Tissue Data'!$I:$I)</f>
        <v>olmstedi</v>
      </c>
      <c r="G1218" t="str">
        <f>_xlfn.XLOOKUP(A1218,'[1]Tissue Data'!$A:$A,'[1]Tissue Data'!J:J)</f>
        <v>U</v>
      </c>
      <c r="H1218" t="str">
        <f>_xlfn.XLOOKUP(A1218,'[1]Tissue Data'!$A:$A,'[1]Tissue Data'!K:K)</f>
        <v>Whole Body</v>
      </c>
      <c r="I1218">
        <f>_xlfn.XLOOKUP(A1218,'[1]Tissue Data'!$A:$A,'[1]Tissue Data'!L:L)</f>
        <v>6</v>
      </c>
      <c r="J1218">
        <f>_xlfn.XLOOKUP(A1218,'[1]Tissue Data'!$A:$A,'[1]Tissue Data'!M:M)</f>
        <v>2.35</v>
      </c>
      <c r="K1218" t="s">
        <v>28</v>
      </c>
      <c r="L1218" t="str">
        <f>_xlfn.XLOOKUP(K1218,[2]analyte_order!$B:$B,[2]analyte_order!$C:$C)</f>
        <v>375-92-8</v>
      </c>
      <c r="M1218">
        <f>_xlfn.XLOOKUP(L1218,[2]analyte_order!$C:$C,[2]analyte_order!$E:$E)</f>
        <v>17</v>
      </c>
      <c r="N1218">
        <v>4.3499999999999996</v>
      </c>
    </row>
    <row r="1219" spans="1:14">
      <c r="A1219" t="s">
        <v>160</v>
      </c>
      <c r="B1219" t="str">
        <f>_xlfn.XLOOKUP(A1219,'[1]Tissue Data'!$A:$A,'[1]Tissue Data'!$C:$C)</f>
        <v>Down</v>
      </c>
      <c r="C1219" s="2">
        <f>_xlfn.XLOOKUP(A1219,'[1]Tissue Data'!$A:$A,'[1]Tissue Data'!$D:$D)</f>
        <v>44314</v>
      </c>
      <c r="D1219" s="2" t="s">
        <v>122</v>
      </c>
      <c r="E1219" t="str">
        <f>_xlfn.XLOOKUP(A1219,'[1]Tissue Data'!$A:$A,'[1]Tissue Data'!$H:$H)</f>
        <v>Etheostoma</v>
      </c>
      <c r="F1219" t="str">
        <f>_xlfn.XLOOKUP(A1219,'[1]Tissue Data'!$A:$A,'[1]Tissue Data'!$I:$I)</f>
        <v>olmstedi</v>
      </c>
      <c r="G1219" t="str">
        <f>_xlfn.XLOOKUP(A1219,'[1]Tissue Data'!$A:$A,'[1]Tissue Data'!J:J)</f>
        <v>U</v>
      </c>
      <c r="H1219" t="str">
        <f>_xlfn.XLOOKUP(A1219,'[1]Tissue Data'!$A:$A,'[1]Tissue Data'!K:K)</f>
        <v>Whole Body</v>
      </c>
      <c r="I1219">
        <f>_xlfn.XLOOKUP(A1219,'[1]Tissue Data'!$A:$A,'[1]Tissue Data'!L:L)</f>
        <v>6</v>
      </c>
      <c r="J1219">
        <f>_xlfn.XLOOKUP(A1219,'[1]Tissue Data'!$A:$A,'[1]Tissue Data'!M:M)</f>
        <v>2.35</v>
      </c>
      <c r="K1219" t="s">
        <v>29</v>
      </c>
      <c r="L1219" t="str">
        <f>_xlfn.XLOOKUP(K1219,[2]analyte_order!$B:$B,[2]analyte_order!$C:$C)</f>
        <v>1763-23-1</v>
      </c>
      <c r="M1219">
        <f>_xlfn.XLOOKUP(L1219,[2]analyte_order!$C:$C,[2]analyte_order!$E:$E)</f>
        <v>18</v>
      </c>
      <c r="N1219">
        <v>561</v>
      </c>
    </row>
    <row r="1220" spans="1:14">
      <c r="A1220" t="s">
        <v>160</v>
      </c>
      <c r="B1220" t="str">
        <f>_xlfn.XLOOKUP(A1220,'[1]Tissue Data'!$A:$A,'[1]Tissue Data'!$C:$C)</f>
        <v>Down</v>
      </c>
      <c r="C1220" s="2">
        <f>_xlfn.XLOOKUP(A1220,'[1]Tissue Data'!$A:$A,'[1]Tissue Data'!$D:$D)</f>
        <v>44314</v>
      </c>
      <c r="D1220" s="2" t="s">
        <v>122</v>
      </c>
      <c r="E1220" t="str">
        <f>_xlfn.XLOOKUP(A1220,'[1]Tissue Data'!$A:$A,'[1]Tissue Data'!$H:$H)</f>
        <v>Etheostoma</v>
      </c>
      <c r="F1220" t="str">
        <f>_xlfn.XLOOKUP(A1220,'[1]Tissue Data'!$A:$A,'[1]Tissue Data'!$I:$I)</f>
        <v>olmstedi</v>
      </c>
      <c r="G1220" t="str">
        <f>_xlfn.XLOOKUP(A1220,'[1]Tissue Data'!$A:$A,'[1]Tissue Data'!J:J)</f>
        <v>U</v>
      </c>
      <c r="H1220" t="str">
        <f>_xlfn.XLOOKUP(A1220,'[1]Tissue Data'!$A:$A,'[1]Tissue Data'!K:K)</f>
        <v>Whole Body</v>
      </c>
      <c r="I1220">
        <f>_xlfn.XLOOKUP(A1220,'[1]Tissue Data'!$A:$A,'[1]Tissue Data'!L:L)</f>
        <v>6</v>
      </c>
      <c r="J1220">
        <f>_xlfn.XLOOKUP(A1220,'[1]Tissue Data'!$A:$A,'[1]Tissue Data'!M:M)</f>
        <v>2.35</v>
      </c>
      <c r="K1220" t="s">
        <v>30</v>
      </c>
      <c r="L1220" t="str">
        <f>_xlfn.XLOOKUP(K1220,[2]analyte_order!$B:$B,[2]analyte_order!$C:$C)</f>
        <v>68259-12-1</v>
      </c>
      <c r="M1220">
        <f>_xlfn.XLOOKUP(L1220,[2]analyte_order!$C:$C,[2]analyte_order!$E:$E)</f>
        <v>19</v>
      </c>
      <c r="N1220">
        <v>0.97199999999999998</v>
      </c>
    </row>
    <row r="1221" spans="1:14">
      <c r="A1221" t="s">
        <v>160</v>
      </c>
      <c r="B1221" t="str">
        <f>_xlfn.XLOOKUP(A1221,'[1]Tissue Data'!$A:$A,'[1]Tissue Data'!$C:$C)</f>
        <v>Down</v>
      </c>
      <c r="C1221" s="2">
        <f>_xlfn.XLOOKUP(A1221,'[1]Tissue Data'!$A:$A,'[1]Tissue Data'!$D:$D)</f>
        <v>44314</v>
      </c>
      <c r="D1221" s="2" t="s">
        <v>122</v>
      </c>
      <c r="E1221" t="str">
        <f>_xlfn.XLOOKUP(A1221,'[1]Tissue Data'!$A:$A,'[1]Tissue Data'!$H:$H)</f>
        <v>Etheostoma</v>
      </c>
      <c r="F1221" t="str">
        <f>_xlfn.XLOOKUP(A1221,'[1]Tissue Data'!$A:$A,'[1]Tissue Data'!$I:$I)</f>
        <v>olmstedi</v>
      </c>
      <c r="G1221" t="str">
        <f>_xlfn.XLOOKUP(A1221,'[1]Tissue Data'!$A:$A,'[1]Tissue Data'!J:J)</f>
        <v>U</v>
      </c>
      <c r="H1221" t="str">
        <f>_xlfn.XLOOKUP(A1221,'[1]Tissue Data'!$A:$A,'[1]Tissue Data'!K:K)</f>
        <v>Whole Body</v>
      </c>
      <c r="I1221">
        <f>_xlfn.XLOOKUP(A1221,'[1]Tissue Data'!$A:$A,'[1]Tissue Data'!L:L)</f>
        <v>6</v>
      </c>
      <c r="J1221">
        <f>_xlfn.XLOOKUP(A1221,'[1]Tissue Data'!$A:$A,'[1]Tissue Data'!M:M)</f>
        <v>2.35</v>
      </c>
      <c r="K1221" t="s">
        <v>31</v>
      </c>
      <c r="L1221" t="str">
        <f>_xlfn.XLOOKUP(K1221,[2]analyte_order!$B:$B,[2]analyte_order!$C:$C)</f>
        <v>335-77-3</v>
      </c>
      <c r="M1221">
        <f>_xlfn.XLOOKUP(L1221,[2]analyte_order!$C:$C,[2]analyte_order!$E:$E)</f>
        <v>20</v>
      </c>
      <c r="N1221">
        <v>0.53700000000000003</v>
      </c>
    </row>
    <row r="1222" spans="1:14">
      <c r="A1222" t="s">
        <v>160</v>
      </c>
      <c r="B1222" t="str">
        <f>_xlfn.XLOOKUP(A1222,'[1]Tissue Data'!$A:$A,'[1]Tissue Data'!$C:$C)</f>
        <v>Down</v>
      </c>
      <c r="C1222" s="2">
        <f>_xlfn.XLOOKUP(A1222,'[1]Tissue Data'!$A:$A,'[1]Tissue Data'!$D:$D)</f>
        <v>44314</v>
      </c>
      <c r="D1222" s="2" t="s">
        <v>122</v>
      </c>
      <c r="E1222" t="str">
        <f>_xlfn.XLOOKUP(A1222,'[1]Tissue Data'!$A:$A,'[1]Tissue Data'!$H:$H)</f>
        <v>Etheostoma</v>
      </c>
      <c r="F1222" t="str">
        <f>_xlfn.XLOOKUP(A1222,'[1]Tissue Data'!$A:$A,'[1]Tissue Data'!$I:$I)</f>
        <v>olmstedi</v>
      </c>
      <c r="G1222" t="str">
        <f>_xlfn.XLOOKUP(A1222,'[1]Tissue Data'!$A:$A,'[1]Tissue Data'!J:J)</f>
        <v>U</v>
      </c>
      <c r="H1222" t="str">
        <f>_xlfn.XLOOKUP(A1222,'[1]Tissue Data'!$A:$A,'[1]Tissue Data'!K:K)</f>
        <v>Whole Body</v>
      </c>
      <c r="I1222">
        <f>_xlfn.XLOOKUP(A1222,'[1]Tissue Data'!$A:$A,'[1]Tissue Data'!L:L)</f>
        <v>6</v>
      </c>
      <c r="J1222">
        <f>_xlfn.XLOOKUP(A1222,'[1]Tissue Data'!$A:$A,'[1]Tissue Data'!M:M)</f>
        <v>2.35</v>
      </c>
      <c r="K1222" t="s">
        <v>32</v>
      </c>
      <c r="L1222" t="str">
        <f>_xlfn.XLOOKUP(K1222,[2]analyte_order!$B:$B,[2]analyte_order!$C:$C)</f>
        <v>79780-39-5</v>
      </c>
      <c r="M1222">
        <f>_xlfn.XLOOKUP(L1222,[2]analyte_order!$C:$C,[2]analyte_order!$E:$E)</f>
        <v>21</v>
      </c>
      <c r="N1222">
        <v>0.23752054234101683</v>
      </c>
    </row>
    <row r="1223" spans="1:14">
      <c r="A1223" t="s">
        <v>160</v>
      </c>
      <c r="B1223" t="str">
        <f>_xlfn.XLOOKUP(A1223,'[1]Tissue Data'!$A:$A,'[1]Tissue Data'!$C:$C)</f>
        <v>Down</v>
      </c>
      <c r="C1223" s="2">
        <f>_xlfn.XLOOKUP(A1223,'[1]Tissue Data'!$A:$A,'[1]Tissue Data'!$D:$D)</f>
        <v>44314</v>
      </c>
      <c r="D1223" s="2" t="s">
        <v>122</v>
      </c>
      <c r="E1223" t="str">
        <f>_xlfn.XLOOKUP(A1223,'[1]Tissue Data'!$A:$A,'[1]Tissue Data'!$H:$H)</f>
        <v>Etheostoma</v>
      </c>
      <c r="F1223" t="str">
        <f>_xlfn.XLOOKUP(A1223,'[1]Tissue Data'!$A:$A,'[1]Tissue Data'!$I:$I)</f>
        <v>olmstedi</v>
      </c>
      <c r="G1223" t="str">
        <f>_xlfn.XLOOKUP(A1223,'[1]Tissue Data'!$A:$A,'[1]Tissue Data'!J:J)</f>
        <v>U</v>
      </c>
      <c r="H1223" t="str">
        <f>_xlfn.XLOOKUP(A1223,'[1]Tissue Data'!$A:$A,'[1]Tissue Data'!K:K)</f>
        <v>Whole Body</v>
      </c>
      <c r="I1223">
        <f>_xlfn.XLOOKUP(A1223,'[1]Tissue Data'!$A:$A,'[1]Tissue Data'!L:L)</f>
        <v>6</v>
      </c>
      <c r="J1223">
        <f>_xlfn.XLOOKUP(A1223,'[1]Tissue Data'!$A:$A,'[1]Tissue Data'!M:M)</f>
        <v>2.35</v>
      </c>
      <c r="K1223" t="s">
        <v>33</v>
      </c>
      <c r="L1223" t="str">
        <f>_xlfn.XLOOKUP(K1223,[2]analyte_order!$B:$B,[2]analyte_order!$C:$C)</f>
        <v>777011-38-8</v>
      </c>
      <c r="M1223">
        <f>_xlfn.XLOOKUP(L1223,[2]analyte_order!$C:$C,[2]analyte_order!$E:$E)</f>
        <v>54</v>
      </c>
      <c r="N1223">
        <v>0.13497427766132281</v>
      </c>
    </row>
    <row r="1224" spans="1:14">
      <c r="A1224" t="s">
        <v>160</v>
      </c>
      <c r="B1224" t="str">
        <f>_xlfn.XLOOKUP(A1224,'[1]Tissue Data'!$A:$A,'[1]Tissue Data'!$C:$C)</f>
        <v>Down</v>
      </c>
      <c r="C1224" s="2">
        <f>_xlfn.XLOOKUP(A1224,'[1]Tissue Data'!$A:$A,'[1]Tissue Data'!$D:$D)</f>
        <v>44314</v>
      </c>
      <c r="D1224" s="2" t="s">
        <v>122</v>
      </c>
      <c r="E1224" t="str">
        <f>_xlfn.XLOOKUP(A1224,'[1]Tissue Data'!$A:$A,'[1]Tissue Data'!$H:$H)</f>
        <v>Etheostoma</v>
      </c>
      <c r="F1224" t="str">
        <f>_xlfn.XLOOKUP(A1224,'[1]Tissue Data'!$A:$A,'[1]Tissue Data'!$I:$I)</f>
        <v>olmstedi</v>
      </c>
      <c r="G1224" t="str">
        <f>_xlfn.XLOOKUP(A1224,'[1]Tissue Data'!$A:$A,'[1]Tissue Data'!J:J)</f>
        <v>U</v>
      </c>
      <c r="H1224" t="str">
        <f>_xlfn.XLOOKUP(A1224,'[1]Tissue Data'!$A:$A,'[1]Tissue Data'!K:K)</f>
        <v>Whole Body</v>
      </c>
      <c r="I1224">
        <f>_xlfn.XLOOKUP(A1224,'[1]Tissue Data'!$A:$A,'[1]Tissue Data'!L:L)</f>
        <v>6</v>
      </c>
      <c r="J1224">
        <f>_xlfn.XLOOKUP(A1224,'[1]Tissue Data'!$A:$A,'[1]Tissue Data'!M:M)</f>
        <v>2.35</v>
      </c>
      <c r="K1224" t="s">
        <v>34</v>
      </c>
      <c r="L1224" t="str">
        <f>_xlfn.XLOOKUP(K1224,[2]analyte_order!$B:$B,[2]analyte_order!$C:$C)</f>
        <v>646-83-3</v>
      </c>
      <c r="M1224">
        <f>_xlfn.XLOOKUP(L1224,[2]analyte_order!$C:$C,[2]analyte_order!$E:$E)</f>
        <v>55</v>
      </c>
      <c r="N1224">
        <v>0.374</v>
      </c>
    </row>
    <row r="1225" spans="1:14">
      <c r="A1225" t="s">
        <v>160</v>
      </c>
      <c r="B1225" t="str">
        <f>_xlfn.XLOOKUP(A1225,'[1]Tissue Data'!$A:$A,'[1]Tissue Data'!$C:$C)</f>
        <v>Down</v>
      </c>
      <c r="C1225" s="2">
        <f>_xlfn.XLOOKUP(A1225,'[1]Tissue Data'!$A:$A,'[1]Tissue Data'!$D:$D)</f>
        <v>44314</v>
      </c>
      <c r="D1225" s="2" t="s">
        <v>122</v>
      </c>
      <c r="E1225" t="str">
        <f>_xlfn.XLOOKUP(A1225,'[1]Tissue Data'!$A:$A,'[1]Tissue Data'!$H:$H)</f>
        <v>Etheostoma</v>
      </c>
      <c r="F1225" t="str">
        <f>_xlfn.XLOOKUP(A1225,'[1]Tissue Data'!$A:$A,'[1]Tissue Data'!$I:$I)</f>
        <v>olmstedi</v>
      </c>
      <c r="G1225" t="str">
        <f>_xlfn.XLOOKUP(A1225,'[1]Tissue Data'!$A:$A,'[1]Tissue Data'!J:J)</f>
        <v>U</v>
      </c>
      <c r="H1225" t="str">
        <f>_xlfn.XLOOKUP(A1225,'[1]Tissue Data'!$A:$A,'[1]Tissue Data'!K:K)</f>
        <v>Whole Body</v>
      </c>
      <c r="I1225">
        <f>_xlfn.XLOOKUP(A1225,'[1]Tissue Data'!$A:$A,'[1]Tissue Data'!L:L)</f>
        <v>6</v>
      </c>
      <c r="J1225">
        <f>_xlfn.XLOOKUP(A1225,'[1]Tissue Data'!$A:$A,'[1]Tissue Data'!M:M)</f>
        <v>2.35</v>
      </c>
      <c r="K1225" t="s">
        <v>35</v>
      </c>
      <c r="L1225" t="str">
        <f>_xlfn.XLOOKUP(K1225,[2]analyte_order!$B:$B,[2]analyte_order!$C:$C)</f>
        <v>30334-69-1</v>
      </c>
      <c r="M1225">
        <f>_xlfn.XLOOKUP(L1225,[2]analyte_order!$C:$C,[2]analyte_order!$E:$E)</f>
        <v>51</v>
      </c>
      <c r="N1225">
        <v>28.6</v>
      </c>
    </row>
    <row r="1226" spans="1:14">
      <c r="A1226" t="s">
        <v>160</v>
      </c>
      <c r="B1226" t="str">
        <f>_xlfn.XLOOKUP(A1226,'[1]Tissue Data'!$A:$A,'[1]Tissue Data'!$C:$C)</f>
        <v>Down</v>
      </c>
      <c r="C1226" s="2">
        <f>_xlfn.XLOOKUP(A1226,'[1]Tissue Data'!$A:$A,'[1]Tissue Data'!$D:$D)</f>
        <v>44314</v>
      </c>
      <c r="D1226" s="2" t="s">
        <v>122</v>
      </c>
      <c r="E1226" t="str">
        <f>_xlfn.XLOOKUP(A1226,'[1]Tissue Data'!$A:$A,'[1]Tissue Data'!$H:$H)</f>
        <v>Etheostoma</v>
      </c>
      <c r="F1226" t="str">
        <f>_xlfn.XLOOKUP(A1226,'[1]Tissue Data'!$A:$A,'[1]Tissue Data'!$I:$I)</f>
        <v>olmstedi</v>
      </c>
      <c r="G1226" t="str">
        <f>_xlfn.XLOOKUP(A1226,'[1]Tissue Data'!$A:$A,'[1]Tissue Data'!J:J)</f>
        <v>U</v>
      </c>
      <c r="H1226" t="str">
        <f>_xlfn.XLOOKUP(A1226,'[1]Tissue Data'!$A:$A,'[1]Tissue Data'!K:K)</f>
        <v>Whole Body</v>
      </c>
      <c r="I1226">
        <f>_xlfn.XLOOKUP(A1226,'[1]Tissue Data'!$A:$A,'[1]Tissue Data'!L:L)</f>
        <v>6</v>
      </c>
      <c r="J1226">
        <f>_xlfn.XLOOKUP(A1226,'[1]Tissue Data'!$A:$A,'[1]Tissue Data'!M:M)</f>
        <v>2.35</v>
      </c>
      <c r="K1226" t="s">
        <v>36</v>
      </c>
      <c r="L1226" t="str">
        <f>_xlfn.XLOOKUP(K1226,[2]analyte_order!$B:$B,[2]analyte_order!$C:$C)</f>
        <v>41997-13-1</v>
      </c>
      <c r="M1226">
        <f>_xlfn.XLOOKUP(L1226,[2]analyte_order!$C:$C,[2]analyte_order!$E:$E)</f>
        <v>52</v>
      </c>
      <c r="N1226">
        <v>178</v>
      </c>
    </row>
    <row r="1227" spans="1:14">
      <c r="A1227" t="s">
        <v>160</v>
      </c>
      <c r="B1227" t="str">
        <f>_xlfn.XLOOKUP(A1227,'[1]Tissue Data'!$A:$A,'[1]Tissue Data'!$C:$C)</f>
        <v>Down</v>
      </c>
      <c r="C1227" s="2">
        <f>_xlfn.XLOOKUP(A1227,'[1]Tissue Data'!$A:$A,'[1]Tissue Data'!$D:$D)</f>
        <v>44314</v>
      </c>
      <c r="D1227" s="2" t="s">
        <v>122</v>
      </c>
      <c r="E1227" t="str">
        <f>_xlfn.XLOOKUP(A1227,'[1]Tissue Data'!$A:$A,'[1]Tissue Data'!$H:$H)</f>
        <v>Etheostoma</v>
      </c>
      <c r="F1227" t="str">
        <f>_xlfn.XLOOKUP(A1227,'[1]Tissue Data'!$A:$A,'[1]Tissue Data'!$I:$I)</f>
        <v>olmstedi</v>
      </c>
      <c r="G1227" t="str">
        <f>_xlfn.XLOOKUP(A1227,'[1]Tissue Data'!$A:$A,'[1]Tissue Data'!J:J)</f>
        <v>U</v>
      </c>
      <c r="H1227" t="str">
        <f>_xlfn.XLOOKUP(A1227,'[1]Tissue Data'!$A:$A,'[1]Tissue Data'!K:K)</f>
        <v>Whole Body</v>
      </c>
      <c r="I1227">
        <f>_xlfn.XLOOKUP(A1227,'[1]Tissue Data'!$A:$A,'[1]Tissue Data'!L:L)</f>
        <v>6</v>
      </c>
      <c r="J1227">
        <f>_xlfn.XLOOKUP(A1227,'[1]Tissue Data'!$A:$A,'[1]Tissue Data'!M:M)</f>
        <v>2.35</v>
      </c>
      <c r="K1227" t="s">
        <v>37</v>
      </c>
      <c r="L1227" t="str">
        <f>_xlfn.XLOOKUP(K1227,[2]analyte_order!$B:$B,[2]analyte_order!$C:$C)</f>
        <v>754-91-6</v>
      </c>
      <c r="M1227">
        <f>_xlfn.XLOOKUP(L1227,[2]analyte_order!$C:$C,[2]analyte_order!$E:$E)</f>
        <v>28</v>
      </c>
      <c r="N1227">
        <v>54.7</v>
      </c>
    </row>
    <row r="1228" spans="1:14">
      <c r="A1228" t="s">
        <v>160</v>
      </c>
      <c r="B1228" t="str">
        <f>_xlfn.XLOOKUP(A1228,'[1]Tissue Data'!$A:$A,'[1]Tissue Data'!$C:$C)</f>
        <v>Down</v>
      </c>
      <c r="C1228" s="2">
        <f>_xlfn.XLOOKUP(A1228,'[1]Tissue Data'!$A:$A,'[1]Tissue Data'!$D:$D)</f>
        <v>44314</v>
      </c>
      <c r="D1228" s="2" t="s">
        <v>122</v>
      </c>
      <c r="E1228" t="str">
        <f>_xlfn.XLOOKUP(A1228,'[1]Tissue Data'!$A:$A,'[1]Tissue Data'!$H:$H)</f>
        <v>Etheostoma</v>
      </c>
      <c r="F1228" t="str">
        <f>_xlfn.XLOOKUP(A1228,'[1]Tissue Data'!$A:$A,'[1]Tissue Data'!$I:$I)</f>
        <v>olmstedi</v>
      </c>
      <c r="G1228" t="str">
        <f>_xlfn.XLOOKUP(A1228,'[1]Tissue Data'!$A:$A,'[1]Tissue Data'!J:J)</f>
        <v>U</v>
      </c>
      <c r="H1228" t="str">
        <f>_xlfn.XLOOKUP(A1228,'[1]Tissue Data'!$A:$A,'[1]Tissue Data'!K:K)</f>
        <v>Whole Body</v>
      </c>
      <c r="I1228">
        <f>_xlfn.XLOOKUP(A1228,'[1]Tissue Data'!$A:$A,'[1]Tissue Data'!L:L)</f>
        <v>6</v>
      </c>
      <c r="J1228">
        <f>_xlfn.XLOOKUP(A1228,'[1]Tissue Data'!$A:$A,'[1]Tissue Data'!M:M)</f>
        <v>2.35</v>
      </c>
      <c r="K1228" t="s">
        <v>38</v>
      </c>
      <c r="L1228" t="str">
        <f>_xlfn.XLOOKUP(K1228,[2]analyte_order!$B:$B,[2]analyte_order!$C:$C)</f>
        <v>31506-32-8</v>
      </c>
      <c r="M1228">
        <f>_xlfn.XLOOKUP(L1228,[2]analyte_order!$C:$C,[2]analyte_order!$E:$E)</f>
        <v>30</v>
      </c>
      <c r="N1228">
        <v>5.431864456256464E-2</v>
      </c>
    </row>
    <row r="1229" spans="1:14">
      <c r="A1229" t="s">
        <v>160</v>
      </c>
      <c r="B1229" t="str">
        <f>_xlfn.XLOOKUP(A1229,'[1]Tissue Data'!$A:$A,'[1]Tissue Data'!$C:$C)</f>
        <v>Down</v>
      </c>
      <c r="C1229" s="2">
        <f>_xlfn.XLOOKUP(A1229,'[1]Tissue Data'!$A:$A,'[1]Tissue Data'!$D:$D)</f>
        <v>44314</v>
      </c>
      <c r="D1229" s="2" t="s">
        <v>122</v>
      </c>
      <c r="E1229" t="str">
        <f>_xlfn.XLOOKUP(A1229,'[1]Tissue Data'!$A:$A,'[1]Tissue Data'!$H:$H)</f>
        <v>Etheostoma</v>
      </c>
      <c r="F1229" t="str">
        <f>_xlfn.XLOOKUP(A1229,'[1]Tissue Data'!$A:$A,'[1]Tissue Data'!$I:$I)</f>
        <v>olmstedi</v>
      </c>
      <c r="G1229" t="str">
        <f>_xlfn.XLOOKUP(A1229,'[1]Tissue Data'!$A:$A,'[1]Tissue Data'!J:J)</f>
        <v>U</v>
      </c>
      <c r="H1229" t="str">
        <f>_xlfn.XLOOKUP(A1229,'[1]Tissue Data'!$A:$A,'[1]Tissue Data'!K:K)</f>
        <v>Whole Body</v>
      </c>
      <c r="I1229">
        <f>_xlfn.XLOOKUP(A1229,'[1]Tissue Data'!$A:$A,'[1]Tissue Data'!L:L)</f>
        <v>6</v>
      </c>
      <c r="J1229">
        <f>_xlfn.XLOOKUP(A1229,'[1]Tissue Data'!$A:$A,'[1]Tissue Data'!M:M)</f>
        <v>2.35</v>
      </c>
      <c r="K1229" t="s">
        <v>39</v>
      </c>
      <c r="L1229" t="str">
        <f>_xlfn.XLOOKUP(K1229,[2]analyte_order!$B:$B,[2]analyte_order!$C:$C)</f>
        <v>4151-50-2</v>
      </c>
      <c r="M1229">
        <f>_xlfn.XLOOKUP(L1229,[2]analyte_order!$C:$C,[2]analyte_order!$E:$E)</f>
        <v>31</v>
      </c>
      <c r="N1229">
        <v>8.2280588961220272E-2</v>
      </c>
    </row>
    <row r="1230" spans="1:14">
      <c r="A1230" t="s">
        <v>160</v>
      </c>
      <c r="B1230" t="str">
        <f>_xlfn.XLOOKUP(A1230,'[1]Tissue Data'!$A:$A,'[1]Tissue Data'!$C:$C)</f>
        <v>Down</v>
      </c>
      <c r="C1230" s="2">
        <f>_xlfn.XLOOKUP(A1230,'[1]Tissue Data'!$A:$A,'[1]Tissue Data'!$D:$D)</f>
        <v>44314</v>
      </c>
      <c r="D1230" s="2" t="s">
        <v>122</v>
      </c>
      <c r="E1230" t="str">
        <f>_xlfn.XLOOKUP(A1230,'[1]Tissue Data'!$A:$A,'[1]Tissue Data'!$H:$H)</f>
        <v>Etheostoma</v>
      </c>
      <c r="F1230" t="str">
        <f>_xlfn.XLOOKUP(A1230,'[1]Tissue Data'!$A:$A,'[1]Tissue Data'!$I:$I)</f>
        <v>olmstedi</v>
      </c>
      <c r="G1230" t="str">
        <f>_xlfn.XLOOKUP(A1230,'[1]Tissue Data'!$A:$A,'[1]Tissue Data'!J:J)</f>
        <v>U</v>
      </c>
      <c r="H1230" t="str">
        <f>_xlfn.XLOOKUP(A1230,'[1]Tissue Data'!$A:$A,'[1]Tissue Data'!K:K)</f>
        <v>Whole Body</v>
      </c>
      <c r="I1230">
        <f>_xlfn.XLOOKUP(A1230,'[1]Tissue Data'!$A:$A,'[1]Tissue Data'!L:L)</f>
        <v>6</v>
      </c>
      <c r="J1230">
        <f>_xlfn.XLOOKUP(A1230,'[1]Tissue Data'!$A:$A,'[1]Tissue Data'!M:M)</f>
        <v>2.35</v>
      </c>
      <c r="K1230" t="s">
        <v>40</v>
      </c>
      <c r="L1230" t="str">
        <f>_xlfn.XLOOKUP(K1230,[2]analyte_order!$B:$B,[2]analyte_order!$C:$C)</f>
        <v>2806-24-8</v>
      </c>
      <c r="M1230">
        <f>_xlfn.XLOOKUP(L1230,[2]analyte_order!$C:$C,[2]analyte_order!$E:$E)</f>
        <v>29</v>
      </c>
      <c r="N1230">
        <v>5.557736286763186E-2</v>
      </c>
    </row>
    <row r="1231" spans="1:14">
      <c r="A1231" t="s">
        <v>160</v>
      </c>
      <c r="B1231" t="str">
        <f>_xlfn.XLOOKUP(A1231,'[1]Tissue Data'!$A:$A,'[1]Tissue Data'!$C:$C)</f>
        <v>Down</v>
      </c>
      <c r="C1231" s="2">
        <f>_xlfn.XLOOKUP(A1231,'[1]Tissue Data'!$A:$A,'[1]Tissue Data'!$D:$D)</f>
        <v>44314</v>
      </c>
      <c r="D1231" s="2" t="s">
        <v>122</v>
      </c>
      <c r="E1231" t="str">
        <f>_xlfn.XLOOKUP(A1231,'[1]Tissue Data'!$A:$A,'[1]Tissue Data'!$H:$H)</f>
        <v>Etheostoma</v>
      </c>
      <c r="F1231" t="str">
        <f>_xlfn.XLOOKUP(A1231,'[1]Tissue Data'!$A:$A,'[1]Tissue Data'!$I:$I)</f>
        <v>olmstedi</v>
      </c>
      <c r="G1231" t="str">
        <f>_xlfn.XLOOKUP(A1231,'[1]Tissue Data'!$A:$A,'[1]Tissue Data'!J:J)</f>
        <v>U</v>
      </c>
      <c r="H1231" t="str">
        <f>_xlfn.XLOOKUP(A1231,'[1]Tissue Data'!$A:$A,'[1]Tissue Data'!K:K)</f>
        <v>Whole Body</v>
      </c>
      <c r="I1231">
        <f>_xlfn.XLOOKUP(A1231,'[1]Tissue Data'!$A:$A,'[1]Tissue Data'!L:L)</f>
        <v>6</v>
      </c>
      <c r="J1231">
        <f>_xlfn.XLOOKUP(A1231,'[1]Tissue Data'!$A:$A,'[1]Tissue Data'!M:M)</f>
        <v>2.35</v>
      </c>
      <c r="K1231" t="s">
        <v>41</v>
      </c>
      <c r="L1231" t="str">
        <f>_xlfn.XLOOKUP(K1231,[2]analyte_order!$B:$B,[2]analyte_order!$C:$C)</f>
        <v>2355-31-9</v>
      </c>
      <c r="M1231">
        <f>_xlfn.XLOOKUP(L1231,[2]analyte_order!$C:$C,[2]analyte_order!$E:$E)</f>
        <v>26</v>
      </c>
      <c r="N1231">
        <v>12.5</v>
      </c>
    </row>
    <row r="1232" spans="1:14">
      <c r="A1232" t="s">
        <v>160</v>
      </c>
      <c r="B1232" t="str">
        <f>_xlfn.XLOOKUP(A1232,'[1]Tissue Data'!$A:$A,'[1]Tissue Data'!$C:$C)</f>
        <v>Down</v>
      </c>
      <c r="C1232" s="2">
        <f>_xlfn.XLOOKUP(A1232,'[1]Tissue Data'!$A:$A,'[1]Tissue Data'!$D:$D)</f>
        <v>44314</v>
      </c>
      <c r="D1232" s="2" t="s">
        <v>122</v>
      </c>
      <c r="E1232" t="str">
        <f>_xlfn.XLOOKUP(A1232,'[1]Tissue Data'!$A:$A,'[1]Tissue Data'!$H:$H)</f>
        <v>Etheostoma</v>
      </c>
      <c r="F1232" t="str">
        <f>_xlfn.XLOOKUP(A1232,'[1]Tissue Data'!$A:$A,'[1]Tissue Data'!$I:$I)</f>
        <v>olmstedi</v>
      </c>
      <c r="G1232" t="str">
        <f>_xlfn.XLOOKUP(A1232,'[1]Tissue Data'!$A:$A,'[1]Tissue Data'!J:J)</f>
        <v>U</v>
      </c>
      <c r="H1232" t="str">
        <f>_xlfn.XLOOKUP(A1232,'[1]Tissue Data'!$A:$A,'[1]Tissue Data'!K:K)</f>
        <v>Whole Body</v>
      </c>
      <c r="I1232">
        <f>_xlfn.XLOOKUP(A1232,'[1]Tissue Data'!$A:$A,'[1]Tissue Data'!L:L)</f>
        <v>6</v>
      </c>
      <c r="J1232">
        <f>_xlfn.XLOOKUP(A1232,'[1]Tissue Data'!$A:$A,'[1]Tissue Data'!M:M)</f>
        <v>2.35</v>
      </c>
      <c r="K1232" t="s">
        <v>42</v>
      </c>
      <c r="L1232" t="str">
        <f>_xlfn.XLOOKUP(K1232,[2]analyte_order!$B:$B,[2]analyte_order!$C:$C)</f>
        <v>2991-50-6</v>
      </c>
      <c r="M1232">
        <f>_xlfn.XLOOKUP(L1232,[2]analyte_order!$C:$C,[2]analyte_order!$E:$E)</f>
        <v>27</v>
      </c>
      <c r="N1232">
        <v>0.19279156436520234</v>
      </c>
    </row>
    <row r="1233" spans="1:14">
      <c r="A1233" t="s">
        <v>160</v>
      </c>
      <c r="B1233" t="str">
        <f>_xlfn.XLOOKUP(A1233,'[1]Tissue Data'!$A:$A,'[1]Tissue Data'!$C:$C)</f>
        <v>Down</v>
      </c>
      <c r="C1233" s="2">
        <f>_xlfn.XLOOKUP(A1233,'[1]Tissue Data'!$A:$A,'[1]Tissue Data'!$D:$D)</f>
        <v>44314</v>
      </c>
      <c r="D1233" s="2" t="s">
        <v>122</v>
      </c>
      <c r="E1233" t="str">
        <f>_xlfn.XLOOKUP(A1233,'[1]Tissue Data'!$A:$A,'[1]Tissue Data'!$H:$H)</f>
        <v>Etheostoma</v>
      </c>
      <c r="F1233" t="str">
        <f>_xlfn.XLOOKUP(A1233,'[1]Tissue Data'!$A:$A,'[1]Tissue Data'!$I:$I)</f>
        <v>olmstedi</v>
      </c>
      <c r="G1233" t="str">
        <f>_xlfn.XLOOKUP(A1233,'[1]Tissue Data'!$A:$A,'[1]Tissue Data'!J:J)</f>
        <v>U</v>
      </c>
      <c r="H1233" t="str">
        <f>_xlfn.XLOOKUP(A1233,'[1]Tissue Data'!$A:$A,'[1]Tissue Data'!K:K)</f>
        <v>Whole Body</v>
      </c>
      <c r="I1233">
        <f>_xlfn.XLOOKUP(A1233,'[1]Tissue Data'!$A:$A,'[1]Tissue Data'!L:L)</f>
        <v>6</v>
      </c>
      <c r="J1233">
        <f>_xlfn.XLOOKUP(A1233,'[1]Tissue Data'!$A:$A,'[1]Tissue Data'!M:M)</f>
        <v>2.35</v>
      </c>
      <c r="K1233" t="s">
        <v>43</v>
      </c>
      <c r="L1233" t="str">
        <f>_xlfn.XLOOKUP(K1233,[2]analyte_order!$B:$B,[2]analyte_order!$C:$C)</f>
        <v>757124-72-4</v>
      </c>
      <c r="M1233">
        <f>_xlfn.XLOOKUP(L1233,[2]analyte_order!$C:$C,[2]analyte_order!$E:$E)</f>
        <v>22</v>
      </c>
      <c r="N1233">
        <v>5.7914955716649431E-2</v>
      </c>
    </row>
    <row r="1234" spans="1:14">
      <c r="A1234" t="s">
        <v>160</v>
      </c>
      <c r="B1234" t="str">
        <f>_xlfn.XLOOKUP(A1234,'[1]Tissue Data'!$A:$A,'[1]Tissue Data'!$C:$C)</f>
        <v>Down</v>
      </c>
      <c r="C1234" s="2">
        <f>_xlfn.XLOOKUP(A1234,'[1]Tissue Data'!$A:$A,'[1]Tissue Data'!$D:$D)</f>
        <v>44314</v>
      </c>
      <c r="D1234" s="2" t="s">
        <v>122</v>
      </c>
      <c r="E1234" t="str">
        <f>_xlfn.XLOOKUP(A1234,'[1]Tissue Data'!$A:$A,'[1]Tissue Data'!$H:$H)</f>
        <v>Etheostoma</v>
      </c>
      <c r="F1234" t="str">
        <f>_xlfn.XLOOKUP(A1234,'[1]Tissue Data'!$A:$A,'[1]Tissue Data'!$I:$I)</f>
        <v>olmstedi</v>
      </c>
      <c r="G1234" t="str">
        <f>_xlfn.XLOOKUP(A1234,'[1]Tissue Data'!$A:$A,'[1]Tissue Data'!J:J)</f>
        <v>U</v>
      </c>
      <c r="H1234" t="str">
        <f>_xlfn.XLOOKUP(A1234,'[1]Tissue Data'!$A:$A,'[1]Tissue Data'!K:K)</f>
        <v>Whole Body</v>
      </c>
      <c r="I1234">
        <f>_xlfn.XLOOKUP(A1234,'[1]Tissue Data'!$A:$A,'[1]Tissue Data'!L:L)</f>
        <v>6</v>
      </c>
      <c r="J1234">
        <f>_xlfn.XLOOKUP(A1234,'[1]Tissue Data'!$A:$A,'[1]Tissue Data'!M:M)</f>
        <v>2.35</v>
      </c>
      <c r="K1234" t="s">
        <v>44</v>
      </c>
      <c r="L1234" t="str">
        <f>_xlfn.XLOOKUP(K1234,[2]analyte_order!$B:$B,[2]analyte_order!$C:$C)</f>
        <v>27619-97-2</v>
      </c>
      <c r="M1234">
        <f>_xlfn.XLOOKUP(L1234,[2]analyte_order!$C:$C,[2]analyte_order!$E:$E)</f>
        <v>23</v>
      </c>
      <c r="N1234">
        <v>0.999</v>
      </c>
    </row>
    <row r="1235" spans="1:14">
      <c r="A1235" t="s">
        <v>160</v>
      </c>
      <c r="B1235" t="str">
        <f>_xlfn.XLOOKUP(A1235,'[1]Tissue Data'!$A:$A,'[1]Tissue Data'!$C:$C)</f>
        <v>Down</v>
      </c>
      <c r="C1235" s="2">
        <f>_xlfn.XLOOKUP(A1235,'[1]Tissue Data'!$A:$A,'[1]Tissue Data'!$D:$D)</f>
        <v>44314</v>
      </c>
      <c r="D1235" s="2" t="s">
        <v>122</v>
      </c>
      <c r="E1235" t="str">
        <f>_xlfn.XLOOKUP(A1235,'[1]Tissue Data'!$A:$A,'[1]Tissue Data'!$H:$H)</f>
        <v>Etheostoma</v>
      </c>
      <c r="F1235" t="str">
        <f>_xlfn.XLOOKUP(A1235,'[1]Tissue Data'!$A:$A,'[1]Tissue Data'!$I:$I)</f>
        <v>olmstedi</v>
      </c>
      <c r="G1235" t="str">
        <f>_xlfn.XLOOKUP(A1235,'[1]Tissue Data'!$A:$A,'[1]Tissue Data'!J:J)</f>
        <v>U</v>
      </c>
      <c r="H1235" t="str">
        <f>_xlfn.XLOOKUP(A1235,'[1]Tissue Data'!$A:$A,'[1]Tissue Data'!K:K)</f>
        <v>Whole Body</v>
      </c>
      <c r="I1235">
        <f>_xlfn.XLOOKUP(A1235,'[1]Tissue Data'!$A:$A,'[1]Tissue Data'!L:L)</f>
        <v>6</v>
      </c>
      <c r="J1235">
        <f>_xlfn.XLOOKUP(A1235,'[1]Tissue Data'!$A:$A,'[1]Tissue Data'!M:M)</f>
        <v>2.35</v>
      </c>
      <c r="K1235" t="s">
        <v>45</v>
      </c>
      <c r="L1235" t="str">
        <f>_xlfn.XLOOKUP(K1235,[2]analyte_order!$B:$B,[2]analyte_order!$C:$C)</f>
        <v>39108-34-4</v>
      </c>
      <c r="M1235">
        <f>_xlfn.XLOOKUP(L1235,[2]analyte_order!$C:$C,[2]analyte_order!$E:$E)</f>
        <v>24</v>
      </c>
      <c r="N1235">
        <v>2.72</v>
      </c>
    </row>
    <row r="1236" spans="1:14">
      <c r="A1236" t="s">
        <v>160</v>
      </c>
      <c r="B1236" t="str">
        <f>_xlfn.XLOOKUP(A1236,'[1]Tissue Data'!$A:$A,'[1]Tissue Data'!$C:$C)</f>
        <v>Down</v>
      </c>
      <c r="C1236" s="2">
        <f>_xlfn.XLOOKUP(A1236,'[1]Tissue Data'!$A:$A,'[1]Tissue Data'!$D:$D)</f>
        <v>44314</v>
      </c>
      <c r="D1236" s="2" t="s">
        <v>122</v>
      </c>
      <c r="E1236" t="str">
        <f>_xlfn.XLOOKUP(A1236,'[1]Tissue Data'!$A:$A,'[1]Tissue Data'!$H:$H)</f>
        <v>Etheostoma</v>
      </c>
      <c r="F1236" t="str">
        <f>_xlfn.XLOOKUP(A1236,'[1]Tissue Data'!$A:$A,'[1]Tissue Data'!$I:$I)</f>
        <v>olmstedi</v>
      </c>
      <c r="G1236" t="str">
        <f>_xlfn.XLOOKUP(A1236,'[1]Tissue Data'!$A:$A,'[1]Tissue Data'!J:J)</f>
        <v>U</v>
      </c>
      <c r="H1236" t="str">
        <f>_xlfn.XLOOKUP(A1236,'[1]Tissue Data'!$A:$A,'[1]Tissue Data'!K:K)</f>
        <v>Whole Body</v>
      </c>
      <c r="I1236">
        <f>_xlfn.XLOOKUP(A1236,'[1]Tissue Data'!$A:$A,'[1]Tissue Data'!L:L)</f>
        <v>6</v>
      </c>
      <c r="J1236">
        <f>_xlfn.XLOOKUP(A1236,'[1]Tissue Data'!$A:$A,'[1]Tissue Data'!M:M)</f>
        <v>2.35</v>
      </c>
      <c r="K1236" t="s">
        <v>46</v>
      </c>
      <c r="L1236" t="str">
        <f>_xlfn.XLOOKUP(K1236,[2]analyte_order!$B:$B,[2]analyte_order!$C:$C)</f>
        <v>120226-60-0</v>
      </c>
      <c r="M1236">
        <f>_xlfn.XLOOKUP(L1236,[2]analyte_order!$C:$C,[2]analyte_order!$E:$E)</f>
        <v>25</v>
      </c>
      <c r="N1236">
        <v>8.0060087280248202E-2</v>
      </c>
    </row>
    <row r="1237" spans="1:14">
      <c r="A1237" t="s">
        <v>160</v>
      </c>
      <c r="B1237" t="str">
        <f>_xlfn.XLOOKUP(A1237,'[1]Tissue Data'!$A:$A,'[1]Tissue Data'!$C:$C)</f>
        <v>Down</v>
      </c>
      <c r="C1237" s="2">
        <f>_xlfn.XLOOKUP(A1237,'[1]Tissue Data'!$A:$A,'[1]Tissue Data'!$D:$D)</f>
        <v>44314</v>
      </c>
      <c r="D1237" s="2" t="s">
        <v>122</v>
      </c>
      <c r="E1237" t="str">
        <f>_xlfn.XLOOKUP(A1237,'[1]Tissue Data'!$A:$A,'[1]Tissue Data'!$H:$H)</f>
        <v>Etheostoma</v>
      </c>
      <c r="F1237" t="str">
        <f>_xlfn.XLOOKUP(A1237,'[1]Tissue Data'!$A:$A,'[1]Tissue Data'!$I:$I)</f>
        <v>olmstedi</v>
      </c>
      <c r="G1237" t="str">
        <f>_xlfn.XLOOKUP(A1237,'[1]Tissue Data'!$A:$A,'[1]Tissue Data'!J:J)</f>
        <v>U</v>
      </c>
      <c r="H1237" t="str">
        <f>_xlfn.XLOOKUP(A1237,'[1]Tissue Data'!$A:$A,'[1]Tissue Data'!K:K)</f>
        <v>Whole Body</v>
      </c>
      <c r="I1237">
        <f>_xlfn.XLOOKUP(A1237,'[1]Tissue Data'!$A:$A,'[1]Tissue Data'!L:L)</f>
        <v>6</v>
      </c>
      <c r="J1237">
        <f>_xlfn.XLOOKUP(A1237,'[1]Tissue Data'!$A:$A,'[1]Tissue Data'!M:M)</f>
        <v>2.35</v>
      </c>
      <c r="K1237" t="s">
        <v>47</v>
      </c>
      <c r="L1237" t="str">
        <f>_xlfn.XLOOKUP(K1237,[2]analyte_order!$B:$B,[2]analyte_order!$C:$C)</f>
        <v>356-02-5</v>
      </c>
      <c r="M1237">
        <f>_xlfn.XLOOKUP(L1237,[2]analyte_order!$C:$C,[2]analyte_order!$E:$E)</f>
        <v>38</v>
      </c>
      <c r="N1237">
        <v>8.1330886047052728E-2</v>
      </c>
    </row>
    <row r="1238" spans="1:14">
      <c r="A1238" t="s">
        <v>160</v>
      </c>
      <c r="B1238" t="str">
        <f>_xlfn.XLOOKUP(A1238,'[1]Tissue Data'!$A:$A,'[1]Tissue Data'!$C:$C)</f>
        <v>Down</v>
      </c>
      <c r="C1238" s="2">
        <f>_xlfn.XLOOKUP(A1238,'[1]Tissue Data'!$A:$A,'[1]Tissue Data'!$D:$D)</f>
        <v>44314</v>
      </c>
      <c r="D1238" s="2" t="s">
        <v>122</v>
      </c>
      <c r="E1238" t="str">
        <f>_xlfn.XLOOKUP(A1238,'[1]Tissue Data'!$A:$A,'[1]Tissue Data'!$H:$H)</f>
        <v>Etheostoma</v>
      </c>
      <c r="F1238" t="str">
        <f>_xlfn.XLOOKUP(A1238,'[1]Tissue Data'!$A:$A,'[1]Tissue Data'!$I:$I)</f>
        <v>olmstedi</v>
      </c>
      <c r="G1238" t="str">
        <f>_xlfn.XLOOKUP(A1238,'[1]Tissue Data'!$A:$A,'[1]Tissue Data'!J:J)</f>
        <v>U</v>
      </c>
      <c r="H1238" t="str">
        <f>_xlfn.XLOOKUP(A1238,'[1]Tissue Data'!$A:$A,'[1]Tissue Data'!K:K)</f>
        <v>Whole Body</v>
      </c>
      <c r="I1238">
        <f>_xlfn.XLOOKUP(A1238,'[1]Tissue Data'!$A:$A,'[1]Tissue Data'!L:L)</f>
        <v>6</v>
      </c>
      <c r="J1238">
        <f>_xlfn.XLOOKUP(A1238,'[1]Tissue Data'!$A:$A,'[1]Tissue Data'!M:M)</f>
        <v>2.35</v>
      </c>
      <c r="K1238" t="s">
        <v>48</v>
      </c>
      <c r="L1238" t="str">
        <f>_xlfn.XLOOKUP(K1238,[2]analyte_order!$B:$B,[2]analyte_order!$C:$C)</f>
        <v>914637-49-3</v>
      </c>
      <c r="M1238">
        <f>_xlfn.XLOOKUP(L1238,[2]analyte_order!$C:$C,[2]analyte_order!$E:$E)</f>
        <v>39</v>
      </c>
      <c r="N1238">
        <v>0.16761839111786772</v>
      </c>
    </row>
    <row r="1239" spans="1:14">
      <c r="A1239" t="s">
        <v>160</v>
      </c>
      <c r="B1239" t="str">
        <f>_xlfn.XLOOKUP(A1239,'[1]Tissue Data'!$A:$A,'[1]Tissue Data'!$C:$C)</f>
        <v>Down</v>
      </c>
      <c r="C1239" s="2">
        <f>_xlfn.XLOOKUP(A1239,'[1]Tissue Data'!$A:$A,'[1]Tissue Data'!$D:$D)</f>
        <v>44314</v>
      </c>
      <c r="D1239" s="2" t="s">
        <v>122</v>
      </c>
      <c r="E1239" t="str">
        <f>_xlfn.XLOOKUP(A1239,'[1]Tissue Data'!$A:$A,'[1]Tissue Data'!$H:$H)</f>
        <v>Etheostoma</v>
      </c>
      <c r="F1239" t="str">
        <f>_xlfn.XLOOKUP(A1239,'[1]Tissue Data'!$A:$A,'[1]Tissue Data'!$I:$I)</f>
        <v>olmstedi</v>
      </c>
      <c r="G1239" t="str">
        <f>_xlfn.XLOOKUP(A1239,'[1]Tissue Data'!$A:$A,'[1]Tissue Data'!J:J)</f>
        <v>U</v>
      </c>
      <c r="H1239" t="str">
        <f>_xlfn.XLOOKUP(A1239,'[1]Tissue Data'!$A:$A,'[1]Tissue Data'!K:K)</f>
        <v>Whole Body</v>
      </c>
      <c r="I1239">
        <f>_xlfn.XLOOKUP(A1239,'[1]Tissue Data'!$A:$A,'[1]Tissue Data'!L:L)</f>
        <v>6</v>
      </c>
      <c r="J1239">
        <f>_xlfn.XLOOKUP(A1239,'[1]Tissue Data'!$A:$A,'[1]Tissue Data'!M:M)</f>
        <v>2.35</v>
      </c>
      <c r="K1239" t="s">
        <v>49</v>
      </c>
      <c r="L1239" t="str">
        <f>_xlfn.XLOOKUP(K1239,[2]analyte_order!$B:$B,[2]analyte_order!$C:$C)</f>
        <v>812-70-4</v>
      </c>
      <c r="M1239">
        <f>_xlfn.XLOOKUP(L1239,[2]analyte_order!$C:$C,[2]analyte_order!$E:$E)</f>
        <v>40</v>
      </c>
      <c r="N1239">
        <v>3.07</v>
      </c>
    </row>
    <row r="1240" spans="1:14">
      <c r="A1240" t="s">
        <v>160</v>
      </c>
      <c r="B1240" t="str">
        <f>_xlfn.XLOOKUP(A1240,'[1]Tissue Data'!$A:$A,'[1]Tissue Data'!$C:$C)</f>
        <v>Down</v>
      </c>
      <c r="C1240" s="2">
        <f>_xlfn.XLOOKUP(A1240,'[1]Tissue Data'!$A:$A,'[1]Tissue Data'!$D:$D)</f>
        <v>44314</v>
      </c>
      <c r="D1240" s="2" t="s">
        <v>122</v>
      </c>
      <c r="E1240" t="str">
        <f>_xlfn.XLOOKUP(A1240,'[1]Tissue Data'!$A:$A,'[1]Tissue Data'!$H:$H)</f>
        <v>Etheostoma</v>
      </c>
      <c r="F1240" t="str">
        <f>_xlfn.XLOOKUP(A1240,'[1]Tissue Data'!$A:$A,'[1]Tissue Data'!$I:$I)</f>
        <v>olmstedi</v>
      </c>
      <c r="G1240" t="str">
        <f>_xlfn.XLOOKUP(A1240,'[1]Tissue Data'!$A:$A,'[1]Tissue Data'!J:J)</f>
        <v>U</v>
      </c>
      <c r="H1240" t="str">
        <f>_xlfn.XLOOKUP(A1240,'[1]Tissue Data'!$A:$A,'[1]Tissue Data'!K:K)</f>
        <v>Whole Body</v>
      </c>
      <c r="I1240">
        <f>_xlfn.XLOOKUP(A1240,'[1]Tissue Data'!$A:$A,'[1]Tissue Data'!L:L)</f>
        <v>6</v>
      </c>
      <c r="J1240">
        <f>_xlfn.XLOOKUP(A1240,'[1]Tissue Data'!$A:$A,'[1]Tissue Data'!M:M)</f>
        <v>2.35</v>
      </c>
      <c r="K1240" t="s">
        <v>50</v>
      </c>
      <c r="L1240" t="str">
        <f>_xlfn.XLOOKUP(K1240,[2]analyte_order!$B:$B,[2]analyte_order!$C:$C)</f>
        <v>53826-12-3</v>
      </c>
      <c r="M1240">
        <f>_xlfn.XLOOKUP(L1240,[2]analyte_order!$C:$C,[2]analyte_order!$E:$E)</f>
        <v>41</v>
      </c>
      <c r="N1240">
        <v>3.53</v>
      </c>
    </row>
    <row r="1241" spans="1:14">
      <c r="A1241" t="s">
        <v>160</v>
      </c>
      <c r="B1241" t="str">
        <f>_xlfn.XLOOKUP(A1241,'[1]Tissue Data'!$A:$A,'[1]Tissue Data'!$C:$C)</f>
        <v>Down</v>
      </c>
      <c r="C1241" s="2">
        <f>_xlfn.XLOOKUP(A1241,'[1]Tissue Data'!$A:$A,'[1]Tissue Data'!$D:$D)</f>
        <v>44314</v>
      </c>
      <c r="D1241" s="2" t="s">
        <v>122</v>
      </c>
      <c r="E1241" t="str">
        <f>_xlfn.XLOOKUP(A1241,'[1]Tissue Data'!$A:$A,'[1]Tissue Data'!$H:$H)</f>
        <v>Etheostoma</v>
      </c>
      <c r="F1241" t="str">
        <f>_xlfn.XLOOKUP(A1241,'[1]Tissue Data'!$A:$A,'[1]Tissue Data'!$I:$I)</f>
        <v>olmstedi</v>
      </c>
      <c r="G1241" t="str">
        <f>_xlfn.XLOOKUP(A1241,'[1]Tissue Data'!$A:$A,'[1]Tissue Data'!J:J)</f>
        <v>U</v>
      </c>
      <c r="H1241" t="str">
        <f>_xlfn.XLOOKUP(A1241,'[1]Tissue Data'!$A:$A,'[1]Tissue Data'!K:K)</f>
        <v>Whole Body</v>
      </c>
      <c r="I1241">
        <f>_xlfn.XLOOKUP(A1241,'[1]Tissue Data'!$A:$A,'[1]Tissue Data'!L:L)</f>
        <v>6</v>
      </c>
      <c r="J1241">
        <f>_xlfn.XLOOKUP(A1241,'[1]Tissue Data'!$A:$A,'[1]Tissue Data'!M:M)</f>
        <v>2.35</v>
      </c>
      <c r="K1241" t="s">
        <v>51</v>
      </c>
      <c r="L1241" t="str">
        <f>_xlfn.XLOOKUP(K1241,[2]analyte_order!$B:$B,[2]analyte_order!$C:$C)</f>
        <v>27854-31-5</v>
      </c>
      <c r="M1241">
        <f>_xlfn.XLOOKUP(L1241,[2]analyte_order!$C:$C,[2]analyte_order!$E:$E)</f>
        <v>42</v>
      </c>
      <c r="N1241">
        <v>8.8845014807502468E-2</v>
      </c>
    </row>
    <row r="1242" spans="1:14">
      <c r="A1242" t="s">
        <v>160</v>
      </c>
      <c r="B1242" t="str">
        <f>_xlfn.XLOOKUP(A1242,'[1]Tissue Data'!$A:$A,'[1]Tissue Data'!$C:$C)</f>
        <v>Down</v>
      </c>
      <c r="C1242" s="2">
        <f>_xlfn.XLOOKUP(A1242,'[1]Tissue Data'!$A:$A,'[1]Tissue Data'!$D:$D)</f>
        <v>44314</v>
      </c>
      <c r="D1242" s="2" t="s">
        <v>122</v>
      </c>
      <c r="E1242" t="str">
        <f>_xlfn.XLOOKUP(A1242,'[1]Tissue Data'!$A:$A,'[1]Tissue Data'!$H:$H)</f>
        <v>Etheostoma</v>
      </c>
      <c r="F1242" t="str">
        <f>_xlfn.XLOOKUP(A1242,'[1]Tissue Data'!$A:$A,'[1]Tissue Data'!$I:$I)</f>
        <v>olmstedi</v>
      </c>
      <c r="G1242" t="str">
        <f>_xlfn.XLOOKUP(A1242,'[1]Tissue Data'!$A:$A,'[1]Tissue Data'!J:J)</f>
        <v>U</v>
      </c>
      <c r="H1242" t="str">
        <f>_xlfn.XLOOKUP(A1242,'[1]Tissue Data'!$A:$A,'[1]Tissue Data'!K:K)</f>
        <v>Whole Body</v>
      </c>
      <c r="I1242">
        <f>_xlfn.XLOOKUP(A1242,'[1]Tissue Data'!$A:$A,'[1]Tissue Data'!L:L)</f>
        <v>6</v>
      </c>
      <c r="J1242">
        <f>_xlfn.XLOOKUP(A1242,'[1]Tissue Data'!$A:$A,'[1]Tissue Data'!M:M)</f>
        <v>2.35</v>
      </c>
      <c r="K1242" t="s">
        <v>52</v>
      </c>
      <c r="L1242" t="str">
        <f>_xlfn.XLOOKUP(K1242,[2]analyte_order!$B:$B,[2]analyte_order!$C:$C)</f>
        <v>53826-13-4</v>
      </c>
      <c r="M1242">
        <f>_xlfn.XLOOKUP(L1242,[2]analyte_order!$C:$C,[2]analyte_order!$E:$E)</f>
        <v>43</v>
      </c>
      <c r="N1242">
        <v>0.10521240771406414</v>
      </c>
    </row>
    <row r="1243" spans="1:14">
      <c r="A1243" t="s">
        <v>160</v>
      </c>
      <c r="B1243" t="str">
        <f>_xlfn.XLOOKUP(A1243,'[1]Tissue Data'!$A:$A,'[1]Tissue Data'!$C:$C)</f>
        <v>Down</v>
      </c>
      <c r="C1243" s="2">
        <f>_xlfn.XLOOKUP(A1243,'[1]Tissue Data'!$A:$A,'[1]Tissue Data'!$D:$D)</f>
        <v>44314</v>
      </c>
      <c r="D1243" s="2" t="s">
        <v>122</v>
      </c>
      <c r="E1243" t="str">
        <f>_xlfn.XLOOKUP(A1243,'[1]Tissue Data'!$A:$A,'[1]Tissue Data'!$H:$H)</f>
        <v>Etheostoma</v>
      </c>
      <c r="F1243" t="str">
        <f>_xlfn.XLOOKUP(A1243,'[1]Tissue Data'!$A:$A,'[1]Tissue Data'!$I:$I)</f>
        <v>olmstedi</v>
      </c>
      <c r="G1243" t="str">
        <f>_xlfn.XLOOKUP(A1243,'[1]Tissue Data'!$A:$A,'[1]Tissue Data'!J:J)</f>
        <v>U</v>
      </c>
      <c r="H1243" t="str">
        <f>_xlfn.XLOOKUP(A1243,'[1]Tissue Data'!$A:$A,'[1]Tissue Data'!K:K)</f>
        <v>Whole Body</v>
      </c>
      <c r="I1243">
        <f>_xlfn.XLOOKUP(A1243,'[1]Tissue Data'!$A:$A,'[1]Tissue Data'!L:L)</f>
        <v>6</v>
      </c>
      <c r="J1243">
        <f>_xlfn.XLOOKUP(A1243,'[1]Tissue Data'!$A:$A,'[1]Tissue Data'!M:M)</f>
        <v>2.35</v>
      </c>
      <c r="K1243" t="s">
        <v>53</v>
      </c>
      <c r="L1243" t="str">
        <f>_xlfn.XLOOKUP(K1243,[2]analyte_order!$B:$B,[2]analyte_order!$C:$C)</f>
        <v>161094-75-3</v>
      </c>
      <c r="M1243">
        <f>_xlfn.XLOOKUP(L1243,[2]analyte_order!$C:$C,[2]analyte_order!$E:$E)</f>
        <v>44</v>
      </c>
      <c r="N1243">
        <v>5.5363110943123066E-2</v>
      </c>
    </row>
    <row r="1244" spans="1:14">
      <c r="A1244" t="s">
        <v>160</v>
      </c>
      <c r="B1244" t="str">
        <f>_xlfn.XLOOKUP(A1244,'[1]Tissue Data'!$A:$A,'[1]Tissue Data'!$C:$C)</f>
        <v>Down</v>
      </c>
      <c r="C1244" s="2">
        <f>_xlfn.XLOOKUP(A1244,'[1]Tissue Data'!$A:$A,'[1]Tissue Data'!$D:$D)</f>
        <v>44314</v>
      </c>
      <c r="D1244" s="2" t="s">
        <v>122</v>
      </c>
      <c r="E1244" t="str">
        <f>_xlfn.XLOOKUP(A1244,'[1]Tissue Data'!$A:$A,'[1]Tissue Data'!$H:$H)</f>
        <v>Etheostoma</v>
      </c>
      <c r="F1244" t="str">
        <f>_xlfn.XLOOKUP(A1244,'[1]Tissue Data'!$A:$A,'[1]Tissue Data'!$I:$I)</f>
        <v>olmstedi</v>
      </c>
      <c r="G1244" t="str">
        <f>_xlfn.XLOOKUP(A1244,'[1]Tissue Data'!$A:$A,'[1]Tissue Data'!J:J)</f>
        <v>U</v>
      </c>
      <c r="H1244" t="str">
        <f>_xlfn.XLOOKUP(A1244,'[1]Tissue Data'!$A:$A,'[1]Tissue Data'!K:K)</f>
        <v>Whole Body</v>
      </c>
      <c r="I1244">
        <f>_xlfn.XLOOKUP(A1244,'[1]Tissue Data'!$A:$A,'[1]Tissue Data'!L:L)</f>
        <v>6</v>
      </c>
      <c r="J1244">
        <f>_xlfn.XLOOKUP(A1244,'[1]Tissue Data'!$A:$A,'[1]Tissue Data'!M:M)</f>
        <v>2.35</v>
      </c>
      <c r="K1244" t="s">
        <v>54</v>
      </c>
      <c r="L1244" t="str">
        <f>_xlfn.XLOOKUP(K1244,[2]analyte_order!$B:$B,[2]analyte_order!$C:$C)</f>
        <v>70887-84-2</v>
      </c>
      <c r="M1244">
        <f>_xlfn.XLOOKUP(L1244,[2]analyte_order!$C:$C,[2]analyte_order!$E:$E)</f>
        <v>45</v>
      </c>
      <c r="N1244">
        <v>4.2608667553929683E-2</v>
      </c>
    </row>
    <row r="1245" spans="1:14">
      <c r="A1245" t="s">
        <v>160</v>
      </c>
      <c r="B1245" t="str">
        <f>_xlfn.XLOOKUP(A1245,'[1]Tissue Data'!$A:$A,'[1]Tissue Data'!$C:$C)</f>
        <v>Down</v>
      </c>
      <c r="C1245" s="2">
        <f>_xlfn.XLOOKUP(A1245,'[1]Tissue Data'!$A:$A,'[1]Tissue Data'!$D:$D)</f>
        <v>44314</v>
      </c>
      <c r="D1245" s="2" t="s">
        <v>122</v>
      </c>
      <c r="E1245" t="str">
        <f>_xlfn.XLOOKUP(A1245,'[1]Tissue Data'!$A:$A,'[1]Tissue Data'!$H:$H)</f>
        <v>Etheostoma</v>
      </c>
      <c r="F1245" t="str">
        <f>_xlfn.XLOOKUP(A1245,'[1]Tissue Data'!$A:$A,'[1]Tissue Data'!$I:$I)</f>
        <v>olmstedi</v>
      </c>
      <c r="G1245" t="str">
        <f>_xlfn.XLOOKUP(A1245,'[1]Tissue Data'!$A:$A,'[1]Tissue Data'!J:J)</f>
        <v>U</v>
      </c>
      <c r="H1245" t="str">
        <f>_xlfn.XLOOKUP(A1245,'[1]Tissue Data'!$A:$A,'[1]Tissue Data'!K:K)</f>
        <v>Whole Body</v>
      </c>
      <c r="I1245">
        <f>_xlfn.XLOOKUP(A1245,'[1]Tissue Data'!$A:$A,'[1]Tissue Data'!L:L)</f>
        <v>6</v>
      </c>
      <c r="J1245">
        <f>_xlfn.XLOOKUP(A1245,'[1]Tissue Data'!$A:$A,'[1]Tissue Data'!M:M)</f>
        <v>2.35</v>
      </c>
      <c r="K1245" t="s">
        <v>55</v>
      </c>
      <c r="L1245" t="str">
        <f>_xlfn.XLOOKUP(K1245,[2]analyte_order!$B:$B,[2]analyte_order!$C:$C)</f>
        <v>919005-14-4</v>
      </c>
      <c r="M1245">
        <f>_xlfn.XLOOKUP(L1245,[2]analyte_order!$C:$C,[2]analyte_order!$E:$E)</f>
        <v>35</v>
      </c>
      <c r="N1245">
        <v>7.0508602049450045E-2</v>
      </c>
    </row>
    <row r="1246" spans="1:14">
      <c r="A1246" t="s">
        <v>160</v>
      </c>
      <c r="B1246" t="str">
        <f>_xlfn.XLOOKUP(A1246,'[1]Tissue Data'!$A:$A,'[1]Tissue Data'!$C:$C)</f>
        <v>Down</v>
      </c>
      <c r="C1246" s="2">
        <f>_xlfn.XLOOKUP(A1246,'[1]Tissue Data'!$A:$A,'[1]Tissue Data'!$D:$D)</f>
        <v>44314</v>
      </c>
      <c r="D1246" s="2" t="s">
        <v>122</v>
      </c>
      <c r="E1246" t="str">
        <f>_xlfn.XLOOKUP(A1246,'[1]Tissue Data'!$A:$A,'[1]Tissue Data'!$H:$H)</f>
        <v>Etheostoma</v>
      </c>
      <c r="F1246" t="str">
        <f>_xlfn.XLOOKUP(A1246,'[1]Tissue Data'!$A:$A,'[1]Tissue Data'!$I:$I)</f>
        <v>olmstedi</v>
      </c>
      <c r="G1246" t="str">
        <f>_xlfn.XLOOKUP(A1246,'[1]Tissue Data'!$A:$A,'[1]Tissue Data'!J:J)</f>
        <v>U</v>
      </c>
      <c r="H1246" t="str">
        <f>_xlfn.XLOOKUP(A1246,'[1]Tissue Data'!$A:$A,'[1]Tissue Data'!K:K)</f>
        <v>Whole Body</v>
      </c>
      <c r="I1246">
        <f>_xlfn.XLOOKUP(A1246,'[1]Tissue Data'!$A:$A,'[1]Tissue Data'!L:L)</f>
        <v>6</v>
      </c>
      <c r="J1246">
        <f>_xlfn.XLOOKUP(A1246,'[1]Tissue Data'!$A:$A,'[1]Tissue Data'!M:M)</f>
        <v>2.35</v>
      </c>
      <c r="K1246" t="s">
        <v>56</v>
      </c>
      <c r="L1246" t="str">
        <f>_xlfn.XLOOKUP(K1246,[2]analyte_order!$B:$B,[2]analyte_order!$C:$C)</f>
        <v>756426-58-1</v>
      </c>
      <c r="M1246">
        <f>_xlfn.XLOOKUP(L1246,[2]analyte_order!$C:$C,[2]analyte_order!$E:$E)</f>
        <v>36</v>
      </c>
      <c r="N1246">
        <v>4.8940488805067218E-2</v>
      </c>
    </row>
    <row r="1247" spans="1:14">
      <c r="A1247" t="s">
        <v>160</v>
      </c>
      <c r="B1247" t="str">
        <f>_xlfn.XLOOKUP(A1247,'[1]Tissue Data'!$A:$A,'[1]Tissue Data'!$C:$C)</f>
        <v>Down</v>
      </c>
      <c r="C1247" s="2">
        <f>_xlfn.XLOOKUP(A1247,'[1]Tissue Data'!$A:$A,'[1]Tissue Data'!$D:$D)</f>
        <v>44314</v>
      </c>
      <c r="D1247" s="2" t="s">
        <v>122</v>
      </c>
      <c r="E1247" t="str">
        <f>_xlfn.XLOOKUP(A1247,'[1]Tissue Data'!$A:$A,'[1]Tissue Data'!$H:$H)</f>
        <v>Etheostoma</v>
      </c>
      <c r="F1247" t="str">
        <f>_xlfn.XLOOKUP(A1247,'[1]Tissue Data'!$A:$A,'[1]Tissue Data'!$I:$I)</f>
        <v>olmstedi</v>
      </c>
      <c r="G1247" t="str">
        <f>_xlfn.XLOOKUP(A1247,'[1]Tissue Data'!$A:$A,'[1]Tissue Data'!J:J)</f>
        <v>U</v>
      </c>
      <c r="H1247" t="str">
        <f>_xlfn.XLOOKUP(A1247,'[1]Tissue Data'!$A:$A,'[1]Tissue Data'!K:K)</f>
        <v>Whole Body</v>
      </c>
      <c r="I1247">
        <f>_xlfn.XLOOKUP(A1247,'[1]Tissue Data'!$A:$A,'[1]Tissue Data'!L:L)</f>
        <v>6</v>
      </c>
      <c r="J1247">
        <f>_xlfn.XLOOKUP(A1247,'[1]Tissue Data'!$A:$A,'[1]Tissue Data'!M:M)</f>
        <v>2.35</v>
      </c>
      <c r="K1247" t="s">
        <v>57</v>
      </c>
      <c r="L1247" t="str">
        <f>_xlfn.XLOOKUP(K1247,[2]analyte_order!$B:$B,[2]analyte_order!$C:$C)</f>
        <v>763051-92-9</v>
      </c>
      <c r="M1247">
        <f>_xlfn.XLOOKUP(L1247,[2]analyte_order!$C:$C,[2]analyte_order!$E:$E)</f>
        <v>37</v>
      </c>
      <c r="N1247">
        <v>5.5560111780248195E-2</v>
      </c>
    </row>
    <row r="1248" spans="1:14">
      <c r="A1248" t="s">
        <v>160</v>
      </c>
      <c r="B1248" t="str">
        <f>_xlfn.XLOOKUP(A1248,'[1]Tissue Data'!$A:$A,'[1]Tissue Data'!$C:$C)</f>
        <v>Down</v>
      </c>
      <c r="C1248" s="2">
        <f>_xlfn.XLOOKUP(A1248,'[1]Tissue Data'!$A:$A,'[1]Tissue Data'!$D:$D)</f>
        <v>44314</v>
      </c>
      <c r="D1248" s="2" t="s">
        <v>122</v>
      </c>
      <c r="E1248" t="str">
        <f>_xlfn.XLOOKUP(A1248,'[1]Tissue Data'!$A:$A,'[1]Tissue Data'!$H:$H)</f>
        <v>Etheostoma</v>
      </c>
      <c r="F1248" t="str">
        <f>_xlfn.XLOOKUP(A1248,'[1]Tissue Data'!$A:$A,'[1]Tissue Data'!$I:$I)</f>
        <v>olmstedi</v>
      </c>
      <c r="G1248" t="str">
        <f>_xlfn.XLOOKUP(A1248,'[1]Tissue Data'!$A:$A,'[1]Tissue Data'!J:J)</f>
        <v>U</v>
      </c>
      <c r="H1248" t="str">
        <f>_xlfn.XLOOKUP(A1248,'[1]Tissue Data'!$A:$A,'[1]Tissue Data'!K:K)</f>
        <v>Whole Body</v>
      </c>
      <c r="I1248">
        <f>_xlfn.XLOOKUP(A1248,'[1]Tissue Data'!$A:$A,'[1]Tissue Data'!L:L)</f>
        <v>6</v>
      </c>
      <c r="J1248">
        <f>_xlfn.XLOOKUP(A1248,'[1]Tissue Data'!$A:$A,'[1]Tissue Data'!M:M)</f>
        <v>2.35</v>
      </c>
      <c r="K1248" t="s">
        <v>58</v>
      </c>
      <c r="L1248" t="str">
        <f>_xlfn.XLOOKUP(K1248,[2]analyte_order!$B:$B,[2]analyte_order!$C:$C)</f>
        <v>13252-13-6</v>
      </c>
      <c r="M1248">
        <f>_xlfn.XLOOKUP(L1248,[2]analyte_order!$C:$C,[2]analyte_order!$E:$E)</f>
        <v>34</v>
      </c>
      <c r="N1248">
        <v>0.1011818580170631</v>
      </c>
    </row>
    <row r="1249" spans="1:14">
      <c r="A1249" t="s">
        <v>160</v>
      </c>
      <c r="B1249" t="str">
        <f>_xlfn.XLOOKUP(A1249,'[1]Tissue Data'!$A:$A,'[1]Tissue Data'!$C:$C)</f>
        <v>Down</v>
      </c>
      <c r="C1249" s="2">
        <f>_xlfn.XLOOKUP(A1249,'[1]Tissue Data'!$A:$A,'[1]Tissue Data'!$D:$D)</f>
        <v>44314</v>
      </c>
      <c r="D1249" s="2" t="s">
        <v>122</v>
      </c>
      <c r="E1249" t="str">
        <f>_xlfn.XLOOKUP(A1249,'[1]Tissue Data'!$A:$A,'[1]Tissue Data'!$H:$H)</f>
        <v>Etheostoma</v>
      </c>
      <c r="F1249" t="str">
        <f>_xlfn.XLOOKUP(A1249,'[1]Tissue Data'!$A:$A,'[1]Tissue Data'!$I:$I)</f>
        <v>olmstedi</v>
      </c>
      <c r="G1249" t="str">
        <f>_xlfn.XLOOKUP(A1249,'[1]Tissue Data'!$A:$A,'[1]Tissue Data'!J:J)</f>
        <v>U</v>
      </c>
      <c r="H1249" t="str">
        <f>_xlfn.XLOOKUP(A1249,'[1]Tissue Data'!$A:$A,'[1]Tissue Data'!K:K)</f>
        <v>Whole Body</v>
      </c>
      <c r="I1249">
        <f>_xlfn.XLOOKUP(A1249,'[1]Tissue Data'!$A:$A,'[1]Tissue Data'!L:L)</f>
        <v>6</v>
      </c>
      <c r="J1249">
        <f>_xlfn.XLOOKUP(A1249,'[1]Tissue Data'!$A:$A,'[1]Tissue Data'!M:M)</f>
        <v>2.35</v>
      </c>
      <c r="K1249" t="s">
        <v>59</v>
      </c>
      <c r="L1249" t="str">
        <f>_xlfn.XLOOKUP(K1249,[2]analyte_order!$B:$B,[2]analyte_order!$C:$C)</f>
        <v>57677-95-9</v>
      </c>
      <c r="M1249">
        <f>_xlfn.XLOOKUP(L1249,[2]analyte_order!$C:$C,[2]analyte_order!$E:$E)</f>
        <v>46</v>
      </c>
      <c r="N1249">
        <v>7.5058447081178897E-2</v>
      </c>
    </row>
    <row r="1250" spans="1:14">
      <c r="A1250" t="s">
        <v>160</v>
      </c>
      <c r="B1250" t="str">
        <f>_xlfn.XLOOKUP(A1250,'[1]Tissue Data'!$A:$A,'[1]Tissue Data'!$C:$C)</f>
        <v>Down</v>
      </c>
      <c r="C1250" s="2">
        <f>_xlfn.XLOOKUP(A1250,'[1]Tissue Data'!$A:$A,'[1]Tissue Data'!$D:$D)</f>
        <v>44314</v>
      </c>
      <c r="D1250" s="2" t="s">
        <v>122</v>
      </c>
      <c r="E1250" t="str">
        <f>_xlfn.XLOOKUP(A1250,'[1]Tissue Data'!$A:$A,'[1]Tissue Data'!$H:$H)</f>
        <v>Etheostoma</v>
      </c>
      <c r="F1250" t="str">
        <f>_xlfn.XLOOKUP(A1250,'[1]Tissue Data'!$A:$A,'[1]Tissue Data'!$I:$I)</f>
        <v>olmstedi</v>
      </c>
      <c r="G1250" t="str">
        <f>_xlfn.XLOOKUP(A1250,'[1]Tissue Data'!$A:$A,'[1]Tissue Data'!J:J)</f>
        <v>U</v>
      </c>
      <c r="H1250" t="str">
        <f>_xlfn.XLOOKUP(A1250,'[1]Tissue Data'!$A:$A,'[1]Tissue Data'!K:K)</f>
        <v>Whole Body</v>
      </c>
      <c r="I1250">
        <f>_xlfn.XLOOKUP(A1250,'[1]Tissue Data'!$A:$A,'[1]Tissue Data'!L:L)</f>
        <v>6</v>
      </c>
      <c r="J1250">
        <f>_xlfn.XLOOKUP(A1250,'[1]Tissue Data'!$A:$A,'[1]Tissue Data'!M:M)</f>
        <v>2.35</v>
      </c>
      <c r="K1250" t="s">
        <v>60</v>
      </c>
      <c r="L1250" t="str">
        <f>_xlfn.XLOOKUP(K1250,[2]analyte_order!$B:$B,[2]analyte_order!$C:$C)</f>
        <v>678-41-1</v>
      </c>
      <c r="M1250">
        <f>_xlfn.XLOOKUP(L1250,[2]analyte_order!$C:$C,[2]analyte_order!$E:$E)</f>
        <v>56</v>
      </c>
      <c r="N1250">
        <v>9.3481292247673209E-2</v>
      </c>
    </row>
    <row r="1251" spans="1:14">
      <c r="A1251" t="s">
        <v>160</v>
      </c>
      <c r="B1251" t="str">
        <f>_xlfn.XLOOKUP(A1251,'[1]Tissue Data'!$A:$A,'[1]Tissue Data'!$C:$C)</f>
        <v>Down</v>
      </c>
      <c r="C1251" s="2">
        <f>_xlfn.XLOOKUP(A1251,'[1]Tissue Data'!$A:$A,'[1]Tissue Data'!$D:$D)</f>
        <v>44314</v>
      </c>
      <c r="D1251" s="2" t="s">
        <v>122</v>
      </c>
      <c r="E1251" t="str">
        <f>_xlfn.XLOOKUP(A1251,'[1]Tissue Data'!$A:$A,'[1]Tissue Data'!$H:$H)</f>
        <v>Etheostoma</v>
      </c>
      <c r="F1251" t="str">
        <f>_xlfn.XLOOKUP(A1251,'[1]Tissue Data'!$A:$A,'[1]Tissue Data'!$I:$I)</f>
        <v>olmstedi</v>
      </c>
      <c r="G1251" t="str">
        <f>_xlfn.XLOOKUP(A1251,'[1]Tissue Data'!$A:$A,'[1]Tissue Data'!J:J)</f>
        <v>U</v>
      </c>
      <c r="H1251" t="str">
        <f>_xlfn.XLOOKUP(A1251,'[1]Tissue Data'!$A:$A,'[1]Tissue Data'!K:K)</f>
        <v>Whole Body</v>
      </c>
      <c r="I1251">
        <f>_xlfn.XLOOKUP(A1251,'[1]Tissue Data'!$A:$A,'[1]Tissue Data'!L:L)</f>
        <v>6</v>
      </c>
      <c r="J1251">
        <f>_xlfn.XLOOKUP(A1251,'[1]Tissue Data'!$A:$A,'[1]Tissue Data'!M:M)</f>
        <v>2.35</v>
      </c>
      <c r="K1251" t="s">
        <v>61</v>
      </c>
      <c r="L1251" t="str">
        <f>_xlfn.XLOOKUP(K1251,[2]analyte_order!$B:$B,[2]analyte_order!$C:$C)</f>
        <v>2965-52-8</v>
      </c>
      <c r="M1251">
        <f>_xlfn.XLOOKUP(L1251,[2]analyte_order!$C:$C,[2]analyte_order!$E:$E)</f>
        <v>57</v>
      </c>
      <c r="N1251">
        <v>0.12409513960703206</v>
      </c>
    </row>
    <row r="1252" spans="1:14">
      <c r="A1252" t="s">
        <v>214</v>
      </c>
      <c r="B1252" t="str">
        <f>_xlfn.XLOOKUP(A1252,'[1]Tissue Data'!$A:$A,'[1]Tissue Data'!$C:$C)</f>
        <v>Down</v>
      </c>
      <c r="C1252" s="2">
        <f>_xlfn.XLOOKUP(A1252,'[1]Tissue Data'!$A:$A,'[1]Tissue Data'!$D:$D)</f>
        <v>44314</v>
      </c>
      <c r="D1252" s="2" t="str">
        <f>_xlfn.XLOOKUP(A1252,'[1]Tissue Data'!$A:$A,'[1]Tissue Data'!$F:$F)</f>
        <v>Margined Madtom</v>
      </c>
      <c r="E1252" t="str">
        <f>_xlfn.XLOOKUP(A1252,'[1]Tissue Data'!$A:$A,'[1]Tissue Data'!$H:$H)</f>
        <v>Noturus</v>
      </c>
      <c r="F1252" t="str">
        <f>_xlfn.XLOOKUP(A1252,'[1]Tissue Data'!$A:$A,'[1]Tissue Data'!$I:$I)</f>
        <v>insignis</v>
      </c>
      <c r="G1252" t="str">
        <f>_xlfn.XLOOKUP(A1252,'[1]Tissue Data'!$A:$A,'[1]Tissue Data'!J:J)</f>
        <v>U</v>
      </c>
      <c r="H1252" t="str">
        <f>_xlfn.XLOOKUP(A1252,'[1]Tissue Data'!$A:$A,'[1]Tissue Data'!K:K)</f>
        <v>Whole Body</v>
      </c>
      <c r="I1252">
        <f>_xlfn.XLOOKUP(A1252,'[1]Tissue Data'!$A:$A,'[1]Tissue Data'!L:L)</f>
        <v>5</v>
      </c>
      <c r="J1252">
        <f>_xlfn.XLOOKUP(A1252,'[1]Tissue Data'!$A:$A,'[1]Tissue Data'!M:M)</f>
        <v>1.35</v>
      </c>
      <c r="K1252" t="s">
        <v>12</v>
      </c>
      <c r="L1252" t="str">
        <f>_xlfn.XLOOKUP(K1252,[2]analyte_order!$B:$B,[2]analyte_order!$C:$C)</f>
        <v>375-22-4</v>
      </c>
      <c r="M1252">
        <f>_xlfn.XLOOKUP(L1252,[2]analyte_order!$C:$C,[2]analyte_order!$E:$E)</f>
        <v>1</v>
      </c>
      <c r="N1252">
        <v>7.8878177037686237E-2</v>
      </c>
    </row>
    <row r="1253" spans="1:14">
      <c r="A1253" t="s">
        <v>214</v>
      </c>
      <c r="B1253" t="str">
        <f>_xlfn.XLOOKUP(A1253,'[1]Tissue Data'!$A:$A,'[1]Tissue Data'!$C:$C)</f>
        <v>Down</v>
      </c>
      <c r="C1253" s="2">
        <f>_xlfn.XLOOKUP(A1253,'[1]Tissue Data'!$A:$A,'[1]Tissue Data'!$D:$D)</f>
        <v>44314</v>
      </c>
      <c r="D1253" s="2" t="str">
        <f>_xlfn.XLOOKUP(A1253,'[1]Tissue Data'!$A:$A,'[1]Tissue Data'!$F:$F)</f>
        <v>Margined Madtom</v>
      </c>
      <c r="E1253" t="str">
        <f>_xlfn.XLOOKUP(A1253,'[1]Tissue Data'!$A:$A,'[1]Tissue Data'!$H:$H)</f>
        <v>Noturus</v>
      </c>
      <c r="F1253" t="str">
        <f>_xlfn.XLOOKUP(A1253,'[1]Tissue Data'!$A:$A,'[1]Tissue Data'!$I:$I)</f>
        <v>insignis</v>
      </c>
      <c r="G1253" t="str">
        <f>_xlfn.XLOOKUP(A1253,'[1]Tissue Data'!$A:$A,'[1]Tissue Data'!J:J)</f>
        <v>U</v>
      </c>
      <c r="H1253" t="str">
        <f>_xlfn.XLOOKUP(A1253,'[1]Tissue Data'!$A:$A,'[1]Tissue Data'!K:K)</f>
        <v>Whole Body</v>
      </c>
      <c r="I1253">
        <f>_xlfn.XLOOKUP(A1253,'[1]Tissue Data'!$A:$A,'[1]Tissue Data'!L:L)</f>
        <v>5</v>
      </c>
      <c r="J1253">
        <f>_xlfn.XLOOKUP(A1253,'[1]Tissue Data'!$A:$A,'[1]Tissue Data'!M:M)</f>
        <v>1.35</v>
      </c>
      <c r="K1253" t="s">
        <v>13</v>
      </c>
      <c r="L1253" t="str">
        <f>_xlfn.XLOOKUP(K1253,[2]analyte_order!$B:$B,[2]analyte_order!$C:$C)</f>
        <v>2706-90-3</v>
      </c>
      <c r="M1253">
        <f>_xlfn.XLOOKUP(L1253,[2]analyte_order!$C:$C,[2]analyte_order!$E:$E)</f>
        <v>2</v>
      </c>
      <c r="N1253">
        <v>0.13932672307453989</v>
      </c>
    </row>
    <row r="1254" spans="1:14">
      <c r="A1254" t="s">
        <v>214</v>
      </c>
      <c r="B1254" t="str">
        <f>_xlfn.XLOOKUP(A1254,'[1]Tissue Data'!$A:$A,'[1]Tissue Data'!$C:$C)</f>
        <v>Down</v>
      </c>
      <c r="C1254" s="2">
        <f>_xlfn.XLOOKUP(A1254,'[1]Tissue Data'!$A:$A,'[1]Tissue Data'!$D:$D)</f>
        <v>44314</v>
      </c>
      <c r="D1254" s="2" t="str">
        <f>_xlfn.XLOOKUP(A1254,'[1]Tissue Data'!$A:$A,'[1]Tissue Data'!$F:$F)</f>
        <v>Margined Madtom</v>
      </c>
      <c r="E1254" t="str">
        <f>_xlfn.XLOOKUP(A1254,'[1]Tissue Data'!$A:$A,'[1]Tissue Data'!$H:$H)</f>
        <v>Noturus</v>
      </c>
      <c r="F1254" t="str">
        <f>_xlfn.XLOOKUP(A1254,'[1]Tissue Data'!$A:$A,'[1]Tissue Data'!$I:$I)</f>
        <v>insignis</v>
      </c>
      <c r="G1254" t="str">
        <f>_xlfn.XLOOKUP(A1254,'[1]Tissue Data'!$A:$A,'[1]Tissue Data'!J:J)</f>
        <v>U</v>
      </c>
      <c r="H1254" t="str">
        <f>_xlfn.XLOOKUP(A1254,'[1]Tissue Data'!$A:$A,'[1]Tissue Data'!K:K)</f>
        <v>Whole Body</v>
      </c>
      <c r="I1254">
        <f>_xlfn.XLOOKUP(A1254,'[1]Tissue Data'!$A:$A,'[1]Tissue Data'!L:L)</f>
        <v>5</v>
      </c>
      <c r="J1254">
        <f>_xlfn.XLOOKUP(A1254,'[1]Tissue Data'!$A:$A,'[1]Tissue Data'!M:M)</f>
        <v>1.35</v>
      </c>
      <c r="K1254" t="s">
        <v>14</v>
      </c>
      <c r="L1254" t="str">
        <f>_xlfn.XLOOKUP(K1254,[2]analyte_order!$B:$B,[2]analyte_order!$C:$C)</f>
        <v>307-24-4</v>
      </c>
      <c r="M1254">
        <f>_xlfn.XLOOKUP(L1254,[2]analyte_order!$C:$C,[2]analyte_order!$E:$E)</f>
        <v>3</v>
      </c>
      <c r="N1254">
        <v>0.10642465694070552</v>
      </c>
    </row>
    <row r="1255" spans="1:14">
      <c r="A1255" t="s">
        <v>214</v>
      </c>
      <c r="B1255" t="str">
        <f>_xlfn.XLOOKUP(A1255,'[1]Tissue Data'!$A:$A,'[1]Tissue Data'!$C:$C)</f>
        <v>Down</v>
      </c>
      <c r="C1255" s="2">
        <f>_xlfn.XLOOKUP(A1255,'[1]Tissue Data'!$A:$A,'[1]Tissue Data'!$D:$D)</f>
        <v>44314</v>
      </c>
      <c r="D1255" s="2" t="str">
        <f>_xlfn.XLOOKUP(A1255,'[1]Tissue Data'!$A:$A,'[1]Tissue Data'!$F:$F)</f>
        <v>Margined Madtom</v>
      </c>
      <c r="E1255" t="str">
        <f>_xlfn.XLOOKUP(A1255,'[1]Tissue Data'!$A:$A,'[1]Tissue Data'!$H:$H)</f>
        <v>Noturus</v>
      </c>
      <c r="F1255" t="str">
        <f>_xlfn.XLOOKUP(A1255,'[1]Tissue Data'!$A:$A,'[1]Tissue Data'!$I:$I)</f>
        <v>insignis</v>
      </c>
      <c r="G1255" t="str">
        <f>_xlfn.XLOOKUP(A1255,'[1]Tissue Data'!$A:$A,'[1]Tissue Data'!J:J)</f>
        <v>U</v>
      </c>
      <c r="H1255" t="str">
        <f>_xlfn.XLOOKUP(A1255,'[1]Tissue Data'!$A:$A,'[1]Tissue Data'!K:K)</f>
        <v>Whole Body</v>
      </c>
      <c r="I1255">
        <f>_xlfn.XLOOKUP(A1255,'[1]Tissue Data'!$A:$A,'[1]Tissue Data'!L:L)</f>
        <v>5</v>
      </c>
      <c r="J1255">
        <f>_xlfn.XLOOKUP(A1255,'[1]Tissue Data'!$A:$A,'[1]Tissue Data'!M:M)</f>
        <v>1.35</v>
      </c>
      <c r="K1255" t="s">
        <v>15</v>
      </c>
      <c r="L1255" t="str">
        <f>_xlfn.XLOOKUP(K1255,[2]analyte_order!$B:$B,[2]analyte_order!$C:$C)</f>
        <v>375-85-9</v>
      </c>
      <c r="M1255">
        <f>_xlfn.XLOOKUP(L1255,[2]analyte_order!$C:$C,[2]analyte_order!$E:$E)</f>
        <v>4</v>
      </c>
      <c r="N1255">
        <v>7.8878177037686237E-2</v>
      </c>
    </row>
    <row r="1256" spans="1:14">
      <c r="A1256" t="s">
        <v>214</v>
      </c>
      <c r="B1256" t="str">
        <f>_xlfn.XLOOKUP(A1256,'[1]Tissue Data'!$A:$A,'[1]Tissue Data'!$C:$C)</f>
        <v>Down</v>
      </c>
      <c r="C1256" s="2">
        <f>_xlfn.XLOOKUP(A1256,'[1]Tissue Data'!$A:$A,'[1]Tissue Data'!$D:$D)</f>
        <v>44314</v>
      </c>
      <c r="D1256" s="2" t="str">
        <f>_xlfn.XLOOKUP(A1256,'[1]Tissue Data'!$A:$A,'[1]Tissue Data'!$F:$F)</f>
        <v>Margined Madtom</v>
      </c>
      <c r="E1256" t="str">
        <f>_xlfn.XLOOKUP(A1256,'[1]Tissue Data'!$A:$A,'[1]Tissue Data'!$H:$H)</f>
        <v>Noturus</v>
      </c>
      <c r="F1256" t="str">
        <f>_xlfn.XLOOKUP(A1256,'[1]Tissue Data'!$A:$A,'[1]Tissue Data'!$I:$I)</f>
        <v>insignis</v>
      </c>
      <c r="G1256" t="str">
        <f>_xlfn.XLOOKUP(A1256,'[1]Tissue Data'!$A:$A,'[1]Tissue Data'!J:J)</f>
        <v>U</v>
      </c>
      <c r="H1256" t="str">
        <f>_xlfn.XLOOKUP(A1256,'[1]Tissue Data'!$A:$A,'[1]Tissue Data'!K:K)</f>
        <v>Whole Body</v>
      </c>
      <c r="I1256">
        <f>_xlfn.XLOOKUP(A1256,'[1]Tissue Data'!$A:$A,'[1]Tissue Data'!L:L)</f>
        <v>5</v>
      </c>
      <c r="J1256">
        <f>_xlfn.XLOOKUP(A1256,'[1]Tissue Data'!$A:$A,'[1]Tissue Data'!M:M)</f>
        <v>1.35</v>
      </c>
      <c r="K1256" t="s">
        <v>16</v>
      </c>
      <c r="L1256" t="str">
        <f>_xlfn.XLOOKUP(K1256,[2]analyte_order!$B:$B,[2]analyte_order!$C:$C)</f>
        <v>335-67-1</v>
      </c>
      <c r="M1256">
        <f>_xlfn.XLOOKUP(L1256,[2]analyte_order!$C:$C,[2]analyte_order!$E:$E)</f>
        <v>5</v>
      </c>
      <c r="N1256">
        <v>1.43</v>
      </c>
    </row>
    <row r="1257" spans="1:14">
      <c r="A1257" t="s">
        <v>214</v>
      </c>
      <c r="B1257" t="str">
        <f>_xlfn.XLOOKUP(A1257,'[1]Tissue Data'!$A:$A,'[1]Tissue Data'!$C:$C)</f>
        <v>Down</v>
      </c>
      <c r="C1257" s="2">
        <f>_xlfn.XLOOKUP(A1257,'[1]Tissue Data'!$A:$A,'[1]Tissue Data'!$D:$D)</f>
        <v>44314</v>
      </c>
      <c r="D1257" s="2" t="str">
        <f>_xlfn.XLOOKUP(A1257,'[1]Tissue Data'!$A:$A,'[1]Tissue Data'!$F:$F)</f>
        <v>Margined Madtom</v>
      </c>
      <c r="E1257" t="str">
        <f>_xlfn.XLOOKUP(A1257,'[1]Tissue Data'!$A:$A,'[1]Tissue Data'!$H:$H)</f>
        <v>Noturus</v>
      </c>
      <c r="F1257" t="str">
        <f>_xlfn.XLOOKUP(A1257,'[1]Tissue Data'!$A:$A,'[1]Tissue Data'!$I:$I)</f>
        <v>insignis</v>
      </c>
      <c r="G1257" t="str">
        <f>_xlfn.XLOOKUP(A1257,'[1]Tissue Data'!$A:$A,'[1]Tissue Data'!J:J)</f>
        <v>U</v>
      </c>
      <c r="H1257" t="str">
        <f>_xlfn.XLOOKUP(A1257,'[1]Tissue Data'!$A:$A,'[1]Tissue Data'!K:K)</f>
        <v>Whole Body</v>
      </c>
      <c r="I1257">
        <f>_xlfn.XLOOKUP(A1257,'[1]Tissue Data'!$A:$A,'[1]Tissue Data'!L:L)</f>
        <v>5</v>
      </c>
      <c r="J1257">
        <f>_xlfn.XLOOKUP(A1257,'[1]Tissue Data'!$A:$A,'[1]Tissue Data'!M:M)</f>
        <v>1.35</v>
      </c>
      <c r="K1257" t="s">
        <v>17</v>
      </c>
      <c r="L1257" t="str">
        <f>_xlfn.XLOOKUP(K1257,[2]analyte_order!$B:$B,[2]analyte_order!$C:$C)</f>
        <v>375-95-1</v>
      </c>
      <c r="M1257">
        <f>_xlfn.XLOOKUP(L1257,[2]analyte_order!$C:$C,[2]analyte_order!$E:$E)</f>
        <v>6</v>
      </c>
      <c r="N1257">
        <v>0.60499999999999998</v>
      </c>
    </row>
    <row r="1258" spans="1:14">
      <c r="A1258" t="s">
        <v>214</v>
      </c>
      <c r="B1258" t="str">
        <f>_xlfn.XLOOKUP(A1258,'[1]Tissue Data'!$A:$A,'[1]Tissue Data'!$C:$C)</f>
        <v>Down</v>
      </c>
      <c r="C1258" s="2">
        <f>_xlfn.XLOOKUP(A1258,'[1]Tissue Data'!$A:$A,'[1]Tissue Data'!$D:$D)</f>
        <v>44314</v>
      </c>
      <c r="D1258" s="2" t="str">
        <f>_xlfn.XLOOKUP(A1258,'[1]Tissue Data'!$A:$A,'[1]Tissue Data'!$F:$F)</f>
        <v>Margined Madtom</v>
      </c>
      <c r="E1258" t="str">
        <f>_xlfn.XLOOKUP(A1258,'[1]Tissue Data'!$A:$A,'[1]Tissue Data'!$H:$H)</f>
        <v>Noturus</v>
      </c>
      <c r="F1258" t="str">
        <f>_xlfn.XLOOKUP(A1258,'[1]Tissue Data'!$A:$A,'[1]Tissue Data'!$I:$I)</f>
        <v>insignis</v>
      </c>
      <c r="G1258" t="str">
        <f>_xlfn.XLOOKUP(A1258,'[1]Tissue Data'!$A:$A,'[1]Tissue Data'!J:J)</f>
        <v>U</v>
      </c>
      <c r="H1258" t="str">
        <f>_xlfn.XLOOKUP(A1258,'[1]Tissue Data'!$A:$A,'[1]Tissue Data'!K:K)</f>
        <v>Whole Body</v>
      </c>
      <c r="I1258">
        <f>_xlfn.XLOOKUP(A1258,'[1]Tissue Data'!$A:$A,'[1]Tissue Data'!L:L)</f>
        <v>5</v>
      </c>
      <c r="J1258">
        <f>_xlfn.XLOOKUP(A1258,'[1]Tissue Data'!$A:$A,'[1]Tissue Data'!M:M)</f>
        <v>1.35</v>
      </c>
      <c r="K1258" t="s">
        <v>18</v>
      </c>
      <c r="L1258" t="str">
        <f>_xlfn.XLOOKUP(K1258,[2]analyte_order!$B:$B,[2]analyte_order!$C:$C)</f>
        <v>335-76-2</v>
      </c>
      <c r="M1258">
        <f>_xlfn.XLOOKUP(L1258,[2]analyte_order!$C:$C,[2]analyte_order!$E:$E)</f>
        <v>7</v>
      </c>
      <c r="N1258">
        <v>3.72</v>
      </c>
    </row>
    <row r="1259" spans="1:14">
      <c r="A1259" t="s">
        <v>214</v>
      </c>
      <c r="B1259" t="str">
        <f>_xlfn.XLOOKUP(A1259,'[1]Tissue Data'!$A:$A,'[1]Tissue Data'!$C:$C)</f>
        <v>Down</v>
      </c>
      <c r="C1259" s="2">
        <f>_xlfn.XLOOKUP(A1259,'[1]Tissue Data'!$A:$A,'[1]Tissue Data'!$D:$D)</f>
        <v>44314</v>
      </c>
      <c r="D1259" s="2" t="str">
        <f>_xlfn.XLOOKUP(A1259,'[1]Tissue Data'!$A:$A,'[1]Tissue Data'!$F:$F)</f>
        <v>Margined Madtom</v>
      </c>
      <c r="E1259" t="str">
        <f>_xlfn.XLOOKUP(A1259,'[1]Tissue Data'!$A:$A,'[1]Tissue Data'!$H:$H)</f>
        <v>Noturus</v>
      </c>
      <c r="F1259" t="str">
        <f>_xlfn.XLOOKUP(A1259,'[1]Tissue Data'!$A:$A,'[1]Tissue Data'!$I:$I)</f>
        <v>insignis</v>
      </c>
      <c r="G1259" t="str">
        <f>_xlfn.XLOOKUP(A1259,'[1]Tissue Data'!$A:$A,'[1]Tissue Data'!J:J)</f>
        <v>U</v>
      </c>
      <c r="H1259" t="str">
        <f>_xlfn.XLOOKUP(A1259,'[1]Tissue Data'!$A:$A,'[1]Tissue Data'!K:K)</f>
        <v>Whole Body</v>
      </c>
      <c r="I1259">
        <f>_xlfn.XLOOKUP(A1259,'[1]Tissue Data'!$A:$A,'[1]Tissue Data'!L:L)</f>
        <v>5</v>
      </c>
      <c r="J1259">
        <f>_xlfn.XLOOKUP(A1259,'[1]Tissue Data'!$A:$A,'[1]Tissue Data'!M:M)</f>
        <v>1.35</v>
      </c>
      <c r="K1259" t="s">
        <v>19</v>
      </c>
      <c r="L1259" t="str">
        <f>_xlfn.XLOOKUP(K1259,[2]analyte_order!$B:$B,[2]analyte_order!$C:$C)</f>
        <v>2058-94-8</v>
      </c>
      <c r="M1259">
        <f>_xlfn.XLOOKUP(L1259,[2]analyte_order!$C:$C,[2]analyte_order!$E:$E)</f>
        <v>8</v>
      </c>
      <c r="N1259">
        <v>6.6</v>
      </c>
    </row>
    <row r="1260" spans="1:14">
      <c r="A1260" t="s">
        <v>214</v>
      </c>
      <c r="B1260" t="str">
        <f>_xlfn.XLOOKUP(A1260,'[1]Tissue Data'!$A:$A,'[1]Tissue Data'!$C:$C)</f>
        <v>Down</v>
      </c>
      <c r="C1260" s="2">
        <f>_xlfn.XLOOKUP(A1260,'[1]Tissue Data'!$A:$A,'[1]Tissue Data'!$D:$D)</f>
        <v>44314</v>
      </c>
      <c r="D1260" s="2" t="str">
        <f>_xlfn.XLOOKUP(A1260,'[1]Tissue Data'!$A:$A,'[1]Tissue Data'!$F:$F)</f>
        <v>Margined Madtom</v>
      </c>
      <c r="E1260" t="str">
        <f>_xlfn.XLOOKUP(A1260,'[1]Tissue Data'!$A:$A,'[1]Tissue Data'!$H:$H)</f>
        <v>Noturus</v>
      </c>
      <c r="F1260" t="str">
        <f>_xlfn.XLOOKUP(A1260,'[1]Tissue Data'!$A:$A,'[1]Tissue Data'!$I:$I)</f>
        <v>insignis</v>
      </c>
      <c r="G1260" t="str">
        <f>_xlfn.XLOOKUP(A1260,'[1]Tissue Data'!$A:$A,'[1]Tissue Data'!J:J)</f>
        <v>U</v>
      </c>
      <c r="H1260" t="str">
        <f>_xlfn.XLOOKUP(A1260,'[1]Tissue Data'!$A:$A,'[1]Tissue Data'!K:K)</f>
        <v>Whole Body</v>
      </c>
      <c r="I1260">
        <f>_xlfn.XLOOKUP(A1260,'[1]Tissue Data'!$A:$A,'[1]Tissue Data'!L:L)</f>
        <v>5</v>
      </c>
      <c r="J1260">
        <f>_xlfn.XLOOKUP(A1260,'[1]Tissue Data'!$A:$A,'[1]Tissue Data'!M:M)</f>
        <v>1.35</v>
      </c>
      <c r="K1260" t="s">
        <v>20</v>
      </c>
      <c r="L1260" t="str">
        <f>_xlfn.XLOOKUP(K1260,[2]analyte_order!$B:$B,[2]analyte_order!$C:$C)</f>
        <v>307-55-1</v>
      </c>
      <c r="M1260">
        <f>_xlfn.XLOOKUP(L1260,[2]analyte_order!$C:$C,[2]analyte_order!$E:$E)</f>
        <v>9</v>
      </c>
      <c r="N1260">
        <v>5.3740455996544922E-2</v>
      </c>
    </row>
    <row r="1261" spans="1:14">
      <c r="A1261" t="s">
        <v>214</v>
      </c>
      <c r="B1261" t="str">
        <f>_xlfn.XLOOKUP(A1261,'[1]Tissue Data'!$A:$A,'[1]Tissue Data'!$C:$C)</f>
        <v>Down</v>
      </c>
      <c r="C1261" s="2">
        <f>_xlfn.XLOOKUP(A1261,'[1]Tissue Data'!$A:$A,'[1]Tissue Data'!$D:$D)</f>
        <v>44314</v>
      </c>
      <c r="D1261" s="2" t="str">
        <f>_xlfn.XLOOKUP(A1261,'[1]Tissue Data'!$A:$A,'[1]Tissue Data'!$F:$F)</f>
        <v>Margined Madtom</v>
      </c>
      <c r="E1261" t="str">
        <f>_xlfn.XLOOKUP(A1261,'[1]Tissue Data'!$A:$A,'[1]Tissue Data'!$H:$H)</f>
        <v>Noturus</v>
      </c>
      <c r="F1261" t="str">
        <f>_xlfn.XLOOKUP(A1261,'[1]Tissue Data'!$A:$A,'[1]Tissue Data'!$I:$I)</f>
        <v>insignis</v>
      </c>
      <c r="G1261" t="str">
        <f>_xlfn.XLOOKUP(A1261,'[1]Tissue Data'!$A:$A,'[1]Tissue Data'!J:J)</f>
        <v>U</v>
      </c>
      <c r="H1261" t="str">
        <f>_xlfn.XLOOKUP(A1261,'[1]Tissue Data'!$A:$A,'[1]Tissue Data'!K:K)</f>
        <v>Whole Body</v>
      </c>
      <c r="I1261">
        <f>_xlfn.XLOOKUP(A1261,'[1]Tissue Data'!$A:$A,'[1]Tissue Data'!L:L)</f>
        <v>5</v>
      </c>
      <c r="J1261">
        <f>_xlfn.XLOOKUP(A1261,'[1]Tissue Data'!$A:$A,'[1]Tissue Data'!M:M)</f>
        <v>1.35</v>
      </c>
      <c r="K1261" t="s">
        <v>21</v>
      </c>
      <c r="L1261" t="str">
        <f>_xlfn.XLOOKUP(K1261,[2]analyte_order!$B:$B,[2]analyte_order!$C:$C)</f>
        <v>72629-94-8</v>
      </c>
      <c r="M1261">
        <f>_xlfn.XLOOKUP(L1261,[2]analyte_order!$C:$C,[2]analyte_order!$E:$E)</f>
        <v>10</v>
      </c>
      <c r="N1261">
        <v>3.29</v>
      </c>
    </row>
    <row r="1262" spans="1:14">
      <c r="A1262" t="s">
        <v>214</v>
      </c>
      <c r="B1262" t="str">
        <f>_xlfn.XLOOKUP(A1262,'[1]Tissue Data'!$A:$A,'[1]Tissue Data'!$C:$C)</f>
        <v>Down</v>
      </c>
      <c r="C1262" s="2">
        <f>_xlfn.XLOOKUP(A1262,'[1]Tissue Data'!$A:$A,'[1]Tissue Data'!$D:$D)</f>
        <v>44314</v>
      </c>
      <c r="D1262" s="2" t="str">
        <f>_xlfn.XLOOKUP(A1262,'[1]Tissue Data'!$A:$A,'[1]Tissue Data'!$F:$F)</f>
        <v>Margined Madtom</v>
      </c>
      <c r="E1262" t="str">
        <f>_xlfn.XLOOKUP(A1262,'[1]Tissue Data'!$A:$A,'[1]Tissue Data'!$H:$H)</f>
        <v>Noturus</v>
      </c>
      <c r="F1262" t="str">
        <f>_xlfn.XLOOKUP(A1262,'[1]Tissue Data'!$A:$A,'[1]Tissue Data'!$I:$I)</f>
        <v>insignis</v>
      </c>
      <c r="G1262" t="str">
        <f>_xlfn.XLOOKUP(A1262,'[1]Tissue Data'!$A:$A,'[1]Tissue Data'!J:J)</f>
        <v>U</v>
      </c>
      <c r="H1262" t="str">
        <f>_xlfn.XLOOKUP(A1262,'[1]Tissue Data'!$A:$A,'[1]Tissue Data'!K:K)</f>
        <v>Whole Body</v>
      </c>
      <c r="I1262">
        <f>_xlfn.XLOOKUP(A1262,'[1]Tissue Data'!$A:$A,'[1]Tissue Data'!L:L)</f>
        <v>5</v>
      </c>
      <c r="J1262">
        <f>_xlfn.XLOOKUP(A1262,'[1]Tissue Data'!$A:$A,'[1]Tissue Data'!M:M)</f>
        <v>1.35</v>
      </c>
      <c r="K1262" t="s">
        <v>22</v>
      </c>
      <c r="L1262" t="str">
        <f>_xlfn.XLOOKUP(K1262,[2]analyte_order!$B:$B,[2]analyte_order!$C:$C)</f>
        <v>376-06-7</v>
      </c>
      <c r="M1262">
        <f>_xlfn.XLOOKUP(L1262,[2]analyte_order!$C:$C,[2]analyte_order!$E:$E)</f>
        <v>11</v>
      </c>
      <c r="N1262">
        <v>3.91</v>
      </c>
    </row>
    <row r="1263" spans="1:14">
      <c r="A1263" t="s">
        <v>214</v>
      </c>
      <c r="B1263" t="str">
        <f>_xlfn.XLOOKUP(A1263,'[1]Tissue Data'!$A:$A,'[1]Tissue Data'!$C:$C)</f>
        <v>Down</v>
      </c>
      <c r="C1263" s="2">
        <f>_xlfn.XLOOKUP(A1263,'[1]Tissue Data'!$A:$A,'[1]Tissue Data'!$D:$D)</f>
        <v>44314</v>
      </c>
      <c r="D1263" s="2" t="str">
        <f>_xlfn.XLOOKUP(A1263,'[1]Tissue Data'!$A:$A,'[1]Tissue Data'!$F:$F)</f>
        <v>Margined Madtom</v>
      </c>
      <c r="E1263" t="str">
        <f>_xlfn.XLOOKUP(A1263,'[1]Tissue Data'!$A:$A,'[1]Tissue Data'!$H:$H)</f>
        <v>Noturus</v>
      </c>
      <c r="F1263" t="str">
        <f>_xlfn.XLOOKUP(A1263,'[1]Tissue Data'!$A:$A,'[1]Tissue Data'!$I:$I)</f>
        <v>insignis</v>
      </c>
      <c r="G1263" t="str">
        <f>_xlfn.XLOOKUP(A1263,'[1]Tissue Data'!$A:$A,'[1]Tissue Data'!J:J)</f>
        <v>U</v>
      </c>
      <c r="H1263" t="str">
        <f>_xlfn.XLOOKUP(A1263,'[1]Tissue Data'!$A:$A,'[1]Tissue Data'!K:K)</f>
        <v>Whole Body</v>
      </c>
      <c r="I1263">
        <f>_xlfn.XLOOKUP(A1263,'[1]Tissue Data'!$A:$A,'[1]Tissue Data'!L:L)</f>
        <v>5</v>
      </c>
      <c r="J1263">
        <f>_xlfn.XLOOKUP(A1263,'[1]Tissue Data'!$A:$A,'[1]Tissue Data'!M:M)</f>
        <v>1.35</v>
      </c>
      <c r="K1263" t="s">
        <v>23</v>
      </c>
      <c r="L1263" t="str">
        <f>_xlfn.XLOOKUP(K1263,[2]analyte_order!$B:$B,[2]analyte_order!$C:$C)</f>
        <v>67905-19-5</v>
      </c>
      <c r="M1263">
        <f>_xlfn.XLOOKUP(L1263,[2]analyte_order!$C:$C,[2]analyte_order!$E:$E)</f>
        <v>12</v>
      </c>
      <c r="N1263">
        <v>8.0216288804540972E-2</v>
      </c>
    </row>
    <row r="1264" spans="1:14">
      <c r="A1264" t="s">
        <v>214</v>
      </c>
      <c r="B1264" t="str">
        <f>_xlfn.XLOOKUP(A1264,'[1]Tissue Data'!$A:$A,'[1]Tissue Data'!$C:$C)</f>
        <v>Down</v>
      </c>
      <c r="C1264" s="2">
        <f>_xlfn.XLOOKUP(A1264,'[1]Tissue Data'!$A:$A,'[1]Tissue Data'!$D:$D)</f>
        <v>44314</v>
      </c>
      <c r="D1264" s="2" t="str">
        <f>_xlfn.XLOOKUP(A1264,'[1]Tissue Data'!$A:$A,'[1]Tissue Data'!$F:$F)</f>
        <v>Margined Madtom</v>
      </c>
      <c r="E1264" t="str">
        <f>_xlfn.XLOOKUP(A1264,'[1]Tissue Data'!$A:$A,'[1]Tissue Data'!$H:$H)</f>
        <v>Noturus</v>
      </c>
      <c r="F1264" t="str">
        <f>_xlfn.XLOOKUP(A1264,'[1]Tissue Data'!$A:$A,'[1]Tissue Data'!$I:$I)</f>
        <v>insignis</v>
      </c>
      <c r="G1264" t="str">
        <f>_xlfn.XLOOKUP(A1264,'[1]Tissue Data'!$A:$A,'[1]Tissue Data'!J:J)</f>
        <v>U</v>
      </c>
      <c r="H1264" t="str">
        <f>_xlfn.XLOOKUP(A1264,'[1]Tissue Data'!$A:$A,'[1]Tissue Data'!K:K)</f>
        <v>Whole Body</v>
      </c>
      <c r="I1264">
        <f>_xlfn.XLOOKUP(A1264,'[1]Tissue Data'!$A:$A,'[1]Tissue Data'!L:L)</f>
        <v>5</v>
      </c>
      <c r="J1264">
        <f>_xlfn.XLOOKUP(A1264,'[1]Tissue Data'!$A:$A,'[1]Tissue Data'!M:M)</f>
        <v>1.35</v>
      </c>
      <c r="K1264" t="s">
        <v>24</v>
      </c>
      <c r="L1264" t="str">
        <f>_xlfn.XLOOKUP(K1264,[2]analyte_order!$B:$B,[2]analyte_order!$C:$C)</f>
        <v>423-41-6</v>
      </c>
      <c r="M1264">
        <f>_xlfn.XLOOKUP(L1264,[2]analyte_order!$C:$C,[2]analyte_order!$E:$E)</f>
        <v>53</v>
      </c>
      <c r="N1264">
        <v>5.135196336574531E-2</v>
      </c>
    </row>
    <row r="1265" spans="1:14">
      <c r="A1265" t="s">
        <v>214</v>
      </c>
      <c r="B1265" t="str">
        <f>_xlfn.XLOOKUP(A1265,'[1]Tissue Data'!$A:$A,'[1]Tissue Data'!$C:$C)</f>
        <v>Down</v>
      </c>
      <c r="C1265" s="2">
        <f>_xlfn.XLOOKUP(A1265,'[1]Tissue Data'!$A:$A,'[1]Tissue Data'!$D:$D)</f>
        <v>44314</v>
      </c>
      <c r="D1265" s="2" t="str">
        <f>_xlfn.XLOOKUP(A1265,'[1]Tissue Data'!$A:$A,'[1]Tissue Data'!$F:$F)</f>
        <v>Margined Madtom</v>
      </c>
      <c r="E1265" t="str">
        <f>_xlfn.XLOOKUP(A1265,'[1]Tissue Data'!$A:$A,'[1]Tissue Data'!$H:$H)</f>
        <v>Noturus</v>
      </c>
      <c r="F1265" t="str">
        <f>_xlfn.XLOOKUP(A1265,'[1]Tissue Data'!$A:$A,'[1]Tissue Data'!$I:$I)</f>
        <v>insignis</v>
      </c>
      <c r="G1265" t="str">
        <f>_xlfn.XLOOKUP(A1265,'[1]Tissue Data'!$A:$A,'[1]Tissue Data'!J:J)</f>
        <v>U</v>
      </c>
      <c r="H1265" t="str">
        <f>_xlfn.XLOOKUP(A1265,'[1]Tissue Data'!$A:$A,'[1]Tissue Data'!K:K)</f>
        <v>Whole Body</v>
      </c>
      <c r="I1265">
        <f>_xlfn.XLOOKUP(A1265,'[1]Tissue Data'!$A:$A,'[1]Tissue Data'!L:L)</f>
        <v>5</v>
      </c>
      <c r="J1265">
        <f>_xlfn.XLOOKUP(A1265,'[1]Tissue Data'!$A:$A,'[1]Tissue Data'!M:M)</f>
        <v>1.35</v>
      </c>
      <c r="K1265" t="s">
        <v>25</v>
      </c>
      <c r="L1265" t="str">
        <f>_xlfn.XLOOKUP(K1265,[2]analyte_order!$B:$B,[2]analyte_order!$C:$C)</f>
        <v>375-73-5</v>
      </c>
      <c r="M1265">
        <f>_xlfn.XLOOKUP(L1265,[2]analyte_order!$C:$C,[2]analyte_order!$E:$E)</f>
        <v>14</v>
      </c>
      <c r="N1265">
        <v>0.13421305597085886</v>
      </c>
    </row>
    <row r="1266" spans="1:14">
      <c r="A1266" t="s">
        <v>214</v>
      </c>
      <c r="B1266" t="str">
        <f>_xlfn.XLOOKUP(A1266,'[1]Tissue Data'!$A:$A,'[1]Tissue Data'!$C:$C)</f>
        <v>Down</v>
      </c>
      <c r="C1266" s="2">
        <f>_xlfn.XLOOKUP(A1266,'[1]Tissue Data'!$A:$A,'[1]Tissue Data'!$D:$D)</f>
        <v>44314</v>
      </c>
      <c r="D1266" s="2" t="str">
        <f>_xlfn.XLOOKUP(A1266,'[1]Tissue Data'!$A:$A,'[1]Tissue Data'!$F:$F)</f>
        <v>Margined Madtom</v>
      </c>
      <c r="E1266" t="str">
        <f>_xlfn.XLOOKUP(A1266,'[1]Tissue Data'!$A:$A,'[1]Tissue Data'!$H:$H)</f>
        <v>Noturus</v>
      </c>
      <c r="F1266" t="str">
        <f>_xlfn.XLOOKUP(A1266,'[1]Tissue Data'!$A:$A,'[1]Tissue Data'!$I:$I)</f>
        <v>insignis</v>
      </c>
      <c r="G1266" t="str">
        <f>_xlfn.XLOOKUP(A1266,'[1]Tissue Data'!$A:$A,'[1]Tissue Data'!J:J)</f>
        <v>U</v>
      </c>
      <c r="H1266" t="str">
        <f>_xlfn.XLOOKUP(A1266,'[1]Tissue Data'!$A:$A,'[1]Tissue Data'!K:K)</f>
        <v>Whole Body</v>
      </c>
      <c r="I1266">
        <f>_xlfn.XLOOKUP(A1266,'[1]Tissue Data'!$A:$A,'[1]Tissue Data'!L:L)</f>
        <v>5</v>
      </c>
      <c r="J1266">
        <f>_xlfn.XLOOKUP(A1266,'[1]Tissue Data'!$A:$A,'[1]Tissue Data'!M:M)</f>
        <v>1.35</v>
      </c>
      <c r="K1266" t="s">
        <v>26</v>
      </c>
      <c r="L1266" t="str">
        <f>_xlfn.XLOOKUP(K1266,[2]analyte_order!$B:$B,[2]analyte_order!$C:$C)</f>
        <v>2706-91-4</v>
      </c>
      <c r="M1266">
        <f>_xlfn.XLOOKUP(L1266,[2]analyte_order!$C:$C,[2]analyte_order!$E:$E)</f>
        <v>15</v>
      </c>
      <c r="N1266">
        <v>0.27200000000000002</v>
      </c>
    </row>
    <row r="1267" spans="1:14">
      <c r="A1267" t="s">
        <v>214</v>
      </c>
      <c r="B1267" t="str">
        <f>_xlfn.XLOOKUP(A1267,'[1]Tissue Data'!$A:$A,'[1]Tissue Data'!$C:$C)</f>
        <v>Down</v>
      </c>
      <c r="C1267" s="2">
        <f>_xlfn.XLOOKUP(A1267,'[1]Tissue Data'!$A:$A,'[1]Tissue Data'!$D:$D)</f>
        <v>44314</v>
      </c>
      <c r="D1267" s="2" t="str">
        <f>_xlfn.XLOOKUP(A1267,'[1]Tissue Data'!$A:$A,'[1]Tissue Data'!$F:$F)</f>
        <v>Margined Madtom</v>
      </c>
      <c r="E1267" t="str">
        <f>_xlfn.XLOOKUP(A1267,'[1]Tissue Data'!$A:$A,'[1]Tissue Data'!$H:$H)</f>
        <v>Noturus</v>
      </c>
      <c r="F1267" t="str">
        <f>_xlfn.XLOOKUP(A1267,'[1]Tissue Data'!$A:$A,'[1]Tissue Data'!$I:$I)</f>
        <v>insignis</v>
      </c>
      <c r="G1267" t="str">
        <f>_xlfn.XLOOKUP(A1267,'[1]Tissue Data'!$A:$A,'[1]Tissue Data'!J:J)</f>
        <v>U</v>
      </c>
      <c r="H1267" t="str">
        <f>_xlfn.XLOOKUP(A1267,'[1]Tissue Data'!$A:$A,'[1]Tissue Data'!K:K)</f>
        <v>Whole Body</v>
      </c>
      <c r="I1267">
        <f>_xlfn.XLOOKUP(A1267,'[1]Tissue Data'!$A:$A,'[1]Tissue Data'!L:L)</f>
        <v>5</v>
      </c>
      <c r="J1267">
        <f>_xlfn.XLOOKUP(A1267,'[1]Tissue Data'!$A:$A,'[1]Tissue Data'!M:M)</f>
        <v>1.35</v>
      </c>
      <c r="K1267" t="s">
        <v>27</v>
      </c>
      <c r="L1267" t="str">
        <f>_xlfn.XLOOKUP(K1267,[2]analyte_order!$B:$B,[2]analyte_order!$C:$C)</f>
        <v>355-46-4</v>
      </c>
      <c r="M1267">
        <f>_xlfn.XLOOKUP(L1267,[2]analyte_order!$C:$C,[2]analyte_order!$E:$E)</f>
        <v>16</v>
      </c>
      <c r="N1267">
        <v>30.6</v>
      </c>
    </row>
    <row r="1268" spans="1:14">
      <c r="A1268" t="s">
        <v>214</v>
      </c>
      <c r="B1268" t="str">
        <f>_xlfn.XLOOKUP(A1268,'[1]Tissue Data'!$A:$A,'[1]Tissue Data'!$C:$C)</f>
        <v>Down</v>
      </c>
      <c r="C1268" s="2">
        <f>_xlfn.XLOOKUP(A1268,'[1]Tissue Data'!$A:$A,'[1]Tissue Data'!$D:$D)</f>
        <v>44314</v>
      </c>
      <c r="D1268" s="2" t="str">
        <f>_xlfn.XLOOKUP(A1268,'[1]Tissue Data'!$A:$A,'[1]Tissue Data'!$F:$F)</f>
        <v>Margined Madtom</v>
      </c>
      <c r="E1268" t="str">
        <f>_xlfn.XLOOKUP(A1268,'[1]Tissue Data'!$A:$A,'[1]Tissue Data'!$H:$H)</f>
        <v>Noturus</v>
      </c>
      <c r="F1268" t="str">
        <f>_xlfn.XLOOKUP(A1268,'[1]Tissue Data'!$A:$A,'[1]Tissue Data'!$I:$I)</f>
        <v>insignis</v>
      </c>
      <c r="G1268" t="str">
        <f>_xlfn.XLOOKUP(A1268,'[1]Tissue Data'!$A:$A,'[1]Tissue Data'!J:J)</f>
        <v>U</v>
      </c>
      <c r="H1268" t="str">
        <f>_xlfn.XLOOKUP(A1268,'[1]Tissue Data'!$A:$A,'[1]Tissue Data'!K:K)</f>
        <v>Whole Body</v>
      </c>
      <c r="I1268">
        <f>_xlfn.XLOOKUP(A1268,'[1]Tissue Data'!$A:$A,'[1]Tissue Data'!L:L)</f>
        <v>5</v>
      </c>
      <c r="J1268">
        <f>_xlfn.XLOOKUP(A1268,'[1]Tissue Data'!$A:$A,'[1]Tissue Data'!M:M)</f>
        <v>1.35</v>
      </c>
      <c r="K1268" t="s">
        <v>28</v>
      </c>
      <c r="L1268" t="str">
        <f>_xlfn.XLOOKUP(K1268,[2]analyte_order!$B:$B,[2]analyte_order!$C:$C)</f>
        <v>375-92-8</v>
      </c>
      <c r="M1268">
        <f>_xlfn.XLOOKUP(L1268,[2]analyte_order!$C:$C,[2]analyte_order!$E:$E)</f>
        <v>17</v>
      </c>
      <c r="N1268">
        <v>1.04</v>
      </c>
    </row>
    <row r="1269" spans="1:14">
      <c r="A1269" t="s">
        <v>214</v>
      </c>
      <c r="B1269" t="str">
        <f>_xlfn.XLOOKUP(A1269,'[1]Tissue Data'!$A:$A,'[1]Tissue Data'!$C:$C)</f>
        <v>Down</v>
      </c>
      <c r="C1269" s="2">
        <f>_xlfn.XLOOKUP(A1269,'[1]Tissue Data'!$A:$A,'[1]Tissue Data'!$D:$D)</f>
        <v>44314</v>
      </c>
      <c r="D1269" s="2" t="str">
        <f>_xlfn.XLOOKUP(A1269,'[1]Tissue Data'!$A:$A,'[1]Tissue Data'!$F:$F)</f>
        <v>Margined Madtom</v>
      </c>
      <c r="E1269" t="str">
        <f>_xlfn.XLOOKUP(A1269,'[1]Tissue Data'!$A:$A,'[1]Tissue Data'!$H:$H)</f>
        <v>Noturus</v>
      </c>
      <c r="F1269" t="str">
        <f>_xlfn.XLOOKUP(A1269,'[1]Tissue Data'!$A:$A,'[1]Tissue Data'!$I:$I)</f>
        <v>insignis</v>
      </c>
      <c r="G1269" t="str">
        <f>_xlfn.XLOOKUP(A1269,'[1]Tissue Data'!$A:$A,'[1]Tissue Data'!J:J)</f>
        <v>U</v>
      </c>
      <c r="H1269" t="str">
        <f>_xlfn.XLOOKUP(A1269,'[1]Tissue Data'!$A:$A,'[1]Tissue Data'!K:K)</f>
        <v>Whole Body</v>
      </c>
      <c r="I1269">
        <f>_xlfn.XLOOKUP(A1269,'[1]Tissue Data'!$A:$A,'[1]Tissue Data'!L:L)</f>
        <v>5</v>
      </c>
      <c r="J1269">
        <f>_xlfn.XLOOKUP(A1269,'[1]Tissue Data'!$A:$A,'[1]Tissue Data'!M:M)</f>
        <v>1.35</v>
      </c>
      <c r="K1269" t="s">
        <v>29</v>
      </c>
      <c r="L1269" t="str">
        <f>_xlfn.XLOOKUP(K1269,[2]analyte_order!$B:$B,[2]analyte_order!$C:$C)</f>
        <v>1763-23-1</v>
      </c>
      <c r="M1269">
        <f>_xlfn.XLOOKUP(L1269,[2]analyte_order!$C:$C,[2]analyte_order!$E:$E)</f>
        <v>18</v>
      </c>
      <c r="N1269">
        <v>470</v>
      </c>
    </row>
    <row r="1270" spans="1:14">
      <c r="A1270" t="s">
        <v>214</v>
      </c>
      <c r="B1270" t="str">
        <f>_xlfn.XLOOKUP(A1270,'[1]Tissue Data'!$A:$A,'[1]Tissue Data'!$C:$C)</f>
        <v>Down</v>
      </c>
      <c r="C1270" s="2">
        <f>_xlfn.XLOOKUP(A1270,'[1]Tissue Data'!$A:$A,'[1]Tissue Data'!$D:$D)</f>
        <v>44314</v>
      </c>
      <c r="D1270" s="2" t="str">
        <f>_xlfn.XLOOKUP(A1270,'[1]Tissue Data'!$A:$A,'[1]Tissue Data'!$F:$F)</f>
        <v>Margined Madtom</v>
      </c>
      <c r="E1270" t="str">
        <f>_xlfn.XLOOKUP(A1270,'[1]Tissue Data'!$A:$A,'[1]Tissue Data'!$H:$H)</f>
        <v>Noturus</v>
      </c>
      <c r="F1270" t="str">
        <f>_xlfn.XLOOKUP(A1270,'[1]Tissue Data'!$A:$A,'[1]Tissue Data'!$I:$I)</f>
        <v>insignis</v>
      </c>
      <c r="G1270" t="str">
        <f>_xlfn.XLOOKUP(A1270,'[1]Tissue Data'!$A:$A,'[1]Tissue Data'!J:J)</f>
        <v>U</v>
      </c>
      <c r="H1270" t="str">
        <f>_xlfn.XLOOKUP(A1270,'[1]Tissue Data'!$A:$A,'[1]Tissue Data'!K:K)</f>
        <v>Whole Body</v>
      </c>
      <c r="I1270">
        <f>_xlfn.XLOOKUP(A1270,'[1]Tissue Data'!$A:$A,'[1]Tissue Data'!L:L)</f>
        <v>5</v>
      </c>
      <c r="J1270">
        <f>_xlfn.XLOOKUP(A1270,'[1]Tissue Data'!$A:$A,'[1]Tissue Data'!M:M)</f>
        <v>1.35</v>
      </c>
      <c r="K1270" t="s">
        <v>30</v>
      </c>
      <c r="L1270" t="str">
        <f>_xlfn.XLOOKUP(K1270,[2]analyte_order!$B:$B,[2]analyte_order!$C:$C)</f>
        <v>68259-12-1</v>
      </c>
      <c r="M1270">
        <f>_xlfn.XLOOKUP(L1270,[2]analyte_order!$C:$C,[2]analyte_order!$E:$E)</f>
        <v>19</v>
      </c>
      <c r="N1270">
        <v>0.47299999999999998</v>
      </c>
    </row>
    <row r="1271" spans="1:14">
      <c r="A1271" t="s">
        <v>214</v>
      </c>
      <c r="B1271" t="str">
        <f>_xlfn.XLOOKUP(A1271,'[1]Tissue Data'!$A:$A,'[1]Tissue Data'!$C:$C)</f>
        <v>Down</v>
      </c>
      <c r="C1271" s="2">
        <f>_xlfn.XLOOKUP(A1271,'[1]Tissue Data'!$A:$A,'[1]Tissue Data'!$D:$D)</f>
        <v>44314</v>
      </c>
      <c r="D1271" s="2" t="str">
        <f>_xlfn.XLOOKUP(A1271,'[1]Tissue Data'!$A:$A,'[1]Tissue Data'!$F:$F)</f>
        <v>Margined Madtom</v>
      </c>
      <c r="E1271" t="str">
        <f>_xlfn.XLOOKUP(A1271,'[1]Tissue Data'!$A:$A,'[1]Tissue Data'!$H:$H)</f>
        <v>Noturus</v>
      </c>
      <c r="F1271" t="str">
        <f>_xlfn.XLOOKUP(A1271,'[1]Tissue Data'!$A:$A,'[1]Tissue Data'!$I:$I)</f>
        <v>insignis</v>
      </c>
      <c r="G1271" t="str">
        <f>_xlfn.XLOOKUP(A1271,'[1]Tissue Data'!$A:$A,'[1]Tissue Data'!J:J)</f>
        <v>U</v>
      </c>
      <c r="H1271" t="str">
        <f>_xlfn.XLOOKUP(A1271,'[1]Tissue Data'!$A:$A,'[1]Tissue Data'!K:K)</f>
        <v>Whole Body</v>
      </c>
      <c r="I1271">
        <f>_xlfn.XLOOKUP(A1271,'[1]Tissue Data'!$A:$A,'[1]Tissue Data'!L:L)</f>
        <v>5</v>
      </c>
      <c r="J1271">
        <f>_xlfn.XLOOKUP(A1271,'[1]Tissue Data'!$A:$A,'[1]Tissue Data'!M:M)</f>
        <v>1.35</v>
      </c>
      <c r="K1271" t="s">
        <v>31</v>
      </c>
      <c r="L1271" t="str">
        <f>_xlfn.XLOOKUP(K1271,[2]analyte_order!$B:$B,[2]analyte_order!$C:$C)</f>
        <v>335-77-3</v>
      </c>
      <c r="M1271">
        <f>_xlfn.XLOOKUP(L1271,[2]analyte_order!$C:$C,[2]analyte_order!$E:$E)</f>
        <v>20</v>
      </c>
      <c r="N1271">
        <v>0.58199999999999996</v>
      </c>
    </row>
    <row r="1272" spans="1:14">
      <c r="A1272" t="s">
        <v>214</v>
      </c>
      <c r="B1272" t="str">
        <f>_xlfn.XLOOKUP(A1272,'[1]Tissue Data'!$A:$A,'[1]Tissue Data'!$C:$C)</f>
        <v>Down</v>
      </c>
      <c r="C1272" s="2">
        <f>_xlfn.XLOOKUP(A1272,'[1]Tissue Data'!$A:$A,'[1]Tissue Data'!$D:$D)</f>
        <v>44314</v>
      </c>
      <c r="D1272" s="2" t="str">
        <f>_xlfn.XLOOKUP(A1272,'[1]Tissue Data'!$A:$A,'[1]Tissue Data'!$F:$F)</f>
        <v>Margined Madtom</v>
      </c>
      <c r="E1272" t="str">
        <f>_xlfn.XLOOKUP(A1272,'[1]Tissue Data'!$A:$A,'[1]Tissue Data'!$H:$H)</f>
        <v>Noturus</v>
      </c>
      <c r="F1272" t="str">
        <f>_xlfn.XLOOKUP(A1272,'[1]Tissue Data'!$A:$A,'[1]Tissue Data'!$I:$I)</f>
        <v>insignis</v>
      </c>
      <c r="G1272" t="str">
        <f>_xlfn.XLOOKUP(A1272,'[1]Tissue Data'!$A:$A,'[1]Tissue Data'!J:J)</f>
        <v>U</v>
      </c>
      <c r="H1272" t="str">
        <f>_xlfn.XLOOKUP(A1272,'[1]Tissue Data'!$A:$A,'[1]Tissue Data'!K:K)</f>
        <v>Whole Body</v>
      </c>
      <c r="I1272">
        <f>_xlfn.XLOOKUP(A1272,'[1]Tissue Data'!$A:$A,'[1]Tissue Data'!L:L)</f>
        <v>5</v>
      </c>
      <c r="J1272">
        <f>_xlfn.XLOOKUP(A1272,'[1]Tissue Data'!$A:$A,'[1]Tissue Data'!M:M)</f>
        <v>1.35</v>
      </c>
      <c r="K1272" t="s">
        <v>32</v>
      </c>
      <c r="L1272" t="str">
        <f>_xlfn.XLOOKUP(K1272,[2]analyte_order!$B:$B,[2]analyte_order!$C:$C)</f>
        <v>79780-39-5</v>
      </c>
      <c r="M1272">
        <f>_xlfn.XLOOKUP(L1272,[2]analyte_order!$C:$C,[2]analyte_order!$E:$E)</f>
        <v>21</v>
      </c>
      <c r="N1272">
        <v>0.21087494249907979</v>
      </c>
    </row>
    <row r="1273" spans="1:14">
      <c r="A1273" t="s">
        <v>214</v>
      </c>
      <c r="B1273" t="str">
        <f>_xlfn.XLOOKUP(A1273,'[1]Tissue Data'!$A:$A,'[1]Tissue Data'!$C:$C)</f>
        <v>Down</v>
      </c>
      <c r="C1273" s="2">
        <f>_xlfn.XLOOKUP(A1273,'[1]Tissue Data'!$A:$A,'[1]Tissue Data'!$D:$D)</f>
        <v>44314</v>
      </c>
      <c r="D1273" s="2" t="str">
        <f>_xlfn.XLOOKUP(A1273,'[1]Tissue Data'!$A:$A,'[1]Tissue Data'!$F:$F)</f>
        <v>Margined Madtom</v>
      </c>
      <c r="E1273" t="str">
        <f>_xlfn.XLOOKUP(A1273,'[1]Tissue Data'!$A:$A,'[1]Tissue Data'!$H:$H)</f>
        <v>Noturus</v>
      </c>
      <c r="F1273" t="str">
        <f>_xlfn.XLOOKUP(A1273,'[1]Tissue Data'!$A:$A,'[1]Tissue Data'!$I:$I)</f>
        <v>insignis</v>
      </c>
      <c r="G1273" t="str">
        <f>_xlfn.XLOOKUP(A1273,'[1]Tissue Data'!$A:$A,'[1]Tissue Data'!J:J)</f>
        <v>U</v>
      </c>
      <c r="H1273" t="str">
        <f>_xlfn.XLOOKUP(A1273,'[1]Tissue Data'!$A:$A,'[1]Tissue Data'!K:K)</f>
        <v>Whole Body</v>
      </c>
      <c r="I1273">
        <f>_xlfn.XLOOKUP(A1273,'[1]Tissue Data'!$A:$A,'[1]Tissue Data'!L:L)</f>
        <v>5</v>
      </c>
      <c r="J1273">
        <f>_xlfn.XLOOKUP(A1273,'[1]Tissue Data'!$A:$A,'[1]Tissue Data'!M:M)</f>
        <v>1.35</v>
      </c>
      <c r="K1273" t="s">
        <v>33</v>
      </c>
      <c r="L1273" t="str">
        <f>_xlfn.XLOOKUP(K1273,[2]analyte_order!$B:$B,[2]analyte_order!$C:$C)</f>
        <v>777011-38-8</v>
      </c>
      <c r="M1273">
        <f>_xlfn.XLOOKUP(L1273,[2]analyte_order!$C:$C,[2]analyte_order!$E:$E)</f>
        <v>54</v>
      </c>
      <c r="N1273">
        <v>0.11983255326110429</v>
      </c>
    </row>
    <row r="1274" spans="1:14">
      <c r="A1274" t="s">
        <v>214</v>
      </c>
      <c r="B1274" t="str">
        <f>_xlfn.XLOOKUP(A1274,'[1]Tissue Data'!$A:$A,'[1]Tissue Data'!$C:$C)</f>
        <v>Down</v>
      </c>
      <c r="C1274" s="2">
        <f>_xlfn.XLOOKUP(A1274,'[1]Tissue Data'!$A:$A,'[1]Tissue Data'!$D:$D)</f>
        <v>44314</v>
      </c>
      <c r="D1274" s="2" t="str">
        <f>_xlfn.XLOOKUP(A1274,'[1]Tissue Data'!$A:$A,'[1]Tissue Data'!$F:$F)</f>
        <v>Margined Madtom</v>
      </c>
      <c r="E1274" t="str">
        <f>_xlfn.XLOOKUP(A1274,'[1]Tissue Data'!$A:$A,'[1]Tissue Data'!$H:$H)</f>
        <v>Noturus</v>
      </c>
      <c r="F1274" t="str">
        <f>_xlfn.XLOOKUP(A1274,'[1]Tissue Data'!$A:$A,'[1]Tissue Data'!$I:$I)</f>
        <v>insignis</v>
      </c>
      <c r="G1274" t="str">
        <f>_xlfn.XLOOKUP(A1274,'[1]Tissue Data'!$A:$A,'[1]Tissue Data'!J:J)</f>
        <v>U</v>
      </c>
      <c r="H1274" t="str">
        <f>_xlfn.XLOOKUP(A1274,'[1]Tissue Data'!$A:$A,'[1]Tissue Data'!K:K)</f>
        <v>Whole Body</v>
      </c>
      <c r="I1274">
        <f>_xlfn.XLOOKUP(A1274,'[1]Tissue Data'!$A:$A,'[1]Tissue Data'!L:L)</f>
        <v>5</v>
      </c>
      <c r="J1274">
        <f>_xlfn.XLOOKUP(A1274,'[1]Tissue Data'!$A:$A,'[1]Tissue Data'!M:M)</f>
        <v>1.35</v>
      </c>
      <c r="K1274" t="s">
        <v>34</v>
      </c>
      <c r="L1274" t="str">
        <f>_xlfn.XLOOKUP(K1274,[2]analyte_order!$B:$B,[2]analyte_order!$C:$C)</f>
        <v>646-83-3</v>
      </c>
      <c r="M1274">
        <f>_xlfn.XLOOKUP(L1274,[2]analyte_order!$C:$C,[2]analyte_order!$E:$E)</f>
        <v>55</v>
      </c>
      <c r="N1274">
        <v>7.8878177037686237E-2</v>
      </c>
    </row>
    <row r="1275" spans="1:14">
      <c r="A1275" t="s">
        <v>214</v>
      </c>
      <c r="B1275" t="str">
        <f>_xlfn.XLOOKUP(A1275,'[1]Tissue Data'!$A:$A,'[1]Tissue Data'!$C:$C)</f>
        <v>Down</v>
      </c>
      <c r="C1275" s="2">
        <f>_xlfn.XLOOKUP(A1275,'[1]Tissue Data'!$A:$A,'[1]Tissue Data'!$D:$D)</f>
        <v>44314</v>
      </c>
      <c r="D1275" s="2" t="str">
        <f>_xlfn.XLOOKUP(A1275,'[1]Tissue Data'!$A:$A,'[1]Tissue Data'!$F:$F)</f>
        <v>Margined Madtom</v>
      </c>
      <c r="E1275" t="str">
        <f>_xlfn.XLOOKUP(A1275,'[1]Tissue Data'!$A:$A,'[1]Tissue Data'!$H:$H)</f>
        <v>Noturus</v>
      </c>
      <c r="F1275" t="str">
        <f>_xlfn.XLOOKUP(A1275,'[1]Tissue Data'!$A:$A,'[1]Tissue Data'!$I:$I)</f>
        <v>insignis</v>
      </c>
      <c r="G1275" t="str">
        <f>_xlfn.XLOOKUP(A1275,'[1]Tissue Data'!$A:$A,'[1]Tissue Data'!J:J)</f>
        <v>U</v>
      </c>
      <c r="H1275" t="str">
        <f>_xlfn.XLOOKUP(A1275,'[1]Tissue Data'!$A:$A,'[1]Tissue Data'!K:K)</f>
        <v>Whole Body</v>
      </c>
      <c r="I1275">
        <f>_xlfn.XLOOKUP(A1275,'[1]Tissue Data'!$A:$A,'[1]Tissue Data'!L:L)</f>
        <v>5</v>
      </c>
      <c r="J1275">
        <f>_xlfn.XLOOKUP(A1275,'[1]Tissue Data'!$A:$A,'[1]Tissue Data'!M:M)</f>
        <v>1.35</v>
      </c>
      <c r="K1275" t="s">
        <v>35</v>
      </c>
      <c r="L1275" t="str">
        <f>_xlfn.XLOOKUP(K1275,[2]analyte_order!$B:$B,[2]analyte_order!$C:$C)</f>
        <v>30334-69-1</v>
      </c>
      <c r="M1275">
        <f>_xlfn.XLOOKUP(L1275,[2]analyte_order!$C:$C,[2]analyte_order!$E:$E)</f>
        <v>51</v>
      </c>
      <c r="N1275">
        <v>65.7</v>
      </c>
    </row>
    <row r="1276" spans="1:14">
      <c r="A1276" t="s">
        <v>214</v>
      </c>
      <c r="B1276" t="str">
        <f>_xlfn.XLOOKUP(A1276,'[1]Tissue Data'!$A:$A,'[1]Tissue Data'!$C:$C)</f>
        <v>Down</v>
      </c>
      <c r="C1276" s="2">
        <f>_xlfn.XLOOKUP(A1276,'[1]Tissue Data'!$A:$A,'[1]Tissue Data'!$D:$D)</f>
        <v>44314</v>
      </c>
      <c r="D1276" s="2" t="str">
        <f>_xlfn.XLOOKUP(A1276,'[1]Tissue Data'!$A:$A,'[1]Tissue Data'!$F:$F)</f>
        <v>Margined Madtom</v>
      </c>
      <c r="E1276" t="str">
        <f>_xlfn.XLOOKUP(A1276,'[1]Tissue Data'!$A:$A,'[1]Tissue Data'!$H:$H)</f>
        <v>Noturus</v>
      </c>
      <c r="F1276" t="str">
        <f>_xlfn.XLOOKUP(A1276,'[1]Tissue Data'!$A:$A,'[1]Tissue Data'!$I:$I)</f>
        <v>insignis</v>
      </c>
      <c r="G1276" t="str">
        <f>_xlfn.XLOOKUP(A1276,'[1]Tissue Data'!$A:$A,'[1]Tissue Data'!J:J)</f>
        <v>U</v>
      </c>
      <c r="H1276" t="str">
        <f>_xlfn.XLOOKUP(A1276,'[1]Tissue Data'!$A:$A,'[1]Tissue Data'!K:K)</f>
        <v>Whole Body</v>
      </c>
      <c r="I1276">
        <f>_xlfn.XLOOKUP(A1276,'[1]Tissue Data'!$A:$A,'[1]Tissue Data'!L:L)</f>
        <v>5</v>
      </c>
      <c r="J1276">
        <f>_xlfn.XLOOKUP(A1276,'[1]Tissue Data'!$A:$A,'[1]Tissue Data'!M:M)</f>
        <v>1.35</v>
      </c>
      <c r="K1276" t="s">
        <v>36</v>
      </c>
      <c r="L1276" t="str">
        <f>_xlfn.XLOOKUP(K1276,[2]analyte_order!$B:$B,[2]analyte_order!$C:$C)</f>
        <v>41997-13-1</v>
      </c>
      <c r="M1276">
        <f>_xlfn.XLOOKUP(L1276,[2]analyte_order!$C:$C,[2]analyte_order!$E:$E)</f>
        <v>52</v>
      </c>
      <c r="N1276">
        <v>169</v>
      </c>
    </row>
    <row r="1277" spans="1:14">
      <c r="A1277" t="s">
        <v>214</v>
      </c>
      <c r="B1277" t="str">
        <f>_xlfn.XLOOKUP(A1277,'[1]Tissue Data'!$A:$A,'[1]Tissue Data'!$C:$C)</f>
        <v>Down</v>
      </c>
      <c r="C1277" s="2">
        <f>_xlfn.XLOOKUP(A1277,'[1]Tissue Data'!$A:$A,'[1]Tissue Data'!$D:$D)</f>
        <v>44314</v>
      </c>
      <c r="D1277" s="2" t="str">
        <f>_xlfn.XLOOKUP(A1277,'[1]Tissue Data'!$A:$A,'[1]Tissue Data'!$F:$F)</f>
        <v>Margined Madtom</v>
      </c>
      <c r="E1277" t="str">
        <f>_xlfn.XLOOKUP(A1277,'[1]Tissue Data'!$A:$A,'[1]Tissue Data'!$H:$H)</f>
        <v>Noturus</v>
      </c>
      <c r="F1277" t="str">
        <f>_xlfn.XLOOKUP(A1277,'[1]Tissue Data'!$A:$A,'[1]Tissue Data'!$I:$I)</f>
        <v>insignis</v>
      </c>
      <c r="G1277" t="str">
        <f>_xlfn.XLOOKUP(A1277,'[1]Tissue Data'!$A:$A,'[1]Tissue Data'!J:J)</f>
        <v>U</v>
      </c>
      <c r="H1277" t="str">
        <f>_xlfn.XLOOKUP(A1277,'[1]Tissue Data'!$A:$A,'[1]Tissue Data'!K:K)</f>
        <v>Whole Body</v>
      </c>
      <c r="I1277">
        <f>_xlfn.XLOOKUP(A1277,'[1]Tissue Data'!$A:$A,'[1]Tissue Data'!L:L)</f>
        <v>5</v>
      </c>
      <c r="J1277">
        <f>_xlfn.XLOOKUP(A1277,'[1]Tissue Data'!$A:$A,'[1]Tissue Data'!M:M)</f>
        <v>1.35</v>
      </c>
      <c r="K1277" t="s">
        <v>37</v>
      </c>
      <c r="L1277" t="str">
        <f>_xlfn.XLOOKUP(K1277,[2]analyte_order!$B:$B,[2]analyte_order!$C:$C)</f>
        <v>754-91-6</v>
      </c>
      <c r="M1277">
        <f>_xlfn.XLOOKUP(L1277,[2]analyte_order!$C:$C,[2]analyte_order!$E:$E)</f>
        <v>28</v>
      </c>
      <c r="N1277">
        <v>27.6</v>
      </c>
    </row>
    <row r="1278" spans="1:14">
      <c r="A1278" t="s">
        <v>214</v>
      </c>
      <c r="B1278" t="str">
        <f>_xlfn.XLOOKUP(A1278,'[1]Tissue Data'!$A:$A,'[1]Tissue Data'!$C:$C)</f>
        <v>Down</v>
      </c>
      <c r="C1278" s="2">
        <f>_xlfn.XLOOKUP(A1278,'[1]Tissue Data'!$A:$A,'[1]Tissue Data'!$D:$D)</f>
        <v>44314</v>
      </c>
      <c r="D1278" s="2" t="str">
        <f>_xlfn.XLOOKUP(A1278,'[1]Tissue Data'!$A:$A,'[1]Tissue Data'!$F:$F)</f>
        <v>Margined Madtom</v>
      </c>
      <c r="E1278" t="str">
        <f>_xlfn.XLOOKUP(A1278,'[1]Tissue Data'!$A:$A,'[1]Tissue Data'!$H:$H)</f>
        <v>Noturus</v>
      </c>
      <c r="F1278" t="str">
        <f>_xlfn.XLOOKUP(A1278,'[1]Tissue Data'!$A:$A,'[1]Tissue Data'!$I:$I)</f>
        <v>insignis</v>
      </c>
      <c r="G1278" t="str">
        <f>_xlfn.XLOOKUP(A1278,'[1]Tissue Data'!$A:$A,'[1]Tissue Data'!J:J)</f>
        <v>U</v>
      </c>
      <c r="H1278" t="str">
        <f>_xlfn.XLOOKUP(A1278,'[1]Tissue Data'!$A:$A,'[1]Tissue Data'!K:K)</f>
        <v>Whole Body</v>
      </c>
      <c r="I1278">
        <f>_xlfn.XLOOKUP(A1278,'[1]Tissue Data'!$A:$A,'[1]Tissue Data'!L:L)</f>
        <v>5</v>
      </c>
      <c r="J1278">
        <f>_xlfn.XLOOKUP(A1278,'[1]Tissue Data'!$A:$A,'[1]Tissue Data'!M:M)</f>
        <v>1.35</v>
      </c>
      <c r="K1278" t="s">
        <v>38</v>
      </c>
      <c r="L1278" t="str">
        <f>_xlfn.XLOOKUP(K1278,[2]analyte_order!$B:$B,[2]analyte_order!$C:$C)</f>
        <v>31506-32-8</v>
      </c>
      <c r="M1278">
        <f>_xlfn.XLOOKUP(L1278,[2]analyte_order!$C:$C,[2]analyte_order!$E:$E)</f>
        <v>30</v>
      </c>
      <c r="N1278">
        <v>5.1852052608094779E-2</v>
      </c>
    </row>
    <row r="1279" spans="1:14">
      <c r="A1279" t="s">
        <v>214</v>
      </c>
      <c r="B1279" t="str">
        <f>_xlfn.XLOOKUP(A1279,'[1]Tissue Data'!$A:$A,'[1]Tissue Data'!$C:$C)</f>
        <v>Down</v>
      </c>
      <c r="C1279" s="2">
        <f>_xlfn.XLOOKUP(A1279,'[1]Tissue Data'!$A:$A,'[1]Tissue Data'!$D:$D)</f>
        <v>44314</v>
      </c>
      <c r="D1279" s="2" t="str">
        <f>_xlfn.XLOOKUP(A1279,'[1]Tissue Data'!$A:$A,'[1]Tissue Data'!$F:$F)</f>
        <v>Margined Madtom</v>
      </c>
      <c r="E1279" t="str">
        <f>_xlfn.XLOOKUP(A1279,'[1]Tissue Data'!$A:$A,'[1]Tissue Data'!$H:$H)</f>
        <v>Noturus</v>
      </c>
      <c r="F1279" t="str">
        <f>_xlfn.XLOOKUP(A1279,'[1]Tissue Data'!$A:$A,'[1]Tissue Data'!$I:$I)</f>
        <v>insignis</v>
      </c>
      <c r="G1279" t="str">
        <f>_xlfn.XLOOKUP(A1279,'[1]Tissue Data'!$A:$A,'[1]Tissue Data'!J:J)</f>
        <v>U</v>
      </c>
      <c r="H1279" t="str">
        <f>_xlfn.XLOOKUP(A1279,'[1]Tissue Data'!$A:$A,'[1]Tissue Data'!K:K)</f>
        <v>Whole Body</v>
      </c>
      <c r="I1279">
        <f>_xlfn.XLOOKUP(A1279,'[1]Tissue Data'!$A:$A,'[1]Tissue Data'!L:L)</f>
        <v>5</v>
      </c>
      <c r="J1279">
        <f>_xlfn.XLOOKUP(A1279,'[1]Tissue Data'!$A:$A,'[1]Tissue Data'!M:M)</f>
        <v>1.35</v>
      </c>
      <c r="K1279" t="s">
        <v>39</v>
      </c>
      <c r="L1279" t="str">
        <f>_xlfn.XLOOKUP(K1279,[2]analyte_order!$B:$B,[2]analyte_order!$C:$C)</f>
        <v>4151-50-2</v>
      </c>
      <c r="M1279">
        <f>_xlfn.XLOOKUP(L1279,[2]analyte_order!$C:$C,[2]analyte_order!$E:$E)</f>
        <v>31</v>
      </c>
      <c r="N1279">
        <v>7.8544254220631798E-2</v>
      </c>
    </row>
    <row r="1280" spans="1:14">
      <c r="A1280" t="s">
        <v>214</v>
      </c>
      <c r="B1280" t="str">
        <f>_xlfn.XLOOKUP(A1280,'[1]Tissue Data'!$A:$A,'[1]Tissue Data'!$C:$C)</f>
        <v>Down</v>
      </c>
      <c r="C1280" s="2">
        <f>_xlfn.XLOOKUP(A1280,'[1]Tissue Data'!$A:$A,'[1]Tissue Data'!$D:$D)</f>
        <v>44314</v>
      </c>
      <c r="D1280" s="2" t="str">
        <f>_xlfn.XLOOKUP(A1280,'[1]Tissue Data'!$A:$A,'[1]Tissue Data'!$F:$F)</f>
        <v>Margined Madtom</v>
      </c>
      <c r="E1280" t="str">
        <f>_xlfn.XLOOKUP(A1280,'[1]Tissue Data'!$A:$A,'[1]Tissue Data'!$H:$H)</f>
        <v>Noturus</v>
      </c>
      <c r="F1280" t="str">
        <f>_xlfn.XLOOKUP(A1280,'[1]Tissue Data'!$A:$A,'[1]Tissue Data'!$I:$I)</f>
        <v>insignis</v>
      </c>
      <c r="G1280" t="str">
        <f>_xlfn.XLOOKUP(A1280,'[1]Tissue Data'!$A:$A,'[1]Tissue Data'!J:J)</f>
        <v>U</v>
      </c>
      <c r="H1280" t="str">
        <f>_xlfn.XLOOKUP(A1280,'[1]Tissue Data'!$A:$A,'[1]Tissue Data'!K:K)</f>
        <v>Whole Body</v>
      </c>
      <c r="I1280">
        <f>_xlfn.XLOOKUP(A1280,'[1]Tissue Data'!$A:$A,'[1]Tissue Data'!L:L)</f>
        <v>5</v>
      </c>
      <c r="J1280">
        <f>_xlfn.XLOOKUP(A1280,'[1]Tissue Data'!$A:$A,'[1]Tissue Data'!M:M)</f>
        <v>1.35</v>
      </c>
      <c r="K1280" t="s">
        <v>40</v>
      </c>
      <c r="L1280" t="str">
        <f>_xlfn.XLOOKUP(K1280,[2]analyte_order!$B:$B,[2]analyte_order!$C:$C)</f>
        <v>2806-24-8</v>
      </c>
      <c r="M1280">
        <f>_xlfn.XLOOKUP(L1280,[2]analyte_order!$C:$C,[2]analyte_order!$E:$E)</f>
        <v>29</v>
      </c>
      <c r="N1280">
        <v>5.3053612924975325E-2</v>
      </c>
    </row>
    <row r="1281" spans="1:14">
      <c r="A1281" t="s">
        <v>214</v>
      </c>
      <c r="B1281" t="str">
        <f>_xlfn.XLOOKUP(A1281,'[1]Tissue Data'!$A:$A,'[1]Tissue Data'!$C:$C)</f>
        <v>Down</v>
      </c>
      <c r="C1281" s="2">
        <f>_xlfn.XLOOKUP(A1281,'[1]Tissue Data'!$A:$A,'[1]Tissue Data'!$D:$D)</f>
        <v>44314</v>
      </c>
      <c r="D1281" s="2" t="str">
        <f>_xlfn.XLOOKUP(A1281,'[1]Tissue Data'!$A:$A,'[1]Tissue Data'!$F:$F)</f>
        <v>Margined Madtom</v>
      </c>
      <c r="E1281" t="str">
        <f>_xlfn.XLOOKUP(A1281,'[1]Tissue Data'!$A:$A,'[1]Tissue Data'!$H:$H)</f>
        <v>Noturus</v>
      </c>
      <c r="F1281" t="str">
        <f>_xlfn.XLOOKUP(A1281,'[1]Tissue Data'!$A:$A,'[1]Tissue Data'!$I:$I)</f>
        <v>insignis</v>
      </c>
      <c r="G1281" t="str">
        <f>_xlfn.XLOOKUP(A1281,'[1]Tissue Data'!$A:$A,'[1]Tissue Data'!J:J)</f>
        <v>U</v>
      </c>
      <c r="H1281" t="str">
        <f>_xlfn.XLOOKUP(A1281,'[1]Tissue Data'!$A:$A,'[1]Tissue Data'!K:K)</f>
        <v>Whole Body</v>
      </c>
      <c r="I1281">
        <f>_xlfn.XLOOKUP(A1281,'[1]Tissue Data'!$A:$A,'[1]Tissue Data'!L:L)</f>
        <v>5</v>
      </c>
      <c r="J1281">
        <f>_xlfn.XLOOKUP(A1281,'[1]Tissue Data'!$A:$A,'[1]Tissue Data'!M:M)</f>
        <v>1.35</v>
      </c>
      <c r="K1281" t="s">
        <v>41</v>
      </c>
      <c r="L1281" t="str">
        <f>_xlfn.XLOOKUP(K1281,[2]analyte_order!$B:$B,[2]analyte_order!$C:$C)</f>
        <v>2355-31-9</v>
      </c>
      <c r="M1281">
        <f>_xlfn.XLOOKUP(L1281,[2]analyte_order!$C:$C,[2]analyte_order!$E:$E)</f>
        <v>26</v>
      </c>
      <c r="N1281">
        <v>6.84</v>
      </c>
    </row>
    <row r="1282" spans="1:14">
      <c r="A1282" t="s">
        <v>214</v>
      </c>
      <c r="B1282" t="str">
        <f>_xlfn.XLOOKUP(A1282,'[1]Tissue Data'!$A:$A,'[1]Tissue Data'!$C:$C)</f>
        <v>Down</v>
      </c>
      <c r="C1282" s="2">
        <f>_xlfn.XLOOKUP(A1282,'[1]Tissue Data'!$A:$A,'[1]Tissue Data'!$D:$D)</f>
        <v>44314</v>
      </c>
      <c r="D1282" s="2" t="str">
        <f>_xlfn.XLOOKUP(A1282,'[1]Tissue Data'!$A:$A,'[1]Tissue Data'!$F:$F)</f>
        <v>Margined Madtom</v>
      </c>
      <c r="E1282" t="str">
        <f>_xlfn.XLOOKUP(A1282,'[1]Tissue Data'!$A:$A,'[1]Tissue Data'!$H:$H)</f>
        <v>Noturus</v>
      </c>
      <c r="F1282" t="str">
        <f>_xlfn.XLOOKUP(A1282,'[1]Tissue Data'!$A:$A,'[1]Tissue Data'!$I:$I)</f>
        <v>insignis</v>
      </c>
      <c r="G1282" t="str">
        <f>_xlfn.XLOOKUP(A1282,'[1]Tissue Data'!$A:$A,'[1]Tissue Data'!J:J)</f>
        <v>U</v>
      </c>
      <c r="H1282" t="str">
        <f>_xlfn.XLOOKUP(A1282,'[1]Tissue Data'!$A:$A,'[1]Tissue Data'!K:K)</f>
        <v>Whole Body</v>
      </c>
      <c r="I1282">
        <f>_xlfn.XLOOKUP(A1282,'[1]Tissue Data'!$A:$A,'[1]Tissue Data'!L:L)</f>
        <v>5</v>
      </c>
      <c r="J1282">
        <f>_xlfn.XLOOKUP(A1282,'[1]Tissue Data'!$A:$A,'[1]Tissue Data'!M:M)</f>
        <v>1.35</v>
      </c>
      <c r="K1282" t="s">
        <v>42</v>
      </c>
      <c r="L1282" t="str">
        <f>_xlfn.XLOOKUP(K1282,[2]analyte_order!$B:$B,[2]analyte_order!$C:$C)</f>
        <v>2991-50-6</v>
      </c>
      <c r="M1282">
        <f>_xlfn.XLOOKUP(L1282,[2]analyte_order!$C:$C,[2]analyte_order!$E:$E)</f>
        <v>27</v>
      </c>
      <c r="N1282">
        <v>5.842168617127344E-2</v>
      </c>
    </row>
    <row r="1283" spans="1:14">
      <c r="A1283" t="s">
        <v>214</v>
      </c>
      <c r="B1283" t="str">
        <f>_xlfn.XLOOKUP(A1283,'[1]Tissue Data'!$A:$A,'[1]Tissue Data'!$C:$C)</f>
        <v>Down</v>
      </c>
      <c r="C1283" s="2">
        <f>_xlfn.XLOOKUP(A1283,'[1]Tissue Data'!$A:$A,'[1]Tissue Data'!$D:$D)</f>
        <v>44314</v>
      </c>
      <c r="D1283" s="2" t="str">
        <f>_xlfn.XLOOKUP(A1283,'[1]Tissue Data'!$A:$A,'[1]Tissue Data'!$F:$F)</f>
        <v>Margined Madtom</v>
      </c>
      <c r="E1283" t="str">
        <f>_xlfn.XLOOKUP(A1283,'[1]Tissue Data'!$A:$A,'[1]Tissue Data'!$H:$H)</f>
        <v>Noturus</v>
      </c>
      <c r="F1283" t="str">
        <f>_xlfn.XLOOKUP(A1283,'[1]Tissue Data'!$A:$A,'[1]Tissue Data'!$I:$I)</f>
        <v>insignis</v>
      </c>
      <c r="G1283" t="str">
        <f>_xlfn.XLOOKUP(A1283,'[1]Tissue Data'!$A:$A,'[1]Tissue Data'!J:J)</f>
        <v>U</v>
      </c>
      <c r="H1283" t="str">
        <f>_xlfn.XLOOKUP(A1283,'[1]Tissue Data'!$A:$A,'[1]Tissue Data'!K:K)</f>
        <v>Whole Body</v>
      </c>
      <c r="I1283">
        <f>_xlfn.XLOOKUP(A1283,'[1]Tissue Data'!$A:$A,'[1]Tissue Data'!L:L)</f>
        <v>5</v>
      </c>
      <c r="J1283">
        <f>_xlfn.XLOOKUP(A1283,'[1]Tissue Data'!$A:$A,'[1]Tissue Data'!M:M)</f>
        <v>1.35</v>
      </c>
      <c r="K1283" t="s">
        <v>43</v>
      </c>
      <c r="L1283" t="str">
        <f>_xlfn.XLOOKUP(K1283,[2]analyte_order!$B:$B,[2]analyte_order!$C:$C)</f>
        <v>757124-72-4</v>
      </c>
      <c r="M1283">
        <f>_xlfn.XLOOKUP(L1283,[2]analyte_order!$C:$C,[2]analyte_order!$E:$E)</f>
        <v>22</v>
      </c>
      <c r="N1283">
        <v>5.5285056444225072E-2</v>
      </c>
    </row>
    <row r="1284" spans="1:14">
      <c r="A1284" t="s">
        <v>214</v>
      </c>
      <c r="B1284" t="str">
        <f>_xlfn.XLOOKUP(A1284,'[1]Tissue Data'!$A:$A,'[1]Tissue Data'!$C:$C)</f>
        <v>Down</v>
      </c>
      <c r="C1284" s="2">
        <f>_xlfn.XLOOKUP(A1284,'[1]Tissue Data'!$A:$A,'[1]Tissue Data'!$D:$D)</f>
        <v>44314</v>
      </c>
      <c r="D1284" s="2" t="str">
        <f>_xlfn.XLOOKUP(A1284,'[1]Tissue Data'!$A:$A,'[1]Tissue Data'!$F:$F)</f>
        <v>Margined Madtom</v>
      </c>
      <c r="E1284" t="str">
        <f>_xlfn.XLOOKUP(A1284,'[1]Tissue Data'!$A:$A,'[1]Tissue Data'!$H:$H)</f>
        <v>Noturus</v>
      </c>
      <c r="F1284" t="str">
        <f>_xlfn.XLOOKUP(A1284,'[1]Tissue Data'!$A:$A,'[1]Tissue Data'!$I:$I)</f>
        <v>insignis</v>
      </c>
      <c r="G1284" t="str">
        <f>_xlfn.XLOOKUP(A1284,'[1]Tissue Data'!$A:$A,'[1]Tissue Data'!J:J)</f>
        <v>U</v>
      </c>
      <c r="H1284" t="str">
        <f>_xlfn.XLOOKUP(A1284,'[1]Tissue Data'!$A:$A,'[1]Tissue Data'!K:K)</f>
        <v>Whole Body</v>
      </c>
      <c r="I1284">
        <f>_xlfn.XLOOKUP(A1284,'[1]Tissue Data'!$A:$A,'[1]Tissue Data'!L:L)</f>
        <v>5</v>
      </c>
      <c r="J1284">
        <f>_xlfn.XLOOKUP(A1284,'[1]Tissue Data'!$A:$A,'[1]Tissue Data'!M:M)</f>
        <v>1.35</v>
      </c>
      <c r="K1284" t="s">
        <v>44</v>
      </c>
      <c r="L1284" t="str">
        <f>_xlfn.XLOOKUP(K1284,[2]analyte_order!$B:$B,[2]analyte_order!$C:$C)</f>
        <v>27619-97-2</v>
      </c>
      <c r="M1284">
        <f>_xlfn.XLOOKUP(L1284,[2]analyte_order!$C:$C,[2]analyte_order!$E:$E)</f>
        <v>23</v>
      </c>
      <c r="N1284">
        <v>1.0900000000000001</v>
      </c>
    </row>
    <row r="1285" spans="1:14">
      <c r="A1285" t="s">
        <v>214</v>
      </c>
      <c r="B1285" t="str">
        <f>_xlfn.XLOOKUP(A1285,'[1]Tissue Data'!$A:$A,'[1]Tissue Data'!$C:$C)</f>
        <v>Down</v>
      </c>
      <c r="C1285" s="2">
        <f>_xlfn.XLOOKUP(A1285,'[1]Tissue Data'!$A:$A,'[1]Tissue Data'!$D:$D)</f>
        <v>44314</v>
      </c>
      <c r="D1285" s="2" t="str">
        <f>_xlfn.XLOOKUP(A1285,'[1]Tissue Data'!$A:$A,'[1]Tissue Data'!$F:$F)</f>
        <v>Margined Madtom</v>
      </c>
      <c r="E1285" t="str">
        <f>_xlfn.XLOOKUP(A1285,'[1]Tissue Data'!$A:$A,'[1]Tissue Data'!$H:$H)</f>
        <v>Noturus</v>
      </c>
      <c r="F1285" t="str">
        <f>_xlfn.XLOOKUP(A1285,'[1]Tissue Data'!$A:$A,'[1]Tissue Data'!$I:$I)</f>
        <v>insignis</v>
      </c>
      <c r="G1285" t="str">
        <f>_xlfn.XLOOKUP(A1285,'[1]Tissue Data'!$A:$A,'[1]Tissue Data'!J:J)</f>
        <v>U</v>
      </c>
      <c r="H1285" t="str">
        <f>_xlfn.XLOOKUP(A1285,'[1]Tissue Data'!$A:$A,'[1]Tissue Data'!K:K)</f>
        <v>Whole Body</v>
      </c>
      <c r="I1285">
        <f>_xlfn.XLOOKUP(A1285,'[1]Tissue Data'!$A:$A,'[1]Tissue Data'!L:L)</f>
        <v>5</v>
      </c>
      <c r="J1285">
        <f>_xlfn.XLOOKUP(A1285,'[1]Tissue Data'!$A:$A,'[1]Tissue Data'!M:M)</f>
        <v>1.35</v>
      </c>
      <c r="K1285" t="s">
        <v>45</v>
      </c>
      <c r="L1285" t="str">
        <f>_xlfn.XLOOKUP(K1285,[2]analyte_order!$B:$B,[2]analyte_order!$C:$C)</f>
        <v>39108-34-4</v>
      </c>
      <c r="M1285">
        <f>_xlfn.XLOOKUP(L1285,[2]analyte_order!$C:$C,[2]analyte_order!$E:$E)</f>
        <v>24</v>
      </c>
      <c r="N1285">
        <v>6.51</v>
      </c>
    </row>
    <row r="1286" spans="1:14">
      <c r="A1286" t="s">
        <v>214</v>
      </c>
      <c r="B1286" t="str">
        <f>_xlfn.XLOOKUP(A1286,'[1]Tissue Data'!$A:$A,'[1]Tissue Data'!$C:$C)</f>
        <v>Down</v>
      </c>
      <c r="C1286" s="2">
        <f>_xlfn.XLOOKUP(A1286,'[1]Tissue Data'!$A:$A,'[1]Tissue Data'!$D:$D)</f>
        <v>44314</v>
      </c>
      <c r="D1286" s="2" t="str">
        <f>_xlfn.XLOOKUP(A1286,'[1]Tissue Data'!$A:$A,'[1]Tissue Data'!$F:$F)</f>
        <v>Margined Madtom</v>
      </c>
      <c r="E1286" t="str">
        <f>_xlfn.XLOOKUP(A1286,'[1]Tissue Data'!$A:$A,'[1]Tissue Data'!$H:$H)</f>
        <v>Noturus</v>
      </c>
      <c r="F1286" t="str">
        <f>_xlfn.XLOOKUP(A1286,'[1]Tissue Data'!$A:$A,'[1]Tissue Data'!$I:$I)</f>
        <v>insignis</v>
      </c>
      <c r="G1286" t="str">
        <f>_xlfn.XLOOKUP(A1286,'[1]Tissue Data'!$A:$A,'[1]Tissue Data'!J:J)</f>
        <v>U</v>
      </c>
      <c r="H1286" t="str">
        <f>_xlfn.XLOOKUP(A1286,'[1]Tissue Data'!$A:$A,'[1]Tissue Data'!K:K)</f>
        <v>Whole Body</v>
      </c>
      <c r="I1286">
        <f>_xlfn.XLOOKUP(A1286,'[1]Tissue Data'!$A:$A,'[1]Tissue Data'!L:L)</f>
        <v>5</v>
      </c>
      <c r="J1286">
        <f>_xlfn.XLOOKUP(A1286,'[1]Tissue Data'!$A:$A,'[1]Tissue Data'!M:M)</f>
        <v>1.35</v>
      </c>
      <c r="K1286" t="s">
        <v>46</v>
      </c>
      <c r="L1286" t="str">
        <f>_xlfn.XLOOKUP(K1286,[2]analyte_order!$B:$B,[2]analyte_order!$C:$C)</f>
        <v>120226-60-0</v>
      </c>
      <c r="M1286">
        <f>_xlfn.XLOOKUP(L1286,[2]analyte_order!$C:$C,[2]analyte_order!$E:$E)</f>
        <v>25</v>
      </c>
      <c r="N1286">
        <v>0.22390862797546007</v>
      </c>
    </row>
    <row r="1287" spans="1:14">
      <c r="A1287" t="s">
        <v>214</v>
      </c>
      <c r="B1287" t="str">
        <f>_xlfn.XLOOKUP(A1287,'[1]Tissue Data'!$A:$A,'[1]Tissue Data'!$C:$C)</f>
        <v>Down</v>
      </c>
      <c r="C1287" s="2">
        <f>_xlfn.XLOOKUP(A1287,'[1]Tissue Data'!$A:$A,'[1]Tissue Data'!$D:$D)</f>
        <v>44314</v>
      </c>
      <c r="D1287" s="2" t="str">
        <f>_xlfn.XLOOKUP(A1287,'[1]Tissue Data'!$A:$A,'[1]Tissue Data'!$F:$F)</f>
        <v>Margined Madtom</v>
      </c>
      <c r="E1287" t="str">
        <f>_xlfn.XLOOKUP(A1287,'[1]Tissue Data'!$A:$A,'[1]Tissue Data'!$H:$H)</f>
        <v>Noturus</v>
      </c>
      <c r="F1287" t="str">
        <f>_xlfn.XLOOKUP(A1287,'[1]Tissue Data'!$A:$A,'[1]Tissue Data'!$I:$I)</f>
        <v>insignis</v>
      </c>
      <c r="G1287" t="str">
        <f>_xlfn.XLOOKUP(A1287,'[1]Tissue Data'!$A:$A,'[1]Tissue Data'!J:J)</f>
        <v>U</v>
      </c>
      <c r="H1287" t="str">
        <f>_xlfn.XLOOKUP(A1287,'[1]Tissue Data'!$A:$A,'[1]Tissue Data'!K:K)</f>
        <v>Whole Body</v>
      </c>
      <c r="I1287">
        <f>_xlfn.XLOOKUP(A1287,'[1]Tissue Data'!$A:$A,'[1]Tissue Data'!L:L)</f>
        <v>5</v>
      </c>
      <c r="J1287">
        <f>_xlfn.XLOOKUP(A1287,'[1]Tissue Data'!$A:$A,'[1]Tissue Data'!M:M)</f>
        <v>1.35</v>
      </c>
      <c r="K1287" t="s">
        <v>47</v>
      </c>
      <c r="L1287" t="str">
        <f>_xlfn.XLOOKUP(K1287,[2]analyte_order!$B:$B,[2]analyte_order!$C:$C)</f>
        <v>356-02-5</v>
      </c>
      <c r="M1287">
        <f>_xlfn.XLOOKUP(L1287,[2]analyte_order!$C:$C,[2]analyte_order!$E:$E)</f>
        <v>38</v>
      </c>
      <c r="N1287">
        <v>7.7637677006416606E-2</v>
      </c>
    </row>
    <row r="1288" spans="1:14">
      <c r="A1288" t="s">
        <v>214</v>
      </c>
      <c r="B1288" t="str">
        <f>_xlfn.XLOOKUP(A1288,'[1]Tissue Data'!$A:$A,'[1]Tissue Data'!$C:$C)</f>
        <v>Down</v>
      </c>
      <c r="C1288" s="2">
        <f>_xlfn.XLOOKUP(A1288,'[1]Tissue Data'!$A:$A,'[1]Tissue Data'!$D:$D)</f>
        <v>44314</v>
      </c>
      <c r="D1288" s="2" t="str">
        <f>_xlfn.XLOOKUP(A1288,'[1]Tissue Data'!$A:$A,'[1]Tissue Data'!$F:$F)</f>
        <v>Margined Madtom</v>
      </c>
      <c r="E1288" t="str">
        <f>_xlfn.XLOOKUP(A1288,'[1]Tissue Data'!$A:$A,'[1]Tissue Data'!$H:$H)</f>
        <v>Noturus</v>
      </c>
      <c r="F1288" t="str">
        <f>_xlfn.XLOOKUP(A1288,'[1]Tissue Data'!$A:$A,'[1]Tissue Data'!$I:$I)</f>
        <v>insignis</v>
      </c>
      <c r="G1288" t="str">
        <f>_xlfn.XLOOKUP(A1288,'[1]Tissue Data'!$A:$A,'[1]Tissue Data'!J:J)</f>
        <v>U</v>
      </c>
      <c r="H1288" t="str">
        <f>_xlfn.XLOOKUP(A1288,'[1]Tissue Data'!$A:$A,'[1]Tissue Data'!K:K)</f>
        <v>Whole Body</v>
      </c>
      <c r="I1288">
        <f>_xlfn.XLOOKUP(A1288,'[1]Tissue Data'!$A:$A,'[1]Tissue Data'!L:L)</f>
        <v>5</v>
      </c>
      <c r="J1288">
        <f>_xlfn.XLOOKUP(A1288,'[1]Tissue Data'!$A:$A,'[1]Tissue Data'!M:M)</f>
        <v>1.35</v>
      </c>
      <c r="K1288" t="s">
        <v>48</v>
      </c>
      <c r="L1288" t="str">
        <f>_xlfn.XLOOKUP(K1288,[2]analyte_order!$B:$B,[2]analyte_order!$C:$C)</f>
        <v>914637-49-3</v>
      </c>
      <c r="M1288">
        <f>_xlfn.XLOOKUP(L1288,[2]analyte_order!$C:$C,[2]analyte_order!$E:$E)</f>
        <v>39</v>
      </c>
      <c r="N1288">
        <v>1.1000000000000001</v>
      </c>
    </row>
    <row r="1289" spans="1:14">
      <c r="A1289" t="s">
        <v>214</v>
      </c>
      <c r="B1289" t="str">
        <f>_xlfn.XLOOKUP(A1289,'[1]Tissue Data'!$A:$A,'[1]Tissue Data'!$C:$C)</f>
        <v>Down</v>
      </c>
      <c r="C1289" s="2">
        <f>_xlfn.XLOOKUP(A1289,'[1]Tissue Data'!$A:$A,'[1]Tissue Data'!$D:$D)</f>
        <v>44314</v>
      </c>
      <c r="D1289" s="2" t="str">
        <f>_xlfn.XLOOKUP(A1289,'[1]Tissue Data'!$A:$A,'[1]Tissue Data'!$F:$F)</f>
        <v>Margined Madtom</v>
      </c>
      <c r="E1289" t="str">
        <f>_xlfn.XLOOKUP(A1289,'[1]Tissue Data'!$A:$A,'[1]Tissue Data'!$H:$H)</f>
        <v>Noturus</v>
      </c>
      <c r="F1289" t="str">
        <f>_xlfn.XLOOKUP(A1289,'[1]Tissue Data'!$A:$A,'[1]Tissue Data'!$I:$I)</f>
        <v>insignis</v>
      </c>
      <c r="G1289" t="str">
        <f>_xlfn.XLOOKUP(A1289,'[1]Tissue Data'!$A:$A,'[1]Tissue Data'!J:J)</f>
        <v>U</v>
      </c>
      <c r="H1289" t="str">
        <f>_xlfn.XLOOKUP(A1289,'[1]Tissue Data'!$A:$A,'[1]Tissue Data'!K:K)</f>
        <v>Whole Body</v>
      </c>
      <c r="I1289">
        <f>_xlfn.XLOOKUP(A1289,'[1]Tissue Data'!$A:$A,'[1]Tissue Data'!L:L)</f>
        <v>5</v>
      </c>
      <c r="J1289">
        <f>_xlfn.XLOOKUP(A1289,'[1]Tissue Data'!$A:$A,'[1]Tissue Data'!M:M)</f>
        <v>1.35</v>
      </c>
      <c r="K1289" t="s">
        <v>49</v>
      </c>
      <c r="L1289" t="str">
        <f>_xlfn.XLOOKUP(K1289,[2]analyte_order!$B:$B,[2]analyte_order!$C:$C)</f>
        <v>812-70-4</v>
      </c>
      <c r="M1289">
        <f>_xlfn.XLOOKUP(L1289,[2]analyte_order!$C:$C,[2]analyte_order!$E:$E)</f>
        <v>40</v>
      </c>
      <c r="N1289">
        <v>11.9</v>
      </c>
    </row>
    <row r="1290" spans="1:14">
      <c r="A1290" t="s">
        <v>214</v>
      </c>
      <c r="B1290" t="str">
        <f>_xlfn.XLOOKUP(A1290,'[1]Tissue Data'!$A:$A,'[1]Tissue Data'!$C:$C)</f>
        <v>Down</v>
      </c>
      <c r="C1290" s="2">
        <f>_xlfn.XLOOKUP(A1290,'[1]Tissue Data'!$A:$A,'[1]Tissue Data'!$D:$D)</f>
        <v>44314</v>
      </c>
      <c r="D1290" s="2" t="str">
        <f>_xlfn.XLOOKUP(A1290,'[1]Tissue Data'!$A:$A,'[1]Tissue Data'!$F:$F)</f>
        <v>Margined Madtom</v>
      </c>
      <c r="E1290" t="str">
        <f>_xlfn.XLOOKUP(A1290,'[1]Tissue Data'!$A:$A,'[1]Tissue Data'!$H:$H)</f>
        <v>Noturus</v>
      </c>
      <c r="F1290" t="str">
        <f>_xlfn.XLOOKUP(A1290,'[1]Tissue Data'!$A:$A,'[1]Tissue Data'!$I:$I)</f>
        <v>insignis</v>
      </c>
      <c r="G1290" t="str">
        <f>_xlfn.XLOOKUP(A1290,'[1]Tissue Data'!$A:$A,'[1]Tissue Data'!J:J)</f>
        <v>U</v>
      </c>
      <c r="H1290" t="str">
        <f>_xlfn.XLOOKUP(A1290,'[1]Tissue Data'!$A:$A,'[1]Tissue Data'!K:K)</f>
        <v>Whole Body</v>
      </c>
      <c r="I1290">
        <f>_xlfn.XLOOKUP(A1290,'[1]Tissue Data'!$A:$A,'[1]Tissue Data'!L:L)</f>
        <v>5</v>
      </c>
      <c r="J1290">
        <f>_xlfn.XLOOKUP(A1290,'[1]Tissue Data'!$A:$A,'[1]Tissue Data'!M:M)</f>
        <v>1.35</v>
      </c>
      <c r="K1290" t="s">
        <v>50</v>
      </c>
      <c r="L1290" t="str">
        <f>_xlfn.XLOOKUP(K1290,[2]analyte_order!$B:$B,[2]analyte_order!$C:$C)</f>
        <v>53826-12-3</v>
      </c>
      <c r="M1290">
        <f>_xlfn.XLOOKUP(L1290,[2]analyte_order!$C:$C,[2]analyte_order!$E:$E)</f>
        <v>41</v>
      </c>
      <c r="N1290">
        <v>2.2599999999999998</v>
      </c>
    </row>
    <row r="1291" spans="1:14">
      <c r="A1291" t="s">
        <v>214</v>
      </c>
      <c r="B1291" t="str">
        <f>_xlfn.XLOOKUP(A1291,'[1]Tissue Data'!$A:$A,'[1]Tissue Data'!$C:$C)</f>
        <v>Down</v>
      </c>
      <c r="C1291" s="2">
        <f>_xlfn.XLOOKUP(A1291,'[1]Tissue Data'!$A:$A,'[1]Tissue Data'!$D:$D)</f>
        <v>44314</v>
      </c>
      <c r="D1291" s="2" t="str">
        <f>_xlfn.XLOOKUP(A1291,'[1]Tissue Data'!$A:$A,'[1]Tissue Data'!$F:$F)</f>
        <v>Margined Madtom</v>
      </c>
      <c r="E1291" t="str">
        <f>_xlfn.XLOOKUP(A1291,'[1]Tissue Data'!$A:$A,'[1]Tissue Data'!$H:$H)</f>
        <v>Noturus</v>
      </c>
      <c r="F1291" t="str">
        <f>_xlfn.XLOOKUP(A1291,'[1]Tissue Data'!$A:$A,'[1]Tissue Data'!$I:$I)</f>
        <v>insignis</v>
      </c>
      <c r="G1291" t="str">
        <f>_xlfn.XLOOKUP(A1291,'[1]Tissue Data'!$A:$A,'[1]Tissue Data'!J:J)</f>
        <v>U</v>
      </c>
      <c r="H1291" t="str">
        <f>_xlfn.XLOOKUP(A1291,'[1]Tissue Data'!$A:$A,'[1]Tissue Data'!K:K)</f>
        <v>Whole Body</v>
      </c>
      <c r="I1291">
        <f>_xlfn.XLOOKUP(A1291,'[1]Tissue Data'!$A:$A,'[1]Tissue Data'!L:L)</f>
        <v>5</v>
      </c>
      <c r="J1291">
        <f>_xlfn.XLOOKUP(A1291,'[1]Tissue Data'!$A:$A,'[1]Tissue Data'!M:M)</f>
        <v>1.35</v>
      </c>
      <c r="K1291" t="s">
        <v>51</v>
      </c>
      <c r="L1291" t="str">
        <f>_xlfn.XLOOKUP(K1291,[2]analyte_order!$B:$B,[2]analyte_order!$C:$C)</f>
        <v>27854-31-5</v>
      </c>
      <c r="M1291">
        <f>_xlfn.XLOOKUP(L1291,[2]analyte_order!$C:$C,[2]analyte_order!$E:$E)</f>
        <v>42</v>
      </c>
      <c r="N1291">
        <v>0.67100000000000004</v>
      </c>
    </row>
    <row r="1292" spans="1:14">
      <c r="A1292" t="s">
        <v>214</v>
      </c>
      <c r="B1292" t="str">
        <f>_xlfn.XLOOKUP(A1292,'[1]Tissue Data'!$A:$A,'[1]Tissue Data'!$C:$C)</f>
        <v>Down</v>
      </c>
      <c r="C1292" s="2">
        <f>_xlfn.XLOOKUP(A1292,'[1]Tissue Data'!$A:$A,'[1]Tissue Data'!$D:$D)</f>
        <v>44314</v>
      </c>
      <c r="D1292" s="2" t="str">
        <f>_xlfn.XLOOKUP(A1292,'[1]Tissue Data'!$A:$A,'[1]Tissue Data'!$F:$F)</f>
        <v>Margined Madtom</v>
      </c>
      <c r="E1292" t="str">
        <f>_xlfn.XLOOKUP(A1292,'[1]Tissue Data'!$A:$A,'[1]Tissue Data'!$H:$H)</f>
        <v>Noturus</v>
      </c>
      <c r="F1292" t="str">
        <f>_xlfn.XLOOKUP(A1292,'[1]Tissue Data'!$A:$A,'[1]Tissue Data'!$I:$I)</f>
        <v>insignis</v>
      </c>
      <c r="G1292" t="str">
        <f>_xlfn.XLOOKUP(A1292,'[1]Tissue Data'!$A:$A,'[1]Tissue Data'!J:J)</f>
        <v>U</v>
      </c>
      <c r="H1292" t="str">
        <f>_xlfn.XLOOKUP(A1292,'[1]Tissue Data'!$A:$A,'[1]Tissue Data'!K:K)</f>
        <v>Whole Body</v>
      </c>
      <c r="I1292">
        <f>_xlfn.XLOOKUP(A1292,'[1]Tissue Data'!$A:$A,'[1]Tissue Data'!L:L)</f>
        <v>5</v>
      </c>
      <c r="J1292">
        <f>_xlfn.XLOOKUP(A1292,'[1]Tissue Data'!$A:$A,'[1]Tissue Data'!M:M)</f>
        <v>1.35</v>
      </c>
      <c r="K1292" t="s">
        <v>52</v>
      </c>
      <c r="L1292" t="str">
        <f>_xlfn.XLOOKUP(K1292,[2]analyte_order!$B:$B,[2]analyte_order!$C:$C)</f>
        <v>53826-13-4</v>
      </c>
      <c r="M1292">
        <f>_xlfn.XLOOKUP(L1292,[2]analyte_order!$C:$C,[2]analyte_order!$E:$E)</f>
        <v>43</v>
      </c>
      <c r="N1292">
        <v>0.10043474655429419</v>
      </c>
    </row>
    <row r="1293" spans="1:14">
      <c r="A1293" t="s">
        <v>214</v>
      </c>
      <c r="B1293" t="str">
        <f>_xlfn.XLOOKUP(A1293,'[1]Tissue Data'!$A:$A,'[1]Tissue Data'!$C:$C)</f>
        <v>Down</v>
      </c>
      <c r="C1293" s="2">
        <f>_xlfn.XLOOKUP(A1293,'[1]Tissue Data'!$A:$A,'[1]Tissue Data'!$D:$D)</f>
        <v>44314</v>
      </c>
      <c r="D1293" s="2" t="str">
        <f>_xlfn.XLOOKUP(A1293,'[1]Tissue Data'!$A:$A,'[1]Tissue Data'!$F:$F)</f>
        <v>Margined Madtom</v>
      </c>
      <c r="E1293" t="str">
        <f>_xlfn.XLOOKUP(A1293,'[1]Tissue Data'!$A:$A,'[1]Tissue Data'!$H:$H)</f>
        <v>Noturus</v>
      </c>
      <c r="F1293" t="str">
        <f>_xlfn.XLOOKUP(A1293,'[1]Tissue Data'!$A:$A,'[1]Tissue Data'!$I:$I)</f>
        <v>insignis</v>
      </c>
      <c r="G1293" t="str">
        <f>_xlfn.XLOOKUP(A1293,'[1]Tissue Data'!$A:$A,'[1]Tissue Data'!J:J)</f>
        <v>U</v>
      </c>
      <c r="H1293" t="str">
        <f>_xlfn.XLOOKUP(A1293,'[1]Tissue Data'!$A:$A,'[1]Tissue Data'!K:K)</f>
        <v>Whole Body</v>
      </c>
      <c r="I1293">
        <f>_xlfn.XLOOKUP(A1293,'[1]Tissue Data'!$A:$A,'[1]Tissue Data'!L:L)</f>
        <v>5</v>
      </c>
      <c r="J1293">
        <f>_xlfn.XLOOKUP(A1293,'[1]Tissue Data'!$A:$A,'[1]Tissue Data'!M:M)</f>
        <v>1.35</v>
      </c>
      <c r="K1293" t="s">
        <v>53</v>
      </c>
      <c r="L1293" t="str">
        <f>_xlfn.XLOOKUP(K1293,[2]analyte_order!$B:$B,[2]analyte_order!$C:$C)</f>
        <v>161094-75-3</v>
      </c>
      <c r="M1293">
        <f>_xlfn.XLOOKUP(L1293,[2]analyte_order!$C:$C,[2]analyte_order!$E:$E)</f>
        <v>44</v>
      </c>
      <c r="N1293">
        <v>5.2849090110562692E-2</v>
      </c>
    </row>
    <row r="1294" spans="1:14">
      <c r="A1294" t="s">
        <v>214</v>
      </c>
      <c r="B1294" t="str">
        <f>_xlfn.XLOOKUP(A1294,'[1]Tissue Data'!$A:$A,'[1]Tissue Data'!$C:$C)</f>
        <v>Down</v>
      </c>
      <c r="C1294" s="2">
        <f>_xlfn.XLOOKUP(A1294,'[1]Tissue Data'!$A:$A,'[1]Tissue Data'!$D:$D)</f>
        <v>44314</v>
      </c>
      <c r="D1294" s="2" t="str">
        <f>_xlfn.XLOOKUP(A1294,'[1]Tissue Data'!$A:$A,'[1]Tissue Data'!$F:$F)</f>
        <v>Margined Madtom</v>
      </c>
      <c r="E1294" t="str">
        <f>_xlfn.XLOOKUP(A1294,'[1]Tissue Data'!$A:$A,'[1]Tissue Data'!$H:$H)</f>
        <v>Noturus</v>
      </c>
      <c r="F1294" t="str">
        <f>_xlfn.XLOOKUP(A1294,'[1]Tissue Data'!$A:$A,'[1]Tissue Data'!$I:$I)</f>
        <v>insignis</v>
      </c>
      <c r="G1294" t="str">
        <f>_xlfn.XLOOKUP(A1294,'[1]Tissue Data'!$A:$A,'[1]Tissue Data'!J:J)</f>
        <v>U</v>
      </c>
      <c r="H1294" t="str">
        <f>_xlfn.XLOOKUP(A1294,'[1]Tissue Data'!$A:$A,'[1]Tissue Data'!K:K)</f>
        <v>Whole Body</v>
      </c>
      <c r="I1294">
        <f>_xlfn.XLOOKUP(A1294,'[1]Tissue Data'!$A:$A,'[1]Tissue Data'!L:L)</f>
        <v>5</v>
      </c>
      <c r="J1294">
        <f>_xlfn.XLOOKUP(A1294,'[1]Tissue Data'!$A:$A,'[1]Tissue Data'!M:M)</f>
        <v>1.35</v>
      </c>
      <c r="K1294" t="s">
        <v>54</v>
      </c>
      <c r="L1294" t="str">
        <f>_xlfn.XLOOKUP(K1294,[2]analyte_order!$B:$B,[2]analyte_order!$C:$C)</f>
        <v>70887-84-2</v>
      </c>
      <c r="M1294">
        <f>_xlfn.XLOOKUP(L1294,[2]analyte_order!$C:$C,[2]analyte_order!$E:$E)</f>
        <v>45</v>
      </c>
      <c r="N1294">
        <v>4.0673821840720638E-2</v>
      </c>
    </row>
    <row r="1295" spans="1:14">
      <c r="A1295" t="s">
        <v>214</v>
      </c>
      <c r="B1295" t="str">
        <f>_xlfn.XLOOKUP(A1295,'[1]Tissue Data'!$A:$A,'[1]Tissue Data'!$C:$C)</f>
        <v>Down</v>
      </c>
      <c r="C1295" s="2">
        <f>_xlfn.XLOOKUP(A1295,'[1]Tissue Data'!$A:$A,'[1]Tissue Data'!$D:$D)</f>
        <v>44314</v>
      </c>
      <c r="D1295" s="2" t="str">
        <f>_xlfn.XLOOKUP(A1295,'[1]Tissue Data'!$A:$A,'[1]Tissue Data'!$F:$F)</f>
        <v>Margined Madtom</v>
      </c>
      <c r="E1295" t="str">
        <f>_xlfn.XLOOKUP(A1295,'[1]Tissue Data'!$A:$A,'[1]Tissue Data'!$H:$H)</f>
        <v>Noturus</v>
      </c>
      <c r="F1295" t="str">
        <f>_xlfn.XLOOKUP(A1295,'[1]Tissue Data'!$A:$A,'[1]Tissue Data'!$I:$I)</f>
        <v>insignis</v>
      </c>
      <c r="G1295" t="str">
        <f>_xlfn.XLOOKUP(A1295,'[1]Tissue Data'!$A:$A,'[1]Tissue Data'!J:J)</f>
        <v>U</v>
      </c>
      <c r="H1295" t="str">
        <f>_xlfn.XLOOKUP(A1295,'[1]Tissue Data'!$A:$A,'[1]Tissue Data'!K:K)</f>
        <v>Whole Body</v>
      </c>
      <c r="I1295">
        <f>_xlfn.XLOOKUP(A1295,'[1]Tissue Data'!$A:$A,'[1]Tissue Data'!L:L)</f>
        <v>5</v>
      </c>
      <c r="J1295">
        <f>_xlfn.XLOOKUP(A1295,'[1]Tissue Data'!$A:$A,'[1]Tissue Data'!M:M)</f>
        <v>1.35</v>
      </c>
      <c r="K1295" t="s">
        <v>55</v>
      </c>
      <c r="L1295" t="str">
        <f>_xlfn.XLOOKUP(K1295,[2]analyte_order!$B:$B,[2]analyte_order!$C:$C)</f>
        <v>919005-14-4</v>
      </c>
      <c r="M1295">
        <f>_xlfn.XLOOKUP(L1295,[2]analyte_order!$C:$C,[2]analyte_order!$E:$E)</f>
        <v>35</v>
      </c>
      <c r="N1295">
        <v>6.7306829399623097E-2</v>
      </c>
    </row>
    <row r="1296" spans="1:14">
      <c r="A1296" t="s">
        <v>214</v>
      </c>
      <c r="B1296" t="str">
        <f>_xlfn.XLOOKUP(A1296,'[1]Tissue Data'!$A:$A,'[1]Tissue Data'!$C:$C)</f>
        <v>Down</v>
      </c>
      <c r="C1296" s="2">
        <f>_xlfn.XLOOKUP(A1296,'[1]Tissue Data'!$A:$A,'[1]Tissue Data'!$D:$D)</f>
        <v>44314</v>
      </c>
      <c r="D1296" s="2" t="str">
        <f>_xlfn.XLOOKUP(A1296,'[1]Tissue Data'!$A:$A,'[1]Tissue Data'!$F:$F)</f>
        <v>Margined Madtom</v>
      </c>
      <c r="E1296" t="str">
        <f>_xlfn.XLOOKUP(A1296,'[1]Tissue Data'!$A:$A,'[1]Tissue Data'!$H:$H)</f>
        <v>Noturus</v>
      </c>
      <c r="F1296" t="str">
        <f>_xlfn.XLOOKUP(A1296,'[1]Tissue Data'!$A:$A,'[1]Tissue Data'!$I:$I)</f>
        <v>insignis</v>
      </c>
      <c r="G1296" t="str">
        <f>_xlfn.XLOOKUP(A1296,'[1]Tissue Data'!$A:$A,'[1]Tissue Data'!J:J)</f>
        <v>U</v>
      </c>
      <c r="H1296" t="str">
        <f>_xlfn.XLOOKUP(A1296,'[1]Tissue Data'!$A:$A,'[1]Tissue Data'!K:K)</f>
        <v>Whole Body</v>
      </c>
      <c r="I1296">
        <f>_xlfn.XLOOKUP(A1296,'[1]Tissue Data'!$A:$A,'[1]Tissue Data'!L:L)</f>
        <v>5</v>
      </c>
      <c r="J1296">
        <f>_xlfn.XLOOKUP(A1296,'[1]Tissue Data'!$A:$A,'[1]Tissue Data'!M:M)</f>
        <v>1.35</v>
      </c>
      <c r="K1296" t="s">
        <v>56</v>
      </c>
      <c r="L1296" t="str">
        <f>_xlfn.XLOOKUP(K1296,[2]analyte_order!$B:$B,[2]analyte_order!$C:$C)</f>
        <v>756426-58-1</v>
      </c>
      <c r="M1296">
        <f>_xlfn.XLOOKUP(L1296,[2]analyte_order!$C:$C,[2]analyte_order!$E:$E)</f>
        <v>36</v>
      </c>
      <c r="N1296">
        <v>4.6718117151530118E-2</v>
      </c>
    </row>
    <row r="1297" spans="1:14">
      <c r="A1297" t="s">
        <v>214</v>
      </c>
      <c r="B1297" t="str">
        <f>_xlfn.XLOOKUP(A1297,'[1]Tissue Data'!$A:$A,'[1]Tissue Data'!$C:$C)</f>
        <v>Down</v>
      </c>
      <c r="C1297" s="2">
        <f>_xlfn.XLOOKUP(A1297,'[1]Tissue Data'!$A:$A,'[1]Tissue Data'!$D:$D)</f>
        <v>44314</v>
      </c>
      <c r="D1297" s="2" t="str">
        <f>_xlfn.XLOOKUP(A1297,'[1]Tissue Data'!$A:$A,'[1]Tissue Data'!$F:$F)</f>
        <v>Margined Madtom</v>
      </c>
      <c r="E1297" t="str">
        <f>_xlfn.XLOOKUP(A1297,'[1]Tissue Data'!$A:$A,'[1]Tissue Data'!$H:$H)</f>
        <v>Noturus</v>
      </c>
      <c r="F1297" t="str">
        <f>_xlfn.XLOOKUP(A1297,'[1]Tissue Data'!$A:$A,'[1]Tissue Data'!$I:$I)</f>
        <v>insignis</v>
      </c>
      <c r="G1297" t="str">
        <f>_xlfn.XLOOKUP(A1297,'[1]Tissue Data'!$A:$A,'[1]Tissue Data'!J:J)</f>
        <v>U</v>
      </c>
      <c r="H1297" t="str">
        <f>_xlfn.XLOOKUP(A1297,'[1]Tissue Data'!$A:$A,'[1]Tissue Data'!K:K)</f>
        <v>Whole Body</v>
      </c>
      <c r="I1297">
        <f>_xlfn.XLOOKUP(A1297,'[1]Tissue Data'!$A:$A,'[1]Tissue Data'!L:L)</f>
        <v>5</v>
      </c>
      <c r="J1297">
        <f>_xlfn.XLOOKUP(A1297,'[1]Tissue Data'!$A:$A,'[1]Tissue Data'!M:M)</f>
        <v>1.35</v>
      </c>
      <c r="K1297" t="s">
        <v>57</v>
      </c>
      <c r="L1297" t="str">
        <f>_xlfn.XLOOKUP(K1297,[2]analyte_order!$B:$B,[2]analyte_order!$C:$C)</f>
        <v>763051-92-9</v>
      </c>
      <c r="M1297">
        <f>_xlfn.XLOOKUP(L1297,[2]analyte_order!$C:$C,[2]analyte_order!$E:$E)</f>
        <v>37</v>
      </c>
      <c r="N1297">
        <v>5.3037145203849959E-2</v>
      </c>
    </row>
    <row r="1298" spans="1:14">
      <c r="A1298" t="s">
        <v>214</v>
      </c>
      <c r="B1298" t="str">
        <f>_xlfn.XLOOKUP(A1298,'[1]Tissue Data'!$A:$A,'[1]Tissue Data'!$C:$C)</f>
        <v>Down</v>
      </c>
      <c r="C1298" s="2">
        <f>_xlfn.XLOOKUP(A1298,'[1]Tissue Data'!$A:$A,'[1]Tissue Data'!$D:$D)</f>
        <v>44314</v>
      </c>
      <c r="D1298" s="2" t="str">
        <f>_xlfn.XLOOKUP(A1298,'[1]Tissue Data'!$A:$A,'[1]Tissue Data'!$F:$F)</f>
        <v>Margined Madtom</v>
      </c>
      <c r="E1298" t="str">
        <f>_xlfn.XLOOKUP(A1298,'[1]Tissue Data'!$A:$A,'[1]Tissue Data'!$H:$H)</f>
        <v>Noturus</v>
      </c>
      <c r="F1298" t="str">
        <f>_xlfn.XLOOKUP(A1298,'[1]Tissue Data'!$A:$A,'[1]Tissue Data'!$I:$I)</f>
        <v>insignis</v>
      </c>
      <c r="G1298" t="str">
        <f>_xlfn.XLOOKUP(A1298,'[1]Tissue Data'!$A:$A,'[1]Tissue Data'!J:J)</f>
        <v>U</v>
      </c>
      <c r="H1298" t="str">
        <f>_xlfn.XLOOKUP(A1298,'[1]Tissue Data'!$A:$A,'[1]Tissue Data'!K:K)</f>
        <v>Whole Body</v>
      </c>
      <c r="I1298">
        <f>_xlfn.XLOOKUP(A1298,'[1]Tissue Data'!$A:$A,'[1]Tissue Data'!L:L)</f>
        <v>5</v>
      </c>
      <c r="J1298">
        <f>_xlfn.XLOOKUP(A1298,'[1]Tissue Data'!$A:$A,'[1]Tissue Data'!M:M)</f>
        <v>1.35</v>
      </c>
      <c r="K1298" t="s">
        <v>58</v>
      </c>
      <c r="L1298" t="str">
        <f>_xlfn.XLOOKUP(K1298,[2]analyte_order!$B:$B,[2]analyte_order!$C:$C)</f>
        <v>13252-13-6</v>
      </c>
      <c r="M1298">
        <f>_xlfn.XLOOKUP(L1298,[2]analyte_order!$C:$C,[2]analyte_order!$E:$E)</f>
        <v>34</v>
      </c>
      <c r="N1298">
        <v>9.658722280602175E-2</v>
      </c>
    </row>
    <row r="1299" spans="1:14">
      <c r="A1299" t="s">
        <v>214</v>
      </c>
      <c r="B1299" t="str">
        <f>_xlfn.XLOOKUP(A1299,'[1]Tissue Data'!$A:$A,'[1]Tissue Data'!$C:$C)</f>
        <v>Down</v>
      </c>
      <c r="C1299" s="2">
        <f>_xlfn.XLOOKUP(A1299,'[1]Tissue Data'!$A:$A,'[1]Tissue Data'!$D:$D)</f>
        <v>44314</v>
      </c>
      <c r="D1299" s="2" t="str">
        <f>_xlfn.XLOOKUP(A1299,'[1]Tissue Data'!$A:$A,'[1]Tissue Data'!$F:$F)</f>
        <v>Margined Madtom</v>
      </c>
      <c r="E1299" t="str">
        <f>_xlfn.XLOOKUP(A1299,'[1]Tissue Data'!$A:$A,'[1]Tissue Data'!$H:$H)</f>
        <v>Noturus</v>
      </c>
      <c r="F1299" t="str">
        <f>_xlfn.XLOOKUP(A1299,'[1]Tissue Data'!$A:$A,'[1]Tissue Data'!$I:$I)</f>
        <v>insignis</v>
      </c>
      <c r="G1299" t="str">
        <f>_xlfn.XLOOKUP(A1299,'[1]Tissue Data'!$A:$A,'[1]Tissue Data'!J:J)</f>
        <v>U</v>
      </c>
      <c r="H1299" t="str">
        <f>_xlfn.XLOOKUP(A1299,'[1]Tissue Data'!$A:$A,'[1]Tissue Data'!K:K)</f>
        <v>Whole Body</v>
      </c>
      <c r="I1299">
        <f>_xlfn.XLOOKUP(A1299,'[1]Tissue Data'!$A:$A,'[1]Tissue Data'!L:L)</f>
        <v>5</v>
      </c>
      <c r="J1299">
        <f>_xlfn.XLOOKUP(A1299,'[1]Tissue Data'!$A:$A,'[1]Tissue Data'!M:M)</f>
        <v>1.35</v>
      </c>
      <c r="K1299" t="s">
        <v>59</v>
      </c>
      <c r="L1299" t="str">
        <f>_xlfn.XLOOKUP(K1299,[2]analyte_order!$B:$B,[2]analyte_order!$C:$C)</f>
        <v>57677-95-9</v>
      </c>
      <c r="M1299">
        <f>_xlfn.XLOOKUP(L1299,[2]analyte_order!$C:$C,[2]analyte_order!$E:$E)</f>
        <v>46</v>
      </c>
      <c r="N1299">
        <v>7.1650067450641661E-2</v>
      </c>
    </row>
    <row r="1300" spans="1:14">
      <c r="A1300" t="s">
        <v>214</v>
      </c>
      <c r="B1300" t="str">
        <f>_xlfn.XLOOKUP(A1300,'[1]Tissue Data'!$A:$A,'[1]Tissue Data'!$C:$C)</f>
        <v>Down</v>
      </c>
      <c r="C1300" s="2">
        <f>_xlfn.XLOOKUP(A1300,'[1]Tissue Data'!$A:$A,'[1]Tissue Data'!$D:$D)</f>
        <v>44314</v>
      </c>
      <c r="D1300" s="2" t="str">
        <f>_xlfn.XLOOKUP(A1300,'[1]Tissue Data'!$A:$A,'[1]Tissue Data'!$F:$F)</f>
        <v>Margined Madtom</v>
      </c>
      <c r="E1300" t="str">
        <f>_xlfn.XLOOKUP(A1300,'[1]Tissue Data'!$A:$A,'[1]Tissue Data'!$H:$H)</f>
        <v>Noturus</v>
      </c>
      <c r="F1300" t="str">
        <f>_xlfn.XLOOKUP(A1300,'[1]Tissue Data'!$A:$A,'[1]Tissue Data'!$I:$I)</f>
        <v>insignis</v>
      </c>
      <c r="G1300" t="str">
        <f>_xlfn.XLOOKUP(A1300,'[1]Tissue Data'!$A:$A,'[1]Tissue Data'!J:J)</f>
        <v>U</v>
      </c>
      <c r="H1300" t="str">
        <f>_xlfn.XLOOKUP(A1300,'[1]Tissue Data'!$A:$A,'[1]Tissue Data'!K:K)</f>
        <v>Whole Body</v>
      </c>
      <c r="I1300">
        <f>_xlfn.XLOOKUP(A1300,'[1]Tissue Data'!$A:$A,'[1]Tissue Data'!L:L)</f>
        <v>5</v>
      </c>
      <c r="J1300">
        <f>_xlfn.XLOOKUP(A1300,'[1]Tissue Data'!$A:$A,'[1]Tissue Data'!M:M)</f>
        <v>1.35</v>
      </c>
      <c r="K1300" t="s">
        <v>60</v>
      </c>
      <c r="L1300" t="str">
        <f>_xlfn.XLOOKUP(K1300,[2]analyte_order!$B:$B,[2]analyte_order!$C:$C)</f>
        <v>678-41-1</v>
      </c>
      <c r="M1300">
        <f>_xlfn.XLOOKUP(L1300,[2]analyte_order!$C:$C,[2]analyte_order!$E:$E)</f>
        <v>56</v>
      </c>
      <c r="N1300">
        <v>8.9236337219644621E-2</v>
      </c>
    </row>
    <row r="1301" spans="1:14">
      <c r="A1301" t="s">
        <v>214</v>
      </c>
      <c r="B1301" t="str">
        <f>_xlfn.XLOOKUP(A1301,'[1]Tissue Data'!$A:$A,'[1]Tissue Data'!$C:$C)</f>
        <v>Down</v>
      </c>
      <c r="C1301" s="2">
        <f>_xlfn.XLOOKUP(A1301,'[1]Tissue Data'!$A:$A,'[1]Tissue Data'!$D:$D)</f>
        <v>44314</v>
      </c>
      <c r="D1301" s="2" t="str">
        <f>_xlfn.XLOOKUP(A1301,'[1]Tissue Data'!$A:$A,'[1]Tissue Data'!$F:$F)</f>
        <v>Margined Madtom</v>
      </c>
      <c r="E1301" t="str">
        <f>_xlfn.XLOOKUP(A1301,'[1]Tissue Data'!$A:$A,'[1]Tissue Data'!$H:$H)</f>
        <v>Noturus</v>
      </c>
      <c r="F1301" t="str">
        <f>_xlfn.XLOOKUP(A1301,'[1]Tissue Data'!$A:$A,'[1]Tissue Data'!$I:$I)</f>
        <v>insignis</v>
      </c>
      <c r="G1301" t="str">
        <f>_xlfn.XLOOKUP(A1301,'[1]Tissue Data'!$A:$A,'[1]Tissue Data'!J:J)</f>
        <v>U</v>
      </c>
      <c r="H1301" t="str">
        <f>_xlfn.XLOOKUP(A1301,'[1]Tissue Data'!$A:$A,'[1]Tissue Data'!K:K)</f>
        <v>Whole Body</v>
      </c>
      <c r="I1301">
        <f>_xlfn.XLOOKUP(A1301,'[1]Tissue Data'!$A:$A,'[1]Tissue Data'!L:L)</f>
        <v>5</v>
      </c>
      <c r="J1301">
        <f>_xlfn.XLOOKUP(A1301,'[1]Tissue Data'!$A:$A,'[1]Tissue Data'!M:M)</f>
        <v>1.35</v>
      </c>
      <c r="K1301" t="s">
        <v>61</v>
      </c>
      <c r="L1301" t="str">
        <f>_xlfn.XLOOKUP(K1301,[2]analyte_order!$B:$B,[2]analyte_order!$C:$C)</f>
        <v>2965-52-8</v>
      </c>
      <c r="M1301">
        <f>_xlfn.XLOOKUP(L1301,[2]analyte_order!$C:$C,[2]analyte_order!$E:$E)</f>
        <v>57</v>
      </c>
      <c r="N1301">
        <v>0.11846001974333663</v>
      </c>
    </row>
    <row r="1302" spans="1:14">
      <c r="A1302" t="s">
        <v>218</v>
      </c>
      <c r="B1302" t="str">
        <f>_xlfn.XLOOKUP(A1302,'[1]Tissue Data'!$A:$A,'[1]Tissue Data'!$C:$C)</f>
        <v>Down</v>
      </c>
      <c r="C1302" s="2">
        <f>_xlfn.XLOOKUP(A1302,'[1]Tissue Data'!$A:$A,'[1]Tissue Data'!$D:$D)</f>
        <v>44314</v>
      </c>
      <c r="D1302" s="2" t="str">
        <f>_xlfn.XLOOKUP(A1302,'[1]Tissue Data'!$A:$A,'[1]Tissue Data'!$F:$F)</f>
        <v>Margined Madtom</v>
      </c>
      <c r="E1302" t="str">
        <f>_xlfn.XLOOKUP(A1302,'[1]Tissue Data'!$A:$A,'[1]Tissue Data'!$H:$H)</f>
        <v>Noturus</v>
      </c>
      <c r="F1302" t="str">
        <f>_xlfn.XLOOKUP(A1302,'[1]Tissue Data'!$A:$A,'[1]Tissue Data'!$I:$I)</f>
        <v>insignis</v>
      </c>
      <c r="G1302" t="str">
        <f>_xlfn.XLOOKUP(A1302,'[1]Tissue Data'!$A:$A,'[1]Tissue Data'!J:J)</f>
        <v>F</v>
      </c>
      <c r="H1302" t="str">
        <f>_xlfn.XLOOKUP(A1302,'[1]Tissue Data'!$A:$A,'[1]Tissue Data'!K:K)</f>
        <v>Whole Body</v>
      </c>
      <c r="I1302">
        <f>_xlfn.XLOOKUP(A1302,'[1]Tissue Data'!$A:$A,'[1]Tissue Data'!L:L)</f>
        <v>12</v>
      </c>
      <c r="J1302">
        <f>_xlfn.XLOOKUP(A1302,'[1]Tissue Data'!$A:$A,'[1]Tissue Data'!M:M)</f>
        <v>16.399999999999999</v>
      </c>
      <c r="K1302" t="s">
        <v>12</v>
      </c>
      <c r="L1302" t="str">
        <f>_xlfn.XLOOKUP(K1302,[2]analyte_order!$B:$B,[2]analyte_order!$C:$C)</f>
        <v>375-22-4</v>
      </c>
      <c r="M1302">
        <f>_xlfn.XLOOKUP(L1302,[2]analyte_order!$C:$C,[2]analyte_order!$E:$E)</f>
        <v>1</v>
      </c>
      <c r="N1302">
        <v>9.0799031476997583E-2</v>
      </c>
    </row>
    <row r="1303" spans="1:14">
      <c r="A1303" t="s">
        <v>218</v>
      </c>
      <c r="B1303" t="str">
        <f>_xlfn.XLOOKUP(A1303,'[1]Tissue Data'!$A:$A,'[1]Tissue Data'!$C:$C)</f>
        <v>Down</v>
      </c>
      <c r="C1303" s="2">
        <f>_xlfn.XLOOKUP(A1303,'[1]Tissue Data'!$A:$A,'[1]Tissue Data'!$D:$D)</f>
        <v>44314</v>
      </c>
      <c r="D1303" s="2" t="str">
        <f>_xlfn.XLOOKUP(A1303,'[1]Tissue Data'!$A:$A,'[1]Tissue Data'!$F:$F)</f>
        <v>Margined Madtom</v>
      </c>
      <c r="E1303" t="str">
        <f>_xlfn.XLOOKUP(A1303,'[1]Tissue Data'!$A:$A,'[1]Tissue Data'!$H:$H)</f>
        <v>Noturus</v>
      </c>
      <c r="F1303" t="str">
        <f>_xlfn.XLOOKUP(A1303,'[1]Tissue Data'!$A:$A,'[1]Tissue Data'!$I:$I)</f>
        <v>insignis</v>
      </c>
      <c r="G1303" t="str">
        <f>_xlfn.XLOOKUP(A1303,'[1]Tissue Data'!$A:$A,'[1]Tissue Data'!J:J)</f>
        <v>F</v>
      </c>
      <c r="H1303" t="str">
        <f>_xlfn.XLOOKUP(A1303,'[1]Tissue Data'!$A:$A,'[1]Tissue Data'!K:K)</f>
        <v>Whole Body</v>
      </c>
      <c r="I1303">
        <f>_xlfn.XLOOKUP(A1303,'[1]Tissue Data'!$A:$A,'[1]Tissue Data'!L:L)</f>
        <v>12</v>
      </c>
      <c r="J1303">
        <f>_xlfn.XLOOKUP(A1303,'[1]Tissue Data'!$A:$A,'[1]Tissue Data'!M:M)</f>
        <v>16.399999999999999</v>
      </c>
      <c r="K1303" t="s">
        <v>13</v>
      </c>
      <c r="L1303" t="str">
        <f>_xlfn.XLOOKUP(K1303,[2]analyte_order!$B:$B,[2]analyte_order!$C:$C)</f>
        <v>2706-90-3</v>
      </c>
      <c r="M1303">
        <f>_xlfn.XLOOKUP(L1303,[2]analyte_order!$C:$C,[2]analyte_order!$E:$E)</f>
        <v>2</v>
      </c>
      <c r="N1303">
        <v>4.2220219113496937E-2</v>
      </c>
    </row>
    <row r="1304" spans="1:14">
      <c r="A1304" t="s">
        <v>218</v>
      </c>
      <c r="B1304" t="str">
        <f>_xlfn.XLOOKUP(A1304,'[1]Tissue Data'!$A:$A,'[1]Tissue Data'!$C:$C)</f>
        <v>Down</v>
      </c>
      <c r="C1304" s="2">
        <f>_xlfn.XLOOKUP(A1304,'[1]Tissue Data'!$A:$A,'[1]Tissue Data'!$D:$D)</f>
        <v>44314</v>
      </c>
      <c r="D1304" s="2" t="str">
        <f>_xlfn.XLOOKUP(A1304,'[1]Tissue Data'!$A:$A,'[1]Tissue Data'!$F:$F)</f>
        <v>Margined Madtom</v>
      </c>
      <c r="E1304" t="str">
        <f>_xlfn.XLOOKUP(A1304,'[1]Tissue Data'!$A:$A,'[1]Tissue Data'!$H:$H)</f>
        <v>Noturus</v>
      </c>
      <c r="F1304" t="str">
        <f>_xlfn.XLOOKUP(A1304,'[1]Tissue Data'!$A:$A,'[1]Tissue Data'!$I:$I)</f>
        <v>insignis</v>
      </c>
      <c r="G1304" t="str">
        <f>_xlfn.XLOOKUP(A1304,'[1]Tissue Data'!$A:$A,'[1]Tissue Data'!J:J)</f>
        <v>F</v>
      </c>
      <c r="H1304" t="str">
        <f>_xlfn.XLOOKUP(A1304,'[1]Tissue Data'!$A:$A,'[1]Tissue Data'!K:K)</f>
        <v>Whole Body</v>
      </c>
      <c r="I1304">
        <f>_xlfn.XLOOKUP(A1304,'[1]Tissue Data'!$A:$A,'[1]Tissue Data'!L:L)</f>
        <v>12</v>
      </c>
      <c r="J1304">
        <f>_xlfn.XLOOKUP(A1304,'[1]Tissue Data'!$A:$A,'[1]Tissue Data'!M:M)</f>
        <v>16.399999999999999</v>
      </c>
      <c r="K1304" t="s">
        <v>14</v>
      </c>
      <c r="L1304" t="str">
        <f>_xlfn.XLOOKUP(K1304,[2]analyte_order!$B:$B,[2]analyte_order!$C:$C)</f>
        <v>307-24-4</v>
      </c>
      <c r="M1304">
        <f>_xlfn.XLOOKUP(L1304,[2]analyte_order!$C:$C,[2]analyte_order!$E:$E)</f>
        <v>3</v>
      </c>
      <c r="N1304">
        <v>0.12250860933146186</v>
      </c>
    </row>
    <row r="1305" spans="1:14">
      <c r="A1305" t="s">
        <v>218</v>
      </c>
      <c r="B1305" t="str">
        <f>_xlfn.XLOOKUP(A1305,'[1]Tissue Data'!$A:$A,'[1]Tissue Data'!$C:$C)</f>
        <v>Down</v>
      </c>
      <c r="C1305" s="2">
        <f>_xlfn.XLOOKUP(A1305,'[1]Tissue Data'!$A:$A,'[1]Tissue Data'!$D:$D)</f>
        <v>44314</v>
      </c>
      <c r="D1305" s="2" t="str">
        <f>_xlfn.XLOOKUP(A1305,'[1]Tissue Data'!$A:$A,'[1]Tissue Data'!$F:$F)</f>
        <v>Margined Madtom</v>
      </c>
      <c r="E1305" t="str">
        <f>_xlfn.XLOOKUP(A1305,'[1]Tissue Data'!$A:$A,'[1]Tissue Data'!$H:$H)</f>
        <v>Noturus</v>
      </c>
      <c r="F1305" t="str">
        <f>_xlfn.XLOOKUP(A1305,'[1]Tissue Data'!$A:$A,'[1]Tissue Data'!$I:$I)</f>
        <v>insignis</v>
      </c>
      <c r="G1305" t="str">
        <f>_xlfn.XLOOKUP(A1305,'[1]Tissue Data'!$A:$A,'[1]Tissue Data'!J:J)</f>
        <v>F</v>
      </c>
      <c r="H1305" t="str">
        <f>_xlfn.XLOOKUP(A1305,'[1]Tissue Data'!$A:$A,'[1]Tissue Data'!K:K)</f>
        <v>Whole Body</v>
      </c>
      <c r="I1305">
        <f>_xlfn.XLOOKUP(A1305,'[1]Tissue Data'!$A:$A,'[1]Tissue Data'!L:L)</f>
        <v>12</v>
      </c>
      <c r="J1305">
        <f>_xlfn.XLOOKUP(A1305,'[1]Tissue Data'!$A:$A,'[1]Tissue Data'!M:M)</f>
        <v>16.399999999999999</v>
      </c>
      <c r="K1305" t="s">
        <v>15</v>
      </c>
      <c r="L1305" t="str">
        <f>_xlfn.XLOOKUP(K1305,[2]analyte_order!$B:$B,[2]analyte_order!$C:$C)</f>
        <v>375-85-9</v>
      </c>
      <c r="M1305">
        <f>_xlfn.XLOOKUP(L1305,[2]analyte_order!$C:$C,[2]analyte_order!$E:$E)</f>
        <v>4</v>
      </c>
      <c r="N1305">
        <v>9.0799031476997583E-2</v>
      </c>
    </row>
    <row r="1306" spans="1:14">
      <c r="A1306" t="s">
        <v>218</v>
      </c>
      <c r="B1306" t="str">
        <f>_xlfn.XLOOKUP(A1306,'[1]Tissue Data'!$A:$A,'[1]Tissue Data'!$C:$C)</f>
        <v>Down</v>
      </c>
      <c r="C1306" s="2">
        <f>_xlfn.XLOOKUP(A1306,'[1]Tissue Data'!$A:$A,'[1]Tissue Data'!$D:$D)</f>
        <v>44314</v>
      </c>
      <c r="D1306" s="2" t="str">
        <f>_xlfn.XLOOKUP(A1306,'[1]Tissue Data'!$A:$A,'[1]Tissue Data'!$F:$F)</f>
        <v>Margined Madtom</v>
      </c>
      <c r="E1306" t="str">
        <f>_xlfn.XLOOKUP(A1306,'[1]Tissue Data'!$A:$A,'[1]Tissue Data'!$H:$H)</f>
        <v>Noturus</v>
      </c>
      <c r="F1306" t="str">
        <f>_xlfn.XLOOKUP(A1306,'[1]Tissue Data'!$A:$A,'[1]Tissue Data'!$I:$I)</f>
        <v>insignis</v>
      </c>
      <c r="G1306" t="str">
        <f>_xlfn.XLOOKUP(A1306,'[1]Tissue Data'!$A:$A,'[1]Tissue Data'!J:J)</f>
        <v>F</v>
      </c>
      <c r="H1306" t="str">
        <f>_xlfn.XLOOKUP(A1306,'[1]Tissue Data'!$A:$A,'[1]Tissue Data'!K:K)</f>
        <v>Whole Body</v>
      </c>
      <c r="I1306">
        <f>_xlfn.XLOOKUP(A1306,'[1]Tissue Data'!$A:$A,'[1]Tissue Data'!L:L)</f>
        <v>12</v>
      </c>
      <c r="J1306">
        <f>_xlfn.XLOOKUP(A1306,'[1]Tissue Data'!$A:$A,'[1]Tissue Data'!M:M)</f>
        <v>16.399999999999999</v>
      </c>
      <c r="K1306" t="s">
        <v>16</v>
      </c>
      <c r="L1306" t="str">
        <f>_xlfn.XLOOKUP(K1306,[2]analyte_order!$B:$B,[2]analyte_order!$C:$C)</f>
        <v>335-67-1</v>
      </c>
      <c r="M1306">
        <f>_xlfn.XLOOKUP(L1306,[2]analyte_order!$C:$C,[2]analyte_order!$E:$E)</f>
        <v>5</v>
      </c>
      <c r="N1306">
        <v>0.68700000000000006</v>
      </c>
    </row>
    <row r="1307" spans="1:14">
      <c r="A1307" t="s">
        <v>218</v>
      </c>
      <c r="B1307" t="str">
        <f>_xlfn.XLOOKUP(A1307,'[1]Tissue Data'!$A:$A,'[1]Tissue Data'!$C:$C)</f>
        <v>Down</v>
      </c>
      <c r="C1307" s="2">
        <f>_xlfn.XLOOKUP(A1307,'[1]Tissue Data'!$A:$A,'[1]Tissue Data'!$D:$D)</f>
        <v>44314</v>
      </c>
      <c r="D1307" s="2" t="str">
        <f>_xlfn.XLOOKUP(A1307,'[1]Tissue Data'!$A:$A,'[1]Tissue Data'!$F:$F)</f>
        <v>Margined Madtom</v>
      </c>
      <c r="E1307" t="str">
        <f>_xlfn.XLOOKUP(A1307,'[1]Tissue Data'!$A:$A,'[1]Tissue Data'!$H:$H)</f>
        <v>Noturus</v>
      </c>
      <c r="F1307" t="str">
        <f>_xlfn.XLOOKUP(A1307,'[1]Tissue Data'!$A:$A,'[1]Tissue Data'!$I:$I)</f>
        <v>insignis</v>
      </c>
      <c r="G1307" t="str">
        <f>_xlfn.XLOOKUP(A1307,'[1]Tissue Data'!$A:$A,'[1]Tissue Data'!J:J)</f>
        <v>F</v>
      </c>
      <c r="H1307" t="str">
        <f>_xlfn.XLOOKUP(A1307,'[1]Tissue Data'!$A:$A,'[1]Tissue Data'!K:K)</f>
        <v>Whole Body</v>
      </c>
      <c r="I1307">
        <f>_xlfn.XLOOKUP(A1307,'[1]Tissue Data'!$A:$A,'[1]Tissue Data'!L:L)</f>
        <v>12</v>
      </c>
      <c r="J1307">
        <f>_xlfn.XLOOKUP(A1307,'[1]Tissue Data'!$A:$A,'[1]Tissue Data'!M:M)</f>
        <v>16.399999999999999</v>
      </c>
      <c r="K1307" t="s">
        <v>17</v>
      </c>
      <c r="L1307" t="str">
        <f>_xlfn.XLOOKUP(K1307,[2]analyte_order!$B:$B,[2]analyte_order!$C:$C)</f>
        <v>375-95-1</v>
      </c>
      <c r="M1307">
        <f>_xlfn.XLOOKUP(L1307,[2]analyte_order!$C:$C,[2]analyte_order!$E:$E)</f>
        <v>6</v>
      </c>
      <c r="N1307">
        <v>0.40500000000000003</v>
      </c>
    </row>
    <row r="1308" spans="1:14">
      <c r="A1308" t="s">
        <v>218</v>
      </c>
      <c r="B1308" t="str">
        <f>_xlfn.XLOOKUP(A1308,'[1]Tissue Data'!$A:$A,'[1]Tissue Data'!$C:$C)</f>
        <v>Down</v>
      </c>
      <c r="C1308" s="2">
        <f>_xlfn.XLOOKUP(A1308,'[1]Tissue Data'!$A:$A,'[1]Tissue Data'!$D:$D)</f>
        <v>44314</v>
      </c>
      <c r="D1308" s="2" t="str">
        <f>_xlfn.XLOOKUP(A1308,'[1]Tissue Data'!$A:$A,'[1]Tissue Data'!$F:$F)</f>
        <v>Margined Madtom</v>
      </c>
      <c r="E1308" t="str">
        <f>_xlfn.XLOOKUP(A1308,'[1]Tissue Data'!$A:$A,'[1]Tissue Data'!$H:$H)</f>
        <v>Noturus</v>
      </c>
      <c r="F1308" t="str">
        <f>_xlfn.XLOOKUP(A1308,'[1]Tissue Data'!$A:$A,'[1]Tissue Data'!$I:$I)</f>
        <v>insignis</v>
      </c>
      <c r="G1308" t="str">
        <f>_xlfn.XLOOKUP(A1308,'[1]Tissue Data'!$A:$A,'[1]Tissue Data'!J:J)</f>
        <v>F</v>
      </c>
      <c r="H1308" t="str">
        <f>_xlfn.XLOOKUP(A1308,'[1]Tissue Data'!$A:$A,'[1]Tissue Data'!K:K)</f>
        <v>Whole Body</v>
      </c>
      <c r="I1308">
        <f>_xlfn.XLOOKUP(A1308,'[1]Tissue Data'!$A:$A,'[1]Tissue Data'!L:L)</f>
        <v>12</v>
      </c>
      <c r="J1308">
        <f>_xlfn.XLOOKUP(A1308,'[1]Tissue Data'!$A:$A,'[1]Tissue Data'!M:M)</f>
        <v>16.399999999999999</v>
      </c>
      <c r="K1308" t="s">
        <v>18</v>
      </c>
      <c r="L1308" t="str">
        <f>_xlfn.XLOOKUP(K1308,[2]analyte_order!$B:$B,[2]analyte_order!$C:$C)</f>
        <v>335-76-2</v>
      </c>
      <c r="M1308">
        <f>_xlfn.XLOOKUP(L1308,[2]analyte_order!$C:$C,[2]analyte_order!$E:$E)</f>
        <v>7</v>
      </c>
      <c r="N1308">
        <v>3.6</v>
      </c>
    </row>
    <row r="1309" spans="1:14">
      <c r="A1309" t="s">
        <v>218</v>
      </c>
      <c r="B1309" t="str">
        <f>_xlfn.XLOOKUP(A1309,'[1]Tissue Data'!$A:$A,'[1]Tissue Data'!$C:$C)</f>
        <v>Down</v>
      </c>
      <c r="C1309" s="2">
        <f>_xlfn.XLOOKUP(A1309,'[1]Tissue Data'!$A:$A,'[1]Tissue Data'!$D:$D)</f>
        <v>44314</v>
      </c>
      <c r="D1309" s="2" t="str">
        <f>_xlfn.XLOOKUP(A1309,'[1]Tissue Data'!$A:$A,'[1]Tissue Data'!$F:$F)</f>
        <v>Margined Madtom</v>
      </c>
      <c r="E1309" t="str">
        <f>_xlfn.XLOOKUP(A1309,'[1]Tissue Data'!$A:$A,'[1]Tissue Data'!$H:$H)</f>
        <v>Noturus</v>
      </c>
      <c r="F1309" t="str">
        <f>_xlfn.XLOOKUP(A1309,'[1]Tissue Data'!$A:$A,'[1]Tissue Data'!$I:$I)</f>
        <v>insignis</v>
      </c>
      <c r="G1309" t="str">
        <f>_xlfn.XLOOKUP(A1309,'[1]Tissue Data'!$A:$A,'[1]Tissue Data'!J:J)</f>
        <v>F</v>
      </c>
      <c r="H1309" t="str">
        <f>_xlfn.XLOOKUP(A1309,'[1]Tissue Data'!$A:$A,'[1]Tissue Data'!K:K)</f>
        <v>Whole Body</v>
      </c>
      <c r="I1309">
        <f>_xlfn.XLOOKUP(A1309,'[1]Tissue Data'!$A:$A,'[1]Tissue Data'!L:L)</f>
        <v>12</v>
      </c>
      <c r="J1309">
        <f>_xlfn.XLOOKUP(A1309,'[1]Tissue Data'!$A:$A,'[1]Tissue Data'!M:M)</f>
        <v>16.399999999999999</v>
      </c>
      <c r="K1309" t="s">
        <v>19</v>
      </c>
      <c r="L1309" t="str">
        <f>_xlfn.XLOOKUP(K1309,[2]analyte_order!$B:$B,[2]analyte_order!$C:$C)</f>
        <v>2058-94-8</v>
      </c>
      <c r="M1309">
        <f>_xlfn.XLOOKUP(L1309,[2]analyte_order!$C:$C,[2]analyte_order!$E:$E)</f>
        <v>8</v>
      </c>
      <c r="N1309">
        <v>6.5</v>
      </c>
    </row>
    <row r="1310" spans="1:14">
      <c r="A1310" t="s">
        <v>218</v>
      </c>
      <c r="B1310" t="str">
        <f>_xlfn.XLOOKUP(A1310,'[1]Tissue Data'!$A:$A,'[1]Tissue Data'!$C:$C)</f>
        <v>Down</v>
      </c>
      <c r="C1310" s="2">
        <f>_xlfn.XLOOKUP(A1310,'[1]Tissue Data'!$A:$A,'[1]Tissue Data'!$D:$D)</f>
        <v>44314</v>
      </c>
      <c r="D1310" s="2" t="str">
        <f>_xlfn.XLOOKUP(A1310,'[1]Tissue Data'!$A:$A,'[1]Tissue Data'!$F:$F)</f>
        <v>Margined Madtom</v>
      </c>
      <c r="E1310" t="str">
        <f>_xlfn.XLOOKUP(A1310,'[1]Tissue Data'!$A:$A,'[1]Tissue Data'!$H:$H)</f>
        <v>Noturus</v>
      </c>
      <c r="F1310" t="str">
        <f>_xlfn.XLOOKUP(A1310,'[1]Tissue Data'!$A:$A,'[1]Tissue Data'!$I:$I)</f>
        <v>insignis</v>
      </c>
      <c r="G1310" t="str">
        <f>_xlfn.XLOOKUP(A1310,'[1]Tissue Data'!$A:$A,'[1]Tissue Data'!J:J)</f>
        <v>F</v>
      </c>
      <c r="H1310" t="str">
        <f>_xlfn.XLOOKUP(A1310,'[1]Tissue Data'!$A:$A,'[1]Tissue Data'!K:K)</f>
        <v>Whole Body</v>
      </c>
      <c r="I1310">
        <f>_xlfn.XLOOKUP(A1310,'[1]Tissue Data'!$A:$A,'[1]Tissue Data'!L:L)</f>
        <v>12</v>
      </c>
      <c r="J1310">
        <f>_xlfn.XLOOKUP(A1310,'[1]Tissue Data'!$A:$A,'[1]Tissue Data'!M:M)</f>
        <v>16.399999999999999</v>
      </c>
      <c r="K1310" t="s">
        <v>20</v>
      </c>
      <c r="L1310" t="str">
        <f>_xlfn.XLOOKUP(K1310,[2]analyte_order!$B:$B,[2]analyte_order!$C:$C)</f>
        <v>307-55-1</v>
      </c>
      <c r="M1310">
        <f>_xlfn.XLOOKUP(L1310,[2]analyte_order!$C:$C,[2]analyte_order!$E:$E)</f>
        <v>9</v>
      </c>
      <c r="N1310">
        <v>4.7711728242331282E-2</v>
      </c>
    </row>
    <row r="1311" spans="1:14">
      <c r="A1311" t="s">
        <v>218</v>
      </c>
      <c r="B1311" t="str">
        <f>_xlfn.XLOOKUP(A1311,'[1]Tissue Data'!$A:$A,'[1]Tissue Data'!$C:$C)</f>
        <v>Down</v>
      </c>
      <c r="C1311" s="2">
        <f>_xlfn.XLOOKUP(A1311,'[1]Tissue Data'!$A:$A,'[1]Tissue Data'!$D:$D)</f>
        <v>44314</v>
      </c>
      <c r="D1311" s="2" t="str">
        <f>_xlfn.XLOOKUP(A1311,'[1]Tissue Data'!$A:$A,'[1]Tissue Data'!$F:$F)</f>
        <v>Margined Madtom</v>
      </c>
      <c r="E1311" t="str">
        <f>_xlfn.XLOOKUP(A1311,'[1]Tissue Data'!$A:$A,'[1]Tissue Data'!$H:$H)</f>
        <v>Noturus</v>
      </c>
      <c r="F1311" t="str">
        <f>_xlfn.XLOOKUP(A1311,'[1]Tissue Data'!$A:$A,'[1]Tissue Data'!$I:$I)</f>
        <v>insignis</v>
      </c>
      <c r="G1311" t="str">
        <f>_xlfn.XLOOKUP(A1311,'[1]Tissue Data'!$A:$A,'[1]Tissue Data'!J:J)</f>
        <v>F</v>
      </c>
      <c r="H1311" t="str">
        <f>_xlfn.XLOOKUP(A1311,'[1]Tissue Data'!$A:$A,'[1]Tissue Data'!K:K)</f>
        <v>Whole Body</v>
      </c>
      <c r="I1311">
        <f>_xlfn.XLOOKUP(A1311,'[1]Tissue Data'!$A:$A,'[1]Tissue Data'!L:L)</f>
        <v>12</v>
      </c>
      <c r="J1311">
        <f>_xlfn.XLOOKUP(A1311,'[1]Tissue Data'!$A:$A,'[1]Tissue Data'!M:M)</f>
        <v>16.399999999999999</v>
      </c>
      <c r="K1311" t="s">
        <v>21</v>
      </c>
      <c r="L1311" t="str">
        <f>_xlfn.XLOOKUP(K1311,[2]analyte_order!$B:$B,[2]analyte_order!$C:$C)</f>
        <v>72629-94-8</v>
      </c>
      <c r="M1311">
        <f>_xlfn.XLOOKUP(L1311,[2]analyte_order!$C:$C,[2]analyte_order!$E:$E)</f>
        <v>10</v>
      </c>
      <c r="N1311">
        <v>3.79</v>
      </c>
    </row>
    <row r="1312" spans="1:14">
      <c r="A1312" t="s">
        <v>218</v>
      </c>
      <c r="B1312" t="str">
        <f>_xlfn.XLOOKUP(A1312,'[1]Tissue Data'!$A:$A,'[1]Tissue Data'!$C:$C)</f>
        <v>Down</v>
      </c>
      <c r="C1312" s="2">
        <f>_xlfn.XLOOKUP(A1312,'[1]Tissue Data'!$A:$A,'[1]Tissue Data'!$D:$D)</f>
        <v>44314</v>
      </c>
      <c r="D1312" s="2" t="str">
        <f>_xlfn.XLOOKUP(A1312,'[1]Tissue Data'!$A:$A,'[1]Tissue Data'!$F:$F)</f>
        <v>Margined Madtom</v>
      </c>
      <c r="E1312" t="str">
        <f>_xlfn.XLOOKUP(A1312,'[1]Tissue Data'!$A:$A,'[1]Tissue Data'!$H:$H)</f>
        <v>Noturus</v>
      </c>
      <c r="F1312" t="str">
        <f>_xlfn.XLOOKUP(A1312,'[1]Tissue Data'!$A:$A,'[1]Tissue Data'!$I:$I)</f>
        <v>insignis</v>
      </c>
      <c r="G1312" t="str">
        <f>_xlfn.XLOOKUP(A1312,'[1]Tissue Data'!$A:$A,'[1]Tissue Data'!J:J)</f>
        <v>F</v>
      </c>
      <c r="H1312" t="str">
        <f>_xlfn.XLOOKUP(A1312,'[1]Tissue Data'!$A:$A,'[1]Tissue Data'!K:K)</f>
        <v>Whole Body</v>
      </c>
      <c r="I1312">
        <f>_xlfn.XLOOKUP(A1312,'[1]Tissue Data'!$A:$A,'[1]Tissue Data'!L:L)</f>
        <v>12</v>
      </c>
      <c r="J1312">
        <f>_xlfn.XLOOKUP(A1312,'[1]Tissue Data'!$A:$A,'[1]Tissue Data'!M:M)</f>
        <v>16.399999999999999</v>
      </c>
      <c r="K1312" t="s">
        <v>22</v>
      </c>
      <c r="L1312" t="str">
        <f>_xlfn.XLOOKUP(K1312,[2]analyte_order!$B:$B,[2]analyte_order!$C:$C)</f>
        <v>376-06-7</v>
      </c>
      <c r="M1312">
        <f>_xlfn.XLOOKUP(L1312,[2]analyte_order!$C:$C,[2]analyte_order!$E:$E)</f>
        <v>11</v>
      </c>
      <c r="N1312">
        <v>7.25</v>
      </c>
    </row>
    <row r="1313" spans="1:14">
      <c r="A1313" t="s">
        <v>218</v>
      </c>
      <c r="B1313" t="str">
        <f>_xlfn.XLOOKUP(A1313,'[1]Tissue Data'!$A:$A,'[1]Tissue Data'!$C:$C)</f>
        <v>Down</v>
      </c>
      <c r="C1313" s="2">
        <f>_xlfn.XLOOKUP(A1313,'[1]Tissue Data'!$A:$A,'[1]Tissue Data'!$D:$D)</f>
        <v>44314</v>
      </c>
      <c r="D1313" s="2" t="str">
        <f>_xlfn.XLOOKUP(A1313,'[1]Tissue Data'!$A:$A,'[1]Tissue Data'!$F:$F)</f>
        <v>Margined Madtom</v>
      </c>
      <c r="E1313" t="str">
        <f>_xlfn.XLOOKUP(A1313,'[1]Tissue Data'!$A:$A,'[1]Tissue Data'!$H:$H)</f>
        <v>Noturus</v>
      </c>
      <c r="F1313" t="str">
        <f>_xlfn.XLOOKUP(A1313,'[1]Tissue Data'!$A:$A,'[1]Tissue Data'!$I:$I)</f>
        <v>insignis</v>
      </c>
      <c r="G1313" t="str">
        <f>_xlfn.XLOOKUP(A1313,'[1]Tissue Data'!$A:$A,'[1]Tissue Data'!J:J)</f>
        <v>F</v>
      </c>
      <c r="H1313" t="str">
        <f>_xlfn.XLOOKUP(A1313,'[1]Tissue Data'!$A:$A,'[1]Tissue Data'!K:K)</f>
        <v>Whole Body</v>
      </c>
      <c r="I1313">
        <f>_xlfn.XLOOKUP(A1313,'[1]Tissue Data'!$A:$A,'[1]Tissue Data'!L:L)</f>
        <v>12</v>
      </c>
      <c r="J1313">
        <f>_xlfn.XLOOKUP(A1313,'[1]Tissue Data'!$A:$A,'[1]Tissue Data'!M:M)</f>
        <v>16.399999999999999</v>
      </c>
      <c r="K1313" t="s">
        <v>23</v>
      </c>
      <c r="L1313" t="str">
        <f>_xlfn.XLOOKUP(K1313,[2]analyte_order!$B:$B,[2]analyte_order!$C:$C)</f>
        <v>67905-19-5</v>
      </c>
      <c r="M1313">
        <f>_xlfn.XLOOKUP(L1313,[2]analyte_order!$C:$C,[2]analyte_order!$E:$E)</f>
        <v>12</v>
      </c>
      <c r="N1313">
        <v>7.121744133128835E-2</v>
      </c>
    </row>
    <row r="1314" spans="1:14">
      <c r="A1314" t="s">
        <v>218</v>
      </c>
      <c r="B1314" t="str">
        <f>_xlfn.XLOOKUP(A1314,'[1]Tissue Data'!$A:$A,'[1]Tissue Data'!$C:$C)</f>
        <v>Down</v>
      </c>
      <c r="C1314" s="2">
        <f>_xlfn.XLOOKUP(A1314,'[1]Tissue Data'!$A:$A,'[1]Tissue Data'!$D:$D)</f>
        <v>44314</v>
      </c>
      <c r="D1314" s="2" t="str">
        <f>_xlfn.XLOOKUP(A1314,'[1]Tissue Data'!$A:$A,'[1]Tissue Data'!$F:$F)</f>
        <v>Margined Madtom</v>
      </c>
      <c r="E1314" t="str">
        <f>_xlfn.XLOOKUP(A1314,'[1]Tissue Data'!$A:$A,'[1]Tissue Data'!$H:$H)</f>
        <v>Noturus</v>
      </c>
      <c r="F1314" t="str">
        <f>_xlfn.XLOOKUP(A1314,'[1]Tissue Data'!$A:$A,'[1]Tissue Data'!$I:$I)</f>
        <v>insignis</v>
      </c>
      <c r="G1314" t="str">
        <f>_xlfn.XLOOKUP(A1314,'[1]Tissue Data'!$A:$A,'[1]Tissue Data'!J:J)</f>
        <v>F</v>
      </c>
      <c r="H1314" t="str">
        <f>_xlfn.XLOOKUP(A1314,'[1]Tissue Data'!$A:$A,'[1]Tissue Data'!K:K)</f>
        <v>Whole Body</v>
      </c>
      <c r="I1314">
        <f>_xlfn.XLOOKUP(A1314,'[1]Tissue Data'!$A:$A,'[1]Tissue Data'!L:L)</f>
        <v>12</v>
      </c>
      <c r="J1314">
        <f>_xlfn.XLOOKUP(A1314,'[1]Tissue Data'!$A:$A,'[1]Tissue Data'!M:M)</f>
        <v>16.399999999999999</v>
      </c>
      <c r="K1314" t="s">
        <v>24</v>
      </c>
      <c r="L1314" t="str">
        <f>_xlfn.XLOOKUP(K1314,[2]analyte_order!$B:$B,[2]analyte_order!$C:$C)</f>
        <v>423-41-6</v>
      </c>
      <c r="M1314">
        <f>_xlfn.XLOOKUP(L1314,[2]analyte_order!$C:$C,[2]analyte_order!$E:$E)</f>
        <v>53</v>
      </c>
      <c r="N1314">
        <v>4.5591182199386501E-2</v>
      </c>
    </row>
    <row r="1315" spans="1:14">
      <c r="A1315" t="s">
        <v>218</v>
      </c>
      <c r="B1315" t="str">
        <f>_xlfn.XLOOKUP(A1315,'[1]Tissue Data'!$A:$A,'[1]Tissue Data'!$C:$C)</f>
        <v>Down</v>
      </c>
      <c r="C1315" s="2">
        <f>_xlfn.XLOOKUP(A1315,'[1]Tissue Data'!$A:$A,'[1]Tissue Data'!$D:$D)</f>
        <v>44314</v>
      </c>
      <c r="D1315" s="2" t="str">
        <f>_xlfn.XLOOKUP(A1315,'[1]Tissue Data'!$A:$A,'[1]Tissue Data'!$F:$F)</f>
        <v>Margined Madtom</v>
      </c>
      <c r="E1315" t="str">
        <f>_xlfn.XLOOKUP(A1315,'[1]Tissue Data'!$A:$A,'[1]Tissue Data'!$H:$H)</f>
        <v>Noturus</v>
      </c>
      <c r="F1315" t="str">
        <f>_xlfn.XLOOKUP(A1315,'[1]Tissue Data'!$A:$A,'[1]Tissue Data'!$I:$I)</f>
        <v>insignis</v>
      </c>
      <c r="G1315" t="str">
        <f>_xlfn.XLOOKUP(A1315,'[1]Tissue Data'!$A:$A,'[1]Tissue Data'!J:J)</f>
        <v>F</v>
      </c>
      <c r="H1315" t="str">
        <f>_xlfn.XLOOKUP(A1315,'[1]Tissue Data'!$A:$A,'[1]Tissue Data'!K:K)</f>
        <v>Whole Body</v>
      </c>
      <c r="I1315">
        <f>_xlfn.XLOOKUP(A1315,'[1]Tissue Data'!$A:$A,'[1]Tissue Data'!L:L)</f>
        <v>12</v>
      </c>
      <c r="J1315">
        <f>_xlfn.XLOOKUP(A1315,'[1]Tissue Data'!$A:$A,'[1]Tissue Data'!M:M)</f>
        <v>16.399999999999999</v>
      </c>
      <c r="K1315" t="s">
        <v>25</v>
      </c>
      <c r="L1315" t="str">
        <f>_xlfn.XLOOKUP(K1315,[2]analyte_order!$B:$B,[2]analyte_order!$C:$C)</f>
        <v>375-73-5</v>
      </c>
      <c r="M1315">
        <f>_xlfn.XLOOKUP(L1315,[2]analyte_order!$C:$C,[2]analyte_order!$E:$E)</f>
        <v>14</v>
      </c>
      <c r="N1315">
        <v>1.55</v>
      </c>
    </row>
    <row r="1316" spans="1:14">
      <c r="A1316" t="s">
        <v>218</v>
      </c>
      <c r="B1316" t="str">
        <f>_xlfn.XLOOKUP(A1316,'[1]Tissue Data'!$A:$A,'[1]Tissue Data'!$C:$C)</f>
        <v>Down</v>
      </c>
      <c r="C1316" s="2">
        <f>_xlfn.XLOOKUP(A1316,'[1]Tissue Data'!$A:$A,'[1]Tissue Data'!$D:$D)</f>
        <v>44314</v>
      </c>
      <c r="D1316" s="2" t="str">
        <f>_xlfn.XLOOKUP(A1316,'[1]Tissue Data'!$A:$A,'[1]Tissue Data'!$F:$F)</f>
        <v>Margined Madtom</v>
      </c>
      <c r="E1316" t="str">
        <f>_xlfn.XLOOKUP(A1316,'[1]Tissue Data'!$A:$A,'[1]Tissue Data'!$H:$H)</f>
        <v>Noturus</v>
      </c>
      <c r="F1316" t="str">
        <f>_xlfn.XLOOKUP(A1316,'[1]Tissue Data'!$A:$A,'[1]Tissue Data'!$I:$I)</f>
        <v>insignis</v>
      </c>
      <c r="G1316" t="str">
        <f>_xlfn.XLOOKUP(A1316,'[1]Tissue Data'!$A:$A,'[1]Tissue Data'!J:J)</f>
        <v>F</v>
      </c>
      <c r="H1316" t="str">
        <f>_xlfn.XLOOKUP(A1316,'[1]Tissue Data'!$A:$A,'[1]Tissue Data'!K:K)</f>
        <v>Whole Body</v>
      </c>
      <c r="I1316">
        <f>_xlfn.XLOOKUP(A1316,'[1]Tissue Data'!$A:$A,'[1]Tissue Data'!L:L)</f>
        <v>12</v>
      </c>
      <c r="J1316">
        <f>_xlfn.XLOOKUP(A1316,'[1]Tissue Data'!$A:$A,'[1]Tissue Data'!M:M)</f>
        <v>16.399999999999999</v>
      </c>
      <c r="K1316" t="s">
        <v>26</v>
      </c>
      <c r="L1316" t="str">
        <f>_xlfn.XLOOKUP(K1316,[2]analyte_order!$B:$B,[2]analyte_order!$C:$C)</f>
        <v>2706-91-4</v>
      </c>
      <c r="M1316">
        <f>_xlfn.XLOOKUP(L1316,[2]analyte_order!$C:$C,[2]analyte_order!$E:$E)</f>
        <v>15</v>
      </c>
      <c r="N1316">
        <v>0.30199999999999999</v>
      </c>
    </row>
    <row r="1317" spans="1:14">
      <c r="A1317" t="s">
        <v>218</v>
      </c>
      <c r="B1317" t="str">
        <f>_xlfn.XLOOKUP(A1317,'[1]Tissue Data'!$A:$A,'[1]Tissue Data'!$C:$C)</f>
        <v>Down</v>
      </c>
      <c r="C1317" s="2">
        <f>_xlfn.XLOOKUP(A1317,'[1]Tissue Data'!$A:$A,'[1]Tissue Data'!$D:$D)</f>
        <v>44314</v>
      </c>
      <c r="D1317" s="2" t="str">
        <f>_xlfn.XLOOKUP(A1317,'[1]Tissue Data'!$A:$A,'[1]Tissue Data'!$F:$F)</f>
        <v>Margined Madtom</v>
      </c>
      <c r="E1317" t="str">
        <f>_xlfn.XLOOKUP(A1317,'[1]Tissue Data'!$A:$A,'[1]Tissue Data'!$H:$H)</f>
        <v>Noturus</v>
      </c>
      <c r="F1317" t="str">
        <f>_xlfn.XLOOKUP(A1317,'[1]Tissue Data'!$A:$A,'[1]Tissue Data'!$I:$I)</f>
        <v>insignis</v>
      </c>
      <c r="G1317" t="str">
        <f>_xlfn.XLOOKUP(A1317,'[1]Tissue Data'!$A:$A,'[1]Tissue Data'!J:J)</f>
        <v>F</v>
      </c>
      <c r="H1317" t="str">
        <f>_xlfn.XLOOKUP(A1317,'[1]Tissue Data'!$A:$A,'[1]Tissue Data'!K:K)</f>
        <v>Whole Body</v>
      </c>
      <c r="I1317">
        <f>_xlfn.XLOOKUP(A1317,'[1]Tissue Data'!$A:$A,'[1]Tissue Data'!L:L)</f>
        <v>12</v>
      </c>
      <c r="J1317">
        <f>_xlfn.XLOOKUP(A1317,'[1]Tissue Data'!$A:$A,'[1]Tissue Data'!M:M)</f>
        <v>16.399999999999999</v>
      </c>
      <c r="K1317" t="s">
        <v>27</v>
      </c>
      <c r="L1317" t="str">
        <f>_xlfn.XLOOKUP(K1317,[2]analyte_order!$B:$B,[2]analyte_order!$C:$C)</f>
        <v>355-46-4</v>
      </c>
      <c r="M1317">
        <f>_xlfn.XLOOKUP(L1317,[2]analyte_order!$C:$C,[2]analyte_order!$E:$E)</f>
        <v>16</v>
      </c>
      <c r="N1317">
        <v>30.3</v>
      </c>
    </row>
    <row r="1318" spans="1:14">
      <c r="A1318" t="s">
        <v>218</v>
      </c>
      <c r="B1318" t="str">
        <f>_xlfn.XLOOKUP(A1318,'[1]Tissue Data'!$A:$A,'[1]Tissue Data'!$C:$C)</f>
        <v>Down</v>
      </c>
      <c r="C1318" s="2">
        <f>_xlfn.XLOOKUP(A1318,'[1]Tissue Data'!$A:$A,'[1]Tissue Data'!$D:$D)</f>
        <v>44314</v>
      </c>
      <c r="D1318" s="2" t="str">
        <f>_xlfn.XLOOKUP(A1318,'[1]Tissue Data'!$A:$A,'[1]Tissue Data'!$F:$F)</f>
        <v>Margined Madtom</v>
      </c>
      <c r="E1318" t="str">
        <f>_xlfn.XLOOKUP(A1318,'[1]Tissue Data'!$A:$A,'[1]Tissue Data'!$H:$H)</f>
        <v>Noturus</v>
      </c>
      <c r="F1318" t="str">
        <f>_xlfn.XLOOKUP(A1318,'[1]Tissue Data'!$A:$A,'[1]Tissue Data'!$I:$I)</f>
        <v>insignis</v>
      </c>
      <c r="G1318" t="str">
        <f>_xlfn.XLOOKUP(A1318,'[1]Tissue Data'!$A:$A,'[1]Tissue Data'!J:J)</f>
        <v>F</v>
      </c>
      <c r="H1318" t="str">
        <f>_xlfn.XLOOKUP(A1318,'[1]Tissue Data'!$A:$A,'[1]Tissue Data'!K:K)</f>
        <v>Whole Body</v>
      </c>
      <c r="I1318">
        <f>_xlfn.XLOOKUP(A1318,'[1]Tissue Data'!$A:$A,'[1]Tissue Data'!L:L)</f>
        <v>12</v>
      </c>
      <c r="J1318">
        <f>_xlfn.XLOOKUP(A1318,'[1]Tissue Data'!$A:$A,'[1]Tissue Data'!M:M)</f>
        <v>16.399999999999999</v>
      </c>
      <c r="K1318" t="s">
        <v>28</v>
      </c>
      <c r="L1318" t="str">
        <f>_xlfn.XLOOKUP(K1318,[2]analyte_order!$B:$B,[2]analyte_order!$C:$C)</f>
        <v>375-92-8</v>
      </c>
      <c r="M1318">
        <f>_xlfn.XLOOKUP(L1318,[2]analyte_order!$C:$C,[2]analyte_order!$E:$E)</f>
        <v>17</v>
      </c>
      <c r="N1318">
        <v>0.48</v>
      </c>
    </row>
    <row r="1319" spans="1:14">
      <c r="A1319" t="s">
        <v>218</v>
      </c>
      <c r="B1319" t="str">
        <f>_xlfn.XLOOKUP(A1319,'[1]Tissue Data'!$A:$A,'[1]Tissue Data'!$C:$C)</f>
        <v>Down</v>
      </c>
      <c r="C1319" s="2">
        <f>_xlfn.XLOOKUP(A1319,'[1]Tissue Data'!$A:$A,'[1]Tissue Data'!$D:$D)</f>
        <v>44314</v>
      </c>
      <c r="D1319" s="2" t="str">
        <f>_xlfn.XLOOKUP(A1319,'[1]Tissue Data'!$A:$A,'[1]Tissue Data'!$F:$F)</f>
        <v>Margined Madtom</v>
      </c>
      <c r="E1319" t="str">
        <f>_xlfn.XLOOKUP(A1319,'[1]Tissue Data'!$A:$A,'[1]Tissue Data'!$H:$H)</f>
        <v>Noturus</v>
      </c>
      <c r="F1319" t="str">
        <f>_xlfn.XLOOKUP(A1319,'[1]Tissue Data'!$A:$A,'[1]Tissue Data'!$I:$I)</f>
        <v>insignis</v>
      </c>
      <c r="G1319" t="str">
        <f>_xlfn.XLOOKUP(A1319,'[1]Tissue Data'!$A:$A,'[1]Tissue Data'!J:J)</f>
        <v>F</v>
      </c>
      <c r="H1319" t="str">
        <f>_xlfn.XLOOKUP(A1319,'[1]Tissue Data'!$A:$A,'[1]Tissue Data'!K:K)</f>
        <v>Whole Body</v>
      </c>
      <c r="I1319">
        <f>_xlfn.XLOOKUP(A1319,'[1]Tissue Data'!$A:$A,'[1]Tissue Data'!L:L)</f>
        <v>12</v>
      </c>
      <c r="J1319">
        <f>_xlfn.XLOOKUP(A1319,'[1]Tissue Data'!$A:$A,'[1]Tissue Data'!M:M)</f>
        <v>16.399999999999999</v>
      </c>
      <c r="K1319" t="s">
        <v>29</v>
      </c>
      <c r="L1319" t="str">
        <f>_xlfn.XLOOKUP(K1319,[2]analyte_order!$B:$B,[2]analyte_order!$C:$C)</f>
        <v>1763-23-1</v>
      </c>
      <c r="M1319">
        <f>_xlfn.XLOOKUP(L1319,[2]analyte_order!$C:$C,[2]analyte_order!$E:$E)</f>
        <v>18</v>
      </c>
      <c r="N1319">
        <v>391</v>
      </c>
    </row>
    <row r="1320" spans="1:14">
      <c r="A1320" t="s">
        <v>218</v>
      </c>
      <c r="B1320" t="str">
        <f>_xlfn.XLOOKUP(A1320,'[1]Tissue Data'!$A:$A,'[1]Tissue Data'!$C:$C)</f>
        <v>Down</v>
      </c>
      <c r="C1320" s="2">
        <f>_xlfn.XLOOKUP(A1320,'[1]Tissue Data'!$A:$A,'[1]Tissue Data'!$D:$D)</f>
        <v>44314</v>
      </c>
      <c r="D1320" s="2" t="str">
        <f>_xlfn.XLOOKUP(A1320,'[1]Tissue Data'!$A:$A,'[1]Tissue Data'!$F:$F)</f>
        <v>Margined Madtom</v>
      </c>
      <c r="E1320" t="str">
        <f>_xlfn.XLOOKUP(A1320,'[1]Tissue Data'!$A:$A,'[1]Tissue Data'!$H:$H)</f>
        <v>Noturus</v>
      </c>
      <c r="F1320" t="str">
        <f>_xlfn.XLOOKUP(A1320,'[1]Tissue Data'!$A:$A,'[1]Tissue Data'!$I:$I)</f>
        <v>insignis</v>
      </c>
      <c r="G1320" t="str">
        <f>_xlfn.XLOOKUP(A1320,'[1]Tissue Data'!$A:$A,'[1]Tissue Data'!J:J)</f>
        <v>F</v>
      </c>
      <c r="H1320" t="str">
        <f>_xlfn.XLOOKUP(A1320,'[1]Tissue Data'!$A:$A,'[1]Tissue Data'!K:K)</f>
        <v>Whole Body</v>
      </c>
      <c r="I1320">
        <f>_xlfn.XLOOKUP(A1320,'[1]Tissue Data'!$A:$A,'[1]Tissue Data'!L:L)</f>
        <v>12</v>
      </c>
      <c r="J1320">
        <f>_xlfn.XLOOKUP(A1320,'[1]Tissue Data'!$A:$A,'[1]Tissue Data'!M:M)</f>
        <v>16.399999999999999</v>
      </c>
      <c r="K1320" t="s">
        <v>30</v>
      </c>
      <c r="L1320" t="str">
        <f>_xlfn.XLOOKUP(K1320,[2]analyte_order!$B:$B,[2]analyte_order!$C:$C)</f>
        <v>68259-12-1</v>
      </c>
      <c r="M1320">
        <f>_xlfn.XLOOKUP(L1320,[2]analyte_order!$C:$C,[2]analyte_order!$E:$E)</f>
        <v>19</v>
      </c>
      <c r="N1320">
        <v>0.64900000000000002</v>
      </c>
    </row>
    <row r="1321" spans="1:14">
      <c r="A1321" t="s">
        <v>218</v>
      </c>
      <c r="B1321" t="str">
        <f>_xlfn.XLOOKUP(A1321,'[1]Tissue Data'!$A:$A,'[1]Tissue Data'!$C:$C)</f>
        <v>Down</v>
      </c>
      <c r="C1321" s="2">
        <f>_xlfn.XLOOKUP(A1321,'[1]Tissue Data'!$A:$A,'[1]Tissue Data'!$D:$D)</f>
        <v>44314</v>
      </c>
      <c r="D1321" s="2" t="str">
        <f>_xlfn.XLOOKUP(A1321,'[1]Tissue Data'!$A:$A,'[1]Tissue Data'!$F:$F)</f>
        <v>Margined Madtom</v>
      </c>
      <c r="E1321" t="str">
        <f>_xlfn.XLOOKUP(A1321,'[1]Tissue Data'!$A:$A,'[1]Tissue Data'!$H:$H)</f>
        <v>Noturus</v>
      </c>
      <c r="F1321" t="str">
        <f>_xlfn.XLOOKUP(A1321,'[1]Tissue Data'!$A:$A,'[1]Tissue Data'!$I:$I)</f>
        <v>insignis</v>
      </c>
      <c r="G1321" t="str">
        <f>_xlfn.XLOOKUP(A1321,'[1]Tissue Data'!$A:$A,'[1]Tissue Data'!J:J)</f>
        <v>F</v>
      </c>
      <c r="H1321" t="str">
        <f>_xlfn.XLOOKUP(A1321,'[1]Tissue Data'!$A:$A,'[1]Tissue Data'!K:K)</f>
        <v>Whole Body</v>
      </c>
      <c r="I1321">
        <f>_xlfn.XLOOKUP(A1321,'[1]Tissue Data'!$A:$A,'[1]Tissue Data'!L:L)</f>
        <v>12</v>
      </c>
      <c r="J1321">
        <f>_xlfn.XLOOKUP(A1321,'[1]Tissue Data'!$A:$A,'[1]Tissue Data'!M:M)</f>
        <v>16.399999999999999</v>
      </c>
      <c r="K1321" t="s">
        <v>31</v>
      </c>
      <c r="L1321" t="str">
        <f>_xlfn.XLOOKUP(K1321,[2]analyte_order!$B:$B,[2]analyte_order!$C:$C)</f>
        <v>335-77-3</v>
      </c>
      <c r="M1321">
        <f>_xlfn.XLOOKUP(L1321,[2]analyte_order!$C:$C,[2]analyte_order!$E:$E)</f>
        <v>20</v>
      </c>
      <c r="N1321">
        <v>1.91</v>
      </c>
    </row>
    <row r="1322" spans="1:14">
      <c r="A1322" t="s">
        <v>218</v>
      </c>
      <c r="B1322" t="str">
        <f>_xlfn.XLOOKUP(A1322,'[1]Tissue Data'!$A:$A,'[1]Tissue Data'!$C:$C)</f>
        <v>Down</v>
      </c>
      <c r="C1322" s="2">
        <f>_xlfn.XLOOKUP(A1322,'[1]Tissue Data'!$A:$A,'[1]Tissue Data'!$D:$D)</f>
        <v>44314</v>
      </c>
      <c r="D1322" s="2" t="str">
        <f>_xlfn.XLOOKUP(A1322,'[1]Tissue Data'!$A:$A,'[1]Tissue Data'!$F:$F)</f>
        <v>Margined Madtom</v>
      </c>
      <c r="E1322" t="str">
        <f>_xlfn.XLOOKUP(A1322,'[1]Tissue Data'!$A:$A,'[1]Tissue Data'!$H:$H)</f>
        <v>Noturus</v>
      </c>
      <c r="F1322" t="str">
        <f>_xlfn.XLOOKUP(A1322,'[1]Tissue Data'!$A:$A,'[1]Tissue Data'!$I:$I)</f>
        <v>insignis</v>
      </c>
      <c r="G1322" t="str">
        <f>_xlfn.XLOOKUP(A1322,'[1]Tissue Data'!$A:$A,'[1]Tissue Data'!J:J)</f>
        <v>F</v>
      </c>
      <c r="H1322" t="str">
        <f>_xlfn.XLOOKUP(A1322,'[1]Tissue Data'!$A:$A,'[1]Tissue Data'!K:K)</f>
        <v>Whole Body</v>
      </c>
      <c r="I1322">
        <f>_xlfn.XLOOKUP(A1322,'[1]Tissue Data'!$A:$A,'[1]Tissue Data'!L:L)</f>
        <v>12</v>
      </c>
      <c r="J1322">
        <f>_xlfn.XLOOKUP(A1322,'[1]Tissue Data'!$A:$A,'[1]Tissue Data'!M:M)</f>
        <v>16.399999999999999</v>
      </c>
      <c r="K1322" t="s">
        <v>32</v>
      </c>
      <c r="L1322" t="str">
        <f>_xlfn.XLOOKUP(K1322,[2]analyte_order!$B:$B,[2]analyte_order!$C:$C)</f>
        <v>79780-39-5</v>
      </c>
      <c r="M1322">
        <f>_xlfn.XLOOKUP(L1322,[2]analyte_order!$C:$C,[2]analyte_order!$E:$E)</f>
        <v>21</v>
      </c>
      <c r="N1322">
        <v>0.69599999999999995</v>
      </c>
    </row>
    <row r="1323" spans="1:14">
      <c r="A1323" t="s">
        <v>218</v>
      </c>
      <c r="B1323" t="str">
        <f>_xlfn.XLOOKUP(A1323,'[1]Tissue Data'!$A:$A,'[1]Tissue Data'!$C:$C)</f>
        <v>Down</v>
      </c>
      <c r="C1323" s="2">
        <f>_xlfn.XLOOKUP(A1323,'[1]Tissue Data'!$A:$A,'[1]Tissue Data'!$D:$D)</f>
        <v>44314</v>
      </c>
      <c r="D1323" s="2" t="str">
        <f>_xlfn.XLOOKUP(A1323,'[1]Tissue Data'!$A:$A,'[1]Tissue Data'!$F:$F)</f>
        <v>Margined Madtom</v>
      </c>
      <c r="E1323" t="str">
        <f>_xlfn.XLOOKUP(A1323,'[1]Tissue Data'!$A:$A,'[1]Tissue Data'!$H:$H)</f>
        <v>Noturus</v>
      </c>
      <c r="F1323" t="str">
        <f>_xlfn.XLOOKUP(A1323,'[1]Tissue Data'!$A:$A,'[1]Tissue Data'!$I:$I)</f>
        <v>insignis</v>
      </c>
      <c r="G1323" t="str">
        <f>_xlfn.XLOOKUP(A1323,'[1]Tissue Data'!$A:$A,'[1]Tissue Data'!J:J)</f>
        <v>F</v>
      </c>
      <c r="H1323" t="str">
        <f>_xlfn.XLOOKUP(A1323,'[1]Tissue Data'!$A:$A,'[1]Tissue Data'!K:K)</f>
        <v>Whole Body</v>
      </c>
      <c r="I1323">
        <f>_xlfn.XLOOKUP(A1323,'[1]Tissue Data'!$A:$A,'[1]Tissue Data'!L:L)</f>
        <v>12</v>
      </c>
      <c r="J1323">
        <f>_xlfn.XLOOKUP(A1323,'[1]Tissue Data'!$A:$A,'[1]Tissue Data'!M:M)</f>
        <v>16.399999999999999</v>
      </c>
      <c r="K1323" t="s">
        <v>33</v>
      </c>
      <c r="L1323" t="str">
        <f>_xlfn.XLOOKUP(K1323,[2]analyte_order!$B:$B,[2]analyte_order!$C:$C)</f>
        <v>777011-38-8</v>
      </c>
      <c r="M1323">
        <f>_xlfn.XLOOKUP(L1323,[2]analyte_order!$C:$C,[2]analyte_order!$E:$E)</f>
        <v>54</v>
      </c>
      <c r="N1323">
        <v>0.13794284026525425</v>
      </c>
    </row>
    <row r="1324" spans="1:14">
      <c r="A1324" t="s">
        <v>218</v>
      </c>
      <c r="B1324" t="str">
        <f>_xlfn.XLOOKUP(A1324,'[1]Tissue Data'!$A:$A,'[1]Tissue Data'!$C:$C)</f>
        <v>Down</v>
      </c>
      <c r="C1324" s="2">
        <f>_xlfn.XLOOKUP(A1324,'[1]Tissue Data'!$A:$A,'[1]Tissue Data'!$D:$D)</f>
        <v>44314</v>
      </c>
      <c r="D1324" s="2" t="str">
        <f>_xlfn.XLOOKUP(A1324,'[1]Tissue Data'!$A:$A,'[1]Tissue Data'!$F:$F)</f>
        <v>Margined Madtom</v>
      </c>
      <c r="E1324" t="str">
        <f>_xlfn.XLOOKUP(A1324,'[1]Tissue Data'!$A:$A,'[1]Tissue Data'!$H:$H)</f>
        <v>Noturus</v>
      </c>
      <c r="F1324" t="str">
        <f>_xlfn.XLOOKUP(A1324,'[1]Tissue Data'!$A:$A,'[1]Tissue Data'!$I:$I)</f>
        <v>insignis</v>
      </c>
      <c r="G1324" t="str">
        <f>_xlfn.XLOOKUP(A1324,'[1]Tissue Data'!$A:$A,'[1]Tissue Data'!J:J)</f>
        <v>F</v>
      </c>
      <c r="H1324" t="str">
        <f>_xlfn.XLOOKUP(A1324,'[1]Tissue Data'!$A:$A,'[1]Tissue Data'!K:K)</f>
        <v>Whole Body</v>
      </c>
      <c r="I1324">
        <f>_xlfn.XLOOKUP(A1324,'[1]Tissue Data'!$A:$A,'[1]Tissue Data'!L:L)</f>
        <v>12</v>
      </c>
      <c r="J1324">
        <f>_xlfn.XLOOKUP(A1324,'[1]Tissue Data'!$A:$A,'[1]Tissue Data'!M:M)</f>
        <v>16.399999999999999</v>
      </c>
      <c r="K1324" t="s">
        <v>34</v>
      </c>
      <c r="L1324" t="str">
        <f>_xlfn.XLOOKUP(K1324,[2]analyte_order!$B:$B,[2]analyte_order!$C:$C)</f>
        <v>646-83-3</v>
      </c>
      <c r="M1324">
        <f>_xlfn.XLOOKUP(L1324,[2]analyte_order!$C:$C,[2]analyte_order!$E:$E)</f>
        <v>55</v>
      </c>
      <c r="N1324">
        <v>9.0799031476997583E-2</v>
      </c>
    </row>
    <row r="1325" spans="1:14">
      <c r="A1325" t="s">
        <v>218</v>
      </c>
      <c r="B1325" t="str">
        <f>_xlfn.XLOOKUP(A1325,'[1]Tissue Data'!$A:$A,'[1]Tissue Data'!$C:$C)</f>
        <v>Down</v>
      </c>
      <c r="C1325" s="2">
        <f>_xlfn.XLOOKUP(A1325,'[1]Tissue Data'!$A:$A,'[1]Tissue Data'!$D:$D)</f>
        <v>44314</v>
      </c>
      <c r="D1325" s="2" t="str">
        <f>_xlfn.XLOOKUP(A1325,'[1]Tissue Data'!$A:$A,'[1]Tissue Data'!$F:$F)</f>
        <v>Margined Madtom</v>
      </c>
      <c r="E1325" t="str">
        <f>_xlfn.XLOOKUP(A1325,'[1]Tissue Data'!$A:$A,'[1]Tissue Data'!$H:$H)</f>
        <v>Noturus</v>
      </c>
      <c r="F1325" t="str">
        <f>_xlfn.XLOOKUP(A1325,'[1]Tissue Data'!$A:$A,'[1]Tissue Data'!$I:$I)</f>
        <v>insignis</v>
      </c>
      <c r="G1325" t="str">
        <f>_xlfn.XLOOKUP(A1325,'[1]Tissue Data'!$A:$A,'[1]Tissue Data'!J:J)</f>
        <v>F</v>
      </c>
      <c r="H1325" t="str">
        <f>_xlfn.XLOOKUP(A1325,'[1]Tissue Data'!$A:$A,'[1]Tissue Data'!K:K)</f>
        <v>Whole Body</v>
      </c>
      <c r="I1325">
        <f>_xlfn.XLOOKUP(A1325,'[1]Tissue Data'!$A:$A,'[1]Tissue Data'!L:L)</f>
        <v>12</v>
      </c>
      <c r="J1325">
        <f>_xlfn.XLOOKUP(A1325,'[1]Tissue Data'!$A:$A,'[1]Tissue Data'!M:M)</f>
        <v>16.399999999999999</v>
      </c>
      <c r="K1325" t="s">
        <v>35</v>
      </c>
      <c r="L1325" t="str">
        <f>_xlfn.XLOOKUP(K1325,[2]analyte_order!$B:$B,[2]analyte_order!$C:$C)</f>
        <v>30334-69-1</v>
      </c>
      <c r="M1325">
        <f>_xlfn.XLOOKUP(L1325,[2]analyte_order!$C:$C,[2]analyte_order!$E:$E)</f>
        <v>51</v>
      </c>
      <c r="N1325">
        <v>65.400000000000006</v>
      </c>
    </row>
    <row r="1326" spans="1:14">
      <c r="A1326" t="s">
        <v>218</v>
      </c>
      <c r="B1326" t="str">
        <f>_xlfn.XLOOKUP(A1326,'[1]Tissue Data'!$A:$A,'[1]Tissue Data'!$C:$C)</f>
        <v>Down</v>
      </c>
      <c r="C1326" s="2">
        <f>_xlfn.XLOOKUP(A1326,'[1]Tissue Data'!$A:$A,'[1]Tissue Data'!$D:$D)</f>
        <v>44314</v>
      </c>
      <c r="D1326" s="2" t="str">
        <f>_xlfn.XLOOKUP(A1326,'[1]Tissue Data'!$A:$A,'[1]Tissue Data'!$F:$F)</f>
        <v>Margined Madtom</v>
      </c>
      <c r="E1326" t="str">
        <f>_xlfn.XLOOKUP(A1326,'[1]Tissue Data'!$A:$A,'[1]Tissue Data'!$H:$H)</f>
        <v>Noturus</v>
      </c>
      <c r="F1326" t="str">
        <f>_xlfn.XLOOKUP(A1326,'[1]Tissue Data'!$A:$A,'[1]Tissue Data'!$I:$I)</f>
        <v>insignis</v>
      </c>
      <c r="G1326" t="str">
        <f>_xlfn.XLOOKUP(A1326,'[1]Tissue Data'!$A:$A,'[1]Tissue Data'!J:J)</f>
        <v>F</v>
      </c>
      <c r="H1326" t="str">
        <f>_xlfn.XLOOKUP(A1326,'[1]Tissue Data'!$A:$A,'[1]Tissue Data'!K:K)</f>
        <v>Whole Body</v>
      </c>
      <c r="I1326">
        <f>_xlfn.XLOOKUP(A1326,'[1]Tissue Data'!$A:$A,'[1]Tissue Data'!L:L)</f>
        <v>12</v>
      </c>
      <c r="J1326">
        <f>_xlfn.XLOOKUP(A1326,'[1]Tissue Data'!$A:$A,'[1]Tissue Data'!M:M)</f>
        <v>16.399999999999999</v>
      </c>
      <c r="K1326" t="s">
        <v>36</v>
      </c>
      <c r="L1326" t="str">
        <f>_xlfn.XLOOKUP(K1326,[2]analyte_order!$B:$B,[2]analyte_order!$C:$C)</f>
        <v>41997-13-1</v>
      </c>
      <c r="M1326">
        <f>_xlfn.XLOOKUP(L1326,[2]analyte_order!$C:$C,[2]analyte_order!$E:$E)</f>
        <v>52</v>
      </c>
      <c r="N1326">
        <v>120</v>
      </c>
    </row>
    <row r="1327" spans="1:14">
      <c r="A1327" t="s">
        <v>218</v>
      </c>
      <c r="B1327" t="str">
        <f>_xlfn.XLOOKUP(A1327,'[1]Tissue Data'!$A:$A,'[1]Tissue Data'!$C:$C)</f>
        <v>Down</v>
      </c>
      <c r="C1327" s="2">
        <f>_xlfn.XLOOKUP(A1327,'[1]Tissue Data'!$A:$A,'[1]Tissue Data'!$D:$D)</f>
        <v>44314</v>
      </c>
      <c r="D1327" s="2" t="str">
        <f>_xlfn.XLOOKUP(A1327,'[1]Tissue Data'!$A:$A,'[1]Tissue Data'!$F:$F)</f>
        <v>Margined Madtom</v>
      </c>
      <c r="E1327" t="str">
        <f>_xlfn.XLOOKUP(A1327,'[1]Tissue Data'!$A:$A,'[1]Tissue Data'!$H:$H)</f>
        <v>Noturus</v>
      </c>
      <c r="F1327" t="str">
        <f>_xlfn.XLOOKUP(A1327,'[1]Tissue Data'!$A:$A,'[1]Tissue Data'!$I:$I)</f>
        <v>insignis</v>
      </c>
      <c r="G1327" t="str">
        <f>_xlfn.XLOOKUP(A1327,'[1]Tissue Data'!$A:$A,'[1]Tissue Data'!J:J)</f>
        <v>F</v>
      </c>
      <c r="H1327" t="str">
        <f>_xlfn.XLOOKUP(A1327,'[1]Tissue Data'!$A:$A,'[1]Tissue Data'!K:K)</f>
        <v>Whole Body</v>
      </c>
      <c r="I1327">
        <f>_xlfn.XLOOKUP(A1327,'[1]Tissue Data'!$A:$A,'[1]Tissue Data'!L:L)</f>
        <v>12</v>
      </c>
      <c r="J1327">
        <f>_xlfn.XLOOKUP(A1327,'[1]Tissue Data'!$A:$A,'[1]Tissue Data'!M:M)</f>
        <v>16.399999999999999</v>
      </c>
      <c r="K1327" t="s">
        <v>37</v>
      </c>
      <c r="L1327" t="str">
        <f>_xlfn.XLOOKUP(K1327,[2]analyte_order!$B:$B,[2]analyte_order!$C:$C)</f>
        <v>754-91-6</v>
      </c>
      <c r="M1327">
        <f>_xlfn.XLOOKUP(L1327,[2]analyte_order!$C:$C,[2]analyte_order!$E:$E)</f>
        <v>28</v>
      </c>
      <c r="N1327">
        <v>29.3</v>
      </c>
    </row>
    <row r="1328" spans="1:14">
      <c r="A1328" t="s">
        <v>218</v>
      </c>
      <c r="B1328" t="str">
        <f>_xlfn.XLOOKUP(A1328,'[1]Tissue Data'!$A:$A,'[1]Tissue Data'!$C:$C)</f>
        <v>Down</v>
      </c>
      <c r="C1328" s="2">
        <f>_xlfn.XLOOKUP(A1328,'[1]Tissue Data'!$A:$A,'[1]Tissue Data'!$D:$D)</f>
        <v>44314</v>
      </c>
      <c r="D1328" s="2" t="str">
        <f>_xlfn.XLOOKUP(A1328,'[1]Tissue Data'!$A:$A,'[1]Tissue Data'!$F:$F)</f>
        <v>Margined Madtom</v>
      </c>
      <c r="E1328" t="str">
        <f>_xlfn.XLOOKUP(A1328,'[1]Tissue Data'!$A:$A,'[1]Tissue Data'!$H:$H)</f>
        <v>Noturus</v>
      </c>
      <c r="F1328" t="str">
        <f>_xlfn.XLOOKUP(A1328,'[1]Tissue Data'!$A:$A,'[1]Tissue Data'!$I:$I)</f>
        <v>insignis</v>
      </c>
      <c r="G1328" t="str">
        <f>_xlfn.XLOOKUP(A1328,'[1]Tissue Data'!$A:$A,'[1]Tissue Data'!J:J)</f>
        <v>F</v>
      </c>
      <c r="H1328" t="str">
        <f>_xlfn.XLOOKUP(A1328,'[1]Tissue Data'!$A:$A,'[1]Tissue Data'!K:K)</f>
        <v>Whole Body</v>
      </c>
      <c r="I1328">
        <f>_xlfn.XLOOKUP(A1328,'[1]Tissue Data'!$A:$A,'[1]Tissue Data'!L:L)</f>
        <v>12</v>
      </c>
      <c r="J1328">
        <f>_xlfn.XLOOKUP(A1328,'[1]Tissue Data'!$A:$A,'[1]Tissue Data'!M:M)</f>
        <v>16.399999999999999</v>
      </c>
      <c r="K1328" t="s">
        <v>38</v>
      </c>
      <c r="L1328" t="str">
        <f>_xlfn.XLOOKUP(K1328,[2]analyte_order!$B:$B,[2]analyte_order!$C:$C)</f>
        <v>31506-32-8</v>
      </c>
      <c r="M1328">
        <f>_xlfn.XLOOKUP(L1328,[2]analyte_order!$C:$C,[2]analyte_order!$E:$E)</f>
        <v>30</v>
      </c>
      <c r="N1328">
        <v>4.603517028220859E-2</v>
      </c>
    </row>
    <row r="1329" spans="1:14">
      <c r="A1329" t="s">
        <v>218</v>
      </c>
      <c r="B1329" t="str">
        <f>_xlfn.XLOOKUP(A1329,'[1]Tissue Data'!$A:$A,'[1]Tissue Data'!$C:$C)</f>
        <v>Down</v>
      </c>
      <c r="C1329" s="2">
        <f>_xlfn.XLOOKUP(A1329,'[1]Tissue Data'!$A:$A,'[1]Tissue Data'!$D:$D)</f>
        <v>44314</v>
      </c>
      <c r="D1329" s="2" t="str">
        <f>_xlfn.XLOOKUP(A1329,'[1]Tissue Data'!$A:$A,'[1]Tissue Data'!$F:$F)</f>
        <v>Margined Madtom</v>
      </c>
      <c r="E1329" t="str">
        <f>_xlfn.XLOOKUP(A1329,'[1]Tissue Data'!$A:$A,'[1]Tissue Data'!$H:$H)</f>
        <v>Noturus</v>
      </c>
      <c r="F1329" t="str">
        <f>_xlfn.XLOOKUP(A1329,'[1]Tissue Data'!$A:$A,'[1]Tissue Data'!$I:$I)</f>
        <v>insignis</v>
      </c>
      <c r="G1329" t="str">
        <f>_xlfn.XLOOKUP(A1329,'[1]Tissue Data'!$A:$A,'[1]Tissue Data'!J:J)</f>
        <v>F</v>
      </c>
      <c r="H1329" t="str">
        <f>_xlfn.XLOOKUP(A1329,'[1]Tissue Data'!$A:$A,'[1]Tissue Data'!K:K)</f>
        <v>Whole Body</v>
      </c>
      <c r="I1329">
        <f>_xlfn.XLOOKUP(A1329,'[1]Tissue Data'!$A:$A,'[1]Tissue Data'!L:L)</f>
        <v>12</v>
      </c>
      <c r="J1329">
        <f>_xlfn.XLOOKUP(A1329,'[1]Tissue Data'!$A:$A,'[1]Tissue Data'!M:M)</f>
        <v>16.399999999999999</v>
      </c>
      <c r="K1329" t="s">
        <v>39</v>
      </c>
      <c r="L1329" t="str">
        <f>_xlfn.XLOOKUP(K1329,[2]analyte_order!$B:$B,[2]analyte_order!$C:$C)</f>
        <v>4151-50-2</v>
      </c>
      <c r="M1329">
        <f>_xlfn.XLOOKUP(L1329,[2]analyte_order!$C:$C,[2]analyte_order!$E:$E)</f>
        <v>31</v>
      </c>
      <c r="N1329">
        <v>6.9732979426380362E-2</v>
      </c>
    </row>
    <row r="1330" spans="1:14">
      <c r="A1330" t="s">
        <v>218</v>
      </c>
      <c r="B1330" t="str">
        <f>_xlfn.XLOOKUP(A1330,'[1]Tissue Data'!$A:$A,'[1]Tissue Data'!$C:$C)</f>
        <v>Down</v>
      </c>
      <c r="C1330" s="2">
        <f>_xlfn.XLOOKUP(A1330,'[1]Tissue Data'!$A:$A,'[1]Tissue Data'!$D:$D)</f>
        <v>44314</v>
      </c>
      <c r="D1330" s="2" t="str">
        <f>_xlfn.XLOOKUP(A1330,'[1]Tissue Data'!$A:$A,'[1]Tissue Data'!$F:$F)</f>
        <v>Margined Madtom</v>
      </c>
      <c r="E1330" t="str">
        <f>_xlfn.XLOOKUP(A1330,'[1]Tissue Data'!$A:$A,'[1]Tissue Data'!$H:$H)</f>
        <v>Noturus</v>
      </c>
      <c r="F1330" t="str">
        <f>_xlfn.XLOOKUP(A1330,'[1]Tissue Data'!$A:$A,'[1]Tissue Data'!$I:$I)</f>
        <v>insignis</v>
      </c>
      <c r="G1330" t="str">
        <f>_xlfn.XLOOKUP(A1330,'[1]Tissue Data'!$A:$A,'[1]Tissue Data'!J:J)</f>
        <v>F</v>
      </c>
      <c r="H1330" t="str">
        <f>_xlfn.XLOOKUP(A1330,'[1]Tissue Data'!$A:$A,'[1]Tissue Data'!K:K)</f>
        <v>Whole Body</v>
      </c>
      <c r="I1330">
        <f>_xlfn.XLOOKUP(A1330,'[1]Tissue Data'!$A:$A,'[1]Tissue Data'!L:L)</f>
        <v>12</v>
      </c>
      <c r="J1330">
        <f>_xlfn.XLOOKUP(A1330,'[1]Tissue Data'!$A:$A,'[1]Tissue Data'!M:M)</f>
        <v>16.399999999999999</v>
      </c>
      <c r="K1330" t="s">
        <v>40</v>
      </c>
      <c r="L1330" t="str">
        <f>_xlfn.XLOOKUP(K1330,[2]analyte_order!$B:$B,[2]analyte_order!$C:$C)</f>
        <v>2806-24-8</v>
      </c>
      <c r="M1330">
        <f>_xlfn.XLOOKUP(L1330,[2]analyte_order!$C:$C,[2]analyte_order!$E:$E)</f>
        <v>29</v>
      </c>
      <c r="N1330">
        <v>4.710193680368098E-2</v>
      </c>
    </row>
    <row r="1331" spans="1:14">
      <c r="A1331" t="s">
        <v>218</v>
      </c>
      <c r="B1331" t="str">
        <f>_xlfn.XLOOKUP(A1331,'[1]Tissue Data'!$A:$A,'[1]Tissue Data'!$C:$C)</f>
        <v>Down</v>
      </c>
      <c r="C1331" s="2">
        <f>_xlfn.XLOOKUP(A1331,'[1]Tissue Data'!$A:$A,'[1]Tissue Data'!$D:$D)</f>
        <v>44314</v>
      </c>
      <c r="D1331" s="2" t="str">
        <f>_xlfn.XLOOKUP(A1331,'[1]Tissue Data'!$A:$A,'[1]Tissue Data'!$F:$F)</f>
        <v>Margined Madtom</v>
      </c>
      <c r="E1331" t="str">
        <f>_xlfn.XLOOKUP(A1331,'[1]Tissue Data'!$A:$A,'[1]Tissue Data'!$H:$H)</f>
        <v>Noturus</v>
      </c>
      <c r="F1331" t="str">
        <f>_xlfn.XLOOKUP(A1331,'[1]Tissue Data'!$A:$A,'[1]Tissue Data'!$I:$I)</f>
        <v>insignis</v>
      </c>
      <c r="G1331" t="str">
        <f>_xlfn.XLOOKUP(A1331,'[1]Tissue Data'!$A:$A,'[1]Tissue Data'!J:J)</f>
        <v>F</v>
      </c>
      <c r="H1331" t="str">
        <f>_xlfn.XLOOKUP(A1331,'[1]Tissue Data'!$A:$A,'[1]Tissue Data'!K:K)</f>
        <v>Whole Body</v>
      </c>
      <c r="I1331">
        <f>_xlfn.XLOOKUP(A1331,'[1]Tissue Data'!$A:$A,'[1]Tissue Data'!L:L)</f>
        <v>12</v>
      </c>
      <c r="J1331">
        <f>_xlfn.XLOOKUP(A1331,'[1]Tissue Data'!$A:$A,'[1]Tissue Data'!M:M)</f>
        <v>16.399999999999999</v>
      </c>
      <c r="K1331" t="s">
        <v>41</v>
      </c>
      <c r="L1331" t="str">
        <f>_xlfn.XLOOKUP(K1331,[2]analyte_order!$B:$B,[2]analyte_order!$C:$C)</f>
        <v>2355-31-9</v>
      </c>
      <c r="M1331">
        <f>_xlfn.XLOOKUP(L1331,[2]analyte_order!$C:$C,[2]analyte_order!$E:$E)</f>
        <v>26</v>
      </c>
      <c r="N1331">
        <v>6.01177392607362E-2</v>
      </c>
    </row>
    <row r="1332" spans="1:14">
      <c r="A1332" t="s">
        <v>218</v>
      </c>
      <c r="B1332" t="str">
        <f>_xlfn.XLOOKUP(A1332,'[1]Tissue Data'!$A:$A,'[1]Tissue Data'!$C:$C)</f>
        <v>Down</v>
      </c>
      <c r="C1332" s="2">
        <f>_xlfn.XLOOKUP(A1332,'[1]Tissue Data'!$A:$A,'[1]Tissue Data'!$D:$D)</f>
        <v>44314</v>
      </c>
      <c r="D1332" s="2" t="str">
        <f>_xlfn.XLOOKUP(A1332,'[1]Tissue Data'!$A:$A,'[1]Tissue Data'!$F:$F)</f>
        <v>Margined Madtom</v>
      </c>
      <c r="E1332" t="str">
        <f>_xlfn.XLOOKUP(A1332,'[1]Tissue Data'!$A:$A,'[1]Tissue Data'!$H:$H)</f>
        <v>Noturus</v>
      </c>
      <c r="F1332" t="str">
        <f>_xlfn.XLOOKUP(A1332,'[1]Tissue Data'!$A:$A,'[1]Tissue Data'!$I:$I)</f>
        <v>insignis</v>
      </c>
      <c r="G1332" t="str">
        <f>_xlfn.XLOOKUP(A1332,'[1]Tissue Data'!$A:$A,'[1]Tissue Data'!J:J)</f>
        <v>F</v>
      </c>
      <c r="H1332" t="str">
        <f>_xlfn.XLOOKUP(A1332,'[1]Tissue Data'!$A:$A,'[1]Tissue Data'!K:K)</f>
        <v>Whole Body</v>
      </c>
      <c r="I1332">
        <f>_xlfn.XLOOKUP(A1332,'[1]Tissue Data'!$A:$A,'[1]Tissue Data'!L:L)</f>
        <v>12</v>
      </c>
      <c r="J1332">
        <f>_xlfn.XLOOKUP(A1332,'[1]Tissue Data'!$A:$A,'[1]Tissue Data'!M:M)</f>
        <v>16.399999999999999</v>
      </c>
      <c r="K1332" t="s">
        <v>42</v>
      </c>
      <c r="L1332" t="str">
        <f>_xlfn.XLOOKUP(K1332,[2]analyte_order!$B:$B,[2]analyte_order!$C:$C)</f>
        <v>2991-50-6</v>
      </c>
      <c r="M1332">
        <f>_xlfn.XLOOKUP(L1332,[2]analyte_order!$C:$C,[2]analyte_order!$E:$E)</f>
        <v>27</v>
      </c>
      <c r="N1332">
        <v>5.1867807266871159E-2</v>
      </c>
    </row>
    <row r="1333" spans="1:14">
      <c r="A1333" t="s">
        <v>218</v>
      </c>
      <c r="B1333" t="str">
        <f>_xlfn.XLOOKUP(A1333,'[1]Tissue Data'!$A:$A,'[1]Tissue Data'!$C:$C)</f>
        <v>Down</v>
      </c>
      <c r="C1333" s="2">
        <f>_xlfn.XLOOKUP(A1333,'[1]Tissue Data'!$A:$A,'[1]Tissue Data'!$D:$D)</f>
        <v>44314</v>
      </c>
      <c r="D1333" s="2" t="str">
        <f>_xlfn.XLOOKUP(A1333,'[1]Tissue Data'!$A:$A,'[1]Tissue Data'!$F:$F)</f>
        <v>Margined Madtom</v>
      </c>
      <c r="E1333" t="str">
        <f>_xlfn.XLOOKUP(A1333,'[1]Tissue Data'!$A:$A,'[1]Tissue Data'!$H:$H)</f>
        <v>Noturus</v>
      </c>
      <c r="F1333" t="str">
        <f>_xlfn.XLOOKUP(A1333,'[1]Tissue Data'!$A:$A,'[1]Tissue Data'!$I:$I)</f>
        <v>insignis</v>
      </c>
      <c r="G1333" t="str">
        <f>_xlfn.XLOOKUP(A1333,'[1]Tissue Data'!$A:$A,'[1]Tissue Data'!J:J)</f>
        <v>F</v>
      </c>
      <c r="H1333" t="str">
        <f>_xlfn.XLOOKUP(A1333,'[1]Tissue Data'!$A:$A,'[1]Tissue Data'!K:K)</f>
        <v>Whole Body</v>
      </c>
      <c r="I1333">
        <f>_xlfn.XLOOKUP(A1333,'[1]Tissue Data'!$A:$A,'[1]Tissue Data'!L:L)</f>
        <v>12</v>
      </c>
      <c r="J1333">
        <f>_xlfn.XLOOKUP(A1333,'[1]Tissue Data'!$A:$A,'[1]Tissue Data'!M:M)</f>
        <v>16.399999999999999</v>
      </c>
      <c r="K1333" t="s">
        <v>43</v>
      </c>
      <c r="L1333" t="str">
        <f>_xlfn.XLOOKUP(K1333,[2]analyte_order!$B:$B,[2]analyte_order!$C:$C)</f>
        <v>757124-72-4</v>
      </c>
      <c r="M1333">
        <f>_xlfn.XLOOKUP(L1333,[2]analyte_order!$C:$C,[2]analyte_order!$E:$E)</f>
        <v>22</v>
      </c>
      <c r="N1333">
        <v>4.9083051865030668E-2</v>
      </c>
    </row>
    <row r="1334" spans="1:14">
      <c r="A1334" t="s">
        <v>218</v>
      </c>
      <c r="B1334" t="str">
        <f>_xlfn.XLOOKUP(A1334,'[1]Tissue Data'!$A:$A,'[1]Tissue Data'!$C:$C)</f>
        <v>Down</v>
      </c>
      <c r="C1334" s="2">
        <f>_xlfn.XLOOKUP(A1334,'[1]Tissue Data'!$A:$A,'[1]Tissue Data'!$D:$D)</f>
        <v>44314</v>
      </c>
      <c r="D1334" s="2" t="str">
        <f>_xlfn.XLOOKUP(A1334,'[1]Tissue Data'!$A:$A,'[1]Tissue Data'!$F:$F)</f>
        <v>Margined Madtom</v>
      </c>
      <c r="E1334" t="str">
        <f>_xlfn.XLOOKUP(A1334,'[1]Tissue Data'!$A:$A,'[1]Tissue Data'!$H:$H)</f>
        <v>Noturus</v>
      </c>
      <c r="F1334" t="str">
        <f>_xlfn.XLOOKUP(A1334,'[1]Tissue Data'!$A:$A,'[1]Tissue Data'!$I:$I)</f>
        <v>insignis</v>
      </c>
      <c r="G1334" t="str">
        <f>_xlfn.XLOOKUP(A1334,'[1]Tissue Data'!$A:$A,'[1]Tissue Data'!J:J)</f>
        <v>F</v>
      </c>
      <c r="H1334" t="str">
        <f>_xlfn.XLOOKUP(A1334,'[1]Tissue Data'!$A:$A,'[1]Tissue Data'!K:K)</f>
        <v>Whole Body</v>
      </c>
      <c r="I1334">
        <f>_xlfn.XLOOKUP(A1334,'[1]Tissue Data'!$A:$A,'[1]Tissue Data'!L:L)</f>
        <v>12</v>
      </c>
      <c r="J1334">
        <f>_xlfn.XLOOKUP(A1334,'[1]Tissue Data'!$A:$A,'[1]Tissue Data'!M:M)</f>
        <v>16.399999999999999</v>
      </c>
      <c r="K1334" t="s">
        <v>44</v>
      </c>
      <c r="L1334" t="str">
        <f>_xlfn.XLOOKUP(K1334,[2]analyte_order!$B:$B,[2]analyte_order!$C:$C)</f>
        <v>27619-97-2</v>
      </c>
      <c r="M1334">
        <f>_xlfn.XLOOKUP(L1334,[2]analyte_order!$C:$C,[2]analyte_order!$E:$E)</f>
        <v>23</v>
      </c>
      <c r="N1334">
        <v>3.6077005592944786E-2</v>
      </c>
    </row>
    <row r="1335" spans="1:14">
      <c r="A1335" t="s">
        <v>218</v>
      </c>
      <c r="B1335" t="str">
        <f>_xlfn.XLOOKUP(A1335,'[1]Tissue Data'!$A:$A,'[1]Tissue Data'!$C:$C)</f>
        <v>Down</v>
      </c>
      <c r="C1335" s="2">
        <f>_xlfn.XLOOKUP(A1335,'[1]Tissue Data'!$A:$A,'[1]Tissue Data'!$D:$D)</f>
        <v>44314</v>
      </c>
      <c r="D1335" s="2" t="str">
        <f>_xlfn.XLOOKUP(A1335,'[1]Tissue Data'!$A:$A,'[1]Tissue Data'!$F:$F)</f>
        <v>Margined Madtom</v>
      </c>
      <c r="E1335" t="str">
        <f>_xlfn.XLOOKUP(A1335,'[1]Tissue Data'!$A:$A,'[1]Tissue Data'!$H:$H)</f>
        <v>Noturus</v>
      </c>
      <c r="F1335" t="str">
        <f>_xlfn.XLOOKUP(A1335,'[1]Tissue Data'!$A:$A,'[1]Tissue Data'!$I:$I)</f>
        <v>insignis</v>
      </c>
      <c r="G1335" t="str">
        <f>_xlfn.XLOOKUP(A1335,'[1]Tissue Data'!$A:$A,'[1]Tissue Data'!J:J)</f>
        <v>F</v>
      </c>
      <c r="H1335" t="str">
        <f>_xlfn.XLOOKUP(A1335,'[1]Tissue Data'!$A:$A,'[1]Tissue Data'!K:K)</f>
        <v>Whole Body</v>
      </c>
      <c r="I1335">
        <f>_xlfn.XLOOKUP(A1335,'[1]Tissue Data'!$A:$A,'[1]Tissue Data'!L:L)</f>
        <v>12</v>
      </c>
      <c r="J1335">
        <f>_xlfn.XLOOKUP(A1335,'[1]Tissue Data'!$A:$A,'[1]Tissue Data'!M:M)</f>
        <v>16.399999999999999</v>
      </c>
      <c r="K1335" t="s">
        <v>45</v>
      </c>
      <c r="L1335" t="str">
        <f>_xlfn.XLOOKUP(K1335,[2]analyte_order!$B:$B,[2]analyte_order!$C:$C)</f>
        <v>39108-34-4</v>
      </c>
      <c r="M1335">
        <f>_xlfn.XLOOKUP(L1335,[2]analyte_order!$C:$C,[2]analyte_order!$E:$E)</f>
        <v>24</v>
      </c>
      <c r="N1335">
        <v>7.04</v>
      </c>
    </row>
    <row r="1336" spans="1:14">
      <c r="A1336" t="s">
        <v>218</v>
      </c>
      <c r="B1336" t="str">
        <f>_xlfn.XLOOKUP(A1336,'[1]Tissue Data'!$A:$A,'[1]Tissue Data'!$C:$C)</f>
        <v>Down</v>
      </c>
      <c r="C1336" s="2">
        <f>_xlfn.XLOOKUP(A1336,'[1]Tissue Data'!$A:$A,'[1]Tissue Data'!$D:$D)</f>
        <v>44314</v>
      </c>
      <c r="D1336" s="2" t="str">
        <f>_xlfn.XLOOKUP(A1336,'[1]Tissue Data'!$A:$A,'[1]Tissue Data'!$F:$F)</f>
        <v>Margined Madtom</v>
      </c>
      <c r="E1336" t="str">
        <f>_xlfn.XLOOKUP(A1336,'[1]Tissue Data'!$A:$A,'[1]Tissue Data'!$H:$H)</f>
        <v>Noturus</v>
      </c>
      <c r="F1336" t="str">
        <f>_xlfn.XLOOKUP(A1336,'[1]Tissue Data'!$A:$A,'[1]Tissue Data'!$I:$I)</f>
        <v>insignis</v>
      </c>
      <c r="G1336" t="str">
        <f>_xlfn.XLOOKUP(A1336,'[1]Tissue Data'!$A:$A,'[1]Tissue Data'!J:J)</f>
        <v>F</v>
      </c>
      <c r="H1336" t="str">
        <f>_xlfn.XLOOKUP(A1336,'[1]Tissue Data'!$A:$A,'[1]Tissue Data'!K:K)</f>
        <v>Whole Body</v>
      </c>
      <c r="I1336">
        <f>_xlfn.XLOOKUP(A1336,'[1]Tissue Data'!$A:$A,'[1]Tissue Data'!L:L)</f>
        <v>12</v>
      </c>
      <c r="J1336">
        <f>_xlfn.XLOOKUP(A1336,'[1]Tissue Data'!$A:$A,'[1]Tissue Data'!M:M)</f>
        <v>16.399999999999999</v>
      </c>
      <c r="K1336" t="s">
        <v>46</v>
      </c>
      <c r="L1336" t="str">
        <f>_xlfn.XLOOKUP(K1336,[2]analyte_order!$B:$B,[2]analyte_order!$C:$C)</f>
        <v>120226-60-0</v>
      </c>
      <c r="M1336">
        <f>_xlfn.XLOOKUP(L1336,[2]analyte_order!$C:$C,[2]analyte_order!$E:$E)</f>
        <v>25</v>
      </c>
      <c r="N1336">
        <v>0.25774792627118642</v>
      </c>
    </row>
    <row r="1337" spans="1:14">
      <c r="A1337" t="s">
        <v>218</v>
      </c>
      <c r="B1337" t="str">
        <f>_xlfn.XLOOKUP(A1337,'[1]Tissue Data'!$A:$A,'[1]Tissue Data'!$C:$C)</f>
        <v>Down</v>
      </c>
      <c r="C1337" s="2">
        <f>_xlfn.XLOOKUP(A1337,'[1]Tissue Data'!$A:$A,'[1]Tissue Data'!$D:$D)</f>
        <v>44314</v>
      </c>
      <c r="D1337" s="2" t="str">
        <f>_xlfn.XLOOKUP(A1337,'[1]Tissue Data'!$A:$A,'[1]Tissue Data'!$F:$F)</f>
        <v>Margined Madtom</v>
      </c>
      <c r="E1337" t="str">
        <f>_xlfn.XLOOKUP(A1337,'[1]Tissue Data'!$A:$A,'[1]Tissue Data'!$H:$H)</f>
        <v>Noturus</v>
      </c>
      <c r="F1337" t="str">
        <f>_xlfn.XLOOKUP(A1337,'[1]Tissue Data'!$A:$A,'[1]Tissue Data'!$I:$I)</f>
        <v>insignis</v>
      </c>
      <c r="G1337" t="str">
        <f>_xlfn.XLOOKUP(A1337,'[1]Tissue Data'!$A:$A,'[1]Tissue Data'!J:J)</f>
        <v>F</v>
      </c>
      <c r="H1337" t="str">
        <f>_xlfn.XLOOKUP(A1337,'[1]Tissue Data'!$A:$A,'[1]Tissue Data'!K:K)</f>
        <v>Whole Body</v>
      </c>
      <c r="I1337">
        <f>_xlfn.XLOOKUP(A1337,'[1]Tissue Data'!$A:$A,'[1]Tissue Data'!L:L)</f>
        <v>12</v>
      </c>
      <c r="J1337">
        <f>_xlfn.XLOOKUP(A1337,'[1]Tissue Data'!$A:$A,'[1]Tissue Data'!M:M)</f>
        <v>16.399999999999999</v>
      </c>
      <c r="K1337" t="s">
        <v>47</v>
      </c>
      <c r="L1337" t="str">
        <f>_xlfn.XLOOKUP(K1337,[2]analyte_order!$B:$B,[2]analyte_order!$C:$C)</f>
        <v>356-02-5</v>
      </c>
      <c r="M1337">
        <f>_xlfn.XLOOKUP(L1337,[2]analyte_order!$C:$C,[2]analyte_order!$E:$E)</f>
        <v>38</v>
      </c>
      <c r="N1337">
        <v>6.8928104125766873E-2</v>
      </c>
    </row>
    <row r="1338" spans="1:14">
      <c r="A1338" t="s">
        <v>218</v>
      </c>
      <c r="B1338" t="str">
        <f>_xlfn.XLOOKUP(A1338,'[1]Tissue Data'!$A:$A,'[1]Tissue Data'!$C:$C)</f>
        <v>Down</v>
      </c>
      <c r="C1338" s="2">
        <f>_xlfn.XLOOKUP(A1338,'[1]Tissue Data'!$A:$A,'[1]Tissue Data'!$D:$D)</f>
        <v>44314</v>
      </c>
      <c r="D1338" s="2" t="str">
        <f>_xlfn.XLOOKUP(A1338,'[1]Tissue Data'!$A:$A,'[1]Tissue Data'!$F:$F)</f>
        <v>Margined Madtom</v>
      </c>
      <c r="E1338" t="str">
        <f>_xlfn.XLOOKUP(A1338,'[1]Tissue Data'!$A:$A,'[1]Tissue Data'!$H:$H)</f>
        <v>Noturus</v>
      </c>
      <c r="F1338" t="str">
        <f>_xlfn.XLOOKUP(A1338,'[1]Tissue Data'!$A:$A,'[1]Tissue Data'!$I:$I)</f>
        <v>insignis</v>
      </c>
      <c r="G1338" t="str">
        <f>_xlfn.XLOOKUP(A1338,'[1]Tissue Data'!$A:$A,'[1]Tissue Data'!J:J)</f>
        <v>F</v>
      </c>
      <c r="H1338" t="str">
        <f>_xlfn.XLOOKUP(A1338,'[1]Tissue Data'!$A:$A,'[1]Tissue Data'!K:K)</f>
        <v>Whole Body</v>
      </c>
      <c r="I1338">
        <f>_xlfn.XLOOKUP(A1338,'[1]Tissue Data'!$A:$A,'[1]Tissue Data'!L:L)</f>
        <v>12</v>
      </c>
      <c r="J1338">
        <f>_xlfn.XLOOKUP(A1338,'[1]Tissue Data'!$A:$A,'[1]Tissue Data'!M:M)</f>
        <v>16.399999999999999</v>
      </c>
      <c r="K1338" t="s">
        <v>48</v>
      </c>
      <c r="L1338" t="str">
        <f>_xlfn.XLOOKUP(K1338,[2]analyte_order!$B:$B,[2]analyte_order!$C:$C)</f>
        <v>914637-49-3</v>
      </c>
      <c r="M1338">
        <f>_xlfn.XLOOKUP(L1338,[2]analyte_order!$C:$C,[2]analyte_order!$E:$E)</f>
        <v>39</v>
      </c>
      <c r="N1338">
        <v>0.73</v>
      </c>
    </row>
    <row r="1339" spans="1:14">
      <c r="A1339" t="s">
        <v>218</v>
      </c>
      <c r="B1339" t="str">
        <f>_xlfn.XLOOKUP(A1339,'[1]Tissue Data'!$A:$A,'[1]Tissue Data'!$C:$C)</f>
        <v>Down</v>
      </c>
      <c r="C1339" s="2">
        <f>_xlfn.XLOOKUP(A1339,'[1]Tissue Data'!$A:$A,'[1]Tissue Data'!$D:$D)</f>
        <v>44314</v>
      </c>
      <c r="D1339" s="2" t="str">
        <f>_xlfn.XLOOKUP(A1339,'[1]Tissue Data'!$A:$A,'[1]Tissue Data'!$F:$F)</f>
        <v>Margined Madtom</v>
      </c>
      <c r="E1339" t="str">
        <f>_xlfn.XLOOKUP(A1339,'[1]Tissue Data'!$A:$A,'[1]Tissue Data'!$H:$H)</f>
        <v>Noturus</v>
      </c>
      <c r="F1339" t="str">
        <f>_xlfn.XLOOKUP(A1339,'[1]Tissue Data'!$A:$A,'[1]Tissue Data'!$I:$I)</f>
        <v>insignis</v>
      </c>
      <c r="G1339" t="str">
        <f>_xlfn.XLOOKUP(A1339,'[1]Tissue Data'!$A:$A,'[1]Tissue Data'!J:J)</f>
        <v>F</v>
      </c>
      <c r="H1339" t="str">
        <f>_xlfn.XLOOKUP(A1339,'[1]Tissue Data'!$A:$A,'[1]Tissue Data'!K:K)</f>
        <v>Whole Body</v>
      </c>
      <c r="I1339">
        <f>_xlfn.XLOOKUP(A1339,'[1]Tissue Data'!$A:$A,'[1]Tissue Data'!L:L)</f>
        <v>12</v>
      </c>
      <c r="J1339">
        <f>_xlfn.XLOOKUP(A1339,'[1]Tissue Data'!$A:$A,'[1]Tissue Data'!M:M)</f>
        <v>16.399999999999999</v>
      </c>
      <c r="K1339" t="s">
        <v>49</v>
      </c>
      <c r="L1339" t="str">
        <f>_xlfn.XLOOKUP(K1339,[2]analyte_order!$B:$B,[2]analyte_order!$C:$C)</f>
        <v>812-70-4</v>
      </c>
      <c r="M1339">
        <f>_xlfn.XLOOKUP(L1339,[2]analyte_order!$C:$C,[2]analyte_order!$E:$E)</f>
        <v>40</v>
      </c>
      <c r="N1339">
        <v>133</v>
      </c>
    </row>
    <row r="1340" spans="1:14">
      <c r="A1340" t="s">
        <v>218</v>
      </c>
      <c r="B1340" t="str">
        <f>_xlfn.XLOOKUP(A1340,'[1]Tissue Data'!$A:$A,'[1]Tissue Data'!$C:$C)</f>
        <v>Down</v>
      </c>
      <c r="C1340" s="2">
        <f>_xlfn.XLOOKUP(A1340,'[1]Tissue Data'!$A:$A,'[1]Tissue Data'!$D:$D)</f>
        <v>44314</v>
      </c>
      <c r="D1340" s="2" t="str">
        <f>_xlfn.XLOOKUP(A1340,'[1]Tissue Data'!$A:$A,'[1]Tissue Data'!$F:$F)</f>
        <v>Margined Madtom</v>
      </c>
      <c r="E1340" t="str">
        <f>_xlfn.XLOOKUP(A1340,'[1]Tissue Data'!$A:$A,'[1]Tissue Data'!$H:$H)</f>
        <v>Noturus</v>
      </c>
      <c r="F1340" t="str">
        <f>_xlfn.XLOOKUP(A1340,'[1]Tissue Data'!$A:$A,'[1]Tissue Data'!$I:$I)</f>
        <v>insignis</v>
      </c>
      <c r="G1340" t="str">
        <f>_xlfn.XLOOKUP(A1340,'[1]Tissue Data'!$A:$A,'[1]Tissue Data'!J:J)</f>
        <v>F</v>
      </c>
      <c r="H1340" t="str">
        <f>_xlfn.XLOOKUP(A1340,'[1]Tissue Data'!$A:$A,'[1]Tissue Data'!K:K)</f>
        <v>Whole Body</v>
      </c>
      <c r="I1340">
        <f>_xlfn.XLOOKUP(A1340,'[1]Tissue Data'!$A:$A,'[1]Tissue Data'!L:L)</f>
        <v>12</v>
      </c>
      <c r="J1340">
        <f>_xlfn.XLOOKUP(A1340,'[1]Tissue Data'!$A:$A,'[1]Tissue Data'!M:M)</f>
        <v>16.399999999999999</v>
      </c>
      <c r="K1340" t="s">
        <v>50</v>
      </c>
      <c r="L1340" t="str">
        <f>_xlfn.XLOOKUP(K1340,[2]analyte_order!$B:$B,[2]analyte_order!$C:$C)</f>
        <v>53826-12-3</v>
      </c>
      <c r="M1340">
        <f>_xlfn.XLOOKUP(L1340,[2]analyte_order!$C:$C,[2]analyte_order!$E:$E)</f>
        <v>41</v>
      </c>
      <c r="N1340">
        <v>3.43</v>
      </c>
    </row>
    <row r="1341" spans="1:14">
      <c r="A1341" t="s">
        <v>218</v>
      </c>
      <c r="B1341" t="str">
        <f>_xlfn.XLOOKUP(A1341,'[1]Tissue Data'!$A:$A,'[1]Tissue Data'!$C:$C)</f>
        <v>Down</v>
      </c>
      <c r="C1341" s="2">
        <f>_xlfn.XLOOKUP(A1341,'[1]Tissue Data'!$A:$A,'[1]Tissue Data'!$D:$D)</f>
        <v>44314</v>
      </c>
      <c r="D1341" s="2" t="str">
        <f>_xlfn.XLOOKUP(A1341,'[1]Tissue Data'!$A:$A,'[1]Tissue Data'!$F:$F)</f>
        <v>Margined Madtom</v>
      </c>
      <c r="E1341" t="str">
        <f>_xlfn.XLOOKUP(A1341,'[1]Tissue Data'!$A:$A,'[1]Tissue Data'!$H:$H)</f>
        <v>Noturus</v>
      </c>
      <c r="F1341" t="str">
        <f>_xlfn.XLOOKUP(A1341,'[1]Tissue Data'!$A:$A,'[1]Tissue Data'!$I:$I)</f>
        <v>insignis</v>
      </c>
      <c r="G1341" t="str">
        <f>_xlfn.XLOOKUP(A1341,'[1]Tissue Data'!$A:$A,'[1]Tissue Data'!J:J)</f>
        <v>F</v>
      </c>
      <c r="H1341" t="str">
        <f>_xlfn.XLOOKUP(A1341,'[1]Tissue Data'!$A:$A,'[1]Tissue Data'!K:K)</f>
        <v>Whole Body</v>
      </c>
      <c r="I1341">
        <f>_xlfn.XLOOKUP(A1341,'[1]Tissue Data'!$A:$A,'[1]Tissue Data'!L:L)</f>
        <v>12</v>
      </c>
      <c r="J1341">
        <f>_xlfn.XLOOKUP(A1341,'[1]Tissue Data'!$A:$A,'[1]Tissue Data'!M:M)</f>
        <v>16.399999999999999</v>
      </c>
      <c r="K1341" t="s">
        <v>51</v>
      </c>
      <c r="L1341" t="str">
        <f>_xlfn.XLOOKUP(K1341,[2]analyte_order!$B:$B,[2]analyte_order!$C:$C)</f>
        <v>27854-31-5</v>
      </c>
      <c r="M1341">
        <f>_xlfn.XLOOKUP(L1341,[2]analyte_order!$C:$C,[2]analyte_order!$E:$E)</f>
        <v>42</v>
      </c>
      <c r="N1341">
        <v>2.3902477890207951E-2</v>
      </c>
    </row>
    <row r="1342" spans="1:14">
      <c r="A1342" t="s">
        <v>218</v>
      </c>
      <c r="B1342" t="str">
        <f>_xlfn.XLOOKUP(A1342,'[1]Tissue Data'!$A:$A,'[1]Tissue Data'!$C:$C)</f>
        <v>Down</v>
      </c>
      <c r="C1342" s="2">
        <f>_xlfn.XLOOKUP(A1342,'[1]Tissue Data'!$A:$A,'[1]Tissue Data'!$D:$D)</f>
        <v>44314</v>
      </c>
      <c r="D1342" s="2" t="str">
        <f>_xlfn.XLOOKUP(A1342,'[1]Tissue Data'!$A:$A,'[1]Tissue Data'!$F:$F)</f>
        <v>Margined Madtom</v>
      </c>
      <c r="E1342" t="str">
        <f>_xlfn.XLOOKUP(A1342,'[1]Tissue Data'!$A:$A,'[1]Tissue Data'!$H:$H)</f>
        <v>Noturus</v>
      </c>
      <c r="F1342" t="str">
        <f>_xlfn.XLOOKUP(A1342,'[1]Tissue Data'!$A:$A,'[1]Tissue Data'!$I:$I)</f>
        <v>insignis</v>
      </c>
      <c r="G1342" t="str">
        <f>_xlfn.XLOOKUP(A1342,'[1]Tissue Data'!$A:$A,'[1]Tissue Data'!J:J)</f>
        <v>F</v>
      </c>
      <c r="H1342" t="str">
        <f>_xlfn.XLOOKUP(A1342,'[1]Tissue Data'!$A:$A,'[1]Tissue Data'!K:K)</f>
        <v>Whole Body</v>
      </c>
      <c r="I1342">
        <f>_xlfn.XLOOKUP(A1342,'[1]Tissue Data'!$A:$A,'[1]Tissue Data'!L:L)</f>
        <v>12</v>
      </c>
      <c r="J1342">
        <f>_xlfn.XLOOKUP(A1342,'[1]Tissue Data'!$A:$A,'[1]Tissue Data'!M:M)</f>
        <v>16.399999999999999</v>
      </c>
      <c r="K1342" t="s">
        <v>52</v>
      </c>
      <c r="L1342" t="str">
        <f>_xlfn.XLOOKUP(K1342,[2]analyte_order!$B:$B,[2]analyte_order!$C:$C)</f>
        <v>53826-13-4</v>
      </c>
      <c r="M1342">
        <f>_xlfn.XLOOKUP(L1342,[2]analyte_order!$C:$C,[2]analyte_order!$E:$E)</f>
        <v>43</v>
      </c>
      <c r="N1342">
        <v>8.9167746064417186E-2</v>
      </c>
    </row>
    <row r="1343" spans="1:14">
      <c r="A1343" t="s">
        <v>218</v>
      </c>
      <c r="B1343" t="str">
        <f>_xlfn.XLOOKUP(A1343,'[1]Tissue Data'!$A:$A,'[1]Tissue Data'!$C:$C)</f>
        <v>Down</v>
      </c>
      <c r="C1343" s="2">
        <f>_xlfn.XLOOKUP(A1343,'[1]Tissue Data'!$A:$A,'[1]Tissue Data'!$D:$D)</f>
        <v>44314</v>
      </c>
      <c r="D1343" s="2" t="str">
        <f>_xlfn.XLOOKUP(A1343,'[1]Tissue Data'!$A:$A,'[1]Tissue Data'!$F:$F)</f>
        <v>Margined Madtom</v>
      </c>
      <c r="E1343" t="str">
        <f>_xlfn.XLOOKUP(A1343,'[1]Tissue Data'!$A:$A,'[1]Tissue Data'!$H:$H)</f>
        <v>Noturus</v>
      </c>
      <c r="F1343" t="str">
        <f>_xlfn.XLOOKUP(A1343,'[1]Tissue Data'!$A:$A,'[1]Tissue Data'!$I:$I)</f>
        <v>insignis</v>
      </c>
      <c r="G1343" t="str">
        <f>_xlfn.XLOOKUP(A1343,'[1]Tissue Data'!$A:$A,'[1]Tissue Data'!J:J)</f>
        <v>F</v>
      </c>
      <c r="H1343" t="str">
        <f>_xlfn.XLOOKUP(A1343,'[1]Tissue Data'!$A:$A,'[1]Tissue Data'!K:K)</f>
        <v>Whole Body</v>
      </c>
      <c r="I1343">
        <f>_xlfn.XLOOKUP(A1343,'[1]Tissue Data'!$A:$A,'[1]Tissue Data'!L:L)</f>
        <v>12</v>
      </c>
      <c r="J1343">
        <f>_xlfn.XLOOKUP(A1343,'[1]Tissue Data'!$A:$A,'[1]Tissue Data'!M:M)</f>
        <v>16.399999999999999</v>
      </c>
      <c r="K1343" t="s">
        <v>53</v>
      </c>
      <c r="L1343" t="str">
        <f>_xlfn.XLOOKUP(K1343,[2]analyte_order!$B:$B,[2]analyte_order!$C:$C)</f>
        <v>161094-75-3</v>
      </c>
      <c r="M1343">
        <f>_xlfn.XLOOKUP(L1343,[2]analyte_order!$C:$C,[2]analyte_order!$E:$E)</f>
        <v>44</v>
      </c>
      <c r="N1343">
        <v>4.6920357828220863E-2</v>
      </c>
    </row>
    <row r="1344" spans="1:14">
      <c r="A1344" t="s">
        <v>218</v>
      </c>
      <c r="B1344" t="str">
        <f>_xlfn.XLOOKUP(A1344,'[1]Tissue Data'!$A:$A,'[1]Tissue Data'!$C:$C)</f>
        <v>Down</v>
      </c>
      <c r="C1344" s="2">
        <f>_xlfn.XLOOKUP(A1344,'[1]Tissue Data'!$A:$A,'[1]Tissue Data'!$D:$D)</f>
        <v>44314</v>
      </c>
      <c r="D1344" s="2" t="str">
        <f>_xlfn.XLOOKUP(A1344,'[1]Tissue Data'!$A:$A,'[1]Tissue Data'!$F:$F)</f>
        <v>Margined Madtom</v>
      </c>
      <c r="E1344" t="str">
        <f>_xlfn.XLOOKUP(A1344,'[1]Tissue Data'!$A:$A,'[1]Tissue Data'!$H:$H)</f>
        <v>Noturus</v>
      </c>
      <c r="F1344" t="str">
        <f>_xlfn.XLOOKUP(A1344,'[1]Tissue Data'!$A:$A,'[1]Tissue Data'!$I:$I)</f>
        <v>insignis</v>
      </c>
      <c r="G1344" t="str">
        <f>_xlfn.XLOOKUP(A1344,'[1]Tissue Data'!$A:$A,'[1]Tissue Data'!J:J)</f>
        <v>F</v>
      </c>
      <c r="H1344" t="str">
        <f>_xlfn.XLOOKUP(A1344,'[1]Tissue Data'!$A:$A,'[1]Tissue Data'!K:K)</f>
        <v>Whole Body</v>
      </c>
      <c r="I1344">
        <f>_xlfn.XLOOKUP(A1344,'[1]Tissue Data'!$A:$A,'[1]Tissue Data'!L:L)</f>
        <v>12</v>
      </c>
      <c r="J1344">
        <f>_xlfn.XLOOKUP(A1344,'[1]Tissue Data'!$A:$A,'[1]Tissue Data'!M:M)</f>
        <v>16.399999999999999</v>
      </c>
      <c r="K1344" t="s">
        <v>54</v>
      </c>
      <c r="L1344" t="str">
        <f>_xlfn.XLOOKUP(K1344,[2]analyte_order!$B:$B,[2]analyte_order!$C:$C)</f>
        <v>70887-84-2</v>
      </c>
      <c r="M1344">
        <f>_xlfn.XLOOKUP(L1344,[2]analyte_order!$C:$C,[2]analyte_order!$E:$E)</f>
        <v>45</v>
      </c>
      <c r="N1344">
        <v>3.6110939110122697E-2</v>
      </c>
    </row>
    <row r="1345" spans="1:14">
      <c r="A1345" t="s">
        <v>218</v>
      </c>
      <c r="B1345" t="str">
        <f>_xlfn.XLOOKUP(A1345,'[1]Tissue Data'!$A:$A,'[1]Tissue Data'!$C:$C)</f>
        <v>Down</v>
      </c>
      <c r="C1345" s="2">
        <f>_xlfn.XLOOKUP(A1345,'[1]Tissue Data'!$A:$A,'[1]Tissue Data'!$D:$D)</f>
        <v>44314</v>
      </c>
      <c r="D1345" s="2" t="str">
        <f>_xlfn.XLOOKUP(A1345,'[1]Tissue Data'!$A:$A,'[1]Tissue Data'!$F:$F)</f>
        <v>Margined Madtom</v>
      </c>
      <c r="E1345" t="str">
        <f>_xlfn.XLOOKUP(A1345,'[1]Tissue Data'!$A:$A,'[1]Tissue Data'!$H:$H)</f>
        <v>Noturus</v>
      </c>
      <c r="F1345" t="str">
        <f>_xlfn.XLOOKUP(A1345,'[1]Tissue Data'!$A:$A,'[1]Tissue Data'!$I:$I)</f>
        <v>insignis</v>
      </c>
      <c r="G1345" t="str">
        <f>_xlfn.XLOOKUP(A1345,'[1]Tissue Data'!$A:$A,'[1]Tissue Data'!J:J)</f>
        <v>F</v>
      </c>
      <c r="H1345" t="str">
        <f>_xlfn.XLOOKUP(A1345,'[1]Tissue Data'!$A:$A,'[1]Tissue Data'!K:K)</f>
        <v>Whole Body</v>
      </c>
      <c r="I1345">
        <f>_xlfn.XLOOKUP(A1345,'[1]Tissue Data'!$A:$A,'[1]Tissue Data'!L:L)</f>
        <v>12</v>
      </c>
      <c r="J1345">
        <f>_xlfn.XLOOKUP(A1345,'[1]Tissue Data'!$A:$A,'[1]Tissue Data'!M:M)</f>
        <v>16.399999999999999</v>
      </c>
      <c r="K1345" t="s">
        <v>55</v>
      </c>
      <c r="L1345" t="str">
        <f>_xlfn.XLOOKUP(K1345,[2]analyte_order!$B:$B,[2]analyte_order!$C:$C)</f>
        <v>919005-14-4</v>
      </c>
      <c r="M1345">
        <f>_xlfn.XLOOKUP(L1345,[2]analyte_order!$C:$C,[2]analyte_order!$E:$E)</f>
        <v>35</v>
      </c>
      <c r="N1345">
        <v>5.9756194725519879E-2</v>
      </c>
    </row>
    <row r="1346" spans="1:14">
      <c r="A1346" t="s">
        <v>218</v>
      </c>
      <c r="B1346" t="str">
        <f>_xlfn.XLOOKUP(A1346,'[1]Tissue Data'!$A:$A,'[1]Tissue Data'!$C:$C)</f>
        <v>Down</v>
      </c>
      <c r="C1346" s="2">
        <f>_xlfn.XLOOKUP(A1346,'[1]Tissue Data'!$A:$A,'[1]Tissue Data'!$D:$D)</f>
        <v>44314</v>
      </c>
      <c r="D1346" s="2" t="str">
        <f>_xlfn.XLOOKUP(A1346,'[1]Tissue Data'!$A:$A,'[1]Tissue Data'!$F:$F)</f>
        <v>Margined Madtom</v>
      </c>
      <c r="E1346" t="str">
        <f>_xlfn.XLOOKUP(A1346,'[1]Tissue Data'!$A:$A,'[1]Tissue Data'!$H:$H)</f>
        <v>Noturus</v>
      </c>
      <c r="F1346" t="str">
        <f>_xlfn.XLOOKUP(A1346,'[1]Tissue Data'!$A:$A,'[1]Tissue Data'!$I:$I)</f>
        <v>insignis</v>
      </c>
      <c r="G1346" t="str">
        <f>_xlfn.XLOOKUP(A1346,'[1]Tissue Data'!$A:$A,'[1]Tissue Data'!J:J)</f>
        <v>F</v>
      </c>
      <c r="H1346" t="str">
        <f>_xlfn.XLOOKUP(A1346,'[1]Tissue Data'!$A:$A,'[1]Tissue Data'!K:K)</f>
        <v>Whole Body</v>
      </c>
      <c r="I1346">
        <f>_xlfn.XLOOKUP(A1346,'[1]Tissue Data'!$A:$A,'[1]Tissue Data'!L:L)</f>
        <v>12</v>
      </c>
      <c r="J1346">
        <f>_xlfn.XLOOKUP(A1346,'[1]Tissue Data'!$A:$A,'[1]Tissue Data'!M:M)</f>
        <v>16.399999999999999</v>
      </c>
      <c r="K1346" t="s">
        <v>56</v>
      </c>
      <c r="L1346" t="str">
        <f>_xlfn.XLOOKUP(K1346,[2]analyte_order!$B:$B,[2]analyte_order!$C:$C)</f>
        <v>756426-58-1</v>
      </c>
      <c r="M1346">
        <f>_xlfn.XLOOKUP(L1346,[2]analyte_order!$C:$C,[2]analyte_order!$E:$E)</f>
        <v>36</v>
      </c>
      <c r="N1346">
        <v>4.1477171493865025E-2</v>
      </c>
    </row>
    <row r="1347" spans="1:14">
      <c r="A1347" t="s">
        <v>218</v>
      </c>
      <c r="B1347" t="str">
        <f>_xlfn.XLOOKUP(A1347,'[1]Tissue Data'!$A:$A,'[1]Tissue Data'!$C:$C)</f>
        <v>Down</v>
      </c>
      <c r="C1347" s="2">
        <f>_xlfn.XLOOKUP(A1347,'[1]Tissue Data'!$A:$A,'[1]Tissue Data'!$D:$D)</f>
        <v>44314</v>
      </c>
      <c r="D1347" s="2" t="str">
        <f>_xlfn.XLOOKUP(A1347,'[1]Tissue Data'!$A:$A,'[1]Tissue Data'!$F:$F)</f>
        <v>Margined Madtom</v>
      </c>
      <c r="E1347" t="str">
        <f>_xlfn.XLOOKUP(A1347,'[1]Tissue Data'!$A:$A,'[1]Tissue Data'!$H:$H)</f>
        <v>Noturus</v>
      </c>
      <c r="F1347" t="str">
        <f>_xlfn.XLOOKUP(A1347,'[1]Tissue Data'!$A:$A,'[1]Tissue Data'!$I:$I)</f>
        <v>insignis</v>
      </c>
      <c r="G1347" t="str">
        <f>_xlfn.XLOOKUP(A1347,'[1]Tissue Data'!$A:$A,'[1]Tissue Data'!J:J)</f>
        <v>F</v>
      </c>
      <c r="H1347" t="str">
        <f>_xlfn.XLOOKUP(A1347,'[1]Tissue Data'!$A:$A,'[1]Tissue Data'!K:K)</f>
        <v>Whole Body</v>
      </c>
      <c r="I1347">
        <f>_xlfn.XLOOKUP(A1347,'[1]Tissue Data'!$A:$A,'[1]Tissue Data'!L:L)</f>
        <v>12</v>
      </c>
      <c r="J1347">
        <f>_xlfn.XLOOKUP(A1347,'[1]Tissue Data'!$A:$A,'[1]Tissue Data'!M:M)</f>
        <v>16.399999999999999</v>
      </c>
      <c r="K1347" t="s">
        <v>57</v>
      </c>
      <c r="L1347" t="str">
        <f>_xlfn.XLOOKUP(K1347,[2]analyte_order!$B:$B,[2]analyte_order!$C:$C)</f>
        <v>763051-92-9</v>
      </c>
      <c r="M1347">
        <f>_xlfn.XLOOKUP(L1347,[2]analyte_order!$C:$C,[2]analyte_order!$E:$E)</f>
        <v>37</v>
      </c>
      <c r="N1347">
        <v>4.7087316469325159E-2</v>
      </c>
    </row>
    <row r="1348" spans="1:14">
      <c r="A1348" t="s">
        <v>218</v>
      </c>
      <c r="B1348" t="str">
        <f>_xlfn.XLOOKUP(A1348,'[1]Tissue Data'!$A:$A,'[1]Tissue Data'!$C:$C)</f>
        <v>Down</v>
      </c>
      <c r="C1348" s="2">
        <f>_xlfn.XLOOKUP(A1348,'[1]Tissue Data'!$A:$A,'[1]Tissue Data'!$D:$D)</f>
        <v>44314</v>
      </c>
      <c r="D1348" s="2" t="str">
        <f>_xlfn.XLOOKUP(A1348,'[1]Tissue Data'!$A:$A,'[1]Tissue Data'!$F:$F)</f>
        <v>Margined Madtom</v>
      </c>
      <c r="E1348" t="str">
        <f>_xlfn.XLOOKUP(A1348,'[1]Tissue Data'!$A:$A,'[1]Tissue Data'!$H:$H)</f>
        <v>Noturus</v>
      </c>
      <c r="F1348" t="str">
        <f>_xlfn.XLOOKUP(A1348,'[1]Tissue Data'!$A:$A,'[1]Tissue Data'!$I:$I)</f>
        <v>insignis</v>
      </c>
      <c r="G1348" t="str">
        <f>_xlfn.XLOOKUP(A1348,'[1]Tissue Data'!$A:$A,'[1]Tissue Data'!J:J)</f>
        <v>F</v>
      </c>
      <c r="H1348" t="str">
        <f>_xlfn.XLOOKUP(A1348,'[1]Tissue Data'!$A:$A,'[1]Tissue Data'!K:K)</f>
        <v>Whole Body</v>
      </c>
      <c r="I1348">
        <f>_xlfn.XLOOKUP(A1348,'[1]Tissue Data'!$A:$A,'[1]Tissue Data'!L:L)</f>
        <v>12</v>
      </c>
      <c r="J1348">
        <f>_xlfn.XLOOKUP(A1348,'[1]Tissue Data'!$A:$A,'[1]Tissue Data'!M:M)</f>
        <v>16.399999999999999</v>
      </c>
      <c r="K1348" t="s">
        <v>58</v>
      </c>
      <c r="L1348" t="str">
        <f>_xlfn.XLOOKUP(K1348,[2]analyte_order!$B:$B,[2]analyte_order!$C:$C)</f>
        <v>13252-13-6</v>
      </c>
      <c r="M1348">
        <f>_xlfn.XLOOKUP(L1348,[2]analyte_order!$C:$C,[2]analyte_order!$E:$E)</f>
        <v>34</v>
      </c>
      <c r="N1348">
        <v>8.5751846365030693E-2</v>
      </c>
    </row>
    <row r="1349" spans="1:14">
      <c r="A1349" t="s">
        <v>218</v>
      </c>
      <c r="B1349" t="str">
        <f>_xlfn.XLOOKUP(A1349,'[1]Tissue Data'!$A:$A,'[1]Tissue Data'!$C:$C)</f>
        <v>Down</v>
      </c>
      <c r="C1349" s="2">
        <f>_xlfn.XLOOKUP(A1349,'[1]Tissue Data'!$A:$A,'[1]Tissue Data'!$D:$D)</f>
        <v>44314</v>
      </c>
      <c r="D1349" s="2" t="str">
        <f>_xlfn.XLOOKUP(A1349,'[1]Tissue Data'!$A:$A,'[1]Tissue Data'!$F:$F)</f>
        <v>Margined Madtom</v>
      </c>
      <c r="E1349" t="str">
        <f>_xlfn.XLOOKUP(A1349,'[1]Tissue Data'!$A:$A,'[1]Tissue Data'!$H:$H)</f>
        <v>Noturus</v>
      </c>
      <c r="F1349" t="str">
        <f>_xlfn.XLOOKUP(A1349,'[1]Tissue Data'!$A:$A,'[1]Tissue Data'!$I:$I)</f>
        <v>insignis</v>
      </c>
      <c r="G1349" t="str">
        <f>_xlfn.XLOOKUP(A1349,'[1]Tissue Data'!$A:$A,'[1]Tissue Data'!J:J)</f>
        <v>F</v>
      </c>
      <c r="H1349" t="str">
        <f>_xlfn.XLOOKUP(A1349,'[1]Tissue Data'!$A:$A,'[1]Tissue Data'!K:K)</f>
        <v>Whole Body</v>
      </c>
      <c r="I1349">
        <f>_xlfn.XLOOKUP(A1349,'[1]Tissue Data'!$A:$A,'[1]Tissue Data'!L:L)</f>
        <v>12</v>
      </c>
      <c r="J1349">
        <f>_xlfn.XLOOKUP(A1349,'[1]Tissue Data'!$A:$A,'[1]Tissue Data'!M:M)</f>
        <v>16.399999999999999</v>
      </c>
      <c r="K1349" t="s">
        <v>59</v>
      </c>
      <c r="L1349" t="str">
        <f>_xlfn.XLOOKUP(K1349,[2]analyte_order!$B:$B,[2]analyte_order!$C:$C)</f>
        <v>57677-95-9</v>
      </c>
      <c r="M1349">
        <f>_xlfn.XLOOKUP(L1349,[2]analyte_order!$C:$C,[2]analyte_order!$E:$E)</f>
        <v>46</v>
      </c>
      <c r="N1349">
        <v>6.36121983588957E-2</v>
      </c>
    </row>
    <row r="1350" spans="1:14">
      <c r="A1350" t="s">
        <v>218</v>
      </c>
      <c r="B1350" t="str">
        <f>_xlfn.XLOOKUP(A1350,'[1]Tissue Data'!$A:$A,'[1]Tissue Data'!$C:$C)</f>
        <v>Down</v>
      </c>
      <c r="C1350" s="2">
        <f>_xlfn.XLOOKUP(A1350,'[1]Tissue Data'!$A:$A,'[1]Tissue Data'!$D:$D)</f>
        <v>44314</v>
      </c>
      <c r="D1350" s="2" t="str">
        <f>_xlfn.XLOOKUP(A1350,'[1]Tissue Data'!$A:$A,'[1]Tissue Data'!$F:$F)</f>
        <v>Margined Madtom</v>
      </c>
      <c r="E1350" t="str">
        <f>_xlfn.XLOOKUP(A1350,'[1]Tissue Data'!$A:$A,'[1]Tissue Data'!$H:$H)</f>
        <v>Noturus</v>
      </c>
      <c r="F1350" t="str">
        <f>_xlfn.XLOOKUP(A1350,'[1]Tissue Data'!$A:$A,'[1]Tissue Data'!$I:$I)</f>
        <v>insignis</v>
      </c>
      <c r="G1350" t="str">
        <f>_xlfn.XLOOKUP(A1350,'[1]Tissue Data'!$A:$A,'[1]Tissue Data'!J:J)</f>
        <v>F</v>
      </c>
      <c r="H1350" t="str">
        <f>_xlfn.XLOOKUP(A1350,'[1]Tissue Data'!$A:$A,'[1]Tissue Data'!K:K)</f>
        <v>Whole Body</v>
      </c>
      <c r="I1350">
        <f>_xlfn.XLOOKUP(A1350,'[1]Tissue Data'!$A:$A,'[1]Tissue Data'!L:L)</f>
        <v>12</v>
      </c>
      <c r="J1350">
        <f>_xlfn.XLOOKUP(A1350,'[1]Tissue Data'!$A:$A,'[1]Tissue Data'!M:M)</f>
        <v>16.399999999999999</v>
      </c>
      <c r="K1350" t="s">
        <v>60</v>
      </c>
      <c r="L1350" t="str">
        <f>_xlfn.XLOOKUP(K1350,[2]analyte_order!$B:$B,[2]analyte_order!$C:$C)</f>
        <v>678-41-1</v>
      </c>
      <c r="M1350">
        <f>_xlfn.XLOOKUP(L1350,[2]analyte_order!$C:$C,[2]analyte_order!$E:$E)</f>
        <v>56</v>
      </c>
      <c r="N1350">
        <v>7.922560000306747E-2</v>
      </c>
    </row>
    <row r="1351" spans="1:14">
      <c r="A1351" t="s">
        <v>218</v>
      </c>
      <c r="B1351" t="str">
        <f>_xlfn.XLOOKUP(A1351,'[1]Tissue Data'!$A:$A,'[1]Tissue Data'!$C:$C)</f>
        <v>Down</v>
      </c>
      <c r="C1351" s="2">
        <f>_xlfn.XLOOKUP(A1351,'[1]Tissue Data'!$A:$A,'[1]Tissue Data'!$D:$D)</f>
        <v>44314</v>
      </c>
      <c r="D1351" s="2" t="str">
        <f>_xlfn.XLOOKUP(A1351,'[1]Tissue Data'!$A:$A,'[1]Tissue Data'!$F:$F)</f>
        <v>Margined Madtom</v>
      </c>
      <c r="E1351" t="str">
        <f>_xlfn.XLOOKUP(A1351,'[1]Tissue Data'!$A:$A,'[1]Tissue Data'!$H:$H)</f>
        <v>Noturus</v>
      </c>
      <c r="F1351" t="str">
        <f>_xlfn.XLOOKUP(A1351,'[1]Tissue Data'!$A:$A,'[1]Tissue Data'!$I:$I)</f>
        <v>insignis</v>
      </c>
      <c r="G1351" t="str">
        <f>_xlfn.XLOOKUP(A1351,'[1]Tissue Data'!$A:$A,'[1]Tissue Data'!J:J)</f>
        <v>F</v>
      </c>
      <c r="H1351" t="str">
        <f>_xlfn.XLOOKUP(A1351,'[1]Tissue Data'!$A:$A,'[1]Tissue Data'!K:K)</f>
        <v>Whole Body</v>
      </c>
      <c r="I1351">
        <f>_xlfn.XLOOKUP(A1351,'[1]Tissue Data'!$A:$A,'[1]Tissue Data'!L:L)</f>
        <v>12</v>
      </c>
      <c r="J1351">
        <f>_xlfn.XLOOKUP(A1351,'[1]Tissue Data'!$A:$A,'[1]Tissue Data'!M:M)</f>
        <v>16.399999999999999</v>
      </c>
      <c r="K1351" t="s">
        <v>61</v>
      </c>
      <c r="L1351" t="str">
        <f>_xlfn.XLOOKUP(K1351,[2]analyte_order!$B:$B,[2]analyte_order!$C:$C)</f>
        <v>2965-52-8</v>
      </c>
      <c r="M1351">
        <f>_xlfn.XLOOKUP(L1351,[2]analyte_order!$C:$C,[2]analyte_order!$E:$E)</f>
        <v>57</v>
      </c>
      <c r="N1351">
        <v>0.10517090271691498</v>
      </c>
    </row>
    <row r="1352" spans="1:14">
      <c r="A1352" t="s">
        <v>239</v>
      </c>
      <c r="B1352" t="str">
        <f>_xlfn.XLOOKUP(A1352,'[1]Tissue Data'!$A:$A,'[1]Tissue Data'!$C:$C)</f>
        <v>Spill</v>
      </c>
      <c r="C1352" s="2">
        <f>_xlfn.XLOOKUP(A1352,'[1]Tissue Data'!$A:$A,'[1]Tissue Data'!$D:$D)</f>
        <v>44314</v>
      </c>
      <c r="D1352" s="2" t="str">
        <f>_xlfn.XLOOKUP(A1352,'[1]Tissue Data'!$A:$A,'[1]Tissue Data'!$F:$F)</f>
        <v>Pumpkinseed</v>
      </c>
      <c r="E1352" t="str">
        <f>_xlfn.XLOOKUP(A1352,'[1]Tissue Data'!$A:$A,'[1]Tissue Data'!$H:$H)</f>
        <v>Lepomis</v>
      </c>
      <c r="F1352" t="str">
        <f>_xlfn.XLOOKUP(A1352,'[1]Tissue Data'!$A:$A,'[1]Tissue Data'!$I:$I)</f>
        <v>gibbosus</v>
      </c>
      <c r="G1352" t="str">
        <f>_xlfn.XLOOKUP(A1352,'[1]Tissue Data'!$A:$A,'[1]Tissue Data'!J:J)</f>
        <v>U</v>
      </c>
      <c r="H1352" t="str">
        <f>_xlfn.XLOOKUP(A1352,'[1]Tissue Data'!$A:$A,'[1]Tissue Data'!K:K)</f>
        <v>Whole Body</v>
      </c>
      <c r="I1352">
        <f>_xlfn.XLOOKUP(A1352,'[1]Tissue Data'!$A:$A,'[1]Tissue Data'!L:L)</f>
        <v>7</v>
      </c>
      <c r="J1352">
        <f>_xlfn.XLOOKUP(A1352,'[1]Tissue Data'!$A:$A,'[1]Tissue Data'!M:M)</f>
        <v>10</v>
      </c>
      <c r="K1352" t="s">
        <v>12</v>
      </c>
      <c r="L1352" t="str">
        <f>_xlfn.XLOOKUP(K1352,[2]analyte_order!$B:$B,[2]analyte_order!$C:$C)</f>
        <v>375-22-4</v>
      </c>
      <c r="M1352">
        <f>_xlfn.XLOOKUP(L1352,[2]analyte_order!$C:$C,[2]analyte_order!$E:$E)</f>
        <v>1</v>
      </c>
      <c r="N1352">
        <v>8.9197224975223005E-2</v>
      </c>
    </row>
    <row r="1353" spans="1:14">
      <c r="A1353" t="s">
        <v>239</v>
      </c>
      <c r="B1353" t="str">
        <f>_xlfn.XLOOKUP(A1353,'[1]Tissue Data'!$A:$A,'[1]Tissue Data'!$C:$C)</f>
        <v>Spill</v>
      </c>
      <c r="C1353" s="2">
        <f>_xlfn.XLOOKUP(A1353,'[1]Tissue Data'!$A:$A,'[1]Tissue Data'!$D:$D)</f>
        <v>44314</v>
      </c>
      <c r="D1353" s="2" t="str">
        <f>_xlfn.XLOOKUP(A1353,'[1]Tissue Data'!$A:$A,'[1]Tissue Data'!$F:$F)</f>
        <v>Pumpkinseed</v>
      </c>
      <c r="E1353" t="str">
        <f>_xlfn.XLOOKUP(A1353,'[1]Tissue Data'!$A:$A,'[1]Tissue Data'!$H:$H)</f>
        <v>Lepomis</v>
      </c>
      <c r="F1353" t="str">
        <f>_xlfn.XLOOKUP(A1353,'[1]Tissue Data'!$A:$A,'[1]Tissue Data'!$I:$I)</f>
        <v>gibbosus</v>
      </c>
      <c r="G1353" t="str">
        <f>_xlfn.XLOOKUP(A1353,'[1]Tissue Data'!$A:$A,'[1]Tissue Data'!J:J)</f>
        <v>U</v>
      </c>
      <c r="H1353" t="str">
        <f>_xlfn.XLOOKUP(A1353,'[1]Tissue Data'!$A:$A,'[1]Tissue Data'!K:K)</f>
        <v>Whole Body</v>
      </c>
      <c r="I1353">
        <f>_xlfn.XLOOKUP(A1353,'[1]Tissue Data'!$A:$A,'[1]Tissue Data'!L:L)</f>
        <v>7</v>
      </c>
      <c r="J1353">
        <f>_xlfn.XLOOKUP(A1353,'[1]Tissue Data'!$A:$A,'[1]Tissue Data'!M:M)</f>
        <v>10</v>
      </c>
      <c r="K1353" t="s">
        <v>13</v>
      </c>
      <c r="L1353" t="str">
        <f>_xlfn.XLOOKUP(K1353,[2]analyte_order!$B:$B,[2]analyte_order!$C:$C)</f>
        <v>2706-90-3</v>
      </c>
      <c r="M1353">
        <f>_xlfn.XLOOKUP(L1353,[2]analyte_order!$C:$C,[2]analyte_order!$E:$E)</f>
        <v>2</v>
      </c>
      <c r="N1353">
        <v>4.8600958442796618E-2</v>
      </c>
    </row>
    <row r="1354" spans="1:14">
      <c r="A1354" t="s">
        <v>239</v>
      </c>
      <c r="B1354" t="str">
        <f>_xlfn.XLOOKUP(A1354,'[1]Tissue Data'!$A:$A,'[1]Tissue Data'!$C:$C)</f>
        <v>Spill</v>
      </c>
      <c r="C1354" s="2">
        <f>_xlfn.XLOOKUP(A1354,'[1]Tissue Data'!$A:$A,'[1]Tissue Data'!$D:$D)</f>
        <v>44314</v>
      </c>
      <c r="D1354" s="2" t="str">
        <f>_xlfn.XLOOKUP(A1354,'[1]Tissue Data'!$A:$A,'[1]Tissue Data'!$F:$F)</f>
        <v>Pumpkinseed</v>
      </c>
      <c r="E1354" t="str">
        <f>_xlfn.XLOOKUP(A1354,'[1]Tissue Data'!$A:$A,'[1]Tissue Data'!$H:$H)</f>
        <v>Lepomis</v>
      </c>
      <c r="F1354" t="str">
        <f>_xlfn.XLOOKUP(A1354,'[1]Tissue Data'!$A:$A,'[1]Tissue Data'!$I:$I)</f>
        <v>gibbosus</v>
      </c>
      <c r="G1354" t="str">
        <f>_xlfn.XLOOKUP(A1354,'[1]Tissue Data'!$A:$A,'[1]Tissue Data'!J:J)</f>
        <v>U</v>
      </c>
      <c r="H1354" t="str">
        <f>_xlfn.XLOOKUP(A1354,'[1]Tissue Data'!$A:$A,'[1]Tissue Data'!K:K)</f>
        <v>Whole Body</v>
      </c>
      <c r="I1354">
        <f>_xlfn.XLOOKUP(A1354,'[1]Tissue Data'!$A:$A,'[1]Tissue Data'!L:L)</f>
        <v>7</v>
      </c>
      <c r="J1354">
        <f>_xlfn.XLOOKUP(A1354,'[1]Tissue Data'!$A:$A,'[1]Tissue Data'!M:M)</f>
        <v>10</v>
      </c>
      <c r="K1354" t="s">
        <v>14</v>
      </c>
      <c r="L1354" t="str">
        <f>_xlfn.XLOOKUP(K1354,[2]analyte_order!$B:$B,[2]analyte_order!$C:$C)</f>
        <v>307-24-4</v>
      </c>
      <c r="M1354">
        <f>_xlfn.XLOOKUP(L1354,[2]analyte_order!$C:$C,[2]analyte_order!$E:$E)</f>
        <v>3</v>
      </c>
      <c r="N1354">
        <v>3.7123821009533903E-2</v>
      </c>
    </row>
    <row r="1355" spans="1:14">
      <c r="A1355" t="s">
        <v>239</v>
      </c>
      <c r="B1355" t="str">
        <f>_xlfn.XLOOKUP(A1355,'[1]Tissue Data'!$A:$A,'[1]Tissue Data'!$C:$C)</f>
        <v>Spill</v>
      </c>
      <c r="C1355" s="2">
        <f>_xlfn.XLOOKUP(A1355,'[1]Tissue Data'!$A:$A,'[1]Tissue Data'!$D:$D)</f>
        <v>44314</v>
      </c>
      <c r="D1355" s="2" t="str">
        <f>_xlfn.XLOOKUP(A1355,'[1]Tissue Data'!$A:$A,'[1]Tissue Data'!$F:$F)</f>
        <v>Pumpkinseed</v>
      </c>
      <c r="E1355" t="str">
        <f>_xlfn.XLOOKUP(A1355,'[1]Tissue Data'!$A:$A,'[1]Tissue Data'!$H:$H)</f>
        <v>Lepomis</v>
      </c>
      <c r="F1355" t="str">
        <f>_xlfn.XLOOKUP(A1355,'[1]Tissue Data'!$A:$A,'[1]Tissue Data'!$I:$I)</f>
        <v>gibbosus</v>
      </c>
      <c r="G1355" t="str">
        <f>_xlfn.XLOOKUP(A1355,'[1]Tissue Data'!$A:$A,'[1]Tissue Data'!J:J)</f>
        <v>U</v>
      </c>
      <c r="H1355" t="str">
        <f>_xlfn.XLOOKUP(A1355,'[1]Tissue Data'!$A:$A,'[1]Tissue Data'!K:K)</f>
        <v>Whole Body</v>
      </c>
      <c r="I1355">
        <f>_xlfn.XLOOKUP(A1355,'[1]Tissue Data'!$A:$A,'[1]Tissue Data'!L:L)</f>
        <v>7</v>
      </c>
      <c r="J1355">
        <f>_xlfn.XLOOKUP(A1355,'[1]Tissue Data'!$A:$A,'[1]Tissue Data'!M:M)</f>
        <v>10</v>
      </c>
      <c r="K1355" t="s">
        <v>15</v>
      </c>
      <c r="L1355" t="str">
        <f>_xlfn.XLOOKUP(K1355,[2]analyte_order!$B:$B,[2]analyte_order!$C:$C)</f>
        <v>375-85-9</v>
      </c>
      <c r="M1355">
        <f>_xlfn.XLOOKUP(L1355,[2]analyte_order!$C:$C,[2]analyte_order!$E:$E)</f>
        <v>4</v>
      </c>
      <c r="N1355">
        <v>8.9197224975223005E-2</v>
      </c>
    </row>
    <row r="1356" spans="1:14">
      <c r="A1356" t="s">
        <v>239</v>
      </c>
      <c r="B1356" t="str">
        <f>_xlfn.XLOOKUP(A1356,'[1]Tissue Data'!$A:$A,'[1]Tissue Data'!$C:$C)</f>
        <v>Spill</v>
      </c>
      <c r="C1356" s="2">
        <f>_xlfn.XLOOKUP(A1356,'[1]Tissue Data'!$A:$A,'[1]Tissue Data'!$D:$D)</f>
        <v>44314</v>
      </c>
      <c r="D1356" s="2" t="str">
        <f>_xlfn.XLOOKUP(A1356,'[1]Tissue Data'!$A:$A,'[1]Tissue Data'!$F:$F)</f>
        <v>Pumpkinseed</v>
      </c>
      <c r="E1356" t="str">
        <f>_xlfn.XLOOKUP(A1356,'[1]Tissue Data'!$A:$A,'[1]Tissue Data'!$H:$H)</f>
        <v>Lepomis</v>
      </c>
      <c r="F1356" t="str">
        <f>_xlfn.XLOOKUP(A1356,'[1]Tissue Data'!$A:$A,'[1]Tissue Data'!$I:$I)</f>
        <v>gibbosus</v>
      </c>
      <c r="G1356" t="str">
        <f>_xlfn.XLOOKUP(A1356,'[1]Tissue Data'!$A:$A,'[1]Tissue Data'!J:J)</f>
        <v>U</v>
      </c>
      <c r="H1356" t="str">
        <f>_xlfn.XLOOKUP(A1356,'[1]Tissue Data'!$A:$A,'[1]Tissue Data'!K:K)</f>
        <v>Whole Body</v>
      </c>
      <c r="I1356">
        <f>_xlfn.XLOOKUP(A1356,'[1]Tissue Data'!$A:$A,'[1]Tissue Data'!L:L)</f>
        <v>7</v>
      </c>
      <c r="J1356">
        <f>_xlfn.XLOOKUP(A1356,'[1]Tissue Data'!$A:$A,'[1]Tissue Data'!M:M)</f>
        <v>10</v>
      </c>
      <c r="K1356" t="s">
        <v>16</v>
      </c>
      <c r="L1356" t="str">
        <f>_xlfn.XLOOKUP(K1356,[2]analyte_order!$B:$B,[2]analyte_order!$C:$C)</f>
        <v>335-67-1</v>
      </c>
      <c r="M1356">
        <f>_xlfn.XLOOKUP(L1356,[2]analyte_order!$C:$C,[2]analyte_order!$E:$E)</f>
        <v>5</v>
      </c>
      <c r="N1356">
        <v>0.96099999999999997</v>
      </c>
    </row>
    <row r="1357" spans="1:14">
      <c r="A1357" t="s">
        <v>239</v>
      </c>
      <c r="B1357" t="str">
        <f>_xlfn.XLOOKUP(A1357,'[1]Tissue Data'!$A:$A,'[1]Tissue Data'!$C:$C)</f>
        <v>Spill</v>
      </c>
      <c r="C1357" s="2">
        <f>_xlfn.XLOOKUP(A1357,'[1]Tissue Data'!$A:$A,'[1]Tissue Data'!$D:$D)</f>
        <v>44314</v>
      </c>
      <c r="D1357" s="2" t="str">
        <f>_xlfn.XLOOKUP(A1357,'[1]Tissue Data'!$A:$A,'[1]Tissue Data'!$F:$F)</f>
        <v>Pumpkinseed</v>
      </c>
      <c r="E1357" t="str">
        <f>_xlfn.XLOOKUP(A1357,'[1]Tissue Data'!$A:$A,'[1]Tissue Data'!$H:$H)</f>
        <v>Lepomis</v>
      </c>
      <c r="F1357" t="str">
        <f>_xlfn.XLOOKUP(A1357,'[1]Tissue Data'!$A:$A,'[1]Tissue Data'!$I:$I)</f>
        <v>gibbosus</v>
      </c>
      <c r="G1357" t="str">
        <f>_xlfn.XLOOKUP(A1357,'[1]Tissue Data'!$A:$A,'[1]Tissue Data'!J:J)</f>
        <v>U</v>
      </c>
      <c r="H1357" t="str">
        <f>_xlfn.XLOOKUP(A1357,'[1]Tissue Data'!$A:$A,'[1]Tissue Data'!K:K)</f>
        <v>Whole Body</v>
      </c>
      <c r="I1357">
        <f>_xlfn.XLOOKUP(A1357,'[1]Tissue Data'!$A:$A,'[1]Tissue Data'!L:L)</f>
        <v>7</v>
      </c>
      <c r="J1357">
        <f>_xlfn.XLOOKUP(A1357,'[1]Tissue Data'!$A:$A,'[1]Tissue Data'!M:M)</f>
        <v>10</v>
      </c>
      <c r="K1357" t="s">
        <v>17</v>
      </c>
      <c r="L1357" t="str">
        <f>_xlfn.XLOOKUP(K1357,[2]analyte_order!$B:$B,[2]analyte_order!$C:$C)</f>
        <v>375-95-1</v>
      </c>
      <c r="M1357">
        <f>_xlfn.XLOOKUP(L1357,[2]analyte_order!$C:$C,[2]analyte_order!$E:$E)</f>
        <v>6</v>
      </c>
      <c r="N1357">
        <v>3.56</v>
      </c>
    </row>
    <row r="1358" spans="1:14">
      <c r="A1358" t="s">
        <v>239</v>
      </c>
      <c r="B1358" t="str">
        <f>_xlfn.XLOOKUP(A1358,'[1]Tissue Data'!$A:$A,'[1]Tissue Data'!$C:$C)</f>
        <v>Spill</v>
      </c>
      <c r="C1358" s="2">
        <f>_xlfn.XLOOKUP(A1358,'[1]Tissue Data'!$A:$A,'[1]Tissue Data'!$D:$D)</f>
        <v>44314</v>
      </c>
      <c r="D1358" s="2" t="str">
        <f>_xlfn.XLOOKUP(A1358,'[1]Tissue Data'!$A:$A,'[1]Tissue Data'!$F:$F)</f>
        <v>Pumpkinseed</v>
      </c>
      <c r="E1358" t="str">
        <f>_xlfn.XLOOKUP(A1358,'[1]Tissue Data'!$A:$A,'[1]Tissue Data'!$H:$H)</f>
        <v>Lepomis</v>
      </c>
      <c r="F1358" t="str">
        <f>_xlfn.XLOOKUP(A1358,'[1]Tissue Data'!$A:$A,'[1]Tissue Data'!$I:$I)</f>
        <v>gibbosus</v>
      </c>
      <c r="G1358" t="str">
        <f>_xlfn.XLOOKUP(A1358,'[1]Tissue Data'!$A:$A,'[1]Tissue Data'!J:J)</f>
        <v>U</v>
      </c>
      <c r="H1358" t="str">
        <f>_xlfn.XLOOKUP(A1358,'[1]Tissue Data'!$A:$A,'[1]Tissue Data'!K:K)</f>
        <v>Whole Body</v>
      </c>
      <c r="I1358">
        <f>_xlfn.XLOOKUP(A1358,'[1]Tissue Data'!$A:$A,'[1]Tissue Data'!L:L)</f>
        <v>7</v>
      </c>
      <c r="J1358">
        <f>_xlfn.XLOOKUP(A1358,'[1]Tissue Data'!$A:$A,'[1]Tissue Data'!M:M)</f>
        <v>10</v>
      </c>
      <c r="K1358" t="s">
        <v>18</v>
      </c>
      <c r="L1358" t="str">
        <f>_xlfn.XLOOKUP(K1358,[2]analyte_order!$B:$B,[2]analyte_order!$C:$C)</f>
        <v>335-76-2</v>
      </c>
      <c r="M1358">
        <f>_xlfn.XLOOKUP(L1358,[2]analyte_order!$C:$C,[2]analyte_order!$E:$E)</f>
        <v>7</v>
      </c>
      <c r="N1358">
        <v>8.39</v>
      </c>
    </row>
    <row r="1359" spans="1:14">
      <c r="A1359" t="s">
        <v>239</v>
      </c>
      <c r="B1359" t="str">
        <f>_xlfn.XLOOKUP(A1359,'[1]Tissue Data'!$A:$A,'[1]Tissue Data'!$C:$C)</f>
        <v>Spill</v>
      </c>
      <c r="C1359" s="2">
        <f>_xlfn.XLOOKUP(A1359,'[1]Tissue Data'!$A:$A,'[1]Tissue Data'!$D:$D)</f>
        <v>44314</v>
      </c>
      <c r="D1359" s="2" t="str">
        <f>_xlfn.XLOOKUP(A1359,'[1]Tissue Data'!$A:$A,'[1]Tissue Data'!$F:$F)</f>
        <v>Pumpkinseed</v>
      </c>
      <c r="E1359" t="str">
        <f>_xlfn.XLOOKUP(A1359,'[1]Tissue Data'!$A:$A,'[1]Tissue Data'!$H:$H)</f>
        <v>Lepomis</v>
      </c>
      <c r="F1359" t="str">
        <f>_xlfn.XLOOKUP(A1359,'[1]Tissue Data'!$A:$A,'[1]Tissue Data'!$I:$I)</f>
        <v>gibbosus</v>
      </c>
      <c r="G1359" t="str">
        <f>_xlfn.XLOOKUP(A1359,'[1]Tissue Data'!$A:$A,'[1]Tissue Data'!J:J)</f>
        <v>U</v>
      </c>
      <c r="H1359" t="str">
        <f>_xlfn.XLOOKUP(A1359,'[1]Tissue Data'!$A:$A,'[1]Tissue Data'!K:K)</f>
        <v>Whole Body</v>
      </c>
      <c r="I1359">
        <f>_xlfn.XLOOKUP(A1359,'[1]Tissue Data'!$A:$A,'[1]Tissue Data'!L:L)</f>
        <v>7</v>
      </c>
      <c r="J1359">
        <f>_xlfn.XLOOKUP(A1359,'[1]Tissue Data'!$A:$A,'[1]Tissue Data'!M:M)</f>
        <v>10</v>
      </c>
      <c r="K1359" t="s">
        <v>19</v>
      </c>
      <c r="L1359" t="str">
        <f>_xlfn.XLOOKUP(K1359,[2]analyte_order!$B:$B,[2]analyte_order!$C:$C)</f>
        <v>2058-94-8</v>
      </c>
      <c r="M1359">
        <f>_xlfn.XLOOKUP(L1359,[2]analyte_order!$C:$C,[2]analyte_order!$E:$E)</f>
        <v>8</v>
      </c>
      <c r="N1359">
        <v>12.8</v>
      </c>
    </row>
    <row r="1360" spans="1:14">
      <c r="A1360" t="s">
        <v>239</v>
      </c>
      <c r="B1360" t="str">
        <f>_xlfn.XLOOKUP(A1360,'[1]Tissue Data'!$A:$A,'[1]Tissue Data'!$C:$C)</f>
        <v>Spill</v>
      </c>
      <c r="C1360" s="2">
        <f>_xlfn.XLOOKUP(A1360,'[1]Tissue Data'!$A:$A,'[1]Tissue Data'!$D:$D)</f>
        <v>44314</v>
      </c>
      <c r="D1360" s="2" t="str">
        <f>_xlfn.XLOOKUP(A1360,'[1]Tissue Data'!$A:$A,'[1]Tissue Data'!$F:$F)</f>
        <v>Pumpkinseed</v>
      </c>
      <c r="E1360" t="str">
        <f>_xlfn.XLOOKUP(A1360,'[1]Tissue Data'!$A:$A,'[1]Tissue Data'!$H:$H)</f>
        <v>Lepomis</v>
      </c>
      <c r="F1360" t="str">
        <f>_xlfn.XLOOKUP(A1360,'[1]Tissue Data'!$A:$A,'[1]Tissue Data'!$I:$I)</f>
        <v>gibbosus</v>
      </c>
      <c r="G1360" t="str">
        <f>_xlfn.XLOOKUP(A1360,'[1]Tissue Data'!$A:$A,'[1]Tissue Data'!J:J)</f>
        <v>U</v>
      </c>
      <c r="H1360" t="str">
        <f>_xlfn.XLOOKUP(A1360,'[1]Tissue Data'!$A:$A,'[1]Tissue Data'!K:K)</f>
        <v>Whole Body</v>
      </c>
      <c r="I1360">
        <f>_xlfn.XLOOKUP(A1360,'[1]Tissue Data'!$A:$A,'[1]Tissue Data'!L:L)</f>
        <v>7</v>
      </c>
      <c r="J1360">
        <f>_xlfn.XLOOKUP(A1360,'[1]Tissue Data'!$A:$A,'[1]Tissue Data'!M:M)</f>
        <v>10</v>
      </c>
      <c r="K1360" t="s">
        <v>20</v>
      </c>
      <c r="L1360" t="str">
        <f>_xlfn.XLOOKUP(K1360,[2]analyte_order!$B:$B,[2]analyte_order!$C:$C)</f>
        <v>307-55-1</v>
      </c>
      <c r="M1360">
        <f>_xlfn.XLOOKUP(L1360,[2]analyte_order!$C:$C,[2]analyte_order!$E:$E)</f>
        <v>9</v>
      </c>
      <c r="N1360">
        <v>5.492239903601695E-2</v>
      </c>
    </row>
    <row r="1361" spans="1:14">
      <c r="A1361" t="s">
        <v>239</v>
      </c>
      <c r="B1361" t="str">
        <f>_xlfn.XLOOKUP(A1361,'[1]Tissue Data'!$A:$A,'[1]Tissue Data'!$C:$C)</f>
        <v>Spill</v>
      </c>
      <c r="C1361" s="2">
        <f>_xlfn.XLOOKUP(A1361,'[1]Tissue Data'!$A:$A,'[1]Tissue Data'!$D:$D)</f>
        <v>44314</v>
      </c>
      <c r="D1361" s="2" t="str">
        <f>_xlfn.XLOOKUP(A1361,'[1]Tissue Data'!$A:$A,'[1]Tissue Data'!$F:$F)</f>
        <v>Pumpkinseed</v>
      </c>
      <c r="E1361" t="str">
        <f>_xlfn.XLOOKUP(A1361,'[1]Tissue Data'!$A:$A,'[1]Tissue Data'!$H:$H)</f>
        <v>Lepomis</v>
      </c>
      <c r="F1361" t="str">
        <f>_xlfn.XLOOKUP(A1361,'[1]Tissue Data'!$A:$A,'[1]Tissue Data'!$I:$I)</f>
        <v>gibbosus</v>
      </c>
      <c r="G1361" t="str">
        <f>_xlfn.XLOOKUP(A1361,'[1]Tissue Data'!$A:$A,'[1]Tissue Data'!J:J)</f>
        <v>U</v>
      </c>
      <c r="H1361" t="str">
        <f>_xlfn.XLOOKUP(A1361,'[1]Tissue Data'!$A:$A,'[1]Tissue Data'!K:K)</f>
        <v>Whole Body</v>
      </c>
      <c r="I1361">
        <f>_xlfn.XLOOKUP(A1361,'[1]Tissue Data'!$A:$A,'[1]Tissue Data'!L:L)</f>
        <v>7</v>
      </c>
      <c r="J1361">
        <f>_xlfn.XLOOKUP(A1361,'[1]Tissue Data'!$A:$A,'[1]Tissue Data'!M:M)</f>
        <v>10</v>
      </c>
      <c r="K1361" t="s">
        <v>21</v>
      </c>
      <c r="L1361" t="str">
        <f>_xlfn.XLOOKUP(K1361,[2]analyte_order!$B:$B,[2]analyte_order!$C:$C)</f>
        <v>72629-94-8</v>
      </c>
      <c r="M1361">
        <f>_xlfn.XLOOKUP(L1361,[2]analyte_order!$C:$C,[2]analyte_order!$E:$E)</f>
        <v>10</v>
      </c>
      <c r="N1361">
        <v>5.74</v>
      </c>
    </row>
    <row r="1362" spans="1:14">
      <c r="A1362" t="s">
        <v>239</v>
      </c>
      <c r="B1362" t="str">
        <f>_xlfn.XLOOKUP(A1362,'[1]Tissue Data'!$A:$A,'[1]Tissue Data'!$C:$C)</f>
        <v>Spill</v>
      </c>
      <c r="C1362" s="2">
        <f>_xlfn.XLOOKUP(A1362,'[1]Tissue Data'!$A:$A,'[1]Tissue Data'!$D:$D)</f>
        <v>44314</v>
      </c>
      <c r="D1362" s="2" t="str">
        <f>_xlfn.XLOOKUP(A1362,'[1]Tissue Data'!$A:$A,'[1]Tissue Data'!$F:$F)</f>
        <v>Pumpkinseed</v>
      </c>
      <c r="E1362" t="str">
        <f>_xlfn.XLOOKUP(A1362,'[1]Tissue Data'!$A:$A,'[1]Tissue Data'!$H:$H)</f>
        <v>Lepomis</v>
      </c>
      <c r="F1362" t="str">
        <f>_xlfn.XLOOKUP(A1362,'[1]Tissue Data'!$A:$A,'[1]Tissue Data'!$I:$I)</f>
        <v>gibbosus</v>
      </c>
      <c r="G1362" t="str">
        <f>_xlfn.XLOOKUP(A1362,'[1]Tissue Data'!$A:$A,'[1]Tissue Data'!J:J)</f>
        <v>U</v>
      </c>
      <c r="H1362" t="str">
        <f>_xlfn.XLOOKUP(A1362,'[1]Tissue Data'!$A:$A,'[1]Tissue Data'!K:K)</f>
        <v>Whole Body</v>
      </c>
      <c r="I1362">
        <f>_xlfn.XLOOKUP(A1362,'[1]Tissue Data'!$A:$A,'[1]Tissue Data'!L:L)</f>
        <v>7</v>
      </c>
      <c r="J1362">
        <f>_xlfn.XLOOKUP(A1362,'[1]Tissue Data'!$A:$A,'[1]Tissue Data'!M:M)</f>
        <v>10</v>
      </c>
      <c r="K1362" t="s">
        <v>22</v>
      </c>
      <c r="L1362" t="str">
        <f>_xlfn.XLOOKUP(K1362,[2]analyte_order!$B:$B,[2]analyte_order!$C:$C)</f>
        <v>376-06-7</v>
      </c>
      <c r="M1362">
        <f>_xlfn.XLOOKUP(L1362,[2]analyte_order!$C:$C,[2]analyte_order!$E:$E)</f>
        <v>11</v>
      </c>
      <c r="N1362">
        <v>22.3</v>
      </c>
    </row>
    <row r="1363" spans="1:14">
      <c r="A1363" t="s">
        <v>239</v>
      </c>
      <c r="B1363" t="str">
        <f>_xlfn.XLOOKUP(A1363,'[1]Tissue Data'!$A:$A,'[1]Tissue Data'!$C:$C)</f>
        <v>Spill</v>
      </c>
      <c r="C1363" s="2">
        <f>_xlfn.XLOOKUP(A1363,'[1]Tissue Data'!$A:$A,'[1]Tissue Data'!$D:$D)</f>
        <v>44314</v>
      </c>
      <c r="D1363" s="2" t="str">
        <f>_xlfn.XLOOKUP(A1363,'[1]Tissue Data'!$A:$A,'[1]Tissue Data'!$F:$F)</f>
        <v>Pumpkinseed</v>
      </c>
      <c r="E1363" t="str">
        <f>_xlfn.XLOOKUP(A1363,'[1]Tissue Data'!$A:$A,'[1]Tissue Data'!$H:$H)</f>
        <v>Lepomis</v>
      </c>
      <c r="F1363" t="str">
        <f>_xlfn.XLOOKUP(A1363,'[1]Tissue Data'!$A:$A,'[1]Tissue Data'!$I:$I)</f>
        <v>gibbosus</v>
      </c>
      <c r="G1363" t="str">
        <f>_xlfn.XLOOKUP(A1363,'[1]Tissue Data'!$A:$A,'[1]Tissue Data'!J:J)</f>
        <v>U</v>
      </c>
      <c r="H1363" t="str">
        <f>_xlfn.XLOOKUP(A1363,'[1]Tissue Data'!$A:$A,'[1]Tissue Data'!K:K)</f>
        <v>Whole Body</v>
      </c>
      <c r="I1363">
        <f>_xlfn.XLOOKUP(A1363,'[1]Tissue Data'!$A:$A,'[1]Tissue Data'!L:L)</f>
        <v>7</v>
      </c>
      <c r="J1363">
        <f>_xlfn.XLOOKUP(A1363,'[1]Tissue Data'!$A:$A,'[1]Tissue Data'!M:M)</f>
        <v>10</v>
      </c>
      <c r="K1363" t="s">
        <v>23</v>
      </c>
      <c r="L1363" t="str">
        <f>_xlfn.XLOOKUP(K1363,[2]analyte_order!$B:$B,[2]analyte_order!$C:$C)</f>
        <v>67905-19-5</v>
      </c>
      <c r="M1363">
        <f>_xlfn.XLOOKUP(L1363,[2]analyte_order!$C:$C,[2]analyte_order!$E:$E)</f>
        <v>12</v>
      </c>
      <c r="N1363">
        <v>0.90100000000000002</v>
      </c>
    </row>
    <row r="1364" spans="1:14">
      <c r="A1364" t="s">
        <v>239</v>
      </c>
      <c r="B1364" t="str">
        <f>_xlfn.XLOOKUP(A1364,'[1]Tissue Data'!$A:$A,'[1]Tissue Data'!$C:$C)</f>
        <v>Spill</v>
      </c>
      <c r="C1364" s="2">
        <f>_xlfn.XLOOKUP(A1364,'[1]Tissue Data'!$A:$A,'[1]Tissue Data'!$D:$D)</f>
        <v>44314</v>
      </c>
      <c r="D1364" s="2" t="str">
        <f>_xlfn.XLOOKUP(A1364,'[1]Tissue Data'!$A:$A,'[1]Tissue Data'!$F:$F)</f>
        <v>Pumpkinseed</v>
      </c>
      <c r="E1364" t="str">
        <f>_xlfn.XLOOKUP(A1364,'[1]Tissue Data'!$A:$A,'[1]Tissue Data'!$H:$H)</f>
        <v>Lepomis</v>
      </c>
      <c r="F1364" t="str">
        <f>_xlfn.XLOOKUP(A1364,'[1]Tissue Data'!$A:$A,'[1]Tissue Data'!$I:$I)</f>
        <v>gibbosus</v>
      </c>
      <c r="G1364" t="str">
        <f>_xlfn.XLOOKUP(A1364,'[1]Tissue Data'!$A:$A,'[1]Tissue Data'!J:J)</f>
        <v>U</v>
      </c>
      <c r="H1364" t="str">
        <f>_xlfn.XLOOKUP(A1364,'[1]Tissue Data'!$A:$A,'[1]Tissue Data'!K:K)</f>
        <v>Whole Body</v>
      </c>
      <c r="I1364">
        <f>_xlfn.XLOOKUP(A1364,'[1]Tissue Data'!$A:$A,'[1]Tissue Data'!L:L)</f>
        <v>7</v>
      </c>
      <c r="J1364">
        <f>_xlfn.XLOOKUP(A1364,'[1]Tissue Data'!$A:$A,'[1]Tissue Data'!M:M)</f>
        <v>10</v>
      </c>
      <c r="K1364" t="s">
        <v>24</v>
      </c>
      <c r="L1364" t="str">
        <f>_xlfn.XLOOKUP(K1364,[2]analyte_order!$B:$B,[2]analyte_order!$C:$C)</f>
        <v>423-41-6</v>
      </c>
      <c r="M1364">
        <f>_xlfn.XLOOKUP(L1364,[2]analyte_order!$C:$C,[2]analyte_order!$E:$E)</f>
        <v>53</v>
      </c>
      <c r="N1364">
        <v>5.2481374989406783E-2</v>
      </c>
    </row>
    <row r="1365" spans="1:14">
      <c r="A1365" t="s">
        <v>239</v>
      </c>
      <c r="B1365" t="str">
        <f>_xlfn.XLOOKUP(A1365,'[1]Tissue Data'!$A:$A,'[1]Tissue Data'!$C:$C)</f>
        <v>Spill</v>
      </c>
      <c r="C1365" s="2">
        <f>_xlfn.XLOOKUP(A1365,'[1]Tissue Data'!$A:$A,'[1]Tissue Data'!$D:$D)</f>
        <v>44314</v>
      </c>
      <c r="D1365" s="2" t="str">
        <f>_xlfn.XLOOKUP(A1365,'[1]Tissue Data'!$A:$A,'[1]Tissue Data'!$F:$F)</f>
        <v>Pumpkinseed</v>
      </c>
      <c r="E1365" t="str">
        <f>_xlfn.XLOOKUP(A1365,'[1]Tissue Data'!$A:$A,'[1]Tissue Data'!$H:$H)</f>
        <v>Lepomis</v>
      </c>
      <c r="F1365" t="str">
        <f>_xlfn.XLOOKUP(A1365,'[1]Tissue Data'!$A:$A,'[1]Tissue Data'!$I:$I)</f>
        <v>gibbosus</v>
      </c>
      <c r="G1365" t="str">
        <f>_xlfn.XLOOKUP(A1365,'[1]Tissue Data'!$A:$A,'[1]Tissue Data'!J:J)</f>
        <v>U</v>
      </c>
      <c r="H1365" t="str">
        <f>_xlfn.XLOOKUP(A1365,'[1]Tissue Data'!$A:$A,'[1]Tissue Data'!K:K)</f>
        <v>Whole Body</v>
      </c>
      <c r="I1365">
        <f>_xlfn.XLOOKUP(A1365,'[1]Tissue Data'!$A:$A,'[1]Tissue Data'!L:L)</f>
        <v>7</v>
      </c>
      <c r="J1365">
        <f>_xlfn.XLOOKUP(A1365,'[1]Tissue Data'!$A:$A,'[1]Tissue Data'!M:M)</f>
        <v>10</v>
      </c>
      <c r="K1365" t="s">
        <v>25</v>
      </c>
      <c r="L1365" t="str">
        <f>_xlfn.XLOOKUP(K1365,[2]analyte_order!$B:$B,[2]analyte_order!$C:$C)</f>
        <v>375-73-5</v>
      </c>
      <c r="M1365">
        <f>_xlfn.XLOOKUP(L1365,[2]analyte_order!$C:$C,[2]analyte_order!$E:$E)</f>
        <v>14</v>
      </c>
      <c r="N1365">
        <v>0.15177115645465805</v>
      </c>
    </row>
    <row r="1366" spans="1:14">
      <c r="A1366" t="s">
        <v>239</v>
      </c>
      <c r="B1366" t="str">
        <f>_xlfn.XLOOKUP(A1366,'[1]Tissue Data'!$A:$A,'[1]Tissue Data'!$C:$C)</f>
        <v>Spill</v>
      </c>
      <c r="C1366" s="2">
        <f>_xlfn.XLOOKUP(A1366,'[1]Tissue Data'!$A:$A,'[1]Tissue Data'!$D:$D)</f>
        <v>44314</v>
      </c>
      <c r="D1366" s="2" t="str">
        <f>_xlfn.XLOOKUP(A1366,'[1]Tissue Data'!$A:$A,'[1]Tissue Data'!$F:$F)</f>
        <v>Pumpkinseed</v>
      </c>
      <c r="E1366" t="str">
        <f>_xlfn.XLOOKUP(A1366,'[1]Tissue Data'!$A:$A,'[1]Tissue Data'!$H:$H)</f>
        <v>Lepomis</v>
      </c>
      <c r="F1366" t="str">
        <f>_xlfn.XLOOKUP(A1366,'[1]Tissue Data'!$A:$A,'[1]Tissue Data'!$I:$I)</f>
        <v>gibbosus</v>
      </c>
      <c r="G1366" t="str">
        <f>_xlfn.XLOOKUP(A1366,'[1]Tissue Data'!$A:$A,'[1]Tissue Data'!J:J)</f>
        <v>U</v>
      </c>
      <c r="H1366" t="str">
        <f>_xlfn.XLOOKUP(A1366,'[1]Tissue Data'!$A:$A,'[1]Tissue Data'!K:K)</f>
        <v>Whole Body</v>
      </c>
      <c r="I1366">
        <f>_xlfn.XLOOKUP(A1366,'[1]Tissue Data'!$A:$A,'[1]Tissue Data'!L:L)</f>
        <v>7</v>
      </c>
      <c r="J1366">
        <f>_xlfn.XLOOKUP(A1366,'[1]Tissue Data'!$A:$A,'[1]Tissue Data'!M:M)</f>
        <v>10</v>
      </c>
      <c r="K1366" t="s">
        <v>26</v>
      </c>
      <c r="L1366" t="str">
        <f>_xlfn.XLOOKUP(K1366,[2]analyte_order!$B:$B,[2]analyte_order!$C:$C)</f>
        <v>2706-91-4</v>
      </c>
      <c r="M1366">
        <f>_xlfn.XLOOKUP(L1366,[2]analyte_order!$C:$C,[2]analyte_order!$E:$E)</f>
        <v>15</v>
      </c>
      <c r="N1366">
        <v>0.29699999999999999</v>
      </c>
    </row>
    <row r="1367" spans="1:14">
      <c r="A1367" t="s">
        <v>239</v>
      </c>
      <c r="B1367" t="str">
        <f>_xlfn.XLOOKUP(A1367,'[1]Tissue Data'!$A:$A,'[1]Tissue Data'!$C:$C)</f>
        <v>Spill</v>
      </c>
      <c r="C1367" s="2">
        <f>_xlfn.XLOOKUP(A1367,'[1]Tissue Data'!$A:$A,'[1]Tissue Data'!$D:$D)</f>
        <v>44314</v>
      </c>
      <c r="D1367" s="2" t="str">
        <f>_xlfn.XLOOKUP(A1367,'[1]Tissue Data'!$A:$A,'[1]Tissue Data'!$F:$F)</f>
        <v>Pumpkinseed</v>
      </c>
      <c r="E1367" t="str">
        <f>_xlfn.XLOOKUP(A1367,'[1]Tissue Data'!$A:$A,'[1]Tissue Data'!$H:$H)</f>
        <v>Lepomis</v>
      </c>
      <c r="F1367" t="str">
        <f>_xlfn.XLOOKUP(A1367,'[1]Tissue Data'!$A:$A,'[1]Tissue Data'!$I:$I)</f>
        <v>gibbosus</v>
      </c>
      <c r="G1367" t="str">
        <f>_xlfn.XLOOKUP(A1367,'[1]Tissue Data'!$A:$A,'[1]Tissue Data'!J:J)</f>
        <v>U</v>
      </c>
      <c r="H1367" t="str">
        <f>_xlfn.XLOOKUP(A1367,'[1]Tissue Data'!$A:$A,'[1]Tissue Data'!K:K)</f>
        <v>Whole Body</v>
      </c>
      <c r="I1367">
        <f>_xlfn.XLOOKUP(A1367,'[1]Tissue Data'!$A:$A,'[1]Tissue Data'!L:L)</f>
        <v>7</v>
      </c>
      <c r="J1367">
        <f>_xlfn.XLOOKUP(A1367,'[1]Tissue Data'!$A:$A,'[1]Tissue Data'!M:M)</f>
        <v>10</v>
      </c>
      <c r="K1367" t="s">
        <v>27</v>
      </c>
      <c r="L1367" t="str">
        <f>_xlfn.XLOOKUP(K1367,[2]analyte_order!$B:$B,[2]analyte_order!$C:$C)</f>
        <v>355-46-4</v>
      </c>
      <c r="M1367">
        <f>_xlfn.XLOOKUP(L1367,[2]analyte_order!$C:$C,[2]analyte_order!$E:$E)</f>
        <v>16</v>
      </c>
      <c r="N1367">
        <v>39.200000000000003</v>
      </c>
    </row>
    <row r="1368" spans="1:14">
      <c r="A1368" t="s">
        <v>239</v>
      </c>
      <c r="B1368" t="str">
        <f>_xlfn.XLOOKUP(A1368,'[1]Tissue Data'!$A:$A,'[1]Tissue Data'!$C:$C)</f>
        <v>Spill</v>
      </c>
      <c r="C1368" s="2">
        <f>_xlfn.XLOOKUP(A1368,'[1]Tissue Data'!$A:$A,'[1]Tissue Data'!$D:$D)</f>
        <v>44314</v>
      </c>
      <c r="D1368" s="2" t="str">
        <f>_xlfn.XLOOKUP(A1368,'[1]Tissue Data'!$A:$A,'[1]Tissue Data'!$F:$F)</f>
        <v>Pumpkinseed</v>
      </c>
      <c r="E1368" t="str">
        <f>_xlfn.XLOOKUP(A1368,'[1]Tissue Data'!$A:$A,'[1]Tissue Data'!$H:$H)</f>
        <v>Lepomis</v>
      </c>
      <c r="F1368" t="str">
        <f>_xlfn.XLOOKUP(A1368,'[1]Tissue Data'!$A:$A,'[1]Tissue Data'!$I:$I)</f>
        <v>gibbosus</v>
      </c>
      <c r="G1368" t="str">
        <f>_xlfn.XLOOKUP(A1368,'[1]Tissue Data'!$A:$A,'[1]Tissue Data'!J:J)</f>
        <v>U</v>
      </c>
      <c r="H1368" t="str">
        <f>_xlfn.XLOOKUP(A1368,'[1]Tissue Data'!$A:$A,'[1]Tissue Data'!K:K)</f>
        <v>Whole Body</v>
      </c>
      <c r="I1368">
        <f>_xlfn.XLOOKUP(A1368,'[1]Tissue Data'!$A:$A,'[1]Tissue Data'!L:L)</f>
        <v>7</v>
      </c>
      <c r="J1368">
        <f>_xlfn.XLOOKUP(A1368,'[1]Tissue Data'!$A:$A,'[1]Tissue Data'!M:M)</f>
        <v>10</v>
      </c>
      <c r="K1368" t="s">
        <v>28</v>
      </c>
      <c r="L1368" t="str">
        <f>_xlfn.XLOOKUP(K1368,[2]analyte_order!$B:$B,[2]analyte_order!$C:$C)</f>
        <v>375-92-8</v>
      </c>
      <c r="M1368">
        <f>_xlfn.XLOOKUP(L1368,[2]analyte_order!$C:$C,[2]analyte_order!$E:$E)</f>
        <v>17</v>
      </c>
      <c r="N1368">
        <v>2.59</v>
      </c>
    </row>
    <row r="1369" spans="1:14">
      <c r="A1369" t="s">
        <v>239</v>
      </c>
      <c r="B1369" t="str">
        <f>_xlfn.XLOOKUP(A1369,'[1]Tissue Data'!$A:$A,'[1]Tissue Data'!$C:$C)</f>
        <v>Spill</v>
      </c>
      <c r="C1369" s="2">
        <f>_xlfn.XLOOKUP(A1369,'[1]Tissue Data'!$A:$A,'[1]Tissue Data'!$D:$D)</f>
        <v>44314</v>
      </c>
      <c r="D1369" s="2" t="str">
        <f>_xlfn.XLOOKUP(A1369,'[1]Tissue Data'!$A:$A,'[1]Tissue Data'!$F:$F)</f>
        <v>Pumpkinseed</v>
      </c>
      <c r="E1369" t="str">
        <f>_xlfn.XLOOKUP(A1369,'[1]Tissue Data'!$A:$A,'[1]Tissue Data'!$H:$H)</f>
        <v>Lepomis</v>
      </c>
      <c r="F1369" t="str">
        <f>_xlfn.XLOOKUP(A1369,'[1]Tissue Data'!$A:$A,'[1]Tissue Data'!$I:$I)</f>
        <v>gibbosus</v>
      </c>
      <c r="G1369" t="str">
        <f>_xlfn.XLOOKUP(A1369,'[1]Tissue Data'!$A:$A,'[1]Tissue Data'!J:J)</f>
        <v>U</v>
      </c>
      <c r="H1369" t="str">
        <f>_xlfn.XLOOKUP(A1369,'[1]Tissue Data'!$A:$A,'[1]Tissue Data'!K:K)</f>
        <v>Whole Body</v>
      </c>
      <c r="I1369">
        <f>_xlfn.XLOOKUP(A1369,'[1]Tissue Data'!$A:$A,'[1]Tissue Data'!L:L)</f>
        <v>7</v>
      </c>
      <c r="J1369">
        <f>_xlfn.XLOOKUP(A1369,'[1]Tissue Data'!$A:$A,'[1]Tissue Data'!M:M)</f>
        <v>10</v>
      </c>
      <c r="K1369" t="s">
        <v>29</v>
      </c>
      <c r="L1369" t="str">
        <f>_xlfn.XLOOKUP(K1369,[2]analyte_order!$B:$B,[2]analyte_order!$C:$C)</f>
        <v>1763-23-1</v>
      </c>
      <c r="M1369">
        <f>_xlfn.XLOOKUP(L1369,[2]analyte_order!$C:$C,[2]analyte_order!$E:$E)</f>
        <v>18</v>
      </c>
      <c r="N1369">
        <v>1750</v>
      </c>
    </row>
    <row r="1370" spans="1:14">
      <c r="A1370" t="s">
        <v>239</v>
      </c>
      <c r="B1370" t="str">
        <f>_xlfn.XLOOKUP(A1370,'[1]Tissue Data'!$A:$A,'[1]Tissue Data'!$C:$C)</f>
        <v>Spill</v>
      </c>
      <c r="C1370" s="2">
        <f>_xlfn.XLOOKUP(A1370,'[1]Tissue Data'!$A:$A,'[1]Tissue Data'!$D:$D)</f>
        <v>44314</v>
      </c>
      <c r="D1370" s="2" t="str">
        <f>_xlfn.XLOOKUP(A1370,'[1]Tissue Data'!$A:$A,'[1]Tissue Data'!$F:$F)</f>
        <v>Pumpkinseed</v>
      </c>
      <c r="E1370" t="str">
        <f>_xlfn.XLOOKUP(A1370,'[1]Tissue Data'!$A:$A,'[1]Tissue Data'!$H:$H)</f>
        <v>Lepomis</v>
      </c>
      <c r="F1370" t="str">
        <f>_xlfn.XLOOKUP(A1370,'[1]Tissue Data'!$A:$A,'[1]Tissue Data'!$I:$I)</f>
        <v>gibbosus</v>
      </c>
      <c r="G1370" t="str">
        <f>_xlfn.XLOOKUP(A1370,'[1]Tissue Data'!$A:$A,'[1]Tissue Data'!J:J)</f>
        <v>U</v>
      </c>
      <c r="H1370" t="str">
        <f>_xlfn.XLOOKUP(A1370,'[1]Tissue Data'!$A:$A,'[1]Tissue Data'!K:K)</f>
        <v>Whole Body</v>
      </c>
      <c r="I1370">
        <f>_xlfn.XLOOKUP(A1370,'[1]Tissue Data'!$A:$A,'[1]Tissue Data'!L:L)</f>
        <v>7</v>
      </c>
      <c r="J1370">
        <f>_xlfn.XLOOKUP(A1370,'[1]Tissue Data'!$A:$A,'[1]Tissue Data'!M:M)</f>
        <v>10</v>
      </c>
      <c r="K1370" t="s">
        <v>30</v>
      </c>
      <c r="L1370" t="str">
        <f>_xlfn.XLOOKUP(K1370,[2]analyte_order!$B:$B,[2]analyte_order!$C:$C)</f>
        <v>68259-12-1</v>
      </c>
      <c r="M1370">
        <f>_xlfn.XLOOKUP(L1370,[2]analyte_order!$C:$C,[2]analyte_order!$E:$E)</f>
        <v>19</v>
      </c>
      <c r="N1370">
        <v>5.63</v>
      </c>
    </row>
    <row r="1371" spans="1:14">
      <c r="A1371" t="s">
        <v>239</v>
      </c>
      <c r="B1371" t="str">
        <f>_xlfn.XLOOKUP(A1371,'[1]Tissue Data'!$A:$A,'[1]Tissue Data'!$C:$C)</f>
        <v>Spill</v>
      </c>
      <c r="C1371" s="2">
        <f>_xlfn.XLOOKUP(A1371,'[1]Tissue Data'!$A:$A,'[1]Tissue Data'!$D:$D)</f>
        <v>44314</v>
      </c>
      <c r="D1371" s="2" t="str">
        <f>_xlfn.XLOOKUP(A1371,'[1]Tissue Data'!$A:$A,'[1]Tissue Data'!$F:$F)</f>
        <v>Pumpkinseed</v>
      </c>
      <c r="E1371" t="str">
        <f>_xlfn.XLOOKUP(A1371,'[1]Tissue Data'!$A:$A,'[1]Tissue Data'!$H:$H)</f>
        <v>Lepomis</v>
      </c>
      <c r="F1371" t="str">
        <f>_xlfn.XLOOKUP(A1371,'[1]Tissue Data'!$A:$A,'[1]Tissue Data'!$I:$I)</f>
        <v>gibbosus</v>
      </c>
      <c r="G1371" t="str">
        <f>_xlfn.XLOOKUP(A1371,'[1]Tissue Data'!$A:$A,'[1]Tissue Data'!J:J)</f>
        <v>U</v>
      </c>
      <c r="H1371" t="str">
        <f>_xlfn.XLOOKUP(A1371,'[1]Tissue Data'!$A:$A,'[1]Tissue Data'!K:K)</f>
        <v>Whole Body</v>
      </c>
      <c r="I1371">
        <f>_xlfn.XLOOKUP(A1371,'[1]Tissue Data'!$A:$A,'[1]Tissue Data'!L:L)</f>
        <v>7</v>
      </c>
      <c r="J1371">
        <f>_xlfn.XLOOKUP(A1371,'[1]Tissue Data'!$A:$A,'[1]Tissue Data'!M:M)</f>
        <v>10</v>
      </c>
      <c r="K1371" t="s">
        <v>31</v>
      </c>
      <c r="L1371" t="str">
        <f>_xlfn.XLOOKUP(K1371,[2]analyte_order!$B:$B,[2]analyte_order!$C:$C)</f>
        <v>335-77-3</v>
      </c>
      <c r="M1371">
        <f>_xlfn.XLOOKUP(L1371,[2]analyte_order!$C:$C,[2]analyte_order!$E:$E)</f>
        <v>20</v>
      </c>
      <c r="N1371">
        <v>6.24</v>
      </c>
    </row>
    <row r="1372" spans="1:14">
      <c r="A1372" t="s">
        <v>239</v>
      </c>
      <c r="B1372" t="str">
        <f>_xlfn.XLOOKUP(A1372,'[1]Tissue Data'!$A:$A,'[1]Tissue Data'!$C:$C)</f>
        <v>Spill</v>
      </c>
      <c r="C1372" s="2">
        <f>_xlfn.XLOOKUP(A1372,'[1]Tissue Data'!$A:$A,'[1]Tissue Data'!$D:$D)</f>
        <v>44314</v>
      </c>
      <c r="D1372" s="2" t="str">
        <f>_xlfn.XLOOKUP(A1372,'[1]Tissue Data'!$A:$A,'[1]Tissue Data'!$F:$F)</f>
        <v>Pumpkinseed</v>
      </c>
      <c r="E1372" t="str">
        <f>_xlfn.XLOOKUP(A1372,'[1]Tissue Data'!$A:$A,'[1]Tissue Data'!$H:$H)</f>
        <v>Lepomis</v>
      </c>
      <c r="F1372" t="str">
        <f>_xlfn.XLOOKUP(A1372,'[1]Tissue Data'!$A:$A,'[1]Tissue Data'!$I:$I)</f>
        <v>gibbosus</v>
      </c>
      <c r="G1372" t="str">
        <f>_xlfn.XLOOKUP(A1372,'[1]Tissue Data'!$A:$A,'[1]Tissue Data'!J:J)</f>
        <v>U</v>
      </c>
      <c r="H1372" t="str">
        <f>_xlfn.XLOOKUP(A1372,'[1]Tissue Data'!$A:$A,'[1]Tissue Data'!K:K)</f>
        <v>Whole Body</v>
      </c>
      <c r="I1372">
        <f>_xlfn.XLOOKUP(A1372,'[1]Tissue Data'!$A:$A,'[1]Tissue Data'!L:L)</f>
        <v>7</v>
      </c>
      <c r="J1372">
        <f>_xlfn.XLOOKUP(A1372,'[1]Tissue Data'!$A:$A,'[1]Tissue Data'!M:M)</f>
        <v>10</v>
      </c>
      <c r="K1372" t="s">
        <v>32</v>
      </c>
      <c r="L1372" t="str">
        <f>_xlfn.XLOOKUP(K1372,[2]analyte_order!$B:$B,[2]analyte_order!$C:$C)</f>
        <v>79780-39-5</v>
      </c>
      <c r="M1372">
        <f>_xlfn.XLOOKUP(L1372,[2]analyte_order!$C:$C,[2]analyte_order!$E:$E)</f>
        <v>21</v>
      </c>
      <c r="N1372">
        <v>3.09</v>
      </c>
    </row>
    <row r="1373" spans="1:14">
      <c r="A1373" t="s">
        <v>239</v>
      </c>
      <c r="B1373" t="str">
        <f>_xlfn.XLOOKUP(A1373,'[1]Tissue Data'!$A:$A,'[1]Tissue Data'!$C:$C)</f>
        <v>Spill</v>
      </c>
      <c r="C1373" s="2">
        <f>_xlfn.XLOOKUP(A1373,'[1]Tissue Data'!$A:$A,'[1]Tissue Data'!$D:$D)</f>
        <v>44314</v>
      </c>
      <c r="D1373" s="2" t="str">
        <f>_xlfn.XLOOKUP(A1373,'[1]Tissue Data'!$A:$A,'[1]Tissue Data'!$F:$F)</f>
        <v>Pumpkinseed</v>
      </c>
      <c r="E1373" t="str">
        <f>_xlfn.XLOOKUP(A1373,'[1]Tissue Data'!$A:$A,'[1]Tissue Data'!$H:$H)</f>
        <v>Lepomis</v>
      </c>
      <c r="F1373" t="str">
        <f>_xlfn.XLOOKUP(A1373,'[1]Tissue Data'!$A:$A,'[1]Tissue Data'!$I:$I)</f>
        <v>gibbosus</v>
      </c>
      <c r="G1373" t="str">
        <f>_xlfn.XLOOKUP(A1373,'[1]Tissue Data'!$A:$A,'[1]Tissue Data'!J:J)</f>
        <v>U</v>
      </c>
      <c r="H1373" t="str">
        <f>_xlfn.XLOOKUP(A1373,'[1]Tissue Data'!$A:$A,'[1]Tissue Data'!K:K)</f>
        <v>Whole Body</v>
      </c>
      <c r="I1373">
        <f>_xlfn.XLOOKUP(A1373,'[1]Tissue Data'!$A:$A,'[1]Tissue Data'!L:L)</f>
        <v>7</v>
      </c>
      <c r="J1373">
        <f>_xlfn.XLOOKUP(A1373,'[1]Tissue Data'!$A:$A,'[1]Tissue Data'!M:M)</f>
        <v>10</v>
      </c>
      <c r="K1373" t="s">
        <v>33</v>
      </c>
      <c r="L1373" t="str">
        <f>_xlfn.XLOOKUP(K1373,[2]analyte_order!$B:$B,[2]analyte_order!$C:$C)</f>
        <v>777011-38-8</v>
      </c>
      <c r="M1373">
        <f>_xlfn.XLOOKUP(L1373,[2]analyte_order!$C:$C,[2]analyte_order!$E:$E)</f>
        <v>54</v>
      </c>
      <c r="N1373">
        <v>0.318</v>
      </c>
    </row>
    <row r="1374" spans="1:14">
      <c r="A1374" t="s">
        <v>239</v>
      </c>
      <c r="B1374" t="str">
        <f>_xlfn.XLOOKUP(A1374,'[1]Tissue Data'!$A:$A,'[1]Tissue Data'!$C:$C)</f>
        <v>Spill</v>
      </c>
      <c r="C1374" s="2">
        <f>_xlfn.XLOOKUP(A1374,'[1]Tissue Data'!$A:$A,'[1]Tissue Data'!$D:$D)</f>
        <v>44314</v>
      </c>
      <c r="D1374" s="2" t="str">
        <f>_xlfn.XLOOKUP(A1374,'[1]Tissue Data'!$A:$A,'[1]Tissue Data'!$F:$F)</f>
        <v>Pumpkinseed</v>
      </c>
      <c r="E1374" t="str">
        <f>_xlfn.XLOOKUP(A1374,'[1]Tissue Data'!$A:$A,'[1]Tissue Data'!$H:$H)</f>
        <v>Lepomis</v>
      </c>
      <c r="F1374" t="str">
        <f>_xlfn.XLOOKUP(A1374,'[1]Tissue Data'!$A:$A,'[1]Tissue Data'!$I:$I)</f>
        <v>gibbosus</v>
      </c>
      <c r="G1374" t="str">
        <f>_xlfn.XLOOKUP(A1374,'[1]Tissue Data'!$A:$A,'[1]Tissue Data'!J:J)</f>
        <v>U</v>
      </c>
      <c r="H1374" t="str">
        <f>_xlfn.XLOOKUP(A1374,'[1]Tissue Data'!$A:$A,'[1]Tissue Data'!K:K)</f>
        <v>Whole Body</v>
      </c>
      <c r="I1374">
        <f>_xlfn.XLOOKUP(A1374,'[1]Tissue Data'!$A:$A,'[1]Tissue Data'!L:L)</f>
        <v>7</v>
      </c>
      <c r="J1374">
        <f>_xlfn.XLOOKUP(A1374,'[1]Tissue Data'!$A:$A,'[1]Tissue Data'!M:M)</f>
        <v>10</v>
      </c>
      <c r="K1374" t="s">
        <v>34</v>
      </c>
      <c r="L1374" t="str">
        <f>_xlfn.XLOOKUP(K1374,[2]analyte_order!$B:$B,[2]analyte_order!$C:$C)</f>
        <v>646-83-3</v>
      </c>
      <c r="M1374">
        <f>_xlfn.XLOOKUP(L1374,[2]analyte_order!$C:$C,[2]analyte_order!$E:$E)</f>
        <v>55</v>
      </c>
      <c r="N1374">
        <v>0.39800000000000002</v>
      </c>
    </row>
    <row r="1375" spans="1:14">
      <c r="A1375" t="s">
        <v>239</v>
      </c>
      <c r="B1375" t="str">
        <f>_xlfn.XLOOKUP(A1375,'[1]Tissue Data'!$A:$A,'[1]Tissue Data'!$C:$C)</f>
        <v>Spill</v>
      </c>
      <c r="C1375" s="2">
        <f>_xlfn.XLOOKUP(A1375,'[1]Tissue Data'!$A:$A,'[1]Tissue Data'!$D:$D)</f>
        <v>44314</v>
      </c>
      <c r="D1375" s="2" t="str">
        <f>_xlfn.XLOOKUP(A1375,'[1]Tissue Data'!$A:$A,'[1]Tissue Data'!$F:$F)</f>
        <v>Pumpkinseed</v>
      </c>
      <c r="E1375" t="str">
        <f>_xlfn.XLOOKUP(A1375,'[1]Tissue Data'!$A:$A,'[1]Tissue Data'!$H:$H)</f>
        <v>Lepomis</v>
      </c>
      <c r="F1375" t="str">
        <f>_xlfn.XLOOKUP(A1375,'[1]Tissue Data'!$A:$A,'[1]Tissue Data'!$I:$I)</f>
        <v>gibbosus</v>
      </c>
      <c r="G1375" t="str">
        <f>_xlfn.XLOOKUP(A1375,'[1]Tissue Data'!$A:$A,'[1]Tissue Data'!J:J)</f>
        <v>U</v>
      </c>
      <c r="H1375" t="str">
        <f>_xlfn.XLOOKUP(A1375,'[1]Tissue Data'!$A:$A,'[1]Tissue Data'!K:K)</f>
        <v>Whole Body</v>
      </c>
      <c r="I1375">
        <f>_xlfn.XLOOKUP(A1375,'[1]Tissue Data'!$A:$A,'[1]Tissue Data'!L:L)</f>
        <v>7</v>
      </c>
      <c r="J1375">
        <f>_xlfn.XLOOKUP(A1375,'[1]Tissue Data'!$A:$A,'[1]Tissue Data'!M:M)</f>
        <v>10</v>
      </c>
      <c r="K1375" t="s">
        <v>35</v>
      </c>
      <c r="L1375" t="str">
        <f>_xlfn.XLOOKUP(K1375,[2]analyte_order!$B:$B,[2]analyte_order!$C:$C)</f>
        <v>30334-69-1</v>
      </c>
      <c r="M1375">
        <f>_xlfn.XLOOKUP(L1375,[2]analyte_order!$C:$C,[2]analyte_order!$E:$E)</f>
        <v>51</v>
      </c>
      <c r="N1375">
        <v>24.8</v>
      </c>
    </row>
    <row r="1376" spans="1:14">
      <c r="A1376" t="s">
        <v>239</v>
      </c>
      <c r="B1376" t="str">
        <f>_xlfn.XLOOKUP(A1376,'[1]Tissue Data'!$A:$A,'[1]Tissue Data'!$C:$C)</f>
        <v>Spill</v>
      </c>
      <c r="C1376" s="2">
        <f>_xlfn.XLOOKUP(A1376,'[1]Tissue Data'!$A:$A,'[1]Tissue Data'!$D:$D)</f>
        <v>44314</v>
      </c>
      <c r="D1376" s="2" t="str">
        <f>_xlfn.XLOOKUP(A1376,'[1]Tissue Data'!$A:$A,'[1]Tissue Data'!$F:$F)</f>
        <v>Pumpkinseed</v>
      </c>
      <c r="E1376" t="str">
        <f>_xlfn.XLOOKUP(A1376,'[1]Tissue Data'!$A:$A,'[1]Tissue Data'!$H:$H)</f>
        <v>Lepomis</v>
      </c>
      <c r="F1376" t="str">
        <f>_xlfn.XLOOKUP(A1376,'[1]Tissue Data'!$A:$A,'[1]Tissue Data'!$I:$I)</f>
        <v>gibbosus</v>
      </c>
      <c r="G1376" t="str">
        <f>_xlfn.XLOOKUP(A1376,'[1]Tissue Data'!$A:$A,'[1]Tissue Data'!J:J)</f>
        <v>U</v>
      </c>
      <c r="H1376" t="str">
        <f>_xlfn.XLOOKUP(A1376,'[1]Tissue Data'!$A:$A,'[1]Tissue Data'!K:K)</f>
        <v>Whole Body</v>
      </c>
      <c r="I1376">
        <f>_xlfn.XLOOKUP(A1376,'[1]Tissue Data'!$A:$A,'[1]Tissue Data'!L:L)</f>
        <v>7</v>
      </c>
      <c r="J1376">
        <f>_xlfn.XLOOKUP(A1376,'[1]Tissue Data'!$A:$A,'[1]Tissue Data'!M:M)</f>
        <v>10</v>
      </c>
      <c r="K1376" t="s">
        <v>36</v>
      </c>
      <c r="L1376" t="str">
        <f>_xlfn.XLOOKUP(K1376,[2]analyte_order!$B:$B,[2]analyte_order!$C:$C)</f>
        <v>41997-13-1</v>
      </c>
      <c r="M1376">
        <f>_xlfn.XLOOKUP(L1376,[2]analyte_order!$C:$C,[2]analyte_order!$E:$E)</f>
        <v>52</v>
      </c>
      <c r="N1376">
        <v>39.1</v>
      </c>
    </row>
    <row r="1377" spans="1:14">
      <c r="A1377" t="s">
        <v>239</v>
      </c>
      <c r="B1377" t="str">
        <f>_xlfn.XLOOKUP(A1377,'[1]Tissue Data'!$A:$A,'[1]Tissue Data'!$C:$C)</f>
        <v>Spill</v>
      </c>
      <c r="C1377" s="2">
        <f>_xlfn.XLOOKUP(A1377,'[1]Tissue Data'!$A:$A,'[1]Tissue Data'!$D:$D)</f>
        <v>44314</v>
      </c>
      <c r="D1377" s="2" t="str">
        <f>_xlfn.XLOOKUP(A1377,'[1]Tissue Data'!$A:$A,'[1]Tissue Data'!$F:$F)</f>
        <v>Pumpkinseed</v>
      </c>
      <c r="E1377" t="str">
        <f>_xlfn.XLOOKUP(A1377,'[1]Tissue Data'!$A:$A,'[1]Tissue Data'!$H:$H)</f>
        <v>Lepomis</v>
      </c>
      <c r="F1377" t="str">
        <f>_xlfn.XLOOKUP(A1377,'[1]Tissue Data'!$A:$A,'[1]Tissue Data'!$I:$I)</f>
        <v>gibbosus</v>
      </c>
      <c r="G1377" t="str">
        <f>_xlfn.XLOOKUP(A1377,'[1]Tissue Data'!$A:$A,'[1]Tissue Data'!J:J)</f>
        <v>U</v>
      </c>
      <c r="H1377" t="str">
        <f>_xlfn.XLOOKUP(A1377,'[1]Tissue Data'!$A:$A,'[1]Tissue Data'!K:K)</f>
        <v>Whole Body</v>
      </c>
      <c r="I1377">
        <f>_xlfn.XLOOKUP(A1377,'[1]Tissue Data'!$A:$A,'[1]Tissue Data'!L:L)</f>
        <v>7</v>
      </c>
      <c r="J1377">
        <f>_xlfn.XLOOKUP(A1377,'[1]Tissue Data'!$A:$A,'[1]Tissue Data'!M:M)</f>
        <v>10</v>
      </c>
      <c r="K1377" t="s">
        <v>37</v>
      </c>
      <c r="L1377" t="str">
        <f>_xlfn.XLOOKUP(K1377,[2]analyte_order!$B:$B,[2]analyte_order!$C:$C)</f>
        <v>754-91-6</v>
      </c>
      <c r="M1377">
        <f>_xlfn.XLOOKUP(L1377,[2]analyte_order!$C:$C,[2]analyte_order!$E:$E)</f>
        <v>28</v>
      </c>
      <c r="N1377">
        <v>11.3</v>
      </c>
    </row>
    <row r="1378" spans="1:14">
      <c r="A1378" t="s">
        <v>239</v>
      </c>
      <c r="B1378" t="str">
        <f>_xlfn.XLOOKUP(A1378,'[1]Tissue Data'!$A:$A,'[1]Tissue Data'!$C:$C)</f>
        <v>Spill</v>
      </c>
      <c r="C1378" s="2">
        <f>_xlfn.XLOOKUP(A1378,'[1]Tissue Data'!$A:$A,'[1]Tissue Data'!$D:$D)</f>
        <v>44314</v>
      </c>
      <c r="D1378" s="2" t="str">
        <f>_xlfn.XLOOKUP(A1378,'[1]Tissue Data'!$A:$A,'[1]Tissue Data'!$F:$F)</f>
        <v>Pumpkinseed</v>
      </c>
      <c r="E1378" t="str">
        <f>_xlfn.XLOOKUP(A1378,'[1]Tissue Data'!$A:$A,'[1]Tissue Data'!$H:$H)</f>
        <v>Lepomis</v>
      </c>
      <c r="F1378" t="str">
        <f>_xlfn.XLOOKUP(A1378,'[1]Tissue Data'!$A:$A,'[1]Tissue Data'!$I:$I)</f>
        <v>gibbosus</v>
      </c>
      <c r="G1378" t="str">
        <f>_xlfn.XLOOKUP(A1378,'[1]Tissue Data'!$A:$A,'[1]Tissue Data'!J:J)</f>
        <v>U</v>
      </c>
      <c r="H1378" t="str">
        <f>_xlfn.XLOOKUP(A1378,'[1]Tissue Data'!$A:$A,'[1]Tissue Data'!K:K)</f>
        <v>Whole Body</v>
      </c>
      <c r="I1378">
        <f>_xlfn.XLOOKUP(A1378,'[1]Tissue Data'!$A:$A,'[1]Tissue Data'!L:L)</f>
        <v>7</v>
      </c>
      <c r="J1378">
        <f>_xlfn.XLOOKUP(A1378,'[1]Tissue Data'!$A:$A,'[1]Tissue Data'!M:M)</f>
        <v>10</v>
      </c>
      <c r="K1378" t="s">
        <v>38</v>
      </c>
      <c r="L1378" t="str">
        <f>_xlfn.XLOOKUP(K1378,[2]analyte_order!$B:$B,[2]analyte_order!$C:$C)</f>
        <v>31506-32-8</v>
      </c>
      <c r="M1378">
        <f>_xlfn.XLOOKUP(L1378,[2]analyte_order!$C:$C,[2]analyte_order!$E:$E)</f>
        <v>30</v>
      </c>
      <c r="N1378">
        <v>5.2992462966101696E-2</v>
      </c>
    </row>
    <row r="1379" spans="1:14">
      <c r="A1379" t="s">
        <v>239</v>
      </c>
      <c r="B1379" t="str">
        <f>_xlfn.XLOOKUP(A1379,'[1]Tissue Data'!$A:$A,'[1]Tissue Data'!$C:$C)</f>
        <v>Spill</v>
      </c>
      <c r="C1379" s="2">
        <f>_xlfn.XLOOKUP(A1379,'[1]Tissue Data'!$A:$A,'[1]Tissue Data'!$D:$D)</f>
        <v>44314</v>
      </c>
      <c r="D1379" s="2" t="str">
        <f>_xlfn.XLOOKUP(A1379,'[1]Tissue Data'!$A:$A,'[1]Tissue Data'!$F:$F)</f>
        <v>Pumpkinseed</v>
      </c>
      <c r="E1379" t="str">
        <f>_xlfn.XLOOKUP(A1379,'[1]Tissue Data'!$A:$A,'[1]Tissue Data'!$H:$H)</f>
        <v>Lepomis</v>
      </c>
      <c r="F1379" t="str">
        <f>_xlfn.XLOOKUP(A1379,'[1]Tissue Data'!$A:$A,'[1]Tissue Data'!$I:$I)</f>
        <v>gibbosus</v>
      </c>
      <c r="G1379" t="str">
        <f>_xlfn.XLOOKUP(A1379,'[1]Tissue Data'!$A:$A,'[1]Tissue Data'!J:J)</f>
        <v>U</v>
      </c>
      <c r="H1379" t="str">
        <f>_xlfn.XLOOKUP(A1379,'[1]Tissue Data'!$A:$A,'[1]Tissue Data'!K:K)</f>
        <v>Whole Body</v>
      </c>
      <c r="I1379">
        <f>_xlfn.XLOOKUP(A1379,'[1]Tissue Data'!$A:$A,'[1]Tissue Data'!L:L)</f>
        <v>7</v>
      </c>
      <c r="J1379">
        <f>_xlfn.XLOOKUP(A1379,'[1]Tissue Data'!$A:$A,'[1]Tissue Data'!M:M)</f>
        <v>10</v>
      </c>
      <c r="K1379" t="s">
        <v>39</v>
      </c>
      <c r="L1379" t="str">
        <f>_xlfn.XLOOKUP(K1379,[2]analyte_order!$B:$B,[2]analyte_order!$C:$C)</f>
        <v>4151-50-2</v>
      </c>
      <c r="M1379">
        <f>_xlfn.XLOOKUP(L1379,[2]analyte_order!$C:$C,[2]analyte_order!$E:$E)</f>
        <v>31</v>
      </c>
      <c r="N1379">
        <v>8.0271720667372884E-2</v>
      </c>
    </row>
    <row r="1380" spans="1:14">
      <c r="A1380" t="s">
        <v>239</v>
      </c>
      <c r="B1380" t="str">
        <f>_xlfn.XLOOKUP(A1380,'[1]Tissue Data'!$A:$A,'[1]Tissue Data'!$C:$C)</f>
        <v>Spill</v>
      </c>
      <c r="C1380" s="2">
        <f>_xlfn.XLOOKUP(A1380,'[1]Tissue Data'!$A:$A,'[1]Tissue Data'!$D:$D)</f>
        <v>44314</v>
      </c>
      <c r="D1380" s="2" t="str">
        <f>_xlfn.XLOOKUP(A1380,'[1]Tissue Data'!$A:$A,'[1]Tissue Data'!$F:$F)</f>
        <v>Pumpkinseed</v>
      </c>
      <c r="E1380" t="str">
        <f>_xlfn.XLOOKUP(A1380,'[1]Tissue Data'!$A:$A,'[1]Tissue Data'!$H:$H)</f>
        <v>Lepomis</v>
      </c>
      <c r="F1380" t="str">
        <f>_xlfn.XLOOKUP(A1380,'[1]Tissue Data'!$A:$A,'[1]Tissue Data'!$I:$I)</f>
        <v>gibbosus</v>
      </c>
      <c r="G1380" t="str">
        <f>_xlfn.XLOOKUP(A1380,'[1]Tissue Data'!$A:$A,'[1]Tissue Data'!J:J)</f>
        <v>U</v>
      </c>
      <c r="H1380" t="str">
        <f>_xlfn.XLOOKUP(A1380,'[1]Tissue Data'!$A:$A,'[1]Tissue Data'!K:K)</f>
        <v>Whole Body</v>
      </c>
      <c r="I1380">
        <f>_xlfn.XLOOKUP(A1380,'[1]Tissue Data'!$A:$A,'[1]Tissue Data'!L:L)</f>
        <v>7</v>
      </c>
      <c r="J1380">
        <f>_xlfn.XLOOKUP(A1380,'[1]Tissue Data'!$A:$A,'[1]Tissue Data'!M:M)</f>
        <v>10</v>
      </c>
      <c r="K1380" t="s">
        <v>40</v>
      </c>
      <c r="L1380" t="str">
        <f>_xlfn.XLOOKUP(K1380,[2]analyte_order!$B:$B,[2]analyte_order!$C:$C)</f>
        <v>2806-24-8</v>
      </c>
      <c r="M1380">
        <f>_xlfn.XLOOKUP(L1380,[2]analyte_order!$C:$C,[2]analyte_order!$E:$E)</f>
        <v>29</v>
      </c>
      <c r="N1380">
        <v>5.4220449851694913E-2</v>
      </c>
    </row>
    <row r="1381" spans="1:14">
      <c r="A1381" t="s">
        <v>239</v>
      </c>
      <c r="B1381" t="str">
        <f>_xlfn.XLOOKUP(A1381,'[1]Tissue Data'!$A:$A,'[1]Tissue Data'!$C:$C)</f>
        <v>Spill</v>
      </c>
      <c r="C1381" s="2">
        <f>_xlfn.XLOOKUP(A1381,'[1]Tissue Data'!$A:$A,'[1]Tissue Data'!$D:$D)</f>
        <v>44314</v>
      </c>
      <c r="D1381" s="2" t="str">
        <f>_xlfn.XLOOKUP(A1381,'[1]Tissue Data'!$A:$A,'[1]Tissue Data'!$F:$F)</f>
        <v>Pumpkinseed</v>
      </c>
      <c r="E1381" t="str">
        <f>_xlfn.XLOOKUP(A1381,'[1]Tissue Data'!$A:$A,'[1]Tissue Data'!$H:$H)</f>
        <v>Lepomis</v>
      </c>
      <c r="F1381" t="str">
        <f>_xlfn.XLOOKUP(A1381,'[1]Tissue Data'!$A:$A,'[1]Tissue Data'!$I:$I)</f>
        <v>gibbosus</v>
      </c>
      <c r="G1381" t="str">
        <f>_xlfn.XLOOKUP(A1381,'[1]Tissue Data'!$A:$A,'[1]Tissue Data'!J:J)</f>
        <v>U</v>
      </c>
      <c r="H1381" t="str">
        <f>_xlfn.XLOOKUP(A1381,'[1]Tissue Data'!$A:$A,'[1]Tissue Data'!K:K)</f>
        <v>Whole Body</v>
      </c>
      <c r="I1381">
        <f>_xlfn.XLOOKUP(A1381,'[1]Tissue Data'!$A:$A,'[1]Tissue Data'!L:L)</f>
        <v>7</v>
      </c>
      <c r="J1381">
        <f>_xlfn.XLOOKUP(A1381,'[1]Tissue Data'!$A:$A,'[1]Tissue Data'!M:M)</f>
        <v>10</v>
      </c>
      <c r="K1381" t="s">
        <v>41</v>
      </c>
      <c r="L1381" t="str">
        <f>_xlfn.XLOOKUP(K1381,[2]analyte_order!$B:$B,[2]analyte_order!$C:$C)</f>
        <v>2355-31-9</v>
      </c>
      <c r="M1381">
        <f>_xlfn.XLOOKUP(L1381,[2]analyte_order!$C:$C,[2]analyte_order!$E:$E)</f>
        <v>26</v>
      </c>
      <c r="N1381">
        <v>6.9203329798728827E-2</v>
      </c>
    </row>
    <row r="1382" spans="1:14">
      <c r="A1382" t="s">
        <v>239</v>
      </c>
      <c r="B1382" t="str">
        <f>_xlfn.XLOOKUP(A1382,'[1]Tissue Data'!$A:$A,'[1]Tissue Data'!$C:$C)</f>
        <v>Spill</v>
      </c>
      <c r="C1382" s="2">
        <f>_xlfn.XLOOKUP(A1382,'[1]Tissue Data'!$A:$A,'[1]Tissue Data'!$D:$D)</f>
        <v>44314</v>
      </c>
      <c r="D1382" s="2" t="str">
        <f>_xlfn.XLOOKUP(A1382,'[1]Tissue Data'!$A:$A,'[1]Tissue Data'!$F:$F)</f>
        <v>Pumpkinseed</v>
      </c>
      <c r="E1382" t="str">
        <f>_xlfn.XLOOKUP(A1382,'[1]Tissue Data'!$A:$A,'[1]Tissue Data'!$H:$H)</f>
        <v>Lepomis</v>
      </c>
      <c r="F1382" t="str">
        <f>_xlfn.XLOOKUP(A1382,'[1]Tissue Data'!$A:$A,'[1]Tissue Data'!$I:$I)</f>
        <v>gibbosus</v>
      </c>
      <c r="G1382" t="str">
        <f>_xlfn.XLOOKUP(A1382,'[1]Tissue Data'!$A:$A,'[1]Tissue Data'!J:J)</f>
        <v>U</v>
      </c>
      <c r="H1382" t="str">
        <f>_xlfn.XLOOKUP(A1382,'[1]Tissue Data'!$A:$A,'[1]Tissue Data'!K:K)</f>
        <v>Whole Body</v>
      </c>
      <c r="I1382">
        <f>_xlfn.XLOOKUP(A1382,'[1]Tissue Data'!$A:$A,'[1]Tissue Data'!L:L)</f>
        <v>7</v>
      </c>
      <c r="J1382">
        <f>_xlfn.XLOOKUP(A1382,'[1]Tissue Data'!$A:$A,'[1]Tissue Data'!M:M)</f>
        <v>10</v>
      </c>
      <c r="K1382" t="s">
        <v>42</v>
      </c>
      <c r="L1382" t="str">
        <f>_xlfn.XLOOKUP(K1382,[2]analyte_order!$B:$B,[2]analyte_order!$C:$C)</f>
        <v>2991-50-6</v>
      </c>
      <c r="M1382">
        <f>_xlfn.XLOOKUP(L1382,[2]analyte_order!$C:$C,[2]analyte_order!$E:$E)</f>
        <v>27</v>
      </c>
      <c r="N1382">
        <v>5.9706586048728798E-2</v>
      </c>
    </row>
    <row r="1383" spans="1:14">
      <c r="A1383" t="s">
        <v>239</v>
      </c>
      <c r="B1383" t="str">
        <f>_xlfn.XLOOKUP(A1383,'[1]Tissue Data'!$A:$A,'[1]Tissue Data'!$C:$C)</f>
        <v>Spill</v>
      </c>
      <c r="C1383" s="2">
        <f>_xlfn.XLOOKUP(A1383,'[1]Tissue Data'!$A:$A,'[1]Tissue Data'!$D:$D)</f>
        <v>44314</v>
      </c>
      <c r="D1383" s="2" t="str">
        <f>_xlfn.XLOOKUP(A1383,'[1]Tissue Data'!$A:$A,'[1]Tissue Data'!$F:$F)</f>
        <v>Pumpkinseed</v>
      </c>
      <c r="E1383" t="str">
        <f>_xlfn.XLOOKUP(A1383,'[1]Tissue Data'!$A:$A,'[1]Tissue Data'!$H:$H)</f>
        <v>Lepomis</v>
      </c>
      <c r="F1383" t="str">
        <f>_xlfn.XLOOKUP(A1383,'[1]Tissue Data'!$A:$A,'[1]Tissue Data'!$I:$I)</f>
        <v>gibbosus</v>
      </c>
      <c r="G1383" t="str">
        <f>_xlfn.XLOOKUP(A1383,'[1]Tissue Data'!$A:$A,'[1]Tissue Data'!J:J)</f>
        <v>U</v>
      </c>
      <c r="H1383" t="str">
        <f>_xlfn.XLOOKUP(A1383,'[1]Tissue Data'!$A:$A,'[1]Tissue Data'!K:K)</f>
        <v>Whole Body</v>
      </c>
      <c r="I1383">
        <f>_xlfn.XLOOKUP(A1383,'[1]Tissue Data'!$A:$A,'[1]Tissue Data'!L:L)</f>
        <v>7</v>
      </c>
      <c r="J1383">
        <f>_xlfn.XLOOKUP(A1383,'[1]Tissue Data'!$A:$A,'[1]Tissue Data'!M:M)</f>
        <v>10</v>
      </c>
      <c r="K1383" t="s">
        <v>43</v>
      </c>
      <c r="L1383" t="str">
        <f>_xlfn.XLOOKUP(K1383,[2]analyte_order!$B:$B,[2]analyte_order!$C:$C)</f>
        <v>757124-72-4</v>
      </c>
      <c r="M1383">
        <f>_xlfn.XLOOKUP(L1383,[2]analyte_order!$C:$C,[2]analyte_order!$E:$E)</f>
        <v>22</v>
      </c>
      <c r="N1383">
        <v>5.650097072033898E-2</v>
      </c>
    </row>
    <row r="1384" spans="1:14">
      <c r="A1384" t="s">
        <v>239</v>
      </c>
      <c r="B1384" t="str">
        <f>_xlfn.XLOOKUP(A1384,'[1]Tissue Data'!$A:$A,'[1]Tissue Data'!$C:$C)</f>
        <v>Spill</v>
      </c>
      <c r="C1384" s="2">
        <f>_xlfn.XLOOKUP(A1384,'[1]Tissue Data'!$A:$A,'[1]Tissue Data'!$D:$D)</f>
        <v>44314</v>
      </c>
      <c r="D1384" s="2" t="str">
        <f>_xlfn.XLOOKUP(A1384,'[1]Tissue Data'!$A:$A,'[1]Tissue Data'!$F:$F)</f>
        <v>Pumpkinseed</v>
      </c>
      <c r="E1384" t="str">
        <f>_xlfn.XLOOKUP(A1384,'[1]Tissue Data'!$A:$A,'[1]Tissue Data'!$H:$H)</f>
        <v>Lepomis</v>
      </c>
      <c r="F1384" t="str">
        <f>_xlfn.XLOOKUP(A1384,'[1]Tissue Data'!$A:$A,'[1]Tissue Data'!$I:$I)</f>
        <v>gibbosus</v>
      </c>
      <c r="G1384" t="str">
        <f>_xlfn.XLOOKUP(A1384,'[1]Tissue Data'!$A:$A,'[1]Tissue Data'!J:J)</f>
        <v>U</v>
      </c>
      <c r="H1384" t="str">
        <f>_xlfn.XLOOKUP(A1384,'[1]Tissue Data'!$A:$A,'[1]Tissue Data'!K:K)</f>
        <v>Whole Body</v>
      </c>
      <c r="I1384">
        <f>_xlfn.XLOOKUP(A1384,'[1]Tissue Data'!$A:$A,'[1]Tissue Data'!L:L)</f>
        <v>7</v>
      </c>
      <c r="J1384">
        <f>_xlfn.XLOOKUP(A1384,'[1]Tissue Data'!$A:$A,'[1]Tissue Data'!M:M)</f>
        <v>10</v>
      </c>
      <c r="K1384" t="s">
        <v>44</v>
      </c>
      <c r="L1384" t="str">
        <f>_xlfn.XLOOKUP(K1384,[2]analyte_order!$B:$B,[2]analyte_order!$C:$C)</f>
        <v>27619-97-2</v>
      </c>
      <c r="M1384">
        <f>_xlfn.XLOOKUP(L1384,[2]analyte_order!$C:$C,[2]analyte_order!$E:$E)</f>
        <v>23</v>
      </c>
      <c r="N1384">
        <v>0.27100000000000002</v>
      </c>
    </row>
    <row r="1385" spans="1:14">
      <c r="A1385" t="s">
        <v>239</v>
      </c>
      <c r="B1385" t="str">
        <f>_xlfn.XLOOKUP(A1385,'[1]Tissue Data'!$A:$A,'[1]Tissue Data'!$C:$C)</f>
        <v>Spill</v>
      </c>
      <c r="C1385" s="2">
        <f>_xlfn.XLOOKUP(A1385,'[1]Tissue Data'!$A:$A,'[1]Tissue Data'!$D:$D)</f>
        <v>44314</v>
      </c>
      <c r="D1385" s="2" t="str">
        <f>_xlfn.XLOOKUP(A1385,'[1]Tissue Data'!$A:$A,'[1]Tissue Data'!$F:$F)</f>
        <v>Pumpkinseed</v>
      </c>
      <c r="E1385" t="str">
        <f>_xlfn.XLOOKUP(A1385,'[1]Tissue Data'!$A:$A,'[1]Tissue Data'!$H:$H)</f>
        <v>Lepomis</v>
      </c>
      <c r="F1385" t="str">
        <f>_xlfn.XLOOKUP(A1385,'[1]Tissue Data'!$A:$A,'[1]Tissue Data'!$I:$I)</f>
        <v>gibbosus</v>
      </c>
      <c r="G1385" t="str">
        <f>_xlfn.XLOOKUP(A1385,'[1]Tissue Data'!$A:$A,'[1]Tissue Data'!J:J)</f>
        <v>U</v>
      </c>
      <c r="H1385" t="str">
        <f>_xlfn.XLOOKUP(A1385,'[1]Tissue Data'!$A:$A,'[1]Tissue Data'!K:K)</f>
        <v>Whole Body</v>
      </c>
      <c r="I1385">
        <f>_xlfn.XLOOKUP(A1385,'[1]Tissue Data'!$A:$A,'[1]Tissue Data'!L:L)</f>
        <v>7</v>
      </c>
      <c r="J1385">
        <f>_xlfn.XLOOKUP(A1385,'[1]Tissue Data'!$A:$A,'[1]Tissue Data'!M:M)</f>
        <v>10</v>
      </c>
      <c r="K1385" t="s">
        <v>45</v>
      </c>
      <c r="L1385" t="str">
        <f>_xlfn.XLOOKUP(K1385,[2]analyte_order!$B:$B,[2]analyte_order!$C:$C)</f>
        <v>39108-34-4</v>
      </c>
      <c r="M1385">
        <f>_xlfn.XLOOKUP(L1385,[2]analyte_order!$C:$C,[2]analyte_order!$E:$E)</f>
        <v>24</v>
      </c>
      <c r="N1385">
        <v>3.69</v>
      </c>
    </row>
    <row r="1386" spans="1:14">
      <c r="A1386" t="s">
        <v>239</v>
      </c>
      <c r="B1386" t="str">
        <f>_xlfn.XLOOKUP(A1386,'[1]Tissue Data'!$A:$A,'[1]Tissue Data'!$C:$C)</f>
        <v>Spill</v>
      </c>
      <c r="C1386" s="2">
        <f>_xlfn.XLOOKUP(A1386,'[1]Tissue Data'!$A:$A,'[1]Tissue Data'!$D:$D)</f>
        <v>44314</v>
      </c>
      <c r="D1386" s="2" t="str">
        <f>_xlfn.XLOOKUP(A1386,'[1]Tissue Data'!$A:$A,'[1]Tissue Data'!$F:$F)</f>
        <v>Pumpkinseed</v>
      </c>
      <c r="E1386" t="str">
        <f>_xlfn.XLOOKUP(A1386,'[1]Tissue Data'!$A:$A,'[1]Tissue Data'!$H:$H)</f>
        <v>Lepomis</v>
      </c>
      <c r="F1386" t="str">
        <f>_xlfn.XLOOKUP(A1386,'[1]Tissue Data'!$A:$A,'[1]Tissue Data'!$I:$I)</f>
        <v>gibbosus</v>
      </c>
      <c r="G1386" t="str">
        <f>_xlfn.XLOOKUP(A1386,'[1]Tissue Data'!$A:$A,'[1]Tissue Data'!J:J)</f>
        <v>U</v>
      </c>
      <c r="H1386" t="str">
        <f>_xlfn.XLOOKUP(A1386,'[1]Tissue Data'!$A:$A,'[1]Tissue Data'!K:K)</f>
        <v>Whole Body</v>
      </c>
      <c r="I1386">
        <f>_xlfn.XLOOKUP(A1386,'[1]Tissue Data'!$A:$A,'[1]Tissue Data'!L:L)</f>
        <v>7</v>
      </c>
      <c r="J1386">
        <f>_xlfn.XLOOKUP(A1386,'[1]Tissue Data'!$A:$A,'[1]Tissue Data'!M:M)</f>
        <v>10</v>
      </c>
      <c r="K1386" t="s">
        <v>46</v>
      </c>
      <c r="L1386" t="str">
        <f>_xlfn.XLOOKUP(K1386,[2]analyte_order!$B:$B,[2]analyte_order!$C:$C)</f>
        <v>120226-60-0</v>
      </c>
      <c r="M1386">
        <f>_xlfn.XLOOKUP(L1386,[2]analyte_order!$C:$C,[2]analyte_order!$E:$E)</f>
        <v>25</v>
      </c>
      <c r="N1386">
        <v>0.71399999999999997</v>
      </c>
    </row>
    <row r="1387" spans="1:14">
      <c r="A1387" t="s">
        <v>239</v>
      </c>
      <c r="B1387" t="str">
        <f>_xlfn.XLOOKUP(A1387,'[1]Tissue Data'!$A:$A,'[1]Tissue Data'!$C:$C)</f>
        <v>Spill</v>
      </c>
      <c r="C1387" s="2">
        <f>_xlfn.XLOOKUP(A1387,'[1]Tissue Data'!$A:$A,'[1]Tissue Data'!$D:$D)</f>
        <v>44314</v>
      </c>
      <c r="D1387" s="2" t="str">
        <f>_xlfn.XLOOKUP(A1387,'[1]Tissue Data'!$A:$A,'[1]Tissue Data'!$F:$F)</f>
        <v>Pumpkinseed</v>
      </c>
      <c r="E1387" t="str">
        <f>_xlfn.XLOOKUP(A1387,'[1]Tissue Data'!$A:$A,'[1]Tissue Data'!$H:$H)</f>
        <v>Lepomis</v>
      </c>
      <c r="F1387" t="str">
        <f>_xlfn.XLOOKUP(A1387,'[1]Tissue Data'!$A:$A,'[1]Tissue Data'!$I:$I)</f>
        <v>gibbosus</v>
      </c>
      <c r="G1387" t="str">
        <f>_xlfn.XLOOKUP(A1387,'[1]Tissue Data'!$A:$A,'[1]Tissue Data'!J:J)</f>
        <v>U</v>
      </c>
      <c r="H1387" t="str">
        <f>_xlfn.XLOOKUP(A1387,'[1]Tissue Data'!$A:$A,'[1]Tissue Data'!K:K)</f>
        <v>Whole Body</v>
      </c>
      <c r="I1387">
        <f>_xlfn.XLOOKUP(A1387,'[1]Tissue Data'!$A:$A,'[1]Tissue Data'!L:L)</f>
        <v>7</v>
      </c>
      <c r="J1387">
        <f>_xlfn.XLOOKUP(A1387,'[1]Tissue Data'!$A:$A,'[1]Tissue Data'!M:M)</f>
        <v>10</v>
      </c>
      <c r="K1387" t="s">
        <v>47</v>
      </c>
      <c r="L1387" t="str">
        <f>_xlfn.XLOOKUP(K1387,[2]analyte_order!$B:$B,[2]analyte_order!$C:$C)</f>
        <v>356-02-5</v>
      </c>
      <c r="M1387">
        <f>_xlfn.XLOOKUP(L1387,[2]analyte_order!$C:$C,[2]analyte_order!$E:$E)</f>
        <v>38</v>
      </c>
      <c r="N1387">
        <v>7.9345204608050848E-2</v>
      </c>
    </row>
    <row r="1388" spans="1:14">
      <c r="A1388" t="s">
        <v>239</v>
      </c>
      <c r="B1388" t="str">
        <f>_xlfn.XLOOKUP(A1388,'[1]Tissue Data'!$A:$A,'[1]Tissue Data'!$C:$C)</f>
        <v>Spill</v>
      </c>
      <c r="C1388" s="2">
        <f>_xlfn.XLOOKUP(A1388,'[1]Tissue Data'!$A:$A,'[1]Tissue Data'!$D:$D)</f>
        <v>44314</v>
      </c>
      <c r="D1388" s="2" t="str">
        <f>_xlfn.XLOOKUP(A1388,'[1]Tissue Data'!$A:$A,'[1]Tissue Data'!$F:$F)</f>
        <v>Pumpkinseed</v>
      </c>
      <c r="E1388" t="str">
        <f>_xlfn.XLOOKUP(A1388,'[1]Tissue Data'!$A:$A,'[1]Tissue Data'!$H:$H)</f>
        <v>Lepomis</v>
      </c>
      <c r="F1388" t="str">
        <f>_xlfn.XLOOKUP(A1388,'[1]Tissue Data'!$A:$A,'[1]Tissue Data'!$I:$I)</f>
        <v>gibbosus</v>
      </c>
      <c r="G1388" t="str">
        <f>_xlfn.XLOOKUP(A1388,'[1]Tissue Data'!$A:$A,'[1]Tissue Data'!J:J)</f>
        <v>U</v>
      </c>
      <c r="H1388" t="str">
        <f>_xlfn.XLOOKUP(A1388,'[1]Tissue Data'!$A:$A,'[1]Tissue Data'!K:K)</f>
        <v>Whole Body</v>
      </c>
      <c r="I1388">
        <f>_xlfn.XLOOKUP(A1388,'[1]Tissue Data'!$A:$A,'[1]Tissue Data'!L:L)</f>
        <v>7</v>
      </c>
      <c r="J1388">
        <f>_xlfn.XLOOKUP(A1388,'[1]Tissue Data'!$A:$A,'[1]Tissue Data'!M:M)</f>
        <v>10</v>
      </c>
      <c r="K1388" t="s">
        <v>48</v>
      </c>
      <c r="L1388" t="str">
        <f>_xlfn.XLOOKUP(K1388,[2]analyte_order!$B:$B,[2]analyte_order!$C:$C)</f>
        <v>914637-49-3</v>
      </c>
      <c r="M1388">
        <f>_xlfn.XLOOKUP(L1388,[2]analyte_order!$C:$C,[2]analyte_order!$E:$E)</f>
        <v>39</v>
      </c>
      <c r="N1388">
        <v>1.19</v>
      </c>
    </row>
    <row r="1389" spans="1:14">
      <c r="A1389" t="s">
        <v>239</v>
      </c>
      <c r="B1389" t="str">
        <f>_xlfn.XLOOKUP(A1389,'[1]Tissue Data'!$A:$A,'[1]Tissue Data'!$C:$C)</f>
        <v>Spill</v>
      </c>
      <c r="C1389" s="2">
        <f>_xlfn.XLOOKUP(A1389,'[1]Tissue Data'!$A:$A,'[1]Tissue Data'!$D:$D)</f>
        <v>44314</v>
      </c>
      <c r="D1389" s="2" t="str">
        <f>_xlfn.XLOOKUP(A1389,'[1]Tissue Data'!$A:$A,'[1]Tissue Data'!$F:$F)</f>
        <v>Pumpkinseed</v>
      </c>
      <c r="E1389" t="str">
        <f>_xlfn.XLOOKUP(A1389,'[1]Tissue Data'!$A:$A,'[1]Tissue Data'!$H:$H)</f>
        <v>Lepomis</v>
      </c>
      <c r="F1389" t="str">
        <f>_xlfn.XLOOKUP(A1389,'[1]Tissue Data'!$A:$A,'[1]Tissue Data'!$I:$I)</f>
        <v>gibbosus</v>
      </c>
      <c r="G1389" t="str">
        <f>_xlfn.XLOOKUP(A1389,'[1]Tissue Data'!$A:$A,'[1]Tissue Data'!J:J)</f>
        <v>U</v>
      </c>
      <c r="H1389" t="str">
        <f>_xlfn.XLOOKUP(A1389,'[1]Tissue Data'!$A:$A,'[1]Tissue Data'!K:K)</f>
        <v>Whole Body</v>
      </c>
      <c r="I1389">
        <f>_xlfn.XLOOKUP(A1389,'[1]Tissue Data'!$A:$A,'[1]Tissue Data'!L:L)</f>
        <v>7</v>
      </c>
      <c r="J1389">
        <f>_xlfn.XLOOKUP(A1389,'[1]Tissue Data'!$A:$A,'[1]Tissue Data'!M:M)</f>
        <v>10</v>
      </c>
      <c r="K1389" t="s">
        <v>49</v>
      </c>
      <c r="L1389" t="str">
        <f>_xlfn.XLOOKUP(K1389,[2]analyte_order!$B:$B,[2]analyte_order!$C:$C)</f>
        <v>812-70-4</v>
      </c>
      <c r="M1389">
        <f>_xlfn.XLOOKUP(L1389,[2]analyte_order!$C:$C,[2]analyte_order!$E:$E)</f>
        <v>40</v>
      </c>
      <c r="N1389">
        <v>1.03</v>
      </c>
    </row>
    <row r="1390" spans="1:14">
      <c r="A1390" t="s">
        <v>239</v>
      </c>
      <c r="B1390" t="str">
        <f>_xlfn.XLOOKUP(A1390,'[1]Tissue Data'!$A:$A,'[1]Tissue Data'!$C:$C)</f>
        <v>Spill</v>
      </c>
      <c r="C1390" s="2">
        <f>_xlfn.XLOOKUP(A1390,'[1]Tissue Data'!$A:$A,'[1]Tissue Data'!$D:$D)</f>
        <v>44314</v>
      </c>
      <c r="D1390" s="2" t="str">
        <f>_xlfn.XLOOKUP(A1390,'[1]Tissue Data'!$A:$A,'[1]Tissue Data'!$F:$F)</f>
        <v>Pumpkinseed</v>
      </c>
      <c r="E1390" t="str">
        <f>_xlfn.XLOOKUP(A1390,'[1]Tissue Data'!$A:$A,'[1]Tissue Data'!$H:$H)</f>
        <v>Lepomis</v>
      </c>
      <c r="F1390" t="str">
        <f>_xlfn.XLOOKUP(A1390,'[1]Tissue Data'!$A:$A,'[1]Tissue Data'!$I:$I)</f>
        <v>gibbosus</v>
      </c>
      <c r="G1390" t="str">
        <f>_xlfn.XLOOKUP(A1390,'[1]Tissue Data'!$A:$A,'[1]Tissue Data'!J:J)</f>
        <v>U</v>
      </c>
      <c r="H1390" t="str">
        <f>_xlfn.XLOOKUP(A1390,'[1]Tissue Data'!$A:$A,'[1]Tissue Data'!K:K)</f>
        <v>Whole Body</v>
      </c>
      <c r="I1390">
        <f>_xlfn.XLOOKUP(A1390,'[1]Tissue Data'!$A:$A,'[1]Tissue Data'!L:L)</f>
        <v>7</v>
      </c>
      <c r="J1390">
        <f>_xlfn.XLOOKUP(A1390,'[1]Tissue Data'!$A:$A,'[1]Tissue Data'!M:M)</f>
        <v>10</v>
      </c>
      <c r="K1390" t="s">
        <v>50</v>
      </c>
      <c r="L1390" t="str">
        <f>_xlfn.XLOOKUP(K1390,[2]analyte_order!$B:$B,[2]analyte_order!$C:$C)</f>
        <v>53826-12-3</v>
      </c>
      <c r="M1390">
        <f>_xlfn.XLOOKUP(L1390,[2]analyte_order!$C:$C,[2]analyte_order!$E:$E)</f>
        <v>41</v>
      </c>
      <c r="N1390">
        <v>4.4138424384533893E-2</v>
      </c>
    </row>
    <row r="1391" spans="1:14">
      <c r="A1391" t="s">
        <v>239</v>
      </c>
      <c r="B1391" t="str">
        <f>_xlfn.XLOOKUP(A1391,'[1]Tissue Data'!$A:$A,'[1]Tissue Data'!$C:$C)</f>
        <v>Spill</v>
      </c>
      <c r="C1391" s="2">
        <f>_xlfn.XLOOKUP(A1391,'[1]Tissue Data'!$A:$A,'[1]Tissue Data'!$D:$D)</f>
        <v>44314</v>
      </c>
      <c r="D1391" s="2" t="str">
        <f>_xlfn.XLOOKUP(A1391,'[1]Tissue Data'!$A:$A,'[1]Tissue Data'!$F:$F)</f>
        <v>Pumpkinseed</v>
      </c>
      <c r="E1391" t="str">
        <f>_xlfn.XLOOKUP(A1391,'[1]Tissue Data'!$A:$A,'[1]Tissue Data'!$H:$H)</f>
        <v>Lepomis</v>
      </c>
      <c r="F1391" t="str">
        <f>_xlfn.XLOOKUP(A1391,'[1]Tissue Data'!$A:$A,'[1]Tissue Data'!$I:$I)</f>
        <v>gibbosus</v>
      </c>
      <c r="G1391" t="str">
        <f>_xlfn.XLOOKUP(A1391,'[1]Tissue Data'!$A:$A,'[1]Tissue Data'!J:J)</f>
        <v>U</v>
      </c>
      <c r="H1391" t="str">
        <f>_xlfn.XLOOKUP(A1391,'[1]Tissue Data'!$A:$A,'[1]Tissue Data'!K:K)</f>
        <v>Whole Body</v>
      </c>
      <c r="I1391">
        <f>_xlfn.XLOOKUP(A1391,'[1]Tissue Data'!$A:$A,'[1]Tissue Data'!L:L)</f>
        <v>7</v>
      </c>
      <c r="J1391">
        <f>_xlfn.XLOOKUP(A1391,'[1]Tissue Data'!$A:$A,'[1]Tissue Data'!M:M)</f>
        <v>10</v>
      </c>
      <c r="K1391" t="s">
        <v>51</v>
      </c>
      <c r="L1391" t="str">
        <f>_xlfn.XLOOKUP(K1391,[2]analyte_order!$B:$B,[2]analyte_order!$C:$C)</f>
        <v>27854-31-5</v>
      </c>
      <c r="M1391">
        <f>_xlfn.XLOOKUP(L1391,[2]analyte_order!$C:$C,[2]analyte_order!$E:$E)</f>
        <v>42</v>
      </c>
      <c r="N1391">
        <v>2.7514858023332603E-2</v>
      </c>
    </row>
    <row r="1392" spans="1:14">
      <c r="A1392" t="s">
        <v>239</v>
      </c>
      <c r="B1392" t="str">
        <f>_xlfn.XLOOKUP(A1392,'[1]Tissue Data'!$A:$A,'[1]Tissue Data'!$C:$C)</f>
        <v>Spill</v>
      </c>
      <c r="C1392" s="2">
        <f>_xlfn.XLOOKUP(A1392,'[1]Tissue Data'!$A:$A,'[1]Tissue Data'!$D:$D)</f>
        <v>44314</v>
      </c>
      <c r="D1392" s="2" t="str">
        <f>_xlfn.XLOOKUP(A1392,'[1]Tissue Data'!$A:$A,'[1]Tissue Data'!$F:$F)</f>
        <v>Pumpkinseed</v>
      </c>
      <c r="E1392" t="str">
        <f>_xlfn.XLOOKUP(A1392,'[1]Tissue Data'!$A:$A,'[1]Tissue Data'!$H:$H)</f>
        <v>Lepomis</v>
      </c>
      <c r="F1392" t="str">
        <f>_xlfn.XLOOKUP(A1392,'[1]Tissue Data'!$A:$A,'[1]Tissue Data'!$I:$I)</f>
        <v>gibbosus</v>
      </c>
      <c r="G1392" t="str">
        <f>_xlfn.XLOOKUP(A1392,'[1]Tissue Data'!$A:$A,'[1]Tissue Data'!J:J)</f>
        <v>U</v>
      </c>
      <c r="H1392" t="str">
        <f>_xlfn.XLOOKUP(A1392,'[1]Tissue Data'!$A:$A,'[1]Tissue Data'!K:K)</f>
        <v>Whole Body</v>
      </c>
      <c r="I1392">
        <f>_xlfn.XLOOKUP(A1392,'[1]Tissue Data'!$A:$A,'[1]Tissue Data'!L:L)</f>
        <v>7</v>
      </c>
      <c r="J1392">
        <f>_xlfn.XLOOKUP(A1392,'[1]Tissue Data'!$A:$A,'[1]Tissue Data'!M:M)</f>
        <v>10</v>
      </c>
      <c r="K1392" t="s">
        <v>52</v>
      </c>
      <c r="L1392" t="str">
        <f>_xlfn.XLOOKUP(K1392,[2]analyte_order!$B:$B,[2]analyte_order!$C:$C)</f>
        <v>53826-13-4</v>
      </c>
      <c r="M1392">
        <f>_xlfn.XLOOKUP(L1392,[2]analyte_order!$C:$C,[2]analyte_order!$E:$E)</f>
        <v>43</v>
      </c>
      <c r="N1392">
        <v>0.10264366248940678</v>
      </c>
    </row>
    <row r="1393" spans="1:14">
      <c r="A1393" t="s">
        <v>239</v>
      </c>
      <c r="B1393" t="str">
        <f>_xlfn.XLOOKUP(A1393,'[1]Tissue Data'!$A:$A,'[1]Tissue Data'!$C:$C)</f>
        <v>Spill</v>
      </c>
      <c r="C1393" s="2">
        <f>_xlfn.XLOOKUP(A1393,'[1]Tissue Data'!$A:$A,'[1]Tissue Data'!$D:$D)</f>
        <v>44314</v>
      </c>
      <c r="D1393" s="2" t="str">
        <f>_xlfn.XLOOKUP(A1393,'[1]Tissue Data'!$A:$A,'[1]Tissue Data'!$F:$F)</f>
        <v>Pumpkinseed</v>
      </c>
      <c r="E1393" t="str">
        <f>_xlfn.XLOOKUP(A1393,'[1]Tissue Data'!$A:$A,'[1]Tissue Data'!$H:$H)</f>
        <v>Lepomis</v>
      </c>
      <c r="F1393" t="str">
        <f>_xlfn.XLOOKUP(A1393,'[1]Tissue Data'!$A:$A,'[1]Tissue Data'!$I:$I)</f>
        <v>gibbosus</v>
      </c>
      <c r="G1393" t="str">
        <f>_xlfn.XLOOKUP(A1393,'[1]Tissue Data'!$A:$A,'[1]Tissue Data'!J:J)</f>
        <v>U</v>
      </c>
      <c r="H1393" t="str">
        <f>_xlfn.XLOOKUP(A1393,'[1]Tissue Data'!$A:$A,'[1]Tissue Data'!K:K)</f>
        <v>Whole Body</v>
      </c>
      <c r="I1393">
        <f>_xlfn.XLOOKUP(A1393,'[1]Tissue Data'!$A:$A,'[1]Tissue Data'!L:L)</f>
        <v>7</v>
      </c>
      <c r="J1393">
        <f>_xlfn.XLOOKUP(A1393,'[1]Tissue Data'!$A:$A,'[1]Tissue Data'!M:M)</f>
        <v>10</v>
      </c>
      <c r="K1393" t="s">
        <v>53</v>
      </c>
      <c r="L1393" t="str">
        <f>_xlfn.XLOOKUP(K1393,[2]analyte_order!$B:$B,[2]analyte_order!$C:$C)</f>
        <v>161094-75-3</v>
      </c>
      <c r="M1393">
        <f>_xlfn.XLOOKUP(L1393,[2]analyte_order!$C:$C,[2]analyte_order!$E:$E)</f>
        <v>44</v>
      </c>
      <c r="N1393">
        <v>5.4011428855932207E-2</v>
      </c>
    </row>
    <row r="1394" spans="1:14">
      <c r="A1394" t="s">
        <v>239</v>
      </c>
      <c r="B1394" t="str">
        <f>_xlfn.XLOOKUP(A1394,'[1]Tissue Data'!$A:$A,'[1]Tissue Data'!$C:$C)</f>
        <v>Spill</v>
      </c>
      <c r="C1394" s="2">
        <f>_xlfn.XLOOKUP(A1394,'[1]Tissue Data'!$A:$A,'[1]Tissue Data'!$D:$D)</f>
        <v>44314</v>
      </c>
      <c r="D1394" s="2" t="str">
        <f>_xlfn.XLOOKUP(A1394,'[1]Tissue Data'!$A:$A,'[1]Tissue Data'!$F:$F)</f>
        <v>Pumpkinseed</v>
      </c>
      <c r="E1394" t="str">
        <f>_xlfn.XLOOKUP(A1394,'[1]Tissue Data'!$A:$A,'[1]Tissue Data'!$H:$H)</f>
        <v>Lepomis</v>
      </c>
      <c r="F1394" t="str">
        <f>_xlfn.XLOOKUP(A1394,'[1]Tissue Data'!$A:$A,'[1]Tissue Data'!$I:$I)</f>
        <v>gibbosus</v>
      </c>
      <c r="G1394" t="str">
        <f>_xlfn.XLOOKUP(A1394,'[1]Tissue Data'!$A:$A,'[1]Tissue Data'!J:J)</f>
        <v>U</v>
      </c>
      <c r="H1394" t="str">
        <f>_xlfn.XLOOKUP(A1394,'[1]Tissue Data'!$A:$A,'[1]Tissue Data'!K:K)</f>
        <v>Whole Body</v>
      </c>
      <c r="I1394">
        <f>_xlfn.XLOOKUP(A1394,'[1]Tissue Data'!$A:$A,'[1]Tissue Data'!L:L)</f>
        <v>7</v>
      </c>
      <c r="J1394">
        <f>_xlfn.XLOOKUP(A1394,'[1]Tissue Data'!$A:$A,'[1]Tissue Data'!M:M)</f>
        <v>10</v>
      </c>
      <c r="K1394" t="s">
        <v>54</v>
      </c>
      <c r="L1394" t="str">
        <f>_xlfn.XLOOKUP(K1394,[2]analyte_order!$B:$B,[2]analyte_order!$C:$C)</f>
        <v>70887-84-2</v>
      </c>
      <c r="M1394">
        <f>_xlfn.XLOOKUP(L1394,[2]analyte_order!$C:$C,[2]analyte_order!$E:$E)</f>
        <v>45</v>
      </c>
      <c r="N1394">
        <v>4.1568383297669494E-2</v>
      </c>
    </row>
    <row r="1395" spans="1:14">
      <c r="A1395" t="s">
        <v>239</v>
      </c>
      <c r="B1395" t="str">
        <f>_xlfn.XLOOKUP(A1395,'[1]Tissue Data'!$A:$A,'[1]Tissue Data'!$C:$C)</f>
        <v>Spill</v>
      </c>
      <c r="C1395" s="2">
        <f>_xlfn.XLOOKUP(A1395,'[1]Tissue Data'!$A:$A,'[1]Tissue Data'!$D:$D)</f>
        <v>44314</v>
      </c>
      <c r="D1395" s="2" t="str">
        <f>_xlfn.XLOOKUP(A1395,'[1]Tissue Data'!$A:$A,'[1]Tissue Data'!$F:$F)</f>
        <v>Pumpkinseed</v>
      </c>
      <c r="E1395" t="str">
        <f>_xlfn.XLOOKUP(A1395,'[1]Tissue Data'!$A:$A,'[1]Tissue Data'!$H:$H)</f>
        <v>Lepomis</v>
      </c>
      <c r="F1395" t="str">
        <f>_xlfn.XLOOKUP(A1395,'[1]Tissue Data'!$A:$A,'[1]Tissue Data'!$I:$I)</f>
        <v>gibbosus</v>
      </c>
      <c r="G1395" t="str">
        <f>_xlfn.XLOOKUP(A1395,'[1]Tissue Data'!$A:$A,'[1]Tissue Data'!J:J)</f>
        <v>U</v>
      </c>
      <c r="H1395" t="str">
        <f>_xlfn.XLOOKUP(A1395,'[1]Tissue Data'!$A:$A,'[1]Tissue Data'!K:K)</f>
        <v>Whole Body</v>
      </c>
      <c r="I1395">
        <f>_xlfn.XLOOKUP(A1395,'[1]Tissue Data'!$A:$A,'[1]Tissue Data'!L:L)</f>
        <v>7</v>
      </c>
      <c r="J1395">
        <f>_xlfn.XLOOKUP(A1395,'[1]Tissue Data'!$A:$A,'[1]Tissue Data'!M:M)</f>
        <v>10</v>
      </c>
      <c r="K1395" t="s">
        <v>55</v>
      </c>
      <c r="L1395" t="str">
        <f>_xlfn.XLOOKUP(K1395,[2]analyte_order!$B:$B,[2]analyte_order!$C:$C)</f>
        <v>919005-14-4</v>
      </c>
      <c r="M1395">
        <f>_xlfn.XLOOKUP(L1395,[2]analyte_order!$C:$C,[2]analyte_order!$E:$E)</f>
        <v>35</v>
      </c>
      <c r="N1395">
        <v>6.87871450583315E-2</v>
      </c>
    </row>
    <row r="1396" spans="1:14">
      <c r="A1396" t="s">
        <v>239</v>
      </c>
      <c r="B1396" t="str">
        <f>_xlfn.XLOOKUP(A1396,'[1]Tissue Data'!$A:$A,'[1]Tissue Data'!$C:$C)</f>
        <v>Spill</v>
      </c>
      <c r="C1396" s="2">
        <f>_xlfn.XLOOKUP(A1396,'[1]Tissue Data'!$A:$A,'[1]Tissue Data'!$D:$D)</f>
        <v>44314</v>
      </c>
      <c r="D1396" s="2" t="str">
        <f>_xlfn.XLOOKUP(A1396,'[1]Tissue Data'!$A:$A,'[1]Tissue Data'!$F:$F)</f>
        <v>Pumpkinseed</v>
      </c>
      <c r="E1396" t="str">
        <f>_xlfn.XLOOKUP(A1396,'[1]Tissue Data'!$A:$A,'[1]Tissue Data'!$H:$H)</f>
        <v>Lepomis</v>
      </c>
      <c r="F1396" t="str">
        <f>_xlfn.XLOOKUP(A1396,'[1]Tissue Data'!$A:$A,'[1]Tissue Data'!$I:$I)</f>
        <v>gibbosus</v>
      </c>
      <c r="G1396" t="str">
        <f>_xlfn.XLOOKUP(A1396,'[1]Tissue Data'!$A:$A,'[1]Tissue Data'!J:J)</f>
        <v>U</v>
      </c>
      <c r="H1396" t="str">
        <f>_xlfn.XLOOKUP(A1396,'[1]Tissue Data'!$A:$A,'[1]Tissue Data'!K:K)</f>
        <v>Whole Body</v>
      </c>
      <c r="I1396">
        <f>_xlfn.XLOOKUP(A1396,'[1]Tissue Data'!$A:$A,'[1]Tissue Data'!L:L)</f>
        <v>7</v>
      </c>
      <c r="J1396">
        <f>_xlfn.XLOOKUP(A1396,'[1]Tissue Data'!$A:$A,'[1]Tissue Data'!M:M)</f>
        <v>10</v>
      </c>
      <c r="K1396" t="s">
        <v>56</v>
      </c>
      <c r="L1396" t="str">
        <f>_xlfn.XLOOKUP(K1396,[2]analyte_order!$B:$B,[2]analyte_order!$C:$C)</f>
        <v>756426-58-1</v>
      </c>
      <c r="M1396">
        <f>_xlfn.XLOOKUP(L1396,[2]analyte_order!$C:$C,[2]analyte_order!$E:$E)</f>
        <v>36</v>
      </c>
      <c r="N1396">
        <v>4.7745614078389835E-2</v>
      </c>
    </row>
    <row r="1397" spans="1:14">
      <c r="A1397" t="s">
        <v>239</v>
      </c>
      <c r="B1397" t="str">
        <f>_xlfn.XLOOKUP(A1397,'[1]Tissue Data'!$A:$A,'[1]Tissue Data'!$C:$C)</f>
        <v>Spill</v>
      </c>
      <c r="C1397" s="2">
        <f>_xlfn.XLOOKUP(A1397,'[1]Tissue Data'!$A:$A,'[1]Tissue Data'!$D:$D)</f>
        <v>44314</v>
      </c>
      <c r="D1397" s="2" t="str">
        <f>_xlfn.XLOOKUP(A1397,'[1]Tissue Data'!$A:$A,'[1]Tissue Data'!$F:$F)</f>
        <v>Pumpkinseed</v>
      </c>
      <c r="E1397" t="str">
        <f>_xlfn.XLOOKUP(A1397,'[1]Tissue Data'!$A:$A,'[1]Tissue Data'!$H:$H)</f>
        <v>Lepomis</v>
      </c>
      <c r="F1397" t="str">
        <f>_xlfn.XLOOKUP(A1397,'[1]Tissue Data'!$A:$A,'[1]Tissue Data'!$I:$I)</f>
        <v>gibbosus</v>
      </c>
      <c r="G1397" t="str">
        <f>_xlfn.XLOOKUP(A1397,'[1]Tissue Data'!$A:$A,'[1]Tissue Data'!J:J)</f>
        <v>U</v>
      </c>
      <c r="H1397" t="str">
        <f>_xlfn.XLOOKUP(A1397,'[1]Tissue Data'!$A:$A,'[1]Tissue Data'!K:K)</f>
        <v>Whole Body</v>
      </c>
      <c r="I1397">
        <f>_xlfn.XLOOKUP(A1397,'[1]Tissue Data'!$A:$A,'[1]Tissue Data'!L:L)</f>
        <v>7</v>
      </c>
      <c r="J1397">
        <f>_xlfn.XLOOKUP(A1397,'[1]Tissue Data'!$A:$A,'[1]Tissue Data'!M:M)</f>
        <v>10</v>
      </c>
      <c r="K1397" t="s">
        <v>57</v>
      </c>
      <c r="L1397" t="str">
        <f>_xlfn.XLOOKUP(K1397,[2]analyte_order!$B:$B,[2]analyte_order!$C:$C)</f>
        <v>763051-92-9</v>
      </c>
      <c r="M1397">
        <f>_xlfn.XLOOKUP(L1397,[2]analyte_order!$C:$C,[2]analyte_order!$E:$E)</f>
        <v>37</v>
      </c>
      <c r="N1397">
        <v>5.4203619947033897E-2</v>
      </c>
    </row>
    <row r="1398" spans="1:14">
      <c r="A1398" t="s">
        <v>239</v>
      </c>
      <c r="B1398" t="str">
        <f>_xlfn.XLOOKUP(A1398,'[1]Tissue Data'!$A:$A,'[1]Tissue Data'!$C:$C)</f>
        <v>Spill</v>
      </c>
      <c r="C1398" s="2">
        <f>_xlfn.XLOOKUP(A1398,'[1]Tissue Data'!$A:$A,'[1]Tissue Data'!$D:$D)</f>
        <v>44314</v>
      </c>
      <c r="D1398" s="2" t="str">
        <f>_xlfn.XLOOKUP(A1398,'[1]Tissue Data'!$A:$A,'[1]Tissue Data'!$F:$F)</f>
        <v>Pumpkinseed</v>
      </c>
      <c r="E1398" t="str">
        <f>_xlfn.XLOOKUP(A1398,'[1]Tissue Data'!$A:$A,'[1]Tissue Data'!$H:$H)</f>
        <v>Lepomis</v>
      </c>
      <c r="F1398" t="str">
        <f>_xlfn.XLOOKUP(A1398,'[1]Tissue Data'!$A:$A,'[1]Tissue Data'!$I:$I)</f>
        <v>gibbosus</v>
      </c>
      <c r="G1398" t="str">
        <f>_xlfn.XLOOKUP(A1398,'[1]Tissue Data'!$A:$A,'[1]Tissue Data'!J:J)</f>
        <v>U</v>
      </c>
      <c r="H1398" t="str">
        <f>_xlfn.XLOOKUP(A1398,'[1]Tissue Data'!$A:$A,'[1]Tissue Data'!K:K)</f>
        <v>Whole Body</v>
      </c>
      <c r="I1398">
        <f>_xlfn.XLOOKUP(A1398,'[1]Tissue Data'!$A:$A,'[1]Tissue Data'!L:L)</f>
        <v>7</v>
      </c>
      <c r="J1398">
        <f>_xlfn.XLOOKUP(A1398,'[1]Tissue Data'!$A:$A,'[1]Tissue Data'!M:M)</f>
        <v>10</v>
      </c>
      <c r="K1398" t="s">
        <v>58</v>
      </c>
      <c r="L1398" t="str">
        <f>_xlfn.XLOOKUP(K1398,[2]analyte_order!$B:$B,[2]analyte_order!$C:$C)</f>
        <v>13252-13-6</v>
      </c>
      <c r="M1398">
        <f>_xlfn.XLOOKUP(L1398,[2]analyte_order!$C:$C,[2]analyte_order!$E:$E)</f>
        <v>34</v>
      </c>
      <c r="N1398">
        <v>9.8711518061440698E-2</v>
      </c>
    </row>
    <row r="1399" spans="1:14">
      <c r="A1399" t="s">
        <v>239</v>
      </c>
      <c r="B1399" t="str">
        <f>_xlfn.XLOOKUP(A1399,'[1]Tissue Data'!$A:$A,'[1]Tissue Data'!$C:$C)</f>
        <v>Spill</v>
      </c>
      <c r="C1399" s="2">
        <f>_xlfn.XLOOKUP(A1399,'[1]Tissue Data'!$A:$A,'[1]Tissue Data'!$D:$D)</f>
        <v>44314</v>
      </c>
      <c r="D1399" s="2" t="str">
        <f>_xlfn.XLOOKUP(A1399,'[1]Tissue Data'!$A:$A,'[1]Tissue Data'!$F:$F)</f>
        <v>Pumpkinseed</v>
      </c>
      <c r="E1399" t="str">
        <f>_xlfn.XLOOKUP(A1399,'[1]Tissue Data'!$A:$A,'[1]Tissue Data'!$H:$H)</f>
        <v>Lepomis</v>
      </c>
      <c r="F1399" t="str">
        <f>_xlfn.XLOOKUP(A1399,'[1]Tissue Data'!$A:$A,'[1]Tissue Data'!$I:$I)</f>
        <v>gibbosus</v>
      </c>
      <c r="G1399" t="str">
        <f>_xlfn.XLOOKUP(A1399,'[1]Tissue Data'!$A:$A,'[1]Tissue Data'!J:J)</f>
        <v>U</v>
      </c>
      <c r="H1399" t="str">
        <f>_xlfn.XLOOKUP(A1399,'[1]Tissue Data'!$A:$A,'[1]Tissue Data'!K:K)</f>
        <v>Whole Body</v>
      </c>
      <c r="I1399">
        <f>_xlfn.XLOOKUP(A1399,'[1]Tissue Data'!$A:$A,'[1]Tissue Data'!L:L)</f>
        <v>7</v>
      </c>
      <c r="J1399">
        <f>_xlfn.XLOOKUP(A1399,'[1]Tissue Data'!$A:$A,'[1]Tissue Data'!M:M)</f>
        <v>10</v>
      </c>
      <c r="K1399" t="s">
        <v>59</v>
      </c>
      <c r="L1399" t="str">
        <f>_xlfn.XLOOKUP(K1399,[2]analyte_order!$B:$B,[2]analyte_order!$C:$C)</f>
        <v>57677-95-9</v>
      </c>
      <c r="M1399">
        <f>_xlfn.XLOOKUP(L1399,[2]analyte_order!$C:$C,[2]analyte_order!$E:$E)</f>
        <v>46</v>
      </c>
      <c r="N1399">
        <v>7.3225906302966104E-2</v>
      </c>
    </row>
    <row r="1400" spans="1:14">
      <c r="A1400" t="s">
        <v>239</v>
      </c>
      <c r="B1400" t="str">
        <f>_xlfn.XLOOKUP(A1400,'[1]Tissue Data'!$A:$A,'[1]Tissue Data'!$C:$C)</f>
        <v>Spill</v>
      </c>
      <c r="C1400" s="2">
        <f>_xlfn.XLOOKUP(A1400,'[1]Tissue Data'!$A:$A,'[1]Tissue Data'!$D:$D)</f>
        <v>44314</v>
      </c>
      <c r="D1400" s="2" t="str">
        <f>_xlfn.XLOOKUP(A1400,'[1]Tissue Data'!$A:$A,'[1]Tissue Data'!$F:$F)</f>
        <v>Pumpkinseed</v>
      </c>
      <c r="E1400" t="str">
        <f>_xlfn.XLOOKUP(A1400,'[1]Tissue Data'!$A:$A,'[1]Tissue Data'!$H:$H)</f>
        <v>Lepomis</v>
      </c>
      <c r="F1400" t="str">
        <f>_xlfn.XLOOKUP(A1400,'[1]Tissue Data'!$A:$A,'[1]Tissue Data'!$I:$I)</f>
        <v>gibbosus</v>
      </c>
      <c r="G1400" t="str">
        <f>_xlfn.XLOOKUP(A1400,'[1]Tissue Data'!$A:$A,'[1]Tissue Data'!J:J)</f>
        <v>U</v>
      </c>
      <c r="H1400" t="str">
        <f>_xlfn.XLOOKUP(A1400,'[1]Tissue Data'!$A:$A,'[1]Tissue Data'!K:K)</f>
        <v>Whole Body</v>
      </c>
      <c r="I1400">
        <f>_xlfn.XLOOKUP(A1400,'[1]Tissue Data'!$A:$A,'[1]Tissue Data'!L:L)</f>
        <v>7</v>
      </c>
      <c r="J1400">
        <f>_xlfn.XLOOKUP(A1400,'[1]Tissue Data'!$A:$A,'[1]Tissue Data'!M:M)</f>
        <v>10</v>
      </c>
      <c r="K1400" t="s">
        <v>60</v>
      </c>
      <c r="L1400" t="str">
        <f>_xlfn.XLOOKUP(K1400,[2]analyte_order!$B:$B,[2]analyte_order!$C:$C)</f>
        <v>678-41-1</v>
      </c>
      <c r="M1400">
        <f>_xlfn.XLOOKUP(L1400,[2]analyte_order!$C:$C,[2]analyte_order!$E:$E)</f>
        <v>56</v>
      </c>
      <c r="N1400">
        <v>9.1198960455508474E-2</v>
      </c>
    </row>
    <row r="1401" spans="1:14">
      <c r="A1401" t="s">
        <v>239</v>
      </c>
      <c r="B1401" t="str">
        <f>_xlfn.XLOOKUP(A1401,'[1]Tissue Data'!$A:$A,'[1]Tissue Data'!$C:$C)</f>
        <v>Spill</v>
      </c>
      <c r="C1401" s="2">
        <f>_xlfn.XLOOKUP(A1401,'[1]Tissue Data'!$A:$A,'[1]Tissue Data'!$D:$D)</f>
        <v>44314</v>
      </c>
      <c r="D1401" s="2" t="str">
        <f>_xlfn.XLOOKUP(A1401,'[1]Tissue Data'!$A:$A,'[1]Tissue Data'!$F:$F)</f>
        <v>Pumpkinseed</v>
      </c>
      <c r="E1401" t="str">
        <f>_xlfn.XLOOKUP(A1401,'[1]Tissue Data'!$A:$A,'[1]Tissue Data'!$H:$H)</f>
        <v>Lepomis</v>
      </c>
      <c r="F1401" t="str">
        <f>_xlfn.XLOOKUP(A1401,'[1]Tissue Data'!$A:$A,'[1]Tissue Data'!$I:$I)</f>
        <v>gibbosus</v>
      </c>
      <c r="G1401" t="str">
        <f>_xlfn.XLOOKUP(A1401,'[1]Tissue Data'!$A:$A,'[1]Tissue Data'!J:J)</f>
        <v>U</v>
      </c>
      <c r="H1401" t="str">
        <f>_xlfn.XLOOKUP(A1401,'[1]Tissue Data'!$A:$A,'[1]Tissue Data'!K:K)</f>
        <v>Whole Body</v>
      </c>
      <c r="I1401">
        <f>_xlfn.XLOOKUP(A1401,'[1]Tissue Data'!$A:$A,'[1]Tissue Data'!L:L)</f>
        <v>7</v>
      </c>
      <c r="J1401">
        <f>_xlfn.XLOOKUP(A1401,'[1]Tissue Data'!$A:$A,'[1]Tissue Data'!M:M)</f>
        <v>10</v>
      </c>
      <c r="K1401" t="s">
        <v>61</v>
      </c>
      <c r="L1401" t="str">
        <f>_xlfn.XLOOKUP(K1401,[2]analyte_order!$B:$B,[2]analyte_order!$C:$C)</f>
        <v>2965-52-8</v>
      </c>
      <c r="M1401">
        <f>_xlfn.XLOOKUP(L1401,[2]analyte_order!$C:$C,[2]analyte_order!$E:$E)</f>
        <v>57</v>
      </c>
      <c r="N1401">
        <v>0.12106537530266342</v>
      </c>
    </row>
    <row r="1402" spans="1:14">
      <c r="A1402" t="s">
        <v>240</v>
      </c>
      <c r="B1402" t="str">
        <f>_xlfn.XLOOKUP(A1402,'[1]Tissue Data'!$A:$A,'[1]Tissue Data'!$C:$C)</f>
        <v>Spill</v>
      </c>
      <c r="C1402" s="2">
        <f>_xlfn.XLOOKUP(A1402,'[1]Tissue Data'!$A:$A,'[1]Tissue Data'!$D:$D)</f>
        <v>44314</v>
      </c>
      <c r="D1402" s="2" t="str">
        <f>_xlfn.XLOOKUP(A1402,'[1]Tissue Data'!$A:$A,'[1]Tissue Data'!$F:$F)</f>
        <v>Pumpkinseed</v>
      </c>
      <c r="E1402" t="str">
        <f>_xlfn.XLOOKUP(A1402,'[1]Tissue Data'!$A:$A,'[1]Tissue Data'!$H:$H)</f>
        <v>Lepomis</v>
      </c>
      <c r="F1402" t="str">
        <f>_xlfn.XLOOKUP(A1402,'[1]Tissue Data'!$A:$A,'[1]Tissue Data'!$I:$I)</f>
        <v>gibbosus</v>
      </c>
      <c r="G1402" t="str">
        <f>_xlfn.XLOOKUP(A1402,'[1]Tissue Data'!$A:$A,'[1]Tissue Data'!J:J)</f>
        <v>U</v>
      </c>
      <c r="H1402" t="str">
        <f>_xlfn.XLOOKUP(A1402,'[1]Tissue Data'!$A:$A,'[1]Tissue Data'!K:K)</f>
        <v>Whole Body</v>
      </c>
      <c r="I1402">
        <f>_xlfn.XLOOKUP(A1402,'[1]Tissue Data'!$A:$A,'[1]Tissue Data'!L:L)</f>
        <v>7</v>
      </c>
      <c r="J1402">
        <f>_xlfn.XLOOKUP(A1402,'[1]Tissue Data'!$A:$A,'[1]Tissue Data'!M:M)</f>
        <v>8.8000000000000007</v>
      </c>
      <c r="K1402" t="s">
        <v>12</v>
      </c>
      <c r="L1402" t="str">
        <f>_xlfn.XLOOKUP(K1402,[2]analyte_order!$B:$B,[2]analyte_order!$C:$C)</f>
        <v>375-22-4</v>
      </c>
      <c r="M1402">
        <f>_xlfn.XLOOKUP(L1402,[2]analyte_order!$C:$C,[2]analyte_order!$E:$E)</f>
        <v>1</v>
      </c>
      <c r="N1402">
        <v>2.7029462113703943E-2</v>
      </c>
    </row>
    <row r="1403" spans="1:14">
      <c r="A1403" t="s">
        <v>240</v>
      </c>
      <c r="B1403" t="str">
        <f>_xlfn.XLOOKUP(A1403,'[1]Tissue Data'!$A:$A,'[1]Tissue Data'!$C:$C)</f>
        <v>Spill</v>
      </c>
      <c r="C1403" s="2">
        <f>_xlfn.XLOOKUP(A1403,'[1]Tissue Data'!$A:$A,'[1]Tissue Data'!$D:$D)</f>
        <v>44314</v>
      </c>
      <c r="D1403" s="2" t="str">
        <f>_xlfn.XLOOKUP(A1403,'[1]Tissue Data'!$A:$A,'[1]Tissue Data'!$F:$F)</f>
        <v>Pumpkinseed</v>
      </c>
      <c r="E1403" t="str">
        <f>_xlfn.XLOOKUP(A1403,'[1]Tissue Data'!$A:$A,'[1]Tissue Data'!$H:$H)</f>
        <v>Lepomis</v>
      </c>
      <c r="F1403" t="str">
        <f>_xlfn.XLOOKUP(A1403,'[1]Tissue Data'!$A:$A,'[1]Tissue Data'!$I:$I)</f>
        <v>gibbosus</v>
      </c>
      <c r="G1403" t="str">
        <f>_xlfn.XLOOKUP(A1403,'[1]Tissue Data'!$A:$A,'[1]Tissue Data'!J:J)</f>
        <v>U</v>
      </c>
      <c r="H1403" t="str">
        <f>_xlfn.XLOOKUP(A1403,'[1]Tissue Data'!$A:$A,'[1]Tissue Data'!K:K)</f>
        <v>Whole Body</v>
      </c>
      <c r="I1403">
        <f>_xlfn.XLOOKUP(A1403,'[1]Tissue Data'!$A:$A,'[1]Tissue Data'!L:L)</f>
        <v>7</v>
      </c>
      <c r="J1403">
        <f>_xlfn.XLOOKUP(A1403,'[1]Tissue Data'!$A:$A,'[1]Tissue Data'!M:M)</f>
        <v>8.8000000000000007</v>
      </c>
      <c r="K1403" t="s">
        <v>13</v>
      </c>
      <c r="L1403" t="str">
        <f>_xlfn.XLOOKUP(K1403,[2]analyte_order!$B:$B,[2]analyte_order!$C:$C)</f>
        <v>2706-90-3</v>
      </c>
      <c r="M1403">
        <f>_xlfn.XLOOKUP(L1403,[2]analyte_order!$C:$C,[2]analyte_order!$E:$E)</f>
        <v>2</v>
      </c>
      <c r="N1403">
        <v>4.7743577808225975E-2</v>
      </c>
    </row>
    <row r="1404" spans="1:14">
      <c r="A1404" t="s">
        <v>240</v>
      </c>
      <c r="B1404" t="str">
        <f>_xlfn.XLOOKUP(A1404,'[1]Tissue Data'!$A:$A,'[1]Tissue Data'!$C:$C)</f>
        <v>Spill</v>
      </c>
      <c r="C1404" s="2">
        <f>_xlfn.XLOOKUP(A1404,'[1]Tissue Data'!$A:$A,'[1]Tissue Data'!$D:$D)</f>
        <v>44314</v>
      </c>
      <c r="D1404" s="2" t="str">
        <f>_xlfn.XLOOKUP(A1404,'[1]Tissue Data'!$A:$A,'[1]Tissue Data'!$F:$F)</f>
        <v>Pumpkinseed</v>
      </c>
      <c r="E1404" t="str">
        <f>_xlfn.XLOOKUP(A1404,'[1]Tissue Data'!$A:$A,'[1]Tissue Data'!$H:$H)</f>
        <v>Lepomis</v>
      </c>
      <c r="F1404" t="str">
        <f>_xlfn.XLOOKUP(A1404,'[1]Tissue Data'!$A:$A,'[1]Tissue Data'!$I:$I)</f>
        <v>gibbosus</v>
      </c>
      <c r="G1404" t="str">
        <f>_xlfn.XLOOKUP(A1404,'[1]Tissue Data'!$A:$A,'[1]Tissue Data'!J:J)</f>
        <v>U</v>
      </c>
      <c r="H1404" t="str">
        <f>_xlfn.XLOOKUP(A1404,'[1]Tissue Data'!$A:$A,'[1]Tissue Data'!K:K)</f>
        <v>Whole Body</v>
      </c>
      <c r="I1404">
        <f>_xlfn.XLOOKUP(A1404,'[1]Tissue Data'!$A:$A,'[1]Tissue Data'!L:L)</f>
        <v>7</v>
      </c>
      <c r="J1404">
        <f>_xlfn.XLOOKUP(A1404,'[1]Tissue Data'!$A:$A,'[1]Tissue Data'!M:M)</f>
        <v>8.8000000000000007</v>
      </c>
      <c r="K1404" t="s">
        <v>14</v>
      </c>
      <c r="L1404" t="str">
        <f>_xlfn.XLOOKUP(K1404,[2]analyte_order!$B:$B,[2]analyte_order!$C:$C)</f>
        <v>307-24-4</v>
      </c>
      <c r="M1404">
        <f>_xlfn.XLOOKUP(L1404,[2]analyte_order!$C:$C,[2]analyte_order!$E:$E)</f>
        <v>3</v>
      </c>
      <c r="N1404">
        <v>0.12696626261955773</v>
      </c>
    </row>
    <row r="1405" spans="1:14">
      <c r="A1405" t="s">
        <v>240</v>
      </c>
      <c r="B1405" t="str">
        <f>_xlfn.XLOOKUP(A1405,'[1]Tissue Data'!$A:$A,'[1]Tissue Data'!$C:$C)</f>
        <v>Spill</v>
      </c>
      <c r="C1405" s="2">
        <f>_xlfn.XLOOKUP(A1405,'[1]Tissue Data'!$A:$A,'[1]Tissue Data'!$D:$D)</f>
        <v>44314</v>
      </c>
      <c r="D1405" s="2" t="str">
        <f>_xlfn.XLOOKUP(A1405,'[1]Tissue Data'!$A:$A,'[1]Tissue Data'!$F:$F)</f>
        <v>Pumpkinseed</v>
      </c>
      <c r="E1405" t="str">
        <f>_xlfn.XLOOKUP(A1405,'[1]Tissue Data'!$A:$A,'[1]Tissue Data'!$H:$H)</f>
        <v>Lepomis</v>
      </c>
      <c r="F1405" t="str">
        <f>_xlfn.XLOOKUP(A1405,'[1]Tissue Data'!$A:$A,'[1]Tissue Data'!$I:$I)</f>
        <v>gibbosus</v>
      </c>
      <c r="G1405" t="str">
        <f>_xlfn.XLOOKUP(A1405,'[1]Tissue Data'!$A:$A,'[1]Tissue Data'!J:J)</f>
        <v>U</v>
      </c>
      <c r="H1405" t="str">
        <f>_xlfn.XLOOKUP(A1405,'[1]Tissue Data'!$A:$A,'[1]Tissue Data'!K:K)</f>
        <v>Whole Body</v>
      </c>
      <c r="I1405">
        <f>_xlfn.XLOOKUP(A1405,'[1]Tissue Data'!$A:$A,'[1]Tissue Data'!L:L)</f>
        <v>7</v>
      </c>
      <c r="J1405">
        <f>_xlfn.XLOOKUP(A1405,'[1]Tissue Data'!$A:$A,'[1]Tissue Data'!M:M)</f>
        <v>8.8000000000000007</v>
      </c>
      <c r="K1405" t="s">
        <v>15</v>
      </c>
      <c r="L1405" t="str">
        <f>_xlfn.XLOOKUP(K1405,[2]analyte_order!$B:$B,[2]analyte_order!$C:$C)</f>
        <v>375-85-9</v>
      </c>
      <c r="M1405">
        <f>_xlfn.XLOOKUP(L1405,[2]analyte_order!$C:$C,[2]analyte_order!$E:$E)</f>
        <v>4</v>
      </c>
      <c r="N1405">
        <v>9.410288582183185E-2</v>
      </c>
    </row>
    <row r="1406" spans="1:14">
      <c r="A1406" t="s">
        <v>240</v>
      </c>
      <c r="B1406" t="str">
        <f>_xlfn.XLOOKUP(A1406,'[1]Tissue Data'!$A:$A,'[1]Tissue Data'!$C:$C)</f>
        <v>Spill</v>
      </c>
      <c r="C1406" s="2">
        <f>_xlfn.XLOOKUP(A1406,'[1]Tissue Data'!$A:$A,'[1]Tissue Data'!$D:$D)</f>
        <v>44314</v>
      </c>
      <c r="D1406" s="2" t="str">
        <f>_xlfn.XLOOKUP(A1406,'[1]Tissue Data'!$A:$A,'[1]Tissue Data'!$F:$F)</f>
        <v>Pumpkinseed</v>
      </c>
      <c r="E1406" t="str">
        <f>_xlfn.XLOOKUP(A1406,'[1]Tissue Data'!$A:$A,'[1]Tissue Data'!$H:$H)</f>
        <v>Lepomis</v>
      </c>
      <c r="F1406" t="str">
        <f>_xlfn.XLOOKUP(A1406,'[1]Tissue Data'!$A:$A,'[1]Tissue Data'!$I:$I)</f>
        <v>gibbosus</v>
      </c>
      <c r="G1406" t="str">
        <f>_xlfn.XLOOKUP(A1406,'[1]Tissue Data'!$A:$A,'[1]Tissue Data'!J:J)</f>
        <v>U</v>
      </c>
      <c r="H1406" t="str">
        <f>_xlfn.XLOOKUP(A1406,'[1]Tissue Data'!$A:$A,'[1]Tissue Data'!K:K)</f>
        <v>Whole Body</v>
      </c>
      <c r="I1406">
        <f>_xlfn.XLOOKUP(A1406,'[1]Tissue Data'!$A:$A,'[1]Tissue Data'!L:L)</f>
        <v>7</v>
      </c>
      <c r="J1406">
        <f>_xlfn.XLOOKUP(A1406,'[1]Tissue Data'!$A:$A,'[1]Tissue Data'!M:M)</f>
        <v>8.8000000000000007</v>
      </c>
      <c r="K1406" t="s">
        <v>16</v>
      </c>
      <c r="L1406" t="str">
        <f>_xlfn.XLOOKUP(K1406,[2]analyte_order!$B:$B,[2]analyte_order!$C:$C)</f>
        <v>335-67-1</v>
      </c>
      <c r="M1406">
        <f>_xlfn.XLOOKUP(L1406,[2]analyte_order!$C:$C,[2]analyte_order!$E:$E)</f>
        <v>5</v>
      </c>
      <c r="N1406">
        <v>0.377</v>
      </c>
    </row>
    <row r="1407" spans="1:14">
      <c r="A1407" t="s">
        <v>240</v>
      </c>
      <c r="B1407" t="str">
        <f>_xlfn.XLOOKUP(A1407,'[1]Tissue Data'!$A:$A,'[1]Tissue Data'!$C:$C)</f>
        <v>Spill</v>
      </c>
      <c r="C1407" s="2">
        <f>_xlfn.XLOOKUP(A1407,'[1]Tissue Data'!$A:$A,'[1]Tissue Data'!$D:$D)</f>
        <v>44314</v>
      </c>
      <c r="D1407" s="2" t="str">
        <f>_xlfn.XLOOKUP(A1407,'[1]Tissue Data'!$A:$A,'[1]Tissue Data'!$F:$F)</f>
        <v>Pumpkinseed</v>
      </c>
      <c r="E1407" t="str">
        <f>_xlfn.XLOOKUP(A1407,'[1]Tissue Data'!$A:$A,'[1]Tissue Data'!$H:$H)</f>
        <v>Lepomis</v>
      </c>
      <c r="F1407" t="str">
        <f>_xlfn.XLOOKUP(A1407,'[1]Tissue Data'!$A:$A,'[1]Tissue Data'!$I:$I)</f>
        <v>gibbosus</v>
      </c>
      <c r="G1407" t="str">
        <f>_xlfn.XLOOKUP(A1407,'[1]Tissue Data'!$A:$A,'[1]Tissue Data'!J:J)</f>
        <v>U</v>
      </c>
      <c r="H1407" t="str">
        <f>_xlfn.XLOOKUP(A1407,'[1]Tissue Data'!$A:$A,'[1]Tissue Data'!K:K)</f>
        <v>Whole Body</v>
      </c>
      <c r="I1407">
        <f>_xlfn.XLOOKUP(A1407,'[1]Tissue Data'!$A:$A,'[1]Tissue Data'!L:L)</f>
        <v>7</v>
      </c>
      <c r="J1407">
        <f>_xlfn.XLOOKUP(A1407,'[1]Tissue Data'!$A:$A,'[1]Tissue Data'!M:M)</f>
        <v>8.8000000000000007</v>
      </c>
      <c r="K1407" t="s">
        <v>17</v>
      </c>
      <c r="L1407" t="str">
        <f>_xlfn.XLOOKUP(K1407,[2]analyte_order!$B:$B,[2]analyte_order!$C:$C)</f>
        <v>375-95-1</v>
      </c>
      <c r="M1407">
        <f>_xlfn.XLOOKUP(L1407,[2]analyte_order!$C:$C,[2]analyte_order!$E:$E)</f>
        <v>6</v>
      </c>
      <c r="N1407">
        <v>0.16280865149482432</v>
      </c>
    </row>
    <row r="1408" spans="1:14">
      <c r="A1408" t="s">
        <v>240</v>
      </c>
      <c r="B1408" t="str">
        <f>_xlfn.XLOOKUP(A1408,'[1]Tissue Data'!$A:$A,'[1]Tissue Data'!$C:$C)</f>
        <v>Spill</v>
      </c>
      <c r="C1408" s="2">
        <f>_xlfn.XLOOKUP(A1408,'[1]Tissue Data'!$A:$A,'[1]Tissue Data'!$D:$D)</f>
        <v>44314</v>
      </c>
      <c r="D1408" s="2" t="str">
        <f>_xlfn.XLOOKUP(A1408,'[1]Tissue Data'!$A:$A,'[1]Tissue Data'!$F:$F)</f>
        <v>Pumpkinseed</v>
      </c>
      <c r="E1408" t="str">
        <f>_xlfn.XLOOKUP(A1408,'[1]Tissue Data'!$A:$A,'[1]Tissue Data'!$H:$H)</f>
        <v>Lepomis</v>
      </c>
      <c r="F1408" t="str">
        <f>_xlfn.XLOOKUP(A1408,'[1]Tissue Data'!$A:$A,'[1]Tissue Data'!$I:$I)</f>
        <v>gibbosus</v>
      </c>
      <c r="G1408" t="str">
        <f>_xlfn.XLOOKUP(A1408,'[1]Tissue Data'!$A:$A,'[1]Tissue Data'!J:J)</f>
        <v>U</v>
      </c>
      <c r="H1408" t="str">
        <f>_xlfn.XLOOKUP(A1408,'[1]Tissue Data'!$A:$A,'[1]Tissue Data'!K:K)</f>
        <v>Whole Body</v>
      </c>
      <c r="I1408">
        <f>_xlfn.XLOOKUP(A1408,'[1]Tissue Data'!$A:$A,'[1]Tissue Data'!L:L)</f>
        <v>7</v>
      </c>
      <c r="J1408">
        <f>_xlfn.XLOOKUP(A1408,'[1]Tissue Data'!$A:$A,'[1]Tissue Data'!M:M)</f>
        <v>8.8000000000000007</v>
      </c>
      <c r="K1408" t="s">
        <v>18</v>
      </c>
      <c r="L1408" t="str">
        <f>_xlfn.XLOOKUP(K1408,[2]analyte_order!$B:$B,[2]analyte_order!$C:$C)</f>
        <v>335-76-2</v>
      </c>
      <c r="M1408">
        <f>_xlfn.XLOOKUP(L1408,[2]analyte_order!$C:$C,[2]analyte_order!$E:$E)</f>
        <v>7</v>
      </c>
      <c r="N1408">
        <v>1.85</v>
      </c>
    </row>
    <row r="1409" spans="1:14">
      <c r="A1409" t="s">
        <v>240</v>
      </c>
      <c r="B1409" t="str">
        <f>_xlfn.XLOOKUP(A1409,'[1]Tissue Data'!$A:$A,'[1]Tissue Data'!$C:$C)</f>
        <v>Spill</v>
      </c>
      <c r="C1409" s="2">
        <f>_xlfn.XLOOKUP(A1409,'[1]Tissue Data'!$A:$A,'[1]Tissue Data'!$D:$D)</f>
        <v>44314</v>
      </c>
      <c r="D1409" s="2" t="str">
        <f>_xlfn.XLOOKUP(A1409,'[1]Tissue Data'!$A:$A,'[1]Tissue Data'!$F:$F)</f>
        <v>Pumpkinseed</v>
      </c>
      <c r="E1409" t="str">
        <f>_xlfn.XLOOKUP(A1409,'[1]Tissue Data'!$A:$A,'[1]Tissue Data'!$H:$H)</f>
        <v>Lepomis</v>
      </c>
      <c r="F1409" t="str">
        <f>_xlfn.XLOOKUP(A1409,'[1]Tissue Data'!$A:$A,'[1]Tissue Data'!$I:$I)</f>
        <v>gibbosus</v>
      </c>
      <c r="G1409" t="str">
        <f>_xlfn.XLOOKUP(A1409,'[1]Tissue Data'!$A:$A,'[1]Tissue Data'!J:J)</f>
        <v>U</v>
      </c>
      <c r="H1409" t="str">
        <f>_xlfn.XLOOKUP(A1409,'[1]Tissue Data'!$A:$A,'[1]Tissue Data'!K:K)</f>
        <v>Whole Body</v>
      </c>
      <c r="I1409">
        <f>_xlfn.XLOOKUP(A1409,'[1]Tissue Data'!$A:$A,'[1]Tissue Data'!L:L)</f>
        <v>7</v>
      </c>
      <c r="J1409">
        <f>_xlfn.XLOOKUP(A1409,'[1]Tissue Data'!$A:$A,'[1]Tissue Data'!M:M)</f>
        <v>8.8000000000000007</v>
      </c>
      <c r="K1409" t="s">
        <v>19</v>
      </c>
      <c r="L1409" t="str">
        <f>_xlfn.XLOOKUP(K1409,[2]analyte_order!$B:$B,[2]analyte_order!$C:$C)</f>
        <v>2058-94-8</v>
      </c>
      <c r="M1409">
        <f>_xlfn.XLOOKUP(L1409,[2]analyte_order!$C:$C,[2]analyte_order!$E:$E)</f>
        <v>8</v>
      </c>
      <c r="N1409">
        <v>2.64</v>
      </c>
    </row>
    <row r="1410" spans="1:14">
      <c r="A1410" t="s">
        <v>240</v>
      </c>
      <c r="B1410" t="str">
        <f>_xlfn.XLOOKUP(A1410,'[1]Tissue Data'!$A:$A,'[1]Tissue Data'!$C:$C)</f>
        <v>Spill</v>
      </c>
      <c r="C1410" s="2">
        <f>_xlfn.XLOOKUP(A1410,'[1]Tissue Data'!$A:$A,'[1]Tissue Data'!$D:$D)</f>
        <v>44314</v>
      </c>
      <c r="D1410" s="2" t="str">
        <f>_xlfn.XLOOKUP(A1410,'[1]Tissue Data'!$A:$A,'[1]Tissue Data'!$F:$F)</f>
        <v>Pumpkinseed</v>
      </c>
      <c r="E1410" t="str">
        <f>_xlfn.XLOOKUP(A1410,'[1]Tissue Data'!$A:$A,'[1]Tissue Data'!$H:$H)</f>
        <v>Lepomis</v>
      </c>
      <c r="F1410" t="str">
        <f>_xlfn.XLOOKUP(A1410,'[1]Tissue Data'!$A:$A,'[1]Tissue Data'!$I:$I)</f>
        <v>gibbosus</v>
      </c>
      <c r="G1410" t="str">
        <f>_xlfn.XLOOKUP(A1410,'[1]Tissue Data'!$A:$A,'[1]Tissue Data'!J:J)</f>
        <v>U</v>
      </c>
      <c r="H1410" t="str">
        <f>_xlfn.XLOOKUP(A1410,'[1]Tissue Data'!$A:$A,'[1]Tissue Data'!K:K)</f>
        <v>Whole Body</v>
      </c>
      <c r="I1410">
        <f>_xlfn.XLOOKUP(A1410,'[1]Tissue Data'!$A:$A,'[1]Tissue Data'!L:L)</f>
        <v>7</v>
      </c>
      <c r="J1410">
        <f>_xlfn.XLOOKUP(A1410,'[1]Tissue Data'!$A:$A,'[1]Tissue Data'!M:M)</f>
        <v>8.8000000000000007</v>
      </c>
      <c r="K1410" t="s">
        <v>20</v>
      </c>
      <c r="L1410" t="str">
        <f>_xlfn.XLOOKUP(K1410,[2]analyte_order!$B:$B,[2]analyte_order!$C:$C)</f>
        <v>307-55-1</v>
      </c>
      <c r="M1410">
        <f>_xlfn.XLOOKUP(L1410,[2]analyte_order!$C:$C,[2]analyte_order!$E:$E)</f>
        <v>9</v>
      </c>
      <c r="N1410">
        <v>5.3953500420713583E-2</v>
      </c>
    </row>
    <row r="1411" spans="1:14">
      <c r="A1411" t="s">
        <v>240</v>
      </c>
      <c r="B1411" t="str">
        <f>_xlfn.XLOOKUP(A1411,'[1]Tissue Data'!$A:$A,'[1]Tissue Data'!$C:$C)</f>
        <v>Spill</v>
      </c>
      <c r="C1411" s="2">
        <f>_xlfn.XLOOKUP(A1411,'[1]Tissue Data'!$A:$A,'[1]Tissue Data'!$D:$D)</f>
        <v>44314</v>
      </c>
      <c r="D1411" s="2" t="str">
        <f>_xlfn.XLOOKUP(A1411,'[1]Tissue Data'!$A:$A,'[1]Tissue Data'!$F:$F)</f>
        <v>Pumpkinseed</v>
      </c>
      <c r="E1411" t="str">
        <f>_xlfn.XLOOKUP(A1411,'[1]Tissue Data'!$A:$A,'[1]Tissue Data'!$H:$H)</f>
        <v>Lepomis</v>
      </c>
      <c r="F1411" t="str">
        <f>_xlfn.XLOOKUP(A1411,'[1]Tissue Data'!$A:$A,'[1]Tissue Data'!$I:$I)</f>
        <v>gibbosus</v>
      </c>
      <c r="G1411" t="str">
        <f>_xlfn.XLOOKUP(A1411,'[1]Tissue Data'!$A:$A,'[1]Tissue Data'!J:J)</f>
        <v>U</v>
      </c>
      <c r="H1411" t="str">
        <f>_xlfn.XLOOKUP(A1411,'[1]Tissue Data'!$A:$A,'[1]Tissue Data'!K:K)</f>
        <v>Whole Body</v>
      </c>
      <c r="I1411">
        <f>_xlfn.XLOOKUP(A1411,'[1]Tissue Data'!$A:$A,'[1]Tissue Data'!L:L)</f>
        <v>7</v>
      </c>
      <c r="J1411">
        <f>_xlfn.XLOOKUP(A1411,'[1]Tissue Data'!$A:$A,'[1]Tissue Data'!M:M)</f>
        <v>8.8000000000000007</v>
      </c>
      <c r="K1411" t="s">
        <v>21</v>
      </c>
      <c r="L1411" t="str">
        <f>_xlfn.XLOOKUP(K1411,[2]analyte_order!$B:$B,[2]analyte_order!$C:$C)</f>
        <v>72629-94-8</v>
      </c>
      <c r="M1411">
        <f>_xlfn.XLOOKUP(L1411,[2]analyte_order!$C:$C,[2]analyte_order!$E:$E)</f>
        <v>10</v>
      </c>
      <c r="N1411">
        <v>1.97</v>
      </c>
    </row>
    <row r="1412" spans="1:14">
      <c r="A1412" t="s">
        <v>240</v>
      </c>
      <c r="B1412" t="str">
        <f>_xlfn.XLOOKUP(A1412,'[1]Tissue Data'!$A:$A,'[1]Tissue Data'!$C:$C)</f>
        <v>Spill</v>
      </c>
      <c r="C1412" s="2">
        <f>_xlfn.XLOOKUP(A1412,'[1]Tissue Data'!$A:$A,'[1]Tissue Data'!$D:$D)</f>
        <v>44314</v>
      </c>
      <c r="D1412" s="2" t="str">
        <f>_xlfn.XLOOKUP(A1412,'[1]Tissue Data'!$A:$A,'[1]Tissue Data'!$F:$F)</f>
        <v>Pumpkinseed</v>
      </c>
      <c r="E1412" t="str">
        <f>_xlfn.XLOOKUP(A1412,'[1]Tissue Data'!$A:$A,'[1]Tissue Data'!$H:$H)</f>
        <v>Lepomis</v>
      </c>
      <c r="F1412" t="str">
        <f>_xlfn.XLOOKUP(A1412,'[1]Tissue Data'!$A:$A,'[1]Tissue Data'!$I:$I)</f>
        <v>gibbosus</v>
      </c>
      <c r="G1412" t="str">
        <f>_xlfn.XLOOKUP(A1412,'[1]Tissue Data'!$A:$A,'[1]Tissue Data'!J:J)</f>
        <v>U</v>
      </c>
      <c r="H1412" t="str">
        <f>_xlfn.XLOOKUP(A1412,'[1]Tissue Data'!$A:$A,'[1]Tissue Data'!K:K)</f>
        <v>Whole Body</v>
      </c>
      <c r="I1412">
        <f>_xlfn.XLOOKUP(A1412,'[1]Tissue Data'!$A:$A,'[1]Tissue Data'!L:L)</f>
        <v>7</v>
      </c>
      <c r="J1412">
        <f>_xlfn.XLOOKUP(A1412,'[1]Tissue Data'!$A:$A,'[1]Tissue Data'!M:M)</f>
        <v>8.8000000000000007</v>
      </c>
      <c r="K1412" t="s">
        <v>22</v>
      </c>
      <c r="L1412" t="str">
        <f>_xlfn.XLOOKUP(K1412,[2]analyte_order!$B:$B,[2]analyte_order!$C:$C)</f>
        <v>376-06-7</v>
      </c>
      <c r="M1412">
        <f>_xlfn.XLOOKUP(L1412,[2]analyte_order!$C:$C,[2]analyte_order!$E:$E)</f>
        <v>11</v>
      </c>
      <c r="N1412">
        <v>5.57</v>
      </c>
    </row>
    <row r="1413" spans="1:14">
      <c r="A1413" t="s">
        <v>240</v>
      </c>
      <c r="B1413" t="str">
        <f>_xlfn.XLOOKUP(A1413,'[1]Tissue Data'!$A:$A,'[1]Tissue Data'!$C:$C)</f>
        <v>Spill</v>
      </c>
      <c r="C1413" s="2">
        <f>_xlfn.XLOOKUP(A1413,'[1]Tissue Data'!$A:$A,'[1]Tissue Data'!$D:$D)</f>
        <v>44314</v>
      </c>
      <c r="D1413" s="2" t="str">
        <f>_xlfn.XLOOKUP(A1413,'[1]Tissue Data'!$A:$A,'[1]Tissue Data'!$F:$F)</f>
        <v>Pumpkinseed</v>
      </c>
      <c r="E1413" t="str">
        <f>_xlfn.XLOOKUP(A1413,'[1]Tissue Data'!$A:$A,'[1]Tissue Data'!$H:$H)</f>
        <v>Lepomis</v>
      </c>
      <c r="F1413" t="str">
        <f>_xlfn.XLOOKUP(A1413,'[1]Tissue Data'!$A:$A,'[1]Tissue Data'!$I:$I)</f>
        <v>gibbosus</v>
      </c>
      <c r="G1413" t="str">
        <f>_xlfn.XLOOKUP(A1413,'[1]Tissue Data'!$A:$A,'[1]Tissue Data'!J:J)</f>
        <v>U</v>
      </c>
      <c r="H1413" t="str">
        <f>_xlfn.XLOOKUP(A1413,'[1]Tissue Data'!$A:$A,'[1]Tissue Data'!K:K)</f>
        <v>Whole Body</v>
      </c>
      <c r="I1413">
        <f>_xlfn.XLOOKUP(A1413,'[1]Tissue Data'!$A:$A,'[1]Tissue Data'!L:L)</f>
        <v>7</v>
      </c>
      <c r="J1413">
        <f>_xlfn.XLOOKUP(A1413,'[1]Tissue Data'!$A:$A,'[1]Tissue Data'!M:M)</f>
        <v>8.8000000000000007</v>
      </c>
      <c r="K1413" t="s">
        <v>23</v>
      </c>
      <c r="L1413" t="str">
        <f>_xlfn.XLOOKUP(K1413,[2]analyte_order!$B:$B,[2]analyte_order!$C:$C)</f>
        <v>67905-19-5</v>
      </c>
      <c r="M1413">
        <f>_xlfn.XLOOKUP(L1413,[2]analyte_order!$C:$C,[2]analyte_order!$E:$E)</f>
        <v>12</v>
      </c>
      <c r="N1413">
        <v>8.0534291931615473E-2</v>
      </c>
    </row>
    <row r="1414" spans="1:14">
      <c r="A1414" t="s">
        <v>240</v>
      </c>
      <c r="B1414" t="str">
        <f>_xlfn.XLOOKUP(A1414,'[1]Tissue Data'!$A:$A,'[1]Tissue Data'!$C:$C)</f>
        <v>Spill</v>
      </c>
      <c r="C1414" s="2">
        <f>_xlfn.XLOOKUP(A1414,'[1]Tissue Data'!$A:$A,'[1]Tissue Data'!$D:$D)</f>
        <v>44314</v>
      </c>
      <c r="D1414" s="2" t="str">
        <f>_xlfn.XLOOKUP(A1414,'[1]Tissue Data'!$A:$A,'[1]Tissue Data'!$F:$F)</f>
        <v>Pumpkinseed</v>
      </c>
      <c r="E1414" t="str">
        <f>_xlfn.XLOOKUP(A1414,'[1]Tissue Data'!$A:$A,'[1]Tissue Data'!$H:$H)</f>
        <v>Lepomis</v>
      </c>
      <c r="F1414" t="str">
        <f>_xlfn.XLOOKUP(A1414,'[1]Tissue Data'!$A:$A,'[1]Tissue Data'!$I:$I)</f>
        <v>gibbosus</v>
      </c>
      <c r="G1414" t="str">
        <f>_xlfn.XLOOKUP(A1414,'[1]Tissue Data'!$A:$A,'[1]Tissue Data'!J:J)</f>
        <v>U</v>
      </c>
      <c r="H1414" t="str">
        <f>_xlfn.XLOOKUP(A1414,'[1]Tissue Data'!$A:$A,'[1]Tissue Data'!K:K)</f>
        <v>Whole Body</v>
      </c>
      <c r="I1414">
        <f>_xlfn.XLOOKUP(A1414,'[1]Tissue Data'!$A:$A,'[1]Tissue Data'!L:L)</f>
        <v>7</v>
      </c>
      <c r="J1414">
        <f>_xlfn.XLOOKUP(A1414,'[1]Tissue Data'!$A:$A,'[1]Tissue Data'!M:M)</f>
        <v>8.8000000000000007</v>
      </c>
      <c r="K1414" t="s">
        <v>24</v>
      </c>
      <c r="L1414" t="str">
        <f>_xlfn.XLOOKUP(K1414,[2]analyte_order!$B:$B,[2]analyte_order!$C:$C)</f>
        <v>423-41-6</v>
      </c>
      <c r="M1414">
        <f>_xlfn.XLOOKUP(L1414,[2]analyte_order!$C:$C,[2]analyte_order!$E:$E)</f>
        <v>53</v>
      </c>
      <c r="N1414">
        <v>5.15555390381566E-2</v>
      </c>
    </row>
    <row r="1415" spans="1:14">
      <c r="A1415" t="s">
        <v>240</v>
      </c>
      <c r="B1415" t="str">
        <f>_xlfn.XLOOKUP(A1415,'[1]Tissue Data'!$A:$A,'[1]Tissue Data'!$C:$C)</f>
        <v>Spill</v>
      </c>
      <c r="C1415" s="2">
        <f>_xlfn.XLOOKUP(A1415,'[1]Tissue Data'!$A:$A,'[1]Tissue Data'!$D:$D)</f>
        <v>44314</v>
      </c>
      <c r="D1415" s="2" t="str">
        <f>_xlfn.XLOOKUP(A1415,'[1]Tissue Data'!$A:$A,'[1]Tissue Data'!$F:$F)</f>
        <v>Pumpkinseed</v>
      </c>
      <c r="E1415" t="str">
        <f>_xlfn.XLOOKUP(A1415,'[1]Tissue Data'!$A:$A,'[1]Tissue Data'!$H:$H)</f>
        <v>Lepomis</v>
      </c>
      <c r="F1415" t="str">
        <f>_xlfn.XLOOKUP(A1415,'[1]Tissue Data'!$A:$A,'[1]Tissue Data'!$I:$I)</f>
        <v>gibbosus</v>
      </c>
      <c r="G1415" t="str">
        <f>_xlfn.XLOOKUP(A1415,'[1]Tissue Data'!$A:$A,'[1]Tissue Data'!J:J)</f>
        <v>U</v>
      </c>
      <c r="H1415" t="str">
        <f>_xlfn.XLOOKUP(A1415,'[1]Tissue Data'!$A:$A,'[1]Tissue Data'!K:K)</f>
        <v>Whole Body</v>
      </c>
      <c r="I1415">
        <f>_xlfn.XLOOKUP(A1415,'[1]Tissue Data'!$A:$A,'[1]Tissue Data'!L:L)</f>
        <v>7</v>
      </c>
      <c r="J1415">
        <f>_xlfn.XLOOKUP(A1415,'[1]Tissue Data'!$A:$A,'[1]Tissue Data'!M:M)</f>
        <v>8.8000000000000007</v>
      </c>
      <c r="K1415" t="s">
        <v>25</v>
      </c>
      <c r="L1415" t="str">
        <f>_xlfn.XLOOKUP(K1415,[2]analyte_order!$B:$B,[2]analyte_order!$C:$C)</f>
        <v>375-73-5</v>
      </c>
      <c r="M1415">
        <f>_xlfn.XLOOKUP(L1415,[2]analyte_order!$C:$C,[2]analyte_order!$E:$E)</f>
        <v>14</v>
      </c>
      <c r="N1415">
        <v>0.34100000000000003</v>
      </c>
    </row>
    <row r="1416" spans="1:14">
      <c r="A1416" t="s">
        <v>240</v>
      </c>
      <c r="B1416" t="str">
        <f>_xlfn.XLOOKUP(A1416,'[1]Tissue Data'!$A:$A,'[1]Tissue Data'!$C:$C)</f>
        <v>Spill</v>
      </c>
      <c r="C1416" s="2">
        <f>_xlfn.XLOOKUP(A1416,'[1]Tissue Data'!$A:$A,'[1]Tissue Data'!$D:$D)</f>
        <v>44314</v>
      </c>
      <c r="D1416" s="2" t="str">
        <f>_xlfn.XLOOKUP(A1416,'[1]Tissue Data'!$A:$A,'[1]Tissue Data'!$F:$F)</f>
        <v>Pumpkinseed</v>
      </c>
      <c r="E1416" t="str">
        <f>_xlfn.XLOOKUP(A1416,'[1]Tissue Data'!$A:$A,'[1]Tissue Data'!$H:$H)</f>
        <v>Lepomis</v>
      </c>
      <c r="F1416" t="str">
        <f>_xlfn.XLOOKUP(A1416,'[1]Tissue Data'!$A:$A,'[1]Tissue Data'!$I:$I)</f>
        <v>gibbosus</v>
      </c>
      <c r="G1416" t="str">
        <f>_xlfn.XLOOKUP(A1416,'[1]Tissue Data'!$A:$A,'[1]Tissue Data'!J:J)</f>
        <v>U</v>
      </c>
      <c r="H1416" t="str">
        <f>_xlfn.XLOOKUP(A1416,'[1]Tissue Data'!$A:$A,'[1]Tissue Data'!K:K)</f>
        <v>Whole Body</v>
      </c>
      <c r="I1416">
        <f>_xlfn.XLOOKUP(A1416,'[1]Tissue Data'!$A:$A,'[1]Tissue Data'!L:L)</f>
        <v>7</v>
      </c>
      <c r="J1416">
        <f>_xlfn.XLOOKUP(A1416,'[1]Tissue Data'!$A:$A,'[1]Tissue Data'!M:M)</f>
        <v>8.8000000000000007</v>
      </c>
      <c r="K1416" t="s">
        <v>26</v>
      </c>
      <c r="L1416" t="str">
        <f>_xlfn.XLOOKUP(K1416,[2]analyte_order!$B:$B,[2]analyte_order!$C:$C)</f>
        <v>2706-91-4</v>
      </c>
      <c r="M1416">
        <f>_xlfn.XLOOKUP(L1416,[2]analyte_order!$C:$C,[2]analyte_order!$E:$E)</f>
        <v>15</v>
      </c>
      <c r="N1416">
        <v>0.12457926688861357</v>
      </c>
    </row>
    <row r="1417" spans="1:14">
      <c r="A1417" t="s">
        <v>240</v>
      </c>
      <c r="B1417" t="str">
        <f>_xlfn.XLOOKUP(A1417,'[1]Tissue Data'!$A:$A,'[1]Tissue Data'!$C:$C)</f>
        <v>Spill</v>
      </c>
      <c r="C1417" s="2">
        <f>_xlfn.XLOOKUP(A1417,'[1]Tissue Data'!$A:$A,'[1]Tissue Data'!$D:$D)</f>
        <v>44314</v>
      </c>
      <c r="D1417" s="2" t="str">
        <f>_xlfn.XLOOKUP(A1417,'[1]Tissue Data'!$A:$A,'[1]Tissue Data'!$F:$F)</f>
        <v>Pumpkinseed</v>
      </c>
      <c r="E1417" t="str">
        <f>_xlfn.XLOOKUP(A1417,'[1]Tissue Data'!$A:$A,'[1]Tissue Data'!$H:$H)</f>
        <v>Lepomis</v>
      </c>
      <c r="F1417" t="str">
        <f>_xlfn.XLOOKUP(A1417,'[1]Tissue Data'!$A:$A,'[1]Tissue Data'!$I:$I)</f>
        <v>gibbosus</v>
      </c>
      <c r="G1417" t="str">
        <f>_xlfn.XLOOKUP(A1417,'[1]Tissue Data'!$A:$A,'[1]Tissue Data'!J:J)</f>
        <v>U</v>
      </c>
      <c r="H1417" t="str">
        <f>_xlfn.XLOOKUP(A1417,'[1]Tissue Data'!$A:$A,'[1]Tissue Data'!K:K)</f>
        <v>Whole Body</v>
      </c>
      <c r="I1417">
        <f>_xlfn.XLOOKUP(A1417,'[1]Tissue Data'!$A:$A,'[1]Tissue Data'!L:L)</f>
        <v>7</v>
      </c>
      <c r="J1417">
        <f>_xlfn.XLOOKUP(A1417,'[1]Tissue Data'!$A:$A,'[1]Tissue Data'!M:M)</f>
        <v>8.8000000000000007</v>
      </c>
      <c r="K1417" t="s">
        <v>27</v>
      </c>
      <c r="L1417" t="str">
        <f>_xlfn.XLOOKUP(K1417,[2]analyte_order!$B:$B,[2]analyte_order!$C:$C)</f>
        <v>355-46-4</v>
      </c>
      <c r="M1417">
        <f>_xlfn.XLOOKUP(L1417,[2]analyte_order!$C:$C,[2]analyte_order!$E:$E)</f>
        <v>16</v>
      </c>
      <c r="N1417">
        <v>3.9</v>
      </c>
    </row>
    <row r="1418" spans="1:14">
      <c r="A1418" t="s">
        <v>240</v>
      </c>
      <c r="B1418" t="str">
        <f>_xlfn.XLOOKUP(A1418,'[1]Tissue Data'!$A:$A,'[1]Tissue Data'!$C:$C)</f>
        <v>Spill</v>
      </c>
      <c r="C1418" s="2">
        <f>_xlfn.XLOOKUP(A1418,'[1]Tissue Data'!$A:$A,'[1]Tissue Data'!$D:$D)</f>
        <v>44314</v>
      </c>
      <c r="D1418" s="2" t="str">
        <f>_xlfn.XLOOKUP(A1418,'[1]Tissue Data'!$A:$A,'[1]Tissue Data'!$F:$F)</f>
        <v>Pumpkinseed</v>
      </c>
      <c r="E1418" t="str">
        <f>_xlfn.XLOOKUP(A1418,'[1]Tissue Data'!$A:$A,'[1]Tissue Data'!$H:$H)</f>
        <v>Lepomis</v>
      </c>
      <c r="F1418" t="str">
        <f>_xlfn.XLOOKUP(A1418,'[1]Tissue Data'!$A:$A,'[1]Tissue Data'!$I:$I)</f>
        <v>gibbosus</v>
      </c>
      <c r="G1418" t="str">
        <f>_xlfn.XLOOKUP(A1418,'[1]Tissue Data'!$A:$A,'[1]Tissue Data'!J:J)</f>
        <v>U</v>
      </c>
      <c r="H1418" t="str">
        <f>_xlfn.XLOOKUP(A1418,'[1]Tissue Data'!$A:$A,'[1]Tissue Data'!K:K)</f>
        <v>Whole Body</v>
      </c>
      <c r="I1418">
        <f>_xlfn.XLOOKUP(A1418,'[1]Tissue Data'!$A:$A,'[1]Tissue Data'!L:L)</f>
        <v>7</v>
      </c>
      <c r="J1418">
        <f>_xlfn.XLOOKUP(A1418,'[1]Tissue Data'!$A:$A,'[1]Tissue Data'!M:M)</f>
        <v>8.8000000000000007</v>
      </c>
      <c r="K1418" t="s">
        <v>28</v>
      </c>
      <c r="L1418" t="str">
        <f>_xlfn.XLOOKUP(K1418,[2]analyte_order!$B:$B,[2]analyte_order!$C:$C)</f>
        <v>375-92-8</v>
      </c>
      <c r="M1418">
        <f>_xlfn.XLOOKUP(L1418,[2]analyte_order!$C:$C,[2]analyte_order!$E:$E)</f>
        <v>17</v>
      </c>
      <c r="N1418">
        <v>0.23525721455457965</v>
      </c>
    </row>
    <row r="1419" spans="1:14">
      <c r="A1419" t="s">
        <v>240</v>
      </c>
      <c r="B1419" t="str">
        <f>_xlfn.XLOOKUP(A1419,'[1]Tissue Data'!$A:$A,'[1]Tissue Data'!$C:$C)</f>
        <v>Spill</v>
      </c>
      <c r="C1419" s="2">
        <f>_xlfn.XLOOKUP(A1419,'[1]Tissue Data'!$A:$A,'[1]Tissue Data'!$D:$D)</f>
        <v>44314</v>
      </c>
      <c r="D1419" s="2" t="str">
        <f>_xlfn.XLOOKUP(A1419,'[1]Tissue Data'!$A:$A,'[1]Tissue Data'!$F:$F)</f>
        <v>Pumpkinseed</v>
      </c>
      <c r="E1419" t="str">
        <f>_xlfn.XLOOKUP(A1419,'[1]Tissue Data'!$A:$A,'[1]Tissue Data'!$H:$H)</f>
        <v>Lepomis</v>
      </c>
      <c r="F1419" t="str">
        <f>_xlfn.XLOOKUP(A1419,'[1]Tissue Data'!$A:$A,'[1]Tissue Data'!$I:$I)</f>
        <v>gibbosus</v>
      </c>
      <c r="G1419" t="str">
        <f>_xlfn.XLOOKUP(A1419,'[1]Tissue Data'!$A:$A,'[1]Tissue Data'!J:J)</f>
        <v>U</v>
      </c>
      <c r="H1419" t="str">
        <f>_xlfn.XLOOKUP(A1419,'[1]Tissue Data'!$A:$A,'[1]Tissue Data'!K:K)</f>
        <v>Whole Body</v>
      </c>
      <c r="I1419">
        <f>_xlfn.XLOOKUP(A1419,'[1]Tissue Data'!$A:$A,'[1]Tissue Data'!L:L)</f>
        <v>7</v>
      </c>
      <c r="J1419">
        <f>_xlfn.XLOOKUP(A1419,'[1]Tissue Data'!$A:$A,'[1]Tissue Data'!M:M)</f>
        <v>8.8000000000000007</v>
      </c>
      <c r="K1419" t="s">
        <v>29</v>
      </c>
      <c r="L1419" t="str">
        <f>_xlfn.XLOOKUP(K1419,[2]analyte_order!$B:$B,[2]analyte_order!$C:$C)</f>
        <v>1763-23-1</v>
      </c>
      <c r="M1419">
        <f>_xlfn.XLOOKUP(L1419,[2]analyte_order!$C:$C,[2]analyte_order!$E:$E)</f>
        <v>18</v>
      </c>
      <c r="N1419">
        <v>460</v>
      </c>
    </row>
    <row r="1420" spans="1:14">
      <c r="A1420" t="s">
        <v>240</v>
      </c>
      <c r="B1420" t="str">
        <f>_xlfn.XLOOKUP(A1420,'[1]Tissue Data'!$A:$A,'[1]Tissue Data'!$C:$C)</f>
        <v>Spill</v>
      </c>
      <c r="C1420" s="2">
        <f>_xlfn.XLOOKUP(A1420,'[1]Tissue Data'!$A:$A,'[1]Tissue Data'!$D:$D)</f>
        <v>44314</v>
      </c>
      <c r="D1420" s="2" t="str">
        <f>_xlfn.XLOOKUP(A1420,'[1]Tissue Data'!$A:$A,'[1]Tissue Data'!$F:$F)</f>
        <v>Pumpkinseed</v>
      </c>
      <c r="E1420" t="str">
        <f>_xlfn.XLOOKUP(A1420,'[1]Tissue Data'!$A:$A,'[1]Tissue Data'!$H:$H)</f>
        <v>Lepomis</v>
      </c>
      <c r="F1420" t="str">
        <f>_xlfn.XLOOKUP(A1420,'[1]Tissue Data'!$A:$A,'[1]Tissue Data'!$I:$I)</f>
        <v>gibbosus</v>
      </c>
      <c r="G1420" t="str">
        <f>_xlfn.XLOOKUP(A1420,'[1]Tissue Data'!$A:$A,'[1]Tissue Data'!J:J)</f>
        <v>U</v>
      </c>
      <c r="H1420" t="str">
        <f>_xlfn.XLOOKUP(A1420,'[1]Tissue Data'!$A:$A,'[1]Tissue Data'!K:K)</f>
        <v>Whole Body</v>
      </c>
      <c r="I1420">
        <f>_xlfn.XLOOKUP(A1420,'[1]Tissue Data'!$A:$A,'[1]Tissue Data'!L:L)</f>
        <v>7</v>
      </c>
      <c r="J1420">
        <f>_xlfn.XLOOKUP(A1420,'[1]Tissue Data'!$A:$A,'[1]Tissue Data'!M:M)</f>
        <v>8.8000000000000007</v>
      </c>
      <c r="K1420" t="s">
        <v>30</v>
      </c>
      <c r="L1420" t="str">
        <f>_xlfn.XLOOKUP(K1420,[2]analyte_order!$B:$B,[2]analyte_order!$C:$C)</f>
        <v>68259-12-1</v>
      </c>
      <c r="M1420">
        <f>_xlfn.XLOOKUP(L1420,[2]analyte_order!$C:$C,[2]analyte_order!$E:$E)</f>
        <v>19</v>
      </c>
      <c r="N1420">
        <v>0.32400000000000001</v>
      </c>
    </row>
    <row r="1421" spans="1:14">
      <c r="A1421" t="s">
        <v>240</v>
      </c>
      <c r="B1421" t="str">
        <f>_xlfn.XLOOKUP(A1421,'[1]Tissue Data'!$A:$A,'[1]Tissue Data'!$C:$C)</f>
        <v>Spill</v>
      </c>
      <c r="C1421" s="2">
        <f>_xlfn.XLOOKUP(A1421,'[1]Tissue Data'!$A:$A,'[1]Tissue Data'!$D:$D)</f>
        <v>44314</v>
      </c>
      <c r="D1421" s="2" t="str">
        <f>_xlfn.XLOOKUP(A1421,'[1]Tissue Data'!$A:$A,'[1]Tissue Data'!$F:$F)</f>
        <v>Pumpkinseed</v>
      </c>
      <c r="E1421" t="str">
        <f>_xlfn.XLOOKUP(A1421,'[1]Tissue Data'!$A:$A,'[1]Tissue Data'!$H:$H)</f>
        <v>Lepomis</v>
      </c>
      <c r="F1421" t="str">
        <f>_xlfn.XLOOKUP(A1421,'[1]Tissue Data'!$A:$A,'[1]Tissue Data'!$I:$I)</f>
        <v>gibbosus</v>
      </c>
      <c r="G1421" t="str">
        <f>_xlfn.XLOOKUP(A1421,'[1]Tissue Data'!$A:$A,'[1]Tissue Data'!J:J)</f>
        <v>U</v>
      </c>
      <c r="H1421" t="str">
        <f>_xlfn.XLOOKUP(A1421,'[1]Tissue Data'!$A:$A,'[1]Tissue Data'!K:K)</f>
        <v>Whole Body</v>
      </c>
      <c r="I1421">
        <f>_xlfn.XLOOKUP(A1421,'[1]Tissue Data'!$A:$A,'[1]Tissue Data'!L:L)</f>
        <v>7</v>
      </c>
      <c r="J1421">
        <f>_xlfn.XLOOKUP(A1421,'[1]Tissue Data'!$A:$A,'[1]Tissue Data'!M:M)</f>
        <v>8.8000000000000007</v>
      </c>
      <c r="K1421" t="s">
        <v>31</v>
      </c>
      <c r="L1421" t="str">
        <f>_xlfn.XLOOKUP(K1421,[2]analyte_order!$B:$B,[2]analyte_order!$C:$C)</f>
        <v>335-77-3</v>
      </c>
      <c r="M1421">
        <f>_xlfn.XLOOKUP(L1421,[2]analyte_order!$C:$C,[2]analyte_order!$E:$E)</f>
        <v>20</v>
      </c>
      <c r="N1421">
        <v>0.434</v>
      </c>
    </row>
    <row r="1422" spans="1:14">
      <c r="A1422" t="s">
        <v>240</v>
      </c>
      <c r="B1422" t="str">
        <f>_xlfn.XLOOKUP(A1422,'[1]Tissue Data'!$A:$A,'[1]Tissue Data'!$C:$C)</f>
        <v>Spill</v>
      </c>
      <c r="C1422" s="2">
        <f>_xlfn.XLOOKUP(A1422,'[1]Tissue Data'!$A:$A,'[1]Tissue Data'!$D:$D)</f>
        <v>44314</v>
      </c>
      <c r="D1422" s="2" t="str">
        <f>_xlfn.XLOOKUP(A1422,'[1]Tissue Data'!$A:$A,'[1]Tissue Data'!$F:$F)</f>
        <v>Pumpkinseed</v>
      </c>
      <c r="E1422" t="str">
        <f>_xlfn.XLOOKUP(A1422,'[1]Tissue Data'!$A:$A,'[1]Tissue Data'!$H:$H)</f>
        <v>Lepomis</v>
      </c>
      <c r="F1422" t="str">
        <f>_xlfn.XLOOKUP(A1422,'[1]Tissue Data'!$A:$A,'[1]Tissue Data'!$I:$I)</f>
        <v>gibbosus</v>
      </c>
      <c r="G1422" t="str">
        <f>_xlfn.XLOOKUP(A1422,'[1]Tissue Data'!$A:$A,'[1]Tissue Data'!J:J)</f>
        <v>U</v>
      </c>
      <c r="H1422" t="str">
        <f>_xlfn.XLOOKUP(A1422,'[1]Tissue Data'!$A:$A,'[1]Tissue Data'!K:K)</f>
        <v>Whole Body</v>
      </c>
      <c r="I1422">
        <f>_xlfn.XLOOKUP(A1422,'[1]Tissue Data'!$A:$A,'[1]Tissue Data'!L:L)</f>
        <v>7</v>
      </c>
      <c r="J1422">
        <f>_xlfn.XLOOKUP(A1422,'[1]Tissue Data'!$A:$A,'[1]Tissue Data'!M:M)</f>
        <v>8.8000000000000007</v>
      </c>
      <c r="K1422" t="s">
        <v>32</v>
      </c>
      <c r="L1422" t="str">
        <f>_xlfn.XLOOKUP(K1422,[2]analyte_order!$B:$B,[2]analyte_order!$C:$C)</f>
        <v>79780-39-5</v>
      </c>
      <c r="M1422">
        <f>_xlfn.XLOOKUP(L1422,[2]analyte_order!$C:$C,[2]analyte_order!$E:$E)</f>
        <v>21</v>
      </c>
      <c r="N1422">
        <v>0.25157706962719573</v>
      </c>
    </row>
    <row r="1423" spans="1:14">
      <c r="A1423" t="s">
        <v>240</v>
      </c>
      <c r="B1423" t="str">
        <f>_xlfn.XLOOKUP(A1423,'[1]Tissue Data'!$A:$A,'[1]Tissue Data'!$C:$C)</f>
        <v>Spill</v>
      </c>
      <c r="C1423" s="2">
        <f>_xlfn.XLOOKUP(A1423,'[1]Tissue Data'!$A:$A,'[1]Tissue Data'!$D:$D)</f>
        <v>44314</v>
      </c>
      <c r="D1423" s="2" t="str">
        <f>_xlfn.XLOOKUP(A1423,'[1]Tissue Data'!$A:$A,'[1]Tissue Data'!$F:$F)</f>
        <v>Pumpkinseed</v>
      </c>
      <c r="E1423" t="str">
        <f>_xlfn.XLOOKUP(A1423,'[1]Tissue Data'!$A:$A,'[1]Tissue Data'!$H:$H)</f>
        <v>Lepomis</v>
      </c>
      <c r="F1423" t="str">
        <f>_xlfn.XLOOKUP(A1423,'[1]Tissue Data'!$A:$A,'[1]Tissue Data'!$I:$I)</f>
        <v>gibbosus</v>
      </c>
      <c r="G1423" t="str">
        <f>_xlfn.XLOOKUP(A1423,'[1]Tissue Data'!$A:$A,'[1]Tissue Data'!J:J)</f>
        <v>U</v>
      </c>
      <c r="H1423" t="str">
        <f>_xlfn.XLOOKUP(A1423,'[1]Tissue Data'!$A:$A,'[1]Tissue Data'!K:K)</f>
        <v>Whole Body</v>
      </c>
      <c r="I1423">
        <f>_xlfn.XLOOKUP(A1423,'[1]Tissue Data'!$A:$A,'[1]Tissue Data'!L:L)</f>
        <v>7</v>
      </c>
      <c r="J1423">
        <f>_xlfn.XLOOKUP(A1423,'[1]Tissue Data'!$A:$A,'[1]Tissue Data'!M:M)</f>
        <v>8.8000000000000007</v>
      </c>
      <c r="K1423" t="s">
        <v>33</v>
      </c>
      <c r="L1423" t="str">
        <f>_xlfn.XLOOKUP(K1423,[2]analyte_order!$B:$B,[2]analyte_order!$C:$C)</f>
        <v>777011-38-8</v>
      </c>
      <c r="M1423">
        <f>_xlfn.XLOOKUP(L1423,[2]analyte_order!$C:$C,[2]analyte_order!$E:$E)</f>
        <v>54</v>
      </c>
      <c r="N1423">
        <v>0.14296209041292346</v>
      </c>
    </row>
    <row r="1424" spans="1:14">
      <c r="A1424" t="s">
        <v>240</v>
      </c>
      <c r="B1424" t="str">
        <f>_xlfn.XLOOKUP(A1424,'[1]Tissue Data'!$A:$A,'[1]Tissue Data'!$C:$C)</f>
        <v>Spill</v>
      </c>
      <c r="C1424" s="2">
        <f>_xlfn.XLOOKUP(A1424,'[1]Tissue Data'!$A:$A,'[1]Tissue Data'!$D:$D)</f>
        <v>44314</v>
      </c>
      <c r="D1424" s="2" t="str">
        <f>_xlfn.XLOOKUP(A1424,'[1]Tissue Data'!$A:$A,'[1]Tissue Data'!$F:$F)</f>
        <v>Pumpkinseed</v>
      </c>
      <c r="E1424" t="str">
        <f>_xlfn.XLOOKUP(A1424,'[1]Tissue Data'!$A:$A,'[1]Tissue Data'!$H:$H)</f>
        <v>Lepomis</v>
      </c>
      <c r="F1424" t="str">
        <f>_xlfn.XLOOKUP(A1424,'[1]Tissue Data'!$A:$A,'[1]Tissue Data'!$I:$I)</f>
        <v>gibbosus</v>
      </c>
      <c r="G1424" t="str">
        <f>_xlfn.XLOOKUP(A1424,'[1]Tissue Data'!$A:$A,'[1]Tissue Data'!J:J)</f>
        <v>U</v>
      </c>
      <c r="H1424" t="str">
        <f>_xlfn.XLOOKUP(A1424,'[1]Tissue Data'!$A:$A,'[1]Tissue Data'!K:K)</f>
        <v>Whole Body</v>
      </c>
      <c r="I1424">
        <f>_xlfn.XLOOKUP(A1424,'[1]Tissue Data'!$A:$A,'[1]Tissue Data'!L:L)</f>
        <v>7</v>
      </c>
      <c r="J1424">
        <f>_xlfn.XLOOKUP(A1424,'[1]Tissue Data'!$A:$A,'[1]Tissue Data'!M:M)</f>
        <v>8.8000000000000007</v>
      </c>
      <c r="K1424" t="s">
        <v>34</v>
      </c>
      <c r="L1424" t="str">
        <f>_xlfn.XLOOKUP(K1424,[2]analyte_order!$B:$B,[2]analyte_order!$C:$C)</f>
        <v>646-83-3</v>
      </c>
      <c r="M1424">
        <f>_xlfn.XLOOKUP(L1424,[2]analyte_order!$C:$C,[2]analyte_order!$E:$E)</f>
        <v>55</v>
      </c>
      <c r="N1424">
        <v>9.410288582183185E-2</v>
      </c>
    </row>
    <row r="1425" spans="1:14">
      <c r="A1425" t="s">
        <v>240</v>
      </c>
      <c r="B1425" t="str">
        <f>_xlfn.XLOOKUP(A1425,'[1]Tissue Data'!$A:$A,'[1]Tissue Data'!$C:$C)</f>
        <v>Spill</v>
      </c>
      <c r="C1425" s="2">
        <f>_xlfn.XLOOKUP(A1425,'[1]Tissue Data'!$A:$A,'[1]Tissue Data'!$D:$D)</f>
        <v>44314</v>
      </c>
      <c r="D1425" s="2" t="str">
        <f>_xlfn.XLOOKUP(A1425,'[1]Tissue Data'!$A:$A,'[1]Tissue Data'!$F:$F)</f>
        <v>Pumpkinseed</v>
      </c>
      <c r="E1425" t="str">
        <f>_xlfn.XLOOKUP(A1425,'[1]Tissue Data'!$A:$A,'[1]Tissue Data'!$H:$H)</f>
        <v>Lepomis</v>
      </c>
      <c r="F1425" t="str">
        <f>_xlfn.XLOOKUP(A1425,'[1]Tissue Data'!$A:$A,'[1]Tissue Data'!$I:$I)</f>
        <v>gibbosus</v>
      </c>
      <c r="G1425" t="str">
        <f>_xlfn.XLOOKUP(A1425,'[1]Tissue Data'!$A:$A,'[1]Tissue Data'!J:J)</f>
        <v>U</v>
      </c>
      <c r="H1425" t="str">
        <f>_xlfn.XLOOKUP(A1425,'[1]Tissue Data'!$A:$A,'[1]Tissue Data'!K:K)</f>
        <v>Whole Body</v>
      </c>
      <c r="I1425">
        <f>_xlfn.XLOOKUP(A1425,'[1]Tissue Data'!$A:$A,'[1]Tissue Data'!L:L)</f>
        <v>7</v>
      </c>
      <c r="J1425">
        <f>_xlfn.XLOOKUP(A1425,'[1]Tissue Data'!$A:$A,'[1]Tissue Data'!M:M)</f>
        <v>8.8000000000000007</v>
      </c>
      <c r="K1425" t="s">
        <v>35</v>
      </c>
      <c r="L1425" t="str">
        <f>_xlfn.XLOOKUP(K1425,[2]analyte_order!$B:$B,[2]analyte_order!$C:$C)</f>
        <v>30334-69-1</v>
      </c>
      <c r="M1425">
        <f>_xlfn.XLOOKUP(L1425,[2]analyte_order!$C:$C,[2]analyte_order!$E:$E)</f>
        <v>51</v>
      </c>
      <c r="N1425">
        <v>32.299999999999997</v>
      </c>
    </row>
    <row r="1426" spans="1:14">
      <c r="A1426" t="s">
        <v>240</v>
      </c>
      <c r="B1426" t="str">
        <f>_xlfn.XLOOKUP(A1426,'[1]Tissue Data'!$A:$A,'[1]Tissue Data'!$C:$C)</f>
        <v>Spill</v>
      </c>
      <c r="C1426" s="2">
        <f>_xlfn.XLOOKUP(A1426,'[1]Tissue Data'!$A:$A,'[1]Tissue Data'!$D:$D)</f>
        <v>44314</v>
      </c>
      <c r="D1426" s="2" t="str">
        <f>_xlfn.XLOOKUP(A1426,'[1]Tissue Data'!$A:$A,'[1]Tissue Data'!$F:$F)</f>
        <v>Pumpkinseed</v>
      </c>
      <c r="E1426" t="str">
        <f>_xlfn.XLOOKUP(A1426,'[1]Tissue Data'!$A:$A,'[1]Tissue Data'!$H:$H)</f>
        <v>Lepomis</v>
      </c>
      <c r="F1426" t="str">
        <f>_xlfn.XLOOKUP(A1426,'[1]Tissue Data'!$A:$A,'[1]Tissue Data'!$I:$I)</f>
        <v>gibbosus</v>
      </c>
      <c r="G1426" t="str">
        <f>_xlfn.XLOOKUP(A1426,'[1]Tissue Data'!$A:$A,'[1]Tissue Data'!J:J)</f>
        <v>U</v>
      </c>
      <c r="H1426" t="str">
        <f>_xlfn.XLOOKUP(A1426,'[1]Tissue Data'!$A:$A,'[1]Tissue Data'!K:K)</f>
        <v>Whole Body</v>
      </c>
      <c r="I1426">
        <f>_xlfn.XLOOKUP(A1426,'[1]Tissue Data'!$A:$A,'[1]Tissue Data'!L:L)</f>
        <v>7</v>
      </c>
      <c r="J1426">
        <f>_xlfn.XLOOKUP(A1426,'[1]Tissue Data'!$A:$A,'[1]Tissue Data'!M:M)</f>
        <v>8.8000000000000007</v>
      </c>
      <c r="K1426" t="s">
        <v>36</v>
      </c>
      <c r="L1426" t="str">
        <f>_xlfn.XLOOKUP(K1426,[2]analyte_order!$B:$B,[2]analyte_order!$C:$C)</f>
        <v>41997-13-1</v>
      </c>
      <c r="M1426">
        <f>_xlfn.XLOOKUP(L1426,[2]analyte_order!$C:$C,[2]analyte_order!$E:$E)</f>
        <v>52</v>
      </c>
      <c r="N1426">
        <v>27.3</v>
      </c>
    </row>
    <row r="1427" spans="1:14">
      <c r="A1427" t="s">
        <v>240</v>
      </c>
      <c r="B1427" t="str">
        <f>_xlfn.XLOOKUP(A1427,'[1]Tissue Data'!$A:$A,'[1]Tissue Data'!$C:$C)</f>
        <v>Spill</v>
      </c>
      <c r="C1427" s="2">
        <f>_xlfn.XLOOKUP(A1427,'[1]Tissue Data'!$A:$A,'[1]Tissue Data'!$D:$D)</f>
        <v>44314</v>
      </c>
      <c r="D1427" s="2" t="str">
        <f>_xlfn.XLOOKUP(A1427,'[1]Tissue Data'!$A:$A,'[1]Tissue Data'!$F:$F)</f>
        <v>Pumpkinseed</v>
      </c>
      <c r="E1427" t="str">
        <f>_xlfn.XLOOKUP(A1427,'[1]Tissue Data'!$A:$A,'[1]Tissue Data'!$H:$H)</f>
        <v>Lepomis</v>
      </c>
      <c r="F1427" t="str">
        <f>_xlfn.XLOOKUP(A1427,'[1]Tissue Data'!$A:$A,'[1]Tissue Data'!$I:$I)</f>
        <v>gibbosus</v>
      </c>
      <c r="G1427" t="str">
        <f>_xlfn.XLOOKUP(A1427,'[1]Tissue Data'!$A:$A,'[1]Tissue Data'!J:J)</f>
        <v>U</v>
      </c>
      <c r="H1427" t="str">
        <f>_xlfn.XLOOKUP(A1427,'[1]Tissue Data'!$A:$A,'[1]Tissue Data'!K:K)</f>
        <v>Whole Body</v>
      </c>
      <c r="I1427">
        <f>_xlfn.XLOOKUP(A1427,'[1]Tissue Data'!$A:$A,'[1]Tissue Data'!L:L)</f>
        <v>7</v>
      </c>
      <c r="J1427">
        <f>_xlfn.XLOOKUP(A1427,'[1]Tissue Data'!$A:$A,'[1]Tissue Data'!M:M)</f>
        <v>8.8000000000000007</v>
      </c>
      <c r="K1427" t="s">
        <v>37</v>
      </c>
      <c r="L1427" t="str">
        <f>_xlfn.XLOOKUP(K1427,[2]analyte_order!$B:$B,[2]analyte_order!$C:$C)</f>
        <v>754-91-6</v>
      </c>
      <c r="M1427">
        <f>_xlfn.XLOOKUP(L1427,[2]analyte_order!$C:$C,[2]analyte_order!$E:$E)</f>
        <v>28</v>
      </c>
      <c r="N1427">
        <v>16.600000000000001</v>
      </c>
    </row>
    <row r="1428" spans="1:14">
      <c r="A1428" t="s">
        <v>240</v>
      </c>
      <c r="B1428" t="str">
        <f>_xlfn.XLOOKUP(A1428,'[1]Tissue Data'!$A:$A,'[1]Tissue Data'!$C:$C)</f>
        <v>Spill</v>
      </c>
      <c r="C1428" s="2">
        <f>_xlfn.XLOOKUP(A1428,'[1]Tissue Data'!$A:$A,'[1]Tissue Data'!$D:$D)</f>
        <v>44314</v>
      </c>
      <c r="D1428" s="2" t="str">
        <f>_xlfn.XLOOKUP(A1428,'[1]Tissue Data'!$A:$A,'[1]Tissue Data'!$F:$F)</f>
        <v>Pumpkinseed</v>
      </c>
      <c r="E1428" t="str">
        <f>_xlfn.XLOOKUP(A1428,'[1]Tissue Data'!$A:$A,'[1]Tissue Data'!$H:$H)</f>
        <v>Lepomis</v>
      </c>
      <c r="F1428" t="str">
        <f>_xlfn.XLOOKUP(A1428,'[1]Tissue Data'!$A:$A,'[1]Tissue Data'!$I:$I)</f>
        <v>gibbosus</v>
      </c>
      <c r="G1428" t="str">
        <f>_xlfn.XLOOKUP(A1428,'[1]Tissue Data'!$A:$A,'[1]Tissue Data'!J:J)</f>
        <v>U</v>
      </c>
      <c r="H1428" t="str">
        <f>_xlfn.XLOOKUP(A1428,'[1]Tissue Data'!$A:$A,'[1]Tissue Data'!K:K)</f>
        <v>Whole Body</v>
      </c>
      <c r="I1428">
        <f>_xlfn.XLOOKUP(A1428,'[1]Tissue Data'!$A:$A,'[1]Tissue Data'!L:L)</f>
        <v>7</v>
      </c>
      <c r="J1428">
        <f>_xlfn.XLOOKUP(A1428,'[1]Tissue Data'!$A:$A,'[1]Tissue Data'!M:M)</f>
        <v>8.8000000000000007</v>
      </c>
      <c r="K1428" t="s">
        <v>38</v>
      </c>
      <c r="L1428" t="str">
        <f>_xlfn.XLOOKUP(K1428,[2]analyte_order!$B:$B,[2]analyte_order!$C:$C)</f>
        <v>31506-32-8</v>
      </c>
      <c r="M1428">
        <f>_xlfn.XLOOKUP(L1428,[2]analyte_order!$C:$C,[2]analyte_order!$E:$E)</f>
        <v>30</v>
      </c>
      <c r="N1428">
        <v>5.2057610794846387E-2</v>
      </c>
    </row>
    <row r="1429" spans="1:14">
      <c r="A1429" t="s">
        <v>240</v>
      </c>
      <c r="B1429" t="str">
        <f>_xlfn.XLOOKUP(A1429,'[1]Tissue Data'!$A:$A,'[1]Tissue Data'!$C:$C)</f>
        <v>Spill</v>
      </c>
      <c r="C1429" s="2">
        <f>_xlfn.XLOOKUP(A1429,'[1]Tissue Data'!$A:$A,'[1]Tissue Data'!$D:$D)</f>
        <v>44314</v>
      </c>
      <c r="D1429" s="2" t="str">
        <f>_xlfn.XLOOKUP(A1429,'[1]Tissue Data'!$A:$A,'[1]Tissue Data'!$F:$F)</f>
        <v>Pumpkinseed</v>
      </c>
      <c r="E1429" t="str">
        <f>_xlfn.XLOOKUP(A1429,'[1]Tissue Data'!$A:$A,'[1]Tissue Data'!$H:$H)</f>
        <v>Lepomis</v>
      </c>
      <c r="F1429" t="str">
        <f>_xlfn.XLOOKUP(A1429,'[1]Tissue Data'!$A:$A,'[1]Tissue Data'!$I:$I)</f>
        <v>gibbosus</v>
      </c>
      <c r="G1429" t="str">
        <f>_xlfn.XLOOKUP(A1429,'[1]Tissue Data'!$A:$A,'[1]Tissue Data'!J:J)</f>
        <v>U</v>
      </c>
      <c r="H1429" t="str">
        <f>_xlfn.XLOOKUP(A1429,'[1]Tissue Data'!$A:$A,'[1]Tissue Data'!K:K)</f>
        <v>Whole Body</v>
      </c>
      <c r="I1429">
        <f>_xlfn.XLOOKUP(A1429,'[1]Tissue Data'!$A:$A,'[1]Tissue Data'!L:L)</f>
        <v>7</v>
      </c>
      <c r="J1429">
        <f>_xlfn.XLOOKUP(A1429,'[1]Tissue Data'!$A:$A,'[1]Tissue Data'!M:M)</f>
        <v>8.8000000000000007</v>
      </c>
      <c r="K1429" t="s">
        <v>39</v>
      </c>
      <c r="L1429" t="str">
        <f>_xlfn.XLOOKUP(K1429,[2]analyte_order!$B:$B,[2]analyte_order!$C:$C)</f>
        <v>4151-50-2</v>
      </c>
      <c r="M1429">
        <f>_xlfn.XLOOKUP(L1429,[2]analyte_order!$C:$C,[2]analyte_order!$E:$E)</f>
        <v>31</v>
      </c>
      <c r="N1429">
        <v>7.8855628865708641E-2</v>
      </c>
    </row>
    <row r="1430" spans="1:14">
      <c r="A1430" t="s">
        <v>240</v>
      </c>
      <c r="B1430" t="str">
        <f>_xlfn.XLOOKUP(A1430,'[1]Tissue Data'!$A:$A,'[1]Tissue Data'!$C:$C)</f>
        <v>Spill</v>
      </c>
      <c r="C1430" s="2">
        <f>_xlfn.XLOOKUP(A1430,'[1]Tissue Data'!$A:$A,'[1]Tissue Data'!$D:$D)</f>
        <v>44314</v>
      </c>
      <c r="D1430" s="2" t="str">
        <f>_xlfn.XLOOKUP(A1430,'[1]Tissue Data'!$A:$A,'[1]Tissue Data'!$F:$F)</f>
        <v>Pumpkinseed</v>
      </c>
      <c r="E1430" t="str">
        <f>_xlfn.XLOOKUP(A1430,'[1]Tissue Data'!$A:$A,'[1]Tissue Data'!$H:$H)</f>
        <v>Lepomis</v>
      </c>
      <c r="F1430" t="str">
        <f>_xlfn.XLOOKUP(A1430,'[1]Tissue Data'!$A:$A,'[1]Tissue Data'!$I:$I)</f>
        <v>gibbosus</v>
      </c>
      <c r="G1430" t="str">
        <f>_xlfn.XLOOKUP(A1430,'[1]Tissue Data'!$A:$A,'[1]Tissue Data'!J:J)</f>
        <v>U</v>
      </c>
      <c r="H1430" t="str">
        <f>_xlfn.XLOOKUP(A1430,'[1]Tissue Data'!$A:$A,'[1]Tissue Data'!K:K)</f>
        <v>Whole Body</v>
      </c>
      <c r="I1430">
        <f>_xlfn.XLOOKUP(A1430,'[1]Tissue Data'!$A:$A,'[1]Tissue Data'!L:L)</f>
        <v>7</v>
      </c>
      <c r="J1430">
        <f>_xlfn.XLOOKUP(A1430,'[1]Tissue Data'!$A:$A,'[1]Tissue Data'!M:M)</f>
        <v>8.8000000000000007</v>
      </c>
      <c r="K1430" t="s">
        <v>40</v>
      </c>
      <c r="L1430" t="str">
        <f>_xlfn.XLOOKUP(K1430,[2]analyte_order!$B:$B,[2]analyte_order!$C:$C)</f>
        <v>2806-24-8</v>
      </c>
      <c r="M1430">
        <f>_xlfn.XLOOKUP(L1430,[2]analyte_order!$C:$C,[2]analyte_order!$E:$E)</f>
        <v>29</v>
      </c>
      <c r="N1430">
        <v>5.3263934482656101E-2</v>
      </c>
    </row>
    <row r="1431" spans="1:14">
      <c r="A1431" t="s">
        <v>240</v>
      </c>
      <c r="B1431" t="str">
        <f>_xlfn.XLOOKUP(A1431,'[1]Tissue Data'!$A:$A,'[1]Tissue Data'!$C:$C)</f>
        <v>Spill</v>
      </c>
      <c r="C1431" s="2">
        <f>_xlfn.XLOOKUP(A1431,'[1]Tissue Data'!$A:$A,'[1]Tissue Data'!$D:$D)</f>
        <v>44314</v>
      </c>
      <c r="D1431" s="2" t="str">
        <f>_xlfn.XLOOKUP(A1431,'[1]Tissue Data'!$A:$A,'[1]Tissue Data'!$F:$F)</f>
        <v>Pumpkinseed</v>
      </c>
      <c r="E1431" t="str">
        <f>_xlfn.XLOOKUP(A1431,'[1]Tissue Data'!$A:$A,'[1]Tissue Data'!$H:$H)</f>
        <v>Lepomis</v>
      </c>
      <c r="F1431" t="str">
        <f>_xlfn.XLOOKUP(A1431,'[1]Tissue Data'!$A:$A,'[1]Tissue Data'!$I:$I)</f>
        <v>gibbosus</v>
      </c>
      <c r="G1431" t="str">
        <f>_xlfn.XLOOKUP(A1431,'[1]Tissue Data'!$A:$A,'[1]Tissue Data'!J:J)</f>
        <v>U</v>
      </c>
      <c r="H1431" t="str">
        <f>_xlfn.XLOOKUP(A1431,'[1]Tissue Data'!$A:$A,'[1]Tissue Data'!K:K)</f>
        <v>Whole Body</v>
      </c>
      <c r="I1431">
        <f>_xlfn.XLOOKUP(A1431,'[1]Tissue Data'!$A:$A,'[1]Tissue Data'!L:L)</f>
        <v>7</v>
      </c>
      <c r="J1431">
        <f>_xlfn.XLOOKUP(A1431,'[1]Tissue Data'!$A:$A,'[1]Tissue Data'!M:M)</f>
        <v>8.8000000000000007</v>
      </c>
      <c r="K1431" t="s">
        <v>41</v>
      </c>
      <c r="L1431" t="str">
        <f>_xlfn.XLOOKUP(K1431,[2]analyte_order!$B:$B,[2]analyte_order!$C:$C)</f>
        <v>2355-31-9</v>
      </c>
      <c r="M1431">
        <f>_xlfn.XLOOKUP(L1431,[2]analyte_order!$C:$C,[2]analyte_order!$E:$E)</f>
        <v>26</v>
      </c>
      <c r="N1431">
        <v>6.46</v>
      </c>
    </row>
    <row r="1432" spans="1:14">
      <c r="A1432" t="s">
        <v>240</v>
      </c>
      <c r="B1432" t="str">
        <f>_xlfn.XLOOKUP(A1432,'[1]Tissue Data'!$A:$A,'[1]Tissue Data'!$C:$C)</f>
        <v>Spill</v>
      </c>
      <c r="C1432" s="2">
        <f>_xlfn.XLOOKUP(A1432,'[1]Tissue Data'!$A:$A,'[1]Tissue Data'!$D:$D)</f>
        <v>44314</v>
      </c>
      <c r="D1432" s="2" t="str">
        <f>_xlfn.XLOOKUP(A1432,'[1]Tissue Data'!$A:$A,'[1]Tissue Data'!$F:$F)</f>
        <v>Pumpkinseed</v>
      </c>
      <c r="E1432" t="str">
        <f>_xlfn.XLOOKUP(A1432,'[1]Tissue Data'!$A:$A,'[1]Tissue Data'!$H:$H)</f>
        <v>Lepomis</v>
      </c>
      <c r="F1432" t="str">
        <f>_xlfn.XLOOKUP(A1432,'[1]Tissue Data'!$A:$A,'[1]Tissue Data'!$I:$I)</f>
        <v>gibbosus</v>
      </c>
      <c r="G1432" t="str">
        <f>_xlfn.XLOOKUP(A1432,'[1]Tissue Data'!$A:$A,'[1]Tissue Data'!J:J)</f>
        <v>U</v>
      </c>
      <c r="H1432" t="str">
        <f>_xlfn.XLOOKUP(A1432,'[1]Tissue Data'!$A:$A,'[1]Tissue Data'!K:K)</f>
        <v>Whole Body</v>
      </c>
      <c r="I1432">
        <f>_xlfn.XLOOKUP(A1432,'[1]Tissue Data'!$A:$A,'[1]Tissue Data'!L:L)</f>
        <v>7</v>
      </c>
      <c r="J1432">
        <f>_xlfn.XLOOKUP(A1432,'[1]Tissue Data'!$A:$A,'[1]Tissue Data'!M:M)</f>
        <v>8.8000000000000007</v>
      </c>
      <c r="K1432" t="s">
        <v>42</v>
      </c>
      <c r="L1432" t="str">
        <f>_xlfn.XLOOKUP(K1432,[2]analyte_order!$B:$B,[2]analyte_order!$C:$C)</f>
        <v>2991-50-6</v>
      </c>
      <c r="M1432">
        <f>_xlfn.XLOOKUP(L1432,[2]analyte_order!$C:$C,[2]analyte_order!$E:$E)</f>
        <v>27</v>
      </c>
      <c r="N1432">
        <v>5.86532884950446E-2</v>
      </c>
    </row>
    <row r="1433" spans="1:14">
      <c r="A1433" t="s">
        <v>240</v>
      </c>
      <c r="B1433" t="str">
        <f>_xlfn.XLOOKUP(A1433,'[1]Tissue Data'!$A:$A,'[1]Tissue Data'!$C:$C)</f>
        <v>Spill</v>
      </c>
      <c r="C1433" s="2">
        <f>_xlfn.XLOOKUP(A1433,'[1]Tissue Data'!$A:$A,'[1]Tissue Data'!$D:$D)</f>
        <v>44314</v>
      </c>
      <c r="D1433" s="2" t="str">
        <f>_xlfn.XLOOKUP(A1433,'[1]Tissue Data'!$A:$A,'[1]Tissue Data'!$F:$F)</f>
        <v>Pumpkinseed</v>
      </c>
      <c r="E1433" t="str">
        <f>_xlfn.XLOOKUP(A1433,'[1]Tissue Data'!$A:$A,'[1]Tissue Data'!$H:$H)</f>
        <v>Lepomis</v>
      </c>
      <c r="F1433" t="str">
        <f>_xlfn.XLOOKUP(A1433,'[1]Tissue Data'!$A:$A,'[1]Tissue Data'!$I:$I)</f>
        <v>gibbosus</v>
      </c>
      <c r="G1433" t="str">
        <f>_xlfn.XLOOKUP(A1433,'[1]Tissue Data'!$A:$A,'[1]Tissue Data'!J:J)</f>
        <v>U</v>
      </c>
      <c r="H1433" t="str">
        <f>_xlfn.XLOOKUP(A1433,'[1]Tissue Data'!$A:$A,'[1]Tissue Data'!K:K)</f>
        <v>Whole Body</v>
      </c>
      <c r="I1433">
        <f>_xlfn.XLOOKUP(A1433,'[1]Tissue Data'!$A:$A,'[1]Tissue Data'!L:L)</f>
        <v>7</v>
      </c>
      <c r="J1433">
        <f>_xlfn.XLOOKUP(A1433,'[1]Tissue Data'!$A:$A,'[1]Tissue Data'!M:M)</f>
        <v>8.8000000000000007</v>
      </c>
      <c r="K1433" t="s">
        <v>43</v>
      </c>
      <c r="L1433" t="str">
        <f>_xlfn.XLOOKUP(K1433,[2]analyte_order!$B:$B,[2]analyte_order!$C:$C)</f>
        <v>757124-72-4</v>
      </c>
      <c r="M1433">
        <f>_xlfn.XLOOKUP(L1433,[2]analyte_order!$C:$C,[2]analyte_order!$E:$E)</f>
        <v>22</v>
      </c>
      <c r="N1433">
        <v>5.5504224160555012E-2</v>
      </c>
    </row>
    <row r="1434" spans="1:14">
      <c r="A1434" t="s">
        <v>240</v>
      </c>
      <c r="B1434" t="str">
        <f>_xlfn.XLOOKUP(A1434,'[1]Tissue Data'!$A:$A,'[1]Tissue Data'!$C:$C)</f>
        <v>Spill</v>
      </c>
      <c r="C1434" s="2">
        <f>_xlfn.XLOOKUP(A1434,'[1]Tissue Data'!$A:$A,'[1]Tissue Data'!$D:$D)</f>
        <v>44314</v>
      </c>
      <c r="D1434" s="2" t="str">
        <f>_xlfn.XLOOKUP(A1434,'[1]Tissue Data'!$A:$A,'[1]Tissue Data'!$F:$F)</f>
        <v>Pumpkinseed</v>
      </c>
      <c r="E1434" t="str">
        <f>_xlfn.XLOOKUP(A1434,'[1]Tissue Data'!$A:$A,'[1]Tissue Data'!$H:$H)</f>
        <v>Lepomis</v>
      </c>
      <c r="F1434" t="str">
        <f>_xlfn.XLOOKUP(A1434,'[1]Tissue Data'!$A:$A,'[1]Tissue Data'!$I:$I)</f>
        <v>gibbosus</v>
      </c>
      <c r="G1434" t="str">
        <f>_xlfn.XLOOKUP(A1434,'[1]Tissue Data'!$A:$A,'[1]Tissue Data'!J:J)</f>
        <v>U</v>
      </c>
      <c r="H1434" t="str">
        <f>_xlfn.XLOOKUP(A1434,'[1]Tissue Data'!$A:$A,'[1]Tissue Data'!K:K)</f>
        <v>Whole Body</v>
      </c>
      <c r="I1434">
        <f>_xlfn.XLOOKUP(A1434,'[1]Tissue Data'!$A:$A,'[1]Tissue Data'!L:L)</f>
        <v>7</v>
      </c>
      <c r="J1434">
        <f>_xlfn.XLOOKUP(A1434,'[1]Tissue Data'!$A:$A,'[1]Tissue Data'!M:M)</f>
        <v>8.8000000000000007</v>
      </c>
      <c r="K1434" t="s">
        <v>44</v>
      </c>
      <c r="L1434" t="str">
        <f>_xlfn.XLOOKUP(K1434,[2]analyte_order!$B:$B,[2]analyte_order!$C:$C)</f>
        <v>27619-97-2</v>
      </c>
      <c r="M1434">
        <f>_xlfn.XLOOKUP(L1434,[2]analyte_order!$C:$C,[2]analyte_order!$E:$E)</f>
        <v>23</v>
      </c>
      <c r="N1434">
        <v>0.1420334056452478</v>
      </c>
    </row>
    <row r="1435" spans="1:14">
      <c r="A1435" t="s">
        <v>240</v>
      </c>
      <c r="B1435" t="str">
        <f>_xlfn.XLOOKUP(A1435,'[1]Tissue Data'!$A:$A,'[1]Tissue Data'!$C:$C)</f>
        <v>Spill</v>
      </c>
      <c r="C1435" s="2">
        <f>_xlfn.XLOOKUP(A1435,'[1]Tissue Data'!$A:$A,'[1]Tissue Data'!$D:$D)</f>
        <v>44314</v>
      </c>
      <c r="D1435" s="2" t="str">
        <f>_xlfn.XLOOKUP(A1435,'[1]Tissue Data'!$A:$A,'[1]Tissue Data'!$F:$F)</f>
        <v>Pumpkinseed</v>
      </c>
      <c r="E1435" t="str">
        <f>_xlfn.XLOOKUP(A1435,'[1]Tissue Data'!$A:$A,'[1]Tissue Data'!$H:$H)</f>
        <v>Lepomis</v>
      </c>
      <c r="F1435" t="str">
        <f>_xlfn.XLOOKUP(A1435,'[1]Tissue Data'!$A:$A,'[1]Tissue Data'!$I:$I)</f>
        <v>gibbosus</v>
      </c>
      <c r="G1435" t="str">
        <f>_xlfn.XLOOKUP(A1435,'[1]Tissue Data'!$A:$A,'[1]Tissue Data'!J:J)</f>
        <v>U</v>
      </c>
      <c r="H1435" t="str">
        <f>_xlfn.XLOOKUP(A1435,'[1]Tissue Data'!$A:$A,'[1]Tissue Data'!K:K)</f>
        <v>Whole Body</v>
      </c>
      <c r="I1435">
        <f>_xlfn.XLOOKUP(A1435,'[1]Tissue Data'!$A:$A,'[1]Tissue Data'!L:L)</f>
        <v>7</v>
      </c>
      <c r="J1435">
        <f>_xlfn.XLOOKUP(A1435,'[1]Tissue Data'!$A:$A,'[1]Tissue Data'!M:M)</f>
        <v>8.8000000000000007</v>
      </c>
      <c r="K1435" t="s">
        <v>45</v>
      </c>
      <c r="L1435" t="str">
        <f>_xlfn.XLOOKUP(K1435,[2]analyte_order!$B:$B,[2]analyte_order!$C:$C)</f>
        <v>39108-34-4</v>
      </c>
      <c r="M1435">
        <f>_xlfn.XLOOKUP(L1435,[2]analyte_order!$C:$C,[2]analyte_order!$E:$E)</f>
        <v>24</v>
      </c>
      <c r="N1435">
        <v>1.08</v>
      </c>
    </row>
    <row r="1436" spans="1:14">
      <c r="A1436" t="s">
        <v>240</v>
      </c>
      <c r="B1436" t="str">
        <f>_xlfn.XLOOKUP(A1436,'[1]Tissue Data'!$A:$A,'[1]Tissue Data'!$C:$C)</f>
        <v>Spill</v>
      </c>
      <c r="C1436" s="2">
        <f>_xlfn.XLOOKUP(A1436,'[1]Tissue Data'!$A:$A,'[1]Tissue Data'!$D:$D)</f>
        <v>44314</v>
      </c>
      <c r="D1436" s="2" t="str">
        <f>_xlfn.XLOOKUP(A1436,'[1]Tissue Data'!$A:$A,'[1]Tissue Data'!$F:$F)</f>
        <v>Pumpkinseed</v>
      </c>
      <c r="E1436" t="str">
        <f>_xlfn.XLOOKUP(A1436,'[1]Tissue Data'!$A:$A,'[1]Tissue Data'!$H:$H)</f>
        <v>Lepomis</v>
      </c>
      <c r="F1436" t="str">
        <f>_xlfn.XLOOKUP(A1436,'[1]Tissue Data'!$A:$A,'[1]Tissue Data'!$I:$I)</f>
        <v>gibbosus</v>
      </c>
      <c r="G1436" t="str">
        <f>_xlfn.XLOOKUP(A1436,'[1]Tissue Data'!$A:$A,'[1]Tissue Data'!J:J)</f>
        <v>U</v>
      </c>
      <c r="H1436" t="str">
        <f>_xlfn.XLOOKUP(A1436,'[1]Tissue Data'!$A:$A,'[1]Tissue Data'!K:K)</f>
        <v>Whole Body</v>
      </c>
      <c r="I1436">
        <f>_xlfn.XLOOKUP(A1436,'[1]Tissue Data'!$A:$A,'[1]Tissue Data'!L:L)</f>
        <v>7</v>
      </c>
      <c r="J1436">
        <f>_xlfn.XLOOKUP(A1436,'[1]Tissue Data'!$A:$A,'[1]Tissue Data'!M:M)</f>
        <v>8.8000000000000007</v>
      </c>
      <c r="K1436" t="s">
        <v>46</v>
      </c>
      <c r="L1436" t="str">
        <f>_xlfn.XLOOKUP(K1436,[2]analyte_order!$B:$B,[2]analyte_order!$C:$C)</f>
        <v>120226-60-0</v>
      </c>
      <c r="M1436">
        <f>_xlfn.XLOOKUP(L1436,[2]analyte_order!$C:$C,[2]analyte_order!$E:$E)</f>
        <v>25</v>
      </c>
      <c r="N1436">
        <v>0.26712645809284813</v>
      </c>
    </row>
    <row r="1437" spans="1:14">
      <c r="A1437" t="s">
        <v>240</v>
      </c>
      <c r="B1437" t="str">
        <f>_xlfn.XLOOKUP(A1437,'[1]Tissue Data'!$A:$A,'[1]Tissue Data'!$C:$C)</f>
        <v>Spill</v>
      </c>
      <c r="C1437" s="2">
        <f>_xlfn.XLOOKUP(A1437,'[1]Tissue Data'!$A:$A,'[1]Tissue Data'!$D:$D)</f>
        <v>44314</v>
      </c>
      <c r="D1437" s="2" t="str">
        <f>_xlfn.XLOOKUP(A1437,'[1]Tissue Data'!$A:$A,'[1]Tissue Data'!$F:$F)</f>
        <v>Pumpkinseed</v>
      </c>
      <c r="E1437" t="str">
        <f>_xlfn.XLOOKUP(A1437,'[1]Tissue Data'!$A:$A,'[1]Tissue Data'!$H:$H)</f>
        <v>Lepomis</v>
      </c>
      <c r="F1437" t="str">
        <f>_xlfn.XLOOKUP(A1437,'[1]Tissue Data'!$A:$A,'[1]Tissue Data'!$I:$I)</f>
        <v>gibbosus</v>
      </c>
      <c r="G1437" t="str">
        <f>_xlfn.XLOOKUP(A1437,'[1]Tissue Data'!$A:$A,'[1]Tissue Data'!J:J)</f>
        <v>U</v>
      </c>
      <c r="H1437" t="str">
        <f>_xlfn.XLOOKUP(A1437,'[1]Tissue Data'!$A:$A,'[1]Tissue Data'!K:K)</f>
        <v>Whole Body</v>
      </c>
      <c r="I1437">
        <f>_xlfn.XLOOKUP(A1437,'[1]Tissue Data'!$A:$A,'[1]Tissue Data'!L:L)</f>
        <v>7</v>
      </c>
      <c r="J1437">
        <f>_xlfn.XLOOKUP(A1437,'[1]Tissue Data'!$A:$A,'[1]Tissue Data'!M:M)</f>
        <v>8.8000000000000007</v>
      </c>
      <c r="K1437" t="s">
        <v>47</v>
      </c>
      <c r="L1437" t="str">
        <f>_xlfn.XLOOKUP(K1437,[2]analyte_order!$B:$B,[2]analyte_order!$C:$C)</f>
        <v>356-02-5</v>
      </c>
      <c r="M1437">
        <f>_xlfn.XLOOKUP(L1437,[2]analyte_order!$C:$C,[2]analyte_order!$E:$E)</f>
        <v>38</v>
      </c>
      <c r="N1437">
        <v>7.7945457688305256E-2</v>
      </c>
    </row>
    <row r="1438" spans="1:14">
      <c r="A1438" t="s">
        <v>240</v>
      </c>
      <c r="B1438" t="str">
        <f>_xlfn.XLOOKUP(A1438,'[1]Tissue Data'!$A:$A,'[1]Tissue Data'!$C:$C)</f>
        <v>Spill</v>
      </c>
      <c r="C1438" s="2">
        <f>_xlfn.XLOOKUP(A1438,'[1]Tissue Data'!$A:$A,'[1]Tissue Data'!$D:$D)</f>
        <v>44314</v>
      </c>
      <c r="D1438" s="2" t="str">
        <f>_xlfn.XLOOKUP(A1438,'[1]Tissue Data'!$A:$A,'[1]Tissue Data'!$F:$F)</f>
        <v>Pumpkinseed</v>
      </c>
      <c r="E1438" t="str">
        <f>_xlfn.XLOOKUP(A1438,'[1]Tissue Data'!$A:$A,'[1]Tissue Data'!$H:$H)</f>
        <v>Lepomis</v>
      </c>
      <c r="F1438" t="str">
        <f>_xlfn.XLOOKUP(A1438,'[1]Tissue Data'!$A:$A,'[1]Tissue Data'!$I:$I)</f>
        <v>gibbosus</v>
      </c>
      <c r="G1438" t="str">
        <f>_xlfn.XLOOKUP(A1438,'[1]Tissue Data'!$A:$A,'[1]Tissue Data'!J:J)</f>
        <v>U</v>
      </c>
      <c r="H1438" t="str">
        <f>_xlfn.XLOOKUP(A1438,'[1]Tissue Data'!$A:$A,'[1]Tissue Data'!K:K)</f>
        <v>Whole Body</v>
      </c>
      <c r="I1438">
        <f>_xlfn.XLOOKUP(A1438,'[1]Tissue Data'!$A:$A,'[1]Tissue Data'!L:L)</f>
        <v>7</v>
      </c>
      <c r="J1438">
        <f>_xlfn.XLOOKUP(A1438,'[1]Tissue Data'!$A:$A,'[1]Tissue Data'!M:M)</f>
        <v>8.8000000000000007</v>
      </c>
      <c r="K1438" t="s">
        <v>48</v>
      </c>
      <c r="L1438" t="str">
        <f>_xlfn.XLOOKUP(K1438,[2]analyte_order!$B:$B,[2]analyte_order!$C:$C)</f>
        <v>914637-49-3</v>
      </c>
      <c r="M1438">
        <f>_xlfn.XLOOKUP(L1438,[2]analyte_order!$C:$C,[2]analyte_order!$E:$E)</f>
        <v>39</v>
      </c>
      <c r="N1438">
        <v>4.45</v>
      </c>
    </row>
    <row r="1439" spans="1:14">
      <c r="A1439" t="s">
        <v>240</v>
      </c>
      <c r="B1439" t="str">
        <f>_xlfn.XLOOKUP(A1439,'[1]Tissue Data'!$A:$A,'[1]Tissue Data'!$C:$C)</f>
        <v>Spill</v>
      </c>
      <c r="C1439" s="2">
        <f>_xlfn.XLOOKUP(A1439,'[1]Tissue Data'!$A:$A,'[1]Tissue Data'!$D:$D)</f>
        <v>44314</v>
      </c>
      <c r="D1439" s="2" t="str">
        <f>_xlfn.XLOOKUP(A1439,'[1]Tissue Data'!$A:$A,'[1]Tissue Data'!$F:$F)</f>
        <v>Pumpkinseed</v>
      </c>
      <c r="E1439" t="str">
        <f>_xlfn.XLOOKUP(A1439,'[1]Tissue Data'!$A:$A,'[1]Tissue Data'!$H:$H)</f>
        <v>Lepomis</v>
      </c>
      <c r="F1439" t="str">
        <f>_xlfn.XLOOKUP(A1439,'[1]Tissue Data'!$A:$A,'[1]Tissue Data'!$I:$I)</f>
        <v>gibbosus</v>
      </c>
      <c r="G1439" t="str">
        <f>_xlfn.XLOOKUP(A1439,'[1]Tissue Data'!$A:$A,'[1]Tissue Data'!J:J)</f>
        <v>U</v>
      </c>
      <c r="H1439" t="str">
        <f>_xlfn.XLOOKUP(A1439,'[1]Tissue Data'!$A:$A,'[1]Tissue Data'!K:K)</f>
        <v>Whole Body</v>
      </c>
      <c r="I1439">
        <f>_xlfn.XLOOKUP(A1439,'[1]Tissue Data'!$A:$A,'[1]Tissue Data'!L:L)</f>
        <v>7</v>
      </c>
      <c r="J1439">
        <f>_xlfn.XLOOKUP(A1439,'[1]Tissue Data'!$A:$A,'[1]Tissue Data'!M:M)</f>
        <v>8.8000000000000007</v>
      </c>
      <c r="K1439" t="s">
        <v>49</v>
      </c>
      <c r="L1439" t="str">
        <f>_xlfn.XLOOKUP(K1439,[2]analyte_order!$B:$B,[2]analyte_order!$C:$C)</f>
        <v>812-70-4</v>
      </c>
      <c r="M1439">
        <f>_xlfn.XLOOKUP(L1439,[2]analyte_order!$C:$C,[2]analyte_order!$E:$E)</f>
        <v>40</v>
      </c>
      <c r="N1439">
        <v>11.3</v>
      </c>
    </row>
    <row r="1440" spans="1:14">
      <c r="A1440" t="s">
        <v>240</v>
      </c>
      <c r="B1440" t="str">
        <f>_xlfn.XLOOKUP(A1440,'[1]Tissue Data'!$A:$A,'[1]Tissue Data'!$C:$C)</f>
        <v>Spill</v>
      </c>
      <c r="C1440" s="2">
        <f>_xlfn.XLOOKUP(A1440,'[1]Tissue Data'!$A:$A,'[1]Tissue Data'!$D:$D)</f>
        <v>44314</v>
      </c>
      <c r="D1440" s="2" t="str">
        <f>_xlfn.XLOOKUP(A1440,'[1]Tissue Data'!$A:$A,'[1]Tissue Data'!$F:$F)</f>
        <v>Pumpkinseed</v>
      </c>
      <c r="E1440" t="str">
        <f>_xlfn.XLOOKUP(A1440,'[1]Tissue Data'!$A:$A,'[1]Tissue Data'!$H:$H)</f>
        <v>Lepomis</v>
      </c>
      <c r="F1440" t="str">
        <f>_xlfn.XLOOKUP(A1440,'[1]Tissue Data'!$A:$A,'[1]Tissue Data'!$I:$I)</f>
        <v>gibbosus</v>
      </c>
      <c r="G1440" t="str">
        <f>_xlfn.XLOOKUP(A1440,'[1]Tissue Data'!$A:$A,'[1]Tissue Data'!J:J)</f>
        <v>U</v>
      </c>
      <c r="H1440" t="str">
        <f>_xlfn.XLOOKUP(A1440,'[1]Tissue Data'!$A:$A,'[1]Tissue Data'!K:K)</f>
        <v>Whole Body</v>
      </c>
      <c r="I1440">
        <f>_xlfn.XLOOKUP(A1440,'[1]Tissue Data'!$A:$A,'[1]Tissue Data'!L:L)</f>
        <v>7</v>
      </c>
      <c r="J1440">
        <f>_xlfn.XLOOKUP(A1440,'[1]Tissue Data'!$A:$A,'[1]Tissue Data'!M:M)</f>
        <v>8.8000000000000007</v>
      </c>
      <c r="K1440" t="s">
        <v>50</v>
      </c>
      <c r="L1440" t="str">
        <f>_xlfn.XLOOKUP(K1440,[2]analyte_order!$B:$B,[2]analyte_order!$C:$C)</f>
        <v>53826-12-3</v>
      </c>
      <c r="M1440">
        <f>_xlfn.XLOOKUP(L1440,[2]analyte_order!$C:$C,[2]analyte_order!$E:$E)</f>
        <v>41</v>
      </c>
      <c r="N1440">
        <v>2.61</v>
      </c>
    </row>
    <row r="1441" spans="1:14">
      <c r="A1441" t="s">
        <v>240</v>
      </c>
      <c r="B1441" t="str">
        <f>_xlfn.XLOOKUP(A1441,'[1]Tissue Data'!$A:$A,'[1]Tissue Data'!$C:$C)</f>
        <v>Spill</v>
      </c>
      <c r="C1441" s="2">
        <f>_xlfn.XLOOKUP(A1441,'[1]Tissue Data'!$A:$A,'[1]Tissue Data'!$D:$D)</f>
        <v>44314</v>
      </c>
      <c r="D1441" s="2" t="str">
        <f>_xlfn.XLOOKUP(A1441,'[1]Tissue Data'!$A:$A,'[1]Tissue Data'!$F:$F)</f>
        <v>Pumpkinseed</v>
      </c>
      <c r="E1441" t="str">
        <f>_xlfn.XLOOKUP(A1441,'[1]Tissue Data'!$A:$A,'[1]Tissue Data'!$H:$H)</f>
        <v>Lepomis</v>
      </c>
      <c r="F1441" t="str">
        <f>_xlfn.XLOOKUP(A1441,'[1]Tissue Data'!$A:$A,'[1]Tissue Data'!$I:$I)</f>
        <v>gibbosus</v>
      </c>
      <c r="G1441" t="str">
        <f>_xlfn.XLOOKUP(A1441,'[1]Tissue Data'!$A:$A,'[1]Tissue Data'!J:J)</f>
        <v>U</v>
      </c>
      <c r="H1441" t="str">
        <f>_xlfn.XLOOKUP(A1441,'[1]Tissue Data'!$A:$A,'[1]Tissue Data'!K:K)</f>
        <v>Whole Body</v>
      </c>
      <c r="I1441">
        <f>_xlfn.XLOOKUP(A1441,'[1]Tissue Data'!$A:$A,'[1]Tissue Data'!L:L)</f>
        <v>7</v>
      </c>
      <c r="J1441">
        <f>_xlfn.XLOOKUP(A1441,'[1]Tissue Data'!$A:$A,'[1]Tissue Data'!M:M)</f>
        <v>8.8000000000000007</v>
      </c>
      <c r="K1441" t="s">
        <v>51</v>
      </c>
      <c r="L1441" t="str">
        <f>_xlfn.XLOOKUP(K1441,[2]analyte_order!$B:$B,[2]analyte_order!$C:$C)</f>
        <v>27854-31-5</v>
      </c>
      <c r="M1441">
        <f>_xlfn.XLOOKUP(L1441,[2]analyte_order!$C:$C,[2]analyte_order!$E:$E)</f>
        <v>42</v>
      </c>
      <c r="N1441">
        <v>2.7029462113703943E-2</v>
      </c>
    </row>
    <row r="1442" spans="1:14">
      <c r="A1442" t="s">
        <v>240</v>
      </c>
      <c r="B1442" t="str">
        <f>_xlfn.XLOOKUP(A1442,'[1]Tissue Data'!$A:$A,'[1]Tissue Data'!$C:$C)</f>
        <v>Spill</v>
      </c>
      <c r="C1442" s="2">
        <f>_xlfn.XLOOKUP(A1442,'[1]Tissue Data'!$A:$A,'[1]Tissue Data'!$D:$D)</f>
        <v>44314</v>
      </c>
      <c r="D1442" s="2" t="str">
        <f>_xlfn.XLOOKUP(A1442,'[1]Tissue Data'!$A:$A,'[1]Tissue Data'!$F:$F)</f>
        <v>Pumpkinseed</v>
      </c>
      <c r="E1442" t="str">
        <f>_xlfn.XLOOKUP(A1442,'[1]Tissue Data'!$A:$A,'[1]Tissue Data'!$H:$H)</f>
        <v>Lepomis</v>
      </c>
      <c r="F1442" t="str">
        <f>_xlfn.XLOOKUP(A1442,'[1]Tissue Data'!$A:$A,'[1]Tissue Data'!$I:$I)</f>
        <v>gibbosus</v>
      </c>
      <c r="G1442" t="str">
        <f>_xlfn.XLOOKUP(A1442,'[1]Tissue Data'!$A:$A,'[1]Tissue Data'!J:J)</f>
        <v>U</v>
      </c>
      <c r="H1442" t="str">
        <f>_xlfn.XLOOKUP(A1442,'[1]Tissue Data'!$A:$A,'[1]Tissue Data'!K:K)</f>
        <v>Whole Body</v>
      </c>
      <c r="I1442">
        <f>_xlfn.XLOOKUP(A1442,'[1]Tissue Data'!$A:$A,'[1]Tissue Data'!L:L)</f>
        <v>7</v>
      </c>
      <c r="J1442">
        <f>_xlfn.XLOOKUP(A1442,'[1]Tissue Data'!$A:$A,'[1]Tissue Data'!M:M)</f>
        <v>8.8000000000000007</v>
      </c>
      <c r="K1442" t="s">
        <v>52</v>
      </c>
      <c r="L1442" t="str">
        <f>_xlfn.XLOOKUP(K1442,[2]analyte_order!$B:$B,[2]analyte_order!$C:$C)</f>
        <v>53826-13-4</v>
      </c>
      <c r="M1442">
        <f>_xlfn.XLOOKUP(L1442,[2]analyte_order!$C:$C,[2]analyte_order!$E:$E)</f>
        <v>43</v>
      </c>
      <c r="N1442">
        <v>0.10083290214023788</v>
      </c>
    </row>
    <row r="1443" spans="1:14">
      <c r="A1443" t="s">
        <v>240</v>
      </c>
      <c r="B1443" t="str">
        <f>_xlfn.XLOOKUP(A1443,'[1]Tissue Data'!$A:$A,'[1]Tissue Data'!$C:$C)</f>
        <v>Spill</v>
      </c>
      <c r="C1443" s="2">
        <f>_xlfn.XLOOKUP(A1443,'[1]Tissue Data'!$A:$A,'[1]Tissue Data'!$D:$D)</f>
        <v>44314</v>
      </c>
      <c r="D1443" s="2" t="str">
        <f>_xlfn.XLOOKUP(A1443,'[1]Tissue Data'!$A:$A,'[1]Tissue Data'!$F:$F)</f>
        <v>Pumpkinseed</v>
      </c>
      <c r="E1443" t="str">
        <f>_xlfn.XLOOKUP(A1443,'[1]Tissue Data'!$A:$A,'[1]Tissue Data'!$H:$H)</f>
        <v>Lepomis</v>
      </c>
      <c r="F1443" t="str">
        <f>_xlfn.XLOOKUP(A1443,'[1]Tissue Data'!$A:$A,'[1]Tissue Data'!$I:$I)</f>
        <v>gibbosus</v>
      </c>
      <c r="G1443" t="str">
        <f>_xlfn.XLOOKUP(A1443,'[1]Tissue Data'!$A:$A,'[1]Tissue Data'!J:J)</f>
        <v>U</v>
      </c>
      <c r="H1443" t="str">
        <f>_xlfn.XLOOKUP(A1443,'[1]Tissue Data'!$A:$A,'[1]Tissue Data'!K:K)</f>
        <v>Whole Body</v>
      </c>
      <c r="I1443">
        <f>_xlfn.XLOOKUP(A1443,'[1]Tissue Data'!$A:$A,'[1]Tissue Data'!L:L)</f>
        <v>7</v>
      </c>
      <c r="J1443">
        <f>_xlfn.XLOOKUP(A1443,'[1]Tissue Data'!$A:$A,'[1]Tissue Data'!M:M)</f>
        <v>8.8000000000000007</v>
      </c>
      <c r="K1443" t="s">
        <v>53</v>
      </c>
      <c r="L1443" t="str">
        <f>_xlfn.XLOOKUP(K1443,[2]analyte_order!$B:$B,[2]analyte_order!$C:$C)</f>
        <v>161094-75-3</v>
      </c>
      <c r="M1443">
        <f>_xlfn.XLOOKUP(L1443,[2]analyte_order!$C:$C,[2]analyte_order!$E:$E)</f>
        <v>44</v>
      </c>
      <c r="N1443">
        <v>5.3058600874132812E-2</v>
      </c>
    </row>
    <row r="1444" spans="1:14">
      <c r="A1444" t="s">
        <v>240</v>
      </c>
      <c r="B1444" t="str">
        <f>_xlfn.XLOOKUP(A1444,'[1]Tissue Data'!$A:$A,'[1]Tissue Data'!$C:$C)</f>
        <v>Spill</v>
      </c>
      <c r="C1444" s="2">
        <f>_xlfn.XLOOKUP(A1444,'[1]Tissue Data'!$A:$A,'[1]Tissue Data'!$D:$D)</f>
        <v>44314</v>
      </c>
      <c r="D1444" s="2" t="str">
        <f>_xlfn.XLOOKUP(A1444,'[1]Tissue Data'!$A:$A,'[1]Tissue Data'!$F:$F)</f>
        <v>Pumpkinseed</v>
      </c>
      <c r="E1444" t="str">
        <f>_xlfn.XLOOKUP(A1444,'[1]Tissue Data'!$A:$A,'[1]Tissue Data'!$H:$H)</f>
        <v>Lepomis</v>
      </c>
      <c r="F1444" t="str">
        <f>_xlfn.XLOOKUP(A1444,'[1]Tissue Data'!$A:$A,'[1]Tissue Data'!$I:$I)</f>
        <v>gibbosus</v>
      </c>
      <c r="G1444" t="str">
        <f>_xlfn.XLOOKUP(A1444,'[1]Tissue Data'!$A:$A,'[1]Tissue Data'!J:J)</f>
        <v>U</v>
      </c>
      <c r="H1444" t="str">
        <f>_xlfn.XLOOKUP(A1444,'[1]Tissue Data'!$A:$A,'[1]Tissue Data'!K:K)</f>
        <v>Whole Body</v>
      </c>
      <c r="I1444">
        <f>_xlfn.XLOOKUP(A1444,'[1]Tissue Data'!$A:$A,'[1]Tissue Data'!L:L)</f>
        <v>7</v>
      </c>
      <c r="J1444">
        <f>_xlfn.XLOOKUP(A1444,'[1]Tissue Data'!$A:$A,'[1]Tissue Data'!M:M)</f>
        <v>8.8000000000000007</v>
      </c>
      <c r="K1444" t="s">
        <v>54</v>
      </c>
      <c r="L1444" t="str">
        <f>_xlfn.XLOOKUP(K1444,[2]analyte_order!$B:$B,[2]analyte_order!$C:$C)</f>
        <v>70887-84-2</v>
      </c>
      <c r="M1444">
        <f>_xlfn.XLOOKUP(L1444,[2]analyte_order!$C:$C,[2]analyte_order!$E:$E)</f>
        <v>45</v>
      </c>
      <c r="N1444">
        <v>4.0835065931268587E-2</v>
      </c>
    </row>
    <row r="1445" spans="1:14">
      <c r="A1445" t="s">
        <v>240</v>
      </c>
      <c r="B1445" t="str">
        <f>_xlfn.XLOOKUP(A1445,'[1]Tissue Data'!$A:$A,'[1]Tissue Data'!$C:$C)</f>
        <v>Spill</v>
      </c>
      <c r="C1445" s="2">
        <f>_xlfn.XLOOKUP(A1445,'[1]Tissue Data'!$A:$A,'[1]Tissue Data'!$D:$D)</f>
        <v>44314</v>
      </c>
      <c r="D1445" s="2" t="str">
        <f>_xlfn.XLOOKUP(A1445,'[1]Tissue Data'!$A:$A,'[1]Tissue Data'!$F:$F)</f>
        <v>Pumpkinseed</v>
      </c>
      <c r="E1445" t="str">
        <f>_xlfn.XLOOKUP(A1445,'[1]Tissue Data'!$A:$A,'[1]Tissue Data'!$H:$H)</f>
        <v>Lepomis</v>
      </c>
      <c r="F1445" t="str">
        <f>_xlfn.XLOOKUP(A1445,'[1]Tissue Data'!$A:$A,'[1]Tissue Data'!$I:$I)</f>
        <v>gibbosus</v>
      </c>
      <c r="G1445" t="str">
        <f>_xlfn.XLOOKUP(A1445,'[1]Tissue Data'!$A:$A,'[1]Tissue Data'!J:J)</f>
        <v>U</v>
      </c>
      <c r="H1445" t="str">
        <f>_xlfn.XLOOKUP(A1445,'[1]Tissue Data'!$A:$A,'[1]Tissue Data'!K:K)</f>
        <v>Whole Body</v>
      </c>
      <c r="I1445">
        <f>_xlfn.XLOOKUP(A1445,'[1]Tissue Data'!$A:$A,'[1]Tissue Data'!L:L)</f>
        <v>7</v>
      </c>
      <c r="J1445">
        <f>_xlfn.XLOOKUP(A1445,'[1]Tissue Data'!$A:$A,'[1]Tissue Data'!M:M)</f>
        <v>8.8000000000000007</v>
      </c>
      <c r="K1445" t="s">
        <v>55</v>
      </c>
      <c r="L1445" t="str">
        <f>_xlfn.XLOOKUP(K1445,[2]analyte_order!$B:$B,[2]analyte_order!$C:$C)</f>
        <v>919005-14-4</v>
      </c>
      <c r="M1445">
        <f>_xlfn.XLOOKUP(L1445,[2]analyte_order!$C:$C,[2]analyte_order!$E:$E)</f>
        <v>35</v>
      </c>
      <c r="N1445">
        <v>6.7573655284259848E-2</v>
      </c>
    </row>
    <row r="1446" spans="1:14">
      <c r="A1446" t="s">
        <v>240</v>
      </c>
      <c r="B1446" t="str">
        <f>_xlfn.XLOOKUP(A1446,'[1]Tissue Data'!$A:$A,'[1]Tissue Data'!$C:$C)</f>
        <v>Spill</v>
      </c>
      <c r="C1446" s="2">
        <f>_xlfn.XLOOKUP(A1446,'[1]Tissue Data'!$A:$A,'[1]Tissue Data'!$D:$D)</f>
        <v>44314</v>
      </c>
      <c r="D1446" s="2" t="str">
        <f>_xlfn.XLOOKUP(A1446,'[1]Tissue Data'!$A:$A,'[1]Tissue Data'!$F:$F)</f>
        <v>Pumpkinseed</v>
      </c>
      <c r="E1446" t="str">
        <f>_xlfn.XLOOKUP(A1446,'[1]Tissue Data'!$A:$A,'[1]Tissue Data'!$H:$H)</f>
        <v>Lepomis</v>
      </c>
      <c r="F1446" t="str">
        <f>_xlfn.XLOOKUP(A1446,'[1]Tissue Data'!$A:$A,'[1]Tissue Data'!$I:$I)</f>
        <v>gibbosus</v>
      </c>
      <c r="G1446" t="str">
        <f>_xlfn.XLOOKUP(A1446,'[1]Tissue Data'!$A:$A,'[1]Tissue Data'!J:J)</f>
        <v>U</v>
      </c>
      <c r="H1446" t="str">
        <f>_xlfn.XLOOKUP(A1446,'[1]Tissue Data'!$A:$A,'[1]Tissue Data'!K:K)</f>
        <v>Whole Body</v>
      </c>
      <c r="I1446">
        <f>_xlfn.XLOOKUP(A1446,'[1]Tissue Data'!$A:$A,'[1]Tissue Data'!L:L)</f>
        <v>7</v>
      </c>
      <c r="J1446">
        <f>_xlfn.XLOOKUP(A1446,'[1]Tissue Data'!$A:$A,'[1]Tissue Data'!M:M)</f>
        <v>8.8000000000000007</v>
      </c>
      <c r="K1446" t="s">
        <v>56</v>
      </c>
      <c r="L1446" t="str">
        <f>_xlfn.XLOOKUP(K1446,[2]analyte_order!$B:$B,[2]analyte_order!$C:$C)</f>
        <v>756426-58-1</v>
      </c>
      <c r="M1446">
        <f>_xlfn.XLOOKUP(L1446,[2]analyte_order!$C:$C,[2]analyte_order!$E:$E)</f>
        <v>36</v>
      </c>
      <c r="N1446">
        <v>4.6903322769573839E-2</v>
      </c>
    </row>
    <row r="1447" spans="1:14">
      <c r="A1447" t="s">
        <v>240</v>
      </c>
      <c r="B1447" t="str">
        <f>_xlfn.XLOOKUP(A1447,'[1]Tissue Data'!$A:$A,'[1]Tissue Data'!$C:$C)</f>
        <v>Spill</v>
      </c>
      <c r="C1447" s="2">
        <f>_xlfn.XLOOKUP(A1447,'[1]Tissue Data'!$A:$A,'[1]Tissue Data'!$D:$D)</f>
        <v>44314</v>
      </c>
      <c r="D1447" s="2" t="str">
        <f>_xlfn.XLOOKUP(A1447,'[1]Tissue Data'!$A:$A,'[1]Tissue Data'!$F:$F)</f>
        <v>Pumpkinseed</v>
      </c>
      <c r="E1447" t="str">
        <f>_xlfn.XLOOKUP(A1447,'[1]Tissue Data'!$A:$A,'[1]Tissue Data'!$H:$H)</f>
        <v>Lepomis</v>
      </c>
      <c r="F1447" t="str">
        <f>_xlfn.XLOOKUP(A1447,'[1]Tissue Data'!$A:$A,'[1]Tissue Data'!$I:$I)</f>
        <v>gibbosus</v>
      </c>
      <c r="G1447" t="str">
        <f>_xlfn.XLOOKUP(A1447,'[1]Tissue Data'!$A:$A,'[1]Tissue Data'!J:J)</f>
        <v>U</v>
      </c>
      <c r="H1447" t="str">
        <f>_xlfn.XLOOKUP(A1447,'[1]Tissue Data'!$A:$A,'[1]Tissue Data'!K:K)</f>
        <v>Whole Body</v>
      </c>
      <c r="I1447">
        <f>_xlfn.XLOOKUP(A1447,'[1]Tissue Data'!$A:$A,'[1]Tissue Data'!L:L)</f>
        <v>7</v>
      </c>
      <c r="J1447">
        <f>_xlfn.XLOOKUP(A1447,'[1]Tissue Data'!$A:$A,'[1]Tissue Data'!M:M)</f>
        <v>8.8000000000000007</v>
      </c>
      <c r="K1447" t="s">
        <v>57</v>
      </c>
      <c r="L1447" t="str">
        <f>_xlfn.XLOOKUP(K1447,[2]analyte_order!$B:$B,[2]analyte_order!$C:$C)</f>
        <v>763051-92-9</v>
      </c>
      <c r="M1447">
        <f>_xlfn.XLOOKUP(L1447,[2]analyte_order!$C:$C,[2]analyte_order!$E:$E)</f>
        <v>37</v>
      </c>
      <c r="N1447">
        <v>5.3247401478196232E-2</v>
      </c>
    </row>
    <row r="1448" spans="1:14">
      <c r="A1448" t="s">
        <v>240</v>
      </c>
      <c r="B1448" t="str">
        <f>_xlfn.XLOOKUP(A1448,'[1]Tissue Data'!$A:$A,'[1]Tissue Data'!$C:$C)</f>
        <v>Spill</v>
      </c>
      <c r="C1448" s="2">
        <f>_xlfn.XLOOKUP(A1448,'[1]Tissue Data'!$A:$A,'[1]Tissue Data'!$D:$D)</f>
        <v>44314</v>
      </c>
      <c r="D1448" s="2" t="str">
        <f>_xlfn.XLOOKUP(A1448,'[1]Tissue Data'!$A:$A,'[1]Tissue Data'!$F:$F)</f>
        <v>Pumpkinseed</v>
      </c>
      <c r="E1448" t="str">
        <f>_xlfn.XLOOKUP(A1448,'[1]Tissue Data'!$A:$A,'[1]Tissue Data'!$H:$H)</f>
        <v>Lepomis</v>
      </c>
      <c r="F1448" t="str">
        <f>_xlfn.XLOOKUP(A1448,'[1]Tissue Data'!$A:$A,'[1]Tissue Data'!$I:$I)</f>
        <v>gibbosus</v>
      </c>
      <c r="G1448" t="str">
        <f>_xlfn.XLOOKUP(A1448,'[1]Tissue Data'!$A:$A,'[1]Tissue Data'!J:J)</f>
        <v>U</v>
      </c>
      <c r="H1448" t="str">
        <f>_xlfn.XLOOKUP(A1448,'[1]Tissue Data'!$A:$A,'[1]Tissue Data'!K:K)</f>
        <v>Whole Body</v>
      </c>
      <c r="I1448">
        <f>_xlfn.XLOOKUP(A1448,'[1]Tissue Data'!$A:$A,'[1]Tissue Data'!L:L)</f>
        <v>7</v>
      </c>
      <c r="J1448">
        <f>_xlfn.XLOOKUP(A1448,'[1]Tissue Data'!$A:$A,'[1]Tissue Data'!M:M)</f>
        <v>8.8000000000000007</v>
      </c>
      <c r="K1448" t="s">
        <v>58</v>
      </c>
      <c r="L1448" t="str">
        <f>_xlfn.XLOOKUP(K1448,[2]analyte_order!$B:$B,[2]analyte_order!$C:$C)</f>
        <v>13252-13-6</v>
      </c>
      <c r="M1448">
        <f>_xlfn.XLOOKUP(L1448,[2]analyte_order!$C:$C,[2]analyte_order!$E:$E)</f>
        <v>34</v>
      </c>
      <c r="N1448">
        <v>9.6970125572348881E-2</v>
      </c>
    </row>
    <row r="1449" spans="1:14">
      <c r="A1449" t="s">
        <v>240</v>
      </c>
      <c r="B1449" t="str">
        <f>_xlfn.XLOOKUP(A1449,'[1]Tissue Data'!$A:$A,'[1]Tissue Data'!$C:$C)</f>
        <v>Spill</v>
      </c>
      <c r="C1449" s="2">
        <f>_xlfn.XLOOKUP(A1449,'[1]Tissue Data'!$A:$A,'[1]Tissue Data'!$D:$D)</f>
        <v>44314</v>
      </c>
      <c r="D1449" s="2" t="str">
        <f>_xlfn.XLOOKUP(A1449,'[1]Tissue Data'!$A:$A,'[1]Tissue Data'!$F:$F)</f>
        <v>Pumpkinseed</v>
      </c>
      <c r="E1449" t="str">
        <f>_xlfn.XLOOKUP(A1449,'[1]Tissue Data'!$A:$A,'[1]Tissue Data'!$H:$H)</f>
        <v>Lepomis</v>
      </c>
      <c r="F1449" t="str">
        <f>_xlfn.XLOOKUP(A1449,'[1]Tissue Data'!$A:$A,'[1]Tissue Data'!$I:$I)</f>
        <v>gibbosus</v>
      </c>
      <c r="G1449" t="str">
        <f>_xlfn.XLOOKUP(A1449,'[1]Tissue Data'!$A:$A,'[1]Tissue Data'!J:J)</f>
        <v>U</v>
      </c>
      <c r="H1449" t="str">
        <f>_xlfn.XLOOKUP(A1449,'[1]Tissue Data'!$A:$A,'[1]Tissue Data'!K:K)</f>
        <v>Whole Body</v>
      </c>
      <c r="I1449">
        <f>_xlfn.XLOOKUP(A1449,'[1]Tissue Data'!$A:$A,'[1]Tissue Data'!L:L)</f>
        <v>7</v>
      </c>
      <c r="J1449">
        <f>_xlfn.XLOOKUP(A1449,'[1]Tissue Data'!$A:$A,'[1]Tissue Data'!M:M)</f>
        <v>8.8000000000000007</v>
      </c>
      <c r="K1449" t="s">
        <v>59</v>
      </c>
      <c r="L1449" t="str">
        <f>_xlfn.XLOOKUP(K1449,[2]analyte_order!$B:$B,[2]analyte_order!$C:$C)</f>
        <v>57677-95-9</v>
      </c>
      <c r="M1449">
        <f>_xlfn.XLOOKUP(L1449,[2]analyte_order!$C:$C,[2]analyte_order!$E:$E)</f>
        <v>46</v>
      </c>
      <c r="N1449">
        <v>7.1934111325569872E-2</v>
      </c>
    </row>
    <row r="1450" spans="1:14">
      <c r="A1450" t="s">
        <v>240</v>
      </c>
      <c r="B1450" t="str">
        <f>_xlfn.XLOOKUP(A1450,'[1]Tissue Data'!$A:$A,'[1]Tissue Data'!$C:$C)</f>
        <v>Spill</v>
      </c>
      <c r="C1450" s="2">
        <f>_xlfn.XLOOKUP(A1450,'[1]Tissue Data'!$A:$A,'[1]Tissue Data'!$D:$D)</f>
        <v>44314</v>
      </c>
      <c r="D1450" s="2" t="str">
        <f>_xlfn.XLOOKUP(A1450,'[1]Tissue Data'!$A:$A,'[1]Tissue Data'!$F:$F)</f>
        <v>Pumpkinseed</v>
      </c>
      <c r="E1450" t="str">
        <f>_xlfn.XLOOKUP(A1450,'[1]Tissue Data'!$A:$A,'[1]Tissue Data'!$H:$H)</f>
        <v>Lepomis</v>
      </c>
      <c r="F1450" t="str">
        <f>_xlfn.XLOOKUP(A1450,'[1]Tissue Data'!$A:$A,'[1]Tissue Data'!$I:$I)</f>
        <v>gibbosus</v>
      </c>
      <c r="G1450" t="str">
        <f>_xlfn.XLOOKUP(A1450,'[1]Tissue Data'!$A:$A,'[1]Tissue Data'!J:J)</f>
        <v>U</v>
      </c>
      <c r="H1450" t="str">
        <f>_xlfn.XLOOKUP(A1450,'[1]Tissue Data'!$A:$A,'[1]Tissue Data'!K:K)</f>
        <v>Whole Body</v>
      </c>
      <c r="I1450">
        <f>_xlfn.XLOOKUP(A1450,'[1]Tissue Data'!$A:$A,'[1]Tissue Data'!L:L)</f>
        <v>7</v>
      </c>
      <c r="J1450">
        <f>_xlfn.XLOOKUP(A1450,'[1]Tissue Data'!$A:$A,'[1]Tissue Data'!M:M)</f>
        <v>8.8000000000000007</v>
      </c>
      <c r="K1450" t="s">
        <v>60</v>
      </c>
      <c r="L1450" t="str">
        <f>_xlfn.XLOOKUP(K1450,[2]analyte_order!$B:$B,[2]analyte_order!$C:$C)</f>
        <v>678-41-1</v>
      </c>
      <c r="M1450">
        <f>_xlfn.XLOOKUP(L1450,[2]analyte_order!$C:$C,[2]analyte_order!$E:$E)</f>
        <v>56</v>
      </c>
      <c r="N1450">
        <v>8.9590098715064445E-2</v>
      </c>
    </row>
    <row r="1451" spans="1:14">
      <c r="A1451" t="s">
        <v>240</v>
      </c>
      <c r="B1451" t="str">
        <f>_xlfn.XLOOKUP(A1451,'[1]Tissue Data'!$A:$A,'[1]Tissue Data'!$C:$C)</f>
        <v>Spill</v>
      </c>
      <c r="C1451" s="2">
        <f>_xlfn.XLOOKUP(A1451,'[1]Tissue Data'!$A:$A,'[1]Tissue Data'!$D:$D)</f>
        <v>44314</v>
      </c>
      <c r="D1451" s="2" t="str">
        <f>_xlfn.XLOOKUP(A1451,'[1]Tissue Data'!$A:$A,'[1]Tissue Data'!$F:$F)</f>
        <v>Pumpkinseed</v>
      </c>
      <c r="E1451" t="str">
        <f>_xlfn.XLOOKUP(A1451,'[1]Tissue Data'!$A:$A,'[1]Tissue Data'!$H:$H)</f>
        <v>Lepomis</v>
      </c>
      <c r="F1451" t="str">
        <f>_xlfn.XLOOKUP(A1451,'[1]Tissue Data'!$A:$A,'[1]Tissue Data'!$I:$I)</f>
        <v>gibbosus</v>
      </c>
      <c r="G1451" t="str">
        <f>_xlfn.XLOOKUP(A1451,'[1]Tissue Data'!$A:$A,'[1]Tissue Data'!J:J)</f>
        <v>U</v>
      </c>
      <c r="H1451" t="str">
        <f>_xlfn.XLOOKUP(A1451,'[1]Tissue Data'!$A:$A,'[1]Tissue Data'!K:K)</f>
        <v>Whole Body</v>
      </c>
      <c r="I1451">
        <f>_xlfn.XLOOKUP(A1451,'[1]Tissue Data'!$A:$A,'[1]Tissue Data'!L:L)</f>
        <v>7</v>
      </c>
      <c r="J1451">
        <f>_xlfn.XLOOKUP(A1451,'[1]Tissue Data'!$A:$A,'[1]Tissue Data'!M:M)</f>
        <v>8.8000000000000007</v>
      </c>
      <c r="K1451" t="s">
        <v>61</v>
      </c>
      <c r="L1451" t="str">
        <f>_xlfn.XLOOKUP(K1451,[2]analyte_order!$B:$B,[2]analyte_order!$C:$C)</f>
        <v>2965-52-8</v>
      </c>
      <c r="M1451">
        <f>_xlfn.XLOOKUP(L1451,[2]analyte_order!$C:$C,[2]analyte_order!$E:$E)</f>
        <v>57</v>
      </c>
      <c r="N1451">
        <v>0.11892963330029734</v>
      </c>
    </row>
    <row r="1452" spans="1:14">
      <c r="A1452" t="s">
        <v>241</v>
      </c>
      <c r="B1452" t="str">
        <f>_xlfn.XLOOKUP(A1452,'[1]Tissue Data'!$A:$A,'[1]Tissue Data'!$C:$C)</f>
        <v>Spill</v>
      </c>
      <c r="C1452" s="2">
        <f>_xlfn.XLOOKUP(A1452,'[1]Tissue Data'!$A:$A,'[1]Tissue Data'!$D:$D)</f>
        <v>44314</v>
      </c>
      <c r="D1452" s="2" t="str">
        <f>_xlfn.XLOOKUP(A1452,'[1]Tissue Data'!$A:$A,'[1]Tissue Data'!$F:$F)</f>
        <v>Pumpkinseed</v>
      </c>
      <c r="E1452" t="str">
        <f>_xlfn.XLOOKUP(A1452,'[1]Tissue Data'!$A:$A,'[1]Tissue Data'!$H:$H)</f>
        <v>Lepomis</v>
      </c>
      <c r="F1452" t="str">
        <f>_xlfn.XLOOKUP(A1452,'[1]Tissue Data'!$A:$A,'[1]Tissue Data'!$I:$I)</f>
        <v>gibbosus</v>
      </c>
      <c r="G1452" t="str">
        <f>_xlfn.XLOOKUP(A1452,'[1]Tissue Data'!$A:$A,'[1]Tissue Data'!J:J)</f>
        <v>U</v>
      </c>
      <c r="H1452" t="str">
        <f>_xlfn.XLOOKUP(A1452,'[1]Tissue Data'!$A:$A,'[1]Tissue Data'!K:K)</f>
        <v>Whole Body</v>
      </c>
      <c r="I1452">
        <f>_xlfn.XLOOKUP(A1452,'[1]Tissue Data'!$A:$A,'[1]Tissue Data'!L:L)</f>
        <v>6</v>
      </c>
      <c r="J1452">
        <f>_xlfn.XLOOKUP(A1452,'[1]Tissue Data'!$A:$A,'[1]Tissue Data'!M:M)</f>
        <v>7.5</v>
      </c>
      <c r="K1452" t="s">
        <v>12</v>
      </c>
      <c r="L1452" t="str">
        <f>_xlfn.XLOOKUP(K1452,[2]analyte_order!$B:$B,[2]analyte_order!$C:$C)</f>
        <v>375-22-4</v>
      </c>
      <c r="M1452">
        <f>_xlfn.XLOOKUP(L1452,[2]analyte_order!$C:$C,[2]analyte_order!$E:$E)</f>
        <v>1</v>
      </c>
      <c r="N1452">
        <v>9.1575091575091569E-2</v>
      </c>
    </row>
    <row r="1453" spans="1:14">
      <c r="A1453" t="s">
        <v>241</v>
      </c>
      <c r="B1453" t="str">
        <f>_xlfn.XLOOKUP(A1453,'[1]Tissue Data'!$A:$A,'[1]Tissue Data'!$C:$C)</f>
        <v>Spill</v>
      </c>
      <c r="C1453" s="2">
        <f>_xlfn.XLOOKUP(A1453,'[1]Tissue Data'!$A:$A,'[1]Tissue Data'!$D:$D)</f>
        <v>44314</v>
      </c>
      <c r="D1453" s="2" t="str">
        <f>_xlfn.XLOOKUP(A1453,'[1]Tissue Data'!$A:$A,'[1]Tissue Data'!$F:$F)</f>
        <v>Pumpkinseed</v>
      </c>
      <c r="E1453" t="str">
        <f>_xlfn.XLOOKUP(A1453,'[1]Tissue Data'!$A:$A,'[1]Tissue Data'!$H:$H)</f>
        <v>Lepomis</v>
      </c>
      <c r="F1453" t="str">
        <f>_xlfn.XLOOKUP(A1453,'[1]Tissue Data'!$A:$A,'[1]Tissue Data'!$I:$I)</f>
        <v>gibbosus</v>
      </c>
      <c r="G1453" t="str">
        <f>_xlfn.XLOOKUP(A1453,'[1]Tissue Data'!$A:$A,'[1]Tissue Data'!J:J)</f>
        <v>U</v>
      </c>
      <c r="H1453" t="str">
        <f>_xlfn.XLOOKUP(A1453,'[1]Tissue Data'!$A:$A,'[1]Tissue Data'!K:K)</f>
        <v>Whole Body</v>
      </c>
      <c r="I1453">
        <f>_xlfn.XLOOKUP(A1453,'[1]Tissue Data'!$A:$A,'[1]Tissue Data'!L:L)</f>
        <v>6</v>
      </c>
      <c r="J1453">
        <f>_xlfn.XLOOKUP(A1453,'[1]Tissue Data'!$A:$A,'[1]Tissue Data'!M:M)</f>
        <v>7.5</v>
      </c>
      <c r="K1453" t="s">
        <v>13</v>
      </c>
      <c r="L1453" t="str">
        <f>_xlfn.XLOOKUP(K1453,[2]analyte_order!$B:$B,[2]analyte_order!$C:$C)</f>
        <v>2706-90-3</v>
      </c>
      <c r="M1453">
        <f>_xlfn.XLOOKUP(L1453,[2]analyte_order!$C:$C,[2]analyte_order!$E:$E)</f>
        <v>2</v>
      </c>
      <c r="N1453">
        <v>5.0369374747490592E-2</v>
      </c>
    </row>
    <row r="1454" spans="1:14">
      <c r="A1454" t="s">
        <v>241</v>
      </c>
      <c r="B1454" t="str">
        <f>_xlfn.XLOOKUP(A1454,'[1]Tissue Data'!$A:$A,'[1]Tissue Data'!$C:$C)</f>
        <v>Spill</v>
      </c>
      <c r="C1454" s="2">
        <f>_xlfn.XLOOKUP(A1454,'[1]Tissue Data'!$A:$A,'[1]Tissue Data'!$D:$D)</f>
        <v>44314</v>
      </c>
      <c r="D1454" s="2" t="str">
        <f>_xlfn.XLOOKUP(A1454,'[1]Tissue Data'!$A:$A,'[1]Tissue Data'!$F:$F)</f>
        <v>Pumpkinseed</v>
      </c>
      <c r="E1454" t="str">
        <f>_xlfn.XLOOKUP(A1454,'[1]Tissue Data'!$A:$A,'[1]Tissue Data'!$H:$H)</f>
        <v>Lepomis</v>
      </c>
      <c r="F1454" t="str">
        <f>_xlfn.XLOOKUP(A1454,'[1]Tissue Data'!$A:$A,'[1]Tissue Data'!$I:$I)</f>
        <v>gibbosus</v>
      </c>
      <c r="G1454" t="str">
        <f>_xlfn.XLOOKUP(A1454,'[1]Tissue Data'!$A:$A,'[1]Tissue Data'!J:J)</f>
        <v>U</v>
      </c>
      <c r="H1454" t="str">
        <f>_xlfn.XLOOKUP(A1454,'[1]Tissue Data'!$A:$A,'[1]Tissue Data'!K:K)</f>
        <v>Whole Body</v>
      </c>
      <c r="I1454">
        <f>_xlfn.XLOOKUP(A1454,'[1]Tissue Data'!$A:$A,'[1]Tissue Data'!L:L)</f>
        <v>6</v>
      </c>
      <c r="J1454">
        <f>_xlfn.XLOOKUP(A1454,'[1]Tissue Data'!$A:$A,'[1]Tissue Data'!M:M)</f>
        <v>7.5</v>
      </c>
      <c r="K1454" t="s">
        <v>14</v>
      </c>
      <c r="L1454" t="str">
        <f>_xlfn.XLOOKUP(K1454,[2]analyte_order!$B:$B,[2]analyte_order!$C:$C)</f>
        <v>307-24-4</v>
      </c>
      <c r="M1454">
        <f>_xlfn.XLOOKUP(L1454,[2]analyte_order!$C:$C,[2]analyte_order!$E:$E)</f>
        <v>3</v>
      </c>
      <c r="N1454">
        <v>0.12355569146250001</v>
      </c>
    </row>
    <row r="1455" spans="1:14">
      <c r="A1455" t="s">
        <v>241</v>
      </c>
      <c r="B1455" t="str">
        <f>_xlfn.XLOOKUP(A1455,'[1]Tissue Data'!$A:$A,'[1]Tissue Data'!$C:$C)</f>
        <v>Spill</v>
      </c>
      <c r="C1455" s="2">
        <f>_xlfn.XLOOKUP(A1455,'[1]Tissue Data'!$A:$A,'[1]Tissue Data'!$D:$D)</f>
        <v>44314</v>
      </c>
      <c r="D1455" s="2" t="str">
        <f>_xlfn.XLOOKUP(A1455,'[1]Tissue Data'!$A:$A,'[1]Tissue Data'!$F:$F)</f>
        <v>Pumpkinseed</v>
      </c>
      <c r="E1455" t="str">
        <f>_xlfn.XLOOKUP(A1455,'[1]Tissue Data'!$A:$A,'[1]Tissue Data'!$H:$H)</f>
        <v>Lepomis</v>
      </c>
      <c r="F1455" t="str">
        <f>_xlfn.XLOOKUP(A1455,'[1]Tissue Data'!$A:$A,'[1]Tissue Data'!$I:$I)</f>
        <v>gibbosus</v>
      </c>
      <c r="G1455" t="str">
        <f>_xlfn.XLOOKUP(A1455,'[1]Tissue Data'!$A:$A,'[1]Tissue Data'!J:J)</f>
        <v>U</v>
      </c>
      <c r="H1455" t="str">
        <f>_xlfn.XLOOKUP(A1455,'[1]Tissue Data'!$A:$A,'[1]Tissue Data'!K:K)</f>
        <v>Whole Body</v>
      </c>
      <c r="I1455">
        <f>_xlfn.XLOOKUP(A1455,'[1]Tissue Data'!$A:$A,'[1]Tissue Data'!L:L)</f>
        <v>6</v>
      </c>
      <c r="J1455">
        <f>_xlfn.XLOOKUP(A1455,'[1]Tissue Data'!$A:$A,'[1]Tissue Data'!M:M)</f>
        <v>7.5</v>
      </c>
      <c r="K1455" t="s">
        <v>15</v>
      </c>
      <c r="L1455" t="str">
        <f>_xlfn.XLOOKUP(K1455,[2]analyte_order!$B:$B,[2]analyte_order!$C:$C)</f>
        <v>375-85-9</v>
      </c>
      <c r="M1455">
        <f>_xlfn.XLOOKUP(L1455,[2]analyte_order!$C:$C,[2]analyte_order!$E:$E)</f>
        <v>4</v>
      </c>
      <c r="N1455">
        <v>9.1575091575091569E-2</v>
      </c>
    </row>
    <row r="1456" spans="1:14">
      <c r="A1456" t="s">
        <v>241</v>
      </c>
      <c r="B1456" t="str">
        <f>_xlfn.XLOOKUP(A1456,'[1]Tissue Data'!$A:$A,'[1]Tissue Data'!$C:$C)</f>
        <v>Spill</v>
      </c>
      <c r="C1456" s="2">
        <f>_xlfn.XLOOKUP(A1456,'[1]Tissue Data'!$A:$A,'[1]Tissue Data'!$D:$D)</f>
        <v>44314</v>
      </c>
      <c r="D1456" s="2" t="str">
        <f>_xlfn.XLOOKUP(A1456,'[1]Tissue Data'!$A:$A,'[1]Tissue Data'!$F:$F)</f>
        <v>Pumpkinseed</v>
      </c>
      <c r="E1456" t="str">
        <f>_xlfn.XLOOKUP(A1456,'[1]Tissue Data'!$A:$A,'[1]Tissue Data'!$H:$H)</f>
        <v>Lepomis</v>
      </c>
      <c r="F1456" t="str">
        <f>_xlfn.XLOOKUP(A1456,'[1]Tissue Data'!$A:$A,'[1]Tissue Data'!$I:$I)</f>
        <v>gibbosus</v>
      </c>
      <c r="G1456" t="str">
        <f>_xlfn.XLOOKUP(A1456,'[1]Tissue Data'!$A:$A,'[1]Tissue Data'!J:J)</f>
        <v>U</v>
      </c>
      <c r="H1456" t="str">
        <f>_xlfn.XLOOKUP(A1456,'[1]Tissue Data'!$A:$A,'[1]Tissue Data'!K:K)</f>
        <v>Whole Body</v>
      </c>
      <c r="I1456">
        <f>_xlfn.XLOOKUP(A1456,'[1]Tissue Data'!$A:$A,'[1]Tissue Data'!L:L)</f>
        <v>6</v>
      </c>
      <c r="J1456">
        <f>_xlfn.XLOOKUP(A1456,'[1]Tissue Data'!$A:$A,'[1]Tissue Data'!M:M)</f>
        <v>7.5</v>
      </c>
      <c r="K1456" t="s">
        <v>16</v>
      </c>
      <c r="L1456" t="str">
        <f>_xlfn.XLOOKUP(K1456,[2]analyte_order!$B:$B,[2]analyte_order!$C:$C)</f>
        <v>335-67-1</v>
      </c>
      <c r="M1456">
        <f>_xlfn.XLOOKUP(L1456,[2]analyte_order!$C:$C,[2]analyte_order!$E:$E)</f>
        <v>5</v>
      </c>
      <c r="N1456">
        <v>9.1575091575091569E-2</v>
      </c>
    </row>
    <row r="1457" spans="1:14">
      <c r="A1457" t="s">
        <v>241</v>
      </c>
      <c r="B1457" t="str">
        <f>_xlfn.XLOOKUP(A1457,'[1]Tissue Data'!$A:$A,'[1]Tissue Data'!$C:$C)</f>
        <v>Spill</v>
      </c>
      <c r="C1457" s="2">
        <f>_xlfn.XLOOKUP(A1457,'[1]Tissue Data'!$A:$A,'[1]Tissue Data'!$D:$D)</f>
        <v>44314</v>
      </c>
      <c r="D1457" s="2" t="str">
        <f>_xlfn.XLOOKUP(A1457,'[1]Tissue Data'!$A:$A,'[1]Tissue Data'!$F:$F)</f>
        <v>Pumpkinseed</v>
      </c>
      <c r="E1457" t="str">
        <f>_xlfn.XLOOKUP(A1457,'[1]Tissue Data'!$A:$A,'[1]Tissue Data'!$H:$H)</f>
        <v>Lepomis</v>
      </c>
      <c r="F1457" t="str">
        <f>_xlfn.XLOOKUP(A1457,'[1]Tissue Data'!$A:$A,'[1]Tissue Data'!$I:$I)</f>
        <v>gibbosus</v>
      </c>
      <c r="G1457" t="str">
        <f>_xlfn.XLOOKUP(A1457,'[1]Tissue Data'!$A:$A,'[1]Tissue Data'!J:J)</f>
        <v>U</v>
      </c>
      <c r="H1457" t="str">
        <f>_xlfn.XLOOKUP(A1457,'[1]Tissue Data'!$A:$A,'[1]Tissue Data'!K:K)</f>
        <v>Whole Body</v>
      </c>
      <c r="I1457">
        <f>_xlfn.XLOOKUP(A1457,'[1]Tissue Data'!$A:$A,'[1]Tissue Data'!L:L)</f>
        <v>6</v>
      </c>
      <c r="J1457">
        <f>_xlfn.XLOOKUP(A1457,'[1]Tissue Data'!$A:$A,'[1]Tissue Data'!M:M)</f>
        <v>7.5</v>
      </c>
      <c r="K1457" t="s">
        <v>17</v>
      </c>
      <c r="L1457" t="str">
        <f>_xlfn.XLOOKUP(K1457,[2]analyte_order!$B:$B,[2]analyte_order!$C:$C)</f>
        <v>375-95-1</v>
      </c>
      <c r="M1457">
        <f>_xlfn.XLOOKUP(L1457,[2]analyte_order!$C:$C,[2]analyte_order!$E:$E)</f>
        <v>6</v>
      </c>
      <c r="N1457">
        <v>0.15843528112499999</v>
      </c>
    </row>
    <row r="1458" spans="1:14">
      <c r="A1458" t="s">
        <v>241</v>
      </c>
      <c r="B1458" t="str">
        <f>_xlfn.XLOOKUP(A1458,'[1]Tissue Data'!$A:$A,'[1]Tissue Data'!$C:$C)</f>
        <v>Spill</v>
      </c>
      <c r="C1458" s="2">
        <f>_xlfn.XLOOKUP(A1458,'[1]Tissue Data'!$A:$A,'[1]Tissue Data'!$D:$D)</f>
        <v>44314</v>
      </c>
      <c r="D1458" s="2" t="str">
        <f>_xlfn.XLOOKUP(A1458,'[1]Tissue Data'!$A:$A,'[1]Tissue Data'!$F:$F)</f>
        <v>Pumpkinseed</v>
      </c>
      <c r="E1458" t="str">
        <f>_xlfn.XLOOKUP(A1458,'[1]Tissue Data'!$A:$A,'[1]Tissue Data'!$H:$H)</f>
        <v>Lepomis</v>
      </c>
      <c r="F1458" t="str">
        <f>_xlfn.XLOOKUP(A1458,'[1]Tissue Data'!$A:$A,'[1]Tissue Data'!$I:$I)</f>
        <v>gibbosus</v>
      </c>
      <c r="G1458" t="str">
        <f>_xlfn.XLOOKUP(A1458,'[1]Tissue Data'!$A:$A,'[1]Tissue Data'!J:J)</f>
        <v>U</v>
      </c>
      <c r="H1458" t="str">
        <f>_xlfn.XLOOKUP(A1458,'[1]Tissue Data'!$A:$A,'[1]Tissue Data'!K:K)</f>
        <v>Whole Body</v>
      </c>
      <c r="I1458">
        <f>_xlfn.XLOOKUP(A1458,'[1]Tissue Data'!$A:$A,'[1]Tissue Data'!L:L)</f>
        <v>6</v>
      </c>
      <c r="J1458">
        <f>_xlfn.XLOOKUP(A1458,'[1]Tissue Data'!$A:$A,'[1]Tissue Data'!M:M)</f>
        <v>7.5</v>
      </c>
      <c r="K1458" t="s">
        <v>18</v>
      </c>
      <c r="L1458" t="str">
        <f>_xlfn.XLOOKUP(K1458,[2]analyte_order!$B:$B,[2]analyte_order!$C:$C)</f>
        <v>335-76-2</v>
      </c>
      <c r="M1458">
        <f>_xlfn.XLOOKUP(L1458,[2]analyte_order!$C:$C,[2]analyte_order!$E:$E)</f>
        <v>7</v>
      </c>
      <c r="N1458">
        <v>3.92</v>
      </c>
    </row>
    <row r="1459" spans="1:14">
      <c r="A1459" t="s">
        <v>241</v>
      </c>
      <c r="B1459" t="str">
        <f>_xlfn.XLOOKUP(A1459,'[1]Tissue Data'!$A:$A,'[1]Tissue Data'!$C:$C)</f>
        <v>Spill</v>
      </c>
      <c r="C1459" s="2">
        <f>_xlfn.XLOOKUP(A1459,'[1]Tissue Data'!$A:$A,'[1]Tissue Data'!$D:$D)</f>
        <v>44314</v>
      </c>
      <c r="D1459" s="2" t="str">
        <f>_xlfn.XLOOKUP(A1459,'[1]Tissue Data'!$A:$A,'[1]Tissue Data'!$F:$F)</f>
        <v>Pumpkinseed</v>
      </c>
      <c r="E1459" t="str">
        <f>_xlfn.XLOOKUP(A1459,'[1]Tissue Data'!$A:$A,'[1]Tissue Data'!$H:$H)</f>
        <v>Lepomis</v>
      </c>
      <c r="F1459" t="str">
        <f>_xlfn.XLOOKUP(A1459,'[1]Tissue Data'!$A:$A,'[1]Tissue Data'!$I:$I)</f>
        <v>gibbosus</v>
      </c>
      <c r="G1459" t="str">
        <f>_xlfn.XLOOKUP(A1459,'[1]Tissue Data'!$A:$A,'[1]Tissue Data'!J:J)</f>
        <v>U</v>
      </c>
      <c r="H1459" t="str">
        <f>_xlfn.XLOOKUP(A1459,'[1]Tissue Data'!$A:$A,'[1]Tissue Data'!K:K)</f>
        <v>Whole Body</v>
      </c>
      <c r="I1459">
        <f>_xlfn.XLOOKUP(A1459,'[1]Tissue Data'!$A:$A,'[1]Tissue Data'!L:L)</f>
        <v>6</v>
      </c>
      <c r="J1459">
        <f>_xlfn.XLOOKUP(A1459,'[1]Tissue Data'!$A:$A,'[1]Tissue Data'!M:M)</f>
        <v>7.5</v>
      </c>
      <c r="K1459" t="s">
        <v>19</v>
      </c>
      <c r="L1459" t="str">
        <f>_xlfn.XLOOKUP(K1459,[2]analyte_order!$B:$B,[2]analyte_order!$C:$C)</f>
        <v>2058-94-8</v>
      </c>
      <c r="M1459">
        <f>_xlfn.XLOOKUP(L1459,[2]analyte_order!$C:$C,[2]analyte_order!$E:$E)</f>
        <v>8</v>
      </c>
      <c r="N1459">
        <v>3.45</v>
      </c>
    </row>
    <row r="1460" spans="1:14">
      <c r="A1460" t="s">
        <v>241</v>
      </c>
      <c r="B1460" t="str">
        <f>_xlfn.XLOOKUP(A1460,'[1]Tissue Data'!$A:$A,'[1]Tissue Data'!$C:$C)</f>
        <v>Spill</v>
      </c>
      <c r="C1460" s="2">
        <f>_xlfn.XLOOKUP(A1460,'[1]Tissue Data'!$A:$A,'[1]Tissue Data'!$D:$D)</f>
        <v>44314</v>
      </c>
      <c r="D1460" s="2" t="str">
        <f>_xlfn.XLOOKUP(A1460,'[1]Tissue Data'!$A:$A,'[1]Tissue Data'!$F:$F)</f>
        <v>Pumpkinseed</v>
      </c>
      <c r="E1460" t="str">
        <f>_xlfn.XLOOKUP(A1460,'[1]Tissue Data'!$A:$A,'[1]Tissue Data'!$H:$H)</f>
        <v>Lepomis</v>
      </c>
      <c r="F1460" t="str">
        <f>_xlfn.XLOOKUP(A1460,'[1]Tissue Data'!$A:$A,'[1]Tissue Data'!$I:$I)</f>
        <v>gibbosus</v>
      </c>
      <c r="G1460" t="str">
        <f>_xlfn.XLOOKUP(A1460,'[1]Tissue Data'!$A:$A,'[1]Tissue Data'!J:J)</f>
        <v>U</v>
      </c>
      <c r="H1460" t="str">
        <f>_xlfn.XLOOKUP(A1460,'[1]Tissue Data'!$A:$A,'[1]Tissue Data'!K:K)</f>
        <v>Whole Body</v>
      </c>
      <c r="I1460">
        <f>_xlfn.XLOOKUP(A1460,'[1]Tissue Data'!$A:$A,'[1]Tissue Data'!L:L)</f>
        <v>6</v>
      </c>
      <c r="J1460">
        <f>_xlfn.XLOOKUP(A1460,'[1]Tissue Data'!$A:$A,'[1]Tissue Data'!M:M)</f>
        <v>7.5</v>
      </c>
      <c r="K1460" t="s">
        <v>20</v>
      </c>
      <c r="L1460" t="str">
        <f>_xlfn.XLOOKUP(K1460,[2]analyte_order!$B:$B,[2]analyte_order!$C:$C)</f>
        <v>307-55-1</v>
      </c>
      <c r="M1460">
        <f>_xlfn.XLOOKUP(L1460,[2]analyte_order!$C:$C,[2]analyte_order!$E:$E)</f>
        <v>9</v>
      </c>
      <c r="N1460">
        <v>5.6920830117628607E-2</v>
      </c>
    </row>
    <row r="1461" spans="1:14">
      <c r="A1461" t="s">
        <v>241</v>
      </c>
      <c r="B1461" t="str">
        <f>_xlfn.XLOOKUP(A1461,'[1]Tissue Data'!$A:$A,'[1]Tissue Data'!$C:$C)</f>
        <v>Spill</v>
      </c>
      <c r="C1461" s="2">
        <f>_xlfn.XLOOKUP(A1461,'[1]Tissue Data'!$A:$A,'[1]Tissue Data'!$D:$D)</f>
        <v>44314</v>
      </c>
      <c r="D1461" s="2" t="str">
        <f>_xlfn.XLOOKUP(A1461,'[1]Tissue Data'!$A:$A,'[1]Tissue Data'!$F:$F)</f>
        <v>Pumpkinseed</v>
      </c>
      <c r="E1461" t="str">
        <f>_xlfn.XLOOKUP(A1461,'[1]Tissue Data'!$A:$A,'[1]Tissue Data'!$H:$H)</f>
        <v>Lepomis</v>
      </c>
      <c r="F1461" t="str">
        <f>_xlfn.XLOOKUP(A1461,'[1]Tissue Data'!$A:$A,'[1]Tissue Data'!$I:$I)</f>
        <v>gibbosus</v>
      </c>
      <c r="G1461" t="str">
        <f>_xlfn.XLOOKUP(A1461,'[1]Tissue Data'!$A:$A,'[1]Tissue Data'!J:J)</f>
        <v>U</v>
      </c>
      <c r="H1461" t="str">
        <f>_xlfn.XLOOKUP(A1461,'[1]Tissue Data'!$A:$A,'[1]Tissue Data'!K:K)</f>
        <v>Whole Body</v>
      </c>
      <c r="I1461">
        <f>_xlfn.XLOOKUP(A1461,'[1]Tissue Data'!$A:$A,'[1]Tissue Data'!L:L)</f>
        <v>6</v>
      </c>
      <c r="J1461">
        <f>_xlfn.XLOOKUP(A1461,'[1]Tissue Data'!$A:$A,'[1]Tissue Data'!M:M)</f>
        <v>7.5</v>
      </c>
      <c r="K1461" t="s">
        <v>21</v>
      </c>
      <c r="L1461" t="str">
        <f>_xlfn.XLOOKUP(K1461,[2]analyte_order!$B:$B,[2]analyte_order!$C:$C)</f>
        <v>72629-94-8</v>
      </c>
      <c r="M1461">
        <f>_xlfn.XLOOKUP(L1461,[2]analyte_order!$C:$C,[2]analyte_order!$E:$E)</f>
        <v>10</v>
      </c>
      <c r="N1461">
        <v>1.74</v>
      </c>
    </row>
    <row r="1462" spans="1:14">
      <c r="A1462" t="s">
        <v>241</v>
      </c>
      <c r="B1462" t="str">
        <f>_xlfn.XLOOKUP(A1462,'[1]Tissue Data'!$A:$A,'[1]Tissue Data'!$C:$C)</f>
        <v>Spill</v>
      </c>
      <c r="C1462" s="2">
        <f>_xlfn.XLOOKUP(A1462,'[1]Tissue Data'!$A:$A,'[1]Tissue Data'!$D:$D)</f>
        <v>44314</v>
      </c>
      <c r="D1462" s="2" t="str">
        <f>_xlfn.XLOOKUP(A1462,'[1]Tissue Data'!$A:$A,'[1]Tissue Data'!$F:$F)</f>
        <v>Pumpkinseed</v>
      </c>
      <c r="E1462" t="str">
        <f>_xlfn.XLOOKUP(A1462,'[1]Tissue Data'!$A:$A,'[1]Tissue Data'!$H:$H)</f>
        <v>Lepomis</v>
      </c>
      <c r="F1462" t="str">
        <f>_xlfn.XLOOKUP(A1462,'[1]Tissue Data'!$A:$A,'[1]Tissue Data'!$I:$I)</f>
        <v>gibbosus</v>
      </c>
      <c r="G1462" t="str">
        <f>_xlfn.XLOOKUP(A1462,'[1]Tissue Data'!$A:$A,'[1]Tissue Data'!J:J)</f>
        <v>U</v>
      </c>
      <c r="H1462" t="str">
        <f>_xlfn.XLOOKUP(A1462,'[1]Tissue Data'!$A:$A,'[1]Tissue Data'!K:K)</f>
        <v>Whole Body</v>
      </c>
      <c r="I1462">
        <f>_xlfn.XLOOKUP(A1462,'[1]Tissue Data'!$A:$A,'[1]Tissue Data'!L:L)</f>
        <v>6</v>
      </c>
      <c r="J1462">
        <f>_xlfn.XLOOKUP(A1462,'[1]Tissue Data'!$A:$A,'[1]Tissue Data'!M:M)</f>
        <v>7.5</v>
      </c>
      <c r="K1462" t="s">
        <v>22</v>
      </c>
      <c r="L1462" t="str">
        <f>_xlfn.XLOOKUP(K1462,[2]analyte_order!$B:$B,[2]analyte_order!$C:$C)</f>
        <v>376-06-7</v>
      </c>
      <c r="M1462">
        <f>_xlfn.XLOOKUP(L1462,[2]analyte_order!$C:$C,[2]analyte_order!$E:$E)</f>
        <v>11</v>
      </c>
      <c r="N1462">
        <v>3.74</v>
      </c>
    </row>
    <row r="1463" spans="1:14">
      <c r="A1463" t="s">
        <v>241</v>
      </c>
      <c r="B1463" t="str">
        <f>_xlfn.XLOOKUP(A1463,'[1]Tissue Data'!$A:$A,'[1]Tissue Data'!$C:$C)</f>
        <v>Spill</v>
      </c>
      <c r="C1463" s="2">
        <f>_xlfn.XLOOKUP(A1463,'[1]Tissue Data'!$A:$A,'[1]Tissue Data'!$D:$D)</f>
        <v>44314</v>
      </c>
      <c r="D1463" s="2" t="str">
        <f>_xlfn.XLOOKUP(A1463,'[1]Tissue Data'!$A:$A,'[1]Tissue Data'!$F:$F)</f>
        <v>Pumpkinseed</v>
      </c>
      <c r="E1463" t="str">
        <f>_xlfn.XLOOKUP(A1463,'[1]Tissue Data'!$A:$A,'[1]Tissue Data'!$H:$H)</f>
        <v>Lepomis</v>
      </c>
      <c r="F1463" t="str">
        <f>_xlfn.XLOOKUP(A1463,'[1]Tissue Data'!$A:$A,'[1]Tissue Data'!$I:$I)</f>
        <v>gibbosus</v>
      </c>
      <c r="G1463" t="str">
        <f>_xlfn.XLOOKUP(A1463,'[1]Tissue Data'!$A:$A,'[1]Tissue Data'!J:J)</f>
        <v>U</v>
      </c>
      <c r="H1463" t="str">
        <f>_xlfn.XLOOKUP(A1463,'[1]Tissue Data'!$A:$A,'[1]Tissue Data'!K:K)</f>
        <v>Whole Body</v>
      </c>
      <c r="I1463">
        <f>_xlfn.XLOOKUP(A1463,'[1]Tissue Data'!$A:$A,'[1]Tissue Data'!L:L)</f>
        <v>6</v>
      </c>
      <c r="J1463">
        <f>_xlfn.XLOOKUP(A1463,'[1]Tissue Data'!$A:$A,'[1]Tissue Data'!M:M)</f>
        <v>7.5</v>
      </c>
      <c r="K1463" t="s">
        <v>23</v>
      </c>
      <c r="L1463" t="str">
        <f>_xlfn.XLOOKUP(K1463,[2]analyte_order!$B:$B,[2]analyte_order!$C:$C)</f>
        <v>67905-19-5</v>
      </c>
      <c r="M1463">
        <f>_xlfn.XLOOKUP(L1463,[2]analyte_order!$C:$C,[2]analyte_order!$E:$E)</f>
        <v>12</v>
      </c>
      <c r="N1463">
        <v>8.4963509576537019E-2</v>
      </c>
    </row>
    <row r="1464" spans="1:14">
      <c r="A1464" t="s">
        <v>241</v>
      </c>
      <c r="B1464" t="str">
        <f>_xlfn.XLOOKUP(A1464,'[1]Tissue Data'!$A:$A,'[1]Tissue Data'!$C:$C)</f>
        <v>Spill</v>
      </c>
      <c r="C1464" s="2">
        <f>_xlfn.XLOOKUP(A1464,'[1]Tissue Data'!$A:$A,'[1]Tissue Data'!$D:$D)</f>
        <v>44314</v>
      </c>
      <c r="D1464" s="2" t="str">
        <f>_xlfn.XLOOKUP(A1464,'[1]Tissue Data'!$A:$A,'[1]Tissue Data'!$F:$F)</f>
        <v>Pumpkinseed</v>
      </c>
      <c r="E1464" t="str">
        <f>_xlfn.XLOOKUP(A1464,'[1]Tissue Data'!$A:$A,'[1]Tissue Data'!$H:$H)</f>
        <v>Lepomis</v>
      </c>
      <c r="F1464" t="str">
        <f>_xlfn.XLOOKUP(A1464,'[1]Tissue Data'!$A:$A,'[1]Tissue Data'!$I:$I)</f>
        <v>gibbosus</v>
      </c>
      <c r="G1464" t="str">
        <f>_xlfn.XLOOKUP(A1464,'[1]Tissue Data'!$A:$A,'[1]Tissue Data'!J:J)</f>
        <v>U</v>
      </c>
      <c r="H1464" t="str">
        <f>_xlfn.XLOOKUP(A1464,'[1]Tissue Data'!$A:$A,'[1]Tissue Data'!K:K)</f>
        <v>Whole Body</v>
      </c>
      <c r="I1464">
        <f>_xlfn.XLOOKUP(A1464,'[1]Tissue Data'!$A:$A,'[1]Tissue Data'!L:L)</f>
        <v>6</v>
      </c>
      <c r="J1464">
        <f>_xlfn.XLOOKUP(A1464,'[1]Tissue Data'!$A:$A,'[1]Tissue Data'!M:M)</f>
        <v>7.5</v>
      </c>
      <c r="K1464" t="s">
        <v>24</v>
      </c>
      <c r="L1464" t="str">
        <f>_xlfn.XLOOKUP(K1464,[2]analyte_order!$B:$B,[2]analyte_order!$C:$C)</f>
        <v>423-41-6</v>
      </c>
      <c r="M1464">
        <f>_xlfn.XLOOKUP(L1464,[2]analyte_order!$C:$C,[2]analyte_order!$E:$E)</f>
        <v>53</v>
      </c>
      <c r="N1464">
        <v>5.4390985873588461E-2</v>
      </c>
    </row>
    <row r="1465" spans="1:14">
      <c r="A1465" t="s">
        <v>241</v>
      </c>
      <c r="B1465" t="str">
        <f>_xlfn.XLOOKUP(A1465,'[1]Tissue Data'!$A:$A,'[1]Tissue Data'!$C:$C)</f>
        <v>Spill</v>
      </c>
      <c r="C1465" s="2">
        <f>_xlfn.XLOOKUP(A1465,'[1]Tissue Data'!$A:$A,'[1]Tissue Data'!$D:$D)</f>
        <v>44314</v>
      </c>
      <c r="D1465" s="2" t="str">
        <f>_xlfn.XLOOKUP(A1465,'[1]Tissue Data'!$A:$A,'[1]Tissue Data'!$F:$F)</f>
        <v>Pumpkinseed</v>
      </c>
      <c r="E1465" t="str">
        <f>_xlfn.XLOOKUP(A1465,'[1]Tissue Data'!$A:$A,'[1]Tissue Data'!$H:$H)</f>
        <v>Lepomis</v>
      </c>
      <c r="F1465" t="str">
        <f>_xlfn.XLOOKUP(A1465,'[1]Tissue Data'!$A:$A,'[1]Tissue Data'!$I:$I)</f>
        <v>gibbosus</v>
      </c>
      <c r="G1465" t="str">
        <f>_xlfn.XLOOKUP(A1465,'[1]Tissue Data'!$A:$A,'[1]Tissue Data'!J:J)</f>
        <v>U</v>
      </c>
      <c r="H1465" t="str">
        <f>_xlfn.XLOOKUP(A1465,'[1]Tissue Data'!$A:$A,'[1]Tissue Data'!K:K)</f>
        <v>Whole Body</v>
      </c>
      <c r="I1465">
        <f>_xlfn.XLOOKUP(A1465,'[1]Tissue Data'!$A:$A,'[1]Tissue Data'!L:L)</f>
        <v>6</v>
      </c>
      <c r="J1465">
        <f>_xlfn.XLOOKUP(A1465,'[1]Tissue Data'!$A:$A,'[1]Tissue Data'!M:M)</f>
        <v>7.5</v>
      </c>
      <c r="K1465" t="s">
        <v>25</v>
      </c>
      <c r="L1465" t="str">
        <f>_xlfn.XLOOKUP(K1465,[2]analyte_order!$B:$B,[2]analyte_order!$C:$C)</f>
        <v>375-73-5</v>
      </c>
      <c r="M1465">
        <f>_xlfn.XLOOKUP(L1465,[2]analyte_order!$C:$C,[2]analyte_order!$E:$E)</f>
        <v>14</v>
      </c>
      <c r="N1465">
        <v>0.15581715187499998</v>
      </c>
    </row>
    <row r="1466" spans="1:14">
      <c r="A1466" t="s">
        <v>241</v>
      </c>
      <c r="B1466" t="str">
        <f>_xlfn.XLOOKUP(A1466,'[1]Tissue Data'!$A:$A,'[1]Tissue Data'!$C:$C)</f>
        <v>Spill</v>
      </c>
      <c r="C1466" s="2">
        <f>_xlfn.XLOOKUP(A1466,'[1]Tissue Data'!$A:$A,'[1]Tissue Data'!$D:$D)</f>
        <v>44314</v>
      </c>
      <c r="D1466" s="2" t="str">
        <f>_xlfn.XLOOKUP(A1466,'[1]Tissue Data'!$A:$A,'[1]Tissue Data'!$F:$F)</f>
        <v>Pumpkinseed</v>
      </c>
      <c r="E1466" t="str">
        <f>_xlfn.XLOOKUP(A1466,'[1]Tissue Data'!$A:$A,'[1]Tissue Data'!$H:$H)</f>
        <v>Lepomis</v>
      </c>
      <c r="F1466" t="str">
        <f>_xlfn.XLOOKUP(A1466,'[1]Tissue Data'!$A:$A,'[1]Tissue Data'!$I:$I)</f>
        <v>gibbosus</v>
      </c>
      <c r="G1466" t="str">
        <f>_xlfn.XLOOKUP(A1466,'[1]Tissue Data'!$A:$A,'[1]Tissue Data'!J:J)</f>
        <v>U</v>
      </c>
      <c r="H1466" t="str">
        <f>_xlfn.XLOOKUP(A1466,'[1]Tissue Data'!$A:$A,'[1]Tissue Data'!K:K)</f>
        <v>Whole Body</v>
      </c>
      <c r="I1466">
        <f>_xlfn.XLOOKUP(A1466,'[1]Tissue Data'!$A:$A,'[1]Tissue Data'!L:L)</f>
        <v>6</v>
      </c>
      <c r="J1466">
        <f>_xlfn.XLOOKUP(A1466,'[1]Tissue Data'!$A:$A,'[1]Tissue Data'!M:M)</f>
        <v>7.5</v>
      </c>
      <c r="K1466" t="s">
        <v>26</v>
      </c>
      <c r="L1466" t="str">
        <f>_xlfn.XLOOKUP(K1466,[2]analyte_order!$B:$B,[2]analyte_order!$C:$C)</f>
        <v>2706-91-4</v>
      </c>
      <c r="M1466">
        <f>_xlfn.XLOOKUP(L1466,[2]analyte_order!$C:$C,[2]analyte_order!$E:$E)</f>
        <v>15</v>
      </c>
      <c r="N1466">
        <v>0.121232815275</v>
      </c>
    </row>
    <row r="1467" spans="1:14">
      <c r="A1467" t="s">
        <v>241</v>
      </c>
      <c r="B1467" t="str">
        <f>_xlfn.XLOOKUP(A1467,'[1]Tissue Data'!$A:$A,'[1]Tissue Data'!$C:$C)</f>
        <v>Spill</v>
      </c>
      <c r="C1467" s="2">
        <f>_xlfn.XLOOKUP(A1467,'[1]Tissue Data'!$A:$A,'[1]Tissue Data'!$D:$D)</f>
        <v>44314</v>
      </c>
      <c r="D1467" s="2" t="str">
        <f>_xlfn.XLOOKUP(A1467,'[1]Tissue Data'!$A:$A,'[1]Tissue Data'!$F:$F)</f>
        <v>Pumpkinseed</v>
      </c>
      <c r="E1467" t="str">
        <f>_xlfn.XLOOKUP(A1467,'[1]Tissue Data'!$A:$A,'[1]Tissue Data'!$H:$H)</f>
        <v>Lepomis</v>
      </c>
      <c r="F1467" t="str">
        <f>_xlfn.XLOOKUP(A1467,'[1]Tissue Data'!$A:$A,'[1]Tissue Data'!$I:$I)</f>
        <v>gibbosus</v>
      </c>
      <c r="G1467" t="str">
        <f>_xlfn.XLOOKUP(A1467,'[1]Tissue Data'!$A:$A,'[1]Tissue Data'!J:J)</f>
        <v>U</v>
      </c>
      <c r="H1467" t="str">
        <f>_xlfn.XLOOKUP(A1467,'[1]Tissue Data'!$A:$A,'[1]Tissue Data'!K:K)</f>
        <v>Whole Body</v>
      </c>
      <c r="I1467">
        <f>_xlfn.XLOOKUP(A1467,'[1]Tissue Data'!$A:$A,'[1]Tissue Data'!L:L)</f>
        <v>6</v>
      </c>
      <c r="J1467">
        <f>_xlfn.XLOOKUP(A1467,'[1]Tissue Data'!$A:$A,'[1]Tissue Data'!M:M)</f>
        <v>7.5</v>
      </c>
      <c r="K1467" t="s">
        <v>27</v>
      </c>
      <c r="L1467" t="str">
        <f>_xlfn.XLOOKUP(K1467,[2]analyte_order!$B:$B,[2]analyte_order!$C:$C)</f>
        <v>355-46-4</v>
      </c>
      <c r="M1467">
        <f>_xlfn.XLOOKUP(L1467,[2]analyte_order!$C:$C,[2]analyte_order!$E:$E)</f>
        <v>16</v>
      </c>
      <c r="N1467">
        <v>6.3</v>
      </c>
    </row>
    <row r="1468" spans="1:14">
      <c r="A1468" t="s">
        <v>241</v>
      </c>
      <c r="B1468" t="str">
        <f>_xlfn.XLOOKUP(A1468,'[1]Tissue Data'!$A:$A,'[1]Tissue Data'!$C:$C)</f>
        <v>Spill</v>
      </c>
      <c r="C1468" s="2">
        <f>_xlfn.XLOOKUP(A1468,'[1]Tissue Data'!$A:$A,'[1]Tissue Data'!$D:$D)</f>
        <v>44314</v>
      </c>
      <c r="D1468" s="2" t="str">
        <f>_xlfn.XLOOKUP(A1468,'[1]Tissue Data'!$A:$A,'[1]Tissue Data'!$F:$F)</f>
        <v>Pumpkinseed</v>
      </c>
      <c r="E1468" t="str">
        <f>_xlfn.XLOOKUP(A1468,'[1]Tissue Data'!$A:$A,'[1]Tissue Data'!$H:$H)</f>
        <v>Lepomis</v>
      </c>
      <c r="F1468" t="str">
        <f>_xlfn.XLOOKUP(A1468,'[1]Tissue Data'!$A:$A,'[1]Tissue Data'!$I:$I)</f>
        <v>gibbosus</v>
      </c>
      <c r="G1468" t="str">
        <f>_xlfn.XLOOKUP(A1468,'[1]Tissue Data'!$A:$A,'[1]Tissue Data'!J:J)</f>
        <v>U</v>
      </c>
      <c r="H1468" t="str">
        <f>_xlfn.XLOOKUP(A1468,'[1]Tissue Data'!$A:$A,'[1]Tissue Data'!K:K)</f>
        <v>Whole Body</v>
      </c>
      <c r="I1468">
        <f>_xlfn.XLOOKUP(A1468,'[1]Tissue Data'!$A:$A,'[1]Tissue Data'!L:L)</f>
        <v>6</v>
      </c>
      <c r="J1468">
        <f>_xlfn.XLOOKUP(A1468,'[1]Tissue Data'!$A:$A,'[1]Tissue Data'!M:M)</f>
        <v>7.5</v>
      </c>
      <c r="K1468" t="s">
        <v>28</v>
      </c>
      <c r="L1468" t="str">
        <f>_xlfn.XLOOKUP(K1468,[2]analyte_order!$B:$B,[2]analyte_order!$C:$C)</f>
        <v>375-92-8</v>
      </c>
      <c r="M1468">
        <f>_xlfn.XLOOKUP(L1468,[2]analyte_order!$C:$C,[2]analyte_order!$E:$E)</f>
        <v>17</v>
      </c>
      <c r="N1468">
        <v>0.2289377289377289</v>
      </c>
    </row>
    <row r="1469" spans="1:14">
      <c r="A1469" t="s">
        <v>241</v>
      </c>
      <c r="B1469" t="str">
        <f>_xlfn.XLOOKUP(A1469,'[1]Tissue Data'!$A:$A,'[1]Tissue Data'!$C:$C)</f>
        <v>Spill</v>
      </c>
      <c r="C1469" s="2">
        <f>_xlfn.XLOOKUP(A1469,'[1]Tissue Data'!$A:$A,'[1]Tissue Data'!$D:$D)</f>
        <v>44314</v>
      </c>
      <c r="D1469" s="2" t="str">
        <f>_xlfn.XLOOKUP(A1469,'[1]Tissue Data'!$A:$A,'[1]Tissue Data'!$F:$F)</f>
        <v>Pumpkinseed</v>
      </c>
      <c r="E1469" t="str">
        <f>_xlfn.XLOOKUP(A1469,'[1]Tissue Data'!$A:$A,'[1]Tissue Data'!$H:$H)</f>
        <v>Lepomis</v>
      </c>
      <c r="F1469" t="str">
        <f>_xlfn.XLOOKUP(A1469,'[1]Tissue Data'!$A:$A,'[1]Tissue Data'!$I:$I)</f>
        <v>gibbosus</v>
      </c>
      <c r="G1469" t="str">
        <f>_xlfn.XLOOKUP(A1469,'[1]Tissue Data'!$A:$A,'[1]Tissue Data'!J:J)</f>
        <v>U</v>
      </c>
      <c r="H1469" t="str">
        <f>_xlfn.XLOOKUP(A1469,'[1]Tissue Data'!$A:$A,'[1]Tissue Data'!K:K)</f>
        <v>Whole Body</v>
      </c>
      <c r="I1469">
        <f>_xlfn.XLOOKUP(A1469,'[1]Tissue Data'!$A:$A,'[1]Tissue Data'!L:L)</f>
        <v>6</v>
      </c>
      <c r="J1469">
        <f>_xlfn.XLOOKUP(A1469,'[1]Tissue Data'!$A:$A,'[1]Tissue Data'!M:M)</f>
        <v>7.5</v>
      </c>
      <c r="K1469" t="s">
        <v>29</v>
      </c>
      <c r="L1469" t="str">
        <f>_xlfn.XLOOKUP(K1469,[2]analyte_order!$B:$B,[2]analyte_order!$C:$C)</f>
        <v>1763-23-1</v>
      </c>
      <c r="M1469">
        <f>_xlfn.XLOOKUP(L1469,[2]analyte_order!$C:$C,[2]analyte_order!$E:$E)</f>
        <v>18</v>
      </c>
      <c r="N1469">
        <v>598</v>
      </c>
    </row>
    <row r="1470" spans="1:14">
      <c r="A1470" t="s">
        <v>241</v>
      </c>
      <c r="B1470" t="str">
        <f>_xlfn.XLOOKUP(A1470,'[1]Tissue Data'!$A:$A,'[1]Tissue Data'!$C:$C)</f>
        <v>Spill</v>
      </c>
      <c r="C1470" s="2">
        <f>_xlfn.XLOOKUP(A1470,'[1]Tissue Data'!$A:$A,'[1]Tissue Data'!$D:$D)</f>
        <v>44314</v>
      </c>
      <c r="D1470" s="2" t="str">
        <f>_xlfn.XLOOKUP(A1470,'[1]Tissue Data'!$A:$A,'[1]Tissue Data'!$F:$F)</f>
        <v>Pumpkinseed</v>
      </c>
      <c r="E1470" t="str">
        <f>_xlfn.XLOOKUP(A1470,'[1]Tissue Data'!$A:$A,'[1]Tissue Data'!$H:$H)</f>
        <v>Lepomis</v>
      </c>
      <c r="F1470" t="str">
        <f>_xlfn.XLOOKUP(A1470,'[1]Tissue Data'!$A:$A,'[1]Tissue Data'!$I:$I)</f>
        <v>gibbosus</v>
      </c>
      <c r="G1470" t="str">
        <f>_xlfn.XLOOKUP(A1470,'[1]Tissue Data'!$A:$A,'[1]Tissue Data'!J:J)</f>
        <v>U</v>
      </c>
      <c r="H1470" t="str">
        <f>_xlfn.XLOOKUP(A1470,'[1]Tissue Data'!$A:$A,'[1]Tissue Data'!K:K)</f>
        <v>Whole Body</v>
      </c>
      <c r="I1470">
        <f>_xlfn.XLOOKUP(A1470,'[1]Tissue Data'!$A:$A,'[1]Tissue Data'!L:L)</f>
        <v>6</v>
      </c>
      <c r="J1470">
        <f>_xlfn.XLOOKUP(A1470,'[1]Tissue Data'!$A:$A,'[1]Tissue Data'!M:M)</f>
        <v>7.5</v>
      </c>
      <c r="K1470" t="s">
        <v>30</v>
      </c>
      <c r="L1470" t="str">
        <f>_xlfn.XLOOKUP(K1470,[2]analyte_order!$B:$B,[2]analyte_order!$C:$C)</f>
        <v>68259-12-1</v>
      </c>
      <c r="M1470">
        <f>_xlfn.XLOOKUP(L1470,[2]analyte_order!$C:$C,[2]analyte_order!$E:$E)</f>
        <v>19</v>
      </c>
      <c r="N1470">
        <v>0.29699999999999999</v>
      </c>
    </row>
    <row r="1471" spans="1:14">
      <c r="A1471" t="s">
        <v>241</v>
      </c>
      <c r="B1471" t="str">
        <f>_xlfn.XLOOKUP(A1471,'[1]Tissue Data'!$A:$A,'[1]Tissue Data'!$C:$C)</f>
        <v>Spill</v>
      </c>
      <c r="C1471" s="2">
        <f>_xlfn.XLOOKUP(A1471,'[1]Tissue Data'!$A:$A,'[1]Tissue Data'!$D:$D)</f>
        <v>44314</v>
      </c>
      <c r="D1471" s="2" t="str">
        <f>_xlfn.XLOOKUP(A1471,'[1]Tissue Data'!$A:$A,'[1]Tissue Data'!$F:$F)</f>
        <v>Pumpkinseed</v>
      </c>
      <c r="E1471" t="str">
        <f>_xlfn.XLOOKUP(A1471,'[1]Tissue Data'!$A:$A,'[1]Tissue Data'!$H:$H)</f>
        <v>Lepomis</v>
      </c>
      <c r="F1471" t="str">
        <f>_xlfn.XLOOKUP(A1471,'[1]Tissue Data'!$A:$A,'[1]Tissue Data'!$I:$I)</f>
        <v>gibbosus</v>
      </c>
      <c r="G1471" t="str">
        <f>_xlfn.XLOOKUP(A1471,'[1]Tissue Data'!$A:$A,'[1]Tissue Data'!J:J)</f>
        <v>U</v>
      </c>
      <c r="H1471" t="str">
        <f>_xlfn.XLOOKUP(A1471,'[1]Tissue Data'!$A:$A,'[1]Tissue Data'!K:K)</f>
        <v>Whole Body</v>
      </c>
      <c r="I1471">
        <f>_xlfn.XLOOKUP(A1471,'[1]Tissue Data'!$A:$A,'[1]Tissue Data'!L:L)</f>
        <v>6</v>
      </c>
      <c r="J1471">
        <f>_xlfn.XLOOKUP(A1471,'[1]Tissue Data'!$A:$A,'[1]Tissue Data'!M:M)</f>
        <v>7.5</v>
      </c>
      <c r="K1471" t="s">
        <v>31</v>
      </c>
      <c r="L1471" t="str">
        <f>_xlfn.XLOOKUP(K1471,[2]analyte_order!$B:$B,[2]analyte_order!$C:$C)</f>
        <v>335-77-3</v>
      </c>
      <c r="M1471">
        <f>_xlfn.XLOOKUP(L1471,[2]analyte_order!$C:$C,[2]analyte_order!$E:$E)</f>
        <v>20</v>
      </c>
      <c r="N1471">
        <v>0.18748882349999996</v>
      </c>
    </row>
    <row r="1472" spans="1:14">
      <c r="A1472" t="s">
        <v>241</v>
      </c>
      <c r="B1472" t="str">
        <f>_xlfn.XLOOKUP(A1472,'[1]Tissue Data'!$A:$A,'[1]Tissue Data'!$C:$C)</f>
        <v>Spill</v>
      </c>
      <c r="C1472" s="2">
        <f>_xlfn.XLOOKUP(A1472,'[1]Tissue Data'!$A:$A,'[1]Tissue Data'!$D:$D)</f>
        <v>44314</v>
      </c>
      <c r="D1472" s="2" t="str">
        <f>_xlfn.XLOOKUP(A1472,'[1]Tissue Data'!$A:$A,'[1]Tissue Data'!$F:$F)</f>
        <v>Pumpkinseed</v>
      </c>
      <c r="E1472" t="str">
        <f>_xlfn.XLOOKUP(A1472,'[1]Tissue Data'!$A:$A,'[1]Tissue Data'!$H:$H)</f>
        <v>Lepomis</v>
      </c>
      <c r="F1472" t="str">
        <f>_xlfn.XLOOKUP(A1472,'[1]Tissue Data'!$A:$A,'[1]Tissue Data'!$I:$I)</f>
        <v>gibbosus</v>
      </c>
      <c r="G1472" t="str">
        <f>_xlfn.XLOOKUP(A1472,'[1]Tissue Data'!$A:$A,'[1]Tissue Data'!J:J)</f>
        <v>U</v>
      </c>
      <c r="H1472" t="str">
        <f>_xlfn.XLOOKUP(A1472,'[1]Tissue Data'!$A:$A,'[1]Tissue Data'!K:K)</f>
        <v>Whole Body</v>
      </c>
      <c r="I1472">
        <f>_xlfn.XLOOKUP(A1472,'[1]Tissue Data'!$A:$A,'[1]Tissue Data'!L:L)</f>
        <v>6</v>
      </c>
      <c r="J1472">
        <f>_xlfn.XLOOKUP(A1472,'[1]Tissue Data'!$A:$A,'[1]Tissue Data'!M:M)</f>
        <v>7.5</v>
      </c>
      <c r="K1472" t="s">
        <v>32</v>
      </c>
      <c r="L1472" t="str">
        <f>_xlfn.XLOOKUP(K1472,[2]analyte_order!$B:$B,[2]analyte_order!$C:$C)</f>
        <v>79780-39-5</v>
      </c>
      <c r="M1472">
        <f>_xlfn.XLOOKUP(L1472,[2]analyte_order!$C:$C,[2]analyte_order!$E:$E)</f>
        <v>21</v>
      </c>
      <c r="N1472">
        <v>0.24481919962499998</v>
      </c>
    </row>
    <row r="1473" spans="1:14">
      <c r="A1473" t="s">
        <v>241</v>
      </c>
      <c r="B1473" t="str">
        <f>_xlfn.XLOOKUP(A1473,'[1]Tissue Data'!$A:$A,'[1]Tissue Data'!$C:$C)</f>
        <v>Spill</v>
      </c>
      <c r="C1473" s="2">
        <f>_xlfn.XLOOKUP(A1473,'[1]Tissue Data'!$A:$A,'[1]Tissue Data'!$D:$D)</f>
        <v>44314</v>
      </c>
      <c r="D1473" s="2" t="str">
        <f>_xlfn.XLOOKUP(A1473,'[1]Tissue Data'!$A:$A,'[1]Tissue Data'!$F:$F)</f>
        <v>Pumpkinseed</v>
      </c>
      <c r="E1473" t="str">
        <f>_xlfn.XLOOKUP(A1473,'[1]Tissue Data'!$A:$A,'[1]Tissue Data'!$H:$H)</f>
        <v>Lepomis</v>
      </c>
      <c r="F1473" t="str">
        <f>_xlfn.XLOOKUP(A1473,'[1]Tissue Data'!$A:$A,'[1]Tissue Data'!$I:$I)</f>
        <v>gibbosus</v>
      </c>
      <c r="G1473" t="str">
        <f>_xlfn.XLOOKUP(A1473,'[1]Tissue Data'!$A:$A,'[1]Tissue Data'!J:J)</f>
        <v>U</v>
      </c>
      <c r="H1473" t="str">
        <f>_xlfn.XLOOKUP(A1473,'[1]Tissue Data'!$A:$A,'[1]Tissue Data'!K:K)</f>
        <v>Whole Body</v>
      </c>
      <c r="I1473">
        <f>_xlfn.XLOOKUP(A1473,'[1]Tissue Data'!$A:$A,'[1]Tissue Data'!L:L)</f>
        <v>6</v>
      </c>
      <c r="J1473">
        <f>_xlfn.XLOOKUP(A1473,'[1]Tissue Data'!$A:$A,'[1]Tissue Data'!M:M)</f>
        <v>7.5</v>
      </c>
      <c r="K1473" t="s">
        <v>33</v>
      </c>
      <c r="L1473" t="str">
        <f>_xlfn.XLOOKUP(K1473,[2]analyte_order!$B:$B,[2]analyte_order!$C:$C)</f>
        <v>777011-38-8</v>
      </c>
      <c r="M1473">
        <f>_xlfn.XLOOKUP(L1473,[2]analyte_order!$C:$C,[2]analyte_order!$E:$E)</f>
        <v>54</v>
      </c>
      <c r="N1473">
        <v>0.13912183889999999</v>
      </c>
    </row>
    <row r="1474" spans="1:14">
      <c r="A1474" t="s">
        <v>241</v>
      </c>
      <c r="B1474" t="str">
        <f>_xlfn.XLOOKUP(A1474,'[1]Tissue Data'!$A:$A,'[1]Tissue Data'!$C:$C)</f>
        <v>Spill</v>
      </c>
      <c r="C1474" s="2">
        <f>_xlfn.XLOOKUP(A1474,'[1]Tissue Data'!$A:$A,'[1]Tissue Data'!$D:$D)</f>
        <v>44314</v>
      </c>
      <c r="D1474" s="2" t="str">
        <f>_xlfn.XLOOKUP(A1474,'[1]Tissue Data'!$A:$A,'[1]Tissue Data'!$F:$F)</f>
        <v>Pumpkinseed</v>
      </c>
      <c r="E1474" t="str">
        <f>_xlfn.XLOOKUP(A1474,'[1]Tissue Data'!$A:$A,'[1]Tissue Data'!$H:$H)</f>
        <v>Lepomis</v>
      </c>
      <c r="F1474" t="str">
        <f>_xlfn.XLOOKUP(A1474,'[1]Tissue Data'!$A:$A,'[1]Tissue Data'!$I:$I)</f>
        <v>gibbosus</v>
      </c>
      <c r="G1474" t="str">
        <f>_xlfn.XLOOKUP(A1474,'[1]Tissue Data'!$A:$A,'[1]Tissue Data'!J:J)</f>
        <v>U</v>
      </c>
      <c r="H1474" t="str">
        <f>_xlfn.XLOOKUP(A1474,'[1]Tissue Data'!$A:$A,'[1]Tissue Data'!K:K)</f>
        <v>Whole Body</v>
      </c>
      <c r="I1474">
        <f>_xlfn.XLOOKUP(A1474,'[1]Tissue Data'!$A:$A,'[1]Tissue Data'!L:L)</f>
        <v>6</v>
      </c>
      <c r="J1474">
        <f>_xlfn.XLOOKUP(A1474,'[1]Tissue Data'!$A:$A,'[1]Tissue Data'!M:M)</f>
        <v>7.5</v>
      </c>
      <c r="K1474" t="s">
        <v>34</v>
      </c>
      <c r="L1474" t="str">
        <f>_xlfn.XLOOKUP(K1474,[2]analyte_order!$B:$B,[2]analyte_order!$C:$C)</f>
        <v>646-83-3</v>
      </c>
      <c r="M1474">
        <f>_xlfn.XLOOKUP(L1474,[2]analyte_order!$C:$C,[2]analyte_order!$E:$E)</f>
        <v>55</v>
      </c>
      <c r="N1474">
        <v>9.1575091575091569E-2</v>
      </c>
    </row>
    <row r="1475" spans="1:14">
      <c r="A1475" t="s">
        <v>241</v>
      </c>
      <c r="B1475" t="str">
        <f>_xlfn.XLOOKUP(A1475,'[1]Tissue Data'!$A:$A,'[1]Tissue Data'!$C:$C)</f>
        <v>Spill</v>
      </c>
      <c r="C1475" s="2">
        <f>_xlfn.XLOOKUP(A1475,'[1]Tissue Data'!$A:$A,'[1]Tissue Data'!$D:$D)</f>
        <v>44314</v>
      </c>
      <c r="D1475" s="2" t="str">
        <f>_xlfn.XLOOKUP(A1475,'[1]Tissue Data'!$A:$A,'[1]Tissue Data'!$F:$F)</f>
        <v>Pumpkinseed</v>
      </c>
      <c r="E1475" t="str">
        <f>_xlfn.XLOOKUP(A1475,'[1]Tissue Data'!$A:$A,'[1]Tissue Data'!$H:$H)</f>
        <v>Lepomis</v>
      </c>
      <c r="F1475" t="str">
        <f>_xlfn.XLOOKUP(A1475,'[1]Tissue Data'!$A:$A,'[1]Tissue Data'!$I:$I)</f>
        <v>gibbosus</v>
      </c>
      <c r="G1475" t="str">
        <f>_xlfn.XLOOKUP(A1475,'[1]Tissue Data'!$A:$A,'[1]Tissue Data'!J:J)</f>
        <v>U</v>
      </c>
      <c r="H1475" t="str">
        <f>_xlfn.XLOOKUP(A1475,'[1]Tissue Data'!$A:$A,'[1]Tissue Data'!K:K)</f>
        <v>Whole Body</v>
      </c>
      <c r="I1475">
        <f>_xlfn.XLOOKUP(A1475,'[1]Tissue Data'!$A:$A,'[1]Tissue Data'!L:L)</f>
        <v>6</v>
      </c>
      <c r="J1475">
        <f>_xlfn.XLOOKUP(A1475,'[1]Tissue Data'!$A:$A,'[1]Tissue Data'!M:M)</f>
        <v>7.5</v>
      </c>
      <c r="K1475" t="s">
        <v>35</v>
      </c>
      <c r="L1475" t="str">
        <f>_xlfn.XLOOKUP(K1475,[2]analyte_order!$B:$B,[2]analyte_order!$C:$C)</f>
        <v>30334-69-1</v>
      </c>
      <c r="M1475">
        <f>_xlfn.XLOOKUP(L1475,[2]analyte_order!$C:$C,[2]analyte_order!$E:$E)</f>
        <v>51</v>
      </c>
      <c r="N1475">
        <v>45.3</v>
      </c>
    </row>
    <row r="1476" spans="1:14">
      <c r="A1476" t="s">
        <v>241</v>
      </c>
      <c r="B1476" t="str">
        <f>_xlfn.XLOOKUP(A1476,'[1]Tissue Data'!$A:$A,'[1]Tissue Data'!$C:$C)</f>
        <v>Spill</v>
      </c>
      <c r="C1476" s="2">
        <f>_xlfn.XLOOKUP(A1476,'[1]Tissue Data'!$A:$A,'[1]Tissue Data'!$D:$D)</f>
        <v>44314</v>
      </c>
      <c r="D1476" s="2" t="str">
        <f>_xlfn.XLOOKUP(A1476,'[1]Tissue Data'!$A:$A,'[1]Tissue Data'!$F:$F)</f>
        <v>Pumpkinseed</v>
      </c>
      <c r="E1476" t="str">
        <f>_xlfn.XLOOKUP(A1476,'[1]Tissue Data'!$A:$A,'[1]Tissue Data'!$H:$H)</f>
        <v>Lepomis</v>
      </c>
      <c r="F1476" t="str">
        <f>_xlfn.XLOOKUP(A1476,'[1]Tissue Data'!$A:$A,'[1]Tissue Data'!$I:$I)</f>
        <v>gibbosus</v>
      </c>
      <c r="G1476" t="str">
        <f>_xlfn.XLOOKUP(A1476,'[1]Tissue Data'!$A:$A,'[1]Tissue Data'!J:J)</f>
        <v>U</v>
      </c>
      <c r="H1476" t="str">
        <f>_xlfn.XLOOKUP(A1476,'[1]Tissue Data'!$A:$A,'[1]Tissue Data'!K:K)</f>
        <v>Whole Body</v>
      </c>
      <c r="I1476">
        <f>_xlfn.XLOOKUP(A1476,'[1]Tissue Data'!$A:$A,'[1]Tissue Data'!L:L)</f>
        <v>6</v>
      </c>
      <c r="J1476">
        <f>_xlfn.XLOOKUP(A1476,'[1]Tissue Data'!$A:$A,'[1]Tissue Data'!M:M)</f>
        <v>7.5</v>
      </c>
      <c r="K1476" t="s">
        <v>36</v>
      </c>
      <c r="L1476" t="str">
        <f>_xlfn.XLOOKUP(K1476,[2]analyte_order!$B:$B,[2]analyte_order!$C:$C)</f>
        <v>41997-13-1</v>
      </c>
      <c r="M1476">
        <f>_xlfn.XLOOKUP(L1476,[2]analyte_order!$C:$C,[2]analyte_order!$E:$E)</f>
        <v>52</v>
      </c>
      <c r="N1476">
        <v>108</v>
      </c>
    </row>
    <row r="1477" spans="1:14">
      <c r="A1477" t="s">
        <v>241</v>
      </c>
      <c r="B1477" t="str">
        <f>_xlfn.XLOOKUP(A1477,'[1]Tissue Data'!$A:$A,'[1]Tissue Data'!$C:$C)</f>
        <v>Spill</v>
      </c>
      <c r="C1477" s="2">
        <f>_xlfn.XLOOKUP(A1477,'[1]Tissue Data'!$A:$A,'[1]Tissue Data'!$D:$D)</f>
        <v>44314</v>
      </c>
      <c r="D1477" s="2" t="str">
        <f>_xlfn.XLOOKUP(A1477,'[1]Tissue Data'!$A:$A,'[1]Tissue Data'!$F:$F)</f>
        <v>Pumpkinseed</v>
      </c>
      <c r="E1477" t="str">
        <f>_xlfn.XLOOKUP(A1477,'[1]Tissue Data'!$A:$A,'[1]Tissue Data'!$H:$H)</f>
        <v>Lepomis</v>
      </c>
      <c r="F1477" t="str">
        <f>_xlfn.XLOOKUP(A1477,'[1]Tissue Data'!$A:$A,'[1]Tissue Data'!$I:$I)</f>
        <v>gibbosus</v>
      </c>
      <c r="G1477" t="str">
        <f>_xlfn.XLOOKUP(A1477,'[1]Tissue Data'!$A:$A,'[1]Tissue Data'!J:J)</f>
        <v>U</v>
      </c>
      <c r="H1477" t="str">
        <f>_xlfn.XLOOKUP(A1477,'[1]Tissue Data'!$A:$A,'[1]Tissue Data'!K:K)</f>
        <v>Whole Body</v>
      </c>
      <c r="I1477">
        <f>_xlfn.XLOOKUP(A1477,'[1]Tissue Data'!$A:$A,'[1]Tissue Data'!L:L)</f>
        <v>6</v>
      </c>
      <c r="J1477">
        <f>_xlfn.XLOOKUP(A1477,'[1]Tissue Data'!$A:$A,'[1]Tissue Data'!M:M)</f>
        <v>7.5</v>
      </c>
      <c r="K1477" t="s">
        <v>37</v>
      </c>
      <c r="L1477" t="str">
        <f>_xlfn.XLOOKUP(K1477,[2]analyte_order!$B:$B,[2]analyte_order!$C:$C)</f>
        <v>754-91-6</v>
      </c>
      <c r="M1477">
        <f>_xlfn.XLOOKUP(L1477,[2]analyte_order!$C:$C,[2]analyte_order!$E:$E)</f>
        <v>28</v>
      </c>
      <c r="N1477">
        <v>17.100000000000001</v>
      </c>
    </row>
    <row r="1478" spans="1:14">
      <c r="A1478" t="s">
        <v>241</v>
      </c>
      <c r="B1478" t="str">
        <f>_xlfn.XLOOKUP(A1478,'[1]Tissue Data'!$A:$A,'[1]Tissue Data'!$C:$C)</f>
        <v>Spill</v>
      </c>
      <c r="C1478" s="2">
        <f>_xlfn.XLOOKUP(A1478,'[1]Tissue Data'!$A:$A,'[1]Tissue Data'!$D:$D)</f>
        <v>44314</v>
      </c>
      <c r="D1478" s="2" t="str">
        <f>_xlfn.XLOOKUP(A1478,'[1]Tissue Data'!$A:$A,'[1]Tissue Data'!$F:$F)</f>
        <v>Pumpkinseed</v>
      </c>
      <c r="E1478" t="str">
        <f>_xlfn.XLOOKUP(A1478,'[1]Tissue Data'!$A:$A,'[1]Tissue Data'!$H:$H)</f>
        <v>Lepomis</v>
      </c>
      <c r="F1478" t="str">
        <f>_xlfn.XLOOKUP(A1478,'[1]Tissue Data'!$A:$A,'[1]Tissue Data'!$I:$I)</f>
        <v>gibbosus</v>
      </c>
      <c r="G1478" t="str">
        <f>_xlfn.XLOOKUP(A1478,'[1]Tissue Data'!$A:$A,'[1]Tissue Data'!J:J)</f>
        <v>U</v>
      </c>
      <c r="H1478" t="str">
        <f>_xlfn.XLOOKUP(A1478,'[1]Tissue Data'!$A:$A,'[1]Tissue Data'!K:K)</f>
        <v>Whole Body</v>
      </c>
      <c r="I1478">
        <f>_xlfn.XLOOKUP(A1478,'[1]Tissue Data'!$A:$A,'[1]Tissue Data'!L:L)</f>
        <v>6</v>
      </c>
      <c r="J1478">
        <f>_xlfn.XLOOKUP(A1478,'[1]Tissue Data'!$A:$A,'[1]Tissue Data'!M:M)</f>
        <v>7.5</v>
      </c>
      <c r="K1478" t="s">
        <v>38</v>
      </c>
      <c r="L1478" t="str">
        <f>_xlfn.XLOOKUP(K1478,[2]analyte_order!$B:$B,[2]analyte_order!$C:$C)</f>
        <v>31506-32-8</v>
      </c>
      <c r="M1478">
        <f>_xlfn.XLOOKUP(L1478,[2]analyte_order!$C:$C,[2]analyte_order!$E:$E)</f>
        <v>30</v>
      </c>
      <c r="N1478">
        <v>5.4920670526976155E-2</v>
      </c>
    </row>
    <row r="1479" spans="1:14">
      <c r="A1479" t="s">
        <v>241</v>
      </c>
      <c r="B1479" t="str">
        <f>_xlfn.XLOOKUP(A1479,'[1]Tissue Data'!$A:$A,'[1]Tissue Data'!$C:$C)</f>
        <v>Spill</v>
      </c>
      <c r="C1479" s="2">
        <f>_xlfn.XLOOKUP(A1479,'[1]Tissue Data'!$A:$A,'[1]Tissue Data'!$D:$D)</f>
        <v>44314</v>
      </c>
      <c r="D1479" s="2" t="str">
        <f>_xlfn.XLOOKUP(A1479,'[1]Tissue Data'!$A:$A,'[1]Tissue Data'!$F:$F)</f>
        <v>Pumpkinseed</v>
      </c>
      <c r="E1479" t="str">
        <f>_xlfn.XLOOKUP(A1479,'[1]Tissue Data'!$A:$A,'[1]Tissue Data'!$H:$H)</f>
        <v>Lepomis</v>
      </c>
      <c r="F1479" t="str">
        <f>_xlfn.XLOOKUP(A1479,'[1]Tissue Data'!$A:$A,'[1]Tissue Data'!$I:$I)</f>
        <v>gibbosus</v>
      </c>
      <c r="G1479" t="str">
        <f>_xlfn.XLOOKUP(A1479,'[1]Tissue Data'!$A:$A,'[1]Tissue Data'!J:J)</f>
        <v>U</v>
      </c>
      <c r="H1479" t="str">
        <f>_xlfn.XLOOKUP(A1479,'[1]Tissue Data'!$A:$A,'[1]Tissue Data'!K:K)</f>
        <v>Whole Body</v>
      </c>
      <c r="I1479">
        <f>_xlfn.XLOOKUP(A1479,'[1]Tissue Data'!$A:$A,'[1]Tissue Data'!L:L)</f>
        <v>6</v>
      </c>
      <c r="J1479">
        <f>_xlfn.XLOOKUP(A1479,'[1]Tissue Data'!$A:$A,'[1]Tissue Data'!M:M)</f>
        <v>7.5</v>
      </c>
      <c r="K1479" t="s">
        <v>39</v>
      </c>
      <c r="L1479" t="str">
        <f>_xlfn.XLOOKUP(K1479,[2]analyte_order!$B:$B,[2]analyte_order!$C:$C)</f>
        <v>4151-50-2</v>
      </c>
      <c r="M1479">
        <f>_xlfn.XLOOKUP(L1479,[2]analyte_order!$C:$C,[2]analyte_order!$E:$E)</f>
        <v>31</v>
      </c>
      <c r="N1479">
        <v>8.3192523552383935E-2</v>
      </c>
    </row>
    <row r="1480" spans="1:14">
      <c r="A1480" t="s">
        <v>241</v>
      </c>
      <c r="B1480" t="str">
        <f>_xlfn.XLOOKUP(A1480,'[1]Tissue Data'!$A:$A,'[1]Tissue Data'!$C:$C)</f>
        <v>Spill</v>
      </c>
      <c r="C1480" s="2">
        <f>_xlfn.XLOOKUP(A1480,'[1]Tissue Data'!$A:$A,'[1]Tissue Data'!$D:$D)</f>
        <v>44314</v>
      </c>
      <c r="D1480" s="2" t="str">
        <f>_xlfn.XLOOKUP(A1480,'[1]Tissue Data'!$A:$A,'[1]Tissue Data'!$F:$F)</f>
        <v>Pumpkinseed</v>
      </c>
      <c r="E1480" t="str">
        <f>_xlfn.XLOOKUP(A1480,'[1]Tissue Data'!$A:$A,'[1]Tissue Data'!$H:$H)</f>
        <v>Lepomis</v>
      </c>
      <c r="F1480" t="str">
        <f>_xlfn.XLOOKUP(A1480,'[1]Tissue Data'!$A:$A,'[1]Tissue Data'!$I:$I)</f>
        <v>gibbosus</v>
      </c>
      <c r="G1480" t="str">
        <f>_xlfn.XLOOKUP(A1480,'[1]Tissue Data'!$A:$A,'[1]Tissue Data'!J:J)</f>
        <v>U</v>
      </c>
      <c r="H1480" t="str">
        <f>_xlfn.XLOOKUP(A1480,'[1]Tissue Data'!$A:$A,'[1]Tissue Data'!K:K)</f>
        <v>Whole Body</v>
      </c>
      <c r="I1480">
        <f>_xlfn.XLOOKUP(A1480,'[1]Tissue Data'!$A:$A,'[1]Tissue Data'!L:L)</f>
        <v>6</v>
      </c>
      <c r="J1480">
        <f>_xlfn.XLOOKUP(A1480,'[1]Tissue Data'!$A:$A,'[1]Tissue Data'!M:M)</f>
        <v>7.5</v>
      </c>
      <c r="K1480" t="s">
        <v>40</v>
      </c>
      <c r="L1480" t="str">
        <f>_xlfn.XLOOKUP(K1480,[2]analyte_order!$B:$B,[2]analyte_order!$C:$C)</f>
        <v>2806-24-8</v>
      </c>
      <c r="M1480">
        <f>_xlfn.XLOOKUP(L1480,[2]analyte_order!$C:$C,[2]analyte_order!$E:$E)</f>
        <v>29</v>
      </c>
      <c r="N1480">
        <v>5.6193339494981176E-2</v>
      </c>
    </row>
    <row r="1481" spans="1:14">
      <c r="A1481" t="s">
        <v>241</v>
      </c>
      <c r="B1481" t="str">
        <f>_xlfn.XLOOKUP(A1481,'[1]Tissue Data'!$A:$A,'[1]Tissue Data'!$C:$C)</f>
        <v>Spill</v>
      </c>
      <c r="C1481" s="2">
        <f>_xlfn.XLOOKUP(A1481,'[1]Tissue Data'!$A:$A,'[1]Tissue Data'!$D:$D)</f>
        <v>44314</v>
      </c>
      <c r="D1481" s="2" t="str">
        <f>_xlfn.XLOOKUP(A1481,'[1]Tissue Data'!$A:$A,'[1]Tissue Data'!$F:$F)</f>
        <v>Pumpkinseed</v>
      </c>
      <c r="E1481" t="str">
        <f>_xlfn.XLOOKUP(A1481,'[1]Tissue Data'!$A:$A,'[1]Tissue Data'!$H:$H)</f>
        <v>Lepomis</v>
      </c>
      <c r="F1481" t="str">
        <f>_xlfn.XLOOKUP(A1481,'[1]Tissue Data'!$A:$A,'[1]Tissue Data'!$I:$I)</f>
        <v>gibbosus</v>
      </c>
      <c r="G1481" t="str">
        <f>_xlfn.XLOOKUP(A1481,'[1]Tissue Data'!$A:$A,'[1]Tissue Data'!J:J)</f>
        <v>U</v>
      </c>
      <c r="H1481" t="str">
        <f>_xlfn.XLOOKUP(A1481,'[1]Tissue Data'!$A:$A,'[1]Tissue Data'!K:K)</f>
        <v>Whole Body</v>
      </c>
      <c r="I1481">
        <f>_xlfn.XLOOKUP(A1481,'[1]Tissue Data'!$A:$A,'[1]Tissue Data'!L:L)</f>
        <v>6</v>
      </c>
      <c r="J1481">
        <f>_xlfn.XLOOKUP(A1481,'[1]Tissue Data'!$A:$A,'[1]Tissue Data'!M:M)</f>
        <v>7.5</v>
      </c>
      <c r="K1481" t="s">
        <v>41</v>
      </c>
      <c r="L1481" t="str">
        <f>_xlfn.XLOOKUP(K1481,[2]analyte_order!$B:$B,[2]analyte_order!$C:$C)</f>
        <v>2355-31-9</v>
      </c>
      <c r="M1481">
        <f>_xlfn.XLOOKUP(L1481,[2]analyte_order!$C:$C,[2]analyte_order!$E:$E)</f>
        <v>26</v>
      </c>
      <c r="N1481">
        <v>7.1721393241844414E-2</v>
      </c>
    </row>
    <row r="1482" spans="1:14">
      <c r="A1482" t="s">
        <v>241</v>
      </c>
      <c r="B1482" t="str">
        <f>_xlfn.XLOOKUP(A1482,'[1]Tissue Data'!$A:$A,'[1]Tissue Data'!$C:$C)</f>
        <v>Spill</v>
      </c>
      <c r="C1482" s="2">
        <f>_xlfn.XLOOKUP(A1482,'[1]Tissue Data'!$A:$A,'[1]Tissue Data'!$D:$D)</f>
        <v>44314</v>
      </c>
      <c r="D1482" s="2" t="str">
        <f>_xlfn.XLOOKUP(A1482,'[1]Tissue Data'!$A:$A,'[1]Tissue Data'!$F:$F)</f>
        <v>Pumpkinseed</v>
      </c>
      <c r="E1482" t="str">
        <f>_xlfn.XLOOKUP(A1482,'[1]Tissue Data'!$A:$A,'[1]Tissue Data'!$H:$H)</f>
        <v>Lepomis</v>
      </c>
      <c r="F1482" t="str">
        <f>_xlfn.XLOOKUP(A1482,'[1]Tissue Data'!$A:$A,'[1]Tissue Data'!$I:$I)</f>
        <v>gibbosus</v>
      </c>
      <c r="G1482" t="str">
        <f>_xlfn.XLOOKUP(A1482,'[1]Tissue Data'!$A:$A,'[1]Tissue Data'!J:J)</f>
        <v>U</v>
      </c>
      <c r="H1482" t="str">
        <f>_xlfn.XLOOKUP(A1482,'[1]Tissue Data'!$A:$A,'[1]Tissue Data'!K:K)</f>
        <v>Whole Body</v>
      </c>
      <c r="I1482">
        <f>_xlfn.XLOOKUP(A1482,'[1]Tissue Data'!$A:$A,'[1]Tissue Data'!L:L)</f>
        <v>6</v>
      </c>
      <c r="J1482">
        <f>_xlfn.XLOOKUP(A1482,'[1]Tissue Data'!$A:$A,'[1]Tissue Data'!M:M)</f>
        <v>7.5</v>
      </c>
      <c r="K1482" t="s">
        <v>42</v>
      </c>
      <c r="L1482" t="str">
        <f>_xlfn.XLOOKUP(K1482,[2]analyte_order!$B:$B,[2]analyte_order!$C:$C)</f>
        <v>2991-50-6</v>
      </c>
      <c r="M1482">
        <f>_xlfn.XLOOKUP(L1482,[2]analyte_order!$C:$C,[2]analyte_order!$E:$E)</f>
        <v>27</v>
      </c>
      <c r="N1482">
        <v>6.1879096707967367E-2</v>
      </c>
    </row>
    <row r="1483" spans="1:14">
      <c r="A1483" t="s">
        <v>241</v>
      </c>
      <c r="B1483" t="str">
        <f>_xlfn.XLOOKUP(A1483,'[1]Tissue Data'!$A:$A,'[1]Tissue Data'!$C:$C)</f>
        <v>Spill</v>
      </c>
      <c r="C1483" s="2">
        <f>_xlfn.XLOOKUP(A1483,'[1]Tissue Data'!$A:$A,'[1]Tissue Data'!$D:$D)</f>
        <v>44314</v>
      </c>
      <c r="D1483" s="2" t="str">
        <f>_xlfn.XLOOKUP(A1483,'[1]Tissue Data'!$A:$A,'[1]Tissue Data'!$F:$F)</f>
        <v>Pumpkinseed</v>
      </c>
      <c r="E1483" t="str">
        <f>_xlfn.XLOOKUP(A1483,'[1]Tissue Data'!$A:$A,'[1]Tissue Data'!$H:$H)</f>
        <v>Lepomis</v>
      </c>
      <c r="F1483" t="str">
        <f>_xlfn.XLOOKUP(A1483,'[1]Tissue Data'!$A:$A,'[1]Tissue Data'!$I:$I)</f>
        <v>gibbosus</v>
      </c>
      <c r="G1483" t="str">
        <f>_xlfn.XLOOKUP(A1483,'[1]Tissue Data'!$A:$A,'[1]Tissue Data'!J:J)</f>
        <v>U</v>
      </c>
      <c r="H1483" t="str">
        <f>_xlfn.XLOOKUP(A1483,'[1]Tissue Data'!$A:$A,'[1]Tissue Data'!K:K)</f>
        <v>Whole Body</v>
      </c>
      <c r="I1483">
        <f>_xlfn.XLOOKUP(A1483,'[1]Tissue Data'!$A:$A,'[1]Tissue Data'!L:L)</f>
        <v>6</v>
      </c>
      <c r="J1483">
        <f>_xlfn.XLOOKUP(A1483,'[1]Tissue Data'!$A:$A,'[1]Tissue Data'!M:M)</f>
        <v>7.5</v>
      </c>
      <c r="K1483" t="s">
        <v>43</v>
      </c>
      <c r="L1483" t="str">
        <f>_xlfn.XLOOKUP(K1483,[2]analyte_order!$B:$B,[2]analyte_order!$C:$C)</f>
        <v>757124-72-4</v>
      </c>
      <c r="M1483">
        <f>_xlfn.XLOOKUP(L1483,[2]analyte_order!$C:$C,[2]analyte_order!$E:$E)</f>
        <v>22</v>
      </c>
      <c r="N1483">
        <v>5.855684042032621E-2</v>
      </c>
    </row>
    <row r="1484" spans="1:14">
      <c r="A1484" t="s">
        <v>241</v>
      </c>
      <c r="B1484" t="str">
        <f>_xlfn.XLOOKUP(A1484,'[1]Tissue Data'!$A:$A,'[1]Tissue Data'!$C:$C)</f>
        <v>Spill</v>
      </c>
      <c r="C1484" s="2">
        <f>_xlfn.XLOOKUP(A1484,'[1]Tissue Data'!$A:$A,'[1]Tissue Data'!$D:$D)</f>
        <v>44314</v>
      </c>
      <c r="D1484" s="2" t="str">
        <f>_xlfn.XLOOKUP(A1484,'[1]Tissue Data'!$A:$A,'[1]Tissue Data'!$F:$F)</f>
        <v>Pumpkinseed</v>
      </c>
      <c r="E1484" t="str">
        <f>_xlfn.XLOOKUP(A1484,'[1]Tissue Data'!$A:$A,'[1]Tissue Data'!$H:$H)</f>
        <v>Lepomis</v>
      </c>
      <c r="F1484" t="str">
        <f>_xlfn.XLOOKUP(A1484,'[1]Tissue Data'!$A:$A,'[1]Tissue Data'!$I:$I)</f>
        <v>gibbosus</v>
      </c>
      <c r="G1484" t="str">
        <f>_xlfn.XLOOKUP(A1484,'[1]Tissue Data'!$A:$A,'[1]Tissue Data'!J:J)</f>
        <v>U</v>
      </c>
      <c r="H1484" t="str">
        <f>_xlfn.XLOOKUP(A1484,'[1]Tissue Data'!$A:$A,'[1]Tissue Data'!K:K)</f>
        <v>Whole Body</v>
      </c>
      <c r="I1484">
        <f>_xlfn.XLOOKUP(A1484,'[1]Tissue Data'!$A:$A,'[1]Tissue Data'!L:L)</f>
        <v>6</v>
      </c>
      <c r="J1484">
        <f>_xlfn.XLOOKUP(A1484,'[1]Tissue Data'!$A:$A,'[1]Tissue Data'!M:M)</f>
        <v>7.5</v>
      </c>
      <c r="K1484" t="s">
        <v>44</v>
      </c>
      <c r="L1484" t="str">
        <f>_xlfn.XLOOKUP(K1484,[2]analyte_order!$B:$B,[2]analyte_order!$C:$C)</f>
        <v>27619-97-2</v>
      </c>
      <c r="M1484">
        <f>_xlfn.XLOOKUP(L1484,[2]analyte_order!$C:$C,[2]analyte_order!$E:$E)</f>
        <v>23</v>
      </c>
      <c r="N1484">
        <v>4.3040425953105393E-2</v>
      </c>
    </row>
    <row r="1485" spans="1:14">
      <c r="A1485" t="s">
        <v>241</v>
      </c>
      <c r="B1485" t="str">
        <f>_xlfn.XLOOKUP(A1485,'[1]Tissue Data'!$A:$A,'[1]Tissue Data'!$C:$C)</f>
        <v>Spill</v>
      </c>
      <c r="C1485" s="2">
        <f>_xlfn.XLOOKUP(A1485,'[1]Tissue Data'!$A:$A,'[1]Tissue Data'!$D:$D)</f>
        <v>44314</v>
      </c>
      <c r="D1485" s="2" t="str">
        <f>_xlfn.XLOOKUP(A1485,'[1]Tissue Data'!$A:$A,'[1]Tissue Data'!$F:$F)</f>
        <v>Pumpkinseed</v>
      </c>
      <c r="E1485" t="str">
        <f>_xlfn.XLOOKUP(A1485,'[1]Tissue Data'!$A:$A,'[1]Tissue Data'!$H:$H)</f>
        <v>Lepomis</v>
      </c>
      <c r="F1485" t="str">
        <f>_xlfn.XLOOKUP(A1485,'[1]Tissue Data'!$A:$A,'[1]Tissue Data'!$I:$I)</f>
        <v>gibbosus</v>
      </c>
      <c r="G1485" t="str">
        <f>_xlfn.XLOOKUP(A1485,'[1]Tissue Data'!$A:$A,'[1]Tissue Data'!J:J)</f>
        <v>U</v>
      </c>
      <c r="H1485" t="str">
        <f>_xlfn.XLOOKUP(A1485,'[1]Tissue Data'!$A:$A,'[1]Tissue Data'!K:K)</f>
        <v>Whole Body</v>
      </c>
      <c r="I1485">
        <f>_xlfn.XLOOKUP(A1485,'[1]Tissue Data'!$A:$A,'[1]Tissue Data'!L:L)</f>
        <v>6</v>
      </c>
      <c r="J1485">
        <f>_xlfn.XLOOKUP(A1485,'[1]Tissue Data'!$A:$A,'[1]Tissue Data'!M:M)</f>
        <v>7.5</v>
      </c>
      <c r="K1485" t="s">
        <v>45</v>
      </c>
      <c r="L1485" t="str">
        <f>_xlfn.XLOOKUP(K1485,[2]analyte_order!$B:$B,[2]analyte_order!$C:$C)</f>
        <v>39108-34-4</v>
      </c>
      <c r="M1485">
        <f>_xlfn.XLOOKUP(L1485,[2]analyte_order!$C:$C,[2]analyte_order!$E:$E)</f>
        <v>24</v>
      </c>
      <c r="N1485">
        <v>3.02</v>
      </c>
    </row>
    <row r="1486" spans="1:14">
      <c r="A1486" t="s">
        <v>241</v>
      </c>
      <c r="B1486" t="str">
        <f>_xlfn.XLOOKUP(A1486,'[1]Tissue Data'!$A:$A,'[1]Tissue Data'!$C:$C)</f>
        <v>Spill</v>
      </c>
      <c r="C1486" s="2">
        <f>_xlfn.XLOOKUP(A1486,'[1]Tissue Data'!$A:$A,'[1]Tissue Data'!$D:$D)</f>
        <v>44314</v>
      </c>
      <c r="D1486" s="2" t="str">
        <f>_xlfn.XLOOKUP(A1486,'[1]Tissue Data'!$A:$A,'[1]Tissue Data'!$F:$F)</f>
        <v>Pumpkinseed</v>
      </c>
      <c r="E1486" t="str">
        <f>_xlfn.XLOOKUP(A1486,'[1]Tissue Data'!$A:$A,'[1]Tissue Data'!$H:$H)</f>
        <v>Lepomis</v>
      </c>
      <c r="F1486" t="str">
        <f>_xlfn.XLOOKUP(A1486,'[1]Tissue Data'!$A:$A,'[1]Tissue Data'!$I:$I)</f>
        <v>gibbosus</v>
      </c>
      <c r="G1486" t="str">
        <f>_xlfn.XLOOKUP(A1486,'[1]Tissue Data'!$A:$A,'[1]Tissue Data'!J:J)</f>
        <v>U</v>
      </c>
      <c r="H1486" t="str">
        <f>_xlfn.XLOOKUP(A1486,'[1]Tissue Data'!$A:$A,'[1]Tissue Data'!K:K)</f>
        <v>Whole Body</v>
      </c>
      <c r="I1486">
        <f>_xlfn.XLOOKUP(A1486,'[1]Tissue Data'!$A:$A,'[1]Tissue Data'!L:L)</f>
        <v>6</v>
      </c>
      <c r="J1486">
        <f>_xlfn.XLOOKUP(A1486,'[1]Tissue Data'!$A:$A,'[1]Tissue Data'!M:M)</f>
        <v>7.5</v>
      </c>
      <c r="K1486" t="s">
        <v>46</v>
      </c>
      <c r="L1486" t="str">
        <f>_xlfn.XLOOKUP(K1486,[2]analyte_order!$B:$B,[2]analyte_order!$C:$C)</f>
        <v>120226-60-0</v>
      </c>
      <c r="M1486">
        <f>_xlfn.XLOOKUP(L1486,[2]analyte_order!$C:$C,[2]analyte_order!$E:$E)</f>
        <v>25</v>
      </c>
      <c r="N1486">
        <v>0.25995089999999998</v>
      </c>
    </row>
    <row r="1487" spans="1:14">
      <c r="A1487" t="s">
        <v>241</v>
      </c>
      <c r="B1487" t="str">
        <f>_xlfn.XLOOKUP(A1487,'[1]Tissue Data'!$A:$A,'[1]Tissue Data'!$C:$C)</f>
        <v>Spill</v>
      </c>
      <c r="C1487" s="2">
        <f>_xlfn.XLOOKUP(A1487,'[1]Tissue Data'!$A:$A,'[1]Tissue Data'!$D:$D)</f>
        <v>44314</v>
      </c>
      <c r="D1487" s="2" t="str">
        <f>_xlfn.XLOOKUP(A1487,'[1]Tissue Data'!$A:$A,'[1]Tissue Data'!$F:$F)</f>
        <v>Pumpkinseed</v>
      </c>
      <c r="E1487" t="str">
        <f>_xlfn.XLOOKUP(A1487,'[1]Tissue Data'!$A:$A,'[1]Tissue Data'!$H:$H)</f>
        <v>Lepomis</v>
      </c>
      <c r="F1487" t="str">
        <f>_xlfn.XLOOKUP(A1487,'[1]Tissue Data'!$A:$A,'[1]Tissue Data'!$I:$I)</f>
        <v>gibbosus</v>
      </c>
      <c r="G1487" t="str">
        <f>_xlfn.XLOOKUP(A1487,'[1]Tissue Data'!$A:$A,'[1]Tissue Data'!J:J)</f>
        <v>U</v>
      </c>
      <c r="H1487" t="str">
        <f>_xlfn.XLOOKUP(A1487,'[1]Tissue Data'!$A:$A,'[1]Tissue Data'!K:K)</f>
        <v>Whole Body</v>
      </c>
      <c r="I1487">
        <f>_xlfn.XLOOKUP(A1487,'[1]Tissue Data'!$A:$A,'[1]Tissue Data'!L:L)</f>
        <v>6</v>
      </c>
      <c r="J1487">
        <f>_xlfn.XLOOKUP(A1487,'[1]Tissue Data'!$A:$A,'[1]Tissue Data'!M:M)</f>
        <v>7.5</v>
      </c>
      <c r="K1487" t="s">
        <v>47</v>
      </c>
      <c r="L1487" t="str">
        <f>_xlfn.XLOOKUP(K1487,[2]analyte_order!$B:$B,[2]analyte_order!$C:$C)</f>
        <v>356-02-5</v>
      </c>
      <c r="M1487">
        <f>_xlfn.XLOOKUP(L1487,[2]analyte_order!$C:$C,[2]analyte_order!$E:$E)</f>
        <v>38</v>
      </c>
      <c r="N1487">
        <v>8.2232294863550812E-2</v>
      </c>
    </row>
    <row r="1488" spans="1:14">
      <c r="A1488" t="s">
        <v>241</v>
      </c>
      <c r="B1488" t="str">
        <f>_xlfn.XLOOKUP(A1488,'[1]Tissue Data'!$A:$A,'[1]Tissue Data'!$C:$C)</f>
        <v>Spill</v>
      </c>
      <c r="C1488" s="2">
        <f>_xlfn.XLOOKUP(A1488,'[1]Tissue Data'!$A:$A,'[1]Tissue Data'!$D:$D)</f>
        <v>44314</v>
      </c>
      <c r="D1488" s="2" t="str">
        <f>_xlfn.XLOOKUP(A1488,'[1]Tissue Data'!$A:$A,'[1]Tissue Data'!$F:$F)</f>
        <v>Pumpkinseed</v>
      </c>
      <c r="E1488" t="str">
        <f>_xlfn.XLOOKUP(A1488,'[1]Tissue Data'!$A:$A,'[1]Tissue Data'!$H:$H)</f>
        <v>Lepomis</v>
      </c>
      <c r="F1488" t="str">
        <f>_xlfn.XLOOKUP(A1488,'[1]Tissue Data'!$A:$A,'[1]Tissue Data'!$I:$I)</f>
        <v>gibbosus</v>
      </c>
      <c r="G1488" t="str">
        <f>_xlfn.XLOOKUP(A1488,'[1]Tissue Data'!$A:$A,'[1]Tissue Data'!J:J)</f>
        <v>U</v>
      </c>
      <c r="H1488" t="str">
        <f>_xlfn.XLOOKUP(A1488,'[1]Tissue Data'!$A:$A,'[1]Tissue Data'!K:K)</f>
        <v>Whole Body</v>
      </c>
      <c r="I1488">
        <f>_xlfn.XLOOKUP(A1488,'[1]Tissue Data'!$A:$A,'[1]Tissue Data'!L:L)</f>
        <v>6</v>
      </c>
      <c r="J1488">
        <f>_xlfn.XLOOKUP(A1488,'[1]Tissue Data'!$A:$A,'[1]Tissue Data'!M:M)</f>
        <v>7.5</v>
      </c>
      <c r="K1488" t="s">
        <v>48</v>
      </c>
      <c r="L1488" t="str">
        <f>_xlfn.XLOOKUP(K1488,[2]analyte_order!$B:$B,[2]analyte_order!$C:$C)</f>
        <v>914637-49-3</v>
      </c>
      <c r="M1488">
        <f>_xlfn.XLOOKUP(L1488,[2]analyte_order!$C:$C,[2]analyte_order!$E:$E)</f>
        <v>39</v>
      </c>
      <c r="N1488">
        <v>2.82</v>
      </c>
    </row>
    <row r="1489" spans="1:14">
      <c r="A1489" t="s">
        <v>241</v>
      </c>
      <c r="B1489" t="str">
        <f>_xlfn.XLOOKUP(A1489,'[1]Tissue Data'!$A:$A,'[1]Tissue Data'!$C:$C)</f>
        <v>Spill</v>
      </c>
      <c r="C1489" s="2">
        <f>_xlfn.XLOOKUP(A1489,'[1]Tissue Data'!$A:$A,'[1]Tissue Data'!$D:$D)</f>
        <v>44314</v>
      </c>
      <c r="D1489" s="2" t="str">
        <f>_xlfn.XLOOKUP(A1489,'[1]Tissue Data'!$A:$A,'[1]Tissue Data'!$F:$F)</f>
        <v>Pumpkinseed</v>
      </c>
      <c r="E1489" t="str">
        <f>_xlfn.XLOOKUP(A1489,'[1]Tissue Data'!$A:$A,'[1]Tissue Data'!$H:$H)</f>
        <v>Lepomis</v>
      </c>
      <c r="F1489" t="str">
        <f>_xlfn.XLOOKUP(A1489,'[1]Tissue Data'!$A:$A,'[1]Tissue Data'!$I:$I)</f>
        <v>gibbosus</v>
      </c>
      <c r="G1489" t="str">
        <f>_xlfn.XLOOKUP(A1489,'[1]Tissue Data'!$A:$A,'[1]Tissue Data'!J:J)</f>
        <v>U</v>
      </c>
      <c r="H1489" t="str">
        <f>_xlfn.XLOOKUP(A1489,'[1]Tissue Data'!$A:$A,'[1]Tissue Data'!K:K)</f>
        <v>Whole Body</v>
      </c>
      <c r="I1489">
        <f>_xlfn.XLOOKUP(A1489,'[1]Tissue Data'!$A:$A,'[1]Tissue Data'!L:L)</f>
        <v>6</v>
      </c>
      <c r="J1489">
        <f>_xlfn.XLOOKUP(A1489,'[1]Tissue Data'!$A:$A,'[1]Tissue Data'!M:M)</f>
        <v>7.5</v>
      </c>
      <c r="K1489" t="s">
        <v>49</v>
      </c>
      <c r="L1489" t="str">
        <f>_xlfn.XLOOKUP(K1489,[2]analyte_order!$B:$B,[2]analyte_order!$C:$C)</f>
        <v>812-70-4</v>
      </c>
      <c r="M1489">
        <f>_xlfn.XLOOKUP(L1489,[2]analyte_order!$C:$C,[2]analyte_order!$E:$E)</f>
        <v>40</v>
      </c>
      <c r="N1489">
        <v>111</v>
      </c>
    </row>
    <row r="1490" spans="1:14">
      <c r="A1490" t="s">
        <v>241</v>
      </c>
      <c r="B1490" t="str">
        <f>_xlfn.XLOOKUP(A1490,'[1]Tissue Data'!$A:$A,'[1]Tissue Data'!$C:$C)</f>
        <v>Spill</v>
      </c>
      <c r="C1490" s="2">
        <f>_xlfn.XLOOKUP(A1490,'[1]Tissue Data'!$A:$A,'[1]Tissue Data'!$D:$D)</f>
        <v>44314</v>
      </c>
      <c r="D1490" s="2" t="str">
        <f>_xlfn.XLOOKUP(A1490,'[1]Tissue Data'!$A:$A,'[1]Tissue Data'!$F:$F)</f>
        <v>Pumpkinseed</v>
      </c>
      <c r="E1490" t="str">
        <f>_xlfn.XLOOKUP(A1490,'[1]Tissue Data'!$A:$A,'[1]Tissue Data'!$H:$H)</f>
        <v>Lepomis</v>
      </c>
      <c r="F1490" t="str">
        <f>_xlfn.XLOOKUP(A1490,'[1]Tissue Data'!$A:$A,'[1]Tissue Data'!$I:$I)</f>
        <v>gibbosus</v>
      </c>
      <c r="G1490" t="str">
        <f>_xlfn.XLOOKUP(A1490,'[1]Tissue Data'!$A:$A,'[1]Tissue Data'!J:J)</f>
        <v>U</v>
      </c>
      <c r="H1490" t="str">
        <f>_xlfn.XLOOKUP(A1490,'[1]Tissue Data'!$A:$A,'[1]Tissue Data'!K:K)</f>
        <v>Whole Body</v>
      </c>
      <c r="I1490">
        <f>_xlfn.XLOOKUP(A1490,'[1]Tissue Data'!$A:$A,'[1]Tissue Data'!L:L)</f>
        <v>6</v>
      </c>
      <c r="J1490">
        <f>_xlfn.XLOOKUP(A1490,'[1]Tissue Data'!$A:$A,'[1]Tissue Data'!M:M)</f>
        <v>7.5</v>
      </c>
      <c r="K1490" t="s">
        <v>50</v>
      </c>
      <c r="L1490" t="str">
        <f>_xlfn.XLOOKUP(K1490,[2]analyte_order!$B:$B,[2]analyte_order!$C:$C)</f>
        <v>53826-12-3</v>
      </c>
      <c r="M1490">
        <f>_xlfn.XLOOKUP(L1490,[2]analyte_order!$C:$C,[2]analyte_order!$E:$E)</f>
        <v>41</v>
      </c>
      <c r="N1490">
        <v>1.78</v>
      </c>
    </row>
    <row r="1491" spans="1:14">
      <c r="A1491" t="s">
        <v>241</v>
      </c>
      <c r="B1491" t="str">
        <f>_xlfn.XLOOKUP(A1491,'[1]Tissue Data'!$A:$A,'[1]Tissue Data'!$C:$C)</f>
        <v>Spill</v>
      </c>
      <c r="C1491" s="2">
        <f>_xlfn.XLOOKUP(A1491,'[1]Tissue Data'!$A:$A,'[1]Tissue Data'!$D:$D)</f>
        <v>44314</v>
      </c>
      <c r="D1491" s="2" t="str">
        <f>_xlfn.XLOOKUP(A1491,'[1]Tissue Data'!$A:$A,'[1]Tissue Data'!$F:$F)</f>
        <v>Pumpkinseed</v>
      </c>
      <c r="E1491" t="str">
        <f>_xlfn.XLOOKUP(A1491,'[1]Tissue Data'!$A:$A,'[1]Tissue Data'!$H:$H)</f>
        <v>Lepomis</v>
      </c>
      <c r="F1491" t="str">
        <f>_xlfn.XLOOKUP(A1491,'[1]Tissue Data'!$A:$A,'[1]Tissue Data'!$I:$I)</f>
        <v>gibbosus</v>
      </c>
      <c r="G1491" t="str">
        <f>_xlfn.XLOOKUP(A1491,'[1]Tissue Data'!$A:$A,'[1]Tissue Data'!J:J)</f>
        <v>U</v>
      </c>
      <c r="H1491" t="str">
        <f>_xlfn.XLOOKUP(A1491,'[1]Tissue Data'!$A:$A,'[1]Tissue Data'!K:K)</f>
        <v>Whole Body</v>
      </c>
      <c r="I1491">
        <f>_xlfn.XLOOKUP(A1491,'[1]Tissue Data'!$A:$A,'[1]Tissue Data'!L:L)</f>
        <v>6</v>
      </c>
      <c r="J1491">
        <f>_xlfn.XLOOKUP(A1491,'[1]Tissue Data'!$A:$A,'[1]Tissue Data'!M:M)</f>
        <v>7.5</v>
      </c>
      <c r="K1491" t="s">
        <v>51</v>
      </c>
      <c r="L1491" t="str">
        <f>_xlfn.XLOOKUP(K1491,[2]analyte_order!$B:$B,[2]analyte_order!$C:$C)</f>
        <v>27854-31-5</v>
      </c>
      <c r="M1491">
        <f>_xlfn.XLOOKUP(L1491,[2]analyte_order!$C:$C,[2]analyte_order!$E:$E)</f>
        <v>42</v>
      </c>
      <c r="N1491">
        <v>23.2</v>
      </c>
    </row>
    <row r="1492" spans="1:14">
      <c r="A1492" t="s">
        <v>241</v>
      </c>
      <c r="B1492" t="str">
        <f>_xlfn.XLOOKUP(A1492,'[1]Tissue Data'!$A:$A,'[1]Tissue Data'!$C:$C)</f>
        <v>Spill</v>
      </c>
      <c r="C1492" s="2">
        <f>_xlfn.XLOOKUP(A1492,'[1]Tissue Data'!$A:$A,'[1]Tissue Data'!$D:$D)</f>
        <v>44314</v>
      </c>
      <c r="D1492" s="2" t="str">
        <f>_xlfn.XLOOKUP(A1492,'[1]Tissue Data'!$A:$A,'[1]Tissue Data'!$F:$F)</f>
        <v>Pumpkinseed</v>
      </c>
      <c r="E1492" t="str">
        <f>_xlfn.XLOOKUP(A1492,'[1]Tissue Data'!$A:$A,'[1]Tissue Data'!$H:$H)</f>
        <v>Lepomis</v>
      </c>
      <c r="F1492" t="str">
        <f>_xlfn.XLOOKUP(A1492,'[1]Tissue Data'!$A:$A,'[1]Tissue Data'!$I:$I)</f>
        <v>gibbosus</v>
      </c>
      <c r="G1492" t="str">
        <f>_xlfn.XLOOKUP(A1492,'[1]Tissue Data'!$A:$A,'[1]Tissue Data'!J:J)</f>
        <v>U</v>
      </c>
      <c r="H1492" t="str">
        <f>_xlfn.XLOOKUP(A1492,'[1]Tissue Data'!$A:$A,'[1]Tissue Data'!K:K)</f>
        <v>Whole Body</v>
      </c>
      <c r="I1492">
        <f>_xlfn.XLOOKUP(A1492,'[1]Tissue Data'!$A:$A,'[1]Tissue Data'!L:L)</f>
        <v>6</v>
      </c>
      <c r="J1492">
        <f>_xlfn.XLOOKUP(A1492,'[1]Tissue Data'!$A:$A,'[1]Tissue Data'!M:M)</f>
        <v>7.5</v>
      </c>
      <c r="K1492" t="s">
        <v>52</v>
      </c>
      <c r="L1492" t="str">
        <f>_xlfn.XLOOKUP(K1492,[2]analyte_order!$B:$B,[2]analyte_order!$C:$C)</f>
        <v>53826-13-4</v>
      </c>
      <c r="M1492">
        <f>_xlfn.XLOOKUP(L1492,[2]analyte_order!$C:$C,[2]analyte_order!$E:$E)</f>
        <v>43</v>
      </c>
      <c r="N1492">
        <v>0.10637850089868257</v>
      </c>
    </row>
    <row r="1493" spans="1:14">
      <c r="A1493" t="s">
        <v>241</v>
      </c>
      <c r="B1493" t="str">
        <f>_xlfn.XLOOKUP(A1493,'[1]Tissue Data'!$A:$A,'[1]Tissue Data'!$C:$C)</f>
        <v>Spill</v>
      </c>
      <c r="C1493" s="2">
        <f>_xlfn.XLOOKUP(A1493,'[1]Tissue Data'!$A:$A,'[1]Tissue Data'!$D:$D)</f>
        <v>44314</v>
      </c>
      <c r="D1493" s="2" t="str">
        <f>_xlfn.XLOOKUP(A1493,'[1]Tissue Data'!$A:$A,'[1]Tissue Data'!$F:$F)</f>
        <v>Pumpkinseed</v>
      </c>
      <c r="E1493" t="str">
        <f>_xlfn.XLOOKUP(A1493,'[1]Tissue Data'!$A:$A,'[1]Tissue Data'!$H:$H)</f>
        <v>Lepomis</v>
      </c>
      <c r="F1493" t="str">
        <f>_xlfn.XLOOKUP(A1493,'[1]Tissue Data'!$A:$A,'[1]Tissue Data'!$I:$I)</f>
        <v>gibbosus</v>
      </c>
      <c r="G1493" t="str">
        <f>_xlfn.XLOOKUP(A1493,'[1]Tissue Data'!$A:$A,'[1]Tissue Data'!J:J)</f>
        <v>U</v>
      </c>
      <c r="H1493" t="str">
        <f>_xlfn.XLOOKUP(A1493,'[1]Tissue Data'!$A:$A,'[1]Tissue Data'!K:K)</f>
        <v>Whole Body</v>
      </c>
      <c r="I1493">
        <f>_xlfn.XLOOKUP(A1493,'[1]Tissue Data'!$A:$A,'[1]Tissue Data'!L:L)</f>
        <v>6</v>
      </c>
      <c r="J1493">
        <f>_xlfn.XLOOKUP(A1493,'[1]Tissue Data'!$A:$A,'[1]Tissue Data'!M:M)</f>
        <v>7.5</v>
      </c>
      <c r="K1493" t="s">
        <v>53</v>
      </c>
      <c r="L1493" t="str">
        <f>_xlfn.XLOOKUP(K1493,[2]analyte_order!$B:$B,[2]analyte_order!$C:$C)</f>
        <v>161094-75-3</v>
      </c>
      <c r="M1493">
        <f>_xlfn.XLOOKUP(L1493,[2]analyte_order!$C:$C,[2]analyte_order!$E:$E)</f>
        <v>44</v>
      </c>
      <c r="N1493">
        <v>5.5976712967377662E-2</v>
      </c>
    </row>
    <row r="1494" spans="1:14">
      <c r="A1494" t="s">
        <v>241</v>
      </c>
      <c r="B1494" t="str">
        <f>_xlfn.XLOOKUP(A1494,'[1]Tissue Data'!$A:$A,'[1]Tissue Data'!$C:$C)</f>
        <v>Spill</v>
      </c>
      <c r="C1494" s="2">
        <f>_xlfn.XLOOKUP(A1494,'[1]Tissue Data'!$A:$A,'[1]Tissue Data'!$D:$D)</f>
        <v>44314</v>
      </c>
      <c r="D1494" s="2" t="str">
        <f>_xlfn.XLOOKUP(A1494,'[1]Tissue Data'!$A:$A,'[1]Tissue Data'!$F:$F)</f>
        <v>Pumpkinseed</v>
      </c>
      <c r="E1494" t="str">
        <f>_xlfn.XLOOKUP(A1494,'[1]Tissue Data'!$A:$A,'[1]Tissue Data'!$H:$H)</f>
        <v>Lepomis</v>
      </c>
      <c r="F1494" t="str">
        <f>_xlfn.XLOOKUP(A1494,'[1]Tissue Data'!$A:$A,'[1]Tissue Data'!$I:$I)</f>
        <v>gibbosus</v>
      </c>
      <c r="G1494" t="str">
        <f>_xlfn.XLOOKUP(A1494,'[1]Tissue Data'!$A:$A,'[1]Tissue Data'!J:J)</f>
        <v>U</v>
      </c>
      <c r="H1494" t="str">
        <f>_xlfn.XLOOKUP(A1494,'[1]Tissue Data'!$A:$A,'[1]Tissue Data'!K:K)</f>
        <v>Whole Body</v>
      </c>
      <c r="I1494">
        <f>_xlfn.XLOOKUP(A1494,'[1]Tissue Data'!$A:$A,'[1]Tissue Data'!L:L)</f>
        <v>6</v>
      </c>
      <c r="J1494">
        <f>_xlfn.XLOOKUP(A1494,'[1]Tissue Data'!$A:$A,'[1]Tissue Data'!M:M)</f>
        <v>7.5</v>
      </c>
      <c r="K1494" t="s">
        <v>54</v>
      </c>
      <c r="L1494" t="str">
        <f>_xlfn.XLOOKUP(K1494,[2]analyte_order!$B:$B,[2]analyte_order!$C:$C)</f>
        <v>70887-84-2</v>
      </c>
      <c r="M1494">
        <f>_xlfn.XLOOKUP(L1494,[2]analyte_order!$C:$C,[2]analyte_order!$E:$E)</f>
        <v>45</v>
      </c>
      <c r="N1494">
        <v>4.3080909164209535E-2</v>
      </c>
    </row>
    <row r="1495" spans="1:14">
      <c r="A1495" t="s">
        <v>241</v>
      </c>
      <c r="B1495" t="str">
        <f>_xlfn.XLOOKUP(A1495,'[1]Tissue Data'!$A:$A,'[1]Tissue Data'!$C:$C)</f>
        <v>Spill</v>
      </c>
      <c r="C1495" s="2">
        <f>_xlfn.XLOOKUP(A1495,'[1]Tissue Data'!$A:$A,'[1]Tissue Data'!$D:$D)</f>
        <v>44314</v>
      </c>
      <c r="D1495" s="2" t="str">
        <f>_xlfn.XLOOKUP(A1495,'[1]Tissue Data'!$A:$A,'[1]Tissue Data'!$F:$F)</f>
        <v>Pumpkinseed</v>
      </c>
      <c r="E1495" t="str">
        <f>_xlfn.XLOOKUP(A1495,'[1]Tissue Data'!$A:$A,'[1]Tissue Data'!$H:$H)</f>
        <v>Lepomis</v>
      </c>
      <c r="F1495" t="str">
        <f>_xlfn.XLOOKUP(A1495,'[1]Tissue Data'!$A:$A,'[1]Tissue Data'!$I:$I)</f>
        <v>gibbosus</v>
      </c>
      <c r="G1495" t="str">
        <f>_xlfn.XLOOKUP(A1495,'[1]Tissue Data'!$A:$A,'[1]Tissue Data'!J:J)</f>
        <v>U</v>
      </c>
      <c r="H1495" t="str">
        <f>_xlfn.XLOOKUP(A1495,'[1]Tissue Data'!$A:$A,'[1]Tissue Data'!K:K)</f>
        <v>Whole Body</v>
      </c>
      <c r="I1495">
        <f>_xlfn.XLOOKUP(A1495,'[1]Tissue Data'!$A:$A,'[1]Tissue Data'!L:L)</f>
        <v>6</v>
      </c>
      <c r="J1495">
        <f>_xlfn.XLOOKUP(A1495,'[1]Tissue Data'!$A:$A,'[1]Tissue Data'!M:M)</f>
        <v>7.5</v>
      </c>
      <c r="K1495" t="s">
        <v>55</v>
      </c>
      <c r="L1495" t="str">
        <f>_xlfn.XLOOKUP(K1495,[2]analyte_order!$B:$B,[2]analyte_order!$C:$C)</f>
        <v>919005-14-4</v>
      </c>
      <c r="M1495">
        <f>_xlfn.XLOOKUP(L1495,[2]analyte_order!$C:$C,[2]analyte_order!$E:$E)</f>
        <v>35</v>
      </c>
      <c r="N1495">
        <v>7.1290065016539297E-2</v>
      </c>
    </row>
    <row r="1496" spans="1:14">
      <c r="A1496" t="s">
        <v>241</v>
      </c>
      <c r="B1496" t="str">
        <f>_xlfn.XLOOKUP(A1496,'[1]Tissue Data'!$A:$A,'[1]Tissue Data'!$C:$C)</f>
        <v>Spill</v>
      </c>
      <c r="C1496" s="2">
        <f>_xlfn.XLOOKUP(A1496,'[1]Tissue Data'!$A:$A,'[1]Tissue Data'!$D:$D)</f>
        <v>44314</v>
      </c>
      <c r="D1496" s="2" t="str">
        <f>_xlfn.XLOOKUP(A1496,'[1]Tissue Data'!$A:$A,'[1]Tissue Data'!$F:$F)</f>
        <v>Pumpkinseed</v>
      </c>
      <c r="E1496" t="str">
        <f>_xlfn.XLOOKUP(A1496,'[1]Tissue Data'!$A:$A,'[1]Tissue Data'!$H:$H)</f>
        <v>Lepomis</v>
      </c>
      <c r="F1496" t="str">
        <f>_xlfn.XLOOKUP(A1496,'[1]Tissue Data'!$A:$A,'[1]Tissue Data'!$I:$I)</f>
        <v>gibbosus</v>
      </c>
      <c r="G1496" t="str">
        <f>_xlfn.XLOOKUP(A1496,'[1]Tissue Data'!$A:$A,'[1]Tissue Data'!J:J)</f>
        <v>U</v>
      </c>
      <c r="H1496" t="str">
        <f>_xlfn.XLOOKUP(A1496,'[1]Tissue Data'!$A:$A,'[1]Tissue Data'!K:K)</f>
        <v>Whole Body</v>
      </c>
      <c r="I1496">
        <f>_xlfn.XLOOKUP(A1496,'[1]Tissue Data'!$A:$A,'[1]Tissue Data'!L:L)</f>
        <v>6</v>
      </c>
      <c r="J1496">
        <f>_xlfn.XLOOKUP(A1496,'[1]Tissue Data'!$A:$A,'[1]Tissue Data'!M:M)</f>
        <v>7.5</v>
      </c>
      <c r="K1496" t="s">
        <v>56</v>
      </c>
      <c r="L1496" t="str">
        <f>_xlfn.XLOOKUP(K1496,[2]analyte_order!$B:$B,[2]analyte_order!$C:$C)</f>
        <v>756426-58-1</v>
      </c>
      <c r="M1496">
        <f>_xlfn.XLOOKUP(L1496,[2]analyte_order!$C:$C,[2]analyte_order!$E:$E)</f>
        <v>36</v>
      </c>
      <c r="N1496">
        <v>4.9482907438833122E-2</v>
      </c>
    </row>
    <row r="1497" spans="1:14">
      <c r="A1497" t="s">
        <v>241</v>
      </c>
      <c r="B1497" t="str">
        <f>_xlfn.XLOOKUP(A1497,'[1]Tissue Data'!$A:$A,'[1]Tissue Data'!$C:$C)</f>
        <v>Spill</v>
      </c>
      <c r="C1497" s="2">
        <f>_xlfn.XLOOKUP(A1497,'[1]Tissue Data'!$A:$A,'[1]Tissue Data'!$D:$D)</f>
        <v>44314</v>
      </c>
      <c r="D1497" s="2" t="str">
        <f>_xlfn.XLOOKUP(A1497,'[1]Tissue Data'!$A:$A,'[1]Tissue Data'!$F:$F)</f>
        <v>Pumpkinseed</v>
      </c>
      <c r="E1497" t="str">
        <f>_xlfn.XLOOKUP(A1497,'[1]Tissue Data'!$A:$A,'[1]Tissue Data'!$H:$H)</f>
        <v>Lepomis</v>
      </c>
      <c r="F1497" t="str">
        <f>_xlfn.XLOOKUP(A1497,'[1]Tissue Data'!$A:$A,'[1]Tissue Data'!$I:$I)</f>
        <v>gibbosus</v>
      </c>
      <c r="G1497" t="str">
        <f>_xlfn.XLOOKUP(A1497,'[1]Tissue Data'!$A:$A,'[1]Tissue Data'!J:J)</f>
        <v>U</v>
      </c>
      <c r="H1497" t="str">
        <f>_xlfn.XLOOKUP(A1497,'[1]Tissue Data'!$A:$A,'[1]Tissue Data'!K:K)</f>
        <v>Whole Body</v>
      </c>
      <c r="I1497">
        <f>_xlfn.XLOOKUP(A1497,'[1]Tissue Data'!$A:$A,'[1]Tissue Data'!L:L)</f>
        <v>6</v>
      </c>
      <c r="J1497">
        <f>_xlfn.XLOOKUP(A1497,'[1]Tissue Data'!$A:$A,'[1]Tissue Data'!M:M)</f>
        <v>7.5</v>
      </c>
      <c r="K1497" t="s">
        <v>57</v>
      </c>
      <c r="L1497" t="str">
        <f>_xlfn.XLOOKUP(K1497,[2]analyte_order!$B:$B,[2]analyte_order!$C:$C)</f>
        <v>763051-92-9</v>
      </c>
      <c r="M1497">
        <f>_xlfn.XLOOKUP(L1497,[2]analyte_order!$C:$C,[2]analyte_order!$E:$E)</f>
        <v>37</v>
      </c>
      <c r="N1497">
        <v>5.6175897209849439E-2</v>
      </c>
    </row>
    <row r="1498" spans="1:14">
      <c r="A1498" t="s">
        <v>241</v>
      </c>
      <c r="B1498" t="str">
        <f>_xlfn.XLOOKUP(A1498,'[1]Tissue Data'!$A:$A,'[1]Tissue Data'!$C:$C)</f>
        <v>Spill</v>
      </c>
      <c r="C1498" s="2">
        <f>_xlfn.XLOOKUP(A1498,'[1]Tissue Data'!$A:$A,'[1]Tissue Data'!$D:$D)</f>
        <v>44314</v>
      </c>
      <c r="D1498" s="2" t="str">
        <f>_xlfn.XLOOKUP(A1498,'[1]Tissue Data'!$A:$A,'[1]Tissue Data'!$F:$F)</f>
        <v>Pumpkinseed</v>
      </c>
      <c r="E1498" t="str">
        <f>_xlfn.XLOOKUP(A1498,'[1]Tissue Data'!$A:$A,'[1]Tissue Data'!$H:$H)</f>
        <v>Lepomis</v>
      </c>
      <c r="F1498" t="str">
        <f>_xlfn.XLOOKUP(A1498,'[1]Tissue Data'!$A:$A,'[1]Tissue Data'!$I:$I)</f>
        <v>gibbosus</v>
      </c>
      <c r="G1498" t="str">
        <f>_xlfn.XLOOKUP(A1498,'[1]Tissue Data'!$A:$A,'[1]Tissue Data'!J:J)</f>
        <v>U</v>
      </c>
      <c r="H1498" t="str">
        <f>_xlfn.XLOOKUP(A1498,'[1]Tissue Data'!$A:$A,'[1]Tissue Data'!K:K)</f>
        <v>Whole Body</v>
      </c>
      <c r="I1498">
        <f>_xlfn.XLOOKUP(A1498,'[1]Tissue Data'!$A:$A,'[1]Tissue Data'!L:L)</f>
        <v>6</v>
      </c>
      <c r="J1498">
        <f>_xlfn.XLOOKUP(A1498,'[1]Tissue Data'!$A:$A,'[1]Tissue Data'!M:M)</f>
        <v>7.5</v>
      </c>
      <c r="K1498" t="s">
        <v>58</v>
      </c>
      <c r="L1498" t="str">
        <f>_xlfn.XLOOKUP(K1498,[2]analyte_order!$B:$B,[2]analyte_order!$C:$C)</f>
        <v>13252-13-6</v>
      </c>
      <c r="M1498">
        <f>_xlfn.XLOOKUP(L1498,[2]analyte_order!$C:$C,[2]analyte_order!$E:$E)</f>
        <v>34</v>
      </c>
      <c r="N1498">
        <v>0.10230327969730239</v>
      </c>
    </row>
    <row r="1499" spans="1:14">
      <c r="A1499" t="s">
        <v>241</v>
      </c>
      <c r="B1499" t="str">
        <f>_xlfn.XLOOKUP(A1499,'[1]Tissue Data'!$A:$A,'[1]Tissue Data'!$C:$C)</f>
        <v>Spill</v>
      </c>
      <c r="C1499" s="2">
        <f>_xlfn.XLOOKUP(A1499,'[1]Tissue Data'!$A:$A,'[1]Tissue Data'!$D:$D)</f>
        <v>44314</v>
      </c>
      <c r="D1499" s="2" t="str">
        <f>_xlfn.XLOOKUP(A1499,'[1]Tissue Data'!$A:$A,'[1]Tissue Data'!$F:$F)</f>
        <v>Pumpkinseed</v>
      </c>
      <c r="E1499" t="str">
        <f>_xlfn.XLOOKUP(A1499,'[1]Tissue Data'!$A:$A,'[1]Tissue Data'!$H:$H)</f>
        <v>Lepomis</v>
      </c>
      <c r="F1499" t="str">
        <f>_xlfn.XLOOKUP(A1499,'[1]Tissue Data'!$A:$A,'[1]Tissue Data'!$I:$I)</f>
        <v>gibbosus</v>
      </c>
      <c r="G1499" t="str">
        <f>_xlfn.XLOOKUP(A1499,'[1]Tissue Data'!$A:$A,'[1]Tissue Data'!J:J)</f>
        <v>U</v>
      </c>
      <c r="H1499" t="str">
        <f>_xlfn.XLOOKUP(A1499,'[1]Tissue Data'!$A:$A,'[1]Tissue Data'!K:K)</f>
        <v>Whole Body</v>
      </c>
      <c r="I1499">
        <f>_xlfn.XLOOKUP(A1499,'[1]Tissue Data'!$A:$A,'[1]Tissue Data'!L:L)</f>
        <v>6</v>
      </c>
      <c r="J1499">
        <f>_xlfn.XLOOKUP(A1499,'[1]Tissue Data'!$A:$A,'[1]Tissue Data'!M:M)</f>
        <v>7.5</v>
      </c>
      <c r="K1499" t="s">
        <v>59</v>
      </c>
      <c r="L1499" t="str">
        <f>_xlfn.XLOOKUP(K1499,[2]analyte_order!$B:$B,[2]analyte_order!$C:$C)</f>
        <v>57677-95-9</v>
      </c>
      <c r="M1499">
        <f>_xlfn.XLOOKUP(L1499,[2]analyte_order!$C:$C,[2]analyte_order!$E:$E)</f>
        <v>46</v>
      </c>
      <c r="N1499">
        <v>7.5890337021643661E-2</v>
      </c>
    </row>
    <row r="1500" spans="1:14">
      <c r="A1500" t="s">
        <v>241</v>
      </c>
      <c r="B1500" t="str">
        <f>_xlfn.XLOOKUP(A1500,'[1]Tissue Data'!$A:$A,'[1]Tissue Data'!$C:$C)</f>
        <v>Spill</v>
      </c>
      <c r="C1500" s="2">
        <f>_xlfn.XLOOKUP(A1500,'[1]Tissue Data'!$A:$A,'[1]Tissue Data'!$D:$D)</f>
        <v>44314</v>
      </c>
      <c r="D1500" s="2" t="str">
        <f>_xlfn.XLOOKUP(A1500,'[1]Tissue Data'!$A:$A,'[1]Tissue Data'!$F:$F)</f>
        <v>Pumpkinseed</v>
      </c>
      <c r="E1500" t="str">
        <f>_xlfn.XLOOKUP(A1500,'[1]Tissue Data'!$A:$A,'[1]Tissue Data'!$H:$H)</f>
        <v>Lepomis</v>
      </c>
      <c r="F1500" t="str">
        <f>_xlfn.XLOOKUP(A1500,'[1]Tissue Data'!$A:$A,'[1]Tissue Data'!$I:$I)</f>
        <v>gibbosus</v>
      </c>
      <c r="G1500" t="str">
        <f>_xlfn.XLOOKUP(A1500,'[1]Tissue Data'!$A:$A,'[1]Tissue Data'!J:J)</f>
        <v>U</v>
      </c>
      <c r="H1500" t="str">
        <f>_xlfn.XLOOKUP(A1500,'[1]Tissue Data'!$A:$A,'[1]Tissue Data'!K:K)</f>
        <v>Whole Body</v>
      </c>
      <c r="I1500">
        <f>_xlfn.XLOOKUP(A1500,'[1]Tissue Data'!$A:$A,'[1]Tissue Data'!L:L)</f>
        <v>6</v>
      </c>
      <c r="J1500">
        <f>_xlfn.XLOOKUP(A1500,'[1]Tissue Data'!$A:$A,'[1]Tissue Data'!M:M)</f>
        <v>7.5</v>
      </c>
      <c r="K1500" t="s">
        <v>60</v>
      </c>
      <c r="L1500" t="str">
        <f>_xlfn.XLOOKUP(K1500,[2]analyte_order!$B:$B,[2]analyte_order!$C:$C)</f>
        <v>678-41-1</v>
      </c>
      <c r="M1500">
        <f>_xlfn.XLOOKUP(L1500,[2]analyte_order!$C:$C,[2]analyte_order!$E:$E)</f>
        <v>56</v>
      </c>
      <c r="N1500">
        <v>9.4517366795796726E-2</v>
      </c>
    </row>
    <row r="1501" spans="1:14">
      <c r="A1501" t="s">
        <v>241</v>
      </c>
      <c r="B1501" t="str">
        <f>_xlfn.XLOOKUP(A1501,'[1]Tissue Data'!$A:$A,'[1]Tissue Data'!$C:$C)</f>
        <v>Spill</v>
      </c>
      <c r="C1501" s="2">
        <f>_xlfn.XLOOKUP(A1501,'[1]Tissue Data'!$A:$A,'[1]Tissue Data'!$D:$D)</f>
        <v>44314</v>
      </c>
      <c r="D1501" s="2" t="str">
        <f>_xlfn.XLOOKUP(A1501,'[1]Tissue Data'!$A:$A,'[1]Tissue Data'!$F:$F)</f>
        <v>Pumpkinseed</v>
      </c>
      <c r="E1501" t="str">
        <f>_xlfn.XLOOKUP(A1501,'[1]Tissue Data'!$A:$A,'[1]Tissue Data'!$H:$H)</f>
        <v>Lepomis</v>
      </c>
      <c r="F1501" t="str">
        <f>_xlfn.XLOOKUP(A1501,'[1]Tissue Data'!$A:$A,'[1]Tissue Data'!$I:$I)</f>
        <v>gibbosus</v>
      </c>
      <c r="G1501" t="str">
        <f>_xlfn.XLOOKUP(A1501,'[1]Tissue Data'!$A:$A,'[1]Tissue Data'!J:J)</f>
        <v>U</v>
      </c>
      <c r="H1501" t="str">
        <f>_xlfn.XLOOKUP(A1501,'[1]Tissue Data'!$A:$A,'[1]Tissue Data'!K:K)</f>
        <v>Whole Body</v>
      </c>
      <c r="I1501">
        <f>_xlfn.XLOOKUP(A1501,'[1]Tissue Data'!$A:$A,'[1]Tissue Data'!L:L)</f>
        <v>6</v>
      </c>
      <c r="J1501">
        <f>_xlfn.XLOOKUP(A1501,'[1]Tissue Data'!$A:$A,'[1]Tissue Data'!M:M)</f>
        <v>7.5</v>
      </c>
      <c r="K1501" t="s">
        <v>61</v>
      </c>
      <c r="L1501" t="str">
        <f>_xlfn.XLOOKUP(K1501,[2]analyte_order!$B:$B,[2]analyte_order!$C:$C)</f>
        <v>2965-52-8</v>
      </c>
      <c r="M1501">
        <f>_xlfn.XLOOKUP(L1501,[2]analyte_order!$C:$C,[2]analyte_order!$E:$E)</f>
        <v>57</v>
      </c>
      <c r="N1501">
        <v>0.12547051442910914</v>
      </c>
    </row>
    <row r="1502" spans="1:14">
      <c r="A1502" t="s">
        <v>242</v>
      </c>
      <c r="B1502" t="str">
        <f>_xlfn.XLOOKUP(A1502,'[1]Tissue Data'!$A:$A,'[1]Tissue Data'!$C:$C)</f>
        <v>Spill</v>
      </c>
      <c r="C1502" s="2">
        <f>_xlfn.XLOOKUP(A1502,'[1]Tissue Data'!$A:$A,'[1]Tissue Data'!$D:$D)</f>
        <v>44314</v>
      </c>
      <c r="D1502" s="2" t="str">
        <f>_xlfn.XLOOKUP(A1502,'[1]Tissue Data'!$A:$A,'[1]Tissue Data'!$F:$F)</f>
        <v>Pumpkinseed</v>
      </c>
      <c r="E1502" t="str">
        <f>_xlfn.XLOOKUP(A1502,'[1]Tissue Data'!$A:$A,'[1]Tissue Data'!$H:$H)</f>
        <v>Lepomis</v>
      </c>
      <c r="F1502" t="str">
        <f>_xlfn.XLOOKUP(A1502,'[1]Tissue Data'!$A:$A,'[1]Tissue Data'!$I:$I)</f>
        <v>gibbosus</v>
      </c>
      <c r="G1502" t="str">
        <f>_xlfn.XLOOKUP(A1502,'[1]Tissue Data'!$A:$A,'[1]Tissue Data'!J:J)</f>
        <v>U</v>
      </c>
      <c r="H1502" t="str">
        <f>_xlfn.XLOOKUP(A1502,'[1]Tissue Data'!$A:$A,'[1]Tissue Data'!K:K)</f>
        <v>Whole Body</v>
      </c>
      <c r="I1502">
        <f>_xlfn.XLOOKUP(A1502,'[1]Tissue Data'!$A:$A,'[1]Tissue Data'!L:L)</f>
        <v>9.5</v>
      </c>
      <c r="J1502">
        <f>_xlfn.XLOOKUP(A1502,'[1]Tissue Data'!$A:$A,'[1]Tissue Data'!M:M)</f>
        <v>18.3</v>
      </c>
      <c r="K1502" t="s">
        <v>12</v>
      </c>
      <c r="L1502" t="str">
        <f>_xlfn.XLOOKUP(K1502,[2]analyte_order!$B:$B,[2]analyte_order!$C:$C)</f>
        <v>375-22-4</v>
      </c>
      <c r="M1502">
        <f>_xlfn.XLOOKUP(L1502,[2]analyte_order!$C:$C,[2]analyte_order!$E:$E)</f>
        <v>1</v>
      </c>
      <c r="N1502">
        <v>9.9756151629350476E-2</v>
      </c>
    </row>
    <row r="1503" spans="1:14">
      <c r="A1503" t="s">
        <v>242</v>
      </c>
      <c r="B1503" t="str">
        <f>_xlfn.XLOOKUP(A1503,'[1]Tissue Data'!$A:$A,'[1]Tissue Data'!$C:$C)</f>
        <v>Spill</v>
      </c>
      <c r="C1503" s="2">
        <f>_xlfn.XLOOKUP(A1503,'[1]Tissue Data'!$A:$A,'[1]Tissue Data'!$D:$D)</f>
        <v>44314</v>
      </c>
      <c r="D1503" s="2" t="str">
        <f>_xlfn.XLOOKUP(A1503,'[1]Tissue Data'!$A:$A,'[1]Tissue Data'!$F:$F)</f>
        <v>Pumpkinseed</v>
      </c>
      <c r="E1503" t="str">
        <f>_xlfn.XLOOKUP(A1503,'[1]Tissue Data'!$A:$A,'[1]Tissue Data'!$H:$H)</f>
        <v>Lepomis</v>
      </c>
      <c r="F1503" t="str">
        <f>_xlfn.XLOOKUP(A1503,'[1]Tissue Data'!$A:$A,'[1]Tissue Data'!$I:$I)</f>
        <v>gibbosus</v>
      </c>
      <c r="G1503" t="str">
        <f>_xlfn.XLOOKUP(A1503,'[1]Tissue Data'!$A:$A,'[1]Tissue Data'!J:J)</f>
        <v>U</v>
      </c>
      <c r="H1503" t="str">
        <f>_xlfn.XLOOKUP(A1503,'[1]Tissue Data'!$A:$A,'[1]Tissue Data'!K:K)</f>
        <v>Whole Body</v>
      </c>
      <c r="I1503">
        <f>_xlfn.XLOOKUP(A1503,'[1]Tissue Data'!$A:$A,'[1]Tissue Data'!L:L)</f>
        <v>9.5</v>
      </c>
      <c r="J1503">
        <f>_xlfn.XLOOKUP(A1503,'[1]Tissue Data'!$A:$A,'[1]Tissue Data'!M:M)</f>
        <v>18.3</v>
      </c>
      <c r="K1503" t="s">
        <v>13</v>
      </c>
      <c r="L1503" t="str">
        <f>_xlfn.XLOOKUP(K1503,[2]analyte_order!$B:$B,[2]analyte_order!$C:$C)</f>
        <v>2706-90-3</v>
      </c>
      <c r="M1503">
        <f>_xlfn.XLOOKUP(L1503,[2]analyte_order!$C:$C,[2]analyte_order!$E:$E)</f>
        <v>2</v>
      </c>
      <c r="N1503">
        <v>4.901635125E-2</v>
      </c>
    </row>
    <row r="1504" spans="1:14">
      <c r="A1504" t="s">
        <v>242</v>
      </c>
      <c r="B1504" t="str">
        <f>_xlfn.XLOOKUP(A1504,'[1]Tissue Data'!$A:$A,'[1]Tissue Data'!$C:$C)</f>
        <v>Spill</v>
      </c>
      <c r="C1504" s="2">
        <f>_xlfn.XLOOKUP(A1504,'[1]Tissue Data'!$A:$A,'[1]Tissue Data'!$D:$D)</f>
        <v>44314</v>
      </c>
      <c r="D1504" s="2" t="str">
        <f>_xlfn.XLOOKUP(A1504,'[1]Tissue Data'!$A:$A,'[1]Tissue Data'!$F:$F)</f>
        <v>Pumpkinseed</v>
      </c>
      <c r="E1504" t="str">
        <f>_xlfn.XLOOKUP(A1504,'[1]Tissue Data'!$A:$A,'[1]Tissue Data'!$H:$H)</f>
        <v>Lepomis</v>
      </c>
      <c r="F1504" t="str">
        <f>_xlfn.XLOOKUP(A1504,'[1]Tissue Data'!$A:$A,'[1]Tissue Data'!$I:$I)</f>
        <v>gibbosus</v>
      </c>
      <c r="G1504" t="str">
        <f>_xlfn.XLOOKUP(A1504,'[1]Tissue Data'!$A:$A,'[1]Tissue Data'!J:J)</f>
        <v>U</v>
      </c>
      <c r="H1504" t="str">
        <f>_xlfn.XLOOKUP(A1504,'[1]Tissue Data'!$A:$A,'[1]Tissue Data'!K:K)</f>
        <v>Whole Body</v>
      </c>
      <c r="I1504">
        <f>_xlfn.XLOOKUP(A1504,'[1]Tissue Data'!$A:$A,'[1]Tissue Data'!L:L)</f>
        <v>9.5</v>
      </c>
      <c r="J1504">
        <f>_xlfn.XLOOKUP(A1504,'[1]Tissue Data'!$A:$A,'[1]Tissue Data'!M:M)</f>
        <v>18.3</v>
      </c>
      <c r="K1504" t="s">
        <v>14</v>
      </c>
      <c r="L1504" t="str">
        <f>_xlfn.XLOOKUP(K1504,[2]analyte_order!$B:$B,[2]analyte_order!$C:$C)</f>
        <v>307-24-4</v>
      </c>
      <c r="M1504">
        <f>_xlfn.XLOOKUP(L1504,[2]analyte_order!$C:$C,[2]analyte_order!$E:$E)</f>
        <v>3</v>
      </c>
      <c r="N1504">
        <v>0.13459380799085013</v>
      </c>
    </row>
    <row r="1505" spans="1:14">
      <c r="A1505" t="s">
        <v>242</v>
      </c>
      <c r="B1505" t="str">
        <f>_xlfn.XLOOKUP(A1505,'[1]Tissue Data'!$A:$A,'[1]Tissue Data'!$C:$C)</f>
        <v>Spill</v>
      </c>
      <c r="C1505" s="2">
        <f>_xlfn.XLOOKUP(A1505,'[1]Tissue Data'!$A:$A,'[1]Tissue Data'!$D:$D)</f>
        <v>44314</v>
      </c>
      <c r="D1505" s="2" t="str">
        <f>_xlfn.XLOOKUP(A1505,'[1]Tissue Data'!$A:$A,'[1]Tissue Data'!$F:$F)</f>
        <v>Pumpkinseed</v>
      </c>
      <c r="E1505" t="str">
        <f>_xlfn.XLOOKUP(A1505,'[1]Tissue Data'!$A:$A,'[1]Tissue Data'!$H:$H)</f>
        <v>Lepomis</v>
      </c>
      <c r="F1505" t="str">
        <f>_xlfn.XLOOKUP(A1505,'[1]Tissue Data'!$A:$A,'[1]Tissue Data'!$I:$I)</f>
        <v>gibbosus</v>
      </c>
      <c r="G1505" t="str">
        <f>_xlfn.XLOOKUP(A1505,'[1]Tissue Data'!$A:$A,'[1]Tissue Data'!J:J)</f>
        <v>U</v>
      </c>
      <c r="H1505" t="str">
        <f>_xlfn.XLOOKUP(A1505,'[1]Tissue Data'!$A:$A,'[1]Tissue Data'!K:K)</f>
        <v>Whole Body</v>
      </c>
      <c r="I1505">
        <f>_xlfn.XLOOKUP(A1505,'[1]Tissue Data'!$A:$A,'[1]Tissue Data'!L:L)</f>
        <v>9.5</v>
      </c>
      <c r="J1505">
        <f>_xlfn.XLOOKUP(A1505,'[1]Tissue Data'!$A:$A,'[1]Tissue Data'!M:M)</f>
        <v>18.3</v>
      </c>
      <c r="K1505" t="s">
        <v>15</v>
      </c>
      <c r="L1505" t="str">
        <f>_xlfn.XLOOKUP(K1505,[2]analyte_order!$B:$B,[2]analyte_order!$C:$C)</f>
        <v>375-85-9</v>
      </c>
      <c r="M1505">
        <f>_xlfn.XLOOKUP(L1505,[2]analyte_order!$C:$C,[2]analyte_order!$E:$E)</f>
        <v>4</v>
      </c>
      <c r="N1505">
        <v>9.9756151629350476E-2</v>
      </c>
    </row>
    <row r="1506" spans="1:14">
      <c r="A1506" t="s">
        <v>242</v>
      </c>
      <c r="B1506" t="str">
        <f>_xlfn.XLOOKUP(A1506,'[1]Tissue Data'!$A:$A,'[1]Tissue Data'!$C:$C)</f>
        <v>Spill</v>
      </c>
      <c r="C1506" s="2">
        <f>_xlfn.XLOOKUP(A1506,'[1]Tissue Data'!$A:$A,'[1]Tissue Data'!$D:$D)</f>
        <v>44314</v>
      </c>
      <c r="D1506" s="2" t="str">
        <f>_xlfn.XLOOKUP(A1506,'[1]Tissue Data'!$A:$A,'[1]Tissue Data'!$F:$F)</f>
        <v>Pumpkinseed</v>
      </c>
      <c r="E1506" t="str">
        <f>_xlfn.XLOOKUP(A1506,'[1]Tissue Data'!$A:$A,'[1]Tissue Data'!$H:$H)</f>
        <v>Lepomis</v>
      </c>
      <c r="F1506" t="str">
        <f>_xlfn.XLOOKUP(A1506,'[1]Tissue Data'!$A:$A,'[1]Tissue Data'!$I:$I)</f>
        <v>gibbosus</v>
      </c>
      <c r="G1506" t="str">
        <f>_xlfn.XLOOKUP(A1506,'[1]Tissue Data'!$A:$A,'[1]Tissue Data'!J:J)</f>
        <v>U</v>
      </c>
      <c r="H1506" t="str">
        <f>_xlfn.XLOOKUP(A1506,'[1]Tissue Data'!$A:$A,'[1]Tissue Data'!K:K)</f>
        <v>Whole Body</v>
      </c>
      <c r="I1506">
        <f>_xlfn.XLOOKUP(A1506,'[1]Tissue Data'!$A:$A,'[1]Tissue Data'!L:L)</f>
        <v>9.5</v>
      </c>
      <c r="J1506">
        <f>_xlfn.XLOOKUP(A1506,'[1]Tissue Data'!$A:$A,'[1]Tissue Data'!M:M)</f>
        <v>18.3</v>
      </c>
      <c r="K1506" t="s">
        <v>16</v>
      </c>
      <c r="L1506" t="str">
        <f>_xlfn.XLOOKUP(K1506,[2]analyte_order!$B:$B,[2]analyte_order!$C:$C)</f>
        <v>335-67-1</v>
      </c>
      <c r="M1506">
        <f>_xlfn.XLOOKUP(L1506,[2]analyte_order!$C:$C,[2]analyte_order!$E:$E)</f>
        <v>5</v>
      </c>
      <c r="N1506">
        <v>9.9756151629350476E-2</v>
      </c>
    </row>
    <row r="1507" spans="1:14">
      <c r="A1507" t="s">
        <v>242</v>
      </c>
      <c r="B1507" t="str">
        <f>_xlfn.XLOOKUP(A1507,'[1]Tissue Data'!$A:$A,'[1]Tissue Data'!$C:$C)</f>
        <v>Spill</v>
      </c>
      <c r="C1507" s="2">
        <f>_xlfn.XLOOKUP(A1507,'[1]Tissue Data'!$A:$A,'[1]Tissue Data'!$D:$D)</f>
        <v>44314</v>
      </c>
      <c r="D1507" s="2" t="str">
        <f>_xlfn.XLOOKUP(A1507,'[1]Tissue Data'!$A:$A,'[1]Tissue Data'!$F:$F)</f>
        <v>Pumpkinseed</v>
      </c>
      <c r="E1507" t="str">
        <f>_xlfn.XLOOKUP(A1507,'[1]Tissue Data'!$A:$A,'[1]Tissue Data'!$H:$H)</f>
        <v>Lepomis</v>
      </c>
      <c r="F1507" t="str">
        <f>_xlfn.XLOOKUP(A1507,'[1]Tissue Data'!$A:$A,'[1]Tissue Data'!$I:$I)</f>
        <v>gibbosus</v>
      </c>
      <c r="G1507" t="str">
        <f>_xlfn.XLOOKUP(A1507,'[1]Tissue Data'!$A:$A,'[1]Tissue Data'!J:J)</f>
        <v>U</v>
      </c>
      <c r="H1507" t="str">
        <f>_xlfn.XLOOKUP(A1507,'[1]Tissue Data'!$A:$A,'[1]Tissue Data'!K:K)</f>
        <v>Whole Body</v>
      </c>
      <c r="I1507">
        <f>_xlfn.XLOOKUP(A1507,'[1]Tissue Data'!$A:$A,'[1]Tissue Data'!L:L)</f>
        <v>9.5</v>
      </c>
      <c r="J1507">
        <f>_xlfn.XLOOKUP(A1507,'[1]Tissue Data'!$A:$A,'[1]Tissue Data'!M:M)</f>
        <v>18.3</v>
      </c>
      <c r="K1507" t="s">
        <v>17</v>
      </c>
      <c r="L1507" t="str">
        <f>_xlfn.XLOOKUP(K1507,[2]analyte_order!$B:$B,[2]analyte_order!$C:$C)</f>
        <v>375-95-1</v>
      </c>
      <c r="M1507">
        <f>_xlfn.XLOOKUP(L1507,[2]analyte_order!$C:$C,[2]analyte_order!$E:$E)</f>
        <v>6</v>
      </c>
      <c r="N1507">
        <v>0.1725894416865994</v>
      </c>
    </row>
    <row r="1508" spans="1:14">
      <c r="A1508" t="s">
        <v>242</v>
      </c>
      <c r="B1508" t="str">
        <f>_xlfn.XLOOKUP(A1508,'[1]Tissue Data'!$A:$A,'[1]Tissue Data'!$C:$C)</f>
        <v>Spill</v>
      </c>
      <c r="C1508" s="2">
        <f>_xlfn.XLOOKUP(A1508,'[1]Tissue Data'!$A:$A,'[1]Tissue Data'!$D:$D)</f>
        <v>44314</v>
      </c>
      <c r="D1508" s="2" t="str">
        <f>_xlfn.XLOOKUP(A1508,'[1]Tissue Data'!$A:$A,'[1]Tissue Data'!$F:$F)</f>
        <v>Pumpkinseed</v>
      </c>
      <c r="E1508" t="str">
        <f>_xlfn.XLOOKUP(A1508,'[1]Tissue Data'!$A:$A,'[1]Tissue Data'!$H:$H)</f>
        <v>Lepomis</v>
      </c>
      <c r="F1508" t="str">
        <f>_xlfn.XLOOKUP(A1508,'[1]Tissue Data'!$A:$A,'[1]Tissue Data'!$I:$I)</f>
        <v>gibbosus</v>
      </c>
      <c r="G1508" t="str">
        <f>_xlfn.XLOOKUP(A1508,'[1]Tissue Data'!$A:$A,'[1]Tissue Data'!J:J)</f>
        <v>U</v>
      </c>
      <c r="H1508" t="str">
        <f>_xlfn.XLOOKUP(A1508,'[1]Tissue Data'!$A:$A,'[1]Tissue Data'!K:K)</f>
        <v>Whole Body</v>
      </c>
      <c r="I1508">
        <f>_xlfn.XLOOKUP(A1508,'[1]Tissue Data'!$A:$A,'[1]Tissue Data'!L:L)</f>
        <v>9.5</v>
      </c>
      <c r="J1508">
        <f>_xlfn.XLOOKUP(A1508,'[1]Tissue Data'!$A:$A,'[1]Tissue Data'!M:M)</f>
        <v>18.3</v>
      </c>
      <c r="K1508" t="s">
        <v>18</v>
      </c>
      <c r="L1508" t="str">
        <f>_xlfn.XLOOKUP(K1508,[2]analyte_order!$B:$B,[2]analyte_order!$C:$C)</f>
        <v>335-76-2</v>
      </c>
      <c r="M1508">
        <f>_xlfn.XLOOKUP(L1508,[2]analyte_order!$C:$C,[2]analyte_order!$E:$E)</f>
        <v>7</v>
      </c>
      <c r="N1508">
        <v>1.44</v>
      </c>
    </row>
    <row r="1509" spans="1:14">
      <c r="A1509" t="s">
        <v>242</v>
      </c>
      <c r="B1509" t="str">
        <f>_xlfn.XLOOKUP(A1509,'[1]Tissue Data'!$A:$A,'[1]Tissue Data'!$C:$C)</f>
        <v>Spill</v>
      </c>
      <c r="C1509" s="2">
        <f>_xlfn.XLOOKUP(A1509,'[1]Tissue Data'!$A:$A,'[1]Tissue Data'!$D:$D)</f>
        <v>44314</v>
      </c>
      <c r="D1509" s="2" t="str">
        <f>_xlfn.XLOOKUP(A1509,'[1]Tissue Data'!$A:$A,'[1]Tissue Data'!$F:$F)</f>
        <v>Pumpkinseed</v>
      </c>
      <c r="E1509" t="str">
        <f>_xlfn.XLOOKUP(A1509,'[1]Tissue Data'!$A:$A,'[1]Tissue Data'!$H:$H)</f>
        <v>Lepomis</v>
      </c>
      <c r="F1509" t="str">
        <f>_xlfn.XLOOKUP(A1509,'[1]Tissue Data'!$A:$A,'[1]Tissue Data'!$I:$I)</f>
        <v>gibbosus</v>
      </c>
      <c r="G1509" t="str">
        <f>_xlfn.XLOOKUP(A1509,'[1]Tissue Data'!$A:$A,'[1]Tissue Data'!J:J)</f>
        <v>U</v>
      </c>
      <c r="H1509" t="str">
        <f>_xlfn.XLOOKUP(A1509,'[1]Tissue Data'!$A:$A,'[1]Tissue Data'!K:K)</f>
        <v>Whole Body</v>
      </c>
      <c r="I1509">
        <f>_xlfn.XLOOKUP(A1509,'[1]Tissue Data'!$A:$A,'[1]Tissue Data'!L:L)</f>
        <v>9.5</v>
      </c>
      <c r="J1509">
        <f>_xlfn.XLOOKUP(A1509,'[1]Tissue Data'!$A:$A,'[1]Tissue Data'!M:M)</f>
        <v>18.3</v>
      </c>
      <c r="K1509" t="s">
        <v>19</v>
      </c>
      <c r="L1509" t="str">
        <f>_xlfn.XLOOKUP(K1509,[2]analyte_order!$B:$B,[2]analyte_order!$C:$C)</f>
        <v>2058-94-8</v>
      </c>
      <c r="M1509">
        <f>_xlfn.XLOOKUP(L1509,[2]analyte_order!$C:$C,[2]analyte_order!$E:$E)</f>
        <v>8</v>
      </c>
      <c r="N1509">
        <v>3.11</v>
      </c>
    </row>
    <row r="1510" spans="1:14">
      <c r="A1510" t="s">
        <v>242</v>
      </c>
      <c r="B1510" t="str">
        <f>_xlfn.XLOOKUP(A1510,'[1]Tissue Data'!$A:$A,'[1]Tissue Data'!$C:$C)</f>
        <v>Spill</v>
      </c>
      <c r="C1510" s="2">
        <f>_xlfn.XLOOKUP(A1510,'[1]Tissue Data'!$A:$A,'[1]Tissue Data'!$D:$D)</f>
        <v>44314</v>
      </c>
      <c r="D1510" s="2" t="str">
        <f>_xlfn.XLOOKUP(A1510,'[1]Tissue Data'!$A:$A,'[1]Tissue Data'!$F:$F)</f>
        <v>Pumpkinseed</v>
      </c>
      <c r="E1510" t="str">
        <f>_xlfn.XLOOKUP(A1510,'[1]Tissue Data'!$A:$A,'[1]Tissue Data'!$H:$H)</f>
        <v>Lepomis</v>
      </c>
      <c r="F1510" t="str">
        <f>_xlfn.XLOOKUP(A1510,'[1]Tissue Data'!$A:$A,'[1]Tissue Data'!$I:$I)</f>
        <v>gibbosus</v>
      </c>
      <c r="G1510" t="str">
        <f>_xlfn.XLOOKUP(A1510,'[1]Tissue Data'!$A:$A,'[1]Tissue Data'!J:J)</f>
        <v>U</v>
      </c>
      <c r="H1510" t="str">
        <f>_xlfn.XLOOKUP(A1510,'[1]Tissue Data'!$A:$A,'[1]Tissue Data'!K:K)</f>
        <v>Whole Body</v>
      </c>
      <c r="I1510">
        <f>_xlfn.XLOOKUP(A1510,'[1]Tissue Data'!$A:$A,'[1]Tissue Data'!L:L)</f>
        <v>9.5</v>
      </c>
      <c r="J1510">
        <f>_xlfn.XLOOKUP(A1510,'[1]Tissue Data'!$A:$A,'[1]Tissue Data'!M:M)</f>
        <v>18.3</v>
      </c>
      <c r="K1510" t="s">
        <v>20</v>
      </c>
      <c r="L1510" t="str">
        <f>_xlfn.XLOOKUP(K1510,[2]analyte_order!$B:$B,[2]analyte_order!$C:$C)</f>
        <v>307-55-1</v>
      </c>
      <c r="M1510">
        <f>_xlfn.XLOOKUP(L1510,[2]analyte_order!$C:$C,[2]analyte_order!$E:$E)</f>
        <v>9</v>
      </c>
      <c r="N1510">
        <v>50.9</v>
      </c>
    </row>
    <row r="1511" spans="1:14">
      <c r="A1511" t="s">
        <v>242</v>
      </c>
      <c r="B1511" t="str">
        <f>_xlfn.XLOOKUP(A1511,'[1]Tissue Data'!$A:$A,'[1]Tissue Data'!$C:$C)</f>
        <v>Spill</v>
      </c>
      <c r="C1511" s="2">
        <f>_xlfn.XLOOKUP(A1511,'[1]Tissue Data'!$A:$A,'[1]Tissue Data'!$D:$D)</f>
        <v>44314</v>
      </c>
      <c r="D1511" s="2" t="str">
        <f>_xlfn.XLOOKUP(A1511,'[1]Tissue Data'!$A:$A,'[1]Tissue Data'!$F:$F)</f>
        <v>Pumpkinseed</v>
      </c>
      <c r="E1511" t="str">
        <f>_xlfn.XLOOKUP(A1511,'[1]Tissue Data'!$A:$A,'[1]Tissue Data'!$H:$H)</f>
        <v>Lepomis</v>
      </c>
      <c r="F1511" t="str">
        <f>_xlfn.XLOOKUP(A1511,'[1]Tissue Data'!$A:$A,'[1]Tissue Data'!$I:$I)</f>
        <v>gibbosus</v>
      </c>
      <c r="G1511" t="str">
        <f>_xlfn.XLOOKUP(A1511,'[1]Tissue Data'!$A:$A,'[1]Tissue Data'!J:J)</f>
        <v>U</v>
      </c>
      <c r="H1511" t="str">
        <f>_xlfn.XLOOKUP(A1511,'[1]Tissue Data'!$A:$A,'[1]Tissue Data'!K:K)</f>
        <v>Whole Body</v>
      </c>
      <c r="I1511">
        <f>_xlfn.XLOOKUP(A1511,'[1]Tissue Data'!$A:$A,'[1]Tissue Data'!L:L)</f>
        <v>9.5</v>
      </c>
      <c r="J1511">
        <f>_xlfn.XLOOKUP(A1511,'[1]Tissue Data'!$A:$A,'[1]Tissue Data'!M:M)</f>
        <v>18.3</v>
      </c>
      <c r="K1511" t="s">
        <v>21</v>
      </c>
      <c r="L1511" t="str">
        <f>_xlfn.XLOOKUP(K1511,[2]analyte_order!$B:$B,[2]analyte_order!$C:$C)</f>
        <v>72629-94-8</v>
      </c>
      <c r="M1511">
        <f>_xlfn.XLOOKUP(L1511,[2]analyte_order!$C:$C,[2]analyte_order!$E:$E)</f>
        <v>10</v>
      </c>
      <c r="N1511">
        <v>3.17</v>
      </c>
    </row>
    <row r="1512" spans="1:14">
      <c r="A1512" t="s">
        <v>242</v>
      </c>
      <c r="B1512" t="str">
        <f>_xlfn.XLOOKUP(A1512,'[1]Tissue Data'!$A:$A,'[1]Tissue Data'!$C:$C)</f>
        <v>Spill</v>
      </c>
      <c r="C1512" s="2">
        <f>_xlfn.XLOOKUP(A1512,'[1]Tissue Data'!$A:$A,'[1]Tissue Data'!$D:$D)</f>
        <v>44314</v>
      </c>
      <c r="D1512" s="2" t="str">
        <f>_xlfn.XLOOKUP(A1512,'[1]Tissue Data'!$A:$A,'[1]Tissue Data'!$F:$F)</f>
        <v>Pumpkinseed</v>
      </c>
      <c r="E1512" t="str">
        <f>_xlfn.XLOOKUP(A1512,'[1]Tissue Data'!$A:$A,'[1]Tissue Data'!$H:$H)</f>
        <v>Lepomis</v>
      </c>
      <c r="F1512" t="str">
        <f>_xlfn.XLOOKUP(A1512,'[1]Tissue Data'!$A:$A,'[1]Tissue Data'!$I:$I)</f>
        <v>gibbosus</v>
      </c>
      <c r="G1512" t="str">
        <f>_xlfn.XLOOKUP(A1512,'[1]Tissue Data'!$A:$A,'[1]Tissue Data'!J:J)</f>
        <v>U</v>
      </c>
      <c r="H1512" t="str">
        <f>_xlfn.XLOOKUP(A1512,'[1]Tissue Data'!$A:$A,'[1]Tissue Data'!K:K)</f>
        <v>Whole Body</v>
      </c>
      <c r="I1512">
        <f>_xlfn.XLOOKUP(A1512,'[1]Tissue Data'!$A:$A,'[1]Tissue Data'!L:L)</f>
        <v>9.5</v>
      </c>
      <c r="J1512">
        <f>_xlfn.XLOOKUP(A1512,'[1]Tissue Data'!$A:$A,'[1]Tissue Data'!M:M)</f>
        <v>18.3</v>
      </c>
      <c r="K1512" t="s">
        <v>22</v>
      </c>
      <c r="L1512" t="str">
        <f>_xlfn.XLOOKUP(K1512,[2]analyte_order!$B:$B,[2]analyte_order!$C:$C)</f>
        <v>376-06-7</v>
      </c>
      <c r="M1512">
        <f>_xlfn.XLOOKUP(L1512,[2]analyte_order!$C:$C,[2]analyte_order!$E:$E)</f>
        <v>11</v>
      </c>
      <c r="N1512">
        <v>8.94</v>
      </c>
    </row>
    <row r="1513" spans="1:14">
      <c r="A1513" t="s">
        <v>242</v>
      </c>
      <c r="B1513" t="str">
        <f>_xlfn.XLOOKUP(A1513,'[1]Tissue Data'!$A:$A,'[1]Tissue Data'!$C:$C)</f>
        <v>Spill</v>
      </c>
      <c r="C1513" s="2">
        <f>_xlfn.XLOOKUP(A1513,'[1]Tissue Data'!$A:$A,'[1]Tissue Data'!$D:$D)</f>
        <v>44314</v>
      </c>
      <c r="D1513" s="2" t="str">
        <f>_xlfn.XLOOKUP(A1513,'[1]Tissue Data'!$A:$A,'[1]Tissue Data'!$F:$F)</f>
        <v>Pumpkinseed</v>
      </c>
      <c r="E1513" t="str">
        <f>_xlfn.XLOOKUP(A1513,'[1]Tissue Data'!$A:$A,'[1]Tissue Data'!$H:$H)</f>
        <v>Lepomis</v>
      </c>
      <c r="F1513" t="str">
        <f>_xlfn.XLOOKUP(A1513,'[1]Tissue Data'!$A:$A,'[1]Tissue Data'!$I:$I)</f>
        <v>gibbosus</v>
      </c>
      <c r="G1513" t="str">
        <f>_xlfn.XLOOKUP(A1513,'[1]Tissue Data'!$A:$A,'[1]Tissue Data'!J:J)</f>
        <v>U</v>
      </c>
      <c r="H1513" t="str">
        <f>_xlfn.XLOOKUP(A1513,'[1]Tissue Data'!$A:$A,'[1]Tissue Data'!K:K)</f>
        <v>Whole Body</v>
      </c>
      <c r="I1513">
        <f>_xlfn.XLOOKUP(A1513,'[1]Tissue Data'!$A:$A,'[1]Tissue Data'!L:L)</f>
        <v>9.5</v>
      </c>
      <c r="J1513">
        <f>_xlfn.XLOOKUP(A1513,'[1]Tissue Data'!$A:$A,'[1]Tissue Data'!M:M)</f>
        <v>18.3</v>
      </c>
      <c r="K1513" t="s">
        <v>23</v>
      </c>
      <c r="L1513" t="str">
        <f>_xlfn.XLOOKUP(K1513,[2]analyte_order!$B:$B,[2]analyte_order!$C:$C)</f>
        <v>67905-19-5</v>
      </c>
      <c r="M1513">
        <f>_xlfn.XLOOKUP(L1513,[2]analyte_order!$C:$C,[2]analyte_order!$E:$E)</f>
        <v>12</v>
      </c>
      <c r="N1513">
        <v>8.2681217500000001E-2</v>
      </c>
    </row>
    <row r="1514" spans="1:14">
      <c r="A1514" t="s">
        <v>242</v>
      </c>
      <c r="B1514" t="str">
        <f>_xlfn.XLOOKUP(A1514,'[1]Tissue Data'!$A:$A,'[1]Tissue Data'!$C:$C)</f>
        <v>Spill</v>
      </c>
      <c r="C1514" s="2">
        <f>_xlfn.XLOOKUP(A1514,'[1]Tissue Data'!$A:$A,'[1]Tissue Data'!$D:$D)</f>
        <v>44314</v>
      </c>
      <c r="D1514" s="2" t="str">
        <f>_xlfn.XLOOKUP(A1514,'[1]Tissue Data'!$A:$A,'[1]Tissue Data'!$F:$F)</f>
        <v>Pumpkinseed</v>
      </c>
      <c r="E1514" t="str">
        <f>_xlfn.XLOOKUP(A1514,'[1]Tissue Data'!$A:$A,'[1]Tissue Data'!$H:$H)</f>
        <v>Lepomis</v>
      </c>
      <c r="F1514" t="str">
        <f>_xlfn.XLOOKUP(A1514,'[1]Tissue Data'!$A:$A,'[1]Tissue Data'!$I:$I)</f>
        <v>gibbosus</v>
      </c>
      <c r="G1514" t="str">
        <f>_xlfn.XLOOKUP(A1514,'[1]Tissue Data'!$A:$A,'[1]Tissue Data'!J:J)</f>
        <v>U</v>
      </c>
      <c r="H1514" t="str">
        <f>_xlfn.XLOOKUP(A1514,'[1]Tissue Data'!$A:$A,'[1]Tissue Data'!K:K)</f>
        <v>Whole Body</v>
      </c>
      <c r="I1514">
        <f>_xlfn.XLOOKUP(A1514,'[1]Tissue Data'!$A:$A,'[1]Tissue Data'!L:L)</f>
        <v>9.5</v>
      </c>
      <c r="J1514">
        <f>_xlfn.XLOOKUP(A1514,'[1]Tissue Data'!$A:$A,'[1]Tissue Data'!M:M)</f>
        <v>18.3</v>
      </c>
      <c r="K1514" t="s">
        <v>24</v>
      </c>
      <c r="L1514" t="str">
        <f>_xlfn.XLOOKUP(K1514,[2]analyte_order!$B:$B,[2]analyte_order!$C:$C)</f>
        <v>423-41-6</v>
      </c>
      <c r="M1514">
        <f>_xlfn.XLOOKUP(L1514,[2]analyte_order!$C:$C,[2]analyte_order!$E:$E)</f>
        <v>53</v>
      </c>
      <c r="N1514">
        <v>5.2929933750000005E-2</v>
      </c>
    </row>
    <row r="1515" spans="1:14">
      <c r="A1515" t="s">
        <v>242</v>
      </c>
      <c r="B1515" t="str">
        <f>_xlfn.XLOOKUP(A1515,'[1]Tissue Data'!$A:$A,'[1]Tissue Data'!$C:$C)</f>
        <v>Spill</v>
      </c>
      <c r="C1515" s="2">
        <f>_xlfn.XLOOKUP(A1515,'[1]Tissue Data'!$A:$A,'[1]Tissue Data'!$D:$D)</f>
        <v>44314</v>
      </c>
      <c r="D1515" s="2" t="str">
        <f>_xlfn.XLOOKUP(A1515,'[1]Tissue Data'!$A:$A,'[1]Tissue Data'!$F:$F)</f>
        <v>Pumpkinseed</v>
      </c>
      <c r="E1515" t="str">
        <f>_xlfn.XLOOKUP(A1515,'[1]Tissue Data'!$A:$A,'[1]Tissue Data'!$H:$H)</f>
        <v>Lepomis</v>
      </c>
      <c r="F1515" t="str">
        <f>_xlfn.XLOOKUP(A1515,'[1]Tissue Data'!$A:$A,'[1]Tissue Data'!$I:$I)</f>
        <v>gibbosus</v>
      </c>
      <c r="G1515" t="str">
        <f>_xlfn.XLOOKUP(A1515,'[1]Tissue Data'!$A:$A,'[1]Tissue Data'!J:J)</f>
        <v>U</v>
      </c>
      <c r="H1515" t="str">
        <f>_xlfn.XLOOKUP(A1515,'[1]Tissue Data'!$A:$A,'[1]Tissue Data'!K:K)</f>
        <v>Whole Body</v>
      </c>
      <c r="I1515">
        <f>_xlfn.XLOOKUP(A1515,'[1]Tissue Data'!$A:$A,'[1]Tissue Data'!L:L)</f>
        <v>9.5</v>
      </c>
      <c r="J1515">
        <f>_xlfn.XLOOKUP(A1515,'[1]Tissue Data'!$A:$A,'[1]Tissue Data'!M:M)</f>
        <v>18.3</v>
      </c>
      <c r="K1515" t="s">
        <v>25</v>
      </c>
      <c r="L1515" t="str">
        <f>_xlfn.XLOOKUP(K1515,[2]analyte_order!$B:$B,[2]analyte_order!$C:$C)</f>
        <v>375-73-5</v>
      </c>
      <c r="M1515">
        <f>_xlfn.XLOOKUP(L1515,[2]analyte_order!$C:$C,[2]analyte_order!$E:$E)</f>
        <v>14</v>
      </c>
      <c r="N1515">
        <v>0.16973741616354465</v>
      </c>
    </row>
    <row r="1516" spans="1:14">
      <c r="A1516" t="s">
        <v>242</v>
      </c>
      <c r="B1516" t="str">
        <f>_xlfn.XLOOKUP(A1516,'[1]Tissue Data'!$A:$A,'[1]Tissue Data'!$C:$C)</f>
        <v>Spill</v>
      </c>
      <c r="C1516" s="2">
        <f>_xlfn.XLOOKUP(A1516,'[1]Tissue Data'!$A:$A,'[1]Tissue Data'!$D:$D)</f>
        <v>44314</v>
      </c>
      <c r="D1516" s="2" t="str">
        <f>_xlfn.XLOOKUP(A1516,'[1]Tissue Data'!$A:$A,'[1]Tissue Data'!$F:$F)</f>
        <v>Pumpkinseed</v>
      </c>
      <c r="E1516" t="str">
        <f>_xlfn.XLOOKUP(A1516,'[1]Tissue Data'!$A:$A,'[1]Tissue Data'!$H:$H)</f>
        <v>Lepomis</v>
      </c>
      <c r="F1516" t="str">
        <f>_xlfn.XLOOKUP(A1516,'[1]Tissue Data'!$A:$A,'[1]Tissue Data'!$I:$I)</f>
        <v>gibbosus</v>
      </c>
      <c r="G1516" t="str">
        <f>_xlfn.XLOOKUP(A1516,'[1]Tissue Data'!$A:$A,'[1]Tissue Data'!J:J)</f>
        <v>U</v>
      </c>
      <c r="H1516" t="str">
        <f>_xlfn.XLOOKUP(A1516,'[1]Tissue Data'!$A:$A,'[1]Tissue Data'!K:K)</f>
        <v>Whole Body</v>
      </c>
      <c r="I1516">
        <f>_xlfn.XLOOKUP(A1516,'[1]Tissue Data'!$A:$A,'[1]Tissue Data'!L:L)</f>
        <v>9.5</v>
      </c>
      <c r="J1516">
        <f>_xlfn.XLOOKUP(A1516,'[1]Tissue Data'!$A:$A,'[1]Tissue Data'!M:M)</f>
        <v>18.3</v>
      </c>
      <c r="K1516" t="s">
        <v>26</v>
      </c>
      <c r="L1516" t="str">
        <f>_xlfn.XLOOKUP(K1516,[2]analyte_order!$B:$B,[2]analyte_order!$C:$C)</f>
        <v>2706-91-4</v>
      </c>
      <c r="M1516">
        <f>_xlfn.XLOOKUP(L1516,[2]analyte_order!$C:$C,[2]analyte_order!$E:$E)</f>
        <v>15</v>
      </c>
      <c r="N1516">
        <v>0.13206341260504323</v>
      </c>
    </row>
    <row r="1517" spans="1:14">
      <c r="A1517" t="s">
        <v>242</v>
      </c>
      <c r="B1517" t="str">
        <f>_xlfn.XLOOKUP(A1517,'[1]Tissue Data'!$A:$A,'[1]Tissue Data'!$C:$C)</f>
        <v>Spill</v>
      </c>
      <c r="C1517" s="2">
        <f>_xlfn.XLOOKUP(A1517,'[1]Tissue Data'!$A:$A,'[1]Tissue Data'!$D:$D)</f>
        <v>44314</v>
      </c>
      <c r="D1517" s="2" t="str">
        <f>_xlfn.XLOOKUP(A1517,'[1]Tissue Data'!$A:$A,'[1]Tissue Data'!$F:$F)</f>
        <v>Pumpkinseed</v>
      </c>
      <c r="E1517" t="str">
        <f>_xlfn.XLOOKUP(A1517,'[1]Tissue Data'!$A:$A,'[1]Tissue Data'!$H:$H)</f>
        <v>Lepomis</v>
      </c>
      <c r="F1517" t="str">
        <f>_xlfn.XLOOKUP(A1517,'[1]Tissue Data'!$A:$A,'[1]Tissue Data'!$I:$I)</f>
        <v>gibbosus</v>
      </c>
      <c r="G1517" t="str">
        <f>_xlfn.XLOOKUP(A1517,'[1]Tissue Data'!$A:$A,'[1]Tissue Data'!J:J)</f>
        <v>U</v>
      </c>
      <c r="H1517" t="str">
        <f>_xlfn.XLOOKUP(A1517,'[1]Tissue Data'!$A:$A,'[1]Tissue Data'!K:K)</f>
        <v>Whole Body</v>
      </c>
      <c r="I1517">
        <f>_xlfn.XLOOKUP(A1517,'[1]Tissue Data'!$A:$A,'[1]Tissue Data'!L:L)</f>
        <v>9.5</v>
      </c>
      <c r="J1517">
        <f>_xlfn.XLOOKUP(A1517,'[1]Tissue Data'!$A:$A,'[1]Tissue Data'!M:M)</f>
        <v>18.3</v>
      </c>
      <c r="K1517" t="s">
        <v>27</v>
      </c>
      <c r="L1517" t="str">
        <f>_xlfn.XLOOKUP(K1517,[2]analyte_order!$B:$B,[2]analyte_order!$C:$C)</f>
        <v>355-46-4</v>
      </c>
      <c r="M1517">
        <f>_xlfn.XLOOKUP(L1517,[2]analyte_order!$C:$C,[2]analyte_order!$E:$E)</f>
        <v>16</v>
      </c>
      <c r="N1517">
        <v>7.02</v>
      </c>
    </row>
    <row r="1518" spans="1:14">
      <c r="A1518" t="s">
        <v>242</v>
      </c>
      <c r="B1518" t="str">
        <f>_xlfn.XLOOKUP(A1518,'[1]Tissue Data'!$A:$A,'[1]Tissue Data'!$C:$C)</f>
        <v>Spill</v>
      </c>
      <c r="C1518" s="2">
        <f>_xlfn.XLOOKUP(A1518,'[1]Tissue Data'!$A:$A,'[1]Tissue Data'!$D:$D)</f>
        <v>44314</v>
      </c>
      <c r="D1518" s="2" t="str">
        <f>_xlfn.XLOOKUP(A1518,'[1]Tissue Data'!$A:$A,'[1]Tissue Data'!$F:$F)</f>
        <v>Pumpkinseed</v>
      </c>
      <c r="E1518" t="str">
        <f>_xlfn.XLOOKUP(A1518,'[1]Tissue Data'!$A:$A,'[1]Tissue Data'!$H:$H)</f>
        <v>Lepomis</v>
      </c>
      <c r="F1518" t="str">
        <f>_xlfn.XLOOKUP(A1518,'[1]Tissue Data'!$A:$A,'[1]Tissue Data'!$I:$I)</f>
        <v>gibbosus</v>
      </c>
      <c r="G1518" t="str">
        <f>_xlfn.XLOOKUP(A1518,'[1]Tissue Data'!$A:$A,'[1]Tissue Data'!J:J)</f>
        <v>U</v>
      </c>
      <c r="H1518" t="str">
        <f>_xlfn.XLOOKUP(A1518,'[1]Tissue Data'!$A:$A,'[1]Tissue Data'!K:K)</f>
        <v>Whole Body</v>
      </c>
      <c r="I1518">
        <f>_xlfn.XLOOKUP(A1518,'[1]Tissue Data'!$A:$A,'[1]Tissue Data'!L:L)</f>
        <v>9.5</v>
      </c>
      <c r="J1518">
        <f>_xlfn.XLOOKUP(A1518,'[1]Tissue Data'!$A:$A,'[1]Tissue Data'!M:M)</f>
        <v>18.3</v>
      </c>
      <c r="K1518" t="s">
        <v>28</v>
      </c>
      <c r="L1518" t="str">
        <f>_xlfn.XLOOKUP(K1518,[2]analyte_order!$B:$B,[2]analyte_order!$C:$C)</f>
        <v>375-92-8</v>
      </c>
      <c r="M1518">
        <f>_xlfn.XLOOKUP(L1518,[2]analyte_order!$C:$C,[2]analyte_order!$E:$E)</f>
        <v>17</v>
      </c>
      <c r="N1518">
        <v>0.24939037907337619</v>
      </c>
    </row>
    <row r="1519" spans="1:14">
      <c r="A1519" t="s">
        <v>242</v>
      </c>
      <c r="B1519" t="str">
        <f>_xlfn.XLOOKUP(A1519,'[1]Tissue Data'!$A:$A,'[1]Tissue Data'!$C:$C)</f>
        <v>Spill</v>
      </c>
      <c r="C1519" s="2">
        <f>_xlfn.XLOOKUP(A1519,'[1]Tissue Data'!$A:$A,'[1]Tissue Data'!$D:$D)</f>
        <v>44314</v>
      </c>
      <c r="D1519" s="2" t="str">
        <f>_xlfn.XLOOKUP(A1519,'[1]Tissue Data'!$A:$A,'[1]Tissue Data'!$F:$F)</f>
        <v>Pumpkinseed</v>
      </c>
      <c r="E1519" t="str">
        <f>_xlfn.XLOOKUP(A1519,'[1]Tissue Data'!$A:$A,'[1]Tissue Data'!$H:$H)</f>
        <v>Lepomis</v>
      </c>
      <c r="F1519" t="str">
        <f>_xlfn.XLOOKUP(A1519,'[1]Tissue Data'!$A:$A,'[1]Tissue Data'!$I:$I)</f>
        <v>gibbosus</v>
      </c>
      <c r="G1519" t="str">
        <f>_xlfn.XLOOKUP(A1519,'[1]Tissue Data'!$A:$A,'[1]Tissue Data'!J:J)</f>
        <v>U</v>
      </c>
      <c r="H1519" t="str">
        <f>_xlfn.XLOOKUP(A1519,'[1]Tissue Data'!$A:$A,'[1]Tissue Data'!K:K)</f>
        <v>Whole Body</v>
      </c>
      <c r="I1519">
        <f>_xlfn.XLOOKUP(A1519,'[1]Tissue Data'!$A:$A,'[1]Tissue Data'!L:L)</f>
        <v>9.5</v>
      </c>
      <c r="J1519">
        <f>_xlfn.XLOOKUP(A1519,'[1]Tissue Data'!$A:$A,'[1]Tissue Data'!M:M)</f>
        <v>18.3</v>
      </c>
      <c r="K1519" t="s">
        <v>29</v>
      </c>
      <c r="L1519" t="str">
        <f>_xlfn.XLOOKUP(K1519,[2]analyte_order!$B:$B,[2]analyte_order!$C:$C)</f>
        <v>1763-23-1</v>
      </c>
      <c r="M1519">
        <f>_xlfn.XLOOKUP(L1519,[2]analyte_order!$C:$C,[2]analyte_order!$E:$E)</f>
        <v>18</v>
      </c>
      <c r="N1519">
        <v>334</v>
      </c>
    </row>
    <row r="1520" spans="1:14">
      <c r="A1520" t="s">
        <v>242</v>
      </c>
      <c r="B1520" t="str">
        <f>_xlfn.XLOOKUP(A1520,'[1]Tissue Data'!$A:$A,'[1]Tissue Data'!$C:$C)</f>
        <v>Spill</v>
      </c>
      <c r="C1520" s="2">
        <f>_xlfn.XLOOKUP(A1520,'[1]Tissue Data'!$A:$A,'[1]Tissue Data'!$D:$D)</f>
        <v>44314</v>
      </c>
      <c r="D1520" s="2" t="str">
        <f>_xlfn.XLOOKUP(A1520,'[1]Tissue Data'!$A:$A,'[1]Tissue Data'!$F:$F)</f>
        <v>Pumpkinseed</v>
      </c>
      <c r="E1520" t="str">
        <f>_xlfn.XLOOKUP(A1520,'[1]Tissue Data'!$A:$A,'[1]Tissue Data'!$H:$H)</f>
        <v>Lepomis</v>
      </c>
      <c r="F1520" t="str">
        <f>_xlfn.XLOOKUP(A1520,'[1]Tissue Data'!$A:$A,'[1]Tissue Data'!$I:$I)</f>
        <v>gibbosus</v>
      </c>
      <c r="G1520" t="str">
        <f>_xlfn.XLOOKUP(A1520,'[1]Tissue Data'!$A:$A,'[1]Tissue Data'!J:J)</f>
        <v>U</v>
      </c>
      <c r="H1520" t="str">
        <f>_xlfn.XLOOKUP(A1520,'[1]Tissue Data'!$A:$A,'[1]Tissue Data'!K:K)</f>
        <v>Whole Body</v>
      </c>
      <c r="I1520">
        <f>_xlfn.XLOOKUP(A1520,'[1]Tissue Data'!$A:$A,'[1]Tissue Data'!L:L)</f>
        <v>9.5</v>
      </c>
      <c r="J1520">
        <f>_xlfn.XLOOKUP(A1520,'[1]Tissue Data'!$A:$A,'[1]Tissue Data'!M:M)</f>
        <v>18.3</v>
      </c>
      <c r="K1520" t="s">
        <v>30</v>
      </c>
      <c r="L1520" t="str">
        <f>_xlfn.XLOOKUP(K1520,[2]analyte_order!$B:$B,[2]analyte_order!$C:$C)</f>
        <v>68259-12-1</v>
      </c>
      <c r="M1520">
        <f>_xlfn.XLOOKUP(L1520,[2]analyte_order!$C:$C,[2]analyte_order!$E:$E)</f>
        <v>19</v>
      </c>
      <c r="N1520">
        <v>0.14216012163933717</v>
      </c>
    </row>
    <row r="1521" spans="1:14">
      <c r="A1521" t="s">
        <v>242</v>
      </c>
      <c r="B1521" t="str">
        <f>_xlfn.XLOOKUP(A1521,'[1]Tissue Data'!$A:$A,'[1]Tissue Data'!$C:$C)</f>
        <v>Spill</v>
      </c>
      <c r="C1521" s="2">
        <f>_xlfn.XLOOKUP(A1521,'[1]Tissue Data'!$A:$A,'[1]Tissue Data'!$D:$D)</f>
        <v>44314</v>
      </c>
      <c r="D1521" s="2" t="str">
        <f>_xlfn.XLOOKUP(A1521,'[1]Tissue Data'!$A:$A,'[1]Tissue Data'!$F:$F)</f>
        <v>Pumpkinseed</v>
      </c>
      <c r="E1521" t="str">
        <f>_xlfn.XLOOKUP(A1521,'[1]Tissue Data'!$A:$A,'[1]Tissue Data'!$H:$H)</f>
        <v>Lepomis</v>
      </c>
      <c r="F1521" t="str">
        <f>_xlfn.XLOOKUP(A1521,'[1]Tissue Data'!$A:$A,'[1]Tissue Data'!$I:$I)</f>
        <v>gibbosus</v>
      </c>
      <c r="G1521" t="str">
        <f>_xlfn.XLOOKUP(A1521,'[1]Tissue Data'!$A:$A,'[1]Tissue Data'!J:J)</f>
        <v>U</v>
      </c>
      <c r="H1521" t="str">
        <f>_xlfn.XLOOKUP(A1521,'[1]Tissue Data'!$A:$A,'[1]Tissue Data'!K:K)</f>
        <v>Whole Body</v>
      </c>
      <c r="I1521">
        <f>_xlfn.XLOOKUP(A1521,'[1]Tissue Data'!$A:$A,'[1]Tissue Data'!L:L)</f>
        <v>9.5</v>
      </c>
      <c r="J1521">
        <f>_xlfn.XLOOKUP(A1521,'[1]Tissue Data'!$A:$A,'[1]Tissue Data'!M:M)</f>
        <v>18.3</v>
      </c>
      <c r="K1521" t="s">
        <v>31</v>
      </c>
      <c r="L1521" t="str">
        <f>_xlfn.XLOOKUP(K1521,[2]analyte_order!$B:$B,[2]analyte_order!$C:$C)</f>
        <v>335-77-3</v>
      </c>
      <c r="M1521">
        <f>_xlfn.XLOOKUP(L1521,[2]analyte_order!$C:$C,[2]analyte_order!$E:$E)</f>
        <v>20</v>
      </c>
      <c r="N1521">
        <v>0.20423854548414982</v>
      </c>
    </row>
    <row r="1522" spans="1:14">
      <c r="A1522" t="s">
        <v>242</v>
      </c>
      <c r="B1522" t="str">
        <f>_xlfn.XLOOKUP(A1522,'[1]Tissue Data'!$A:$A,'[1]Tissue Data'!$C:$C)</f>
        <v>Spill</v>
      </c>
      <c r="C1522" s="2">
        <f>_xlfn.XLOOKUP(A1522,'[1]Tissue Data'!$A:$A,'[1]Tissue Data'!$D:$D)</f>
        <v>44314</v>
      </c>
      <c r="D1522" s="2" t="str">
        <f>_xlfn.XLOOKUP(A1522,'[1]Tissue Data'!$A:$A,'[1]Tissue Data'!$F:$F)</f>
        <v>Pumpkinseed</v>
      </c>
      <c r="E1522" t="str">
        <f>_xlfn.XLOOKUP(A1522,'[1]Tissue Data'!$A:$A,'[1]Tissue Data'!$H:$H)</f>
        <v>Lepomis</v>
      </c>
      <c r="F1522" t="str">
        <f>_xlfn.XLOOKUP(A1522,'[1]Tissue Data'!$A:$A,'[1]Tissue Data'!$I:$I)</f>
        <v>gibbosus</v>
      </c>
      <c r="G1522" t="str">
        <f>_xlfn.XLOOKUP(A1522,'[1]Tissue Data'!$A:$A,'[1]Tissue Data'!J:J)</f>
        <v>U</v>
      </c>
      <c r="H1522" t="str">
        <f>_xlfn.XLOOKUP(A1522,'[1]Tissue Data'!$A:$A,'[1]Tissue Data'!K:K)</f>
        <v>Whole Body</v>
      </c>
      <c r="I1522">
        <f>_xlfn.XLOOKUP(A1522,'[1]Tissue Data'!$A:$A,'[1]Tissue Data'!L:L)</f>
        <v>9.5</v>
      </c>
      <c r="J1522">
        <f>_xlfn.XLOOKUP(A1522,'[1]Tissue Data'!$A:$A,'[1]Tissue Data'!M:M)</f>
        <v>18.3</v>
      </c>
      <c r="K1522" t="s">
        <v>32</v>
      </c>
      <c r="L1522" t="str">
        <f>_xlfn.XLOOKUP(K1522,[2]analyte_order!$B:$B,[2]analyte_order!$C:$C)</f>
        <v>79780-39-5</v>
      </c>
      <c r="M1522">
        <f>_xlfn.XLOOKUP(L1522,[2]analyte_order!$C:$C,[2]analyte_order!$E:$E)</f>
        <v>21</v>
      </c>
      <c r="N1522">
        <v>0.26669065549927956</v>
      </c>
    </row>
    <row r="1523" spans="1:14">
      <c r="A1523" t="s">
        <v>242</v>
      </c>
      <c r="B1523" t="str">
        <f>_xlfn.XLOOKUP(A1523,'[1]Tissue Data'!$A:$A,'[1]Tissue Data'!$C:$C)</f>
        <v>Spill</v>
      </c>
      <c r="C1523" s="2">
        <f>_xlfn.XLOOKUP(A1523,'[1]Tissue Data'!$A:$A,'[1]Tissue Data'!$D:$D)</f>
        <v>44314</v>
      </c>
      <c r="D1523" s="2" t="str">
        <f>_xlfn.XLOOKUP(A1523,'[1]Tissue Data'!$A:$A,'[1]Tissue Data'!$F:$F)</f>
        <v>Pumpkinseed</v>
      </c>
      <c r="E1523" t="str">
        <f>_xlfn.XLOOKUP(A1523,'[1]Tissue Data'!$A:$A,'[1]Tissue Data'!$H:$H)</f>
        <v>Lepomis</v>
      </c>
      <c r="F1523" t="str">
        <f>_xlfn.XLOOKUP(A1523,'[1]Tissue Data'!$A:$A,'[1]Tissue Data'!$I:$I)</f>
        <v>gibbosus</v>
      </c>
      <c r="G1523" t="str">
        <f>_xlfn.XLOOKUP(A1523,'[1]Tissue Data'!$A:$A,'[1]Tissue Data'!J:J)</f>
        <v>U</v>
      </c>
      <c r="H1523" t="str">
        <f>_xlfn.XLOOKUP(A1523,'[1]Tissue Data'!$A:$A,'[1]Tissue Data'!K:K)</f>
        <v>Whole Body</v>
      </c>
      <c r="I1523">
        <f>_xlfn.XLOOKUP(A1523,'[1]Tissue Data'!$A:$A,'[1]Tissue Data'!L:L)</f>
        <v>9.5</v>
      </c>
      <c r="J1523">
        <f>_xlfn.XLOOKUP(A1523,'[1]Tissue Data'!$A:$A,'[1]Tissue Data'!M:M)</f>
        <v>18.3</v>
      </c>
      <c r="K1523" t="s">
        <v>33</v>
      </c>
      <c r="L1523" t="str">
        <f>_xlfn.XLOOKUP(K1523,[2]analyte_order!$B:$B,[2]analyte_order!$C:$C)</f>
        <v>777011-38-8</v>
      </c>
      <c r="M1523">
        <f>_xlfn.XLOOKUP(L1523,[2]analyte_order!$C:$C,[2]analyte_order!$E:$E)</f>
        <v>54</v>
      </c>
      <c r="N1523">
        <v>4.2158133E-2</v>
      </c>
    </row>
    <row r="1524" spans="1:14">
      <c r="A1524" t="s">
        <v>242</v>
      </c>
      <c r="B1524" t="str">
        <f>_xlfn.XLOOKUP(A1524,'[1]Tissue Data'!$A:$A,'[1]Tissue Data'!$C:$C)</f>
        <v>Spill</v>
      </c>
      <c r="C1524" s="2">
        <f>_xlfn.XLOOKUP(A1524,'[1]Tissue Data'!$A:$A,'[1]Tissue Data'!$D:$D)</f>
        <v>44314</v>
      </c>
      <c r="D1524" s="2" t="str">
        <f>_xlfn.XLOOKUP(A1524,'[1]Tissue Data'!$A:$A,'[1]Tissue Data'!$F:$F)</f>
        <v>Pumpkinseed</v>
      </c>
      <c r="E1524" t="str">
        <f>_xlfn.XLOOKUP(A1524,'[1]Tissue Data'!$A:$A,'[1]Tissue Data'!$H:$H)</f>
        <v>Lepomis</v>
      </c>
      <c r="F1524" t="str">
        <f>_xlfn.XLOOKUP(A1524,'[1]Tissue Data'!$A:$A,'[1]Tissue Data'!$I:$I)</f>
        <v>gibbosus</v>
      </c>
      <c r="G1524" t="str">
        <f>_xlfn.XLOOKUP(A1524,'[1]Tissue Data'!$A:$A,'[1]Tissue Data'!J:J)</f>
        <v>U</v>
      </c>
      <c r="H1524" t="str">
        <f>_xlfn.XLOOKUP(A1524,'[1]Tissue Data'!$A:$A,'[1]Tissue Data'!K:K)</f>
        <v>Whole Body</v>
      </c>
      <c r="I1524">
        <f>_xlfn.XLOOKUP(A1524,'[1]Tissue Data'!$A:$A,'[1]Tissue Data'!L:L)</f>
        <v>9.5</v>
      </c>
      <c r="J1524">
        <f>_xlfn.XLOOKUP(A1524,'[1]Tissue Data'!$A:$A,'[1]Tissue Data'!M:M)</f>
        <v>18.3</v>
      </c>
      <c r="K1524" t="s">
        <v>34</v>
      </c>
      <c r="L1524" t="str">
        <f>_xlfn.XLOOKUP(K1524,[2]analyte_order!$B:$B,[2]analyte_order!$C:$C)</f>
        <v>646-83-3</v>
      </c>
      <c r="M1524">
        <f>_xlfn.XLOOKUP(L1524,[2]analyte_order!$C:$C,[2]analyte_order!$E:$E)</f>
        <v>55</v>
      </c>
      <c r="N1524">
        <v>9.9756151629350476E-2</v>
      </c>
    </row>
    <row r="1525" spans="1:14">
      <c r="A1525" t="s">
        <v>242</v>
      </c>
      <c r="B1525" t="str">
        <f>_xlfn.XLOOKUP(A1525,'[1]Tissue Data'!$A:$A,'[1]Tissue Data'!$C:$C)</f>
        <v>Spill</v>
      </c>
      <c r="C1525" s="2">
        <f>_xlfn.XLOOKUP(A1525,'[1]Tissue Data'!$A:$A,'[1]Tissue Data'!$D:$D)</f>
        <v>44314</v>
      </c>
      <c r="D1525" s="2" t="str">
        <f>_xlfn.XLOOKUP(A1525,'[1]Tissue Data'!$A:$A,'[1]Tissue Data'!$F:$F)</f>
        <v>Pumpkinseed</v>
      </c>
      <c r="E1525" t="str">
        <f>_xlfn.XLOOKUP(A1525,'[1]Tissue Data'!$A:$A,'[1]Tissue Data'!$H:$H)</f>
        <v>Lepomis</v>
      </c>
      <c r="F1525" t="str">
        <f>_xlfn.XLOOKUP(A1525,'[1]Tissue Data'!$A:$A,'[1]Tissue Data'!$I:$I)</f>
        <v>gibbosus</v>
      </c>
      <c r="G1525" t="str">
        <f>_xlfn.XLOOKUP(A1525,'[1]Tissue Data'!$A:$A,'[1]Tissue Data'!J:J)</f>
        <v>U</v>
      </c>
      <c r="H1525" t="str">
        <f>_xlfn.XLOOKUP(A1525,'[1]Tissue Data'!$A:$A,'[1]Tissue Data'!K:K)</f>
        <v>Whole Body</v>
      </c>
      <c r="I1525">
        <f>_xlfn.XLOOKUP(A1525,'[1]Tissue Data'!$A:$A,'[1]Tissue Data'!L:L)</f>
        <v>9.5</v>
      </c>
      <c r="J1525">
        <f>_xlfn.XLOOKUP(A1525,'[1]Tissue Data'!$A:$A,'[1]Tissue Data'!M:M)</f>
        <v>18.3</v>
      </c>
      <c r="K1525" t="s">
        <v>35</v>
      </c>
      <c r="L1525" t="str">
        <f>_xlfn.XLOOKUP(K1525,[2]analyte_order!$B:$B,[2]analyte_order!$C:$C)</f>
        <v>30334-69-1</v>
      </c>
      <c r="M1525">
        <f>_xlfn.XLOOKUP(L1525,[2]analyte_order!$C:$C,[2]analyte_order!$E:$E)</f>
        <v>51</v>
      </c>
      <c r="N1525">
        <v>22.8</v>
      </c>
    </row>
    <row r="1526" spans="1:14">
      <c r="A1526" t="s">
        <v>242</v>
      </c>
      <c r="B1526" t="str">
        <f>_xlfn.XLOOKUP(A1526,'[1]Tissue Data'!$A:$A,'[1]Tissue Data'!$C:$C)</f>
        <v>Spill</v>
      </c>
      <c r="C1526" s="2">
        <f>_xlfn.XLOOKUP(A1526,'[1]Tissue Data'!$A:$A,'[1]Tissue Data'!$D:$D)</f>
        <v>44314</v>
      </c>
      <c r="D1526" s="2" t="str">
        <f>_xlfn.XLOOKUP(A1526,'[1]Tissue Data'!$A:$A,'[1]Tissue Data'!$F:$F)</f>
        <v>Pumpkinseed</v>
      </c>
      <c r="E1526" t="str">
        <f>_xlfn.XLOOKUP(A1526,'[1]Tissue Data'!$A:$A,'[1]Tissue Data'!$H:$H)</f>
        <v>Lepomis</v>
      </c>
      <c r="F1526" t="str">
        <f>_xlfn.XLOOKUP(A1526,'[1]Tissue Data'!$A:$A,'[1]Tissue Data'!$I:$I)</f>
        <v>gibbosus</v>
      </c>
      <c r="G1526" t="str">
        <f>_xlfn.XLOOKUP(A1526,'[1]Tissue Data'!$A:$A,'[1]Tissue Data'!J:J)</f>
        <v>U</v>
      </c>
      <c r="H1526" t="str">
        <f>_xlfn.XLOOKUP(A1526,'[1]Tissue Data'!$A:$A,'[1]Tissue Data'!K:K)</f>
        <v>Whole Body</v>
      </c>
      <c r="I1526">
        <f>_xlfn.XLOOKUP(A1526,'[1]Tissue Data'!$A:$A,'[1]Tissue Data'!L:L)</f>
        <v>9.5</v>
      </c>
      <c r="J1526">
        <f>_xlfn.XLOOKUP(A1526,'[1]Tissue Data'!$A:$A,'[1]Tissue Data'!M:M)</f>
        <v>18.3</v>
      </c>
      <c r="K1526" t="s">
        <v>36</v>
      </c>
      <c r="L1526" t="str">
        <f>_xlfn.XLOOKUP(K1526,[2]analyte_order!$B:$B,[2]analyte_order!$C:$C)</f>
        <v>41997-13-1</v>
      </c>
      <c r="M1526">
        <f>_xlfn.XLOOKUP(L1526,[2]analyte_order!$C:$C,[2]analyte_order!$E:$E)</f>
        <v>52</v>
      </c>
      <c r="N1526">
        <v>69.8</v>
      </c>
    </row>
    <row r="1527" spans="1:14">
      <c r="A1527" t="s">
        <v>242</v>
      </c>
      <c r="B1527" t="str">
        <f>_xlfn.XLOOKUP(A1527,'[1]Tissue Data'!$A:$A,'[1]Tissue Data'!$C:$C)</f>
        <v>Spill</v>
      </c>
      <c r="C1527" s="2">
        <f>_xlfn.XLOOKUP(A1527,'[1]Tissue Data'!$A:$A,'[1]Tissue Data'!$D:$D)</f>
        <v>44314</v>
      </c>
      <c r="D1527" s="2" t="str">
        <f>_xlfn.XLOOKUP(A1527,'[1]Tissue Data'!$A:$A,'[1]Tissue Data'!$F:$F)</f>
        <v>Pumpkinseed</v>
      </c>
      <c r="E1527" t="str">
        <f>_xlfn.XLOOKUP(A1527,'[1]Tissue Data'!$A:$A,'[1]Tissue Data'!$H:$H)</f>
        <v>Lepomis</v>
      </c>
      <c r="F1527" t="str">
        <f>_xlfn.XLOOKUP(A1527,'[1]Tissue Data'!$A:$A,'[1]Tissue Data'!$I:$I)</f>
        <v>gibbosus</v>
      </c>
      <c r="G1527" t="str">
        <f>_xlfn.XLOOKUP(A1527,'[1]Tissue Data'!$A:$A,'[1]Tissue Data'!J:J)</f>
        <v>U</v>
      </c>
      <c r="H1527" t="str">
        <f>_xlfn.XLOOKUP(A1527,'[1]Tissue Data'!$A:$A,'[1]Tissue Data'!K:K)</f>
        <v>Whole Body</v>
      </c>
      <c r="I1527">
        <f>_xlfn.XLOOKUP(A1527,'[1]Tissue Data'!$A:$A,'[1]Tissue Data'!L:L)</f>
        <v>9.5</v>
      </c>
      <c r="J1527">
        <f>_xlfn.XLOOKUP(A1527,'[1]Tissue Data'!$A:$A,'[1]Tissue Data'!M:M)</f>
        <v>18.3</v>
      </c>
      <c r="K1527" t="s">
        <v>37</v>
      </c>
      <c r="L1527" t="str">
        <f>_xlfn.XLOOKUP(K1527,[2]analyte_order!$B:$B,[2]analyte_order!$C:$C)</f>
        <v>754-91-6</v>
      </c>
      <c r="M1527">
        <f>_xlfn.XLOOKUP(L1527,[2]analyte_order!$C:$C,[2]analyte_order!$E:$E)</f>
        <v>28</v>
      </c>
      <c r="N1527">
        <v>17</v>
      </c>
    </row>
    <row r="1528" spans="1:14">
      <c r="A1528" t="s">
        <v>242</v>
      </c>
      <c r="B1528" t="str">
        <f>_xlfn.XLOOKUP(A1528,'[1]Tissue Data'!$A:$A,'[1]Tissue Data'!$C:$C)</f>
        <v>Spill</v>
      </c>
      <c r="C1528" s="2">
        <f>_xlfn.XLOOKUP(A1528,'[1]Tissue Data'!$A:$A,'[1]Tissue Data'!$D:$D)</f>
        <v>44314</v>
      </c>
      <c r="D1528" s="2" t="str">
        <f>_xlfn.XLOOKUP(A1528,'[1]Tissue Data'!$A:$A,'[1]Tissue Data'!$F:$F)</f>
        <v>Pumpkinseed</v>
      </c>
      <c r="E1528" t="str">
        <f>_xlfn.XLOOKUP(A1528,'[1]Tissue Data'!$A:$A,'[1]Tissue Data'!$H:$H)</f>
        <v>Lepomis</v>
      </c>
      <c r="F1528" t="str">
        <f>_xlfn.XLOOKUP(A1528,'[1]Tissue Data'!$A:$A,'[1]Tissue Data'!$I:$I)</f>
        <v>gibbosus</v>
      </c>
      <c r="G1528" t="str">
        <f>_xlfn.XLOOKUP(A1528,'[1]Tissue Data'!$A:$A,'[1]Tissue Data'!J:J)</f>
        <v>U</v>
      </c>
      <c r="H1528" t="str">
        <f>_xlfn.XLOOKUP(A1528,'[1]Tissue Data'!$A:$A,'[1]Tissue Data'!K:K)</f>
        <v>Whole Body</v>
      </c>
      <c r="I1528">
        <f>_xlfn.XLOOKUP(A1528,'[1]Tissue Data'!$A:$A,'[1]Tissue Data'!L:L)</f>
        <v>9.5</v>
      </c>
      <c r="J1528">
        <f>_xlfn.XLOOKUP(A1528,'[1]Tissue Data'!$A:$A,'[1]Tissue Data'!M:M)</f>
        <v>18.3</v>
      </c>
      <c r="K1528" t="s">
        <v>38</v>
      </c>
      <c r="L1528" t="str">
        <f>_xlfn.XLOOKUP(K1528,[2]analyte_order!$B:$B,[2]analyte_order!$C:$C)</f>
        <v>31506-32-8</v>
      </c>
      <c r="M1528">
        <f>_xlfn.XLOOKUP(L1528,[2]analyte_order!$C:$C,[2]analyte_order!$E:$E)</f>
        <v>30</v>
      </c>
      <c r="N1528">
        <v>5.3445390000000002E-2</v>
      </c>
    </row>
    <row r="1529" spans="1:14">
      <c r="A1529" t="s">
        <v>242</v>
      </c>
      <c r="B1529" t="str">
        <f>_xlfn.XLOOKUP(A1529,'[1]Tissue Data'!$A:$A,'[1]Tissue Data'!$C:$C)</f>
        <v>Spill</v>
      </c>
      <c r="C1529" s="2">
        <f>_xlfn.XLOOKUP(A1529,'[1]Tissue Data'!$A:$A,'[1]Tissue Data'!$D:$D)</f>
        <v>44314</v>
      </c>
      <c r="D1529" s="2" t="str">
        <f>_xlfn.XLOOKUP(A1529,'[1]Tissue Data'!$A:$A,'[1]Tissue Data'!$F:$F)</f>
        <v>Pumpkinseed</v>
      </c>
      <c r="E1529" t="str">
        <f>_xlfn.XLOOKUP(A1529,'[1]Tissue Data'!$A:$A,'[1]Tissue Data'!$H:$H)</f>
        <v>Lepomis</v>
      </c>
      <c r="F1529" t="str">
        <f>_xlfn.XLOOKUP(A1529,'[1]Tissue Data'!$A:$A,'[1]Tissue Data'!$I:$I)</f>
        <v>gibbosus</v>
      </c>
      <c r="G1529" t="str">
        <f>_xlfn.XLOOKUP(A1529,'[1]Tissue Data'!$A:$A,'[1]Tissue Data'!J:J)</f>
        <v>U</v>
      </c>
      <c r="H1529" t="str">
        <f>_xlfn.XLOOKUP(A1529,'[1]Tissue Data'!$A:$A,'[1]Tissue Data'!K:K)</f>
        <v>Whole Body</v>
      </c>
      <c r="I1529">
        <f>_xlfn.XLOOKUP(A1529,'[1]Tissue Data'!$A:$A,'[1]Tissue Data'!L:L)</f>
        <v>9.5</v>
      </c>
      <c r="J1529">
        <f>_xlfn.XLOOKUP(A1529,'[1]Tissue Data'!$A:$A,'[1]Tissue Data'!M:M)</f>
        <v>18.3</v>
      </c>
      <c r="K1529" t="s">
        <v>39</v>
      </c>
      <c r="L1529" t="str">
        <f>_xlfn.XLOOKUP(K1529,[2]analyte_order!$B:$B,[2]analyte_order!$C:$C)</f>
        <v>4151-50-2</v>
      </c>
      <c r="M1529">
        <f>_xlfn.XLOOKUP(L1529,[2]analyte_order!$C:$C,[2]analyte_order!$E:$E)</f>
        <v>31</v>
      </c>
      <c r="N1529">
        <v>8.0957803750000001E-2</v>
      </c>
    </row>
    <row r="1530" spans="1:14">
      <c r="A1530" t="s">
        <v>242</v>
      </c>
      <c r="B1530" t="str">
        <f>_xlfn.XLOOKUP(A1530,'[1]Tissue Data'!$A:$A,'[1]Tissue Data'!$C:$C)</f>
        <v>Spill</v>
      </c>
      <c r="C1530" s="2">
        <f>_xlfn.XLOOKUP(A1530,'[1]Tissue Data'!$A:$A,'[1]Tissue Data'!$D:$D)</f>
        <v>44314</v>
      </c>
      <c r="D1530" s="2" t="str">
        <f>_xlfn.XLOOKUP(A1530,'[1]Tissue Data'!$A:$A,'[1]Tissue Data'!$F:$F)</f>
        <v>Pumpkinseed</v>
      </c>
      <c r="E1530" t="str">
        <f>_xlfn.XLOOKUP(A1530,'[1]Tissue Data'!$A:$A,'[1]Tissue Data'!$H:$H)</f>
        <v>Lepomis</v>
      </c>
      <c r="F1530" t="str">
        <f>_xlfn.XLOOKUP(A1530,'[1]Tissue Data'!$A:$A,'[1]Tissue Data'!$I:$I)</f>
        <v>gibbosus</v>
      </c>
      <c r="G1530" t="str">
        <f>_xlfn.XLOOKUP(A1530,'[1]Tissue Data'!$A:$A,'[1]Tissue Data'!J:J)</f>
        <v>U</v>
      </c>
      <c r="H1530" t="str">
        <f>_xlfn.XLOOKUP(A1530,'[1]Tissue Data'!$A:$A,'[1]Tissue Data'!K:K)</f>
        <v>Whole Body</v>
      </c>
      <c r="I1530">
        <f>_xlfn.XLOOKUP(A1530,'[1]Tissue Data'!$A:$A,'[1]Tissue Data'!L:L)</f>
        <v>9.5</v>
      </c>
      <c r="J1530">
        <f>_xlfn.XLOOKUP(A1530,'[1]Tissue Data'!$A:$A,'[1]Tissue Data'!M:M)</f>
        <v>18.3</v>
      </c>
      <c r="K1530" t="s">
        <v>40</v>
      </c>
      <c r="L1530" t="str">
        <f>_xlfn.XLOOKUP(K1530,[2]analyte_order!$B:$B,[2]analyte_order!$C:$C)</f>
        <v>2806-24-8</v>
      </c>
      <c r="M1530">
        <f>_xlfn.XLOOKUP(L1530,[2]analyte_order!$C:$C,[2]analyte_order!$E:$E)</f>
        <v>29</v>
      </c>
      <c r="N1530">
        <v>5.4683872499999994E-2</v>
      </c>
    </row>
    <row r="1531" spans="1:14">
      <c r="A1531" t="s">
        <v>242</v>
      </c>
      <c r="B1531" t="str">
        <f>_xlfn.XLOOKUP(A1531,'[1]Tissue Data'!$A:$A,'[1]Tissue Data'!$C:$C)</f>
        <v>Spill</v>
      </c>
      <c r="C1531" s="2">
        <f>_xlfn.XLOOKUP(A1531,'[1]Tissue Data'!$A:$A,'[1]Tissue Data'!$D:$D)</f>
        <v>44314</v>
      </c>
      <c r="D1531" s="2" t="str">
        <f>_xlfn.XLOOKUP(A1531,'[1]Tissue Data'!$A:$A,'[1]Tissue Data'!$F:$F)</f>
        <v>Pumpkinseed</v>
      </c>
      <c r="E1531" t="str">
        <f>_xlfn.XLOOKUP(A1531,'[1]Tissue Data'!$A:$A,'[1]Tissue Data'!$H:$H)</f>
        <v>Lepomis</v>
      </c>
      <c r="F1531" t="str">
        <f>_xlfn.XLOOKUP(A1531,'[1]Tissue Data'!$A:$A,'[1]Tissue Data'!$I:$I)</f>
        <v>gibbosus</v>
      </c>
      <c r="G1531" t="str">
        <f>_xlfn.XLOOKUP(A1531,'[1]Tissue Data'!$A:$A,'[1]Tissue Data'!J:J)</f>
        <v>U</v>
      </c>
      <c r="H1531" t="str">
        <f>_xlfn.XLOOKUP(A1531,'[1]Tissue Data'!$A:$A,'[1]Tissue Data'!K:K)</f>
        <v>Whole Body</v>
      </c>
      <c r="I1531">
        <f>_xlfn.XLOOKUP(A1531,'[1]Tissue Data'!$A:$A,'[1]Tissue Data'!L:L)</f>
        <v>9.5</v>
      </c>
      <c r="J1531">
        <f>_xlfn.XLOOKUP(A1531,'[1]Tissue Data'!$A:$A,'[1]Tissue Data'!M:M)</f>
        <v>18.3</v>
      </c>
      <c r="K1531" t="s">
        <v>41</v>
      </c>
      <c r="L1531" t="str">
        <f>_xlfn.XLOOKUP(K1531,[2]analyte_order!$B:$B,[2]analyte_order!$C:$C)</f>
        <v>2355-31-9</v>
      </c>
      <c r="M1531">
        <f>_xlfn.XLOOKUP(L1531,[2]analyte_order!$C:$C,[2]analyte_order!$E:$E)</f>
        <v>26</v>
      </c>
      <c r="N1531">
        <v>6.9794811250000005E-2</v>
      </c>
    </row>
    <row r="1532" spans="1:14">
      <c r="A1532" t="s">
        <v>242</v>
      </c>
      <c r="B1532" t="str">
        <f>_xlfn.XLOOKUP(A1532,'[1]Tissue Data'!$A:$A,'[1]Tissue Data'!$C:$C)</f>
        <v>Spill</v>
      </c>
      <c r="C1532" s="2">
        <f>_xlfn.XLOOKUP(A1532,'[1]Tissue Data'!$A:$A,'[1]Tissue Data'!$D:$D)</f>
        <v>44314</v>
      </c>
      <c r="D1532" s="2" t="str">
        <f>_xlfn.XLOOKUP(A1532,'[1]Tissue Data'!$A:$A,'[1]Tissue Data'!$F:$F)</f>
        <v>Pumpkinseed</v>
      </c>
      <c r="E1532" t="str">
        <f>_xlfn.XLOOKUP(A1532,'[1]Tissue Data'!$A:$A,'[1]Tissue Data'!$H:$H)</f>
        <v>Lepomis</v>
      </c>
      <c r="F1532" t="str">
        <f>_xlfn.XLOOKUP(A1532,'[1]Tissue Data'!$A:$A,'[1]Tissue Data'!$I:$I)</f>
        <v>gibbosus</v>
      </c>
      <c r="G1532" t="str">
        <f>_xlfn.XLOOKUP(A1532,'[1]Tissue Data'!$A:$A,'[1]Tissue Data'!J:J)</f>
        <v>U</v>
      </c>
      <c r="H1532" t="str">
        <f>_xlfn.XLOOKUP(A1532,'[1]Tissue Data'!$A:$A,'[1]Tissue Data'!K:K)</f>
        <v>Whole Body</v>
      </c>
      <c r="I1532">
        <f>_xlfn.XLOOKUP(A1532,'[1]Tissue Data'!$A:$A,'[1]Tissue Data'!L:L)</f>
        <v>9.5</v>
      </c>
      <c r="J1532">
        <f>_xlfn.XLOOKUP(A1532,'[1]Tissue Data'!$A:$A,'[1]Tissue Data'!M:M)</f>
        <v>18.3</v>
      </c>
      <c r="K1532" t="s">
        <v>42</v>
      </c>
      <c r="L1532" t="str">
        <f>_xlfn.XLOOKUP(K1532,[2]analyte_order!$B:$B,[2]analyte_order!$C:$C)</f>
        <v>2991-50-6</v>
      </c>
      <c r="M1532">
        <f>_xlfn.XLOOKUP(L1532,[2]analyte_order!$C:$C,[2]analyte_order!$E:$E)</f>
        <v>27</v>
      </c>
      <c r="N1532">
        <v>6.0216898750000004E-2</v>
      </c>
    </row>
    <row r="1533" spans="1:14">
      <c r="A1533" t="s">
        <v>242</v>
      </c>
      <c r="B1533" t="str">
        <f>_xlfn.XLOOKUP(A1533,'[1]Tissue Data'!$A:$A,'[1]Tissue Data'!$C:$C)</f>
        <v>Spill</v>
      </c>
      <c r="C1533" s="2">
        <f>_xlfn.XLOOKUP(A1533,'[1]Tissue Data'!$A:$A,'[1]Tissue Data'!$D:$D)</f>
        <v>44314</v>
      </c>
      <c r="D1533" s="2" t="str">
        <f>_xlfn.XLOOKUP(A1533,'[1]Tissue Data'!$A:$A,'[1]Tissue Data'!$F:$F)</f>
        <v>Pumpkinseed</v>
      </c>
      <c r="E1533" t="str">
        <f>_xlfn.XLOOKUP(A1533,'[1]Tissue Data'!$A:$A,'[1]Tissue Data'!$H:$H)</f>
        <v>Lepomis</v>
      </c>
      <c r="F1533" t="str">
        <f>_xlfn.XLOOKUP(A1533,'[1]Tissue Data'!$A:$A,'[1]Tissue Data'!$I:$I)</f>
        <v>gibbosus</v>
      </c>
      <c r="G1533" t="str">
        <f>_xlfn.XLOOKUP(A1533,'[1]Tissue Data'!$A:$A,'[1]Tissue Data'!J:J)</f>
        <v>U</v>
      </c>
      <c r="H1533" t="str">
        <f>_xlfn.XLOOKUP(A1533,'[1]Tissue Data'!$A:$A,'[1]Tissue Data'!K:K)</f>
        <v>Whole Body</v>
      </c>
      <c r="I1533">
        <f>_xlfn.XLOOKUP(A1533,'[1]Tissue Data'!$A:$A,'[1]Tissue Data'!L:L)</f>
        <v>9.5</v>
      </c>
      <c r="J1533">
        <f>_xlfn.XLOOKUP(A1533,'[1]Tissue Data'!$A:$A,'[1]Tissue Data'!M:M)</f>
        <v>18.3</v>
      </c>
      <c r="K1533" t="s">
        <v>43</v>
      </c>
      <c r="L1533" t="str">
        <f>_xlfn.XLOOKUP(K1533,[2]analyte_order!$B:$B,[2]analyte_order!$C:$C)</f>
        <v>757124-72-4</v>
      </c>
      <c r="M1533">
        <f>_xlfn.XLOOKUP(L1533,[2]analyte_order!$C:$C,[2]analyte_order!$E:$E)</f>
        <v>22</v>
      </c>
      <c r="N1533">
        <v>5.6983884999999998E-2</v>
      </c>
    </row>
    <row r="1534" spans="1:14">
      <c r="A1534" t="s">
        <v>242</v>
      </c>
      <c r="B1534" t="str">
        <f>_xlfn.XLOOKUP(A1534,'[1]Tissue Data'!$A:$A,'[1]Tissue Data'!$C:$C)</f>
        <v>Spill</v>
      </c>
      <c r="C1534" s="2">
        <f>_xlfn.XLOOKUP(A1534,'[1]Tissue Data'!$A:$A,'[1]Tissue Data'!$D:$D)</f>
        <v>44314</v>
      </c>
      <c r="D1534" s="2" t="str">
        <f>_xlfn.XLOOKUP(A1534,'[1]Tissue Data'!$A:$A,'[1]Tissue Data'!$F:$F)</f>
        <v>Pumpkinseed</v>
      </c>
      <c r="E1534" t="str">
        <f>_xlfn.XLOOKUP(A1534,'[1]Tissue Data'!$A:$A,'[1]Tissue Data'!$H:$H)</f>
        <v>Lepomis</v>
      </c>
      <c r="F1534" t="str">
        <f>_xlfn.XLOOKUP(A1534,'[1]Tissue Data'!$A:$A,'[1]Tissue Data'!$I:$I)</f>
        <v>gibbosus</v>
      </c>
      <c r="G1534" t="str">
        <f>_xlfn.XLOOKUP(A1534,'[1]Tissue Data'!$A:$A,'[1]Tissue Data'!J:J)</f>
        <v>U</v>
      </c>
      <c r="H1534" t="str">
        <f>_xlfn.XLOOKUP(A1534,'[1]Tissue Data'!$A:$A,'[1]Tissue Data'!K:K)</f>
        <v>Whole Body</v>
      </c>
      <c r="I1534">
        <f>_xlfn.XLOOKUP(A1534,'[1]Tissue Data'!$A:$A,'[1]Tissue Data'!L:L)</f>
        <v>9.5</v>
      </c>
      <c r="J1534">
        <f>_xlfn.XLOOKUP(A1534,'[1]Tissue Data'!$A:$A,'[1]Tissue Data'!M:M)</f>
        <v>18.3</v>
      </c>
      <c r="K1534" t="s">
        <v>44</v>
      </c>
      <c r="L1534" t="str">
        <f>_xlfn.XLOOKUP(K1534,[2]analyte_order!$B:$B,[2]analyte_order!$C:$C)</f>
        <v>27619-97-2</v>
      </c>
      <c r="M1534">
        <f>_xlfn.XLOOKUP(L1534,[2]analyte_order!$C:$C,[2]analyte_order!$E:$E)</f>
        <v>23</v>
      </c>
      <c r="N1534">
        <v>4.1884272875000003E-2</v>
      </c>
    </row>
    <row r="1535" spans="1:14">
      <c r="A1535" t="s">
        <v>242</v>
      </c>
      <c r="B1535" t="str">
        <f>_xlfn.XLOOKUP(A1535,'[1]Tissue Data'!$A:$A,'[1]Tissue Data'!$C:$C)</f>
        <v>Spill</v>
      </c>
      <c r="C1535" s="2">
        <f>_xlfn.XLOOKUP(A1535,'[1]Tissue Data'!$A:$A,'[1]Tissue Data'!$D:$D)</f>
        <v>44314</v>
      </c>
      <c r="D1535" s="2" t="str">
        <f>_xlfn.XLOOKUP(A1535,'[1]Tissue Data'!$A:$A,'[1]Tissue Data'!$F:$F)</f>
        <v>Pumpkinseed</v>
      </c>
      <c r="E1535" t="str">
        <f>_xlfn.XLOOKUP(A1535,'[1]Tissue Data'!$A:$A,'[1]Tissue Data'!$H:$H)</f>
        <v>Lepomis</v>
      </c>
      <c r="F1535" t="str">
        <f>_xlfn.XLOOKUP(A1535,'[1]Tissue Data'!$A:$A,'[1]Tissue Data'!$I:$I)</f>
        <v>gibbosus</v>
      </c>
      <c r="G1535" t="str">
        <f>_xlfn.XLOOKUP(A1535,'[1]Tissue Data'!$A:$A,'[1]Tissue Data'!J:J)</f>
        <v>U</v>
      </c>
      <c r="H1535" t="str">
        <f>_xlfn.XLOOKUP(A1535,'[1]Tissue Data'!$A:$A,'[1]Tissue Data'!K:K)</f>
        <v>Whole Body</v>
      </c>
      <c r="I1535">
        <f>_xlfn.XLOOKUP(A1535,'[1]Tissue Data'!$A:$A,'[1]Tissue Data'!L:L)</f>
        <v>9.5</v>
      </c>
      <c r="J1535">
        <f>_xlfn.XLOOKUP(A1535,'[1]Tissue Data'!$A:$A,'[1]Tissue Data'!M:M)</f>
        <v>18.3</v>
      </c>
      <c r="K1535" t="s">
        <v>45</v>
      </c>
      <c r="L1535" t="str">
        <f>_xlfn.XLOOKUP(K1535,[2]analyte_order!$B:$B,[2]analyte_order!$C:$C)</f>
        <v>39108-34-4</v>
      </c>
      <c r="M1535">
        <f>_xlfn.XLOOKUP(L1535,[2]analyte_order!$C:$C,[2]analyte_order!$E:$E)</f>
        <v>24</v>
      </c>
      <c r="N1535">
        <v>0.64100000000000001</v>
      </c>
    </row>
    <row r="1536" spans="1:14">
      <c r="A1536" t="s">
        <v>242</v>
      </c>
      <c r="B1536" t="str">
        <f>_xlfn.XLOOKUP(A1536,'[1]Tissue Data'!$A:$A,'[1]Tissue Data'!$C:$C)</f>
        <v>Spill</v>
      </c>
      <c r="C1536" s="2">
        <f>_xlfn.XLOOKUP(A1536,'[1]Tissue Data'!$A:$A,'[1]Tissue Data'!$D:$D)</f>
        <v>44314</v>
      </c>
      <c r="D1536" s="2" t="str">
        <f>_xlfn.XLOOKUP(A1536,'[1]Tissue Data'!$A:$A,'[1]Tissue Data'!$F:$F)</f>
        <v>Pumpkinseed</v>
      </c>
      <c r="E1536" t="str">
        <f>_xlfn.XLOOKUP(A1536,'[1]Tissue Data'!$A:$A,'[1]Tissue Data'!$H:$H)</f>
        <v>Lepomis</v>
      </c>
      <c r="F1536" t="str">
        <f>_xlfn.XLOOKUP(A1536,'[1]Tissue Data'!$A:$A,'[1]Tissue Data'!$I:$I)</f>
        <v>gibbosus</v>
      </c>
      <c r="G1536" t="str">
        <f>_xlfn.XLOOKUP(A1536,'[1]Tissue Data'!$A:$A,'[1]Tissue Data'!J:J)</f>
        <v>U</v>
      </c>
      <c r="H1536" t="str">
        <f>_xlfn.XLOOKUP(A1536,'[1]Tissue Data'!$A:$A,'[1]Tissue Data'!K:K)</f>
        <v>Whole Body</v>
      </c>
      <c r="I1536">
        <f>_xlfn.XLOOKUP(A1536,'[1]Tissue Data'!$A:$A,'[1]Tissue Data'!L:L)</f>
        <v>9.5</v>
      </c>
      <c r="J1536">
        <f>_xlfn.XLOOKUP(A1536,'[1]Tissue Data'!$A:$A,'[1]Tissue Data'!M:M)</f>
        <v>18.3</v>
      </c>
      <c r="K1536" t="s">
        <v>46</v>
      </c>
      <c r="L1536" t="str">
        <f>_xlfn.XLOOKUP(K1536,[2]analyte_order!$B:$B,[2]analyte_order!$C:$C)</f>
        <v>120226-60-0</v>
      </c>
      <c r="M1536">
        <f>_xlfn.XLOOKUP(L1536,[2]analyte_order!$C:$C,[2]analyte_order!$E:$E)</f>
        <v>25</v>
      </c>
      <c r="N1536">
        <v>0.28317417925072041</v>
      </c>
    </row>
    <row r="1537" spans="1:14">
      <c r="A1537" t="s">
        <v>242</v>
      </c>
      <c r="B1537" t="str">
        <f>_xlfn.XLOOKUP(A1537,'[1]Tissue Data'!$A:$A,'[1]Tissue Data'!$C:$C)</f>
        <v>Spill</v>
      </c>
      <c r="C1537" s="2">
        <f>_xlfn.XLOOKUP(A1537,'[1]Tissue Data'!$A:$A,'[1]Tissue Data'!$D:$D)</f>
        <v>44314</v>
      </c>
      <c r="D1537" s="2" t="str">
        <f>_xlfn.XLOOKUP(A1537,'[1]Tissue Data'!$A:$A,'[1]Tissue Data'!$F:$F)</f>
        <v>Pumpkinseed</v>
      </c>
      <c r="E1537" t="str">
        <f>_xlfn.XLOOKUP(A1537,'[1]Tissue Data'!$A:$A,'[1]Tissue Data'!$H:$H)</f>
        <v>Lepomis</v>
      </c>
      <c r="F1537" t="str">
        <f>_xlfn.XLOOKUP(A1537,'[1]Tissue Data'!$A:$A,'[1]Tissue Data'!$I:$I)</f>
        <v>gibbosus</v>
      </c>
      <c r="G1537" t="str">
        <f>_xlfn.XLOOKUP(A1537,'[1]Tissue Data'!$A:$A,'[1]Tissue Data'!J:J)</f>
        <v>U</v>
      </c>
      <c r="H1537" t="str">
        <f>_xlfn.XLOOKUP(A1537,'[1]Tissue Data'!$A:$A,'[1]Tissue Data'!K:K)</f>
        <v>Whole Body</v>
      </c>
      <c r="I1537">
        <f>_xlfn.XLOOKUP(A1537,'[1]Tissue Data'!$A:$A,'[1]Tissue Data'!L:L)</f>
        <v>9.5</v>
      </c>
      <c r="J1537">
        <f>_xlfn.XLOOKUP(A1537,'[1]Tissue Data'!$A:$A,'[1]Tissue Data'!M:M)</f>
        <v>18.3</v>
      </c>
      <c r="K1537" t="s">
        <v>47</v>
      </c>
      <c r="L1537" t="str">
        <f>_xlfn.XLOOKUP(K1537,[2]analyte_order!$B:$B,[2]analyte_order!$C:$C)</f>
        <v>356-02-5</v>
      </c>
      <c r="M1537">
        <f>_xlfn.XLOOKUP(L1537,[2]analyte_order!$C:$C,[2]analyte_order!$E:$E)</f>
        <v>38</v>
      </c>
      <c r="N1537">
        <v>8.002336874999999E-2</v>
      </c>
    </row>
    <row r="1538" spans="1:14">
      <c r="A1538" t="s">
        <v>242</v>
      </c>
      <c r="B1538" t="str">
        <f>_xlfn.XLOOKUP(A1538,'[1]Tissue Data'!$A:$A,'[1]Tissue Data'!$C:$C)</f>
        <v>Spill</v>
      </c>
      <c r="C1538" s="2">
        <f>_xlfn.XLOOKUP(A1538,'[1]Tissue Data'!$A:$A,'[1]Tissue Data'!$D:$D)</f>
        <v>44314</v>
      </c>
      <c r="D1538" s="2" t="str">
        <f>_xlfn.XLOOKUP(A1538,'[1]Tissue Data'!$A:$A,'[1]Tissue Data'!$F:$F)</f>
        <v>Pumpkinseed</v>
      </c>
      <c r="E1538" t="str">
        <f>_xlfn.XLOOKUP(A1538,'[1]Tissue Data'!$A:$A,'[1]Tissue Data'!$H:$H)</f>
        <v>Lepomis</v>
      </c>
      <c r="F1538" t="str">
        <f>_xlfn.XLOOKUP(A1538,'[1]Tissue Data'!$A:$A,'[1]Tissue Data'!$I:$I)</f>
        <v>gibbosus</v>
      </c>
      <c r="G1538" t="str">
        <f>_xlfn.XLOOKUP(A1538,'[1]Tissue Data'!$A:$A,'[1]Tissue Data'!J:J)</f>
        <v>U</v>
      </c>
      <c r="H1538" t="str">
        <f>_xlfn.XLOOKUP(A1538,'[1]Tissue Data'!$A:$A,'[1]Tissue Data'!K:K)</f>
        <v>Whole Body</v>
      </c>
      <c r="I1538">
        <f>_xlfn.XLOOKUP(A1538,'[1]Tissue Data'!$A:$A,'[1]Tissue Data'!L:L)</f>
        <v>9.5</v>
      </c>
      <c r="J1538">
        <f>_xlfn.XLOOKUP(A1538,'[1]Tissue Data'!$A:$A,'[1]Tissue Data'!M:M)</f>
        <v>18.3</v>
      </c>
      <c r="K1538" t="s">
        <v>48</v>
      </c>
      <c r="L1538" t="str">
        <f>_xlfn.XLOOKUP(K1538,[2]analyte_order!$B:$B,[2]analyte_order!$C:$C)</f>
        <v>914637-49-3</v>
      </c>
      <c r="M1538">
        <f>_xlfn.XLOOKUP(L1538,[2]analyte_order!$C:$C,[2]analyte_order!$E:$E)</f>
        <v>39</v>
      </c>
      <c r="N1538">
        <v>0.55700000000000005</v>
      </c>
    </row>
    <row r="1539" spans="1:14">
      <c r="A1539" t="s">
        <v>242</v>
      </c>
      <c r="B1539" t="str">
        <f>_xlfn.XLOOKUP(A1539,'[1]Tissue Data'!$A:$A,'[1]Tissue Data'!$C:$C)</f>
        <v>Spill</v>
      </c>
      <c r="C1539" s="2">
        <f>_xlfn.XLOOKUP(A1539,'[1]Tissue Data'!$A:$A,'[1]Tissue Data'!$D:$D)</f>
        <v>44314</v>
      </c>
      <c r="D1539" s="2" t="str">
        <f>_xlfn.XLOOKUP(A1539,'[1]Tissue Data'!$A:$A,'[1]Tissue Data'!$F:$F)</f>
        <v>Pumpkinseed</v>
      </c>
      <c r="E1539" t="str">
        <f>_xlfn.XLOOKUP(A1539,'[1]Tissue Data'!$A:$A,'[1]Tissue Data'!$H:$H)</f>
        <v>Lepomis</v>
      </c>
      <c r="F1539" t="str">
        <f>_xlfn.XLOOKUP(A1539,'[1]Tissue Data'!$A:$A,'[1]Tissue Data'!$I:$I)</f>
        <v>gibbosus</v>
      </c>
      <c r="G1539" t="str">
        <f>_xlfn.XLOOKUP(A1539,'[1]Tissue Data'!$A:$A,'[1]Tissue Data'!J:J)</f>
        <v>U</v>
      </c>
      <c r="H1539" t="str">
        <f>_xlfn.XLOOKUP(A1539,'[1]Tissue Data'!$A:$A,'[1]Tissue Data'!K:K)</f>
        <v>Whole Body</v>
      </c>
      <c r="I1539">
        <f>_xlfn.XLOOKUP(A1539,'[1]Tissue Data'!$A:$A,'[1]Tissue Data'!L:L)</f>
        <v>9.5</v>
      </c>
      <c r="J1539">
        <f>_xlfn.XLOOKUP(A1539,'[1]Tissue Data'!$A:$A,'[1]Tissue Data'!M:M)</f>
        <v>18.3</v>
      </c>
      <c r="K1539" t="s">
        <v>49</v>
      </c>
      <c r="L1539" t="str">
        <f>_xlfn.XLOOKUP(K1539,[2]analyte_order!$B:$B,[2]analyte_order!$C:$C)</f>
        <v>812-70-4</v>
      </c>
      <c r="M1539">
        <f>_xlfn.XLOOKUP(L1539,[2]analyte_order!$C:$C,[2]analyte_order!$E:$E)</f>
        <v>40</v>
      </c>
      <c r="N1539">
        <v>10.9</v>
      </c>
    </row>
    <row r="1540" spans="1:14">
      <c r="A1540" t="s">
        <v>242</v>
      </c>
      <c r="B1540" t="str">
        <f>_xlfn.XLOOKUP(A1540,'[1]Tissue Data'!$A:$A,'[1]Tissue Data'!$C:$C)</f>
        <v>Spill</v>
      </c>
      <c r="C1540" s="2">
        <f>_xlfn.XLOOKUP(A1540,'[1]Tissue Data'!$A:$A,'[1]Tissue Data'!$D:$D)</f>
        <v>44314</v>
      </c>
      <c r="D1540" s="2" t="str">
        <f>_xlfn.XLOOKUP(A1540,'[1]Tissue Data'!$A:$A,'[1]Tissue Data'!$F:$F)</f>
        <v>Pumpkinseed</v>
      </c>
      <c r="E1540" t="str">
        <f>_xlfn.XLOOKUP(A1540,'[1]Tissue Data'!$A:$A,'[1]Tissue Data'!$H:$H)</f>
        <v>Lepomis</v>
      </c>
      <c r="F1540" t="str">
        <f>_xlfn.XLOOKUP(A1540,'[1]Tissue Data'!$A:$A,'[1]Tissue Data'!$I:$I)</f>
        <v>gibbosus</v>
      </c>
      <c r="G1540" t="str">
        <f>_xlfn.XLOOKUP(A1540,'[1]Tissue Data'!$A:$A,'[1]Tissue Data'!J:J)</f>
        <v>U</v>
      </c>
      <c r="H1540" t="str">
        <f>_xlfn.XLOOKUP(A1540,'[1]Tissue Data'!$A:$A,'[1]Tissue Data'!K:K)</f>
        <v>Whole Body</v>
      </c>
      <c r="I1540">
        <f>_xlfn.XLOOKUP(A1540,'[1]Tissue Data'!$A:$A,'[1]Tissue Data'!L:L)</f>
        <v>9.5</v>
      </c>
      <c r="J1540">
        <f>_xlfn.XLOOKUP(A1540,'[1]Tissue Data'!$A:$A,'[1]Tissue Data'!M:M)</f>
        <v>18.3</v>
      </c>
      <c r="K1540" t="s">
        <v>50</v>
      </c>
      <c r="L1540" t="str">
        <f>_xlfn.XLOOKUP(K1540,[2]analyte_order!$B:$B,[2]analyte_order!$C:$C)</f>
        <v>53826-12-3</v>
      </c>
      <c r="M1540">
        <f>_xlfn.XLOOKUP(L1540,[2]analyte_order!$C:$C,[2]analyte_order!$E:$E)</f>
        <v>41</v>
      </c>
      <c r="N1540">
        <v>2.75</v>
      </c>
    </row>
    <row r="1541" spans="1:14">
      <c r="A1541" t="s">
        <v>242</v>
      </c>
      <c r="B1541" t="str">
        <f>_xlfn.XLOOKUP(A1541,'[1]Tissue Data'!$A:$A,'[1]Tissue Data'!$C:$C)</f>
        <v>Spill</v>
      </c>
      <c r="C1541" s="2">
        <f>_xlfn.XLOOKUP(A1541,'[1]Tissue Data'!$A:$A,'[1]Tissue Data'!$D:$D)</f>
        <v>44314</v>
      </c>
      <c r="D1541" s="2" t="str">
        <f>_xlfn.XLOOKUP(A1541,'[1]Tissue Data'!$A:$A,'[1]Tissue Data'!$F:$F)</f>
        <v>Pumpkinseed</v>
      </c>
      <c r="E1541" t="str">
        <f>_xlfn.XLOOKUP(A1541,'[1]Tissue Data'!$A:$A,'[1]Tissue Data'!$H:$H)</f>
        <v>Lepomis</v>
      </c>
      <c r="F1541" t="str">
        <f>_xlfn.XLOOKUP(A1541,'[1]Tissue Data'!$A:$A,'[1]Tissue Data'!$I:$I)</f>
        <v>gibbosus</v>
      </c>
      <c r="G1541" t="str">
        <f>_xlfn.XLOOKUP(A1541,'[1]Tissue Data'!$A:$A,'[1]Tissue Data'!J:J)</f>
        <v>U</v>
      </c>
      <c r="H1541" t="str">
        <f>_xlfn.XLOOKUP(A1541,'[1]Tissue Data'!$A:$A,'[1]Tissue Data'!K:K)</f>
        <v>Whole Body</v>
      </c>
      <c r="I1541">
        <f>_xlfn.XLOOKUP(A1541,'[1]Tissue Data'!$A:$A,'[1]Tissue Data'!L:L)</f>
        <v>9.5</v>
      </c>
      <c r="J1541">
        <f>_xlfn.XLOOKUP(A1541,'[1]Tissue Data'!$A:$A,'[1]Tissue Data'!M:M)</f>
        <v>18.3</v>
      </c>
      <c r="K1541" t="s">
        <v>51</v>
      </c>
      <c r="L1541" t="str">
        <f>_xlfn.XLOOKUP(K1541,[2]analyte_order!$B:$B,[2]analyte_order!$C:$C)</f>
        <v>27854-31-5</v>
      </c>
      <c r="M1541">
        <f>_xlfn.XLOOKUP(L1541,[2]analyte_order!$C:$C,[2]analyte_order!$E:$E)</f>
        <v>42</v>
      </c>
      <c r="N1541">
        <v>2.7750027750027748E-2</v>
      </c>
    </row>
    <row r="1542" spans="1:14">
      <c r="A1542" t="s">
        <v>242</v>
      </c>
      <c r="B1542" t="str">
        <f>_xlfn.XLOOKUP(A1542,'[1]Tissue Data'!$A:$A,'[1]Tissue Data'!$C:$C)</f>
        <v>Spill</v>
      </c>
      <c r="C1542" s="2">
        <f>_xlfn.XLOOKUP(A1542,'[1]Tissue Data'!$A:$A,'[1]Tissue Data'!$D:$D)</f>
        <v>44314</v>
      </c>
      <c r="D1542" s="2" t="str">
        <f>_xlfn.XLOOKUP(A1542,'[1]Tissue Data'!$A:$A,'[1]Tissue Data'!$F:$F)</f>
        <v>Pumpkinseed</v>
      </c>
      <c r="E1542" t="str">
        <f>_xlfn.XLOOKUP(A1542,'[1]Tissue Data'!$A:$A,'[1]Tissue Data'!$H:$H)</f>
        <v>Lepomis</v>
      </c>
      <c r="F1542" t="str">
        <f>_xlfn.XLOOKUP(A1542,'[1]Tissue Data'!$A:$A,'[1]Tissue Data'!$I:$I)</f>
        <v>gibbosus</v>
      </c>
      <c r="G1542" t="str">
        <f>_xlfn.XLOOKUP(A1542,'[1]Tissue Data'!$A:$A,'[1]Tissue Data'!J:J)</f>
        <v>U</v>
      </c>
      <c r="H1542" t="str">
        <f>_xlfn.XLOOKUP(A1542,'[1]Tissue Data'!$A:$A,'[1]Tissue Data'!K:K)</f>
        <v>Whole Body</v>
      </c>
      <c r="I1542">
        <f>_xlfn.XLOOKUP(A1542,'[1]Tissue Data'!$A:$A,'[1]Tissue Data'!L:L)</f>
        <v>9.5</v>
      </c>
      <c r="J1542">
        <f>_xlfn.XLOOKUP(A1542,'[1]Tissue Data'!$A:$A,'[1]Tissue Data'!M:M)</f>
        <v>18.3</v>
      </c>
      <c r="K1542" t="s">
        <v>52</v>
      </c>
      <c r="L1542" t="str">
        <f>_xlfn.XLOOKUP(K1542,[2]analyte_order!$B:$B,[2]analyte_order!$C:$C)</f>
        <v>53826-13-4</v>
      </c>
      <c r="M1542">
        <f>_xlfn.XLOOKUP(L1542,[2]analyte_order!$C:$C,[2]analyte_order!$E:$E)</f>
        <v>43</v>
      </c>
      <c r="N1542">
        <v>0.10352095875000002</v>
      </c>
    </row>
    <row r="1543" spans="1:14">
      <c r="A1543" t="s">
        <v>242</v>
      </c>
      <c r="B1543" t="str">
        <f>_xlfn.XLOOKUP(A1543,'[1]Tissue Data'!$A:$A,'[1]Tissue Data'!$C:$C)</f>
        <v>Spill</v>
      </c>
      <c r="C1543" s="2">
        <f>_xlfn.XLOOKUP(A1543,'[1]Tissue Data'!$A:$A,'[1]Tissue Data'!$D:$D)</f>
        <v>44314</v>
      </c>
      <c r="D1543" s="2" t="str">
        <f>_xlfn.XLOOKUP(A1543,'[1]Tissue Data'!$A:$A,'[1]Tissue Data'!$F:$F)</f>
        <v>Pumpkinseed</v>
      </c>
      <c r="E1543" t="str">
        <f>_xlfn.XLOOKUP(A1543,'[1]Tissue Data'!$A:$A,'[1]Tissue Data'!$H:$H)</f>
        <v>Lepomis</v>
      </c>
      <c r="F1543" t="str">
        <f>_xlfn.XLOOKUP(A1543,'[1]Tissue Data'!$A:$A,'[1]Tissue Data'!$I:$I)</f>
        <v>gibbosus</v>
      </c>
      <c r="G1543" t="str">
        <f>_xlfn.XLOOKUP(A1543,'[1]Tissue Data'!$A:$A,'[1]Tissue Data'!J:J)</f>
        <v>U</v>
      </c>
      <c r="H1543" t="str">
        <f>_xlfn.XLOOKUP(A1543,'[1]Tissue Data'!$A:$A,'[1]Tissue Data'!K:K)</f>
        <v>Whole Body</v>
      </c>
      <c r="I1543">
        <f>_xlfn.XLOOKUP(A1543,'[1]Tissue Data'!$A:$A,'[1]Tissue Data'!L:L)</f>
        <v>9.5</v>
      </c>
      <c r="J1543">
        <f>_xlfn.XLOOKUP(A1543,'[1]Tissue Data'!$A:$A,'[1]Tissue Data'!M:M)</f>
        <v>18.3</v>
      </c>
      <c r="K1543" t="s">
        <v>53</v>
      </c>
      <c r="L1543" t="str">
        <f>_xlfn.XLOOKUP(K1543,[2]analyte_order!$B:$B,[2]analyte_order!$C:$C)</f>
        <v>161094-75-3</v>
      </c>
      <c r="M1543">
        <f>_xlfn.XLOOKUP(L1543,[2]analyte_order!$C:$C,[2]analyte_order!$E:$E)</f>
        <v>44</v>
      </c>
      <c r="N1543">
        <v>5.4473065000000001E-2</v>
      </c>
    </row>
    <row r="1544" spans="1:14">
      <c r="A1544" t="s">
        <v>242</v>
      </c>
      <c r="B1544" t="str">
        <f>_xlfn.XLOOKUP(A1544,'[1]Tissue Data'!$A:$A,'[1]Tissue Data'!$C:$C)</f>
        <v>Spill</v>
      </c>
      <c r="C1544" s="2">
        <f>_xlfn.XLOOKUP(A1544,'[1]Tissue Data'!$A:$A,'[1]Tissue Data'!$D:$D)</f>
        <v>44314</v>
      </c>
      <c r="D1544" s="2" t="str">
        <f>_xlfn.XLOOKUP(A1544,'[1]Tissue Data'!$A:$A,'[1]Tissue Data'!$F:$F)</f>
        <v>Pumpkinseed</v>
      </c>
      <c r="E1544" t="str">
        <f>_xlfn.XLOOKUP(A1544,'[1]Tissue Data'!$A:$A,'[1]Tissue Data'!$H:$H)</f>
        <v>Lepomis</v>
      </c>
      <c r="F1544" t="str">
        <f>_xlfn.XLOOKUP(A1544,'[1]Tissue Data'!$A:$A,'[1]Tissue Data'!$I:$I)</f>
        <v>gibbosus</v>
      </c>
      <c r="G1544" t="str">
        <f>_xlfn.XLOOKUP(A1544,'[1]Tissue Data'!$A:$A,'[1]Tissue Data'!J:J)</f>
        <v>U</v>
      </c>
      <c r="H1544" t="str">
        <f>_xlfn.XLOOKUP(A1544,'[1]Tissue Data'!$A:$A,'[1]Tissue Data'!K:K)</f>
        <v>Whole Body</v>
      </c>
      <c r="I1544">
        <f>_xlfn.XLOOKUP(A1544,'[1]Tissue Data'!$A:$A,'[1]Tissue Data'!L:L)</f>
        <v>9.5</v>
      </c>
      <c r="J1544">
        <f>_xlfn.XLOOKUP(A1544,'[1]Tissue Data'!$A:$A,'[1]Tissue Data'!M:M)</f>
        <v>18.3</v>
      </c>
      <c r="K1544" t="s">
        <v>54</v>
      </c>
      <c r="L1544" t="str">
        <f>_xlfn.XLOOKUP(K1544,[2]analyte_order!$B:$B,[2]analyte_order!$C:$C)</f>
        <v>70887-84-2</v>
      </c>
      <c r="M1544">
        <f>_xlfn.XLOOKUP(L1544,[2]analyte_order!$C:$C,[2]analyte_order!$E:$E)</f>
        <v>45</v>
      </c>
      <c r="N1544">
        <v>4.1923668625000007E-2</v>
      </c>
    </row>
    <row r="1545" spans="1:14">
      <c r="A1545" t="s">
        <v>242</v>
      </c>
      <c r="B1545" t="str">
        <f>_xlfn.XLOOKUP(A1545,'[1]Tissue Data'!$A:$A,'[1]Tissue Data'!$C:$C)</f>
        <v>Spill</v>
      </c>
      <c r="C1545" s="2">
        <f>_xlfn.XLOOKUP(A1545,'[1]Tissue Data'!$A:$A,'[1]Tissue Data'!$D:$D)</f>
        <v>44314</v>
      </c>
      <c r="D1545" s="2" t="str">
        <f>_xlfn.XLOOKUP(A1545,'[1]Tissue Data'!$A:$A,'[1]Tissue Data'!$F:$F)</f>
        <v>Pumpkinseed</v>
      </c>
      <c r="E1545" t="str">
        <f>_xlfn.XLOOKUP(A1545,'[1]Tissue Data'!$A:$A,'[1]Tissue Data'!$H:$H)</f>
        <v>Lepomis</v>
      </c>
      <c r="F1545" t="str">
        <f>_xlfn.XLOOKUP(A1545,'[1]Tissue Data'!$A:$A,'[1]Tissue Data'!$I:$I)</f>
        <v>gibbosus</v>
      </c>
      <c r="G1545" t="str">
        <f>_xlfn.XLOOKUP(A1545,'[1]Tissue Data'!$A:$A,'[1]Tissue Data'!J:J)</f>
        <v>U</v>
      </c>
      <c r="H1545" t="str">
        <f>_xlfn.XLOOKUP(A1545,'[1]Tissue Data'!$A:$A,'[1]Tissue Data'!K:K)</f>
        <v>Whole Body</v>
      </c>
      <c r="I1545">
        <f>_xlfn.XLOOKUP(A1545,'[1]Tissue Data'!$A:$A,'[1]Tissue Data'!L:L)</f>
        <v>9.5</v>
      </c>
      <c r="J1545">
        <f>_xlfn.XLOOKUP(A1545,'[1]Tissue Data'!$A:$A,'[1]Tissue Data'!M:M)</f>
        <v>18.3</v>
      </c>
      <c r="K1545" t="s">
        <v>55</v>
      </c>
      <c r="L1545" t="str">
        <f>_xlfn.XLOOKUP(K1545,[2]analyte_order!$B:$B,[2]analyte_order!$C:$C)</f>
        <v>919005-14-4</v>
      </c>
      <c r="M1545">
        <f>_xlfn.XLOOKUP(L1545,[2]analyte_order!$C:$C,[2]analyte_order!$E:$E)</f>
        <v>35</v>
      </c>
      <c r="N1545">
        <v>6.9375069375069362E-2</v>
      </c>
    </row>
    <row r="1546" spans="1:14">
      <c r="A1546" t="s">
        <v>242</v>
      </c>
      <c r="B1546" t="str">
        <f>_xlfn.XLOOKUP(A1546,'[1]Tissue Data'!$A:$A,'[1]Tissue Data'!$C:$C)</f>
        <v>Spill</v>
      </c>
      <c r="C1546" s="2">
        <f>_xlfn.XLOOKUP(A1546,'[1]Tissue Data'!$A:$A,'[1]Tissue Data'!$D:$D)</f>
        <v>44314</v>
      </c>
      <c r="D1546" s="2" t="str">
        <f>_xlfn.XLOOKUP(A1546,'[1]Tissue Data'!$A:$A,'[1]Tissue Data'!$F:$F)</f>
        <v>Pumpkinseed</v>
      </c>
      <c r="E1546" t="str">
        <f>_xlfn.XLOOKUP(A1546,'[1]Tissue Data'!$A:$A,'[1]Tissue Data'!$H:$H)</f>
        <v>Lepomis</v>
      </c>
      <c r="F1546" t="str">
        <f>_xlfn.XLOOKUP(A1546,'[1]Tissue Data'!$A:$A,'[1]Tissue Data'!$I:$I)</f>
        <v>gibbosus</v>
      </c>
      <c r="G1546" t="str">
        <f>_xlfn.XLOOKUP(A1546,'[1]Tissue Data'!$A:$A,'[1]Tissue Data'!J:J)</f>
        <v>U</v>
      </c>
      <c r="H1546" t="str">
        <f>_xlfn.XLOOKUP(A1546,'[1]Tissue Data'!$A:$A,'[1]Tissue Data'!K:K)</f>
        <v>Whole Body</v>
      </c>
      <c r="I1546">
        <f>_xlfn.XLOOKUP(A1546,'[1]Tissue Data'!$A:$A,'[1]Tissue Data'!L:L)</f>
        <v>9.5</v>
      </c>
      <c r="J1546">
        <f>_xlfn.XLOOKUP(A1546,'[1]Tissue Data'!$A:$A,'[1]Tissue Data'!M:M)</f>
        <v>18.3</v>
      </c>
      <c r="K1546" t="s">
        <v>56</v>
      </c>
      <c r="L1546" t="str">
        <f>_xlfn.XLOOKUP(K1546,[2]analyte_order!$B:$B,[2]analyte_order!$C:$C)</f>
        <v>756426-58-1</v>
      </c>
      <c r="M1546">
        <f>_xlfn.XLOOKUP(L1546,[2]analyte_order!$C:$C,[2]analyte_order!$E:$E)</f>
        <v>36</v>
      </c>
      <c r="N1546">
        <v>4.8153696250000003E-2</v>
      </c>
    </row>
    <row r="1547" spans="1:14">
      <c r="A1547" t="s">
        <v>242</v>
      </c>
      <c r="B1547" t="str">
        <f>_xlfn.XLOOKUP(A1547,'[1]Tissue Data'!$A:$A,'[1]Tissue Data'!$C:$C)</f>
        <v>Spill</v>
      </c>
      <c r="C1547" s="2">
        <f>_xlfn.XLOOKUP(A1547,'[1]Tissue Data'!$A:$A,'[1]Tissue Data'!$D:$D)</f>
        <v>44314</v>
      </c>
      <c r="D1547" s="2" t="str">
        <f>_xlfn.XLOOKUP(A1547,'[1]Tissue Data'!$A:$A,'[1]Tissue Data'!$F:$F)</f>
        <v>Pumpkinseed</v>
      </c>
      <c r="E1547" t="str">
        <f>_xlfn.XLOOKUP(A1547,'[1]Tissue Data'!$A:$A,'[1]Tissue Data'!$H:$H)</f>
        <v>Lepomis</v>
      </c>
      <c r="F1547" t="str">
        <f>_xlfn.XLOOKUP(A1547,'[1]Tissue Data'!$A:$A,'[1]Tissue Data'!$I:$I)</f>
        <v>gibbosus</v>
      </c>
      <c r="G1547" t="str">
        <f>_xlfn.XLOOKUP(A1547,'[1]Tissue Data'!$A:$A,'[1]Tissue Data'!J:J)</f>
        <v>U</v>
      </c>
      <c r="H1547" t="str">
        <f>_xlfn.XLOOKUP(A1547,'[1]Tissue Data'!$A:$A,'[1]Tissue Data'!K:K)</f>
        <v>Whole Body</v>
      </c>
      <c r="I1547">
        <f>_xlfn.XLOOKUP(A1547,'[1]Tissue Data'!$A:$A,'[1]Tissue Data'!L:L)</f>
        <v>9.5</v>
      </c>
      <c r="J1547">
        <f>_xlfn.XLOOKUP(A1547,'[1]Tissue Data'!$A:$A,'[1]Tissue Data'!M:M)</f>
        <v>18.3</v>
      </c>
      <c r="K1547" t="s">
        <v>57</v>
      </c>
      <c r="L1547" t="str">
        <f>_xlfn.XLOOKUP(K1547,[2]analyte_order!$B:$B,[2]analyte_order!$C:$C)</f>
        <v>763051-92-9</v>
      </c>
      <c r="M1547">
        <f>_xlfn.XLOOKUP(L1547,[2]analyte_order!$C:$C,[2]analyte_order!$E:$E)</f>
        <v>37</v>
      </c>
      <c r="N1547">
        <v>5.4666898749999998E-2</v>
      </c>
    </row>
    <row r="1548" spans="1:14">
      <c r="A1548" t="s">
        <v>242</v>
      </c>
      <c r="B1548" t="str">
        <f>_xlfn.XLOOKUP(A1548,'[1]Tissue Data'!$A:$A,'[1]Tissue Data'!$C:$C)</f>
        <v>Spill</v>
      </c>
      <c r="C1548" s="2">
        <f>_xlfn.XLOOKUP(A1548,'[1]Tissue Data'!$A:$A,'[1]Tissue Data'!$D:$D)</f>
        <v>44314</v>
      </c>
      <c r="D1548" s="2" t="str">
        <f>_xlfn.XLOOKUP(A1548,'[1]Tissue Data'!$A:$A,'[1]Tissue Data'!$F:$F)</f>
        <v>Pumpkinseed</v>
      </c>
      <c r="E1548" t="str">
        <f>_xlfn.XLOOKUP(A1548,'[1]Tissue Data'!$A:$A,'[1]Tissue Data'!$H:$H)</f>
        <v>Lepomis</v>
      </c>
      <c r="F1548" t="str">
        <f>_xlfn.XLOOKUP(A1548,'[1]Tissue Data'!$A:$A,'[1]Tissue Data'!$I:$I)</f>
        <v>gibbosus</v>
      </c>
      <c r="G1548" t="str">
        <f>_xlfn.XLOOKUP(A1548,'[1]Tissue Data'!$A:$A,'[1]Tissue Data'!J:J)</f>
        <v>U</v>
      </c>
      <c r="H1548" t="str">
        <f>_xlfn.XLOOKUP(A1548,'[1]Tissue Data'!$A:$A,'[1]Tissue Data'!K:K)</f>
        <v>Whole Body</v>
      </c>
      <c r="I1548">
        <f>_xlfn.XLOOKUP(A1548,'[1]Tissue Data'!$A:$A,'[1]Tissue Data'!L:L)</f>
        <v>9.5</v>
      </c>
      <c r="J1548">
        <f>_xlfn.XLOOKUP(A1548,'[1]Tissue Data'!$A:$A,'[1]Tissue Data'!M:M)</f>
        <v>18.3</v>
      </c>
      <c r="K1548" t="s">
        <v>58</v>
      </c>
      <c r="L1548" t="str">
        <f>_xlfn.XLOOKUP(K1548,[2]analyte_order!$B:$B,[2]analyte_order!$C:$C)</f>
        <v>13252-13-6</v>
      </c>
      <c r="M1548">
        <f>_xlfn.XLOOKUP(L1548,[2]analyte_order!$C:$C,[2]analyte_order!$E:$E)</f>
        <v>34</v>
      </c>
      <c r="N1548">
        <v>9.955520625E-2</v>
      </c>
    </row>
    <row r="1549" spans="1:14">
      <c r="A1549" t="s">
        <v>242</v>
      </c>
      <c r="B1549" t="str">
        <f>_xlfn.XLOOKUP(A1549,'[1]Tissue Data'!$A:$A,'[1]Tissue Data'!$C:$C)</f>
        <v>Spill</v>
      </c>
      <c r="C1549" s="2">
        <f>_xlfn.XLOOKUP(A1549,'[1]Tissue Data'!$A:$A,'[1]Tissue Data'!$D:$D)</f>
        <v>44314</v>
      </c>
      <c r="D1549" s="2" t="str">
        <f>_xlfn.XLOOKUP(A1549,'[1]Tissue Data'!$A:$A,'[1]Tissue Data'!$F:$F)</f>
        <v>Pumpkinseed</v>
      </c>
      <c r="E1549" t="str">
        <f>_xlfn.XLOOKUP(A1549,'[1]Tissue Data'!$A:$A,'[1]Tissue Data'!$H:$H)</f>
        <v>Lepomis</v>
      </c>
      <c r="F1549" t="str">
        <f>_xlfn.XLOOKUP(A1549,'[1]Tissue Data'!$A:$A,'[1]Tissue Data'!$I:$I)</f>
        <v>gibbosus</v>
      </c>
      <c r="G1549" t="str">
        <f>_xlfn.XLOOKUP(A1549,'[1]Tissue Data'!$A:$A,'[1]Tissue Data'!J:J)</f>
        <v>U</v>
      </c>
      <c r="H1549" t="str">
        <f>_xlfn.XLOOKUP(A1549,'[1]Tissue Data'!$A:$A,'[1]Tissue Data'!K:K)</f>
        <v>Whole Body</v>
      </c>
      <c r="I1549">
        <f>_xlfn.XLOOKUP(A1549,'[1]Tissue Data'!$A:$A,'[1]Tissue Data'!L:L)</f>
        <v>9.5</v>
      </c>
      <c r="J1549">
        <f>_xlfn.XLOOKUP(A1549,'[1]Tissue Data'!$A:$A,'[1]Tissue Data'!M:M)</f>
        <v>18.3</v>
      </c>
      <c r="K1549" t="s">
        <v>59</v>
      </c>
      <c r="L1549" t="str">
        <f>_xlfn.XLOOKUP(K1549,[2]analyte_order!$B:$B,[2]analyte_order!$C:$C)</f>
        <v>57677-95-9</v>
      </c>
      <c r="M1549">
        <f>_xlfn.XLOOKUP(L1549,[2]analyte_order!$C:$C,[2]analyte_order!$E:$E)</f>
        <v>46</v>
      </c>
      <c r="N1549">
        <v>7.3851768750000005E-2</v>
      </c>
    </row>
    <row r="1550" spans="1:14">
      <c r="A1550" t="s">
        <v>242</v>
      </c>
      <c r="B1550" t="str">
        <f>_xlfn.XLOOKUP(A1550,'[1]Tissue Data'!$A:$A,'[1]Tissue Data'!$C:$C)</f>
        <v>Spill</v>
      </c>
      <c r="C1550" s="2">
        <f>_xlfn.XLOOKUP(A1550,'[1]Tissue Data'!$A:$A,'[1]Tissue Data'!$D:$D)</f>
        <v>44314</v>
      </c>
      <c r="D1550" s="2" t="str">
        <f>_xlfn.XLOOKUP(A1550,'[1]Tissue Data'!$A:$A,'[1]Tissue Data'!$F:$F)</f>
        <v>Pumpkinseed</v>
      </c>
      <c r="E1550" t="str">
        <f>_xlfn.XLOOKUP(A1550,'[1]Tissue Data'!$A:$A,'[1]Tissue Data'!$H:$H)</f>
        <v>Lepomis</v>
      </c>
      <c r="F1550" t="str">
        <f>_xlfn.XLOOKUP(A1550,'[1]Tissue Data'!$A:$A,'[1]Tissue Data'!$I:$I)</f>
        <v>gibbosus</v>
      </c>
      <c r="G1550" t="str">
        <f>_xlfn.XLOOKUP(A1550,'[1]Tissue Data'!$A:$A,'[1]Tissue Data'!J:J)</f>
        <v>U</v>
      </c>
      <c r="H1550" t="str">
        <f>_xlfn.XLOOKUP(A1550,'[1]Tissue Data'!$A:$A,'[1]Tissue Data'!K:K)</f>
        <v>Whole Body</v>
      </c>
      <c r="I1550">
        <f>_xlfn.XLOOKUP(A1550,'[1]Tissue Data'!$A:$A,'[1]Tissue Data'!L:L)</f>
        <v>9.5</v>
      </c>
      <c r="J1550">
        <f>_xlfn.XLOOKUP(A1550,'[1]Tissue Data'!$A:$A,'[1]Tissue Data'!M:M)</f>
        <v>18.3</v>
      </c>
      <c r="K1550" t="s">
        <v>60</v>
      </c>
      <c r="L1550" t="str">
        <f>_xlfn.XLOOKUP(K1550,[2]analyte_order!$B:$B,[2]analyte_order!$C:$C)</f>
        <v>678-41-1</v>
      </c>
      <c r="M1550">
        <f>_xlfn.XLOOKUP(L1550,[2]analyte_order!$C:$C,[2]analyte_order!$E:$E)</f>
        <v>56</v>
      </c>
      <c r="N1550">
        <v>9.1978438749999988E-2</v>
      </c>
    </row>
    <row r="1551" spans="1:14">
      <c r="A1551" t="s">
        <v>242</v>
      </c>
      <c r="B1551" t="str">
        <f>_xlfn.XLOOKUP(A1551,'[1]Tissue Data'!$A:$A,'[1]Tissue Data'!$C:$C)</f>
        <v>Spill</v>
      </c>
      <c r="C1551" s="2">
        <f>_xlfn.XLOOKUP(A1551,'[1]Tissue Data'!$A:$A,'[1]Tissue Data'!$D:$D)</f>
        <v>44314</v>
      </c>
      <c r="D1551" s="2" t="str">
        <f>_xlfn.XLOOKUP(A1551,'[1]Tissue Data'!$A:$A,'[1]Tissue Data'!$F:$F)</f>
        <v>Pumpkinseed</v>
      </c>
      <c r="E1551" t="str">
        <f>_xlfn.XLOOKUP(A1551,'[1]Tissue Data'!$A:$A,'[1]Tissue Data'!$H:$H)</f>
        <v>Lepomis</v>
      </c>
      <c r="F1551" t="str">
        <f>_xlfn.XLOOKUP(A1551,'[1]Tissue Data'!$A:$A,'[1]Tissue Data'!$I:$I)</f>
        <v>gibbosus</v>
      </c>
      <c r="G1551" t="str">
        <f>_xlfn.XLOOKUP(A1551,'[1]Tissue Data'!$A:$A,'[1]Tissue Data'!J:J)</f>
        <v>U</v>
      </c>
      <c r="H1551" t="str">
        <f>_xlfn.XLOOKUP(A1551,'[1]Tissue Data'!$A:$A,'[1]Tissue Data'!K:K)</f>
        <v>Whole Body</v>
      </c>
      <c r="I1551">
        <f>_xlfn.XLOOKUP(A1551,'[1]Tissue Data'!$A:$A,'[1]Tissue Data'!L:L)</f>
        <v>9.5</v>
      </c>
      <c r="J1551">
        <f>_xlfn.XLOOKUP(A1551,'[1]Tissue Data'!$A:$A,'[1]Tissue Data'!M:M)</f>
        <v>18.3</v>
      </c>
      <c r="K1551" t="s">
        <v>61</v>
      </c>
      <c r="L1551" t="str">
        <f>_xlfn.XLOOKUP(K1551,[2]analyte_order!$B:$B,[2]analyte_order!$C:$C)</f>
        <v>2965-52-8</v>
      </c>
      <c r="M1551">
        <f>_xlfn.XLOOKUP(L1551,[2]analyte_order!$C:$C,[2]analyte_order!$E:$E)</f>
        <v>57</v>
      </c>
      <c r="N1551">
        <v>0.12210012210012208</v>
      </c>
    </row>
    <row r="1552" spans="1:14">
      <c r="A1552" t="s">
        <v>245</v>
      </c>
      <c r="B1552" t="str">
        <f>_xlfn.XLOOKUP(A1552,'[1]Tissue Data'!$A:$A,'[1]Tissue Data'!$C:$C)</f>
        <v>Spill</v>
      </c>
      <c r="C1552" s="2">
        <f>_xlfn.XLOOKUP(A1552,'[1]Tissue Data'!$A:$A,'[1]Tissue Data'!$D:$D)</f>
        <v>44314</v>
      </c>
      <c r="D1552" s="2" t="str">
        <f>_xlfn.XLOOKUP(A1552,'[1]Tissue Data'!$A:$A,'[1]Tissue Data'!$F:$F)</f>
        <v>Pumpkinseed</v>
      </c>
      <c r="E1552" t="str">
        <f>_xlfn.XLOOKUP(A1552,'[1]Tissue Data'!$A:$A,'[1]Tissue Data'!$H:$H)</f>
        <v>Lepomis</v>
      </c>
      <c r="F1552" t="str">
        <f>_xlfn.XLOOKUP(A1552,'[1]Tissue Data'!$A:$A,'[1]Tissue Data'!$I:$I)</f>
        <v>gibbosus</v>
      </c>
      <c r="G1552" t="str">
        <f>_xlfn.XLOOKUP(A1552,'[1]Tissue Data'!$A:$A,'[1]Tissue Data'!J:J)</f>
        <v>U</v>
      </c>
      <c r="H1552" t="str">
        <f>_xlfn.XLOOKUP(A1552,'[1]Tissue Data'!$A:$A,'[1]Tissue Data'!K:K)</f>
        <v>Muscle</v>
      </c>
      <c r="I1552">
        <f>_xlfn.XLOOKUP(A1552,'[1]Tissue Data'!$A:$A,'[1]Tissue Data'!L:L)</f>
        <v>10</v>
      </c>
      <c r="J1552">
        <f>_xlfn.XLOOKUP(A1552,'[1]Tissue Data'!$A:$A,'[1]Tissue Data'!M:M)</f>
        <v>25.5</v>
      </c>
      <c r="K1552" t="s">
        <v>12</v>
      </c>
      <c r="L1552" t="str">
        <f>_xlfn.XLOOKUP(K1552,[2]analyte_order!$B:$B,[2]analyte_order!$C:$C)</f>
        <v>375-22-4</v>
      </c>
      <c r="M1552">
        <f>_xlfn.XLOOKUP(L1552,[2]analyte_order!$C:$C,[2]analyte_order!$E:$E)</f>
        <v>1</v>
      </c>
      <c r="N1552">
        <v>3.0229136857378932E-2</v>
      </c>
    </row>
    <row r="1553" spans="1:14">
      <c r="A1553" t="s">
        <v>245</v>
      </c>
      <c r="B1553" t="str">
        <f>_xlfn.XLOOKUP(A1553,'[1]Tissue Data'!$A:$A,'[1]Tissue Data'!$C:$C)</f>
        <v>Spill</v>
      </c>
      <c r="C1553" s="2">
        <f>_xlfn.XLOOKUP(A1553,'[1]Tissue Data'!$A:$A,'[1]Tissue Data'!$D:$D)</f>
        <v>44314</v>
      </c>
      <c r="D1553" s="2" t="str">
        <f>_xlfn.XLOOKUP(A1553,'[1]Tissue Data'!$A:$A,'[1]Tissue Data'!$F:$F)</f>
        <v>Pumpkinseed</v>
      </c>
      <c r="E1553" t="str">
        <f>_xlfn.XLOOKUP(A1553,'[1]Tissue Data'!$A:$A,'[1]Tissue Data'!$H:$H)</f>
        <v>Lepomis</v>
      </c>
      <c r="F1553" t="str">
        <f>_xlfn.XLOOKUP(A1553,'[1]Tissue Data'!$A:$A,'[1]Tissue Data'!$I:$I)</f>
        <v>gibbosus</v>
      </c>
      <c r="G1553" t="str">
        <f>_xlfn.XLOOKUP(A1553,'[1]Tissue Data'!$A:$A,'[1]Tissue Data'!J:J)</f>
        <v>U</v>
      </c>
      <c r="H1553" t="str">
        <f>_xlfn.XLOOKUP(A1553,'[1]Tissue Data'!$A:$A,'[1]Tissue Data'!K:K)</f>
        <v>Muscle</v>
      </c>
      <c r="I1553">
        <f>_xlfn.XLOOKUP(A1553,'[1]Tissue Data'!$A:$A,'[1]Tissue Data'!L:L)</f>
        <v>10</v>
      </c>
      <c r="J1553">
        <f>_xlfn.XLOOKUP(A1553,'[1]Tissue Data'!$A:$A,'[1]Tissue Data'!M:M)</f>
        <v>25.5</v>
      </c>
      <c r="K1553" t="s">
        <v>13</v>
      </c>
      <c r="L1553" t="str">
        <f>_xlfn.XLOOKUP(K1553,[2]analyte_order!$B:$B,[2]analyte_order!$C:$C)</f>
        <v>2706-90-3</v>
      </c>
      <c r="M1553">
        <f>_xlfn.XLOOKUP(L1553,[2]analyte_order!$C:$C,[2]analyte_order!$E:$E)</f>
        <v>2</v>
      </c>
      <c r="N1553">
        <v>5.3395333638328539E-2</v>
      </c>
    </row>
    <row r="1554" spans="1:14">
      <c r="A1554" t="s">
        <v>245</v>
      </c>
      <c r="B1554" t="str">
        <f>_xlfn.XLOOKUP(A1554,'[1]Tissue Data'!$A:$A,'[1]Tissue Data'!$C:$C)</f>
        <v>Spill</v>
      </c>
      <c r="C1554" s="2">
        <f>_xlfn.XLOOKUP(A1554,'[1]Tissue Data'!$A:$A,'[1]Tissue Data'!$D:$D)</f>
        <v>44314</v>
      </c>
      <c r="D1554" s="2" t="str">
        <f>_xlfn.XLOOKUP(A1554,'[1]Tissue Data'!$A:$A,'[1]Tissue Data'!$F:$F)</f>
        <v>Pumpkinseed</v>
      </c>
      <c r="E1554" t="str">
        <f>_xlfn.XLOOKUP(A1554,'[1]Tissue Data'!$A:$A,'[1]Tissue Data'!$H:$H)</f>
        <v>Lepomis</v>
      </c>
      <c r="F1554" t="str">
        <f>_xlfn.XLOOKUP(A1554,'[1]Tissue Data'!$A:$A,'[1]Tissue Data'!$I:$I)</f>
        <v>gibbosus</v>
      </c>
      <c r="G1554" t="str">
        <f>_xlfn.XLOOKUP(A1554,'[1]Tissue Data'!$A:$A,'[1]Tissue Data'!J:J)</f>
        <v>U</v>
      </c>
      <c r="H1554" t="str">
        <f>_xlfn.XLOOKUP(A1554,'[1]Tissue Data'!$A:$A,'[1]Tissue Data'!K:K)</f>
        <v>Muscle</v>
      </c>
      <c r="I1554">
        <f>_xlfn.XLOOKUP(A1554,'[1]Tissue Data'!$A:$A,'[1]Tissue Data'!L:L)</f>
        <v>10</v>
      </c>
      <c r="J1554">
        <f>_xlfn.XLOOKUP(A1554,'[1]Tissue Data'!$A:$A,'[1]Tissue Data'!M:M)</f>
        <v>25.5</v>
      </c>
      <c r="K1554" t="s">
        <v>14</v>
      </c>
      <c r="L1554" t="str">
        <f>_xlfn.XLOOKUP(K1554,[2]analyte_order!$B:$B,[2]analyte_order!$C:$C)</f>
        <v>307-24-4</v>
      </c>
      <c r="M1554">
        <f>_xlfn.XLOOKUP(L1554,[2]analyte_order!$C:$C,[2]analyte_order!$E:$E)</f>
        <v>3</v>
      </c>
      <c r="N1554">
        <v>4.0786002421469743E-2</v>
      </c>
    </row>
    <row r="1555" spans="1:14">
      <c r="A1555" t="s">
        <v>245</v>
      </c>
      <c r="B1555" t="str">
        <f>_xlfn.XLOOKUP(A1555,'[1]Tissue Data'!$A:$A,'[1]Tissue Data'!$C:$C)</f>
        <v>Spill</v>
      </c>
      <c r="C1555" s="2">
        <f>_xlfn.XLOOKUP(A1555,'[1]Tissue Data'!$A:$A,'[1]Tissue Data'!$D:$D)</f>
        <v>44314</v>
      </c>
      <c r="D1555" s="2" t="str">
        <f>_xlfn.XLOOKUP(A1555,'[1]Tissue Data'!$A:$A,'[1]Tissue Data'!$F:$F)</f>
        <v>Pumpkinseed</v>
      </c>
      <c r="E1555" t="str">
        <f>_xlfn.XLOOKUP(A1555,'[1]Tissue Data'!$A:$A,'[1]Tissue Data'!$H:$H)</f>
        <v>Lepomis</v>
      </c>
      <c r="F1555" t="str">
        <f>_xlfn.XLOOKUP(A1555,'[1]Tissue Data'!$A:$A,'[1]Tissue Data'!$I:$I)</f>
        <v>gibbosus</v>
      </c>
      <c r="G1555" t="str">
        <f>_xlfn.XLOOKUP(A1555,'[1]Tissue Data'!$A:$A,'[1]Tissue Data'!J:J)</f>
        <v>U</v>
      </c>
      <c r="H1555" t="str">
        <f>_xlfn.XLOOKUP(A1555,'[1]Tissue Data'!$A:$A,'[1]Tissue Data'!K:K)</f>
        <v>Muscle</v>
      </c>
      <c r="I1555">
        <f>_xlfn.XLOOKUP(A1555,'[1]Tissue Data'!$A:$A,'[1]Tissue Data'!L:L)</f>
        <v>10</v>
      </c>
      <c r="J1555">
        <f>_xlfn.XLOOKUP(A1555,'[1]Tissue Data'!$A:$A,'[1]Tissue Data'!M:M)</f>
        <v>25.5</v>
      </c>
      <c r="K1555" t="s">
        <v>15</v>
      </c>
      <c r="L1555" t="str">
        <f>_xlfn.XLOOKUP(K1555,[2]analyte_order!$B:$B,[2]analyte_order!$C:$C)</f>
        <v>375-85-9</v>
      </c>
      <c r="M1555">
        <f>_xlfn.XLOOKUP(L1555,[2]analyte_order!$C:$C,[2]analyte_order!$E:$E)</f>
        <v>4</v>
      </c>
      <c r="N1555">
        <v>9.2459420587630986E-2</v>
      </c>
    </row>
    <row r="1556" spans="1:14">
      <c r="A1556" t="s">
        <v>245</v>
      </c>
      <c r="B1556" t="str">
        <f>_xlfn.XLOOKUP(A1556,'[1]Tissue Data'!$A:$A,'[1]Tissue Data'!$C:$C)</f>
        <v>Spill</v>
      </c>
      <c r="C1556" s="2">
        <f>_xlfn.XLOOKUP(A1556,'[1]Tissue Data'!$A:$A,'[1]Tissue Data'!$D:$D)</f>
        <v>44314</v>
      </c>
      <c r="D1556" s="2" t="str">
        <f>_xlfn.XLOOKUP(A1556,'[1]Tissue Data'!$A:$A,'[1]Tissue Data'!$F:$F)</f>
        <v>Pumpkinseed</v>
      </c>
      <c r="E1556" t="str">
        <f>_xlfn.XLOOKUP(A1556,'[1]Tissue Data'!$A:$A,'[1]Tissue Data'!$H:$H)</f>
        <v>Lepomis</v>
      </c>
      <c r="F1556" t="str">
        <f>_xlfn.XLOOKUP(A1556,'[1]Tissue Data'!$A:$A,'[1]Tissue Data'!$I:$I)</f>
        <v>gibbosus</v>
      </c>
      <c r="G1556" t="str">
        <f>_xlfn.XLOOKUP(A1556,'[1]Tissue Data'!$A:$A,'[1]Tissue Data'!J:J)</f>
        <v>U</v>
      </c>
      <c r="H1556" t="str">
        <f>_xlfn.XLOOKUP(A1556,'[1]Tissue Data'!$A:$A,'[1]Tissue Data'!K:K)</f>
        <v>Muscle</v>
      </c>
      <c r="I1556">
        <f>_xlfn.XLOOKUP(A1556,'[1]Tissue Data'!$A:$A,'[1]Tissue Data'!L:L)</f>
        <v>10</v>
      </c>
      <c r="J1556">
        <f>_xlfn.XLOOKUP(A1556,'[1]Tissue Data'!$A:$A,'[1]Tissue Data'!M:M)</f>
        <v>25.5</v>
      </c>
      <c r="K1556" t="s">
        <v>16</v>
      </c>
      <c r="L1556" t="str">
        <f>_xlfn.XLOOKUP(K1556,[2]analyte_order!$B:$B,[2]analyte_order!$C:$C)</f>
        <v>335-67-1</v>
      </c>
      <c r="M1556">
        <f>_xlfn.XLOOKUP(L1556,[2]analyte_order!$C:$C,[2]analyte_order!$E:$E)</f>
        <v>5</v>
      </c>
      <c r="N1556">
        <v>9.2459420587630986E-2</v>
      </c>
    </row>
    <row r="1557" spans="1:14">
      <c r="A1557" t="s">
        <v>245</v>
      </c>
      <c r="B1557" t="str">
        <f>_xlfn.XLOOKUP(A1557,'[1]Tissue Data'!$A:$A,'[1]Tissue Data'!$C:$C)</f>
        <v>Spill</v>
      </c>
      <c r="C1557" s="2">
        <f>_xlfn.XLOOKUP(A1557,'[1]Tissue Data'!$A:$A,'[1]Tissue Data'!$D:$D)</f>
        <v>44314</v>
      </c>
      <c r="D1557" s="2" t="str">
        <f>_xlfn.XLOOKUP(A1557,'[1]Tissue Data'!$A:$A,'[1]Tissue Data'!$F:$F)</f>
        <v>Pumpkinseed</v>
      </c>
      <c r="E1557" t="str">
        <f>_xlfn.XLOOKUP(A1557,'[1]Tissue Data'!$A:$A,'[1]Tissue Data'!$H:$H)</f>
        <v>Lepomis</v>
      </c>
      <c r="F1557" t="str">
        <f>_xlfn.XLOOKUP(A1557,'[1]Tissue Data'!$A:$A,'[1]Tissue Data'!$I:$I)</f>
        <v>gibbosus</v>
      </c>
      <c r="G1557" t="str">
        <f>_xlfn.XLOOKUP(A1557,'[1]Tissue Data'!$A:$A,'[1]Tissue Data'!J:J)</f>
        <v>U</v>
      </c>
      <c r="H1557" t="str">
        <f>_xlfn.XLOOKUP(A1557,'[1]Tissue Data'!$A:$A,'[1]Tissue Data'!K:K)</f>
        <v>Muscle</v>
      </c>
      <c r="I1557">
        <f>_xlfn.XLOOKUP(A1557,'[1]Tissue Data'!$A:$A,'[1]Tissue Data'!L:L)</f>
        <v>10</v>
      </c>
      <c r="J1557">
        <f>_xlfn.XLOOKUP(A1557,'[1]Tissue Data'!$A:$A,'[1]Tissue Data'!M:M)</f>
        <v>25.5</v>
      </c>
      <c r="K1557" t="s">
        <v>17</v>
      </c>
      <c r="L1557" t="str">
        <f>_xlfn.XLOOKUP(K1557,[2]analyte_order!$B:$B,[2]analyte_order!$C:$C)</f>
        <v>375-95-1</v>
      </c>
      <c r="M1557">
        <f>_xlfn.XLOOKUP(L1557,[2]analyte_order!$C:$C,[2]analyte_order!$E:$E)</f>
        <v>6</v>
      </c>
      <c r="N1557">
        <v>0.15996527048453868</v>
      </c>
    </row>
    <row r="1558" spans="1:14">
      <c r="A1558" t="s">
        <v>245</v>
      </c>
      <c r="B1558" t="str">
        <f>_xlfn.XLOOKUP(A1558,'[1]Tissue Data'!$A:$A,'[1]Tissue Data'!$C:$C)</f>
        <v>Spill</v>
      </c>
      <c r="C1558" s="2">
        <f>_xlfn.XLOOKUP(A1558,'[1]Tissue Data'!$A:$A,'[1]Tissue Data'!$D:$D)</f>
        <v>44314</v>
      </c>
      <c r="D1558" s="2" t="str">
        <f>_xlfn.XLOOKUP(A1558,'[1]Tissue Data'!$A:$A,'[1]Tissue Data'!$F:$F)</f>
        <v>Pumpkinseed</v>
      </c>
      <c r="E1558" t="str">
        <f>_xlfn.XLOOKUP(A1558,'[1]Tissue Data'!$A:$A,'[1]Tissue Data'!$H:$H)</f>
        <v>Lepomis</v>
      </c>
      <c r="F1558" t="str">
        <f>_xlfn.XLOOKUP(A1558,'[1]Tissue Data'!$A:$A,'[1]Tissue Data'!$I:$I)</f>
        <v>gibbosus</v>
      </c>
      <c r="G1558" t="str">
        <f>_xlfn.XLOOKUP(A1558,'[1]Tissue Data'!$A:$A,'[1]Tissue Data'!J:J)</f>
        <v>U</v>
      </c>
      <c r="H1558" t="str">
        <f>_xlfn.XLOOKUP(A1558,'[1]Tissue Data'!$A:$A,'[1]Tissue Data'!K:K)</f>
        <v>Muscle</v>
      </c>
      <c r="I1558">
        <f>_xlfn.XLOOKUP(A1558,'[1]Tissue Data'!$A:$A,'[1]Tissue Data'!L:L)</f>
        <v>10</v>
      </c>
      <c r="J1558">
        <f>_xlfn.XLOOKUP(A1558,'[1]Tissue Data'!$A:$A,'[1]Tissue Data'!M:M)</f>
        <v>25.5</v>
      </c>
      <c r="K1558" t="s">
        <v>18</v>
      </c>
      <c r="L1558" t="str">
        <f>_xlfn.XLOOKUP(K1558,[2]analyte_order!$B:$B,[2]analyte_order!$C:$C)</f>
        <v>335-76-2</v>
      </c>
      <c r="M1558">
        <f>_xlfn.XLOOKUP(L1558,[2]analyte_order!$C:$C,[2]analyte_order!$E:$E)</f>
        <v>7</v>
      </c>
      <c r="N1558">
        <v>1.23</v>
      </c>
    </row>
    <row r="1559" spans="1:14">
      <c r="A1559" t="s">
        <v>245</v>
      </c>
      <c r="B1559" t="str">
        <f>_xlfn.XLOOKUP(A1559,'[1]Tissue Data'!$A:$A,'[1]Tissue Data'!$C:$C)</f>
        <v>Spill</v>
      </c>
      <c r="C1559" s="2">
        <f>_xlfn.XLOOKUP(A1559,'[1]Tissue Data'!$A:$A,'[1]Tissue Data'!$D:$D)</f>
        <v>44314</v>
      </c>
      <c r="D1559" s="2" t="str">
        <f>_xlfn.XLOOKUP(A1559,'[1]Tissue Data'!$A:$A,'[1]Tissue Data'!$F:$F)</f>
        <v>Pumpkinseed</v>
      </c>
      <c r="E1559" t="str">
        <f>_xlfn.XLOOKUP(A1559,'[1]Tissue Data'!$A:$A,'[1]Tissue Data'!$H:$H)</f>
        <v>Lepomis</v>
      </c>
      <c r="F1559" t="str">
        <f>_xlfn.XLOOKUP(A1559,'[1]Tissue Data'!$A:$A,'[1]Tissue Data'!$I:$I)</f>
        <v>gibbosus</v>
      </c>
      <c r="G1559" t="str">
        <f>_xlfn.XLOOKUP(A1559,'[1]Tissue Data'!$A:$A,'[1]Tissue Data'!J:J)</f>
        <v>U</v>
      </c>
      <c r="H1559" t="str">
        <f>_xlfn.XLOOKUP(A1559,'[1]Tissue Data'!$A:$A,'[1]Tissue Data'!K:K)</f>
        <v>Muscle</v>
      </c>
      <c r="I1559">
        <f>_xlfn.XLOOKUP(A1559,'[1]Tissue Data'!$A:$A,'[1]Tissue Data'!L:L)</f>
        <v>10</v>
      </c>
      <c r="J1559">
        <f>_xlfn.XLOOKUP(A1559,'[1]Tissue Data'!$A:$A,'[1]Tissue Data'!M:M)</f>
        <v>25.5</v>
      </c>
      <c r="K1559" t="s">
        <v>19</v>
      </c>
      <c r="L1559" t="str">
        <f>_xlfn.XLOOKUP(K1559,[2]analyte_order!$B:$B,[2]analyte_order!$C:$C)</f>
        <v>2058-94-8</v>
      </c>
      <c r="M1559">
        <f>_xlfn.XLOOKUP(L1559,[2]analyte_order!$C:$C,[2]analyte_order!$E:$E)</f>
        <v>8</v>
      </c>
      <c r="N1559">
        <v>1.59</v>
      </c>
    </row>
    <row r="1560" spans="1:14">
      <c r="A1560" t="s">
        <v>245</v>
      </c>
      <c r="B1560" t="str">
        <f>_xlfn.XLOOKUP(A1560,'[1]Tissue Data'!$A:$A,'[1]Tissue Data'!$C:$C)</f>
        <v>Spill</v>
      </c>
      <c r="C1560" s="2">
        <f>_xlfn.XLOOKUP(A1560,'[1]Tissue Data'!$A:$A,'[1]Tissue Data'!$D:$D)</f>
        <v>44314</v>
      </c>
      <c r="D1560" s="2" t="str">
        <f>_xlfn.XLOOKUP(A1560,'[1]Tissue Data'!$A:$A,'[1]Tissue Data'!$F:$F)</f>
        <v>Pumpkinseed</v>
      </c>
      <c r="E1560" t="str">
        <f>_xlfn.XLOOKUP(A1560,'[1]Tissue Data'!$A:$A,'[1]Tissue Data'!$H:$H)</f>
        <v>Lepomis</v>
      </c>
      <c r="F1560" t="str">
        <f>_xlfn.XLOOKUP(A1560,'[1]Tissue Data'!$A:$A,'[1]Tissue Data'!$I:$I)</f>
        <v>gibbosus</v>
      </c>
      <c r="G1560" t="str">
        <f>_xlfn.XLOOKUP(A1560,'[1]Tissue Data'!$A:$A,'[1]Tissue Data'!J:J)</f>
        <v>U</v>
      </c>
      <c r="H1560" t="str">
        <f>_xlfn.XLOOKUP(A1560,'[1]Tissue Data'!$A:$A,'[1]Tissue Data'!K:K)</f>
        <v>Muscle</v>
      </c>
      <c r="I1560">
        <f>_xlfn.XLOOKUP(A1560,'[1]Tissue Data'!$A:$A,'[1]Tissue Data'!L:L)</f>
        <v>10</v>
      </c>
      <c r="J1560">
        <f>_xlfn.XLOOKUP(A1560,'[1]Tissue Data'!$A:$A,'[1]Tissue Data'!M:M)</f>
        <v>25.5</v>
      </c>
      <c r="K1560" t="s">
        <v>20</v>
      </c>
      <c r="L1560" t="str">
        <f>_xlfn.XLOOKUP(K1560,[2]analyte_order!$B:$B,[2]analyte_order!$C:$C)</f>
        <v>307-55-1</v>
      </c>
      <c r="M1560">
        <f>_xlfn.XLOOKUP(L1560,[2]analyte_order!$C:$C,[2]analyte_order!$E:$E)</f>
        <v>9</v>
      </c>
      <c r="N1560">
        <v>12.6</v>
      </c>
    </row>
    <row r="1561" spans="1:14">
      <c r="A1561" t="s">
        <v>245</v>
      </c>
      <c r="B1561" t="str">
        <f>_xlfn.XLOOKUP(A1561,'[1]Tissue Data'!$A:$A,'[1]Tissue Data'!$C:$C)</f>
        <v>Spill</v>
      </c>
      <c r="C1561" s="2">
        <f>_xlfn.XLOOKUP(A1561,'[1]Tissue Data'!$A:$A,'[1]Tissue Data'!$D:$D)</f>
        <v>44314</v>
      </c>
      <c r="D1561" s="2" t="str">
        <f>_xlfn.XLOOKUP(A1561,'[1]Tissue Data'!$A:$A,'[1]Tissue Data'!$F:$F)</f>
        <v>Pumpkinseed</v>
      </c>
      <c r="E1561" t="str">
        <f>_xlfn.XLOOKUP(A1561,'[1]Tissue Data'!$A:$A,'[1]Tissue Data'!$H:$H)</f>
        <v>Lepomis</v>
      </c>
      <c r="F1561" t="str">
        <f>_xlfn.XLOOKUP(A1561,'[1]Tissue Data'!$A:$A,'[1]Tissue Data'!$I:$I)</f>
        <v>gibbosus</v>
      </c>
      <c r="G1561" t="str">
        <f>_xlfn.XLOOKUP(A1561,'[1]Tissue Data'!$A:$A,'[1]Tissue Data'!J:J)</f>
        <v>U</v>
      </c>
      <c r="H1561" t="str">
        <f>_xlfn.XLOOKUP(A1561,'[1]Tissue Data'!$A:$A,'[1]Tissue Data'!K:K)</f>
        <v>Muscle</v>
      </c>
      <c r="I1561">
        <f>_xlfn.XLOOKUP(A1561,'[1]Tissue Data'!$A:$A,'[1]Tissue Data'!L:L)</f>
        <v>10</v>
      </c>
      <c r="J1561">
        <f>_xlfn.XLOOKUP(A1561,'[1]Tissue Data'!$A:$A,'[1]Tissue Data'!M:M)</f>
        <v>25.5</v>
      </c>
      <c r="K1561" t="s">
        <v>21</v>
      </c>
      <c r="L1561" t="str">
        <f>_xlfn.XLOOKUP(K1561,[2]analyte_order!$B:$B,[2]analyte_order!$C:$C)</f>
        <v>72629-94-8</v>
      </c>
      <c r="M1561">
        <f>_xlfn.XLOOKUP(L1561,[2]analyte_order!$C:$C,[2]analyte_order!$E:$E)</f>
        <v>10</v>
      </c>
      <c r="N1561">
        <v>1.45</v>
      </c>
    </row>
    <row r="1562" spans="1:14">
      <c r="A1562" t="s">
        <v>245</v>
      </c>
      <c r="B1562" t="str">
        <f>_xlfn.XLOOKUP(A1562,'[1]Tissue Data'!$A:$A,'[1]Tissue Data'!$C:$C)</f>
        <v>Spill</v>
      </c>
      <c r="C1562" s="2">
        <f>_xlfn.XLOOKUP(A1562,'[1]Tissue Data'!$A:$A,'[1]Tissue Data'!$D:$D)</f>
        <v>44314</v>
      </c>
      <c r="D1562" s="2" t="str">
        <f>_xlfn.XLOOKUP(A1562,'[1]Tissue Data'!$A:$A,'[1]Tissue Data'!$F:$F)</f>
        <v>Pumpkinseed</v>
      </c>
      <c r="E1562" t="str">
        <f>_xlfn.XLOOKUP(A1562,'[1]Tissue Data'!$A:$A,'[1]Tissue Data'!$H:$H)</f>
        <v>Lepomis</v>
      </c>
      <c r="F1562" t="str">
        <f>_xlfn.XLOOKUP(A1562,'[1]Tissue Data'!$A:$A,'[1]Tissue Data'!$I:$I)</f>
        <v>gibbosus</v>
      </c>
      <c r="G1562" t="str">
        <f>_xlfn.XLOOKUP(A1562,'[1]Tissue Data'!$A:$A,'[1]Tissue Data'!J:J)</f>
        <v>U</v>
      </c>
      <c r="H1562" t="str">
        <f>_xlfn.XLOOKUP(A1562,'[1]Tissue Data'!$A:$A,'[1]Tissue Data'!K:K)</f>
        <v>Muscle</v>
      </c>
      <c r="I1562">
        <f>_xlfn.XLOOKUP(A1562,'[1]Tissue Data'!$A:$A,'[1]Tissue Data'!L:L)</f>
        <v>10</v>
      </c>
      <c r="J1562">
        <f>_xlfn.XLOOKUP(A1562,'[1]Tissue Data'!$A:$A,'[1]Tissue Data'!M:M)</f>
        <v>25.5</v>
      </c>
      <c r="K1562" t="s">
        <v>22</v>
      </c>
      <c r="L1562" t="str">
        <f>_xlfn.XLOOKUP(K1562,[2]analyte_order!$B:$B,[2]analyte_order!$C:$C)</f>
        <v>376-06-7</v>
      </c>
      <c r="M1562">
        <f>_xlfn.XLOOKUP(L1562,[2]analyte_order!$C:$C,[2]analyte_order!$E:$E)</f>
        <v>11</v>
      </c>
      <c r="N1562">
        <v>4.24</v>
      </c>
    </row>
    <row r="1563" spans="1:14">
      <c r="A1563" t="s">
        <v>245</v>
      </c>
      <c r="B1563" t="str">
        <f>_xlfn.XLOOKUP(A1563,'[1]Tissue Data'!$A:$A,'[1]Tissue Data'!$C:$C)</f>
        <v>Spill</v>
      </c>
      <c r="C1563" s="2">
        <f>_xlfn.XLOOKUP(A1563,'[1]Tissue Data'!$A:$A,'[1]Tissue Data'!$D:$D)</f>
        <v>44314</v>
      </c>
      <c r="D1563" s="2" t="str">
        <f>_xlfn.XLOOKUP(A1563,'[1]Tissue Data'!$A:$A,'[1]Tissue Data'!$F:$F)</f>
        <v>Pumpkinseed</v>
      </c>
      <c r="E1563" t="str">
        <f>_xlfn.XLOOKUP(A1563,'[1]Tissue Data'!$A:$A,'[1]Tissue Data'!$H:$H)</f>
        <v>Lepomis</v>
      </c>
      <c r="F1563" t="str">
        <f>_xlfn.XLOOKUP(A1563,'[1]Tissue Data'!$A:$A,'[1]Tissue Data'!$I:$I)</f>
        <v>gibbosus</v>
      </c>
      <c r="G1563" t="str">
        <f>_xlfn.XLOOKUP(A1563,'[1]Tissue Data'!$A:$A,'[1]Tissue Data'!J:J)</f>
        <v>U</v>
      </c>
      <c r="H1563" t="str">
        <f>_xlfn.XLOOKUP(A1563,'[1]Tissue Data'!$A:$A,'[1]Tissue Data'!K:K)</f>
        <v>Muscle</v>
      </c>
      <c r="I1563">
        <f>_xlfn.XLOOKUP(A1563,'[1]Tissue Data'!$A:$A,'[1]Tissue Data'!L:L)</f>
        <v>10</v>
      </c>
      <c r="J1563">
        <f>_xlfn.XLOOKUP(A1563,'[1]Tissue Data'!$A:$A,'[1]Tissue Data'!M:M)</f>
        <v>25.5</v>
      </c>
      <c r="K1563" t="s">
        <v>23</v>
      </c>
      <c r="L1563" t="str">
        <f>_xlfn.XLOOKUP(K1563,[2]analyte_order!$B:$B,[2]analyte_order!$C:$C)</f>
        <v>67905-19-5</v>
      </c>
      <c r="M1563">
        <f>_xlfn.XLOOKUP(L1563,[2]analyte_order!$C:$C,[2]analyte_order!$E:$E)</f>
        <v>12</v>
      </c>
      <c r="N1563">
        <v>9.0067723962536025E-2</v>
      </c>
    </row>
    <row r="1564" spans="1:14">
      <c r="A1564" t="s">
        <v>245</v>
      </c>
      <c r="B1564" t="str">
        <f>_xlfn.XLOOKUP(A1564,'[1]Tissue Data'!$A:$A,'[1]Tissue Data'!$C:$C)</f>
        <v>Spill</v>
      </c>
      <c r="C1564" s="2">
        <f>_xlfn.XLOOKUP(A1564,'[1]Tissue Data'!$A:$A,'[1]Tissue Data'!$D:$D)</f>
        <v>44314</v>
      </c>
      <c r="D1564" s="2" t="str">
        <f>_xlfn.XLOOKUP(A1564,'[1]Tissue Data'!$A:$A,'[1]Tissue Data'!$F:$F)</f>
        <v>Pumpkinseed</v>
      </c>
      <c r="E1564" t="str">
        <f>_xlfn.XLOOKUP(A1564,'[1]Tissue Data'!$A:$A,'[1]Tissue Data'!$H:$H)</f>
        <v>Lepomis</v>
      </c>
      <c r="F1564" t="str">
        <f>_xlfn.XLOOKUP(A1564,'[1]Tissue Data'!$A:$A,'[1]Tissue Data'!$I:$I)</f>
        <v>gibbosus</v>
      </c>
      <c r="G1564" t="str">
        <f>_xlfn.XLOOKUP(A1564,'[1]Tissue Data'!$A:$A,'[1]Tissue Data'!J:J)</f>
        <v>U</v>
      </c>
      <c r="H1564" t="str">
        <f>_xlfn.XLOOKUP(A1564,'[1]Tissue Data'!$A:$A,'[1]Tissue Data'!K:K)</f>
        <v>Muscle</v>
      </c>
      <c r="I1564">
        <f>_xlfn.XLOOKUP(A1564,'[1]Tissue Data'!$A:$A,'[1]Tissue Data'!L:L)</f>
        <v>10</v>
      </c>
      <c r="J1564">
        <f>_xlfn.XLOOKUP(A1564,'[1]Tissue Data'!$A:$A,'[1]Tissue Data'!M:M)</f>
        <v>25.5</v>
      </c>
      <c r="K1564" t="s">
        <v>24</v>
      </c>
      <c r="L1564" t="str">
        <f>_xlfn.XLOOKUP(K1564,[2]analyte_order!$B:$B,[2]analyte_order!$C:$C)</f>
        <v>423-41-6</v>
      </c>
      <c r="M1564">
        <f>_xlfn.XLOOKUP(L1564,[2]analyte_order!$C:$C,[2]analyte_order!$E:$E)</f>
        <v>53</v>
      </c>
      <c r="N1564">
        <v>5.7658544546109518E-2</v>
      </c>
    </row>
    <row r="1565" spans="1:14">
      <c r="A1565" t="s">
        <v>245</v>
      </c>
      <c r="B1565" t="str">
        <f>_xlfn.XLOOKUP(A1565,'[1]Tissue Data'!$A:$A,'[1]Tissue Data'!$C:$C)</f>
        <v>Spill</v>
      </c>
      <c r="C1565" s="2">
        <f>_xlfn.XLOOKUP(A1565,'[1]Tissue Data'!$A:$A,'[1]Tissue Data'!$D:$D)</f>
        <v>44314</v>
      </c>
      <c r="D1565" s="2" t="str">
        <f>_xlfn.XLOOKUP(A1565,'[1]Tissue Data'!$A:$A,'[1]Tissue Data'!$F:$F)</f>
        <v>Pumpkinseed</v>
      </c>
      <c r="E1565" t="str">
        <f>_xlfn.XLOOKUP(A1565,'[1]Tissue Data'!$A:$A,'[1]Tissue Data'!$H:$H)</f>
        <v>Lepomis</v>
      </c>
      <c r="F1565" t="str">
        <f>_xlfn.XLOOKUP(A1565,'[1]Tissue Data'!$A:$A,'[1]Tissue Data'!$I:$I)</f>
        <v>gibbosus</v>
      </c>
      <c r="G1565" t="str">
        <f>_xlfn.XLOOKUP(A1565,'[1]Tissue Data'!$A:$A,'[1]Tissue Data'!J:J)</f>
        <v>U</v>
      </c>
      <c r="H1565" t="str">
        <f>_xlfn.XLOOKUP(A1565,'[1]Tissue Data'!$A:$A,'[1]Tissue Data'!K:K)</f>
        <v>Muscle</v>
      </c>
      <c r="I1565">
        <f>_xlfn.XLOOKUP(A1565,'[1]Tissue Data'!$A:$A,'[1]Tissue Data'!L:L)</f>
        <v>10</v>
      </c>
      <c r="J1565">
        <f>_xlfn.XLOOKUP(A1565,'[1]Tissue Data'!$A:$A,'[1]Tissue Data'!M:M)</f>
        <v>25.5</v>
      </c>
      <c r="K1565" t="s">
        <v>25</v>
      </c>
      <c r="L1565" t="str">
        <f>_xlfn.XLOOKUP(K1565,[2]analyte_order!$B:$B,[2]analyte_order!$C:$C)</f>
        <v>375-73-5</v>
      </c>
      <c r="M1565">
        <f>_xlfn.XLOOKUP(L1565,[2]analyte_order!$C:$C,[2]analyte_order!$E:$E)</f>
        <v>14</v>
      </c>
      <c r="N1565">
        <v>0.15732185829335316</v>
      </c>
    </row>
    <row r="1566" spans="1:14">
      <c r="A1566" t="s">
        <v>245</v>
      </c>
      <c r="B1566" t="str">
        <f>_xlfn.XLOOKUP(A1566,'[1]Tissue Data'!$A:$A,'[1]Tissue Data'!$C:$C)</f>
        <v>Spill</v>
      </c>
      <c r="C1566" s="2">
        <f>_xlfn.XLOOKUP(A1566,'[1]Tissue Data'!$A:$A,'[1]Tissue Data'!$D:$D)</f>
        <v>44314</v>
      </c>
      <c r="D1566" s="2" t="str">
        <f>_xlfn.XLOOKUP(A1566,'[1]Tissue Data'!$A:$A,'[1]Tissue Data'!$F:$F)</f>
        <v>Pumpkinseed</v>
      </c>
      <c r="E1566" t="str">
        <f>_xlfn.XLOOKUP(A1566,'[1]Tissue Data'!$A:$A,'[1]Tissue Data'!$H:$H)</f>
        <v>Lepomis</v>
      </c>
      <c r="F1566" t="str">
        <f>_xlfn.XLOOKUP(A1566,'[1]Tissue Data'!$A:$A,'[1]Tissue Data'!$I:$I)</f>
        <v>gibbosus</v>
      </c>
      <c r="G1566" t="str">
        <f>_xlfn.XLOOKUP(A1566,'[1]Tissue Data'!$A:$A,'[1]Tissue Data'!J:J)</f>
        <v>U</v>
      </c>
      <c r="H1566" t="str">
        <f>_xlfn.XLOOKUP(A1566,'[1]Tissue Data'!$A:$A,'[1]Tissue Data'!K:K)</f>
        <v>Muscle</v>
      </c>
      <c r="I1566">
        <f>_xlfn.XLOOKUP(A1566,'[1]Tissue Data'!$A:$A,'[1]Tissue Data'!L:L)</f>
        <v>10</v>
      </c>
      <c r="J1566">
        <f>_xlfn.XLOOKUP(A1566,'[1]Tissue Data'!$A:$A,'[1]Tissue Data'!M:M)</f>
        <v>25.5</v>
      </c>
      <c r="K1566" t="s">
        <v>26</v>
      </c>
      <c r="L1566" t="str">
        <f>_xlfn.XLOOKUP(K1566,[2]analyte_order!$B:$B,[2]analyte_order!$C:$C)</f>
        <v>2706-91-4</v>
      </c>
      <c r="M1566">
        <f>_xlfn.XLOOKUP(L1566,[2]analyte_order!$C:$C,[2]analyte_order!$E:$E)</f>
        <v>15</v>
      </c>
      <c r="N1566">
        <v>0.12240354515334909</v>
      </c>
    </row>
    <row r="1567" spans="1:14">
      <c r="A1567" t="s">
        <v>245</v>
      </c>
      <c r="B1567" t="str">
        <f>_xlfn.XLOOKUP(A1567,'[1]Tissue Data'!$A:$A,'[1]Tissue Data'!$C:$C)</f>
        <v>Spill</v>
      </c>
      <c r="C1567" s="2">
        <f>_xlfn.XLOOKUP(A1567,'[1]Tissue Data'!$A:$A,'[1]Tissue Data'!$D:$D)</f>
        <v>44314</v>
      </c>
      <c r="D1567" s="2" t="str">
        <f>_xlfn.XLOOKUP(A1567,'[1]Tissue Data'!$A:$A,'[1]Tissue Data'!$F:$F)</f>
        <v>Pumpkinseed</v>
      </c>
      <c r="E1567" t="str">
        <f>_xlfn.XLOOKUP(A1567,'[1]Tissue Data'!$A:$A,'[1]Tissue Data'!$H:$H)</f>
        <v>Lepomis</v>
      </c>
      <c r="F1567" t="str">
        <f>_xlfn.XLOOKUP(A1567,'[1]Tissue Data'!$A:$A,'[1]Tissue Data'!$I:$I)</f>
        <v>gibbosus</v>
      </c>
      <c r="G1567" t="str">
        <f>_xlfn.XLOOKUP(A1567,'[1]Tissue Data'!$A:$A,'[1]Tissue Data'!J:J)</f>
        <v>U</v>
      </c>
      <c r="H1567" t="str">
        <f>_xlfn.XLOOKUP(A1567,'[1]Tissue Data'!$A:$A,'[1]Tissue Data'!K:K)</f>
        <v>Muscle</v>
      </c>
      <c r="I1567">
        <f>_xlfn.XLOOKUP(A1567,'[1]Tissue Data'!$A:$A,'[1]Tissue Data'!L:L)</f>
        <v>10</v>
      </c>
      <c r="J1567">
        <f>_xlfn.XLOOKUP(A1567,'[1]Tissue Data'!$A:$A,'[1]Tissue Data'!M:M)</f>
        <v>25.5</v>
      </c>
      <c r="K1567" t="s">
        <v>27</v>
      </c>
      <c r="L1567" t="str">
        <f>_xlfn.XLOOKUP(K1567,[2]analyte_order!$B:$B,[2]analyte_order!$C:$C)</f>
        <v>355-46-4</v>
      </c>
      <c r="M1567">
        <f>_xlfn.XLOOKUP(L1567,[2]analyte_order!$C:$C,[2]analyte_order!$E:$E)</f>
        <v>16</v>
      </c>
      <c r="N1567">
        <v>2.81</v>
      </c>
    </row>
    <row r="1568" spans="1:14">
      <c r="A1568" t="s">
        <v>245</v>
      </c>
      <c r="B1568" t="str">
        <f>_xlfn.XLOOKUP(A1568,'[1]Tissue Data'!$A:$A,'[1]Tissue Data'!$C:$C)</f>
        <v>Spill</v>
      </c>
      <c r="C1568" s="2">
        <f>_xlfn.XLOOKUP(A1568,'[1]Tissue Data'!$A:$A,'[1]Tissue Data'!$D:$D)</f>
        <v>44314</v>
      </c>
      <c r="D1568" s="2" t="str">
        <f>_xlfn.XLOOKUP(A1568,'[1]Tissue Data'!$A:$A,'[1]Tissue Data'!$F:$F)</f>
        <v>Pumpkinseed</v>
      </c>
      <c r="E1568" t="str">
        <f>_xlfn.XLOOKUP(A1568,'[1]Tissue Data'!$A:$A,'[1]Tissue Data'!$H:$H)</f>
        <v>Lepomis</v>
      </c>
      <c r="F1568" t="str">
        <f>_xlfn.XLOOKUP(A1568,'[1]Tissue Data'!$A:$A,'[1]Tissue Data'!$I:$I)</f>
        <v>gibbosus</v>
      </c>
      <c r="G1568" t="str">
        <f>_xlfn.XLOOKUP(A1568,'[1]Tissue Data'!$A:$A,'[1]Tissue Data'!J:J)</f>
        <v>U</v>
      </c>
      <c r="H1568" t="str">
        <f>_xlfn.XLOOKUP(A1568,'[1]Tissue Data'!$A:$A,'[1]Tissue Data'!K:K)</f>
        <v>Muscle</v>
      </c>
      <c r="I1568">
        <f>_xlfn.XLOOKUP(A1568,'[1]Tissue Data'!$A:$A,'[1]Tissue Data'!L:L)</f>
        <v>10</v>
      </c>
      <c r="J1568">
        <f>_xlfn.XLOOKUP(A1568,'[1]Tissue Data'!$A:$A,'[1]Tissue Data'!M:M)</f>
        <v>25.5</v>
      </c>
      <c r="K1568" t="s">
        <v>28</v>
      </c>
      <c r="L1568" t="str">
        <f>_xlfn.XLOOKUP(K1568,[2]analyte_order!$B:$B,[2]analyte_order!$C:$C)</f>
        <v>375-92-8</v>
      </c>
      <c r="M1568">
        <f>_xlfn.XLOOKUP(L1568,[2]analyte_order!$C:$C,[2]analyte_order!$E:$E)</f>
        <v>17</v>
      </c>
      <c r="N1568">
        <v>0.46400000000000002</v>
      </c>
    </row>
    <row r="1569" spans="1:14">
      <c r="A1569" t="s">
        <v>245</v>
      </c>
      <c r="B1569" t="str">
        <f>_xlfn.XLOOKUP(A1569,'[1]Tissue Data'!$A:$A,'[1]Tissue Data'!$C:$C)</f>
        <v>Spill</v>
      </c>
      <c r="C1569" s="2">
        <f>_xlfn.XLOOKUP(A1569,'[1]Tissue Data'!$A:$A,'[1]Tissue Data'!$D:$D)</f>
        <v>44314</v>
      </c>
      <c r="D1569" s="2" t="str">
        <f>_xlfn.XLOOKUP(A1569,'[1]Tissue Data'!$A:$A,'[1]Tissue Data'!$F:$F)</f>
        <v>Pumpkinseed</v>
      </c>
      <c r="E1569" t="str">
        <f>_xlfn.XLOOKUP(A1569,'[1]Tissue Data'!$A:$A,'[1]Tissue Data'!$H:$H)</f>
        <v>Lepomis</v>
      </c>
      <c r="F1569" t="str">
        <f>_xlfn.XLOOKUP(A1569,'[1]Tissue Data'!$A:$A,'[1]Tissue Data'!$I:$I)</f>
        <v>gibbosus</v>
      </c>
      <c r="G1569" t="str">
        <f>_xlfn.XLOOKUP(A1569,'[1]Tissue Data'!$A:$A,'[1]Tissue Data'!J:J)</f>
        <v>U</v>
      </c>
      <c r="H1569" t="str">
        <f>_xlfn.XLOOKUP(A1569,'[1]Tissue Data'!$A:$A,'[1]Tissue Data'!K:K)</f>
        <v>Muscle</v>
      </c>
      <c r="I1569">
        <f>_xlfn.XLOOKUP(A1569,'[1]Tissue Data'!$A:$A,'[1]Tissue Data'!L:L)</f>
        <v>10</v>
      </c>
      <c r="J1569">
        <f>_xlfn.XLOOKUP(A1569,'[1]Tissue Data'!$A:$A,'[1]Tissue Data'!M:M)</f>
        <v>25.5</v>
      </c>
      <c r="K1569" t="s">
        <v>29</v>
      </c>
      <c r="L1569" t="str">
        <f>_xlfn.XLOOKUP(K1569,[2]analyte_order!$B:$B,[2]analyte_order!$C:$C)</f>
        <v>1763-23-1</v>
      </c>
      <c r="M1569">
        <f>_xlfn.XLOOKUP(L1569,[2]analyte_order!$C:$C,[2]analyte_order!$E:$E)</f>
        <v>18</v>
      </c>
      <c r="N1569">
        <v>311</v>
      </c>
    </row>
    <row r="1570" spans="1:14">
      <c r="A1570" t="s">
        <v>245</v>
      </c>
      <c r="B1570" t="str">
        <f>_xlfn.XLOOKUP(A1570,'[1]Tissue Data'!$A:$A,'[1]Tissue Data'!$C:$C)</f>
        <v>Spill</v>
      </c>
      <c r="C1570" s="2">
        <f>_xlfn.XLOOKUP(A1570,'[1]Tissue Data'!$A:$A,'[1]Tissue Data'!$D:$D)</f>
        <v>44314</v>
      </c>
      <c r="D1570" s="2" t="str">
        <f>_xlfn.XLOOKUP(A1570,'[1]Tissue Data'!$A:$A,'[1]Tissue Data'!$F:$F)</f>
        <v>Pumpkinseed</v>
      </c>
      <c r="E1570" t="str">
        <f>_xlfn.XLOOKUP(A1570,'[1]Tissue Data'!$A:$A,'[1]Tissue Data'!$H:$H)</f>
        <v>Lepomis</v>
      </c>
      <c r="F1570" t="str">
        <f>_xlfn.XLOOKUP(A1570,'[1]Tissue Data'!$A:$A,'[1]Tissue Data'!$I:$I)</f>
        <v>gibbosus</v>
      </c>
      <c r="G1570" t="str">
        <f>_xlfn.XLOOKUP(A1570,'[1]Tissue Data'!$A:$A,'[1]Tissue Data'!J:J)</f>
        <v>U</v>
      </c>
      <c r="H1570" t="str">
        <f>_xlfn.XLOOKUP(A1570,'[1]Tissue Data'!$A:$A,'[1]Tissue Data'!K:K)</f>
        <v>Muscle</v>
      </c>
      <c r="I1570">
        <f>_xlfn.XLOOKUP(A1570,'[1]Tissue Data'!$A:$A,'[1]Tissue Data'!L:L)</f>
        <v>10</v>
      </c>
      <c r="J1570">
        <f>_xlfn.XLOOKUP(A1570,'[1]Tissue Data'!$A:$A,'[1]Tissue Data'!M:M)</f>
        <v>25.5</v>
      </c>
      <c r="K1570" t="s">
        <v>30</v>
      </c>
      <c r="L1570" t="str">
        <f>_xlfn.XLOOKUP(K1570,[2]analyte_order!$B:$B,[2]analyte_order!$C:$C)</f>
        <v>68259-12-1</v>
      </c>
      <c r="M1570">
        <f>_xlfn.XLOOKUP(L1570,[2]analyte_order!$C:$C,[2]analyte_order!$E:$E)</f>
        <v>19</v>
      </c>
      <c r="N1570">
        <v>0.55300000000000005</v>
      </c>
    </row>
    <row r="1571" spans="1:14">
      <c r="A1571" t="s">
        <v>245</v>
      </c>
      <c r="B1571" t="str">
        <f>_xlfn.XLOOKUP(A1571,'[1]Tissue Data'!$A:$A,'[1]Tissue Data'!$C:$C)</f>
        <v>Spill</v>
      </c>
      <c r="C1571" s="2">
        <f>_xlfn.XLOOKUP(A1571,'[1]Tissue Data'!$A:$A,'[1]Tissue Data'!$D:$D)</f>
        <v>44314</v>
      </c>
      <c r="D1571" s="2" t="str">
        <f>_xlfn.XLOOKUP(A1571,'[1]Tissue Data'!$A:$A,'[1]Tissue Data'!$F:$F)</f>
        <v>Pumpkinseed</v>
      </c>
      <c r="E1571" t="str">
        <f>_xlfn.XLOOKUP(A1571,'[1]Tissue Data'!$A:$A,'[1]Tissue Data'!$H:$H)</f>
        <v>Lepomis</v>
      </c>
      <c r="F1571" t="str">
        <f>_xlfn.XLOOKUP(A1571,'[1]Tissue Data'!$A:$A,'[1]Tissue Data'!$I:$I)</f>
        <v>gibbosus</v>
      </c>
      <c r="G1571" t="str">
        <f>_xlfn.XLOOKUP(A1571,'[1]Tissue Data'!$A:$A,'[1]Tissue Data'!J:J)</f>
        <v>U</v>
      </c>
      <c r="H1571" t="str">
        <f>_xlfn.XLOOKUP(A1571,'[1]Tissue Data'!$A:$A,'[1]Tissue Data'!K:K)</f>
        <v>Muscle</v>
      </c>
      <c r="I1571">
        <f>_xlfn.XLOOKUP(A1571,'[1]Tissue Data'!$A:$A,'[1]Tissue Data'!L:L)</f>
        <v>10</v>
      </c>
      <c r="J1571">
        <f>_xlfn.XLOOKUP(A1571,'[1]Tissue Data'!$A:$A,'[1]Tissue Data'!M:M)</f>
        <v>25.5</v>
      </c>
      <c r="K1571" t="s">
        <v>31</v>
      </c>
      <c r="L1571" t="str">
        <f>_xlfn.XLOOKUP(K1571,[2]analyte_order!$B:$B,[2]analyte_order!$C:$C)</f>
        <v>335-77-3</v>
      </c>
      <c r="M1571">
        <f>_xlfn.XLOOKUP(L1571,[2]analyte_order!$C:$C,[2]analyte_order!$E:$E)</f>
        <v>20</v>
      </c>
      <c r="N1571">
        <v>0.60499999999999998</v>
      </c>
    </row>
    <row r="1572" spans="1:14">
      <c r="A1572" t="s">
        <v>245</v>
      </c>
      <c r="B1572" t="str">
        <f>_xlfn.XLOOKUP(A1572,'[1]Tissue Data'!$A:$A,'[1]Tissue Data'!$C:$C)</f>
        <v>Spill</v>
      </c>
      <c r="C1572" s="2">
        <f>_xlfn.XLOOKUP(A1572,'[1]Tissue Data'!$A:$A,'[1]Tissue Data'!$D:$D)</f>
        <v>44314</v>
      </c>
      <c r="D1572" s="2" t="str">
        <f>_xlfn.XLOOKUP(A1572,'[1]Tissue Data'!$A:$A,'[1]Tissue Data'!$F:$F)</f>
        <v>Pumpkinseed</v>
      </c>
      <c r="E1572" t="str">
        <f>_xlfn.XLOOKUP(A1572,'[1]Tissue Data'!$A:$A,'[1]Tissue Data'!$H:$H)</f>
        <v>Lepomis</v>
      </c>
      <c r="F1572" t="str">
        <f>_xlfn.XLOOKUP(A1572,'[1]Tissue Data'!$A:$A,'[1]Tissue Data'!$I:$I)</f>
        <v>gibbosus</v>
      </c>
      <c r="G1572" t="str">
        <f>_xlfn.XLOOKUP(A1572,'[1]Tissue Data'!$A:$A,'[1]Tissue Data'!J:J)</f>
        <v>U</v>
      </c>
      <c r="H1572" t="str">
        <f>_xlfn.XLOOKUP(A1572,'[1]Tissue Data'!$A:$A,'[1]Tissue Data'!K:K)</f>
        <v>Muscle</v>
      </c>
      <c r="I1572">
        <f>_xlfn.XLOOKUP(A1572,'[1]Tissue Data'!$A:$A,'[1]Tissue Data'!L:L)</f>
        <v>10</v>
      </c>
      <c r="J1572">
        <f>_xlfn.XLOOKUP(A1572,'[1]Tissue Data'!$A:$A,'[1]Tissue Data'!M:M)</f>
        <v>25.5</v>
      </c>
      <c r="K1572" t="s">
        <v>32</v>
      </c>
      <c r="L1572" t="str">
        <f>_xlfn.XLOOKUP(K1572,[2]analyte_order!$B:$B,[2]analyte_order!$C:$C)</f>
        <v>79780-39-5</v>
      </c>
      <c r="M1572">
        <f>_xlfn.XLOOKUP(L1572,[2]analyte_order!$C:$C,[2]analyte_order!$E:$E)</f>
        <v>21</v>
      </c>
      <c r="N1572">
        <v>0.24718338749892133</v>
      </c>
    </row>
    <row r="1573" spans="1:14">
      <c r="A1573" t="s">
        <v>245</v>
      </c>
      <c r="B1573" t="str">
        <f>_xlfn.XLOOKUP(A1573,'[1]Tissue Data'!$A:$A,'[1]Tissue Data'!$C:$C)</f>
        <v>Spill</v>
      </c>
      <c r="C1573" s="2">
        <f>_xlfn.XLOOKUP(A1573,'[1]Tissue Data'!$A:$A,'[1]Tissue Data'!$D:$D)</f>
        <v>44314</v>
      </c>
      <c r="D1573" s="2" t="str">
        <f>_xlfn.XLOOKUP(A1573,'[1]Tissue Data'!$A:$A,'[1]Tissue Data'!$F:$F)</f>
        <v>Pumpkinseed</v>
      </c>
      <c r="E1573" t="str">
        <f>_xlfn.XLOOKUP(A1573,'[1]Tissue Data'!$A:$A,'[1]Tissue Data'!$H:$H)</f>
        <v>Lepomis</v>
      </c>
      <c r="F1573" t="str">
        <f>_xlfn.XLOOKUP(A1573,'[1]Tissue Data'!$A:$A,'[1]Tissue Data'!$I:$I)</f>
        <v>gibbosus</v>
      </c>
      <c r="G1573" t="str">
        <f>_xlfn.XLOOKUP(A1573,'[1]Tissue Data'!$A:$A,'[1]Tissue Data'!J:J)</f>
        <v>U</v>
      </c>
      <c r="H1573" t="str">
        <f>_xlfn.XLOOKUP(A1573,'[1]Tissue Data'!$A:$A,'[1]Tissue Data'!K:K)</f>
        <v>Muscle</v>
      </c>
      <c r="I1573">
        <f>_xlfn.XLOOKUP(A1573,'[1]Tissue Data'!$A:$A,'[1]Tissue Data'!L:L)</f>
        <v>10</v>
      </c>
      <c r="J1573">
        <f>_xlfn.XLOOKUP(A1573,'[1]Tissue Data'!$A:$A,'[1]Tissue Data'!M:M)</f>
        <v>25.5</v>
      </c>
      <c r="K1573" t="s">
        <v>33</v>
      </c>
      <c r="L1573" t="str">
        <f>_xlfn.XLOOKUP(K1573,[2]analyte_order!$B:$B,[2]analyte_order!$C:$C)</f>
        <v>777011-38-8</v>
      </c>
      <c r="M1573">
        <f>_xlfn.XLOOKUP(L1573,[2]analyte_order!$C:$C,[2]analyte_order!$E:$E)</f>
        <v>54</v>
      </c>
      <c r="N1573">
        <v>0.14046532080431476</v>
      </c>
    </row>
    <row r="1574" spans="1:14">
      <c r="A1574" t="s">
        <v>245</v>
      </c>
      <c r="B1574" t="str">
        <f>_xlfn.XLOOKUP(A1574,'[1]Tissue Data'!$A:$A,'[1]Tissue Data'!$C:$C)</f>
        <v>Spill</v>
      </c>
      <c r="C1574" s="2">
        <f>_xlfn.XLOOKUP(A1574,'[1]Tissue Data'!$A:$A,'[1]Tissue Data'!$D:$D)</f>
        <v>44314</v>
      </c>
      <c r="D1574" s="2" t="str">
        <f>_xlfn.XLOOKUP(A1574,'[1]Tissue Data'!$A:$A,'[1]Tissue Data'!$F:$F)</f>
        <v>Pumpkinseed</v>
      </c>
      <c r="E1574" t="str">
        <f>_xlfn.XLOOKUP(A1574,'[1]Tissue Data'!$A:$A,'[1]Tissue Data'!$H:$H)</f>
        <v>Lepomis</v>
      </c>
      <c r="F1574" t="str">
        <f>_xlfn.XLOOKUP(A1574,'[1]Tissue Data'!$A:$A,'[1]Tissue Data'!$I:$I)</f>
        <v>gibbosus</v>
      </c>
      <c r="G1574" t="str">
        <f>_xlfn.XLOOKUP(A1574,'[1]Tissue Data'!$A:$A,'[1]Tissue Data'!J:J)</f>
        <v>U</v>
      </c>
      <c r="H1574" t="str">
        <f>_xlfn.XLOOKUP(A1574,'[1]Tissue Data'!$A:$A,'[1]Tissue Data'!K:K)</f>
        <v>Muscle</v>
      </c>
      <c r="I1574">
        <f>_xlfn.XLOOKUP(A1574,'[1]Tissue Data'!$A:$A,'[1]Tissue Data'!L:L)</f>
        <v>10</v>
      </c>
      <c r="J1574">
        <f>_xlfn.XLOOKUP(A1574,'[1]Tissue Data'!$A:$A,'[1]Tissue Data'!M:M)</f>
        <v>25.5</v>
      </c>
      <c r="K1574" t="s">
        <v>34</v>
      </c>
      <c r="L1574" t="str">
        <f>_xlfn.XLOOKUP(K1574,[2]analyte_order!$B:$B,[2]analyte_order!$C:$C)</f>
        <v>646-83-3</v>
      </c>
      <c r="M1574">
        <f>_xlfn.XLOOKUP(L1574,[2]analyte_order!$C:$C,[2]analyte_order!$E:$E)</f>
        <v>55</v>
      </c>
      <c r="N1574">
        <v>9.2459420587630986E-2</v>
      </c>
    </row>
    <row r="1575" spans="1:14">
      <c r="A1575" t="s">
        <v>245</v>
      </c>
      <c r="B1575" t="str">
        <f>_xlfn.XLOOKUP(A1575,'[1]Tissue Data'!$A:$A,'[1]Tissue Data'!$C:$C)</f>
        <v>Spill</v>
      </c>
      <c r="C1575" s="2">
        <f>_xlfn.XLOOKUP(A1575,'[1]Tissue Data'!$A:$A,'[1]Tissue Data'!$D:$D)</f>
        <v>44314</v>
      </c>
      <c r="D1575" s="2" t="str">
        <f>_xlfn.XLOOKUP(A1575,'[1]Tissue Data'!$A:$A,'[1]Tissue Data'!$F:$F)</f>
        <v>Pumpkinseed</v>
      </c>
      <c r="E1575" t="str">
        <f>_xlfn.XLOOKUP(A1575,'[1]Tissue Data'!$A:$A,'[1]Tissue Data'!$H:$H)</f>
        <v>Lepomis</v>
      </c>
      <c r="F1575" t="str">
        <f>_xlfn.XLOOKUP(A1575,'[1]Tissue Data'!$A:$A,'[1]Tissue Data'!$I:$I)</f>
        <v>gibbosus</v>
      </c>
      <c r="G1575" t="str">
        <f>_xlfn.XLOOKUP(A1575,'[1]Tissue Data'!$A:$A,'[1]Tissue Data'!J:J)</f>
        <v>U</v>
      </c>
      <c r="H1575" t="str">
        <f>_xlfn.XLOOKUP(A1575,'[1]Tissue Data'!$A:$A,'[1]Tissue Data'!K:K)</f>
        <v>Muscle</v>
      </c>
      <c r="I1575">
        <f>_xlfn.XLOOKUP(A1575,'[1]Tissue Data'!$A:$A,'[1]Tissue Data'!L:L)</f>
        <v>10</v>
      </c>
      <c r="J1575">
        <f>_xlfn.XLOOKUP(A1575,'[1]Tissue Data'!$A:$A,'[1]Tissue Data'!M:M)</f>
        <v>25.5</v>
      </c>
      <c r="K1575" t="s">
        <v>35</v>
      </c>
      <c r="L1575" t="str">
        <f>_xlfn.XLOOKUP(K1575,[2]analyte_order!$B:$B,[2]analyte_order!$C:$C)</f>
        <v>30334-69-1</v>
      </c>
      <c r="M1575">
        <f>_xlfn.XLOOKUP(L1575,[2]analyte_order!$C:$C,[2]analyte_order!$E:$E)</f>
        <v>51</v>
      </c>
      <c r="N1575">
        <v>9.74</v>
      </c>
    </row>
    <row r="1576" spans="1:14">
      <c r="A1576" t="s">
        <v>245</v>
      </c>
      <c r="B1576" t="str">
        <f>_xlfn.XLOOKUP(A1576,'[1]Tissue Data'!$A:$A,'[1]Tissue Data'!$C:$C)</f>
        <v>Spill</v>
      </c>
      <c r="C1576" s="2">
        <f>_xlfn.XLOOKUP(A1576,'[1]Tissue Data'!$A:$A,'[1]Tissue Data'!$D:$D)</f>
        <v>44314</v>
      </c>
      <c r="D1576" s="2" t="str">
        <f>_xlfn.XLOOKUP(A1576,'[1]Tissue Data'!$A:$A,'[1]Tissue Data'!$F:$F)</f>
        <v>Pumpkinseed</v>
      </c>
      <c r="E1576" t="str">
        <f>_xlfn.XLOOKUP(A1576,'[1]Tissue Data'!$A:$A,'[1]Tissue Data'!$H:$H)</f>
        <v>Lepomis</v>
      </c>
      <c r="F1576" t="str">
        <f>_xlfn.XLOOKUP(A1576,'[1]Tissue Data'!$A:$A,'[1]Tissue Data'!$I:$I)</f>
        <v>gibbosus</v>
      </c>
      <c r="G1576" t="str">
        <f>_xlfn.XLOOKUP(A1576,'[1]Tissue Data'!$A:$A,'[1]Tissue Data'!J:J)</f>
        <v>U</v>
      </c>
      <c r="H1576" t="str">
        <f>_xlfn.XLOOKUP(A1576,'[1]Tissue Data'!$A:$A,'[1]Tissue Data'!K:K)</f>
        <v>Muscle</v>
      </c>
      <c r="I1576">
        <f>_xlfn.XLOOKUP(A1576,'[1]Tissue Data'!$A:$A,'[1]Tissue Data'!L:L)</f>
        <v>10</v>
      </c>
      <c r="J1576">
        <f>_xlfn.XLOOKUP(A1576,'[1]Tissue Data'!$A:$A,'[1]Tissue Data'!M:M)</f>
        <v>25.5</v>
      </c>
      <c r="K1576" t="s">
        <v>36</v>
      </c>
      <c r="L1576" t="str">
        <f>_xlfn.XLOOKUP(K1576,[2]analyte_order!$B:$B,[2]analyte_order!$C:$C)</f>
        <v>41997-13-1</v>
      </c>
      <c r="M1576">
        <f>_xlfn.XLOOKUP(L1576,[2]analyte_order!$C:$C,[2]analyte_order!$E:$E)</f>
        <v>52</v>
      </c>
      <c r="N1576">
        <v>36.6</v>
      </c>
    </row>
    <row r="1577" spans="1:14">
      <c r="A1577" t="s">
        <v>245</v>
      </c>
      <c r="B1577" t="str">
        <f>_xlfn.XLOOKUP(A1577,'[1]Tissue Data'!$A:$A,'[1]Tissue Data'!$C:$C)</f>
        <v>Spill</v>
      </c>
      <c r="C1577" s="2">
        <f>_xlfn.XLOOKUP(A1577,'[1]Tissue Data'!$A:$A,'[1]Tissue Data'!$D:$D)</f>
        <v>44314</v>
      </c>
      <c r="D1577" s="2" t="str">
        <f>_xlfn.XLOOKUP(A1577,'[1]Tissue Data'!$A:$A,'[1]Tissue Data'!$F:$F)</f>
        <v>Pumpkinseed</v>
      </c>
      <c r="E1577" t="str">
        <f>_xlfn.XLOOKUP(A1577,'[1]Tissue Data'!$A:$A,'[1]Tissue Data'!$H:$H)</f>
        <v>Lepomis</v>
      </c>
      <c r="F1577" t="str">
        <f>_xlfn.XLOOKUP(A1577,'[1]Tissue Data'!$A:$A,'[1]Tissue Data'!$I:$I)</f>
        <v>gibbosus</v>
      </c>
      <c r="G1577" t="str">
        <f>_xlfn.XLOOKUP(A1577,'[1]Tissue Data'!$A:$A,'[1]Tissue Data'!J:J)</f>
        <v>U</v>
      </c>
      <c r="H1577" t="str">
        <f>_xlfn.XLOOKUP(A1577,'[1]Tissue Data'!$A:$A,'[1]Tissue Data'!K:K)</f>
        <v>Muscle</v>
      </c>
      <c r="I1577">
        <f>_xlfn.XLOOKUP(A1577,'[1]Tissue Data'!$A:$A,'[1]Tissue Data'!L:L)</f>
        <v>10</v>
      </c>
      <c r="J1577">
        <f>_xlfn.XLOOKUP(A1577,'[1]Tissue Data'!$A:$A,'[1]Tissue Data'!M:M)</f>
        <v>25.5</v>
      </c>
      <c r="K1577" t="s">
        <v>37</v>
      </c>
      <c r="L1577" t="str">
        <f>_xlfn.XLOOKUP(K1577,[2]analyte_order!$B:$B,[2]analyte_order!$C:$C)</f>
        <v>754-91-6</v>
      </c>
      <c r="M1577">
        <f>_xlfn.XLOOKUP(L1577,[2]analyte_order!$C:$C,[2]analyte_order!$E:$E)</f>
        <v>28</v>
      </c>
      <c r="N1577">
        <v>5.82</v>
      </c>
    </row>
    <row r="1578" spans="1:14">
      <c r="A1578" t="s">
        <v>245</v>
      </c>
      <c r="B1578" t="str">
        <f>_xlfn.XLOOKUP(A1578,'[1]Tissue Data'!$A:$A,'[1]Tissue Data'!$C:$C)</f>
        <v>Spill</v>
      </c>
      <c r="C1578" s="2">
        <f>_xlfn.XLOOKUP(A1578,'[1]Tissue Data'!$A:$A,'[1]Tissue Data'!$D:$D)</f>
        <v>44314</v>
      </c>
      <c r="D1578" s="2" t="str">
        <f>_xlfn.XLOOKUP(A1578,'[1]Tissue Data'!$A:$A,'[1]Tissue Data'!$F:$F)</f>
        <v>Pumpkinseed</v>
      </c>
      <c r="E1578" t="str">
        <f>_xlfn.XLOOKUP(A1578,'[1]Tissue Data'!$A:$A,'[1]Tissue Data'!$H:$H)</f>
        <v>Lepomis</v>
      </c>
      <c r="F1578" t="str">
        <f>_xlfn.XLOOKUP(A1578,'[1]Tissue Data'!$A:$A,'[1]Tissue Data'!$I:$I)</f>
        <v>gibbosus</v>
      </c>
      <c r="G1578" t="str">
        <f>_xlfn.XLOOKUP(A1578,'[1]Tissue Data'!$A:$A,'[1]Tissue Data'!J:J)</f>
        <v>U</v>
      </c>
      <c r="H1578" t="str">
        <f>_xlfn.XLOOKUP(A1578,'[1]Tissue Data'!$A:$A,'[1]Tissue Data'!K:K)</f>
        <v>Muscle</v>
      </c>
      <c r="I1578">
        <f>_xlfn.XLOOKUP(A1578,'[1]Tissue Data'!$A:$A,'[1]Tissue Data'!L:L)</f>
        <v>10</v>
      </c>
      <c r="J1578">
        <f>_xlfn.XLOOKUP(A1578,'[1]Tissue Data'!$A:$A,'[1]Tissue Data'!M:M)</f>
        <v>25.5</v>
      </c>
      <c r="K1578" t="s">
        <v>38</v>
      </c>
      <c r="L1578" t="str">
        <f>_xlfn.XLOOKUP(K1578,[2]analyte_order!$B:$B,[2]analyte_order!$C:$C)</f>
        <v>31506-32-8</v>
      </c>
      <c r="M1578">
        <f>_xlfn.XLOOKUP(L1578,[2]analyte_order!$C:$C,[2]analyte_order!$E:$E)</f>
        <v>30</v>
      </c>
      <c r="N1578">
        <v>5.8220050201729101E-2</v>
      </c>
    </row>
    <row r="1579" spans="1:14">
      <c r="A1579" t="s">
        <v>245</v>
      </c>
      <c r="B1579" t="str">
        <f>_xlfn.XLOOKUP(A1579,'[1]Tissue Data'!$A:$A,'[1]Tissue Data'!$C:$C)</f>
        <v>Spill</v>
      </c>
      <c r="C1579" s="2">
        <f>_xlfn.XLOOKUP(A1579,'[1]Tissue Data'!$A:$A,'[1]Tissue Data'!$D:$D)</f>
        <v>44314</v>
      </c>
      <c r="D1579" s="2" t="str">
        <f>_xlfn.XLOOKUP(A1579,'[1]Tissue Data'!$A:$A,'[1]Tissue Data'!$F:$F)</f>
        <v>Pumpkinseed</v>
      </c>
      <c r="E1579" t="str">
        <f>_xlfn.XLOOKUP(A1579,'[1]Tissue Data'!$A:$A,'[1]Tissue Data'!$H:$H)</f>
        <v>Lepomis</v>
      </c>
      <c r="F1579" t="str">
        <f>_xlfn.XLOOKUP(A1579,'[1]Tissue Data'!$A:$A,'[1]Tissue Data'!$I:$I)</f>
        <v>gibbosus</v>
      </c>
      <c r="G1579" t="str">
        <f>_xlfn.XLOOKUP(A1579,'[1]Tissue Data'!$A:$A,'[1]Tissue Data'!J:J)</f>
        <v>U</v>
      </c>
      <c r="H1579" t="str">
        <f>_xlfn.XLOOKUP(A1579,'[1]Tissue Data'!$A:$A,'[1]Tissue Data'!K:K)</f>
        <v>Muscle</v>
      </c>
      <c r="I1579">
        <f>_xlfn.XLOOKUP(A1579,'[1]Tissue Data'!$A:$A,'[1]Tissue Data'!L:L)</f>
        <v>10</v>
      </c>
      <c r="J1579">
        <f>_xlfn.XLOOKUP(A1579,'[1]Tissue Data'!$A:$A,'[1]Tissue Data'!M:M)</f>
        <v>25.5</v>
      </c>
      <c r="K1579" t="s">
        <v>39</v>
      </c>
      <c r="L1579" t="str">
        <f>_xlfn.XLOOKUP(K1579,[2]analyte_order!$B:$B,[2]analyte_order!$C:$C)</f>
        <v>4151-50-2</v>
      </c>
      <c r="M1579">
        <f>_xlfn.XLOOKUP(L1579,[2]analyte_order!$C:$C,[2]analyte_order!$E:$E)</f>
        <v>31</v>
      </c>
      <c r="N1579">
        <v>8.819034529538905E-2</v>
      </c>
    </row>
    <row r="1580" spans="1:14">
      <c r="A1580" t="s">
        <v>245</v>
      </c>
      <c r="B1580" t="str">
        <f>_xlfn.XLOOKUP(A1580,'[1]Tissue Data'!$A:$A,'[1]Tissue Data'!$C:$C)</f>
        <v>Spill</v>
      </c>
      <c r="C1580" s="2">
        <f>_xlfn.XLOOKUP(A1580,'[1]Tissue Data'!$A:$A,'[1]Tissue Data'!$D:$D)</f>
        <v>44314</v>
      </c>
      <c r="D1580" s="2" t="str">
        <f>_xlfn.XLOOKUP(A1580,'[1]Tissue Data'!$A:$A,'[1]Tissue Data'!$F:$F)</f>
        <v>Pumpkinseed</v>
      </c>
      <c r="E1580" t="str">
        <f>_xlfn.XLOOKUP(A1580,'[1]Tissue Data'!$A:$A,'[1]Tissue Data'!$H:$H)</f>
        <v>Lepomis</v>
      </c>
      <c r="F1580" t="str">
        <f>_xlfn.XLOOKUP(A1580,'[1]Tissue Data'!$A:$A,'[1]Tissue Data'!$I:$I)</f>
        <v>gibbosus</v>
      </c>
      <c r="G1580" t="str">
        <f>_xlfn.XLOOKUP(A1580,'[1]Tissue Data'!$A:$A,'[1]Tissue Data'!J:J)</f>
        <v>U</v>
      </c>
      <c r="H1580" t="str">
        <f>_xlfn.XLOOKUP(A1580,'[1]Tissue Data'!$A:$A,'[1]Tissue Data'!K:K)</f>
        <v>Muscle</v>
      </c>
      <c r="I1580">
        <f>_xlfn.XLOOKUP(A1580,'[1]Tissue Data'!$A:$A,'[1]Tissue Data'!L:L)</f>
        <v>10</v>
      </c>
      <c r="J1580">
        <f>_xlfn.XLOOKUP(A1580,'[1]Tissue Data'!$A:$A,'[1]Tissue Data'!M:M)</f>
        <v>25.5</v>
      </c>
      <c r="K1580" t="s">
        <v>40</v>
      </c>
      <c r="L1580" t="str">
        <f>_xlfn.XLOOKUP(K1580,[2]analyte_order!$B:$B,[2]analyte_order!$C:$C)</f>
        <v>2806-24-8</v>
      </c>
      <c r="M1580">
        <f>_xlfn.XLOOKUP(L1580,[2]analyte_order!$C:$C,[2]analyte_order!$E:$E)</f>
        <v>29</v>
      </c>
      <c r="N1580">
        <v>5.9569175230547548E-2</v>
      </c>
    </row>
    <row r="1581" spans="1:14">
      <c r="A1581" t="s">
        <v>245</v>
      </c>
      <c r="B1581" t="str">
        <f>_xlfn.XLOOKUP(A1581,'[1]Tissue Data'!$A:$A,'[1]Tissue Data'!$C:$C)</f>
        <v>Spill</v>
      </c>
      <c r="C1581" s="2">
        <f>_xlfn.XLOOKUP(A1581,'[1]Tissue Data'!$A:$A,'[1]Tissue Data'!$D:$D)</f>
        <v>44314</v>
      </c>
      <c r="D1581" s="2" t="str">
        <f>_xlfn.XLOOKUP(A1581,'[1]Tissue Data'!$A:$A,'[1]Tissue Data'!$F:$F)</f>
        <v>Pumpkinseed</v>
      </c>
      <c r="E1581" t="str">
        <f>_xlfn.XLOOKUP(A1581,'[1]Tissue Data'!$A:$A,'[1]Tissue Data'!$H:$H)</f>
        <v>Lepomis</v>
      </c>
      <c r="F1581" t="str">
        <f>_xlfn.XLOOKUP(A1581,'[1]Tissue Data'!$A:$A,'[1]Tissue Data'!$I:$I)</f>
        <v>gibbosus</v>
      </c>
      <c r="G1581" t="str">
        <f>_xlfn.XLOOKUP(A1581,'[1]Tissue Data'!$A:$A,'[1]Tissue Data'!J:J)</f>
        <v>U</v>
      </c>
      <c r="H1581" t="str">
        <f>_xlfn.XLOOKUP(A1581,'[1]Tissue Data'!$A:$A,'[1]Tissue Data'!K:K)</f>
        <v>Muscle</v>
      </c>
      <c r="I1581">
        <f>_xlfn.XLOOKUP(A1581,'[1]Tissue Data'!$A:$A,'[1]Tissue Data'!L:L)</f>
        <v>10</v>
      </c>
      <c r="J1581">
        <f>_xlfn.XLOOKUP(A1581,'[1]Tissue Data'!$A:$A,'[1]Tissue Data'!M:M)</f>
        <v>25.5</v>
      </c>
      <c r="K1581" t="s">
        <v>41</v>
      </c>
      <c r="L1581" t="str">
        <f>_xlfn.XLOOKUP(K1581,[2]analyte_order!$B:$B,[2]analyte_order!$C:$C)</f>
        <v>2355-31-9</v>
      </c>
      <c r="M1581">
        <f>_xlfn.XLOOKUP(L1581,[2]analyte_order!$C:$C,[2]analyte_order!$E:$E)</f>
        <v>26</v>
      </c>
      <c r="N1581">
        <v>11.6</v>
      </c>
    </row>
    <row r="1582" spans="1:14">
      <c r="A1582" t="s">
        <v>245</v>
      </c>
      <c r="B1582" t="str">
        <f>_xlfn.XLOOKUP(A1582,'[1]Tissue Data'!$A:$A,'[1]Tissue Data'!$C:$C)</f>
        <v>Spill</v>
      </c>
      <c r="C1582" s="2">
        <f>_xlfn.XLOOKUP(A1582,'[1]Tissue Data'!$A:$A,'[1]Tissue Data'!$D:$D)</f>
        <v>44314</v>
      </c>
      <c r="D1582" s="2" t="str">
        <f>_xlfn.XLOOKUP(A1582,'[1]Tissue Data'!$A:$A,'[1]Tissue Data'!$F:$F)</f>
        <v>Pumpkinseed</v>
      </c>
      <c r="E1582" t="str">
        <f>_xlfn.XLOOKUP(A1582,'[1]Tissue Data'!$A:$A,'[1]Tissue Data'!$H:$H)</f>
        <v>Lepomis</v>
      </c>
      <c r="F1582" t="str">
        <f>_xlfn.XLOOKUP(A1582,'[1]Tissue Data'!$A:$A,'[1]Tissue Data'!$I:$I)</f>
        <v>gibbosus</v>
      </c>
      <c r="G1582" t="str">
        <f>_xlfn.XLOOKUP(A1582,'[1]Tissue Data'!$A:$A,'[1]Tissue Data'!J:J)</f>
        <v>U</v>
      </c>
      <c r="H1582" t="str">
        <f>_xlfn.XLOOKUP(A1582,'[1]Tissue Data'!$A:$A,'[1]Tissue Data'!K:K)</f>
        <v>Muscle</v>
      </c>
      <c r="I1582">
        <f>_xlfn.XLOOKUP(A1582,'[1]Tissue Data'!$A:$A,'[1]Tissue Data'!L:L)</f>
        <v>10</v>
      </c>
      <c r="J1582">
        <f>_xlfn.XLOOKUP(A1582,'[1]Tissue Data'!$A:$A,'[1]Tissue Data'!M:M)</f>
        <v>25.5</v>
      </c>
      <c r="K1582" t="s">
        <v>42</v>
      </c>
      <c r="L1582" t="str">
        <f>_xlfn.XLOOKUP(K1582,[2]analyte_order!$B:$B,[2]analyte_order!$C:$C)</f>
        <v>2991-50-6</v>
      </c>
      <c r="M1582">
        <f>_xlfn.XLOOKUP(L1582,[2]analyte_order!$C:$C,[2]analyte_order!$E:$E)</f>
        <v>27</v>
      </c>
      <c r="N1582">
        <v>6.5596506419308351E-2</v>
      </c>
    </row>
    <row r="1583" spans="1:14">
      <c r="A1583" t="s">
        <v>245</v>
      </c>
      <c r="B1583" t="str">
        <f>_xlfn.XLOOKUP(A1583,'[1]Tissue Data'!$A:$A,'[1]Tissue Data'!$C:$C)</f>
        <v>Spill</v>
      </c>
      <c r="C1583" s="2">
        <f>_xlfn.XLOOKUP(A1583,'[1]Tissue Data'!$A:$A,'[1]Tissue Data'!$D:$D)</f>
        <v>44314</v>
      </c>
      <c r="D1583" s="2" t="str">
        <f>_xlfn.XLOOKUP(A1583,'[1]Tissue Data'!$A:$A,'[1]Tissue Data'!$F:$F)</f>
        <v>Pumpkinseed</v>
      </c>
      <c r="E1583" t="str">
        <f>_xlfn.XLOOKUP(A1583,'[1]Tissue Data'!$A:$A,'[1]Tissue Data'!$H:$H)</f>
        <v>Lepomis</v>
      </c>
      <c r="F1583" t="str">
        <f>_xlfn.XLOOKUP(A1583,'[1]Tissue Data'!$A:$A,'[1]Tissue Data'!$I:$I)</f>
        <v>gibbosus</v>
      </c>
      <c r="G1583" t="str">
        <f>_xlfn.XLOOKUP(A1583,'[1]Tissue Data'!$A:$A,'[1]Tissue Data'!J:J)</f>
        <v>U</v>
      </c>
      <c r="H1583" t="str">
        <f>_xlfn.XLOOKUP(A1583,'[1]Tissue Data'!$A:$A,'[1]Tissue Data'!K:K)</f>
        <v>Muscle</v>
      </c>
      <c r="I1583">
        <f>_xlfn.XLOOKUP(A1583,'[1]Tissue Data'!$A:$A,'[1]Tissue Data'!L:L)</f>
        <v>10</v>
      </c>
      <c r="J1583">
        <f>_xlfn.XLOOKUP(A1583,'[1]Tissue Data'!$A:$A,'[1]Tissue Data'!M:M)</f>
        <v>25.5</v>
      </c>
      <c r="K1583" t="s">
        <v>43</v>
      </c>
      <c r="L1583" t="str">
        <f>_xlfn.XLOOKUP(K1583,[2]analyte_order!$B:$B,[2]analyte_order!$C:$C)</f>
        <v>757124-72-4</v>
      </c>
      <c r="M1583">
        <f>_xlfn.XLOOKUP(L1583,[2]analyte_order!$C:$C,[2]analyte_order!$E:$E)</f>
        <v>22</v>
      </c>
      <c r="N1583">
        <v>6.207466435158502E-2</v>
      </c>
    </row>
    <row r="1584" spans="1:14">
      <c r="A1584" t="s">
        <v>245</v>
      </c>
      <c r="B1584" t="str">
        <f>_xlfn.XLOOKUP(A1584,'[1]Tissue Data'!$A:$A,'[1]Tissue Data'!$C:$C)</f>
        <v>Spill</v>
      </c>
      <c r="C1584" s="2">
        <f>_xlfn.XLOOKUP(A1584,'[1]Tissue Data'!$A:$A,'[1]Tissue Data'!$D:$D)</f>
        <v>44314</v>
      </c>
      <c r="D1584" s="2" t="str">
        <f>_xlfn.XLOOKUP(A1584,'[1]Tissue Data'!$A:$A,'[1]Tissue Data'!$F:$F)</f>
        <v>Pumpkinseed</v>
      </c>
      <c r="E1584" t="str">
        <f>_xlfn.XLOOKUP(A1584,'[1]Tissue Data'!$A:$A,'[1]Tissue Data'!$H:$H)</f>
        <v>Lepomis</v>
      </c>
      <c r="F1584" t="str">
        <f>_xlfn.XLOOKUP(A1584,'[1]Tissue Data'!$A:$A,'[1]Tissue Data'!$I:$I)</f>
        <v>gibbosus</v>
      </c>
      <c r="G1584" t="str">
        <f>_xlfn.XLOOKUP(A1584,'[1]Tissue Data'!$A:$A,'[1]Tissue Data'!J:J)</f>
        <v>U</v>
      </c>
      <c r="H1584" t="str">
        <f>_xlfn.XLOOKUP(A1584,'[1]Tissue Data'!$A:$A,'[1]Tissue Data'!K:K)</f>
        <v>Muscle</v>
      </c>
      <c r="I1584">
        <f>_xlfn.XLOOKUP(A1584,'[1]Tissue Data'!$A:$A,'[1]Tissue Data'!L:L)</f>
        <v>10</v>
      </c>
      <c r="J1584">
        <f>_xlfn.XLOOKUP(A1584,'[1]Tissue Data'!$A:$A,'[1]Tissue Data'!M:M)</f>
        <v>25.5</v>
      </c>
      <c r="K1584" t="s">
        <v>44</v>
      </c>
      <c r="L1584" t="str">
        <f>_xlfn.XLOOKUP(K1584,[2]analyte_order!$B:$B,[2]analyte_order!$C:$C)</f>
        <v>27619-97-2</v>
      </c>
      <c r="M1584">
        <f>_xlfn.XLOOKUP(L1584,[2]analyte_order!$C:$C,[2]analyte_order!$E:$E)</f>
        <v>23</v>
      </c>
      <c r="N1584">
        <v>4.5626095523775216E-2</v>
      </c>
    </row>
    <row r="1585" spans="1:14">
      <c r="A1585" t="s">
        <v>245</v>
      </c>
      <c r="B1585" t="str">
        <f>_xlfn.XLOOKUP(A1585,'[1]Tissue Data'!$A:$A,'[1]Tissue Data'!$C:$C)</f>
        <v>Spill</v>
      </c>
      <c r="C1585" s="2">
        <f>_xlfn.XLOOKUP(A1585,'[1]Tissue Data'!$A:$A,'[1]Tissue Data'!$D:$D)</f>
        <v>44314</v>
      </c>
      <c r="D1585" s="2" t="str">
        <f>_xlfn.XLOOKUP(A1585,'[1]Tissue Data'!$A:$A,'[1]Tissue Data'!$F:$F)</f>
        <v>Pumpkinseed</v>
      </c>
      <c r="E1585" t="str">
        <f>_xlfn.XLOOKUP(A1585,'[1]Tissue Data'!$A:$A,'[1]Tissue Data'!$H:$H)</f>
        <v>Lepomis</v>
      </c>
      <c r="F1585" t="str">
        <f>_xlfn.XLOOKUP(A1585,'[1]Tissue Data'!$A:$A,'[1]Tissue Data'!$I:$I)</f>
        <v>gibbosus</v>
      </c>
      <c r="G1585" t="str">
        <f>_xlfn.XLOOKUP(A1585,'[1]Tissue Data'!$A:$A,'[1]Tissue Data'!J:J)</f>
        <v>U</v>
      </c>
      <c r="H1585" t="str">
        <f>_xlfn.XLOOKUP(A1585,'[1]Tissue Data'!$A:$A,'[1]Tissue Data'!K:K)</f>
        <v>Muscle</v>
      </c>
      <c r="I1585">
        <f>_xlfn.XLOOKUP(A1585,'[1]Tissue Data'!$A:$A,'[1]Tissue Data'!L:L)</f>
        <v>10</v>
      </c>
      <c r="J1585">
        <f>_xlfn.XLOOKUP(A1585,'[1]Tissue Data'!$A:$A,'[1]Tissue Data'!M:M)</f>
        <v>25.5</v>
      </c>
      <c r="K1585" t="s">
        <v>45</v>
      </c>
      <c r="L1585" t="str">
        <f>_xlfn.XLOOKUP(K1585,[2]analyte_order!$B:$B,[2]analyte_order!$C:$C)</f>
        <v>39108-34-4</v>
      </c>
      <c r="M1585">
        <f>_xlfn.XLOOKUP(L1585,[2]analyte_order!$C:$C,[2]analyte_order!$E:$E)</f>
        <v>24</v>
      </c>
      <c r="N1585">
        <v>0.1443771208785391</v>
      </c>
    </row>
    <row r="1586" spans="1:14">
      <c r="A1586" t="s">
        <v>245</v>
      </c>
      <c r="B1586" t="str">
        <f>_xlfn.XLOOKUP(A1586,'[1]Tissue Data'!$A:$A,'[1]Tissue Data'!$C:$C)</f>
        <v>Spill</v>
      </c>
      <c r="C1586" s="2">
        <f>_xlfn.XLOOKUP(A1586,'[1]Tissue Data'!$A:$A,'[1]Tissue Data'!$D:$D)</f>
        <v>44314</v>
      </c>
      <c r="D1586" s="2" t="str">
        <f>_xlfn.XLOOKUP(A1586,'[1]Tissue Data'!$A:$A,'[1]Tissue Data'!$F:$F)</f>
        <v>Pumpkinseed</v>
      </c>
      <c r="E1586" t="str">
        <f>_xlfn.XLOOKUP(A1586,'[1]Tissue Data'!$A:$A,'[1]Tissue Data'!$H:$H)</f>
        <v>Lepomis</v>
      </c>
      <c r="F1586" t="str">
        <f>_xlfn.XLOOKUP(A1586,'[1]Tissue Data'!$A:$A,'[1]Tissue Data'!$I:$I)</f>
        <v>gibbosus</v>
      </c>
      <c r="G1586" t="str">
        <f>_xlfn.XLOOKUP(A1586,'[1]Tissue Data'!$A:$A,'[1]Tissue Data'!J:J)</f>
        <v>U</v>
      </c>
      <c r="H1586" t="str">
        <f>_xlfn.XLOOKUP(A1586,'[1]Tissue Data'!$A:$A,'[1]Tissue Data'!K:K)</f>
        <v>Muscle</v>
      </c>
      <c r="I1586">
        <f>_xlfn.XLOOKUP(A1586,'[1]Tissue Data'!$A:$A,'[1]Tissue Data'!L:L)</f>
        <v>10</v>
      </c>
      <c r="J1586">
        <f>_xlfn.XLOOKUP(A1586,'[1]Tissue Data'!$A:$A,'[1]Tissue Data'!M:M)</f>
        <v>25.5</v>
      </c>
      <c r="K1586" t="s">
        <v>46</v>
      </c>
      <c r="L1586" t="str">
        <f>_xlfn.XLOOKUP(K1586,[2]analyte_order!$B:$B,[2]analyte_order!$C:$C)</f>
        <v>120226-60-0</v>
      </c>
      <c r="M1586">
        <f>_xlfn.XLOOKUP(L1586,[2]analyte_order!$C:$C,[2]analyte_order!$E:$E)</f>
        <v>25</v>
      </c>
      <c r="N1586">
        <v>0.2624612127799465</v>
      </c>
    </row>
    <row r="1587" spans="1:14">
      <c r="A1587" t="s">
        <v>245</v>
      </c>
      <c r="B1587" t="str">
        <f>_xlfn.XLOOKUP(A1587,'[1]Tissue Data'!$A:$A,'[1]Tissue Data'!$C:$C)</f>
        <v>Spill</v>
      </c>
      <c r="C1587" s="2">
        <f>_xlfn.XLOOKUP(A1587,'[1]Tissue Data'!$A:$A,'[1]Tissue Data'!$D:$D)</f>
        <v>44314</v>
      </c>
      <c r="D1587" s="2" t="str">
        <f>_xlfn.XLOOKUP(A1587,'[1]Tissue Data'!$A:$A,'[1]Tissue Data'!$F:$F)</f>
        <v>Pumpkinseed</v>
      </c>
      <c r="E1587" t="str">
        <f>_xlfn.XLOOKUP(A1587,'[1]Tissue Data'!$A:$A,'[1]Tissue Data'!$H:$H)</f>
        <v>Lepomis</v>
      </c>
      <c r="F1587" t="str">
        <f>_xlfn.XLOOKUP(A1587,'[1]Tissue Data'!$A:$A,'[1]Tissue Data'!$I:$I)</f>
        <v>gibbosus</v>
      </c>
      <c r="G1587" t="str">
        <f>_xlfn.XLOOKUP(A1587,'[1]Tissue Data'!$A:$A,'[1]Tissue Data'!J:J)</f>
        <v>U</v>
      </c>
      <c r="H1587" t="str">
        <f>_xlfn.XLOOKUP(A1587,'[1]Tissue Data'!$A:$A,'[1]Tissue Data'!K:K)</f>
        <v>Muscle</v>
      </c>
      <c r="I1587">
        <f>_xlfn.XLOOKUP(A1587,'[1]Tissue Data'!$A:$A,'[1]Tissue Data'!L:L)</f>
        <v>10</v>
      </c>
      <c r="J1587">
        <f>_xlfn.XLOOKUP(A1587,'[1]Tissue Data'!$A:$A,'[1]Tissue Data'!M:M)</f>
        <v>25.5</v>
      </c>
      <c r="K1587" t="s">
        <v>47</v>
      </c>
      <c r="L1587" t="str">
        <f>_xlfn.XLOOKUP(K1587,[2]analyte_order!$B:$B,[2]analyte_order!$C:$C)</f>
        <v>356-02-5</v>
      </c>
      <c r="M1587">
        <f>_xlfn.XLOOKUP(L1587,[2]analyte_order!$C:$C,[2]analyte_order!$E:$E)</f>
        <v>38</v>
      </c>
      <c r="N1587">
        <v>8.7172430511527385E-2</v>
      </c>
    </row>
    <row r="1588" spans="1:14">
      <c r="A1588" t="s">
        <v>245</v>
      </c>
      <c r="B1588" t="str">
        <f>_xlfn.XLOOKUP(A1588,'[1]Tissue Data'!$A:$A,'[1]Tissue Data'!$C:$C)</f>
        <v>Spill</v>
      </c>
      <c r="C1588" s="2">
        <f>_xlfn.XLOOKUP(A1588,'[1]Tissue Data'!$A:$A,'[1]Tissue Data'!$D:$D)</f>
        <v>44314</v>
      </c>
      <c r="D1588" s="2" t="str">
        <f>_xlfn.XLOOKUP(A1588,'[1]Tissue Data'!$A:$A,'[1]Tissue Data'!$F:$F)</f>
        <v>Pumpkinseed</v>
      </c>
      <c r="E1588" t="str">
        <f>_xlfn.XLOOKUP(A1588,'[1]Tissue Data'!$A:$A,'[1]Tissue Data'!$H:$H)</f>
        <v>Lepomis</v>
      </c>
      <c r="F1588" t="str">
        <f>_xlfn.XLOOKUP(A1588,'[1]Tissue Data'!$A:$A,'[1]Tissue Data'!$I:$I)</f>
        <v>gibbosus</v>
      </c>
      <c r="G1588" t="str">
        <f>_xlfn.XLOOKUP(A1588,'[1]Tissue Data'!$A:$A,'[1]Tissue Data'!J:J)</f>
        <v>U</v>
      </c>
      <c r="H1588" t="str">
        <f>_xlfn.XLOOKUP(A1588,'[1]Tissue Data'!$A:$A,'[1]Tissue Data'!K:K)</f>
        <v>Muscle</v>
      </c>
      <c r="I1588">
        <f>_xlfn.XLOOKUP(A1588,'[1]Tissue Data'!$A:$A,'[1]Tissue Data'!L:L)</f>
        <v>10</v>
      </c>
      <c r="J1588">
        <f>_xlfn.XLOOKUP(A1588,'[1]Tissue Data'!$A:$A,'[1]Tissue Data'!M:M)</f>
        <v>25.5</v>
      </c>
      <c r="K1588" t="s">
        <v>48</v>
      </c>
      <c r="L1588" t="str">
        <f>_xlfn.XLOOKUP(K1588,[2]analyte_order!$B:$B,[2]analyte_order!$C:$C)</f>
        <v>914637-49-3</v>
      </c>
      <c r="M1588">
        <f>_xlfn.XLOOKUP(L1588,[2]analyte_order!$C:$C,[2]analyte_order!$E:$E)</f>
        <v>39</v>
      </c>
      <c r="N1588">
        <v>0.77400000000000002</v>
      </c>
    </row>
    <row r="1589" spans="1:14">
      <c r="A1589" t="s">
        <v>245</v>
      </c>
      <c r="B1589" t="str">
        <f>_xlfn.XLOOKUP(A1589,'[1]Tissue Data'!$A:$A,'[1]Tissue Data'!$C:$C)</f>
        <v>Spill</v>
      </c>
      <c r="C1589" s="2">
        <f>_xlfn.XLOOKUP(A1589,'[1]Tissue Data'!$A:$A,'[1]Tissue Data'!$D:$D)</f>
        <v>44314</v>
      </c>
      <c r="D1589" s="2" t="str">
        <f>_xlfn.XLOOKUP(A1589,'[1]Tissue Data'!$A:$A,'[1]Tissue Data'!$F:$F)</f>
        <v>Pumpkinseed</v>
      </c>
      <c r="E1589" t="str">
        <f>_xlfn.XLOOKUP(A1589,'[1]Tissue Data'!$A:$A,'[1]Tissue Data'!$H:$H)</f>
        <v>Lepomis</v>
      </c>
      <c r="F1589" t="str">
        <f>_xlfn.XLOOKUP(A1589,'[1]Tissue Data'!$A:$A,'[1]Tissue Data'!$I:$I)</f>
        <v>gibbosus</v>
      </c>
      <c r="G1589" t="str">
        <f>_xlfn.XLOOKUP(A1589,'[1]Tissue Data'!$A:$A,'[1]Tissue Data'!J:J)</f>
        <v>U</v>
      </c>
      <c r="H1589" t="str">
        <f>_xlfn.XLOOKUP(A1589,'[1]Tissue Data'!$A:$A,'[1]Tissue Data'!K:K)</f>
        <v>Muscle</v>
      </c>
      <c r="I1589">
        <f>_xlfn.XLOOKUP(A1589,'[1]Tissue Data'!$A:$A,'[1]Tissue Data'!L:L)</f>
        <v>10</v>
      </c>
      <c r="J1589">
        <f>_xlfn.XLOOKUP(A1589,'[1]Tissue Data'!$A:$A,'[1]Tissue Data'!M:M)</f>
        <v>25.5</v>
      </c>
      <c r="K1589" t="s">
        <v>49</v>
      </c>
      <c r="L1589" t="str">
        <f>_xlfn.XLOOKUP(K1589,[2]analyte_order!$B:$B,[2]analyte_order!$C:$C)</f>
        <v>812-70-4</v>
      </c>
      <c r="M1589">
        <f>_xlfn.XLOOKUP(L1589,[2]analyte_order!$C:$C,[2]analyte_order!$E:$E)</f>
        <v>40</v>
      </c>
      <c r="N1589">
        <v>4.0199999999999996</v>
      </c>
    </row>
    <row r="1590" spans="1:14">
      <c r="A1590" t="s">
        <v>245</v>
      </c>
      <c r="B1590" t="str">
        <f>_xlfn.XLOOKUP(A1590,'[1]Tissue Data'!$A:$A,'[1]Tissue Data'!$C:$C)</f>
        <v>Spill</v>
      </c>
      <c r="C1590" s="2">
        <f>_xlfn.XLOOKUP(A1590,'[1]Tissue Data'!$A:$A,'[1]Tissue Data'!$D:$D)</f>
        <v>44314</v>
      </c>
      <c r="D1590" s="2" t="str">
        <f>_xlfn.XLOOKUP(A1590,'[1]Tissue Data'!$A:$A,'[1]Tissue Data'!$F:$F)</f>
        <v>Pumpkinseed</v>
      </c>
      <c r="E1590" t="str">
        <f>_xlfn.XLOOKUP(A1590,'[1]Tissue Data'!$A:$A,'[1]Tissue Data'!$H:$H)</f>
        <v>Lepomis</v>
      </c>
      <c r="F1590" t="str">
        <f>_xlfn.XLOOKUP(A1590,'[1]Tissue Data'!$A:$A,'[1]Tissue Data'!$I:$I)</f>
        <v>gibbosus</v>
      </c>
      <c r="G1590" t="str">
        <f>_xlfn.XLOOKUP(A1590,'[1]Tissue Data'!$A:$A,'[1]Tissue Data'!J:J)</f>
        <v>U</v>
      </c>
      <c r="H1590" t="str">
        <f>_xlfn.XLOOKUP(A1590,'[1]Tissue Data'!$A:$A,'[1]Tissue Data'!K:K)</f>
        <v>Muscle</v>
      </c>
      <c r="I1590">
        <f>_xlfn.XLOOKUP(A1590,'[1]Tissue Data'!$A:$A,'[1]Tissue Data'!L:L)</f>
        <v>10</v>
      </c>
      <c r="J1590">
        <f>_xlfn.XLOOKUP(A1590,'[1]Tissue Data'!$A:$A,'[1]Tissue Data'!M:M)</f>
        <v>25.5</v>
      </c>
      <c r="K1590" t="s">
        <v>50</v>
      </c>
      <c r="L1590" t="str">
        <f>_xlfn.XLOOKUP(K1590,[2]analyte_order!$B:$B,[2]analyte_order!$C:$C)</f>
        <v>53826-12-3</v>
      </c>
      <c r="M1590">
        <f>_xlfn.XLOOKUP(L1590,[2]analyte_order!$C:$C,[2]analyte_order!$E:$E)</f>
        <v>41</v>
      </c>
      <c r="N1590">
        <v>3.89</v>
      </c>
    </row>
    <row r="1591" spans="1:14">
      <c r="A1591" t="s">
        <v>245</v>
      </c>
      <c r="B1591" t="str">
        <f>_xlfn.XLOOKUP(A1591,'[1]Tissue Data'!$A:$A,'[1]Tissue Data'!$C:$C)</f>
        <v>Spill</v>
      </c>
      <c r="C1591" s="2">
        <f>_xlfn.XLOOKUP(A1591,'[1]Tissue Data'!$A:$A,'[1]Tissue Data'!$D:$D)</f>
        <v>44314</v>
      </c>
      <c r="D1591" s="2" t="str">
        <f>_xlfn.XLOOKUP(A1591,'[1]Tissue Data'!$A:$A,'[1]Tissue Data'!$F:$F)</f>
        <v>Pumpkinseed</v>
      </c>
      <c r="E1591" t="str">
        <f>_xlfn.XLOOKUP(A1591,'[1]Tissue Data'!$A:$A,'[1]Tissue Data'!$H:$H)</f>
        <v>Lepomis</v>
      </c>
      <c r="F1591" t="str">
        <f>_xlfn.XLOOKUP(A1591,'[1]Tissue Data'!$A:$A,'[1]Tissue Data'!$I:$I)</f>
        <v>gibbosus</v>
      </c>
      <c r="G1591" t="str">
        <f>_xlfn.XLOOKUP(A1591,'[1]Tissue Data'!$A:$A,'[1]Tissue Data'!J:J)</f>
        <v>U</v>
      </c>
      <c r="H1591" t="str">
        <f>_xlfn.XLOOKUP(A1591,'[1]Tissue Data'!$A:$A,'[1]Tissue Data'!K:K)</f>
        <v>Muscle</v>
      </c>
      <c r="I1591">
        <f>_xlfn.XLOOKUP(A1591,'[1]Tissue Data'!$A:$A,'[1]Tissue Data'!L:L)</f>
        <v>10</v>
      </c>
      <c r="J1591">
        <f>_xlfn.XLOOKUP(A1591,'[1]Tissue Data'!$A:$A,'[1]Tissue Data'!M:M)</f>
        <v>25.5</v>
      </c>
      <c r="K1591" t="s">
        <v>51</v>
      </c>
      <c r="L1591" t="str">
        <f>_xlfn.XLOOKUP(K1591,[2]analyte_order!$B:$B,[2]analyte_order!$C:$C)</f>
        <v>27854-31-5</v>
      </c>
      <c r="M1591">
        <f>_xlfn.XLOOKUP(L1591,[2]analyte_order!$C:$C,[2]analyte_order!$E:$E)</f>
        <v>42</v>
      </c>
      <c r="N1591">
        <v>3.0229136857378932E-2</v>
      </c>
    </row>
    <row r="1592" spans="1:14">
      <c r="A1592" t="s">
        <v>245</v>
      </c>
      <c r="B1592" t="str">
        <f>_xlfn.XLOOKUP(A1592,'[1]Tissue Data'!$A:$A,'[1]Tissue Data'!$C:$C)</f>
        <v>Spill</v>
      </c>
      <c r="C1592" s="2">
        <f>_xlfn.XLOOKUP(A1592,'[1]Tissue Data'!$A:$A,'[1]Tissue Data'!$D:$D)</f>
        <v>44314</v>
      </c>
      <c r="D1592" s="2" t="str">
        <f>_xlfn.XLOOKUP(A1592,'[1]Tissue Data'!$A:$A,'[1]Tissue Data'!$F:$F)</f>
        <v>Pumpkinseed</v>
      </c>
      <c r="E1592" t="str">
        <f>_xlfn.XLOOKUP(A1592,'[1]Tissue Data'!$A:$A,'[1]Tissue Data'!$H:$H)</f>
        <v>Lepomis</v>
      </c>
      <c r="F1592" t="str">
        <f>_xlfn.XLOOKUP(A1592,'[1]Tissue Data'!$A:$A,'[1]Tissue Data'!$I:$I)</f>
        <v>gibbosus</v>
      </c>
      <c r="G1592" t="str">
        <f>_xlfn.XLOOKUP(A1592,'[1]Tissue Data'!$A:$A,'[1]Tissue Data'!J:J)</f>
        <v>U</v>
      </c>
      <c r="H1592" t="str">
        <f>_xlfn.XLOOKUP(A1592,'[1]Tissue Data'!$A:$A,'[1]Tissue Data'!K:K)</f>
        <v>Muscle</v>
      </c>
      <c r="I1592">
        <f>_xlfn.XLOOKUP(A1592,'[1]Tissue Data'!$A:$A,'[1]Tissue Data'!L:L)</f>
        <v>10</v>
      </c>
      <c r="J1592">
        <f>_xlfn.XLOOKUP(A1592,'[1]Tissue Data'!$A:$A,'[1]Tissue Data'!M:M)</f>
        <v>25.5</v>
      </c>
      <c r="K1592" t="s">
        <v>52</v>
      </c>
      <c r="L1592" t="str">
        <f>_xlfn.XLOOKUP(K1592,[2]analyte_order!$B:$B,[2]analyte_order!$C:$C)</f>
        <v>53826-13-4</v>
      </c>
      <c r="M1592">
        <f>_xlfn.XLOOKUP(L1592,[2]analyte_order!$C:$C,[2]analyte_order!$E:$E)</f>
        <v>43</v>
      </c>
      <c r="N1592">
        <v>0.11276922884005763</v>
      </c>
    </row>
    <row r="1593" spans="1:14">
      <c r="A1593" t="s">
        <v>245</v>
      </c>
      <c r="B1593" t="str">
        <f>_xlfn.XLOOKUP(A1593,'[1]Tissue Data'!$A:$A,'[1]Tissue Data'!$C:$C)</f>
        <v>Spill</v>
      </c>
      <c r="C1593" s="2">
        <f>_xlfn.XLOOKUP(A1593,'[1]Tissue Data'!$A:$A,'[1]Tissue Data'!$D:$D)</f>
        <v>44314</v>
      </c>
      <c r="D1593" s="2" t="str">
        <f>_xlfn.XLOOKUP(A1593,'[1]Tissue Data'!$A:$A,'[1]Tissue Data'!$F:$F)</f>
        <v>Pumpkinseed</v>
      </c>
      <c r="E1593" t="str">
        <f>_xlfn.XLOOKUP(A1593,'[1]Tissue Data'!$A:$A,'[1]Tissue Data'!$H:$H)</f>
        <v>Lepomis</v>
      </c>
      <c r="F1593" t="str">
        <f>_xlfn.XLOOKUP(A1593,'[1]Tissue Data'!$A:$A,'[1]Tissue Data'!$I:$I)</f>
        <v>gibbosus</v>
      </c>
      <c r="G1593" t="str">
        <f>_xlfn.XLOOKUP(A1593,'[1]Tissue Data'!$A:$A,'[1]Tissue Data'!J:J)</f>
        <v>U</v>
      </c>
      <c r="H1593" t="str">
        <f>_xlfn.XLOOKUP(A1593,'[1]Tissue Data'!$A:$A,'[1]Tissue Data'!K:K)</f>
        <v>Muscle</v>
      </c>
      <c r="I1593">
        <f>_xlfn.XLOOKUP(A1593,'[1]Tissue Data'!$A:$A,'[1]Tissue Data'!L:L)</f>
        <v>10</v>
      </c>
      <c r="J1593">
        <f>_xlfn.XLOOKUP(A1593,'[1]Tissue Data'!$A:$A,'[1]Tissue Data'!M:M)</f>
        <v>25.5</v>
      </c>
      <c r="K1593" t="s">
        <v>53</v>
      </c>
      <c r="L1593" t="str">
        <f>_xlfn.XLOOKUP(K1593,[2]analyte_order!$B:$B,[2]analyte_order!$C:$C)</f>
        <v>161094-75-3</v>
      </c>
      <c r="M1593">
        <f>_xlfn.XLOOKUP(L1593,[2]analyte_order!$C:$C,[2]analyte_order!$E:$E)</f>
        <v>44</v>
      </c>
      <c r="N1593">
        <v>5.9339534783861676E-2</v>
      </c>
    </row>
    <row r="1594" spans="1:14">
      <c r="A1594" t="s">
        <v>245</v>
      </c>
      <c r="B1594" t="str">
        <f>_xlfn.XLOOKUP(A1594,'[1]Tissue Data'!$A:$A,'[1]Tissue Data'!$C:$C)</f>
        <v>Spill</v>
      </c>
      <c r="C1594" s="2">
        <f>_xlfn.XLOOKUP(A1594,'[1]Tissue Data'!$A:$A,'[1]Tissue Data'!$D:$D)</f>
        <v>44314</v>
      </c>
      <c r="D1594" s="2" t="str">
        <f>_xlfn.XLOOKUP(A1594,'[1]Tissue Data'!$A:$A,'[1]Tissue Data'!$F:$F)</f>
        <v>Pumpkinseed</v>
      </c>
      <c r="E1594" t="str">
        <f>_xlfn.XLOOKUP(A1594,'[1]Tissue Data'!$A:$A,'[1]Tissue Data'!$H:$H)</f>
        <v>Lepomis</v>
      </c>
      <c r="F1594" t="str">
        <f>_xlfn.XLOOKUP(A1594,'[1]Tissue Data'!$A:$A,'[1]Tissue Data'!$I:$I)</f>
        <v>gibbosus</v>
      </c>
      <c r="G1594" t="str">
        <f>_xlfn.XLOOKUP(A1594,'[1]Tissue Data'!$A:$A,'[1]Tissue Data'!J:J)</f>
        <v>U</v>
      </c>
      <c r="H1594" t="str">
        <f>_xlfn.XLOOKUP(A1594,'[1]Tissue Data'!$A:$A,'[1]Tissue Data'!K:K)</f>
        <v>Muscle</v>
      </c>
      <c r="I1594">
        <f>_xlfn.XLOOKUP(A1594,'[1]Tissue Data'!$A:$A,'[1]Tissue Data'!L:L)</f>
        <v>10</v>
      </c>
      <c r="J1594">
        <f>_xlfn.XLOOKUP(A1594,'[1]Tissue Data'!$A:$A,'[1]Tissue Data'!M:M)</f>
        <v>25.5</v>
      </c>
      <c r="K1594" t="s">
        <v>54</v>
      </c>
      <c r="L1594" t="str">
        <f>_xlfn.XLOOKUP(K1594,[2]analyte_order!$B:$B,[2]analyte_order!$C:$C)</f>
        <v>70887-84-2</v>
      </c>
      <c r="M1594">
        <f>_xlfn.XLOOKUP(L1594,[2]analyte_order!$C:$C,[2]analyte_order!$E:$E)</f>
        <v>45</v>
      </c>
      <c r="N1594">
        <v>4.5669010778818443E-2</v>
      </c>
    </row>
    <row r="1595" spans="1:14">
      <c r="A1595" t="s">
        <v>245</v>
      </c>
      <c r="B1595" t="str">
        <f>_xlfn.XLOOKUP(A1595,'[1]Tissue Data'!$A:$A,'[1]Tissue Data'!$C:$C)</f>
        <v>Spill</v>
      </c>
      <c r="C1595" s="2">
        <f>_xlfn.XLOOKUP(A1595,'[1]Tissue Data'!$A:$A,'[1]Tissue Data'!$D:$D)</f>
        <v>44314</v>
      </c>
      <c r="D1595" s="2" t="str">
        <f>_xlfn.XLOOKUP(A1595,'[1]Tissue Data'!$A:$A,'[1]Tissue Data'!$F:$F)</f>
        <v>Pumpkinseed</v>
      </c>
      <c r="E1595" t="str">
        <f>_xlfn.XLOOKUP(A1595,'[1]Tissue Data'!$A:$A,'[1]Tissue Data'!$H:$H)</f>
        <v>Lepomis</v>
      </c>
      <c r="F1595" t="str">
        <f>_xlfn.XLOOKUP(A1595,'[1]Tissue Data'!$A:$A,'[1]Tissue Data'!$I:$I)</f>
        <v>gibbosus</v>
      </c>
      <c r="G1595" t="str">
        <f>_xlfn.XLOOKUP(A1595,'[1]Tissue Data'!$A:$A,'[1]Tissue Data'!J:J)</f>
        <v>U</v>
      </c>
      <c r="H1595" t="str">
        <f>_xlfn.XLOOKUP(A1595,'[1]Tissue Data'!$A:$A,'[1]Tissue Data'!K:K)</f>
        <v>Muscle</v>
      </c>
      <c r="I1595">
        <f>_xlfn.XLOOKUP(A1595,'[1]Tissue Data'!$A:$A,'[1]Tissue Data'!L:L)</f>
        <v>10</v>
      </c>
      <c r="J1595">
        <f>_xlfn.XLOOKUP(A1595,'[1]Tissue Data'!$A:$A,'[1]Tissue Data'!M:M)</f>
        <v>25.5</v>
      </c>
      <c r="K1595" t="s">
        <v>55</v>
      </c>
      <c r="L1595" t="str">
        <f>_xlfn.XLOOKUP(K1595,[2]analyte_order!$B:$B,[2]analyte_order!$C:$C)</f>
        <v>919005-14-4</v>
      </c>
      <c r="M1595">
        <f>_xlfn.XLOOKUP(L1595,[2]analyte_order!$C:$C,[2]analyte_order!$E:$E)</f>
        <v>35</v>
      </c>
      <c r="N1595">
        <v>7.5572842143447339E-2</v>
      </c>
    </row>
    <row r="1596" spans="1:14">
      <c r="A1596" t="s">
        <v>245</v>
      </c>
      <c r="B1596" t="str">
        <f>_xlfn.XLOOKUP(A1596,'[1]Tissue Data'!$A:$A,'[1]Tissue Data'!$C:$C)</f>
        <v>Spill</v>
      </c>
      <c r="C1596" s="2">
        <f>_xlfn.XLOOKUP(A1596,'[1]Tissue Data'!$A:$A,'[1]Tissue Data'!$D:$D)</f>
        <v>44314</v>
      </c>
      <c r="D1596" s="2" t="str">
        <f>_xlfn.XLOOKUP(A1596,'[1]Tissue Data'!$A:$A,'[1]Tissue Data'!$F:$F)</f>
        <v>Pumpkinseed</v>
      </c>
      <c r="E1596" t="str">
        <f>_xlfn.XLOOKUP(A1596,'[1]Tissue Data'!$A:$A,'[1]Tissue Data'!$H:$H)</f>
        <v>Lepomis</v>
      </c>
      <c r="F1596" t="str">
        <f>_xlfn.XLOOKUP(A1596,'[1]Tissue Data'!$A:$A,'[1]Tissue Data'!$I:$I)</f>
        <v>gibbosus</v>
      </c>
      <c r="G1596" t="str">
        <f>_xlfn.XLOOKUP(A1596,'[1]Tissue Data'!$A:$A,'[1]Tissue Data'!J:J)</f>
        <v>U</v>
      </c>
      <c r="H1596" t="str">
        <f>_xlfn.XLOOKUP(A1596,'[1]Tissue Data'!$A:$A,'[1]Tissue Data'!K:K)</f>
        <v>Muscle</v>
      </c>
      <c r="I1596">
        <f>_xlfn.XLOOKUP(A1596,'[1]Tissue Data'!$A:$A,'[1]Tissue Data'!L:L)</f>
        <v>10</v>
      </c>
      <c r="J1596">
        <f>_xlfn.XLOOKUP(A1596,'[1]Tissue Data'!$A:$A,'[1]Tissue Data'!M:M)</f>
        <v>25.5</v>
      </c>
      <c r="K1596" t="s">
        <v>56</v>
      </c>
      <c r="L1596" t="str">
        <f>_xlfn.XLOOKUP(K1596,[2]analyte_order!$B:$B,[2]analyte_order!$C:$C)</f>
        <v>756426-58-1</v>
      </c>
      <c r="M1596">
        <f>_xlfn.XLOOKUP(L1596,[2]analyte_order!$C:$C,[2]analyte_order!$E:$E)</f>
        <v>36</v>
      </c>
      <c r="N1596">
        <v>5.2455611476945246E-2</v>
      </c>
    </row>
    <row r="1597" spans="1:14">
      <c r="A1597" t="s">
        <v>245</v>
      </c>
      <c r="B1597" t="str">
        <f>_xlfn.XLOOKUP(A1597,'[1]Tissue Data'!$A:$A,'[1]Tissue Data'!$C:$C)</f>
        <v>Spill</v>
      </c>
      <c r="C1597" s="2">
        <f>_xlfn.XLOOKUP(A1597,'[1]Tissue Data'!$A:$A,'[1]Tissue Data'!$D:$D)</f>
        <v>44314</v>
      </c>
      <c r="D1597" s="2" t="str">
        <f>_xlfn.XLOOKUP(A1597,'[1]Tissue Data'!$A:$A,'[1]Tissue Data'!$F:$F)</f>
        <v>Pumpkinseed</v>
      </c>
      <c r="E1597" t="str">
        <f>_xlfn.XLOOKUP(A1597,'[1]Tissue Data'!$A:$A,'[1]Tissue Data'!$H:$H)</f>
        <v>Lepomis</v>
      </c>
      <c r="F1597" t="str">
        <f>_xlfn.XLOOKUP(A1597,'[1]Tissue Data'!$A:$A,'[1]Tissue Data'!$I:$I)</f>
        <v>gibbosus</v>
      </c>
      <c r="G1597" t="str">
        <f>_xlfn.XLOOKUP(A1597,'[1]Tissue Data'!$A:$A,'[1]Tissue Data'!J:J)</f>
        <v>U</v>
      </c>
      <c r="H1597" t="str">
        <f>_xlfn.XLOOKUP(A1597,'[1]Tissue Data'!$A:$A,'[1]Tissue Data'!K:K)</f>
        <v>Muscle</v>
      </c>
      <c r="I1597">
        <f>_xlfn.XLOOKUP(A1597,'[1]Tissue Data'!$A:$A,'[1]Tissue Data'!L:L)</f>
        <v>10</v>
      </c>
      <c r="J1597">
        <f>_xlfn.XLOOKUP(A1597,'[1]Tissue Data'!$A:$A,'[1]Tissue Data'!M:M)</f>
        <v>25.5</v>
      </c>
      <c r="K1597" t="s">
        <v>57</v>
      </c>
      <c r="L1597" t="str">
        <f>_xlfn.XLOOKUP(K1597,[2]analyte_order!$B:$B,[2]analyte_order!$C:$C)</f>
        <v>763051-92-9</v>
      </c>
      <c r="M1597">
        <f>_xlfn.XLOOKUP(L1597,[2]analyte_order!$C:$C,[2]analyte_order!$E:$E)</f>
        <v>37</v>
      </c>
      <c r="N1597">
        <v>5.9550685093659947E-2</v>
      </c>
    </row>
    <row r="1598" spans="1:14">
      <c r="A1598" t="s">
        <v>245</v>
      </c>
      <c r="B1598" t="str">
        <f>_xlfn.XLOOKUP(A1598,'[1]Tissue Data'!$A:$A,'[1]Tissue Data'!$C:$C)</f>
        <v>Spill</v>
      </c>
      <c r="C1598" s="2">
        <f>_xlfn.XLOOKUP(A1598,'[1]Tissue Data'!$A:$A,'[1]Tissue Data'!$D:$D)</f>
        <v>44314</v>
      </c>
      <c r="D1598" s="2" t="str">
        <f>_xlfn.XLOOKUP(A1598,'[1]Tissue Data'!$A:$A,'[1]Tissue Data'!$F:$F)</f>
        <v>Pumpkinseed</v>
      </c>
      <c r="E1598" t="str">
        <f>_xlfn.XLOOKUP(A1598,'[1]Tissue Data'!$A:$A,'[1]Tissue Data'!$H:$H)</f>
        <v>Lepomis</v>
      </c>
      <c r="F1598" t="str">
        <f>_xlfn.XLOOKUP(A1598,'[1]Tissue Data'!$A:$A,'[1]Tissue Data'!$I:$I)</f>
        <v>gibbosus</v>
      </c>
      <c r="G1598" t="str">
        <f>_xlfn.XLOOKUP(A1598,'[1]Tissue Data'!$A:$A,'[1]Tissue Data'!J:J)</f>
        <v>U</v>
      </c>
      <c r="H1598" t="str">
        <f>_xlfn.XLOOKUP(A1598,'[1]Tissue Data'!$A:$A,'[1]Tissue Data'!K:K)</f>
        <v>Muscle</v>
      </c>
      <c r="I1598">
        <f>_xlfn.XLOOKUP(A1598,'[1]Tissue Data'!$A:$A,'[1]Tissue Data'!L:L)</f>
        <v>10</v>
      </c>
      <c r="J1598">
        <f>_xlfn.XLOOKUP(A1598,'[1]Tissue Data'!$A:$A,'[1]Tissue Data'!M:M)</f>
        <v>25.5</v>
      </c>
      <c r="K1598" t="s">
        <v>58</v>
      </c>
      <c r="L1598" t="str">
        <f>_xlfn.XLOOKUP(K1598,[2]analyte_order!$B:$B,[2]analyte_order!$C:$C)</f>
        <v>13252-13-6</v>
      </c>
      <c r="M1598">
        <f>_xlfn.XLOOKUP(L1598,[2]analyte_order!$C:$C,[2]analyte_order!$E:$E)</f>
        <v>34</v>
      </c>
      <c r="N1598">
        <v>0.10844918721181558</v>
      </c>
    </row>
    <row r="1599" spans="1:14">
      <c r="A1599" t="s">
        <v>245</v>
      </c>
      <c r="B1599" t="str">
        <f>_xlfn.XLOOKUP(A1599,'[1]Tissue Data'!$A:$A,'[1]Tissue Data'!$C:$C)</f>
        <v>Spill</v>
      </c>
      <c r="C1599" s="2">
        <f>_xlfn.XLOOKUP(A1599,'[1]Tissue Data'!$A:$A,'[1]Tissue Data'!$D:$D)</f>
        <v>44314</v>
      </c>
      <c r="D1599" s="2" t="str">
        <f>_xlfn.XLOOKUP(A1599,'[1]Tissue Data'!$A:$A,'[1]Tissue Data'!$F:$F)</f>
        <v>Pumpkinseed</v>
      </c>
      <c r="E1599" t="str">
        <f>_xlfn.XLOOKUP(A1599,'[1]Tissue Data'!$A:$A,'[1]Tissue Data'!$H:$H)</f>
        <v>Lepomis</v>
      </c>
      <c r="F1599" t="str">
        <f>_xlfn.XLOOKUP(A1599,'[1]Tissue Data'!$A:$A,'[1]Tissue Data'!$I:$I)</f>
        <v>gibbosus</v>
      </c>
      <c r="G1599" t="str">
        <f>_xlfn.XLOOKUP(A1599,'[1]Tissue Data'!$A:$A,'[1]Tissue Data'!J:J)</f>
        <v>U</v>
      </c>
      <c r="H1599" t="str">
        <f>_xlfn.XLOOKUP(A1599,'[1]Tissue Data'!$A:$A,'[1]Tissue Data'!K:K)</f>
        <v>Muscle</v>
      </c>
      <c r="I1599">
        <f>_xlfn.XLOOKUP(A1599,'[1]Tissue Data'!$A:$A,'[1]Tissue Data'!L:L)</f>
        <v>10</v>
      </c>
      <c r="J1599">
        <f>_xlfn.XLOOKUP(A1599,'[1]Tissue Data'!$A:$A,'[1]Tissue Data'!M:M)</f>
        <v>25.5</v>
      </c>
      <c r="K1599" t="s">
        <v>59</v>
      </c>
      <c r="L1599" t="str">
        <f>_xlfn.XLOOKUP(K1599,[2]analyte_order!$B:$B,[2]analyte_order!$C:$C)</f>
        <v>57677-95-9</v>
      </c>
      <c r="M1599">
        <f>_xlfn.XLOOKUP(L1599,[2]analyte_order!$C:$C,[2]analyte_order!$E:$E)</f>
        <v>46</v>
      </c>
      <c r="N1599">
        <v>8.0449477197406333E-2</v>
      </c>
    </row>
    <row r="1600" spans="1:14">
      <c r="A1600" t="s">
        <v>245</v>
      </c>
      <c r="B1600" t="str">
        <f>_xlfn.XLOOKUP(A1600,'[1]Tissue Data'!$A:$A,'[1]Tissue Data'!$C:$C)</f>
        <v>Spill</v>
      </c>
      <c r="C1600" s="2">
        <f>_xlfn.XLOOKUP(A1600,'[1]Tissue Data'!$A:$A,'[1]Tissue Data'!$D:$D)</f>
        <v>44314</v>
      </c>
      <c r="D1600" s="2" t="str">
        <f>_xlfn.XLOOKUP(A1600,'[1]Tissue Data'!$A:$A,'[1]Tissue Data'!$F:$F)</f>
        <v>Pumpkinseed</v>
      </c>
      <c r="E1600" t="str">
        <f>_xlfn.XLOOKUP(A1600,'[1]Tissue Data'!$A:$A,'[1]Tissue Data'!$H:$H)</f>
        <v>Lepomis</v>
      </c>
      <c r="F1600" t="str">
        <f>_xlfn.XLOOKUP(A1600,'[1]Tissue Data'!$A:$A,'[1]Tissue Data'!$I:$I)</f>
        <v>gibbosus</v>
      </c>
      <c r="G1600" t="str">
        <f>_xlfn.XLOOKUP(A1600,'[1]Tissue Data'!$A:$A,'[1]Tissue Data'!J:J)</f>
        <v>U</v>
      </c>
      <c r="H1600" t="str">
        <f>_xlfn.XLOOKUP(A1600,'[1]Tissue Data'!$A:$A,'[1]Tissue Data'!K:K)</f>
        <v>Muscle</v>
      </c>
      <c r="I1600">
        <f>_xlfn.XLOOKUP(A1600,'[1]Tissue Data'!$A:$A,'[1]Tissue Data'!L:L)</f>
        <v>10</v>
      </c>
      <c r="J1600">
        <f>_xlfn.XLOOKUP(A1600,'[1]Tissue Data'!$A:$A,'[1]Tissue Data'!M:M)</f>
        <v>25.5</v>
      </c>
      <c r="K1600" t="s">
        <v>60</v>
      </c>
      <c r="L1600" t="str">
        <f>_xlfn.XLOOKUP(K1600,[2]analyte_order!$B:$B,[2]analyte_order!$C:$C)</f>
        <v>678-41-1</v>
      </c>
      <c r="M1600">
        <f>_xlfn.XLOOKUP(L1600,[2]analyte_order!$C:$C,[2]analyte_order!$E:$E)</f>
        <v>56</v>
      </c>
      <c r="N1600">
        <v>0.10019553270172911</v>
      </c>
    </row>
    <row r="1601" spans="1:14">
      <c r="A1601" t="s">
        <v>245</v>
      </c>
      <c r="B1601" t="str">
        <f>_xlfn.XLOOKUP(A1601,'[1]Tissue Data'!$A:$A,'[1]Tissue Data'!$C:$C)</f>
        <v>Spill</v>
      </c>
      <c r="C1601" s="2">
        <f>_xlfn.XLOOKUP(A1601,'[1]Tissue Data'!$A:$A,'[1]Tissue Data'!$D:$D)</f>
        <v>44314</v>
      </c>
      <c r="D1601" s="2" t="str">
        <f>_xlfn.XLOOKUP(A1601,'[1]Tissue Data'!$A:$A,'[1]Tissue Data'!$F:$F)</f>
        <v>Pumpkinseed</v>
      </c>
      <c r="E1601" t="str">
        <f>_xlfn.XLOOKUP(A1601,'[1]Tissue Data'!$A:$A,'[1]Tissue Data'!$H:$H)</f>
        <v>Lepomis</v>
      </c>
      <c r="F1601" t="str">
        <f>_xlfn.XLOOKUP(A1601,'[1]Tissue Data'!$A:$A,'[1]Tissue Data'!$I:$I)</f>
        <v>gibbosus</v>
      </c>
      <c r="G1601" t="str">
        <f>_xlfn.XLOOKUP(A1601,'[1]Tissue Data'!$A:$A,'[1]Tissue Data'!J:J)</f>
        <v>U</v>
      </c>
      <c r="H1601" t="str">
        <f>_xlfn.XLOOKUP(A1601,'[1]Tissue Data'!$A:$A,'[1]Tissue Data'!K:K)</f>
        <v>Muscle</v>
      </c>
      <c r="I1601">
        <f>_xlfn.XLOOKUP(A1601,'[1]Tissue Data'!$A:$A,'[1]Tissue Data'!L:L)</f>
        <v>10</v>
      </c>
      <c r="J1601">
        <f>_xlfn.XLOOKUP(A1601,'[1]Tissue Data'!$A:$A,'[1]Tissue Data'!M:M)</f>
        <v>25.5</v>
      </c>
      <c r="K1601" t="s">
        <v>61</v>
      </c>
      <c r="L1601" t="str">
        <f>_xlfn.XLOOKUP(K1601,[2]analyte_order!$B:$B,[2]analyte_order!$C:$C)</f>
        <v>2965-52-8</v>
      </c>
      <c r="M1601">
        <f>_xlfn.XLOOKUP(L1601,[2]analyte_order!$C:$C,[2]analyte_order!$E:$E)</f>
        <v>57</v>
      </c>
      <c r="N1601">
        <v>0.13300820217246731</v>
      </c>
    </row>
    <row r="1602" spans="1:14">
      <c r="A1602" t="s">
        <v>243</v>
      </c>
      <c r="B1602" t="str">
        <f>_xlfn.XLOOKUP(A1602,'[1]Tissue Data'!$A:$A,'[1]Tissue Data'!$C:$C)</f>
        <v>Spill</v>
      </c>
      <c r="C1602" s="2">
        <f>_xlfn.XLOOKUP(A1602,'[1]Tissue Data'!$A:$A,'[1]Tissue Data'!$D:$D)</f>
        <v>44314</v>
      </c>
      <c r="D1602" s="2" t="str">
        <f>_xlfn.XLOOKUP(A1602,'[1]Tissue Data'!$A:$A,'[1]Tissue Data'!$F:$F)</f>
        <v>Pumpkinseed</v>
      </c>
      <c r="E1602" t="str">
        <f>_xlfn.XLOOKUP(A1602,'[1]Tissue Data'!$A:$A,'[1]Tissue Data'!$H:$H)</f>
        <v>Lepomis</v>
      </c>
      <c r="F1602" t="str">
        <f>_xlfn.XLOOKUP(A1602,'[1]Tissue Data'!$A:$A,'[1]Tissue Data'!$I:$I)</f>
        <v>gibbosus</v>
      </c>
      <c r="G1602" t="str">
        <f>_xlfn.XLOOKUP(A1602,'[1]Tissue Data'!$A:$A,'[1]Tissue Data'!J:J)</f>
        <v>U</v>
      </c>
      <c r="H1602" t="str">
        <f>_xlfn.XLOOKUP(A1602,'[1]Tissue Data'!$A:$A,'[1]Tissue Data'!K:K)</f>
        <v>Liver</v>
      </c>
      <c r="I1602">
        <f>_xlfn.XLOOKUP(A1602,'[1]Tissue Data'!$A:$A,'[1]Tissue Data'!L:L)</f>
        <v>10</v>
      </c>
      <c r="J1602">
        <f>_xlfn.XLOOKUP(A1602,'[1]Tissue Data'!$A:$A,'[1]Tissue Data'!M:M)</f>
        <v>25.5</v>
      </c>
      <c r="K1602" t="s">
        <v>12</v>
      </c>
      <c r="L1602" t="str">
        <f>_xlfn.XLOOKUP(K1602,[2]analyte_order!$B:$B,[2]analyte_order!$C:$C)</f>
        <v>375-22-4</v>
      </c>
      <c r="M1602">
        <f>_xlfn.XLOOKUP(L1602,[2]analyte_order!$C:$C,[2]analyte_order!$E:$E)</f>
        <v>1</v>
      </c>
      <c r="N1602">
        <v>2.8018006238676056E-2</v>
      </c>
    </row>
    <row r="1603" spans="1:14">
      <c r="A1603" t="s">
        <v>243</v>
      </c>
      <c r="B1603" t="str">
        <f>_xlfn.XLOOKUP(A1603,'[1]Tissue Data'!$A:$A,'[1]Tissue Data'!$C:$C)</f>
        <v>Spill</v>
      </c>
      <c r="C1603" s="2">
        <f>_xlfn.XLOOKUP(A1603,'[1]Tissue Data'!$A:$A,'[1]Tissue Data'!$D:$D)</f>
        <v>44314</v>
      </c>
      <c r="D1603" s="2" t="str">
        <f>_xlfn.XLOOKUP(A1603,'[1]Tissue Data'!$A:$A,'[1]Tissue Data'!$F:$F)</f>
        <v>Pumpkinseed</v>
      </c>
      <c r="E1603" t="str">
        <f>_xlfn.XLOOKUP(A1603,'[1]Tissue Data'!$A:$A,'[1]Tissue Data'!$H:$H)</f>
        <v>Lepomis</v>
      </c>
      <c r="F1603" t="str">
        <f>_xlfn.XLOOKUP(A1603,'[1]Tissue Data'!$A:$A,'[1]Tissue Data'!$I:$I)</f>
        <v>gibbosus</v>
      </c>
      <c r="G1603" t="str">
        <f>_xlfn.XLOOKUP(A1603,'[1]Tissue Data'!$A:$A,'[1]Tissue Data'!J:J)</f>
        <v>U</v>
      </c>
      <c r="H1603" t="str">
        <f>_xlfn.XLOOKUP(A1603,'[1]Tissue Data'!$A:$A,'[1]Tissue Data'!K:K)</f>
        <v>Liver</v>
      </c>
      <c r="I1603">
        <f>_xlfn.XLOOKUP(A1603,'[1]Tissue Data'!$A:$A,'[1]Tissue Data'!L:L)</f>
        <v>10</v>
      </c>
      <c r="J1603">
        <f>_xlfn.XLOOKUP(A1603,'[1]Tissue Data'!$A:$A,'[1]Tissue Data'!M:M)</f>
        <v>25.5</v>
      </c>
      <c r="K1603" t="s">
        <v>13</v>
      </c>
      <c r="L1603" t="str">
        <f>_xlfn.XLOOKUP(K1603,[2]analyte_order!$B:$B,[2]analyte_order!$C:$C)</f>
        <v>2706-90-3</v>
      </c>
      <c r="M1603">
        <f>_xlfn.XLOOKUP(L1603,[2]analyte_order!$C:$C,[2]analyte_order!$E:$E)</f>
        <v>2</v>
      </c>
      <c r="N1603">
        <v>4.9489695919971231E-2</v>
      </c>
    </row>
    <row r="1604" spans="1:14">
      <c r="A1604" t="s">
        <v>243</v>
      </c>
      <c r="B1604" t="str">
        <f>_xlfn.XLOOKUP(A1604,'[1]Tissue Data'!$A:$A,'[1]Tissue Data'!$C:$C)</f>
        <v>Spill</v>
      </c>
      <c r="C1604" s="2">
        <f>_xlfn.XLOOKUP(A1604,'[1]Tissue Data'!$A:$A,'[1]Tissue Data'!$D:$D)</f>
        <v>44314</v>
      </c>
      <c r="D1604" s="2" t="str">
        <f>_xlfn.XLOOKUP(A1604,'[1]Tissue Data'!$A:$A,'[1]Tissue Data'!$F:$F)</f>
        <v>Pumpkinseed</v>
      </c>
      <c r="E1604" t="str">
        <f>_xlfn.XLOOKUP(A1604,'[1]Tissue Data'!$A:$A,'[1]Tissue Data'!$H:$H)</f>
        <v>Lepomis</v>
      </c>
      <c r="F1604" t="str">
        <f>_xlfn.XLOOKUP(A1604,'[1]Tissue Data'!$A:$A,'[1]Tissue Data'!$I:$I)</f>
        <v>gibbosus</v>
      </c>
      <c r="G1604" t="str">
        <f>_xlfn.XLOOKUP(A1604,'[1]Tissue Data'!$A:$A,'[1]Tissue Data'!J:J)</f>
        <v>U</v>
      </c>
      <c r="H1604" t="str">
        <f>_xlfn.XLOOKUP(A1604,'[1]Tissue Data'!$A:$A,'[1]Tissue Data'!K:K)</f>
        <v>Liver</v>
      </c>
      <c r="I1604">
        <f>_xlfn.XLOOKUP(A1604,'[1]Tissue Data'!$A:$A,'[1]Tissue Data'!L:L)</f>
        <v>10</v>
      </c>
      <c r="J1604">
        <f>_xlfn.XLOOKUP(A1604,'[1]Tissue Data'!$A:$A,'[1]Tissue Data'!M:M)</f>
        <v>25.5</v>
      </c>
      <c r="K1604" t="s">
        <v>14</v>
      </c>
      <c r="L1604" t="str">
        <f>_xlfn.XLOOKUP(K1604,[2]analyte_order!$B:$B,[2]analyte_order!$C:$C)</f>
        <v>307-24-4</v>
      </c>
      <c r="M1604">
        <f>_xlfn.XLOOKUP(L1604,[2]analyte_order!$C:$C,[2]analyte_order!$E:$E)</f>
        <v>3</v>
      </c>
      <c r="N1604">
        <v>3.7802682745685226E-2</v>
      </c>
    </row>
    <row r="1605" spans="1:14">
      <c r="A1605" t="s">
        <v>243</v>
      </c>
      <c r="B1605" t="str">
        <f>_xlfn.XLOOKUP(A1605,'[1]Tissue Data'!$A:$A,'[1]Tissue Data'!$C:$C)</f>
        <v>Spill</v>
      </c>
      <c r="C1605" s="2">
        <f>_xlfn.XLOOKUP(A1605,'[1]Tissue Data'!$A:$A,'[1]Tissue Data'!$D:$D)</f>
        <v>44314</v>
      </c>
      <c r="D1605" s="2" t="str">
        <f>_xlfn.XLOOKUP(A1605,'[1]Tissue Data'!$A:$A,'[1]Tissue Data'!$F:$F)</f>
        <v>Pumpkinseed</v>
      </c>
      <c r="E1605" t="str">
        <f>_xlfn.XLOOKUP(A1605,'[1]Tissue Data'!$A:$A,'[1]Tissue Data'!$H:$H)</f>
        <v>Lepomis</v>
      </c>
      <c r="F1605" t="str">
        <f>_xlfn.XLOOKUP(A1605,'[1]Tissue Data'!$A:$A,'[1]Tissue Data'!$I:$I)</f>
        <v>gibbosus</v>
      </c>
      <c r="G1605" t="str">
        <f>_xlfn.XLOOKUP(A1605,'[1]Tissue Data'!$A:$A,'[1]Tissue Data'!J:J)</f>
        <v>U</v>
      </c>
      <c r="H1605" t="str">
        <f>_xlfn.XLOOKUP(A1605,'[1]Tissue Data'!$A:$A,'[1]Tissue Data'!K:K)</f>
        <v>Liver</v>
      </c>
      <c r="I1605">
        <f>_xlfn.XLOOKUP(A1605,'[1]Tissue Data'!$A:$A,'[1]Tissue Data'!L:L)</f>
        <v>10</v>
      </c>
      <c r="J1605">
        <f>_xlfn.XLOOKUP(A1605,'[1]Tissue Data'!$A:$A,'[1]Tissue Data'!M:M)</f>
        <v>25.5</v>
      </c>
      <c r="K1605" t="s">
        <v>15</v>
      </c>
      <c r="L1605" t="str">
        <f>_xlfn.XLOOKUP(K1605,[2]analyte_order!$B:$B,[2]analyte_order!$C:$C)</f>
        <v>375-85-9</v>
      </c>
      <c r="M1605">
        <f>_xlfn.XLOOKUP(L1605,[2]analyte_order!$C:$C,[2]analyte_order!$E:$E)</f>
        <v>4</v>
      </c>
      <c r="N1605">
        <v>0.70977917981072558</v>
      </c>
    </row>
    <row r="1606" spans="1:14">
      <c r="A1606" t="s">
        <v>243</v>
      </c>
      <c r="B1606" t="str">
        <f>_xlfn.XLOOKUP(A1606,'[1]Tissue Data'!$A:$A,'[1]Tissue Data'!$C:$C)</f>
        <v>Spill</v>
      </c>
      <c r="C1606" s="2">
        <f>_xlfn.XLOOKUP(A1606,'[1]Tissue Data'!$A:$A,'[1]Tissue Data'!$D:$D)</f>
        <v>44314</v>
      </c>
      <c r="D1606" s="2" t="str">
        <f>_xlfn.XLOOKUP(A1606,'[1]Tissue Data'!$A:$A,'[1]Tissue Data'!$F:$F)</f>
        <v>Pumpkinseed</v>
      </c>
      <c r="E1606" t="str">
        <f>_xlfn.XLOOKUP(A1606,'[1]Tissue Data'!$A:$A,'[1]Tissue Data'!$H:$H)</f>
        <v>Lepomis</v>
      </c>
      <c r="F1606" t="str">
        <f>_xlfn.XLOOKUP(A1606,'[1]Tissue Data'!$A:$A,'[1]Tissue Data'!$I:$I)</f>
        <v>gibbosus</v>
      </c>
      <c r="G1606" t="str">
        <f>_xlfn.XLOOKUP(A1606,'[1]Tissue Data'!$A:$A,'[1]Tissue Data'!J:J)</f>
        <v>U</v>
      </c>
      <c r="H1606" t="str">
        <f>_xlfn.XLOOKUP(A1606,'[1]Tissue Data'!$A:$A,'[1]Tissue Data'!K:K)</f>
        <v>Liver</v>
      </c>
      <c r="I1606">
        <f>_xlfn.XLOOKUP(A1606,'[1]Tissue Data'!$A:$A,'[1]Tissue Data'!L:L)</f>
        <v>10</v>
      </c>
      <c r="J1606">
        <f>_xlfn.XLOOKUP(A1606,'[1]Tissue Data'!$A:$A,'[1]Tissue Data'!M:M)</f>
        <v>25.5</v>
      </c>
      <c r="K1606" t="s">
        <v>16</v>
      </c>
      <c r="L1606" t="str">
        <f>_xlfn.XLOOKUP(K1606,[2]analyte_order!$B:$B,[2]analyte_order!$C:$C)</f>
        <v>335-67-1</v>
      </c>
      <c r="M1606">
        <f>_xlfn.XLOOKUP(L1606,[2]analyte_order!$C:$C,[2]analyte_order!$E:$E)</f>
        <v>5</v>
      </c>
      <c r="N1606">
        <v>0.70977917981072558</v>
      </c>
    </row>
    <row r="1607" spans="1:14">
      <c r="A1607" t="s">
        <v>243</v>
      </c>
      <c r="B1607" t="str">
        <f>_xlfn.XLOOKUP(A1607,'[1]Tissue Data'!$A:$A,'[1]Tissue Data'!$C:$C)</f>
        <v>Spill</v>
      </c>
      <c r="C1607" s="2">
        <f>_xlfn.XLOOKUP(A1607,'[1]Tissue Data'!$A:$A,'[1]Tissue Data'!$D:$D)</f>
        <v>44314</v>
      </c>
      <c r="D1607" s="2" t="str">
        <f>_xlfn.XLOOKUP(A1607,'[1]Tissue Data'!$A:$A,'[1]Tissue Data'!$F:$F)</f>
        <v>Pumpkinseed</v>
      </c>
      <c r="E1607" t="str">
        <f>_xlfn.XLOOKUP(A1607,'[1]Tissue Data'!$A:$A,'[1]Tissue Data'!$H:$H)</f>
        <v>Lepomis</v>
      </c>
      <c r="F1607" t="str">
        <f>_xlfn.XLOOKUP(A1607,'[1]Tissue Data'!$A:$A,'[1]Tissue Data'!$I:$I)</f>
        <v>gibbosus</v>
      </c>
      <c r="G1607" t="str">
        <f>_xlfn.XLOOKUP(A1607,'[1]Tissue Data'!$A:$A,'[1]Tissue Data'!J:J)</f>
        <v>U</v>
      </c>
      <c r="H1607" t="str">
        <f>_xlfn.XLOOKUP(A1607,'[1]Tissue Data'!$A:$A,'[1]Tissue Data'!K:K)</f>
        <v>Liver</v>
      </c>
      <c r="I1607">
        <f>_xlfn.XLOOKUP(A1607,'[1]Tissue Data'!$A:$A,'[1]Tissue Data'!L:L)</f>
        <v>10</v>
      </c>
      <c r="J1607">
        <f>_xlfn.XLOOKUP(A1607,'[1]Tissue Data'!$A:$A,'[1]Tissue Data'!M:M)</f>
        <v>25.5</v>
      </c>
      <c r="K1607" t="s">
        <v>17</v>
      </c>
      <c r="L1607" t="str">
        <f>_xlfn.XLOOKUP(K1607,[2]analyte_order!$B:$B,[2]analyte_order!$C:$C)</f>
        <v>375-95-1</v>
      </c>
      <c r="M1607">
        <f>_xlfn.XLOOKUP(L1607,[2]analyte_order!$C:$C,[2]analyte_order!$E:$E)</f>
        <v>6</v>
      </c>
      <c r="N1607">
        <v>1.2279983776786276</v>
      </c>
    </row>
    <row r="1608" spans="1:14">
      <c r="A1608" t="s">
        <v>243</v>
      </c>
      <c r="B1608" t="str">
        <f>_xlfn.XLOOKUP(A1608,'[1]Tissue Data'!$A:$A,'[1]Tissue Data'!$C:$C)</f>
        <v>Spill</v>
      </c>
      <c r="C1608" s="2">
        <f>_xlfn.XLOOKUP(A1608,'[1]Tissue Data'!$A:$A,'[1]Tissue Data'!$D:$D)</f>
        <v>44314</v>
      </c>
      <c r="D1608" s="2" t="str">
        <f>_xlfn.XLOOKUP(A1608,'[1]Tissue Data'!$A:$A,'[1]Tissue Data'!$F:$F)</f>
        <v>Pumpkinseed</v>
      </c>
      <c r="E1608" t="str">
        <f>_xlfn.XLOOKUP(A1608,'[1]Tissue Data'!$A:$A,'[1]Tissue Data'!$H:$H)</f>
        <v>Lepomis</v>
      </c>
      <c r="F1608" t="str">
        <f>_xlfn.XLOOKUP(A1608,'[1]Tissue Data'!$A:$A,'[1]Tissue Data'!$I:$I)</f>
        <v>gibbosus</v>
      </c>
      <c r="G1608" t="str">
        <f>_xlfn.XLOOKUP(A1608,'[1]Tissue Data'!$A:$A,'[1]Tissue Data'!J:J)</f>
        <v>U</v>
      </c>
      <c r="H1608" t="str">
        <f>_xlfn.XLOOKUP(A1608,'[1]Tissue Data'!$A:$A,'[1]Tissue Data'!K:K)</f>
        <v>Liver</v>
      </c>
      <c r="I1608">
        <f>_xlfn.XLOOKUP(A1608,'[1]Tissue Data'!$A:$A,'[1]Tissue Data'!L:L)</f>
        <v>10</v>
      </c>
      <c r="J1608">
        <f>_xlfn.XLOOKUP(A1608,'[1]Tissue Data'!$A:$A,'[1]Tissue Data'!M:M)</f>
        <v>25.5</v>
      </c>
      <c r="K1608" t="s">
        <v>18</v>
      </c>
      <c r="L1608" t="str">
        <f>_xlfn.XLOOKUP(K1608,[2]analyte_order!$B:$B,[2]analyte_order!$C:$C)</f>
        <v>335-76-2</v>
      </c>
      <c r="M1608">
        <f>_xlfn.XLOOKUP(L1608,[2]analyte_order!$C:$C,[2]analyte_order!$E:$E)</f>
        <v>7</v>
      </c>
      <c r="N1608">
        <v>13.5</v>
      </c>
    </row>
    <row r="1609" spans="1:14">
      <c r="A1609" t="s">
        <v>243</v>
      </c>
      <c r="B1609" t="str">
        <f>_xlfn.XLOOKUP(A1609,'[1]Tissue Data'!$A:$A,'[1]Tissue Data'!$C:$C)</f>
        <v>Spill</v>
      </c>
      <c r="C1609" s="2">
        <f>_xlfn.XLOOKUP(A1609,'[1]Tissue Data'!$A:$A,'[1]Tissue Data'!$D:$D)</f>
        <v>44314</v>
      </c>
      <c r="D1609" s="2" t="str">
        <f>_xlfn.XLOOKUP(A1609,'[1]Tissue Data'!$A:$A,'[1]Tissue Data'!$F:$F)</f>
        <v>Pumpkinseed</v>
      </c>
      <c r="E1609" t="str">
        <f>_xlfn.XLOOKUP(A1609,'[1]Tissue Data'!$A:$A,'[1]Tissue Data'!$H:$H)</f>
        <v>Lepomis</v>
      </c>
      <c r="F1609" t="str">
        <f>_xlfn.XLOOKUP(A1609,'[1]Tissue Data'!$A:$A,'[1]Tissue Data'!$I:$I)</f>
        <v>gibbosus</v>
      </c>
      <c r="G1609" t="str">
        <f>_xlfn.XLOOKUP(A1609,'[1]Tissue Data'!$A:$A,'[1]Tissue Data'!J:J)</f>
        <v>U</v>
      </c>
      <c r="H1609" t="str">
        <f>_xlfn.XLOOKUP(A1609,'[1]Tissue Data'!$A:$A,'[1]Tissue Data'!K:K)</f>
        <v>Liver</v>
      </c>
      <c r="I1609">
        <f>_xlfn.XLOOKUP(A1609,'[1]Tissue Data'!$A:$A,'[1]Tissue Data'!L:L)</f>
        <v>10</v>
      </c>
      <c r="J1609">
        <f>_xlfn.XLOOKUP(A1609,'[1]Tissue Data'!$A:$A,'[1]Tissue Data'!M:M)</f>
        <v>25.5</v>
      </c>
      <c r="K1609" t="s">
        <v>19</v>
      </c>
      <c r="L1609" t="str">
        <f>_xlfn.XLOOKUP(K1609,[2]analyte_order!$B:$B,[2]analyte_order!$C:$C)</f>
        <v>2058-94-8</v>
      </c>
      <c r="M1609">
        <f>_xlfn.XLOOKUP(L1609,[2]analyte_order!$C:$C,[2]analyte_order!$E:$E)</f>
        <v>8</v>
      </c>
      <c r="N1609">
        <v>20</v>
      </c>
    </row>
    <row r="1610" spans="1:14">
      <c r="A1610" t="s">
        <v>243</v>
      </c>
      <c r="B1610" t="str">
        <f>_xlfn.XLOOKUP(A1610,'[1]Tissue Data'!$A:$A,'[1]Tissue Data'!$C:$C)</f>
        <v>Spill</v>
      </c>
      <c r="C1610" s="2">
        <f>_xlfn.XLOOKUP(A1610,'[1]Tissue Data'!$A:$A,'[1]Tissue Data'!$D:$D)</f>
        <v>44314</v>
      </c>
      <c r="D1610" s="2" t="str">
        <f>_xlfn.XLOOKUP(A1610,'[1]Tissue Data'!$A:$A,'[1]Tissue Data'!$F:$F)</f>
        <v>Pumpkinseed</v>
      </c>
      <c r="E1610" t="str">
        <f>_xlfn.XLOOKUP(A1610,'[1]Tissue Data'!$A:$A,'[1]Tissue Data'!$H:$H)</f>
        <v>Lepomis</v>
      </c>
      <c r="F1610" t="str">
        <f>_xlfn.XLOOKUP(A1610,'[1]Tissue Data'!$A:$A,'[1]Tissue Data'!$I:$I)</f>
        <v>gibbosus</v>
      </c>
      <c r="G1610" t="str">
        <f>_xlfn.XLOOKUP(A1610,'[1]Tissue Data'!$A:$A,'[1]Tissue Data'!J:J)</f>
        <v>U</v>
      </c>
      <c r="H1610" t="str">
        <f>_xlfn.XLOOKUP(A1610,'[1]Tissue Data'!$A:$A,'[1]Tissue Data'!K:K)</f>
        <v>Liver</v>
      </c>
      <c r="I1610">
        <f>_xlfn.XLOOKUP(A1610,'[1]Tissue Data'!$A:$A,'[1]Tissue Data'!L:L)</f>
        <v>10</v>
      </c>
      <c r="J1610">
        <f>_xlfn.XLOOKUP(A1610,'[1]Tissue Data'!$A:$A,'[1]Tissue Data'!M:M)</f>
        <v>25.5</v>
      </c>
      <c r="K1610" t="s">
        <v>20</v>
      </c>
      <c r="L1610" t="str">
        <f>_xlfn.XLOOKUP(K1610,[2]analyte_order!$B:$B,[2]analyte_order!$C:$C)</f>
        <v>307-55-1</v>
      </c>
      <c r="M1610">
        <f>_xlfn.XLOOKUP(L1610,[2]analyte_order!$C:$C,[2]analyte_order!$E:$E)</f>
        <v>9</v>
      </c>
      <c r="N1610">
        <v>5.5926733022909389E-2</v>
      </c>
    </row>
    <row r="1611" spans="1:14">
      <c r="A1611" t="s">
        <v>243</v>
      </c>
      <c r="B1611" t="str">
        <f>_xlfn.XLOOKUP(A1611,'[1]Tissue Data'!$A:$A,'[1]Tissue Data'!$C:$C)</f>
        <v>Spill</v>
      </c>
      <c r="C1611" s="2">
        <f>_xlfn.XLOOKUP(A1611,'[1]Tissue Data'!$A:$A,'[1]Tissue Data'!$D:$D)</f>
        <v>44314</v>
      </c>
      <c r="D1611" s="2" t="str">
        <f>_xlfn.XLOOKUP(A1611,'[1]Tissue Data'!$A:$A,'[1]Tissue Data'!$F:$F)</f>
        <v>Pumpkinseed</v>
      </c>
      <c r="E1611" t="str">
        <f>_xlfn.XLOOKUP(A1611,'[1]Tissue Data'!$A:$A,'[1]Tissue Data'!$H:$H)</f>
        <v>Lepomis</v>
      </c>
      <c r="F1611" t="str">
        <f>_xlfn.XLOOKUP(A1611,'[1]Tissue Data'!$A:$A,'[1]Tissue Data'!$I:$I)</f>
        <v>gibbosus</v>
      </c>
      <c r="G1611" t="str">
        <f>_xlfn.XLOOKUP(A1611,'[1]Tissue Data'!$A:$A,'[1]Tissue Data'!J:J)</f>
        <v>U</v>
      </c>
      <c r="H1611" t="str">
        <f>_xlfn.XLOOKUP(A1611,'[1]Tissue Data'!$A:$A,'[1]Tissue Data'!K:K)</f>
        <v>Liver</v>
      </c>
      <c r="I1611">
        <f>_xlfn.XLOOKUP(A1611,'[1]Tissue Data'!$A:$A,'[1]Tissue Data'!L:L)</f>
        <v>10</v>
      </c>
      <c r="J1611">
        <f>_xlfn.XLOOKUP(A1611,'[1]Tissue Data'!$A:$A,'[1]Tissue Data'!M:M)</f>
        <v>25.5</v>
      </c>
      <c r="K1611" t="s">
        <v>21</v>
      </c>
      <c r="L1611" t="str">
        <f>_xlfn.XLOOKUP(K1611,[2]analyte_order!$B:$B,[2]analyte_order!$C:$C)</f>
        <v>72629-94-8</v>
      </c>
      <c r="M1611">
        <f>_xlfn.XLOOKUP(L1611,[2]analyte_order!$C:$C,[2]analyte_order!$E:$E)</f>
        <v>10</v>
      </c>
      <c r="N1611">
        <v>23.1</v>
      </c>
    </row>
    <row r="1612" spans="1:14">
      <c r="A1612" t="s">
        <v>243</v>
      </c>
      <c r="B1612" t="str">
        <f>_xlfn.XLOOKUP(A1612,'[1]Tissue Data'!$A:$A,'[1]Tissue Data'!$C:$C)</f>
        <v>Spill</v>
      </c>
      <c r="C1612" s="2">
        <f>_xlfn.XLOOKUP(A1612,'[1]Tissue Data'!$A:$A,'[1]Tissue Data'!$D:$D)</f>
        <v>44314</v>
      </c>
      <c r="D1612" s="2" t="str">
        <f>_xlfn.XLOOKUP(A1612,'[1]Tissue Data'!$A:$A,'[1]Tissue Data'!$F:$F)</f>
        <v>Pumpkinseed</v>
      </c>
      <c r="E1612" t="str">
        <f>_xlfn.XLOOKUP(A1612,'[1]Tissue Data'!$A:$A,'[1]Tissue Data'!$H:$H)</f>
        <v>Lepomis</v>
      </c>
      <c r="F1612" t="str">
        <f>_xlfn.XLOOKUP(A1612,'[1]Tissue Data'!$A:$A,'[1]Tissue Data'!$I:$I)</f>
        <v>gibbosus</v>
      </c>
      <c r="G1612" t="str">
        <f>_xlfn.XLOOKUP(A1612,'[1]Tissue Data'!$A:$A,'[1]Tissue Data'!J:J)</f>
        <v>U</v>
      </c>
      <c r="H1612" t="str">
        <f>_xlfn.XLOOKUP(A1612,'[1]Tissue Data'!$A:$A,'[1]Tissue Data'!K:K)</f>
        <v>Liver</v>
      </c>
      <c r="I1612">
        <f>_xlfn.XLOOKUP(A1612,'[1]Tissue Data'!$A:$A,'[1]Tissue Data'!L:L)</f>
        <v>10</v>
      </c>
      <c r="J1612">
        <f>_xlfn.XLOOKUP(A1612,'[1]Tissue Data'!$A:$A,'[1]Tissue Data'!M:M)</f>
        <v>25.5</v>
      </c>
      <c r="K1612" t="s">
        <v>22</v>
      </c>
      <c r="L1612" t="str">
        <f>_xlfn.XLOOKUP(K1612,[2]analyte_order!$B:$B,[2]analyte_order!$C:$C)</f>
        <v>376-06-7</v>
      </c>
      <c r="M1612">
        <f>_xlfn.XLOOKUP(L1612,[2]analyte_order!$C:$C,[2]analyte_order!$E:$E)</f>
        <v>11</v>
      </c>
      <c r="N1612">
        <v>33.1</v>
      </c>
    </row>
    <row r="1613" spans="1:14">
      <c r="A1613" t="s">
        <v>243</v>
      </c>
      <c r="B1613" t="str">
        <f>_xlfn.XLOOKUP(A1613,'[1]Tissue Data'!$A:$A,'[1]Tissue Data'!$C:$C)</f>
        <v>Spill</v>
      </c>
      <c r="C1613" s="2">
        <f>_xlfn.XLOOKUP(A1613,'[1]Tissue Data'!$A:$A,'[1]Tissue Data'!$D:$D)</f>
        <v>44314</v>
      </c>
      <c r="D1613" s="2" t="str">
        <f>_xlfn.XLOOKUP(A1613,'[1]Tissue Data'!$A:$A,'[1]Tissue Data'!$F:$F)</f>
        <v>Pumpkinseed</v>
      </c>
      <c r="E1613" t="str">
        <f>_xlfn.XLOOKUP(A1613,'[1]Tissue Data'!$A:$A,'[1]Tissue Data'!$H:$H)</f>
        <v>Lepomis</v>
      </c>
      <c r="F1613" t="str">
        <f>_xlfn.XLOOKUP(A1613,'[1]Tissue Data'!$A:$A,'[1]Tissue Data'!$I:$I)</f>
        <v>gibbosus</v>
      </c>
      <c r="G1613" t="str">
        <f>_xlfn.XLOOKUP(A1613,'[1]Tissue Data'!$A:$A,'[1]Tissue Data'!J:J)</f>
        <v>U</v>
      </c>
      <c r="H1613" t="str">
        <f>_xlfn.XLOOKUP(A1613,'[1]Tissue Data'!$A:$A,'[1]Tissue Data'!K:K)</f>
        <v>Liver</v>
      </c>
      <c r="I1613">
        <f>_xlfn.XLOOKUP(A1613,'[1]Tissue Data'!$A:$A,'[1]Tissue Data'!L:L)</f>
        <v>10</v>
      </c>
      <c r="J1613">
        <f>_xlfn.XLOOKUP(A1613,'[1]Tissue Data'!$A:$A,'[1]Tissue Data'!M:M)</f>
        <v>25.5</v>
      </c>
      <c r="K1613" t="s">
        <v>23</v>
      </c>
      <c r="L1613" t="str">
        <f>_xlfn.XLOOKUP(K1613,[2]analyte_order!$B:$B,[2]analyte_order!$C:$C)</f>
        <v>67905-19-5</v>
      </c>
      <c r="M1613">
        <f>_xlfn.XLOOKUP(L1613,[2]analyte_order!$C:$C,[2]analyte_order!$E:$E)</f>
        <v>12</v>
      </c>
      <c r="N1613">
        <v>8.3479659501746462E-2</v>
      </c>
    </row>
    <row r="1614" spans="1:14">
      <c r="A1614" t="s">
        <v>243</v>
      </c>
      <c r="B1614" t="str">
        <f>_xlfn.XLOOKUP(A1614,'[1]Tissue Data'!$A:$A,'[1]Tissue Data'!$C:$C)</f>
        <v>Spill</v>
      </c>
      <c r="C1614" s="2">
        <f>_xlfn.XLOOKUP(A1614,'[1]Tissue Data'!$A:$A,'[1]Tissue Data'!$D:$D)</f>
        <v>44314</v>
      </c>
      <c r="D1614" s="2" t="str">
        <f>_xlfn.XLOOKUP(A1614,'[1]Tissue Data'!$A:$A,'[1]Tissue Data'!$F:$F)</f>
        <v>Pumpkinseed</v>
      </c>
      <c r="E1614" t="str">
        <f>_xlfn.XLOOKUP(A1614,'[1]Tissue Data'!$A:$A,'[1]Tissue Data'!$H:$H)</f>
        <v>Lepomis</v>
      </c>
      <c r="F1614" t="str">
        <f>_xlfn.XLOOKUP(A1614,'[1]Tissue Data'!$A:$A,'[1]Tissue Data'!$I:$I)</f>
        <v>gibbosus</v>
      </c>
      <c r="G1614" t="str">
        <f>_xlfn.XLOOKUP(A1614,'[1]Tissue Data'!$A:$A,'[1]Tissue Data'!J:J)</f>
        <v>U</v>
      </c>
      <c r="H1614" t="str">
        <f>_xlfn.XLOOKUP(A1614,'[1]Tissue Data'!$A:$A,'[1]Tissue Data'!K:K)</f>
        <v>Liver</v>
      </c>
      <c r="I1614">
        <f>_xlfn.XLOOKUP(A1614,'[1]Tissue Data'!$A:$A,'[1]Tissue Data'!L:L)</f>
        <v>10</v>
      </c>
      <c r="J1614">
        <f>_xlfn.XLOOKUP(A1614,'[1]Tissue Data'!$A:$A,'[1]Tissue Data'!M:M)</f>
        <v>25.5</v>
      </c>
      <c r="K1614" t="s">
        <v>24</v>
      </c>
      <c r="L1614" t="str">
        <f>_xlfn.XLOOKUP(K1614,[2]analyte_order!$B:$B,[2]analyte_order!$C:$C)</f>
        <v>423-41-6</v>
      </c>
      <c r="M1614">
        <f>_xlfn.XLOOKUP(L1614,[2]analyte_order!$C:$C,[2]analyte_order!$E:$E)</f>
        <v>53</v>
      </c>
      <c r="N1614">
        <v>5.3441071388432293E-2</v>
      </c>
    </row>
    <row r="1615" spans="1:14">
      <c r="A1615" t="s">
        <v>243</v>
      </c>
      <c r="B1615" t="str">
        <f>_xlfn.XLOOKUP(A1615,'[1]Tissue Data'!$A:$A,'[1]Tissue Data'!$C:$C)</f>
        <v>Spill</v>
      </c>
      <c r="C1615" s="2">
        <f>_xlfn.XLOOKUP(A1615,'[1]Tissue Data'!$A:$A,'[1]Tissue Data'!$D:$D)</f>
        <v>44314</v>
      </c>
      <c r="D1615" s="2" t="str">
        <f>_xlfn.XLOOKUP(A1615,'[1]Tissue Data'!$A:$A,'[1]Tissue Data'!$F:$F)</f>
        <v>Pumpkinseed</v>
      </c>
      <c r="E1615" t="str">
        <f>_xlfn.XLOOKUP(A1615,'[1]Tissue Data'!$A:$A,'[1]Tissue Data'!$H:$H)</f>
        <v>Lepomis</v>
      </c>
      <c r="F1615" t="str">
        <f>_xlfn.XLOOKUP(A1615,'[1]Tissue Data'!$A:$A,'[1]Tissue Data'!$I:$I)</f>
        <v>gibbosus</v>
      </c>
      <c r="G1615" t="str">
        <f>_xlfn.XLOOKUP(A1615,'[1]Tissue Data'!$A:$A,'[1]Tissue Data'!J:J)</f>
        <v>U</v>
      </c>
      <c r="H1615" t="str">
        <f>_xlfn.XLOOKUP(A1615,'[1]Tissue Data'!$A:$A,'[1]Tissue Data'!K:K)</f>
        <v>Liver</v>
      </c>
      <c r="I1615">
        <f>_xlfn.XLOOKUP(A1615,'[1]Tissue Data'!$A:$A,'[1]Tissue Data'!L:L)</f>
        <v>10</v>
      </c>
      <c r="J1615">
        <f>_xlfn.XLOOKUP(A1615,'[1]Tissue Data'!$A:$A,'[1]Tissue Data'!M:M)</f>
        <v>25.5</v>
      </c>
      <c r="K1615" t="s">
        <v>25</v>
      </c>
      <c r="L1615" t="str">
        <f>_xlfn.XLOOKUP(K1615,[2]analyte_order!$B:$B,[2]analyte_order!$C:$C)</f>
        <v>375-73-5</v>
      </c>
      <c r="M1615">
        <f>_xlfn.XLOOKUP(L1615,[2]analyte_order!$C:$C,[2]analyte_order!$E:$E)</f>
        <v>14</v>
      </c>
      <c r="N1615">
        <v>4.7673290391925201E-2</v>
      </c>
    </row>
    <row r="1616" spans="1:14">
      <c r="A1616" t="s">
        <v>243</v>
      </c>
      <c r="B1616" t="str">
        <f>_xlfn.XLOOKUP(A1616,'[1]Tissue Data'!$A:$A,'[1]Tissue Data'!$C:$C)</f>
        <v>Spill</v>
      </c>
      <c r="C1616" s="2">
        <f>_xlfn.XLOOKUP(A1616,'[1]Tissue Data'!$A:$A,'[1]Tissue Data'!$D:$D)</f>
        <v>44314</v>
      </c>
      <c r="D1616" s="2" t="str">
        <f>_xlfn.XLOOKUP(A1616,'[1]Tissue Data'!$A:$A,'[1]Tissue Data'!$F:$F)</f>
        <v>Pumpkinseed</v>
      </c>
      <c r="E1616" t="str">
        <f>_xlfn.XLOOKUP(A1616,'[1]Tissue Data'!$A:$A,'[1]Tissue Data'!$H:$H)</f>
        <v>Lepomis</v>
      </c>
      <c r="F1616" t="str">
        <f>_xlfn.XLOOKUP(A1616,'[1]Tissue Data'!$A:$A,'[1]Tissue Data'!$I:$I)</f>
        <v>gibbosus</v>
      </c>
      <c r="G1616" t="str">
        <f>_xlfn.XLOOKUP(A1616,'[1]Tissue Data'!$A:$A,'[1]Tissue Data'!J:J)</f>
        <v>U</v>
      </c>
      <c r="H1616" t="str">
        <f>_xlfn.XLOOKUP(A1616,'[1]Tissue Data'!$A:$A,'[1]Tissue Data'!K:K)</f>
        <v>Liver</v>
      </c>
      <c r="I1616">
        <f>_xlfn.XLOOKUP(A1616,'[1]Tissue Data'!$A:$A,'[1]Tissue Data'!L:L)</f>
        <v>10</v>
      </c>
      <c r="J1616">
        <f>_xlfn.XLOOKUP(A1616,'[1]Tissue Data'!$A:$A,'[1]Tissue Data'!M:M)</f>
        <v>25.5</v>
      </c>
      <c r="K1616" t="s">
        <v>26</v>
      </c>
      <c r="L1616" t="str">
        <f>_xlfn.XLOOKUP(K1616,[2]analyte_order!$B:$B,[2]analyte_order!$C:$C)</f>
        <v>2706-91-4</v>
      </c>
      <c r="M1616">
        <f>_xlfn.XLOOKUP(L1616,[2]analyte_order!$C:$C,[2]analyte_order!$E:$E)</f>
        <v>15</v>
      </c>
      <c r="N1616">
        <v>0.93964992785701895</v>
      </c>
    </row>
    <row r="1617" spans="1:14">
      <c r="A1617" t="s">
        <v>243</v>
      </c>
      <c r="B1617" t="str">
        <f>_xlfn.XLOOKUP(A1617,'[1]Tissue Data'!$A:$A,'[1]Tissue Data'!$C:$C)</f>
        <v>Spill</v>
      </c>
      <c r="C1617" s="2">
        <f>_xlfn.XLOOKUP(A1617,'[1]Tissue Data'!$A:$A,'[1]Tissue Data'!$D:$D)</f>
        <v>44314</v>
      </c>
      <c r="D1617" s="2" t="str">
        <f>_xlfn.XLOOKUP(A1617,'[1]Tissue Data'!$A:$A,'[1]Tissue Data'!$F:$F)</f>
        <v>Pumpkinseed</v>
      </c>
      <c r="E1617" t="str">
        <f>_xlfn.XLOOKUP(A1617,'[1]Tissue Data'!$A:$A,'[1]Tissue Data'!$H:$H)</f>
        <v>Lepomis</v>
      </c>
      <c r="F1617" t="str">
        <f>_xlfn.XLOOKUP(A1617,'[1]Tissue Data'!$A:$A,'[1]Tissue Data'!$I:$I)</f>
        <v>gibbosus</v>
      </c>
      <c r="G1617" t="str">
        <f>_xlfn.XLOOKUP(A1617,'[1]Tissue Data'!$A:$A,'[1]Tissue Data'!J:J)</f>
        <v>U</v>
      </c>
      <c r="H1617" t="str">
        <f>_xlfn.XLOOKUP(A1617,'[1]Tissue Data'!$A:$A,'[1]Tissue Data'!K:K)</f>
        <v>Liver</v>
      </c>
      <c r="I1617">
        <f>_xlfn.XLOOKUP(A1617,'[1]Tissue Data'!$A:$A,'[1]Tissue Data'!L:L)</f>
        <v>10</v>
      </c>
      <c r="J1617">
        <f>_xlfn.XLOOKUP(A1617,'[1]Tissue Data'!$A:$A,'[1]Tissue Data'!M:M)</f>
        <v>25.5</v>
      </c>
      <c r="K1617" t="s">
        <v>27</v>
      </c>
      <c r="L1617" t="str">
        <f>_xlfn.XLOOKUP(K1617,[2]analyte_order!$B:$B,[2]analyte_order!$C:$C)</f>
        <v>355-46-4</v>
      </c>
      <c r="M1617">
        <f>_xlfn.XLOOKUP(L1617,[2]analyte_order!$C:$C,[2]analyte_order!$E:$E)</f>
        <v>16</v>
      </c>
      <c r="N1617">
        <v>27.8</v>
      </c>
    </row>
    <row r="1618" spans="1:14">
      <c r="A1618" t="s">
        <v>243</v>
      </c>
      <c r="B1618" t="str">
        <f>_xlfn.XLOOKUP(A1618,'[1]Tissue Data'!$A:$A,'[1]Tissue Data'!$C:$C)</f>
        <v>Spill</v>
      </c>
      <c r="C1618" s="2">
        <f>_xlfn.XLOOKUP(A1618,'[1]Tissue Data'!$A:$A,'[1]Tissue Data'!$D:$D)</f>
        <v>44314</v>
      </c>
      <c r="D1618" s="2" t="str">
        <f>_xlfn.XLOOKUP(A1618,'[1]Tissue Data'!$A:$A,'[1]Tissue Data'!$F:$F)</f>
        <v>Pumpkinseed</v>
      </c>
      <c r="E1618" t="str">
        <f>_xlfn.XLOOKUP(A1618,'[1]Tissue Data'!$A:$A,'[1]Tissue Data'!$H:$H)</f>
        <v>Lepomis</v>
      </c>
      <c r="F1618" t="str">
        <f>_xlfn.XLOOKUP(A1618,'[1]Tissue Data'!$A:$A,'[1]Tissue Data'!$I:$I)</f>
        <v>gibbosus</v>
      </c>
      <c r="G1618" t="str">
        <f>_xlfn.XLOOKUP(A1618,'[1]Tissue Data'!$A:$A,'[1]Tissue Data'!J:J)</f>
        <v>U</v>
      </c>
      <c r="H1618" t="str">
        <f>_xlfn.XLOOKUP(A1618,'[1]Tissue Data'!$A:$A,'[1]Tissue Data'!K:K)</f>
        <v>Liver</v>
      </c>
      <c r="I1618">
        <f>_xlfn.XLOOKUP(A1618,'[1]Tissue Data'!$A:$A,'[1]Tissue Data'!L:L)</f>
        <v>10</v>
      </c>
      <c r="J1618">
        <f>_xlfn.XLOOKUP(A1618,'[1]Tissue Data'!$A:$A,'[1]Tissue Data'!M:M)</f>
        <v>25.5</v>
      </c>
      <c r="K1618" t="s">
        <v>28</v>
      </c>
      <c r="L1618" t="str">
        <f>_xlfn.XLOOKUP(K1618,[2]analyte_order!$B:$B,[2]analyte_order!$C:$C)</f>
        <v>375-92-8</v>
      </c>
      <c r="M1618">
        <f>_xlfn.XLOOKUP(L1618,[2]analyte_order!$C:$C,[2]analyte_order!$E:$E)</f>
        <v>17</v>
      </c>
      <c r="N1618">
        <v>5.04</v>
      </c>
    </row>
    <row r="1619" spans="1:14">
      <c r="A1619" t="s">
        <v>243</v>
      </c>
      <c r="B1619" t="str">
        <f>_xlfn.XLOOKUP(A1619,'[1]Tissue Data'!$A:$A,'[1]Tissue Data'!$C:$C)</f>
        <v>Spill</v>
      </c>
      <c r="C1619" s="2">
        <f>_xlfn.XLOOKUP(A1619,'[1]Tissue Data'!$A:$A,'[1]Tissue Data'!$D:$D)</f>
        <v>44314</v>
      </c>
      <c r="D1619" s="2" t="str">
        <f>_xlfn.XLOOKUP(A1619,'[1]Tissue Data'!$A:$A,'[1]Tissue Data'!$F:$F)</f>
        <v>Pumpkinseed</v>
      </c>
      <c r="E1619" t="str">
        <f>_xlfn.XLOOKUP(A1619,'[1]Tissue Data'!$A:$A,'[1]Tissue Data'!$H:$H)</f>
        <v>Lepomis</v>
      </c>
      <c r="F1619" t="str">
        <f>_xlfn.XLOOKUP(A1619,'[1]Tissue Data'!$A:$A,'[1]Tissue Data'!$I:$I)</f>
        <v>gibbosus</v>
      </c>
      <c r="G1619" t="str">
        <f>_xlfn.XLOOKUP(A1619,'[1]Tissue Data'!$A:$A,'[1]Tissue Data'!J:J)</f>
        <v>U</v>
      </c>
      <c r="H1619" t="str">
        <f>_xlfn.XLOOKUP(A1619,'[1]Tissue Data'!$A:$A,'[1]Tissue Data'!K:K)</f>
        <v>Liver</v>
      </c>
      <c r="I1619">
        <f>_xlfn.XLOOKUP(A1619,'[1]Tissue Data'!$A:$A,'[1]Tissue Data'!L:L)</f>
        <v>10</v>
      </c>
      <c r="J1619">
        <f>_xlfn.XLOOKUP(A1619,'[1]Tissue Data'!$A:$A,'[1]Tissue Data'!M:M)</f>
        <v>25.5</v>
      </c>
      <c r="K1619" t="s">
        <v>29</v>
      </c>
      <c r="L1619" t="str">
        <f>_xlfn.XLOOKUP(K1619,[2]analyte_order!$B:$B,[2]analyte_order!$C:$C)</f>
        <v>1763-23-1</v>
      </c>
      <c r="M1619">
        <f>_xlfn.XLOOKUP(L1619,[2]analyte_order!$C:$C,[2]analyte_order!$E:$E)</f>
        <v>18</v>
      </c>
      <c r="N1619">
        <v>3040</v>
      </c>
    </row>
    <row r="1620" spans="1:14">
      <c r="A1620" t="s">
        <v>243</v>
      </c>
      <c r="B1620" t="str">
        <f>_xlfn.XLOOKUP(A1620,'[1]Tissue Data'!$A:$A,'[1]Tissue Data'!$C:$C)</f>
        <v>Spill</v>
      </c>
      <c r="C1620" s="2">
        <f>_xlfn.XLOOKUP(A1620,'[1]Tissue Data'!$A:$A,'[1]Tissue Data'!$D:$D)</f>
        <v>44314</v>
      </c>
      <c r="D1620" s="2" t="str">
        <f>_xlfn.XLOOKUP(A1620,'[1]Tissue Data'!$A:$A,'[1]Tissue Data'!$F:$F)</f>
        <v>Pumpkinseed</v>
      </c>
      <c r="E1620" t="str">
        <f>_xlfn.XLOOKUP(A1620,'[1]Tissue Data'!$A:$A,'[1]Tissue Data'!$H:$H)</f>
        <v>Lepomis</v>
      </c>
      <c r="F1620" t="str">
        <f>_xlfn.XLOOKUP(A1620,'[1]Tissue Data'!$A:$A,'[1]Tissue Data'!$I:$I)</f>
        <v>gibbosus</v>
      </c>
      <c r="G1620" t="str">
        <f>_xlfn.XLOOKUP(A1620,'[1]Tissue Data'!$A:$A,'[1]Tissue Data'!J:J)</f>
        <v>U</v>
      </c>
      <c r="H1620" t="str">
        <f>_xlfn.XLOOKUP(A1620,'[1]Tissue Data'!$A:$A,'[1]Tissue Data'!K:K)</f>
        <v>Liver</v>
      </c>
      <c r="I1620">
        <f>_xlfn.XLOOKUP(A1620,'[1]Tissue Data'!$A:$A,'[1]Tissue Data'!L:L)</f>
        <v>10</v>
      </c>
      <c r="J1620">
        <f>_xlfn.XLOOKUP(A1620,'[1]Tissue Data'!$A:$A,'[1]Tissue Data'!M:M)</f>
        <v>25.5</v>
      </c>
      <c r="K1620" t="s">
        <v>30</v>
      </c>
      <c r="L1620" t="str">
        <f>_xlfn.XLOOKUP(K1620,[2]analyte_order!$B:$B,[2]analyte_order!$C:$C)</f>
        <v>68259-12-1</v>
      </c>
      <c r="M1620">
        <f>_xlfn.XLOOKUP(L1620,[2]analyte_order!$C:$C,[2]analyte_order!$E:$E)</f>
        <v>19</v>
      </c>
      <c r="N1620">
        <v>6.54</v>
      </c>
    </row>
    <row r="1621" spans="1:14">
      <c r="A1621" t="s">
        <v>243</v>
      </c>
      <c r="B1621" t="str">
        <f>_xlfn.XLOOKUP(A1621,'[1]Tissue Data'!$A:$A,'[1]Tissue Data'!$C:$C)</f>
        <v>Spill</v>
      </c>
      <c r="C1621" s="2">
        <f>_xlfn.XLOOKUP(A1621,'[1]Tissue Data'!$A:$A,'[1]Tissue Data'!$D:$D)</f>
        <v>44314</v>
      </c>
      <c r="D1621" s="2" t="str">
        <f>_xlfn.XLOOKUP(A1621,'[1]Tissue Data'!$A:$A,'[1]Tissue Data'!$F:$F)</f>
        <v>Pumpkinseed</v>
      </c>
      <c r="E1621" t="str">
        <f>_xlfn.XLOOKUP(A1621,'[1]Tissue Data'!$A:$A,'[1]Tissue Data'!$H:$H)</f>
        <v>Lepomis</v>
      </c>
      <c r="F1621" t="str">
        <f>_xlfn.XLOOKUP(A1621,'[1]Tissue Data'!$A:$A,'[1]Tissue Data'!$I:$I)</f>
        <v>gibbosus</v>
      </c>
      <c r="G1621" t="str">
        <f>_xlfn.XLOOKUP(A1621,'[1]Tissue Data'!$A:$A,'[1]Tissue Data'!J:J)</f>
        <v>U</v>
      </c>
      <c r="H1621" t="str">
        <f>_xlfn.XLOOKUP(A1621,'[1]Tissue Data'!$A:$A,'[1]Tissue Data'!K:K)</f>
        <v>Liver</v>
      </c>
      <c r="I1621">
        <f>_xlfn.XLOOKUP(A1621,'[1]Tissue Data'!$A:$A,'[1]Tissue Data'!L:L)</f>
        <v>10</v>
      </c>
      <c r="J1621">
        <f>_xlfn.XLOOKUP(A1621,'[1]Tissue Data'!$A:$A,'[1]Tissue Data'!M:M)</f>
        <v>25.5</v>
      </c>
      <c r="K1621" t="s">
        <v>31</v>
      </c>
      <c r="L1621" t="str">
        <f>_xlfn.XLOOKUP(K1621,[2]analyte_order!$B:$B,[2]analyte_order!$C:$C)</f>
        <v>335-77-3</v>
      </c>
      <c r="M1621">
        <f>_xlfn.XLOOKUP(L1621,[2]analyte_order!$C:$C,[2]analyte_order!$E:$E)</f>
        <v>20</v>
      </c>
      <c r="N1621">
        <v>6.75</v>
      </c>
    </row>
    <row r="1622" spans="1:14">
      <c r="A1622" t="s">
        <v>243</v>
      </c>
      <c r="B1622" t="str">
        <f>_xlfn.XLOOKUP(A1622,'[1]Tissue Data'!$A:$A,'[1]Tissue Data'!$C:$C)</f>
        <v>Spill</v>
      </c>
      <c r="C1622" s="2">
        <f>_xlfn.XLOOKUP(A1622,'[1]Tissue Data'!$A:$A,'[1]Tissue Data'!$D:$D)</f>
        <v>44314</v>
      </c>
      <c r="D1622" s="2" t="str">
        <f>_xlfn.XLOOKUP(A1622,'[1]Tissue Data'!$A:$A,'[1]Tissue Data'!$F:$F)</f>
        <v>Pumpkinseed</v>
      </c>
      <c r="E1622" t="str">
        <f>_xlfn.XLOOKUP(A1622,'[1]Tissue Data'!$A:$A,'[1]Tissue Data'!$H:$H)</f>
        <v>Lepomis</v>
      </c>
      <c r="F1622" t="str">
        <f>_xlfn.XLOOKUP(A1622,'[1]Tissue Data'!$A:$A,'[1]Tissue Data'!$I:$I)</f>
        <v>gibbosus</v>
      </c>
      <c r="G1622" t="str">
        <f>_xlfn.XLOOKUP(A1622,'[1]Tissue Data'!$A:$A,'[1]Tissue Data'!J:J)</f>
        <v>U</v>
      </c>
      <c r="H1622" t="str">
        <f>_xlfn.XLOOKUP(A1622,'[1]Tissue Data'!$A:$A,'[1]Tissue Data'!K:K)</f>
        <v>Liver</v>
      </c>
      <c r="I1622">
        <f>_xlfn.XLOOKUP(A1622,'[1]Tissue Data'!$A:$A,'[1]Tissue Data'!L:L)</f>
        <v>10</v>
      </c>
      <c r="J1622">
        <f>_xlfn.XLOOKUP(A1622,'[1]Tissue Data'!$A:$A,'[1]Tissue Data'!M:M)</f>
        <v>25.5</v>
      </c>
      <c r="K1622" t="s">
        <v>32</v>
      </c>
      <c r="L1622" t="str">
        <f>_xlfn.XLOOKUP(K1622,[2]analyte_order!$B:$B,[2]analyte_order!$C:$C)</f>
        <v>79780-39-5</v>
      </c>
      <c r="M1622">
        <f>_xlfn.XLOOKUP(L1622,[2]analyte_order!$C:$C,[2]analyte_order!$E:$E)</f>
        <v>21</v>
      </c>
      <c r="N1622">
        <v>6.09</v>
      </c>
    </row>
    <row r="1623" spans="1:14">
      <c r="A1623" t="s">
        <v>243</v>
      </c>
      <c r="B1623" t="str">
        <f>_xlfn.XLOOKUP(A1623,'[1]Tissue Data'!$A:$A,'[1]Tissue Data'!$C:$C)</f>
        <v>Spill</v>
      </c>
      <c r="C1623" s="2">
        <f>_xlfn.XLOOKUP(A1623,'[1]Tissue Data'!$A:$A,'[1]Tissue Data'!$D:$D)</f>
        <v>44314</v>
      </c>
      <c r="D1623" s="2" t="str">
        <f>_xlfn.XLOOKUP(A1623,'[1]Tissue Data'!$A:$A,'[1]Tissue Data'!$F:$F)</f>
        <v>Pumpkinseed</v>
      </c>
      <c r="E1623" t="str">
        <f>_xlfn.XLOOKUP(A1623,'[1]Tissue Data'!$A:$A,'[1]Tissue Data'!$H:$H)</f>
        <v>Lepomis</v>
      </c>
      <c r="F1623" t="str">
        <f>_xlfn.XLOOKUP(A1623,'[1]Tissue Data'!$A:$A,'[1]Tissue Data'!$I:$I)</f>
        <v>gibbosus</v>
      </c>
      <c r="G1623" t="str">
        <f>_xlfn.XLOOKUP(A1623,'[1]Tissue Data'!$A:$A,'[1]Tissue Data'!J:J)</f>
        <v>U</v>
      </c>
      <c r="H1623" t="str">
        <f>_xlfn.XLOOKUP(A1623,'[1]Tissue Data'!$A:$A,'[1]Tissue Data'!K:K)</f>
        <v>Liver</v>
      </c>
      <c r="I1623">
        <f>_xlfn.XLOOKUP(A1623,'[1]Tissue Data'!$A:$A,'[1]Tissue Data'!L:L)</f>
        <v>10</v>
      </c>
      <c r="J1623">
        <f>_xlfn.XLOOKUP(A1623,'[1]Tissue Data'!$A:$A,'[1]Tissue Data'!M:M)</f>
        <v>25.5</v>
      </c>
      <c r="K1623" t="s">
        <v>33</v>
      </c>
      <c r="L1623" t="str">
        <f>_xlfn.XLOOKUP(K1623,[2]analyte_order!$B:$B,[2]analyte_order!$C:$C)</f>
        <v>777011-38-8</v>
      </c>
      <c r="M1623">
        <f>_xlfn.XLOOKUP(L1623,[2]analyte_order!$C:$C,[2]analyte_order!$E:$E)</f>
        <v>54</v>
      </c>
      <c r="N1623">
        <v>1.0783039690135645</v>
      </c>
    </row>
    <row r="1624" spans="1:14">
      <c r="A1624" t="s">
        <v>243</v>
      </c>
      <c r="B1624" t="str">
        <f>_xlfn.XLOOKUP(A1624,'[1]Tissue Data'!$A:$A,'[1]Tissue Data'!$C:$C)</f>
        <v>Spill</v>
      </c>
      <c r="C1624" s="2">
        <f>_xlfn.XLOOKUP(A1624,'[1]Tissue Data'!$A:$A,'[1]Tissue Data'!$D:$D)</f>
        <v>44314</v>
      </c>
      <c r="D1624" s="2" t="str">
        <f>_xlfn.XLOOKUP(A1624,'[1]Tissue Data'!$A:$A,'[1]Tissue Data'!$F:$F)</f>
        <v>Pumpkinseed</v>
      </c>
      <c r="E1624" t="str">
        <f>_xlfn.XLOOKUP(A1624,'[1]Tissue Data'!$A:$A,'[1]Tissue Data'!$H:$H)</f>
        <v>Lepomis</v>
      </c>
      <c r="F1624" t="str">
        <f>_xlfn.XLOOKUP(A1624,'[1]Tissue Data'!$A:$A,'[1]Tissue Data'!$I:$I)</f>
        <v>gibbosus</v>
      </c>
      <c r="G1624" t="str">
        <f>_xlfn.XLOOKUP(A1624,'[1]Tissue Data'!$A:$A,'[1]Tissue Data'!J:J)</f>
        <v>U</v>
      </c>
      <c r="H1624" t="str">
        <f>_xlfn.XLOOKUP(A1624,'[1]Tissue Data'!$A:$A,'[1]Tissue Data'!K:K)</f>
        <v>Liver</v>
      </c>
      <c r="I1624">
        <f>_xlfn.XLOOKUP(A1624,'[1]Tissue Data'!$A:$A,'[1]Tissue Data'!L:L)</f>
        <v>10</v>
      </c>
      <c r="J1624">
        <f>_xlfn.XLOOKUP(A1624,'[1]Tissue Data'!$A:$A,'[1]Tissue Data'!M:M)</f>
        <v>25.5</v>
      </c>
      <c r="K1624" t="s">
        <v>34</v>
      </c>
      <c r="L1624" t="str">
        <f>_xlfn.XLOOKUP(K1624,[2]analyte_order!$B:$B,[2]analyte_order!$C:$C)</f>
        <v>646-83-3</v>
      </c>
      <c r="M1624">
        <f>_xlfn.XLOOKUP(L1624,[2]analyte_order!$C:$C,[2]analyte_order!$E:$E)</f>
        <v>55</v>
      </c>
      <c r="N1624">
        <v>0.70977917981072558</v>
      </c>
    </row>
    <row r="1625" spans="1:14">
      <c r="A1625" t="s">
        <v>243</v>
      </c>
      <c r="B1625" t="str">
        <f>_xlfn.XLOOKUP(A1625,'[1]Tissue Data'!$A:$A,'[1]Tissue Data'!$C:$C)</f>
        <v>Spill</v>
      </c>
      <c r="C1625" s="2">
        <f>_xlfn.XLOOKUP(A1625,'[1]Tissue Data'!$A:$A,'[1]Tissue Data'!$D:$D)</f>
        <v>44314</v>
      </c>
      <c r="D1625" s="2" t="str">
        <f>_xlfn.XLOOKUP(A1625,'[1]Tissue Data'!$A:$A,'[1]Tissue Data'!$F:$F)</f>
        <v>Pumpkinseed</v>
      </c>
      <c r="E1625" t="str">
        <f>_xlfn.XLOOKUP(A1625,'[1]Tissue Data'!$A:$A,'[1]Tissue Data'!$H:$H)</f>
        <v>Lepomis</v>
      </c>
      <c r="F1625" t="str">
        <f>_xlfn.XLOOKUP(A1625,'[1]Tissue Data'!$A:$A,'[1]Tissue Data'!$I:$I)</f>
        <v>gibbosus</v>
      </c>
      <c r="G1625" t="str">
        <f>_xlfn.XLOOKUP(A1625,'[1]Tissue Data'!$A:$A,'[1]Tissue Data'!J:J)</f>
        <v>U</v>
      </c>
      <c r="H1625" t="str">
        <f>_xlfn.XLOOKUP(A1625,'[1]Tissue Data'!$A:$A,'[1]Tissue Data'!K:K)</f>
        <v>Liver</v>
      </c>
      <c r="I1625">
        <f>_xlfn.XLOOKUP(A1625,'[1]Tissue Data'!$A:$A,'[1]Tissue Data'!L:L)</f>
        <v>10</v>
      </c>
      <c r="J1625">
        <f>_xlfn.XLOOKUP(A1625,'[1]Tissue Data'!$A:$A,'[1]Tissue Data'!M:M)</f>
        <v>25.5</v>
      </c>
      <c r="K1625" t="s">
        <v>35</v>
      </c>
      <c r="L1625" t="str">
        <f>_xlfn.XLOOKUP(K1625,[2]analyte_order!$B:$B,[2]analyte_order!$C:$C)</f>
        <v>30334-69-1</v>
      </c>
      <c r="M1625">
        <f>_xlfn.XLOOKUP(L1625,[2]analyte_order!$C:$C,[2]analyte_order!$E:$E)</f>
        <v>51</v>
      </c>
      <c r="N1625">
        <v>67</v>
      </c>
    </row>
    <row r="1626" spans="1:14">
      <c r="A1626" t="s">
        <v>243</v>
      </c>
      <c r="B1626" t="str">
        <f>_xlfn.XLOOKUP(A1626,'[1]Tissue Data'!$A:$A,'[1]Tissue Data'!$C:$C)</f>
        <v>Spill</v>
      </c>
      <c r="C1626" s="2">
        <f>_xlfn.XLOOKUP(A1626,'[1]Tissue Data'!$A:$A,'[1]Tissue Data'!$D:$D)</f>
        <v>44314</v>
      </c>
      <c r="D1626" s="2" t="str">
        <f>_xlfn.XLOOKUP(A1626,'[1]Tissue Data'!$A:$A,'[1]Tissue Data'!$F:$F)</f>
        <v>Pumpkinseed</v>
      </c>
      <c r="E1626" t="str">
        <f>_xlfn.XLOOKUP(A1626,'[1]Tissue Data'!$A:$A,'[1]Tissue Data'!$H:$H)</f>
        <v>Lepomis</v>
      </c>
      <c r="F1626" t="str">
        <f>_xlfn.XLOOKUP(A1626,'[1]Tissue Data'!$A:$A,'[1]Tissue Data'!$I:$I)</f>
        <v>gibbosus</v>
      </c>
      <c r="G1626" t="str">
        <f>_xlfn.XLOOKUP(A1626,'[1]Tissue Data'!$A:$A,'[1]Tissue Data'!J:J)</f>
        <v>U</v>
      </c>
      <c r="H1626" t="str">
        <f>_xlfn.XLOOKUP(A1626,'[1]Tissue Data'!$A:$A,'[1]Tissue Data'!K:K)</f>
        <v>Liver</v>
      </c>
      <c r="I1626">
        <f>_xlfn.XLOOKUP(A1626,'[1]Tissue Data'!$A:$A,'[1]Tissue Data'!L:L)</f>
        <v>10</v>
      </c>
      <c r="J1626">
        <f>_xlfn.XLOOKUP(A1626,'[1]Tissue Data'!$A:$A,'[1]Tissue Data'!M:M)</f>
        <v>25.5</v>
      </c>
      <c r="K1626" t="s">
        <v>36</v>
      </c>
      <c r="L1626" t="str">
        <f>_xlfn.XLOOKUP(K1626,[2]analyte_order!$B:$B,[2]analyte_order!$C:$C)</f>
        <v>41997-13-1</v>
      </c>
      <c r="M1626">
        <f>_xlfn.XLOOKUP(L1626,[2]analyte_order!$C:$C,[2]analyte_order!$E:$E)</f>
        <v>52</v>
      </c>
      <c r="N1626">
        <v>201</v>
      </c>
    </row>
    <row r="1627" spans="1:14">
      <c r="A1627" t="s">
        <v>243</v>
      </c>
      <c r="B1627" t="str">
        <f>_xlfn.XLOOKUP(A1627,'[1]Tissue Data'!$A:$A,'[1]Tissue Data'!$C:$C)</f>
        <v>Spill</v>
      </c>
      <c r="C1627" s="2">
        <f>_xlfn.XLOOKUP(A1627,'[1]Tissue Data'!$A:$A,'[1]Tissue Data'!$D:$D)</f>
        <v>44314</v>
      </c>
      <c r="D1627" s="2" t="str">
        <f>_xlfn.XLOOKUP(A1627,'[1]Tissue Data'!$A:$A,'[1]Tissue Data'!$F:$F)</f>
        <v>Pumpkinseed</v>
      </c>
      <c r="E1627" t="str">
        <f>_xlfn.XLOOKUP(A1627,'[1]Tissue Data'!$A:$A,'[1]Tissue Data'!$H:$H)</f>
        <v>Lepomis</v>
      </c>
      <c r="F1627" t="str">
        <f>_xlfn.XLOOKUP(A1627,'[1]Tissue Data'!$A:$A,'[1]Tissue Data'!$I:$I)</f>
        <v>gibbosus</v>
      </c>
      <c r="G1627" t="str">
        <f>_xlfn.XLOOKUP(A1627,'[1]Tissue Data'!$A:$A,'[1]Tissue Data'!J:J)</f>
        <v>U</v>
      </c>
      <c r="H1627" t="str">
        <f>_xlfn.XLOOKUP(A1627,'[1]Tissue Data'!$A:$A,'[1]Tissue Data'!K:K)</f>
        <v>Liver</v>
      </c>
      <c r="I1627">
        <f>_xlfn.XLOOKUP(A1627,'[1]Tissue Data'!$A:$A,'[1]Tissue Data'!L:L)</f>
        <v>10</v>
      </c>
      <c r="J1627">
        <f>_xlfn.XLOOKUP(A1627,'[1]Tissue Data'!$A:$A,'[1]Tissue Data'!M:M)</f>
        <v>25.5</v>
      </c>
      <c r="K1627" t="s">
        <v>37</v>
      </c>
      <c r="L1627" t="str">
        <f>_xlfn.XLOOKUP(K1627,[2]analyte_order!$B:$B,[2]analyte_order!$C:$C)</f>
        <v>754-91-6</v>
      </c>
      <c r="M1627">
        <f>_xlfn.XLOOKUP(L1627,[2]analyte_order!$C:$C,[2]analyte_order!$E:$E)</f>
        <v>28</v>
      </c>
      <c r="N1627">
        <v>50.2</v>
      </c>
    </row>
    <row r="1628" spans="1:14">
      <c r="A1628" t="s">
        <v>243</v>
      </c>
      <c r="B1628" t="str">
        <f>_xlfn.XLOOKUP(A1628,'[1]Tissue Data'!$A:$A,'[1]Tissue Data'!$C:$C)</f>
        <v>Spill</v>
      </c>
      <c r="C1628" s="2">
        <f>_xlfn.XLOOKUP(A1628,'[1]Tissue Data'!$A:$A,'[1]Tissue Data'!$D:$D)</f>
        <v>44314</v>
      </c>
      <c r="D1628" s="2" t="str">
        <f>_xlfn.XLOOKUP(A1628,'[1]Tissue Data'!$A:$A,'[1]Tissue Data'!$F:$F)</f>
        <v>Pumpkinseed</v>
      </c>
      <c r="E1628" t="str">
        <f>_xlfn.XLOOKUP(A1628,'[1]Tissue Data'!$A:$A,'[1]Tissue Data'!$H:$H)</f>
        <v>Lepomis</v>
      </c>
      <c r="F1628" t="str">
        <f>_xlfn.XLOOKUP(A1628,'[1]Tissue Data'!$A:$A,'[1]Tissue Data'!$I:$I)</f>
        <v>gibbosus</v>
      </c>
      <c r="G1628" t="str">
        <f>_xlfn.XLOOKUP(A1628,'[1]Tissue Data'!$A:$A,'[1]Tissue Data'!J:J)</f>
        <v>U</v>
      </c>
      <c r="H1628" t="str">
        <f>_xlfn.XLOOKUP(A1628,'[1]Tissue Data'!$A:$A,'[1]Tissue Data'!K:K)</f>
        <v>Liver</v>
      </c>
      <c r="I1628">
        <f>_xlfn.XLOOKUP(A1628,'[1]Tissue Data'!$A:$A,'[1]Tissue Data'!L:L)</f>
        <v>10</v>
      </c>
      <c r="J1628">
        <f>_xlfn.XLOOKUP(A1628,'[1]Tissue Data'!$A:$A,'[1]Tissue Data'!M:M)</f>
        <v>25.5</v>
      </c>
      <c r="K1628" t="s">
        <v>38</v>
      </c>
      <c r="L1628" t="str">
        <f>_xlfn.XLOOKUP(K1628,[2]analyte_order!$B:$B,[2]analyte_order!$C:$C)</f>
        <v>31506-32-8</v>
      </c>
      <c r="M1628">
        <f>_xlfn.XLOOKUP(L1628,[2]analyte_order!$C:$C,[2]analyte_order!$E:$E)</f>
        <v>30</v>
      </c>
      <c r="N1628">
        <v>5.3961505333881235E-2</v>
      </c>
    </row>
    <row r="1629" spans="1:14">
      <c r="A1629" t="s">
        <v>243</v>
      </c>
      <c r="B1629" t="str">
        <f>_xlfn.XLOOKUP(A1629,'[1]Tissue Data'!$A:$A,'[1]Tissue Data'!$C:$C)</f>
        <v>Spill</v>
      </c>
      <c r="C1629" s="2">
        <f>_xlfn.XLOOKUP(A1629,'[1]Tissue Data'!$A:$A,'[1]Tissue Data'!$D:$D)</f>
        <v>44314</v>
      </c>
      <c r="D1629" s="2" t="str">
        <f>_xlfn.XLOOKUP(A1629,'[1]Tissue Data'!$A:$A,'[1]Tissue Data'!$F:$F)</f>
        <v>Pumpkinseed</v>
      </c>
      <c r="E1629" t="str">
        <f>_xlfn.XLOOKUP(A1629,'[1]Tissue Data'!$A:$A,'[1]Tissue Data'!$H:$H)</f>
        <v>Lepomis</v>
      </c>
      <c r="F1629" t="str">
        <f>_xlfn.XLOOKUP(A1629,'[1]Tissue Data'!$A:$A,'[1]Tissue Data'!$I:$I)</f>
        <v>gibbosus</v>
      </c>
      <c r="G1629" t="str">
        <f>_xlfn.XLOOKUP(A1629,'[1]Tissue Data'!$A:$A,'[1]Tissue Data'!J:J)</f>
        <v>U</v>
      </c>
      <c r="H1629" t="str">
        <f>_xlfn.XLOOKUP(A1629,'[1]Tissue Data'!$A:$A,'[1]Tissue Data'!K:K)</f>
        <v>Liver</v>
      </c>
      <c r="I1629">
        <f>_xlfn.XLOOKUP(A1629,'[1]Tissue Data'!$A:$A,'[1]Tissue Data'!L:L)</f>
        <v>10</v>
      </c>
      <c r="J1629">
        <f>_xlfn.XLOOKUP(A1629,'[1]Tissue Data'!$A:$A,'[1]Tissue Data'!M:M)</f>
        <v>25.5</v>
      </c>
      <c r="K1629" t="s">
        <v>39</v>
      </c>
      <c r="L1629" t="str">
        <f>_xlfn.XLOOKUP(K1629,[2]analyte_order!$B:$B,[2]analyte_order!$C:$C)</f>
        <v>4151-50-2</v>
      </c>
      <c r="M1629">
        <f>_xlfn.XLOOKUP(L1629,[2]analyte_order!$C:$C,[2]analyte_order!$E:$E)</f>
        <v>31</v>
      </c>
      <c r="N1629">
        <v>8.1739602964351746E-2</v>
      </c>
    </row>
    <row r="1630" spans="1:14">
      <c r="A1630" t="s">
        <v>243</v>
      </c>
      <c r="B1630" t="str">
        <f>_xlfn.XLOOKUP(A1630,'[1]Tissue Data'!$A:$A,'[1]Tissue Data'!$C:$C)</f>
        <v>Spill</v>
      </c>
      <c r="C1630" s="2">
        <f>_xlfn.XLOOKUP(A1630,'[1]Tissue Data'!$A:$A,'[1]Tissue Data'!$D:$D)</f>
        <v>44314</v>
      </c>
      <c r="D1630" s="2" t="str">
        <f>_xlfn.XLOOKUP(A1630,'[1]Tissue Data'!$A:$A,'[1]Tissue Data'!$F:$F)</f>
        <v>Pumpkinseed</v>
      </c>
      <c r="E1630" t="str">
        <f>_xlfn.XLOOKUP(A1630,'[1]Tissue Data'!$A:$A,'[1]Tissue Data'!$H:$H)</f>
        <v>Lepomis</v>
      </c>
      <c r="F1630" t="str">
        <f>_xlfn.XLOOKUP(A1630,'[1]Tissue Data'!$A:$A,'[1]Tissue Data'!$I:$I)</f>
        <v>gibbosus</v>
      </c>
      <c r="G1630" t="str">
        <f>_xlfn.XLOOKUP(A1630,'[1]Tissue Data'!$A:$A,'[1]Tissue Data'!J:J)</f>
        <v>U</v>
      </c>
      <c r="H1630" t="str">
        <f>_xlfn.XLOOKUP(A1630,'[1]Tissue Data'!$A:$A,'[1]Tissue Data'!K:K)</f>
        <v>Liver</v>
      </c>
      <c r="I1630">
        <f>_xlfn.XLOOKUP(A1630,'[1]Tissue Data'!$A:$A,'[1]Tissue Data'!L:L)</f>
        <v>10</v>
      </c>
      <c r="J1630">
        <f>_xlfn.XLOOKUP(A1630,'[1]Tissue Data'!$A:$A,'[1]Tissue Data'!M:M)</f>
        <v>25.5</v>
      </c>
      <c r="K1630" t="s">
        <v>40</v>
      </c>
      <c r="L1630" t="str">
        <f>_xlfn.XLOOKUP(K1630,[2]analyte_order!$B:$B,[2]analyte_order!$C:$C)</f>
        <v>2806-24-8</v>
      </c>
      <c r="M1630">
        <f>_xlfn.XLOOKUP(L1630,[2]analyte_order!$C:$C,[2]analyte_order!$E:$E)</f>
        <v>29</v>
      </c>
      <c r="N1630">
        <v>5.521194770186974E-2</v>
      </c>
    </row>
    <row r="1631" spans="1:14">
      <c r="A1631" t="s">
        <v>243</v>
      </c>
      <c r="B1631" t="str">
        <f>_xlfn.XLOOKUP(A1631,'[1]Tissue Data'!$A:$A,'[1]Tissue Data'!$C:$C)</f>
        <v>Spill</v>
      </c>
      <c r="C1631" s="2">
        <f>_xlfn.XLOOKUP(A1631,'[1]Tissue Data'!$A:$A,'[1]Tissue Data'!$D:$D)</f>
        <v>44314</v>
      </c>
      <c r="D1631" s="2" t="str">
        <f>_xlfn.XLOOKUP(A1631,'[1]Tissue Data'!$A:$A,'[1]Tissue Data'!$F:$F)</f>
        <v>Pumpkinseed</v>
      </c>
      <c r="E1631" t="str">
        <f>_xlfn.XLOOKUP(A1631,'[1]Tissue Data'!$A:$A,'[1]Tissue Data'!$H:$H)</f>
        <v>Lepomis</v>
      </c>
      <c r="F1631" t="str">
        <f>_xlfn.XLOOKUP(A1631,'[1]Tissue Data'!$A:$A,'[1]Tissue Data'!$I:$I)</f>
        <v>gibbosus</v>
      </c>
      <c r="G1631" t="str">
        <f>_xlfn.XLOOKUP(A1631,'[1]Tissue Data'!$A:$A,'[1]Tissue Data'!J:J)</f>
        <v>U</v>
      </c>
      <c r="H1631" t="str">
        <f>_xlfn.XLOOKUP(A1631,'[1]Tissue Data'!$A:$A,'[1]Tissue Data'!K:K)</f>
        <v>Liver</v>
      </c>
      <c r="I1631">
        <f>_xlfn.XLOOKUP(A1631,'[1]Tissue Data'!$A:$A,'[1]Tissue Data'!L:L)</f>
        <v>10</v>
      </c>
      <c r="J1631">
        <f>_xlfn.XLOOKUP(A1631,'[1]Tissue Data'!$A:$A,'[1]Tissue Data'!M:M)</f>
        <v>25.5</v>
      </c>
      <c r="K1631" t="s">
        <v>41</v>
      </c>
      <c r="L1631" t="str">
        <f>_xlfn.XLOOKUP(K1631,[2]analyte_order!$B:$B,[2]analyte_order!$C:$C)</f>
        <v>2355-31-9</v>
      </c>
      <c r="M1631">
        <f>_xlfn.XLOOKUP(L1631,[2]analyte_order!$C:$C,[2]analyte_order!$E:$E)</f>
        <v>26</v>
      </c>
      <c r="N1631">
        <v>28.1</v>
      </c>
    </row>
    <row r="1632" spans="1:14">
      <c r="A1632" t="s">
        <v>243</v>
      </c>
      <c r="B1632" t="str">
        <f>_xlfn.XLOOKUP(A1632,'[1]Tissue Data'!$A:$A,'[1]Tissue Data'!$C:$C)</f>
        <v>Spill</v>
      </c>
      <c r="C1632" s="2">
        <f>_xlfn.XLOOKUP(A1632,'[1]Tissue Data'!$A:$A,'[1]Tissue Data'!$D:$D)</f>
        <v>44314</v>
      </c>
      <c r="D1632" s="2" t="str">
        <f>_xlfn.XLOOKUP(A1632,'[1]Tissue Data'!$A:$A,'[1]Tissue Data'!$F:$F)</f>
        <v>Pumpkinseed</v>
      </c>
      <c r="E1632" t="str">
        <f>_xlfn.XLOOKUP(A1632,'[1]Tissue Data'!$A:$A,'[1]Tissue Data'!$H:$H)</f>
        <v>Lepomis</v>
      </c>
      <c r="F1632" t="str">
        <f>_xlfn.XLOOKUP(A1632,'[1]Tissue Data'!$A:$A,'[1]Tissue Data'!$I:$I)</f>
        <v>gibbosus</v>
      </c>
      <c r="G1632" t="str">
        <f>_xlfn.XLOOKUP(A1632,'[1]Tissue Data'!$A:$A,'[1]Tissue Data'!J:J)</f>
        <v>U</v>
      </c>
      <c r="H1632" t="str">
        <f>_xlfn.XLOOKUP(A1632,'[1]Tissue Data'!$A:$A,'[1]Tissue Data'!K:K)</f>
        <v>Liver</v>
      </c>
      <c r="I1632">
        <f>_xlfn.XLOOKUP(A1632,'[1]Tissue Data'!$A:$A,'[1]Tissue Data'!L:L)</f>
        <v>10</v>
      </c>
      <c r="J1632">
        <f>_xlfn.XLOOKUP(A1632,'[1]Tissue Data'!$A:$A,'[1]Tissue Data'!M:M)</f>
        <v>25.5</v>
      </c>
      <c r="K1632" t="s">
        <v>42</v>
      </c>
      <c r="L1632" t="str">
        <f>_xlfn.XLOOKUP(K1632,[2]analyte_order!$B:$B,[2]analyte_order!$C:$C)</f>
        <v>2991-50-6</v>
      </c>
      <c r="M1632">
        <f>_xlfn.XLOOKUP(L1632,[2]analyte_order!$C:$C,[2]analyte_order!$E:$E)</f>
        <v>27</v>
      </c>
      <c r="N1632">
        <v>6.0798405682658721E-2</v>
      </c>
    </row>
    <row r="1633" spans="1:14">
      <c r="A1633" t="s">
        <v>243</v>
      </c>
      <c r="B1633" t="str">
        <f>_xlfn.XLOOKUP(A1633,'[1]Tissue Data'!$A:$A,'[1]Tissue Data'!$C:$C)</f>
        <v>Spill</v>
      </c>
      <c r="C1633" s="2">
        <f>_xlfn.XLOOKUP(A1633,'[1]Tissue Data'!$A:$A,'[1]Tissue Data'!$D:$D)</f>
        <v>44314</v>
      </c>
      <c r="D1633" s="2" t="str">
        <f>_xlfn.XLOOKUP(A1633,'[1]Tissue Data'!$A:$A,'[1]Tissue Data'!$F:$F)</f>
        <v>Pumpkinseed</v>
      </c>
      <c r="E1633" t="str">
        <f>_xlfn.XLOOKUP(A1633,'[1]Tissue Data'!$A:$A,'[1]Tissue Data'!$H:$H)</f>
        <v>Lepomis</v>
      </c>
      <c r="F1633" t="str">
        <f>_xlfn.XLOOKUP(A1633,'[1]Tissue Data'!$A:$A,'[1]Tissue Data'!$I:$I)</f>
        <v>gibbosus</v>
      </c>
      <c r="G1633" t="str">
        <f>_xlfn.XLOOKUP(A1633,'[1]Tissue Data'!$A:$A,'[1]Tissue Data'!J:J)</f>
        <v>U</v>
      </c>
      <c r="H1633" t="str">
        <f>_xlfn.XLOOKUP(A1633,'[1]Tissue Data'!$A:$A,'[1]Tissue Data'!K:K)</f>
        <v>Liver</v>
      </c>
      <c r="I1633">
        <f>_xlfn.XLOOKUP(A1633,'[1]Tissue Data'!$A:$A,'[1]Tissue Data'!L:L)</f>
        <v>10</v>
      </c>
      <c r="J1633">
        <f>_xlfn.XLOOKUP(A1633,'[1]Tissue Data'!$A:$A,'[1]Tissue Data'!M:M)</f>
        <v>25.5</v>
      </c>
      <c r="K1633" t="s">
        <v>43</v>
      </c>
      <c r="L1633" t="str">
        <f>_xlfn.XLOOKUP(K1633,[2]analyte_order!$B:$B,[2]analyte_order!$C:$C)</f>
        <v>757124-72-4</v>
      </c>
      <c r="M1633">
        <f>_xlfn.XLOOKUP(L1633,[2]analyte_order!$C:$C,[2]analyte_order!$E:$E)</f>
        <v>22</v>
      </c>
      <c r="N1633">
        <v>5.7534171130059583E-2</v>
      </c>
    </row>
    <row r="1634" spans="1:14">
      <c r="A1634" t="s">
        <v>243</v>
      </c>
      <c r="B1634" t="str">
        <f>_xlfn.XLOOKUP(A1634,'[1]Tissue Data'!$A:$A,'[1]Tissue Data'!$C:$C)</f>
        <v>Spill</v>
      </c>
      <c r="C1634" s="2">
        <f>_xlfn.XLOOKUP(A1634,'[1]Tissue Data'!$A:$A,'[1]Tissue Data'!$D:$D)</f>
        <v>44314</v>
      </c>
      <c r="D1634" s="2" t="str">
        <f>_xlfn.XLOOKUP(A1634,'[1]Tissue Data'!$A:$A,'[1]Tissue Data'!$F:$F)</f>
        <v>Pumpkinseed</v>
      </c>
      <c r="E1634" t="str">
        <f>_xlfn.XLOOKUP(A1634,'[1]Tissue Data'!$A:$A,'[1]Tissue Data'!$H:$H)</f>
        <v>Lepomis</v>
      </c>
      <c r="F1634" t="str">
        <f>_xlfn.XLOOKUP(A1634,'[1]Tissue Data'!$A:$A,'[1]Tissue Data'!$I:$I)</f>
        <v>gibbosus</v>
      </c>
      <c r="G1634" t="str">
        <f>_xlfn.XLOOKUP(A1634,'[1]Tissue Data'!$A:$A,'[1]Tissue Data'!J:J)</f>
        <v>U</v>
      </c>
      <c r="H1634" t="str">
        <f>_xlfn.XLOOKUP(A1634,'[1]Tissue Data'!$A:$A,'[1]Tissue Data'!K:K)</f>
        <v>Liver</v>
      </c>
      <c r="I1634">
        <f>_xlfn.XLOOKUP(A1634,'[1]Tissue Data'!$A:$A,'[1]Tissue Data'!L:L)</f>
        <v>10</v>
      </c>
      <c r="J1634">
        <f>_xlfn.XLOOKUP(A1634,'[1]Tissue Data'!$A:$A,'[1]Tissue Data'!M:M)</f>
        <v>25.5</v>
      </c>
      <c r="K1634" t="s">
        <v>44</v>
      </c>
      <c r="L1634" t="str">
        <f>_xlfn.XLOOKUP(K1634,[2]analyte_order!$B:$B,[2]analyte_order!$C:$C)</f>
        <v>27619-97-2</v>
      </c>
      <c r="M1634">
        <f>_xlfn.XLOOKUP(L1634,[2]analyte_order!$C:$C,[2]analyte_order!$E:$E)</f>
        <v>23</v>
      </c>
      <c r="N1634">
        <v>1.071299283589235</v>
      </c>
    </row>
    <row r="1635" spans="1:14">
      <c r="A1635" t="s">
        <v>243</v>
      </c>
      <c r="B1635" t="str">
        <f>_xlfn.XLOOKUP(A1635,'[1]Tissue Data'!$A:$A,'[1]Tissue Data'!$C:$C)</f>
        <v>Spill</v>
      </c>
      <c r="C1635" s="2">
        <f>_xlfn.XLOOKUP(A1635,'[1]Tissue Data'!$A:$A,'[1]Tissue Data'!$D:$D)</f>
        <v>44314</v>
      </c>
      <c r="D1635" s="2" t="str">
        <f>_xlfn.XLOOKUP(A1635,'[1]Tissue Data'!$A:$A,'[1]Tissue Data'!$F:$F)</f>
        <v>Pumpkinseed</v>
      </c>
      <c r="E1635" t="str">
        <f>_xlfn.XLOOKUP(A1635,'[1]Tissue Data'!$A:$A,'[1]Tissue Data'!$H:$H)</f>
        <v>Lepomis</v>
      </c>
      <c r="F1635" t="str">
        <f>_xlfn.XLOOKUP(A1635,'[1]Tissue Data'!$A:$A,'[1]Tissue Data'!$I:$I)</f>
        <v>gibbosus</v>
      </c>
      <c r="G1635" t="str">
        <f>_xlfn.XLOOKUP(A1635,'[1]Tissue Data'!$A:$A,'[1]Tissue Data'!J:J)</f>
        <v>U</v>
      </c>
      <c r="H1635" t="str">
        <f>_xlfn.XLOOKUP(A1635,'[1]Tissue Data'!$A:$A,'[1]Tissue Data'!K:K)</f>
        <v>Liver</v>
      </c>
      <c r="I1635">
        <f>_xlfn.XLOOKUP(A1635,'[1]Tissue Data'!$A:$A,'[1]Tissue Data'!L:L)</f>
        <v>10</v>
      </c>
      <c r="J1635">
        <f>_xlfn.XLOOKUP(A1635,'[1]Tissue Data'!$A:$A,'[1]Tissue Data'!M:M)</f>
        <v>25.5</v>
      </c>
      <c r="K1635" t="s">
        <v>45</v>
      </c>
      <c r="L1635" t="str">
        <f>_xlfn.XLOOKUP(K1635,[2]analyte_order!$B:$B,[2]analyte_order!$C:$C)</f>
        <v>39108-34-4</v>
      </c>
      <c r="M1635">
        <f>_xlfn.XLOOKUP(L1635,[2]analyte_order!$C:$C,[2]analyte_order!$E:$E)</f>
        <v>24</v>
      </c>
      <c r="N1635">
        <v>4.2699999999999996</v>
      </c>
    </row>
    <row r="1636" spans="1:14">
      <c r="A1636" t="s">
        <v>243</v>
      </c>
      <c r="B1636" t="str">
        <f>_xlfn.XLOOKUP(A1636,'[1]Tissue Data'!$A:$A,'[1]Tissue Data'!$C:$C)</f>
        <v>Spill</v>
      </c>
      <c r="C1636" s="2">
        <f>_xlfn.XLOOKUP(A1636,'[1]Tissue Data'!$A:$A,'[1]Tissue Data'!$D:$D)</f>
        <v>44314</v>
      </c>
      <c r="D1636" s="2" t="str">
        <f>_xlfn.XLOOKUP(A1636,'[1]Tissue Data'!$A:$A,'[1]Tissue Data'!$F:$F)</f>
        <v>Pumpkinseed</v>
      </c>
      <c r="E1636" t="str">
        <f>_xlfn.XLOOKUP(A1636,'[1]Tissue Data'!$A:$A,'[1]Tissue Data'!$H:$H)</f>
        <v>Lepomis</v>
      </c>
      <c r="F1636" t="str">
        <f>_xlfn.XLOOKUP(A1636,'[1]Tissue Data'!$A:$A,'[1]Tissue Data'!$I:$I)</f>
        <v>gibbosus</v>
      </c>
      <c r="G1636" t="str">
        <f>_xlfn.XLOOKUP(A1636,'[1]Tissue Data'!$A:$A,'[1]Tissue Data'!J:J)</f>
        <v>U</v>
      </c>
      <c r="H1636" t="str">
        <f>_xlfn.XLOOKUP(A1636,'[1]Tissue Data'!$A:$A,'[1]Tissue Data'!K:K)</f>
        <v>Liver</v>
      </c>
      <c r="I1636">
        <f>_xlfn.XLOOKUP(A1636,'[1]Tissue Data'!$A:$A,'[1]Tissue Data'!L:L)</f>
        <v>10</v>
      </c>
      <c r="J1636">
        <f>_xlfn.XLOOKUP(A1636,'[1]Tissue Data'!$A:$A,'[1]Tissue Data'!M:M)</f>
        <v>25.5</v>
      </c>
      <c r="K1636" t="s">
        <v>46</v>
      </c>
      <c r="L1636" t="str">
        <f>_xlfn.XLOOKUP(K1636,[2]analyte_order!$B:$B,[2]analyte_order!$C:$C)</f>
        <v>120226-60-0</v>
      </c>
      <c r="M1636">
        <f>_xlfn.XLOOKUP(L1636,[2]analyte_order!$C:$C,[2]analyte_order!$E:$E)</f>
        <v>25</v>
      </c>
      <c r="N1636">
        <v>2.0148244835962146</v>
      </c>
    </row>
    <row r="1637" spans="1:14">
      <c r="A1637" t="s">
        <v>243</v>
      </c>
      <c r="B1637" t="str">
        <f>_xlfn.XLOOKUP(A1637,'[1]Tissue Data'!$A:$A,'[1]Tissue Data'!$C:$C)</f>
        <v>Spill</v>
      </c>
      <c r="C1637" s="2">
        <f>_xlfn.XLOOKUP(A1637,'[1]Tissue Data'!$A:$A,'[1]Tissue Data'!$D:$D)</f>
        <v>44314</v>
      </c>
      <c r="D1637" s="2" t="str">
        <f>_xlfn.XLOOKUP(A1637,'[1]Tissue Data'!$A:$A,'[1]Tissue Data'!$F:$F)</f>
        <v>Pumpkinseed</v>
      </c>
      <c r="E1637" t="str">
        <f>_xlfn.XLOOKUP(A1637,'[1]Tissue Data'!$A:$A,'[1]Tissue Data'!$H:$H)</f>
        <v>Lepomis</v>
      </c>
      <c r="F1637" t="str">
        <f>_xlfn.XLOOKUP(A1637,'[1]Tissue Data'!$A:$A,'[1]Tissue Data'!$I:$I)</f>
        <v>gibbosus</v>
      </c>
      <c r="G1637" t="str">
        <f>_xlfn.XLOOKUP(A1637,'[1]Tissue Data'!$A:$A,'[1]Tissue Data'!J:J)</f>
        <v>U</v>
      </c>
      <c r="H1637" t="str">
        <f>_xlfn.XLOOKUP(A1637,'[1]Tissue Data'!$A:$A,'[1]Tissue Data'!K:K)</f>
        <v>Liver</v>
      </c>
      <c r="I1637">
        <f>_xlfn.XLOOKUP(A1637,'[1]Tissue Data'!$A:$A,'[1]Tissue Data'!L:L)</f>
        <v>10</v>
      </c>
      <c r="J1637">
        <f>_xlfn.XLOOKUP(A1637,'[1]Tissue Data'!$A:$A,'[1]Tissue Data'!M:M)</f>
        <v>25.5</v>
      </c>
      <c r="K1637" t="s">
        <v>47</v>
      </c>
      <c r="L1637" t="str">
        <f>_xlfn.XLOOKUP(K1637,[2]analyte_order!$B:$B,[2]analyte_order!$C:$C)</f>
        <v>356-02-5</v>
      </c>
      <c r="M1637">
        <f>_xlfn.XLOOKUP(L1637,[2]analyte_order!$C:$C,[2]analyte_order!$E:$E)</f>
        <v>38</v>
      </c>
      <c r="N1637">
        <v>8.0796144244401069E-2</v>
      </c>
    </row>
    <row r="1638" spans="1:14">
      <c r="A1638" t="s">
        <v>243</v>
      </c>
      <c r="B1638" t="str">
        <f>_xlfn.XLOOKUP(A1638,'[1]Tissue Data'!$A:$A,'[1]Tissue Data'!$C:$C)</f>
        <v>Spill</v>
      </c>
      <c r="C1638" s="2">
        <f>_xlfn.XLOOKUP(A1638,'[1]Tissue Data'!$A:$A,'[1]Tissue Data'!$D:$D)</f>
        <v>44314</v>
      </c>
      <c r="D1638" s="2" t="str">
        <f>_xlfn.XLOOKUP(A1638,'[1]Tissue Data'!$A:$A,'[1]Tissue Data'!$F:$F)</f>
        <v>Pumpkinseed</v>
      </c>
      <c r="E1638" t="str">
        <f>_xlfn.XLOOKUP(A1638,'[1]Tissue Data'!$A:$A,'[1]Tissue Data'!$H:$H)</f>
        <v>Lepomis</v>
      </c>
      <c r="F1638" t="str">
        <f>_xlfn.XLOOKUP(A1638,'[1]Tissue Data'!$A:$A,'[1]Tissue Data'!$I:$I)</f>
        <v>gibbosus</v>
      </c>
      <c r="G1638" t="str">
        <f>_xlfn.XLOOKUP(A1638,'[1]Tissue Data'!$A:$A,'[1]Tissue Data'!J:J)</f>
        <v>U</v>
      </c>
      <c r="H1638" t="str">
        <f>_xlfn.XLOOKUP(A1638,'[1]Tissue Data'!$A:$A,'[1]Tissue Data'!K:K)</f>
        <v>Liver</v>
      </c>
      <c r="I1638">
        <f>_xlfn.XLOOKUP(A1638,'[1]Tissue Data'!$A:$A,'[1]Tissue Data'!L:L)</f>
        <v>10</v>
      </c>
      <c r="J1638">
        <f>_xlfn.XLOOKUP(A1638,'[1]Tissue Data'!$A:$A,'[1]Tissue Data'!M:M)</f>
        <v>25.5</v>
      </c>
      <c r="K1638" t="s">
        <v>48</v>
      </c>
      <c r="L1638" t="str">
        <f>_xlfn.XLOOKUP(K1638,[2]analyte_order!$B:$B,[2]analyte_order!$C:$C)</f>
        <v>914637-49-3</v>
      </c>
      <c r="M1638">
        <f>_xlfn.XLOOKUP(L1638,[2]analyte_order!$C:$C,[2]analyte_order!$E:$E)</f>
        <v>39</v>
      </c>
      <c r="N1638">
        <v>5.2859838430244499E-2</v>
      </c>
    </row>
    <row r="1639" spans="1:14">
      <c r="A1639" t="s">
        <v>243</v>
      </c>
      <c r="B1639" t="str">
        <f>_xlfn.XLOOKUP(A1639,'[1]Tissue Data'!$A:$A,'[1]Tissue Data'!$C:$C)</f>
        <v>Spill</v>
      </c>
      <c r="C1639" s="2">
        <f>_xlfn.XLOOKUP(A1639,'[1]Tissue Data'!$A:$A,'[1]Tissue Data'!$D:$D)</f>
        <v>44314</v>
      </c>
      <c r="D1639" s="2" t="str">
        <f>_xlfn.XLOOKUP(A1639,'[1]Tissue Data'!$A:$A,'[1]Tissue Data'!$F:$F)</f>
        <v>Pumpkinseed</v>
      </c>
      <c r="E1639" t="str">
        <f>_xlfn.XLOOKUP(A1639,'[1]Tissue Data'!$A:$A,'[1]Tissue Data'!$H:$H)</f>
        <v>Lepomis</v>
      </c>
      <c r="F1639" t="str">
        <f>_xlfn.XLOOKUP(A1639,'[1]Tissue Data'!$A:$A,'[1]Tissue Data'!$I:$I)</f>
        <v>gibbosus</v>
      </c>
      <c r="G1639" t="str">
        <f>_xlfn.XLOOKUP(A1639,'[1]Tissue Data'!$A:$A,'[1]Tissue Data'!J:J)</f>
        <v>U</v>
      </c>
      <c r="H1639" t="str">
        <f>_xlfn.XLOOKUP(A1639,'[1]Tissue Data'!$A:$A,'[1]Tissue Data'!K:K)</f>
        <v>Liver</v>
      </c>
      <c r="I1639">
        <f>_xlfn.XLOOKUP(A1639,'[1]Tissue Data'!$A:$A,'[1]Tissue Data'!L:L)</f>
        <v>10</v>
      </c>
      <c r="J1639">
        <f>_xlfn.XLOOKUP(A1639,'[1]Tissue Data'!$A:$A,'[1]Tissue Data'!M:M)</f>
        <v>25.5</v>
      </c>
      <c r="K1639" t="s">
        <v>49</v>
      </c>
      <c r="L1639" t="str">
        <f>_xlfn.XLOOKUP(K1639,[2]analyte_order!$B:$B,[2]analyte_order!$C:$C)</f>
        <v>812-70-4</v>
      </c>
      <c r="M1639">
        <f>_xlfn.XLOOKUP(L1639,[2]analyte_order!$C:$C,[2]analyte_order!$E:$E)</f>
        <v>40</v>
      </c>
      <c r="N1639">
        <v>23.7</v>
      </c>
    </row>
    <row r="1640" spans="1:14">
      <c r="A1640" t="s">
        <v>243</v>
      </c>
      <c r="B1640" t="str">
        <f>_xlfn.XLOOKUP(A1640,'[1]Tissue Data'!$A:$A,'[1]Tissue Data'!$C:$C)</f>
        <v>Spill</v>
      </c>
      <c r="C1640" s="2">
        <f>_xlfn.XLOOKUP(A1640,'[1]Tissue Data'!$A:$A,'[1]Tissue Data'!$D:$D)</f>
        <v>44314</v>
      </c>
      <c r="D1640" s="2" t="str">
        <f>_xlfn.XLOOKUP(A1640,'[1]Tissue Data'!$A:$A,'[1]Tissue Data'!$F:$F)</f>
        <v>Pumpkinseed</v>
      </c>
      <c r="E1640" t="str">
        <f>_xlfn.XLOOKUP(A1640,'[1]Tissue Data'!$A:$A,'[1]Tissue Data'!$H:$H)</f>
        <v>Lepomis</v>
      </c>
      <c r="F1640" t="str">
        <f>_xlfn.XLOOKUP(A1640,'[1]Tissue Data'!$A:$A,'[1]Tissue Data'!$I:$I)</f>
        <v>gibbosus</v>
      </c>
      <c r="G1640" t="str">
        <f>_xlfn.XLOOKUP(A1640,'[1]Tissue Data'!$A:$A,'[1]Tissue Data'!J:J)</f>
        <v>U</v>
      </c>
      <c r="H1640" t="str">
        <f>_xlfn.XLOOKUP(A1640,'[1]Tissue Data'!$A:$A,'[1]Tissue Data'!K:K)</f>
        <v>Liver</v>
      </c>
      <c r="I1640">
        <f>_xlfn.XLOOKUP(A1640,'[1]Tissue Data'!$A:$A,'[1]Tissue Data'!L:L)</f>
        <v>10</v>
      </c>
      <c r="J1640">
        <f>_xlfn.XLOOKUP(A1640,'[1]Tissue Data'!$A:$A,'[1]Tissue Data'!M:M)</f>
        <v>25.5</v>
      </c>
      <c r="K1640" t="s">
        <v>50</v>
      </c>
      <c r="L1640" t="str">
        <f>_xlfn.XLOOKUP(K1640,[2]analyte_order!$B:$B,[2]analyte_order!$C:$C)</f>
        <v>53826-12-3</v>
      </c>
      <c r="M1640">
        <f>_xlfn.XLOOKUP(L1640,[2]analyte_order!$C:$C,[2]analyte_order!$E:$E)</f>
        <v>41</v>
      </c>
      <c r="N1640">
        <v>4.4945558095284575E-2</v>
      </c>
    </row>
    <row r="1641" spans="1:14">
      <c r="A1641" t="s">
        <v>243</v>
      </c>
      <c r="B1641" t="str">
        <f>_xlfn.XLOOKUP(A1641,'[1]Tissue Data'!$A:$A,'[1]Tissue Data'!$C:$C)</f>
        <v>Spill</v>
      </c>
      <c r="C1641" s="2">
        <f>_xlfn.XLOOKUP(A1641,'[1]Tissue Data'!$A:$A,'[1]Tissue Data'!$D:$D)</f>
        <v>44314</v>
      </c>
      <c r="D1641" s="2" t="str">
        <f>_xlfn.XLOOKUP(A1641,'[1]Tissue Data'!$A:$A,'[1]Tissue Data'!$F:$F)</f>
        <v>Pumpkinseed</v>
      </c>
      <c r="E1641" t="str">
        <f>_xlfn.XLOOKUP(A1641,'[1]Tissue Data'!$A:$A,'[1]Tissue Data'!$H:$H)</f>
        <v>Lepomis</v>
      </c>
      <c r="F1641" t="str">
        <f>_xlfn.XLOOKUP(A1641,'[1]Tissue Data'!$A:$A,'[1]Tissue Data'!$I:$I)</f>
        <v>gibbosus</v>
      </c>
      <c r="G1641" t="str">
        <f>_xlfn.XLOOKUP(A1641,'[1]Tissue Data'!$A:$A,'[1]Tissue Data'!J:J)</f>
        <v>U</v>
      </c>
      <c r="H1641" t="str">
        <f>_xlfn.XLOOKUP(A1641,'[1]Tissue Data'!$A:$A,'[1]Tissue Data'!K:K)</f>
        <v>Liver</v>
      </c>
      <c r="I1641">
        <f>_xlfn.XLOOKUP(A1641,'[1]Tissue Data'!$A:$A,'[1]Tissue Data'!L:L)</f>
        <v>10</v>
      </c>
      <c r="J1641">
        <f>_xlfn.XLOOKUP(A1641,'[1]Tissue Data'!$A:$A,'[1]Tissue Data'!M:M)</f>
        <v>25.5</v>
      </c>
      <c r="K1641" t="s">
        <v>51</v>
      </c>
      <c r="L1641" t="str">
        <f>_xlfn.XLOOKUP(K1641,[2]analyte_order!$B:$B,[2]analyte_order!$C:$C)</f>
        <v>27854-31-5</v>
      </c>
      <c r="M1641">
        <f>_xlfn.XLOOKUP(L1641,[2]analyte_order!$C:$C,[2]analyte_order!$E:$E)</f>
        <v>42</v>
      </c>
      <c r="N1641">
        <v>45.4</v>
      </c>
    </row>
    <row r="1642" spans="1:14">
      <c r="A1642" t="s">
        <v>243</v>
      </c>
      <c r="B1642" t="str">
        <f>_xlfn.XLOOKUP(A1642,'[1]Tissue Data'!$A:$A,'[1]Tissue Data'!$C:$C)</f>
        <v>Spill</v>
      </c>
      <c r="C1642" s="2">
        <f>_xlfn.XLOOKUP(A1642,'[1]Tissue Data'!$A:$A,'[1]Tissue Data'!$D:$D)</f>
        <v>44314</v>
      </c>
      <c r="D1642" s="2" t="str">
        <f>_xlfn.XLOOKUP(A1642,'[1]Tissue Data'!$A:$A,'[1]Tissue Data'!$F:$F)</f>
        <v>Pumpkinseed</v>
      </c>
      <c r="E1642" t="str">
        <f>_xlfn.XLOOKUP(A1642,'[1]Tissue Data'!$A:$A,'[1]Tissue Data'!$H:$H)</f>
        <v>Lepomis</v>
      </c>
      <c r="F1642" t="str">
        <f>_xlfn.XLOOKUP(A1642,'[1]Tissue Data'!$A:$A,'[1]Tissue Data'!$I:$I)</f>
        <v>gibbosus</v>
      </c>
      <c r="G1642" t="str">
        <f>_xlfn.XLOOKUP(A1642,'[1]Tissue Data'!$A:$A,'[1]Tissue Data'!J:J)</f>
        <v>U</v>
      </c>
      <c r="H1642" t="str">
        <f>_xlfn.XLOOKUP(A1642,'[1]Tissue Data'!$A:$A,'[1]Tissue Data'!K:K)</f>
        <v>Liver</v>
      </c>
      <c r="I1642">
        <f>_xlfn.XLOOKUP(A1642,'[1]Tissue Data'!$A:$A,'[1]Tissue Data'!L:L)</f>
        <v>10</v>
      </c>
      <c r="J1642">
        <f>_xlfn.XLOOKUP(A1642,'[1]Tissue Data'!$A:$A,'[1]Tissue Data'!M:M)</f>
        <v>25.5</v>
      </c>
      <c r="K1642" t="s">
        <v>52</v>
      </c>
      <c r="L1642" t="str">
        <f>_xlfn.XLOOKUP(K1642,[2]analyte_order!$B:$B,[2]analyte_order!$C:$C)</f>
        <v>53826-13-4</v>
      </c>
      <c r="M1642">
        <f>_xlfn.XLOOKUP(L1642,[2]analyte_order!$C:$C,[2]analyte_order!$E:$E)</f>
        <v>43</v>
      </c>
      <c r="N1642">
        <v>0.10452064748253544</v>
      </c>
    </row>
    <row r="1643" spans="1:14">
      <c r="A1643" t="s">
        <v>243</v>
      </c>
      <c r="B1643" t="str">
        <f>_xlfn.XLOOKUP(A1643,'[1]Tissue Data'!$A:$A,'[1]Tissue Data'!$C:$C)</f>
        <v>Spill</v>
      </c>
      <c r="C1643" s="2">
        <f>_xlfn.XLOOKUP(A1643,'[1]Tissue Data'!$A:$A,'[1]Tissue Data'!$D:$D)</f>
        <v>44314</v>
      </c>
      <c r="D1643" s="2" t="str">
        <f>_xlfn.XLOOKUP(A1643,'[1]Tissue Data'!$A:$A,'[1]Tissue Data'!$F:$F)</f>
        <v>Pumpkinseed</v>
      </c>
      <c r="E1643" t="str">
        <f>_xlfn.XLOOKUP(A1643,'[1]Tissue Data'!$A:$A,'[1]Tissue Data'!$H:$H)</f>
        <v>Lepomis</v>
      </c>
      <c r="F1643" t="str">
        <f>_xlfn.XLOOKUP(A1643,'[1]Tissue Data'!$A:$A,'[1]Tissue Data'!$I:$I)</f>
        <v>gibbosus</v>
      </c>
      <c r="G1643" t="str">
        <f>_xlfn.XLOOKUP(A1643,'[1]Tissue Data'!$A:$A,'[1]Tissue Data'!J:J)</f>
        <v>U</v>
      </c>
      <c r="H1643" t="str">
        <f>_xlfn.XLOOKUP(A1643,'[1]Tissue Data'!$A:$A,'[1]Tissue Data'!K:K)</f>
        <v>Liver</v>
      </c>
      <c r="I1643">
        <f>_xlfn.XLOOKUP(A1643,'[1]Tissue Data'!$A:$A,'[1]Tissue Data'!L:L)</f>
        <v>10</v>
      </c>
      <c r="J1643">
        <f>_xlfn.XLOOKUP(A1643,'[1]Tissue Data'!$A:$A,'[1]Tissue Data'!M:M)</f>
        <v>25.5</v>
      </c>
      <c r="K1643" t="s">
        <v>53</v>
      </c>
      <c r="L1643" t="str">
        <f>_xlfn.XLOOKUP(K1643,[2]analyte_order!$B:$B,[2]analyte_order!$C:$C)</f>
        <v>161094-75-3</v>
      </c>
      <c r="M1643">
        <f>_xlfn.XLOOKUP(L1643,[2]analyte_order!$C:$C,[2]analyte_order!$E:$E)</f>
        <v>44</v>
      </c>
      <c r="N1643">
        <v>5.4999104460653377E-2</v>
      </c>
    </row>
    <row r="1644" spans="1:14">
      <c r="A1644" t="s">
        <v>243</v>
      </c>
      <c r="B1644" t="str">
        <f>_xlfn.XLOOKUP(A1644,'[1]Tissue Data'!$A:$A,'[1]Tissue Data'!$C:$C)</f>
        <v>Spill</v>
      </c>
      <c r="C1644" s="2">
        <f>_xlfn.XLOOKUP(A1644,'[1]Tissue Data'!$A:$A,'[1]Tissue Data'!$D:$D)</f>
        <v>44314</v>
      </c>
      <c r="D1644" s="2" t="str">
        <f>_xlfn.XLOOKUP(A1644,'[1]Tissue Data'!$A:$A,'[1]Tissue Data'!$F:$F)</f>
        <v>Pumpkinseed</v>
      </c>
      <c r="E1644" t="str">
        <f>_xlfn.XLOOKUP(A1644,'[1]Tissue Data'!$A:$A,'[1]Tissue Data'!$H:$H)</f>
        <v>Lepomis</v>
      </c>
      <c r="F1644" t="str">
        <f>_xlfn.XLOOKUP(A1644,'[1]Tissue Data'!$A:$A,'[1]Tissue Data'!$I:$I)</f>
        <v>gibbosus</v>
      </c>
      <c r="G1644" t="str">
        <f>_xlfn.XLOOKUP(A1644,'[1]Tissue Data'!$A:$A,'[1]Tissue Data'!J:J)</f>
        <v>U</v>
      </c>
      <c r="H1644" t="str">
        <f>_xlfn.XLOOKUP(A1644,'[1]Tissue Data'!$A:$A,'[1]Tissue Data'!K:K)</f>
        <v>Liver</v>
      </c>
      <c r="I1644">
        <f>_xlfn.XLOOKUP(A1644,'[1]Tissue Data'!$A:$A,'[1]Tissue Data'!L:L)</f>
        <v>10</v>
      </c>
      <c r="J1644">
        <f>_xlfn.XLOOKUP(A1644,'[1]Tissue Data'!$A:$A,'[1]Tissue Data'!M:M)</f>
        <v>25.5</v>
      </c>
      <c r="K1644" t="s">
        <v>54</v>
      </c>
      <c r="L1644" t="str">
        <f>_xlfn.XLOOKUP(K1644,[2]analyte_order!$B:$B,[2]analyte_order!$C:$C)</f>
        <v>70887-84-2</v>
      </c>
      <c r="M1644">
        <f>_xlfn.XLOOKUP(L1644,[2]analyte_order!$C:$C,[2]analyte_order!$E:$E)</f>
        <v>45</v>
      </c>
      <c r="N1644">
        <v>4.2328520160930756E-2</v>
      </c>
    </row>
    <row r="1645" spans="1:14">
      <c r="A1645" t="s">
        <v>243</v>
      </c>
      <c r="B1645" t="str">
        <f>_xlfn.XLOOKUP(A1645,'[1]Tissue Data'!$A:$A,'[1]Tissue Data'!$C:$C)</f>
        <v>Spill</v>
      </c>
      <c r="C1645" s="2">
        <f>_xlfn.XLOOKUP(A1645,'[1]Tissue Data'!$A:$A,'[1]Tissue Data'!$D:$D)</f>
        <v>44314</v>
      </c>
      <c r="D1645" s="2" t="str">
        <f>_xlfn.XLOOKUP(A1645,'[1]Tissue Data'!$A:$A,'[1]Tissue Data'!$F:$F)</f>
        <v>Pumpkinseed</v>
      </c>
      <c r="E1645" t="str">
        <f>_xlfn.XLOOKUP(A1645,'[1]Tissue Data'!$A:$A,'[1]Tissue Data'!$H:$H)</f>
        <v>Lepomis</v>
      </c>
      <c r="F1645" t="str">
        <f>_xlfn.XLOOKUP(A1645,'[1]Tissue Data'!$A:$A,'[1]Tissue Data'!$I:$I)</f>
        <v>gibbosus</v>
      </c>
      <c r="G1645" t="str">
        <f>_xlfn.XLOOKUP(A1645,'[1]Tissue Data'!$A:$A,'[1]Tissue Data'!J:J)</f>
        <v>U</v>
      </c>
      <c r="H1645" t="str">
        <f>_xlfn.XLOOKUP(A1645,'[1]Tissue Data'!$A:$A,'[1]Tissue Data'!K:K)</f>
        <v>Liver</v>
      </c>
      <c r="I1645">
        <f>_xlfn.XLOOKUP(A1645,'[1]Tissue Data'!$A:$A,'[1]Tissue Data'!L:L)</f>
        <v>10</v>
      </c>
      <c r="J1645">
        <f>_xlfn.XLOOKUP(A1645,'[1]Tissue Data'!$A:$A,'[1]Tissue Data'!M:M)</f>
        <v>25.5</v>
      </c>
      <c r="K1645" t="s">
        <v>55</v>
      </c>
      <c r="L1645" t="str">
        <f>_xlfn.XLOOKUP(K1645,[2]analyte_order!$B:$B,[2]analyte_order!$C:$C)</f>
        <v>919005-14-4</v>
      </c>
      <c r="M1645">
        <f>_xlfn.XLOOKUP(L1645,[2]analyte_order!$C:$C,[2]analyte_order!$E:$E)</f>
        <v>35</v>
      </c>
      <c r="N1645">
        <v>7.004501559669013E-2</v>
      </c>
    </row>
    <row r="1646" spans="1:14">
      <c r="A1646" t="s">
        <v>243</v>
      </c>
      <c r="B1646" t="str">
        <f>_xlfn.XLOOKUP(A1646,'[1]Tissue Data'!$A:$A,'[1]Tissue Data'!$C:$C)</f>
        <v>Spill</v>
      </c>
      <c r="C1646" s="2">
        <f>_xlfn.XLOOKUP(A1646,'[1]Tissue Data'!$A:$A,'[1]Tissue Data'!$D:$D)</f>
        <v>44314</v>
      </c>
      <c r="D1646" s="2" t="str">
        <f>_xlfn.XLOOKUP(A1646,'[1]Tissue Data'!$A:$A,'[1]Tissue Data'!$F:$F)</f>
        <v>Pumpkinseed</v>
      </c>
      <c r="E1646" t="str">
        <f>_xlfn.XLOOKUP(A1646,'[1]Tissue Data'!$A:$A,'[1]Tissue Data'!$H:$H)</f>
        <v>Lepomis</v>
      </c>
      <c r="F1646" t="str">
        <f>_xlfn.XLOOKUP(A1646,'[1]Tissue Data'!$A:$A,'[1]Tissue Data'!$I:$I)</f>
        <v>gibbosus</v>
      </c>
      <c r="G1646" t="str">
        <f>_xlfn.XLOOKUP(A1646,'[1]Tissue Data'!$A:$A,'[1]Tissue Data'!J:J)</f>
        <v>U</v>
      </c>
      <c r="H1646" t="str">
        <f>_xlfn.XLOOKUP(A1646,'[1]Tissue Data'!$A:$A,'[1]Tissue Data'!K:K)</f>
        <v>Liver</v>
      </c>
      <c r="I1646">
        <f>_xlfn.XLOOKUP(A1646,'[1]Tissue Data'!$A:$A,'[1]Tissue Data'!L:L)</f>
        <v>10</v>
      </c>
      <c r="J1646">
        <f>_xlfn.XLOOKUP(A1646,'[1]Tissue Data'!$A:$A,'[1]Tissue Data'!M:M)</f>
        <v>25.5</v>
      </c>
      <c r="K1646" t="s">
        <v>56</v>
      </c>
      <c r="L1646" t="str">
        <f>_xlfn.XLOOKUP(K1646,[2]analyte_order!$B:$B,[2]analyte_order!$C:$C)</f>
        <v>756426-58-1</v>
      </c>
      <c r="M1646">
        <f>_xlfn.XLOOKUP(L1646,[2]analyte_order!$C:$C,[2]analyte_order!$E:$E)</f>
        <v>36</v>
      </c>
      <c r="N1646">
        <v>4.8618710370351342E-2</v>
      </c>
    </row>
    <row r="1647" spans="1:14">
      <c r="A1647" t="s">
        <v>243</v>
      </c>
      <c r="B1647" t="str">
        <f>_xlfn.XLOOKUP(A1647,'[1]Tissue Data'!$A:$A,'[1]Tissue Data'!$C:$C)</f>
        <v>Spill</v>
      </c>
      <c r="C1647" s="2">
        <f>_xlfn.XLOOKUP(A1647,'[1]Tissue Data'!$A:$A,'[1]Tissue Data'!$D:$D)</f>
        <v>44314</v>
      </c>
      <c r="D1647" s="2" t="str">
        <f>_xlfn.XLOOKUP(A1647,'[1]Tissue Data'!$A:$A,'[1]Tissue Data'!$F:$F)</f>
        <v>Pumpkinseed</v>
      </c>
      <c r="E1647" t="str">
        <f>_xlfn.XLOOKUP(A1647,'[1]Tissue Data'!$A:$A,'[1]Tissue Data'!$H:$H)</f>
        <v>Lepomis</v>
      </c>
      <c r="F1647" t="str">
        <f>_xlfn.XLOOKUP(A1647,'[1]Tissue Data'!$A:$A,'[1]Tissue Data'!$I:$I)</f>
        <v>gibbosus</v>
      </c>
      <c r="G1647" t="str">
        <f>_xlfn.XLOOKUP(A1647,'[1]Tissue Data'!$A:$A,'[1]Tissue Data'!J:J)</f>
        <v>U</v>
      </c>
      <c r="H1647" t="str">
        <f>_xlfn.XLOOKUP(A1647,'[1]Tissue Data'!$A:$A,'[1]Tissue Data'!K:K)</f>
        <v>Liver</v>
      </c>
      <c r="I1647">
        <f>_xlfn.XLOOKUP(A1647,'[1]Tissue Data'!$A:$A,'[1]Tissue Data'!L:L)</f>
        <v>10</v>
      </c>
      <c r="J1647">
        <f>_xlfn.XLOOKUP(A1647,'[1]Tissue Data'!$A:$A,'[1]Tissue Data'!M:M)</f>
        <v>25.5</v>
      </c>
      <c r="K1647" t="s">
        <v>57</v>
      </c>
      <c r="L1647" t="str">
        <f>_xlfn.XLOOKUP(K1647,[2]analyte_order!$B:$B,[2]analyte_order!$C:$C)</f>
        <v>763051-92-9</v>
      </c>
      <c r="M1647">
        <f>_xlfn.XLOOKUP(L1647,[2]analyte_order!$C:$C,[2]analyte_order!$E:$E)</f>
        <v>37</v>
      </c>
      <c r="N1647">
        <v>5.5194810038524757E-2</v>
      </c>
    </row>
    <row r="1648" spans="1:14">
      <c r="A1648" t="s">
        <v>243</v>
      </c>
      <c r="B1648" t="str">
        <f>_xlfn.XLOOKUP(A1648,'[1]Tissue Data'!$A:$A,'[1]Tissue Data'!$C:$C)</f>
        <v>Spill</v>
      </c>
      <c r="C1648" s="2">
        <f>_xlfn.XLOOKUP(A1648,'[1]Tissue Data'!$A:$A,'[1]Tissue Data'!$D:$D)</f>
        <v>44314</v>
      </c>
      <c r="D1648" s="2" t="str">
        <f>_xlfn.XLOOKUP(A1648,'[1]Tissue Data'!$A:$A,'[1]Tissue Data'!$F:$F)</f>
        <v>Pumpkinseed</v>
      </c>
      <c r="E1648" t="str">
        <f>_xlfn.XLOOKUP(A1648,'[1]Tissue Data'!$A:$A,'[1]Tissue Data'!$H:$H)</f>
        <v>Lepomis</v>
      </c>
      <c r="F1648" t="str">
        <f>_xlfn.XLOOKUP(A1648,'[1]Tissue Data'!$A:$A,'[1]Tissue Data'!$I:$I)</f>
        <v>gibbosus</v>
      </c>
      <c r="G1648" t="str">
        <f>_xlfn.XLOOKUP(A1648,'[1]Tissue Data'!$A:$A,'[1]Tissue Data'!J:J)</f>
        <v>U</v>
      </c>
      <c r="H1648" t="str">
        <f>_xlfn.XLOOKUP(A1648,'[1]Tissue Data'!$A:$A,'[1]Tissue Data'!K:K)</f>
        <v>Liver</v>
      </c>
      <c r="I1648">
        <f>_xlfn.XLOOKUP(A1648,'[1]Tissue Data'!$A:$A,'[1]Tissue Data'!L:L)</f>
        <v>10</v>
      </c>
      <c r="J1648">
        <f>_xlfn.XLOOKUP(A1648,'[1]Tissue Data'!$A:$A,'[1]Tissue Data'!M:M)</f>
        <v>25.5</v>
      </c>
      <c r="K1648" t="s">
        <v>58</v>
      </c>
      <c r="L1648" t="str">
        <f>_xlfn.XLOOKUP(K1648,[2]analyte_order!$B:$B,[2]analyte_order!$C:$C)</f>
        <v>13252-13-6</v>
      </c>
      <c r="M1648">
        <f>_xlfn.XLOOKUP(L1648,[2]analyte_order!$C:$C,[2]analyte_order!$E:$E)</f>
        <v>34</v>
      </c>
      <c r="N1648">
        <v>0.10051659821501951</v>
      </c>
    </row>
    <row r="1649" spans="1:14">
      <c r="A1649" t="s">
        <v>243</v>
      </c>
      <c r="B1649" t="str">
        <f>_xlfn.XLOOKUP(A1649,'[1]Tissue Data'!$A:$A,'[1]Tissue Data'!$C:$C)</f>
        <v>Spill</v>
      </c>
      <c r="C1649" s="2">
        <f>_xlfn.XLOOKUP(A1649,'[1]Tissue Data'!$A:$A,'[1]Tissue Data'!$D:$D)</f>
        <v>44314</v>
      </c>
      <c r="D1649" s="2" t="str">
        <f>_xlfn.XLOOKUP(A1649,'[1]Tissue Data'!$A:$A,'[1]Tissue Data'!$F:$F)</f>
        <v>Pumpkinseed</v>
      </c>
      <c r="E1649" t="str">
        <f>_xlfn.XLOOKUP(A1649,'[1]Tissue Data'!$A:$A,'[1]Tissue Data'!$H:$H)</f>
        <v>Lepomis</v>
      </c>
      <c r="F1649" t="str">
        <f>_xlfn.XLOOKUP(A1649,'[1]Tissue Data'!$A:$A,'[1]Tissue Data'!$I:$I)</f>
        <v>gibbosus</v>
      </c>
      <c r="G1649" t="str">
        <f>_xlfn.XLOOKUP(A1649,'[1]Tissue Data'!$A:$A,'[1]Tissue Data'!J:J)</f>
        <v>U</v>
      </c>
      <c r="H1649" t="str">
        <f>_xlfn.XLOOKUP(A1649,'[1]Tissue Data'!$A:$A,'[1]Tissue Data'!K:K)</f>
        <v>Liver</v>
      </c>
      <c r="I1649">
        <f>_xlfn.XLOOKUP(A1649,'[1]Tissue Data'!$A:$A,'[1]Tissue Data'!L:L)</f>
        <v>10</v>
      </c>
      <c r="J1649">
        <f>_xlfn.XLOOKUP(A1649,'[1]Tissue Data'!$A:$A,'[1]Tissue Data'!M:M)</f>
        <v>25.5</v>
      </c>
      <c r="K1649" t="s">
        <v>59</v>
      </c>
      <c r="L1649" t="str">
        <f>_xlfn.XLOOKUP(K1649,[2]analyte_order!$B:$B,[2]analyte_order!$C:$C)</f>
        <v>57677-95-9</v>
      </c>
      <c r="M1649">
        <f>_xlfn.XLOOKUP(L1649,[2]analyte_order!$C:$C,[2]analyte_order!$E:$E)</f>
        <v>46</v>
      </c>
      <c r="N1649">
        <v>7.456494588812411E-2</v>
      </c>
    </row>
    <row r="1650" spans="1:14">
      <c r="A1650" t="s">
        <v>243</v>
      </c>
      <c r="B1650" t="str">
        <f>_xlfn.XLOOKUP(A1650,'[1]Tissue Data'!$A:$A,'[1]Tissue Data'!$C:$C)</f>
        <v>Spill</v>
      </c>
      <c r="C1650" s="2">
        <f>_xlfn.XLOOKUP(A1650,'[1]Tissue Data'!$A:$A,'[1]Tissue Data'!$D:$D)</f>
        <v>44314</v>
      </c>
      <c r="D1650" s="2" t="str">
        <f>_xlfn.XLOOKUP(A1650,'[1]Tissue Data'!$A:$A,'[1]Tissue Data'!$F:$F)</f>
        <v>Pumpkinseed</v>
      </c>
      <c r="E1650" t="str">
        <f>_xlfn.XLOOKUP(A1650,'[1]Tissue Data'!$A:$A,'[1]Tissue Data'!$H:$H)</f>
        <v>Lepomis</v>
      </c>
      <c r="F1650" t="str">
        <f>_xlfn.XLOOKUP(A1650,'[1]Tissue Data'!$A:$A,'[1]Tissue Data'!$I:$I)</f>
        <v>gibbosus</v>
      </c>
      <c r="G1650" t="str">
        <f>_xlfn.XLOOKUP(A1650,'[1]Tissue Data'!$A:$A,'[1]Tissue Data'!J:J)</f>
        <v>U</v>
      </c>
      <c r="H1650" t="str">
        <f>_xlfn.XLOOKUP(A1650,'[1]Tissue Data'!$A:$A,'[1]Tissue Data'!K:K)</f>
        <v>Liver</v>
      </c>
      <c r="I1650">
        <f>_xlfn.XLOOKUP(A1650,'[1]Tissue Data'!$A:$A,'[1]Tissue Data'!L:L)</f>
        <v>10</v>
      </c>
      <c r="J1650">
        <f>_xlfn.XLOOKUP(A1650,'[1]Tissue Data'!$A:$A,'[1]Tissue Data'!M:M)</f>
        <v>25.5</v>
      </c>
      <c r="K1650" t="s">
        <v>60</v>
      </c>
      <c r="L1650" t="str">
        <f>_xlfn.XLOOKUP(K1650,[2]analyte_order!$B:$B,[2]analyte_order!$C:$C)</f>
        <v>678-41-1</v>
      </c>
      <c r="M1650">
        <f>_xlfn.XLOOKUP(L1650,[2]analyte_order!$C:$C,[2]analyte_order!$E:$E)</f>
        <v>56</v>
      </c>
      <c r="N1650">
        <v>9.2866662834908562E-2</v>
      </c>
    </row>
    <row r="1651" spans="1:14">
      <c r="A1651" t="s">
        <v>243</v>
      </c>
      <c r="B1651" t="str">
        <f>_xlfn.XLOOKUP(A1651,'[1]Tissue Data'!$A:$A,'[1]Tissue Data'!$C:$C)</f>
        <v>Spill</v>
      </c>
      <c r="C1651" s="2">
        <f>_xlfn.XLOOKUP(A1651,'[1]Tissue Data'!$A:$A,'[1]Tissue Data'!$D:$D)</f>
        <v>44314</v>
      </c>
      <c r="D1651" s="2" t="str">
        <f>_xlfn.XLOOKUP(A1651,'[1]Tissue Data'!$A:$A,'[1]Tissue Data'!$F:$F)</f>
        <v>Pumpkinseed</v>
      </c>
      <c r="E1651" t="str">
        <f>_xlfn.XLOOKUP(A1651,'[1]Tissue Data'!$A:$A,'[1]Tissue Data'!$H:$H)</f>
        <v>Lepomis</v>
      </c>
      <c r="F1651" t="str">
        <f>_xlfn.XLOOKUP(A1651,'[1]Tissue Data'!$A:$A,'[1]Tissue Data'!$I:$I)</f>
        <v>gibbosus</v>
      </c>
      <c r="G1651" t="str">
        <f>_xlfn.XLOOKUP(A1651,'[1]Tissue Data'!$A:$A,'[1]Tissue Data'!J:J)</f>
        <v>U</v>
      </c>
      <c r="H1651" t="str">
        <f>_xlfn.XLOOKUP(A1651,'[1]Tissue Data'!$A:$A,'[1]Tissue Data'!K:K)</f>
        <v>Liver</v>
      </c>
      <c r="I1651">
        <f>_xlfn.XLOOKUP(A1651,'[1]Tissue Data'!$A:$A,'[1]Tissue Data'!L:L)</f>
        <v>10</v>
      </c>
      <c r="J1651">
        <f>_xlfn.XLOOKUP(A1651,'[1]Tissue Data'!$A:$A,'[1]Tissue Data'!M:M)</f>
        <v>25.5</v>
      </c>
      <c r="K1651" t="s">
        <v>61</v>
      </c>
      <c r="L1651" t="str">
        <f>_xlfn.XLOOKUP(K1651,[2]analyte_order!$B:$B,[2]analyte_order!$C:$C)</f>
        <v>2965-52-8</v>
      </c>
      <c r="M1651">
        <f>_xlfn.XLOOKUP(L1651,[2]analyte_order!$C:$C,[2]analyte_order!$E:$E)</f>
        <v>57</v>
      </c>
      <c r="N1651">
        <v>0.12327922745017464</v>
      </c>
    </row>
    <row r="1652" spans="1:14">
      <c r="A1652" t="s">
        <v>247</v>
      </c>
      <c r="B1652" t="str">
        <f>_xlfn.XLOOKUP(A1652,'[1]Tissue Data'!$A:$A,'[1]Tissue Data'!$C:$C)</f>
        <v>Spill</v>
      </c>
      <c r="C1652" s="2">
        <f>_xlfn.XLOOKUP(A1652,'[1]Tissue Data'!$A:$A,'[1]Tissue Data'!$D:$D)</f>
        <v>44314</v>
      </c>
      <c r="D1652" s="2" t="str">
        <f>_xlfn.XLOOKUP(A1652,'[1]Tissue Data'!$A:$A,'[1]Tissue Data'!$F:$F)</f>
        <v>Pumpkinseed</v>
      </c>
      <c r="E1652" t="str">
        <f>_xlfn.XLOOKUP(A1652,'[1]Tissue Data'!$A:$A,'[1]Tissue Data'!$H:$H)</f>
        <v>Lepomis</v>
      </c>
      <c r="F1652" t="str">
        <f>_xlfn.XLOOKUP(A1652,'[1]Tissue Data'!$A:$A,'[1]Tissue Data'!$I:$I)</f>
        <v>gibbosus</v>
      </c>
      <c r="G1652" t="str">
        <f>_xlfn.XLOOKUP(A1652,'[1]Tissue Data'!$A:$A,'[1]Tissue Data'!J:J)</f>
        <v>U</v>
      </c>
      <c r="H1652" t="str">
        <f>_xlfn.XLOOKUP(A1652,'[1]Tissue Data'!$A:$A,'[1]Tissue Data'!K:K)</f>
        <v>Whole Body</v>
      </c>
      <c r="I1652">
        <f>_xlfn.XLOOKUP(A1652,'[1]Tissue Data'!$A:$A,'[1]Tissue Data'!L:L)</f>
        <v>6</v>
      </c>
      <c r="J1652">
        <f>_xlfn.XLOOKUP(A1652,'[1]Tissue Data'!$A:$A,'[1]Tissue Data'!M:M)</f>
        <v>6.3</v>
      </c>
      <c r="K1652" t="s">
        <v>12</v>
      </c>
      <c r="L1652" t="str">
        <f>_xlfn.XLOOKUP(K1652,[2]analyte_order!$B:$B,[2]analyte_order!$C:$C)</f>
        <v>375-22-4</v>
      </c>
      <c r="M1652">
        <f>_xlfn.XLOOKUP(L1652,[2]analyte_order!$C:$C,[2]analyte_order!$E:$E)</f>
        <v>1</v>
      </c>
      <c r="N1652">
        <v>9.4398993077407164E-2</v>
      </c>
    </row>
    <row r="1653" spans="1:14">
      <c r="A1653" t="s">
        <v>247</v>
      </c>
      <c r="B1653" t="str">
        <f>_xlfn.XLOOKUP(A1653,'[1]Tissue Data'!$A:$A,'[1]Tissue Data'!$C:$C)</f>
        <v>Spill</v>
      </c>
      <c r="C1653" s="2">
        <f>_xlfn.XLOOKUP(A1653,'[1]Tissue Data'!$A:$A,'[1]Tissue Data'!$D:$D)</f>
        <v>44314</v>
      </c>
      <c r="D1653" s="2" t="str">
        <f>_xlfn.XLOOKUP(A1653,'[1]Tissue Data'!$A:$A,'[1]Tissue Data'!$F:$F)</f>
        <v>Pumpkinseed</v>
      </c>
      <c r="E1653" t="str">
        <f>_xlfn.XLOOKUP(A1653,'[1]Tissue Data'!$A:$A,'[1]Tissue Data'!$H:$H)</f>
        <v>Lepomis</v>
      </c>
      <c r="F1653" t="str">
        <f>_xlfn.XLOOKUP(A1653,'[1]Tissue Data'!$A:$A,'[1]Tissue Data'!$I:$I)</f>
        <v>gibbosus</v>
      </c>
      <c r="G1653" t="str">
        <f>_xlfn.XLOOKUP(A1653,'[1]Tissue Data'!$A:$A,'[1]Tissue Data'!J:J)</f>
        <v>U</v>
      </c>
      <c r="H1653" t="str">
        <f>_xlfn.XLOOKUP(A1653,'[1]Tissue Data'!$A:$A,'[1]Tissue Data'!K:K)</f>
        <v>Whole Body</v>
      </c>
      <c r="I1653">
        <f>_xlfn.XLOOKUP(A1653,'[1]Tissue Data'!$A:$A,'[1]Tissue Data'!L:L)</f>
        <v>6</v>
      </c>
      <c r="J1653">
        <f>_xlfn.XLOOKUP(A1653,'[1]Tissue Data'!$A:$A,'[1]Tissue Data'!M:M)</f>
        <v>6.3</v>
      </c>
      <c r="K1653" t="s">
        <v>13</v>
      </c>
      <c r="L1653" t="str">
        <f>_xlfn.XLOOKUP(K1653,[2]analyte_order!$B:$B,[2]analyte_order!$C:$C)</f>
        <v>2706-90-3</v>
      </c>
      <c r="M1653">
        <f>_xlfn.XLOOKUP(L1653,[2]analyte_order!$C:$C,[2]analyte_order!$E:$E)</f>
        <v>2</v>
      </c>
      <c r="N1653">
        <v>0.37991537861593067</v>
      </c>
    </row>
    <row r="1654" spans="1:14">
      <c r="A1654" t="s">
        <v>247</v>
      </c>
      <c r="B1654" t="str">
        <f>_xlfn.XLOOKUP(A1654,'[1]Tissue Data'!$A:$A,'[1]Tissue Data'!$C:$C)</f>
        <v>Spill</v>
      </c>
      <c r="C1654" s="2">
        <f>_xlfn.XLOOKUP(A1654,'[1]Tissue Data'!$A:$A,'[1]Tissue Data'!$D:$D)</f>
        <v>44314</v>
      </c>
      <c r="D1654" s="2" t="str">
        <f>_xlfn.XLOOKUP(A1654,'[1]Tissue Data'!$A:$A,'[1]Tissue Data'!$F:$F)</f>
        <v>Pumpkinseed</v>
      </c>
      <c r="E1654" t="str">
        <f>_xlfn.XLOOKUP(A1654,'[1]Tissue Data'!$A:$A,'[1]Tissue Data'!$H:$H)</f>
        <v>Lepomis</v>
      </c>
      <c r="F1654" t="str">
        <f>_xlfn.XLOOKUP(A1654,'[1]Tissue Data'!$A:$A,'[1]Tissue Data'!$I:$I)</f>
        <v>gibbosus</v>
      </c>
      <c r="G1654" t="str">
        <f>_xlfn.XLOOKUP(A1654,'[1]Tissue Data'!$A:$A,'[1]Tissue Data'!J:J)</f>
        <v>U</v>
      </c>
      <c r="H1654" t="str">
        <f>_xlfn.XLOOKUP(A1654,'[1]Tissue Data'!$A:$A,'[1]Tissue Data'!K:K)</f>
        <v>Whole Body</v>
      </c>
      <c r="I1654">
        <f>_xlfn.XLOOKUP(A1654,'[1]Tissue Data'!$A:$A,'[1]Tissue Data'!L:L)</f>
        <v>6</v>
      </c>
      <c r="J1654">
        <f>_xlfn.XLOOKUP(A1654,'[1]Tissue Data'!$A:$A,'[1]Tissue Data'!M:M)</f>
        <v>6.3</v>
      </c>
      <c r="K1654" t="s">
        <v>14</v>
      </c>
      <c r="L1654" t="str">
        <f>_xlfn.XLOOKUP(K1654,[2]analyte_order!$B:$B,[2]analyte_order!$C:$C)</f>
        <v>307-24-4</v>
      </c>
      <c r="M1654">
        <f>_xlfn.XLOOKUP(L1654,[2]analyte_order!$C:$C,[2]analyte_order!$E:$E)</f>
        <v>3</v>
      </c>
      <c r="N1654">
        <v>0.12736577886442729</v>
      </c>
    </row>
    <row r="1655" spans="1:14">
      <c r="A1655" t="s">
        <v>247</v>
      </c>
      <c r="B1655" t="str">
        <f>_xlfn.XLOOKUP(A1655,'[1]Tissue Data'!$A:$A,'[1]Tissue Data'!$C:$C)</f>
        <v>Spill</v>
      </c>
      <c r="C1655" s="2">
        <f>_xlfn.XLOOKUP(A1655,'[1]Tissue Data'!$A:$A,'[1]Tissue Data'!$D:$D)</f>
        <v>44314</v>
      </c>
      <c r="D1655" s="2" t="str">
        <f>_xlfn.XLOOKUP(A1655,'[1]Tissue Data'!$A:$A,'[1]Tissue Data'!$F:$F)</f>
        <v>Pumpkinseed</v>
      </c>
      <c r="E1655" t="str">
        <f>_xlfn.XLOOKUP(A1655,'[1]Tissue Data'!$A:$A,'[1]Tissue Data'!$H:$H)</f>
        <v>Lepomis</v>
      </c>
      <c r="F1655" t="str">
        <f>_xlfn.XLOOKUP(A1655,'[1]Tissue Data'!$A:$A,'[1]Tissue Data'!$I:$I)</f>
        <v>gibbosus</v>
      </c>
      <c r="G1655" t="str">
        <f>_xlfn.XLOOKUP(A1655,'[1]Tissue Data'!$A:$A,'[1]Tissue Data'!J:J)</f>
        <v>U</v>
      </c>
      <c r="H1655" t="str">
        <f>_xlfn.XLOOKUP(A1655,'[1]Tissue Data'!$A:$A,'[1]Tissue Data'!K:K)</f>
        <v>Whole Body</v>
      </c>
      <c r="I1655">
        <f>_xlfn.XLOOKUP(A1655,'[1]Tissue Data'!$A:$A,'[1]Tissue Data'!L:L)</f>
        <v>6</v>
      </c>
      <c r="J1655">
        <f>_xlfn.XLOOKUP(A1655,'[1]Tissue Data'!$A:$A,'[1]Tissue Data'!M:M)</f>
        <v>6.3</v>
      </c>
      <c r="K1655" t="s">
        <v>15</v>
      </c>
      <c r="L1655" t="str">
        <f>_xlfn.XLOOKUP(K1655,[2]analyte_order!$B:$B,[2]analyte_order!$C:$C)</f>
        <v>375-85-9</v>
      </c>
      <c r="M1655">
        <f>_xlfn.XLOOKUP(L1655,[2]analyte_order!$C:$C,[2]analyte_order!$E:$E)</f>
        <v>4</v>
      </c>
      <c r="N1655">
        <v>9.4398993077407164E-2</v>
      </c>
    </row>
    <row r="1656" spans="1:14">
      <c r="A1656" t="s">
        <v>247</v>
      </c>
      <c r="B1656" t="str">
        <f>_xlfn.XLOOKUP(A1656,'[1]Tissue Data'!$A:$A,'[1]Tissue Data'!$C:$C)</f>
        <v>Spill</v>
      </c>
      <c r="C1656" s="2">
        <f>_xlfn.XLOOKUP(A1656,'[1]Tissue Data'!$A:$A,'[1]Tissue Data'!$D:$D)</f>
        <v>44314</v>
      </c>
      <c r="D1656" s="2" t="str">
        <f>_xlfn.XLOOKUP(A1656,'[1]Tissue Data'!$A:$A,'[1]Tissue Data'!$F:$F)</f>
        <v>Pumpkinseed</v>
      </c>
      <c r="E1656" t="str">
        <f>_xlfn.XLOOKUP(A1656,'[1]Tissue Data'!$A:$A,'[1]Tissue Data'!$H:$H)</f>
        <v>Lepomis</v>
      </c>
      <c r="F1656" t="str">
        <f>_xlfn.XLOOKUP(A1656,'[1]Tissue Data'!$A:$A,'[1]Tissue Data'!$I:$I)</f>
        <v>gibbosus</v>
      </c>
      <c r="G1656" t="str">
        <f>_xlfn.XLOOKUP(A1656,'[1]Tissue Data'!$A:$A,'[1]Tissue Data'!J:J)</f>
        <v>U</v>
      </c>
      <c r="H1656" t="str">
        <f>_xlfn.XLOOKUP(A1656,'[1]Tissue Data'!$A:$A,'[1]Tissue Data'!K:K)</f>
        <v>Whole Body</v>
      </c>
      <c r="I1656">
        <f>_xlfn.XLOOKUP(A1656,'[1]Tissue Data'!$A:$A,'[1]Tissue Data'!L:L)</f>
        <v>6</v>
      </c>
      <c r="J1656">
        <f>_xlfn.XLOOKUP(A1656,'[1]Tissue Data'!$A:$A,'[1]Tissue Data'!M:M)</f>
        <v>6.3</v>
      </c>
      <c r="K1656" t="s">
        <v>16</v>
      </c>
      <c r="L1656" t="str">
        <f>_xlfn.XLOOKUP(K1656,[2]analyte_order!$B:$B,[2]analyte_order!$C:$C)</f>
        <v>335-67-1</v>
      </c>
      <c r="M1656">
        <f>_xlfn.XLOOKUP(L1656,[2]analyte_order!$C:$C,[2]analyte_order!$E:$E)</f>
        <v>5</v>
      </c>
      <c r="N1656">
        <v>0.34300000000000003</v>
      </c>
    </row>
    <row r="1657" spans="1:14">
      <c r="A1657" t="s">
        <v>247</v>
      </c>
      <c r="B1657" t="str">
        <f>_xlfn.XLOOKUP(A1657,'[1]Tissue Data'!$A:$A,'[1]Tissue Data'!$C:$C)</f>
        <v>Spill</v>
      </c>
      <c r="C1657" s="2">
        <f>_xlfn.XLOOKUP(A1657,'[1]Tissue Data'!$A:$A,'[1]Tissue Data'!$D:$D)</f>
        <v>44314</v>
      </c>
      <c r="D1657" s="2" t="str">
        <f>_xlfn.XLOOKUP(A1657,'[1]Tissue Data'!$A:$A,'[1]Tissue Data'!$F:$F)</f>
        <v>Pumpkinseed</v>
      </c>
      <c r="E1657" t="str">
        <f>_xlfn.XLOOKUP(A1657,'[1]Tissue Data'!$A:$A,'[1]Tissue Data'!$H:$H)</f>
        <v>Lepomis</v>
      </c>
      <c r="F1657" t="str">
        <f>_xlfn.XLOOKUP(A1657,'[1]Tissue Data'!$A:$A,'[1]Tissue Data'!$I:$I)</f>
        <v>gibbosus</v>
      </c>
      <c r="G1657" t="str">
        <f>_xlfn.XLOOKUP(A1657,'[1]Tissue Data'!$A:$A,'[1]Tissue Data'!J:J)</f>
        <v>U</v>
      </c>
      <c r="H1657" t="str">
        <f>_xlfn.XLOOKUP(A1657,'[1]Tissue Data'!$A:$A,'[1]Tissue Data'!K:K)</f>
        <v>Whole Body</v>
      </c>
      <c r="I1657">
        <f>_xlfn.XLOOKUP(A1657,'[1]Tissue Data'!$A:$A,'[1]Tissue Data'!L:L)</f>
        <v>6</v>
      </c>
      <c r="J1657">
        <f>_xlfn.XLOOKUP(A1657,'[1]Tissue Data'!$A:$A,'[1]Tissue Data'!M:M)</f>
        <v>6.3</v>
      </c>
      <c r="K1657" t="s">
        <v>17</v>
      </c>
      <c r="L1657" t="str">
        <f>_xlfn.XLOOKUP(K1657,[2]analyte_order!$B:$B,[2]analyte_order!$C:$C)</f>
        <v>375-95-1</v>
      </c>
      <c r="M1657">
        <f>_xlfn.XLOOKUP(L1657,[2]analyte_order!$C:$C,[2]analyte_order!$E:$E)</f>
        <v>6</v>
      </c>
      <c r="N1657">
        <v>0.16332095058700438</v>
      </c>
    </row>
    <row r="1658" spans="1:14">
      <c r="A1658" t="s">
        <v>247</v>
      </c>
      <c r="B1658" t="str">
        <f>_xlfn.XLOOKUP(A1658,'[1]Tissue Data'!$A:$A,'[1]Tissue Data'!$C:$C)</f>
        <v>Spill</v>
      </c>
      <c r="C1658" s="2">
        <f>_xlfn.XLOOKUP(A1658,'[1]Tissue Data'!$A:$A,'[1]Tissue Data'!$D:$D)</f>
        <v>44314</v>
      </c>
      <c r="D1658" s="2" t="str">
        <f>_xlfn.XLOOKUP(A1658,'[1]Tissue Data'!$A:$A,'[1]Tissue Data'!$F:$F)</f>
        <v>Pumpkinseed</v>
      </c>
      <c r="E1658" t="str">
        <f>_xlfn.XLOOKUP(A1658,'[1]Tissue Data'!$A:$A,'[1]Tissue Data'!$H:$H)</f>
        <v>Lepomis</v>
      </c>
      <c r="F1658" t="str">
        <f>_xlfn.XLOOKUP(A1658,'[1]Tissue Data'!$A:$A,'[1]Tissue Data'!$I:$I)</f>
        <v>gibbosus</v>
      </c>
      <c r="G1658" t="str">
        <f>_xlfn.XLOOKUP(A1658,'[1]Tissue Data'!$A:$A,'[1]Tissue Data'!J:J)</f>
        <v>U</v>
      </c>
      <c r="H1658" t="str">
        <f>_xlfn.XLOOKUP(A1658,'[1]Tissue Data'!$A:$A,'[1]Tissue Data'!K:K)</f>
        <v>Whole Body</v>
      </c>
      <c r="I1658">
        <f>_xlfn.XLOOKUP(A1658,'[1]Tissue Data'!$A:$A,'[1]Tissue Data'!L:L)</f>
        <v>6</v>
      </c>
      <c r="J1658">
        <f>_xlfn.XLOOKUP(A1658,'[1]Tissue Data'!$A:$A,'[1]Tissue Data'!M:M)</f>
        <v>6.3</v>
      </c>
      <c r="K1658" t="s">
        <v>18</v>
      </c>
      <c r="L1658" t="str">
        <f>_xlfn.XLOOKUP(K1658,[2]analyte_order!$B:$B,[2]analyte_order!$C:$C)</f>
        <v>335-76-2</v>
      </c>
      <c r="M1658">
        <f>_xlfn.XLOOKUP(L1658,[2]analyte_order!$C:$C,[2]analyte_order!$E:$E)</f>
        <v>7</v>
      </c>
      <c r="N1658">
        <v>2.4900000000000002</v>
      </c>
    </row>
    <row r="1659" spans="1:14">
      <c r="A1659" t="s">
        <v>247</v>
      </c>
      <c r="B1659" t="str">
        <f>_xlfn.XLOOKUP(A1659,'[1]Tissue Data'!$A:$A,'[1]Tissue Data'!$C:$C)</f>
        <v>Spill</v>
      </c>
      <c r="C1659" s="2">
        <f>_xlfn.XLOOKUP(A1659,'[1]Tissue Data'!$A:$A,'[1]Tissue Data'!$D:$D)</f>
        <v>44314</v>
      </c>
      <c r="D1659" s="2" t="str">
        <f>_xlfn.XLOOKUP(A1659,'[1]Tissue Data'!$A:$A,'[1]Tissue Data'!$F:$F)</f>
        <v>Pumpkinseed</v>
      </c>
      <c r="E1659" t="str">
        <f>_xlfn.XLOOKUP(A1659,'[1]Tissue Data'!$A:$A,'[1]Tissue Data'!$H:$H)</f>
        <v>Lepomis</v>
      </c>
      <c r="F1659" t="str">
        <f>_xlfn.XLOOKUP(A1659,'[1]Tissue Data'!$A:$A,'[1]Tissue Data'!$I:$I)</f>
        <v>gibbosus</v>
      </c>
      <c r="G1659" t="str">
        <f>_xlfn.XLOOKUP(A1659,'[1]Tissue Data'!$A:$A,'[1]Tissue Data'!J:J)</f>
        <v>U</v>
      </c>
      <c r="H1659" t="str">
        <f>_xlfn.XLOOKUP(A1659,'[1]Tissue Data'!$A:$A,'[1]Tissue Data'!K:K)</f>
        <v>Whole Body</v>
      </c>
      <c r="I1659">
        <f>_xlfn.XLOOKUP(A1659,'[1]Tissue Data'!$A:$A,'[1]Tissue Data'!L:L)</f>
        <v>6</v>
      </c>
      <c r="J1659">
        <f>_xlfn.XLOOKUP(A1659,'[1]Tissue Data'!$A:$A,'[1]Tissue Data'!M:M)</f>
        <v>6.3</v>
      </c>
      <c r="K1659" t="s">
        <v>19</v>
      </c>
      <c r="L1659" t="str">
        <f>_xlfn.XLOOKUP(K1659,[2]analyte_order!$B:$B,[2]analyte_order!$C:$C)</f>
        <v>2058-94-8</v>
      </c>
      <c r="M1659">
        <f>_xlfn.XLOOKUP(L1659,[2]analyte_order!$C:$C,[2]analyte_order!$E:$E)</f>
        <v>8</v>
      </c>
      <c r="N1659">
        <v>3.87</v>
      </c>
    </row>
    <row r="1660" spans="1:14">
      <c r="A1660" t="s">
        <v>247</v>
      </c>
      <c r="B1660" t="str">
        <f>_xlfn.XLOOKUP(A1660,'[1]Tissue Data'!$A:$A,'[1]Tissue Data'!$C:$C)</f>
        <v>Spill</v>
      </c>
      <c r="C1660" s="2">
        <f>_xlfn.XLOOKUP(A1660,'[1]Tissue Data'!$A:$A,'[1]Tissue Data'!$D:$D)</f>
        <v>44314</v>
      </c>
      <c r="D1660" s="2" t="str">
        <f>_xlfn.XLOOKUP(A1660,'[1]Tissue Data'!$A:$A,'[1]Tissue Data'!$F:$F)</f>
        <v>Pumpkinseed</v>
      </c>
      <c r="E1660" t="str">
        <f>_xlfn.XLOOKUP(A1660,'[1]Tissue Data'!$A:$A,'[1]Tissue Data'!$H:$H)</f>
        <v>Lepomis</v>
      </c>
      <c r="F1660" t="str">
        <f>_xlfn.XLOOKUP(A1660,'[1]Tissue Data'!$A:$A,'[1]Tissue Data'!$I:$I)</f>
        <v>gibbosus</v>
      </c>
      <c r="G1660" t="str">
        <f>_xlfn.XLOOKUP(A1660,'[1]Tissue Data'!$A:$A,'[1]Tissue Data'!J:J)</f>
        <v>U</v>
      </c>
      <c r="H1660" t="str">
        <f>_xlfn.XLOOKUP(A1660,'[1]Tissue Data'!$A:$A,'[1]Tissue Data'!K:K)</f>
        <v>Whole Body</v>
      </c>
      <c r="I1660">
        <f>_xlfn.XLOOKUP(A1660,'[1]Tissue Data'!$A:$A,'[1]Tissue Data'!L:L)</f>
        <v>6</v>
      </c>
      <c r="J1660">
        <f>_xlfn.XLOOKUP(A1660,'[1]Tissue Data'!$A:$A,'[1]Tissue Data'!M:M)</f>
        <v>6.3</v>
      </c>
      <c r="K1660" t="s">
        <v>20</v>
      </c>
      <c r="L1660" t="str">
        <f>_xlfn.XLOOKUP(K1660,[2]analyte_order!$B:$B,[2]analyte_order!$C:$C)</f>
        <v>307-55-1</v>
      </c>
      <c r="M1660">
        <f>_xlfn.XLOOKUP(L1660,[2]analyte_order!$C:$C,[2]analyte_order!$E:$E)</f>
        <v>9</v>
      </c>
      <c r="N1660">
        <v>0.42933029908911674</v>
      </c>
    </row>
    <row r="1661" spans="1:14">
      <c r="A1661" t="s">
        <v>247</v>
      </c>
      <c r="B1661" t="str">
        <f>_xlfn.XLOOKUP(A1661,'[1]Tissue Data'!$A:$A,'[1]Tissue Data'!$C:$C)</f>
        <v>Spill</v>
      </c>
      <c r="C1661" s="2">
        <f>_xlfn.XLOOKUP(A1661,'[1]Tissue Data'!$A:$A,'[1]Tissue Data'!$D:$D)</f>
        <v>44314</v>
      </c>
      <c r="D1661" s="2" t="str">
        <f>_xlfn.XLOOKUP(A1661,'[1]Tissue Data'!$A:$A,'[1]Tissue Data'!$F:$F)</f>
        <v>Pumpkinseed</v>
      </c>
      <c r="E1661" t="str">
        <f>_xlfn.XLOOKUP(A1661,'[1]Tissue Data'!$A:$A,'[1]Tissue Data'!$H:$H)</f>
        <v>Lepomis</v>
      </c>
      <c r="F1661" t="str">
        <f>_xlfn.XLOOKUP(A1661,'[1]Tissue Data'!$A:$A,'[1]Tissue Data'!$I:$I)</f>
        <v>gibbosus</v>
      </c>
      <c r="G1661" t="str">
        <f>_xlfn.XLOOKUP(A1661,'[1]Tissue Data'!$A:$A,'[1]Tissue Data'!J:J)</f>
        <v>U</v>
      </c>
      <c r="H1661" t="str">
        <f>_xlfn.XLOOKUP(A1661,'[1]Tissue Data'!$A:$A,'[1]Tissue Data'!K:K)</f>
        <v>Whole Body</v>
      </c>
      <c r="I1661">
        <f>_xlfn.XLOOKUP(A1661,'[1]Tissue Data'!$A:$A,'[1]Tissue Data'!L:L)</f>
        <v>6</v>
      </c>
      <c r="J1661">
        <f>_xlfn.XLOOKUP(A1661,'[1]Tissue Data'!$A:$A,'[1]Tissue Data'!M:M)</f>
        <v>6.3</v>
      </c>
      <c r="K1661" t="s">
        <v>21</v>
      </c>
      <c r="L1661" t="str">
        <f>_xlfn.XLOOKUP(K1661,[2]analyte_order!$B:$B,[2]analyte_order!$C:$C)</f>
        <v>72629-94-8</v>
      </c>
      <c r="M1661">
        <f>_xlfn.XLOOKUP(L1661,[2]analyte_order!$C:$C,[2]analyte_order!$E:$E)</f>
        <v>10</v>
      </c>
      <c r="N1661">
        <v>1.93</v>
      </c>
    </row>
    <row r="1662" spans="1:14">
      <c r="A1662" t="s">
        <v>247</v>
      </c>
      <c r="B1662" t="str">
        <f>_xlfn.XLOOKUP(A1662,'[1]Tissue Data'!$A:$A,'[1]Tissue Data'!$C:$C)</f>
        <v>Spill</v>
      </c>
      <c r="C1662" s="2">
        <f>_xlfn.XLOOKUP(A1662,'[1]Tissue Data'!$A:$A,'[1]Tissue Data'!$D:$D)</f>
        <v>44314</v>
      </c>
      <c r="D1662" s="2" t="str">
        <f>_xlfn.XLOOKUP(A1662,'[1]Tissue Data'!$A:$A,'[1]Tissue Data'!$F:$F)</f>
        <v>Pumpkinseed</v>
      </c>
      <c r="E1662" t="str">
        <f>_xlfn.XLOOKUP(A1662,'[1]Tissue Data'!$A:$A,'[1]Tissue Data'!$H:$H)</f>
        <v>Lepomis</v>
      </c>
      <c r="F1662" t="str">
        <f>_xlfn.XLOOKUP(A1662,'[1]Tissue Data'!$A:$A,'[1]Tissue Data'!$I:$I)</f>
        <v>gibbosus</v>
      </c>
      <c r="G1662" t="str">
        <f>_xlfn.XLOOKUP(A1662,'[1]Tissue Data'!$A:$A,'[1]Tissue Data'!J:J)</f>
        <v>U</v>
      </c>
      <c r="H1662" t="str">
        <f>_xlfn.XLOOKUP(A1662,'[1]Tissue Data'!$A:$A,'[1]Tissue Data'!K:K)</f>
        <v>Whole Body</v>
      </c>
      <c r="I1662">
        <f>_xlfn.XLOOKUP(A1662,'[1]Tissue Data'!$A:$A,'[1]Tissue Data'!L:L)</f>
        <v>6</v>
      </c>
      <c r="J1662">
        <f>_xlfn.XLOOKUP(A1662,'[1]Tissue Data'!$A:$A,'[1]Tissue Data'!M:M)</f>
        <v>6.3</v>
      </c>
      <c r="K1662" t="s">
        <v>22</v>
      </c>
      <c r="L1662" t="str">
        <f>_xlfn.XLOOKUP(K1662,[2]analyte_order!$B:$B,[2]analyte_order!$C:$C)</f>
        <v>376-06-7</v>
      </c>
      <c r="M1662">
        <f>_xlfn.XLOOKUP(L1662,[2]analyte_order!$C:$C,[2]analyte_order!$E:$E)</f>
        <v>11</v>
      </c>
      <c r="N1662">
        <v>4.2699999999999996</v>
      </c>
    </row>
    <row r="1663" spans="1:14">
      <c r="A1663" t="s">
        <v>247</v>
      </c>
      <c r="B1663" t="str">
        <f>_xlfn.XLOOKUP(A1663,'[1]Tissue Data'!$A:$A,'[1]Tissue Data'!$C:$C)</f>
        <v>Spill</v>
      </c>
      <c r="C1663" s="2">
        <f>_xlfn.XLOOKUP(A1663,'[1]Tissue Data'!$A:$A,'[1]Tissue Data'!$D:$D)</f>
        <v>44314</v>
      </c>
      <c r="D1663" s="2" t="str">
        <f>_xlfn.XLOOKUP(A1663,'[1]Tissue Data'!$A:$A,'[1]Tissue Data'!$F:$F)</f>
        <v>Pumpkinseed</v>
      </c>
      <c r="E1663" t="str">
        <f>_xlfn.XLOOKUP(A1663,'[1]Tissue Data'!$A:$A,'[1]Tissue Data'!$H:$H)</f>
        <v>Lepomis</v>
      </c>
      <c r="F1663" t="str">
        <f>_xlfn.XLOOKUP(A1663,'[1]Tissue Data'!$A:$A,'[1]Tissue Data'!$I:$I)</f>
        <v>gibbosus</v>
      </c>
      <c r="G1663" t="str">
        <f>_xlfn.XLOOKUP(A1663,'[1]Tissue Data'!$A:$A,'[1]Tissue Data'!J:J)</f>
        <v>U</v>
      </c>
      <c r="H1663" t="str">
        <f>_xlfn.XLOOKUP(A1663,'[1]Tissue Data'!$A:$A,'[1]Tissue Data'!K:K)</f>
        <v>Whole Body</v>
      </c>
      <c r="I1663">
        <f>_xlfn.XLOOKUP(A1663,'[1]Tissue Data'!$A:$A,'[1]Tissue Data'!L:L)</f>
        <v>6</v>
      </c>
      <c r="J1663">
        <f>_xlfn.XLOOKUP(A1663,'[1]Tissue Data'!$A:$A,'[1]Tissue Data'!M:M)</f>
        <v>6.3</v>
      </c>
      <c r="K1663" t="s">
        <v>23</v>
      </c>
      <c r="L1663" t="str">
        <f>_xlfn.XLOOKUP(K1663,[2]analyte_order!$B:$B,[2]analyte_order!$C:$C)</f>
        <v>67905-19-5</v>
      </c>
      <c r="M1663">
        <f>_xlfn.XLOOKUP(L1663,[2]analyte_order!$C:$C,[2]analyte_order!$E:$E)</f>
        <v>12</v>
      </c>
      <c r="N1663">
        <v>0.64084464163249211</v>
      </c>
    </row>
    <row r="1664" spans="1:14">
      <c r="A1664" t="s">
        <v>247</v>
      </c>
      <c r="B1664" t="str">
        <f>_xlfn.XLOOKUP(A1664,'[1]Tissue Data'!$A:$A,'[1]Tissue Data'!$C:$C)</f>
        <v>Spill</v>
      </c>
      <c r="C1664" s="2">
        <f>_xlfn.XLOOKUP(A1664,'[1]Tissue Data'!$A:$A,'[1]Tissue Data'!$D:$D)</f>
        <v>44314</v>
      </c>
      <c r="D1664" s="2" t="str">
        <f>_xlfn.XLOOKUP(A1664,'[1]Tissue Data'!$A:$A,'[1]Tissue Data'!$F:$F)</f>
        <v>Pumpkinseed</v>
      </c>
      <c r="E1664" t="str">
        <f>_xlfn.XLOOKUP(A1664,'[1]Tissue Data'!$A:$A,'[1]Tissue Data'!$H:$H)</f>
        <v>Lepomis</v>
      </c>
      <c r="F1664" t="str">
        <f>_xlfn.XLOOKUP(A1664,'[1]Tissue Data'!$A:$A,'[1]Tissue Data'!$I:$I)</f>
        <v>gibbosus</v>
      </c>
      <c r="G1664" t="str">
        <f>_xlfn.XLOOKUP(A1664,'[1]Tissue Data'!$A:$A,'[1]Tissue Data'!J:J)</f>
        <v>U</v>
      </c>
      <c r="H1664" t="str">
        <f>_xlfn.XLOOKUP(A1664,'[1]Tissue Data'!$A:$A,'[1]Tissue Data'!K:K)</f>
        <v>Whole Body</v>
      </c>
      <c r="I1664">
        <f>_xlfn.XLOOKUP(A1664,'[1]Tissue Data'!$A:$A,'[1]Tissue Data'!L:L)</f>
        <v>6</v>
      </c>
      <c r="J1664">
        <f>_xlfn.XLOOKUP(A1664,'[1]Tissue Data'!$A:$A,'[1]Tissue Data'!M:M)</f>
        <v>6.3</v>
      </c>
      <c r="K1664" t="s">
        <v>24</v>
      </c>
      <c r="L1664" t="str">
        <f>_xlfn.XLOOKUP(K1664,[2]analyte_order!$B:$B,[2]analyte_order!$C:$C)</f>
        <v>423-41-6</v>
      </c>
      <c r="M1664">
        <f>_xlfn.XLOOKUP(L1664,[2]analyte_order!$C:$C,[2]analyte_order!$E:$E)</f>
        <v>53</v>
      </c>
      <c r="N1664">
        <v>0.4102487294124606</v>
      </c>
    </row>
    <row r="1665" spans="1:14">
      <c r="A1665" t="s">
        <v>247</v>
      </c>
      <c r="B1665" t="str">
        <f>_xlfn.XLOOKUP(A1665,'[1]Tissue Data'!$A:$A,'[1]Tissue Data'!$C:$C)</f>
        <v>Spill</v>
      </c>
      <c r="C1665" s="2">
        <f>_xlfn.XLOOKUP(A1665,'[1]Tissue Data'!$A:$A,'[1]Tissue Data'!$D:$D)</f>
        <v>44314</v>
      </c>
      <c r="D1665" s="2" t="str">
        <f>_xlfn.XLOOKUP(A1665,'[1]Tissue Data'!$A:$A,'[1]Tissue Data'!$F:$F)</f>
        <v>Pumpkinseed</v>
      </c>
      <c r="E1665" t="str">
        <f>_xlfn.XLOOKUP(A1665,'[1]Tissue Data'!$A:$A,'[1]Tissue Data'!$H:$H)</f>
        <v>Lepomis</v>
      </c>
      <c r="F1665" t="str">
        <f>_xlfn.XLOOKUP(A1665,'[1]Tissue Data'!$A:$A,'[1]Tissue Data'!$I:$I)</f>
        <v>gibbosus</v>
      </c>
      <c r="G1665" t="str">
        <f>_xlfn.XLOOKUP(A1665,'[1]Tissue Data'!$A:$A,'[1]Tissue Data'!J:J)</f>
        <v>U</v>
      </c>
      <c r="H1665" t="str">
        <f>_xlfn.XLOOKUP(A1665,'[1]Tissue Data'!$A:$A,'[1]Tissue Data'!K:K)</f>
        <v>Whole Body</v>
      </c>
      <c r="I1665">
        <f>_xlfn.XLOOKUP(A1665,'[1]Tissue Data'!$A:$A,'[1]Tissue Data'!L:L)</f>
        <v>6</v>
      </c>
      <c r="J1665">
        <f>_xlfn.XLOOKUP(A1665,'[1]Tissue Data'!$A:$A,'[1]Tissue Data'!M:M)</f>
        <v>6.3</v>
      </c>
      <c r="K1665" t="s">
        <v>25</v>
      </c>
      <c r="L1665" t="str">
        <f>_xlfn.XLOOKUP(K1665,[2]analyte_order!$B:$B,[2]analyte_order!$C:$C)</f>
        <v>375-73-5</v>
      </c>
      <c r="M1665">
        <f>_xlfn.XLOOKUP(L1665,[2]analyte_order!$C:$C,[2]analyte_order!$E:$E)</f>
        <v>14</v>
      </c>
      <c r="N1665">
        <v>0.16062208607378853</v>
      </c>
    </row>
    <row r="1666" spans="1:14">
      <c r="A1666" t="s">
        <v>247</v>
      </c>
      <c r="B1666" t="str">
        <f>_xlfn.XLOOKUP(A1666,'[1]Tissue Data'!$A:$A,'[1]Tissue Data'!$C:$C)</f>
        <v>Spill</v>
      </c>
      <c r="C1666" s="2">
        <f>_xlfn.XLOOKUP(A1666,'[1]Tissue Data'!$A:$A,'[1]Tissue Data'!$D:$D)</f>
        <v>44314</v>
      </c>
      <c r="D1666" s="2" t="str">
        <f>_xlfn.XLOOKUP(A1666,'[1]Tissue Data'!$A:$A,'[1]Tissue Data'!$F:$F)</f>
        <v>Pumpkinseed</v>
      </c>
      <c r="E1666" t="str">
        <f>_xlfn.XLOOKUP(A1666,'[1]Tissue Data'!$A:$A,'[1]Tissue Data'!$H:$H)</f>
        <v>Lepomis</v>
      </c>
      <c r="F1666" t="str">
        <f>_xlfn.XLOOKUP(A1666,'[1]Tissue Data'!$A:$A,'[1]Tissue Data'!$I:$I)</f>
        <v>gibbosus</v>
      </c>
      <c r="G1666" t="str">
        <f>_xlfn.XLOOKUP(A1666,'[1]Tissue Data'!$A:$A,'[1]Tissue Data'!J:J)</f>
        <v>U</v>
      </c>
      <c r="H1666" t="str">
        <f>_xlfn.XLOOKUP(A1666,'[1]Tissue Data'!$A:$A,'[1]Tissue Data'!K:K)</f>
        <v>Whole Body</v>
      </c>
      <c r="I1666">
        <f>_xlfn.XLOOKUP(A1666,'[1]Tissue Data'!$A:$A,'[1]Tissue Data'!L:L)</f>
        <v>6</v>
      </c>
      <c r="J1666">
        <f>_xlfn.XLOOKUP(A1666,'[1]Tissue Data'!$A:$A,'[1]Tissue Data'!M:M)</f>
        <v>6.3</v>
      </c>
      <c r="K1666" t="s">
        <v>26</v>
      </c>
      <c r="L1666" t="str">
        <f>_xlfn.XLOOKUP(K1666,[2]analyte_order!$B:$B,[2]analyte_order!$C:$C)</f>
        <v>2706-91-4</v>
      </c>
      <c r="M1666">
        <f>_xlfn.XLOOKUP(L1666,[2]analyte_order!$C:$C,[2]analyte_order!$E:$E)</f>
        <v>15</v>
      </c>
      <c r="N1666">
        <v>0.12497127213370045</v>
      </c>
    </row>
    <row r="1667" spans="1:14">
      <c r="A1667" t="s">
        <v>247</v>
      </c>
      <c r="B1667" t="str">
        <f>_xlfn.XLOOKUP(A1667,'[1]Tissue Data'!$A:$A,'[1]Tissue Data'!$C:$C)</f>
        <v>Spill</v>
      </c>
      <c r="C1667" s="2">
        <f>_xlfn.XLOOKUP(A1667,'[1]Tissue Data'!$A:$A,'[1]Tissue Data'!$D:$D)</f>
        <v>44314</v>
      </c>
      <c r="D1667" s="2" t="str">
        <f>_xlfn.XLOOKUP(A1667,'[1]Tissue Data'!$A:$A,'[1]Tissue Data'!$F:$F)</f>
        <v>Pumpkinseed</v>
      </c>
      <c r="E1667" t="str">
        <f>_xlfn.XLOOKUP(A1667,'[1]Tissue Data'!$A:$A,'[1]Tissue Data'!$H:$H)</f>
        <v>Lepomis</v>
      </c>
      <c r="F1667" t="str">
        <f>_xlfn.XLOOKUP(A1667,'[1]Tissue Data'!$A:$A,'[1]Tissue Data'!$I:$I)</f>
        <v>gibbosus</v>
      </c>
      <c r="G1667" t="str">
        <f>_xlfn.XLOOKUP(A1667,'[1]Tissue Data'!$A:$A,'[1]Tissue Data'!J:J)</f>
        <v>U</v>
      </c>
      <c r="H1667" t="str">
        <f>_xlfn.XLOOKUP(A1667,'[1]Tissue Data'!$A:$A,'[1]Tissue Data'!K:K)</f>
        <v>Whole Body</v>
      </c>
      <c r="I1667">
        <f>_xlfn.XLOOKUP(A1667,'[1]Tissue Data'!$A:$A,'[1]Tissue Data'!L:L)</f>
        <v>6</v>
      </c>
      <c r="J1667">
        <f>_xlfn.XLOOKUP(A1667,'[1]Tissue Data'!$A:$A,'[1]Tissue Data'!M:M)</f>
        <v>6.3</v>
      </c>
      <c r="K1667" t="s">
        <v>27</v>
      </c>
      <c r="L1667" t="str">
        <f>_xlfn.XLOOKUP(K1667,[2]analyte_order!$B:$B,[2]analyte_order!$C:$C)</f>
        <v>355-46-4</v>
      </c>
      <c r="M1667">
        <f>_xlfn.XLOOKUP(L1667,[2]analyte_order!$C:$C,[2]analyte_order!$E:$E)</f>
        <v>16</v>
      </c>
      <c r="N1667">
        <v>7.14</v>
      </c>
    </row>
    <row r="1668" spans="1:14">
      <c r="A1668" t="s">
        <v>247</v>
      </c>
      <c r="B1668" t="str">
        <f>_xlfn.XLOOKUP(A1668,'[1]Tissue Data'!$A:$A,'[1]Tissue Data'!$C:$C)</f>
        <v>Spill</v>
      </c>
      <c r="C1668" s="2">
        <f>_xlfn.XLOOKUP(A1668,'[1]Tissue Data'!$A:$A,'[1]Tissue Data'!$D:$D)</f>
        <v>44314</v>
      </c>
      <c r="D1668" s="2" t="str">
        <f>_xlfn.XLOOKUP(A1668,'[1]Tissue Data'!$A:$A,'[1]Tissue Data'!$F:$F)</f>
        <v>Pumpkinseed</v>
      </c>
      <c r="E1668" t="str">
        <f>_xlfn.XLOOKUP(A1668,'[1]Tissue Data'!$A:$A,'[1]Tissue Data'!$H:$H)</f>
        <v>Lepomis</v>
      </c>
      <c r="F1668" t="str">
        <f>_xlfn.XLOOKUP(A1668,'[1]Tissue Data'!$A:$A,'[1]Tissue Data'!$I:$I)</f>
        <v>gibbosus</v>
      </c>
      <c r="G1668" t="str">
        <f>_xlfn.XLOOKUP(A1668,'[1]Tissue Data'!$A:$A,'[1]Tissue Data'!J:J)</f>
        <v>U</v>
      </c>
      <c r="H1668" t="str">
        <f>_xlfn.XLOOKUP(A1668,'[1]Tissue Data'!$A:$A,'[1]Tissue Data'!K:K)</f>
        <v>Whole Body</v>
      </c>
      <c r="I1668">
        <f>_xlfn.XLOOKUP(A1668,'[1]Tissue Data'!$A:$A,'[1]Tissue Data'!L:L)</f>
        <v>6</v>
      </c>
      <c r="J1668">
        <f>_xlfn.XLOOKUP(A1668,'[1]Tissue Data'!$A:$A,'[1]Tissue Data'!M:M)</f>
        <v>6.3</v>
      </c>
      <c r="K1668" t="s">
        <v>28</v>
      </c>
      <c r="L1668" t="str">
        <f>_xlfn.XLOOKUP(K1668,[2]analyte_order!$B:$B,[2]analyte_order!$C:$C)</f>
        <v>375-92-8</v>
      </c>
      <c r="M1668">
        <f>_xlfn.XLOOKUP(L1668,[2]analyte_order!$C:$C,[2]analyte_order!$E:$E)</f>
        <v>17</v>
      </c>
      <c r="N1668">
        <v>0.23599748269351795</v>
      </c>
    </row>
    <row r="1669" spans="1:14">
      <c r="A1669" t="s">
        <v>247</v>
      </c>
      <c r="B1669" t="str">
        <f>_xlfn.XLOOKUP(A1669,'[1]Tissue Data'!$A:$A,'[1]Tissue Data'!$C:$C)</f>
        <v>Spill</v>
      </c>
      <c r="C1669" s="2">
        <f>_xlfn.XLOOKUP(A1669,'[1]Tissue Data'!$A:$A,'[1]Tissue Data'!$D:$D)</f>
        <v>44314</v>
      </c>
      <c r="D1669" s="2" t="str">
        <f>_xlfn.XLOOKUP(A1669,'[1]Tissue Data'!$A:$A,'[1]Tissue Data'!$F:$F)</f>
        <v>Pumpkinseed</v>
      </c>
      <c r="E1669" t="str">
        <f>_xlfn.XLOOKUP(A1669,'[1]Tissue Data'!$A:$A,'[1]Tissue Data'!$H:$H)</f>
        <v>Lepomis</v>
      </c>
      <c r="F1669" t="str">
        <f>_xlfn.XLOOKUP(A1669,'[1]Tissue Data'!$A:$A,'[1]Tissue Data'!$I:$I)</f>
        <v>gibbosus</v>
      </c>
      <c r="G1669" t="str">
        <f>_xlfn.XLOOKUP(A1669,'[1]Tissue Data'!$A:$A,'[1]Tissue Data'!J:J)</f>
        <v>U</v>
      </c>
      <c r="H1669" t="str">
        <f>_xlfn.XLOOKUP(A1669,'[1]Tissue Data'!$A:$A,'[1]Tissue Data'!K:K)</f>
        <v>Whole Body</v>
      </c>
      <c r="I1669">
        <f>_xlfn.XLOOKUP(A1669,'[1]Tissue Data'!$A:$A,'[1]Tissue Data'!L:L)</f>
        <v>6</v>
      </c>
      <c r="J1669">
        <f>_xlfn.XLOOKUP(A1669,'[1]Tissue Data'!$A:$A,'[1]Tissue Data'!M:M)</f>
        <v>6.3</v>
      </c>
      <c r="K1669" t="s">
        <v>29</v>
      </c>
      <c r="L1669" t="str">
        <f>_xlfn.XLOOKUP(K1669,[2]analyte_order!$B:$B,[2]analyte_order!$C:$C)</f>
        <v>1763-23-1</v>
      </c>
      <c r="M1669">
        <f>_xlfn.XLOOKUP(L1669,[2]analyte_order!$C:$C,[2]analyte_order!$E:$E)</f>
        <v>18</v>
      </c>
      <c r="N1669">
        <v>595</v>
      </c>
    </row>
    <row r="1670" spans="1:14">
      <c r="A1670" t="s">
        <v>247</v>
      </c>
      <c r="B1670" t="str">
        <f>_xlfn.XLOOKUP(A1670,'[1]Tissue Data'!$A:$A,'[1]Tissue Data'!$C:$C)</f>
        <v>Spill</v>
      </c>
      <c r="C1670" s="2">
        <f>_xlfn.XLOOKUP(A1670,'[1]Tissue Data'!$A:$A,'[1]Tissue Data'!$D:$D)</f>
        <v>44314</v>
      </c>
      <c r="D1670" s="2" t="str">
        <f>_xlfn.XLOOKUP(A1670,'[1]Tissue Data'!$A:$A,'[1]Tissue Data'!$F:$F)</f>
        <v>Pumpkinseed</v>
      </c>
      <c r="E1670" t="str">
        <f>_xlfn.XLOOKUP(A1670,'[1]Tissue Data'!$A:$A,'[1]Tissue Data'!$H:$H)</f>
        <v>Lepomis</v>
      </c>
      <c r="F1670" t="str">
        <f>_xlfn.XLOOKUP(A1670,'[1]Tissue Data'!$A:$A,'[1]Tissue Data'!$I:$I)</f>
        <v>gibbosus</v>
      </c>
      <c r="G1670" t="str">
        <f>_xlfn.XLOOKUP(A1670,'[1]Tissue Data'!$A:$A,'[1]Tissue Data'!J:J)</f>
        <v>U</v>
      </c>
      <c r="H1670" t="str">
        <f>_xlfn.XLOOKUP(A1670,'[1]Tissue Data'!$A:$A,'[1]Tissue Data'!K:K)</f>
        <v>Whole Body</v>
      </c>
      <c r="I1670">
        <f>_xlfn.XLOOKUP(A1670,'[1]Tissue Data'!$A:$A,'[1]Tissue Data'!L:L)</f>
        <v>6</v>
      </c>
      <c r="J1670">
        <f>_xlfn.XLOOKUP(A1670,'[1]Tissue Data'!$A:$A,'[1]Tissue Data'!M:M)</f>
        <v>6.3</v>
      </c>
      <c r="K1670" t="s">
        <v>30</v>
      </c>
      <c r="L1670" t="str">
        <f>_xlfn.XLOOKUP(K1670,[2]analyte_order!$B:$B,[2]analyte_order!$C:$C)</f>
        <v>68259-12-1</v>
      </c>
      <c r="M1670">
        <f>_xlfn.XLOOKUP(L1670,[2]analyte_order!$C:$C,[2]analyte_order!$E:$E)</f>
        <v>19</v>
      </c>
      <c r="N1670">
        <v>0.29799999999999999</v>
      </c>
    </row>
    <row r="1671" spans="1:14">
      <c r="A1671" t="s">
        <v>247</v>
      </c>
      <c r="B1671" t="str">
        <f>_xlfn.XLOOKUP(A1671,'[1]Tissue Data'!$A:$A,'[1]Tissue Data'!$C:$C)</f>
        <v>Spill</v>
      </c>
      <c r="C1671" s="2">
        <f>_xlfn.XLOOKUP(A1671,'[1]Tissue Data'!$A:$A,'[1]Tissue Data'!$D:$D)</f>
        <v>44314</v>
      </c>
      <c r="D1671" s="2" t="str">
        <f>_xlfn.XLOOKUP(A1671,'[1]Tissue Data'!$A:$A,'[1]Tissue Data'!$F:$F)</f>
        <v>Pumpkinseed</v>
      </c>
      <c r="E1671" t="str">
        <f>_xlfn.XLOOKUP(A1671,'[1]Tissue Data'!$A:$A,'[1]Tissue Data'!$H:$H)</f>
        <v>Lepomis</v>
      </c>
      <c r="F1671" t="str">
        <f>_xlfn.XLOOKUP(A1671,'[1]Tissue Data'!$A:$A,'[1]Tissue Data'!$I:$I)</f>
        <v>gibbosus</v>
      </c>
      <c r="G1671" t="str">
        <f>_xlfn.XLOOKUP(A1671,'[1]Tissue Data'!$A:$A,'[1]Tissue Data'!J:J)</f>
        <v>U</v>
      </c>
      <c r="H1671" t="str">
        <f>_xlfn.XLOOKUP(A1671,'[1]Tissue Data'!$A:$A,'[1]Tissue Data'!K:K)</f>
        <v>Whole Body</v>
      </c>
      <c r="I1671">
        <f>_xlfn.XLOOKUP(A1671,'[1]Tissue Data'!$A:$A,'[1]Tissue Data'!L:L)</f>
        <v>6</v>
      </c>
      <c r="J1671">
        <f>_xlfn.XLOOKUP(A1671,'[1]Tissue Data'!$A:$A,'[1]Tissue Data'!M:M)</f>
        <v>6.3</v>
      </c>
      <c r="K1671" t="s">
        <v>31</v>
      </c>
      <c r="L1671" t="str">
        <f>_xlfn.XLOOKUP(K1671,[2]analyte_order!$B:$B,[2]analyte_order!$C:$C)</f>
        <v>335-77-3</v>
      </c>
      <c r="M1671">
        <f>_xlfn.XLOOKUP(L1671,[2]analyte_order!$C:$C,[2]analyte_order!$E:$E)</f>
        <v>20</v>
      </c>
      <c r="N1671">
        <v>0.19327041717621146</v>
      </c>
    </row>
    <row r="1672" spans="1:14">
      <c r="A1672" t="s">
        <v>247</v>
      </c>
      <c r="B1672" t="str">
        <f>_xlfn.XLOOKUP(A1672,'[1]Tissue Data'!$A:$A,'[1]Tissue Data'!$C:$C)</f>
        <v>Spill</v>
      </c>
      <c r="C1672" s="2">
        <f>_xlfn.XLOOKUP(A1672,'[1]Tissue Data'!$A:$A,'[1]Tissue Data'!$D:$D)</f>
        <v>44314</v>
      </c>
      <c r="D1672" s="2" t="str">
        <f>_xlfn.XLOOKUP(A1672,'[1]Tissue Data'!$A:$A,'[1]Tissue Data'!$F:$F)</f>
        <v>Pumpkinseed</v>
      </c>
      <c r="E1672" t="str">
        <f>_xlfn.XLOOKUP(A1672,'[1]Tissue Data'!$A:$A,'[1]Tissue Data'!$H:$H)</f>
        <v>Lepomis</v>
      </c>
      <c r="F1672" t="str">
        <f>_xlfn.XLOOKUP(A1672,'[1]Tissue Data'!$A:$A,'[1]Tissue Data'!$I:$I)</f>
        <v>gibbosus</v>
      </c>
      <c r="G1672" t="str">
        <f>_xlfn.XLOOKUP(A1672,'[1]Tissue Data'!$A:$A,'[1]Tissue Data'!J:J)</f>
        <v>U</v>
      </c>
      <c r="H1672" t="str">
        <f>_xlfn.XLOOKUP(A1672,'[1]Tissue Data'!$A:$A,'[1]Tissue Data'!K:K)</f>
        <v>Whole Body</v>
      </c>
      <c r="I1672">
        <f>_xlfn.XLOOKUP(A1672,'[1]Tissue Data'!$A:$A,'[1]Tissue Data'!L:L)</f>
        <v>6</v>
      </c>
      <c r="J1672">
        <f>_xlfn.XLOOKUP(A1672,'[1]Tissue Data'!$A:$A,'[1]Tissue Data'!M:M)</f>
        <v>6.3</v>
      </c>
      <c r="K1672" t="s">
        <v>32</v>
      </c>
      <c r="L1672" t="str">
        <f>_xlfn.XLOOKUP(K1672,[2]analyte_order!$B:$B,[2]analyte_order!$C:$C)</f>
        <v>79780-39-5</v>
      </c>
      <c r="M1672">
        <f>_xlfn.XLOOKUP(L1672,[2]analyte_order!$C:$C,[2]analyte_order!$E:$E)</f>
        <v>21</v>
      </c>
      <c r="N1672">
        <v>0.25236869036233478</v>
      </c>
    </row>
    <row r="1673" spans="1:14">
      <c r="A1673" t="s">
        <v>247</v>
      </c>
      <c r="B1673" t="str">
        <f>_xlfn.XLOOKUP(A1673,'[1]Tissue Data'!$A:$A,'[1]Tissue Data'!$C:$C)</f>
        <v>Spill</v>
      </c>
      <c r="C1673" s="2">
        <f>_xlfn.XLOOKUP(A1673,'[1]Tissue Data'!$A:$A,'[1]Tissue Data'!$D:$D)</f>
        <v>44314</v>
      </c>
      <c r="D1673" s="2" t="str">
        <f>_xlfn.XLOOKUP(A1673,'[1]Tissue Data'!$A:$A,'[1]Tissue Data'!$F:$F)</f>
        <v>Pumpkinseed</v>
      </c>
      <c r="E1673" t="str">
        <f>_xlfn.XLOOKUP(A1673,'[1]Tissue Data'!$A:$A,'[1]Tissue Data'!$H:$H)</f>
        <v>Lepomis</v>
      </c>
      <c r="F1673" t="str">
        <f>_xlfn.XLOOKUP(A1673,'[1]Tissue Data'!$A:$A,'[1]Tissue Data'!$I:$I)</f>
        <v>gibbosus</v>
      </c>
      <c r="G1673" t="str">
        <f>_xlfn.XLOOKUP(A1673,'[1]Tissue Data'!$A:$A,'[1]Tissue Data'!J:J)</f>
        <v>U</v>
      </c>
      <c r="H1673" t="str">
        <f>_xlfn.XLOOKUP(A1673,'[1]Tissue Data'!$A:$A,'[1]Tissue Data'!K:K)</f>
        <v>Whole Body</v>
      </c>
      <c r="I1673">
        <f>_xlfn.XLOOKUP(A1673,'[1]Tissue Data'!$A:$A,'[1]Tissue Data'!L:L)</f>
        <v>6</v>
      </c>
      <c r="J1673">
        <f>_xlfn.XLOOKUP(A1673,'[1]Tissue Data'!$A:$A,'[1]Tissue Data'!M:M)</f>
        <v>6.3</v>
      </c>
      <c r="K1673" t="s">
        <v>33</v>
      </c>
      <c r="L1673" t="str">
        <f>_xlfn.XLOOKUP(K1673,[2]analyte_order!$B:$B,[2]analyte_order!$C:$C)</f>
        <v>777011-38-8</v>
      </c>
      <c r="M1673">
        <f>_xlfn.XLOOKUP(L1673,[2]analyte_order!$C:$C,[2]analyte_order!$E:$E)</f>
        <v>54</v>
      </c>
      <c r="N1673">
        <v>0.14341193965903082</v>
      </c>
    </row>
    <row r="1674" spans="1:14">
      <c r="A1674" t="s">
        <v>247</v>
      </c>
      <c r="B1674" t="str">
        <f>_xlfn.XLOOKUP(A1674,'[1]Tissue Data'!$A:$A,'[1]Tissue Data'!$C:$C)</f>
        <v>Spill</v>
      </c>
      <c r="C1674" s="2">
        <f>_xlfn.XLOOKUP(A1674,'[1]Tissue Data'!$A:$A,'[1]Tissue Data'!$D:$D)</f>
        <v>44314</v>
      </c>
      <c r="D1674" s="2" t="str">
        <f>_xlfn.XLOOKUP(A1674,'[1]Tissue Data'!$A:$A,'[1]Tissue Data'!$F:$F)</f>
        <v>Pumpkinseed</v>
      </c>
      <c r="E1674" t="str">
        <f>_xlfn.XLOOKUP(A1674,'[1]Tissue Data'!$A:$A,'[1]Tissue Data'!$H:$H)</f>
        <v>Lepomis</v>
      </c>
      <c r="F1674" t="str">
        <f>_xlfn.XLOOKUP(A1674,'[1]Tissue Data'!$A:$A,'[1]Tissue Data'!$I:$I)</f>
        <v>gibbosus</v>
      </c>
      <c r="G1674" t="str">
        <f>_xlfn.XLOOKUP(A1674,'[1]Tissue Data'!$A:$A,'[1]Tissue Data'!J:J)</f>
        <v>U</v>
      </c>
      <c r="H1674" t="str">
        <f>_xlfn.XLOOKUP(A1674,'[1]Tissue Data'!$A:$A,'[1]Tissue Data'!K:K)</f>
        <v>Whole Body</v>
      </c>
      <c r="I1674">
        <f>_xlfn.XLOOKUP(A1674,'[1]Tissue Data'!$A:$A,'[1]Tissue Data'!L:L)</f>
        <v>6</v>
      </c>
      <c r="J1674">
        <f>_xlfn.XLOOKUP(A1674,'[1]Tissue Data'!$A:$A,'[1]Tissue Data'!M:M)</f>
        <v>6.3</v>
      </c>
      <c r="K1674" t="s">
        <v>34</v>
      </c>
      <c r="L1674" t="str">
        <f>_xlfn.XLOOKUP(K1674,[2]analyte_order!$B:$B,[2]analyte_order!$C:$C)</f>
        <v>646-83-3</v>
      </c>
      <c r="M1674">
        <f>_xlfn.XLOOKUP(L1674,[2]analyte_order!$C:$C,[2]analyte_order!$E:$E)</f>
        <v>55</v>
      </c>
      <c r="N1674">
        <v>9.4398993077407164E-2</v>
      </c>
    </row>
    <row r="1675" spans="1:14">
      <c r="A1675" t="s">
        <v>247</v>
      </c>
      <c r="B1675" t="str">
        <f>_xlfn.XLOOKUP(A1675,'[1]Tissue Data'!$A:$A,'[1]Tissue Data'!$C:$C)</f>
        <v>Spill</v>
      </c>
      <c r="C1675" s="2">
        <f>_xlfn.XLOOKUP(A1675,'[1]Tissue Data'!$A:$A,'[1]Tissue Data'!$D:$D)</f>
        <v>44314</v>
      </c>
      <c r="D1675" s="2" t="str">
        <f>_xlfn.XLOOKUP(A1675,'[1]Tissue Data'!$A:$A,'[1]Tissue Data'!$F:$F)</f>
        <v>Pumpkinseed</v>
      </c>
      <c r="E1675" t="str">
        <f>_xlfn.XLOOKUP(A1675,'[1]Tissue Data'!$A:$A,'[1]Tissue Data'!$H:$H)</f>
        <v>Lepomis</v>
      </c>
      <c r="F1675" t="str">
        <f>_xlfn.XLOOKUP(A1675,'[1]Tissue Data'!$A:$A,'[1]Tissue Data'!$I:$I)</f>
        <v>gibbosus</v>
      </c>
      <c r="G1675" t="str">
        <f>_xlfn.XLOOKUP(A1675,'[1]Tissue Data'!$A:$A,'[1]Tissue Data'!J:J)</f>
        <v>U</v>
      </c>
      <c r="H1675" t="str">
        <f>_xlfn.XLOOKUP(A1675,'[1]Tissue Data'!$A:$A,'[1]Tissue Data'!K:K)</f>
        <v>Whole Body</v>
      </c>
      <c r="I1675">
        <f>_xlfn.XLOOKUP(A1675,'[1]Tissue Data'!$A:$A,'[1]Tissue Data'!L:L)</f>
        <v>6</v>
      </c>
      <c r="J1675">
        <f>_xlfn.XLOOKUP(A1675,'[1]Tissue Data'!$A:$A,'[1]Tissue Data'!M:M)</f>
        <v>6.3</v>
      </c>
      <c r="K1675" t="s">
        <v>35</v>
      </c>
      <c r="L1675" t="str">
        <f>_xlfn.XLOOKUP(K1675,[2]analyte_order!$B:$B,[2]analyte_order!$C:$C)</f>
        <v>30334-69-1</v>
      </c>
      <c r="M1675">
        <f>_xlfn.XLOOKUP(L1675,[2]analyte_order!$C:$C,[2]analyte_order!$E:$E)</f>
        <v>51</v>
      </c>
      <c r="N1675">
        <v>40.5</v>
      </c>
    </row>
    <row r="1676" spans="1:14">
      <c r="A1676" t="s">
        <v>247</v>
      </c>
      <c r="B1676" t="str">
        <f>_xlfn.XLOOKUP(A1676,'[1]Tissue Data'!$A:$A,'[1]Tissue Data'!$C:$C)</f>
        <v>Spill</v>
      </c>
      <c r="C1676" s="2">
        <f>_xlfn.XLOOKUP(A1676,'[1]Tissue Data'!$A:$A,'[1]Tissue Data'!$D:$D)</f>
        <v>44314</v>
      </c>
      <c r="D1676" s="2" t="str">
        <f>_xlfn.XLOOKUP(A1676,'[1]Tissue Data'!$A:$A,'[1]Tissue Data'!$F:$F)</f>
        <v>Pumpkinseed</v>
      </c>
      <c r="E1676" t="str">
        <f>_xlfn.XLOOKUP(A1676,'[1]Tissue Data'!$A:$A,'[1]Tissue Data'!$H:$H)</f>
        <v>Lepomis</v>
      </c>
      <c r="F1676" t="str">
        <f>_xlfn.XLOOKUP(A1676,'[1]Tissue Data'!$A:$A,'[1]Tissue Data'!$I:$I)</f>
        <v>gibbosus</v>
      </c>
      <c r="G1676" t="str">
        <f>_xlfn.XLOOKUP(A1676,'[1]Tissue Data'!$A:$A,'[1]Tissue Data'!J:J)</f>
        <v>U</v>
      </c>
      <c r="H1676" t="str">
        <f>_xlfn.XLOOKUP(A1676,'[1]Tissue Data'!$A:$A,'[1]Tissue Data'!K:K)</f>
        <v>Whole Body</v>
      </c>
      <c r="I1676">
        <f>_xlfn.XLOOKUP(A1676,'[1]Tissue Data'!$A:$A,'[1]Tissue Data'!L:L)</f>
        <v>6</v>
      </c>
      <c r="J1676">
        <f>_xlfn.XLOOKUP(A1676,'[1]Tissue Data'!$A:$A,'[1]Tissue Data'!M:M)</f>
        <v>6.3</v>
      </c>
      <c r="K1676" t="s">
        <v>36</v>
      </c>
      <c r="L1676" t="str">
        <f>_xlfn.XLOOKUP(K1676,[2]analyte_order!$B:$B,[2]analyte_order!$C:$C)</f>
        <v>41997-13-1</v>
      </c>
      <c r="M1676">
        <f>_xlfn.XLOOKUP(L1676,[2]analyte_order!$C:$C,[2]analyte_order!$E:$E)</f>
        <v>52</v>
      </c>
      <c r="N1676">
        <v>55.7</v>
      </c>
    </row>
    <row r="1677" spans="1:14">
      <c r="A1677" t="s">
        <v>247</v>
      </c>
      <c r="B1677" t="str">
        <f>_xlfn.XLOOKUP(A1677,'[1]Tissue Data'!$A:$A,'[1]Tissue Data'!$C:$C)</f>
        <v>Spill</v>
      </c>
      <c r="C1677" s="2">
        <f>_xlfn.XLOOKUP(A1677,'[1]Tissue Data'!$A:$A,'[1]Tissue Data'!$D:$D)</f>
        <v>44314</v>
      </c>
      <c r="D1677" s="2" t="str">
        <f>_xlfn.XLOOKUP(A1677,'[1]Tissue Data'!$A:$A,'[1]Tissue Data'!$F:$F)</f>
        <v>Pumpkinseed</v>
      </c>
      <c r="E1677" t="str">
        <f>_xlfn.XLOOKUP(A1677,'[1]Tissue Data'!$A:$A,'[1]Tissue Data'!$H:$H)</f>
        <v>Lepomis</v>
      </c>
      <c r="F1677" t="str">
        <f>_xlfn.XLOOKUP(A1677,'[1]Tissue Data'!$A:$A,'[1]Tissue Data'!$I:$I)</f>
        <v>gibbosus</v>
      </c>
      <c r="G1677" t="str">
        <f>_xlfn.XLOOKUP(A1677,'[1]Tissue Data'!$A:$A,'[1]Tissue Data'!J:J)</f>
        <v>U</v>
      </c>
      <c r="H1677" t="str">
        <f>_xlfn.XLOOKUP(A1677,'[1]Tissue Data'!$A:$A,'[1]Tissue Data'!K:K)</f>
        <v>Whole Body</v>
      </c>
      <c r="I1677">
        <f>_xlfn.XLOOKUP(A1677,'[1]Tissue Data'!$A:$A,'[1]Tissue Data'!L:L)</f>
        <v>6</v>
      </c>
      <c r="J1677">
        <f>_xlfn.XLOOKUP(A1677,'[1]Tissue Data'!$A:$A,'[1]Tissue Data'!M:M)</f>
        <v>6.3</v>
      </c>
      <c r="K1677" t="s">
        <v>37</v>
      </c>
      <c r="L1677" t="str">
        <f>_xlfn.XLOOKUP(K1677,[2]analyte_order!$B:$B,[2]analyte_order!$C:$C)</f>
        <v>754-91-6</v>
      </c>
      <c r="M1677">
        <f>_xlfn.XLOOKUP(L1677,[2]analyte_order!$C:$C,[2]analyte_order!$E:$E)</f>
        <v>28</v>
      </c>
      <c r="N1677">
        <v>18</v>
      </c>
    </row>
    <row r="1678" spans="1:14">
      <c r="A1678" t="s">
        <v>247</v>
      </c>
      <c r="B1678" t="str">
        <f>_xlfn.XLOOKUP(A1678,'[1]Tissue Data'!$A:$A,'[1]Tissue Data'!$C:$C)</f>
        <v>Spill</v>
      </c>
      <c r="C1678" s="2">
        <f>_xlfn.XLOOKUP(A1678,'[1]Tissue Data'!$A:$A,'[1]Tissue Data'!$D:$D)</f>
        <v>44314</v>
      </c>
      <c r="D1678" s="2" t="str">
        <f>_xlfn.XLOOKUP(A1678,'[1]Tissue Data'!$A:$A,'[1]Tissue Data'!$F:$F)</f>
        <v>Pumpkinseed</v>
      </c>
      <c r="E1678" t="str">
        <f>_xlfn.XLOOKUP(A1678,'[1]Tissue Data'!$A:$A,'[1]Tissue Data'!$H:$H)</f>
        <v>Lepomis</v>
      </c>
      <c r="F1678" t="str">
        <f>_xlfn.XLOOKUP(A1678,'[1]Tissue Data'!$A:$A,'[1]Tissue Data'!$I:$I)</f>
        <v>gibbosus</v>
      </c>
      <c r="G1678" t="str">
        <f>_xlfn.XLOOKUP(A1678,'[1]Tissue Data'!$A:$A,'[1]Tissue Data'!J:J)</f>
        <v>U</v>
      </c>
      <c r="H1678" t="str">
        <f>_xlfn.XLOOKUP(A1678,'[1]Tissue Data'!$A:$A,'[1]Tissue Data'!K:K)</f>
        <v>Whole Body</v>
      </c>
      <c r="I1678">
        <f>_xlfn.XLOOKUP(A1678,'[1]Tissue Data'!$A:$A,'[1]Tissue Data'!L:L)</f>
        <v>6</v>
      </c>
      <c r="J1678">
        <f>_xlfn.XLOOKUP(A1678,'[1]Tissue Data'!$A:$A,'[1]Tissue Data'!M:M)</f>
        <v>6.3</v>
      </c>
      <c r="K1678" t="s">
        <v>38</v>
      </c>
      <c r="L1678" t="str">
        <f>_xlfn.XLOOKUP(K1678,[2]analyte_order!$B:$B,[2]analyte_order!$C:$C)</f>
        <v>31506-32-8</v>
      </c>
      <c r="M1678">
        <f>_xlfn.XLOOKUP(L1678,[2]analyte_order!$C:$C,[2]analyte_order!$E:$E)</f>
        <v>30</v>
      </c>
      <c r="N1678">
        <v>0.41424392186119879</v>
      </c>
    </row>
    <row r="1679" spans="1:14">
      <c r="A1679" t="s">
        <v>247</v>
      </c>
      <c r="B1679" t="str">
        <f>_xlfn.XLOOKUP(A1679,'[1]Tissue Data'!$A:$A,'[1]Tissue Data'!$C:$C)</f>
        <v>Spill</v>
      </c>
      <c r="C1679" s="2">
        <f>_xlfn.XLOOKUP(A1679,'[1]Tissue Data'!$A:$A,'[1]Tissue Data'!$D:$D)</f>
        <v>44314</v>
      </c>
      <c r="D1679" s="2" t="str">
        <f>_xlfn.XLOOKUP(A1679,'[1]Tissue Data'!$A:$A,'[1]Tissue Data'!$F:$F)</f>
        <v>Pumpkinseed</v>
      </c>
      <c r="E1679" t="str">
        <f>_xlfn.XLOOKUP(A1679,'[1]Tissue Data'!$A:$A,'[1]Tissue Data'!$H:$H)</f>
        <v>Lepomis</v>
      </c>
      <c r="F1679" t="str">
        <f>_xlfn.XLOOKUP(A1679,'[1]Tissue Data'!$A:$A,'[1]Tissue Data'!$I:$I)</f>
        <v>gibbosus</v>
      </c>
      <c r="G1679" t="str">
        <f>_xlfn.XLOOKUP(A1679,'[1]Tissue Data'!$A:$A,'[1]Tissue Data'!J:J)</f>
        <v>U</v>
      </c>
      <c r="H1679" t="str">
        <f>_xlfn.XLOOKUP(A1679,'[1]Tissue Data'!$A:$A,'[1]Tissue Data'!K:K)</f>
        <v>Whole Body</v>
      </c>
      <c r="I1679">
        <f>_xlfn.XLOOKUP(A1679,'[1]Tissue Data'!$A:$A,'[1]Tissue Data'!L:L)</f>
        <v>6</v>
      </c>
      <c r="J1679">
        <f>_xlfn.XLOOKUP(A1679,'[1]Tissue Data'!$A:$A,'[1]Tissue Data'!M:M)</f>
        <v>6.3</v>
      </c>
      <c r="K1679" t="s">
        <v>39</v>
      </c>
      <c r="L1679" t="str">
        <f>_xlfn.XLOOKUP(K1679,[2]analyte_order!$B:$B,[2]analyte_order!$C:$C)</f>
        <v>4151-50-2</v>
      </c>
      <c r="M1679">
        <f>_xlfn.XLOOKUP(L1679,[2]analyte_order!$C:$C,[2]analyte_order!$E:$E)</f>
        <v>31</v>
      </c>
      <c r="N1679">
        <v>0.62748682591088323</v>
      </c>
    </row>
    <row r="1680" spans="1:14">
      <c r="A1680" t="s">
        <v>247</v>
      </c>
      <c r="B1680" t="str">
        <f>_xlfn.XLOOKUP(A1680,'[1]Tissue Data'!$A:$A,'[1]Tissue Data'!$C:$C)</f>
        <v>Spill</v>
      </c>
      <c r="C1680" s="2">
        <f>_xlfn.XLOOKUP(A1680,'[1]Tissue Data'!$A:$A,'[1]Tissue Data'!$D:$D)</f>
        <v>44314</v>
      </c>
      <c r="D1680" s="2" t="str">
        <f>_xlfn.XLOOKUP(A1680,'[1]Tissue Data'!$A:$A,'[1]Tissue Data'!$F:$F)</f>
        <v>Pumpkinseed</v>
      </c>
      <c r="E1680" t="str">
        <f>_xlfn.XLOOKUP(A1680,'[1]Tissue Data'!$A:$A,'[1]Tissue Data'!$H:$H)</f>
        <v>Lepomis</v>
      </c>
      <c r="F1680" t="str">
        <f>_xlfn.XLOOKUP(A1680,'[1]Tissue Data'!$A:$A,'[1]Tissue Data'!$I:$I)</f>
        <v>gibbosus</v>
      </c>
      <c r="G1680" t="str">
        <f>_xlfn.XLOOKUP(A1680,'[1]Tissue Data'!$A:$A,'[1]Tissue Data'!J:J)</f>
        <v>U</v>
      </c>
      <c r="H1680" t="str">
        <f>_xlfn.XLOOKUP(A1680,'[1]Tissue Data'!$A:$A,'[1]Tissue Data'!K:K)</f>
        <v>Whole Body</v>
      </c>
      <c r="I1680">
        <f>_xlfn.XLOOKUP(A1680,'[1]Tissue Data'!$A:$A,'[1]Tissue Data'!L:L)</f>
        <v>6</v>
      </c>
      <c r="J1680">
        <f>_xlfn.XLOOKUP(A1680,'[1]Tissue Data'!$A:$A,'[1]Tissue Data'!M:M)</f>
        <v>6.3</v>
      </c>
      <c r="K1680" t="s">
        <v>40</v>
      </c>
      <c r="L1680" t="str">
        <f>_xlfn.XLOOKUP(K1680,[2]analyte_order!$B:$B,[2]analyte_order!$C:$C)</f>
        <v>2806-24-8</v>
      </c>
      <c r="M1680">
        <f>_xlfn.XLOOKUP(L1680,[2]analyte_order!$C:$C,[2]analyte_order!$E:$E)</f>
        <v>29</v>
      </c>
      <c r="N1680">
        <v>0.42384313795741324</v>
      </c>
    </row>
    <row r="1681" spans="1:14">
      <c r="A1681" t="s">
        <v>247</v>
      </c>
      <c r="B1681" t="str">
        <f>_xlfn.XLOOKUP(A1681,'[1]Tissue Data'!$A:$A,'[1]Tissue Data'!$C:$C)</f>
        <v>Spill</v>
      </c>
      <c r="C1681" s="2">
        <f>_xlfn.XLOOKUP(A1681,'[1]Tissue Data'!$A:$A,'[1]Tissue Data'!$D:$D)</f>
        <v>44314</v>
      </c>
      <c r="D1681" s="2" t="str">
        <f>_xlfn.XLOOKUP(A1681,'[1]Tissue Data'!$A:$A,'[1]Tissue Data'!$F:$F)</f>
        <v>Pumpkinseed</v>
      </c>
      <c r="E1681" t="str">
        <f>_xlfn.XLOOKUP(A1681,'[1]Tissue Data'!$A:$A,'[1]Tissue Data'!$H:$H)</f>
        <v>Lepomis</v>
      </c>
      <c r="F1681" t="str">
        <f>_xlfn.XLOOKUP(A1681,'[1]Tissue Data'!$A:$A,'[1]Tissue Data'!$I:$I)</f>
        <v>gibbosus</v>
      </c>
      <c r="G1681" t="str">
        <f>_xlfn.XLOOKUP(A1681,'[1]Tissue Data'!$A:$A,'[1]Tissue Data'!J:J)</f>
        <v>U</v>
      </c>
      <c r="H1681" t="str">
        <f>_xlfn.XLOOKUP(A1681,'[1]Tissue Data'!$A:$A,'[1]Tissue Data'!K:K)</f>
        <v>Whole Body</v>
      </c>
      <c r="I1681">
        <f>_xlfn.XLOOKUP(A1681,'[1]Tissue Data'!$A:$A,'[1]Tissue Data'!L:L)</f>
        <v>6</v>
      </c>
      <c r="J1681">
        <f>_xlfn.XLOOKUP(A1681,'[1]Tissue Data'!$A:$A,'[1]Tissue Data'!M:M)</f>
        <v>6.3</v>
      </c>
      <c r="K1681" t="s">
        <v>41</v>
      </c>
      <c r="L1681" t="str">
        <f>_xlfn.XLOOKUP(K1681,[2]analyte_order!$B:$B,[2]analyte_order!$C:$C)</f>
        <v>2355-31-9</v>
      </c>
      <c r="M1681">
        <f>_xlfn.XLOOKUP(L1681,[2]analyte_order!$C:$C,[2]analyte_order!$E:$E)</f>
        <v>26</v>
      </c>
      <c r="N1681">
        <v>2.27</v>
      </c>
    </row>
    <row r="1682" spans="1:14">
      <c r="A1682" t="s">
        <v>247</v>
      </c>
      <c r="B1682" t="str">
        <f>_xlfn.XLOOKUP(A1682,'[1]Tissue Data'!$A:$A,'[1]Tissue Data'!$C:$C)</f>
        <v>Spill</v>
      </c>
      <c r="C1682" s="2">
        <f>_xlfn.XLOOKUP(A1682,'[1]Tissue Data'!$A:$A,'[1]Tissue Data'!$D:$D)</f>
        <v>44314</v>
      </c>
      <c r="D1682" s="2" t="str">
        <f>_xlfn.XLOOKUP(A1682,'[1]Tissue Data'!$A:$A,'[1]Tissue Data'!$F:$F)</f>
        <v>Pumpkinseed</v>
      </c>
      <c r="E1682" t="str">
        <f>_xlfn.XLOOKUP(A1682,'[1]Tissue Data'!$A:$A,'[1]Tissue Data'!$H:$H)</f>
        <v>Lepomis</v>
      </c>
      <c r="F1682" t="str">
        <f>_xlfn.XLOOKUP(A1682,'[1]Tissue Data'!$A:$A,'[1]Tissue Data'!$I:$I)</f>
        <v>gibbosus</v>
      </c>
      <c r="G1682" t="str">
        <f>_xlfn.XLOOKUP(A1682,'[1]Tissue Data'!$A:$A,'[1]Tissue Data'!J:J)</f>
        <v>U</v>
      </c>
      <c r="H1682" t="str">
        <f>_xlfn.XLOOKUP(A1682,'[1]Tissue Data'!$A:$A,'[1]Tissue Data'!K:K)</f>
        <v>Whole Body</v>
      </c>
      <c r="I1682">
        <f>_xlfn.XLOOKUP(A1682,'[1]Tissue Data'!$A:$A,'[1]Tissue Data'!L:L)</f>
        <v>6</v>
      </c>
      <c r="J1682">
        <f>_xlfn.XLOOKUP(A1682,'[1]Tissue Data'!$A:$A,'[1]Tissue Data'!M:M)</f>
        <v>6.3</v>
      </c>
      <c r="K1682" t="s">
        <v>42</v>
      </c>
      <c r="L1682" t="str">
        <f>_xlfn.XLOOKUP(K1682,[2]analyte_order!$B:$B,[2]analyte_order!$C:$C)</f>
        <v>2991-50-6</v>
      </c>
      <c r="M1682">
        <f>_xlfn.XLOOKUP(L1682,[2]analyte_order!$C:$C,[2]analyte_order!$E:$E)</f>
        <v>27</v>
      </c>
      <c r="N1682">
        <v>0.46672845498028387</v>
      </c>
    </row>
    <row r="1683" spans="1:14">
      <c r="A1683" t="s">
        <v>247</v>
      </c>
      <c r="B1683" t="str">
        <f>_xlfn.XLOOKUP(A1683,'[1]Tissue Data'!$A:$A,'[1]Tissue Data'!$C:$C)</f>
        <v>Spill</v>
      </c>
      <c r="C1683" s="2">
        <f>_xlfn.XLOOKUP(A1683,'[1]Tissue Data'!$A:$A,'[1]Tissue Data'!$D:$D)</f>
        <v>44314</v>
      </c>
      <c r="D1683" s="2" t="str">
        <f>_xlfn.XLOOKUP(A1683,'[1]Tissue Data'!$A:$A,'[1]Tissue Data'!$F:$F)</f>
        <v>Pumpkinseed</v>
      </c>
      <c r="E1683" t="str">
        <f>_xlfn.XLOOKUP(A1683,'[1]Tissue Data'!$A:$A,'[1]Tissue Data'!$H:$H)</f>
        <v>Lepomis</v>
      </c>
      <c r="F1683" t="str">
        <f>_xlfn.XLOOKUP(A1683,'[1]Tissue Data'!$A:$A,'[1]Tissue Data'!$I:$I)</f>
        <v>gibbosus</v>
      </c>
      <c r="G1683" t="str">
        <f>_xlfn.XLOOKUP(A1683,'[1]Tissue Data'!$A:$A,'[1]Tissue Data'!J:J)</f>
        <v>U</v>
      </c>
      <c r="H1683" t="str">
        <f>_xlfn.XLOOKUP(A1683,'[1]Tissue Data'!$A:$A,'[1]Tissue Data'!K:K)</f>
        <v>Whole Body</v>
      </c>
      <c r="I1683">
        <f>_xlfn.XLOOKUP(A1683,'[1]Tissue Data'!$A:$A,'[1]Tissue Data'!L:L)</f>
        <v>6</v>
      </c>
      <c r="J1683">
        <f>_xlfn.XLOOKUP(A1683,'[1]Tissue Data'!$A:$A,'[1]Tissue Data'!M:M)</f>
        <v>6.3</v>
      </c>
      <c r="K1683" t="s">
        <v>43</v>
      </c>
      <c r="L1683" t="str">
        <f>_xlfn.XLOOKUP(K1683,[2]analyte_order!$B:$B,[2]analyte_order!$C:$C)</f>
        <v>757124-72-4</v>
      </c>
      <c r="M1683">
        <f>_xlfn.XLOOKUP(L1683,[2]analyte_order!$C:$C,[2]analyte_order!$E:$E)</f>
        <v>22</v>
      </c>
      <c r="N1683">
        <v>0.44167004872239746</v>
      </c>
    </row>
    <row r="1684" spans="1:14">
      <c r="A1684" t="s">
        <v>247</v>
      </c>
      <c r="B1684" t="str">
        <f>_xlfn.XLOOKUP(A1684,'[1]Tissue Data'!$A:$A,'[1]Tissue Data'!$C:$C)</f>
        <v>Spill</v>
      </c>
      <c r="C1684" s="2">
        <f>_xlfn.XLOOKUP(A1684,'[1]Tissue Data'!$A:$A,'[1]Tissue Data'!$D:$D)</f>
        <v>44314</v>
      </c>
      <c r="D1684" s="2" t="str">
        <f>_xlfn.XLOOKUP(A1684,'[1]Tissue Data'!$A:$A,'[1]Tissue Data'!$F:$F)</f>
        <v>Pumpkinseed</v>
      </c>
      <c r="E1684" t="str">
        <f>_xlfn.XLOOKUP(A1684,'[1]Tissue Data'!$A:$A,'[1]Tissue Data'!$H:$H)</f>
        <v>Lepomis</v>
      </c>
      <c r="F1684" t="str">
        <f>_xlfn.XLOOKUP(A1684,'[1]Tissue Data'!$A:$A,'[1]Tissue Data'!$I:$I)</f>
        <v>gibbosus</v>
      </c>
      <c r="G1684" t="str">
        <f>_xlfn.XLOOKUP(A1684,'[1]Tissue Data'!$A:$A,'[1]Tissue Data'!J:J)</f>
        <v>U</v>
      </c>
      <c r="H1684" t="str">
        <f>_xlfn.XLOOKUP(A1684,'[1]Tissue Data'!$A:$A,'[1]Tissue Data'!K:K)</f>
        <v>Whole Body</v>
      </c>
      <c r="I1684">
        <f>_xlfn.XLOOKUP(A1684,'[1]Tissue Data'!$A:$A,'[1]Tissue Data'!L:L)</f>
        <v>6</v>
      </c>
      <c r="J1684">
        <f>_xlfn.XLOOKUP(A1684,'[1]Tissue Data'!$A:$A,'[1]Tissue Data'!M:M)</f>
        <v>6.3</v>
      </c>
      <c r="K1684" t="s">
        <v>44</v>
      </c>
      <c r="L1684" t="str">
        <f>_xlfn.XLOOKUP(K1684,[2]analyte_order!$B:$B,[2]analyte_order!$C:$C)</f>
        <v>27619-97-2</v>
      </c>
      <c r="M1684">
        <f>_xlfn.XLOOKUP(L1684,[2]analyte_order!$C:$C,[2]analyte_order!$E:$E)</f>
        <v>23</v>
      </c>
      <c r="N1684">
        <v>0.28599999999999998</v>
      </c>
    </row>
    <row r="1685" spans="1:14">
      <c r="A1685" t="s">
        <v>247</v>
      </c>
      <c r="B1685" t="str">
        <f>_xlfn.XLOOKUP(A1685,'[1]Tissue Data'!$A:$A,'[1]Tissue Data'!$C:$C)</f>
        <v>Spill</v>
      </c>
      <c r="C1685" s="2">
        <f>_xlfn.XLOOKUP(A1685,'[1]Tissue Data'!$A:$A,'[1]Tissue Data'!$D:$D)</f>
        <v>44314</v>
      </c>
      <c r="D1685" s="2" t="str">
        <f>_xlfn.XLOOKUP(A1685,'[1]Tissue Data'!$A:$A,'[1]Tissue Data'!$F:$F)</f>
        <v>Pumpkinseed</v>
      </c>
      <c r="E1685" t="str">
        <f>_xlfn.XLOOKUP(A1685,'[1]Tissue Data'!$A:$A,'[1]Tissue Data'!$H:$H)</f>
        <v>Lepomis</v>
      </c>
      <c r="F1685" t="str">
        <f>_xlfn.XLOOKUP(A1685,'[1]Tissue Data'!$A:$A,'[1]Tissue Data'!$I:$I)</f>
        <v>gibbosus</v>
      </c>
      <c r="G1685" t="str">
        <f>_xlfn.XLOOKUP(A1685,'[1]Tissue Data'!$A:$A,'[1]Tissue Data'!J:J)</f>
        <v>U</v>
      </c>
      <c r="H1685" t="str">
        <f>_xlfn.XLOOKUP(A1685,'[1]Tissue Data'!$A:$A,'[1]Tissue Data'!K:K)</f>
        <v>Whole Body</v>
      </c>
      <c r="I1685">
        <f>_xlfn.XLOOKUP(A1685,'[1]Tissue Data'!$A:$A,'[1]Tissue Data'!L:L)</f>
        <v>6</v>
      </c>
      <c r="J1685">
        <f>_xlfn.XLOOKUP(A1685,'[1]Tissue Data'!$A:$A,'[1]Tissue Data'!M:M)</f>
        <v>6.3</v>
      </c>
      <c r="K1685" t="s">
        <v>45</v>
      </c>
      <c r="L1685" t="str">
        <f>_xlfn.XLOOKUP(K1685,[2]analyte_order!$B:$B,[2]analyte_order!$C:$C)</f>
        <v>39108-34-4</v>
      </c>
      <c r="M1685">
        <f>_xlfn.XLOOKUP(L1685,[2]analyte_order!$C:$C,[2]analyte_order!$E:$E)</f>
        <v>24</v>
      </c>
      <c r="N1685">
        <v>1.02</v>
      </c>
    </row>
    <row r="1686" spans="1:14">
      <c r="A1686" t="s">
        <v>247</v>
      </c>
      <c r="B1686" t="str">
        <f>_xlfn.XLOOKUP(A1686,'[1]Tissue Data'!$A:$A,'[1]Tissue Data'!$C:$C)</f>
        <v>Spill</v>
      </c>
      <c r="C1686" s="2">
        <f>_xlfn.XLOOKUP(A1686,'[1]Tissue Data'!$A:$A,'[1]Tissue Data'!$D:$D)</f>
        <v>44314</v>
      </c>
      <c r="D1686" s="2" t="str">
        <f>_xlfn.XLOOKUP(A1686,'[1]Tissue Data'!$A:$A,'[1]Tissue Data'!$F:$F)</f>
        <v>Pumpkinseed</v>
      </c>
      <c r="E1686" t="str">
        <f>_xlfn.XLOOKUP(A1686,'[1]Tissue Data'!$A:$A,'[1]Tissue Data'!$H:$H)</f>
        <v>Lepomis</v>
      </c>
      <c r="F1686" t="str">
        <f>_xlfn.XLOOKUP(A1686,'[1]Tissue Data'!$A:$A,'[1]Tissue Data'!$I:$I)</f>
        <v>gibbosus</v>
      </c>
      <c r="G1686" t="str">
        <f>_xlfn.XLOOKUP(A1686,'[1]Tissue Data'!$A:$A,'[1]Tissue Data'!J:J)</f>
        <v>U</v>
      </c>
      <c r="H1686" t="str">
        <f>_xlfn.XLOOKUP(A1686,'[1]Tissue Data'!$A:$A,'[1]Tissue Data'!K:K)</f>
        <v>Whole Body</v>
      </c>
      <c r="I1686">
        <f>_xlfn.XLOOKUP(A1686,'[1]Tissue Data'!$A:$A,'[1]Tissue Data'!L:L)</f>
        <v>6</v>
      </c>
      <c r="J1686">
        <f>_xlfn.XLOOKUP(A1686,'[1]Tissue Data'!$A:$A,'[1]Tissue Data'!M:M)</f>
        <v>6.3</v>
      </c>
      <c r="K1686" t="s">
        <v>46</v>
      </c>
      <c r="L1686" t="str">
        <f>_xlfn.XLOOKUP(K1686,[2]analyte_order!$B:$B,[2]analyte_order!$C:$C)</f>
        <v>120226-60-0</v>
      </c>
      <c r="M1686">
        <f>_xlfn.XLOOKUP(L1686,[2]analyte_order!$C:$C,[2]analyte_order!$E:$E)</f>
        <v>25</v>
      </c>
      <c r="N1686">
        <v>0.26796700704845811</v>
      </c>
    </row>
    <row r="1687" spans="1:14">
      <c r="A1687" t="s">
        <v>247</v>
      </c>
      <c r="B1687" t="str">
        <f>_xlfn.XLOOKUP(A1687,'[1]Tissue Data'!$A:$A,'[1]Tissue Data'!$C:$C)</f>
        <v>Spill</v>
      </c>
      <c r="C1687" s="2">
        <f>_xlfn.XLOOKUP(A1687,'[1]Tissue Data'!$A:$A,'[1]Tissue Data'!$D:$D)</f>
        <v>44314</v>
      </c>
      <c r="D1687" s="2" t="str">
        <f>_xlfn.XLOOKUP(A1687,'[1]Tissue Data'!$A:$A,'[1]Tissue Data'!$F:$F)</f>
        <v>Pumpkinseed</v>
      </c>
      <c r="E1687" t="str">
        <f>_xlfn.XLOOKUP(A1687,'[1]Tissue Data'!$A:$A,'[1]Tissue Data'!$H:$H)</f>
        <v>Lepomis</v>
      </c>
      <c r="F1687" t="str">
        <f>_xlfn.XLOOKUP(A1687,'[1]Tissue Data'!$A:$A,'[1]Tissue Data'!$I:$I)</f>
        <v>gibbosus</v>
      </c>
      <c r="G1687" t="str">
        <f>_xlfn.XLOOKUP(A1687,'[1]Tissue Data'!$A:$A,'[1]Tissue Data'!J:J)</f>
        <v>U</v>
      </c>
      <c r="H1687" t="str">
        <f>_xlfn.XLOOKUP(A1687,'[1]Tissue Data'!$A:$A,'[1]Tissue Data'!K:K)</f>
        <v>Whole Body</v>
      </c>
      <c r="I1687">
        <f>_xlfn.XLOOKUP(A1687,'[1]Tissue Data'!$A:$A,'[1]Tissue Data'!L:L)</f>
        <v>6</v>
      </c>
      <c r="J1687">
        <f>_xlfn.XLOOKUP(A1687,'[1]Tissue Data'!$A:$A,'[1]Tissue Data'!M:M)</f>
        <v>6.3</v>
      </c>
      <c r="K1687" t="s">
        <v>47</v>
      </c>
      <c r="L1687" t="str">
        <f>_xlfn.XLOOKUP(K1687,[2]analyte_order!$B:$B,[2]analyte_order!$C:$C)</f>
        <v>356-02-5</v>
      </c>
      <c r="M1687">
        <f>_xlfn.XLOOKUP(L1687,[2]analyte_order!$C:$C,[2]analyte_order!$E:$E)</f>
        <v>38</v>
      </c>
      <c r="N1687">
        <v>0.27222046409140965</v>
      </c>
    </row>
    <row r="1688" spans="1:14">
      <c r="A1688" t="s">
        <v>247</v>
      </c>
      <c r="B1688" t="str">
        <f>_xlfn.XLOOKUP(A1688,'[1]Tissue Data'!$A:$A,'[1]Tissue Data'!$C:$C)</f>
        <v>Spill</v>
      </c>
      <c r="C1688" s="2">
        <f>_xlfn.XLOOKUP(A1688,'[1]Tissue Data'!$A:$A,'[1]Tissue Data'!$D:$D)</f>
        <v>44314</v>
      </c>
      <c r="D1688" s="2" t="str">
        <f>_xlfn.XLOOKUP(A1688,'[1]Tissue Data'!$A:$A,'[1]Tissue Data'!$F:$F)</f>
        <v>Pumpkinseed</v>
      </c>
      <c r="E1688" t="str">
        <f>_xlfn.XLOOKUP(A1688,'[1]Tissue Data'!$A:$A,'[1]Tissue Data'!$H:$H)</f>
        <v>Lepomis</v>
      </c>
      <c r="F1688" t="str">
        <f>_xlfn.XLOOKUP(A1688,'[1]Tissue Data'!$A:$A,'[1]Tissue Data'!$I:$I)</f>
        <v>gibbosus</v>
      </c>
      <c r="G1688" t="str">
        <f>_xlfn.XLOOKUP(A1688,'[1]Tissue Data'!$A:$A,'[1]Tissue Data'!J:J)</f>
        <v>U</v>
      </c>
      <c r="H1688" t="str">
        <f>_xlfn.XLOOKUP(A1688,'[1]Tissue Data'!$A:$A,'[1]Tissue Data'!K:K)</f>
        <v>Whole Body</v>
      </c>
      <c r="I1688">
        <f>_xlfn.XLOOKUP(A1688,'[1]Tissue Data'!$A:$A,'[1]Tissue Data'!L:L)</f>
        <v>6</v>
      </c>
      <c r="J1688">
        <f>_xlfn.XLOOKUP(A1688,'[1]Tissue Data'!$A:$A,'[1]Tissue Data'!M:M)</f>
        <v>6.3</v>
      </c>
      <c r="K1688" t="s">
        <v>48</v>
      </c>
      <c r="L1688" t="str">
        <f>_xlfn.XLOOKUP(K1688,[2]analyte_order!$B:$B,[2]analyte_order!$C:$C)</f>
        <v>914637-49-3</v>
      </c>
      <c r="M1688">
        <f>_xlfn.XLOOKUP(L1688,[2]analyte_order!$C:$C,[2]analyte_order!$E:$E)</f>
        <v>39</v>
      </c>
      <c r="N1688">
        <v>3.14</v>
      </c>
    </row>
    <row r="1689" spans="1:14">
      <c r="A1689" t="s">
        <v>247</v>
      </c>
      <c r="B1689" t="str">
        <f>_xlfn.XLOOKUP(A1689,'[1]Tissue Data'!$A:$A,'[1]Tissue Data'!$C:$C)</f>
        <v>Spill</v>
      </c>
      <c r="C1689" s="2">
        <f>_xlfn.XLOOKUP(A1689,'[1]Tissue Data'!$A:$A,'[1]Tissue Data'!$D:$D)</f>
        <v>44314</v>
      </c>
      <c r="D1689" s="2" t="str">
        <f>_xlfn.XLOOKUP(A1689,'[1]Tissue Data'!$A:$A,'[1]Tissue Data'!$F:$F)</f>
        <v>Pumpkinseed</v>
      </c>
      <c r="E1689" t="str">
        <f>_xlfn.XLOOKUP(A1689,'[1]Tissue Data'!$A:$A,'[1]Tissue Data'!$H:$H)</f>
        <v>Lepomis</v>
      </c>
      <c r="F1689" t="str">
        <f>_xlfn.XLOOKUP(A1689,'[1]Tissue Data'!$A:$A,'[1]Tissue Data'!$I:$I)</f>
        <v>gibbosus</v>
      </c>
      <c r="G1689" t="str">
        <f>_xlfn.XLOOKUP(A1689,'[1]Tissue Data'!$A:$A,'[1]Tissue Data'!J:J)</f>
        <v>U</v>
      </c>
      <c r="H1689" t="str">
        <f>_xlfn.XLOOKUP(A1689,'[1]Tissue Data'!$A:$A,'[1]Tissue Data'!K:K)</f>
        <v>Whole Body</v>
      </c>
      <c r="I1689">
        <f>_xlfn.XLOOKUP(A1689,'[1]Tissue Data'!$A:$A,'[1]Tissue Data'!L:L)</f>
        <v>6</v>
      </c>
      <c r="J1689">
        <f>_xlfn.XLOOKUP(A1689,'[1]Tissue Data'!$A:$A,'[1]Tissue Data'!M:M)</f>
        <v>6.3</v>
      </c>
      <c r="K1689" t="s">
        <v>49</v>
      </c>
      <c r="L1689" t="str">
        <f>_xlfn.XLOOKUP(K1689,[2]analyte_order!$B:$B,[2]analyte_order!$C:$C)</f>
        <v>812-70-4</v>
      </c>
      <c r="M1689">
        <f>_xlfn.XLOOKUP(L1689,[2]analyte_order!$C:$C,[2]analyte_order!$E:$E)</f>
        <v>40</v>
      </c>
      <c r="N1689">
        <v>8.6999999999999993</v>
      </c>
    </row>
    <row r="1690" spans="1:14">
      <c r="A1690" t="s">
        <v>247</v>
      </c>
      <c r="B1690" t="str">
        <f>_xlfn.XLOOKUP(A1690,'[1]Tissue Data'!$A:$A,'[1]Tissue Data'!$C:$C)</f>
        <v>Spill</v>
      </c>
      <c r="C1690" s="2">
        <f>_xlfn.XLOOKUP(A1690,'[1]Tissue Data'!$A:$A,'[1]Tissue Data'!$D:$D)</f>
        <v>44314</v>
      </c>
      <c r="D1690" s="2" t="str">
        <f>_xlfn.XLOOKUP(A1690,'[1]Tissue Data'!$A:$A,'[1]Tissue Data'!$F:$F)</f>
        <v>Pumpkinseed</v>
      </c>
      <c r="E1690" t="str">
        <f>_xlfn.XLOOKUP(A1690,'[1]Tissue Data'!$A:$A,'[1]Tissue Data'!$H:$H)</f>
        <v>Lepomis</v>
      </c>
      <c r="F1690" t="str">
        <f>_xlfn.XLOOKUP(A1690,'[1]Tissue Data'!$A:$A,'[1]Tissue Data'!$I:$I)</f>
        <v>gibbosus</v>
      </c>
      <c r="G1690" t="str">
        <f>_xlfn.XLOOKUP(A1690,'[1]Tissue Data'!$A:$A,'[1]Tissue Data'!J:J)</f>
        <v>U</v>
      </c>
      <c r="H1690" t="str">
        <f>_xlfn.XLOOKUP(A1690,'[1]Tissue Data'!$A:$A,'[1]Tissue Data'!K:K)</f>
        <v>Whole Body</v>
      </c>
      <c r="I1690">
        <f>_xlfn.XLOOKUP(A1690,'[1]Tissue Data'!$A:$A,'[1]Tissue Data'!L:L)</f>
        <v>6</v>
      </c>
      <c r="J1690">
        <f>_xlfn.XLOOKUP(A1690,'[1]Tissue Data'!$A:$A,'[1]Tissue Data'!M:M)</f>
        <v>6.3</v>
      </c>
      <c r="K1690" t="s">
        <v>50</v>
      </c>
      <c r="L1690" t="str">
        <f>_xlfn.XLOOKUP(K1690,[2]analyte_order!$B:$B,[2]analyte_order!$C:$C)</f>
        <v>53826-12-3</v>
      </c>
      <c r="M1690">
        <f>_xlfn.XLOOKUP(L1690,[2]analyte_order!$C:$C,[2]analyte_order!$E:$E)</f>
        <v>41</v>
      </c>
      <c r="N1690">
        <v>1.17</v>
      </c>
    </row>
    <row r="1691" spans="1:14">
      <c r="A1691" t="s">
        <v>247</v>
      </c>
      <c r="B1691" t="str">
        <f>_xlfn.XLOOKUP(A1691,'[1]Tissue Data'!$A:$A,'[1]Tissue Data'!$C:$C)</f>
        <v>Spill</v>
      </c>
      <c r="C1691" s="2">
        <f>_xlfn.XLOOKUP(A1691,'[1]Tissue Data'!$A:$A,'[1]Tissue Data'!$D:$D)</f>
        <v>44314</v>
      </c>
      <c r="D1691" s="2" t="str">
        <f>_xlfn.XLOOKUP(A1691,'[1]Tissue Data'!$A:$A,'[1]Tissue Data'!$F:$F)</f>
        <v>Pumpkinseed</v>
      </c>
      <c r="E1691" t="str">
        <f>_xlfn.XLOOKUP(A1691,'[1]Tissue Data'!$A:$A,'[1]Tissue Data'!$H:$H)</f>
        <v>Lepomis</v>
      </c>
      <c r="F1691" t="str">
        <f>_xlfn.XLOOKUP(A1691,'[1]Tissue Data'!$A:$A,'[1]Tissue Data'!$I:$I)</f>
        <v>gibbosus</v>
      </c>
      <c r="G1691" t="str">
        <f>_xlfn.XLOOKUP(A1691,'[1]Tissue Data'!$A:$A,'[1]Tissue Data'!J:J)</f>
        <v>U</v>
      </c>
      <c r="H1691" t="str">
        <f>_xlfn.XLOOKUP(A1691,'[1]Tissue Data'!$A:$A,'[1]Tissue Data'!K:K)</f>
        <v>Whole Body</v>
      </c>
      <c r="I1691">
        <f>_xlfn.XLOOKUP(A1691,'[1]Tissue Data'!$A:$A,'[1]Tissue Data'!L:L)</f>
        <v>6</v>
      </c>
      <c r="J1691">
        <f>_xlfn.XLOOKUP(A1691,'[1]Tissue Data'!$A:$A,'[1]Tissue Data'!M:M)</f>
        <v>6.3</v>
      </c>
      <c r="K1691" t="s">
        <v>51</v>
      </c>
      <c r="L1691" t="str">
        <f>_xlfn.XLOOKUP(K1691,[2]analyte_order!$B:$B,[2]analyte_order!$C:$C)</f>
        <v>27854-31-5</v>
      </c>
      <c r="M1691">
        <f>_xlfn.XLOOKUP(L1691,[2]analyte_order!$C:$C,[2]analyte_order!$E:$E)</f>
        <v>42</v>
      </c>
      <c r="N1691">
        <v>0.21508459994264412</v>
      </c>
    </row>
    <row r="1692" spans="1:14">
      <c r="A1692" t="s">
        <v>247</v>
      </c>
      <c r="B1692" t="str">
        <f>_xlfn.XLOOKUP(A1692,'[1]Tissue Data'!$A:$A,'[1]Tissue Data'!$C:$C)</f>
        <v>Spill</v>
      </c>
      <c r="C1692" s="2">
        <f>_xlfn.XLOOKUP(A1692,'[1]Tissue Data'!$A:$A,'[1]Tissue Data'!$D:$D)</f>
        <v>44314</v>
      </c>
      <c r="D1692" s="2" t="str">
        <f>_xlfn.XLOOKUP(A1692,'[1]Tissue Data'!$A:$A,'[1]Tissue Data'!$F:$F)</f>
        <v>Pumpkinseed</v>
      </c>
      <c r="E1692" t="str">
        <f>_xlfn.XLOOKUP(A1692,'[1]Tissue Data'!$A:$A,'[1]Tissue Data'!$H:$H)</f>
        <v>Lepomis</v>
      </c>
      <c r="F1692" t="str">
        <f>_xlfn.XLOOKUP(A1692,'[1]Tissue Data'!$A:$A,'[1]Tissue Data'!$I:$I)</f>
        <v>gibbosus</v>
      </c>
      <c r="G1692" t="str">
        <f>_xlfn.XLOOKUP(A1692,'[1]Tissue Data'!$A:$A,'[1]Tissue Data'!J:J)</f>
        <v>U</v>
      </c>
      <c r="H1692" t="str">
        <f>_xlfn.XLOOKUP(A1692,'[1]Tissue Data'!$A:$A,'[1]Tissue Data'!K:K)</f>
        <v>Whole Body</v>
      </c>
      <c r="I1692">
        <f>_xlfn.XLOOKUP(A1692,'[1]Tissue Data'!$A:$A,'[1]Tissue Data'!L:L)</f>
        <v>6</v>
      </c>
      <c r="J1692">
        <f>_xlfn.XLOOKUP(A1692,'[1]Tissue Data'!$A:$A,'[1]Tissue Data'!M:M)</f>
        <v>6.3</v>
      </c>
      <c r="K1692" t="s">
        <v>52</v>
      </c>
      <c r="L1692" t="str">
        <f>_xlfn.XLOOKUP(K1692,[2]analyte_order!$B:$B,[2]analyte_order!$C:$C)</f>
        <v>53826-13-4</v>
      </c>
      <c r="M1692">
        <f>_xlfn.XLOOKUP(L1692,[2]analyte_order!$C:$C,[2]analyte_order!$E:$E)</f>
        <v>43</v>
      </c>
      <c r="N1692">
        <v>0.80236907144716096</v>
      </c>
    </row>
    <row r="1693" spans="1:14">
      <c r="A1693" t="s">
        <v>247</v>
      </c>
      <c r="B1693" t="str">
        <f>_xlfn.XLOOKUP(A1693,'[1]Tissue Data'!$A:$A,'[1]Tissue Data'!$C:$C)</f>
        <v>Spill</v>
      </c>
      <c r="C1693" s="2">
        <f>_xlfn.XLOOKUP(A1693,'[1]Tissue Data'!$A:$A,'[1]Tissue Data'!$D:$D)</f>
        <v>44314</v>
      </c>
      <c r="D1693" s="2" t="str">
        <f>_xlfn.XLOOKUP(A1693,'[1]Tissue Data'!$A:$A,'[1]Tissue Data'!$F:$F)</f>
        <v>Pumpkinseed</v>
      </c>
      <c r="E1693" t="str">
        <f>_xlfn.XLOOKUP(A1693,'[1]Tissue Data'!$A:$A,'[1]Tissue Data'!$H:$H)</f>
        <v>Lepomis</v>
      </c>
      <c r="F1693" t="str">
        <f>_xlfn.XLOOKUP(A1693,'[1]Tissue Data'!$A:$A,'[1]Tissue Data'!$I:$I)</f>
        <v>gibbosus</v>
      </c>
      <c r="G1693" t="str">
        <f>_xlfn.XLOOKUP(A1693,'[1]Tissue Data'!$A:$A,'[1]Tissue Data'!J:J)</f>
        <v>U</v>
      </c>
      <c r="H1693" t="str">
        <f>_xlfn.XLOOKUP(A1693,'[1]Tissue Data'!$A:$A,'[1]Tissue Data'!K:K)</f>
        <v>Whole Body</v>
      </c>
      <c r="I1693">
        <f>_xlfn.XLOOKUP(A1693,'[1]Tissue Data'!$A:$A,'[1]Tissue Data'!L:L)</f>
        <v>6</v>
      </c>
      <c r="J1693">
        <f>_xlfn.XLOOKUP(A1693,'[1]Tissue Data'!$A:$A,'[1]Tissue Data'!M:M)</f>
        <v>6.3</v>
      </c>
      <c r="K1693" t="s">
        <v>53</v>
      </c>
      <c r="L1693" t="str">
        <f>_xlfn.XLOOKUP(K1693,[2]analyte_order!$B:$B,[2]analyte_order!$C:$C)</f>
        <v>161094-75-3</v>
      </c>
      <c r="M1693">
        <f>_xlfn.XLOOKUP(L1693,[2]analyte_order!$C:$C,[2]analyte_order!$E:$E)</f>
        <v>44</v>
      </c>
      <c r="N1693">
        <v>0.42220921358044161</v>
      </c>
    </row>
    <row r="1694" spans="1:14">
      <c r="A1694" t="s">
        <v>247</v>
      </c>
      <c r="B1694" t="str">
        <f>_xlfn.XLOOKUP(A1694,'[1]Tissue Data'!$A:$A,'[1]Tissue Data'!$C:$C)</f>
        <v>Spill</v>
      </c>
      <c r="C1694" s="2">
        <f>_xlfn.XLOOKUP(A1694,'[1]Tissue Data'!$A:$A,'[1]Tissue Data'!$D:$D)</f>
        <v>44314</v>
      </c>
      <c r="D1694" s="2" t="str">
        <f>_xlfn.XLOOKUP(A1694,'[1]Tissue Data'!$A:$A,'[1]Tissue Data'!$F:$F)</f>
        <v>Pumpkinseed</v>
      </c>
      <c r="E1694" t="str">
        <f>_xlfn.XLOOKUP(A1694,'[1]Tissue Data'!$A:$A,'[1]Tissue Data'!$H:$H)</f>
        <v>Lepomis</v>
      </c>
      <c r="F1694" t="str">
        <f>_xlfn.XLOOKUP(A1694,'[1]Tissue Data'!$A:$A,'[1]Tissue Data'!$I:$I)</f>
        <v>gibbosus</v>
      </c>
      <c r="G1694" t="str">
        <f>_xlfn.XLOOKUP(A1694,'[1]Tissue Data'!$A:$A,'[1]Tissue Data'!J:J)</f>
        <v>U</v>
      </c>
      <c r="H1694" t="str">
        <f>_xlfn.XLOOKUP(A1694,'[1]Tissue Data'!$A:$A,'[1]Tissue Data'!K:K)</f>
        <v>Whole Body</v>
      </c>
      <c r="I1694">
        <f>_xlfn.XLOOKUP(A1694,'[1]Tissue Data'!$A:$A,'[1]Tissue Data'!L:L)</f>
        <v>6</v>
      </c>
      <c r="J1694">
        <f>_xlfn.XLOOKUP(A1694,'[1]Tissue Data'!$A:$A,'[1]Tissue Data'!M:M)</f>
        <v>6.3</v>
      </c>
      <c r="K1694" t="s">
        <v>54</v>
      </c>
      <c r="L1694" t="str">
        <f>_xlfn.XLOOKUP(K1694,[2]analyte_order!$B:$B,[2]analyte_order!$C:$C)</f>
        <v>70887-84-2</v>
      </c>
      <c r="M1694">
        <f>_xlfn.XLOOKUP(L1694,[2]analyte_order!$C:$C,[2]analyte_order!$E:$E)</f>
        <v>45</v>
      </c>
      <c r="N1694">
        <v>0.32494149467389594</v>
      </c>
    </row>
    <row r="1695" spans="1:14">
      <c r="A1695" t="s">
        <v>247</v>
      </c>
      <c r="B1695" t="str">
        <f>_xlfn.XLOOKUP(A1695,'[1]Tissue Data'!$A:$A,'[1]Tissue Data'!$C:$C)</f>
        <v>Spill</v>
      </c>
      <c r="C1695" s="2">
        <f>_xlfn.XLOOKUP(A1695,'[1]Tissue Data'!$A:$A,'[1]Tissue Data'!$D:$D)</f>
        <v>44314</v>
      </c>
      <c r="D1695" s="2" t="str">
        <f>_xlfn.XLOOKUP(A1695,'[1]Tissue Data'!$A:$A,'[1]Tissue Data'!$F:$F)</f>
        <v>Pumpkinseed</v>
      </c>
      <c r="E1695" t="str">
        <f>_xlfn.XLOOKUP(A1695,'[1]Tissue Data'!$A:$A,'[1]Tissue Data'!$H:$H)</f>
        <v>Lepomis</v>
      </c>
      <c r="F1695" t="str">
        <f>_xlfn.XLOOKUP(A1695,'[1]Tissue Data'!$A:$A,'[1]Tissue Data'!$I:$I)</f>
        <v>gibbosus</v>
      </c>
      <c r="G1695" t="str">
        <f>_xlfn.XLOOKUP(A1695,'[1]Tissue Data'!$A:$A,'[1]Tissue Data'!J:J)</f>
        <v>U</v>
      </c>
      <c r="H1695" t="str">
        <f>_xlfn.XLOOKUP(A1695,'[1]Tissue Data'!$A:$A,'[1]Tissue Data'!K:K)</f>
        <v>Whole Body</v>
      </c>
      <c r="I1695">
        <f>_xlfn.XLOOKUP(A1695,'[1]Tissue Data'!$A:$A,'[1]Tissue Data'!L:L)</f>
        <v>6</v>
      </c>
      <c r="J1695">
        <f>_xlfn.XLOOKUP(A1695,'[1]Tissue Data'!$A:$A,'[1]Tissue Data'!M:M)</f>
        <v>6.3</v>
      </c>
      <c r="K1695" t="s">
        <v>55</v>
      </c>
      <c r="L1695" t="str">
        <f>_xlfn.XLOOKUP(K1695,[2]analyte_order!$B:$B,[2]analyte_order!$C:$C)</f>
        <v>919005-14-4</v>
      </c>
      <c r="M1695">
        <f>_xlfn.XLOOKUP(L1695,[2]analyte_order!$C:$C,[2]analyte_order!$E:$E)</f>
        <v>35</v>
      </c>
      <c r="N1695">
        <v>0.53771149985661026</v>
      </c>
    </row>
    <row r="1696" spans="1:14">
      <c r="A1696" t="s">
        <v>247</v>
      </c>
      <c r="B1696" t="str">
        <f>_xlfn.XLOOKUP(A1696,'[1]Tissue Data'!$A:$A,'[1]Tissue Data'!$C:$C)</f>
        <v>Spill</v>
      </c>
      <c r="C1696" s="2">
        <f>_xlfn.XLOOKUP(A1696,'[1]Tissue Data'!$A:$A,'[1]Tissue Data'!$D:$D)</f>
        <v>44314</v>
      </c>
      <c r="D1696" s="2" t="str">
        <f>_xlfn.XLOOKUP(A1696,'[1]Tissue Data'!$A:$A,'[1]Tissue Data'!$F:$F)</f>
        <v>Pumpkinseed</v>
      </c>
      <c r="E1696" t="str">
        <f>_xlfn.XLOOKUP(A1696,'[1]Tissue Data'!$A:$A,'[1]Tissue Data'!$H:$H)</f>
        <v>Lepomis</v>
      </c>
      <c r="F1696" t="str">
        <f>_xlfn.XLOOKUP(A1696,'[1]Tissue Data'!$A:$A,'[1]Tissue Data'!$I:$I)</f>
        <v>gibbosus</v>
      </c>
      <c r="G1696" t="str">
        <f>_xlfn.XLOOKUP(A1696,'[1]Tissue Data'!$A:$A,'[1]Tissue Data'!J:J)</f>
        <v>U</v>
      </c>
      <c r="H1696" t="str">
        <f>_xlfn.XLOOKUP(A1696,'[1]Tissue Data'!$A:$A,'[1]Tissue Data'!K:K)</f>
        <v>Whole Body</v>
      </c>
      <c r="I1696">
        <f>_xlfn.XLOOKUP(A1696,'[1]Tissue Data'!$A:$A,'[1]Tissue Data'!L:L)</f>
        <v>6</v>
      </c>
      <c r="J1696">
        <f>_xlfn.XLOOKUP(A1696,'[1]Tissue Data'!$A:$A,'[1]Tissue Data'!M:M)</f>
        <v>6.3</v>
      </c>
      <c r="K1696" t="s">
        <v>56</v>
      </c>
      <c r="L1696" t="str">
        <f>_xlfn.XLOOKUP(K1696,[2]analyte_order!$B:$B,[2]analyte_order!$C:$C)</f>
        <v>756426-58-1</v>
      </c>
      <c r="M1696">
        <f>_xlfn.XLOOKUP(L1696,[2]analyte_order!$C:$C,[2]analyte_order!$E:$E)</f>
        <v>36</v>
      </c>
      <c r="N1696">
        <v>0.37322912203864356</v>
      </c>
    </row>
    <row r="1697" spans="1:14">
      <c r="A1697" t="s">
        <v>247</v>
      </c>
      <c r="B1697" t="str">
        <f>_xlfn.XLOOKUP(A1697,'[1]Tissue Data'!$A:$A,'[1]Tissue Data'!$C:$C)</f>
        <v>Spill</v>
      </c>
      <c r="C1697" s="2">
        <f>_xlfn.XLOOKUP(A1697,'[1]Tissue Data'!$A:$A,'[1]Tissue Data'!$D:$D)</f>
        <v>44314</v>
      </c>
      <c r="D1697" s="2" t="str">
        <f>_xlfn.XLOOKUP(A1697,'[1]Tissue Data'!$A:$A,'[1]Tissue Data'!$F:$F)</f>
        <v>Pumpkinseed</v>
      </c>
      <c r="E1697" t="str">
        <f>_xlfn.XLOOKUP(A1697,'[1]Tissue Data'!$A:$A,'[1]Tissue Data'!$H:$H)</f>
        <v>Lepomis</v>
      </c>
      <c r="F1697" t="str">
        <f>_xlfn.XLOOKUP(A1697,'[1]Tissue Data'!$A:$A,'[1]Tissue Data'!$I:$I)</f>
        <v>gibbosus</v>
      </c>
      <c r="G1697" t="str">
        <f>_xlfn.XLOOKUP(A1697,'[1]Tissue Data'!$A:$A,'[1]Tissue Data'!J:J)</f>
        <v>U</v>
      </c>
      <c r="H1697" t="str">
        <f>_xlfn.XLOOKUP(A1697,'[1]Tissue Data'!$A:$A,'[1]Tissue Data'!K:K)</f>
        <v>Whole Body</v>
      </c>
      <c r="I1697">
        <f>_xlfn.XLOOKUP(A1697,'[1]Tissue Data'!$A:$A,'[1]Tissue Data'!L:L)</f>
        <v>6</v>
      </c>
      <c r="J1697">
        <f>_xlfn.XLOOKUP(A1697,'[1]Tissue Data'!$A:$A,'[1]Tissue Data'!M:M)</f>
        <v>6.3</v>
      </c>
      <c r="K1697" t="s">
        <v>57</v>
      </c>
      <c r="L1697" t="str">
        <f>_xlfn.XLOOKUP(K1697,[2]analyte_order!$B:$B,[2]analyte_order!$C:$C)</f>
        <v>763051-92-9</v>
      </c>
      <c r="M1697">
        <f>_xlfn.XLOOKUP(L1697,[2]analyte_order!$C:$C,[2]analyte_order!$E:$E)</f>
        <v>37</v>
      </c>
      <c r="N1697">
        <v>0.42371157800867509</v>
      </c>
    </row>
    <row r="1698" spans="1:14">
      <c r="A1698" t="s">
        <v>247</v>
      </c>
      <c r="B1698" t="str">
        <f>_xlfn.XLOOKUP(A1698,'[1]Tissue Data'!$A:$A,'[1]Tissue Data'!$C:$C)</f>
        <v>Spill</v>
      </c>
      <c r="C1698" s="2">
        <f>_xlfn.XLOOKUP(A1698,'[1]Tissue Data'!$A:$A,'[1]Tissue Data'!$D:$D)</f>
        <v>44314</v>
      </c>
      <c r="D1698" s="2" t="str">
        <f>_xlfn.XLOOKUP(A1698,'[1]Tissue Data'!$A:$A,'[1]Tissue Data'!$F:$F)</f>
        <v>Pumpkinseed</v>
      </c>
      <c r="E1698" t="str">
        <f>_xlfn.XLOOKUP(A1698,'[1]Tissue Data'!$A:$A,'[1]Tissue Data'!$H:$H)</f>
        <v>Lepomis</v>
      </c>
      <c r="F1698" t="str">
        <f>_xlfn.XLOOKUP(A1698,'[1]Tissue Data'!$A:$A,'[1]Tissue Data'!$I:$I)</f>
        <v>gibbosus</v>
      </c>
      <c r="G1698" t="str">
        <f>_xlfn.XLOOKUP(A1698,'[1]Tissue Data'!$A:$A,'[1]Tissue Data'!J:J)</f>
        <v>U</v>
      </c>
      <c r="H1698" t="str">
        <f>_xlfn.XLOOKUP(A1698,'[1]Tissue Data'!$A:$A,'[1]Tissue Data'!K:K)</f>
        <v>Whole Body</v>
      </c>
      <c r="I1698">
        <f>_xlfn.XLOOKUP(A1698,'[1]Tissue Data'!$A:$A,'[1]Tissue Data'!L:L)</f>
        <v>6</v>
      </c>
      <c r="J1698">
        <f>_xlfn.XLOOKUP(A1698,'[1]Tissue Data'!$A:$A,'[1]Tissue Data'!M:M)</f>
        <v>6.3</v>
      </c>
      <c r="K1698" t="s">
        <v>58</v>
      </c>
      <c r="L1698" t="str">
        <f>_xlfn.XLOOKUP(K1698,[2]analyte_order!$B:$B,[2]analyte_order!$C:$C)</f>
        <v>13252-13-6</v>
      </c>
      <c r="M1698">
        <f>_xlfn.XLOOKUP(L1698,[2]analyte_order!$C:$C,[2]analyte_order!$E:$E)</f>
        <v>34</v>
      </c>
      <c r="N1698">
        <v>0.77163136200709781</v>
      </c>
    </row>
    <row r="1699" spans="1:14">
      <c r="A1699" t="s">
        <v>247</v>
      </c>
      <c r="B1699" t="str">
        <f>_xlfn.XLOOKUP(A1699,'[1]Tissue Data'!$A:$A,'[1]Tissue Data'!$C:$C)</f>
        <v>Spill</v>
      </c>
      <c r="C1699" s="2">
        <f>_xlfn.XLOOKUP(A1699,'[1]Tissue Data'!$A:$A,'[1]Tissue Data'!$D:$D)</f>
        <v>44314</v>
      </c>
      <c r="D1699" s="2" t="str">
        <f>_xlfn.XLOOKUP(A1699,'[1]Tissue Data'!$A:$A,'[1]Tissue Data'!$F:$F)</f>
        <v>Pumpkinseed</v>
      </c>
      <c r="E1699" t="str">
        <f>_xlfn.XLOOKUP(A1699,'[1]Tissue Data'!$A:$A,'[1]Tissue Data'!$H:$H)</f>
        <v>Lepomis</v>
      </c>
      <c r="F1699" t="str">
        <f>_xlfn.XLOOKUP(A1699,'[1]Tissue Data'!$A:$A,'[1]Tissue Data'!$I:$I)</f>
        <v>gibbosus</v>
      </c>
      <c r="G1699" t="str">
        <f>_xlfn.XLOOKUP(A1699,'[1]Tissue Data'!$A:$A,'[1]Tissue Data'!J:J)</f>
        <v>U</v>
      </c>
      <c r="H1699" t="str">
        <f>_xlfn.XLOOKUP(A1699,'[1]Tissue Data'!$A:$A,'[1]Tissue Data'!K:K)</f>
        <v>Whole Body</v>
      </c>
      <c r="I1699">
        <f>_xlfn.XLOOKUP(A1699,'[1]Tissue Data'!$A:$A,'[1]Tissue Data'!L:L)</f>
        <v>6</v>
      </c>
      <c r="J1699">
        <f>_xlfn.XLOOKUP(A1699,'[1]Tissue Data'!$A:$A,'[1]Tissue Data'!M:M)</f>
        <v>6.3</v>
      </c>
      <c r="K1699" t="s">
        <v>59</v>
      </c>
      <c r="L1699" t="str">
        <f>_xlfn.XLOOKUP(K1699,[2]analyte_order!$B:$B,[2]analyte_order!$C:$C)</f>
        <v>57677-95-9</v>
      </c>
      <c r="M1699">
        <f>_xlfn.XLOOKUP(L1699,[2]analyte_order!$C:$C,[2]analyte_order!$E:$E)</f>
        <v>46</v>
      </c>
      <c r="N1699">
        <v>0.57240945053233439</v>
      </c>
    </row>
    <row r="1700" spans="1:14">
      <c r="A1700" t="s">
        <v>247</v>
      </c>
      <c r="B1700" t="str">
        <f>_xlfn.XLOOKUP(A1700,'[1]Tissue Data'!$A:$A,'[1]Tissue Data'!$C:$C)</f>
        <v>Spill</v>
      </c>
      <c r="C1700" s="2">
        <f>_xlfn.XLOOKUP(A1700,'[1]Tissue Data'!$A:$A,'[1]Tissue Data'!$D:$D)</f>
        <v>44314</v>
      </c>
      <c r="D1700" s="2" t="str">
        <f>_xlfn.XLOOKUP(A1700,'[1]Tissue Data'!$A:$A,'[1]Tissue Data'!$F:$F)</f>
        <v>Pumpkinseed</v>
      </c>
      <c r="E1700" t="str">
        <f>_xlfn.XLOOKUP(A1700,'[1]Tissue Data'!$A:$A,'[1]Tissue Data'!$H:$H)</f>
        <v>Lepomis</v>
      </c>
      <c r="F1700" t="str">
        <f>_xlfn.XLOOKUP(A1700,'[1]Tissue Data'!$A:$A,'[1]Tissue Data'!$I:$I)</f>
        <v>gibbosus</v>
      </c>
      <c r="G1700" t="str">
        <f>_xlfn.XLOOKUP(A1700,'[1]Tissue Data'!$A:$A,'[1]Tissue Data'!J:J)</f>
        <v>U</v>
      </c>
      <c r="H1700" t="str">
        <f>_xlfn.XLOOKUP(A1700,'[1]Tissue Data'!$A:$A,'[1]Tissue Data'!K:K)</f>
        <v>Whole Body</v>
      </c>
      <c r="I1700">
        <f>_xlfn.XLOOKUP(A1700,'[1]Tissue Data'!$A:$A,'[1]Tissue Data'!L:L)</f>
        <v>6</v>
      </c>
      <c r="J1700">
        <f>_xlfn.XLOOKUP(A1700,'[1]Tissue Data'!$A:$A,'[1]Tissue Data'!M:M)</f>
        <v>6.3</v>
      </c>
      <c r="K1700" t="s">
        <v>60</v>
      </c>
      <c r="L1700" t="str">
        <f>_xlfn.XLOOKUP(K1700,[2]analyte_order!$B:$B,[2]analyte_order!$C:$C)</f>
        <v>678-41-1</v>
      </c>
      <c r="M1700">
        <f>_xlfn.XLOOKUP(L1700,[2]analyte_order!$C:$C,[2]analyte_order!$E:$E)</f>
        <v>56</v>
      </c>
      <c r="N1700">
        <v>0.71290543851340693</v>
      </c>
    </row>
    <row r="1701" spans="1:14">
      <c r="A1701" t="s">
        <v>247</v>
      </c>
      <c r="B1701" t="str">
        <f>_xlfn.XLOOKUP(A1701,'[1]Tissue Data'!$A:$A,'[1]Tissue Data'!$C:$C)</f>
        <v>Spill</v>
      </c>
      <c r="C1701" s="2">
        <f>_xlfn.XLOOKUP(A1701,'[1]Tissue Data'!$A:$A,'[1]Tissue Data'!$D:$D)</f>
        <v>44314</v>
      </c>
      <c r="D1701" s="2" t="str">
        <f>_xlfn.XLOOKUP(A1701,'[1]Tissue Data'!$A:$A,'[1]Tissue Data'!$F:$F)</f>
        <v>Pumpkinseed</v>
      </c>
      <c r="E1701" t="str">
        <f>_xlfn.XLOOKUP(A1701,'[1]Tissue Data'!$A:$A,'[1]Tissue Data'!$H:$H)</f>
        <v>Lepomis</v>
      </c>
      <c r="F1701" t="str">
        <f>_xlfn.XLOOKUP(A1701,'[1]Tissue Data'!$A:$A,'[1]Tissue Data'!$I:$I)</f>
        <v>gibbosus</v>
      </c>
      <c r="G1701" t="str">
        <f>_xlfn.XLOOKUP(A1701,'[1]Tissue Data'!$A:$A,'[1]Tissue Data'!J:J)</f>
        <v>U</v>
      </c>
      <c r="H1701" t="str">
        <f>_xlfn.XLOOKUP(A1701,'[1]Tissue Data'!$A:$A,'[1]Tissue Data'!K:K)</f>
        <v>Whole Body</v>
      </c>
      <c r="I1701">
        <f>_xlfn.XLOOKUP(A1701,'[1]Tissue Data'!$A:$A,'[1]Tissue Data'!L:L)</f>
        <v>6</v>
      </c>
      <c r="J1701">
        <f>_xlfn.XLOOKUP(A1701,'[1]Tissue Data'!$A:$A,'[1]Tissue Data'!M:M)</f>
        <v>6.3</v>
      </c>
      <c r="K1701" t="s">
        <v>61</v>
      </c>
      <c r="L1701" t="str">
        <f>_xlfn.XLOOKUP(K1701,[2]analyte_order!$B:$B,[2]analyte_order!$C:$C)</f>
        <v>2965-52-8</v>
      </c>
      <c r="M1701">
        <f>_xlfn.XLOOKUP(L1701,[2]analyte_order!$C:$C,[2]analyte_order!$E:$E)</f>
        <v>57</v>
      </c>
      <c r="N1701">
        <v>0.94637223974763418</v>
      </c>
    </row>
    <row r="1702" spans="1:14">
      <c r="A1702" t="s">
        <v>248</v>
      </c>
      <c r="B1702" t="str">
        <f>_xlfn.XLOOKUP(A1702,'[1]Tissue Data'!$A:$A,'[1]Tissue Data'!$C:$C)</f>
        <v>Spill</v>
      </c>
      <c r="C1702" s="2">
        <f>_xlfn.XLOOKUP(A1702,'[1]Tissue Data'!$A:$A,'[1]Tissue Data'!$D:$D)</f>
        <v>44314</v>
      </c>
      <c r="D1702" s="2" t="str">
        <f>_xlfn.XLOOKUP(A1702,'[1]Tissue Data'!$A:$A,'[1]Tissue Data'!$F:$F)</f>
        <v>Pumpkinseed</v>
      </c>
      <c r="E1702" t="str">
        <f>_xlfn.XLOOKUP(A1702,'[1]Tissue Data'!$A:$A,'[1]Tissue Data'!$H:$H)</f>
        <v>Lepomis</v>
      </c>
      <c r="F1702" t="str">
        <f>_xlfn.XLOOKUP(A1702,'[1]Tissue Data'!$A:$A,'[1]Tissue Data'!$I:$I)</f>
        <v>gibbosus</v>
      </c>
      <c r="G1702" t="str">
        <f>_xlfn.XLOOKUP(A1702,'[1]Tissue Data'!$A:$A,'[1]Tissue Data'!J:J)</f>
        <v>U</v>
      </c>
      <c r="H1702" t="str">
        <f>_xlfn.XLOOKUP(A1702,'[1]Tissue Data'!$A:$A,'[1]Tissue Data'!K:K)</f>
        <v>Whole Body</v>
      </c>
      <c r="I1702">
        <f>_xlfn.XLOOKUP(A1702,'[1]Tissue Data'!$A:$A,'[1]Tissue Data'!L:L)</f>
        <v>8.5</v>
      </c>
      <c r="J1702">
        <f>_xlfn.XLOOKUP(A1702,'[1]Tissue Data'!$A:$A,'[1]Tissue Data'!M:M)</f>
        <v>13.9</v>
      </c>
      <c r="K1702" t="s">
        <v>12</v>
      </c>
      <c r="L1702" t="str">
        <f>_xlfn.XLOOKUP(K1702,[2]analyte_order!$B:$B,[2]analyte_order!$C:$C)</f>
        <v>375-22-4</v>
      </c>
      <c r="M1702">
        <f>_xlfn.XLOOKUP(L1702,[2]analyte_order!$C:$C,[2]analyte_order!$E:$E)</f>
        <v>1</v>
      </c>
      <c r="N1702">
        <v>2.8605755478002173E-2</v>
      </c>
    </row>
    <row r="1703" spans="1:14">
      <c r="A1703" t="s">
        <v>248</v>
      </c>
      <c r="B1703" t="str">
        <f>_xlfn.XLOOKUP(A1703,'[1]Tissue Data'!$A:$A,'[1]Tissue Data'!$C:$C)</f>
        <v>Spill</v>
      </c>
      <c r="C1703" s="2">
        <f>_xlfn.XLOOKUP(A1703,'[1]Tissue Data'!$A:$A,'[1]Tissue Data'!$D:$D)</f>
        <v>44314</v>
      </c>
      <c r="D1703" s="2" t="str">
        <f>_xlfn.XLOOKUP(A1703,'[1]Tissue Data'!$A:$A,'[1]Tissue Data'!$F:$F)</f>
        <v>Pumpkinseed</v>
      </c>
      <c r="E1703" t="str">
        <f>_xlfn.XLOOKUP(A1703,'[1]Tissue Data'!$A:$A,'[1]Tissue Data'!$H:$H)</f>
        <v>Lepomis</v>
      </c>
      <c r="F1703" t="str">
        <f>_xlfn.XLOOKUP(A1703,'[1]Tissue Data'!$A:$A,'[1]Tissue Data'!$I:$I)</f>
        <v>gibbosus</v>
      </c>
      <c r="G1703" t="str">
        <f>_xlfn.XLOOKUP(A1703,'[1]Tissue Data'!$A:$A,'[1]Tissue Data'!J:J)</f>
        <v>U</v>
      </c>
      <c r="H1703" t="str">
        <f>_xlfn.XLOOKUP(A1703,'[1]Tissue Data'!$A:$A,'[1]Tissue Data'!K:K)</f>
        <v>Whole Body</v>
      </c>
      <c r="I1703">
        <f>_xlfn.XLOOKUP(A1703,'[1]Tissue Data'!$A:$A,'[1]Tissue Data'!L:L)</f>
        <v>8.5</v>
      </c>
      <c r="J1703">
        <f>_xlfn.XLOOKUP(A1703,'[1]Tissue Data'!$A:$A,'[1]Tissue Data'!M:M)</f>
        <v>13.9</v>
      </c>
      <c r="K1703" t="s">
        <v>13</v>
      </c>
      <c r="L1703" t="str">
        <f>_xlfn.XLOOKUP(K1703,[2]analyte_order!$B:$B,[2]analyte_order!$C:$C)</f>
        <v>2706-90-3</v>
      </c>
      <c r="M1703">
        <f>_xlfn.XLOOKUP(L1703,[2]analyte_order!$C:$C,[2]analyte_order!$E:$E)</f>
        <v>2</v>
      </c>
      <c r="N1703">
        <v>5.052786868942731E-2</v>
      </c>
    </row>
    <row r="1704" spans="1:14">
      <c r="A1704" t="s">
        <v>248</v>
      </c>
      <c r="B1704" t="str">
        <f>_xlfn.XLOOKUP(A1704,'[1]Tissue Data'!$A:$A,'[1]Tissue Data'!$C:$C)</f>
        <v>Spill</v>
      </c>
      <c r="C1704" s="2">
        <f>_xlfn.XLOOKUP(A1704,'[1]Tissue Data'!$A:$A,'[1]Tissue Data'!$D:$D)</f>
        <v>44314</v>
      </c>
      <c r="D1704" s="2" t="str">
        <f>_xlfn.XLOOKUP(A1704,'[1]Tissue Data'!$A:$A,'[1]Tissue Data'!$F:$F)</f>
        <v>Pumpkinseed</v>
      </c>
      <c r="E1704" t="str">
        <f>_xlfn.XLOOKUP(A1704,'[1]Tissue Data'!$A:$A,'[1]Tissue Data'!$H:$H)</f>
        <v>Lepomis</v>
      </c>
      <c r="F1704" t="str">
        <f>_xlfn.XLOOKUP(A1704,'[1]Tissue Data'!$A:$A,'[1]Tissue Data'!$I:$I)</f>
        <v>gibbosus</v>
      </c>
      <c r="G1704" t="str">
        <f>_xlfn.XLOOKUP(A1704,'[1]Tissue Data'!$A:$A,'[1]Tissue Data'!J:J)</f>
        <v>U</v>
      </c>
      <c r="H1704" t="str">
        <f>_xlfn.XLOOKUP(A1704,'[1]Tissue Data'!$A:$A,'[1]Tissue Data'!K:K)</f>
        <v>Whole Body</v>
      </c>
      <c r="I1704">
        <f>_xlfn.XLOOKUP(A1704,'[1]Tissue Data'!$A:$A,'[1]Tissue Data'!L:L)</f>
        <v>8.5</v>
      </c>
      <c r="J1704">
        <f>_xlfn.XLOOKUP(A1704,'[1]Tissue Data'!$A:$A,'[1]Tissue Data'!M:M)</f>
        <v>13.9</v>
      </c>
      <c r="K1704" t="s">
        <v>14</v>
      </c>
      <c r="L1704" t="str">
        <f>_xlfn.XLOOKUP(K1704,[2]analyte_order!$B:$B,[2]analyte_order!$C:$C)</f>
        <v>307-24-4</v>
      </c>
      <c r="M1704">
        <f>_xlfn.XLOOKUP(L1704,[2]analyte_order!$C:$C,[2]analyte_order!$E:$E)</f>
        <v>3</v>
      </c>
      <c r="N1704">
        <v>0.11991954727369643</v>
      </c>
    </row>
    <row r="1705" spans="1:14">
      <c r="A1705" t="s">
        <v>248</v>
      </c>
      <c r="B1705" t="str">
        <f>_xlfn.XLOOKUP(A1705,'[1]Tissue Data'!$A:$A,'[1]Tissue Data'!$C:$C)</f>
        <v>Spill</v>
      </c>
      <c r="C1705" s="2">
        <f>_xlfn.XLOOKUP(A1705,'[1]Tissue Data'!$A:$A,'[1]Tissue Data'!$D:$D)</f>
        <v>44314</v>
      </c>
      <c r="D1705" s="2" t="str">
        <f>_xlfn.XLOOKUP(A1705,'[1]Tissue Data'!$A:$A,'[1]Tissue Data'!$F:$F)</f>
        <v>Pumpkinseed</v>
      </c>
      <c r="E1705" t="str">
        <f>_xlfn.XLOOKUP(A1705,'[1]Tissue Data'!$A:$A,'[1]Tissue Data'!$H:$H)</f>
        <v>Lepomis</v>
      </c>
      <c r="F1705" t="str">
        <f>_xlfn.XLOOKUP(A1705,'[1]Tissue Data'!$A:$A,'[1]Tissue Data'!$I:$I)</f>
        <v>gibbosus</v>
      </c>
      <c r="G1705" t="str">
        <f>_xlfn.XLOOKUP(A1705,'[1]Tissue Data'!$A:$A,'[1]Tissue Data'!J:J)</f>
        <v>U</v>
      </c>
      <c r="H1705" t="str">
        <f>_xlfn.XLOOKUP(A1705,'[1]Tissue Data'!$A:$A,'[1]Tissue Data'!K:K)</f>
        <v>Whole Body</v>
      </c>
      <c r="I1705">
        <f>_xlfn.XLOOKUP(A1705,'[1]Tissue Data'!$A:$A,'[1]Tissue Data'!L:L)</f>
        <v>8.5</v>
      </c>
      <c r="J1705">
        <f>_xlfn.XLOOKUP(A1705,'[1]Tissue Data'!$A:$A,'[1]Tissue Data'!M:M)</f>
        <v>13.9</v>
      </c>
      <c r="K1705" t="s">
        <v>15</v>
      </c>
      <c r="L1705" t="str">
        <f>_xlfn.XLOOKUP(K1705,[2]analyte_order!$B:$B,[2]analyte_order!$C:$C)</f>
        <v>375-85-9</v>
      </c>
      <c r="M1705">
        <f>_xlfn.XLOOKUP(L1705,[2]analyte_order!$C:$C,[2]analyte_order!$E:$E)</f>
        <v>4</v>
      </c>
      <c r="N1705">
        <v>2.8605755478002173E-2</v>
      </c>
    </row>
    <row r="1706" spans="1:14">
      <c r="A1706" t="s">
        <v>248</v>
      </c>
      <c r="B1706" t="str">
        <f>_xlfn.XLOOKUP(A1706,'[1]Tissue Data'!$A:$A,'[1]Tissue Data'!$C:$C)</f>
        <v>Spill</v>
      </c>
      <c r="C1706" s="2">
        <f>_xlfn.XLOOKUP(A1706,'[1]Tissue Data'!$A:$A,'[1]Tissue Data'!$D:$D)</f>
        <v>44314</v>
      </c>
      <c r="D1706" s="2" t="str">
        <f>_xlfn.XLOOKUP(A1706,'[1]Tissue Data'!$A:$A,'[1]Tissue Data'!$F:$F)</f>
        <v>Pumpkinseed</v>
      </c>
      <c r="E1706" t="str">
        <f>_xlfn.XLOOKUP(A1706,'[1]Tissue Data'!$A:$A,'[1]Tissue Data'!$H:$H)</f>
        <v>Lepomis</v>
      </c>
      <c r="F1706" t="str">
        <f>_xlfn.XLOOKUP(A1706,'[1]Tissue Data'!$A:$A,'[1]Tissue Data'!$I:$I)</f>
        <v>gibbosus</v>
      </c>
      <c r="G1706" t="str">
        <f>_xlfn.XLOOKUP(A1706,'[1]Tissue Data'!$A:$A,'[1]Tissue Data'!J:J)</f>
        <v>U</v>
      </c>
      <c r="H1706" t="str">
        <f>_xlfn.XLOOKUP(A1706,'[1]Tissue Data'!$A:$A,'[1]Tissue Data'!K:K)</f>
        <v>Whole Body</v>
      </c>
      <c r="I1706">
        <f>_xlfn.XLOOKUP(A1706,'[1]Tissue Data'!$A:$A,'[1]Tissue Data'!L:L)</f>
        <v>8.5</v>
      </c>
      <c r="J1706">
        <f>_xlfn.XLOOKUP(A1706,'[1]Tissue Data'!$A:$A,'[1]Tissue Data'!M:M)</f>
        <v>13.9</v>
      </c>
      <c r="K1706" t="s">
        <v>16</v>
      </c>
      <c r="L1706" t="str">
        <f>_xlfn.XLOOKUP(K1706,[2]analyte_order!$B:$B,[2]analyte_order!$C:$C)</f>
        <v>335-67-1</v>
      </c>
      <c r="M1706">
        <f>_xlfn.XLOOKUP(L1706,[2]analyte_order!$C:$C,[2]analyte_order!$E:$E)</f>
        <v>5</v>
      </c>
      <c r="N1706">
        <v>8.8880110606359863E-2</v>
      </c>
    </row>
    <row r="1707" spans="1:14">
      <c r="A1707" t="s">
        <v>248</v>
      </c>
      <c r="B1707" t="str">
        <f>_xlfn.XLOOKUP(A1707,'[1]Tissue Data'!$A:$A,'[1]Tissue Data'!$C:$C)</f>
        <v>Spill</v>
      </c>
      <c r="C1707" s="2">
        <f>_xlfn.XLOOKUP(A1707,'[1]Tissue Data'!$A:$A,'[1]Tissue Data'!$D:$D)</f>
        <v>44314</v>
      </c>
      <c r="D1707" s="2" t="str">
        <f>_xlfn.XLOOKUP(A1707,'[1]Tissue Data'!$A:$A,'[1]Tissue Data'!$F:$F)</f>
        <v>Pumpkinseed</v>
      </c>
      <c r="E1707" t="str">
        <f>_xlfn.XLOOKUP(A1707,'[1]Tissue Data'!$A:$A,'[1]Tissue Data'!$H:$H)</f>
        <v>Lepomis</v>
      </c>
      <c r="F1707" t="str">
        <f>_xlfn.XLOOKUP(A1707,'[1]Tissue Data'!$A:$A,'[1]Tissue Data'!$I:$I)</f>
        <v>gibbosus</v>
      </c>
      <c r="G1707" t="str">
        <f>_xlfn.XLOOKUP(A1707,'[1]Tissue Data'!$A:$A,'[1]Tissue Data'!J:J)</f>
        <v>U</v>
      </c>
      <c r="H1707" t="str">
        <f>_xlfn.XLOOKUP(A1707,'[1]Tissue Data'!$A:$A,'[1]Tissue Data'!K:K)</f>
        <v>Whole Body</v>
      </c>
      <c r="I1707">
        <f>_xlfn.XLOOKUP(A1707,'[1]Tissue Data'!$A:$A,'[1]Tissue Data'!L:L)</f>
        <v>8.5</v>
      </c>
      <c r="J1707">
        <f>_xlfn.XLOOKUP(A1707,'[1]Tissue Data'!$A:$A,'[1]Tissue Data'!M:M)</f>
        <v>13.9</v>
      </c>
      <c r="K1707" t="s">
        <v>17</v>
      </c>
      <c r="L1707" t="str">
        <f>_xlfn.XLOOKUP(K1707,[2]analyte_order!$B:$B,[2]analyte_order!$C:$C)</f>
        <v>375-95-1</v>
      </c>
      <c r="M1707">
        <f>_xlfn.XLOOKUP(L1707,[2]analyte_order!$C:$C,[2]analyte_order!$E:$E)</f>
        <v>6</v>
      </c>
      <c r="N1707">
        <v>0.15377265878890972</v>
      </c>
    </row>
    <row r="1708" spans="1:14">
      <c r="A1708" t="s">
        <v>248</v>
      </c>
      <c r="B1708" t="str">
        <f>_xlfn.XLOOKUP(A1708,'[1]Tissue Data'!$A:$A,'[1]Tissue Data'!$C:$C)</f>
        <v>Spill</v>
      </c>
      <c r="C1708" s="2">
        <f>_xlfn.XLOOKUP(A1708,'[1]Tissue Data'!$A:$A,'[1]Tissue Data'!$D:$D)</f>
        <v>44314</v>
      </c>
      <c r="D1708" s="2" t="str">
        <f>_xlfn.XLOOKUP(A1708,'[1]Tissue Data'!$A:$A,'[1]Tissue Data'!$F:$F)</f>
        <v>Pumpkinseed</v>
      </c>
      <c r="E1708" t="str">
        <f>_xlfn.XLOOKUP(A1708,'[1]Tissue Data'!$A:$A,'[1]Tissue Data'!$H:$H)</f>
        <v>Lepomis</v>
      </c>
      <c r="F1708" t="str">
        <f>_xlfn.XLOOKUP(A1708,'[1]Tissue Data'!$A:$A,'[1]Tissue Data'!$I:$I)</f>
        <v>gibbosus</v>
      </c>
      <c r="G1708" t="str">
        <f>_xlfn.XLOOKUP(A1708,'[1]Tissue Data'!$A:$A,'[1]Tissue Data'!J:J)</f>
        <v>U</v>
      </c>
      <c r="H1708" t="str">
        <f>_xlfn.XLOOKUP(A1708,'[1]Tissue Data'!$A:$A,'[1]Tissue Data'!K:K)</f>
        <v>Whole Body</v>
      </c>
      <c r="I1708">
        <f>_xlfn.XLOOKUP(A1708,'[1]Tissue Data'!$A:$A,'[1]Tissue Data'!L:L)</f>
        <v>8.5</v>
      </c>
      <c r="J1708">
        <f>_xlfn.XLOOKUP(A1708,'[1]Tissue Data'!$A:$A,'[1]Tissue Data'!M:M)</f>
        <v>13.9</v>
      </c>
      <c r="K1708" t="s">
        <v>18</v>
      </c>
      <c r="L1708" t="str">
        <f>_xlfn.XLOOKUP(K1708,[2]analyte_order!$B:$B,[2]analyte_order!$C:$C)</f>
        <v>335-76-2</v>
      </c>
      <c r="M1708">
        <f>_xlfn.XLOOKUP(L1708,[2]analyte_order!$C:$C,[2]analyte_order!$E:$E)</f>
        <v>7</v>
      </c>
      <c r="N1708">
        <v>2.2599999999999998</v>
      </c>
    </row>
    <row r="1709" spans="1:14">
      <c r="A1709" t="s">
        <v>248</v>
      </c>
      <c r="B1709" t="str">
        <f>_xlfn.XLOOKUP(A1709,'[1]Tissue Data'!$A:$A,'[1]Tissue Data'!$C:$C)</f>
        <v>Spill</v>
      </c>
      <c r="C1709" s="2">
        <f>_xlfn.XLOOKUP(A1709,'[1]Tissue Data'!$A:$A,'[1]Tissue Data'!$D:$D)</f>
        <v>44314</v>
      </c>
      <c r="D1709" s="2" t="str">
        <f>_xlfn.XLOOKUP(A1709,'[1]Tissue Data'!$A:$A,'[1]Tissue Data'!$F:$F)</f>
        <v>Pumpkinseed</v>
      </c>
      <c r="E1709" t="str">
        <f>_xlfn.XLOOKUP(A1709,'[1]Tissue Data'!$A:$A,'[1]Tissue Data'!$H:$H)</f>
        <v>Lepomis</v>
      </c>
      <c r="F1709" t="str">
        <f>_xlfn.XLOOKUP(A1709,'[1]Tissue Data'!$A:$A,'[1]Tissue Data'!$I:$I)</f>
        <v>gibbosus</v>
      </c>
      <c r="G1709" t="str">
        <f>_xlfn.XLOOKUP(A1709,'[1]Tissue Data'!$A:$A,'[1]Tissue Data'!J:J)</f>
        <v>U</v>
      </c>
      <c r="H1709" t="str">
        <f>_xlfn.XLOOKUP(A1709,'[1]Tissue Data'!$A:$A,'[1]Tissue Data'!K:K)</f>
        <v>Whole Body</v>
      </c>
      <c r="I1709">
        <f>_xlfn.XLOOKUP(A1709,'[1]Tissue Data'!$A:$A,'[1]Tissue Data'!L:L)</f>
        <v>8.5</v>
      </c>
      <c r="J1709">
        <f>_xlfn.XLOOKUP(A1709,'[1]Tissue Data'!$A:$A,'[1]Tissue Data'!M:M)</f>
        <v>13.9</v>
      </c>
      <c r="K1709" t="s">
        <v>19</v>
      </c>
      <c r="L1709" t="str">
        <f>_xlfn.XLOOKUP(K1709,[2]analyte_order!$B:$B,[2]analyte_order!$C:$C)</f>
        <v>2058-94-8</v>
      </c>
      <c r="M1709">
        <f>_xlfn.XLOOKUP(L1709,[2]analyte_order!$C:$C,[2]analyte_order!$E:$E)</f>
        <v>8</v>
      </c>
      <c r="N1709">
        <v>2.4300000000000002</v>
      </c>
    </row>
    <row r="1710" spans="1:14">
      <c r="A1710" t="s">
        <v>248</v>
      </c>
      <c r="B1710" t="str">
        <f>_xlfn.XLOOKUP(A1710,'[1]Tissue Data'!$A:$A,'[1]Tissue Data'!$C:$C)</f>
        <v>Spill</v>
      </c>
      <c r="C1710" s="2">
        <f>_xlfn.XLOOKUP(A1710,'[1]Tissue Data'!$A:$A,'[1]Tissue Data'!$D:$D)</f>
        <v>44314</v>
      </c>
      <c r="D1710" s="2" t="str">
        <f>_xlfn.XLOOKUP(A1710,'[1]Tissue Data'!$A:$A,'[1]Tissue Data'!$F:$F)</f>
        <v>Pumpkinseed</v>
      </c>
      <c r="E1710" t="str">
        <f>_xlfn.XLOOKUP(A1710,'[1]Tissue Data'!$A:$A,'[1]Tissue Data'!$H:$H)</f>
        <v>Lepomis</v>
      </c>
      <c r="F1710" t="str">
        <f>_xlfn.XLOOKUP(A1710,'[1]Tissue Data'!$A:$A,'[1]Tissue Data'!$I:$I)</f>
        <v>gibbosus</v>
      </c>
      <c r="G1710" t="str">
        <f>_xlfn.XLOOKUP(A1710,'[1]Tissue Data'!$A:$A,'[1]Tissue Data'!J:J)</f>
        <v>U</v>
      </c>
      <c r="H1710" t="str">
        <f>_xlfn.XLOOKUP(A1710,'[1]Tissue Data'!$A:$A,'[1]Tissue Data'!K:K)</f>
        <v>Whole Body</v>
      </c>
      <c r="I1710">
        <f>_xlfn.XLOOKUP(A1710,'[1]Tissue Data'!$A:$A,'[1]Tissue Data'!L:L)</f>
        <v>8.5</v>
      </c>
      <c r="J1710">
        <f>_xlfn.XLOOKUP(A1710,'[1]Tissue Data'!$A:$A,'[1]Tissue Data'!M:M)</f>
        <v>13.9</v>
      </c>
      <c r="K1710" t="s">
        <v>20</v>
      </c>
      <c r="L1710" t="str">
        <f>_xlfn.XLOOKUP(K1710,[2]analyte_order!$B:$B,[2]analyte_order!$C:$C)</f>
        <v>307-55-1</v>
      </c>
      <c r="M1710">
        <f>_xlfn.XLOOKUP(L1710,[2]analyte_order!$C:$C,[2]analyte_order!$E:$E)</f>
        <v>9</v>
      </c>
      <c r="N1710">
        <v>22.1</v>
      </c>
    </row>
    <row r="1711" spans="1:14">
      <c r="A1711" t="s">
        <v>248</v>
      </c>
      <c r="B1711" t="str">
        <f>_xlfn.XLOOKUP(A1711,'[1]Tissue Data'!$A:$A,'[1]Tissue Data'!$C:$C)</f>
        <v>Spill</v>
      </c>
      <c r="C1711" s="2">
        <f>_xlfn.XLOOKUP(A1711,'[1]Tissue Data'!$A:$A,'[1]Tissue Data'!$D:$D)</f>
        <v>44314</v>
      </c>
      <c r="D1711" s="2" t="str">
        <f>_xlfn.XLOOKUP(A1711,'[1]Tissue Data'!$A:$A,'[1]Tissue Data'!$F:$F)</f>
        <v>Pumpkinseed</v>
      </c>
      <c r="E1711" t="str">
        <f>_xlfn.XLOOKUP(A1711,'[1]Tissue Data'!$A:$A,'[1]Tissue Data'!$H:$H)</f>
        <v>Lepomis</v>
      </c>
      <c r="F1711" t="str">
        <f>_xlfn.XLOOKUP(A1711,'[1]Tissue Data'!$A:$A,'[1]Tissue Data'!$I:$I)</f>
        <v>gibbosus</v>
      </c>
      <c r="G1711" t="str">
        <f>_xlfn.XLOOKUP(A1711,'[1]Tissue Data'!$A:$A,'[1]Tissue Data'!J:J)</f>
        <v>U</v>
      </c>
      <c r="H1711" t="str">
        <f>_xlfn.XLOOKUP(A1711,'[1]Tissue Data'!$A:$A,'[1]Tissue Data'!K:K)</f>
        <v>Whole Body</v>
      </c>
      <c r="I1711">
        <f>_xlfn.XLOOKUP(A1711,'[1]Tissue Data'!$A:$A,'[1]Tissue Data'!L:L)</f>
        <v>8.5</v>
      </c>
      <c r="J1711">
        <f>_xlfn.XLOOKUP(A1711,'[1]Tissue Data'!$A:$A,'[1]Tissue Data'!M:M)</f>
        <v>13.9</v>
      </c>
      <c r="K1711" t="s">
        <v>21</v>
      </c>
      <c r="L1711" t="str">
        <f>_xlfn.XLOOKUP(K1711,[2]analyte_order!$B:$B,[2]analyte_order!$C:$C)</f>
        <v>72629-94-8</v>
      </c>
      <c r="M1711">
        <f>_xlfn.XLOOKUP(L1711,[2]analyte_order!$C:$C,[2]analyte_order!$E:$E)</f>
        <v>10</v>
      </c>
      <c r="N1711">
        <v>2.69</v>
      </c>
    </row>
    <row r="1712" spans="1:14">
      <c r="A1712" t="s">
        <v>248</v>
      </c>
      <c r="B1712" t="str">
        <f>_xlfn.XLOOKUP(A1712,'[1]Tissue Data'!$A:$A,'[1]Tissue Data'!$C:$C)</f>
        <v>Spill</v>
      </c>
      <c r="C1712" s="2">
        <f>_xlfn.XLOOKUP(A1712,'[1]Tissue Data'!$A:$A,'[1]Tissue Data'!$D:$D)</f>
        <v>44314</v>
      </c>
      <c r="D1712" s="2" t="str">
        <f>_xlfn.XLOOKUP(A1712,'[1]Tissue Data'!$A:$A,'[1]Tissue Data'!$F:$F)</f>
        <v>Pumpkinseed</v>
      </c>
      <c r="E1712" t="str">
        <f>_xlfn.XLOOKUP(A1712,'[1]Tissue Data'!$A:$A,'[1]Tissue Data'!$H:$H)</f>
        <v>Lepomis</v>
      </c>
      <c r="F1712" t="str">
        <f>_xlfn.XLOOKUP(A1712,'[1]Tissue Data'!$A:$A,'[1]Tissue Data'!$I:$I)</f>
        <v>gibbosus</v>
      </c>
      <c r="G1712" t="str">
        <f>_xlfn.XLOOKUP(A1712,'[1]Tissue Data'!$A:$A,'[1]Tissue Data'!J:J)</f>
        <v>U</v>
      </c>
      <c r="H1712" t="str">
        <f>_xlfn.XLOOKUP(A1712,'[1]Tissue Data'!$A:$A,'[1]Tissue Data'!K:K)</f>
        <v>Whole Body</v>
      </c>
      <c r="I1712">
        <f>_xlfn.XLOOKUP(A1712,'[1]Tissue Data'!$A:$A,'[1]Tissue Data'!L:L)</f>
        <v>8.5</v>
      </c>
      <c r="J1712">
        <f>_xlfn.XLOOKUP(A1712,'[1]Tissue Data'!$A:$A,'[1]Tissue Data'!M:M)</f>
        <v>13.9</v>
      </c>
      <c r="K1712" t="s">
        <v>22</v>
      </c>
      <c r="L1712" t="str">
        <f>_xlfn.XLOOKUP(K1712,[2]analyte_order!$B:$B,[2]analyte_order!$C:$C)</f>
        <v>376-06-7</v>
      </c>
      <c r="M1712">
        <f>_xlfn.XLOOKUP(L1712,[2]analyte_order!$C:$C,[2]analyte_order!$E:$E)</f>
        <v>11</v>
      </c>
      <c r="N1712">
        <v>4.75</v>
      </c>
    </row>
    <row r="1713" spans="1:14">
      <c r="A1713" t="s">
        <v>248</v>
      </c>
      <c r="B1713" t="str">
        <f>_xlfn.XLOOKUP(A1713,'[1]Tissue Data'!$A:$A,'[1]Tissue Data'!$C:$C)</f>
        <v>Spill</v>
      </c>
      <c r="C1713" s="2">
        <f>_xlfn.XLOOKUP(A1713,'[1]Tissue Data'!$A:$A,'[1]Tissue Data'!$D:$D)</f>
        <v>44314</v>
      </c>
      <c r="D1713" s="2" t="str">
        <f>_xlfn.XLOOKUP(A1713,'[1]Tissue Data'!$A:$A,'[1]Tissue Data'!$F:$F)</f>
        <v>Pumpkinseed</v>
      </c>
      <c r="E1713" t="str">
        <f>_xlfn.XLOOKUP(A1713,'[1]Tissue Data'!$A:$A,'[1]Tissue Data'!$H:$H)</f>
        <v>Lepomis</v>
      </c>
      <c r="F1713" t="str">
        <f>_xlfn.XLOOKUP(A1713,'[1]Tissue Data'!$A:$A,'[1]Tissue Data'!$I:$I)</f>
        <v>gibbosus</v>
      </c>
      <c r="G1713" t="str">
        <f>_xlfn.XLOOKUP(A1713,'[1]Tissue Data'!$A:$A,'[1]Tissue Data'!J:J)</f>
        <v>U</v>
      </c>
      <c r="H1713" t="str">
        <f>_xlfn.XLOOKUP(A1713,'[1]Tissue Data'!$A:$A,'[1]Tissue Data'!K:K)</f>
        <v>Whole Body</v>
      </c>
      <c r="I1713">
        <f>_xlfn.XLOOKUP(A1713,'[1]Tissue Data'!$A:$A,'[1]Tissue Data'!L:L)</f>
        <v>8.5</v>
      </c>
      <c r="J1713">
        <f>_xlfn.XLOOKUP(A1713,'[1]Tissue Data'!$A:$A,'[1]Tissue Data'!M:M)</f>
        <v>13.9</v>
      </c>
      <c r="K1713" t="s">
        <v>23</v>
      </c>
      <c r="L1713" t="str">
        <f>_xlfn.XLOOKUP(K1713,[2]analyte_order!$B:$B,[2]analyte_order!$C:$C)</f>
        <v>67905-19-5</v>
      </c>
      <c r="M1713">
        <f>_xlfn.XLOOKUP(L1713,[2]analyte_order!$C:$C,[2]analyte_order!$E:$E)</f>
        <v>12</v>
      </c>
      <c r="N1713">
        <v>8.5230858568281942E-2</v>
      </c>
    </row>
    <row r="1714" spans="1:14">
      <c r="A1714" t="s">
        <v>248</v>
      </c>
      <c r="B1714" t="str">
        <f>_xlfn.XLOOKUP(A1714,'[1]Tissue Data'!$A:$A,'[1]Tissue Data'!$C:$C)</f>
        <v>Spill</v>
      </c>
      <c r="C1714" s="2">
        <f>_xlfn.XLOOKUP(A1714,'[1]Tissue Data'!$A:$A,'[1]Tissue Data'!$D:$D)</f>
        <v>44314</v>
      </c>
      <c r="D1714" s="2" t="str">
        <f>_xlfn.XLOOKUP(A1714,'[1]Tissue Data'!$A:$A,'[1]Tissue Data'!$F:$F)</f>
        <v>Pumpkinseed</v>
      </c>
      <c r="E1714" t="str">
        <f>_xlfn.XLOOKUP(A1714,'[1]Tissue Data'!$A:$A,'[1]Tissue Data'!$H:$H)</f>
        <v>Lepomis</v>
      </c>
      <c r="F1714" t="str">
        <f>_xlfn.XLOOKUP(A1714,'[1]Tissue Data'!$A:$A,'[1]Tissue Data'!$I:$I)</f>
        <v>gibbosus</v>
      </c>
      <c r="G1714" t="str">
        <f>_xlfn.XLOOKUP(A1714,'[1]Tissue Data'!$A:$A,'[1]Tissue Data'!J:J)</f>
        <v>U</v>
      </c>
      <c r="H1714" t="str">
        <f>_xlfn.XLOOKUP(A1714,'[1]Tissue Data'!$A:$A,'[1]Tissue Data'!K:K)</f>
        <v>Whole Body</v>
      </c>
      <c r="I1714">
        <f>_xlfn.XLOOKUP(A1714,'[1]Tissue Data'!$A:$A,'[1]Tissue Data'!L:L)</f>
        <v>8.5</v>
      </c>
      <c r="J1714">
        <f>_xlfn.XLOOKUP(A1714,'[1]Tissue Data'!$A:$A,'[1]Tissue Data'!M:M)</f>
        <v>13.9</v>
      </c>
      <c r="K1714" t="s">
        <v>24</v>
      </c>
      <c r="L1714" t="str">
        <f>_xlfn.XLOOKUP(K1714,[2]analyte_order!$B:$B,[2]analyte_order!$C:$C)</f>
        <v>423-41-6</v>
      </c>
      <c r="M1714">
        <f>_xlfn.XLOOKUP(L1714,[2]analyte_order!$C:$C,[2]analyte_order!$E:$E)</f>
        <v>53</v>
      </c>
      <c r="N1714">
        <v>5.4562134350220268E-2</v>
      </c>
    </row>
    <row r="1715" spans="1:14">
      <c r="A1715" t="s">
        <v>248</v>
      </c>
      <c r="B1715" t="str">
        <f>_xlfn.XLOOKUP(A1715,'[1]Tissue Data'!$A:$A,'[1]Tissue Data'!$C:$C)</f>
        <v>Spill</v>
      </c>
      <c r="C1715" s="2">
        <f>_xlfn.XLOOKUP(A1715,'[1]Tissue Data'!$A:$A,'[1]Tissue Data'!$D:$D)</f>
        <v>44314</v>
      </c>
      <c r="D1715" s="2" t="str">
        <f>_xlfn.XLOOKUP(A1715,'[1]Tissue Data'!$A:$A,'[1]Tissue Data'!$F:$F)</f>
        <v>Pumpkinseed</v>
      </c>
      <c r="E1715" t="str">
        <f>_xlfn.XLOOKUP(A1715,'[1]Tissue Data'!$A:$A,'[1]Tissue Data'!$H:$H)</f>
        <v>Lepomis</v>
      </c>
      <c r="F1715" t="str">
        <f>_xlfn.XLOOKUP(A1715,'[1]Tissue Data'!$A:$A,'[1]Tissue Data'!$I:$I)</f>
        <v>gibbosus</v>
      </c>
      <c r="G1715" t="str">
        <f>_xlfn.XLOOKUP(A1715,'[1]Tissue Data'!$A:$A,'[1]Tissue Data'!J:J)</f>
        <v>U</v>
      </c>
      <c r="H1715" t="str">
        <f>_xlfn.XLOOKUP(A1715,'[1]Tissue Data'!$A:$A,'[1]Tissue Data'!K:K)</f>
        <v>Whole Body</v>
      </c>
      <c r="I1715">
        <f>_xlfn.XLOOKUP(A1715,'[1]Tissue Data'!$A:$A,'[1]Tissue Data'!L:L)</f>
        <v>8.5</v>
      </c>
      <c r="J1715">
        <f>_xlfn.XLOOKUP(A1715,'[1]Tissue Data'!$A:$A,'[1]Tissue Data'!M:M)</f>
        <v>13.9</v>
      </c>
      <c r="K1715" t="s">
        <v>25</v>
      </c>
      <c r="L1715" t="str">
        <f>_xlfn.XLOOKUP(K1715,[2]analyte_order!$B:$B,[2]analyte_order!$C:$C)</f>
        <v>375-73-5</v>
      </c>
      <c r="M1715">
        <f>_xlfn.XLOOKUP(L1715,[2]analyte_order!$C:$C,[2]analyte_order!$E:$E)</f>
        <v>14</v>
      </c>
      <c r="N1715">
        <v>4.8673359416299557E-2</v>
      </c>
    </row>
    <row r="1716" spans="1:14">
      <c r="A1716" t="s">
        <v>248</v>
      </c>
      <c r="B1716" t="str">
        <f>_xlfn.XLOOKUP(A1716,'[1]Tissue Data'!$A:$A,'[1]Tissue Data'!$C:$C)</f>
        <v>Spill</v>
      </c>
      <c r="C1716" s="2">
        <f>_xlfn.XLOOKUP(A1716,'[1]Tissue Data'!$A:$A,'[1]Tissue Data'!$D:$D)</f>
        <v>44314</v>
      </c>
      <c r="D1716" s="2" t="str">
        <f>_xlfn.XLOOKUP(A1716,'[1]Tissue Data'!$A:$A,'[1]Tissue Data'!$F:$F)</f>
        <v>Pumpkinseed</v>
      </c>
      <c r="E1716" t="str">
        <f>_xlfn.XLOOKUP(A1716,'[1]Tissue Data'!$A:$A,'[1]Tissue Data'!$H:$H)</f>
        <v>Lepomis</v>
      </c>
      <c r="F1716" t="str">
        <f>_xlfn.XLOOKUP(A1716,'[1]Tissue Data'!$A:$A,'[1]Tissue Data'!$I:$I)</f>
        <v>gibbosus</v>
      </c>
      <c r="G1716" t="str">
        <f>_xlfn.XLOOKUP(A1716,'[1]Tissue Data'!$A:$A,'[1]Tissue Data'!J:J)</f>
        <v>U</v>
      </c>
      <c r="H1716" t="str">
        <f>_xlfn.XLOOKUP(A1716,'[1]Tissue Data'!$A:$A,'[1]Tissue Data'!K:K)</f>
        <v>Whole Body</v>
      </c>
      <c r="I1716">
        <f>_xlfn.XLOOKUP(A1716,'[1]Tissue Data'!$A:$A,'[1]Tissue Data'!L:L)</f>
        <v>8.5</v>
      </c>
      <c r="J1716">
        <f>_xlfn.XLOOKUP(A1716,'[1]Tissue Data'!$A:$A,'[1]Tissue Data'!M:M)</f>
        <v>13.9</v>
      </c>
      <c r="K1716" t="s">
        <v>26</v>
      </c>
      <c r="L1716" t="str">
        <f>_xlfn.XLOOKUP(K1716,[2]analyte_order!$B:$B,[2]analyte_order!$C:$C)</f>
        <v>2706-91-4</v>
      </c>
      <c r="M1716">
        <f>_xlfn.XLOOKUP(L1716,[2]analyte_order!$C:$C,[2]analyte_order!$E:$E)</f>
        <v>15</v>
      </c>
      <c r="N1716">
        <v>0.11766503145592536</v>
      </c>
    </row>
    <row r="1717" spans="1:14">
      <c r="A1717" t="s">
        <v>248</v>
      </c>
      <c r="B1717" t="str">
        <f>_xlfn.XLOOKUP(A1717,'[1]Tissue Data'!$A:$A,'[1]Tissue Data'!$C:$C)</f>
        <v>Spill</v>
      </c>
      <c r="C1717" s="2">
        <f>_xlfn.XLOOKUP(A1717,'[1]Tissue Data'!$A:$A,'[1]Tissue Data'!$D:$D)</f>
        <v>44314</v>
      </c>
      <c r="D1717" s="2" t="str">
        <f>_xlfn.XLOOKUP(A1717,'[1]Tissue Data'!$A:$A,'[1]Tissue Data'!$F:$F)</f>
        <v>Pumpkinseed</v>
      </c>
      <c r="E1717" t="str">
        <f>_xlfn.XLOOKUP(A1717,'[1]Tissue Data'!$A:$A,'[1]Tissue Data'!$H:$H)</f>
        <v>Lepomis</v>
      </c>
      <c r="F1717" t="str">
        <f>_xlfn.XLOOKUP(A1717,'[1]Tissue Data'!$A:$A,'[1]Tissue Data'!$I:$I)</f>
        <v>gibbosus</v>
      </c>
      <c r="G1717" t="str">
        <f>_xlfn.XLOOKUP(A1717,'[1]Tissue Data'!$A:$A,'[1]Tissue Data'!J:J)</f>
        <v>U</v>
      </c>
      <c r="H1717" t="str">
        <f>_xlfn.XLOOKUP(A1717,'[1]Tissue Data'!$A:$A,'[1]Tissue Data'!K:K)</f>
        <v>Whole Body</v>
      </c>
      <c r="I1717">
        <f>_xlfn.XLOOKUP(A1717,'[1]Tissue Data'!$A:$A,'[1]Tissue Data'!L:L)</f>
        <v>8.5</v>
      </c>
      <c r="J1717">
        <f>_xlfn.XLOOKUP(A1717,'[1]Tissue Data'!$A:$A,'[1]Tissue Data'!M:M)</f>
        <v>13.9</v>
      </c>
      <c r="K1717" t="s">
        <v>27</v>
      </c>
      <c r="L1717" t="str">
        <f>_xlfn.XLOOKUP(K1717,[2]analyte_order!$B:$B,[2]analyte_order!$C:$C)</f>
        <v>355-46-4</v>
      </c>
      <c r="M1717">
        <f>_xlfn.XLOOKUP(L1717,[2]analyte_order!$C:$C,[2]analyte_order!$E:$E)</f>
        <v>16</v>
      </c>
      <c r="N1717">
        <v>6.16</v>
      </c>
    </row>
    <row r="1718" spans="1:14">
      <c r="A1718" t="s">
        <v>248</v>
      </c>
      <c r="B1718" t="str">
        <f>_xlfn.XLOOKUP(A1718,'[1]Tissue Data'!$A:$A,'[1]Tissue Data'!$C:$C)</f>
        <v>Spill</v>
      </c>
      <c r="C1718" s="2">
        <f>_xlfn.XLOOKUP(A1718,'[1]Tissue Data'!$A:$A,'[1]Tissue Data'!$D:$D)</f>
        <v>44314</v>
      </c>
      <c r="D1718" s="2" t="str">
        <f>_xlfn.XLOOKUP(A1718,'[1]Tissue Data'!$A:$A,'[1]Tissue Data'!$F:$F)</f>
        <v>Pumpkinseed</v>
      </c>
      <c r="E1718" t="str">
        <f>_xlfn.XLOOKUP(A1718,'[1]Tissue Data'!$A:$A,'[1]Tissue Data'!$H:$H)</f>
        <v>Lepomis</v>
      </c>
      <c r="F1718" t="str">
        <f>_xlfn.XLOOKUP(A1718,'[1]Tissue Data'!$A:$A,'[1]Tissue Data'!$I:$I)</f>
        <v>gibbosus</v>
      </c>
      <c r="G1718" t="str">
        <f>_xlfn.XLOOKUP(A1718,'[1]Tissue Data'!$A:$A,'[1]Tissue Data'!J:J)</f>
        <v>U</v>
      </c>
      <c r="H1718" t="str">
        <f>_xlfn.XLOOKUP(A1718,'[1]Tissue Data'!$A:$A,'[1]Tissue Data'!K:K)</f>
        <v>Whole Body</v>
      </c>
      <c r="I1718">
        <f>_xlfn.XLOOKUP(A1718,'[1]Tissue Data'!$A:$A,'[1]Tissue Data'!L:L)</f>
        <v>8.5</v>
      </c>
      <c r="J1718">
        <f>_xlfn.XLOOKUP(A1718,'[1]Tissue Data'!$A:$A,'[1]Tissue Data'!M:M)</f>
        <v>13.9</v>
      </c>
      <c r="K1718" t="s">
        <v>28</v>
      </c>
      <c r="L1718" t="str">
        <f>_xlfn.XLOOKUP(K1718,[2]analyte_order!$B:$B,[2]analyte_order!$C:$C)</f>
        <v>375-92-8</v>
      </c>
      <c r="M1718">
        <f>_xlfn.XLOOKUP(L1718,[2]analyte_order!$C:$C,[2]analyte_order!$E:$E)</f>
        <v>17</v>
      </c>
      <c r="N1718">
        <v>0.22220027651589969</v>
      </c>
    </row>
    <row r="1719" spans="1:14">
      <c r="A1719" t="s">
        <v>248</v>
      </c>
      <c r="B1719" t="str">
        <f>_xlfn.XLOOKUP(A1719,'[1]Tissue Data'!$A:$A,'[1]Tissue Data'!$C:$C)</f>
        <v>Spill</v>
      </c>
      <c r="C1719" s="2">
        <f>_xlfn.XLOOKUP(A1719,'[1]Tissue Data'!$A:$A,'[1]Tissue Data'!$D:$D)</f>
        <v>44314</v>
      </c>
      <c r="D1719" s="2" t="str">
        <f>_xlfn.XLOOKUP(A1719,'[1]Tissue Data'!$A:$A,'[1]Tissue Data'!$F:$F)</f>
        <v>Pumpkinseed</v>
      </c>
      <c r="E1719" t="str">
        <f>_xlfn.XLOOKUP(A1719,'[1]Tissue Data'!$A:$A,'[1]Tissue Data'!$H:$H)</f>
        <v>Lepomis</v>
      </c>
      <c r="F1719" t="str">
        <f>_xlfn.XLOOKUP(A1719,'[1]Tissue Data'!$A:$A,'[1]Tissue Data'!$I:$I)</f>
        <v>gibbosus</v>
      </c>
      <c r="G1719" t="str">
        <f>_xlfn.XLOOKUP(A1719,'[1]Tissue Data'!$A:$A,'[1]Tissue Data'!J:J)</f>
        <v>U</v>
      </c>
      <c r="H1719" t="str">
        <f>_xlfn.XLOOKUP(A1719,'[1]Tissue Data'!$A:$A,'[1]Tissue Data'!K:K)</f>
        <v>Whole Body</v>
      </c>
      <c r="I1719">
        <f>_xlfn.XLOOKUP(A1719,'[1]Tissue Data'!$A:$A,'[1]Tissue Data'!L:L)</f>
        <v>8.5</v>
      </c>
      <c r="J1719">
        <f>_xlfn.XLOOKUP(A1719,'[1]Tissue Data'!$A:$A,'[1]Tissue Data'!M:M)</f>
        <v>13.9</v>
      </c>
      <c r="K1719" t="s">
        <v>29</v>
      </c>
      <c r="L1719" t="str">
        <f>_xlfn.XLOOKUP(K1719,[2]analyte_order!$B:$B,[2]analyte_order!$C:$C)</f>
        <v>1763-23-1</v>
      </c>
      <c r="M1719">
        <f>_xlfn.XLOOKUP(L1719,[2]analyte_order!$C:$C,[2]analyte_order!$E:$E)</f>
        <v>18</v>
      </c>
      <c r="N1719">
        <v>534</v>
      </c>
    </row>
    <row r="1720" spans="1:14">
      <c r="A1720" t="s">
        <v>248</v>
      </c>
      <c r="B1720" t="str">
        <f>_xlfn.XLOOKUP(A1720,'[1]Tissue Data'!$A:$A,'[1]Tissue Data'!$C:$C)</f>
        <v>Spill</v>
      </c>
      <c r="C1720" s="2">
        <f>_xlfn.XLOOKUP(A1720,'[1]Tissue Data'!$A:$A,'[1]Tissue Data'!$D:$D)</f>
        <v>44314</v>
      </c>
      <c r="D1720" s="2" t="str">
        <f>_xlfn.XLOOKUP(A1720,'[1]Tissue Data'!$A:$A,'[1]Tissue Data'!$F:$F)</f>
        <v>Pumpkinseed</v>
      </c>
      <c r="E1720" t="str">
        <f>_xlfn.XLOOKUP(A1720,'[1]Tissue Data'!$A:$A,'[1]Tissue Data'!$H:$H)</f>
        <v>Lepomis</v>
      </c>
      <c r="F1720" t="str">
        <f>_xlfn.XLOOKUP(A1720,'[1]Tissue Data'!$A:$A,'[1]Tissue Data'!$I:$I)</f>
        <v>gibbosus</v>
      </c>
      <c r="G1720" t="str">
        <f>_xlfn.XLOOKUP(A1720,'[1]Tissue Data'!$A:$A,'[1]Tissue Data'!J:J)</f>
        <v>U</v>
      </c>
      <c r="H1720" t="str">
        <f>_xlfn.XLOOKUP(A1720,'[1]Tissue Data'!$A:$A,'[1]Tissue Data'!K:K)</f>
        <v>Whole Body</v>
      </c>
      <c r="I1720">
        <f>_xlfn.XLOOKUP(A1720,'[1]Tissue Data'!$A:$A,'[1]Tissue Data'!L:L)</f>
        <v>8.5</v>
      </c>
      <c r="J1720">
        <f>_xlfn.XLOOKUP(A1720,'[1]Tissue Data'!$A:$A,'[1]Tissue Data'!M:M)</f>
        <v>13.9</v>
      </c>
      <c r="K1720" t="s">
        <v>30</v>
      </c>
      <c r="L1720" t="str">
        <f>_xlfn.XLOOKUP(K1720,[2]analyte_order!$B:$B,[2]analyte_order!$C:$C)</f>
        <v>68259-12-1</v>
      </c>
      <c r="M1720">
        <f>_xlfn.XLOOKUP(L1720,[2]analyte_order!$C:$C,[2]analyte_order!$E:$E)</f>
        <v>19</v>
      </c>
      <c r="N1720">
        <v>0.42399999999999999</v>
      </c>
    </row>
    <row r="1721" spans="1:14">
      <c r="A1721" t="s">
        <v>248</v>
      </c>
      <c r="B1721" t="str">
        <f>_xlfn.XLOOKUP(A1721,'[1]Tissue Data'!$A:$A,'[1]Tissue Data'!$C:$C)</f>
        <v>Spill</v>
      </c>
      <c r="C1721" s="2">
        <f>_xlfn.XLOOKUP(A1721,'[1]Tissue Data'!$A:$A,'[1]Tissue Data'!$D:$D)</f>
        <v>44314</v>
      </c>
      <c r="D1721" s="2" t="str">
        <f>_xlfn.XLOOKUP(A1721,'[1]Tissue Data'!$A:$A,'[1]Tissue Data'!$F:$F)</f>
        <v>Pumpkinseed</v>
      </c>
      <c r="E1721" t="str">
        <f>_xlfn.XLOOKUP(A1721,'[1]Tissue Data'!$A:$A,'[1]Tissue Data'!$H:$H)</f>
        <v>Lepomis</v>
      </c>
      <c r="F1721" t="str">
        <f>_xlfn.XLOOKUP(A1721,'[1]Tissue Data'!$A:$A,'[1]Tissue Data'!$I:$I)</f>
        <v>gibbosus</v>
      </c>
      <c r="G1721" t="str">
        <f>_xlfn.XLOOKUP(A1721,'[1]Tissue Data'!$A:$A,'[1]Tissue Data'!J:J)</f>
        <v>U</v>
      </c>
      <c r="H1721" t="str">
        <f>_xlfn.XLOOKUP(A1721,'[1]Tissue Data'!$A:$A,'[1]Tissue Data'!K:K)</f>
        <v>Whole Body</v>
      </c>
      <c r="I1721">
        <f>_xlfn.XLOOKUP(A1721,'[1]Tissue Data'!$A:$A,'[1]Tissue Data'!L:L)</f>
        <v>8.5</v>
      </c>
      <c r="J1721">
        <f>_xlfn.XLOOKUP(A1721,'[1]Tissue Data'!$A:$A,'[1]Tissue Data'!M:M)</f>
        <v>13.9</v>
      </c>
      <c r="K1721" t="s">
        <v>31</v>
      </c>
      <c r="L1721" t="str">
        <f>_xlfn.XLOOKUP(K1721,[2]analyte_order!$B:$B,[2]analyte_order!$C:$C)</f>
        <v>335-77-3</v>
      </c>
      <c r="M1721">
        <f>_xlfn.XLOOKUP(L1721,[2]analyte_order!$C:$C,[2]analyte_order!$E:$E)</f>
        <v>20</v>
      </c>
      <c r="N1721">
        <v>0.58199999999999996</v>
      </c>
    </row>
    <row r="1722" spans="1:14">
      <c r="A1722" t="s">
        <v>248</v>
      </c>
      <c r="B1722" t="str">
        <f>_xlfn.XLOOKUP(A1722,'[1]Tissue Data'!$A:$A,'[1]Tissue Data'!$C:$C)</f>
        <v>Spill</v>
      </c>
      <c r="C1722" s="2">
        <f>_xlfn.XLOOKUP(A1722,'[1]Tissue Data'!$A:$A,'[1]Tissue Data'!$D:$D)</f>
        <v>44314</v>
      </c>
      <c r="D1722" s="2" t="str">
        <f>_xlfn.XLOOKUP(A1722,'[1]Tissue Data'!$A:$A,'[1]Tissue Data'!$F:$F)</f>
        <v>Pumpkinseed</v>
      </c>
      <c r="E1722" t="str">
        <f>_xlfn.XLOOKUP(A1722,'[1]Tissue Data'!$A:$A,'[1]Tissue Data'!$H:$H)</f>
        <v>Lepomis</v>
      </c>
      <c r="F1722" t="str">
        <f>_xlfn.XLOOKUP(A1722,'[1]Tissue Data'!$A:$A,'[1]Tissue Data'!$I:$I)</f>
        <v>gibbosus</v>
      </c>
      <c r="G1722" t="str">
        <f>_xlfn.XLOOKUP(A1722,'[1]Tissue Data'!$A:$A,'[1]Tissue Data'!J:J)</f>
        <v>U</v>
      </c>
      <c r="H1722" t="str">
        <f>_xlfn.XLOOKUP(A1722,'[1]Tissue Data'!$A:$A,'[1]Tissue Data'!K:K)</f>
        <v>Whole Body</v>
      </c>
      <c r="I1722">
        <f>_xlfn.XLOOKUP(A1722,'[1]Tissue Data'!$A:$A,'[1]Tissue Data'!L:L)</f>
        <v>8.5</v>
      </c>
      <c r="J1722">
        <f>_xlfn.XLOOKUP(A1722,'[1]Tissue Data'!$A:$A,'[1]Tissue Data'!M:M)</f>
        <v>13.9</v>
      </c>
      <c r="K1722" t="s">
        <v>32</v>
      </c>
      <c r="L1722" t="str">
        <f>_xlfn.XLOOKUP(K1722,[2]analyte_order!$B:$B,[2]analyte_order!$C:$C)</f>
        <v>79780-39-5</v>
      </c>
      <c r="M1722">
        <f>_xlfn.XLOOKUP(L1722,[2]analyte_order!$C:$C,[2]analyte_order!$E:$E)</f>
        <v>21</v>
      </c>
      <c r="N1722">
        <v>0.23761436835023703</v>
      </c>
    </row>
    <row r="1723" spans="1:14">
      <c r="A1723" t="s">
        <v>248</v>
      </c>
      <c r="B1723" t="str">
        <f>_xlfn.XLOOKUP(A1723,'[1]Tissue Data'!$A:$A,'[1]Tissue Data'!$C:$C)</f>
        <v>Spill</v>
      </c>
      <c r="C1723" s="2">
        <f>_xlfn.XLOOKUP(A1723,'[1]Tissue Data'!$A:$A,'[1]Tissue Data'!$D:$D)</f>
        <v>44314</v>
      </c>
      <c r="D1723" s="2" t="str">
        <f>_xlfn.XLOOKUP(A1723,'[1]Tissue Data'!$A:$A,'[1]Tissue Data'!$F:$F)</f>
        <v>Pumpkinseed</v>
      </c>
      <c r="E1723" t="str">
        <f>_xlfn.XLOOKUP(A1723,'[1]Tissue Data'!$A:$A,'[1]Tissue Data'!$H:$H)</f>
        <v>Lepomis</v>
      </c>
      <c r="F1723" t="str">
        <f>_xlfn.XLOOKUP(A1723,'[1]Tissue Data'!$A:$A,'[1]Tissue Data'!$I:$I)</f>
        <v>gibbosus</v>
      </c>
      <c r="G1723" t="str">
        <f>_xlfn.XLOOKUP(A1723,'[1]Tissue Data'!$A:$A,'[1]Tissue Data'!J:J)</f>
        <v>U</v>
      </c>
      <c r="H1723" t="str">
        <f>_xlfn.XLOOKUP(A1723,'[1]Tissue Data'!$A:$A,'[1]Tissue Data'!K:K)</f>
        <v>Whole Body</v>
      </c>
      <c r="I1723">
        <f>_xlfn.XLOOKUP(A1723,'[1]Tissue Data'!$A:$A,'[1]Tissue Data'!L:L)</f>
        <v>8.5</v>
      </c>
      <c r="J1723">
        <f>_xlfn.XLOOKUP(A1723,'[1]Tissue Data'!$A:$A,'[1]Tissue Data'!M:M)</f>
        <v>13.9</v>
      </c>
      <c r="K1723" t="s">
        <v>33</v>
      </c>
      <c r="L1723" t="str">
        <f>_xlfn.XLOOKUP(K1723,[2]analyte_order!$B:$B,[2]analyte_order!$C:$C)</f>
        <v>777011-38-8</v>
      </c>
      <c r="M1723">
        <f>_xlfn.XLOOKUP(L1723,[2]analyte_order!$C:$C,[2]analyte_order!$E:$E)</f>
        <v>54</v>
      </c>
      <c r="N1723">
        <v>0.13502759556677857</v>
      </c>
    </row>
    <row r="1724" spans="1:14">
      <c r="A1724" t="s">
        <v>248</v>
      </c>
      <c r="B1724" t="str">
        <f>_xlfn.XLOOKUP(A1724,'[1]Tissue Data'!$A:$A,'[1]Tissue Data'!$C:$C)</f>
        <v>Spill</v>
      </c>
      <c r="C1724" s="2">
        <f>_xlfn.XLOOKUP(A1724,'[1]Tissue Data'!$A:$A,'[1]Tissue Data'!$D:$D)</f>
        <v>44314</v>
      </c>
      <c r="D1724" s="2" t="str">
        <f>_xlfn.XLOOKUP(A1724,'[1]Tissue Data'!$A:$A,'[1]Tissue Data'!$F:$F)</f>
        <v>Pumpkinseed</v>
      </c>
      <c r="E1724" t="str">
        <f>_xlfn.XLOOKUP(A1724,'[1]Tissue Data'!$A:$A,'[1]Tissue Data'!$H:$H)</f>
        <v>Lepomis</v>
      </c>
      <c r="F1724" t="str">
        <f>_xlfn.XLOOKUP(A1724,'[1]Tissue Data'!$A:$A,'[1]Tissue Data'!$I:$I)</f>
        <v>gibbosus</v>
      </c>
      <c r="G1724" t="str">
        <f>_xlfn.XLOOKUP(A1724,'[1]Tissue Data'!$A:$A,'[1]Tissue Data'!J:J)</f>
        <v>U</v>
      </c>
      <c r="H1724" t="str">
        <f>_xlfn.XLOOKUP(A1724,'[1]Tissue Data'!$A:$A,'[1]Tissue Data'!K:K)</f>
        <v>Whole Body</v>
      </c>
      <c r="I1724">
        <f>_xlfn.XLOOKUP(A1724,'[1]Tissue Data'!$A:$A,'[1]Tissue Data'!L:L)</f>
        <v>8.5</v>
      </c>
      <c r="J1724">
        <f>_xlfn.XLOOKUP(A1724,'[1]Tissue Data'!$A:$A,'[1]Tissue Data'!M:M)</f>
        <v>13.9</v>
      </c>
      <c r="K1724" t="s">
        <v>34</v>
      </c>
      <c r="L1724" t="str">
        <f>_xlfn.XLOOKUP(K1724,[2]analyte_order!$B:$B,[2]analyte_order!$C:$C)</f>
        <v>646-83-3</v>
      </c>
      <c r="M1724">
        <f>_xlfn.XLOOKUP(L1724,[2]analyte_order!$C:$C,[2]analyte_order!$E:$E)</f>
        <v>55</v>
      </c>
      <c r="N1724">
        <v>8.8880110606359863E-2</v>
      </c>
    </row>
    <row r="1725" spans="1:14">
      <c r="A1725" t="s">
        <v>248</v>
      </c>
      <c r="B1725" t="str">
        <f>_xlfn.XLOOKUP(A1725,'[1]Tissue Data'!$A:$A,'[1]Tissue Data'!$C:$C)</f>
        <v>Spill</v>
      </c>
      <c r="C1725" s="2">
        <f>_xlfn.XLOOKUP(A1725,'[1]Tissue Data'!$A:$A,'[1]Tissue Data'!$D:$D)</f>
        <v>44314</v>
      </c>
      <c r="D1725" s="2" t="str">
        <f>_xlfn.XLOOKUP(A1725,'[1]Tissue Data'!$A:$A,'[1]Tissue Data'!$F:$F)</f>
        <v>Pumpkinseed</v>
      </c>
      <c r="E1725" t="str">
        <f>_xlfn.XLOOKUP(A1725,'[1]Tissue Data'!$A:$A,'[1]Tissue Data'!$H:$H)</f>
        <v>Lepomis</v>
      </c>
      <c r="F1725" t="str">
        <f>_xlfn.XLOOKUP(A1725,'[1]Tissue Data'!$A:$A,'[1]Tissue Data'!$I:$I)</f>
        <v>gibbosus</v>
      </c>
      <c r="G1725" t="str">
        <f>_xlfn.XLOOKUP(A1725,'[1]Tissue Data'!$A:$A,'[1]Tissue Data'!J:J)</f>
        <v>U</v>
      </c>
      <c r="H1725" t="str">
        <f>_xlfn.XLOOKUP(A1725,'[1]Tissue Data'!$A:$A,'[1]Tissue Data'!K:K)</f>
        <v>Whole Body</v>
      </c>
      <c r="I1725">
        <f>_xlfn.XLOOKUP(A1725,'[1]Tissue Data'!$A:$A,'[1]Tissue Data'!L:L)</f>
        <v>8.5</v>
      </c>
      <c r="J1725">
        <f>_xlfn.XLOOKUP(A1725,'[1]Tissue Data'!$A:$A,'[1]Tissue Data'!M:M)</f>
        <v>13.9</v>
      </c>
      <c r="K1725" t="s">
        <v>35</v>
      </c>
      <c r="L1725" t="str">
        <f>_xlfn.XLOOKUP(K1725,[2]analyte_order!$B:$B,[2]analyte_order!$C:$C)</f>
        <v>30334-69-1</v>
      </c>
      <c r="M1725">
        <f>_xlfn.XLOOKUP(L1725,[2]analyte_order!$C:$C,[2]analyte_order!$E:$E)</f>
        <v>51</v>
      </c>
      <c r="N1725">
        <v>14.1</v>
      </c>
    </row>
    <row r="1726" spans="1:14">
      <c r="A1726" t="s">
        <v>248</v>
      </c>
      <c r="B1726" t="str">
        <f>_xlfn.XLOOKUP(A1726,'[1]Tissue Data'!$A:$A,'[1]Tissue Data'!$C:$C)</f>
        <v>Spill</v>
      </c>
      <c r="C1726" s="2">
        <f>_xlfn.XLOOKUP(A1726,'[1]Tissue Data'!$A:$A,'[1]Tissue Data'!$D:$D)</f>
        <v>44314</v>
      </c>
      <c r="D1726" s="2" t="str">
        <f>_xlfn.XLOOKUP(A1726,'[1]Tissue Data'!$A:$A,'[1]Tissue Data'!$F:$F)</f>
        <v>Pumpkinseed</v>
      </c>
      <c r="E1726" t="str">
        <f>_xlfn.XLOOKUP(A1726,'[1]Tissue Data'!$A:$A,'[1]Tissue Data'!$H:$H)</f>
        <v>Lepomis</v>
      </c>
      <c r="F1726" t="str">
        <f>_xlfn.XLOOKUP(A1726,'[1]Tissue Data'!$A:$A,'[1]Tissue Data'!$I:$I)</f>
        <v>gibbosus</v>
      </c>
      <c r="G1726" t="str">
        <f>_xlfn.XLOOKUP(A1726,'[1]Tissue Data'!$A:$A,'[1]Tissue Data'!J:J)</f>
        <v>U</v>
      </c>
      <c r="H1726" t="str">
        <f>_xlfn.XLOOKUP(A1726,'[1]Tissue Data'!$A:$A,'[1]Tissue Data'!K:K)</f>
        <v>Whole Body</v>
      </c>
      <c r="I1726">
        <f>_xlfn.XLOOKUP(A1726,'[1]Tissue Data'!$A:$A,'[1]Tissue Data'!L:L)</f>
        <v>8.5</v>
      </c>
      <c r="J1726">
        <f>_xlfn.XLOOKUP(A1726,'[1]Tissue Data'!$A:$A,'[1]Tissue Data'!M:M)</f>
        <v>13.9</v>
      </c>
      <c r="K1726" t="s">
        <v>36</v>
      </c>
      <c r="L1726" t="str">
        <f>_xlfn.XLOOKUP(K1726,[2]analyte_order!$B:$B,[2]analyte_order!$C:$C)</f>
        <v>41997-13-1</v>
      </c>
      <c r="M1726">
        <f>_xlfn.XLOOKUP(L1726,[2]analyte_order!$C:$C,[2]analyte_order!$E:$E)</f>
        <v>52</v>
      </c>
      <c r="N1726">
        <v>38.200000000000003</v>
      </c>
    </row>
    <row r="1727" spans="1:14">
      <c r="A1727" t="s">
        <v>248</v>
      </c>
      <c r="B1727" t="str">
        <f>_xlfn.XLOOKUP(A1727,'[1]Tissue Data'!$A:$A,'[1]Tissue Data'!$C:$C)</f>
        <v>Spill</v>
      </c>
      <c r="C1727" s="2">
        <f>_xlfn.XLOOKUP(A1727,'[1]Tissue Data'!$A:$A,'[1]Tissue Data'!$D:$D)</f>
        <v>44314</v>
      </c>
      <c r="D1727" s="2" t="str">
        <f>_xlfn.XLOOKUP(A1727,'[1]Tissue Data'!$A:$A,'[1]Tissue Data'!$F:$F)</f>
        <v>Pumpkinseed</v>
      </c>
      <c r="E1727" t="str">
        <f>_xlfn.XLOOKUP(A1727,'[1]Tissue Data'!$A:$A,'[1]Tissue Data'!$H:$H)</f>
        <v>Lepomis</v>
      </c>
      <c r="F1727" t="str">
        <f>_xlfn.XLOOKUP(A1727,'[1]Tissue Data'!$A:$A,'[1]Tissue Data'!$I:$I)</f>
        <v>gibbosus</v>
      </c>
      <c r="G1727" t="str">
        <f>_xlfn.XLOOKUP(A1727,'[1]Tissue Data'!$A:$A,'[1]Tissue Data'!J:J)</f>
        <v>U</v>
      </c>
      <c r="H1727" t="str">
        <f>_xlfn.XLOOKUP(A1727,'[1]Tissue Data'!$A:$A,'[1]Tissue Data'!K:K)</f>
        <v>Whole Body</v>
      </c>
      <c r="I1727">
        <f>_xlfn.XLOOKUP(A1727,'[1]Tissue Data'!$A:$A,'[1]Tissue Data'!L:L)</f>
        <v>8.5</v>
      </c>
      <c r="J1727">
        <f>_xlfn.XLOOKUP(A1727,'[1]Tissue Data'!$A:$A,'[1]Tissue Data'!M:M)</f>
        <v>13.9</v>
      </c>
      <c r="K1727" t="s">
        <v>37</v>
      </c>
      <c r="L1727" t="str">
        <f>_xlfn.XLOOKUP(K1727,[2]analyte_order!$B:$B,[2]analyte_order!$C:$C)</f>
        <v>754-91-6</v>
      </c>
      <c r="M1727">
        <f>_xlfn.XLOOKUP(L1727,[2]analyte_order!$C:$C,[2]analyte_order!$E:$E)</f>
        <v>28</v>
      </c>
      <c r="N1727">
        <v>13</v>
      </c>
    </row>
    <row r="1728" spans="1:14">
      <c r="A1728" t="s">
        <v>248</v>
      </c>
      <c r="B1728" t="str">
        <f>_xlfn.XLOOKUP(A1728,'[1]Tissue Data'!$A:$A,'[1]Tissue Data'!$C:$C)</f>
        <v>Spill</v>
      </c>
      <c r="C1728" s="2">
        <f>_xlfn.XLOOKUP(A1728,'[1]Tissue Data'!$A:$A,'[1]Tissue Data'!$D:$D)</f>
        <v>44314</v>
      </c>
      <c r="D1728" s="2" t="str">
        <f>_xlfn.XLOOKUP(A1728,'[1]Tissue Data'!$A:$A,'[1]Tissue Data'!$F:$F)</f>
        <v>Pumpkinseed</v>
      </c>
      <c r="E1728" t="str">
        <f>_xlfn.XLOOKUP(A1728,'[1]Tissue Data'!$A:$A,'[1]Tissue Data'!$H:$H)</f>
        <v>Lepomis</v>
      </c>
      <c r="F1728" t="str">
        <f>_xlfn.XLOOKUP(A1728,'[1]Tissue Data'!$A:$A,'[1]Tissue Data'!$I:$I)</f>
        <v>gibbosus</v>
      </c>
      <c r="G1728" t="str">
        <f>_xlfn.XLOOKUP(A1728,'[1]Tissue Data'!$A:$A,'[1]Tissue Data'!J:J)</f>
        <v>U</v>
      </c>
      <c r="H1728" t="str">
        <f>_xlfn.XLOOKUP(A1728,'[1]Tissue Data'!$A:$A,'[1]Tissue Data'!K:K)</f>
        <v>Whole Body</v>
      </c>
      <c r="I1728">
        <f>_xlfn.XLOOKUP(A1728,'[1]Tissue Data'!$A:$A,'[1]Tissue Data'!L:L)</f>
        <v>8.5</v>
      </c>
      <c r="J1728">
        <f>_xlfn.XLOOKUP(A1728,'[1]Tissue Data'!$A:$A,'[1]Tissue Data'!M:M)</f>
        <v>13.9</v>
      </c>
      <c r="K1728" t="s">
        <v>38</v>
      </c>
      <c r="L1728" t="str">
        <f>_xlfn.XLOOKUP(K1728,[2]analyte_order!$B:$B,[2]analyte_order!$C:$C)</f>
        <v>31506-32-8</v>
      </c>
      <c r="M1728">
        <f>_xlfn.XLOOKUP(L1728,[2]analyte_order!$C:$C,[2]analyte_order!$E:$E)</f>
        <v>30</v>
      </c>
      <c r="N1728">
        <v>5.5093485726872241E-2</v>
      </c>
    </row>
    <row r="1729" spans="1:14">
      <c r="A1729" t="s">
        <v>248</v>
      </c>
      <c r="B1729" t="str">
        <f>_xlfn.XLOOKUP(A1729,'[1]Tissue Data'!$A:$A,'[1]Tissue Data'!$C:$C)</f>
        <v>Spill</v>
      </c>
      <c r="C1729" s="2">
        <f>_xlfn.XLOOKUP(A1729,'[1]Tissue Data'!$A:$A,'[1]Tissue Data'!$D:$D)</f>
        <v>44314</v>
      </c>
      <c r="D1729" s="2" t="str">
        <f>_xlfn.XLOOKUP(A1729,'[1]Tissue Data'!$A:$A,'[1]Tissue Data'!$F:$F)</f>
        <v>Pumpkinseed</v>
      </c>
      <c r="E1729" t="str">
        <f>_xlfn.XLOOKUP(A1729,'[1]Tissue Data'!$A:$A,'[1]Tissue Data'!$H:$H)</f>
        <v>Lepomis</v>
      </c>
      <c r="F1729" t="str">
        <f>_xlfn.XLOOKUP(A1729,'[1]Tissue Data'!$A:$A,'[1]Tissue Data'!$I:$I)</f>
        <v>gibbosus</v>
      </c>
      <c r="G1729" t="str">
        <f>_xlfn.XLOOKUP(A1729,'[1]Tissue Data'!$A:$A,'[1]Tissue Data'!J:J)</f>
        <v>U</v>
      </c>
      <c r="H1729" t="str">
        <f>_xlfn.XLOOKUP(A1729,'[1]Tissue Data'!$A:$A,'[1]Tissue Data'!K:K)</f>
        <v>Whole Body</v>
      </c>
      <c r="I1729">
        <f>_xlfn.XLOOKUP(A1729,'[1]Tissue Data'!$A:$A,'[1]Tissue Data'!L:L)</f>
        <v>8.5</v>
      </c>
      <c r="J1729">
        <f>_xlfn.XLOOKUP(A1729,'[1]Tissue Data'!$A:$A,'[1]Tissue Data'!M:M)</f>
        <v>13.9</v>
      </c>
      <c r="K1729" t="s">
        <v>39</v>
      </c>
      <c r="L1729" t="str">
        <f>_xlfn.XLOOKUP(K1729,[2]analyte_order!$B:$B,[2]analyte_order!$C:$C)</f>
        <v>4151-50-2</v>
      </c>
      <c r="M1729">
        <f>_xlfn.XLOOKUP(L1729,[2]analyte_order!$C:$C,[2]analyte_order!$E:$E)</f>
        <v>31</v>
      </c>
      <c r="N1729">
        <v>8.3454299900881046E-2</v>
      </c>
    </row>
    <row r="1730" spans="1:14">
      <c r="A1730" t="s">
        <v>248</v>
      </c>
      <c r="B1730" t="str">
        <f>_xlfn.XLOOKUP(A1730,'[1]Tissue Data'!$A:$A,'[1]Tissue Data'!$C:$C)</f>
        <v>Spill</v>
      </c>
      <c r="C1730" s="2">
        <f>_xlfn.XLOOKUP(A1730,'[1]Tissue Data'!$A:$A,'[1]Tissue Data'!$D:$D)</f>
        <v>44314</v>
      </c>
      <c r="D1730" s="2" t="str">
        <f>_xlfn.XLOOKUP(A1730,'[1]Tissue Data'!$A:$A,'[1]Tissue Data'!$F:$F)</f>
        <v>Pumpkinseed</v>
      </c>
      <c r="E1730" t="str">
        <f>_xlfn.XLOOKUP(A1730,'[1]Tissue Data'!$A:$A,'[1]Tissue Data'!$H:$H)</f>
        <v>Lepomis</v>
      </c>
      <c r="F1730" t="str">
        <f>_xlfn.XLOOKUP(A1730,'[1]Tissue Data'!$A:$A,'[1]Tissue Data'!$I:$I)</f>
        <v>gibbosus</v>
      </c>
      <c r="G1730" t="str">
        <f>_xlfn.XLOOKUP(A1730,'[1]Tissue Data'!$A:$A,'[1]Tissue Data'!J:J)</f>
        <v>U</v>
      </c>
      <c r="H1730" t="str">
        <f>_xlfn.XLOOKUP(A1730,'[1]Tissue Data'!$A:$A,'[1]Tissue Data'!K:K)</f>
        <v>Whole Body</v>
      </c>
      <c r="I1730">
        <f>_xlfn.XLOOKUP(A1730,'[1]Tissue Data'!$A:$A,'[1]Tissue Data'!L:L)</f>
        <v>8.5</v>
      </c>
      <c r="J1730">
        <f>_xlfn.XLOOKUP(A1730,'[1]Tissue Data'!$A:$A,'[1]Tissue Data'!M:M)</f>
        <v>13.9</v>
      </c>
      <c r="K1730" t="s">
        <v>40</v>
      </c>
      <c r="L1730" t="str">
        <f>_xlfn.XLOOKUP(K1730,[2]analyte_order!$B:$B,[2]analyte_order!$C:$C)</f>
        <v>2806-24-8</v>
      </c>
      <c r="M1730">
        <f>_xlfn.XLOOKUP(L1730,[2]analyte_order!$C:$C,[2]analyte_order!$E:$E)</f>
        <v>29</v>
      </c>
      <c r="N1730">
        <v>5.6370159317180611E-2</v>
      </c>
    </row>
    <row r="1731" spans="1:14">
      <c r="A1731" t="s">
        <v>248</v>
      </c>
      <c r="B1731" t="str">
        <f>_xlfn.XLOOKUP(A1731,'[1]Tissue Data'!$A:$A,'[1]Tissue Data'!$C:$C)</f>
        <v>Spill</v>
      </c>
      <c r="C1731" s="2">
        <f>_xlfn.XLOOKUP(A1731,'[1]Tissue Data'!$A:$A,'[1]Tissue Data'!$D:$D)</f>
        <v>44314</v>
      </c>
      <c r="D1731" s="2" t="str">
        <f>_xlfn.XLOOKUP(A1731,'[1]Tissue Data'!$A:$A,'[1]Tissue Data'!$F:$F)</f>
        <v>Pumpkinseed</v>
      </c>
      <c r="E1731" t="str">
        <f>_xlfn.XLOOKUP(A1731,'[1]Tissue Data'!$A:$A,'[1]Tissue Data'!$H:$H)</f>
        <v>Lepomis</v>
      </c>
      <c r="F1731" t="str">
        <f>_xlfn.XLOOKUP(A1731,'[1]Tissue Data'!$A:$A,'[1]Tissue Data'!$I:$I)</f>
        <v>gibbosus</v>
      </c>
      <c r="G1731" t="str">
        <f>_xlfn.XLOOKUP(A1731,'[1]Tissue Data'!$A:$A,'[1]Tissue Data'!J:J)</f>
        <v>U</v>
      </c>
      <c r="H1731" t="str">
        <f>_xlfn.XLOOKUP(A1731,'[1]Tissue Data'!$A:$A,'[1]Tissue Data'!K:K)</f>
        <v>Whole Body</v>
      </c>
      <c r="I1731">
        <f>_xlfn.XLOOKUP(A1731,'[1]Tissue Data'!$A:$A,'[1]Tissue Data'!L:L)</f>
        <v>8.5</v>
      </c>
      <c r="J1731">
        <f>_xlfn.XLOOKUP(A1731,'[1]Tissue Data'!$A:$A,'[1]Tissue Data'!M:M)</f>
        <v>13.9</v>
      </c>
      <c r="K1731" t="s">
        <v>41</v>
      </c>
      <c r="L1731" t="str">
        <f>_xlfn.XLOOKUP(K1731,[2]analyte_order!$B:$B,[2]analyte_order!$C:$C)</f>
        <v>2355-31-9</v>
      </c>
      <c r="M1731">
        <f>_xlfn.XLOOKUP(L1731,[2]analyte_order!$C:$C,[2]analyte_order!$E:$E)</f>
        <v>26</v>
      </c>
      <c r="N1731">
        <v>7.76</v>
      </c>
    </row>
    <row r="1732" spans="1:14">
      <c r="A1732" t="s">
        <v>248</v>
      </c>
      <c r="B1732" t="str">
        <f>_xlfn.XLOOKUP(A1732,'[1]Tissue Data'!$A:$A,'[1]Tissue Data'!$C:$C)</f>
        <v>Spill</v>
      </c>
      <c r="C1732" s="2">
        <f>_xlfn.XLOOKUP(A1732,'[1]Tissue Data'!$A:$A,'[1]Tissue Data'!$D:$D)</f>
        <v>44314</v>
      </c>
      <c r="D1732" s="2" t="str">
        <f>_xlfn.XLOOKUP(A1732,'[1]Tissue Data'!$A:$A,'[1]Tissue Data'!$F:$F)</f>
        <v>Pumpkinseed</v>
      </c>
      <c r="E1732" t="str">
        <f>_xlfn.XLOOKUP(A1732,'[1]Tissue Data'!$A:$A,'[1]Tissue Data'!$H:$H)</f>
        <v>Lepomis</v>
      </c>
      <c r="F1732" t="str">
        <f>_xlfn.XLOOKUP(A1732,'[1]Tissue Data'!$A:$A,'[1]Tissue Data'!$I:$I)</f>
        <v>gibbosus</v>
      </c>
      <c r="G1732" t="str">
        <f>_xlfn.XLOOKUP(A1732,'[1]Tissue Data'!$A:$A,'[1]Tissue Data'!J:J)</f>
        <v>U</v>
      </c>
      <c r="H1732" t="str">
        <f>_xlfn.XLOOKUP(A1732,'[1]Tissue Data'!$A:$A,'[1]Tissue Data'!K:K)</f>
        <v>Whole Body</v>
      </c>
      <c r="I1732">
        <f>_xlfn.XLOOKUP(A1732,'[1]Tissue Data'!$A:$A,'[1]Tissue Data'!L:L)</f>
        <v>8.5</v>
      </c>
      <c r="J1732">
        <f>_xlfn.XLOOKUP(A1732,'[1]Tissue Data'!$A:$A,'[1]Tissue Data'!M:M)</f>
        <v>13.9</v>
      </c>
      <c r="K1732" t="s">
        <v>42</v>
      </c>
      <c r="L1732" t="str">
        <f>_xlfn.XLOOKUP(K1732,[2]analyte_order!$B:$B,[2]analyte_order!$C:$C)</f>
        <v>2991-50-6</v>
      </c>
      <c r="M1732">
        <f>_xlfn.XLOOKUP(L1732,[2]analyte_order!$C:$C,[2]analyte_order!$E:$E)</f>
        <v>27</v>
      </c>
      <c r="N1732">
        <v>6.2073807522026417E-2</v>
      </c>
    </row>
    <row r="1733" spans="1:14">
      <c r="A1733" t="s">
        <v>248</v>
      </c>
      <c r="B1733" t="str">
        <f>_xlfn.XLOOKUP(A1733,'[1]Tissue Data'!$A:$A,'[1]Tissue Data'!$C:$C)</f>
        <v>Spill</v>
      </c>
      <c r="C1733" s="2">
        <f>_xlfn.XLOOKUP(A1733,'[1]Tissue Data'!$A:$A,'[1]Tissue Data'!$D:$D)</f>
        <v>44314</v>
      </c>
      <c r="D1733" s="2" t="str">
        <f>_xlfn.XLOOKUP(A1733,'[1]Tissue Data'!$A:$A,'[1]Tissue Data'!$F:$F)</f>
        <v>Pumpkinseed</v>
      </c>
      <c r="E1733" t="str">
        <f>_xlfn.XLOOKUP(A1733,'[1]Tissue Data'!$A:$A,'[1]Tissue Data'!$H:$H)</f>
        <v>Lepomis</v>
      </c>
      <c r="F1733" t="str">
        <f>_xlfn.XLOOKUP(A1733,'[1]Tissue Data'!$A:$A,'[1]Tissue Data'!$I:$I)</f>
        <v>gibbosus</v>
      </c>
      <c r="G1733" t="str">
        <f>_xlfn.XLOOKUP(A1733,'[1]Tissue Data'!$A:$A,'[1]Tissue Data'!J:J)</f>
        <v>U</v>
      </c>
      <c r="H1733" t="str">
        <f>_xlfn.XLOOKUP(A1733,'[1]Tissue Data'!$A:$A,'[1]Tissue Data'!K:K)</f>
        <v>Whole Body</v>
      </c>
      <c r="I1733">
        <f>_xlfn.XLOOKUP(A1733,'[1]Tissue Data'!$A:$A,'[1]Tissue Data'!L:L)</f>
        <v>8.5</v>
      </c>
      <c r="J1733">
        <f>_xlfn.XLOOKUP(A1733,'[1]Tissue Data'!$A:$A,'[1]Tissue Data'!M:M)</f>
        <v>13.9</v>
      </c>
      <c r="K1733" t="s">
        <v>43</v>
      </c>
      <c r="L1733" t="str">
        <f>_xlfn.XLOOKUP(K1733,[2]analyte_order!$B:$B,[2]analyte_order!$C:$C)</f>
        <v>757124-72-4</v>
      </c>
      <c r="M1733">
        <f>_xlfn.XLOOKUP(L1733,[2]analyte_order!$C:$C,[2]analyte_order!$E:$E)</f>
        <v>22</v>
      </c>
      <c r="N1733">
        <v>5.8741097312775326E-2</v>
      </c>
    </row>
    <row r="1734" spans="1:14">
      <c r="A1734" t="s">
        <v>248</v>
      </c>
      <c r="B1734" t="str">
        <f>_xlfn.XLOOKUP(A1734,'[1]Tissue Data'!$A:$A,'[1]Tissue Data'!$C:$C)</f>
        <v>Spill</v>
      </c>
      <c r="C1734" s="2">
        <f>_xlfn.XLOOKUP(A1734,'[1]Tissue Data'!$A:$A,'[1]Tissue Data'!$D:$D)</f>
        <v>44314</v>
      </c>
      <c r="D1734" s="2" t="str">
        <f>_xlfn.XLOOKUP(A1734,'[1]Tissue Data'!$A:$A,'[1]Tissue Data'!$F:$F)</f>
        <v>Pumpkinseed</v>
      </c>
      <c r="E1734" t="str">
        <f>_xlfn.XLOOKUP(A1734,'[1]Tissue Data'!$A:$A,'[1]Tissue Data'!$H:$H)</f>
        <v>Lepomis</v>
      </c>
      <c r="F1734" t="str">
        <f>_xlfn.XLOOKUP(A1734,'[1]Tissue Data'!$A:$A,'[1]Tissue Data'!$I:$I)</f>
        <v>gibbosus</v>
      </c>
      <c r="G1734" t="str">
        <f>_xlfn.XLOOKUP(A1734,'[1]Tissue Data'!$A:$A,'[1]Tissue Data'!J:J)</f>
        <v>U</v>
      </c>
      <c r="H1734" t="str">
        <f>_xlfn.XLOOKUP(A1734,'[1]Tissue Data'!$A:$A,'[1]Tissue Data'!K:K)</f>
        <v>Whole Body</v>
      </c>
      <c r="I1734">
        <f>_xlfn.XLOOKUP(A1734,'[1]Tissue Data'!$A:$A,'[1]Tissue Data'!L:L)</f>
        <v>8.5</v>
      </c>
      <c r="J1734">
        <f>_xlfn.XLOOKUP(A1734,'[1]Tissue Data'!$A:$A,'[1]Tissue Data'!M:M)</f>
        <v>13.9</v>
      </c>
      <c r="K1734" t="s">
        <v>44</v>
      </c>
      <c r="L1734" t="str">
        <f>_xlfn.XLOOKUP(K1734,[2]analyte_order!$B:$B,[2]analyte_order!$C:$C)</f>
        <v>27619-97-2</v>
      </c>
      <c r="M1734">
        <f>_xlfn.XLOOKUP(L1734,[2]analyte_order!$C:$C,[2]analyte_order!$E:$E)</f>
        <v>23</v>
      </c>
      <c r="N1734">
        <v>0.1341504534456992</v>
      </c>
    </row>
    <row r="1735" spans="1:14">
      <c r="A1735" t="s">
        <v>248</v>
      </c>
      <c r="B1735" t="str">
        <f>_xlfn.XLOOKUP(A1735,'[1]Tissue Data'!$A:$A,'[1]Tissue Data'!$C:$C)</f>
        <v>Spill</v>
      </c>
      <c r="C1735" s="2">
        <f>_xlfn.XLOOKUP(A1735,'[1]Tissue Data'!$A:$A,'[1]Tissue Data'!$D:$D)</f>
        <v>44314</v>
      </c>
      <c r="D1735" s="2" t="str">
        <f>_xlfn.XLOOKUP(A1735,'[1]Tissue Data'!$A:$A,'[1]Tissue Data'!$F:$F)</f>
        <v>Pumpkinseed</v>
      </c>
      <c r="E1735" t="str">
        <f>_xlfn.XLOOKUP(A1735,'[1]Tissue Data'!$A:$A,'[1]Tissue Data'!$H:$H)</f>
        <v>Lepomis</v>
      </c>
      <c r="F1735" t="str">
        <f>_xlfn.XLOOKUP(A1735,'[1]Tissue Data'!$A:$A,'[1]Tissue Data'!$I:$I)</f>
        <v>gibbosus</v>
      </c>
      <c r="G1735" t="str">
        <f>_xlfn.XLOOKUP(A1735,'[1]Tissue Data'!$A:$A,'[1]Tissue Data'!J:J)</f>
        <v>U</v>
      </c>
      <c r="H1735" t="str">
        <f>_xlfn.XLOOKUP(A1735,'[1]Tissue Data'!$A:$A,'[1]Tissue Data'!K:K)</f>
        <v>Whole Body</v>
      </c>
      <c r="I1735">
        <f>_xlfn.XLOOKUP(A1735,'[1]Tissue Data'!$A:$A,'[1]Tissue Data'!L:L)</f>
        <v>8.5</v>
      </c>
      <c r="J1735">
        <f>_xlfn.XLOOKUP(A1735,'[1]Tissue Data'!$A:$A,'[1]Tissue Data'!M:M)</f>
        <v>13.9</v>
      </c>
      <c r="K1735" t="s">
        <v>45</v>
      </c>
      <c r="L1735" t="str">
        <f>_xlfn.XLOOKUP(K1735,[2]analyte_order!$B:$B,[2]analyte_order!$C:$C)</f>
        <v>39108-34-4</v>
      </c>
      <c r="M1735">
        <f>_xlfn.XLOOKUP(L1735,[2]analyte_order!$C:$C,[2]analyte_order!$E:$E)</f>
        <v>24</v>
      </c>
      <c r="N1735">
        <v>1.24</v>
      </c>
    </row>
    <row r="1736" spans="1:14">
      <c r="A1736" t="s">
        <v>248</v>
      </c>
      <c r="B1736" t="str">
        <f>_xlfn.XLOOKUP(A1736,'[1]Tissue Data'!$A:$A,'[1]Tissue Data'!$C:$C)</f>
        <v>Spill</v>
      </c>
      <c r="C1736" s="2">
        <f>_xlfn.XLOOKUP(A1736,'[1]Tissue Data'!$A:$A,'[1]Tissue Data'!$D:$D)</f>
        <v>44314</v>
      </c>
      <c r="D1736" s="2" t="str">
        <f>_xlfn.XLOOKUP(A1736,'[1]Tissue Data'!$A:$A,'[1]Tissue Data'!$F:$F)</f>
        <v>Pumpkinseed</v>
      </c>
      <c r="E1736" t="str">
        <f>_xlfn.XLOOKUP(A1736,'[1]Tissue Data'!$A:$A,'[1]Tissue Data'!$H:$H)</f>
        <v>Lepomis</v>
      </c>
      <c r="F1736" t="str">
        <f>_xlfn.XLOOKUP(A1736,'[1]Tissue Data'!$A:$A,'[1]Tissue Data'!$I:$I)</f>
        <v>gibbosus</v>
      </c>
      <c r="G1736" t="str">
        <f>_xlfn.XLOOKUP(A1736,'[1]Tissue Data'!$A:$A,'[1]Tissue Data'!J:J)</f>
        <v>U</v>
      </c>
      <c r="H1736" t="str">
        <f>_xlfn.XLOOKUP(A1736,'[1]Tissue Data'!$A:$A,'[1]Tissue Data'!K:K)</f>
        <v>Whole Body</v>
      </c>
      <c r="I1736">
        <f>_xlfn.XLOOKUP(A1736,'[1]Tissue Data'!$A:$A,'[1]Tissue Data'!L:L)</f>
        <v>8.5</v>
      </c>
      <c r="J1736">
        <f>_xlfn.XLOOKUP(A1736,'[1]Tissue Data'!$A:$A,'[1]Tissue Data'!M:M)</f>
        <v>13.9</v>
      </c>
      <c r="K1736" t="s">
        <v>46</v>
      </c>
      <c r="L1736" t="str">
        <f>_xlfn.XLOOKUP(K1736,[2]analyte_order!$B:$B,[2]analyte_order!$C:$C)</f>
        <v>120226-60-0</v>
      </c>
      <c r="M1736">
        <f>_xlfn.XLOOKUP(L1736,[2]analyte_order!$C:$C,[2]analyte_order!$E:$E)</f>
        <v>25</v>
      </c>
      <c r="N1736">
        <v>8.1202123348017616E-2</v>
      </c>
    </row>
    <row r="1737" spans="1:14">
      <c r="A1737" t="s">
        <v>248</v>
      </c>
      <c r="B1737" t="str">
        <f>_xlfn.XLOOKUP(A1737,'[1]Tissue Data'!$A:$A,'[1]Tissue Data'!$C:$C)</f>
        <v>Spill</v>
      </c>
      <c r="C1737" s="2">
        <f>_xlfn.XLOOKUP(A1737,'[1]Tissue Data'!$A:$A,'[1]Tissue Data'!$D:$D)</f>
        <v>44314</v>
      </c>
      <c r="D1737" s="2" t="str">
        <f>_xlfn.XLOOKUP(A1737,'[1]Tissue Data'!$A:$A,'[1]Tissue Data'!$F:$F)</f>
        <v>Pumpkinseed</v>
      </c>
      <c r="E1737" t="str">
        <f>_xlfn.XLOOKUP(A1737,'[1]Tissue Data'!$A:$A,'[1]Tissue Data'!$H:$H)</f>
        <v>Lepomis</v>
      </c>
      <c r="F1737" t="str">
        <f>_xlfn.XLOOKUP(A1737,'[1]Tissue Data'!$A:$A,'[1]Tissue Data'!$I:$I)</f>
        <v>gibbosus</v>
      </c>
      <c r="G1737" t="str">
        <f>_xlfn.XLOOKUP(A1737,'[1]Tissue Data'!$A:$A,'[1]Tissue Data'!J:J)</f>
        <v>U</v>
      </c>
      <c r="H1737" t="str">
        <f>_xlfn.XLOOKUP(A1737,'[1]Tissue Data'!$A:$A,'[1]Tissue Data'!K:K)</f>
        <v>Whole Body</v>
      </c>
      <c r="I1737">
        <f>_xlfn.XLOOKUP(A1737,'[1]Tissue Data'!$A:$A,'[1]Tissue Data'!L:L)</f>
        <v>8.5</v>
      </c>
      <c r="J1737">
        <f>_xlfn.XLOOKUP(A1737,'[1]Tissue Data'!$A:$A,'[1]Tissue Data'!M:M)</f>
        <v>13.9</v>
      </c>
      <c r="K1737" t="s">
        <v>47</v>
      </c>
      <c r="L1737" t="str">
        <f>_xlfn.XLOOKUP(K1737,[2]analyte_order!$B:$B,[2]analyte_order!$C:$C)</f>
        <v>356-02-5</v>
      </c>
      <c r="M1737">
        <f>_xlfn.XLOOKUP(L1737,[2]analyte_order!$C:$C,[2]analyte_order!$E:$E)</f>
        <v>38</v>
      </c>
      <c r="N1737">
        <v>8.2491049724669599E-2</v>
      </c>
    </row>
    <row r="1738" spans="1:14">
      <c r="A1738" t="s">
        <v>248</v>
      </c>
      <c r="B1738" t="str">
        <f>_xlfn.XLOOKUP(A1738,'[1]Tissue Data'!$A:$A,'[1]Tissue Data'!$C:$C)</f>
        <v>Spill</v>
      </c>
      <c r="C1738" s="2">
        <f>_xlfn.XLOOKUP(A1738,'[1]Tissue Data'!$A:$A,'[1]Tissue Data'!$D:$D)</f>
        <v>44314</v>
      </c>
      <c r="D1738" s="2" t="str">
        <f>_xlfn.XLOOKUP(A1738,'[1]Tissue Data'!$A:$A,'[1]Tissue Data'!$F:$F)</f>
        <v>Pumpkinseed</v>
      </c>
      <c r="E1738" t="str">
        <f>_xlfn.XLOOKUP(A1738,'[1]Tissue Data'!$A:$A,'[1]Tissue Data'!$H:$H)</f>
        <v>Lepomis</v>
      </c>
      <c r="F1738" t="str">
        <f>_xlfn.XLOOKUP(A1738,'[1]Tissue Data'!$A:$A,'[1]Tissue Data'!$I:$I)</f>
        <v>gibbosus</v>
      </c>
      <c r="G1738" t="str">
        <f>_xlfn.XLOOKUP(A1738,'[1]Tissue Data'!$A:$A,'[1]Tissue Data'!J:J)</f>
        <v>U</v>
      </c>
      <c r="H1738" t="str">
        <f>_xlfn.XLOOKUP(A1738,'[1]Tissue Data'!$A:$A,'[1]Tissue Data'!K:K)</f>
        <v>Whole Body</v>
      </c>
      <c r="I1738">
        <f>_xlfn.XLOOKUP(A1738,'[1]Tissue Data'!$A:$A,'[1]Tissue Data'!L:L)</f>
        <v>8.5</v>
      </c>
      <c r="J1738">
        <f>_xlfn.XLOOKUP(A1738,'[1]Tissue Data'!$A:$A,'[1]Tissue Data'!M:M)</f>
        <v>13.9</v>
      </c>
      <c r="K1738" t="s">
        <v>48</v>
      </c>
      <c r="L1738" t="str">
        <f>_xlfn.XLOOKUP(K1738,[2]analyte_order!$B:$B,[2]analyte_order!$C:$C)</f>
        <v>914637-49-3</v>
      </c>
      <c r="M1738">
        <f>_xlfn.XLOOKUP(L1738,[2]analyte_order!$C:$C,[2]analyte_order!$E:$E)</f>
        <v>39</v>
      </c>
      <c r="N1738">
        <v>2.73</v>
      </c>
    </row>
    <row r="1739" spans="1:14">
      <c r="A1739" t="s">
        <v>248</v>
      </c>
      <c r="B1739" t="str">
        <f>_xlfn.XLOOKUP(A1739,'[1]Tissue Data'!$A:$A,'[1]Tissue Data'!$C:$C)</f>
        <v>Spill</v>
      </c>
      <c r="C1739" s="2">
        <f>_xlfn.XLOOKUP(A1739,'[1]Tissue Data'!$A:$A,'[1]Tissue Data'!$D:$D)</f>
        <v>44314</v>
      </c>
      <c r="D1739" s="2" t="str">
        <f>_xlfn.XLOOKUP(A1739,'[1]Tissue Data'!$A:$A,'[1]Tissue Data'!$F:$F)</f>
        <v>Pumpkinseed</v>
      </c>
      <c r="E1739" t="str">
        <f>_xlfn.XLOOKUP(A1739,'[1]Tissue Data'!$A:$A,'[1]Tissue Data'!$H:$H)</f>
        <v>Lepomis</v>
      </c>
      <c r="F1739" t="str">
        <f>_xlfn.XLOOKUP(A1739,'[1]Tissue Data'!$A:$A,'[1]Tissue Data'!$I:$I)</f>
        <v>gibbosus</v>
      </c>
      <c r="G1739" t="str">
        <f>_xlfn.XLOOKUP(A1739,'[1]Tissue Data'!$A:$A,'[1]Tissue Data'!J:J)</f>
        <v>U</v>
      </c>
      <c r="H1739" t="str">
        <f>_xlfn.XLOOKUP(A1739,'[1]Tissue Data'!$A:$A,'[1]Tissue Data'!K:K)</f>
        <v>Whole Body</v>
      </c>
      <c r="I1739">
        <f>_xlfn.XLOOKUP(A1739,'[1]Tissue Data'!$A:$A,'[1]Tissue Data'!L:L)</f>
        <v>8.5</v>
      </c>
      <c r="J1739">
        <f>_xlfn.XLOOKUP(A1739,'[1]Tissue Data'!$A:$A,'[1]Tissue Data'!M:M)</f>
        <v>13.9</v>
      </c>
      <c r="K1739" t="s">
        <v>49</v>
      </c>
      <c r="L1739" t="str">
        <f>_xlfn.XLOOKUP(K1739,[2]analyte_order!$B:$B,[2]analyte_order!$C:$C)</f>
        <v>812-70-4</v>
      </c>
      <c r="M1739">
        <f>_xlfn.XLOOKUP(L1739,[2]analyte_order!$C:$C,[2]analyte_order!$E:$E)</f>
        <v>40</v>
      </c>
      <c r="N1739">
        <v>49.4</v>
      </c>
    </row>
    <row r="1740" spans="1:14">
      <c r="A1740" t="s">
        <v>248</v>
      </c>
      <c r="B1740" t="str">
        <f>_xlfn.XLOOKUP(A1740,'[1]Tissue Data'!$A:$A,'[1]Tissue Data'!$C:$C)</f>
        <v>Spill</v>
      </c>
      <c r="C1740" s="2">
        <f>_xlfn.XLOOKUP(A1740,'[1]Tissue Data'!$A:$A,'[1]Tissue Data'!$D:$D)</f>
        <v>44314</v>
      </c>
      <c r="D1740" s="2" t="str">
        <f>_xlfn.XLOOKUP(A1740,'[1]Tissue Data'!$A:$A,'[1]Tissue Data'!$F:$F)</f>
        <v>Pumpkinseed</v>
      </c>
      <c r="E1740" t="str">
        <f>_xlfn.XLOOKUP(A1740,'[1]Tissue Data'!$A:$A,'[1]Tissue Data'!$H:$H)</f>
        <v>Lepomis</v>
      </c>
      <c r="F1740" t="str">
        <f>_xlfn.XLOOKUP(A1740,'[1]Tissue Data'!$A:$A,'[1]Tissue Data'!$I:$I)</f>
        <v>gibbosus</v>
      </c>
      <c r="G1740" t="str">
        <f>_xlfn.XLOOKUP(A1740,'[1]Tissue Data'!$A:$A,'[1]Tissue Data'!J:J)</f>
        <v>U</v>
      </c>
      <c r="H1740" t="str">
        <f>_xlfn.XLOOKUP(A1740,'[1]Tissue Data'!$A:$A,'[1]Tissue Data'!K:K)</f>
        <v>Whole Body</v>
      </c>
      <c r="I1740">
        <f>_xlfn.XLOOKUP(A1740,'[1]Tissue Data'!$A:$A,'[1]Tissue Data'!L:L)</f>
        <v>8.5</v>
      </c>
      <c r="J1740">
        <f>_xlfn.XLOOKUP(A1740,'[1]Tissue Data'!$A:$A,'[1]Tissue Data'!M:M)</f>
        <v>13.9</v>
      </c>
      <c r="K1740" t="s">
        <v>50</v>
      </c>
      <c r="L1740" t="str">
        <f>_xlfn.XLOOKUP(K1740,[2]analyte_order!$B:$B,[2]analyte_order!$C:$C)</f>
        <v>53826-12-3</v>
      </c>
      <c r="M1740">
        <f>_xlfn.XLOOKUP(L1740,[2]analyte_order!$C:$C,[2]analyte_order!$E:$E)</f>
        <v>41</v>
      </c>
      <c r="N1740">
        <v>4.1100000000000003</v>
      </c>
    </row>
    <row r="1741" spans="1:14">
      <c r="A1741" t="s">
        <v>248</v>
      </c>
      <c r="B1741" t="str">
        <f>_xlfn.XLOOKUP(A1741,'[1]Tissue Data'!$A:$A,'[1]Tissue Data'!$C:$C)</f>
        <v>Spill</v>
      </c>
      <c r="C1741" s="2">
        <f>_xlfn.XLOOKUP(A1741,'[1]Tissue Data'!$A:$A,'[1]Tissue Data'!$D:$D)</f>
        <v>44314</v>
      </c>
      <c r="D1741" s="2" t="str">
        <f>_xlfn.XLOOKUP(A1741,'[1]Tissue Data'!$A:$A,'[1]Tissue Data'!$F:$F)</f>
        <v>Pumpkinseed</v>
      </c>
      <c r="E1741" t="str">
        <f>_xlfn.XLOOKUP(A1741,'[1]Tissue Data'!$A:$A,'[1]Tissue Data'!$H:$H)</f>
        <v>Lepomis</v>
      </c>
      <c r="F1741" t="str">
        <f>_xlfn.XLOOKUP(A1741,'[1]Tissue Data'!$A:$A,'[1]Tissue Data'!$I:$I)</f>
        <v>gibbosus</v>
      </c>
      <c r="G1741" t="str">
        <f>_xlfn.XLOOKUP(A1741,'[1]Tissue Data'!$A:$A,'[1]Tissue Data'!J:J)</f>
        <v>U</v>
      </c>
      <c r="H1741" t="str">
        <f>_xlfn.XLOOKUP(A1741,'[1]Tissue Data'!$A:$A,'[1]Tissue Data'!K:K)</f>
        <v>Whole Body</v>
      </c>
      <c r="I1741">
        <f>_xlfn.XLOOKUP(A1741,'[1]Tissue Data'!$A:$A,'[1]Tissue Data'!L:L)</f>
        <v>8.5</v>
      </c>
      <c r="J1741">
        <f>_xlfn.XLOOKUP(A1741,'[1]Tissue Data'!$A:$A,'[1]Tissue Data'!M:M)</f>
        <v>13.9</v>
      </c>
      <c r="K1741" t="s">
        <v>51</v>
      </c>
      <c r="L1741" t="str">
        <f>_xlfn.XLOOKUP(K1741,[2]analyte_order!$B:$B,[2]analyte_order!$C:$C)</f>
        <v>27854-31-5</v>
      </c>
      <c r="M1741">
        <f>_xlfn.XLOOKUP(L1741,[2]analyte_order!$C:$C,[2]analyte_order!$E:$E)</f>
        <v>42</v>
      </c>
      <c r="N1741">
        <v>1.02</v>
      </c>
    </row>
    <row r="1742" spans="1:14">
      <c r="A1742" t="s">
        <v>248</v>
      </c>
      <c r="B1742" t="str">
        <f>_xlfn.XLOOKUP(A1742,'[1]Tissue Data'!$A:$A,'[1]Tissue Data'!$C:$C)</f>
        <v>Spill</v>
      </c>
      <c r="C1742" s="2">
        <f>_xlfn.XLOOKUP(A1742,'[1]Tissue Data'!$A:$A,'[1]Tissue Data'!$D:$D)</f>
        <v>44314</v>
      </c>
      <c r="D1742" s="2" t="str">
        <f>_xlfn.XLOOKUP(A1742,'[1]Tissue Data'!$A:$A,'[1]Tissue Data'!$F:$F)</f>
        <v>Pumpkinseed</v>
      </c>
      <c r="E1742" t="str">
        <f>_xlfn.XLOOKUP(A1742,'[1]Tissue Data'!$A:$A,'[1]Tissue Data'!$H:$H)</f>
        <v>Lepomis</v>
      </c>
      <c r="F1742" t="str">
        <f>_xlfn.XLOOKUP(A1742,'[1]Tissue Data'!$A:$A,'[1]Tissue Data'!$I:$I)</f>
        <v>gibbosus</v>
      </c>
      <c r="G1742" t="str">
        <f>_xlfn.XLOOKUP(A1742,'[1]Tissue Data'!$A:$A,'[1]Tissue Data'!J:J)</f>
        <v>U</v>
      </c>
      <c r="H1742" t="str">
        <f>_xlfn.XLOOKUP(A1742,'[1]Tissue Data'!$A:$A,'[1]Tissue Data'!K:K)</f>
        <v>Whole Body</v>
      </c>
      <c r="I1742">
        <f>_xlfn.XLOOKUP(A1742,'[1]Tissue Data'!$A:$A,'[1]Tissue Data'!L:L)</f>
        <v>8.5</v>
      </c>
      <c r="J1742">
        <f>_xlfn.XLOOKUP(A1742,'[1]Tissue Data'!$A:$A,'[1]Tissue Data'!M:M)</f>
        <v>13.9</v>
      </c>
      <c r="K1742" t="s">
        <v>52</v>
      </c>
      <c r="L1742" t="str">
        <f>_xlfn.XLOOKUP(K1742,[2]analyte_order!$B:$B,[2]analyte_order!$C:$C)</f>
        <v>53826-13-4</v>
      </c>
      <c r="M1742">
        <f>_xlfn.XLOOKUP(L1742,[2]analyte_order!$C:$C,[2]analyte_order!$E:$E)</f>
        <v>43</v>
      </c>
      <c r="N1742">
        <v>0.10671323501101321</v>
      </c>
    </row>
    <row r="1743" spans="1:14">
      <c r="A1743" t="s">
        <v>248</v>
      </c>
      <c r="B1743" t="str">
        <f>_xlfn.XLOOKUP(A1743,'[1]Tissue Data'!$A:$A,'[1]Tissue Data'!$C:$C)</f>
        <v>Spill</v>
      </c>
      <c r="C1743" s="2">
        <f>_xlfn.XLOOKUP(A1743,'[1]Tissue Data'!$A:$A,'[1]Tissue Data'!$D:$D)</f>
        <v>44314</v>
      </c>
      <c r="D1743" s="2" t="str">
        <f>_xlfn.XLOOKUP(A1743,'[1]Tissue Data'!$A:$A,'[1]Tissue Data'!$F:$F)</f>
        <v>Pumpkinseed</v>
      </c>
      <c r="E1743" t="str">
        <f>_xlfn.XLOOKUP(A1743,'[1]Tissue Data'!$A:$A,'[1]Tissue Data'!$H:$H)</f>
        <v>Lepomis</v>
      </c>
      <c r="F1743" t="str">
        <f>_xlfn.XLOOKUP(A1743,'[1]Tissue Data'!$A:$A,'[1]Tissue Data'!$I:$I)</f>
        <v>gibbosus</v>
      </c>
      <c r="G1743" t="str">
        <f>_xlfn.XLOOKUP(A1743,'[1]Tissue Data'!$A:$A,'[1]Tissue Data'!J:J)</f>
        <v>U</v>
      </c>
      <c r="H1743" t="str">
        <f>_xlfn.XLOOKUP(A1743,'[1]Tissue Data'!$A:$A,'[1]Tissue Data'!K:K)</f>
        <v>Whole Body</v>
      </c>
      <c r="I1743">
        <f>_xlfn.XLOOKUP(A1743,'[1]Tissue Data'!$A:$A,'[1]Tissue Data'!L:L)</f>
        <v>8.5</v>
      </c>
      <c r="J1743">
        <f>_xlfn.XLOOKUP(A1743,'[1]Tissue Data'!$A:$A,'[1]Tissue Data'!M:M)</f>
        <v>13.9</v>
      </c>
      <c r="K1743" t="s">
        <v>53</v>
      </c>
      <c r="L1743" t="str">
        <f>_xlfn.XLOOKUP(K1743,[2]analyte_order!$B:$B,[2]analyte_order!$C:$C)</f>
        <v>161094-75-3</v>
      </c>
      <c r="M1743">
        <f>_xlfn.XLOOKUP(L1743,[2]analyte_order!$C:$C,[2]analyte_order!$E:$E)</f>
        <v>44</v>
      </c>
      <c r="N1743">
        <v>5.6152851145374445E-2</v>
      </c>
    </row>
    <row r="1744" spans="1:14">
      <c r="A1744" t="s">
        <v>248</v>
      </c>
      <c r="B1744" t="str">
        <f>_xlfn.XLOOKUP(A1744,'[1]Tissue Data'!$A:$A,'[1]Tissue Data'!$C:$C)</f>
        <v>Spill</v>
      </c>
      <c r="C1744" s="2">
        <f>_xlfn.XLOOKUP(A1744,'[1]Tissue Data'!$A:$A,'[1]Tissue Data'!$D:$D)</f>
        <v>44314</v>
      </c>
      <c r="D1744" s="2" t="str">
        <f>_xlfn.XLOOKUP(A1744,'[1]Tissue Data'!$A:$A,'[1]Tissue Data'!$F:$F)</f>
        <v>Pumpkinseed</v>
      </c>
      <c r="E1744" t="str">
        <f>_xlfn.XLOOKUP(A1744,'[1]Tissue Data'!$A:$A,'[1]Tissue Data'!$H:$H)</f>
        <v>Lepomis</v>
      </c>
      <c r="F1744" t="str">
        <f>_xlfn.XLOOKUP(A1744,'[1]Tissue Data'!$A:$A,'[1]Tissue Data'!$I:$I)</f>
        <v>gibbosus</v>
      </c>
      <c r="G1744" t="str">
        <f>_xlfn.XLOOKUP(A1744,'[1]Tissue Data'!$A:$A,'[1]Tissue Data'!J:J)</f>
        <v>U</v>
      </c>
      <c r="H1744" t="str">
        <f>_xlfn.XLOOKUP(A1744,'[1]Tissue Data'!$A:$A,'[1]Tissue Data'!K:K)</f>
        <v>Whole Body</v>
      </c>
      <c r="I1744">
        <f>_xlfn.XLOOKUP(A1744,'[1]Tissue Data'!$A:$A,'[1]Tissue Data'!L:L)</f>
        <v>8.5</v>
      </c>
      <c r="J1744">
        <f>_xlfn.XLOOKUP(A1744,'[1]Tissue Data'!$A:$A,'[1]Tissue Data'!M:M)</f>
        <v>13.9</v>
      </c>
      <c r="K1744" t="s">
        <v>54</v>
      </c>
      <c r="L1744" t="str">
        <f>_xlfn.XLOOKUP(K1744,[2]analyte_order!$B:$B,[2]analyte_order!$C:$C)</f>
        <v>70887-84-2</v>
      </c>
      <c r="M1744">
        <f>_xlfn.XLOOKUP(L1744,[2]analyte_order!$C:$C,[2]analyte_order!$E:$E)</f>
        <v>45</v>
      </c>
      <c r="N1744">
        <v>4.3216468979074892E-2</v>
      </c>
    </row>
    <row r="1745" spans="1:14">
      <c r="A1745" t="s">
        <v>248</v>
      </c>
      <c r="B1745" t="str">
        <f>_xlfn.XLOOKUP(A1745,'[1]Tissue Data'!$A:$A,'[1]Tissue Data'!$C:$C)</f>
        <v>Spill</v>
      </c>
      <c r="C1745" s="2">
        <f>_xlfn.XLOOKUP(A1745,'[1]Tissue Data'!$A:$A,'[1]Tissue Data'!$D:$D)</f>
        <v>44314</v>
      </c>
      <c r="D1745" s="2" t="str">
        <f>_xlfn.XLOOKUP(A1745,'[1]Tissue Data'!$A:$A,'[1]Tissue Data'!$F:$F)</f>
        <v>Pumpkinseed</v>
      </c>
      <c r="E1745" t="str">
        <f>_xlfn.XLOOKUP(A1745,'[1]Tissue Data'!$A:$A,'[1]Tissue Data'!$H:$H)</f>
        <v>Lepomis</v>
      </c>
      <c r="F1745" t="str">
        <f>_xlfn.XLOOKUP(A1745,'[1]Tissue Data'!$A:$A,'[1]Tissue Data'!$I:$I)</f>
        <v>gibbosus</v>
      </c>
      <c r="G1745" t="str">
        <f>_xlfn.XLOOKUP(A1745,'[1]Tissue Data'!$A:$A,'[1]Tissue Data'!J:J)</f>
        <v>U</v>
      </c>
      <c r="H1745" t="str">
        <f>_xlfn.XLOOKUP(A1745,'[1]Tissue Data'!$A:$A,'[1]Tissue Data'!K:K)</f>
        <v>Whole Body</v>
      </c>
      <c r="I1745">
        <f>_xlfn.XLOOKUP(A1745,'[1]Tissue Data'!$A:$A,'[1]Tissue Data'!L:L)</f>
        <v>8.5</v>
      </c>
      <c r="J1745">
        <f>_xlfn.XLOOKUP(A1745,'[1]Tissue Data'!$A:$A,'[1]Tissue Data'!M:M)</f>
        <v>13.9</v>
      </c>
      <c r="K1745" t="s">
        <v>55</v>
      </c>
      <c r="L1745" t="str">
        <f>_xlfn.XLOOKUP(K1745,[2]analyte_order!$B:$B,[2]analyte_order!$C:$C)</f>
        <v>919005-14-4</v>
      </c>
      <c r="M1745">
        <f>_xlfn.XLOOKUP(L1745,[2]analyte_order!$C:$C,[2]analyte_order!$E:$E)</f>
        <v>35</v>
      </c>
      <c r="N1745">
        <v>7.151438869500544E-2</v>
      </c>
    </row>
    <row r="1746" spans="1:14">
      <c r="A1746" t="s">
        <v>248</v>
      </c>
      <c r="B1746" t="str">
        <f>_xlfn.XLOOKUP(A1746,'[1]Tissue Data'!$A:$A,'[1]Tissue Data'!$C:$C)</f>
        <v>Spill</v>
      </c>
      <c r="C1746" s="2">
        <f>_xlfn.XLOOKUP(A1746,'[1]Tissue Data'!$A:$A,'[1]Tissue Data'!$D:$D)</f>
        <v>44314</v>
      </c>
      <c r="D1746" s="2" t="str">
        <f>_xlfn.XLOOKUP(A1746,'[1]Tissue Data'!$A:$A,'[1]Tissue Data'!$F:$F)</f>
        <v>Pumpkinseed</v>
      </c>
      <c r="E1746" t="str">
        <f>_xlfn.XLOOKUP(A1746,'[1]Tissue Data'!$A:$A,'[1]Tissue Data'!$H:$H)</f>
        <v>Lepomis</v>
      </c>
      <c r="F1746" t="str">
        <f>_xlfn.XLOOKUP(A1746,'[1]Tissue Data'!$A:$A,'[1]Tissue Data'!$I:$I)</f>
        <v>gibbosus</v>
      </c>
      <c r="G1746" t="str">
        <f>_xlfn.XLOOKUP(A1746,'[1]Tissue Data'!$A:$A,'[1]Tissue Data'!J:J)</f>
        <v>U</v>
      </c>
      <c r="H1746" t="str">
        <f>_xlfn.XLOOKUP(A1746,'[1]Tissue Data'!$A:$A,'[1]Tissue Data'!K:K)</f>
        <v>Whole Body</v>
      </c>
      <c r="I1746">
        <f>_xlfn.XLOOKUP(A1746,'[1]Tissue Data'!$A:$A,'[1]Tissue Data'!L:L)</f>
        <v>8.5</v>
      </c>
      <c r="J1746">
        <f>_xlfn.XLOOKUP(A1746,'[1]Tissue Data'!$A:$A,'[1]Tissue Data'!M:M)</f>
        <v>13.9</v>
      </c>
      <c r="K1746" t="s">
        <v>56</v>
      </c>
      <c r="L1746" t="str">
        <f>_xlfn.XLOOKUP(K1746,[2]analyte_order!$B:$B,[2]analyte_order!$C:$C)</f>
        <v>756426-58-1</v>
      </c>
      <c r="M1746">
        <f>_xlfn.XLOOKUP(L1746,[2]analyte_order!$C:$C,[2]analyte_order!$E:$E)</f>
        <v>36</v>
      </c>
      <c r="N1746">
        <v>4.9638611993392076E-2</v>
      </c>
    </row>
    <row r="1747" spans="1:14">
      <c r="A1747" t="s">
        <v>248</v>
      </c>
      <c r="B1747" t="str">
        <f>_xlfn.XLOOKUP(A1747,'[1]Tissue Data'!$A:$A,'[1]Tissue Data'!$C:$C)</f>
        <v>Spill</v>
      </c>
      <c r="C1747" s="2">
        <f>_xlfn.XLOOKUP(A1747,'[1]Tissue Data'!$A:$A,'[1]Tissue Data'!$D:$D)</f>
        <v>44314</v>
      </c>
      <c r="D1747" s="2" t="str">
        <f>_xlfn.XLOOKUP(A1747,'[1]Tissue Data'!$A:$A,'[1]Tissue Data'!$F:$F)</f>
        <v>Pumpkinseed</v>
      </c>
      <c r="E1747" t="str">
        <f>_xlfn.XLOOKUP(A1747,'[1]Tissue Data'!$A:$A,'[1]Tissue Data'!$H:$H)</f>
        <v>Lepomis</v>
      </c>
      <c r="F1747" t="str">
        <f>_xlfn.XLOOKUP(A1747,'[1]Tissue Data'!$A:$A,'[1]Tissue Data'!$I:$I)</f>
        <v>gibbosus</v>
      </c>
      <c r="G1747" t="str">
        <f>_xlfn.XLOOKUP(A1747,'[1]Tissue Data'!$A:$A,'[1]Tissue Data'!J:J)</f>
        <v>U</v>
      </c>
      <c r="H1747" t="str">
        <f>_xlfn.XLOOKUP(A1747,'[1]Tissue Data'!$A:$A,'[1]Tissue Data'!K:K)</f>
        <v>Whole Body</v>
      </c>
      <c r="I1747">
        <f>_xlfn.XLOOKUP(A1747,'[1]Tissue Data'!$A:$A,'[1]Tissue Data'!L:L)</f>
        <v>8.5</v>
      </c>
      <c r="J1747">
        <f>_xlfn.XLOOKUP(A1747,'[1]Tissue Data'!$A:$A,'[1]Tissue Data'!M:M)</f>
        <v>13.9</v>
      </c>
      <c r="K1747" t="s">
        <v>57</v>
      </c>
      <c r="L1747" t="str">
        <f>_xlfn.XLOOKUP(K1747,[2]analyte_order!$B:$B,[2]analyte_order!$C:$C)</f>
        <v>763051-92-9</v>
      </c>
      <c r="M1747">
        <f>_xlfn.XLOOKUP(L1747,[2]analyte_order!$C:$C,[2]analyte_order!$E:$E)</f>
        <v>37</v>
      </c>
      <c r="N1747">
        <v>5.6352662147577094E-2</v>
      </c>
    </row>
    <row r="1748" spans="1:14">
      <c r="A1748" t="s">
        <v>248</v>
      </c>
      <c r="B1748" t="str">
        <f>_xlfn.XLOOKUP(A1748,'[1]Tissue Data'!$A:$A,'[1]Tissue Data'!$C:$C)</f>
        <v>Spill</v>
      </c>
      <c r="C1748" s="2">
        <f>_xlfn.XLOOKUP(A1748,'[1]Tissue Data'!$A:$A,'[1]Tissue Data'!$D:$D)</f>
        <v>44314</v>
      </c>
      <c r="D1748" s="2" t="str">
        <f>_xlfn.XLOOKUP(A1748,'[1]Tissue Data'!$A:$A,'[1]Tissue Data'!$F:$F)</f>
        <v>Pumpkinseed</v>
      </c>
      <c r="E1748" t="str">
        <f>_xlfn.XLOOKUP(A1748,'[1]Tissue Data'!$A:$A,'[1]Tissue Data'!$H:$H)</f>
        <v>Lepomis</v>
      </c>
      <c r="F1748" t="str">
        <f>_xlfn.XLOOKUP(A1748,'[1]Tissue Data'!$A:$A,'[1]Tissue Data'!$I:$I)</f>
        <v>gibbosus</v>
      </c>
      <c r="G1748" t="str">
        <f>_xlfn.XLOOKUP(A1748,'[1]Tissue Data'!$A:$A,'[1]Tissue Data'!J:J)</f>
        <v>U</v>
      </c>
      <c r="H1748" t="str">
        <f>_xlfn.XLOOKUP(A1748,'[1]Tissue Data'!$A:$A,'[1]Tissue Data'!K:K)</f>
        <v>Whole Body</v>
      </c>
      <c r="I1748">
        <f>_xlfn.XLOOKUP(A1748,'[1]Tissue Data'!$A:$A,'[1]Tissue Data'!L:L)</f>
        <v>8.5</v>
      </c>
      <c r="J1748">
        <f>_xlfn.XLOOKUP(A1748,'[1]Tissue Data'!$A:$A,'[1]Tissue Data'!M:M)</f>
        <v>13.9</v>
      </c>
      <c r="K1748" t="s">
        <v>58</v>
      </c>
      <c r="L1748" t="str">
        <f>_xlfn.XLOOKUP(K1748,[2]analyte_order!$B:$B,[2]analyte_order!$C:$C)</f>
        <v>13252-13-6</v>
      </c>
      <c r="M1748">
        <f>_xlfn.XLOOKUP(L1748,[2]analyte_order!$C:$C,[2]analyte_order!$E:$E)</f>
        <v>34</v>
      </c>
      <c r="N1748">
        <v>0.10262519058370044</v>
      </c>
    </row>
    <row r="1749" spans="1:14">
      <c r="A1749" t="s">
        <v>248</v>
      </c>
      <c r="B1749" t="str">
        <f>_xlfn.XLOOKUP(A1749,'[1]Tissue Data'!$A:$A,'[1]Tissue Data'!$C:$C)</f>
        <v>Spill</v>
      </c>
      <c r="C1749" s="2">
        <f>_xlfn.XLOOKUP(A1749,'[1]Tissue Data'!$A:$A,'[1]Tissue Data'!$D:$D)</f>
        <v>44314</v>
      </c>
      <c r="D1749" s="2" t="str">
        <f>_xlfn.XLOOKUP(A1749,'[1]Tissue Data'!$A:$A,'[1]Tissue Data'!$F:$F)</f>
        <v>Pumpkinseed</v>
      </c>
      <c r="E1749" t="str">
        <f>_xlfn.XLOOKUP(A1749,'[1]Tissue Data'!$A:$A,'[1]Tissue Data'!$H:$H)</f>
        <v>Lepomis</v>
      </c>
      <c r="F1749" t="str">
        <f>_xlfn.XLOOKUP(A1749,'[1]Tissue Data'!$A:$A,'[1]Tissue Data'!$I:$I)</f>
        <v>gibbosus</v>
      </c>
      <c r="G1749" t="str">
        <f>_xlfn.XLOOKUP(A1749,'[1]Tissue Data'!$A:$A,'[1]Tissue Data'!J:J)</f>
        <v>U</v>
      </c>
      <c r="H1749" t="str">
        <f>_xlfn.XLOOKUP(A1749,'[1]Tissue Data'!$A:$A,'[1]Tissue Data'!K:K)</f>
        <v>Whole Body</v>
      </c>
      <c r="I1749">
        <f>_xlfn.XLOOKUP(A1749,'[1]Tissue Data'!$A:$A,'[1]Tissue Data'!L:L)</f>
        <v>8.5</v>
      </c>
      <c r="J1749">
        <f>_xlfn.XLOOKUP(A1749,'[1]Tissue Data'!$A:$A,'[1]Tissue Data'!M:M)</f>
        <v>13.9</v>
      </c>
      <c r="K1749" t="s">
        <v>59</v>
      </c>
      <c r="L1749" t="str">
        <f>_xlfn.XLOOKUP(K1749,[2]analyte_order!$B:$B,[2]analyte_order!$C:$C)</f>
        <v>57677-95-9</v>
      </c>
      <c r="M1749">
        <f>_xlfn.XLOOKUP(L1749,[2]analyte_order!$C:$C,[2]analyte_order!$E:$E)</f>
        <v>46</v>
      </c>
      <c r="N1749">
        <v>7.6129136068281936E-2</v>
      </c>
    </row>
    <row r="1750" spans="1:14">
      <c r="A1750" t="s">
        <v>248</v>
      </c>
      <c r="B1750" t="str">
        <f>_xlfn.XLOOKUP(A1750,'[1]Tissue Data'!$A:$A,'[1]Tissue Data'!$C:$C)</f>
        <v>Spill</v>
      </c>
      <c r="C1750" s="2">
        <f>_xlfn.XLOOKUP(A1750,'[1]Tissue Data'!$A:$A,'[1]Tissue Data'!$D:$D)</f>
        <v>44314</v>
      </c>
      <c r="D1750" s="2" t="str">
        <f>_xlfn.XLOOKUP(A1750,'[1]Tissue Data'!$A:$A,'[1]Tissue Data'!$F:$F)</f>
        <v>Pumpkinseed</v>
      </c>
      <c r="E1750" t="str">
        <f>_xlfn.XLOOKUP(A1750,'[1]Tissue Data'!$A:$A,'[1]Tissue Data'!$H:$H)</f>
        <v>Lepomis</v>
      </c>
      <c r="F1750" t="str">
        <f>_xlfn.XLOOKUP(A1750,'[1]Tissue Data'!$A:$A,'[1]Tissue Data'!$I:$I)</f>
        <v>gibbosus</v>
      </c>
      <c r="G1750" t="str">
        <f>_xlfn.XLOOKUP(A1750,'[1]Tissue Data'!$A:$A,'[1]Tissue Data'!J:J)</f>
        <v>U</v>
      </c>
      <c r="H1750" t="str">
        <f>_xlfn.XLOOKUP(A1750,'[1]Tissue Data'!$A:$A,'[1]Tissue Data'!K:K)</f>
        <v>Whole Body</v>
      </c>
      <c r="I1750">
        <f>_xlfn.XLOOKUP(A1750,'[1]Tissue Data'!$A:$A,'[1]Tissue Data'!L:L)</f>
        <v>8.5</v>
      </c>
      <c r="J1750">
        <f>_xlfn.XLOOKUP(A1750,'[1]Tissue Data'!$A:$A,'[1]Tissue Data'!M:M)</f>
        <v>13.9</v>
      </c>
      <c r="K1750" t="s">
        <v>60</v>
      </c>
      <c r="L1750" t="str">
        <f>_xlfn.XLOOKUP(K1750,[2]analyte_order!$B:$B,[2]analyte_order!$C:$C)</f>
        <v>678-41-1</v>
      </c>
      <c r="M1750">
        <f>_xlfn.XLOOKUP(L1750,[2]analyte_order!$C:$C,[2]analyte_order!$E:$E)</f>
        <v>56</v>
      </c>
      <c r="N1750">
        <v>9.4814778270925104E-2</v>
      </c>
    </row>
    <row r="1751" spans="1:14">
      <c r="A1751" t="s">
        <v>248</v>
      </c>
      <c r="B1751" t="str">
        <f>_xlfn.XLOOKUP(A1751,'[1]Tissue Data'!$A:$A,'[1]Tissue Data'!$C:$C)</f>
        <v>Spill</v>
      </c>
      <c r="C1751" s="2">
        <f>_xlfn.XLOOKUP(A1751,'[1]Tissue Data'!$A:$A,'[1]Tissue Data'!$D:$D)</f>
        <v>44314</v>
      </c>
      <c r="D1751" s="2" t="str">
        <f>_xlfn.XLOOKUP(A1751,'[1]Tissue Data'!$A:$A,'[1]Tissue Data'!$F:$F)</f>
        <v>Pumpkinseed</v>
      </c>
      <c r="E1751" t="str">
        <f>_xlfn.XLOOKUP(A1751,'[1]Tissue Data'!$A:$A,'[1]Tissue Data'!$H:$H)</f>
        <v>Lepomis</v>
      </c>
      <c r="F1751" t="str">
        <f>_xlfn.XLOOKUP(A1751,'[1]Tissue Data'!$A:$A,'[1]Tissue Data'!$I:$I)</f>
        <v>gibbosus</v>
      </c>
      <c r="G1751" t="str">
        <f>_xlfn.XLOOKUP(A1751,'[1]Tissue Data'!$A:$A,'[1]Tissue Data'!J:J)</f>
        <v>U</v>
      </c>
      <c r="H1751" t="str">
        <f>_xlfn.XLOOKUP(A1751,'[1]Tissue Data'!$A:$A,'[1]Tissue Data'!K:K)</f>
        <v>Whole Body</v>
      </c>
      <c r="I1751">
        <f>_xlfn.XLOOKUP(A1751,'[1]Tissue Data'!$A:$A,'[1]Tissue Data'!L:L)</f>
        <v>8.5</v>
      </c>
      <c r="J1751">
        <f>_xlfn.XLOOKUP(A1751,'[1]Tissue Data'!$A:$A,'[1]Tissue Data'!M:M)</f>
        <v>13.9</v>
      </c>
      <c r="K1751" t="s">
        <v>61</v>
      </c>
      <c r="L1751" t="str">
        <f>_xlfn.XLOOKUP(K1751,[2]analyte_order!$B:$B,[2]analyte_order!$C:$C)</f>
        <v>2965-52-8</v>
      </c>
      <c r="M1751">
        <f>_xlfn.XLOOKUP(L1751,[2]analyte_order!$C:$C,[2]analyte_order!$E:$E)</f>
        <v>57</v>
      </c>
      <c r="N1751">
        <v>0.12586532410320955</v>
      </c>
    </row>
    <row r="1752" spans="1:14">
      <c r="A1752" t="s">
        <v>249</v>
      </c>
      <c r="B1752" t="str">
        <f>_xlfn.XLOOKUP(A1752,'[1]Tissue Data'!$A:$A,'[1]Tissue Data'!$C:$C)</f>
        <v>Spill</v>
      </c>
      <c r="C1752" s="2">
        <f>_xlfn.XLOOKUP(A1752,'[1]Tissue Data'!$A:$A,'[1]Tissue Data'!$D:$D)</f>
        <v>44314</v>
      </c>
      <c r="D1752" s="2" t="str">
        <f>_xlfn.XLOOKUP(A1752,'[1]Tissue Data'!$A:$A,'[1]Tissue Data'!$F:$F)</f>
        <v>Pumpkinseed</v>
      </c>
      <c r="E1752" t="str">
        <f>_xlfn.XLOOKUP(A1752,'[1]Tissue Data'!$A:$A,'[1]Tissue Data'!$H:$H)</f>
        <v>Lepomis</v>
      </c>
      <c r="F1752" t="str">
        <f>_xlfn.XLOOKUP(A1752,'[1]Tissue Data'!$A:$A,'[1]Tissue Data'!$I:$I)</f>
        <v>gibbosus</v>
      </c>
      <c r="G1752" t="str">
        <f>_xlfn.XLOOKUP(A1752,'[1]Tissue Data'!$A:$A,'[1]Tissue Data'!J:J)</f>
        <v>U</v>
      </c>
      <c r="H1752" t="str">
        <f>_xlfn.XLOOKUP(A1752,'[1]Tissue Data'!$A:$A,'[1]Tissue Data'!K:K)</f>
        <v>Whole Body</v>
      </c>
      <c r="I1752">
        <f>_xlfn.XLOOKUP(A1752,'[1]Tissue Data'!$A:$A,'[1]Tissue Data'!L:L)</f>
        <v>8</v>
      </c>
      <c r="J1752">
        <f>_xlfn.XLOOKUP(A1752,'[1]Tissue Data'!$A:$A,'[1]Tissue Data'!M:M)</f>
        <v>10.5</v>
      </c>
      <c r="K1752" t="s">
        <v>12</v>
      </c>
      <c r="L1752" t="str">
        <f>_xlfn.XLOOKUP(K1752,[2]analyte_order!$B:$B,[2]analyte_order!$C:$C)</f>
        <v>375-22-4</v>
      </c>
      <c r="M1752">
        <f>_xlfn.XLOOKUP(L1752,[2]analyte_order!$C:$C,[2]analyte_order!$E:$E)</f>
        <v>1</v>
      </c>
      <c r="N1752">
        <v>9.6774193548387094E-2</v>
      </c>
    </row>
    <row r="1753" spans="1:14">
      <c r="A1753" t="s">
        <v>249</v>
      </c>
      <c r="B1753" t="str">
        <f>_xlfn.XLOOKUP(A1753,'[1]Tissue Data'!$A:$A,'[1]Tissue Data'!$C:$C)</f>
        <v>Spill</v>
      </c>
      <c r="C1753" s="2">
        <f>_xlfn.XLOOKUP(A1753,'[1]Tissue Data'!$A:$A,'[1]Tissue Data'!$D:$D)</f>
        <v>44314</v>
      </c>
      <c r="D1753" s="2" t="str">
        <f>_xlfn.XLOOKUP(A1753,'[1]Tissue Data'!$A:$A,'[1]Tissue Data'!$F:$F)</f>
        <v>Pumpkinseed</v>
      </c>
      <c r="E1753" t="str">
        <f>_xlfn.XLOOKUP(A1753,'[1]Tissue Data'!$A:$A,'[1]Tissue Data'!$H:$H)</f>
        <v>Lepomis</v>
      </c>
      <c r="F1753" t="str">
        <f>_xlfn.XLOOKUP(A1753,'[1]Tissue Data'!$A:$A,'[1]Tissue Data'!$I:$I)</f>
        <v>gibbosus</v>
      </c>
      <c r="G1753" t="str">
        <f>_xlfn.XLOOKUP(A1753,'[1]Tissue Data'!$A:$A,'[1]Tissue Data'!J:J)</f>
        <v>U</v>
      </c>
      <c r="H1753" t="str">
        <f>_xlfn.XLOOKUP(A1753,'[1]Tissue Data'!$A:$A,'[1]Tissue Data'!K:K)</f>
        <v>Whole Body</v>
      </c>
      <c r="I1753">
        <f>_xlfn.XLOOKUP(A1753,'[1]Tissue Data'!$A:$A,'[1]Tissue Data'!L:L)</f>
        <v>8</v>
      </c>
      <c r="J1753">
        <f>_xlfn.XLOOKUP(A1753,'[1]Tissue Data'!$A:$A,'[1]Tissue Data'!M:M)</f>
        <v>10.5</v>
      </c>
      <c r="K1753" t="s">
        <v>13</v>
      </c>
      <c r="L1753" t="str">
        <f>_xlfn.XLOOKUP(K1753,[2]analyte_order!$B:$B,[2]analyte_order!$C:$C)</f>
        <v>2706-90-3</v>
      </c>
      <c r="M1753">
        <f>_xlfn.XLOOKUP(L1753,[2]analyte_order!$C:$C,[2]analyte_order!$E:$E)</f>
        <v>2</v>
      </c>
      <c r="N1753">
        <v>4.7573839629172436E-2</v>
      </c>
    </row>
    <row r="1754" spans="1:14">
      <c r="A1754" t="s">
        <v>249</v>
      </c>
      <c r="B1754" t="str">
        <f>_xlfn.XLOOKUP(A1754,'[1]Tissue Data'!$A:$A,'[1]Tissue Data'!$C:$C)</f>
        <v>Spill</v>
      </c>
      <c r="C1754" s="2">
        <f>_xlfn.XLOOKUP(A1754,'[1]Tissue Data'!$A:$A,'[1]Tissue Data'!$D:$D)</f>
        <v>44314</v>
      </c>
      <c r="D1754" s="2" t="str">
        <f>_xlfn.XLOOKUP(A1754,'[1]Tissue Data'!$A:$A,'[1]Tissue Data'!$F:$F)</f>
        <v>Pumpkinseed</v>
      </c>
      <c r="E1754" t="str">
        <f>_xlfn.XLOOKUP(A1754,'[1]Tissue Data'!$A:$A,'[1]Tissue Data'!$H:$H)</f>
        <v>Lepomis</v>
      </c>
      <c r="F1754" t="str">
        <f>_xlfn.XLOOKUP(A1754,'[1]Tissue Data'!$A:$A,'[1]Tissue Data'!$I:$I)</f>
        <v>gibbosus</v>
      </c>
      <c r="G1754" t="str">
        <f>_xlfn.XLOOKUP(A1754,'[1]Tissue Data'!$A:$A,'[1]Tissue Data'!J:J)</f>
        <v>U</v>
      </c>
      <c r="H1754" t="str">
        <f>_xlfn.XLOOKUP(A1754,'[1]Tissue Data'!$A:$A,'[1]Tissue Data'!K:K)</f>
        <v>Whole Body</v>
      </c>
      <c r="I1754">
        <f>_xlfn.XLOOKUP(A1754,'[1]Tissue Data'!$A:$A,'[1]Tissue Data'!L:L)</f>
        <v>8</v>
      </c>
      <c r="J1754">
        <f>_xlfn.XLOOKUP(A1754,'[1]Tissue Data'!$A:$A,'[1]Tissue Data'!M:M)</f>
        <v>10.5</v>
      </c>
      <c r="K1754" t="s">
        <v>14</v>
      </c>
      <c r="L1754" t="str">
        <f>_xlfn.XLOOKUP(K1754,[2]analyte_order!$B:$B,[2]analyte_order!$C:$C)</f>
        <v>307-24-4</v>
      </c>
      <c r="M1754">
        <f>_xlfn.XLOOKUP(L1754,[2]analyte_order!$C:$C,[2]analyte_order!$E:$E)</f>
        <v>3</v>
      </c>
      <c r="N1754">
        <v>0.13057046620359675</v>
      </c>
    </row>
    <row r="1755" spans="1:14">
      <c r="A1755" t="s">
        <v>249</v>
      </c>
      <c r="B1755" t="str">
        <f>_xlfn.XLOOKUP(A1755,'[1]Tissue Data'!$A:$A,'[1]Tissue Data'!$C:$C)</f>
        <v>Spill</v>
      </c>
      <c r="C1755" s="2">
        <f>_xlfn.XLOOKUP(A1755,'[1]Tissue Data'!$A:$A,'[1]Tissue Data'!$D:$D)</f>
        <v>44314</v>
      </c>
      <c r="D1755" s="2" t="str">
        <f>_xlfn.XLOOKUP(A1755,'[1]Tissue Data'!$A:$A,'[1]Tissue Data'!$F:$F)</f>
        <v>Pumpkinseed</v>
      </c>
      <c r="E1755" t="str">
        <f>_xlfn.XLOOKUP(A1755,'[1]Tissue Data'!$A:$A,'[1]Tissue Data'!$H:$H)</f>
        <v>Lepomis</v>
      </c>
      <c r="F1755" t="str">
        <f>_xlfn.XLOOKUP(A1755,'[1]Tissue Data'!$A:$A,'[1]Tissue Data'!$I:$I)</f>
        <v>gibbosus</v>
      </c>
      <c r="G1755" t="str">
        <f>_xlfn.XLOOKUP(A1755,'[1]Tissue Data'!$A:$A,'[1]Tissue Data'!J:J)</f>
        <v>U</v>
      </c>
      <c r="H1755" t="str">
        <f>_xlfn.XLOOKUP(A1755,'[1]Tissue Data'!$A:$A,'[1]Tissue Data'!K:K)</f>
        <v>Whole Body</v>
      </c>
      <c r="I1755">
        <f>_xlfn.XLOOKUP(A1755,'[1]Tissue Data'!$A:$A,'[1]Tissue Data'!L:L)</f>
        <v>8</v>
      </c>
      <c r="J1755">
        <f>_xlfn.XLOOKUP(A1755,'[1]Tissue Data'!$A:$A,'[1]Tissue Data'!M:M)</f>
        <v>10.5</v>
      </c>
      <c r="K1755" t="s">
        <v>15</v>
      </c>
      <c r="L1755" t="str">
        <f>_xlfn.XLOOKUP(K1755,[2]analyte_order!$B:$B,[2]analyte_order!$C:$C)</f>
        <v>375-85-9</v>
      </c>
      <c r="M1755">
        <f>_xlfn.XLOOKUP(L1755,[2]analyte_order!$C:$C,[2]analyte_order!$E:$E)</f>
        <v>4</v>
      </c>
      <c r="N1755">
        <v>9.6774193548387094E-2</v>
      </c>
    </row>
    <row r="1756" spans="1:14">
      <c r="A1756" t="s">
        <v>249</v>
      </c>
      <c r="B1756" t="str">
        <f>_xlfn.XLOOKUP(A1756,'[1]Tissue Data'!$A:$A,'[1]Tissue Data'!$C:$C)</f>
        <v>Spill</v>
      </c>
      <c r="C1756" s="2">
        <f>_xlfn.XLOOKUP(A1756,'[1]Tissue Data'!$A:$A,'[1]Tissue Data'!$D:$D)</f>
        <v>44314</v>
      </c>
      <c r="D1756" s="2" t="str">
        <f>_xlfn.XLOOKUP(A1756,'[1]Tissue Data'!$A:$A,'[1]Tissue Data'!$F:$F)</f>
        <v>Pumpkinseed</v>
      </c>
      <c r="E1756" t="str">
        <f>_xlfn.XLOOKUP(A1756,'[1]Tissue Data'!$A:$A,'[1]Tissue Data'!$H:$H)</f>
        <v>Lepomis</v>
      </c>
      <c r="F1756" t="str">
        <f>_xlfn.XLOOKUP(A1756,'[1]Tissue Data'!$A:$A,'[1]Tissue Data'!$I:$I)</f>
        <v>gibbosus</v>
      </c>
      <c r="G1756" t="str">
        <f>_xlfn.XLOOKUP(A1756,'[1]Tissue Data'!$A:$A,'[1]Tissue Data'!J:J)</f>
        <v>U</v>
      </c>
      <c r="H1756" t="str">
        <f>_xlfn.XLOOKUP(A1756,'[1]Tissue Data'!$A:$A,'[1]Tissue Data'!K:K)</f>
        <v>Whole Body</v>
      </c>
      <c r="I1756">
        <f>_xlfn.XLOOKUP(A1756,'[1]Tissue Data'!$A:$A,'[1]Tissue Data'!L:L)</f>
        <v>8</v>
      </c>
      <c r="J1756">
        <f>_xlfn.XLOOKUP(A1756,'[1]Tissue Data'!$A:$A,'[1]Tissue Data'!M:M)</f>
        <v>10.5</v>
      </c>
      <c r="K1756" t="s">
        <v>16</v>
      </c>
      <c r="L1756" t="str">
        <f>_xlfn.XLOOKUP(K1756,[2]analyte_order!$B:$B,[2]analyte_order!$C:$C)</f>
        <v>335-67-1</v>
      </c>
      <c r="M1756">
        <f>_xlfn.XLOOKUP(L1756,[2]analyte_order!$C:$C,[2]analyte_order!$E:$E)</f>
        <v>5</v>
      </c>
      <c r="N1756">
        <v>1.28</v>
      </c>
    </row>
    <row r="1757" spans="1:14">
      <c r="A1757" t="s">
        <v>249</v>
      </c>
      <c r="B1757" t="str">
        <f>_xlfn.XLOOKUP(A1757,'[1]Tissue Data'!$A:$A,'[1]Tissue Data'!$C:$C)</f>
        <v>Spill</v>
      </c>
      <c r="C1757" s="2">
        <f>_xlfn.XLOOKUP(A1757,'[1]Tissue Data'!$A:$A,'[1]Tissue Data'!$D:$D)</f>
        <v>44314</v>
      </c>
      <c r="D1757" s="2" t="str">
        <f>_xlfn.XLOOKUP(A1757,'[1]Tissue Data'!$A:$A,'[1]Tissue Data'!$F:$F)</f>
        <v>Pumpkinseed</v>
      </c>
      <c r="E1757" t="str">
        <f>_xlfn.XLOOKUP(A1757,'[1]Tissue Data'!$A:$A,'[1]Tissue Data'!$H:$H)</f>
        <v>Lepomis</v>
      </c>
      <c r="F1757" t="str">
        <f>_xlfn.XLOOKUP(A1757,'[1]Tissue Data'!$A:$A,'[1]Tissue Data'!$I:$I)</f>
        <v>gibbosus</v>
      </c>
      <c r="G1757" t="str">
        <f>_xlfn.XLOOKUP(A1757,'[1]Tissue Data'!$A:$A,'[1]Tissue Data'!J:J)</f>
        <v>U</v>
      </c>
      <c r="H1757" t="str">
        <f>_xlfn.XLOOKUP(A1757,'[1]Tissue Data'!$A:$A,'[1]Tissue Data'!K:K)</f>
        <v>Whole Body</v>
      </c>
      <c r="I1757">
        <f>_xlfn.XLOOKUP(A1757,'[1]Tissue Data'!$A:$A,'[1]Tissue Data'!L:L)</f>
        <v>8</v>
      </c>
      <c r="J1757">
        <f>_xlfn.XLOOKUP(A1757,'[1]Tissue Data'!$A:$A,'[1]Tissue Data'!M:M)</f>
        <v>10.5</v>
      </c>
      <c r="K1757" t="s">
        <v>17</v>
      </c>
      <c r="L1757" t="str">
        <f>_xlfn.XLOOKUP(K1757,[2]analyte_order!$B:$B,[2]analyte_order!$C:$C)</f>
        <v>375-95-1</v>
      </c>
      <c r="M1757">
        <f>_xlfn.XLOOKUP(L1757,[2]analyte_order!$C:$C,[2]analyte_order!$E:$E)</f>
        <v>6</v>
      </c>
      <c r="N1757">
        <v>2.2400000000000002</v>
      </c>
    </row>
    <row r="1758" spans="1:14">
      <c r="A1758" t="s">
        <v>249</v>
      </c>
      <c r="B1758" t="str">
        <f>_xlfn.XLOOKUP(A1758,'[1]Tissue Data'!$A:$A,'[1]Tissue Data'!$C:$C)</f>
        <v>Spill</v>
      </c>
      <c r="C1758" s="2">
        <f>_xlfn.XLOOKUP(A1758,'[1]Tissue Data'!$A:$A,'[1]Tissue Data'!$D:$D)</f>
        <v>44314</v>
      </c>
      <c r="D1758" s="2" t="str">
        <f>_xlfn.XLOOKUP(A1758,'[1]Tissue Data'!$A:$A,'[1]Tissue Data'!$F:$F)</f>
        <v>Pumpkinseed</v>
      </c>
      <c r="E1758" t="str">
        <f>_xlfn.XLOOKUP(A1758,'[1]Tissue Data'!$A:$A,'[1]Tissue Data'!$H:$H)</f>
        <v>Lepomis</v>
      </c>
      <c r="F1758" t="str">
        <f>_xlfn.XLOOKUP(A1758,'[1]Tissue Data'!$A:$A,'[1]Tissue Data'!$I:$I)</f>
        <v>gibbosus</v>
      </c>
      <c r="G1758" t="str">
        <f>_xlfn.XLOOKUP(A1758,'[1]Tissue Data'!$A:$A,'[1]Tissue Data'!J:J)</f>
        <v>U</v>
      </c>
      <c r="H1758" t="str">
        <f>_xlfn.XLOOKUP(A1758,'[1]Tissue Data'!$A:$A,'[1]Tissue Data'!K:K)</f>
        <v>Whole Body</v>
      </c>
      <c r="I1758">
        <f>_xlfn.XLOOKUP(A1758,'[1]Tissue Data'!$A:$A,'[1]Tissue Data'!L:L)</f>
        <v>8</v>
      </c>
      <c r="J1758">
        <f>_xlfn.XLOOKUP(A1758,'[1]Tissue Data'!$A:$A,'[1]Tissue Data'!M:M)</f>
        <v>10.5</v>
      </c>
      <c r="K1758" t="s">
        <v>18</v>
      </c>
      <c r="L1758" t="str">
        <f>_xlfn.XLOOKUP(K1758,[2]analyte_order!$B:$B,[2]analyte_order!$C:$C)</f>
        <v>335-76-2</v>
      </c>
      <c r="M1758">
        <f>_xlfn.XLOOKUP(L1758,[2]analyte_order!$C:$C,[2]analyte_order!$E:$E)</f>
        <v>7</v>
      </c>
      <c r="N1758">
        <v>3.92</v>
      </c>
    </row>
    <row r="1759" spans="1:14">
      <c r="A1759" t="s">
        <v>249</v>
      </c>
      <c r="B1759" t="str">
        <f>_xlfn.XLOOKUP(A1759,'[1]Tissue Data'!$A:$A,'[1]Tissue Data'!$C:$C)</f>
        <v>Spill</v>
      </c>
      <c r="C1759" s="2">
        <f>_xlfn.XLOOKUP(A1759,'[1]Tissue Data'!$A:$A,'[1]Tissue Data'!$D:$D)</f>
        <v>44314</v>
      </c>
      <c r="D1759" s="2" t="str">
        <f>_xlfn.XLOOKUP(A1759,'[1]Tissue Data'!$A:$A,'[1]Tissue Data'!$F:$F)</f>
        <v>Pumpkinseed</v>
      </c>
      <c r="E1759" t="str">
        <f>_xlfn.XLOOKUP(A1759,'[1]Tissue Data'!$A:$A,'[1]Tissue Data'!$H:$H)</f>
        <v>Lepomis</v>
      </c>
      <c r="F1759" t="str">
        <f>_xlfn.XLOOKUP(A1759,'[1]Tissue Data'!$A:$A,'[1]Tissue Data'!$I:$I)</f>
        <v>gibbosus</v>
      </c>
      <c r="G1759" t="str">
        <f>_xlfn.XLOOKUP(A1759,'[1]Tissue Data'!$A:$A,'[1]Tissue Data'!J:J)</f>
        <v>U</v>
      </c>
      <c r="H1759" t="str">
        <f>_xlfn.XLOOKUP(A1759,'[1]Tissue Data'!$A:$A,'[1]Tissue Data'!K:K)</f>
        <v>Whole Body</v>
      </c>
      <c r="I1759">
        <f>_xlfn.XLOOKUP(A1759,'[1]Tissue Data'!$A:$A,'[1]Tissue Data'!L:L)</f>
        <v>8</v>
      </c>
      <c r="J1759">
        <f>_xlfn.XLOOKUP(A1759,'[1]Tissue Data'!$A:$A,'[1]Tissue Data'!M:M)</f>
        <v>10.5</v>
      </c>
      <c r="K1759" t="s">
        <v>19</v>
      </c>
      <c r="L1759" t="str">
        <f>_xlfn.XLOOKUP(K1759,[2]analyte_order!$B:$B,[2]analyte_order!$C:$C)</f>
        <v>2058-94-8</v>
      </c>
      <c r="M1759">
        <f>_xlfn.XLOOKUP(L1759,[2]analyte_order!$C:$C,[2]analyte_order!$E:$E)</f>
        <v>8</v>
      </c>
      <c r="N1759">
        <v>7.67</v>
      </c>
    </row>
    <row r="1760" spans="1:14">
      <c r="A1760" t="s">
        <v>249</v>
      </c>
      <c r="B1760" t="str">
        <f>_xlfn.XLOOKUP(A1760,'[1]Tissue Data'!$A:$A,'[1]Tissue Data'!$C:$C)</f>
        <v>Spill</v>
      </c>
      <c r="C1760" s="2">
        <f>_xlfn.XLOOKUP(A1760,'[1]Tissue Data'!$A:$A,'[1]Tissue Data'!$D:$D)</f>
        <v>44314</v>
      </c>
      <c r="D1760" s="2" t="str">
        <f>_xlfn.XLOOKUP(A1760,'[1]Tissue Data'!$A:$A,'[1]Tissue Data'!$F:$F)</f>
        <v>Pumpkinseed</v>
      </c>
      <c r="E1760" t="str">
        <f>_xlfn.XLOOKUP(A1760,'[1]Tissue Data'!$A:$A,'[1]Tissue Data'!$H:$H)</f>
        <v>Lepomis</v>
      </c>
      <c r="F1760" t="str">
        <f>_xlfn.XLOOKUP(A1760,'[1]Tissue Data'!$A:$A,'[1]Tissue Data'!$I:$I)</f>
        <v>gibbosus</v>
      </c>
      <c r="G1760" t="str">
        <f>_xlfn.XLOOKUP(A1760,'[1]Tissue Data'!$A:$A,'[1]Tissue Data'!J:J)</f>
        <v>U</v>
      </c>
      <c r="H1760" t="str">
        <f>_xlfn.XLOOKUP(A1760,'[1]Tissue Data'!$A:$A,'[1]Tissue Data'!K:K)</f>
        <v>Whole Body</v>
      </c>
      <c r="I1760">
        <f>_xlfn.XLOOKUP(A1760,'[1]Tissue Data'!$A:$A,'[1]Tissue Data'!L:L)</f>
        <v>8</v>
      </c>
      <c r="J1760">
        <f>_xlfn.XLOOKUP(A1760,'[1]Tissue Data'!$A:$A,'[1]Tissue Data'!M:M)</f>
        <v>10.5</v>
      </c>
      <c r="K1760" t="s">
        <v>20</v>
      </c>
      <c r="L1760" t="str">
        <f>_xlfn.XLOOKUP(K1760,[2]analyte_order!$B:$B,[2]analyte_order!$C:$C)</f>
        <v>307-55-1</v>
      </c>
      <c r="M1760">
        <f>_xlfn.XLOOKUP(L1760,[2]analyte_order!$C:$C,[2]analyte_order!$E:$E)</f>
        <v>9</v>
      </c>
      <c r="N1760">
        <v>5.376168469731385E-2</v>
      </c>
    </row>
    <row r="1761" spans="1:14">
      <c r="A1761" t="s">
        <v>249</v>
      </c>
      <c r="B1761" t="str">
        <f>_xlfn.XLOOKUP(A1761,'[1]Tissue Data'!$A:$A,'[1]Tissue Data'!$C:$C)</f>
        <v>Spill</v>
      </c>
      <c r="C1761" s="2">
        <f>_xlfn.XLOOKUP(A1761,'[1]Tissue Data'!$A:$A,'[1]Tissue Data'!$D:$D)</f>
        <v>44314</v>
      </c>
      <c r="D1761" s="2" t="str">
        <f>_xlfn.XLOOKUP(A1761,'[1]Tissue Data'!$A:$A,'[1]Tissue Data'!$F:$F)</f>
        <v>Pumpkinseed</v>
      </c>
      <c r="E1761" t="str">
        <f>_xlfn.XLOOKUP(A1761,'[1]Tissue Data'!$A:$A,'[1]Tissue Data'!$H:$H)</f>
        <v>Lepomis</v>
      </c>
      <c r="F1761" t="str">
        <f>_xlfn.XLOOKUP(A1761,'[1]Tissue Data'!$A:$A,'[1]Tissue Data'!$I:$I)</f>
        <v>gibbosus</v>
      </c>
      <c r="G1761" t="str">
        <f>_xlfn.XLOOKUP(A1761,'[1]Tissue Data'!$A:$A,'[1]Tissue Data'!J:J)</f>
        <v>U</v>
      </c>
      <c r="H1761" t="str">
        <f>_xlfn.XLOOKUP(A1761,'[1]Tissue Data'!$A:$A,'[1]Tissue Data'!K:K)</f>
        <v>Whole Body</v>
      </c>
      <c r="I1761">
        <f>_xlfn.XLOOKUP(A1761,'[1]Tissue Data'!$A:$A,'[1]Tissue Data'!L:L)</f>
        <v>8</v>
      </c>
      <c r="J1761">
        <f>_xlfn.XLOOKUP(A1761,'[1]Tissue Data'!$A:$A,'[1]Tissue Data'!M:M)</f>
        <v>10.5</v>
      </c>
      <c r="K1761" t="s">
        <v>21</v>
      </c>
      <c r="L1761" t="str">
        <f>_xlfn.XLOOKUP(K1761,[2]analyte_order!$B:$B,[2]analyte_order!$C:$C)</f>
        <v>72629-94-8</v>
      </c>
      <c r="M1761">
        <f>_xlfn.XLOOKUP(L1761,[2]analyte_order!$C:$C,[2]analyte_order!$E:$E)</f>
        <v>10</v>
      </c>
      <c r="N1761">
        <v>2.65</v>
      </c>
    </row>
    <row r="1762" spans="1:14">
      <c r="A1762" t="s">
        <v>249</v>
      </c>
      <c r="B1762" t="str">
        <f>_xlfn.XLOOKUP(A1762,'[1]Tissue Data'!$A:$A,'[1]Tissue Data'!$C:$C)</f>
        <v>Spill</v>
      </c>
      <c r="C1762" s="2">
        <f>_xlfn.XLOOKUP(A1762,'[1]Tissue Data'!$A:$A,'[1]Tissue Data'!$D:$D)</f>
        <v>44314</v>
      </c>
      <c r="D1762" s="2" t="str">
        <f>_xlfn.XLOOKUP(A1762,'[1]Tissue Data'!$A:$A,'[1]Tissue Data'!$F:$F)</f>
        <v>Pumpkinseed</v>
      </c>
      <c r="E1762" t="str">
        <f>_xlfn.XLOOKUP(A1762,'[1]Tissue Data'!$A:$A,'[1]Tissue Data'!$H:$H)</f>
        <v>Lepomis</v>
      </c>
      <c r="F1762" t="str">
        <f>_xlfn.XLOOKUP(A1762,'[1]Tissue Data'!$A:$A,'[1]Tissue Data'!$I:$I)</f>
        <v>gibbosus</v>
      </c>
      <c r="G1762" t="str">
        <f>_xlfn.XLOOKUP(A1762,'[1]Tissue Data'!$A:$A,'[1]Tissue Data'!J:J)</f>
        <v>U</v>
      </c>
      <c r="H1762" t="str">
        <f>_xlfn.XLOOKUP(A1762,'[1]Tissue Data'!$A:$A,'[1]Tissue Data'!K:K)</f>
        <v>Whole Body</v>
      </c>
      <c r="I1762">
        <f>_xlfn.XLOOKUP(A1762,'[1]Tissue Data'!$A:$A,'[1]Tissue Data'!L:L)</f>
        <v>8</v>
      </c>
      <c r="J1762">
        <f>_xlfn.XLOOKUP(A1762,'[1]Tissue Data'!$A:$A,'[1]Tissue Data'!M:M)</f>
        <v>10.5</v>
      </c>
      <c r="K1762" t="s">
        <v>22</v>
      </c>
      <c r="L1762" t="str">
        <f>_xlfn.XLOOKUP(K1762,[2]analyte_order!$B:$B,[2]analyte_order!$C:$C)</f>
        <v>376-06-7</v>
      </c>
      <c r="M1762">
        <f>_xlfn.XLOOKUP(L1762,[2]analyte_order!$C:$C,[2]analyte_order!$E:$E)</f>
        <v>11</v>
      </c>
      <c r="N1762">
        <v>7.67</v>
      </c>
    </row>
    <row r="1763" spans="1:14">
      <c r="A1763" t="s">
        <v>249</v>
      </c>
      <c r="B1763" t="str">
        <f>_xlfn.XLOOKUP(A1763,'[1]Tissue Data'!$A:$A,'[1]Tissue Data'!$C:$C)</f>
        <v>Spill</v>
      </c>
      <c r="C1763" s="2">
        <f>_xlfn.XLOOKUP(A1763,'[1]Tissue Data'!$A:$A,'[1]Tissue Data'!$D:$D)</f>
        <v>44314</v>
      </c>
      <c r="D1763" s="2" t="str">
        <f>_xlfn.XLOOKUP(A1763,'[1]Tissue Data'!$A:$A,'[1]Tissue Data'!$F:$F)</f>
        <v>Pumpkinseed</v>
      </c>
      <c r="E1763" t="str">
        <f>_xlfn.XLOOKUP(A1763,'[1]Tissue Data'!$A:$A,'[1]Tissue Data'!$H:$H)</f>
        <v>Lepomis</v>
      </c>
      <c r="F1763" t="str">
        <f>_xlfn.XLOOKUP(A1763,'[1]Tissue Data'!$A:$A,'[1]Tissue Data'!$I:$I)</f>
        <v>gibbosus</v>
      </c>
      <c r="G1763" t="str">
        <f>_xlfn.XLOOKUP(A1763,'[1]Tissue Data'!$A:$A,'[1]Tissue Data'!J:J)</f>
        <v>U</v>
      </c>
      <c r="H1763" t="str">
        <f>_xlfn.XLOOKUP(A1763,'[1]Tissue Data'!$A:$A,'[1]Tissue Data'!K:K)</f>
        <v>Whole Body</v>
      </c>
      <c r="I1763">
        <f>_xlfn.XLOOKUP(A1763,'[1]Tissue Data'!$A:$A,'[1]Tissue Data'!L:L)</f>
        <v>8</v>
      </c>
      <c r="J1763">
        <f>_xlfn.XLOOKUP(A1763,'[1]Tissue Data'!$A:$A,'[1]Tissue Data'!M:M)</f>
        <v>10.5</v>
      </c>
      <c r="K1763" t="s">
        <v>23</v>
      </c>
      <c r="L1763" t="str">
        <f>_xlfn.XLOOKUP(K1763,[2]analyte_order!$B:$B,[2]analyte_order!$C:$C)</f>
        <v>67905-19-5</v>
      </c>
      <c r="M1763">
        <f>_xlfn.XLOOKUP(L1763,[2]analyte_order!$C:$C,[2]analyte_order!$E:$E)</f>
        <v>12</v>
      </c>
      <c r="N1763">
        <v>8.0247976060635981E-2</v>
      </c>
    </row>
    <row r="1764" spans="1:14">
      <c r="A1764" t="s">
        <v>249</v>
      </c>
      <c r="B1764" t="str">
        <f>_xlfn.XLOOKUP(A1764,'[1]Tissue Data'!$A:$A,'[1]Tissue Data'!$C:$C)</f>
        <v>Spill</v>
      </c>
      <c r="C1764" s="2">
        <f>_xlfn.XLOOKUP(A1764,'[1]Tissue Data'!$A:$A,'[1]Tissue Data'!$D:$D)</f>
        <v>44314</v>
      </c>
      <c r="D1764" s="2" t="str">
        <f>_xlfn.XLOOKUP(A1764,'[1]Tissue Data'!$A:$A,'[1]Tissue Data'!$F:$F)</f>
        <v>Pumpkinseed</v>
      </c>
      <c r="E1764" t="str">
        <f>_xlfn.XLOOKUP(A1764,'[1]Tissue Data'!$A:$A,'[1]Tissue Data'!$H:$H)</f>
        <v>Lepomis</v>
      </c>
      <c r="F1764" t="str">
        <f>_xlfn.XLOOKUP(A1764,'[1]Tissue Data'!$A:$A,'[1]Tissue Data'!$I:$I)</f>
        <v>gibbosus</v>
      </c>
      <c r="G1764" t="str">
        <f>_xlfn.XLOOKUP(A1764,'[1]Tissue Data'!$A:$A,'[1]Tissue Data'!J:J)</f>
        <v>U</v>
      </c>
      <c r="H1764" t="str">
        <f>_xlfn.XLOOKUP(A1764,'[1]Tissue Data'!$A:$A,'[1]Tissue Data'!K:K)</f>
        <v>Whole Body</v>
      </c>
      <c r="I1764">
        <f>_xlfn.XLOOKUP(A1764,'[1]Tissue Data'!$A:$A,'[1]Tissue Data'!L:L)</f>
        <v>8</v>
      </c>
      <c r="J1764">
        <f>_xlfn.XLOOKUP(A1764,'[1]Tissue Data'!$A:$A,'[1]Tissue Data'!M:M)</f>
        <v>10.5</v>
      </c>
      <c r="K1764" t="s">
        <v>24</v>
      </c>
      <c r="L1764" t="str">
        <f>_xlfn.XLOOKUP(K1764,[2]analyte_order!$B:$B,[2]analyte_order!$C:$C)</f>
        <v>423-41-6</v>
      </c>
      <c r="M1764">
        <f>_xlfn.XLOOKUP(L1764,[2]analyte_order!$C:$C,[2]analyte_order!$E:$E)</f>
        <v>53</v>
      </c>
      <c r="N1764">
        <v>5.137224855767332E-2</v>
      </c>
    </row>
    <row r="1765" spans="1:14">
      <c r="A1765" t="s">
        <v>249</v>
      </c>
      <c r="B1765" t="str">
        <f>_xlfn.XLOOKUP(A1765,'[1]Tissue Data'!$A:$A,'[1]Tissue Data'!$C:$C)</f>
        <v>Spill</v>
      </c>
      <c r="C1765" s="2">
        <f>_xlfn.XLOOKUP(A1765,'[1]Tissue Data'!$A:$A,'[1]Tissue Data'!$D:$D)</f>
        <v>44314</v>
      </c>
      <c r="D1765" s="2" t="str">
        <f>_xlfn.XLOOKUP(A1765,'[1]Tissue Data'!$A:$A,'[1]Tissue Data'!$F:$F)</f>
        <v>Pumpkinseed</v>
      </c>
      <c r="E1765" t="str">
        <f>_xlfn.XLOOKUP(A1765,'[1]Tissue Data'!$A:$A,'[1]Tissue Data'!$H:$H)</f>
        <v>Lepomis</v>
      </c>
      <c r="F1765" t="str">
        <f>_xlfn.XLOOKUP(A1765,'[1]Tissue Data'!$A:$A,'[1]Tissue Data'!$I:$I)</f>
        <v>gibbosus</v>
      </c>
      <c r="G1765" t="str">
        <f>_xlfn.XLOOKUP(A1765,'[1]Tissue Data'!$A:$A,'[1]Tissue Data'!J:J)</f>
        <v>U</v>
      </c>
      <c r="H1765" t="str">
        <f>_xlfn.XLOOKUP(A1765,'[1]Tissue Data'!$A:$A,'[1]Tissue Data'!K:K)</f>
        <v>Whole Body</v>
      </c>
      <c r="I1765">
        <f>_xlfn.XLOOKUP(A1765,'[1]Tissue Data'!$A:$A,'[1]Tissue Data'!L:L)</f>
        <v>8</v>
      </c>
      <c r="J1765">
        <f>_xlfn.XLOOKUP(A1765,'[1]Tissue Data'!$A:$A,'[1]Tissue Data'!M:M)</f>
        <v>10.5</v>
      </c>
      <c r="K1765" t="s">
        <v>25</v>
      </c>
      <c r="L1765" t="str">
        <f>_xlfn.XLOOKUP(K1765,[2]analyte_order!$B:$B,[2]analyte_order!$C:$C)</f>
        <v>375-73-5</v>
      </c>
      <c r="M1765">
        <f>_xlfn.XLOOKUP(L1765,[2]analyte_order!$C:$C,[2]analyte_order!$E:$E)</f>
        <v>14</v>
      </c>
      <c r="N1765">
        <v>4.5827751202350386E-2</v>
      </c>
    </row>
    <row r="1766" spans="1:14">
      <c r="A1766" t="s">
        <v>249</v>
      </c>
      <c r="B1766" t="str">
        <f>_xlfn.XLOOKUP(A1766,'[1]Tissue Data'!$A:$A,'[1]Tissue Data'!$C:$C)</f>
        <v>Spill</v>
      </c>
      <c r="C1766" s="2">
        <f>_xlfn.XLOOKUP(A1766,'[1]Tissue Data'!$A:$A,'[1]Tissue Data'!$D:$D)</f>
        <v>44314</v>
      </c>
      <c r="D1766" s="2" t="str">
        <f>_xlfn.XLOOKUP(A1766,'[1]Tissue Data'!$A:$A,'[1]Tissue Data'!$F:$F)</f>
        <v>Pumpkinseed</v>
      </c>
      <c r="E1766" t="str">
        <f>_xlfn.XLOOKUP(A1766,'[1]Tissue Data'!$A:$A,'[1]Tissue Data'!$H:$H)</f>
        <v>Lepomis</v>
      </c>
      <c r="F1766" t="str">
        <f>_xlfn.XLOOKUP(A1766,'[1]Tissue Data'!$A:$A,'[1]Tissue Data'!$I:$I)</f>
        <v>gibbosus</v>
      </c>
      <c r="G1766" t="str">
        <f>_xlfn.XLOOKUP(A1766,'[1]Tissue Data'!$A:$A,'[1]Tissue Data'!J:J)</f>
        <v>U</v>
      </c>
      <c r="H1766" t="str">
        <f>_xlfn.XLOOKUP(A1766,'[1]Tissue Data'!$A:$A,'[1]Tissue Data'!K:K)</f>
        <v>Whole Body</v>
      </c>
      <c r="I1766">
        <f>_xlfn.XLOOKUP(A1766,'[1]Tissue Data'!$A:$A,'[1]Tissue Data'!L:L)</f>
        <v>8</v>
      </c>
      <c r="J1766">
        <f>_xlfn.XLOOKUP(A1766,'[1]Tissue Data'!$A:$A,'[1]Tissue Data'!M:M)</f>
        <v>10.5</v>
      </c>
      <c r="K1766" t="s">
        <v>26</v>
      </c>
      <c r="L1766" t="str">
        <f>_xlfn.XLOOKUP(K1766,[2]analyte_order!$B:$B,[2]analyte_order!$C:$C)</f>
        <v>2706-91-4</v>
      </c>
      <c r="M1766">
        <f>_xlfn.XLOOKUP(L1766,[2]analyte_order!$C:$C,[2]analyte_order!$E:$E)</f>
        <v>15</v>
      </c>
      <c r="N1766">
        <v>0.12811571059383869</v>
      </c>
    </row>
    <row r="1767" spans="1:14">
      <c r="A1767" t="s">
        <v>249</v>
      </c>
      <c r="B1767" t="str">
        <f>_xlfn.XLOOKUP(A1767,'[1]Tissue Data'!$A:$A,'[1]Tissue Data'!$C:$C)</f>
        <v>Spill</v>
      </c>
      <c r="C1767" s="2">
        <f>_xlfn.XLOOKUP(A1767,'[1]Tissue Data'!$A:$A,'[1]Tissue Data'!$D:$D)</f>
        <v>44314</v>
      </c>
      <c r="D1767" s="2" t="str">
        <f>_xlfn.XLOOKUP(A1767,'[1]Tissue Data'!$A:$A,'[1]Tissue Data'!$F:$F)</f>
        <v>Pumpkinseed</v>
      </c>
      <c r="E1767" t="str">
        <f>_xlfn.XLOOKUP(A1767,'[1]Tissue Data'!$A:$A,'[1]Tissue Data'!$H:$H)</f>
        <v>Lepomis</v>
      </c>
      <c r="F1767" t="str">
        <f>_xlfn.XLOOKUP(A1767,'[1]Tissue Data'!$A:$A,'[1]Tissue Data'!$I:$I)</f>
        <v>gibbosus</v>
      </c>
      <c r="G1767" t="str">
        <f>_xlfn.XLOOKUP(A1767,'[1]Tissue Data'!$A:$A,'[1]Tissue Data'!J:J)</f>
        <v>U</v>
      </c>
      <c r="H1767" t="str">
        <f>_xlfn.XLOOKUP(A1767,'[1]Tissue Data'!$A:$A,'[1]Tissue Data'!K:K)</f>
        <v>Whole Body</v>
      </c>
      <c r="I1767">
        <f>_xlfn.XLOOKUP(A1767,'[1]Tissue Data'!$A:$A,'[1]Tissue Data'!L:L)</f>
        <v>8</v>
      </c>
      <c r="J1767">
        <f>_xlfn.XLOOKUP(A1767,'[1]Tissue Data'!$A:$A,'[1]Tissue Data'!M:M)</f>
        <v>10.5</v>
      </c>
      <c r="K1767" t="s">
        <v>27</v>
      </c>
      <c r="L1767" t="str">
        <f>_xlfn.XLOOKUP(K1767,[2]analyte_order!$B:$B,[2]analyte_order!$C:$C)</f>
        <v>355-46-4</v>
      </c>
      <c r="M1767">
        <f>_xlfn.XLOOKUP(L1767,[2]analyte_order!$C:$C,[2]analyte_order!$E:$E)</f>
        <v>16</v>
      </c>
      <c r="N1767">
        <v>23.2</v>
      </c>
    </row>
    <row r="1768" spans="1:14">
      <c r="A1768" t="s">
        <v>249</v>
      </c>
      <c r="B1768" t="str">
        <f>_xlfn.XLOOKUP(A1768,'[1]Tissue Data'!$A:$A,'[1]Tissue Data'!$C:$C)</f>
        <v>Spill</v>
      </c>
      <c r="C1768" s="2">
        <f>_xlfn.XLOOKUP(A1768,'[1]Tissue Data'!$A:$A,'[1]Tissue Data'!$D:$D)</f>
        <v>44314</v>
      </c>
      <c r="D1768" s="2" t="str">
        <f>_xlfn.XLOOKUP(A1768,'[1]Tissue Data'!$A:$A,'[1]Tissue Data'!$F:$F)</f>
        <v>Pumpkinseed</v>
      </c>
      <c r="E1768" t="str">
        <f>_xlfn.XLOOKUP(A1768,'[1]Tissue Data'!$A:$A,'[1]Tissue Data'!$H:$H)</f>
        <v>Lepomis</v>
      </c>
      <c r="F1768" t="str">
        <f>_xlfn.XLOOKUP(A1768,'[1]Tissue Data'!$A:$A,'[1]Tissue Data'!$I:$I)</f>
        <v>gibbosus</v>
      </c>
      <c r="G1768" t="str">
        <f>_xlfn.XLOOKUP(A1768,'[1]Tissue Data'!$A:$A,'[1]Tissue Data'!J:J)</f>
        <v>U</v>
      </c>
      <c r="H1768" t="str">
        <f>_xlfn.XLOOKUP(A1768,'[1]Tissue Data'!$A:$A,'[1]Tissue Data'!K:K)</f>
        <v>Whole Body</v>
      </c>
      <c r="I1768">
        <f>_xlfn.XLOOKUP(A1768,'[1]Tissue Data'!$A:$A,'[1]Tissue Data'!L:L)</f>
        <v>8</v>
      </c>
      <c r="J1768">
        <f>_xlfn.XLOOKUP(A1768,'[1]Tissue Data'!$A:$A,'[1]Tissue Data'!M:M)</f>
        <v>10.5</v>
      </c>
      <c r="K1768" t="s">
        <v>28</v>
      </c>
      <c r="L1768" t="str">
        <f>_xlfn.XLOOKUP(K1768,[2]analyte_order!$B:$B,[2]analyte_order!$C:$C)</f>
        <v>375-92-8</v>
      </c>
      <c r="M1768">
        <f>_xlfn.XLOOKUP(L1768,[2]analyte_order!$C:$C,[2]analyte_order!$E:$E)</f>
        <v>17</v>
      </c>
      <c r="N1768">
        <v>1.18</v>
      </c>
    </row>
    <row r="1769" spans="1:14">
      <c r="A1769" t="s">
        <v>249</v>
      </c>
      <c r="B1769" t="str">
        <f>_xlfn.XLOOKUP(A1769,'[1]Tissue Data'!$A:$A,'[1]Tissue Data'!$C:$C)</f>
        <v>Spill</v>
      </c>
      <c r="C1769" s="2">
        <f>_xlfn.XLOOKUP(A1769,'[1]Tissue Data'!$A:$A,'[1]Tissue Data'!$D:$D)</f>
        <v>44314</v>
      </c>
      <c r="D1769" s="2" t="str">
        <f>_xlfn.XLOOKUP(A1769,'[1]Tissue Data'!$A:$A,'[1]Tissue Data'!$F:$F)</f>
        <v>Pumpkinseed</v>
      </c>
      <c r="E1769" t="str">
        <f>_xlfn.XLOOKUP(A1769,'[1]Tissue Data'!$A:$A,'[1]Tissue Data'!$H:$H)</f>
        <v>Lepomis</v>
      </c>
      <c r="F1769" t="str">
        <f>_xlfn.XLOOKUP(A1769,'[1]Tissue Data'!$A:$A,'[1]Tissue Data'!$I:$I)</f>
        <v>gibbosus</v>
      </c>
      <c r="G1769" t="str">
        <f>_xlfn.XLOOKUP(A1769,'[1]Tissue Data'!$A:$A,'[1]Tissue Data'!J:J)</f>
        <v>U</v>
      </c>
      <c r="H1769" t="str">
        <f>_xlfn.XLOOKUP(A1769,'[1]Tissue Data'!$A:$A,'[1]Tissue Data'!K:K)</f>
        <v>Whole Body</v>
      </c>
      <c r="I1769">
        <f>_xlfn.XLOOKUP(A1769,'[1]Tissue Data'!$A:$A,'[1]Tissue Data'!L:L)</f>
        <v>8</v>
      </c>
      <c r="J1769">
        <f>_xlfn.XLOOKUP(A1769,'[1]Tissue Data'!$A:$A,'[1]Tissue Data'!M:M)</f>
        <v>10.5</v>
      </c>
      <c r="K1769" t="s">
        <v>29</v>
      </c>
      <c r="L1769" t="str">
        <f>_xlfn.XLOOKUP(K1769,[2]analyte_order!$B:$B,[2]analyte_order!$C:$C)</f>
        <v>1763-23-1</v>
      </c>
      <c r="M1769">
        <f>_xlfn.XLOOKUP(L1769,[2]analyte_order!$C:$C,[2]analyte_order!$E:$E)</f>
        <v>18</v>
      </c>
      <c r="N1769">
        <v>767</v>
      </c>
    </row>
    <row r="1770" spans="1:14">
      <c r="A1770" t="s">
        <v>249</v>
      </c>
      <c r="B1770" t="str">
        <f>_xlfn.XLOOKUP(A1770,'[1]Tissue Data'!$A:$A,'[1]Tissue Data'!$C:$C)</f>
        <v>Spill</v>
      </c>
      <c r="C1770" s="2">
        <f>_xlfn.XLOOKUP(A1770,'[1]Tissue Data'!$A:$A,'[1]Tissue Data'!$D:$D)</f>
        <v>44314</v>
      </c>
      <c r="D1770" s="2" t="str">
        <f>_xlfn.XLOOKUP(A1770,'[1]Tissue Data'!$A:$A,'[1]Tissue Data'!$F:$F)</f>
        <v>Pumpkinseed</v>
      </c>
      <c r="E1770" t="str">
        <f>_xlfn.XLOOKUP(A1770,'[1]Tissue Data'!$A:$A,'[1]Tissue Data'!$H:$H)</f>
        <v>Lepomis</v>
      </c>
      <c r="F1770" t="str">
        <f>_xlfn.XLOOKUP(A1770,'[1]Tissue Data'!$A:$A,'[1]Tissue Data'!$I:$I)</f>
        <v>gibbosus</v>
      </c>
      <c r="G1770" t="str">
        <f>_xlfn.XLOOKUP(A1770,'[1]Tissue Data'!$A:$A,'[1]Tissue Data'!J:J)</f>
        <v>U</v>
      </c>
      <c r="H1770" t="str">
        <f>_xlfn.XLOOKUP(A1770,'[1]Tissue Data'!$A:$A,'[1]Tissue Data'!K:K)</f>
        <v>Whole Body</v>
      </c>
      <c r="I1770">
        <f>_xlfn.XLOOKUP(A1770,'[1]Tissue Data'!$A:$A,'[1]Tissue Data'!L:L)</f>
        <v>8</v>
      </c>
      <c r="J1770">
        <f>_xlfn.XLOOKUP(A1770,'[1]Tissue Data'!$A:$A,'[1]Tissue Data'!M:M)</f>
        <v>10.5</v>
      </c>
      <c r="K1770" t="s">
        <v>30</v>
      </c>
      <c r="L1770" t="str">
        <f>_xlfn.XLOOKUP(K1770,[2]analyte_order!$B:$B,[2]analyte_order!$C:$C)</f>
        <v>68259-12-1</v>
      </c>
      <c r="M1770">
        <f>_xlfn.XLOOKUP(L1770,[2]analyte_order!$C:$C,[2]analyte_order!$E:$E)</f>
        <v>19</v>
      </c>
      <c r="N1770">
        <v>0.85</v>
      </c>
    </row>
    <row r="1771" spans="1:14">
      <c r="A1771" t="s">
        <v>249</v>
      </c>
      <c r="B1771" t="str">
        <f>_xlfn.XLOOKUP(A1771,'[1]Tissue Data'!$A:$A,'[1]Tissue Data'!$C:$C)</f>
        <v>Spill</v>
      </c>
      <c r="C1771" s="2">
        <f>_xlfn.XLOOKUP(A1771,'[1]Tissue Data'!$A:$A,'[1]Tissue Data'!$D:$D)</f>
        <v>44314</v>
      </c>
      <c r="D1771" s="2" t="str">
        <f>_xlfn.XLOOKUP(A1771,'[1]Tissue Data'!$A:$A,'[1]Tissue Data'!$F:$F)</f>
        <v>Pumpkinseed</v>
      </c>
      <c r="E1771" t="str">
        <f>_xlfn.XLOOKUP(A1771,'[1]Tissue Data'!$A:$A,'[1]Tissue Data'!$H:$H)</f>
        <v>Lepomis</v>
      </c>
      <c r="F1771" t="str">
        <f>_xlfn.XLOOKUP(A1771,'[1]Tissue Data'!$A:$A,'[1]Tissue Data'!$I:$I)</f>
        <v>gibbosus</v>
      </c>
      <c r="G1771" t="str">
        <f>_xlfn.XLOOKUP(A1771,'[1]Tissue Data'!$A:$A,'[1]Tissue Data'!J:J)</f>
        <v>U</v>
      </c>
      <c r="H1771" t="str">
        <f>_xlfn.XLOOKUP(A1771,'[1]Tissue Data'!$A:$A,'[1]Tissue Data'!K:K)</f>
        <v>Whole Body</v>
      </c>
      <c r="I1771">
        <f>_xlfn.XLOOKUP(A1771,'[1]Tissue Data'!$A:$A,'[1]Tissue Data'!L:L)</f>
        <v>8</v>
      </c>
      <c r="J1771">
        <f>_xlfn.XLOOKUP(A1771,'[1]Tissue Data'!$A:$A,'[1]Tissue Data'!M:M)</f>
        <v>10.5</v>
      </c>
      <c r="K1771" t="s">
        <v>31</v>
      </c>
      <c r="L1771" t="str">
        <f>_xlfn.XLOOKUP(K1771,[2]analyte_order!$B:$B,[2]analyte_order!$C:$C)</f>
        <v>335-77-3</v>
      </c>
      <c r="M1771">
        <f>_xlfn.XLOOKUP(L1771,[2]analyte_order!$C:$C,[2]analyte_order!$E:$E)</f>
        <v>20</v>
      </c>
      <c r="N1771">
        <v>0.998</v>
      </c>
    </row>
    <row r="1772" spans="1:14">
      <c r="A1772" t="s">
        <v>249</v>
      </c>
      <c r="B1772" t="str">
        <f>_xlfn.XLOOKUP(A1772,'[1]Tissue Data'!$A:$A,'[1]Tissue Data'!$C:$C)</f>
        <v>Spill</v>
      </c>
      <c r="C1772" s="2">
        <f>_xlfn.XLOOKUP(A1772,'[1]Tissue Data'!$A:$A,'[1]Tissue Data'!$D:$D)</f>
        <v>44314</v>
      </c>
      <c r="D1772" s="2" t="str">
        <f>_xlfn.XLOOKUP(A1772,'[1]Tissue Data'!$A:$A,'[1]Tissue Data'!$F:$F)</f>
        <v>Pumpkinseed</v>
      </c>
      <c r="E1772" t="str">
        <f>_xlfn.XLOOKUP(A1772,'[1]Tissue Data'!$A:$A,'[1]Tissue Data'!$H:$H)</f>
        <v>Lepomis</v>
      </c>
      <c r="F1772" t="str">
        <f>_xlfn.XLOOKUP(A1772,'[1]Tissue Data'!$A:$A,'[1]Tissue Data'!$I:$I)</f>
        <v>gibbosus</v>
      </c>
      <c r="G1772" t="str">
        <f>_xlfn.XLOOKUP(A1772,'[1]Tissue Data'!$A:$A,'[1]Tissue Data'!J:J)</f>
        <v>U</v>
      </c>
      <c r="H1772" t="str">
        <f>_xlfn.XLOOKUP(A1772,'[1]Tissue Data'!$A:$A,'[1]Tissue Data'!K:K)</f>
        <v>Whole Body</v>
      </c>
      <c r="I1772">
        <f>_xlfn.XLOOKUP(A1772,'[1]Tissue Data'!$A:$A,'[1]Tissue Data'!L:L)</f>
        <v>8</v>
      </c>
      <c r="J1772">
        <f>_xlfn.XLOOKUP(A1772,'[1]Tissue Data'!$A:$A,'[1]Tissue Data'!M:M)</f>
        <v>10.5</v>
      </c>
      <c r="K1772" t="s">
        <v>32</v>
      </c>
      <c r="L1772" t="str">
        <f>_xlfn.XLOOKUP(K1772,[2]analyte_order!$B:$B,[2]analyte_order!$C:$C)</f>
        <v>79780-39-5</v>
      </c>
      <c r="M1772">
        <f>_xlfn.XLOOKUP(L1772,[2]analyte_order!$C:$C,[2]analyte_order!$E:$E)</f>
        <v>21</v>
      </c>
      <c r="N1772">
        <v>0.25871861224887099</v>
      </c>
    </row>
    <row r="1773" spans="1:14">
      <c r="A1773" t="s">
        <v>249</v>
      </c>
      <c r="B1773" t="str">
        <f>_xlfn.XLOOKUP(A1773,'[1]Tissue Data'!$A:$A,'[1]Tissue Data'!$C:$C)</f>
        <v>Spill</v>
      </c>
      <c r="C1773" s="2">
        <f>_xlfn.XLOOKUP(A1773,'[1]Tissue Data'!$A:$A,'[1]Tissue Data'!$D:$D)</f>
        <v>44314</v>
      </c>
      <c r="D1773" s="2" t="str">
        <f>_xlfn.XLOOKUP(A1773,'[1]Tissue Data'!$A:$A,'[1]Tissue Data'!$F:$F)</f>
        <v>Pumpkinseed</v>
      </c>
      <c r="E1773" t="str">
        <f>_xlfn.XLOOKUP(A1773,'[1]Tissue Data'!$A:$A,'[1]Tissue Data'!$H:$H)</f>
        <v>Lepomis</v>
      </c>
      <c r="F1773" t="str">
        <f>_xlfn.XLOOKUP(A1773,'[1]Tissue Data'!$A:$A,'[1]Tissue Data'!$I:$I)</f>
        <v>gibbosus</v>
      </c>
      <c r="G1773" t="str">
        <f>_xlfn.XLOOKUP(A1773,'[1]Tissue Data'!$A:$A,'[1]Tissue Data'!J:J)</f>
        <v>U</v>
      </c>
      <c r="H1773" t="str">
        <f>_xlfn.XLOOKUP(A1773,'[1]Tissue Data'!$A:$A,'[1]Tissue Data'!K:K)</f>
        <v>Whole Body</v>
      </c>
      <c r="I1773">
        <f>_xlfn.XLOOKUP(A1773,'[1]Tissue Data'!$A:$A,'[1]Tissue Data'!L:L)</f>
        <v>8</v>
      </c>
      <c r="J1773">
        <f>_xlfn.XLOOKUP(A1773,'[1]Tissue Data'!$A:$A,'[1]Tissue Data'!M:M)</f>
        <v>10.5</v>
      </c>
      <c r="K1773" t="s">
        <v>33</v>
      </c>
      <c r="L1773" t="str">
        <f>_xlfn.XLOOKUP(K1773,[2]analyte_order!$B:$B,[2]analyte_order!$C:$C)</f>
        <v>777011-38-8</v>
      </c>
      <c r="M1773">
        <f>_xlfn.XLOOKUP(L1773,[2]analyte_order!$C:$C,[2]analyte_order!$E:$E)</f>
        <v>54</v>
      </c>
      <c r="N1773">
        <v>0.14702036910851612</v>
      </c>
    </row>
    <row r="1774" spans="1:14">
      <c r="A1774" t="s">
        <v>249</v>
      </c>
      <c r="B1774" t="str">
        <f>_xlfn.XLOOKUP(A1774,'[1]Tissue Data'!$A:$A,'[1]Tissue Data'!$C:$C)</f>
        <v>Spill</v>
      </c>
      <c r="C1774" s="2">
        <f>_xlfn.XLOOKUP(A1774,'[1]Tissue Data'!$A:$A,'[1]Tissue Data'!$D:$D)</f>
        <v>44314</v>
      </c>
      <c r="D1774" s="2" t="str">
        <f>_xlfn.XLOOKUP(A1774,'[1]Tissue Data'!$A:$A,'[1]Tissue Data'!$F:$F)</f>
        <v>Pumpkinseed</v>
      </c>
      <c r="E1774" t="str">
        <f>_xlfn.XLOOKUP(A1774,'[1]Tissue Data'!$A:$A,'[1]Tissue Data'!$H:$H)</f>
        <v>Lepomis</v>
      </c>
      <c r="F1774" t="str">
        <f>_xlfn.XLOOKUP(A1774,'[1]Tissue Data'!$A:$A,'[1]Tissue Data'!$I:$I)</f>
        <v>gibbosus</v>
      </c>
      <c r="G1774" t="str">
        <f>_xlfn.XLOOKUP(A1774,'[1]Tissue Data'!$A:$A,'[1]Tissue Data'!J:J)</f>
        <v>U</v>
      </c>
      <c r="H1774" t="str">
        <f>_xlfn.XLOOKUP(A1774,'[1]Tissue Data'!$A:$A,'[1]Tissue Data'!K:K)</f>
        <v>Whole Body</v>
      </c>
      <c r="I1774">
        <f>_xlfn.XLOOKUP(A1774,'[1]Tissue Data'!$A:$A,'[1]Tissue Data'!L:L)</f>
        <v>8</v>
      </c>
      <c r="J1774">
        <f>_xlfn.XLOOKUP(A1774,'[1]Tissue Data'!$A:$A,'[1]Tissue Data'!M:M)</f>
        <v>10.5</v>
      </c>
      <c r="K1774" t="s">
        <v>34</v>
      </c>
      <c r="L1774" t="str">
        <f>_xlfn.XLOOKUP(K1774,[2]analyte_order!$B:$B,[2]analyte_order!$C:$C)</f>
        <v>646-83-3</v>
      </c>
      <c r="M1774">
        <f>_xlfn.XLOOKUP(L1774,[2]analyte_order!$C:$C,[2]analyte_order!$E:$E)</f>
        <v>55</v>
      </c>
      <c r="N1774">
        <v>9.6774193548387094E-2</v>
      </c>
    </row>
    <row r="1775" spans="1:14">
      <c r="A1775" t="s">
        <v>249</v>
      </c>
      <c r="B1775" t="str">
        <f>_xlfn.XLOOKUP(A1775,'[1]Tissue Data'!$A:$A,'[1]Tissue Data'!$C:$C)</f>
        <v>Spill</v>
      </c>
      <c r="C1775" s="2">
        <f>_xlfn.XLOOKUP(A1775,'[1]Tissue Data'!$A:$A,'[1]Tissue Data'!$D:$D)</f>
        <v>44314</v>
      </c>
      <c r="D1775" s="2" t="str">
        <f>_xlfn.XLOOKUP(A1775,'[1]Tissue Data'!$A:$A,'[1]Tissue Data'!$F:$F)</f>
        <v>Pumpkinseed</v>
      </c>
      <c r="E1775" t="str">
        <f>_xlfn.XLOOKUP(A1775,'[1]Tissue Data'!$A:$A,'[1]Tissue Data'!$H:$H)</f>
        <v>Lepomis</v>
      </c>
      <c r="F1775" t="str">
        <f>_xlfn.XLOOKUP(A1775,'[1]Tissue Data'!$A:$A,'[1]Tissue Data'!$I:$I)</f>
        <v>gibbosus</v>
      </c>
      <c r="G1775" t="str">
        <f>_xlfn.XLOOKUP(A1775,'[1]Tissue Data'!$A:$A,'[1]Tissue Data'!J:J)</f>
        <v>U</v>
      </c>
      <c r="H1775" t="str">
        <f>_xlfn.XLOOKUP(A1775,'[1]Tissue Data'!$A:$A,'[1]Tissue Data'!K:K)</f>
        <v>Whole Body</v>
      </c>
      <c r="I1775">
        <f>_xlfn.XLOOKUP(A1775,'[1]Tissue Data'!$A:$A,'[1]Tissue Data'!L:L)</f>
        <v>8</v>
      </c>
      <c r="J1775">
        <f>_xlfn.XLOOKUP(A1775,'[1]Tissue Data'!$A:$A,'[1]Tissue Data'!M:M)</f>
        <v>10.5</v>
      </c>
      <c r="K1775" t="s">
        <v>35</v>
      </c>
      <c r="L1775" t="str">
        <f>_xlfn.XLOOKUP(K1775,[2]analyte_order!$B:$B,[2]analyte_order!$C:$C)</f>
        <v>30334-69-1</v>
      </c>
      <c r="M1775">
        <f>_xlfn.XLOOKUP(L1775,[2]analyte_order!$C:$C,[2]analyte_order!$E:$E)</f>
        <v>51</v>
      </c>
      <c r="N1775">
        <v>36</v>
      </c>
    </row>
    <row r="1776" spans="1:14">
      <c r="A1776" t="s">
        <v>249</v>
      </c>
      <c r="B1776" t="str">
        <f>_xlfn.XLOOKUP(A1776,'[1]Tissue Data'!$A:$A,'[1]Tissue Data'!$C:$C)</f>
        <v>Spill</v>
      </c>
      <c r="C1776" s="2">
        <f>_xlfn.XLOOKUP(A1776,'[1]Tissue Data'!$A:$A,'[1]Tissue Data'!$D:$D)</f>
        <v>44314</v>
      </c>
      <c r="D1776" s="2" t="str">
        <f>_xlfn.XLOOKUP(A1776,'[1]Tissue Data'!$A:$A,'[1]Tissue Data'!$F:$F)</f>
        <v>Pumpkinseed</v>
      </c>
      <c r="E1776" t="str">
        <f>_xlfn.XLOOKUP(A1776,'[1]Tissue Data'!$A:$A,'[1]Tissue Data'!$H:$H)</f>
        <v>Lepomis</v>
      </c>
      <c r="F1776" t="str">
        <f>_xlfn.XLOOKUP(A1776,'[1]Tissue Data'!$A:$A,'[1]Tissue Data'!$I:$I)</f>
        <v>gibbosus</v>
      </c>
      <c r="G1776" t="str">
        <f>_xlfn.XLOOKUP(A1776,'[1]Tissue Data'!$A:$A,'[1]Tissue Data'!J:J)</f>
        <v>U</v>
      </c>
      <c r="H1776" t="str">
        <f>_xlfn.XLOOKUP(A1776,'[1]Tissue Data'!$A:$A,'[1]Tissue Data'!K:K)</f>
        <v>Whole Body</v>
      </c>
      <c r="I1776">
        <f>_xlfn.XLOOKUP(A1776,'[1]Tissue Data'!$A:$A,'[1]Tissue Data'!L:L)</f>
        <v>8</v>
      </c>
      <c r="J1776">
        <f>_xlfn.XLOOKUP(A1776,'[1]Tissue Data'!$A:$A,'[1]Tissue Data'!M:M)</f>
        <v>10.5</v>
      </c>
      <c r="K1776" t="s">
        <v>36</v>
      </c>
      <c r="L1776" t="str">
        <f>_xlfn.XLOOKUP(K1776,[2]analyte_order!$B:$B,[2]analyte_order!$C:$C)</f>
        <v>41997-13-1</v>
      </c>
      <c r="M1776">
        <f>_xlfn.XLOOKUP(L1776,[2]analyte_order!$C:$C,[2]analyte_order!$E:$E)</f>
        <v>52</v>
      </c>
      <c r="N1776">
        <v>65.599999999999994</v>
      </c>
    </row>
    <row r="1777" spans="1:14">
      <c r="A1777" t="s">
        <v>249</v>
      </c>
      <c r="B1777" t="str">
        <f>_xlfn.XLOOKUP(A1777,'[1]Tissue Data'!$A:$A,'[1]Tissue Data'!$C:$C)</f>
        <v>Spill</v>
      </c>
      <c r="C1777" s="2">
        <f>_xlfn.XLOOKUP(A1777,'[1]Tissue Data'!$A:$A,'[1]Tissue Data'!$D:$D)</f>
        <v>44314</v>
      </c>
      <c r="D1777" s="2" t="str">
        <f>_xlfn.XLOOKUP(A1777,'[1]Tissue Data'!$A:$A,'[1]Tissue Data'!$F:$F)</f>
        <v>Pumpkinseed</v>
      </c>
      <c r="E1777" t="str">
        <f>_xlfn.XLOOKUP(A1777,'[1]Tissue Data'!$A:$A,'[1]Tissue Data'!$H:$H)</f>
        <v>Lepomis</v>
      </c>
      <c r="F1777" t="str">
        <f>_xlfn.XLOOKUP(A1777,'[1]Tissue Data'!$A:$A,'[1]Tissue Data'!$I:$I)</f>
        <v>gibbosus</v>
      </c>
      <c r="G1777" t="str">
        <f>_xlfn.XLOOKUP(A1777,'[1]Tissue Data'!$A:$A,'[1]Tissue Data'!J:J)</f>
        <v>U</v>
      </c>
      <c r="H1777" t="str">
        <f>_xlfn.XLOOKUP(A1777,'[1]Tissue Data'!$A:$A,'[1]Tissue Data'!K:K)</f>
        <v>Whole Body</v>
      </c>
      <c r="I1777">
        <f>_xlfn.XLOOKUP(A1777,'[1]Tissue Data'!$A:$A,'[1]Tissue Data'!L:L)</f>
        <v>8</v>
      </c>
      <c r="J1777">
        <f>_xlfn.XLOOKUP(A1777,'[1]Tissue Data'!$A:$A,'[1]Tissue Data'!M:M)</f>
        <v>10.5</v>
      </c>
      <c r="K1777" t="s">
        <v>37</v>
      </c>
      <c r="L1777" t="str">
        <f>_xlfn.XLOOKUP(K1777,[2]analyte_order!$B:$B,[2]analyte_order!$C:$C)</f>
        <v>754-91-6</v>
      </c>
      <c r="M1777">
        <f>_xlfn.XLOOKUP(L1777,[2]analyte_order!$C:$C,[2]analyte_order!$E:$E)</f>
        <v>28</v>
      </c>
      <c r="N1777">
        <v>16.100000000000001</v>
      </c>
    </row>
    <row r="1778" spans="1:14">
      <c r="A1778" t="s">
        <v>249</v>
      </c>
      <c r="B1778" t="str">
        <f>_xlfn.XLOOKUP(A1778,'[1]Tissue Data'!$A:$A,'[1]Tissue Data'!$C:$C)</f>
        <v>Spill</v>
      </c>
      <c r="C1778" s="2">
        <f>_xlfn.XLOOKUP(A1778,'[1]Tissue Data'!$A:$A,'[1]Tissue Data'!$D:$D)</f>
        <v>44314</v>
      </c>
      <c r="D1778" s="2" t="str">
        <f>_xlfn.XLOOKUP(A1778,'[1]Tissue Data'!$A:$A,'[1]Tissue Data'!$F:$F)</f>
        <v>Pumpkinseed</v>
      </c>
      <c r="E1778" t="str">
        <f>_xlfn.XLOOKUP(A1778,'[1]Tissue Data'!$A:$A,'[1]Tissue Data'!$H:$H)</f>
        <v>Lepomis</v>
      </c>
      <c r="F1778" t="str">
        <f>_xlfn.XLOOKUP(A1778,'[1]Tissue Data'!$A:$A,'[1]Tissue Data'!$I:$I)</f>
        <v>gibbosus</v>
      </c>
      <c r="G1778" t="str">
        <f>_xlfn.XLOOKUP(A1778,'[1]Tissue Data'!$A:$A,'[1]Tissue Data'!J:J)</f>
        <v>U</v>
      </c>
      <c r="H1778" t="str">
        <f>_xlfn.XLOOKUP(A1778,'[1]Tissue Data'!$A:$A,'[1]Tissue Data'!K:K)</f>
        <v>Whole Body</v>
      </c>
      <c r="I1778">
        <f>_xlfn.XLOOKUP(A1778,'[1]Tissue Data'!$A:$A,'[1]Tissue Data'!L:L)</f>
        <v>8</v>
      </c>
      <c r="J1778">
        <f>_xlfn.XLOOKUP(A1778,'[1]Tissue Data'!$A:$A,'[1]Tissue Data'!M:M)</f>
        <v>10.5</v>
      </c>
      <c r="K1778" t="s">
        <v>38</v>
      </c>
      <c r="L1778" t="str">
        <f>_xlfn.XLOOKUP(K1778,[2]analyte_order!$B:$B,[2]analyte_order!$C:$C)</f>
        <v>31506-32-8</v>
      </c>
      <c r="M1778">
        <f>_xlfn.XLOOKUP(L1778,[2]analyte_order!$C:$C,[2]analyte_order!$E:$E)</f>
        <v>30</v>
      </c>
      <c r="N1778">
        <v>5.1872535346632435E-2</v>
      </c>
    </row>
    <row r="1779" spans="1:14">
      <c r="A1779" t="s">
        <v>249</v>
      </c>
      <c r="B1779" t="str">
        <f>_xlfn.XLOOKUP(A1779,'[1]Tissue Data'!$A:$A,'[1]Tissue Data'!$C:$C)</f>
        <v>Spill</v>
      </c>
      <c r="C1779" s="2">
        <f>_xlfn.XLOOKUP(A1779,'[1]Tissue Data'!$A:$A,'[1]Tissue Data'!$D:$D)</f>
        <v>44314</v>
      </c>
      <c r="D1779" s="2" t="str">
        <f>_xlfn.XLOOKUP(A1779,'[1]Tissue Data'!$A:$A,'[1]Tissue Data'!$F:$F)</f>
        <v>Pumpkinseed</v>
      </c>
      <c r="E1779" t="str">
        <f>_xlfn.XLOOKUP(A1779,'[1]Tissue Data'!$A:$A,'[1]Tissue Data'!$H:$H)</f>
        <v>Lepomis</v>
      </c>
      <c r="F1779" t="str">
        <f>_xlfn.XLOOKUP(A1779,'[1]Tissue Data'!$A:$A,'[1]Tissue Data'!$I:$I)</f>
        <v>gibbosus</v>
      </c>
      <c r="G1779" t="str">
        <f>_xlfn.XLOOKUP(A1779,'[1]Tissue Data'!$A:$A,'[1]Tissue Data'!J:J)</f>
        <v>U</v>
      </c>
      <c r="H1779" t="str">
        <f>_xlfn.XLOOKUP(A1779,'[1]Tissue Data'!$A:$A,'[1]Tissue Data'!K:K)</f>
        <v>Whole Body</v>
      </c>
      <c r="I1779">
        <f>_xlfn.XLOOKUP(A1779,'[1]Tissue Data'!$A:$A,'[1]Tissue Data'!L:L)</f>
        <v>8</v>
      </c>
      <c r="J1779">
        <f>_xlfn.XLOOKUP(A1779,'[1]Tissue Data'!$A:$A,'[1]Tissue Data'!M:M)</f>
        <v>10.5</v>
      </c>
      <c r="K1779" t="s">
        <v>39</v>
      </c>
      <c r="L1779" t="str">
        <f>_xlfn.XLOOKUP(K1779,[2]analyte_order!$B:$B,[2]analyte_order!$C:$C)</f>
        <v>4151-50-2</v>
      </c>
      <c r="M1779">
        <f>_xlfn.XLOOKUP(L1779,[2]analyte_order!$C:$C,[2]analyte_order!$E:$E)</f>
        <v>31</v>
      </c>
      <c r="N1779">
        <v>7.8575280985087897E-2</v>
      </c>
    </row>
    <row r="1780" spans="1:14">
      <c r="A1780" t="s">
        <v>249</v>
      </c>
      <c r="B1780" t="str">
        <f>_xlfn.XLOOKUP(A1780,'[1]Tissue Data'!$A:$A,'[1]Tissue Data'!$C:$C)</f>
        <v>Spill</v>
      </c>
      <c r="C1780" s="2">
        <f>_xlfn.XLOOKUP(A1780,'[1]Tissue Data'!$A:$A,'[1]Tissue Data'!$D:$D)</f>
        <v>44314</v>
      </c>
      <c r="D1780" s="2" t="str">
        <f>_xlfn.XLOOKUP(A1780,'[1]Tissue Data'!$A:$A,'[1]Tissue Data'!$F:$F)</f>
        <v>Pumpkinseed</v>
      </c>
      <c r="E1780" t="str">
        <f>_xlfn.XLOOKUP(A1780,'[1]Tissue Data'!$A:$A,'[1]Tissue Data'!$H:$H)</f>
        <v>Lepomis</v>
      </c>
      <c r="F1780" t="str">
        <f>_xlfn.XLOOKUP(A1780,'[1]Tissue Data'!$A:$A,'[1]Tissue Data'!$I:$I)</f>
        <v>gibbosus</v>
      </c>
      <c r="G1780" t="str">
        <f>_xlfn.XLOOKUP(A1780,'[1]Tissue Data'!$A:$A,'[1]Tissue Data'!J:J)</f>
        <v>U</v>
      </c>
      <c r="H1780" t="str">
        <f>_xlfn.XLOOKUP(A1780,'[1]Tissue Data'!$A:$A,'[1]Tissue Data'!K:K)</f>
        <v>Whole Body</v>
      </c>
      <c r="I1780">
        <f>_xlfn.XLOOKUP(A1780,'[1]Tissue Data'!$A:$A,'[1]Tissue Data'!L:L)</f>
        <v>8</v>
      </c>
      <c r="J1780">
        <f>_xlfn.XLOOKUP(A1780,'[1]Tissue Data'!$A:$A,'[1]Tissue Data'!M:M)</f>
        <v>10.5</v>
      </c>
      <c r="K1780" t="s">
        <v>40</v>
      </c>
      <c r="L1780" t="str">
        <f>_xlfn.XLOOKUP(K1780,[2]analyte_order!$B:$B,[2]analyte_order!$C:$C)</f>
        <v>2806-24-8</v>
      </c>
      <c r="M1780">
        <f>_xlfn.XLOOKUP(L1780,[2]analyte_order!$C:$C,[2]analyte_order!$E:$E)</f>
        <v>29</v>
      </c>
      <c r="N1780">
        <v>5.3074570307130163E-2</v>
      </c>
    </row>
    <row r="1781" spans="1:14">
      <c r="A1781" t="s">
        <v>249</v>
      </c>
      <c r="B1781" t="str">
        <f>_xlfn.XLOOKUP(A1781,'[1]Tissue Data'!$A:$A,'[1]Tissue Data'!$C:$C)</f>
        <v>Spill</v>
      </c>
      <c r="C1781" s="2">
        <f>_xlfn.XLOOKUP(A1781,'[1]Tissue Data'!$A:$A,'[1]Tissue Data'!$D:$D)</f>
        <v>44314</v>
      </c>
      <c r="D1781" s="2" t="str">
        <f>_xlfn.XLOOKUP(A1781,'[1]Tissue Data'!$A:$A,'[1]Tissue Data'!$F:$F)</f>
        <v>Pumpkinseed</v>
      </c>
      <c r="E1781" t="str">
        <f>_xlfn.XLOOKUP(A1781,'[1]Tissue Data'!$A:$A,'[1]Tissue Data'!$H:$H)</f>
        <v>Lepomis</v>
      </c>
      <c r="F1781" t="str">
        <f>_xlfn.XLOOKUP(A1781,'[1]Tissue Data'!$A:$A,'[1]Tissue Data'!$I:$I)</f>
        <v>gibbosus</v>
      </c>
      <c r="G1781" t="str">
        <f>_xlfn.XLOOKUP(A1781,'[1]Tissue Data'!$A:$A,'[1]Tissue Data'!J:J)</f>
        <v>U</v>
      </c>
      <c r="H1781" t="str">
        <f>_xlfn.XLOOKUP(A1781,'[1]Tissue Data'!$A:$A,'[1]Tissue Data'!K:K)</f>
        <v>Whole Body</v>
      </c>
      <c r="I1781">
        <f>_xlfn.XLOOKUP(A1781,'[1]Tissue Data'!$A:$A,'[1]Tissue Data'!L:L)</f>
        <v>8</v>
      </c>
      <c r="J1781">
        <f>_xlfn.XLOOKUP(A1781,'[1]Tissue Data'!$A:$A,'[1]Tissue Data'!M:M)</f>
        <v>10.5</v>
      </c>
      <c r="K1781" t="s">
        <v>41</v>
      </c>
      <c r="L1781" t="str">
        <f>_xlfn.XLOOKUP(K1781,[2]analyte_order!$B:$B,[2]analyte_order!$C:$C)</f>
        <v>2355-31-9</v>
      </c>
      <c r="M1781">
        <f>_xlfn.XLOOKUP(L1781,[2]analyte_order!$C:$C,[2]analyte_order!$E:$E)</f>
        <v>26</v>
      </c>
      <c r="N1781">
        <v>8.91</v>
      </c>
    </row>
    <row r="1782" spans="1:14">
      <c r="A1782" t="s">
        <v>249</v>
      </c>
      <c r="B1782" t="str">
        <f>_xlfn.XLOOKUP(A1782,'[1]Tissue Data'!$A:$A,'[1]Tissue Data'!$C:$C)</f>
        <v>Spill</v>
      </c>
      <c r="C1782" s="2">
        <f>_xlfn.XLOOKUP(A1782,'[1]Tissue Data'!$A:$A,'[1]Tissue Data'!$D:$D)</f>
        <v>44314</v>
      </c>
      <c r="D1782" s="2" t="str">
        <f>_xlfn.XLOOKUP(A1782,'[1]Tissue Data'!$A:$A,'[1]Tissue Data'!$F:$F)</f>
        <v>Pumpkinseed</v>
      </c>
      <c r="E1782" t="str">
        <f>_xlfn.XLOOKUP(A1782,'[1]Tissue Data'!$A:$A,'[1]Tissue Data'!$H:$H)</f>
        <v>Lepomis</v>
      </c>
      <c r="F1782" t="str">
        <f>_xlfn.XLOOKUP(A1782,'[1]Tissue Data'!$A:$A,'[1]Tissue Data'!$I:$I)</f>
        <v>gibbosus</v>
      </c>
      <c r="G1782" t="str">
        <f>_xlfn.XLOOKUP(A1782,'[1]Tissue Data'!$A:$A,'[1]Tissue Data'!J:J)</f>
        <v>U</v>
      </c>
      <c r="H1782" t="str">
        <f>_xlfn.XLOOKUP(A1782,'[1]Tissue Data'!$A:$A,'[1]Tissue Data'!K:K)</f>
        <v>Whole Body</v>
      </c>
      <c r="I1782">
        <f>_xlfn.XLOOKUP(A1782,'[1]Tissue Data'!$A:$A,'[1]Tissue Data'!L:L)</f>
        <v>8</v>
      </c>
      <c r="J1782">
        <f>_xlfn.XLOOKUP(A1782,'[1]Tissue Data'!$A:$A,'[1]Tissue Data'!M:M)</f>
        <v>10.5</v>
      </c>
      <c r="K1782" t="s">
        <v>42</v>
      </c>
      <c r="L1782" t="str">
        <f>_xlfn.XLOOKUP(K1782,[2]analyte_order!$B:$B,[2]analyte_order!$C:$C)</f>
        <v>2991-50-6</v>
      </c>
      <c r="M1782">
        <f>_xlfn.XLOOKUP(L1782,[2]analyte_order!$C:$C,[2]analyte_order!$E:$E)</f>
        <v>27</v>
      </c>
      <c r="N1782">
        <v>5.8444764064289945E-2</v>
      </c>
    </row>
    <row r="1783" spans="1:14">
      <c r="A1783" t="s">
        <v>249</v>
      </c>
      <c r="B1783" t="str">
        <f>_xlfn.XLOOKUP(A1783,'[1]Tissue Data'!$A:$A,'[1]Tissue Data'!$C:$C)</f>
        <v>Spill</v>
      </c>
      <c r="C1783" s="2">
        <f>_xlfn.XLOOKUP(A1783,'[1]Tissue Data'!$A:$A,'[1]Tissue Data'!$D:$D)</f>
        <v>44314</v>
      </c>
      <c r="D1783" s="2" t="str">
        <f>_xlfn.XLOOKUP(A1783,'[1]Tissue Data'!$A:$A,'[1]Tissue Data'!$F:$F)</f>
        <v>Pumpkinseed</v>
      </c>
      <c r="E1783" t="str">
        <f>_xlfn.XLOOKUP(A1783,'[1]Tissue Data'!$A:$A,'[1]Tissue Data'!$H:$H)</f>
        <v>Lepomis</v>
      </c>
      <c r="F1783" t="str">
        <f>_xlfn.XLOOKUP(A1783,'[1]Tissue Data'!$A:$A,'[1]Tissue Data'!$I:$I)</f>
        <v>gibbosus</v>
      </c>
      <c r="G1783" t="str">
        <f>_xlfn.XLOOKUP(A1783,'[1]Tissue Data'!$A:$A,'[1]Tissue Data'!J:J)</f>
        <v>U</v>
      </c>
      <c r="H1783" t="str">
        <f>_xlfn.XLOOKUP(A1783,'[1]Tissue Data'!$A:$A,'[1]Tissue Data'!K:K)</f>
        <v>Whole Body</v>
      </c>
      <c r="I1783">
        <f>_xlfn.XLOOKUP(A1783,'[1]Tissue Data'!$A:$A,'[1]Tissue Data'!L:L)</f>
        <v>8</v>
      </c>
      <c r="J1783">
        <f>_xlfn.XLOOKUP(A1783,'[1]Tissue Data'!$A:$A,'[1]Tissue Data'!M:M)</f>
        <v>10.5</v>
      </c>
      <c r="K1783" t="s">
        <v>43</v>
      </c>
      <c r="L1783" t="str">
        <f>_xlfn.XLOOKUP(K1783,[2]analyte_order!$B:$B,[2]analyte_order!$C:$C)</f>
        <v>757124-72-4</v>
      </c>
      <c r="M1783">
        <f>_xlfn.XLOOKUP(L1783,[2]analyte_order!$C:$C,[2]analyte_order!$E:$E)</f>
        <v>22</v>
      </c>
      <c r="N1783">
        <v>5.5306895297254591E-2</v>
      </c>
    </row>
    <row r="1784" spans="1:14">
      <c r="A1784" t="s">
        <v>249</v>
      </c>
      <c r="B1784" t="str">
        <f>_xlfn.XLOOKUP(A1784,'[1]Tissue Data'!$A:$A,'[1]Tissue Data'!$C:$C)</f>
        <v>Spill</v>
      </c>
      <c r="C1784" s="2">
        <f>_xlfn.XLOOKUP(A1784,'[1]Tissue Data'!$A:$A,'[1]Tissue Data'!$D:$D)</f>
        <v>44314</v>
      </c>
      <c r="D1784" s="2" t="str">
        <f>_xlfn.XLOOKUP(A1784,'[1]Tissue Data'!$A:$A,'[1]Tissue Data'!$F:$F)</f>
        <v>Pumpkinseed</v>
      </c>
      <c r="E1784" t="str">
        <f>_xlfn.XLOOKUP(A1784,'[1]Tissue Data'!$A:$A,'[1]Tissue Data'!$H:$H)</f>
        <v>Lepomis</v>
      </c>
      <c r="F1784" t="str">
        <f>_xlfn.XLOOKUP(A1784,'[1]Tissue Data'!$A:$A,'[1]Tissue Data'!$I:$I)</f>
        <v>gibbosus</v>
      </c>
      <c r="G1784" t="str">
        <f>_xlfn.XLOOKUP(A1784,'[1]Tissue Data'!$A:$A,'[1]Tissue Data'!J:J)</f>
        <v>U</v>
      </c>
      <c r="H1784" t="str">
        <f>_xlfn.XLOOKUP(A1784,'[1]Tissue Data'!$A:$A,'[1]Tissue Data'!K:K)</f>
        <v>Whole Body</v>
      </c>
      <c r="I1784">
        <f>_xlfn.XLOOKUP(A1784,'[1]Tissue Data'!$A:$A,'[1]Tissue Data'!L:L)</f>
        <v>8</v>
      </c>
      <c r="J1784">
        <f>_xlfn.XLOOKUP(A1784,'[1]Tissue Data'!$A:$A,'[1]Tissue Data'!M:M)</f>
        <v>10.5</v>
      </c>
      <c r="K1784" t="s">
        <v>44</v>
      </c>
      <c r="L1784" t="str">
        <f>_xlfn.XLOOKUP(K1784,[2]analyte_order!$B:$B,[2]analyte_order!$C:$C)</f>
        <v>27619-97-2</v>
      </c>
      <c r="M1784">
        <f>_xlfn.XLOOKUP(L1784,[2]analyte_order!$C:$C,[2]analyte_order!$E:$E)</f>
        <v>23</v>
      </c>
      <c r="N1784">
        <v>0.14606532167646774</v>
      </c>
    </row>
    <row r="1785" spans="1:14">
      <c r="A1785" t="s">
        <v>249</v>
      </c>
      <c r="B1785" t="str">
        <f>_xlfn.XLOOKUP(A1785,'[1]Tissue Data'!$A:$A,'[1]Tissue Data'!$C:$C)</f>
        <v>Spill</v>
      </c>
      <c r="C1785" s="2">
        <f>_xlfn.XLOOKUP(A1785,'[1]Tissue Data'!$A:$A,'[1]Tissue Data'!$D:$D)</f>
        <v>44314</v>
      </c>
      <c r="D1785" s="2" t="str">
        <f>_xlfn.XLOOKUP(A1785,'[1]Tissue Data'!$A:$A,'[1]Tissue Data'!$F:$F)</f>
        <v>Pumpkinseed</v>
      </c>
      <c r="E1785" t="str">
        <f>_xlfn.XLOOKUP(A1785,'[1]Tissue Data'!$A:$A,'[1]Tissue Data'!$H:$H)</f>
        <v>Lepomis</v>
      </c>
      <c r="F1785" t="str">
        <f>_xlfn.XLOOKUP(A1785,'[1]Tissue Data'!$A:$A,'[1]Tissue Data'!$I:$I)</f>
        <v>gibbosus</v>
      </c>
      <c r="G1785" t="str">
        <f>_xlfn.XLOOKUP(A1785,'[1]Tissue Data'!$A:$A,'[1]Tissue Data'!J:J)</f>
        <v>U</v>
      </c>
      <c r="H1785" t="str">
        <f>_xlfn.XLOOKUP(A1785,'[1]Tissue Data'!$A:$A,'[1]Tissue Data'!K:K)</f>
        <v>Whole Body</v>
      </c>
      <c r="I1785">
        <f>_xlfn.XLOOKUP(A1785,'[1]Tissue Data'!$A:$A,'[1]Tissue Data'!L:L)</f>
        <v>8</v>
      </c>
      <c r="J1785">
        <f>_xlfn.XLOOKUP(A1785,'[1]Tissue Data'!$A:$A,'[1]Tissue Data'!M:M)</f>
        <v>10.5</v>
      </c>
      <c r="K1785" t="s">
        <v>45</v>
      </c>
      <c r="L1785" t="str">
        <f>_xlfn.XLOOKUP(K1785,[2]analyte_order!$B:$B,[2]analyte_order!$C:$C)</f>
        <v>39108-34-4</v>
      </c>
      <c r="M1785">
        <f>_xlfn.XLOOKUP(L1785,[2]analyte_order!$C:$C,[2]analyte_order!$E:$E)</f>
        <v>24</v>
      </c>
      <c r="N1785">
        <v>1.82</v>
      </c>
    </row>
    <row r="1786" spans="1:14">
      <c r="A1786" t="s">
        <v>249</v>
      </c>
      <c r="B1786" t="str">
        <f>_xlfn.XLOOKUP(A1786,'[1]Tissue Data'!$A:$A,'[1]Tissue Data'!$C:$C)</f>
        <v>Spill</v>
      </c>
      <c r="C1786" s="2">
        <f>_xlfn.XLOOKUP(A1786,'[1]Tissue Data'!$A:$A,'[1]Tissue Data'!$D:$D)</f>
        <v>44314</v>
      </c>
      <c r="D1786" s="2" t="str">
        <f>_xlfn.XLOOKUP(A1786,'[1]Tissue Data'!$A:$A,'[1]Tissue Data'!$F:$F)</f>
        <v>Pumpkinseed</v>
      </c>
      <c r="E1786" t="str">
        <f>_xlfn.XLOOKUP(A1786,'[1]Tissue Data'!$A:$A,'[1]Tissue Data'!$H:$H)</f>
        <v>Lepomis</v>
      </c>
      <c r="F1786" t="str">
        <f>_xlfn.XLOOKUP(A1786,'[1]Tissue Data'!$A:$A,'[1]Tissue Data'!$I:$I)</f>
        <v>gibbosus</v>
      </c>
      <c r="G1786" t="str">
        <f>_xlfn.XLOOKUP(A1786,'[1]Tissue Data'!$A:$A,'[1]Tissue Data'!J:J)</f>
        <v>U</v>
      </c>
      <c r="H1786" t="str">
        <f>_xlfn.XLOOKUP(A1786,'[1]Tissue Data'!$A:$A,'[1]Tissue Data'!K:K)</f>
        <v>Whole Body</v>
      </c>
      <c r="I1786">
        <f>_xlfn.XLOOKUP(A1786,'[1]Tissue Data'!$A:$A,'[1]Tissue Data'!L:L)</f>
        <v>8</v>
      </c>
      <c r="J1786">
        <f>_xlfn.XLOOKUP(A1786,'[1]Tissue Data'!$A:$A,'[1]Tissue Data'!M:M)</f>
        <v>10.5</v>
      </c>
      <c r="K1786" t="s">
        <v>46</v>
      </c>
      <c r="L1786" t="str">
        <f>_xlfn.XLOOKUP(K1786,[2]analyte_order!$B:$B,[2]analyte_order!$C:$C)</f>
        <v>120226-60-0</v>
      </c>
      <c r="M1786">
        <f>_xlfn.XLOOKUP(L1786,[2]analyte_order!$C:$C,[2]analyte_order!$E:$E)</f>
        <v>25</v>
      </c>
      <c r="N1786">
        <v>0.27470940270967736</v>
      </c>
    </row>
    <row r="1787" spans="1:14">
      <c r="A1787" t="s">
        <v>249</v>
      </c>
      <c r="B1787" t="str">
        <f>_xlfn.XLOOKUP(A1787,'[1]Tissue Data'!$A:$A,'[1]Tissue Data'!$C:$C)</f>
        <v>Spill</v>
      </c>
      <c r="C1787" s="2">
        <f>_xlfn.XLOOKUP(A1787,'[1]Tissue Data'!$A:$A,'[1]Tissue Data'!$D:$D)</f>
        <v>44314</v>
      </c>
      <c r="D1787" s="2" t="str">
        <f>_xlfn.XLOOKUP(A1787,'[1]Tissue Data'!$A:$A,'[1]Tissue Data'!$F:$F)</f>
        <v>Pumpkinseed</v>
      </c>
      <c r="E1787" t="str">
        <f>_xlfn.XLOOKUP(A1787,'[1]Tissue Data'!$A:$A,'[1]Tissue Data'!$H:$H)</f>
        <v>Lepomis</v>
      </c>
      <c r="F1787" t="str">
        <f>_xlfn.XLOOKUP(A1787,'[1]Tissue Data'!$A:$A,'[1]Tissue Data'!$I:$I)</f>
        <v>gibbosus</v>
      </c>
      <c r="G1787" t="str">
        <f>_xlfn.XLOOKUP(A1787,'[1]Tissue Data'!$A:$A,'[1]Tissue Data'!J:J)</f>
        <v>U</v>
      </c>
      <c r="H1787" t="str">
        <f>_xlfn.XLOOKUP(A1787,'[1]Tissue Data'!$A:$A,'[1]Tissue Data'!K:K)</f>
        <v>Whole Body</v>
      </c>
      <c r="I1787">
        <f>_xlfn.XLOOKUP(A1787,'[1]Tissue Data'!$A:$A,'[1]Tissue Data'!L:L)</f>
        <v>8</v>
      </c>
      <c r="J1787">
        <f>_xlfn.XLOOKUP(A1787,'[1]Tissue Data'!$A:$A,'[1]Tissue Data'!M:M)</f>
        <v>10.5</v>
      </c>
      <c r="K1787" t="s">
        <v>47</v>
      </c>
      <c r="L1787" t="str">
        <f>_xlfn.XLOOKUP(K1787,[2]analyte_order!$B:$B,[2]analyte_order!$C:$C)</f>
        <v>356-02-5</v>
      </c>
      <c r="M1787">
        <f>_xlfn.XLOOKUP(L1787,[2]analyte_order!$C:$C,[2]analyte_order!$E:$E)</f>
        <v>38</v>
      </c>
      <c r="N1787">
        <v>7.7668345652281257E-2</v>
      </c>
    </row>
    <row r="1788" spans="1:14">
      <c r="A1788" t="s">
        <v>249</v>
      </c>
      <c r="B1788" t="str">
        <f>_xlfn.XLOOKUP(A1788,'[1]Tissue Data'!$A:$A,'[1]Tissue Data'!$C:$C)</f>
        <v>Spill</v>
      </c>
      <c r="C1788" s="2">
        <f>_xlfn.XLOOKUP(A1788,'[1]Tissue Data'!$A:$A,'[1]Tissue Data'!$D:$D)</f>
        <v>44314</v>
      </c>
      <c r="D1788" s="2" t="str">
        <f>_xlfn.XLOOKUP(A1788,'[1]Tissue Data'!$A:$A,'[1]Tissue Data'!$F:$F)</f>
        <v>Pumpkinseed</v>
      </c>
      <c r="E1788" t="str">
        <f>_xlfn.XLOOKUP(A1788,'[1]Tissue Data'!$A:$A,'[1]Tissue Data'!$H:$H)</f>
        <v>Lepomis</v>
      </c>
      <c r="F1788" t="str">
        <f>_xlfn.XLOOKUP(A1788,'[1]Tissue Data'!$A:$A,'[1]Tissue Data'!$I:$I)</f>
        <v>gibbosus</v>
      </c>
      <c r="G1788" t="str">
        <f>_xlfn.XLOOKUP(A1788,'[1]Tissue Data'!$A:$A,'[1]Tissue Data'!J:J)</f>
        <v>U</v>
      </c>
      <c r="H1788" t="str">
        <f>_xlfn.XLOOKUP(A1788,'[1]Tissue Data'!$A:$A,'[1]Tissue Data'!K:K)</f>
        <v>Whole Body</v>
      </c>
      <c r="I1788">
        <f>_xlfn.XLOOKUP(A1788,'[1]Tissue Data'!$A:$A,'[1]Tissue Data'!L:L)</f>
        <v>8</v>
      </c>
      <c r="J1788">
        <f>_xlfn.XLOOKUP(A1788,'[1]Tissue Data'!$A:$A,'[1]Tissue Data'!M:M)</f>
        <v>10.5</v>
      </c>
      <c r="K1788" t="s">
        <v>48</v>
      </c>
      <c r="L1788" t="str">
        <f>_xlfn.XLOOKUP(K1788,[2]analyte_order!$B:$B,[2]analyte_order!$C:$C)</f>
        <v>914637-49-3</v>
      </c>
      <c r="M1788">
        <f>_xlfn.XLOOKUP(L1788,[2]analyte_order!$C:$C,[2]analyte_order!$E:$E)</f>
        <v>39</v>
      </c>
      <c r="N1788">
        <v>5.0813516421094211E-2</v>
      </c>
    </row>
    <row r="1789" spans="1:14">
      <c r="A1789" t="s">
        <v>249</v>
      </c>
      <c r="B1789" t="str">
        <f>_xlfn.XLOOKUP(A1789,'[1]Tissue Data'!$A:$A,'[1]Tissue Data'!$C:$C)</f>
        <v>Spill</v>
      </c>
      <c r="C1789" s="2">
        <f>_xlfn.XLOOKUP(A1789,'[1]Tissue Data'!$A:$A,'[1]Tissue Data'!$D:$D)</f>
        <v>44314</v>
      </c>
      <c r="D1789" s="2" t="str">
        <f>_xlfn.XLOOKUP(A1789,'[1]Tissue Data'!$A:$A,'[1]Tissue Data'!$F:$F)</f>
        <v>Pumpkinseed</v>
      </c>
      <c r="E1789" t="str">
        <f>_xlfn.XLOOKUP(A1789,'[1]Tissue Data'!$A:$A,'[1]Tissue Data'!$H:$H)</f>
        <v>Lepomis</v>
      </c>
      <c r="F1789" t="str">
        <f>_xlfn.XLOOKUP(A1789,'[1]Tissue Data'!$A:$A,'[1]Tissue Data'!$I:$I)</f>
        <v>gibbosus</v>
      </c>
      <c r="G1789" t="str">
        <f>_xlfn.XLOOKUP(A1789,'[1]Tissue Data'!$A:$A,'[1]Tissue Data'!J:J)</f>
        <v>U</v>
      </c>
      <c r="H1789" t="str">
        <f>_xlfn.XLOOKUP(A1789,'[1]Tissue Data'!$A:$A,'[1]Tissue Data'!K:K)</f>
        <v>Whole Body</v>
      </c>
      <c r="I1789">
        <f>_xlfn.XLOOKUP(A1789,'[1]Tissue Data'!$A:$A,'[1]Tissue Data'!L:L)</f>
        <v>8</v>
      </c>
      <c r="J1789">
        <f>_xlfn.XLOOKUP(A1789,'[1]Tissue Data'!$A:$A,'[1]Tissue Data'!M:M)</f>
        <v>10.5</v>
      </c>
      <c r="K1789" t="s">
        <v>49</v>
      </c>
      <c r="L1789" t="str">
        <f>_xlfn.XLOOKUP(K1789,[2]analyte_order!$B:$B,[2]analyte_order!$C:$C)</f>
        <v>812-70-4</v>
      </c>
      <c r="M1789">
        <f>_xlfn.XLOOKUP(L1789,[2]analyte_order!$C:$C,[2]analyte_order!$E:$E)</f>
        <v>40</v>
      </c>
      <c r="N1789">
        <v>0.19483561161580643</v>
      </c>
    </row>
    <row r="1790" spans="1:14">
      <c r="A1790" t="s">
        <v>249</v>
      </c>
      <c r="B1790" t="str">
        <f>_xlfn.XLOOKUP(A1790,'[1]Tissue Data'!$A:$A,'[1]Tissue Data'!$C:$C)</f>
        <v>Spill</v>
      </c>
      <c r="C1790" s="2">
        <f>_xlfn.XLOOKUP(A1790,'[1]Tissue Data'!$A:$A,'[1]Tissue Data'!$D:$D)</f>
        <v>44314</v>
      </c>
      <c r="D1790" s="2" t="str">
        <f>_xlfn.XLOOKUP(A1790,'[1]Tissue Data'!$A:$A,'[1]Tissue Data'!$F:$F)</f>
        <v>Pumpkinseed</v>
      </c>
      <c r="E1790" t="str">
        <f>_xlfn.XLOOKUP(A1790,'[1]Tissue Data'!$A:$A,'[1]Tissue Data'!$H:$H)</f>
        <v>Lepomis</v>
      </c>
      <c r="F1790" t="str">
        <f>_xlfn.XLOOKUP(A1790,'[1]Tissue Data'!$A:$A,'[1]Tissue Data'!$I:$I)</f>
        <v>gibbosus</v>
      </c>
      <c r="G1790" t="str">
        <f>_xlfn.XLOOKUP(A1790,'[1]Tissue Data'!$A:$A,'[1]Tissue Data'!J:J)</f>
        <v>U</v>
      </c>
      <c r="H1790" t="str">
        <f>_xlfn.XLOOKUP(A1790,'[1]Tissue Data'!$A:$A,'[1]Tissue Data'!K:K)</f>
        <v>Whole Body</v>
      </c>
      <c r="I1790">
        <f>_xlfn.XLOOKUP(A1790,'[1]Tissue Data'!$A:$A,'[1]Tissue Data'!L:L)</f>
        <v>8</v>
      </c>
      <c r="J1790">
        <f>_xlfn.XLOOKUP(A1790,'[1]Tissue Data'!$A:$A,'[1]Tissue Data'!M:M)</f>
        <v>10.5</v>
      </c>
      <c r="K1790" t="s">
        <v>50</v>
      </c>
      <c r="L1790" t="str">
        <f>_xlfn.XLOOKUP(K1790,[2]analyte_order!$B:$B,[2]analyte_order!$C:$C)</f>
        <v>53826-12-3</v>
      </c>
      <c r="M1790">
        <f>_xlfn.XLOOKUP(L1790,[2]analyte_order!$C:$C,[2]analyte_order!$E:$E)</f>
        <v>41</v>
      </c>
      <c r="N1790">
        <v>2.99</v>
      </c>
    </row>
    <row r="1791" spans="1:14">
      <c r="A1791" t="s">
        <v>249</v>
      </c>
      <c r="B1791" t="str">
        <f>_xlfn.XLOOKUP(A1791,'[1]Tissue Data'!$A:$A,'[1]Tissue Data'!$C:$C)</f>
        <v>Spill</v>
      </c>
      <c r="C1791" s="2">
        <f>_xlfn.XLOOKUP(A1791,'[1]Tissue Data'!$A:$A,'[1]Tissue Data'!$D:$D)</f>
        <v>44314</v>
      </c>
      <c r="D1791" s="2" t="str">
        <f>_xlfn.XLOOKUP(A1791,'[1]Tissue Data'!$A:$A,'[1]Tissue Data'!$F:$F)</f>
        <v>Pumpkinseed</v>
      </c>
      <c r="E1791" t="str">
        <f>_xlfn.XLOOKUP(A1791,'[1]Tissue Data'!$A:$A,'[1]Tissue Data'!$H:$H)</f>
        <v>Lepomis</v>
      </c>
      <c r="F1791" t="str">
        <f>_xlfn.XLOOKUP(A1791,'[1]Tissue Data'!$A:$A,'[1]Tissue Data'!$I:$I)</f>
        <v>gibbosus</v>
      </c>
      <c r="G1791" t="str">
        <f>_xlfn.XLOOKUP(A1791,'[1]Tissue Data'!$A:$A,'[1]Tissue Data'!J:J)</f>
        <v>U</v>
      </c>
      <c r="H1791" t="str">
        <f>_xlfn.XLOOKUP(A1791,'[1]Tissue Data'!$A:$A,'[1]Tissue Data'!K:K)</f>
        <v>Whole Body</v>
      </c>
      <c r="I1791">
        <f>_xlfn.XLOOKUP(A1791,'[1]Tissue Data'!$A:$A,'[1]Tissue Data'!L:L)</f>
        <v>8</v>
      </c>
      <c r="J1791">
        <f>_xlfn.XLOOKUP(A1791,'[1]Tissue Data'!$A:$A,'[1]Tissue Data'!M:M)</f>
        <v>10.5</v>
      </c>
      <c r="K1791" t="s">
        <v>51</v>
      </c>
      <c r="L1791" t="str">
        <f>_xlfn.XLOOKUP(K1791,[2]analyte_order!$B:$B,[2]analyte_order!$C:$C)</f>
        <v>27854-31-5</v>
      </c>
      <c r="M1791">
        <f>_xlfn.XLOOKUP(L1791,[2]analyte_order!$C:$C,[2]analyte_order!$E:$E)</f>
        <v>42</v>
      </c>
      <c r="N1791">
        <v>2.6933366850412081E-2</v>
      </c>
    </row>
    <row r="1792" spans="1:14">
      <c r="A1792" t="s">
        <v>249</v>
      </c>
      <c r="B1792" t="str">
        <f>_xlfn.XLOOKUP(A1792,'[1]Tissue Data'!$A:$A,'[1]Tissue Data'!$C:$C)</f>
        <v>Spill</v>
      </c>
      <c r="C1792" s="2">
        <f>_xlfn.XLOOKUP(A1792,'[1]Tissue Data'!$A:$A,'[1]Tissue Data'!$D:$D)</f>
        <v>44314</v>
      </c>
      <c r="D1792" s="2" t="str">
        <f>_xlfn.XLOOKUP(A1792,'[1]Tissue Data'!$A:$A,'[1]Tissue Data'!$F:$F)</f>
        <v>Pumpkinseed</v>
      </c>
      <c r="E1792" t="str">
        <f>_xlfn.XLOOKUP(A1792,'[1]Tissue Data'!$A:$A,'[1]Tissue Data'!$H:$H)</f>
        <v>Lepomis</v>
      </c>
      <c r="F1792" t="str">
        <f>_xlfn.XLOOKUP(A1792,'[1]Tissue Data'!$A:$A,'[1]Tissue Data'!$I:$I)</f>
        <v>gibbosus</v>
      </c>
      <c r="G1792" t="str">
        <f>_xlfn.XLOOKUP(A1792,'[1]Tissue Data'!$A:$A,'[1]Tissue Data'!J:J)</f>
        <v>U</v>
      </c>
      <c r="H1792" t="str">
        <f>_xlfn.XLOOKUP(A1792,'[1]Tissue Data'!$A:$A,'[1]Tissue Data'!K:K)</f>
        <v>Whole Body</v>
      </c>
      <c r="I1792">
        <f>_xlfn.XLOOKUP(A1792,'[1]Tissue Data'!$A:$A,'[1]Tissue Data'!L:L)</f>
        <v>8</v>
      </c>
      <c r="J1792">
        <f>_xlfn.XLOOKUP(A1792,'[1]Tissue Data'!$A:$A,'[1]Tissue Data'!M:M)</f>
        <v>10.5</v>
      </c>
      <c r="K1792" t="s">
        <v>52</v>
      </c>
      <c r="L1792" t="str">
        <f>_xlfn.XLOOKUP(K1792,[2]analyte_order!$B:$B,[2]analyte_order!$C:$C)</f>
        <v>53826-13-4</v>
      </c>
      <c r="M1792">
        <f>_xlfn.XLOOKUP(L1792,[2]analyte_order!$C:$C,[2]analyte_order!$E:$E)</f>
        <v>43</v>
      </c>
      <c r="N1792">
        <v>0.10047442056043848</v>
      </c>
    </row>
    <row r="1793" spans="1:14">
      <c r="A1793" t="s">
        <v>249</v>
      </c>
      <c r="B1793" t="str">
        <f>_xlfn.XLOOKUP(A1793,'[1]Tissue Data'!$A:$A,'[1]Tissue Data'!$C:$C)</f>
        <v>Spill</v>
      </c>
      <c r="C1793" s="2">
        <f>_xlfn.XLOOKUP(A1793,'[1]Tissue Data'!$A:$A,'[1]Tissue Data'!$D:$D)</f>
        <v>44314</v>
      </c>
      <c r="D1793" s="2" t="str">
        <f>_xlfn.XLOOKUP(A1793,'[1]Tissue Data'!$A:$A,'[1]Tissue Data'!$F:$F)</f>
        <v>Pumpkinseed</v>
      </c>
      <c r="E1793" t="str">
        <f>_xlfn.XLOOKUP(A1793,'[1]Tissue Data'!$A:$A,'[1]Tissue Data'!$H:$H)</f>
        <v>Lepomis</v>
      </c>
      <c r="F1793" t="str">
        <f>_xlfn.XLOOKUP(A1793,'[1]Tissue Data'!$A:$A,'[1]Tissue Data'!$I:$I)</f>
        <v>gibbosus</v>
      </c>
      <c r="G1793" t="str">
        <f>_xlfn.XLOOKUP(A1793,'[1]Tissue Data'!$A:$A,'[1]Tissue Data'!J:J)</f>
        <v>U</v>
      </c>
      <c r="H1793" t="str">
        <f>_xlfn.XLOOKUP(A1793,'[1]Tissue Data'!$A:$A,'[1]Tissue Data'!K:K)</f>
        <v>Whole Body</v>
      </c>
      <c r="I1793">
        <f>_xlfn.XLOOKUP(A1793,'[1]Tissue Data'!$A:$A,'[1]Tissue Data'!L:L)</f>
        <v>8</v>
      </c>
      <c r="J1793">
        <f>_xlfn.XLOOKUP(A1793,'[1]Tissue Data'!$A:$A,'[1]Tissue Data'!M:M)</f>
        <v>10.5</v>
      </c>
      <c r="K1793" t="s">
        <v>53</v>
      </c>
      <c r="L1793" t="str">
        <f>_xlfn.XLOOKUP(K1793,[2]analyte_order!$B:$B,[2]analyte_order!$C:$C)</f>
        <v>161094-75-3</v>
      </c>
      <c r="M1793">
        <f>_xlfn.XLOOKUP(L1793,[2]analyte_order!$C:$C,[2]analyte_order!$E:$E)</f>
        <v>44</v>
      </c>
      <c r="N1793">
        <v>5.2869966701560335E-2</v>
      </c>
    </row>
    <row r="1794" spans="1:14">
      <c r="A1794" t="s">
        <v>249</v>
      </c>
      <c r="B1794" t="str">
        <f>_xlfn.XLOOKUP(A1794,'[1]Tissue Data'!$A:$A,'[1]Tissue Data'!$C:$C)</f>
        <v>Spill</v>
      </c>
      <c r="C1794" s="2">
        <f>_xlfn.XLOOKUP(A1794,'[1]Tissue Data'!$A:$A,'[1]Tissue Data'!$D:$D)</f>
        <v>44314</v>
      </c>
      <c r="D1794" s="2" t="str">
        <f>_xlfn.XLOOKUP(A1794,'[1]Tissue Data'!$A:$A,'[1]Tissue Data'!$F:$F)</f>
        <v>Pumpkinseed</v>
      </c>
      <c r="E1794" t="str">
        <f>_xlfn.XLOOKUP(A1794,'[1]Tissue Data'!$A:$A,'[1]Tissue Data'!$H:$H)</f>
        <v>Lepomis</v>
      </c>
      <c r="F1794" t="str">
        <f>_xlfn.XLOOKUP(A1794,'[1]Tissue Data'!$A:$A,'[1]Tissue Data'!$I:$I)</f>
        <v>gibbosus</v>
      </c>
      <c r="G1794" t="str">
        <f>_xlfn.XLOOKUP(A1794,'[1]Tissue Data'!$A:$A,'[1]Tissue Data'!J:J)</f>
        <v>U</v>
      </c>
      <c r="H1794" t="str">
        <f>_xlfn.XLOOKUP(A1794,'[1]Tissue Data'!$A:$A,'[1]Tissue Data'!K:K)</f>
        <v>Whole Body</v>
      </c>
      <c r="I1794">
        <f>_xlfn.XLOOKUP(A1794,'[1]Tissue Data'!$A:$A,'[1]Tissue Data'!L:L)</f>
        <v>8</v>
      </c>
      <c r="J1794">
        <f>_xlfn.XLOOKUP(A1794,'[1]Tissue Data'!$A:$A,'[1]Tissue Data'!M:M)</f>
        <v>10.5</v>
      </c>
      <c r="K1794" t="s">
        <v>54</v>
      </c>
      <c r="L1794" t="str">
        <f>_xlfn.XLOOKUP(K1794,[2]analyte_order!$B:$B,[2]analyte_order!$C:$C)</f>
        <v>70887-84-2</v>
      </c>
      <c r="M1794">
        <f>_xlfn.XLOOKUP(L1794,[2]analyte_order!$C:$C,[2]analyte_order!$E:$E)</f>
        <v>45</v>
      </c>
      <c r="N1794">
        <v>4.0689888924205019E-2</v>
      </c>
    </row>
    <row r="1795" spans="1:14">
      <c r="A1795" t="s">
        <v>249</v>
      </c>
      <c r="B1795" t="str">
        <f>_xlfn.XLOOKUP(A1795,'[1]Tissue Data'!$A:$A,'[1]Tissue Data'!$C:$C)</f>
        <v>Spill</v>
      </c>
      <c r="C1795" s="2">
        <f>_xlfn.XLOOKUP(A1795,'[1]Tissue Data'!$A:$A,'[1]Tissue Data'!$D:$D)</f>
        <v>44314</v>
      </c>
      <c r="D1795" s="2" t="str">
        <f>_xlfn.XLOOKUP(A1795,'[1]Tissue Data'!$A:$A,'[1]Tissue Data'!$F:$F)</f>
        <v>Pumpkinseed</v>
      </c>
      <c r="E1795" t="str">
        <f>_xlfn.XLOOKUP(A1795,'[1]Tissue Data'!$A:$A,'[1]Tissue Data'!$H:$H)</f>
        <v>Lepomis</v>
      </c>
      <c r="F1795" t="str">
        <f>_xlfn.XLOOKUP(A1795,'[1]Tissue Data'!$A:$A,'[1]Tissue Data'!$I:$I)</f>
        <v>gibbosus</v>
      </c>
      <c r="G1795" t="str">
        <f>_xlfn.XLOOKUP(A1795,'[1]Tissue Data'!$A:$A,'[1]Tissue Data'!J:J)</f>
        <v>U</v>
      </c>
      <c r="H1795" t="str">
        <f>_xlfn.XLOOKUP(A1795,'[1]Tissue Data'!$A:$A,'[1]Tissue Data'!K:K)</f>
        <v>Whole Body</v>
      </c>
      <c r="I1795">
        <f>_xlfn.XLOOKUP(A1795,'[1]Tissue Data'!$A:$A,'[1]Tissue Data'!L:L)</f>
        <v>8</v>
      </c>
      <c r="J1795">
        <f>_xlfn.XLOOKUP(A1795,'[1]Tissue Data'!$A:$A,'[1]Tissue Data'!M:M)</f>
        <v>10.5</v>
      </c>
      <c r="K1795" t="s">
        <v>55</v>
      </c>
      <c r="L1795" t="str">
        <f>_xlfn.XLOOKUP(K1795,[2]analyte_order!$B:$B,[2]analyte_order!$C:$C)</f>
        <v>919005-14-4</v>
      </c>
      <c r="M1795">
        <f>_xlfn.XLOOKUP(L1795,[2]analyte_order!$C:$C,[2]analyte_order!$E:$E)</f>
        <v>35</v>
      </c>
      <c r="N1795">
        <v>6.7333417126030207E-2</v>
      </c>
    </row>
    <row r="1796" spans="1:14">
      <c r="A1796" t="s">
        <v>249</v>
      </c>
      <c r="B1796" t="str">
        <f>_xlfn.XLOOKUP(A1796,'[1]Tissue Data'!$A:$A,'[1]Tissue Data'!$C:$C)</f>
        <v>Spill</v>
      </c>
      <c r="C1796" s="2">
        <f>_xlfn.XLOOKUP(A1796,'[1]Tissue Data'!$A:$A,'[1]Tissue Data'!$D:$D)</f>
        <v>44314</v>
      </c>
      <c r="D1796" s="2" t="str">
        <f>_xlfn.XLOOKUP(A1796,'[1]Tissue Data'!$A:$A,'[1]Tissue Data'!$F:$F)</f>
        <v>Pumpkinseed</v>
      </c>
      <c r="E1796" t="str">
        <f>_xlfn.XLOOKUP(A1796,'[1]Tissue Data'!$A:$A,'[1]Tissue Data'!$H:$H)</f>
        <v>Lepomis</v>
      </c>
      <c r="F1796" t="str">
        <f>_xlfn.XLOOKUP(A1796,'[1]Tissue Data'!$A:$A,'[1]Tissue Data'!$I:$I)</f>
        <v>gibbosus</v>
      </c>
      <c r="G1796" t="str">
        <f>_xlfn.XLOOKUP(A1796,'[1]Tissue Data'!$A:$A,'[1]Tissue Data'!J:J)</f>
        <v>U</v>
      </c>
      <c r="H1796" t="str">
        <f>_xlfn.XLOOKUP(A1796,'[1]Tissue Data'!$A:$A,'[1]Tissue Data'!K:K)</f>
        <v>Whole Body</v>
      </c>
      <c r="I1796">
        <f>_xlfn.XLOOKUP(A1796,'[1]Tissue Data'!$A:$A,'[1]Tissue Data'!L:L)</f>
        <v>8</v>
      </c>
      <c r="J1796">
        <f>_xlfn.XLOOKUP(A1796,'[1]Tissue Data'!$A:$A,'[1]Tissue Data'!M:M)</f>
        <v>10.5</v>
      </c>
      <c r="K1796" t="s">
        <v>56</v>
      </c>
      <c r="L1796" t="str">
        <f>_xlfn.XLOOKUP(K1796,[2]analyte_order!$B:$B,[2]analyte_order!$C:$C)</f>
        <v>756426-58-1</v>
      </c>
      <c r="M1796">
        <f>_xlfn.XLOOKUP(L1796,[2]analyte_order!$C:$C,[2]analyte_order!$E:$E)</f>
        <v>36</v>
      </c>
      <c r="N1796">
        <v>4.6736571868951221E-2</v>
      </c>
    </row>
    <row r="1797" spans="1:14">
      <c r="A1797" t="s">
        <v>249</v>
      </c>
      <c r="B1797" t="str">
        <f>_xlfn.XLOOKUP(A1797,'[1]Tissue Data'!$A:$A,'[1]Tissue Data'!$C:$C)</f>
        <v>Spill</v>
      </c>
      <c r="C1797" s="2">
        <f>_xlfn.XLOOKUP(A1797,'[1]Tissue Data'!$A:$A,'[1]Tissue Data'!$D:$D)</f>
        <v>44314</v>
      </c>
      <c r="D1797" s="2" t="str">
        <f>_xlfn.XLOOKUP(A1797,'[1]Tissue Data'!$A:$A,'[1]Tissue Data'!$F:$F)</f>
        <v>Pumpkinseed</v>
      </c>
      <c r="E1797" t="str">
        <f>_xlfn.XLOOKUP(A1797,'[1]Tissue Data'!$A:$A,'[1]Tissue Data'!$H:$H)</f>
        <v>Lepomis</v>
      </c>
      <c r="F1797" t="str">
        <f>_xlfn.XLOOKUP(A1797,'[1]Tissue Data'!$A:$A,'[1]Tissue Data'!$I:$I)</f>
        <v>gibbosus</v>
      </c>
      <c r="G1797" t="str">
        <f>_xlfn.XLOOKUP(A1797,'[1]Tissue Data'!$A:$A,'[1]Tissue Data'!J:J)</f>
        <v>U</v>
      </c>
      <c r="H1797" t="str">
        <f>_xlfn.XLOOKUP(A1797,'[1]Tissue Data'!$A:$A,'[1]Tissue Data'!K:K)</f>
        <v>Whole Body</v>
      </c>
      <c r="I1797">
        <f>_xlfn.XLOOKUP(A1797,'[1]Tissue Data'!$A:$A,'[1]Tissue Data'!L:L)</f>
        <v>8</v>
      </c>
      <c r="J1797">
        <f>_xlfn.XLOOKUP(A1797,'[1]Tissue Data'!$A:$A,'[1]Tissue Data'!M:M)</f>
        <v>10.5</v>
      </c>
      <c r="K1797" t="s">
        <v>57</v>
      </c>
      <c r="L1797" t="str">
        <f>_xlfn.XLOOKUP(K1797,[2]analyte_order!$B:$B,[2]analyte_order!$C:$C)</f>
        <v>763051-92-9</v>
      </c>
      <c r="M1797">
        <f>_xlfn.XLOOKUP(L1797,[2]analyte_order!$C:$C,[2]analyte_order!$E:$E)</f>
        <v>37</v>
      </c>
      <c r="N1797">
        <v>5.3058096080880905E-2</v>
      </c>
    </row>
    <row r="1798" spans="1:14">
      <c r="A1798" t="s">
        <v>249</v>
      </c>
      <c r="B1798" t="str">
        <f>_xlfn.XLOOKUP(A1798,'[1]Tissue Data'!$A:$A,'[1]Tissue Data'!$C:$C)</f>
        <v>Spill</v>
      </c>
      <c r="C1798" s="2">
        <f>_xlfn.XLOOKUP(A1798,'[1]Tissue Data'!$A:$A,'[1]Tissue Data'!$D:$D)</f>
        <v>44314</v>
      </c>
      <c r="D1798" s="2" t="str">
        <f>_xlfn.XLOOKUP(A1798,'[1]Tissue Data'!$A:$A,'[1]Tissue Data'!$F:$F)</f>
        <v>Pumpkinseed</v>
      </c>
      <c r="E1798" t="str">
        <f>_xlfn.XLOOKUP(A1798,'[1]Tissue Data'!$A:$A,'[1]Tissue Data'!$H:$H)</f>
        <v>Lepomis</v>
      </c>
      <c r="F1798" t="str">
        <f>_xlfn.XLOOKUP(A1798,'[1]Tissue Data'!$A:$A,'[1]Tissue Data'!$I:$I)</f>
        <v>gibbosus</v>
      </c>
      <c r="G1798" t="str">
        <f>_xlfn.XLOOKUP(A1798,'[1]Tissue Data'!$A:$A,'[1]Tissue Data'!J:J)</f>
        <v>U</v>
      </c>
      <c r="H1798" t="str">
        <f>_xlfn.XLOOKUP(A1798,'[1]Tissue Data'!$A:$A,'[1]Tissue Data'!K:K)</f>
        <v>Whole Body</v>
      </c>
      <c r="I1798">
        <f>_xlfn.XLOOKUP(A1798,'[1]Tissue Data'!$A:$A,'[1]Tissue Data'!L:L)</f>
        <v>8</v>
      </c>
      <c r="J1798">
        <f>_xlfn.XLOOKUP(A1798,'[1]Tissue Data'!$A:$A,'[1]Tissue Data'!M:M)</f>
        <v>10.5</v>
      </c>
      <c r="K1798" t="s">
        <v>58</v>
      </c>
      <c r="L1798" t="str">
        <f>_xlfn.XLOOKUP(K1798,[2]analyte_order!$B:$B,[2]analyte_order!$C:$C)</f>
        <v>13252-13-6</v>
      </c>
      <c r="M1798">
        <f>_xlfn.XLOOKUP(L1798,[2]analyte_order!$C:$C,[2]analyte_order!$E:$E)</f>
        <v>34</v>
      </c>
      <c r="N1798">
        <v>9.6625376952893569E-2</v>
      </c>
    </row>
    <row r="1799" spans="1:14">
      <c r="A1799" t="s">
        <v>249</v>
      </c>
      <c r="B1799" t="str">
        <f>_xlfn.XLOOKUP(A1799,'[1]Tissue Data'!$A:$A,'[1]Tissue Data'!$C:$C)</f>
        <v>Spill</v>
      </c>
      <c r="C1799" s="2">
        <f>_xlfn.XLOOKUP(A1799,'[1]Tissue Data'!$A:$A,'[1]Tissue Data'!$D:$D)</f>
        <v>44314</v>
      </c>
      <c r="D1799" s="2" t="str">
        <f>_xlfn.XLOOKUP(A1799,'[1]Tissue Data'!$A:$A,'[1]Tissue Data'!$F:$F)</f>
        <v>Pumpkinseed</v>
      </c>
      <c r="E1799" t="str">
        <f>_xlfn.XLOOKUP(A1799,'[1]Tissue Data'!$A:$A,'[1]Tissue Data'!$H:$H)</f>
        <v>Lepomis</v>
      </c>
      <c r="F1799" t="str">
        <f>_xlfn.XLOOKUP(A1799,'[1]Tissue Data'!$A:$A,'[1]Tissue Data'!$I:$I)</f>
        <v>gibbosus</v>
      </c>
      <c r="G1799" t="str">
        <f>_xlfn.XLOOKUP(A1799,'[1]Tissue Data'!$A:$A,'[1]Tissue Data'!J:J)</f>
        <v>U</v>
      </c>
      <c r="H1799" t="str">
        <f>_xlfn.XLOOKUP(A1799,'[1]Tissue Data'!$A:$A,'[1]Tissue Data'!K:K)</f>
        <v>Whole Body</v>
      </c>
      <c r="I1799">
        <f>_xlfn.XLOOKUP(A1799,'[1]Tissue Data'!$A:$A,'[1]Tissue Data'!L:L)</f>
        <v>8</v>
      </c>
      <c r="J1799">
        <f>_xlfn.XLOOKUP(A1799,'[1]Tissue Data'!$A:$A,'[1]Tissue Data'!M:M)</f>
        <v>10.5</v>
      </c>
      <c r="K1799" t="s">
        <v>59</v>
      </c>
      <c r="L1799" t="str">
        <f>_xlfn.XLOOKUP(K1799,[2]analyte_order!$B:$B,[2]analyte_order!$C:$C)</f>
        <v>57677-95-9</v>
      </c>
      <c r="M1799">
        <f>_xlfn.XLOOKUP(L1799,[2]analyte_order!$C:$C,[2]analyte_order!$E:$E)</f>
        <v>46</v>
      </c>
      <c r="N1799">
        <v>7.1678370854730403E-2</v>
      </c>
    </row>
    <row r="1800" spans="1:14">
      <c r="A1800" t="s">
        <v>249</v>
      </c>
      <c r="B1800" t="str">
        <f>_xlfn.XLOOKUP(A1800,'[1]Tissue Data'!$A:$A,'[1]Tissue Data'!$C:$C)</f>
        <v>Spill</v>
      </c>
      <c r="C1800" s="2">
        <f>_xlfn.XLOOKUP(A1800,'[1]Tissue Data'!$A:$A,'[1]Tissue Data'!$D:$D)</f>
        <v>44314</v>
      </c>
      <c r="D1800" s="2" t="str">
        <f>_xlfn.XLOOKUP(A1800,'[1]Tissue Data'!$A:$A,'[1]Tissue Data'!$F:$F)</f>
        <v>Pumpkinseed</v>
      </c>
      <c r="E1800" t="str">
        <f>_xlfn.XLOOKUP(A1800,'[1]Tissue Data'!$A:$A,'[1]Tissue Data'!$H:$H)</f>
        <v>Lepomis</v>
      </c>
      <c r="F1800" t="str">
        <f>_xlfn.XLOOKUP(A1800,'[1]Tissue Data'!$A:$A,'[1]Tissue Data'!$I:$I)</f>
        <v>gibbosus</v>
      </c>
      <c r="G1800" t="str">
        <f>_xlfn.XLOOKUP(A1800,'[1]Tissue Data'!$A:$A,'[1]Tissue Data'!J:J)</f>
        <v>U</v>
      </c>
      <c r="H1800" t="str">
        <f>_xlfn.XLOOKUP(A1800,'[1]Tissue Data'!$A:$A,'[1]Tissue Data'!K:K)</f>
        <v>Whole Body</v>
      </c>
      <c r="I1800">
        <f>_xlfn.XLOOKUP(A1800,'[1]Tissue Data'!$A:$A,'[1]Tissue Data'!L:L)</f>
        <v>8</v>
      </c>
      <c r="J1800">
        <f>_xlfn.XLOOKUP(A1800,'[1]Tissue Data'!$A:$A,'[1]Tissue Data'!M:M)</f>
        <v>10.5</v>
      </c>
      <c r="K1800" t="s">
        <v>60</v>
      </c>
      <c r="L1800" t="str">
        <f>_xlfn.XLOOKUP(K1800,[2]analyte_order!$B:$B,[2]analyte_order!$C:$C)</f>
        <v>678-41-1</v>
      </c>
      <c r="M1800">
        <f>_xlfn.XLOOKUP(L1800,[2]analyte_order!$C:$C,[2]analyte_order!$E:$E)</f>
        <v>56</v>
      </c>
      <c r="N1800">
        <v>8.9271587599743241E-2</v>
      </c>
    </row>
    <row r="1801" spans="1:14">
      <c r="A1801" t="s">
        <v>249</v>
      </c>
      <c r="B1801" t="str">
        <f>_xlfn.XLOOKUP(A1801,'[1]Tissue Data'!$A:$A,'[1]Tissue Data'!$C:$C)</f>
        <v>Spill</v>
      </c>
      <c r="C1801" s="2">
        <f>_xlfn.XLOOKUP(A1801,'[1]Tissue Data'!$A:$A,'[1]Tissue Data'!$D:$D)</f>
        <v>44314</v>
      </c>
      <c r="D1801" s="2" t="str">
        <f>_xlfn.XLOOKUP(A1801,'[1]Tissue Data'!$A:$A,'[1]Tissue Data'!$F:$F)</f>
        <v>Pumpkinseed</v>
      </c>
      <c r="E1801" t="str">
        <f>_xlfn.XLOOKUP(A1801,'[1]Tissue Data'!$A:$A,'[1]Tissue Data'!$H:$H)</f>
        <v>Lepomis</v>
      </c>
      <c r="F1801" t="str">
        <f>_xlfn.XLOOKUP(A1801,'[1]Tissue Data'!$A:$A,'[1]Tissue Data'!$I:$I)</f>
        <v>gibbosus</v>
      </c>
      <c r="G1801" t="str">
        <f>_xlfn.XLOOKUP(A1801,'[1]Tissue Data'!$A:$A,'[1]Tissue Data'!J:J)</f>
        <v>U</v>
      </c>
      <c r="H1801" t="str">
        <f>_xlfn.XLOOKUP(A1801,'[1]Tissue Data'!$A:$A,'[1]Tissue Data'!K:K)</f>
        <v>Whole Body</v>
      </c>
      <c r="I1801">
        <f>_xlfn.XLOOKUP(A1801,'[1]Tissue Data'!$A:$A,'[1]Tissue Data'!L:L)</f>
        <v>8</v>
      </c>
      <c r="J1801">
        <f>_xlfn.XLOOKUP(A1801,'[1]Tissue Data'!$A:$A,'[1]Tissue Data'!M:M)</f>
        <v>10.5</v>
      </c>
      <c r="K1801" t="s">
        <v>61</v>
      </c>
      <c r="L1801" t="str">
        <f>_xlfn.XLOOKUP(K1801,[2]analyte_order!$B:$B,[2]analyte_order!$C:$C)</f>
        <v>2965-52-8</v>
      </c>
      <c r="M1801">
        <f>_xlfn.XLOOKUP(L1801,[2]analyte_order!$C:$C,[2]analyte_order!$E:$E)</f>
        <v>57</v>
      </c>
      <c r="N1801">
        <v>0.11850681414181316</v>
      </c>
    </row>
    <row r="1802" spans="1:14">
      <c r="A1802" t="s">
        <v>250</v>
      </c>
      <c r="B1802" t="str">
        <f>_xlfn.XLOOKUP(A1802,'[1]Tissue Data'!$A:$A,'[1]Tissue Data'!$C:$C)</f>
        <v>Spill</v>
      </c>
      <c r="C1802" s="2">
        <f>_xlfn.XLOOKUP(A1802,'[1]Tissue Data'!$A:$A,'[1]Tissue Data'!$D:$D)</f>
        <v>44314</v>
      </c>
      <c r="D1802" s="2" t="str">
        <f>_xlfn.XLOOKUP(A1802,'[1]Tissue Data'!$A:$A,'[1]Tissue Data'!$F:$F)</f>
        <v>Pumpkinseed</v>
      </c>
      <c r="E1802" t="str">
        <f>_xlfn.XLOOKUP(A1802,'[1]Tissue Data'!$A:$A,'[1]Tissue Data'!$H:$H)</f>
        <v>Lepomis</v>
      </c>
      <c r="F1802" t="str">
        <f>_xlfn.XLOOKUP(A1802,'[1]Tissue Data'!$A:$A,'[1]Tissue Data'!$I:$I)</f>
        <v>gibbosus</v>
      </c>
      <c r="G1802" t="str">
        <f>_xlfn.XLOOKUP(A1802,'[1]Tissue Data'!$A:$A,'[1]Tissue Data'!J:J)</f>
        <v>U</v>
      </c>
      <c r="H1802" t="str">
        <f>_xlfn.XLOOKUP(A1802,'[1]Tissue Data'!$A:$A,'[1]Tissue Data'!K:K)</f>
        <v>Whole Body</v>
      </c>
      <c r="I1802">
        <f>_xlfn.XLOOKUP(A1802,'[1]Tissue Data'!$A:$A,'[1]Tissue Data'!L:L)</f>
        <v>7.5</v>
      </c>
      <c r="J1802">
        <f>_xlfn.XLOOKUP(A1802,'[1]Tissue Data'!$A:$A,'[1]Tissue Data'!M:M)</f>
        <v>9.6999999999999993</v>
      </c>
      <c r="K1802" t="s">
        <v>12</v>
      </c>
      <c r="L1802" t="str">
        <f>_xlfn.XLOOKUP(K1802,[2]analyte_order!$B:$B,[2]analyte_order!$C:$C)</f>
        <v>375-22-4</v>
      </c>
      <c r="M1802">
        <f>_xlfn.XLOOKUP(L1802,[2]analyte_order!$C:$C,[2]analyte_order!$E:$E)</f>
        <v>1</v>
      </c>
      <c r="N1802">
        <v>8.9197224975223005E-2</v>
      </c>
    </row>
    <row r="1803" spans="1:14">
      <c r="A1803" t="s">
        <v>250</v>
      </c>
      <c r="B1803" t="str">
        <f>_xlfn.XLOOKUP(A1803,'[1]Tissue Data'!$A:$A,'[1]Tissue Data'!$C:$C)</f>
        <v>Spill</v>
      </c>
      <c r="C1803" s="2">
        <f>_xlfn.XLOOKUP(A1803,'[1]Tissue Data'!$A:$A,'[1]Tissue Data'!$D:$D)</f>
        <v>44314</v>
      </c>
      <c r="D1803" s="2" t="str">
        <f>_xlfn.XLOOKUP(A1803,'[1]Tissue Data'!$A:$A,'[1]Tissue Data'!$F:$F)</f>
        <v>Pumpkinseed</v>
      </c>
      <c r="E1803" t="str">
        <f>_xlfn.XLOOKUP(A1803,'[1]Tissue Data'!$A:$A,'[1]Tissue Data'!$H:$H)</f>
        <v>Lepomis</v>
      </c>
      <c r="F1803" t="str">
        <f>_xlfn.XLOOKUP(A1803,'[1]Tissue Data'!$A:$A,'[1]Tissue Data'!$I:$I)</f>
        <v>gibbosus</v>
      </c>
      <c r="G1803" t="str">
        <f>_xlfn.XLOOKUP(A1803,'[1]Tissue Data'!$A:$A,'[1]Tissue Data'!J:J)</f>
        <v>U</v>
      </c>
      <c r="H1803" t="str">
        <f>_xlfn.XLOOKUP(A1803,'[1]Tissue Data'!$A:$A,'[1]Tissue Data'!K:K)</f>
        <v>Whole Body</v>
      </c>
      <c r="I1803">
        <f>_xlfn.XLOOKUP(A1803,'[1]Tissue Data'!$A:$A,'[1]Tissue Data'!L:L)</f>
        <v>7.5</v>
      </c>
      <c r="J1803">
        <f>_xlfn.XLOOKUP(A1803,'[1]Tissue Data'!$A:$A,'[1]Tissue Data'!M:M)</f>
        <v>9.6999999999999993</v>
      </c>
      <c r="K1803" t="s">
        <v>13</v>
      </c>
      <c r="L1803" t="str">
        <f>_xlfn.XLOOKUP(K1803,[2]analyte_order!$B:$B,[2]analyte_order!$C:$C)</f>
        <v>2706-90-3</v>
      </c>
      <c r="M1803">
        <f>_xlfn.XLOOKUP(L1803,[2]analyte_order!$C:$C,[2]analyte_order!$E:$E)</f>
        <v>2</v>
      </c>
      <c r="N1803">
        <v>5.1799215062903227E-2</v>
      </c>
    </row>
    <row r="1804" spans="1:14">
      <c r="A1804" t="s">
        <v>250</v>
      </c>
      <c r="B1804" t="str">
        <f>_xlfn.XLOOKUP(A1804,'[1]Tissue Data'!$A:$A,'[1]Tissue Data'!$C:$C)</f>
        <v>Spill</v>
      </c>
      <c r="C1804" s="2">
        <f>_xlfn.XLOOKUP(A1804,'[1]Tissue Data'!$A:$A,'[1]Tissue Data'!$D:$D)</f>
        <v>44314</v>
      </c>
      <c r="D1804" s="2" t="str">
        <f>_xlfn.XLOOKUP(A1804,'[1]Tissue Data'!$A:$A,'[1]Tissue Data'!$F:$F)</f>
        <v>Pumpkinseed</v>
      </c>
      <c r="E1804" t="str">
        <f>_xlfn.XLOOKUP(A1804,'[1]Tissue Data'!$A:$A,'[1]Tissue Data'!$H:$H)</f>
        <v>Lepomis</v>
      </c>
      <c r="F1804" t="str">
        <f>_xlfn.XLOOKUP(A1804,'[1]Tissue Data'!$A:$A,'[1]Tissue Data'!$I:$I)</f>
        <v>gibbosus</v>
      </c>
      <c r="G1804" t="str">
        <f>_xlfn.XLOOKUP(A1804,'[1]Tissue Data'!$A:$A,'[1]Tissue Data'!J:J)</f>
        <v>U</v>
      </c>
      <c r="H1804" t="str">
        <f>_xlfn.XLOOKUP(A1804,'[1]Tissue Data'!$A:$A,'[1]Tissue Data'!K:K)</f>
        <v>Whole Body</v>
      </c>
      <c r="I1804">
        <f>_xlfn.XLOOKUP(A1804,'[1]Tissue Data'!$A:$A,'[1]Tissue Data'!L:L)</f>
        <v>7.5</v>
      </c>
      <c r="J1804">
        <f>_xlfn.XLOOKUP(A1804,'[1]Tissue Data'!$A:$A,'[1]Tissue Data'!M:M)</f>
        <v>9.6999999999999993</v>
      </c>
      <c r="K1804" t="s">
        <v>14</v>
      </c>
      <c r="L1804" t="str">
        <f>_xlfn.XLOOKUP(K1804,[2]analyte_order!$B:$B,[2]analyte_order!$C:$C)</f>
        <v>307-24-4</v>
      </c>
      <c r="M1804">
        <f>_xlfn.XLOOKUP(L1804,[2]analyte_order!$C:$C,[2]analyte_order!$E:$E)</f>
        <v>3</v>
      </c>
      <c r="N1804">
        <v>0.12034740690718039</v>
      </c>
    </row>
    <row r="1805" spans="1:14">
      <c r="A1805" t="s">
        <v>250</v>
      </c>
      <c r="B1805" t="str">
        <f>_xlfn.XLOOKUP(A1805,'[1]Tissue Data'!$A:$A,'[1]Tissue Data'!$C:$C)</f>
        <v>Spill</v>
      </c>
      <c r="C1805" s="2">
        <f>_xlfn.XLOOKUP(A1805,'[1]Tissue Data'!$A:$A,'[1]Tissue Data'!$D:$D)</f>
        <v>44314</v>
      </c>
      <c r="D1805" s="2" t="str">
        <f>_xlfn.XLOOKUP(A1805,'[1]Tissue Data'!$A:$A,'[1]Tissue Data'!$F:$F)</f>
        <v>Pumpkinseed</v>
      </c>
      <c r="E1805" t="str">
        <f>_xlfn.XLOOKUP(A1805,'[1]Tissue Data'!$A:$A,'[1]Tissue Data'!$H:$H)</f>
        <v>Lepomis</v>
      </c>
      <c r="F1805" t="str">
        <f>_xlfn.XLOOKUP(A1805,'[1]Tissue Data'!$A:$A,'[1]Tissue Data'!$I:$I)</f>
        <v>gibbosus</v>
      </c>
      <c r="G1805" t="str">
        <f>_xlfn.XLOOKUP(A1805,'[1]Tissue Data'!$A:$A,'[1]Tissue Data'!J:J)</f>
        <v>U</v>
      </c>
      <c r="H1805" t="str">
        <f>_xlfn.XLOOKUP(A1805,'[1]Tissue Data'!$A:$A,'[1]Tissue Data'!K:K)</f>
        <v>Whole Body</v>
      </c>
      <c r="I1805">
        <f>_xlfn.XLOOKUP(A1805,'[1]Tissue Data'!$A:$A,'[1]Tissue Data'!L:L)</f>
        <v>7.5</v>
      </c>
      <c r="J1805">
        <f>_xlfn.XLOOKUP(A1805,'[1]Tissue Data'!$A:$A,'[1]Tissue Data'!M:M)</f>
        <v>9.6999999999999993</v>
      </c>
      <c r="K1805" t="s">
        <v>15</v>
      </c>
      <c r="L1805" t="str">
        <f>_xlfn.XLOOKUP(K1805,[2]analyte_order!$B:$B,[2]analyte_order!$C:$C)</f>
        <v>375-85-9</v>
      </c>
      <c r="M1805">
        <f>_xlfn.XLOOKUP(L1805,[2]analyte_order!$C:$C,[2]analyte_order!$E:$E)</f>
        <v>4</v>
      </c>
      <c r="N1805">
        <v>2.932551319648094E-2</v>
      </c>
    </row>
    <row r="1806" spans="1:14">
      <c r="A1806" t="s">
        <v>250</v>
      </c>
      <c r="B1806" t="str">
        <f>_xlfn.XLOOKUP(A1806,'[1]Tissue Data'!$A:$A,'[1]Tissue Data'!$C:$C)</f>
        <v>Spill</v>
      </c>
      <c r="C1806" s="2">
        <f>_xlfn.XLOOKUP(A1806,'[1]Tissue Data'!$A:$A,'[1]Tissue Data'!$D:$D)</f>
        <v>44314</v>
      </c>
      <c r="D1806" s="2" t="str">
        <f>_xlfn.XLOOKUP(A1806,'[1]Tissue Data'!$A:$A,'[1]Tissue Data'!$F:$F)</f>
        <v>Pumpkinseed</v>
      </c>
      <c r="E1806" t="str">
        <f>_xlfn.XLOOKUP(A1806,'[1]Tissue Data'!$A:$A,'[1]Tissue Data'!$H:$H)</f>
        <v>Lepomis</v>
      </c>
      <c r="F1806" t="str">
        <f>_xlfn.XLOOKUP(A1806,'[1]Tissue Data'!$A:$A,'[1]Tissue Data'!$I:$I)</f>
        <v>gibbosus</v>
      </c>
      <c r="G1806" t="str">
        <f>_xlfn.XLOOKUP(A1806,'[1]Tissue Data'!$A:$A,'[1]Tissue Data'!J:J)</f>
        <v>U</v>
      </c>
      <c r="H1806" t="str">
        <f>_xlfn.XLOOKUP(A1806,'[1]Tissue Data'!$A:$A,'[1]Tissue Data'!K:K)</f>
        <v>Whole Body</v>
      </c>
      <c r="I1806">
        <f>_xlfn.XLOOKUP(A1806,'[1]Tissue Data'!$A:$A,'[1]Tissue Data'!L:L)</f>
        <v>7.5</v>
      </c>
      <c r="J1806">
        <f>_xlfn.XLOOKUP(A1806,'[1]Tissue Data'!$A:$A,'[1]Tissue Data'!M:M)</f>
        <v>9.6999999999999993</v>
      </c>
      <c r="K1806" t="s">
        <v>16</v>
      </c>
      <c r="L1806" t="str">
        <f>_xlfn.XLOOKUP(K1806,[2]analyte_order!$B:$B,[2]analyte_order!$C:$C)</f>
        <v>335-67-1</v>
      </c>
      <c r="M1806">
        <f>_xlfn.XLOOKUP(L1806,[2]analyte_order!$C:$C,[2]analyte_order!$E:$E)</f>
        <v>5</v>
      </c>
      <c r="N1806">
        <v>2.84</v>
      </c>
    </row>
    <row r="1807" spans="1:14">
      <c r="A1807" t="s">
        <v>250</v>
      </c>
      <c r="B1807" t="str">
        <f>_xlfn.XLOOKUP(A1807,'[1]Tissue Data'!$A:$A,'[1]Tissue Data'!$C:$C)</f>
        <v>Spill</v>
      </c>
      <c r="C1807" s="2">
        <f>_xlfn.XLOOKUP(A1807,'[1]Tissue Data'!$A:$A,'[1]Tissue Data'!$D:$D)</f>
        <v>44314</v>
      </c>
      <c r="D1807" s="2" t="str">
        <f>_xlfn.XLOOKUP(A1807,'[1]Tissue Data'!$A:$A,'[1]Tissue Data'!$F:$F)</f>
        <v>Pumpkinseed</v>
      </c>
      <c r="E1807" t="str">
        <f>_xlfn.XLOOKUP(A1807,'[1]Tissue Data'!$A:$A,'[1]Tissue Data'!$H:$H)</f>
        <v>Lepomis</v>
      </c>
      <c r="F1807" t="str">
        <f>_xlfn.XLOOKUP(A1807,'[1]Tissue Data'!$A:$A,'[1]Tissue Data'!$I:$I)</f>
        <v>gibbosus</v>
      </c>
      <c r="G1807" t="str">
        <f>_xlfn.XLOOKUP(A1807,'[1]Tissue Data'!$A:$A,'[1]Tissue Data'!J:J)</f>
        <v>U</v>
      </c>
      <c r="H1807" t="str">
        <f>_xlfn.XLOOKUP(A1807,'[1]Tissue Data'!$A:$A,'[1]Tissue Data'!K:K)</f>
        <v>Whole Body</v>
      </c>
      <c r="I1807">
        <f>_xlfn.XLOOKUP(A1807,'[1]Tissue Data'!$A:$A,'[1]Tissue Data'!L:L)</f>
        <v>7.5</v>
      </c>
      <c r="J1807">
        <f>_xlfn.XLOOKUP(A1807,'[1]Tissue Data'!$A:$A,'[1]Tissue Data'!M:M)</f>
        <v>9.6999999999999993</v>
      </c>
      <c r="K1807" t="s">
        <v>17</v>
      </c>
      <c r="L1807" t="str">
        <f>_xlfn.XLOOKUP(K1807,[2]analyte_order!$B:$B,[2]analyte_order!$C:$C)</f>
        <v>375-95-1</v>
      </c>
      <c r="M1807">
        <f>_xlfn.XLOOKUP(L1807,[2]analyte_order!$C:$C,[2]analyte_order!$E:$E)</f>
        <v>6</v>
      </c>
      <c r="N1807">
        <v>3.67</v>
      </c>
    </row>
    <row r="1808" spans="1:14">
      <c r="A1808" t="s">
        <v>250</v>
      </c>
      <c r="B1808" t="str">
        <f>_xlfn.XLOOKUP(A1808,'[1]Tissue Data'!$A:$A,'[1]Tissue Data'!$C:$C)</f>
        <v>Spill</v>
      </c>
      <c r="C1808" s="2">
        <f>_xlfn.XLOOKUP(A1808,'[1]Tissue Data'!$A:$A,'[1]Tissue Data'!$D:$D)</f>
        <v>44314</v>
      </c>
      <c r="D1808" s="2" t="str">
        <f>_xlfn.XLOOKUP(A1808,'[1]Tissue Data'!$A:$A,'[1]Tissue Data'!$F:$F)</f>
        <v>Pumpkinseed</v>
      </c>
      <c r="E1808" t="str">
        <f>_xlfn.XLOOKUP(A1808,'[1]Tissue Data'!$A:$A,'[1]Tissue Data'!$H:$H)</f>
        <v>Lepomis</v>
      </c>
      <c r="F1808" t="str">
        <f>_xlfn.XLOOKUP(A1808,'[1]Tissue Data'!$A:$A,'[1]Tissue Data'!$I:$I)</f>
        <v>gibbosus</v>
      </c>
      <c r="G1808" t="str">
        <f>_xlfn.XLOOKUP(A1808,'[1]Tissue Data'!$A:$A,'[1]Tissue Data'!J:J)</f>
        <v>U</v>
      </c>
      <c r="H1808" t="str">
        <f>_xlfn.XLOOKUP(A1808,'[1]Tissue Data'!$A:$A,'[1]Tissue Data'!K:K)</f>
        <v>Whole Body</v>
      </c>
      <c r="I1808">
        <f>_xlfn.XLOOKUP(A1808,'[1]Tissue Data'!$A:$A,'[1]Tissue Data'!L:L)</f>
        <v>7.5</v>
      </c>
      <c r="J1808">
        <f>_xlfn.XLOOKUP(A1808,'[1]Tissue Data'!$A:$A,'[1]Tissue Data'!M:M)</f>
        <v>9.6999999999999993</v>
      </c>
      <c r="K1808" t="s">
        <v>18</v>
      </c>
      <c r="L1808" t="str">
        <f>_xlfn.XLOOKUP(K1808,[2]analyte_order!$B:$B,[2]analyte_order!$C:$C)</f>
        <v>335-76-2</v>
      </c>
      <c r="M1808">
        <f>_xlfn.XLOOKUP(L1808,[2]analyte_order!$C:$C,[2]analyte_order!$E:$E)</f>
        <v>7</v>
      </c>
      <c r="N1808">
        <v>6.66</v>
      </c>
    </row>
    <row r="1809" spans="1:14">
      <c r="A1809" t="s">
        <v>250</v>
      </c>
      <c r="B1809" t="str">
        <f>_xlfn.XLOOKUP(A1809,'[1]Tissue Data'!$A:$A,'[1]Tissue Data'!$C:$C)</f>
        <v>Spill</v>
      </c>
      <c r="C1809" s="2">
        <f>_xlfn.XLOOKUP(A1809,'[1]Tissue Data'!$A:$A,'[1]Tissue Data'!$D:$D)</f>
        <v>44314</v>
      </c>
      <c r="D1809" s="2" t="str">
        <f>_xlfn.XLOOKUP(A1809,'[1]Tissue Data'!$A:$A,'[1]Tissue Data'!$F:$F)</f>
        <v>Pumpkinseed</v>
      </c>
      <c r="E1809" t="str">
        <f>_xlfn.XLOOKUP(A1809,'[1]Tissue Data'!$A:$A,'[1]Tissue Data'!$H:$H)</f>
        <v>Lepomis</v>
      </c>
      <c r="F1809" t="str">
        <f>_xlfn.XLOOKUP(A1809,'[1]Tissue Data'!$A:$A,'[1]Tissue Data'!$I:$I)</f>
        <v>gibbosus</v>
      </c>
      <c r="G1809" t="str">
        <f>_xlfn.XLOOKUP(A1809,'[1]Tissue Data'!$A:$A,'[1]Tissue Data'!J:J)</f>
        <v>U</v>
      </c>
      <c r="H1809" t="str">
        <f>_xlfn.XLOOKUP(A1809,'[1]Tissue Data'!$A:$A,'[1]Tissue Data'!K:K)</f>
        <v>Whole Body</v>
      </c>
      <c r="I1809">
        <f>_xlfn.XLOOKUP(A1809,'[1]Tissue Data'!$A:$A,'[1]Tissue Data'!L:L)</f>
        <v>7.5</v>
      </c>
      <c r="J1809">
        <f>_xlfn.XLOOKUP(A1809,'[1]Tissue Data'!$A:$A,'[1]Tissue Data'!M:M)</f>
        <v>9.6999999999999993</v>
      </c>
      <c r="K1809" t="s">
        <v>19</v>
      </c>
      <c r="L1809" t="str">
        <f>_xlfn.XLOOKUP(K1809,[2]analyte_order!$B:$B,[2]analyte_order!$C:$C)</f>
        <v>2058-94-8</v>
      </c>
      <c r="M1809">
        <f>_xlfn.XLOOKUP(L1809,[2]analyte_order!$C:$C,[2]analyte_order!$E:$E)</f>
        <v>8</v>
      </c>
      <c r="N1809">
        <v>10.5</v>
      </c>
    </row>
    <row r="1810" spans="1:14">
      <c r="A1810" t="s">
        <v>250</v>
      </c>
      <c r="B1810" t="str">
        <f>_xlfn.XLOOKUP(A1810,'[1]Tissue Data'!$A:$A,'[1]Tissue Data'!$C:$C)</f>
        <v>Spill</v>
      </c>
      <c r="C1810" s="2">
        <f>_xlfn.XLOOKUP(A1810,'[1]Tissue Data'!$A:$A,'[1]Tissue Data'!$D:$D)</f>
        <v>44314</v>
      </c>
      <c r="D1810" s="2" t="str">
        <f>_xlfn.XLOOKUP(A1810,'[1]Tissue Data'!$A:$A,'[1]Tissue Data'!$F:$F)</f>
        <v>Pumpkinseed</v>
      </c>
      <c r="E1810" t="str">
        <f>_xlfn.XLOOKUP(A1810,'[1]Tissue Data'!$A:$A,'[1]Tissue Data'!$H:$H)</f>
        <v>Lepomis</v>
      </c>
      <c r="F1810" t="str">
        <f>_xlfn.XLOOKUP(A1810,'[1]Tissue Data'!$A:$A,'[1]Tissue Data'!$I:$I)</f>
        <v>gibbosus</v>
      </c>
      <c r="G1810" t="str">
        <f>_xlfn.XLOOKUP(A1810,'[1]Tissue Data'!$A:$A,'[1]Tissue Data'!J:J)</f>
        <v>U</v>
      </c>
      <c r="H1810" t="str">
        <f>_xlfn.XLOOKUP(A1810,'[1]Tissue Data'!$A:$A,'[1]Tissue Data'!K:K)</f>
        <v>Whole Body</v>
      </c>
      <c r="I1810">
        <f>_xlfn.XLOOKUP(A1810,'[1]Tissue Data'!$A:$A,'[1]Tissue Data'!L:L)</f>
        <v>7.5</v>
      </c>
      <c r="J1810">
        <f>_xlfn.XLOOKUP(A1810,'[1]Tissue Data'!$A:$A,'[1]Tissue Data'!M:M)</f>
        <v>9.6999999999999993</v>
      </c>
      <c r="K1810" t="s">
        <v>20</v>
      </c>
      <c r="L1810" t="str">
        <f>_xlfn.XLOOKUP(K1810,[2]analyte_order!$B:$B,[2]analyte_order!$C:$C)</f>
        <v>307-55-1</v>
      </c>
      <c r="M1810">
        <f>_xlfn.XLOOKUP(L1810,[2]analyte_order!$C:$C,[2]analyte_order!$E:$E)</f>
        <v>9</v>
      </c>
      <c r="N1810">
        <v>5.853664723064516E-2</v>
      </c>
    </row>
    <row r="1811" spans="1:14">
      <c r="A1811" t="s">
        <v>250</v>
      </c>
      <c r="B1811" t="str">
        <f>_xlfn.XLOOKUP(A1811,'[1]Tissue Data'!$A:$A,'[1]Tissue Data'!$C:$C)</f>
        <v>Spill</v>
      </c>
      <c r="C1811" s="2">
        <f>_xlfn.XLOOKUP(A1811,'[1]Tissue Data'!$A:$A,'[1]Tissue Data'!$D:$D)</f>
        <v>44314</v>
      </c>
      <c r="D1811" s="2" t="str">
        <f>_xlfn.XLOOKUP(A1811,'[1]Tissue Data'!$A:$A,'[1]Tissue Data'!$F:$F)</f>
        <v>Pumpkinseed</v>
      </c>
      <c r="E1811" t="str">
        <f>_xlfn.XLOOKUP(A1811,'[1]Tissue Data'!$A:$A,'[1]Tissue Data'!$H:$H)</f>
        <v>Lepomis</v>
      </c>
      <c r="F1811" t="str">
        <f>_xlfn.XLOOKUP(A1811,'[1]Tissue Data'!$A:$A,'[1]Tissue Data'!$I:$I)</f>
        <v>gibbosus</v>
      </c>
      <c r="G1811" t="str">
        <f>_xlfn.XLOOKUP(A1811,'[1]Tissue Data'!$A:$A,'[1]Tissue Data'!J:J)</f>
        <v>U</v>
      </c>
      <c r="H1811" t="str">
        <f>_xlfn.XLOOKUP(A1811,'[1]Tissue Data'!$A:$A,'[1]Tissue Data'!K:K)</f>
        <v>Whole Body</v>
      </c>
      <c r="I1811">
        <f>_xlfn.XLOOKUP(A1811,'[1]Tissue Data'!$A:$A,'[1]Tissue Data'!L:L)</f>
        <v>7.5</v>
      </c>
      <c r="J1811">
        <f>_xlfn.XLOOKUP(A1811,'[1]Tissue Data'!$A:$A,'[1]Tissue Data'!M:M)</f>
        <v>9.6999999999999993</v>
      </c>
      <c r="K1811" t="s">
        <v>21</v>
      </c>
      <c r="L1811" t="str">
        <f>_xlfn.XLOOKUP(K1811,[2]analyte_order!$B:$B,[2]analyte_order!$C:$C)</f>
        <v>72629-94-8</v>
      </c>
      <c r="M1811">
        <f>_xlfn.XLOOKUP(L1811,[2]analyte_order!$C:$C,[2]analyte_order!$E:$E)</f>
        <v>10</v>
      </c>
      <c r="N1811">
        <v>1.95</v>
      </c>
    </row>
    <row r="1812" spans="1:14">
      <c r="A1812" t="s">
        <v>250</v>
      </c>
      <c r="B1812" t="str">
        <f>_xlfn.XLOOKUP(A1812,'[1]Tissue Data'!$A:$A,'[1]Tissue Data'!$C:$C)</f>
        <v>Spill</v>
      </c>
      <c r="C1812" s="2">
        <f>_xlfn.XLOOKUP(A1812,'[1]Tissue Data'!$A:$A,'[1]Tissue Data'!$D:$D)</f>
        <v>44314</v>
      </c>
      <c r="D1812" s="2" t="str">
        <f>_xlfn.XLOOKUP(A1812,'[1]Tissue Data'!$A:$A,'[1]Tissue Data'!$F:$F)</f>
        <v>Pumpkinseed</v>
      </c>
      <c r="E1812" t="str">
        <f>_xlfn.XLOOKUP(A1812,'[1]Tissue Data'!$A:$A,'[1]Tissue Data'!$H:$H)</f>
        <v>Lepomis</v>
      </c>
      <c r="F1812" t="str">
        <f>_xlfn.XLOOKUP(A1812,'[1]Tissue Data'!$A:$A,'[1]Tissue Data'!$I:$I)</f>
        <v>gibbosus</v>
      </c>
      <c r="G1812" t="str">
        <f>_xlfn.XLOOKUP(A1812,'[1]Tissue Data'!$A:$A,'[1]Tissue Data'!J:J)</f>
        <v>U</v>
      </c>
      <c r="H1812" t="str">
        <f>_xlfn.XLOOKUP(A1812,'[1]Tissue Data'!$A:$A,'[1]Tissue Data'!K:K)</f>
        <v>Whole Body</v>
      </c>
      <c r="I1812">
        <f>_xlfn.XLOOKUP(A1812,'[1]Tissue Data'!$A:$A,'[1]Tissue Data'!L:L)</f>
        <v>7.5</v>
      </c>
      <c r="J1812">
        <f>_xlfn.XLOOKUP(A1812,'[1]Tissue Data'!$A:$A,'[1]Tissue Data'!M:M)</f>
        <v>9.6999999999999993</v>
      </c>
      <c r="K1812" t="s">
        <v>22</v>
      </c>
      <c r="L1812" t="str">
        <f>_xlfn.XLOOKUP(K1812,[2]analyte_order!$B:$B,[2]analyte_order!$C:$C)</f>
        <v>376-06-7</v>
      </c>
      <c r="M1812">
        <f>_xlfn.XLOOKUP(L1812,[2]analyte_order!$C:$C,[2]analyte_order!$E:$E)</f>
        <v>11</v>
      </c>
      <c r="N1812">
        <v>8.61</v>
      </c>
    </row>
    <row r="1813" spans="1:14">
      <c r="A1813" t="s">
        <v>250</v>
      </c>
      <c r="B1813" t="str">
        <f>_xlfn.XLOOKUP(A1813,'[1]Tissue Data'!$A:$A,'[1]Tissue Data'!$C:$C)</f>
        <v>Spill</v>
      </c>
      <c r="C1813" s="2">
        <f>_xlfn.XLOOKUP(A1813,'[1]Tissue Data'!$A:$A,'[1]Tissue Data'!$D:$D)</f>
        <v>44314</v>
      </c>
      <c r="D1813" s="2" t="str">
        <f>_xlfn.XLOOKUP(A1813,'[1]Tissue Data'!$A:$A,'[1]Tissue Data'!$F:$F)</f>
        <v>Pumpkinseed</v>
      </c>
      <c r="E1813" t="str">
        <f>_xlfn.XLOOKUP(A1813,'[1]Tissue Data'!$A:$A,'[1]Tissue Data'!$H:$H)</f>
        <v>Lepomis</v>
      </c>
      <c r="F1813" t="str">
        <f>_xlfn.XLOOKUP(A1813,'[1]Tissue Data'!$A:$A,'[1]Tissue Data'!$I:$I)</f>
        <v>gibbosus</v>
      </c>
      <c r="G1813" t="str">
        <f>_xlfn.XLOOKUP(A1813,'[1]Tissue Data'!$A:$A,'[1]Tissue Data'!J:J)</f>
        <v>U</v>
      </c>
      <c r="H1813" t="str">
        <f>_xlfn.XLOOKUP(A1813,'[1]Tissue Data'!$A:$A,'[1]Tissue Data'!K:K)</f>
        <v>Whole Body</v>
      </c>
      <c r="I1813">
        <f>_xlfn.XLOOKUP(A1813,'[1]Tissue Data'!$A:$A,'[1]Tissue Data'!L:L)</f>
        <v>7.5</v>
      </c>
      <c r="J1813">
        <f>_xlfn.XLOOKUP(A1813,'[1]Tissue Data'!$A:$A,'[1]Tissue Data'!M:M)</f>
        <v>9.6999999999999993</v>
      </c>
      <c r="K1813" t="s">
        <v>23</v>
      </c>
      <c r="L1813" t="str">
        <f>_xlfn.XLOOKUP(K1813,[2]analyte_order!$B:$B,[2]analyte_order!$C:$C)</f>
        <v>67905-19-5</v>
      </c>
      <c r="M1813">
        <f>_xlfn.XLOOKUP(L1813,[2]analyte_order!$C:$C,[2]analyte_order!$E:$E)</f>
        <v>12</v>
      </c>
      <c r="N1813">
        <v>8.7375376945161273E-2</v>
      </c>
    </row>
    <row r="1814" spans="1:14">
      <c r="A1814" t="s">
        <v>250</v>
      </c>
      <c r="B1814" t="str">
        <f>_xlfn.XLOOKUP(A1814,'[1]Tissue Data'!$A:$A,'[1]Tissue Data'!$C:$C)</f>
        <v>Spill</v>
      </c>
      <c r="C1814" s="2">
        <f>_xlfn.XLOOKUP(A1814,'[1]Tissue Data'!$A:$A,'[1]Tissue Data'!$D:$D)</f>
        <v>44314</v>
      </c>
      <c r="D1814" s="2" t="str">
        <f>_xlfn.XLOOKUP(A1814,'[1]Tissue Data'!$A:$A,'[1]Tissue Data'!$F:$F)</f>
        <v>Pumpkinseed</v>
      </c>
      <c r="E1814" t="str">
        <f>_xlfn.XLOOKUP(A1814,'[1]Tissue Data'!$A:$A,'[1]Tissue Data'!$H:$H)</f>
        <v>Lepomis</v>
      </c>
      <c r="F1814" t="str">
        <f>_xlfn.XLOOKUP(A1814,'[1]Tissue Data'!$A:$A,'[1]Tissue Data'!$I:$I)</f>
        <v>gibbosus</v>
      </c>
      <c r="G1814" t="str">
        <f>_xlfn.XLOOKUP(A1814,'[1]Tissue Data'!$A:$A,'[1]Tissue Data'!J:J)</f>
        <v>U</v>
      </c>
      <c r="H1814" t="str">
        <f>_xlfn.XLOOKUP(A1814,'[1]Tissue Data'!$A:$A,'[1]Tissue Data'!K:K)</f>
        <v>Whole Body</v>
      </c>
      <c r="I1814">
        <f>_xlfn.XLOOKUP(A1814,'[1]Tissue Data'!$A:$A,'[1]Tissue Data'!L:L)</f>
        <v>7.5</v>
      </c>
      <c r="J1814">
        <f>_xlfn.XLOOKUP(A1814,'[1]Tissue Data'!$A:$A,'[1]Tissue Data'!M:M)</f>
        <v>9.6999999999999993</v>
      </c>
      <c r="K1814" t="s">
        <v>24</v>
      </c>
      <c r="L1814" t="str">
        <f>_xlfn.XLOOKUP(K1814,[2]analyte_order!$B:$B,[2]analyte_order!$C:$C)</f>
        <v>423-41-6</v>
      </c>
      <c r="M1814">
        <f>_xlfn.XLOOKUP(L1814,[2]analyte_order!$C:$C,[2]analyte_order!$E:$E)</f>
        <v>53</v>
      </c>
      <c r="N1814">
        <v>5.5934988053225797E-2</v>
      </c>
    </row>
    <row r="1815" spans="1:14">
      <c r="A1815" t="s">
        <v>250</v>
      </c>
      <c r="B1815" t="str">
        <f>_xlfn.XLOOKUP(A1815,'[1]Tissue Data'!$A:$A,'[1]Tissue Data'!$C:$C)</f>
        <v>Spill</v>
      </c>
      <c r="C1815" s="2">
        <f>_xlfn.XLOOKUP(A1815,'[1]Tissue Data'!$A:$A,'[1]Tissue Data'!$D:$D)</f>
        <v>44314</v>
      </c>
      <c r="D1815" s="2" t="str">
        <f>_xlfn.XLOOKUP(A1815,'[1]Tissue Data'!$A:$A,'[1]Tissue Data'!$F:$F)</f>
        <v>Pumpkinseed</v>
      </c>
      <c r="E1815" t="str">
        <f>_xlfn.XLOOKUP(A1815,'[1]Tissue Data'!$A:$A,'[1]Tissue Data'!$H:$H)</f>
        <v>Lepomis</v>
      </c>
      <c r="F1815" t="str">
        <f>_xlfn.XLOOKUP(A1815,'[1]Tissue Data'!$A:$A,'[1]Tissue Data'!$I:$I)</f>
        <v>gibbosus</v>
      </c>
      <c r="G1815" t="str">
        <f>_xlfn.XLOOKUP(A1815,'[1]Tissue Data'!$A:$A,'[1]Tissue Data'!J:J)</f>
        <v>U</v>
      </c>
      <c r="H1815" t="str">
        <f>_xlfn.XLOOKUP(A1815,'[1]Tissue Data'!$A:$A,'[1]Tissue Data'!K:K)</f>
        <v>Whole Body</v>
      </c>
      <c r="I1815">
        <f>_xlfn.XLOOKUP(A1815,'[1]Tissue Data'!$A:$A,'[1]Tissue Data'!L:L)</f>
        <v>7.5</v>
      </c>
      <c r="J1815">
        <f>_xlfn.XLOOKUP(A1815,'[1]Tissue Data'!$A:$A,'[1]Tissue Data'!M:M)</f>
        <v>9.6999999999999993</v>
      </c>
      <c r="K1815" t="s">
        <v>25</v>
      </c>
      <c r="L1815" t="str">
        <f>_xlfn.XLOOKUP(K1815,[2]analyte_order!$B:$B,[2]analyte_order!$C:$C)</f>
        <v>375-73-5</v>
      </c>
      <c r="M1815">
        <f>_xlfn.XLOOKUP(L1815,[2]analyte_order!$C:$C,[2]analyte_order!$E:$E)</f>
        <v>14</v>
      </c>
      <c r="N1815">
        <v>4.9898043943548381E-2</v>
      </c>
    </row>
    <row r="1816" spans="1:14">
      <c r="A1816" t="s">
        <v>250</v>
      </c>
      <c r="B1816" t="str">
        <f>_xlfn.XLOOKUP(A1816,'[1]Tissue Data'!$A:$A,'[1]Tissue Data'!$C:$C)</f>
        <v>Spill</v>
      </c>
      <c r="C1816" s="2">
        <f>_xlfn.XLOOKUP(A1816,'[1]Tissue Data'!$A:$A,'[1]Tissue Data'!$D:$D)</f>
        <v>44314</v>
      </c>
      <c r="D1816" s="2" t="str">
        <f>_xlfn.XLOOKUP(A1816,'[1]Tissue Data'!$A:$A,'[1]Tissue Data'!$F:$F)</f>
        <v>Pumpkinseed</v>
      </c>
      <c r="E1816" t="str">
        <f>_xlfn.XLOOKUP(A1816,'[1]Tissue Data'!$A:$A,'[1]Tissue Data'!$H:$H)</f>
        <v>Lepomis</v>
      </c>
      <c r="F1816" t="str">
        <f>_xlfn.XLOOKUP(A1816,'[1]Tissue Data'!$A:$A,'[1]Tissue Data'!$I:$I)</f>
        <v>gibbosus</v>
      </c>
      <c r="G1816" t="str">
        <f>_xlfn.XLOOKUP(A1816,'[1]Tissue Data'!$A:$A,'[1]Tissue Data'!J:J)</f>
        <v>U</v>
      </c>
      <c r="H1816" t="str">
        <f>_xlfn.XLOOKUP(A1816,'[1]Tissue Data'!$A:$A,'[1]Tissue Data'!K:K)</f>
        <v>Whole Body</v>
      </c>
      <c r="I1816">
        <f>_xlfn.XLOOKUP(A1816,'[1]Tissue Data'!$A:$A,'[1]Tissue Data'!L:L)</f>
        <v>7.5</v>
      </c>
      <c r="J1816">
        <f>_xlfn.XLOOKUP(A1816,'[1]Tissue Data'!$A:$A,'[1]Tissue Data'!M:M)</f>
        <v>9.6999999999999993</v>
      </c>
      <c r="K1816" t="s">
        <v>26</v>
      </c>
      <c r="L1816" t="str">
        <f>_xlfn.XLOOKUP(K1816,[2]analyte_order!$B:$B,[2]analyte_order!$C:$C)</f>
        <v>2706-91-4</v>
      </c>
      <c r="M1816">
        <f>_xlfn.XLOOKUP(L1816,[2]analyte_order!$C:$C,[2]analyte_order!$E:$E)</f>
        <v>15</v>
      </c>
      <c r="N1816">
        <v>0.118084847227225</v>
      </c>
    </row>
    <row r="1817" spans="1:14">
      <c r="A1817" t="s">
        <v>250</v>
      </c>
      <c r="B1817" t="str">
        <f>_xlfn.XLOOKUP(A1817,'[1]Tissue Data'!$A:$A,'[1]Tissue Data'!$C:$C)</f>
        <v>Spill</v>
      </c>
      <c r="C1817" s="2">
        <f>_xlfn.XLOOKUP(A1817,'[1]Tissue Data'!$A:$A,'[1]Tissue Data'!$D:$D)</f>
        <v>44314</v>
      </c>
      <c r="D1817" s="2" t="str">
        <f>_xlfn.XLOOKUP(A1817,'[1]Tissue Data'!$A:$A,'[1]Tissue Data'!$F:$F)</f>
        <v>Pumpkinseed</v>
      </c>
      <c r="E1817" t="str">
        <f>_xlfn.XLOOKUP(A1817,'[1]Tissue Data'!$A:$A,'[1]Tissue Data'!$H:$H)</f>
        <v>Lepomis</v>
      </c>
      <c r="F1817" t="str">
        <f>_xlfn.XLOOKUP(A1817,'[1]Tissue Data'!$A:$A,'[1]Tissue Data'!$I:$I)</f>
        <v>gibbosus</v>
      </c>
      <c r="G1817" t="str">
        <f>_xlfn.XLOOKUP(A1817,'[1]Tissue Data'!$A:$A,'[1]Tissue Data'!J:J)</f>
        <v>U</v>
      </c>
      <c r="H1817" t="str">
        <f>_xlfn.XLOOKUP(A1817,'[1]Tissue Data'!$A:$A,'[1]Tissue Data'!K:K)</f>
        <v>Whole Body</v>
      </c>
      <c r="I1817">
        <f>_xlfn.XLOOKUP(A1817,'[1]Tissue Data'!$A:$A,'[1]Tissue Data'!L:L)</f>
        <v>7.5</v>
      </c>
      <c r="J1817">
        <f>_xlfn.XLOOKUP(A1817,'[1]Tissue Data'!$A:$A,'[1]Tissue Data'!M:M)</f>
        <v>9.6999999999999993</v>
      </c>
      <c r="K1817" t="s">
        <v>27</v>
      </c>
      <c r="L1817" t="str">
        <f>_xlfn.XLOOKUP(K1817,[2]analyte_order!$B:$B,[2]analyte_order!$C:$C)</f>
        <v>355-46-4</v>
      </c>
      <c r="M1817">
        <f>_xlfn.XLOOKUP(L1817,[2]analyte_order!$C:$C,[2]analyte_order!$E:$E)</f>
        <v>16</v>
      </c>
      <c r="N1817">
        <v>38.1</v>
      </c>
    </row>
    <row r="1818" spans="1:14">
      <c r="A1818" t="s">
        <v>250</v>
      </c>
      <c r="B1818" t="str">
        <f>_xlfn.XLOOKUP(A1818,'[1]Tissue Data'!$A:$A,'[1]Tissue Data'!$C:$C)</f>
        <v>Spill</v>
      </c>
      <c r="C1818" s="2">
        <f>_xlfn.XLOOKUP(A1818,'[1]Tissue Data'!$A:$A,'[1]Tissue Data'!$D:$D)</f>
        <v>44314</v>
      </c>
      <c r="D1818" s="2" t="str">
        <f>_xlfn.XLOOKUP(A1818,'[1]Tissue Data'!$A:$A,'[1]Tissue Data'!$F:$F)</f>
        <v>Pumpkinseed</v>
      </c>
      <c r="E1818" t="str">
        <f>_xlfn.XLOOKUP(A1818,'[1]Tissue Data'!$A:$A,'[1]Tissue Data'!$H:$H)</f>
        <v>Lepomis</v>
      </c>
      <c r="F1818" t="str">
        <f>_xlfn.XLOOKUP(A1818,'[1]Tissue Data'!$A:$A,'[1]Tissue Data'!$I:$I)</f>
        <v>gibbosus</v>
      </c>
      <c r="G1818" t="str">
        <f>_xlfn.XLOOKUP(A1818,'[1]Tissue Data'!$A:$A,'[1]Tissue Data'!J:J)</f>
        <v>U</v>
      </c>
      <c r="H1818" t="str">
        <f>_xlfn.XLOOKUP(A1818,'[1]Tissue Data'!$A:$A,'[1]Tissue Data'!K:K)</f>
        <v>Whole Body</v>
      </c>
      <c r="I1818">
        <f>_xlfn.XLOOKUP(A1818,'[1]Tissue Data'!$A:$A,'[1]Tissue Data'!L:L)</f>
        <v>7.5</v>
      </c>
      <c r="J1818">
        <f>_xlfn.XLOOKUP(A1818,'[1]Tissue Data'!$A:$A,'[1]Tissue Data'!M:M)</f>
        <v>9.6999999999999993</v>
      </c>
      <c r="K1818" t="s">
        <v>28</v>
      </c>
      <c r="L1818" t="str">
        <f>_xlfn.XLOOKUP(K1818,[2]analyte_order!$B:$B,[2]analyte_order!$C:$C)</f>
        <v>375-92-8</v>
      </c>
      <c r="M1818">
        <f>_xlfn.XLOOKUP(L1818,[2]analyte_order!$C:$C,[2]analyte_order!$E:$E)</f>
        <v>17</v>
      </c>
      <c r="N1818">
        <v>0.89200000000000002</v>
      </c>
    </row>
    <row r="1819" spans="1:14">
      <c r="A1819" t="s">
        <v>250</v>
      </c>
      <c r="B1819" t="str">
        <f>_xlfn.XLOOKUP(A1819,'[1]Tissue Data'!$A:$A,'[1]Tissue Data'!$C:$C)</f>
        <v>Spill</v>
      </c>
      <c r="C1819" s="2">
        <f>_xlfn.XLOOKUP(A1819,'[1]Tissue Data'!$A:$A,'[1]Tissue Data'!$D:$D)</f>
        <v>44314</v>
      </c>
      <c r="D1819" s="2" t="str">
        <f>_xlfn.XLOOKUP(A1819,'[1]Tissue Data'!$A:$A,'[1]Tissue Data'!$F:$F)</f>
        <v>Pumpkinseed</v>
      </c>
      <c r="E1819" t="str">
        <f>_xlfn.XLOOKUP(A1819,'[1]Tissue Data'!$A:$A,'[1]Tissue Data'!$H:$H)</f>
        <v>Lepomis</v>
      </c>
      <c r="F1819" t="str">
        <f>_xlfn.XLOOKUP(A1819,'[1]Tissue Data'!$A:$A,'[1]Tissue Data'!$I:$I)</f>
        <v>gibbosus</v>
      </c>
      <c r="G1819" t="str">
        <f>_xlfn.XLOOKUP(A1819,'[1]Tissue Data'!$A:$A,'[1]Tissue Data'!J:J)</f>
        <v>U</v>
      </c>
      <c r="H1819" t="str">
        <f>_xlfn.XLOOKUP(A1819,'[1]Tissue Data'!$A:$A,'[1]Tissue Data'!K:K)</f>
        <v>Whole Body</v>
      </c>
      <c r="I1819">
        <f>_xlfn.XLOOKUP(A1819,'[1]Tissue Data'!$A:$A,'[1]Tissue Data'!L:L)</f>
        <v>7.5</v>
      </c>
      <c r="J1819">
        <f>_xlfn.XLOOKUP(A1819,'[1]Tissue Data'!$A:$A,'[1]Tissue Data'!M:M)</f>
        <v>9.6999999999999993</v>
      </c>
      <c r="K1819" t="s">
        <v>29</v>
      </c>
      <c r="L1819" t="str">
        <f>_xlfn.XLOOKUP(K1819,[2]analyte_order!$B:$B,[2]analyte_order!$C:$C)</f>
        <v>1763-23-1</v>
      </c>
      <c r="M1819">
        <f>_xlfn.XLOOKUP(L1819,[2]analyte_order!$C:$C,[2]analyte_order!$E:$E)</f>
        <v>18</v>
      </c>
      <c r="N1819">
        <v>1240</v>
      </c>
    </row>
    <row r="1820" spans="1:14">
      <c r="A1820" t="s">
        <v>250</v>
      </c>
      <c r="B1820" t="str">
        <f>_xlfn.XLOOKUP(A1820,'[1]Tissue Data'!$A:$A,'[1]Tissue Data'!$C:$C)</f>
        <v>Spill</v>
      </c>
      <c r="C1820" s="2">
        <f>_xlfn.XLOOKUP(A1820,'[1]Tissue Data'!$A:$A,'[1]Tissue Data'!$D:$D)</f>
        <v>44314</v>
      </c>
      <c r="D1820" s="2" t="str">
        <f>_xlfn.XLOOKUP(A1820,'[1]Tissue Data'!$A:$A,'[1]Tissue Data'!$F:$F)</f>
        <v>Pumpkinseed</v>
      </c>
      <c r="E1820" t="str">
        <f>_xlfn.XLOOKUP(A1820,'[1]Tissue Data'!$A:$A,'[1]Tissue Data'!$H:$H)</f>
        <v>Lepomis</v>
      </c>
      <c r="F1820" t="str">
        <f>_xlfn.XLOOKUP(A1820,'[1]Tissue Data'!$A:$A,'[1]Tissue Data'!$I:$I)</f>
        <v>gibbosus</v>
      </c>
      <c r="G1820" t="str">
        <f>_xlfn.XLOOKUP(A1820,'[1]Tissue Data'!$A:$A,'[1]Tissue Data'!J:J)</f>
        <v>U</v>
      </c>
      <c r="H1820" t="str">
        <f>_xlfn.XLOOKUP(A1820,'[1]Tissue Data'!$A:$A,'[1]Tissue Data'!K:K)</f>
        <v>Whole Body</v>
      </c>
      <c r="I1820">
        <f>_xlfn.XLOOKUP(A1820,'[1]Tissue Data'!$A:$A,'[1]Tissue Data'!L:L)</f>
        <v>7.5</v>
      </c>
      <c r="J1820">
        <f>_xlfn.XLOOKUP(A1820,'[1]Tissue Data'!$A:$A,'[1]Tissue Data'!M:M)</f>
        <v>9.6999999999999993</v>
      </c>
      <c r="K1820" t="s">
        <v>30</v>
      </c>
      <c r="L1820" t="str">
        <f>_xlfn.XLOOKUP(K1820,[2]analyte_order!$B:$B,[2]analyte_order!$C:$C)</f>
        <v>68259-12-1</v>
      </c>
      <c r="M1820">
        <f>_xlfn.XLOOKUP(L1820,[2]analyte_order!$C:$C,[2]analyte_order!$E:$E)</f>
        <v>19</v>
      </c>
      <c r="N1820">
        <v>0.89500000000000002</v>
      </c>
    </row>
    <row r="1821" spans="1:14">
      <c r="A1821" t="s">
        <v>250</v>
      </c>
      <c r="B1821" t="str">
        <f>_xlfn.XLOOKUP(A1821,'[1]Tissue Data'!$A:$A,'[1]Tissue Data'!$C:$C)</f>
        <v>Spill</v>
      </c>
      <c r="C1821" s="2">
        <f>_xlfn.XLOOKUP(A1821,'[1]Tissue Data'!$A:$A,'[1]Tissue Data'!$D:$D)</f>
        <v>44314</v>
      </c>
      <c r="D1821" s="2" t="str">
        <f>_xlfn.XLOOKUP(A1821,'[1]Tissue Data'!$A:$A,'[1]Tissue Data'!$F:$F)</f>
        <v>Pumpkinseed</v>
      </c>
      <c r="E1821" t="str">
        <f>_xlfn.XLOOKUP(A1821,'[1]Tissue Data'!$A:$A,'[1]Tissue Data'!$H:$H)</f>
        <v>Lepomis</v>
      </c>
      <c r="F1821" t="str">
        <f>_xlfn.XLOOKUP(A1821,'[1]Tissue Data'!$A:$A,'[1]Tissue Data'!$I:$I)</f>
        <v>gibbosus</v>
      </c>
      <c r="G1821" t="str">
        <f>_xlfn.XLOOKUP(A1821,'[1]Tissue Data'!$A:$A,'[1]Tissue Data'!J:J)</f>
        <v>U</v>
      </c>
      <c r="H1821" t="str">
        <f>_xlfn.XLOOKUP(A1821,'[1]Tissue Data'!$A:$A,'[1]Tissue Data'!K:K)</f>
        <v>Whole Body</v>
      </c>
      <c r="I1821">
        <f>_xlfn.XLOOKUP(A1821,'[1]Tissue Data'!$A:$A,'[1]Tissue Data'!L:L)</f>
        <v>7.5</v>
      </c>
      <c r="J1821">
        <f>_xlfn.XLOOKUP(A1821,'[1]Tissue Data'!$A:$A,'[1]Tissue Data'!M:M)</f>
        <v>9.6999999999999993</v>
      </c>
      <c r="K1821" t="s">
        <v>31</v>
      </c>
      <c r="L1821" t="str">
        <f>_xlfn.XLOOKUP(K1821,[2]analyte_order!$B:$B,[2]analyte_order!$C:$C)</f>
        <v>335-77-3</v>
      </c>
      <c r="M1821">
        <f>_xlfn.XLOOKUP(L1821,[2]analyte_order!$C:$C,[2]analyte_order!$E:$E)</f>
        <v>20</v>
      </c>
      <c r="N1821">
        <v>0.85399999999999998</v>
      </c>
    </row>
    <row r="1822" spans="1:14">
      <c r="A1822" t="s">
        <v>250</v>
      </c>
      <c r="B1822" t="str">
        <f>_xlfn.XLOOKUP(A1822,'[1]Tissue Data'!$A:$A,'[1]Tissue Data'!$C:$C)</f>
        <v>Spill</v>
      </c>
      <c r="C1822" s="2">
        <f>_xlfn.XLOOKUP(A1822,'[1]Tissue Data'!$A:$A,'[1]Tissue Data'!$D:$D)</f>
        <v>44314</v>
      </c>
      <c r="D1822" s="2" t="str">
        <f>_xlfn.XLOOKUP(A1822,'[1]Tissue Data'!$A:$A,'[1]Tissue Data'!$F:$F)</f>
        <v>Pumpkinseed</v>
      </c>
      <c r="E1822" t="str">
        <f>_xlfn.XLOOKUP(A1822,'[1]Tissue Data'!$A:$A,'[1]Tissue Data'!$H:$H)</f>
        <v>Lepomis</v>
      </c>
      <c r="F1822" t="str">
        <f>_xlfn.XLOOKUP(A1822,'[1]Tissue Data'!$A:$A,'[1]Tissue Data'!$I:$I)</f>
        <v>gibbosus</v>
      </c>
      <c r="G1822" t="str">
        <f>_xlfn.XLOOKUP(A1822,'[1]Tissue Data'!$A:$A,'[1]Tissue Data'!J:J)</f>
        <v>U</v>
      </c>
      <c r="H1822" t="str">
        <f>_xlfn.XLOOKUP(A1822,'[1]Tissue Data'!$A:$A,'[1]Tissue Data'!K:K)</f>
        <v>Whole Body</v>
      </c>
      <c r="I1822">
        <f>_xlfn.XLOOKUP(A1822,'[1]Tissue Data'!$A:$A,'[1]Tissue Data'!L:L)</f>
        <v>7.5</v>
      </c>
      <c r="J1822">
        <f>_xlfn.XLOOKUP(A1822,'[1]Tissue Data'!$A:$A,'[1]Tissue Data'!M:M)</f>
        <v>9.6999999999999993</v>
      </c>
      <c r="K1822" t="s">
        <v>32</v>
      </c>
      <c r="L1822" t="str">
        <f>_xlfn.XLOOKUP(K1822,[2]analyte_order!$B:$B,[2]analyte_order!$C:$C)</f>
        <v>79780-39-5</v>
      </c>
      <c r="M1822">
        <f>_xlfn.XLOOKUP(L1822,[2]analyte_order!$C:$C,[2]analyte_order!$E:$E)</f>
        <v>21</v>
      </c>
      <c r="N1822">
        <v>0.23846215004108035</v>
      </c>
    </row>
    <row r="1823" spans="1:14">
      <c r="A1823" t="s">
        <v>250</v>
      </c>
      <c r="B1823" t="str">
        <f>_xlfn.XLOOKUP(A1823,'[1]Tissue Data'!$A:$A,'[1]Tissue Data'!$C:$C)</f>
        <v>Spill</v>
      </c>
      <c r="C1823" s="2">
        <f>_xlfn.XLOOKUP(A1823,'[1]Tissue Data'!$A:$A,'[1]Tissue Data'!$D:$D)</f>
        <v>44314</v>
      </c>
      <c r="D1823" s="2" t="str">
        <f>_xlfn.XLOOKUP(A1823,'[1]Tissue Data'!$A:$A,'[1]Tissue Data'!$F:$F)</f>
        <v>Pumpkinseed</v>
      </c>
      <c r="E1823" t="str">
        <f>_xlfn.XLOOKUP(A1823,'[1]Tissue Data'!$A:$A,'[1]Tissue Data'!$H:$H)</f>
        <v>Lepomis</v>
      </c>
      <c r="F1823" t="str">
        <f>_xlfn.XLOOKUP(A1823,'[1]Tissue Data'!$A:$A,'[1]Tissue Data'!$I:$I)</f>
        <v>gibbosus</v>
      </c>
      <c r="G1823" t="str">
        <f>_xlfn.XLOOKUP(A1823,'[1]Tissue Data'!$A:$A,'[1]Tissue Data'!J:J)</f>
        <v>U</v>
      </c>
      <c r="H1823" t="str">
        <f>_xlfn.XLOOKUP(A1823,'[1]Tissue Data'!$A:$A,'[1]Tissue Data'!K:K)</f>
        <v>Whole Body</v>
      </c>
      <c r="I1823">
        <f>_xlfn.XLOOKUP(A1823,'[1]Tissue Data'!$A:$A,'[1]Tissue Data'!L:L)</f>
        <v>7.5</v>
      </c>
      <c r="J1823">
        <f>_xlfn.XLOOKUP(A1823,'[1]Tissue Data'!$A:$A,'[1]Tissue Data'!M:M)</f>
        <v>9.6999999999999993</v>
      </c>
      <c r="K1823" t="s">
        <v>33</v>
      </c>
      <c r="L1823" t="str">
        <f>_xlfn.XLOOKUP(K1823,[2]analyte_order!$B:$B,[2]analyte_order!$C:$C)</f>
        <v>777011-38-8</v>
      </c>
      <c r="M1823">
        <f>_xlfn.XLOOKUP(L1823,[2]analyte_order!$C:$C,[2]analyte_order!$E:$E)</f>
        <v>54</v>
      </c>
      <c r="N1823">
        <v>0.13550935903956393</v>
      </c>
    </row>
    <row r="1824" spans="1:14">
      <c r="A1824" t="s">
        <v>250</v>
      </c>
      <c r="B1824" t="str">
        <f>_xlfn.XLOOKUP(A1824,'[1]Tissue Data'!$A:$A,'[1]Tissue Data'!$C:$C)</f>
        <v>Spill</v>
      </c>
      <c r="C1824" s="2">
        <f>_xlfn.XLOOKUP(A1824,'[1]Tissue Data'!$A:$A,'[1]Tissue Data'!$D:$D)</f>
        <v>44314</v>
      </c>
      <c r="D1824" s="2" t="str">
        <f>_xlfn.XLOOKUP(A1824,'[1]Tissue Data'!$A:$A,'[1]Tissue Data'!$F:$F)</f>
        <v>Pumpkinseed</v>
      </c>
      <c r="E1824" t="str">
        <f>_xlfn.XLOOKUP(A1824,'[1]Tissue Data'!$A:$A,'[1]Tissue Data'!$H:$H)</f>
        <v>Lepomis</v>
      </c>
      <c r="F1824" t="str">
        <f>_xlfn.XLOOKUP(A1824,'[1]Tissue Data'!$A:$A,'[1]Tissue Data'!$I:$I)</f>
        <v>gibbosus</v>
      </c>
      <c r="G1824" t="str">
        <f>_xlfn.XLOOKUP(A1824,'[1]Tissue Data'!$A:$A,'[1]Tissue Data'!J:J)</f>
        <v>U</v>
      </c>
      <c r="H1824" t="str">
        <f>_xlfn.XLOOKUP(A1824,'[1]Tissue Data'!$A:$A,'[1]Tissue Data'!K:K)</f>
        <v>Whole Body</v>
      </c>
      <c r="I1824">
        <f>_xlfn.XLOOKUP(A1824,'[1]Tissue Data'!$A:$A,'[1]Tissue Data'!L:L)</f>
        <v>7.5</v>
      </c>
      <c r="J1824">
        <f>_xlfn.XLOOKUP(A1824,'[1]Tissue Data'!$A:$A,'[1]Tissue Data'!M:M)</f>
        <v>9.6999999999999993</v>
      </c>
      <c r="K1824" t="s">
        <v>34</v>
      </c>
      <c r="L1824" t="str">
        <f>_xlfn.XLOOKUP(K1824,[2]analyte_order!$B:$B,[2]analyte_order!$C:$C)</f>
        <v>646-83-3</v>
      </c>
      <c r="M1824">
        <f>_xlfn.XLOOKUP(L1824,[2]analyte_order!$C:$C,[2]analyte_order!$E:$E)</f>
        <v>55</v>
      </c>
      <c r="N1824">
        <v>8.9197224975223005E-2</v>
      </c>
    </row>
    <row r="1825" spans="1:14">
      <c r="A1825" t="s">
        <v>250</v>
      </c>
      <c r="B1825" t="str">
        <f>_xlfn.XLOOKUP(A1825,'[1]Tissue Data'!$A:$A,'[1]Tissue Data'!$C:$C)</f>
        <v>Spill</v>
      </c>
      <c r="C1825" s="2">
        <f>_xlfn.XLOOKUP(A1825,'[1]Tissue Data'!$A:$A,'[1]Tissue Data'!$D:$D)</f>
        <v>44314</v>
      </c>
      <c r="D1825" s="2" t="str">
        <f>_xlfn.XLOOKUP(A1825,'[1]Tissue Data'!$A:$A,'[1]Tissue Data'!$F:$F)</f>
        <v>Pumpkinseed</v>
      </c>
      <c r="E1825" t="str">
        <f>_xlfn.XLOOKUP(A1825,'[1]Tissue Data'!$A:$A,'[1]Tissue Data'!$H:$H)</f>
        <v>Lepomis</v>
      </c>
      <c r="F1825" t="str">
        <f>_xlfn.XLOOKUP(A1825,'[1]Tissue Data'!$A:$A,'[1]Tissue Data'!$I:$I)</f>
        <v>gibbosus</v>
      </c>
      <c r="G1825" t="str">
        <f>_xlfn.XLOOKUP(A1825,'[1]Tissue Data'!$A:$A,'[1]Tissue Data'!J:J)</f>
        <v>U</v>
      </c>
      <c r="H1825" t="str">
        <f>_xlfn.XLOOKUP(A1825,'[1]Tissue Data'!$A:$A,'[1]Tissue Data'!K:K)</f>
        <v>Whole Body</v>
      </c>
      <c r="I1825">
        <f>_xlfn.XLOOKUP(A1825,'[1]Tissue Data'!$A:$A,'[1]Tissue Data'!L:L)</f>
        <v>7.5</v>
      </c>
      <c r="J1825">
        <f>_xlfn.XLOOKUP(A1825,'[1]Tissue Data'!$A:$A,'[1]Tissue Data'!M:M)</f>
        <v>9.6999999999999993</v>
      </c>
      <c r="K1825" t="s">
        <v>35</v>
      </c>
      <c r="L1825" t="str">
        <f>_xlfn.XLOOKUP(K1825,[2]analyte_order!$B:$B,[2]analyte_order!$C:$C)</f>
        <v>30334-69-1</v>
      </c>
      <c r="M1825">
        <f>_xlfn.XLOOKUP(L1825,[2]analyte_order!$C:$C,[2]analyte_order!$E:$E)</f>
        <v>51</v>
      </c>
      <c r="N1825">
        <v>112</v>
      </c>
    </row>
    <row r="1826" spans="1:14">
      <c r="A1826" t="s">
        <v>250</v>
      </c>
      <c r="B1826" t="str">
        <f>_xlfn.XLOOKUP(A1826,'[1]Tissue Data'!$A:$A,'[1]Tissue Data'!$C:$C)</f>
        <v>Spill</v>
      </c>
      <c r="C1826" s="2">
        <f>_xlfn.XLOOKUP(A1826,'[1]Tissue Data'!$A:$A,'[1]Tissue Data'!$D:$D)</f>
        <v>44314</v>
      </c>
      <c r="D1826" s="2" t="str">
        <f>_xlfn.XLOOKUP(A1826,'[1]Tissue Data'!$A:$A,'[1]Tissue Data'!$F:$F)</f>
        <v>Pumpkinseed</v>
      </c>
      <c r="E1826" t="str">
        <f>_xlfn.XLOOKUP(A1826,'[1]Tissue Data'!$A:$A,'[1]Tissue Data'!$H:$H)</f>
        <v>Lepomis</v>
      </c>
      <c r="F1826" t="str">
        <f>_xlfn.XLOOKUP(A1826,'[1]Tissue Data'!$A:$A,'[1]Tissue Data'!$I:$I)</f>
        <v>gibbosus</v>
      </c>
      <c r="G1826" t="str">
        <f>_xlfn.XLOOKUP(A1826,'[1]Tissue Data'!$A:$A,'[1]Tissue Data'!J:J)</f>
        <v>U</v>
      </c>
      <c r="H1826" t="str">
        <f>_xlfn.XLOOKUP(A1826,'[1]Tissue Data'!$A:$A,'[1]Tissue Data'!K:K)</f>
        <v>Whole Body</v>
      </c>
      <c r="I1826">
        <f>_xlfn.XLOOKUP(A1826,'[1]Tissue Data'!$A:$A,'[1]Tissue Data'!L:L)</f>
        <v>7.5</v>
      </c>
      <c r="J1826">
        <f>_xlfn.XLOOKUP(A1826,'[1]Tissue Data'!$A:$A,'[1]Tissue Data'!M:M)</f>
        <v>9.6999999999999993</v>
      </c>
      <c r="K1826" t="s">
        <v>36</v>
      </c>
      <c r="L1826" t="str">
        <f>_xlfn.XLOOKUP(K1826,[2]analyte_order!$B:$B,[2]analyte_order!$C:$C)</f>
        <v>41997-13-1</v>
      </c>
      <c r="M1826">
        <f>_xlfn.XLOOKUP(L1826,[2]analyte_order!$C:$C,[2]analyte_order!$E:$E)</f>
        <v>52</v>
      </c>
      <c r="N1826">
        <v>141</v>
      </c>
    </row>
    <row r="1827" spans="1:14">
      <c r="A1827" t="s">
        <v>250</v>
      </c>
      <c r="B1827" t="str">
        <f>_xlfn.XLOOKUP(A1827,'[1]Tissue Data'!$A:$A,'[1]Tissue Data'!$C:$C)</f>
        <v>Spill</v>
      </c>
      <c r="C1827" s="2">
        <f>_xlfn.XLOOKUP(A1827,'[1]Tissue Data'!$A:$A,'[1]Tissue Data'!$D:$D)</f>
        <v>44314</v>
      </c>
      <c r="D1827" s="2" t="str">
        <f>_xlfn.XLOOKUP(A1827,'[1]Tissue Data'!$A:$A,'[1]Tissue Data'!$F:$F)</f>
        <v>Pumpkinseed</v>
      </c>
      <c r="E1827" t="str">
        <f>_xlfn.XLOOKUP(A1827,'[1]Tissue Data'!$A:$A,'[1]Tissue Data'!$H:$H)</f>
        <v>Lepomis</v>
      </c>
      <c r="F1827" t="str">
        <f>_xlfn.XLOOKUP(A1827,'[1]Tissue Data'!$A:$A,'[1]Tissue Data'!$I:$I)</f>
        <v>gibbosus</v>
      </c>
      <c r="G1827" t="str">
        <f>_xlfn.XLOOKUP(A1827,'[1]Tissue Data'!$A:$A,'[1]Tissue Data'!J:J)</f>
        <v>U</v>
      </c>
      <c r="H1827" t="str">
        <f>_xlfn.XLOOKUP(A1827,'[1]Tissue Data'!$A:$A,'[1]Tissue Data'!K:K)</f>
        <v>Whole Body</v>
      </c>
      <c r="I1827">
        <f>_xlfn.XLOOKUP(A1827,'[1]Tissue Data'!$A:$A,'[1]Tissue Data'!L:L)</f>
        <v>7.5</v>
      </c>
      <c r="J1827">
        <f>_xlfn.XLOOKUP(A1827,'[1]Tissue Data'!$A:$A,'[1]Tissue Data'!M:M)</f>
        <v>9.6999999999999993</v>
      </c>
      <c r="K1827" t="s">
        <v>37</v>
      </c>
      <c r="L1827" t="str">
        <f>_xlfn.XLOOKUP(K1827,[2]analyte_order!$B:$B,[2]analyte_order!$C:$C)</f>
        <v>754-91-6</v>
      </c>
      <c r="M1827">
        <f>_xlfn.XLOOKUP(L1827,[2]analyte_order!$C:$C,[2]analyte_order!$E:$E)</f>
        <v>28</v>
      </c>
      <c r="N1827">
        <v>23.3</v>
      </c>
    </row>
    <row r="1828" spans="1:14">
      <c r="A1828" t="s">
        <v>250</v>
      </c>
      <c r="B1828" t="str">
        <f>_xlfn.XLOOKUP(A1828,'[1]Tissue Data'!$A:$A,'[1]Tissue Data'!$C:$C)</f>
        <v>Spill</v>
      </c>
      <c r="C1828" s="2">
        <f>_xlfn.XLOOKUP(A1828,'[1]Tissue Data'!$A:$A,'[1]Tissue Data'!$D:$D)</f>
        <v>44314</v>
      </c>
      <c r="D1828" s="2" t="str">
        <f>_xlfn.XLOOKUP(A1828,'[1]Tissue Data'!$A:$A,'[1]Tissue Data'!$F:$F)</f>
        <v>Pumpkinseed</v>
      </c>
      <c r="E1828" t="str">
        <f>_xlfn.XLOOKUP(A1828,'[1]Tissue Data'!$A:$A,'[1]Tissue Data'!$H:$H)</f>
        <v>Lepomis</v>
      </c>
      <c r="F1828" t="str">
        <f>_xlfn.XLOOKUP(A1828,'[1]Tissue Data'!$A:$A,'[1]Tissue Data'!$I:$I)</f>
        <v>gibbosus</v>
      </c>
      <c r="G1828" t="str">
        <f>_xlfn.XLOOKUP(A1828,'[1]Tissue Data'!$A:$A,'[1]Tissue Data'!J:J)</f>
        <v>U</v>
      </c>
      <c r="H1828" t="str">
        <f>_xlfn.XLOOKUP(A1828,'[1]Tissue Data'!$A:$A,'[1]Tissue Data'!K:K)</f>
        <v>Whole Body</v>
      </c>
      <c r="I1828">
        <f>_xlfn.XLOOKUP(A1828,'[1]Tissue Data'!$A:$A,'[1]Tissue Data'!L:L)</f>
        <v>7.5</v>
      </c>
      <c r="J1828">
        <f>_xlfn.XLOOKUP(A1828,'[1]Tissue Data'!$A:$A,'[1]Tissue Data'!M:M)</f>
        <v>9.6999999999999993</v>
      </c>
      <c r="K1828" t="s">
        <v>38</v>
      </c>
      <c r="L1828" t="str">
        <f>_xlfn.XLOOKUP(K1828,[2]analyte_order!$B:$B,[2]analyte_order!$C:$C)</f>
        <v>31506-32-8</v>
      </c>
      <c r="M1828">
        <f>_xlfn.XLOOKUP(L1828,[2]analyte_order!$C:$C,[2]analyte_order!$E:$E)</f>
        <v>30</v>
      </c>
      <c r="N1828">
        <v>5.647970891612903E-2</v>
      </c>
    </row>
    <row r="1829" spans="1:14">
      <c r="A1829" t="s">
        <v>250</v>
      </c>
      <c r="B1829" t="str">
        <f>_xlfn.XLOOKUP(A1829,'[1]Tissue Data'!$A:$A,'[1]Tissue Data'!$C:$C)</f>
        <v>Spill</v>
      </c>
      <c r="C1829" s="2">
        <f>_xlfn.XLOOKUP(A1829,'[1]Tissue Data'!$A:$A,'[1]Tissue Data'!$D:$D)</f>
        <v>44314</v>
      </c>
      <c r="D1829" s="2" t="str">
        <f>_xlfn.XLOOKUP(A1829,'[1]Tissue Data'!$A:$A,'[1]Tissue Data'!$F:$F)</f>
        <v>Pumpkinseed</v>
      </c>
      <c r="E1829" t="str">
        <f>_xlfn.XLOOKUP(A1829,'[1]Tissue Data'!$A:$A,'[1]Tissue Data'!$H:$H)</f>
        <v>Lepomis</v>
      </c>
      <c r="F1829" t="str">
        <f>_xlfn.XLOOKUP(A1829,'[1]Tissue Data'!$A:$A,'[1]Tissue Data'!$I:$I)</f>
        <v>gibbosus</v>
      </c>
      <c r="G1829" t="str">
        <f>_xlfn.XLOOKUP(A1829,'[1]Tissue Data'!$A:$A,'[1]Tissue Data'!J:J)</f>
        <v>U</v>
      </c>
      <c r="H1829" t="str">
        <f>_xlfn.XLOOKUP(A1829,'[1]Tissue Data'!$A:$A,'[1]Tissue Data'!K:K)</f>
        <v>Whole Body</v>
      </c>
      <c r="I1829">
        <f>_xlfn.XLOOKUP(A1829,'[1]Tissue Data'!$A:$A,'[1]Tissue Data'!L:L)</f>
        <v>7.5</v>
      </c>
      <c r="J1829">
        <f>_xlfn.XLOOKUP(A1829,'[1]Tissue Data'!$A:$A,'[1]Tissue Data'!M:M)</f>
        <v>9.6999999999999993</v>
      </c>
      <c r="K1829" t="s">
        <v>39</v>
      </c>
      <c r="L1829" t="str">
        <f>_xlfn.XLOOKUP(K1829,[2]analyte_order!$B:$B,[2]analyte_order!$C:$C)</f>
        <v>4151-50-2</v>
      </c>
      <c r="M1829">
        <f>_xlfn.XLOOKUP(L1829,[2]analyte_order!$C:$C,[2]analyte_order!$E:$E)</f>
        <v>31</v>
      </c>
      <c r="N1829">
        <v>8.5554117769354843E-2</v>
      </c>
    </row>
    <row r="1830" spans="1:14">
      <c r="A1830" t="s">
        <v>250</v>
      </c>
      <c r="B1830" t="str">
        <f>_xlfn.XLOOKUP(A1830,'[1]Tissue Data'!$A:$A,'[1]Tissue Data'!$C:$C)</f>
        <v>Spill</v>
      </c>
      <c r="C1830" s="2">
        <f>_xlfn.XLOOKUP(A1830,'[1]Tissue Data'!$A:$A,'[1]Tissue Data'!$D:$D)</f>
        <v>44314</v>
      </c>
      <c r="D1830" s="2" t="str">
        <f>_xlfn.XLOOKUP(A1830,'[1]Tissue Data'!$A:$A,'[1]Tissue Data'!$F:$F)</f>
        <v>Pumpkinseed</v>
      </c>
      <c r="E1830" t="str">
        <f>_xlfn.XLOOKUP(A1830,'[1]Tissue Data'!$A:$A,'[1]Tissue Data'!$H:$H)</f>
        <v>Lepomis</v>
      </c>
      <c r="F1830" t="str">
        <f>_xlfn.XLOOKUP(A1830,'[1]Tissue Data'!$A:$A,'[1]Tissue Data'!$I:$I)</f>
        <v>gibbosus</v>
      </c>
      <c r="G1830" t="str">
        <f>_xlfn.XLOOKUP(A1830,'[1]Tissue Data'!$A:$A,'[1]Tissue Data'!J:J)</f>
        <v>U</v>
      </c>
      <c r="H1830" t="str">
        <f>_xlfn.XLOOKUP(A1830,'[1]Tissue Data'!$A:$A,'[1]Tissue Data'!K:K)</f>
        <v>Whole Body</v>
      </c>
      <c r="I1830">
        <f>_xlfn.XLOOKUP(A1830,'[1]Tissue Data'!$A:$A,'[1]Tissue Data'!L:L)</f>
        <v>7.5</v>
      </c>
      <c r="J1830">
        <f>_xlfn.XLOOKUP(A1830,'[1]Tissue Data'!$A:$A,'[1]Tissue Data'!M:M)</f>
        <v>9.6999999999999993</v>
      </c>
      <c r="K1830" t="s">
        <v>40</v>
      </c>
      <c r="L1830" t="str">
        <f>_xlfn.XLOOKUP(K1830,[2]analyte_order!$B:$B,[2]analyte_order!$C:$C)</f>
        <v>2806-24-8</v>
      </c>
      <c r="M1830">
        <f>_xlfn.XLOOKUP(L1830,[2]analyte_order!$C:$C,[2]analyte_order!$E:$E)</f>
        <v>29</v>
      </c>
      <c r="N1830">
        <v>5.7788505261290313E-2</v>
      </c>
    </row>
    <row r="1831" spans="1:14">
      <c r="A1831" t="s">
        <v>250</v>
      </c>
      <c r="B1831" t="str">
        <f>_xlfn.XLOOKUP(A1831,'[1]Tissue Data'!$A:$A,'[1]Tissue Data'!$C:$C)</f>
        <v>Spill</v>
      </c>
      <c r="C1831" s="2">
        <f>_xlfn.XLOOKUP(A1831,'[1]Tissue Data'!$A:$A,'[1]Tissue Data'!$D:$D)</f>
        <v>44314</v>
      </c>
      <c r="D1831" s="2" t="str">
        <f>_xlfn.XLOOKUP(A1831,'[1]Tissue Data'!$A:$A,'[1]Tissue Data'!$F:$F)</f>
        <v>Pumpkinseed</v>
      </c>
      <c r="E1831" t="str">
        <f>_xlfn.XLOOKUP(A1831,'[1]Tissue Data'!$A:$A,'[1]Tissue Data'!$H:$H)</f>
        <v>Lepomis</v>
      </c>
      <c r="F1831" t="str">
        <f>_xlfn.XLOOKUP(A1831,'[1]Tissue Data'!$A:$A,'[1]Tissue Data'!$I:$I)</f>
        <v>gibbosus</v>
      </c>
      <c r="G1831" t="str">
        <f>_xlfn.XLOOKUP(A1831,'[1]Tissue Data'!$A:$A,'[1]Tissue Data'!J:J)</f>
        <v>U</v>
      </c>
      <c r="H1831" t="str">
        <f>_xlfn.XLOOKUP(A1831,'[1]Tissue Data'!$A:$A,'[1]Tissue Data'!K:K)</f>
        <v>Whole Body</v>
      </c>
      <c r="I1831">
        <f>_xlfn.XLOOKUP(A1831,'[1]Tissue Data'!$A:$A,'[1]Tissue Data'!L:L)</f>
        <v>7.5</v>
      </c>
      <c r="J1831">
        <f>_xlfn.XLOOKUP(A1831,'[1]Tissue Data'!$A:$A,'[1]Tissue Data'!M:M)</f>
        <v>9.6999999999999993</v>
      </c>
      <c r="K1831" t="s">
        <v>41</v>
      </c>
      <c r="L1831" t="str">
        <f>_xlfn.XLOOKUP(K1831,[2]analyte_order!$B:$B,[2]analyte_order!$C:$C)</f>
        <v>2355-31-9</v>
      </c>
      <c r="M1831">
        <f>_xlfn.XLOOKUP(L1831,[2]analyte_order!$C:$C,[2]analyte_order!$E:$E)</f>
        <v>26</v>
      </c>
      <c r="N1831">
        <v>7.3757355372580644E-2</v>
      </c>
    </row>
    <row r="1832" spans="1:14">
      <c r="A1832" t="s">
        <v>250</v>
      </c>
      <c r="B1832" t="str">
        <f>_xlfn.XLOOKUP(A1832,'[1]Tissue Data'!$A:$A,'[1]Tissue Data'!$C:$C)</f>
        <v>Spill</v>
      </c>
      <c r="C1832" s="2">
        <f>_xlfn.XLOOKUP(A1832,'[1]Tissue Data'!$A:$A,'[1]Tissue Data'!$D:$D)</f>
        <v>44314</v>
      </c>
      <c r="D1832" s="2" t="str">
        <f>_xlfn.XLOOKUP(A1832,'[1]Tissue Data'!$A:$A,'[1]Tissue Data'!$F:$F)</f>
        <v>Pumpkinseed</v>
      </c>
      <c r="E1832" t="str">
        <f>_xlfn.XLOOKUP(A1832,'[1]Tissue Data'!$A:$A,'[1]Tissue Data'!$H:$H)</f>
        <v>Lepomis</v>
      </c>
      <c r="F1832" t="str">
        <f>_xlfn.XLOOKUP(A1832,'[1]Tissue Data'!$A:$A,'[1]Tissue Data'!$I:$I)</f>
        <v>gibbosus</v>
      </c>
      <c r="G1832" t="str">
        <f>_xlfn.XLOOKUP(A1832,'[1]Tissue Data'!$A:$A,'[1]Tissue Data'!J:J)</f>
        <v>U</v>
      </c>
      <c r="H1832" t="str">
        <f>_xlfn.XLOOKUP(A1832,'[1]Tissue Data'!$A:$A,'[1]Tissue Data'!K:K)</f>
        <v>Whole Body</v>
      </c>
      <c r="I1832">
        <f>_xlfn.XLOOKUP(A1832,'[1]Tissue Data'!$A:$A,'[1]Tissue Data'!L:L)</f>
        <v>7.5</v>
      </c>
      <c r="J1832">
        <f>_xlfn.XLOOKUP(A1832,'[1]Tissue Data'!$A:$A,'[1]Tissue Data'!M:M)</f>
        <v>9.6999999999999993</v>
      </c>
      <c r="K1832" t="s">
        <v>42</v>
      </c>
      <c r="L1832" t="str">
        <f>_xlfn.XLOOKUP(K1832,[2]analyte_order!$B:$B,[2]analyte_order!$C:$C)</f>
        <v>2991-50-6</v>
      </c>
      <c r="M1832">
        <f>_xlfn.XLOOKUP(L1832,[2]analyte_order!$C:$C,[2]analyte_order!$E:$E)</f>
        <v>27</v>
      </c>
      <c r="N1832">
        <v>6.3635664614516113E-2</v>
      </c>
    </row>
    <row r="1833" spans="1:14">
      <c r="A1833" t="s">
        <v>250</v>
      </c>
      <c r="B1833" t="str">
        <f>_xlfn.XLOOKUP(A1833,'[1]Tissue Data'!$A:$A,'[1]Tissue Data'!$C:$C)</f>
        <v>Spill</v>
      </c>
      <c r="C1833" s="2">
        <f>_xlfn.XLOOKUP(A1833,'[1]Tissue Data'!$A:$A,'[1]Tissue Data'!$D:$D)</f>
        <v>44314</v>
      </c>
      <c r="D1833" s="2" t="str">
        <f>_xlfn.XLOOKUP(A1833,'[1]Tissue Data'!$A:$A,'[1]Tissue Data'!$F:$F)</f>
        <v>Pumpkinseed</v>
      </c>
      <c r="E1833" t="str">
        <f>_xlfn.XLOOKUP(A1833,'[1]Tissue Data'!$A:$A,'[1]Tissue Data'!$H:$H)</f>
        <v>Lepomis</v>
      </c>
      <c r="F1833" t="str">
        <f>_xlfn.XLOOKUP(A1833,'[1]Tissue Data'!$A:$A,'[1]Tissue Data'!$I:$I)</f>
        <v>gibbosus</v>
      </c>
      <c r="G1833" t="str">
        <f>_xlfn.XLOOKUP(A1833,'[1]Tissue Data'!$A:$A,'[1]Tissue Data'!J:J)</f>
        <v>U</v>
      </c>
      <c r="H1833" t="str">
        <f>_xlfn.XLOOKUP(A1833,'[1]Tissue Data'!$A:$A,'[1]Tissue Data'!K:K)</f>
        <v>Whole Body</v>
      </c>
      <c r="I1833">
        <f>_xlfn.XLOOKUP(A1833,'[1]Tissue Data'!$A:$A,'[1]Tissue Data'!L:L)</f>
        <v>7.5</v>
      </c>
      <c r="J1833">
        <f>_xlfn.XLOOKUP(A1833,'[1]Tissue Data'!$A:$A,'[1]Tissue Data'!M:M)</f>
        <v>9.6999999999999993</v>
      </c>
      <c r="K1833" t="s">
        <v>43</v>
      </c>
      <c r="L1833" t="str">
        <f>_xlfn.XLOOKUP(K1833,[2]analyte_order!$B:$B,[2]analyte_order!$C:$C)</f>
        <v>757124-72-4</v>
      </c>
      <c r="M1833">
        <f>_xlfn.XLOOKUP(L1833,[2]analyte_order!$C:$C,[2]analyte_order!$E:$E)</f>
        <v>22</v>
      </c>
      <c r="N1833">
        <v>6.0219099116129021E-2</v>
      </c>
    </row>
    <row r="1834" spans="1:14">
      <c r="A1834" t="s">
        <v>250</v>
      </c>
      <c r="B1834" t="str">
        <f>_xlfn.XLOOKUP(A1834,'[1]Tissue Data'!$A:$A,'[1]Tissue Data'!$C:$C)</f>
        <v>Spill</v>
      </c>
      <c r="C1834" s="2">
        <f>_xlfn.XLOOKUP(A1834,'[1]Tissue Data'!$A:$A,'[1]Tissue Data'!$D:$D)</f>
        <v>44314</v>
      </c>
      <c r="D1834" s="2" t="str">
        <f>_xlfn.XLOOKUP(A1834,'[1]Tissue Data'!$A:$A,'[1]Tissue Data'!$F:$F)</f>
        <v>Pumpkinseed</v>
      </c>
      <c r="E1834" t="str">
        <f>_xlfn.XLOOKUP(A1834,'[1]Tissue Data'!$A:$A,'[1]Tissue Data'!$H:$H)</f>
        <v>Lepomis</v>
      </c>
      <c r="F1834" t="str">
        <f>_xlfn.XLOOKUP(A1834,'[1]Tissue Data'!$A:$A,'[1]Tissue Data'!$I:$I)</f>
        <v>gibbosus</v>
      </c>
      <c r="G1834" t="str">
        <f>_xlfn.XLOOKUP(A1834,'[1]Tissue Data'!$A:$A,'[1]Tissue Data'!J:J)</f>
        <v>U</v>
      </c>
      <c r="H1834" t="str">
        <f>_xlfn.XLOOKUP(A1834,'[1]Tissue Data'!$A:$A,'[1]Tissue Data'!K:K)</f>
        <v>Whole Body</v>
      </c>
      <c r="I1834">
        <f>_xlfn.XLOOKUP(A1834,'[1]Tissue Data'!$A:$A,'[1]Tissue Data'!L:L)</f>
        <v>7.5</v>
      </c>
      <c r="J1834">
        <f>_xlfn.XLOOKUP(A1834,'[1]Tissue Data'!$A:$A,'[1]Tissue Data'!M:M)</f>
        <v>9.6999999999999993</v>
      </c>
      <c r="K1834" t="s">
        <v>44</v>
      </c>
      <c r="L1834" t="str">
        <f>_xlfn.XLOOKUP(K1834,[2]analyte_order!$B:$B,[2]analyte_order!$C:$C)</f>
        <v>27619-97-2</v>
      </c>
      <c r="M1834">
        <f>_xlfn.XLOOKUP(L1834,[2]analyte_order!$C:$C,[2]analyte_order!$E:$E)</f>
        <v>23</v>
      </c>
      <c r="N1834">
        <v>0.35199999999999998</v>
      </c>
    </row>
    <row r="1835" spans="1:14">
      <c r="A1835" t="s">
        <v>250</v>
      </c>
      <c r="B1835" t="str">
        <f>_xlfn.XLOOKUP(A1835,'[1]Tissue Data'!$A:$A,'[1]Tissue Data'!$C:$C)</f>
        <v>Spill</v>
      </c>
      <c r="C1835" s="2">
        <f>_xlfn.XLOOKUP(A1835,'[1]Tissue Data'!$A:$A,'[1]Tissue Data'!$D:$D)</f>
        <v>44314</v>
      </c>
      <c r="D1835" s="2" t="str">
        <f>_xlfn.XLOOKUP(A1835,'[1]Tissue Data'!$A:$A,'[1]Tissue Data'!$F:$F)</f>
        <v>Pumpkinseed</v>
      </c>
      <c r="E1835" t="str">
        <f>_xlfn.XLOOKUP(A1835,'[1]Tissue Data'!$A:$A,'[1]Tissue Data'!$H:$H)</f>
        <v>Lepomis</v>
      </c>
      <c r="F1835" t="str">
        <f>_xlfn.XLOOKUP(A1835,'[1]Tissue Data'!$A:$A,'[1]Tissue Data'!$I:$I)</f>
        <v>gibbosus</v>
      </c>
      <c r="G1835" t="str">
        <f>_xlfn.XLOOKUP(A1835,'[1]Tissue Data'!$A:$A,'[1]Tissue Data'!J:J)</f>
        <v>U</v>
      </c>
      <c r="H1835" t="str">
        <f>_xlfn.XLOOKUP(A1835,'[1]Tissue Data'!$A:$A,'[1]Tissue Data'!K:K)</f>
        <v>Whole Body</v>
      </c>
      <c r="I1835">
        <f>_xlfn.XLOOKUP(A1835,'[1]Tissue Data'!$A:$A,'[1]Tissue Data'!L:L)</f>
        <v>7.5</v>
      </c>
      <c r="J1835">
        <f>_xlfn.XLOOKUP(A1835,'[1]Tissue Data'!$A:$A,'[1]Tissue Data'!M:M)</f>
        <v>9.6999999999999993</v>
      </c>
      <c r="K1835" t="s">
        <v>45</v>
      </c>
      <c r="L1835" t="str">
        <f>_xlfn.XLOOKUP(K1835,[2]analyte_order!$B:$B,[2]analyte_order!$C:$C)</f>
        <v>39108-34-4</v>
      </c>
      <c r="M1835">
        <f>_xlfn.XLOOKUP(L1835,[2]analyte_order!$C:$C,[2]analyte_order!$E:$E)</f>
        <v>24</v>
      </c>
      <c r="N1835">
        <v>3.93</v>
      </c>
    </row>
    <row r="1836" spans="1:14">
      <c r="A1836" t="s">
        <v>250</v>
      </c>
      <c r="B1836" t="str">
        <f>_xlfn.XLOOKUP(A1836,'[1]Tissue Data'!$A:$A,'[1]Tissue Data'!$C:$C)</f>
        <v>Spill</v>
      </c>
      <c r="C1836" s="2">
        <f>_xlfn.XLOOKUP(A1836,'[1]Tissue Data'!$A:$A,'[1]Tissue Data'!$D:$D)</f>
        <v>44314</v>
      </c>
      <c r="D1836" s="2" t="str">
        <f>_xlfn.XLOOKUP(A1836,'[1]Tissue Data'!$A:$A,'[1]Tissue Data'!$F:$F)</f>
        <v>Pumpkinseed</v>
      </c>
      <c r="E1836" t="str">
        <f>_xlfn.XLOOKUP(A1836,'[1]Tissue Data'!$A:$A,'[1]Tissue Data'!$H:$H)</f>
        <v>Lepomis</v>
      </c>
      <c r="F1836" t="str">
        <f>_xlfn.XLOOKUP(A1836,'[1]Tissue Data'!$A:$A,'[1]Tissue Data'!$I:$I)</f>
        <v>gibbosus</v>
      </c>
      <c r="G1836" t="str">
        <f>_xlfn.XLOOKUP(A1836,'[1]Tissue Data'!$A:$A,'[1]Tissue Data'!J:J)</f>
        <v>U</v>
      </c>
      <c r="H1836" t="str">
        <f>_xlfn.XLOOKUP(A1836,'[1]Tissue Data'!$A:$A,'[1]Tissue Data'!K:K)</f>
        <v>Whole Body</v>
      </c>
      <c r="I1836">
        <f>_xlfn.XLOOKUP(A1836,'[1]Tissue Data'!$A:$A,'[1]Tissue Data'!L:L)</f>
        <v>7.5</v>
      </c>
      <c r="J1836">
        <f>_xlfn.XLOOKUP(A1836,'[1]Tissue Data'!$A:$A,'[1]Tissue Data'!M:M)</f>
        <v>9.6999999999999993</v>
      </c>
      <c r="K1836" t="s">
        <v>46</v>
      </c>
      <c r="L1836" t="str">
        <f>_xlfn.XLOOKUP(K1836,[2]analyte_order!$B:$B,[2]analyte_order!$C:$C)</f>
        <v>120226-60-0</v>
      </c>
      <c r="M1836">
        <f>_xlfn.XLOOKUP(L1836,[2]analyte_order!$C:$C,[2]analyte_order!$E:$E)</f>
        <v>25</v>
      </c>
      <c r="N1836">
        <v>0.25320093609514371</v>
      </c>
    </row>
    <row r="1837" spans="1:14">
      <c r="A1837" t="s">
        <v>250</v>
      </c>
      <c r="B1837" t="str">
        <f>_xlfn.XLOOKUP(A1837,'[1]Tissue Data'!$A:$A,'[1]Tissue Data'!$C:$C)</f>
        <v>Spill</v>
      </c>
      <c r="C1837" s="2">
        <f>_xlfn.XLOOKUP(A1837,'[1]Tissue Data'!$A:$A,'[1]Tissue Data'!$D:$D)</f>
        <v>44314</v>
      </c>
      <c r="D1837" s="2" t="str">
        <f>_xlfn.XLOOKUP(A1837,'[1]Tissue Data'!$A:$A,'[1]Tissue Data'!$F:$F)</f>
        <v>Pumpkinseed</v>
      </c>
      <c r="E1837" t="str">
        <f>_xlfn.XLOOKUP(A1837,'[1]Tissue Data'!$A:$A,'[1]Tissue Data'!$H:$H)</f>
        <v>Lepomis</v>
      </c>
      <c r="F1837" t="str">
        <f>_xlfn.XLOOKUP(A1837,'[1]Tissue Data'!$A:$A,'[1]Tissue Data'!$I:$I)</f>
        <v>gibbosus</v>
      </c>
      <c r="G1837" t="str">
        <f>_xlfn.XLOOKUP(A1837,'[1]Tissue Data'!$A:$A,'[1]Tissue Data'!J:J)</f>
        <v>U</v>
      </c>
      <c r="H1837" t="str">
        <f>_xlfn.XLOOKUP(A1837,'[1]Tissue Data'!$A:$A,'[1]Tissue Data'!K:K)</f>
        <v>Whole Body</v>
      </c>
      <c r="I1837">
        <f>_xlfn.XLOOKUP(A1837,'[1]Tissue Data'!$A:$A,'[1]Tissue Data'!L:L)</f>
        <v>7.5</v>
      </c>
      <c r="J1837">
        <f>_xlfn.XLOOKUP(A1837,'[1]Tissue Data'!$A:$A,'[1]Tissue Data'!M:M)</f>
        <v>9.6999999999999993</v>
      </c>
      <c r="K1837" t="s">
        <v>47</v>
      </c>
      <c r="L1837" t="str">
        <f>_xlfn.XLOOKUP(K1837,[2]analyte_order!$B:$B,[2]analyte_order!$C:$C)</f>
        <v>356-02-5</v>
      </c>
      <c r="M1837">
        <f>_xlfn.XLOOKUP(L1837,[2]analyte_order!$C:$C,[2]analyte_order!$E:$E)</f>
        <v>38</v>
      </c>
      <c r="N1837">
        <v>8.4566630975806453E-2</v>
      </c>
    </row>
    <row r="1838" spans="1:14">
      <c r="A1838" t="s">
        <v>250</v>
      </c>
      <c r="B1838" t="str">
        <f>_xlfn.XLOOKUP(A1838,'[1]Tissue Data'!$A:$A,'[1]Tissue Data'!$C:$C)</f>
        <v>Spill</v>
      </c>
      <c r="C1838" s="2">
        <f>_xlfn.XLOOKUP(A1838,'[1]Tissue Data'!$A:$A,'[1]Tissue Data'!$D:$D)</f>
        <v>44314</v>
      </c>
      <c r="D1838" s="2" t="str">
        <f>_xlfn.XLOOKUP(A1838,'[1]Tissue Data'!$A:$A,'[1]Tissue Data'!$F:$F)</f>
        <v>Pumpkinseed</v>
      </c>
      <c r="E1838" t="str">
        <f>_xlfn.XLOOKUP(A1838,'[1]Tissue Data'!$A:$A,'[1]Tissue Data'!$H:$H)</f>
        <v>Lepomis</v>
      </c>
      <c r="F1838" t="str">
        <f>_xlfn.XLOOKUP(A1838,'[1]Tissue Data'!$A:$A,'[1]Tissue Data'!$I:$I)</f>
        <v>gibbosus</v>
      </c>
      <c r="G1838" t="str">
        <f>_xlfn.XLOOKUP(A1838,'[1]Tissue Data'!$A:$A,'[1]Tissue Data'!J:J)</f>
        <v>U</v>
      </c>
      <c r="H1838" t="str">
        <f>_xlfn.XLOOKUP(A1838,'[1]Tissue Data'!$A:$A,'[1]Tissue Data'!K:K)</f>
        <v>Whole Body</v>
      </c>
      <c r="I1838">
        <f>_xlfn.XLOOKUP(A1838,'[1]Tissue Data'!$A:$A,'[1]Tissue Data'!L:L)</f>
        <v>7.5</v>
      </c>
      <c r="J1838">
        <f>_xlfn.XLOOKUP(A1838,'[1]Tissue Data'!$A:$A,'[1]Tissue Data'!M:M)</f>
        <v>9.6999999999999993</v>
      </c>
      <c r="K1838" t="s">
        <v>48</v>
      </c>
      <c r="L1838" t="str">
        <f>_xlfn.XLOOKUP(K1838,[2]analyte_order!$B:$B,[2]analyte_order!$C:$C)</f>
        <v>914637-49-3</v>
      </c>
      <c r="M1838">
        <f>_xlfn.XLOOKUP(L1838,[2]analyte_order!$C:$C,[2]analyte_order!$E:$E)</f>
        <v>39</v>
      </c>
      <c r="N1838">
        <v>1.37</v>
      </c>
    </row>
    <row r="1839" spans="1:14">
      <c r="A1839" t="s">
        <v>250</v>
      </c>
      <c r="B1839" t="str">
        <f>_xlfn.XLOOKUP(A1839,'[1]Tissue Data'!$A:$A,'[1]Tissue Data'!$C:$C)</f>
        <v>Spill</v>
      </c>
      <c r="C1839" s="2">
        <f>_xlfn.XLOOKUP(A1839,'[1]Tissue Data'!$A:$A,'[1]Tissue Data'!$D:$D)</f>
        <v>44314</v>
      </c>
      <c r="D1839" s="2" t="str">
        <f>_xlfn.XLOOKUP(A1839,'[1]Tissue Data'!$A:$A,'[1]Tissue Data'!$F:$F)</f>
        <v>Pumpkinseed</v>
      </c>
      <c r="E1839" t="str">
        <f>_xlfn.XLOOKUP(A1839,'[1]Tissue Data'!$A:$A,'[1]Tissue Data'!$H:$H)</f>
        <v>Lepomis</v>
      </c>
      <c r="F1839" t="str">
        <f>_xlfn.XLOOKUP(A1839,'[1]Tissue Data'!$A:$A,'[1]Tissue Data'!$I:$I)</f>
        <v>gibbosus</v>
      </c>
      <c r="G1839" t="str">
        <f>_xlfn.XLOOKUP(A1839,'[1]Tissue Data'!$A:$A,'[1]Tissue Data'!J:J)</f>
        <v>U</v>
      </c>
      <c r="H1839" t="str">
        <f>_xlfn.XLOOKUP(A1839,'[1]Tissue Data'!$A:$A,'[1]Tissue Data'!K:K)</f>
        <v>Whole Body</v>
      </c>
      <c r="I1839">
        <f>_xlfn.XLOOKUP(A1839,'[1]Tissue Data'!$A:$A,'[1]Tissue Data'!L:L)</f>
        <v>7.5</v>
      </c>
      <c r="J1839">
        <f>_xlfn.XLOOKUP(A1839,'[1]Tissue Data'!$A:$A,'[1]Tissue Data'!M:M)</f>
        <v>9.6999999999999993</v>
      </c>
      <c r="K1839" t="s">
        <v>49</v>
      </c>
      <c r="L1839" t="str">
        <f>_xlfn.XLOOKUP(K1839,[2]analyte_order!$B:$B,[2]analyte_order!$C:$C)</f>
        <v>812-70-4</v>
      </c>
      <c r="M1839">
        <f>_xlfn.XLOOKUP(L1839,[2]analyte_order!$C:$C,[2]analyte_order!$E:$E)</f>
        <v>40</v>
      </c>
      <c r="N1839">
        <v>5.36</v>
      </c>
    </row>
    <row r="1840" spans="1:14">
      <c r="A1840" t="s">
        <v>250</v>
      </c>
      <c r="B1840" t="str">
        <f>_xlfn.XLOOKUP(A1840,'[1]Tissue Data'!$A:$A,'[1]Tissue Data'!$C:$C)</f>
        <v>Spill</v>
      </c>
      <c r="C1840" s="2">
        <f>_xlfn.XLOOKUP(A1840,'[1]Tissue Data'!$A:$A,'[1]Tissue Data'!$D:$D)</f>
        <v>44314</v>
      </c>
      <c r="D1840" s="2" t="str">
        <f>_xlfn.XLOOKUP(A1840,'[1]Tissue Data'!$A:$A,'[1]Tissue Data'!$F:$F)</f>
        <v>Pumpkinseed</v>
      </c>
      <c r="E1840" t="str">
        <f>_xlfn.XLOOKUP(A1840,'[1]Tissue Data'!$A:$A,'[1]Tissue Data'!$H:$H)</f>
        <v>Lepomis</v>
      </c>
      <c r="F1840" t="str">
        <f>_xlfn.XLOOKUP(A1840,'[1]Tissue Data'!$A:$A,'[1]Tissue Data'!$I:$I)</f>
        <v>gibbosus</v>
      </c>
      <c r="G1840" t="str">
        <f>_xlfn.XLOOKUP(A1840,'[1]Tissue Data'!$A:$A,'[1]Tissue Data'!J:J)</f>
        <v>U</v>
      </c>
      <c r="H1840" t="str">
        <f>_xlfn.XLOOKUP(A1840,'[1]Tissue Data'!$A:$A,'[1]Tissue Data'!K:K)</f>
        <v>Whole Body</v>
      </c>
      <c r="I1840">
        <f>_xlfn.XLOOKUP(A1840,'[1]Tissue Data'!$A:$A,'[1]Tissue Data'!L:L)</f>
        <v>7.5</v>
      </c>
      <c r="J1840">
        <f>_xlfn.XLOOKUP(A1840,'[1]Tissue Data'!$A:$A,'[1]Tissue Data'!M:M)</f>
        <v>9.6999999999999993</v>
      </c>
      <c r="K1840" t="s">
        <v>50</v>
      </c>
      <c r="L1840" t="str">
        <f>_xlfn.XLOOKUP(K1840,[2]analyte_order!$B:$B,[2]analyte_order!$C:$C)</f>
        <v>53826-12-3</v>
      </c>
      <c r="M1840">
        <f>_xlfn.XLOOKUP(L1840,[2]analyte_order!$C:$C,[2]analyte_order!$E:$E)</f>
        <v>41</v>
      </c>
      <c r="N1840">
        <v>2.06</v>
      </c>
    </row>
    <row r="1841" spans="1:14">
      <c r="A1841" t="s">
        <v>250</v>
      </c>
      <c r="B1841" t="str">
        <f>_xlfn.XLOOKUP(A1841,'[1]Tissue Data'!$A:$A,'[1]Tissue Data'!$C:$C)</f>
        <v>Spill</v>
      </c>
      <c r="C1841" s="2">
        <f>_xlfn.XLOOKUP(A1841,'[1]Tissue Data'!$A:$A,'[1]Tissue Data'!$D:$D)</f>
        <v>44314</v>
      </c>
      <c r="D1841" s="2" t="str">
        <f>_xlfn.XLOOKUP(A1841,'[1]Tissue Data'!$A:$A,'[1]Tissue Data'!$F:$F)</f>
        <v>Pumpkinseed</v>
      </c>
      <c r="E1841" t="str">
        <f>_xlfn.XLOOKUP(A1841,'[1]Tissue Data'!$A:$A,'[1]Tissue Data'!$H:$H)</f>
        <v>Lepomis</v>
      </c>
      <c r="F1841" t="str">
        <f>_xlfn.XLOOKUP(A1841,'[1]Tissue Data'!$A:$A,'[1]Tissue Data'!$I:$I)</f>
        <v>gibbosus</v>
      </c>
      <c r="G1841" t="str">
        <f>_xlfn.XLOOKUP(A1841,'[1]Tissue Data'!$A:$A,'[1]Tissue Data'!J:J)</f>
        <v>U</v>
      </c>
      <c r="H1841" t="str">
        <f>_xlfn.XLOOKUP(A1841,'[1]Tissue Data'!$A:$A,'[1]Tissue Data'!K:K)</f>
        <v>Whole Body</v>
      </c>
      <c r="I1841">
        <f>_xlfn.XLOOKUP(A1841,'[1]Tissue Data'!$A:$A,'[1]Tissue Data'!L:L)</f>
        <v>7.5</v>
      </c>
      <c r="J1841">
        <f>_xlfn.XLOOKUP(A1841,'[1]Tissue Data'!$A:$A,'[1]Tissue Data'!M:M)</f>
        <v>9.6999999999999993</v>
      </c>
      <c r="K1841" t="s">
        <v>51</v>
      </c>
      <c r="L1841" t="str">
        <f>_xlfn.XLOOKUP(K1841,[2]analyte_order!$B:$B,[2]analyte_order!$C:$C)</f>
        <v>27854-31-5</v>
      </c>
      <c r="M1841">
        <f>_xlfn.XLOOKUP(L1841,[2]analyte_order!$C:$C,[2]analyte_order!$E:$E)</f>
        <v>42</v>
      </c>
      <c r="N1841">
        <v>2.932551319648094E-2</v>
      </c>
    </row>
    <row r="1842" spans="1:14">
      <c r="A1842" t="s">
        <v>250</v>
      </c>
      <c r="B1842" t="str">
        <f>_xlfn.XLOOKUP(A1842,'[1]Tissue Data'!$A:$A,'[1]Tissue Data'!$C:$C)</f>
        <v>Spill</v>
      </c>
      <c r="C1842" s="2">
        <f>_xlfn.XLOOKUP(A1842,'[1]Tissue Data'!$A:$A,'[1]Tissue Data'!$D:$D)</f>
        <v>44314</v>
      </c>
      <c r="D1842" s="2" t="str">
        <f>_xlfn.XLOOKUP(A1842,'[1]Tissue Data'!$A:$A,'[1]Tissue Data'!$F:$F)</f>
        <v>Pumpkinseed</v>
      </c>
      <c r="E1842" t="str">
        <f>_xlfn.XLOOKUP(A1842,'[1]Tissue Data'!$A:$A,'[1]Tissue Data'!$H:$H)</f>
        <v>Lepomis</v>
      </c>
      <c r="F1842" t="str">
        <f>_xlfn.XLOOKUP(A1842,'[1]Tissue Data'!$A:$A,'[1]Tissue Data'!$I:$I)</f>
        <v>gibbosus</v>
      </c>
      <c r="G1842" t="str">
        <f>_xlfn.XLOOKUP(A1842,'[1]Tissue Data'!$A:$A,'[1]Tissue Data'!J:J)</f>
        <v>U</v>
      </c>
      <c r="H1842" t="str">
        <f>_xlfn.XLOOKUP(A1842,'[1]Tissue Data'!$A:$A,'[1]Tissue Data'!K:K)</f>
        <v>Whole Body</v>
      </c>
      <c r="I1842">
        <f>_xlfn.XLOOKUP(A1842,'[1]Tissue Data'!$A:$A,'[1]Tissue Data'!L:L)</f>
        <v>7.5</v>
      </c>
      <c r="J1842">
        <f>_xlfn.XLOOKUP(A1842,'[1]Tissue Data'!$A:$A,'[1]Tissue Data'!M:M)</f>
        <v>9.6999999999999993</v>
      </c>
      <c r="K1842" t="s">
        <v>52</v>
      </c>
      <c r="L1842" t="str">
        <f>_xlfn.XLOOKUP(K1842,[2]analyte_order!$B:$B,[2]analyte_order!$C:$C)</f>
        <v>53826-13-4</v>
      </c>
      <c r="M1842">
        <f>_xlfn.XLOOKUP(L1842,[2]analyte_order!$C:$C,[2]analyte_order!$E:$E)</f>
        <v>43</v>
      </c>
      <c r="N1842">
        <v>0.1093982776983871</v>
      </c>
    </row>
    <row r="1843" spans="1:14">
      <c r="A1843" t="s">
        <v>250</v>
      </c>
      <c r="B1843" t="str">
        <f>_xlfn.XLOOKUP(A1843,'[1]Tissue Data'!$A:$A,'[1]Tissue Data'!$C:$C)</f>
        <v>Spill</v>
      </c>
      <c r="C1843" s="2">
        <f>_xlfn.XLOOKUP(A1843,'[1]Tissue Data'!$A:$A,'[1]Tissue Data'!$D:$D)</f>
        <v>44314</v>
      </c>
      <c r="D1843" s="2" t="str">
        <f>_xlfn.XLOOKUP(A1843,'[1]Tissue Data'!$A:$A,'[1]Tissue Data'!$F:$F)</f>
        <v>Pumpkinseed</v>
      </c>
      <c r="E1843" t="str">
        <f>_xlfn.XLOOKUP(A1843,'[1]Tissue Data'!$A:$A,'[1]Tissue Data'!$H:$H)</f>
        <v>Lepomis</v>
      </c>
      <c r="F1843" t="str">
        <f>_xlfn.XLOOKUP(A1843,'[1]Tissue Data'!$A:$A,'[1]Tissue Data'!$I:$I)</f>
        <v>gibbosus</v>
      </c>
      <c r="G1843" t="str">
        <f>_xlfn.XLOOKUP(A1843,'[1]Tissue Data'!$A:$A,'[1]Tissue Data'!J:J)</f>
        <v>U</v>
      </c>
      <c r="H1843" t="str">
        <f>_xlfn.XLOOKUP(A1843,'[1]Tissue Data'!$A:$A,'[1]Tissue Data'!K:K)</f>
        <v>Whole Body</v>
      </c>
      <c r="I1843">
        <f>_xlfn.XLOOKUP(A1843,'[1]Tissue Data'!$A:$A,'[1]Tissue Data'!L:L)</f>
        <v>7.5</v>
      </c>
      <c r="J1843">
        <f>_xlfn.XLOOKUP(A1843,'[1]Tissue Data'!$A:$A,'[1]Tissue Data'!M:M)</f>
        <v>9.6999999999999993</v>
      </c>
      <c r="K1843" t="s">
        <v>53</v>
      </c>
      <c r="L1843" t="str">
        <f>_xlfn.XLOOKUP(K1843,[2]analyte_order!$B:$B,[2]analyte_order!$C:$C)</f>
        <v>161094-75-3</v>
      </c>
      <c r="M1843">
        <f>_xlfn.XLOOKUP(L1843,[2]analyte_order!$C:$C,[2]analyte_order!$E:$E)</f>
        <v>44</v>
      </c>
      <c r="N1843">
        <v>5.7565729335483873E-2</v>
      </c>
    </row>
    <row r="1844" spans="1:14">
      <c r="A1844" t="s">
        <v>250</v>
      </c>
      <c r="B1844" t="str">
        <f>_xlfn.XLOOKUP(A1844,'[1]Tissue Data'!$A:$A,'[1]Tissue Data'!$C:$C)</f>
        <v>Spill</v>
      </c>
      <c r="C1844" s="2">
        <f>_xlfn.XLOOKUP(A1844,'[1]Tissue Data'!$A:$A,'[1]Tissue Data'!$D:$D)</f>
        <v>44314</v>
      </c>
      <c r="D1844" s="2" t="str">
        <f>_xlfn.XLOOKUP(A1844,'[1]Tissue Data'!$A:$A,'[1]Tissue Data'!$F:$F)</f>
        <v>Pumpkinseed</v>
      </c>
      <c r="E1844" t="str">
        <f>_xlfn.XLOOKUP(A1844,'[1]Tissue Data'!$A:$A,'[1]Tissue Data'!$H:$H)</f>
        <v>Lepomis</v>
      </c>
      <c r="F1844" t="str">
        <f>_xlfn.XLOOKUP(A1844,'[1]Tissue Data'!$A:$A,'[1]Tissue Data'!$I:$I)</f>
        <v>gibbosus</v>
      </c>
      <c r="G1844" t="str">
        <f>_xlfn.XLOOKUP(A1844,'[1]Tissue Data'!$A:$A,'[1]Tissue Data'!J:J)</f>
        <v>U</v>
      </c>
      <c r="H1844" t="str">
        <f>_xlfn.XLOOKUP(A1844,'[1]Tissue Data'!$A:$A,'[1]Tissue Data'!K:K)</f>
        <v>Whole Body</v>
      </c>
      <c r="I1844">
        <f>_xlfn.XLOOKUP(A1844,'[1]Tissue Data'!$A:$A,'[1]Tissue Data'!L:L)</f>
        <v>7.5</v>
      </c>
      <c r="J1844">
        <f>_xlfn.XLOOKUP(A1844,'[1]Tissue Data'!$A:$A,'[1]Tissue Data'!M:M)</f>
        <v>9.6999999999999993</v>
      </c>
      <c r="K1844" t="s">
        <v>54</v>
      </c>
      <c r="L1844" t="str">
        <f>_xlfn.XLOOKUP(K1844,[2]analyte_order!$B:$B,[2]analyte_order!$C:$C)</f>
        <v>70887-84-2</v>
      </c>
      <c r="M1844">
        <f>_xlfn.XLOOKUP(L1844,[2]analyte_order!$C:$C,[2]analyte_order!$E:$E)</f>
        <v>45</v>
      </c>
      <c r="N1844">
        <v>4.4303851101774192E-2</v>
      </c>
    </row>
    <row r="1845" spans="1:14">
      <c r="A1845" t="s">
        <v>250</v>
      </c>
      <c r="B1845" t="str">
        <f>_xlfn.XLOOKUP(A1845,'[1]Tissue Data'!$A:$A,'[1]Tissue Data'!$C:$C)</f>
        <v>Spill</v>
      </c>
      <c r="C1845" s="2">
        <f>_xlfn.XLOOKUP(A1845,'[1]Tissue Data'!$A:$A,'[1]Tissue Data'!$D:$D)</f>
        <v>44314</v>
      </c>
      <c r="D1845" s="2" t="str">
        <f>_xlfn.XLOOKUP(A1845,'[1]Tissue Data'!$A:$A,'[1]Tissue Data'!$F:$F)</f>
        <v>Pumpkinseed</v>
      </c>
      <c r="E1845" t="str">
        <f>_xlfn.XLOOKUP(A1845,'[1]Tissue Data'!$A:$A,'[1]Tissue Data'!$H:$H)</f>
        <v>Lepomis</v>
      </c>
      <c r="F1845" t="str">
        <f>_xlfn.XLOOKUP(A1845,'[1]Tissue Data'!$A:$A,'[1]Tissue Data'!$I:$I)</f>
        <v>gibbosus</v>
      </c>
      <c r="G1845" t="str">
        <f>_xlfn.XLOOKUP(A1845,'[1]Tissue Data'!$A:$A,'[1]Tissue Data'!J:J)</f>
        <v>U</v>
      </c>
      <c r="H1845" t="str">
        <f>_xlfn.XLOOKUP(A1845,'[1]Tissue Data'!$A:$A,'[1]Tissue Data'!K:K)</f>
        <v>Whole Body</v>
      </c>
      <c r="I1845">
        <f>_xlfn.XLOOKUP(A1845,'[1]Tissue Data'!$A:$A,'[1]Tissue Data'!L:L)</f>
        <v>7.5</v>
      </c>
      <c r="J1845">
        <f>_xlfn.XLOOKUP(A1845,'[1]Tissue Data'!$A:$A,'[1]Tissue Data'!M:M)</f>
        <v>9.6999999999999993</v>
      </c>
      <c r="K1845" t="s">
        <v>55</v>
      </c>
      <c r="L1845" t="str">
        <f>_xlfn.XLOOKUP(K1845,[2]analyte_order!$B:$B,[2]analyte_order!$C:$C)</f>
        <v>919005-14-4</v>
      </c>
      <c r="M1845">
        <f>_xlfn.XLOOKUP(L1845,[2]analyte_order!$C:$C,[2]analyte_order!$E:$E)</f>
        <v>35</v>
      </c>
      <c r="N1845">
        <v>7.331378299120235E-2</v>
      </c>
    </row>
    <row r="1846" spans="1:14">
      <c r="A1846" t="s">
        <v>250</v>
      </c>
      <c r="B1846" t="str">
        <f>_xlfn.XLOOKUP(A1846,'[1]Tissue Data'!$A:$A,'[1]Tissue Data'!$C:$C)</f>
        <v>Spill</v>
      </c>
      <c r="C1846" s="2">
        <f>_xlfn.XLOOKUP(A1846,'[1]Tissue Data'!$A:$A,'[1]Tissue Data'!$D:$D)</f>
        <v>44314</v>
      </c>
      <c r="D1846" s="2" t="str">
        <f>_xlfn.XLOOKUP(A1846,'[1]Tissue Data'!$A:$A,'[1]Tissue Data'!$F:$F)</f>
        <v>Pumpkinseed</v>
      </c>
      <c r="E1846" t="str">
        <f>_xlfn.XLOOKUP(A1846,'[1]Tissue Data'!$A:$A,'[1]Tissue Data'!$H:$H)</f>
        <v>Lepomis</v>
      </c>
      <c r="F1846" t="str">
        <f>_xlfn.XLOOKUP(A1846,'[1]Tissue Data'!$A:$A,'[1]Tissue Data'!$I:$I)</f>
        <v>gibbosus</v>
      </c>
      <c r="G1846" t="str">
        <f>_xlfn.XLOOKUP(A1846,'[1]Tissue Data'!$A:$A,'[1]Tissue Data'!J:J)</f>
        <v>U</v>
      </c>
      <c r="H1846" t="str">
        <f>_xlfn.XLOOKUP(A1846,'[1]Tissue Data'!$A:$A,'[1]Tissue Data'!K:K)</f>
        <v>Whole Body</v>
      </c>
      <c r="I1846">
        <f>_xlfn.XLOOKUP(A1846,'[1]Tissue Data'!$A:$A,'[1]Tissue Data'!L:L)</f>
        <v>7.5</v>
      </c>
      <c r="J1846">
        <f>_xlfn.XLOOKUP(A1846,'[1]Tissue Data'!$A:$A,'[1]Tissue Data'!M:M)</f>
        <v>9.6999999999999993</v>
      </c>
      <c r="K1846" t="s">
        <v>56</v>
      </c>
      <c r="L1846" t="str">
        <f>_xlfn.XLOOKUP(K1846,[2]analyte_order!$B:$B,[2]analyte_order!$C:$C)</f>
        <v>756426-58-1</v>
      </c>
      <c r="M1846">
        <f>_xlfn.XLOOKUP(L1846,[2]analyte_order!$C:$C,[2]analyte_order!$E:$E)</f>
        <v>36</v>
      </c>
      <c r="N1846">
        <v>5.0887583520967741E-2</v>
      </c>
    </row>
    <row r="1847" spans="1:14">
      <c r="A1847" t="s">
        <v>250</v>
      </c>
      <c r="B1847" t="str">
        <f>_xlfn.XLOOKUP(A1847,'[1]Tissue Data'!$A:$A,'[1]Tissue Data'!$C:$C)</f>
        <v>Spill</v>
      </c>
      <c r="C1847" s="2">
        <f>_xlfn.XLOOKUP(A1847,'[1]Tissue Data'!$A:$A,'[1]Tissue Data'!$D:$D)</f>
        <v>44314</v>
      </c>
      <c r="D1847" s="2" t="str">
        <f>_xlfn.XLOOKUP(A1847,'[1]Tissue Data'!$A:$A,'[1]Tissue Data'!$F:$F)</f>
        <v>Pumpkinseed</v>
      </c>
      <c r="E1847" t="str">
        <f>_xlfn.XLOOKUP(A1847,'[1]Tissue Data'!$A:$A,'[1]Tissue Data'!$H:$H)</f>
        <v>Lepomis</v>
      </c>
      <c r="F1847" t="str">
        <f>_xlfn.XLOOKUP(A1847,'[1]Tissue Data'!$A:$A,'[1]Tissue Data'!$I:$I)</f>
        <v>gibbosus</v>
      </c>
      <c r="G1847" t="str">
        <f>_xlfn.XLOOKUP(A1847,'[1]Tissue Data'!$A:$A,'[1]Tissue Data'!J:J)</f>
        <v>U</v>
      </c>
      <c r="H1847" t="str">
        <f>_xlfn.XLOOKUP(A1847,'[1]Tissue Data'!$A:$A,'[1]Tissue Data'!K:K)</f>
        <v>Whole Body</v>
      </c>
      <c r="I1847">
        <f>_xlfn.XLOOKUP(A1847,'[1]Tissue Data'!$A:$A,'[1]Tissue Data'!L:L)</f>
        <v>7.5</v>
      </c>
      <c r="J1847">
        <f>_xlfn.XLOOKUP(A1847,'[1]Tissue Data'!$A:$A,'[1]Tissue Data'!M:M)</f>
        <v>9.6999999999999993</v>
      </c>
      <c r="K1847" t="s">
        <v>57</v>
      </c>
      <c r="L1847" t="str">
        <f>_xlfn.XLOOKUP(K1847,[2]analyte_order!$B:$B,[2]analyte_order!$C:$C)</f>
        <v>763051-92-9</v>
      </c>
      <c r="M1847">
        <f>_xlfn.XLOOKUP(L1847,[2]analyte_order!$C:$C,[2]analyte_order!$E:$E)</f>
        <v>37</v>
      </c>
      <c r="N1847">
        <v>5.7770567840322577E-2</v>
      </c>
    </row>
    <row r="1848" spans="1:14">
      <c r="A1848" t="s">
        <v>250</v>
      </c>
      <c r="B1848" t="str">
        <f>_xlfn.XLOOKUP(A1848,'[1]Tissue Data'!$A:$A,'[1]Tissue Data'!$C:$C)</f>
        <v>Spill</v>
      </c>
      <c r="C1848" s="2">
        <f>_xlfn.XLOOKUP(A1848,'[1]Tissue Data'!$A:$A,'[1]Tissue Data'!$D:$D)</f>
        <v>44314</v>
      </c>
      <c r="D1848" s="2" t="str">
        <f>_xlfn.XLOOKUP(A1848,'[1]Tissue Data'!$A:$A,'[1]Tissue Data'!$F:$F)</f>
        <v>Pumpkinseed</v>
      </c>
      <c r="E1848" t="str">
        <f>_xlfn.XLOOKUP(A1848,'[1]Tissue Data'!$A:$A,'[1]Tissue Data'!$H:$H)</f>
        <v>Lepomis</v>
      </c>
      <c r="F1848" t="str">
        <f>_xlfn.XLOOKUP(A1848,'[1]Tissue Data'!$A:$A,'[1]Tissue Data'!$I:$I)</f>
        <v>gibbosus</v>
      </c>
      <c r="G1848" t="str">
        <f>_xlfn.XLOOKUP(A1848,'[1]Tissue Data'!$A:$A,'[1]Tissue Data'!J:J)</f>
        <v>U</v>
      </c>
      <c r="H1848" t="str">
        <f>_xlfn.XLOOKUP(A1848,'[1]Tissue Data'!$A:$A,'[1]Tissue Data'!K:K)</f>
        <v>Whole Body</v>
      </c>
      <c r="I1848">
        <f>_xlfn.XLOOKUP(A1848,'[1]Tissue Data'!$A:$A,'[1]Tissue Data'!L:L)</f>
        <v>7.5</v>
      </c>
      <c r="J1848">
        <f>_xlfn.XLOOKUP(A1848,'[1]Tissue Data'!$A:$A,'[1]Tissue Data'!M:M)</f>
        <v>9.6999999999999993</v>
      </c>
      <c r="K1848" t="s">
        <v>58</v>
      </c>
      <c r="L1848" t="str">
        <f>_xlfn.XLOOKUP(K1848,[2]analyte_order!$B:$B,[2]analyte_order!$C:$C)</f>
        <v>13252-13-6</v>
      </c>
      <c r="M1848">
        <f>_xlfn.XLOOKUP(L1848,[2]analyte_order!$C:$C,[2]analyte_order!$E:$E)</f>
        <v>34</v>
      </c>
      <c r="N1848">
        <v>0.1052073727983871</v>
      </c>
    </row>
    <row r="1849" spans="1:14">
      <c r="A1849" t="s">
        <v>250</v>
      </c>
      <c r="B1849" t="str">
        <f>_xlfn.XLOOKUP(A1849,'[1]Tissue Data'!$A:$A,'[1]Tissue Data'!$C:$C)</f>
        <v>Spill</v>
      </c>
      <c r="C1849" s="2">
        <f>_xlfn.XLOOKUP(A1849,'[1]Tissue Data'!$A:$A,'[1]Tissue Data'!$D:$D)</f>
        <v>44314</v>
      </c>
      <c r="D1849" s="2" t="str">
        <f>_xlfn.XLOOKUP(A1849,'[1]Tissue Data'!$A:$A,'[1]Tissue Data'!$F:$F)</f>
        <v>Pumpkinseed</v>
      </c>
      <c r="E1849" t="str">
        <f>_xlfn.XLOOKUP(A1849,'[1]Tissue Data'!$A:$A,'[1]Tissue Data'!$H:$H)</f>
        <v>Lepomis</v>
      </c>
      <c r="F1849" t="str">
        <f>_xlfn.XLOOKUP(A1849,'[1]Tissue Data'!$A:$A,'[1]Tissue Data'!$I:$I)</f>
        <v>gibbosus</v>
      </c>
      <c r="G1849" t="str">
        <f>_xlfn.XLOOKUP(A1849,'[1]Tissue Data'!$A:$A,'[1]Tissue Data'!J:J)</f>
        <v>U</v>
      </c>
      <c r="H1849" t="str">
        <f>_xlfn.XLOOKUP(A1849,'[1]Tissue Data'!$A:$A,'[1]Tissue Data'!K:K)</f>
        <v>Whole Body</v>
      </c>
      <c r="I1849">
        <f>_xlfn.XLOOKUP(A1849,'[1]Tissue Data'!$A:$A,'[1]Tissue Data'!L:L)</f>
        <v>7.5</v>
      </c>
      <c r="J1849">
        <f>_xlfn.XLOOKUP(A1849,'[1]Tissue Data'!$A:$A,'[1]Tissue Data'!M:M)</f>
        <v>9.6999999999999993</v>
      </c>
      <c r="K1849" t="s">
        <v>59</v>
      </c>
      <c r="L1849" t="str">
        <f>_xlfn.XLOOKUP(K1849,[2]analyte_order!$B:$B,[2]analyte_order!$C:$C)</f>
        <v>57677-95-9</v>
      </c>
      <c r="M1849">
        <f>_xlfn.XLOOKUP(L1849,[2]analyte_order!$C:$C,[2]analyte_order!$E:$E)</f>
        <v>46</v>
      </c>
      <c r="N1849">
        <v>7.8044643362903232E-2</v>
      </c>
    </row>
    <row r="1850" spans="1:14">
      <c r="A1850" t="s">
        <v>250</v>
      </c>
      <c r="B1850" t="str">
        <f>_xlfn.XLOOKUP(A1850,'[1]Tissue Data'!$A:$A,'[1]Tissue Data'!$C:$C)</f>
        <v>Spill</v>
      </c>
      <c r="C1850" s="2">
        <f>_xlfn.XLOOKUP(A1850,'[1]Tissue Data'!$A:$A,'[1]Tissue Data'!$D:$D)</f>
        <v>44314</v>
      </c>
      <c r="D1850" s="2" t="str">
        <f>_xlfn.XLOOKUP(A1850,'[1]Tissue Data'!$A:$A,'[1]Tissue Data'!$F:$F)</f>
        <v>Pumpkinseed</v>
      </c>
      <c r="E1850" t="str">
        <f>_xlfn.XLOOKUP(A1850,'[1]Tissue Data'!$A:$A,'[1]Tissue Data'!$H:$H)</f>
        <v>Lepomis</v>
      </c>
      <c r="F1850" t="str">
        <f>_xlfn.XLOOKUP(A1850,'[1]Tissue Data'!$A:$A,'[1]Tissue Data'!$I:$I)</f>
        <v>gibbosus</v>
      </c>
      <c r="G1850" t="str">
        <f>_xlfn.XLOOKUP(A1850,'[1]Tissue Data'!$A:$A,'[1]Tissue Data'!J:J)</f>
        <v>U</v>
      </c>
      <c r="H1850" t="str">
        <f>_xlfn.XLOOKUP(A1850,'[1]Tissue Data'!$A:$A,'[1]Tissue Data'!K:K)</f>
        <v>Whole Body</v>
      </c>
      <c r="I1850">
        <f>_xlfn.XLOOKUP(A1850,'[1]Tissue Data'!$A:$A,'[1]Tissue Data'!L:L)</f>
        <v>7.5</v>
      </c>
      <c r="J1850">
        <f>_xlfn.XLOOKUP(A1850,'[1]Tissue Data'!$A:$A,'[1]Tissue Data'!M:M)</f>
        <v>9.6999999999999993</v>
      </c>
      <c r="K1850" t="s">
        <v>60</v>
      </c>
      <c r="L1850" t="str">
        <f>_xlfn.XLOOKUP(K1850,[2]analyte_order!$B:$B,[2]analyte_order!$C:$C)</f>
        <v>678-41-1</v>
      </c>
      <c r="M1850">
        <f>_xlfn.XLOOKUP(L1850,[2]analyte_order!$C:$C,[2]analyte_order!$E:$E)</f>
        <v>56</v>
      </c>
      <c r="N1850">
        <v>9.7200440433870952E-2</v>
      </c>
    </row>
    <row r="1851" spans="1:14">
      <c r="A1851" t="s">
        <v>250</v>
      </c>
      <c r="B1851" t="str">
        <f>_xlfn.XLOOKUP(A1851,'[1]Tissue Data'!$A:$A,'[1]Tissue Data'!$C:$C)</f>
        <v>Spill</v>
      </c>
      <c r="C1851" s="2">
        <f>_xlfn.XLOOKUP(A1851,'[1]Tissue Data'!$A:$A,'[1]Tissue Data'!$D:$D)</f>
        <v>44314</v>
      </c>
      <c r="D1851" s="2" t="str">
        <f>_xlfn.XLOOKUP(A1851,'[1]Tissue Data'!$A:$A,'[1]Tissue Data'!$F:$F)</f>
        <v>Pumpkinseed</v>
      </c>
      <c r="E1851" t="str">
        <f>_xlfn.XLOOKUP(A1851,'[1]Tissue Data'!$A:$A,'[1]Tissue Data'!$H:$H)</f>
        <v>Lepomis</v>
      </c>
      <c r="F1851" t="str">
        <f>_xlfn.XLOOKUP(A1851,'[1]Tissue Data'!$A:$A,'[1]Tissue Data'!$I:$I)</f>
        <v>gibbosus</v>
      </c>
      <c r="G1851" t="str">
        <f>_xlfn.XLOOKUP(A1851,'[1]Tissue Data'!$A:$A,'[1]Tissue Data'!J:J)</f>
        <v>U</v>
      </c>
      <c r="H1851" t="str">
        <f>_xlfn.XLOOKUP(A1851,'[1]Tissue Data'!$A:$A,'[1]Tissue Data'!K:K)</f>
        <v>Whole Body</v>
      </c>
      <c r="I1851">
        <f>_xlfn.XLOOKUP(A1851,'[1]Tissue Data'!$A:$A,'[1]Tissue Data'!L:L)</f>
        <v>7.5</v>
      </c>
      <c r="J1851">
        <f>_xlfn.XLOOKUP(A1851,'[1]Tissue Data'!$A:$A,'[1]Tissue Data'!M:M)</f>
        <v>9.6999999999999993</v>
      </c>
      <c r="K1851" t="s">
        <v>61</v>
      </c>
      <c r="L1851" t="str">
        <f>_xlfn.XLOOKUP(K1851,[2]analyte_order!$B:$B,[2]analyte_order!$C:$C)</f>
        <v>2965-52-8</v>
      </c>
      <c r="M1851">
        <f>_xlfn.XLOOKUP(L1851,[2]analyte_order!$C:$C,[2]analyte_order!$E:$E)</f>
        <v>57</v>
      </c>
      <c r="N1851">
        <v>0.12903225806451613</v>
      </c>
    </row>
    <row r="1852" spans="1:14">
      <c r="A1852" t="s">
        <v>251</v>
      </c>
      <c r="B1852" t="str">
        <f>_xlfn.XLOOKUP(A1852,'[1]Tissue Data'!$A:$A,'[1]Tissue Data'!$C:$C)</f>
        <v>Spill</v>
      </c>
      <c r="C1852" s="2">
        <f>_xlfn.XLOOKUP(A1852,'[1]Tissue Data'!$A:$A,'[1]Tissue Data'!$D:$D)</f>
        <v>44314</v>
      </c>
      <c r="D1852" s="2" t="str">
        <f>_xlfn.XLOOKUP(A1852,'[1]Tissue Data'!$A:$A,'[1]Tissue Data'!$F:$F)</f>
        <v>Pumpkinseed</v>
      </c>
      <c r="E1852" t="str">
        <f>_xlfn.XLOOKUP(A1852,'[1]Tissue Data'!$A:$A,'[1]Tissue Data'!$H:$H)</f>
        <v>Lepomis</v>
      </c>
      <c r="F1852" t="str">
        <f>_xlfn.XLOOKUP(A1852,'[1]Tissue Data'!$A:$A,'[1]Tissue Data'!$I:$I)</f>
        <v>gibbosus</v>
      </c>
      <c r="G1852" t="str">
        <f>_xlfn.XLOOKUP(A1852,'[1]Tissue Data'!$A:$A,'[1]Tissue Data'!J:J)</f>
        <v>U</v>
      </c>
      <c r="H1852" t="str">
        <f>_xlfn.XLOOKUP(A1852,'[1]Tissue Data'!$A:$A,'[1]Tissue Data'!K:K)</f>
        <v>Whole Body</v>
      </c>
      <c r="I1852">
        <f>_xlfn.XLOOKUP(A1852,'[1]Tissue Data'!$A:$A,'[1]Tissue Data'!L:L)</f>
        <v>8</v>
      </c>
      <c r="J1852">
        <f>_xlfn.XLOOKUP(A1852,'[1]Tissue Data'!$A:$A,'[1]Tissue Data'!M:M)</f>
        <v>10.9</v>
      </c>
      <c r="K1852" t="s">
        <v>12</v>
      </c>
      <c r="L1852" t="str">
        <f>_xlfn.XLOOKUP(K1852,[2]analyte_order!$B:$B,[2]analyte_order!$C:$C)</f>
        <v>375-22-4</v>
      </c>
      <c r="M1852">
        <f>_xlfn.XLOOKUP(L1852,[2]analyte_order!$C:$C,[2]analyte_order!$E:$E)</f>
        <v>1</v>
      </c>
      <c r="N1852">
        <v>8.8950385451670291E-2</v>
      </c>
    </row>
    <row r="1853" spans="1:14">
      <c r="A1853" t="s">
        <v>251</v>
      </c>
      <c r="B1853" t="str">
        <f>_xlfn.XLOOKUP(A1853,'[1]Tissue Data'!$A:$A,'[1]Tissue Data'!$C:$C)</f>
        <v>Spill</v>
      </c>
      <c r="C1853" s="2">
        <f>_xlfn.XLOOKUP(A1853,'[1]Tissue Data'!$A:$A,'[1]Tissue Data'!$D:$D)</f>
        <v>44314</v>
      </c>
      <c r="D1853" s="2" t="str">
        <f>_xlfn.XLOOKUP(A1853,'[1]Tissue Data'!$A:$A,'[1]Tissue Data'!$F:$F)</f>
        <v>Pumpkinseed</v>
      </c>
      <c r="E1853" t="str">
        <f>_xlfn.XLOOKUP(A1853,'[1]Tissue Data'!$A:$A,'[1]Tissue Data'!$H:$H)</f>
        <v>Lepomis</v>
      </c>
      <c r="F1853" t="str">
        <f>_xlfn.XLOOKUP(A1853,'[1]Tissue Data'!$A:$A,'[1]Tissue Data'!$I:$I)</f>
        <v>gibbosus</v>
      </c>
      <c r="G1853" t="str">
        <f>_xlfn.XLOOKUP(A1853,'[1]Tissue Data'!$A:$A,'[1]Tissue Data'!J:J)</f>
        <v>U</v>
      </c>
      <c r="H1853" t="str">
        <f>_xlfn.XLOOKUP(A1853,'[1]Tissue Data'!$A:$A,'[1]Tissue Data'!K:K)</f>
        <v>Whole Body</v>
      </c>
      <c r="I1853">
        <f>_xlfn.XLOOKUP(A1853,'[1]Tissue Data'!$A:$A,'[1]Tissue Data'!L:L)</f>
        <v>8</v>
      </c>
      <c r="J1853">
        <f>_xlfn.XLOOKUP(A1853,'[1]Tissue Data'!$A:$A,'[1]Tissue Data'!M:M)</f>
        <v>10.9</v>
      </c>
      <c r="K1853" t="s">
        <v>13</v>
      </c>
      <c r="L1853" t="str">
        <f>_xlfn.XLOOKUP(K1853,[2]analyte_order!$B:$B,[2]analyte_order!$C:$C)</f>
        <v>2706-90-3</v>
      </c>
      <c r="M1853">
        <f>_xlfn.XLOOKUP(L1853,[2]analyte_order!$C:$C,[2]analyte_order!$E:$E)</f>
        <v>2</v>
      </c>
      <c r="N1853">
        <v>4.7743577808225975E-2</v>
      </c>
    </row>
    <row r="1854" spans="1:14">
      <c r="A1854" t="s">
        <v>251</v>
      </c>
      <c r="B1854" t="str">
        <f>_xlfn.XLOOKUP(A1854,'[1]Tissue Data'!$A:$A,'[1]Tissue Data'!$C:$C)</f>
        <v>Spill</v>
      </c>
      <c r="C1854" s="2">
        <f>_xlfn.XLOOKUP(A1854,'[1]Tissue Data'!$A:$A,'[1]Tissue Data'!$D:$D)</f>
        <v>44314</v>
      </c>
      <c r="D1854" s="2" t="str">
        <f>_xlfn.XLOOKUP(A1854,'[1]Tissue Data'!$A:$A,'[1]Tissue Data'!$F:$F)</f>
        <v>Pumpkinseed</v>
      </c>
      <c r="E1854" t="str">
        <f>_xlfn.XLOOKUP(A1854,'[1]Tissue Data'!$A:$A,'[1]Tissue Data'!$H:$H)</f>
        <v>Lepomis</v>
      </c>
      <c r="F1854" t="str">
        <f>_xlfn.XLOOKUP(A1854,'[1]Tissue Data'!$A:$A,'[1]Tissue Data'!$I:$I)</f>
        <v>gibbosus</v>
      </c>
      <c r="G1854" t="str">
        <f>_xlfn.XLOOKUP(A1854,'[1]Tissue Data'!$A:$A,'[1]Tissue Data'!J:J)</f>
        <v>U</v>
      </c>
      <c r="H1854" t="str">
        <f>_xlfn.XLOOKUP(A1854,'[1]Tissue Data'!$A:$A,'[1]Tissue Data'!K:K)</f>
        <v>Whole Body</v>
      </c>
      <c r="I1854">
        <f>_xlfn.XLOOKUP(A1854,'[1]Tissue Data'!$A:$A,'[1]Tissue Data'!L:L)</f>
        <v>8</v>
      </c>
      <c r="J1854">
        <f>_xlfn.XLOOKUP(A1854,'[1]Tissue Data'!$A:$A,'[1]Tissue Data'!M:M)</f>
        <v>10.9</v>
      </c>
      <c r="K1854" t="s">
        <v>14</v>
      </c>
      <c r="L1854" t="str">
        <f>_xlfn.XLOOKUP(K1854,[2]analyte_order!$B:$B,[2]analyte_order!$C:$C)</f>
        <v>307-24-4</v>
      </c>
      <c r="M1854">
        <f>_xlfn.XLOOKUP(L1854,[2]analyte_order!$C:$C,[2]analyte_order!$E:$E)</f>
        <v>3</v>
      </c>
      <c r="N1854">
        <v>0.1200143640732803</v>
      </c>
    </row>
    <row r="1855" spans="1:14">
      <c r="A1855" t="s">
        <v>251</v>
      </c>
      <c r="B1855" t="str">
        <f>_xlfn.XLOOKUP(A1855,'[1]Tissue Data'!$A:$A,'[1]Tissue Data'!$C:$C)</f>
        <v>Spill</v>
      </c>
      <c r="C1855" s="2">
        <f>_xlfn.XLOOKUP(A1855,'[1]Tissue Data'!$A:$A,'[1]Tissue Data'!$D:$D)</f>
        <v>44314</v>
      </c>
      <c r="D1855" s="2" t="str">
        <f>_xlfn.XLOOKUP(A1855,'[1]Tissue Data'!$A:$A,'[1]Tissue Data'!$F:$F)</f>
        <v>Pumpkinseed</v>
      </c>
      <c r="E1855" t="str">
        <f>_xlfn.XLOOKUP(A1855,'[1]Tissue Data'!$A:$A,'[1]Tissue Data'!$H:$H)</f>
        <v>Lepomis</v>
      </c>
      <c r="F1855" t="str">
        <f>_xlfn.XLOOKUP(A1855,'[1]Tissue Data'!$A:$A,'[1]Tissue Data'!$I:$I)</f>
        <v>gibbosus</v>
      </c>
      <c r="G1855" t="str">
        <f>_xlfn.XLOOKUP(A1855,'[1]Tissue Data'!$A:$A,'[1]Tissue Data'!J:J)</f>
        <v>U</v>
      </c>
      <c r="H1855" t="str">
        <f>_xlfn.XLOOKUP(A1855,'[1]Tissue Data'!$A:$A,'[1]Tissue Data'!K:K)</f>
        <v>Whole Body</v>
      </c>
      <c r="I1855">
        <f>_xlfn.XLOOKUP(A1855,'[1]Tissue Data'!$A:$A,'[1]Tissue Data'!L:L)</f>
        <v>8</v>
      </c>
      <c r="J1855">
        <f>_xlfn.XLOOKUP(A1855,'[1]Tissue Data'!$A:$A,'[1]Tissue Data'!M:M)</f>
        <v>10.9</v>
      </c>
      <c r="K1855" t="s">
        <v>15</v>
      </c>
      <c r="L1855" t="str">
        <f>_xlfn.XLOOKUP(K1855,[2]analyte_order!$B:$B,[2]analyte_order!$C:$C)</f>
        <v>375-85-9</v>
      </c>
      <c r="M1855">
        <f>_xlfn.XLOOKUP(L1855,[2]analyte_order!$C:$C,[2]analyte_order!$E:$E)</f>
        <v>4</v>
      </c>
      <c r="N1855">
        <v>2.7029462113703943E-2</v>
      </c>
    </row>
    <row r="1856" spans="1:14">
      <c r="A1856" t="s">
        <v>251</v>
      </c>
      <c r="B1856" t="str">
        <f>_xlfn.XLOOKUP(A1856,'[1]Tissue Data'!$A:$A,'[1]Tissue Data'!$C:$C)</f>
        <v>Spill</v>
      </c>
      <c r="C1856" s="2">
        <f>_xlfn.XLOOKUP(A1856,'[1]Tissue Data'!$A:$A,'[1]Tissue Data'!$D:$D)</f>
        <v>44314</v>
      </c>
      <c r="D1856" s="2" t="str">
        <f>_xlfn.XLOOKUP(A1856,'[1]Tissue Data'!$A:$A,'[1]Tissue Data'!$F:$F)</f>
        <v>Pumpkinseed</v>
      </c>
      <c r="E1856" t="str">
        <f>_xlfn.XLOOKUP(A1856,'[1]Tissue Data'!$A:$A,'[1]Tissue Data'!$H:$H)</f>
        <v>Lepomis</v>
      </c>
      <c r="F1856" t="str">
        <f>_xlfn.XLOOKUP(A1856,'[1]Tissue Data'!$A:$A,'[1]Tissue Data'!$I:$I)</f>
        <v>gibbosus</v>
      </c>
      <c r="G1856" t="str">
        <f>_xlfn.XLOOKUP(A1856,'[1]Tissue Data'!$A:$A,'[1]Tissue Data'!J:J)</f>
        <v>U</v>
      </c>
      <c r="H1856" t="str">
        <f>_xlfn.XLOOKUP(A1856,'[1]Tissue Data'!$A:$A,'[1]Tissue Data'!K:K)</f>
        <v>Whole Body</v>
      </c>
      <c r="I1856">
        <f>_xlfn.XLOOKUP(A1856,'[1]Tissue Data'!$A:$A,'[1]Tissue Data'!L:L)</f>
        <v>8</v>
      </c>
      <c r="J1856">
        <f>_xlfn.XLOOKUP(A1856,'[1]Tissue Data'!$A:$A,'[1]Tissue Data'!M:M)</f>
        <v>10.9</v>
      </c>
      <c r="K1856" t="s">
        <v>16</v>
      </c>
      <c r="L1856" t="str">
        <f>_xlfn.XLOOKUP(K1856,[2]analyte_order!$B:$B,[2]analyte_order!$C:$C)</f>
        <v>335-67-1</v>
      </c>
      <c r="M1856">
        <f>_xlfn.XLOOKUP(L1856,[2]analyte_order!$C:$C,[2]analyte_order!$E:$E)</f>
        <v>5</v>
      </c>
      <c r="N1856">
        <v>0.36899999999999999</v>
      </c>
    </row>
    <row r="1857" spans="1:14">
      <c r="A1857" t="s">
        <v>251</v>
      </c>
      <c r="B1857" t="str">
        <f>_xlfn.XLOOKUP(A1857,'[1]Tissue Data'!$A:$A,'[1]Tissue Data'!$C:$C)</f>
        <v>Spill</v>
      </c>
      <c r="C1857" s="2">
        <f>_xlfn.XLOOKUP(A1857,'[1]Tissue Data'!$A:$A,'[1]Tissue Data'!$D:$D)</f>
        <v>44314</v>
      </c>
      <c r="D1857" s="2" t="str">
        <f>_xlfn.XLOOKUP(A1857,'[1]Tissue Data'!$A:$A,'[1]Tissue Data'!$F:$F)</f>
        <v>Pumpkinseed</v>
      </c>
      <c r="E1857" t="str">
        <f>_xlfn.XLOOKUP(A1857,'[1]Tissue Data'!$A:$A,'[1]Tissue Data'!$H:$H)</f>
        <v>Lepomis</v>
      </c>
      <c r="F1857" t="str">
        <f>_xlfn.XLOOKUP(A1857,'[1]Tissue Data'!$A:$A,'[1]Tissue Data'!$I:$I)</f>
        <v>gibbosus</v>
      </c>
      <c r="G1857" t="str">
        <f>_xlfn.XLOOKUP(A1857,'[1]Tissue Data'!$A:$A,'[1]Tissue Data'!J:J)</f>
        <v>U</v>
      </c>
      <c r="H1857" t="str">
        <f>_xlfn.XLOOKUP(A1857,'[1]Tissue Data'!$A:$A,'[1]Tissue Data'!K:K)</f>
        <v>Whole Body</v>
      </c>
      <c r="I1857">
        <f>_xlfn.XLOOKUP(A1857,'[1]Tissue Data'!$A:$A,'[1]Tissue Data'!L:L)</f>
        <v>8</v>
      </c>
      <c r="J1857">
        <f>_xlfn.XLOOKUP(A1857,'[1]Tissue Data'!$A:$A,'[1]Tissue Data'!M:M)</f>
        <v>10.9</v>
      </c>
      <c r="K1857" t="s">
        <v>17</v>
      </c>
      <c r="L1857" t="str">
        <f>_xlfn.XLOOKUP(K1857,[2]analyte_order!$B:$B,[2]analyte_order!$C:$C)</f>
        <v>375-95-1</v>
      </c>
      <c r="M1857">
        <f>_xlfn.XLOOKUP(L1857,[2]analyte_order!$C:$C,[2]analyte_order!$E:$E)</f>
        <v>6</v>
      </c>
      <c r="N1857">
        <v>0.41899999999999998</v>
      </c>
    </row>
    <row r="1858" spans="1:14">
      <c r="A1858" t="s">
        <v>251</v>
      </c>
      <c r="B1858" t="str">
        <f>_xlfn.XLOOKUP(A1858,'[1]Tissue Data'!$A:$A,'[1]Tissue Data'!$C:$C)</f>
        <v>Spill</v>
      </c>
      <c r="C1858" s="2">
        <f>_xlfn.XLOOKUP(A1858,'[1]Tissue Data'!$A:$A,'[1]Tissue Data'!$D:$D)</f>
        <v>44314</v>
      </c>
      <c r="D1858" s="2" t="str">
        <f>_xlfn.XLOOKUP(A1858,'[1]Tissue Data'!$A:$A,'[1]Tissue Data'!$F:$F)</f>
        <v>Pumpkinseed</v>
      </c>
      <c r="E1858" t="str">
        <f>_xlfn.XLOOKUP(A1858,'[1]Tissue Data'!$A:$A,'[1]Tissue Data'!$H:$H)</f>
        <v>Lepomis</v>
      </c>
      <c r="F1858" t="str">
        <f>_xlfn.XLOOKUP(A1858,'[1]Tissue Data'!$A:$A,'[1]Tissue Data'!$I:$I)</f>
        <v>gibbosus</v>
      </c>
      <c r="G1858" t="str">
        <f>_xlfn.XLOOKUP(A1858,'[1]Tissue Data'!$A:$A,'[1]Tissue Data'!J:J)</f>
        <v>U</v>
      </c>
      <c r="H1858" t="str">
        <f>_xlfn.XLOOKUP(A1858,'[1]Tissue Data'!$A:$A,'[1]Tissue Data'!K:K)</f>
        <v>Whole Body</v>
      </c>
      <c r="I1858">
        <f>_xlfn.XLOOKUP(A1858,'[1]Tissue Data'!$A:$A,'[1]Tissue Data'!L:L)</f>
        <v>8</v>
      </c>
      <c r="J1858">
        <f>_xlfn.XLOOKUP(A1858,'[1]Tissue Data'!$A:$A,'[1]Tissue Data'!M:M)</f>
        <v>10.9</v>
      </c>
      <c r="K1858" t="s">
        <v>18</v>
      </c>
      <c r="L1858" t="str">
        <f>_xlfn.XLOOKUP(K1858,[2]analyte_order!$B:$B,[2]analyte_order!$C:$C)</f>
        <v>335-76-2</v>
      </c>
      <c r="M1858">
        <f>_xlfn.XLOOKUP(L1858,[2]analyte_order!$C:$C,[2]analyte_order!$E:$E)</f>
        <v>7</v>
      </c>
      <c r="N1858">
        <v>3</v>
      </c>
    </row>
    <row r="1859" spans="1:14">
      <c r="A1859" t="s">
        <v>251</v>
      </c>
      <c r="B1859" t="str">
        <f>_xlfn.XLOOKUP(A1859,'[1]Tissue Data'!$A:$A,'[1]Tissue Data'!$C:$C)</f>
        <v>Spill</v>
      </c>
      <c r="C1859" s="2">
        <f>_xlfn.XLOOKUP(A1859,'[1]Tissue Data'!$A:$A,'[1]Tissue Data'!$D:$D)</f>
        <v>44314</v>
      </c>
      <c r="D1859" s="2" t="str">
        <f>_xlfn.XLOOKUP(A1859,'[1]Tissue Data'!$A:$A,'[1]Tissue Data'!$F:$F)</f>
        <v>Pumpkinseed</v>
      </c>
      <c r="E1859" t="str">
        <f>_xlfn.XLOOKUP(A1859,'[1]Tissue Data'!$A:$A,'[1]Tissue Data'!$H:$H)</f>
        <v>Lepomis</v>
      </c>
      <c r="F1859" t="str">
        <f>_xlfn.XLOOKUP(A1859,'[1]Tissue Data'!$A:$A,'[1]Tissue Data'!$I:$I)</f>
        <v>gibbosus</v>
      </c>
      <c r="G1859" t="str">
        <f>_xlfn.XLOOKUP(A1859,'[1]Tissue Data'!$A:$A,'[1]Tissue Data'!J:J)</f>
        <v>U</v>
      </c>
      <c r="H1859" t="str">
        <f>_xlfn.XLOOKUP(A1859,'[1]Tissue Data'!$A:$A,'[1]Tissue Data'!K:K)</f>
        <v>Whole Body</v>
      </c>
      <c r="I1859">
        <f>_xlfn.XLOOKUP(A1859,'[1]Tissue Data'!$A:$A,'[1]Tissue Data'!L:L)</f>
        <v>8</v>
      </c>
      <c r="J1859">
        <f>_xlfn.XLOOKUP(A1859,'[1]Tissue Data'!$A:$A,'[1]Tissue Data'!M:M)</f>
        <v>10.9</v>
      </c>
      <c r="K1859" t="s">
        <v>19</v>
      </c>
      <c r="L1859" t="str">
        <f>_xlfn.XLOOKUP(K1859,[2]analyte_order!$B:$B,[2]analyte_order!$C:$C)</f>
        <v>2058-94-8</v>
      </c>
      <c r="M1859">
        <f>_xlfn.XLOOKUP(L1859,[2]analyte_order!$C:$C,[2]analyte_order!$E:$E)</f>
        <v>8</v>
      </c>
      <c r="N1859">
        <v>6.34</v>
      </c>
    </row>
    <row r="1860" spans="1:14">
      <c r="A1860" t="s">
        <v>251</v>
      </c>
      <c r="B1860" t="str">
        <f>_xlfn.XLOOKUP(A1860,'[1]Tissue Data'!$A:$A,'[1]Tissue Data'!$C:$C)</f>
        <v>Spill</v>
      </c>
      <c r="C1860" s="2">
        <f>_xlfn.XLOOKUP(A1860,'[1]Tissue Data'!$A:$A,'[1]Tissue Data'!$D:$D)</f>
        <v>44314</v>
      </c>
      <c r="D1860" s="2" t="str">
        <f>_xlfn.XLOOKUP(A1860,'[1]Tissue Data'!$A:$A,'[1]Tissue Data'!$F:$F)</f>
        <v>Pumpkinseed</v>
      </c>
      <c r="E1860" t="str">
        <f>_xlfn.XLOOKUP(A1860,'[1]Tissue Data'!$A:$A,'[1]Tissue Data'!$H:$H)</f>
        <v>Lepomis</v>
      </c>
      <c r="F1860" t="str">
        <f>_xlfn.XLOOKUP(A1860,'[1]Tissue Data'!$A:$A,'[1]Tissue Data'!$I:$I)</f>
        <v>gibbosus</v>
      </c>
      <c r="G1860" t="str">
        <f>_xlfn.XLOOKUP(A1860,'[1]Tissue Data'!$A:$A,'[1]Tissue Data'!J:J)</f>
        <v>U</v>
      </c>
      <c r="H1860" t="str">
        <f>_xlfn.XLOOKUP(A1860,'[1]Tissue Data'!$A:$A,'[1]Tissue Data'!K:K)</f>
        <v>Whole Body</v>
      </c>
      <c r="I1860">
        <f>_xlfn.XLOOKUP(A1860,'[1]Tissue Data'!$A:$A,'[1]Tissue Data'!L:L)</f>
        <v>8</v>
      </c>
      <c r="J1860">
        <f>_xlfn.XLOOKUP(A1860,'[1]Tissue Data'!$A:$A,'[1]Tissue Data'!M:M)</f>
        <v>10.9</v>
      </c>
      <c r="K1860" t="s">
        <v>20</v>
      </c>
      <c r="L1860" t="str">
        <f>_xlfn.XLOOKUP(K1860,[2]analyte_order!$B:$B,[2]analyte_order!$C:$C)</f>
        <v>307-55-1</v>
      </c>
      <c r="M1860">
        <f>_xlfn.XLOOKUP(L1860,[2]analyte_order!$C:$C,[2]analyte_order!$E:$E)</f>
        <v>9</v>
      </c>
      <c r="N1860">
        <v>5.3953500420713583E-2</v>
      </c>
    </row>
    <row r="1861" spans="1:14">
      <c r="A1861" t="s">
        <v>251</v>
      </c>
      <c r="B1861" t="str">
        <f>_xlfn.XLOOKUP(A1861,'[1]Tissue Data'!$A:$A,'[1]Tissue Data'!$C:$C)</f>
        <v>Spill</v>
      </c>
      <c r="C1861" s="2">
        <f>_xlfn.XLOOKUP(A1861,'[1]Tissue Data'!$A:$A,'[1]Tissue Data'!$D:$D)</f>
        <v>44314</v>
      </c>
      <c r="D1861" s="2" t="str">
        <f>_xlfn.XLOOKUP(A1861,'[1]Tissue Data'!$A:$A,'[1]Tissue Data'!$F:$F)</f>
        <v>Pumpkinseed</v>
      </c>
      <c r="E1861" t="str">
        <f>_xlfn.XLOOKUP(A1861,'[1]Tissue Data'!$A:$A,'[1]Tissue Data'!$H:$H)</f>
        <v>Lepomis</v>
      </c>
      <c r="F1861" t="str">
        <f>_xlfn.XLOOKUP(A1861,'[1]Tissue Data'!$A:$A,'[1]Tissue Data'!$I:$I)</f>
        <v>gibbosus</v>
      </c>
      <c r="G1861" t="str">
        <f>_xlfn.XLOOKUP(A1861,'[1]Tissue Data'!$A:$A,'[1]Tissue Data'!J:J)</f>
        <v>U</v>
      </c>
      <c r="H1861" t="str">
        <f>_xlfn.XLOOKUP(A1861,'[1]Tissue Data'!$A:$A,'[1]Tissue Data'!K:K)</f>
        <v>Whole Body</v>
      </c>
      <c r="I1861">
        <f>_xlfn.XLOOKUP(A1861,'[1]Tissue Data'!$A:$A,'[1]Tissue Data'!L:L)</f>
        <v>8</v>
      </c>
      <c r="J1861">
        <f>_xlfn.XLOOKUP(A1861,'[1]Tissue Data'!$A:$A,'[1]Tissue Data'!M:M)</f>
        <v>10.9</v>
      </c>
      <c r="K1861" t="s">
        <v>21</v>
      </c>
      <c r="L1861" t="str">
        <f>_xlfn.XLOOKUP(K1861,[2]analyte_order!$B:$B,[2]analyte_order!$C:$C)</f>
        <v>72629-94-8</v>
      </c>
      <c r="M1861">
        <f>_xlfn.XLOOKUP(L1861,[2]analyte_order!$C:$C,[2]analyte_order!$E:$E)</f>
        <v>10</v>
      </c>
      <c r="N1861">
        <v>4.12</v>
      </c>
    </row>
    <row r="1862" spans="1:14">
      <c r="A1862" t="s">
        <v>251</v>
      </c>
      <c r="B1862" t="str">
        <f>_xlfn.XLOOKUP(A1862,'[1]Tissue Data'!$A:$A,'[1]Tissue Data'!$C:$C)</f>
        <v>Spill</v>
      </c>
      <c r="C1862" s="2">
        <f>_xlfn.XLOOKUP(A1862,'[1]Tissue Data'!$A:$A,'[1]Tissue Data'!$D:$D)</f>
        <v>44314</v>
      </c>
      <c r="D1862" s="2" t="str">
        <f>_xlfn.XLOOKUP(A1862,'[1]Tissue Data'!$A:$A,'[1]Tissue Data'!$F:$F)</f>
        <v>Pumpkinseed</v>
      </c>
      <c r="E1862" t="str">
        <f>_xlfn.XLOOKUP(A1862,'[1]Tissue Data'!$A:$A,'[1]Tissue Data'!$H:$H)</f>
        <v>Lepomis</v>
      </c>
      <c r="F1862" t="str">
        <f>_xlfn.XLOOKUP(A1862,'[1]Tissue Data'!$A:$A,'[1]Tissue Data'!$I:$I)</f>
        <v>gibbosus</v>
      </c>
      <c r="G1862" t="str">
        <f>_xlfn.XLOOKUP(A1862,'[1]Tissue Data'!$A:$A,'[1]Tissue Data'!J:J)</f>
        <v>U</v>
      </c>
      <c r="H1862" t="str">
        <f>_xlfn.XLOOKUP(A1862,'[1]Tissue Data'!$A:$A,'[1]Tissue Data'!K:K)</f>
        <v>Whole Body</v>
      </c>
      <c r="I1862">
        <f>_xlfn.XLOOKUP(A1862,'[1]Tissue Data'!$A:$A,'[1]Tissue Data'!L:L)</f>
        <v>8</v>
      </c>
      <c r="J1862">
        <f>_xlfn.XLOOKUP(A1862,'[1]Tissue Data'!$A:$A,'[1]Tissue Data'!M:M)</f>
        <v>10.9</v>
      </c>
      <c r="K1862" t="s">
        <v>22</v>
      </c>
      <c r="L1862" t="str">
        <f>_xlfn.XLOOKUP(K1862,[2]analyte_order!$B:$B,[2]analyte_order!$C:$C)</f>
        <v>376-06-7</v>
      </c>
      <c r="M1862">
        <f>_xlfn.XLOOKUP(L1862,[2]analyte_order!$C:$C,[2]analyte_order!$E:$E)</f>
        <v>11</v>
      </c>
      <c r="N1862">
        <v>10.8</v>
      </c>
    </row>
    <row r="1863" spans="1:14">
      <c r="A1863" t="s">
        <v>251</v>
      </c>
      <c r="B1863" t="str">
        <f>_xlfn.XLOOKUP(A1863,'[1]Tissue Data'!$A:$A,'[1]Tissue Data'!$C:$C)</f>
        <v>Spill</v>
      </c>
      <c r="C1863" s="2">
        <f>_xlfn.XLOOKUP(A1863,'[1]Tissue Data'!$A:$A,'[1]Tissue Data'!$D:$D)</f>
        <v>44314</v>
      </c>
      <c r="D1863" s="2" t="str">
        <f>_xlfn.XLOOKUP(A1863,'[1]Tissue Data'!$A:$A,'[1]Tissue Data'!$F:$F)</f>
        <v>Pumpkinseed</v>
      </c>
      <c r="E1863" t="str">
        <f>_xlfn.XLOOKUP(A1863,'[1]Tissue Data'!$A:$A,'[1]Tissue Data'!$H:$H)</f>
        <v>Lepomis</v>
      </c>
      <c r="F1863" t="str">
        <f>_xlfn.XLOOKUP(A1863,'[1]Tissue Data'!$A:$A,'[1]Tissue Data'!$I:$I)</f>
        <v>gibbosus</v>
      </c>
      <c r="G1863" t="str">
        <f>_xlfn.XLOOKUP(A1863,'[1]Tissue Data'!$A:$A,'[1]Tissue Data'!J:J)</f>
        <v>U</v>
      </c>
      <c r="H1863" t="str">
        <f>_xlfn.XLOOKUP(A1863,'[1]Tissue Data'!$A:$A,'[1]Tissue Data'!K:K)</f>
        <v>Whole Body</v>
      </c>
      <c r="I1863">
        <f>_xlfn.XLOOKUP(A1863,'[1]Tissue Data'!$A:$A,'[1]Tissue Data'!L:L)</f>
        <v>8</v>
      </c>
      <c r="J1863">
        <f>_xlfn.XLOOKUP(A1863,'[1]Tissue Data'!$A:$A,'[1]Tissue Data'!M:M)</f>
        <v>10.9</v>
      </c>
      <c r="K1863" t="s">
        <v>23</v>
      </c>
      <c r="L1863" t="str">
        <f>_xlfn.XLOOKUP(K1863,[2]analyte_order!$B:$B,[2]analyte_order!$C:$C)</f>
        <v>67905-19-5</v>
      </c>
      <c r="M1863">
        <f>_xlfn.XLOOKUP(L1863,[2]analyte_order!$C:$C,[2]analyte_order!$E:$E)</f>
        <v>12</v>
      </c>
      <c r="N1863">
        <v>8.0534291931615473E-2</v>
      </c>
    </row>
    <row r="1864" spans="1:14">
      <c r="A1864" t="s">
        <v>251</v>
      </c>
      <c r="B1864" t="str">
        <f>_xlfn.XLOOKUP(A1864,'[1]Tissue Data'!$A:$A,'[1]Tissue Data'!$C:$C)</f>
        <v>Spill</v>
      </c>
      <c r="C1864" s="2">
        <f>_xlfn.XLOOKUP(A1864,'[1]Tissue Data'!$A:$A,'[1]Tissue Data'!$D:$D)</f>
        <v>44314</v>
      </c>
      <c r="D1864" s="2" t="str">
        <f>_xlfn.XLOOKUP(A1864,'[1]Tissue Data'!$A:$A,'[1]Tissue Data'!$F:$F)</f>
        <v>Pumpkinseed</v>
      </c>
      <c r="E1864" t="str">
        <f>_xlfn.XLOOKUP(A1864,'[1]Tissue Data'!$A:$A,'[1]Tissue Data'!$H:$H)</f>
        <v>Lepomis</v>
      </c>
      <c r="F1864" t="str">
        <f>_xlfn.XLOOKUP(A1864,'[1]Tissue Data'!$A:$A,'[1]Tissue Data'!$I:$I)</f>
        <v>gibbosus</v>
      </c>
      <c r="G1864" t="str">
        <f>_xlfn.XLOOKUP(A1864,'[1]Tissue Data'!$A:$A,'[1]Tissue Data'!J:J)</f>
        <v>U</v>
      </c>
      <c r="H1864" t="str">
        <f>_xlfn.XLOOKUP(A1864,'[1]Tissue Data'!$A:$A,'[1]Tissue Data'!K:K)</f>
        <v>Whole Body</v>
      </c>
      <c r="I1864">
        <f>_xlfn.XLOOKUP(A1864,'[1]Tissue Data'!$A:$A,'[1]Tissue Data'!L:L)</f>
        <v>8</v>
      </c>
      <c r="J1864">
        <f>_xlfn.XLOOKUP(A1864,'[1]Tissue Data'!$A:$A,'[1]Tissue Data'!M:M)</f>
        <v>10.9</v>
      </c>
      <c r="K1864" t="s">
        <v>24</v>
      </c>
      <c r="L1864" t="str">
        <f>_xlfn.XLOOKUP(K1864,[2]analyte_order!$B:$B,[2]analyte_order!$C:$C)</f>
        <v>423-41-6</v>
      </c>
      <c r="M1864">
        <f>_xlfn.XLOOKUP(L1864,[2]analyte_order!$C:$C,[2]analyte_order!$E:$E)</f>
        <v>53</v>
      </c>
      <c r="N1864">
        <v>5.15555390381566E-2</v>
      </c>
    </row>
    <row r="1865" spans="1:14">
      <c r="A1865" t="s">
        <v>251</v>
      </c>
      <c r="B1865" t="str">
        <f>_xlfn.XLOOKUP(A1865,'[1]Tissue Data'!$A:$A,'[1]Tissue Data'!$C:$C)</f>
        <v>Spill</v>
      </c>
      <c r="C1865" s="2">
        <f>_xlfn.XLOOKUP(A1865,'[1]Tissue Data'!$A:$A,'[1]Tissue Data'!$D:$D)</f>
        <v>44314</v>
      </c>
      <c r="D1865" s="2" t="str">
        <f>_xlfn.XLOOKUP(A1865,'[1]Tissue Data'!$A:$A,'[1]Tissue Data'!$F:$F)</f>
        <v>Pumpkinseed</v>
      </c>
      <c r="E1865" t="str">
        <f>_xlfn.XLOOKUP(A1865,'[1]Tissue Data'!$A:$A,'[1]Tissue Data'!$H:$H)</f>
        <v>Lepomis</v>
      </c>
      <c r="F1865" t="str">
        <f>_xlfn.XLOOKUP(A1865,'[1]Tissue Data'!$A:$A,'[1]Tissue Data'!$I:$I)</f>
        <v>gibbosus</v>
      </c>
      <c r="G1865" t="str">
        <f>_xlfn.XLOOKUP(A1865,'[1]Tissue Data'!$A:$A,'[1]Tissue Data'!J:J)</f>
        <v>U</v>
      </c>
      <c r="H1865" t="str">
        <f>_xlfn.XLOOKUP(A1865,'[1]Tissue Data'!$A:$A,'[1]Tissue Data'!K:K)</f>
        <v>Whole Body</v>
      </c>
      <c r="I1865">
        <f>_xlfn.XLOOKUP(A1865,'[1]Tissue Data'!$A:$A,'[1]Tissue Data'!L:L)</f>
        <v>8</v>
      </c>
      <c r="J1865">
        <f>_xlfn.XLOOKUP(A1865,'[1]Tissue Data'!$A:$A,'[1]Tissue Data'!M:M)</f>
        <v>10.9</v>
      </c>
      <c r="K1865" t="s">
        <v>25</v>
      </c>
      <c r="L1865" t="str">
        <f>_xlfn.XLOOKUP(K1865,[2]analyte_order!$B:$B,[2]analyte_order!$C:$C)</f>
        <v>375-73-5</v>
      </c>
      <c r="M1865">
        <f>_xlfn.XLOOKUP(L1865,[2]analyte_order!$C:$C,[2]analyte_order!$E:$E)</f>
        <v>14</v>
      </c>
      <c r="N1865">
        <v>0.15135115325434864</v>
      </c>
    </row>
    <row r="1866" spans="1:14">
      <c r="A1866" t="s">
        <v>251</v>
      </c>
      <c r="B1866" t="str">
        <f>_xlfn.XLOOKUP(A1866,'[1]Tissue Data'!$A:$A,'[1]Tissue Data'!$C:$C)</f>
        <v>Spill</v>
      </c>
      <c r="C1866" s="2">
        <f>_xlfn.XLOOKUP(A1866,'[1]Tissue Data'!$A:$A,'[1]Tissue Data'!$D:$D)</f>
        <v>44314</v>
      </c>
      <c r="D1866" s="2" t="str">
        <f>_xlfn.XLOOKUP(A1866,'[1]Tissue Data'!$A:$A,'[1]Tissue Data'!$F:$F)</f>
        <v>Pumpkinseed</v>
      </c>
      <c r="E1866" t="str">
        <f>_xlfn.XLOOKUP(A1866,'[1]Tissue Data'!$A:$A,'[1]Tissue Data'!$H:$H)</f>
        <v>Lepomis</v>
      </c>
      <c r="F1866" t="str">
        <f>_xlfn.XLOOKUP(A1866,'[1]Tissue Data'!$A:$A,'[1]Tissue Data'!$I:$I)</f>
        <v>gibbosus</v>
      </c>
      <c r="G1866" t="str">
        <f>_xlfn.XLOOKUP(A1866,'[1]Tissue Data'!$A:$A,'[1]Tissue Data'!J:J)</f>
        <v>U</v>
      </c>
      <c r="H1866" t="str">
        <f>_xlfn.XLOOKUP(A1866,'[1]Tissue Data'!$A:$A,'[1]Tissue Data'!K:K)</f>
        <v>Whole Body</v>
      </c>
      <c r="I1866">
        <f>_xlfn.XLOOKUP(A1866,'[1]Tissue Data'!$A:$A,'[1]Tissue Data'!L:L)</f>
        <v>8</v>
      </c>
      <c r="J1866">
        <f>_xlfn.XLOOKUP(A1866,'[1]Tissue Data'!$A:$A,'[1]Tissue Data'!M:M)</f>
        <v>10.9</v>
      </c>
      <c r="K1866" t="s">
        <v>26</v>
      </c>
      <c r="L1866" t="str">
        <f>_xlfn.XLOOKUP(K1866,[2]analyte_order!$B:$B,[2]analyte_order!$C:$C)</f>
        <v>2706-91-4</v>
      </c>
      <c r="M1866">
        <f>_xlfn.XLOOKUP(L1866,[2]analyte_order!$C:$C,[2]analyte_order!$E:$E)</f>
        <v>15</v>
      </c>
      <c r="N1866">
        <v>0.11775806567727812</v>
      </c>
    </row>
    <row r="1867" spans="1:14">
      <c r="A1867" t="s">
        <v>251</v>
      </c>
      <c r="B1867" t="str">
        <f>_xlfn.XLOOKUP(A1867,'[1]Tissue Data'!$A:$A,'[1]Tissue Data'!$C:$C)</f>
        <v>Spill</v>
      </c>
      <c r="C1867" s="2">
        <f>_xlfn.XLOOKUP(A1867,'[1]Tissue Data'!$A:$A,'[1]Tissue Data'!$D:$D)</f>
        <v>44314</v>
      </c>
      <c r="D1867" s="2" t="str">
        <f>_xlfn.XLOOKUP(A1867,'[1]Tissue Data'!$A:$A,'[1]Tissue Data'!$F:$F)</f>
        <v>Pumpkinseed</v>
      </c>
      <c r="E1867" t="str">
        <f>_xlfn.XLOOKUP(A1867,'[1]Tissue Data'!$A:$A,'[1]Tissue Data'!$H:$H)</f>
        <v>Lepomis</v>
      </c>
      <c r="F1867" t="str">
        <f>_xlfn.XLOOKUP(A1867,'[1]Tissue Data'!$A:$A,'[1]Tissue Data'!$I:$I)</f>
        <v>gibbosus</v>
      </c>
      <c r="G1867" t="str">
        <f>_xlfn.XLOOKUP(A1867,'[1]Tissue Data'!$A:$A,'[1]Tissue Data'!J:J)</f>
        <v>U</v>
      </c>
      <c r="H1867" t="str">
        <f>_xlfn.XLOOKUP(A1867,'[1]Tissue Data'!$A:$A,'[1]Tissue Data'!K:K)</f>
        <v>Whole Body</v>
      </c>
      <c r="I1867">
        <f>_xlfn.XLOOKUP(A1867,'[1]Tissue Data'!$A:$A,'[1]Tissue Data'!L:L)</f>
        <v>8</v>
      </c>
      <c r="J1867">
        <f>_xlfn.XLOOKUP(A1867,'[1]Tissue Data'!$A:$A,'[1]Tissue Data'!M:M)</f>
        <v>10.9</v>
      </c>
      <c r="K1867" t="s">
        <v>27</v>
      </c>
      <c r="L1867" t="str">
        <f>_xlfn.XLOOKUP(K1867,[2]analyte_order!$B:$B,[2]analyte_order!$C:$C)</f>
        <v>355-46-4</v>
      </c>
      <c r="M1867">
        <f>_xlfn.XLOOKUP(L1867,[2]analyte_order!$C:$C,[2]analyte_order!$E:$E)</f>
        <v>16</v>
      </c>
      <c r="N1867">
        <v>11.7</v>
      </c>
    </row>
    <row r="1868" spans="1:14">
      <c r="A1868" t="s">
        <v>251</v>
      </c>
      <c r="B1868" t="str">
        <f>_xlfn.XLOOKUP(A1868,'[1]Tissue Data'!$A:$A,'[1]Tissue Data'!$C:$C)</f>
        <v>Spill</v>
      </c>
      <c r="C1868" s="2">
        <f>_xlfn.XLOOKUP(A1868,'[1]Tissue Data'!$A:$A,'[1]Tissue Data'!$D:$D)</f>
        <v>44314</v>
      </c>
      <c r="D1868" s="2" t="str">
        <f>_xlfn.XLOOKUP(A1868,'[1]Tissue Data'!$A:$A,'[1]Tissue Data'!$F:$F)</f>
        <v>Pumpkinseed</v>
      </c>
      <c r="E1868" t="str">
        <f>_xlfn.XLOOKUP(A1868,'[1]Tissue Data'!$A:$A,'[1]Tissue Data'!$H:$H)</f>
        <v>Lepomis</v>
      </c>
      <c r="F1868" t="str">
        <f>_xlfn.XLOOKUP(A1868,'[1]Tissue Data'!$A:$A,'[1]Tissue Data'!$I:$I)</f>
        <v>gibbosus</v>
      </c>
      <c r="G1868" t="str">
        <f>_xlfn.XLOOKUP(A1868,'[1]Tissue Data'!$A:$A,'[1]Tissue Data'!J:J)</f>
        <v>U</v>
      </c>
      <c r="H1868" t="str">
        <f>_xlfn.XLOOKUP(A1868,'[1]Tissue Data'!$A:$A,'[1]Tissue Data'!K:K)</f>
        <v>Whole Body</v>
      </c>
      <c r="I1868">
        <f>_xlfn.XLOOKUP(A1868,'[1]Tissue Data'!$A:$A,'[1]Tissue Data'!L:L)</f>
        <v>8</v>
      </c>
      <c r="J1868">
        <f>_xlfn.XLOOKUP(A1868,'[1]Tissue Data'!$A:$A,'[1]Tissue Data'!M:M)</f>
        <v>10.9</v>
      </c>
      <c r="K1868" t="s">
        <v>28</v>
      </c>
      <c r="L1868" t="str">
        <f>_xlfn.XLOOKUP(K1868,[2]analyte_order!$B:$B,[2]analyte_order!$C:$C)</f>
        <v>375-92-8</v>
      </c>
      <c r="M1868">
        <f>_xlfn.XLOOKUP(L1868,[2]analyte_order!$C:$C,[2]analyte_order!$E:$E)</f>
        <v>17</v>
      </c>
      <c r="N1868">
        <v>1.57</v>
      </c>
    </row>
    <row r="1869" spans="1:14">
      <c r="A1869" t="s">
        <v>251</v>
      </c>
      <c r="B1869" t="str">
        <f>_xlfn.XLOOKUP(A1869,'[1]Tissue Data'!$A:$A,'[1]Tissue Data'!$C:$C)</f>
        <v>Spill</v>
      </c>
      <c r="C1869" s="2">
        <f>_xlfn.XLOOKUP(A1869,'[1]Tissue Data'!$A:$A,'[1]Tissue Data'!$D:$D)</f>
        <v>44314</v>
      </c>
      <c r="D1869" s="2" t="str">
        <f>_xlfn.XLOOKUP(A1869,'[1]Tissue Data'!$A:$A,'[1]Tissue Data'!$F:$F)</f>
        <v>Pumpkinseed</v>
      </c>
      <c r="E1869" t="str">
        <f>_xlfn.XLOOKUP(A1869,'[1]Tissue Data'!$A:$A,'[1]Tissue Data'!$H:$H)</f>
        <v>Lepomis</v>
      </c>
      <c r="F1869" t="str">
        <f>_xlfn.XLOOKUP(A1869,'[1]Tissue Data'!$A:$A,'[1]Tissue Data'!$I:$I)</f>
        <v>gibbosus</v>
      </c>
      <c r="G1869" t="str">
        <f>_xlfn.XLOOKUP(A1869,'[1]Tissue Data'!$A:$A,'[1]Tissue Data'!J:J)</f>
        <v>U</v>
      </c>
      <c r="H1869" t="str">
        <f>_xlfn.XLOOKUP(A1869,'[1]Tissue Data'!$A:$A,'[1]Tissue Data'!K:K)</f>
        <v>Whole Body</v>
      </c>
      <c r="I1869">
        <f>_xlfn.XLOOKUP(A1869,'[1]Tissue Data'!$A:$A,'[1]Tissue Data'!L:L)</f>
        <v>8</v>
      </c>
      <c r="J1869">
        <f>_xlfn.XLOOKUP(A1869,'[1]Tissue Data'!$A:$A,'[1]Tissue Data'!M:M)</f>
        <v>10.9</v>
      </c>
      <c r="K1869" t="s">
        <v>29</v>
      </c>
      <c r="L1869" t="str">
        <f>_xlfn.XLOOKUP(K1869,[2]analyte_order!$B:$B,[2]analyte_order!$C:$C)</f>
        <v>1763-23-1</v>
      </c>
      <c r="M1869">
        <f>_xlfn.XLOOKUP(L1869,[2]analyte_order!$C:$C,[2]analyte_order!$E:$E)</f>
        <v>18</v>
      </c>
      <c r="N1869">
        <v>563</v>
      </c>
    </row>
    <row r="1870" spans="1:14">
      <c r="A1870" t="s">
        <v>251</v>
      </c>
      <c r="B1870" t="str">
        <f>_xlfn.XLOOKUP(A1870,'[1]Tissue Data'!$A:$A,'[1]Tissue Data'!$C:$C)</f>
        <v>Spill</v>
      </c>
      <c r="C1870" s="2">
        <f>_xlfn.XLOOKUP(A1870,'[1]Tissue Data'!$A:$A,'[1]Tissue Data'!$D:$D)</f>
        <v>44314</v>
      </c>
      <c r="D1870" s="2" t="str">
        <f>_xlfn.XLOOKUP(A1870,'[1]Tissue Data'!$A:$A,'[1]Tissue Data'!$F:$F)</f>
        <v>Pumpkinseed</v>
      </c>
      <c r="E1870" t="str">
        <f>_xlfn.XLOOKUP(A1870,'[1]Tissue Data'!$A:$A,'[1]Tissue Data'!$H:$H)</f>
        <v>Lepomis</v>
      </c>
      <c r="F1870" t="str">
        <f>_xlfn.XLOOKUP(A1870,'[1]Tissue Data'!$A:$A,'[1]Tissue Data'!$I:$I)</f>
        <v>gibbosus</v>
      </c>
      <c r="G1870" t="str">
        <f>_xlfn.XLOOKUP(A1870,'[1]Tissue Data'!$A:$A,'[1]Tissue Data'!J:J)</f>
        <v>U</v>
      </c>
      <c r="H1870" t="str">
        <f>_xlfn.XLOOKUP(A1870,'[1]Tissue Data'!$A:$A,'[1]Tissue Data'!K:K)</f>
        <v>Whole Body</v>
      </c>
      <c r="I1870">
        <f>_xlfn.XLOOKUP(A1870,'[1]Tissue Data'!$A:$A,'[1]Tissue Data'!L:L)</f>
        <v>8</v>
      </c>
      <c r="J1870">
        <f>_xlfn.XLOOKUP(A1870,'[1]Tissue Data'!$A:$A,'[1]Tissue Data'!M:M)</f>
        <v>10.9</v>
      </c>
      <c r="K1870" t="s">
        <v>30</v>
      </c>
      <c r="L1870" t="str">
        <f>_xlfn.XLOOKUP(K1870,[2]analyte_order!$B:$B,[2]analyte_order!$C:$C)</f>
        <v>68259-12-1</v>
      </c>
      <c r="M1870">
        <f>_xlfn.XLOOKUP(L1870,[2]analyte_order!$C:$C,[2]analyte_order!$E:$E)</f>
        <v>19</v>
      </c>
      <c r="N1870">
        <v>0.60799999999999998</v>
      </c>
    </row>
    <row r="1871" spans="1:14">
      <c r="A1871" t="s">
        <v>251</v>
      </c>
      <c r="B1871" t="str">
        <f>_xlfn.XLOOKUP(A1871,'[1]Tissue Data'!$A:$A,'[1]Tissue Data'!$C:$C)</f>
        <v>Spill</v>
      </c>
      <c r="C1871" s="2">
        <f>_xlfn.XLOOKUP(A1871,'[1]Tissue Data'!$A:$A,'[1]Tissue Data'!$D:$D)</f>
        <v>44314</v>
      </c>
      <c r="D1871" s="2" t="str">
        <f>_xlfn.XLOOKUP(A1871,'[1]Tissue Data'!$A:$A,'[1]Tissue Data'!$F:$F)</f>
        <v>Pumpkinseed</v>
      </c>
      <c r="E1871" t="str">
        <f>_xlfn.XLOOKUP(A1871,'[1]Tissue Data'!$A:$A,'[1]Tissue Data'!$H:$H)</f>
        <v>Lepomis</v>
      </c>
      <c r="F1871" t="str">
        <f>_xlfn.XLOOKUP(A1871,'[1]Tissue Data'!$A:$A,'[1]Tissue Data'!$I:$I)</f>
        <v>gibbosus</v>
      </c>
      <c r="G1871" t="str">
        <f>_xlfn.XLOOKUP(A1871,'[1]Tissue Data'!$A:$A,'[1]Tissue Data'!J:J)</f>
        <v>U</v>
      </c>
      <c r="H1871" t="str">
        <f>_xlfn.XLOOKUP(A1871,'[1]Tissue Data'!$A:$A,'[1]Tissue Data'!K:K)</f>
        <v>Whole Body</v>
      </c>
      <c r="I1871">
        <f>_xlfn.XLOOKUP(A1871,'[1]Tissue Data'!$A:$A,'[1]Tissue Data'!L:L)</f>
        <v>8</v>
      </c>
      <c r="J1871">
        <f>_xlfn.XLOOKUP(A1871,'[1]Tissue Data'!$A:$A,'[1]Tissue Data'!M:M)</f>
        <v>10.9</v>
      </c>
      <c r="K1871" t="s">
        <v>31</v>
      </c>
      <c r="L1871" t="str">
        <f>_xlfn.XLOOKUP(K1871,[2]analyte_order!$B:$B,[2]analyte_order!$C:$C)</f>
        <v>335-77-3</v>
      </c>
      <c r="M1871">
        <f>_xlfn.XLOOKUP(L1871,[2]analyte_order!$C:$C,[2]analyte_order!$E:$E)</f>
        <v>20</v>
      </c>
      <c r="N1871">
        <v>1.01</v>
      </c>
    </row>
    <row r="1872" spans="1:14">
      <c r="A1872" t="s">
        <v>251</v>
      </c>
      <c r="B1872" t="str">
        <f>_xlfn.XLOOKUP(A1872,'[1]Tissue Data'!$A:$A,'[1]Tissue Data'!$C:$C)</f>
        <v>Spill</v>
      </c>
      <c r="C1872" s="2">
        <f>_xlfn.XLOOKUP(A1872,'[1]Tissue Data'!$A:$A,'[1]Tissue Data'!$D:$D)</f>
        <v>44314</v>
      </c>
      <c r="D1872" s="2" t="str">
        <f>_xlfn.XLOOKUP(A1872,'[1]Tissue Data'!$A:$A,'[1]Tissue Data'!$F:$F)</f>
        <v>Pumpkinseed</v>
      </c>
      <c r="E1872" t="str">
        <f>_xlfn.XLOOKUP(A1872,'[1]Tissue Data'!$A:$A,'[1]Tissue Data'!$H:$H)</f>
        <v>Lepomis</v>
      </c>
      <c r="F1872" t="str">
        <f>_xlfn.XLOOKUP(A1872,'[1]Tissue Data'!$A:$A,'[1]Tissue Data'!$I:$I)</f>
        <v>gibbosus</v>
      </c>
      <c r="G1872" t="str">
        <f>_xlfn.XLOOKUP(A1872,'[1]Tissue Data'!$A:$A,'[1]Tissue Data'!J:J)</f>
        <v>U</v>
      </c>
      <c r="H1872" t="str">
        <f>_xlfn.XLOOKUP(A1872,'[1]Tissue Data'!$A:$A,'[1]Tissue Data'!K:K)</f>
        <v>Whole Body</v>
      </c>
      <c r="I1872">
        <f>_xlfn.XLOOKUP(A1872,'[1]Tissue Data'!$A:$A,'[1]Tissue Data'!L:L)</f>
        <v>8</v>
      </c>
      <c r="J1872">
        <f>_xlfn.XLOOKUP(A1872,'[1]Tissue Data'!$A:$A,'[1]Tissue Data'!M:M)</f>
        <v>10.9</v>
      </c>
      <c r="K1872" t="s">
        <v>32</v>
      </c>
      <c r="L1872" t="str">
        <f>_xlfn.XLOOKUP(K1872,[2]analyte_order!$B:$B,[2]analyte_order!$C:$C)</f>
        <v>79780-39-5</v>
      </c>
      <c r="M1872">
        <f>_xlfn.XLOOKUP(L1872,[2]analyte_order!$C:$C,[2]analyte_order!$E:$E)</f>
        <v>21</v>
      </c>
      <c r="N1872">
        <v>0.23780224292493579</v>
      </c>
    </row>
    <row r="1873" spans="1:14">
      <c r="A1873" t="s">
        <v>251</v>
      </c>
      <c r="B1873" t="str">
        <f>_xlfn.XLOOKUP(A1873,'[1]Tissue Data'!$A:$A,'[1]Tissue Data'!$C:$C)</f>
        <v>Spill</v>
      </c>
      <c r="C1873" s="2">
        <f>_xlfn.XLOOKUP(A1873,'[1]Tissue Data'!$A:$A,'[1]Tissue Data'!$D:$D)</f>
        <v>44314</v>
      </c>
      <c r="D1873" s="2" t="str">
        <f>_xlfn.XLOOKUP(A1873,'[1]Tissue Data'!$A:$A,'[1]Tissue Data'!$F:$F)</f>
        <v>Pumpkinseed</v>
      </c>
      <c r="E1873" t="str">
        <f>_xlfn.XLOOKUP(A1873,'[1]Tissue Data'!$A:$A,'[1]Tissue Data'!$H:$H)</f>
        <v>Lepomis</v>
      </c>
      <c r="F1873" t="str">
        <f>_xlfn.XLOOKUP(A1873,'[1]Tissue Data'!$A:$A,'[1]Tissue Data'!$I:$I)</f>
        <v>gibbosus</v>
      </c>
      <c r="G1873" t="str">
        <f>_xlfn.XLOOKUP(A1873,'[1]Tissue Data'!$A:$A,'[1]Tissue Data'!J:J)</f>
        <v>U</v>
      </c>
      <c r="H1873" t="str">
        <f>_xlfn.XLOOKUP(A1873,'[1]Tissue Data'!$A:$A,'[1]Tissue Data'!K:K)</f>
        <v>Whole Body</v>
      </c>
      <c r="I1873">
        <f>_xlfn.XLOOKUP(A1873,'[1]Tissue Data'!$A:$A,'[1]Tissue Data'!L:L)</f>
        <v>8</v>
      </c>
      <c r="J1873">
        <f>_xlfn.XLOOKUP(A1873,'[1]Tissue Data'!$A:$A,'[1]Tissue Data'!M:M)</f>
        <v>10.9</v>
      </c>
      <c r="K1873" t="s">
        <v>33</v>
      </c>
      <c r="L1873" t="str">
        <f>_xlfn.XLOOKUP(K1873,[2]analyte_order!$B:$B,[2]analyte_order!$C:$C)</f>
        <v>777011-38-8</v>
      </c>
      <c r="M1873">
        <f>_xlfn.XLOOKUP(L1873,[2]analyte_order!$C:$C,[2]analyte_order!$E:$E)</f>
        <v>54</v>
      </c>
      <c r="N1873">
        <v>0.13513435784830993</v>
      </c>
    </row>
    <row r="1874" spans="1:14">
      <c r="A1874" t="s">
        <v>251</v>
      </c>
      <c r="B1874" t="str">
        <f>_xlfn.XLOOKUP(A1874,'[1]Tissue Data'!$A:$A,'[1]Tissue Data'!$C:$C)</f>
        <v>Spill</v>
      </c>
      <c r="C1874" s="2">
        <f>_xlfn.XLOOKUP(A1874,'[1]Tissue Data'!$A:$A,'[1]Tissue Data'!$D:$D)</f>
        <v>44314</v>
      </c>
      <c r="D1874" s="2" t="str">
        <f>_xlfn.XLOOKUP(A1874,'[1]Tissue Data'!$A:$A,'[1]Tissue Data'!$F:$F)</f>
        <v>Pumpkinseed</v>
      </c>
      <c r="E1874" t="str">
        <f>_xlfn.XLOOKUP(A1874,'[1]Tissue Data'!$A:$A,'[1]Tissue Data'!$H:$H)</f>
        <v>Lepomis</v>
      </c>
      <c r="F1874" t="str">
        <f>_xlfn.XLOOKUP(A1874,'[1]Tissue Data'!$A:$A,'[1]Tissue Data'!$I:$I)</f>
        <v>gibbosus</v>
      </c>
      <c r="G1874" t="str">
        <f>_xlfn.XLOOKUP(A1874,'[1]Tissue Data'!$A:$A,'[1]Tissue Data'!J:J)</f>
        <v>U</v>
      </c>
      <c r="H1874" t="str">
        <f>_xlfn.XLOOKUP(A1874,'[1]Tissue Data'!$A:$A,'[1]Tissue Data'!K:K)</f>
        <v>Whole Body</v>
      </c>
      <c r="I1874">
        <f>_xlfn.XLOOKUP(A1874,'[1]Tissue Data'!$A:$A,'[1]Tissue Data'!L:L)</f>
        <v>8</v>
      </c>
      <c r="J1874">
        <f>_xlfn.XLOOKUP(A1874,'[1]Tissue Data'!$A:$A,'[1]Tissue Data'!M:M)</f>
        <v>10.9</v>
      </c>
      <c r="K1874" t="s">
        <v>34</v>
      </c>
      <c r="L1874" t="str">
        <f>_xlfn.XLOOKUP(K1874,[2]analyte_order!$B:$B,[2]analyte_order!$C:$C)</f>
        <v>646-83-3</v>
      </c>
      <c r="M1874">
        <f>_xlfn.XLOOKUP(L1874,[2]analyte_order!$C:$C,[2]analyte_order!$E:$E)</f>
        <v>55</v>
      </c>
      <c r="N1874">
        <v>8.8950385451670291E-2</v>
      </c>
    </row>
    <row r="1875" spans="1:14">
      <c r="A1875" t="s">
        <v>251</v>
      </c>
      <c r="B1875" t="str">
        <f>_xlfn.XLOOKUP(A1875,'[1]Tissue Data'!$A:$A,'[1]Tissue Data'!$C:$C)</f>
        <v>Spill</v>
      </c>
      <c r="C1875" s="2">
        <f>_xlfn.XLOOKUP(A1875,'[1]Tissue Data'!$A:$A,'[1]Tissue Data'!$D:$D)</f>
        <v>44314</v>
      </c>
      <c r="D1875" s="2" t="str">
        <f>_xlfn.XLOOKUP(A1875,'[1]Tissue Data'!$A:$A,'[1]Tissue Data'!$F:$F)</f>
        <v>Pumpkinseed</v>
      </c>
      <c r="E1875" t="str">
        <f>_xlfn.XLOOKUP(A1875,'[1]Tissue Data'!$A:$A,'[1]Tissue Data'!$H:$H)</f>
        <v>Lepomis</v>
      </c>
      <c r="F1875" t="str">
        <f>_xlfn.XLOOKUP(A1875,'[1]Tissue Data'!$A:$A,'[1]Tissue Data'!$I:$I)</f>
        <v>gibbosus</v>
      </c>
      <c r="G1875" t="str">
        <f>_xlfn.XLOOKUP(A1875,'[1]Tissue Data'!$A:$A,'[1]Tissue Data'!J:J)</f>
        <v>U</v>
      </c>
      <c r="H1875" t="str">
        <f>_xlfn.XLOOKUP(A1875,'[1]Tissue Data'!$A:$A,'[1]Tissue Data'!K:K)</f>
        <v>Whole Body</v>
      </c>
      <c r="I1875">
        <f>_xlfn.XLOOKUP(A1875,'[1]Tissue Data'!$A:$A,'[1]Tissue Data'!L:L)</f>
        <v>8</v>
      </c>
      <c r="J1875">
        <f>_xlfn.XLOOKUP(A1875,'[1]Tissue Data'!$A:$A,'[1]Tissue Data'!M:M)</f>
        <v>10.9</v>
      </c>
      <c r="K1875" t="s">
        <v>35</v>
      </c>
      <c r="L1875" t="str">
        <f>_xlfn.XLOOKUP(K1875,[2]analyte_order!$B:$B,[2]analyte_order!$C:$C)</f>
        <v>30334-69-1</v>
      </c>
      <c r="M1875">
        <f>_xlfn.XLOOKUP(L1875,[2]analyte_order!$C:$C,[2]analyte_order!$E:$E)</f>
        <v>51</v>
      </c>
      <c r="N1875">
        <v>73.2</v>
      </c>
    </row>
    <row r="1876" spans="1:14">
      <c r="A1876" t="s">
        <v>251</v>
      </c>
      <c r="B1876" t="str">
        <f>_xlfn.XLOOKUP(A1876,'[1]Tissue Data'!$A:$A,'[1]Tissue Data'!$C:$C)</f>
        <v>Spill</v>
      </c>
      <c r="C1876" s="2">
        <f>_xlfn.XLOOKUP(A1876,'[1]Tissue Data'!$A:$A,'[1]Tissue Data'!$D:$D)</f>
        <v>44314</v>
      </c>
      <c r="D1876" s="2" t="str">
        <f>_xlfn.XLOOKUP(A1876,'[1]Tissue Data'!$A:$A,'[1]Tissue Data'!$F:$F)</f>
        <v>Pumpkinseed</v>
      </c>
      <c r="E1876" t="str">
        <f>_xlfn.XLOOKUP(A1876,'[1]Tissue Data'!$A:$A,'[1]Tissue Data'!$H:$H)</f>
        <v>Lepomis</v>
      </c>
      <c r="F1876" t="str">
        <f>_xlfn.XLOOKUP(A1876,'[1]Tissue Data'!$A:$A,'[1]Tissue Data'!$I:$I)</f>
        <v>gibbosus</v>
      </c>
      <c r="G1876" t="str">
        <f>_xlfn.XLOOKUP(A1876,'[1]Tissue Data'!$A:$A,'[1]Tissue Data'!J:J)</f>
        <v>U</v>
      </c>
      <c r="H1876" t="str">
        <f>_xlfn.XLOOKUP(A1876,'[1]Tissue Data'!$A:$A,'[1]Tissue Data'!K:K)</f>
        <v>Whole Body</v>
      </c>
      <c r="I1876">
        <f>_xlfn.XLOOKUP(A1876,'[1]Tissue Data'!$A:$A,'[1]Tissue Data'!L:L)</f>
        <v>8</v>
      </c>
      <c r="J1876">
        <f>_xlfn.XLOOKUP(A1876,'[1]Tissue Data'!$A:$A,'[1]Tissue Data'!M:M)</f>
        <v>10.9</v>
      </c>
      <c r="K1876" t="s">
        <v>36</v>
      </c>
      <c r="L1876" t="str">
        <f>_xlfn.XLOOKUP(K1876,[2]analyte_order!$B:$B,[2]analyte_order!$C:$C)</f>
        <v>41997-13-1</v>
      </c>
      <c r="M1876">
        <f>_xlfn.XLOOKUP(L1876,[2]analyte_order!$C:$C,[2]analyte_order!$E:$E)</f>
        <v>52</v>
      </c>
      <c r="N1876">
        <v>64.5</v>
      </c>
    </row>
    <row r="1877" spans="1:14">
      <c r="A1877" t="s">
        <v>251</v>
      </c>
      <c r="B1877" t="str">
        <f>_xlfn.XLOOKUP(A1877,'[1]Tissue Data'!$A:$A,'[1]Tissue Data'!$C:$C)</f>
        <v>Spill</v>
      </c>
      <c r="C1877" s="2">
        <f>_xlfn.XLOOKUP(A1877,'[1]Tissue Data'!$A:$A,'[1]Tissue Data'!$D:$D)</f>
        <v>44314</v>
      </c>
      <c r="D1877" s="2" t="str">
        <f>_xlfn.XLOOKUP(A1877,'[1]Tissue Data'!$A:$A,'[1]Tissue Data'!$F:$F)</f>
        <v>Pumpkinseed</v>
      </c>
      <c r="E1877" t="str">
        <f>_xlfn.XLOOKUP(A1877,'[1]Tissue Data'!$A:$A,'[1]Tissue Data'!$H:$H)</f>
        <v>Lepomis</v>
      </c>
      <c r="F1877" t="str">
        <f>_xlfn.XLOOKUP(A1877,'[1]Tissue Data'!$A:$A,'[1]Tissue Data'!$I:$I)</f>
        <v>gibbosus</v>
      </c>
      <c r="G1877" t="str">
        <f>_xlfn.XLOOKUP(A1877,'[1]Tissue Data'!$A:$A,'[1]Tissue Data'!J:J)</f>
        <v>U</v>
      </c>
      <c r="H1877" t="str">
        <f>_xlfn.XLOOKUP(A1877,'[1]Tissue Data'!$A:$A,'[1]Tissue Data'!K:K)</f>
        <v>Whole Body</v>
      </c>
      <c r="I1877">
        <f>_xlfn.XLOOKUP(A1877,'[1]Tissue Data'!$A:$A,'[1]Tissue Data'!L:L)</f>
        <v>8</v>
      </c>
      <c r="J1877">
        <f>_xlfn.XLOOKUP(A1877,'[1]Tissue Data'!$A:$A,'[1]Tissue Data'!M:M)</f>
        <v>10.9</v>
      </c>
      <c r="K1877" t="s">
        <v>37</v>
      </c>
      <c r="L1877" t="str">
        <f>_xlfn.XLOOKUP(K1877,[2]analyte_order!$B:$B,[2]analyte_order!$C:$C)</f>
        <v>754-91-6</v>
      </c>
      <c r="M1877">
        <f>_xlfn.XLOOKUP(L1877,[2]analyte_order!$C:$C,[2]analyte_order!$E:$E)</f>
        <v>28</v>
      </c>
      <c r="N1877">
        <v>18.7</v>
      </c>
    </row>
    <row r="1878" spans="1:14">
      <c r="A1878" t="s">
        <v>251</v>
      </c>
      <c r="B1878" t="str">
        <f>_xlfn.XLOOKUP(A1878,'[1]Tissue Data'!$A:$A,'[1]Tissue Data'!$C:$C)</f>
        <v>Spill</v>
      </c>
      <c r="C1878" s="2">
        <f>_xlfn.XLOOKUP(A1878,'[1]Tissue Data'!$A:$A,'[1]Tissue Data'!$D:$D)</f>
        <v>44314</v>
      </c>
      <c r="D1878" s="2" t="str">
        <f>_xlfn.XLOOKUP(A1878,'[1]Tissue Data'!$A:$A,'[1]Tissue Data'!$F:$F)</f>
        <v>Pumpkinseed</v>
      </c>
      <c r="E1878" t="str">
        <f>_xlfn.XLOOKUP(A1878,'[1]Tissue Data'!$A:$A,'[1]Tissue Data'!$H:$H)</f>
        <v>Lepomis</v>
      </c>
      <c r="F1878" t="str">
        <f>_xlfn.XLOOKUP(A1878,'[1]Tissue Data'!$A:$A,'[1]Tissue Data'!$I:$I)</f>
        <v>gibbosus</v>
      </c>
      <c r="G1878" t="str">
        <f>_xlfn.XLOOKUP(A1878,'[1]Tissue Data'!$A:$A,'[1]Tissue Data'!J:J)</f>
        <v>U</v>
      </c>
      <c r="H1878" t="str">
        <f>_xlfn.XLOOKUP(A1878,'[1]Tissue Data'!$A:$A,'[1]Tissue Data'!K:K)</f>
        <v>Whole Body</v>
      </c>
      <c r="I1878">
        <f>_xlfn.XLOOKUP(A1878,'[1]Tissue Data'!$A:$A,'[1]Tissue Data'!L:L)</f>
        <v>8</v>
      </c>
      <c r="J1878">
        <f>_xlfn.XLOOKUP(A1878,'[1]Tissue Data'!$A:$A,'[1]Tissue Data'!M:M)</f>
        <v>10.9</v>
      </c>
      <c r="K1878" t="s">
        <v>38</v>
      </c>
      <c r="L1878" t="str">
        <f>_xlfn.XLOOKUP(K1878,[2]analyte_order!$B:$B,[2]analyte_order!$C:$C)</f>
        <v>31506-32-8</v>
      </c>
      <c r="M1878">
        <f>_xlfn.XLOOKUP(L1878,[2]analyte_order!$C:$C,[2]analyte_order!$E:$E)</f>
        <v>30</v>
      </c>
      <c r="N1878">
        <v>5.2057610794846387E-2</v>
      </c>
    </row>
    <row r="1879" spans="1:14">
      <c r="A1879" t="s">
        <v>251</v>
      </c>
      <c r="B1879" t="str">
        <f>_xlfn.XLOOKUP(A1879,'[1]Tissue Data'!$A:$A,'[1]Tissue Data'!$C:$C)</f>
        <v>Spill</v>
      </c>
      <c r="C1879" s="2">
        <f>_xlfn.XLOOKUP(A1879,'[1]Tissue Data'!$A:$A,'[1]Tissue Data'!$D:$D)</f>
        <v>44314</v>
      </c>
      <c r="D1879" s="2" t="str">
        <f>_xlfn.XLOOKUP(A1879,'[1]Tissue Data'!$A:$A,'[1]Tissue Data'!$F:$F)</f>
        <v>Pumpkinseed</v>
      </c>
      <c r="E1879" t="str">
        <f>_xlfn.XLOOKUP(A1879,'[1]Tissue Data'!$A:$A,'[1]Tissue Data'!$H:$H)</f>
        <v>Lepomis</v>
      </c>
      <c r="F1879" t="str">
        <f>_xlfn.XLOOKUP(A1879,'[1]Tissue Data'!$A:$A,'[1]Tissue Data'!$I:$I)</f>
        <v>gibbosus</v>
      </c>
      <c r="G1879" t="str">
        <f>_xlfn.XLOOKUP(A1879,'[1]Tissue Data'!$A:$A,'[1]Tissue Data'!J:J)</f>
        <v>U</v>
      </c>
      <c r="H1879" t="str">
        <f>_xlfn.XLOOKUP(A1879,'[1]Tissue Data'!$A:$A,'[1]Tissue Data'!K:K)</f>
        <v>Whole Body</v>
      </c>
      <c r="I1879">
        <f>_xlfn.XLOOKUP(A1879,'[1]Tissue Data'!$A:$A,'[1]Tissue Data'!L:L)</f>
        <v>8</v>
      </c>
      <c r="J1879">
        <f>_xlfn.XLOOKUP(A1879,'[1]Tissue Data'!$A:$A,'[1]Tissue Data'!M:M)</f>
        <v>10.9</v>
      </c>
      <c r="K1879" t="s">
        <v>39</v>
      </c>
      <c r="L1879" t="str">
        <f>_xlfn.XLOOKUP(K1879,[2]analyte_order!$B:$B,[2]analyte_order!$C:$C)</f>
        <v>4151-50-2</v>
      </c>
      <c r="M1879">
        <f>_xlfn.XLOOKUP(L1879,[2]analyte_order!$C:$C,[2]analyte_order!$E:$E)</f>
        <v>31</v>
      </c>
      <c r="N1879">
        <v>7.8855628865708641E-2</v>
      </c>
    </row>
    <row r="1880" spans="1:14">
      <c r="A1880" t="s">
        <v>251</v>
      </c>
      <c r="B1880" t="str">
        <f>_xlfn.XLOOKUP(A1880,'[1]Tissue Data'!$A:$A,'[1]Tissue Data'!$C:$C)</f>
        <v>Spill</v>
      </c>
      <c r="C1880" s="2">
        <f>_xlfn.XLOOKUP(A1880,'[1]Tissue Data'!$A:$A,'[1]Tissue Data'!$D:$D)</f>
        <v>44314</v>
      </c>
      <c r="D1880" s="2" t="str">
        <f>_xlfn.XLOOKUP(A1880,'[1]Tissue Data'!$A:$A,'[1]Tissue Data'!$F:$F)</f>
        <v>Pumpkinseed</v>
      </c>
      <c r="E1880" t="str">
        <f>_xlfn.XLOOKUP(A1880,'[1]Tissue Data'!$A:$A,'[1]Tissue Data'!$H:$H)</f>
        <v>Lepomis</v>
      </c>
      <c r="F1880" t="str">
        <f>_xlfn.XLOOKUP(A1880,'[1]Tissue Data'!$A:$A,'[1]Tissue Data'!$I:$I)</f>
        <v>gibbosus</v>
      </c>
      <c r="G1880" t="str">
        <f>_xlfn.XLOOKUP(A1880,'[1]Tissue Data'!$A:$A,'[1]Tissue Data'!J:J)</f>
        <v>U</v>
      </c>
      <c r="H1880" t="str">
        <f>_xlfn.XLOOKUP(A1880,'[1]Tissue Data'!$A:$A,'[1]Tissue Data'!K:K)</f>
        <v>Whole Body</v>
      </c>
      <c r="I1880">
        <f>_xlfn.XLOOKUP(A1880,'[1]Tissue Data'!$A:$A,'[1]Tissue Data'!L:L)</f>
        <v>8</v>
      </c>
      <c r="J1880">
        <f>_xlfn.XLOOKUP(A1880,'[1]Tissue Data'!$A:$A,'[1]Tissue Data'!M:M)</f>
        <v>10.9</v>
      </c>
      <c r="K1880" t="s">
        <v>40</v>
      </c>
      <c r="L1880" t="str">
        <f>_xlfn.XLOOKUP(K1880,[2]analyte_order!$B:$B,[2]analyte_order!$C:$C)</f>
        <v>2806-24-8</v>
      </c>
      <c r="M1880">
        <f>_xlfn.XLOOKUP(L1880,[2]analyte_order!$C:$C,[2]analyte_order!$E:$E)</f>
        <v>29</v>
      </c>
      <c r="N1880">
        <v>5.3263934482656101E-2</v>
      </c>
    </row>
    <row r="1881" spans="1:14">
      <c r="A1881" t="s">
        <v>251</v>
      </c>
      <c r="B1881" t="str">
        <f>_xlfn.XLOOKUP(A1881,'[1]Tissue Data'!$A:$A,'[1]Tissue Data'!$C:$C)</f>
        <v>Spill</v>
      </c>
      <c r="C1881" s="2">
        <f>_xlfn.XLOOKUP(A1881,'[1]Tissue Data'!$A:$A,'[1]Tissue Data'!$D:$D)</f>
        <v>44314</v>
      </c>
      <c r="D1881" s="2" t="str">
        <f>_xlfn.XLOOKUP(A1881,'[1]Tissue Data'!$A:$A,'[1]Tissue Data'!$F:$F)</f>
        <v>Pumpkinseed</v>
      </c>
      <c r="E1881" t="str">
        <f>_xlfn.XLOOKUP(A1881,'[1]Tissue Data'!$A:$A,'[1]Tissue Data'!$H:$H)</f>
        <v>Lepomis</v>
      </c>
      <c r="F1881" t="str">
        <f>_xlfn.XLOOKUP(A1881,'[1]Tissue Data'!$A:$A,'[1]Tissue Data'!$I:$I)</f>
        <v>gibbosus</v>
      </c>
      <c r="G1881" t="str">
        <f>_xlfn.XLOOKUP(A1881,'[1]Tissue Data'!$A:$A,'[1]Tissue Data'!J:J)</f>
        <v>U</v>
      </c>
      <c r="H1881" t="str">
        <f>_xlfn.XLOOKUP(A1881,'[1]Tissue Data'!$A:$A,'[1]Tissue Data'!K:K)</f>
        <v>Whole Body</v>
      </c>
      <c r="I1881">
        <f>_xlfn.XLOOKUP(A1881,'[1]Tissue Data'!$A:$A,'[1]Tissue Data'!L:L)</f>
        <v>8</v>
      </c>
      <c r="J1881">
        <f>_xlfn.XLOOKUP(A1881,'[1]Tissue Data'!$A:$A,'[1]Tissue Data'!M:M)</f>
        <v>10.9</v>
      </c>
      <c r="K1881" t="s">
        <v>41</v>
      </c>
      <c r="L1881" t="str">
        <f>_xlfn.XLOOKUP(K1881,[2]analyte_order!$B:$B,[2]analyte_order!$C:$C)</f>
        <v>2355-31-9</v>
      </c>
      <c r="M1881">
        <f>_xlfn.XLOOKUP(L1881,[2]analyte_order!$C:$C,[2]analyte_order!$E:$E)</f>
        <v>26</v>
      </c>
      <c r="N1881">
        <v>6.7982498014370674E-2</v>
      </c>
    </row>
    <row r="1882" spans="1:14">
      <c r="A1882" t="s">
        <v>251</v>
      </c>
      <c r="B1882" t="str">
        <f>_xlfn.XLOOKUP(A1882,'[1]Tissue Data'!$A:$A,'[1]Tissue Data'!$C:$C)</f>
        <v>Spill</v>
      </c>
      <c r="C1882" s="2">
        <f>_xlfn.XLOOKUP(A1882,'[1]Tissue Data'!$A:$A,'[1]Tissue Data'!$D:$D)</f>
        <v>44314</v>
      </c>
      <c r="D1882" s="2" t="str">
        <f>_xlfn.XLOOKUP(A1882,'[1]Tissue Data'!$A:$A,'[1]Tissue Data'!$F:$F)</f>
        <v>Pumpkinseed</v>
      </c>
      <c r="E1882" t="str">
        <f>_xlfn.XLOOKUP(A1882,'[1]Tissue Data'!$A:$A,'[1]Tissue Data'!$H:$H)</f>
        <v>Lepomis</v>
      </c>
      <c r="F1882" t="str">
        <f>_xlfn.XLOOKUP(A1882,'[1]Tissue Data'!$A:$A,'[1]Tissue Data'!$I:$I)</f>
        <v>gibbosus</v>
      </c>
      <c r="G1882" t="str">
        <f>_xlfn.XLOOKUP(A1882,'[1]Tissue Data'!$A:$A,'[1]Tissue Data'!J:J)</f>
        <v>U</v>
      </c>
      <c r="H1882" t="str">
        <f>_xlfn.XLOOKUP(A1882,'[1]Tissue Data'!$A:$A,'[1]Tissue Data'!K:K)</f>
        <v>Whole Body</v>
      </c>
      <c r="I1882">
        <f>_xlfn.XLOOKUP(A1882,'[1]Tissue Data'!$A:$A,'[1]Tissue Data'!L:L)</f>
        <v>8</v>
      </c>
      <c r="J1882">
        <f>_xlfn.XLOOKUP(A1882,'[1]Tissue Data'!$A:$A,'[1]Tissue Data'!M:M)</f>
        <v>10.9</v>
      </c>
      <c r="K1882" t="s">
        <v>42</v>
      </c>
      <c r="L1882" t="str">
        <f>_xlfn.XLOOKUP(K1882,[2]analyte_order!$B:$B,[2]analyte_order!$C:$C)</f>
        <v>2991-50-6</v>
      </c>
      <c r="M1882">
        <f>_xlfn.XLOOKUP(L1882,[2]analyte_order!$C:$C,[2]analyte_order!$E:$E)</f>
        <v>27</v>
      </c>
      <c r="N1882">
        <v>5.86532884950446E-2</v>
      </c>
    </row>
    <row r="1883" spans="1:14">
      <c r="A1883" t="s">
        <v>251</v>
      </c>
      <c r="B1883" t="str">
        <f>_xlfn.XLOOKUP(A1883,'[1]Tissue Data'!$A:$A,'[1]Tissue Data'!$C:$C)</f>
        <v>Spill</v>
      </c>
      <c r="C1883" s="2">
        <f>_xlfn.XLOOKUP(A1883,'[1]Tissue Data'!$A:$A,'[1]Tissue Data'!$D:$D)</f>
        <v>44314</v>
      </c>
      <c r="D1883" s="2" t="str">
        <f>_xlfn.XLOOKUP(A1883,'[1]Tissue Data'!$A:$A,'[1]Tissue Data'!$F:$F)</f>
        <v>Pumpkinseed</v>
      </c>
      <c r="E1883" t="str">
        <f>_xlfn.XLOOKUP(A1883,'[1]Tissue Data'!$A:$A,'[1]Tissue Data'!$H:$H)</f>
        <v>Lepomis</v>
      </c>
      <c r="F1883" t="str">
        <f>_xlfn.XLOOKUP(A1883,'[1]Tissue Data'!$A:$A,'[1]Tissue Data'!$I:$I)</f>
        <v>gibbosus</v>
      </c>
      <c r="G1883" t="str">
        <f>_xlfn.XLOOKUP(A1883,'[1]Tissue Data'!$A:$A,'[1]Tissue Data'!J:J)</f>
        <v>U</v>
      </c>
      <c r="H1883" t="str">
        <f>_xlfn.XLOOKUP(A1883,'[1]Tissue Data'!$A:$A,'[1]Tissue Data'!K:K)</f>
        <v>Whole Body</v>
      </c>
      <c r="I1883">
        <f>_xlfn.XLOOKUP(A1883,'[1]Tissue Data'!$A:$A,'[1]Tissue Data'!L:L)</f>
        <v>8</v>
      </c>
      <c r="J1883">
        <f>_xlfn.XLOOKUP(A1883,'[1]Tissue Data'!$A:$A,'[1]Tissue Data'!M:M)</f>
        <v>10.9</v>
      </c>
      <c r="K1883" t="s">
        <v>43</v>
      </c>
      <c r="L1883" t="str">
        <f>_xlfn.XLOOKUP(K1883,[2]analyte_order!$B:$B,[2]analyte_order!$C:$C)</f>
        <v>757124-72-4</v>
      </c>
      <c r="M1883">
        <f>_xlfn.XLOOKUP(L1883,[2]analyte_order!$C:$C,[2]analyte_order!$E:$E)</f>
        <v>22</v>
      </c>
      <c r="N1883">
        <v>5.5504224160555012E-2</v>
      </c>
    </row>
    <row r="1884" spans="1:14">
      <c r="A1884" t="s">
        <v>251</v>
      </c>
      <c r="B1884" t="str">
        <f>_xlfn.XLOOKUP(A1884,'[1]Tissue Data'!$A:$A,'[1]Tissue Data'!$C:$C)</f>
        <v>Spill</v>
      </c>
      <c r="C1884" s="2">
        <f>_xlfn.XLOOKUP(A1884,'[1]Tissue Data'!$A:$A,'[1]Tissue Data'!$D:$D)</f>
        <v>44314</v>
      </c>
      <c r="D1884" s="2" t="str">
        <f>_xlfn.XLOOKUP(A1884,'[1]Tissue Data'!$A:$A,'[1]Tissue Data'!$F:$F)</f>
        <v>Pumpkinseed</v>
      </c>
      <c r="E1884" t="str">
        <f>_xlfn.XLOOKUP(A1884,'[1]Tissue Data'!$A:$A,'[1]Tissue Data'!$H:$H)</f>
        <v>Lepomis</v>
      </c>
      <c r="F1884" t="str">
        <f>_xlfn.XLOOKUP(A1884,'[1]Tissue Data'!$A:$A,'[1]Tissue Data'!$I:$I)</f>
        <v>gibbosus</v>
      </c>
      <c r="G1884" t="str">
        <f>_xlfn.XLOOKUP(A1884,'[1]Tissue Data'!$A:$A,'[1]Tissue Data'!J:J)</f>
        <v>U</v>
      </c>
      <c r="H1884" t="str">
        <f>_xlfn.XLOOKUP(A1884,'[1]Tissue Data'!$A:$A,'[1]Tissue Data'!K:K)</f>
        <v>Whole Body</v>
      </c>
      <c r="I1884">
        <f>_xlfn.XLOOKUP(A1884,'[1]Tissue Data'!$A:$A,'[1]Tissue Data'!L:L)</f>
        <v>8</v>
      </c>
      <c r="J1884">
        <f>_xlfn.XLOOKUP(A1884,'[1]Tissue Data'!$A:$A,'[1]Tissue Data'!M:M)</f>
        <v>10.9</v>
      </c>
      <c r="K1884" t="s">
        <v>44</v>
      </c>
      <c r="L1884" t="str">
        <f>_xlfn.XLOOKUP(K1884,[2]analyte_order!$B:$B,[2]analyte_order!$C:$C)</f>
        <v>27619-97-2</v>
      </c>
      <c r="M1884">
        <f>_xlfn.XLOOKUP(L1884,[2]analyte_order!$C:$C,[2]analyte_order!$E:$E)</f>
        <v>23</v>
      </c>
      <c r="N1884">
        <v>0.13425652219718817</v>
      </c>
    </row>
    <row r="1885" spans="1:14">
      <c r="A1885" t="s">
        <v>251</v>
      </c>
      <c r="B1885" t="str">
        <f>_xlfn.XLOOKUP(A1885,'[1]Tissue Data'!$A:$A,'[1]Tissue Data'!$C:$C)</f>
        <v>Spill</v>
      </c>
      <c r="C1885" s="2">
        <f>_xlfn.XLOOKUP(A1885,'[1]Tissue Data'!$A:$A,'[1]Tissue Data'!$D:$D)</f>
        <v>44314</v>
      </c>
      <c r="D1885" s="2" t="str">
        <f>_xlfn.XLOOKUP(A1885,'[1]Tissue Data'!$A:$A,'[1]Tissue Data'!$F:$F)</f>
        <v>Pumpkinseed</v>
      </c>
      <c r="E1885" t="str">
        <f>_xlfn.XLOOKUP(A1885,'[1]Tissue Data'!$A:$A,'[1]Tissue Data'!$H:$H)</f>
        <v>Lepomis</v>
      </c>
      <c r="F1885" t="str">
        <f>_xlfn.XLOOKUP(A1885,'[1]Tissue Data'!$A:$A,'[1]Tissue Data'!$I:$I)</f>
        <v>gibbosus</v>
      </c>
      <c r="G1885" t="str">
        <f>_xlfn.XLOOKUP(A1885,'[1]Tissue Data'!$A:$A,'[1]Tissue Data'!J:J)</f>
        <v>U</v>
      </c>
      <c r="H1885" t="str">
        <f>_xlfn.XLOOKUP(A1885,'[1]Tissue Data'!$A:$A,'[1]Tissue Data'!K:K)</f>
        <v>Whole Body</v>
      </c>
      <c r="I1885">
        <f>_xlfn.XLOOKUP(A1885,'[1]Tissue Data'!$A:$A,'[1]Tissue Data'!L:L)</f>
        <v>8</v>
      </c>
      <c r="J1885">
        <f>_xlfn.XLOOKUP(A1885,'[1]Tissue Data'!$A:$A,'[1]Tissue Data'!M:M)</f>
        <v>10.9</v>
      </c>
      <c r="K1885" t="s">
        <v>45</v>
      </c>
      <c r="L1885" t="str">
        <f>_xlfn.XLOOKUP(K1885,[2]analyte_order!$B:$B,[2]analyte_order!$C:$C)</f>
        <v>39108-34-4</v>
      </c>
      <c r="M1885">
        <f>_xlfn.XLOOKUP(L1885,[2]analyte_order!$C:$C,[2]analyte_order!$E:$E)</f>
        <v>24</v>
      </c>
      <c r="N1885">
        <v>0.71</v>
      </c>
    </row>
    <row r="1886" spans="1:14">
      <c r="A1886" t="s">
        <v>251</v>
      </c>
      <c r="B1886" t="str">
        <f>_xlfn.XLOOKUP(A1886,'[1]Tissue Data'!$A:$A,'[1]Tissue Data'!$C:$C)</f>
        <v>Spill</v>
      </c>
      <c r="C1886" s="2">
        <f>_xlfn.XLOOKUP(A1886,'[1]Tissue Data'!$A:$A,'[1]Tissue Data'!$D:$D)</f>
        <v>44314</v>
      </c>
      <c r="D1886" s="2" t="str">
        <f>_xlfn.XLOOKUP(A1886,'[1]Tissue Data'!$A:$A,'[1]Tissue Data'!$F:$F)</f>
        <v>Pumpkinseed</v>
      </c>
      <c r="E1886" t="str">
        <f>_xlfn.XLOOKUP(A1886,'[1]Tissue Data'!$A:$A,'[1]Tissue Data'!$H:$H)</f>
        <v>Lepomis</v>
      </c>
      <c r="F1886" t="str">
        <f>_xlfn.XLOOKUP(A1886,'[1]Tissue Data'!$A:$A,'[1]Tissue Data'!$I:$I)</f>
        <v>gibbosus</v>
      </c>
      <c r="G1886" t="str">
        <f>_xlfn.XLOOKUP(A1886,'[1]Tissue Data'!$A:$A,'[1]Tissue Data'!J:J)</f>
        <v>U</v>
      </c>
      <c r="H1886" t="str">
        <f>_xlfn.XLOOKUP(A1886,'[1]Tissue Data'!$A:$A,'[1]Tissue Data'!K:K)</f>
        <v>Whole Body</v>
      </c>
      <c r="I1886">
        <f>_xlfn.XLOOKUP(A1886,'[1]Tissue Data'!$A:$A,'[1]Tissue Data'!L:L)</f>
        <v>8</v>
      </c>
      <c r="J1886">
        <f>_xlfn.XLOOKUP(A1886,'[1]Tissue Data'!$A:$A,'[1]Tissue Data'!M:M)</f>
        <v>10.9</v>
      </c>
      <c r="K1886" t="s">
        <v>46</v>
      </c>
      <c r="L1886" t="str">
        <f>_xlfn.XLOOKUP(K1886,[2]analyte_order!$B:$B,[2]analyte_order!$C:$C)</f>
        <v>120226-60-0</v>
      </c>
      <c r="M1886">
        <f>_xlfn.XLOOKUP(L1886,[2]analyte_order!$C:$C,[2]analyte_order!$E:$E)</f>
        <v>25</v>
      </c>
      <c r="N1886">
        <v>0.25250024166831386</v>
      </c>
    </row>
    <row r="1887" spans="1:14">
      <c r="A1887" t="s">
        <v>251</v>
      </c>
      <c r="B1887" t="str">
        <f>_xlfn.XLOOKUP(A1887,'[1]Tissue Data'!$A:$A,'[1]Tissue Data'!$C:$C)</f>
        <v>Spill</v>
      </c>
      <c r="C1887" s="2">
        <f>_xlfn.XLOOKUP(A1887,'[1]Tissue Data'!$A:$A,'[1]Tissue Data'!$D:$D)</f>
        <v>44314</v>
      </c>
      <c r="D1887" s="2" t="str">
        <f>_xlfn.XLOOKUP(A1887,'[1]Tissue Data'!$A:$A,'[1]Tissue Data'!$F:$F)</f>
        <v>Pumpkinseed</v>
      </c>
      <c r="E1887" t="str">
        <f>_xlfn.XLOOKUP(A1887,'[1]Tissue Data'!$A:$A,'[1]Tissue Data'!$H:$H)</f>
        <v>Lepomis</v>
      </c>
      <c r="F1887" t="str">
        <f>_xlfn.XLOOKUP(A1887,'[1]Tissue Data'!$A:$A,'[1]Tissue Data'!$I:$I)</f>
        <v>gibbosus</v>
      </c>
      <c r="G1887" t="str">
        <f>_xlfn.XLOOKUP(A1887,'[1]Tissue Data'!$A:$A,'[1]Tissue Data'!J:J)</f>
        <v>U</v>
      </c>
      <c r="H1887" t="str">
        <f>_xlfn.XLOOKUP(A1887,'[1]Tissue Data'!$A:$A,'[1]Tissue Data'!K:K)</f>
        <v>Whole Body</v>
      </c>
      <c r="I1887">
        <f>_xlfn.XLOOKUP(A1887,'[1]Tissue Data'!$A:$A,'[1]Tissue Data'!L:L)</f>
        <v>8</v>
      </c>
      <c r="J1887">
        <f>_xlfn.XLOOKUP(A1887,'[1]Tissue Data'!$A:$A,'[1]Tissue Data'!M:M)</f>
        <v>10.9</v>
      </c>
      <c r="K1887" t="s">
        <v>47</v>
      </c>
      <c r="L1887" t="str">
        <f>_xlfn.XLOOKUP(K1887,[2]analyte_order!$B:$B,[2]analyte_order!$C:$C)</f>
        <v>356-02-5</v>
      </c>
      <c r="M1887">
        <f>_xlfn.XLOOKUP(L1887,[2]analyte_order!$C:$C,[2]analyte_order!$E:$E)</f>
        <v>38</v>
      </c>
      <c r="N1887">
        <v>7.7945457688305256E-2</v>
      </c>
    </row>
    <row r="1888" spans="1:14">
      <c r="A1888" t="s">
        <v>251</v>
      </c>
      <c r="B1888" t="str">
        <f>_xlfn.XLOOKUP(A1888,'[1]Tissue Data'!$A:$A,'[1]Tissue Data'!$C:$C)</f>
        <v>Spill</v>
      </c>
      <c r="C1888" s="2">
        <f>_xlfn.XLOOKUP(A1888,'[1]Tissue Data'!$A:$A,'[1]Tissue Data'!$D:$D)</f>
        <v>44314</v>
      </c>
      <c r="D1888" s="2" t="str">
        <f>_xlfn.XLOOKUP(A1888,'[1]Tissue Data'!$A:$A,'[1]Tissue Data'!$F:$F)</f>
        <v>Pumpkinseed</v>
      </c>
      <c r="E1888" t="str">
        <f>_xlfn.XLOOKUP(A1888,'[1]Tissue Data'!$A:$A,'[1]Tissue Data'!$H:$H)</f>
        <v>Lepomis</v>
      </c>
      <c r="F1888" t="str">
        <f>_xlfn.XLOOKUP(A1888,'[1]Tissue Data'!$A:$A,'[1]Tissue Data'!$I:$I)</f>
        <v>gibbosus</v>
      </c>
      <c r="G1888" t="str">
        <f>_xlfn.XLOOKUP(A1888,'[1]Tissue Data'!$A:$A,'[1]Tissue Data'!J:J)</f>
        <v>U</v>
      </c>
      <c r="H1888" t="str">
        <f>_xlfn.XLOOKUP(A1888,'[1]Tissue Data'!$A:$A,'[1]Tissue Data'!K:K)</f>
        <v>Whole Body</v>
      </c>
      <c r="I1888">
        <f>_xlfn.XLOOKUP(A1888,'[1]Tissue Data'!$A:$A,'[1]Tissue Data'!L:L)</f>
        <v>8</v>
      </c>
      <c r="J1888">
        <f>_xlfn.XLOOKUP(A1888,'[1]Tissue Data'!$A:$A,'[1]Tissue Data'!M:M)</f>
        <v>10.9</v>
      </c>
      <c r="K1888" t="s">
        <v>48</v>
      </c>
      <c r="L1888" t="str">
        <f>_xlfn.XLOOKUP(K1888,[2]analyte_order!$B:$B,[2]analyte_order!$C:$C)</f>
        <v>914637-49-3</v>
      </c>
      <c r="M1888">
        <f>_xlfn.XLOOKUP(L1888,[2]analyte_order!$C:$C,[2]analyte_order!$E:$E)</f>
        <v>39</v>
      </c>
      <c r="N1888">
        <v>0.87</v>
      </c>
    </row>
    <row r="1889" spans="1:14">
      <c r="A1889" t="s">
        <v>251</v>
      </c>
      <c r="B1889" t="str">
        <f>_xlfn.XLOOKUP(A1889,'[1]Tissue Data'!$A:$A,'[1]Tissue Data'!$C:$C)</f>
        <v>Spill</v>
      </c>
      <c r="C1889" s="2">
        <f>_xlfn.XLOOKUP(A1889,'[1]Tissue Data'!$A:$A,'[1]Tissue Data'!$D:$D)</f>
        <v>44314</v>
      </c>
      <c r="D1889" s="2" t="str">
        <f>_xlfn.XLOOKUP(A1889,'[1]Tissue Data'!$A:$A,'[1]Tissue Data'!$F:$F)</f>
        <v>Pumpkinseed</v>
      </c>
      <c r="E1889" t="str">
        <f>_xlfn.XLOOKUP(A1889,'[1]Tissue Data'!$A:$A,'[1]Tissue Data'!$H:$H)</f>
        <v>Lepomis</v>
      </c>
      <c r="F1889" t="str">
        <f>_xlfn.XLOOKUP(A1889,'[1]Tissue Data'!$A:$A,'[1]Tissue Data'!$I:$I)</f>
        <v>gibbosus</v>
      </c>
      <c r="G1889" t="str">
        <f>_xlfn.XLOOKUP(A1889,'[1]Tissue Data'!$A:$A,'[1]Tissue Data'!J:J)</f>
        <v>U</v>
      </c>
      <c r="H1889" t="str">
        <f>_xlfn.XLOOKUP(A1889,'[1]Tissue Data'!$A:$A,'[1]Tissue Data'!K:K)</f>
        <v>Whole Body</v>
      </c>
      <c r="I1889">
        <f>_xlfn.XLOOKUP(A1889,'[1]Tissue Data'!$A:$A,'[1]Tissue Data'!L:L)</f>
        <v>8</v>
      </c>
      <c r="J1889">
        <f>_xlfn.XLOOKUP(A1889,'[1]Tissue Data'!$A:$A,'[1]Tissue Data'!M:M)</f>
        <v>10.9</v>
      </c>
      <c r="K1889" t="s">
        <v>49</v>
      </c>
      <c r="L1889" t="str">
        <f>_xlfn.XLOOKUP(K1889,[2]analyte_order!$B:$B,[2]analyte_order!$C:$C)</f>
        <v>812-70-4</v>
      </c>
      <c r="M1889">
        <f>_xlfn.XLOOKUP(L1889,[2]analyte_order!$C:$C,[2]analyte_order!$E:$E)</f>
        <v>40</v>
      </c>
      <c r="N1889">
        <v>11.8</v>
      </c>
    </row>
    <row r="1890" spans="1:14">
      <c r="A1890" t="s">
        <v>251</v>
      </c>
      <c r="B1890" t="str">
        <f>_xlfn.XLOOKUP(A1890,'[1]Tissue Data'!$A:$A,'[1]Tissue Data'!$C:$C)</f>
        <v>Spill</v>
      </c>
      <c r="C1890" s="2">
        <f>_xlfn.XLOOKUP(A1890,'[1]Tissue Data'!$A:$A,'[1]Tissue Data'!$D:$D)</f>
        <v>44314</v>
      </c>
      <c r="D1890" s="2" t="str">
        <f>_xlfn.XLOOKUP(A1890,'[1]Tissue Data'!$A:$A,'[1]Tissue Data'!$F:$F)</f>
        <v>Pumpkinseed</v>
      </c>
      <c r="E1890" t="str">
        <f>_xlfn.XLOOKUP(A1890,'[1]Tissue Data'!$A:$A,'[1]Tissue Data'!$H:$H)</f>
        <v>Lepomis</v>
      </c>
      <c r="F1890" t="str">
        <f>_xlfn.XLOOKUP(A1890,'[1]Tissue Data'!$A:$A,'[1]Tissue Data'!$I:$I)</f>
        <v>gibbosus</v>
      </c>
      <c r="G1890" t="str">
        <f>_xlfn.XLOOKUP(A1890,'[1]Tissue Data'!$A:$A,'[1]Tissue Data'!J:J)</f>
        <v>U</v>
      </c>
      <c r="H1890" t="str">
        <f>_xlfn.XLOOKUP(A1890,'[1]Tissue Data'!$A:$A,'[1]Tissue Data'!K:K)</f>
        <v>Whole Body</v>
      </c>
      <c r="I1890">
        <f>_xlfn.XLOOKUP(A1890,'[1]Tissue Data'!$A:$A,'[1]Tissue Data'!L:L)</f>
        <v>8</v>
      </c>
      <c r="J1890">
        <f>_xlfn.XLOOKUP(A1890,'[1]Tissue Data'!$A:$A,'[1]Tissue Data'!M:M)</f>
        <v>10.9</v>
      </c>
      <c r="K1890" t="s">
        <v>50</v>
      </c>
      <c r="L1890" t="str">
        <f>_xlfn.XLOOKUP(K1890,[2]analyte_order!$B:$B,[2]analyte_order!$C:$C)</f>
        <v>53826-12-3</v>
      </c>
      <c r="M1890">
        <f>_xlfn.XLOOKUP(L1890,[2]analyte_order!$C:$C,[2]analyte_order!$E:$E)</f>
        <v>41</v>
      </c>
      <c r="N1890">
        <v>3.39</v>
      </c>
    </row>
    <row r="1891" spans="1:14">
      <c r="A1891" t="s">
        <v>251</v>
      </c>
      <c r="B1891" t="str">
        <f>_xlfn.XLOOKUP(A1891,'[1]Tissue Data'!$A:$A,'[1]Tissue Data'!$C:$C)</f>
        <v>Spill</v>
      </c>
      <c r="C1891" s="2">
        <f>_xlfn.XLOOKUP(A1891,'[1]Tissue Data'!$A:$A,'[1]Tissue Data'!$D:$D)</f>
        <v>44314</v>
      </c>
      <c r="D1891" s="2" t="str">
        <f>_xlfn.XLOOKUP(A1891,'[1]Tissue Data'!$A:$A,'[1]Tissue Data'!$F:$F)</f>
        <v>Pumpkinseed</v>
      </c>
      <c r="E1891" t="str">
        <f>_xlfn.XLOOKUP(A1891,'[1]Tissue Data'!$A:$A,'[1]Tissue Data'!$H:$H)</f>
        <v>Lepomis</v>
      </c>
      <c r="F1891" t="str">
        <f>_xlfn.XLOOKUP(A1891,'[1]Tissue Data'!$A:$A,'[1]Tissue Data'!$I:$I)</f>
        <v>gibbosus</v>
      </c>
      <c r="G1891" t="str">
        <f>_xlfn.XLOOKUP(A1891,'[1]Tissue Data'!$A:$A,'[1]Tissue Data'!J:J)</f>
        <v>U</v>
      </c>
      <c r="H1891" t="str">
        <f>_xlfn.XLOOKUP(A1891,'[1]Tissue Data'!$A:$A,'[1]Tissue Data'!K:K)</f>
        <v>Whole Body</v>
      </c>
      <c r="I1891">
        <f>_xlfn.XLOOKUP(A1891,'[1]Tissue Data'!$A:$A,'[1]Tissue Data'!L:L)</f>
        <v>8</v>
      </c>
      <c r="J1891">
        <f>_xlfn.XLOOKUP(A1891,'[1]Tissue Data'!$A:$A,'[1]Tissue Data'!M:M)</f>
        <v>10.9</v>
      </c>
      <c r="K1891" t="s">
        <v>51</v>
      </c>
      <c r="L1891" t="str">
        <f>_xlfn.XLOOKUP(K1891,[2]analyte_order!$B:$B,[2]analyte_order!$C:$C)</f>
        <v>27854-31-5</v>
      </c>
      <c r="M1891">
        <f>_xlfn.XLOOKUP(L1891,[2]analyte_order!$C:$C,[2]analyte_order!$E:$E)</f>
        <v>42</v>
      </c>
      <c r="N1891">
        <v>0.90600000000000003</v>
      </c>
    </row>
    <row r="1892" spans="1:14">
      <c r="A1892" t="s">
        <v>251</v>
      </c>
      <c r="B1892" t="str">
        <f>_xlfn.XLOOKUP(A1892,'[1]Tissue Data'!$A:$A,'[1]Tissue Data'!$C:$C)</f>
        <v>Spill</v>
      </c>
      <c r="C1892" s="2">
        <f>_xlfn.XLOOKUP(A1892,'[1]Tissue Data'!$A:$A,'[1]Tissue Data'!$D:$D)</f>
        <v>44314</v>
      </c>
      <c r="D1892" s="2" t="str">
        <f>_xlfn.XLOOKUP(A1892,'[1]Tissue Data'!$A:$A,'[1]Tissue Data'!$F:$F)</f>
        <v>Pumpkinseed</v>
      </c>
      <c r="E1892" t="str">
        <f>_xlfn.XLOOKUP(A1892,'[1]Tissue Data'!$A:$A,'[1]Tissue Data'!$H:$H)</f>
        <v>Lepomis</v>
      </c>
      <c r="F1892" t="str">
        <f>_xlfn.XLOOKUP(A1892,'[1]Tissue Data'!$A:$A,'[1]Tissue Data'!$I:$I)</f>
        <v>gibbosus</v>
      </c>
      <c r="G1892" t="str">
        <f>_xlfn.XLOOKUP(A1892,'[1]Tissue Data'!$A:$A,'[1]Tissue Data'!J:J)</f>
        <v>U</v>
      </c>
      <c r="H1892" t="str">
        <f>_xlfn.XLOOKUP(A1892,'[1]Tissue Data'!$A:$A,'[1]Tissue Data'!K:K)</f>
        <v>Whole Body</v>
      </c>
      <c r="I1892">
        <f>_xlfn.XLOOKUP(A1892,'[1]Tissue Data'!$A:$A,'[1]Tissue Data'!L:L)</f>
        <v>8</v>
      </c>
      <c r="J1892">
        <f>_xlfn.XLOOKUP(A1892,'[1]Tissue Data'!$A:$A,'[1]Tissue Data'!M:M)</f>
        <v>10.9</v>
      </c>
      <c r="K1892" t="s">
        <v>52</v>
      </c>
      <c r="L1892" t="str">
        <f>_xlfn.XLOOKUP(K1892,[2]analyte_order!$B:$B,[2]analyte_order!$C:$C)</f>
        <v>53826-13-4</v>
      </c>
      <c r="M1892">
        <f>_xlfn.XLOOKUP(L1892,[2]analyte_order!$C:$C,[2]analyte_order!$E:$E)</f>
        <v>43</v>
      </c>
      <c r="N1892">
        <v>0.10083290214023788</v>
      </c>
    </row>
    <row r="1893" spans="1:14">
      <c r="A1893" t="s">
        <v>251</v>
      </c>
      <c r="B1893" t="str">
        <f>_xlfn.XLOOKUP(A1893,'[1]Tissue Data'!$A:$A,'[1]Tissue Data'!$C:$C)</f>
        <v>Spill</v>
      </c>
      <c r="C1893" s="2">
        <f>_xlfn.XLOOKUP(A1893,'[1]Tissue Data'!$A:$A,'[1]Tissue Data'!$D:$D)</f>
        <v>44314</v>
      </c>
      <c r="D1893" s="2" t="str">
        <f>_xlfn.XLOOKUP(A1893,'[1]Tissue Data'!$A:$A,'[1]Tissue Data'!$F:$F)</f>
        <v>Pumpkinseed</v>
      </c>
      <c r="E1893" t="str">
        <f>_xlfn.XLOOKUP(A1893,'[1]Tissue Data'!$A:$A,'[1]Tissue Data'!$H:$H)</f>
        <v>Lepomis</v>
      </c>
      <c r="F1893" t="str">
        <f>_xlfn.XLOOKUP(A1893,'[1]Tissue Data'!$A:$A,'[1]Tissue Data'!$I:$I)</f>
        <v>gibbosus</v>
      </c>
      <c r="G1893" t="str">
        <f>_xlfn.XLOOKUP(A1893,'[1]Tissue Data'!$A:$A,'[1]Tissue Data'!J:J)</f>
        <v>U</v>
      </c>
      <c r="H1893" t="str">
        <f>_xlfn.XLOOKUP(A1893,'[1]Tissue Data'!$A:$A,'[1]Tissue Data'!K:K)</f>
        <v>Whole Body</v>
      </c>
      <c r="I1893">
        <f>_xlfn.XLOOKUP(A1893,'[1]Tissue Data'!$A:$A,'[1]Tissue Data'!L:L)</f>
        <v>8</v>
      </c>
      <c r="J1893">
        <f>_xlfn.XLOOKUP(A1893,'[1]Tissue Data'!$A:$A,'[1]Tissue Data'!M:M)</f>
        <v>10.9</v>
      </c>
      <c r="K1893" t="s">
        <v>53</v>
      </c>
      <c r="L1893" t="str">
        <f>_xlfn.XLOOKUP(K1893,[2]analyte_order!$B:$B,[2]analyte_order!$C:$C)</f>
        <v>161094-75-3</v>
      </c>
      <c r="M1893">
        <f>_xlfn.XLOOKUP(L1893,[2]analyte_order!$C:$C,[2]analyte_order!$E:$E)</f>
        <v>44</v>
      </c>
      <c r="N1893">
        <v>5.3058600874132812E-2</v>
      </c>
    </row>
    <row r="1894" spans="1:14">
      <c r="A1894" t="s">
        <v>251</v>
      </c>
      <c r="B1894" t="str">
        <f>_xlfn.XLOOKUP(A1894,'[1]Tissue Data'!$A:$A,'[1]Tissue Data'!$C:$C)</f>
        <v>Spill</v>
      </c>
      <c r="C1894" s="2">
        <f>_xlfn.XLOOKUP(A1894,'[1]Tissue Data'!$A:$A,'[1]Tissue Data'!$D:$D)</f>
        <v>44314</v>
      </c>
      <c r="D1894" s="2" t="str">
        <f>_xlfn.XLOOKUP(A1894,'[1]Tissue Data'!$A:$A,'[1]Tissue Data'!$F:$F)</f>
        <v>Pumpkinseed</v>
      </c>
      <c r="E1894" t="str">
        <f>_xlfn.XLOOKUP(A1894,'[1]Tissue Data'!$A:$A,'[1]Tissue Data'!$H:$H)</f>
        <v>Lepomis</v>
      </c>
      <c r="F1894" t="str">
        <f>_xlfn.XLOOKUP(A1894,'[1]Tissue Data'!$A:$A,'[1]Tissue Data'!$I:$I)</f>
        <v>gibbosus</v>
      </c>
      <c r="G1894" t="str">
        <f>_xlfn.XLOOKUP(A1894,'[1]Tissue Data'!$A:$A,'[1]Tissue Data'!J:J)</f>
        <v>U</v>
      </c>
      <c r="H1894" t="str">
        <f>_xlfn.XLOOKUP(A1894,'[1]Tissue Data'!$A:$A,'[1]Tissue Data'!K:K)</f>
        <v>Whole Body</v>
      </c>
      <c r="I1894">
        <f>_xlfn.XLOOKUP(A1894,'[1]Tissue Data'!$A:$A,'[1]Tissue Data'!L:L)</f>
        <v>8</v>
      </c>
      <c r="J1894">
        <f>_xlfn.XLOOKUP(A1894,'[1]Tissue Data'!$A:$A,'[1]Tissue Data'!M:M)</f>
        <v>10.9</v>
      </c>
      <c r="K1894" t="s">
        <v>54</v>
      </c>
      <c r="L1894" t="str">
        <f>_xlfn.XLOOKUP(K1894,[2]analyte_order!$B:$B,[2]analyte_order!$C:$C)</f>
        <v>70887-84-2</v>
      </c>
      <c r="M1894">
        <f>_xlfn.XLOOKUP(L1894,[2]analyte_order!$C:$C,[2]analyte_order!$E:$E)</f>
        <v>45</v>
      </c>
      <c r="N1894">
        <v>4.0835065931268587E-2</v>
      </c>
    </row>
    <row r="1895" spans="1:14">
      <c r="A1895" t="s">
        <v>251</v>
      </c>
      <c r="B1895" t="str">
        <f>_xlfn.XLOOKUP(A1895,'[1]Tissue Data'!$A:$A,'[1]Tissue Data'!$C:$C)</f>
        <v>Spill</v>
      </c>
      <c r="C1895" s="2">
        <f>_xlfn.XLOOKUP(A1895,'[1]Tissue Data'!$A:$A,'[1]Tissue Data'!$D:$D)</f>
        <v>44314</v>
      </c>
      <c r="D1895" s="2" t="str">
        <f>_xlfn.XLOOKUP(A1895,'[1]Tissue Data'!$A:$A,'[1]Tissue Data'!$F:$F)</f>
        <v>Pumpkinseed</v>
      </c>
      <c r="E1895" t="str">
        <f>_xlfn.XLOOKUP(A1895,'[1]Tissue Data'!$A:$A,'[1]Tissue Data'!$H:$H)</f>
        <v>Lepomis</v>
      </c>
      <c r="F1895" t="str">
        <f>_xlfn.XLOOKUP(A1895,'[1]Tissue Data'!$A:$A,'[1]Tissue Data'!$I:$I)</f>
        <v>gibbosus</v>
      </c>
      <c r="G1895" t="str">
        <f>_xlfn.XLOOKUP(A1895,'[1]Tissue Data'!$A:$A,'[1]Tissue Data'!J:J)</f>
        <v>U</v>
      </c>
      <c r="H1895" t="str">
        <f>_xlfn.XLOOKUP(A1895,'[1]Tissue Data'!$A:$A,'[1]Tissue Data'!K:K)</f>
        <v>Whole Body</v>
      </c>
      <c r="I1895">
        <f>_xlfn.XLOOKUP(A1895,'[1]Tissue Data'!$A:$A,'[1]Tissue Data'!L:L)</f>
        <v>8</v>
      </c>
      <c r="J1895">
        <f>_xlfn.XLOOKUP(A1895,'[1]Tissue Data'!$A:$A,'[1]Tissue Data'!M:M)</f>
        <v>10.9</v>
      </c>
      <c r="K1895" t="s">
        <v>55</v>
      </c>
      <c r="L1895" t="str">
        <f>_xlfn.XLOOKUP(K1895,[2]analyte_order!$B:$B,[2]analyte_order!$C:$C)</f>
        <v>919005-14-4</v>
      </c>
      <c r="M1895">
        <f>_xlfn.XLOOKUP(L1895,[2]analyte_order!$C:$C,[2]analyte_order!$E:$E)</f>
        <v>35</v>
      </c>
      <c r="N1895">
        <v>6.7573655284259848E-2</v>
      </c>
    </row>
    <row r="1896" spans="1:14">
      <c r="A1896" t="s">
        <v>251</v>
      </c>
      <c r="B1896" t="str">
        <f>_xlfn.XLOOKUP(A1896,'[1]Tissue Data'!$A:$A,'[1]Tissue Data'!$C:$C)</f>
        <v>Spill</v>
      </c>
      <c r="C1896" s="2">
        <f>_xlfn.XLOOKUP(A1896,'[1]Tissue Data'!$A:$A,'[1]Tissue Data'!$D:$D)</f>
        <v>44314</v>
      </c>
      <c r="D1896" s="2" t="str">
        <f>_xlfn.XLOOKUP(A1896,'[1]Tissue Data'!$A:$A,'[1]Tissue Data'!$F:$F)</f>
        <v>Pumpkinseed</v>
      </c>
      <c r="E1896" t="str">
        <f>_xlfn.XLOOKUP(A1896,'[1]Tissue Data'!$A:$A,'[1]Tissue Data'!$H:$H)</f>
        <v>Lepomis</v>
      </c>
      <c r="F1896" t="str">
        <f>_xlfn.XLOOKUP(A1896,'[1]Tissue Data'!$A:$A,'[1]Tissue Data'!$I:$I)</f>
        <v>gibbosus</v>
      </c>
      <c r="G1896" t="str">
        <f>_xlfn.XLOOKUP(A1896,'[1]Tissue Data'!$A:$A,'[1]Tissue Data'!J:J)</f>
        <v>U</v>
      </c>
      <c r="H1896" t="str">
        <f>_xlfn.XLOOKUP(A1896,'[1]Tissue Data'!$A:$A,'[1]Tissue Data'!K:K)</f>
        <v>Whole Body</v>
      </c>
      <c r="I1896">
        <f>_xlfn.XLOOKUP(A1896,'[1]Tissue Data'!$A:$A,'[1]Tissue Data'!L:L)</f>
        <v>8</v>
      </c>
      <c r="J1896">
        <f>_xlfn.XLOOKUP(A1896,'[1]Tissue Data'!$A:$A,'[1]Tissue Data'!M:M)</f>
        <v>10.9</v>
      </c>
      <c r="K1896" t="s">
        <v>56</v>
      </c>
      <c r="L1896" t="str">
        <f>_xlfn.XLOOKUP(K1896,[2]analyte_order!$B:$B,[2]analyte_order!$C:$C)</f>
        <v>756426-58-1</v>
      </c>
      <c r="M1896">
        <f>_xlfn.XLOOKUP(L1896,[2]analyte_order!$C:$C,[2]analyte_order!$E:$E)</f>
        <v>36</v>
      </c>
      <c r="N1896">
        <v>4.6903322769573839E-2</v>
      </c>
    </row>
    <row r="1897" spans="1:14">
      <c r="A1897" t="s">
        <v>251</v>
      </c>
      <c r="B1897" t="str">
        <f>_xlfn.XLOOKUP(A1897,'[1]Tissue Data'!$A:$A,'[1]Tissue Data'!$C:$C)</f>
        <v>Spill</v>
      </c>
      <c r="C1897" s="2">
        <f>_xlfn.XLOOKUP(A1897,'[1]Tissue Data'!$A:$A,'[1]Tissue Data'!$D:$D)</f>
        <v>44314</v>
      </c>
      <c r="D1897" s="2" t="str">
        <f>_xlfn.XLOOKUP(A1897,'[1]Tissue Data'!$A:$A,'[1]Tissue Data'!$F:$F)</f>
        <v>Pumpkinseed</v>
      </c>
      <c r="E1897" t="str">
        <f>_xlfn.XLOOKUP(A1897,'[1]Tissue Data'!$A:$A,'[1]Tissue Data'!$H:$H)</f>
        <v>Lepomis</v>
      </c>
      <c r="F1897" t="str">
        <f>_xlfn.XLOOKUP(A1897,'[1]Tissue Data'!$A:$A,'[1]Tissue Data'!$I:$I)</f>
        <v>gibbosus</v>
      </c>
      <c r="G1897" t="str">
        <f>_xlfn.XLOOKUP(A1897,'[1]Tissue Data'!$A:$A,'[1]Tissue Data'!J:J)</f>
        <v>U</v>
      </c>
      <c r="H1897" t="str">
        <f>_xlfn.XLOOKUP(A1897,'[1]Tissue Data'!$A:$A,'[1]Tissue Data'!K:K)</f>
        <v>Whole Body</v>
      </c>
      <c r="I1897">
        <f>_xlfn.XLOOKUP(A1897,'[1]Tissue Data'!$A:$A,'[1]Tissue Data'!L:L)</f>
        <v>8</v>
      </c>
      <c r="J1897">
        <f>_xlfn.XLOOKUP(A1897,'[1]Tissue Data'!$A:$A,'[1]Tissue Data'!M:M)</f>
        <v>10.9</v>
      </c>
      <c r="K1897" t="s">
        <v>57</v>
      </c>
      <c r="L1897" t="str">
        <f>_xlfn.XLOOKUP(K1897,[2]analyte_order!$B:$B,[2]analyte_order!$C:$C)</f>
        <v>763051-92-9</v>
      </c>
      <c r="M1897">
        <f>_xlfn.XLOOKUP(L1897,[2]analyte_order!$C:$C,[2]analyte_order!$E:$E)</f>
        <v>37</v>
      </c>
      <c r="N1897">
        <v>5.3247401478196232E-2</v>
      </c>
    </row>
    <row r="1898" spans="1:14">
      <c r="A1898" t="s">
        <v>251</v>
      </c>
      <c r="B1898" t="str">
        <f>_xlfn.XLOOKUP(A1898,'[1]Tissue Data'!$A:$A,'[1]Tissue Data'!$C:$C)</f>
        <v>Spill</v>
      </c>
      <c r="C1898" s="2">
        <f>_xlfn.XLOOKUP(A1898,'[1]Tissue Data'!$A:$A,'[1]Tissue Data'!$D:$D)</f>
        <v>44314</v>
      </c>
      <c r="D1898" s="2" t="str">
        <f>_xlfn.XLOOKUP(A1898,'[1]Tissue Data'!$A:$A,'[1]Tissue Data'!$F:$F)</f>
        <v>Pumpkinseed</v>
      </c>
      <c r="E1898" t="str">
        <f>_xlfn.XLOOKUP(A1898,'[1]Tissue Data'!$A:$A,'[1]Tissue Data'!$H:$H)</f>
        <v>Lepomis</v>
      </c>
      <c r="F1898" t="str">
        <f>_xlfn.XLOOKUP(A1898,'[1]Tissue Data'!$A:$A,'[1]Tissue Data'!$I:$I)</f>
        <v>gibbosus</v>
      </c>
      <c r="G1898" t="str">
        <f>_xlfn.XLOOKUP(A1898,'[1]Tissue Data'!$A:$A,'[1]Tissue Data'!J:J)</f>
        <v>U</v>
      </c>
      <c r="H1898" t="str">
        <f>_xlfn.XLOOKUP(A1898,'[1]Tissue Data'!$A:$A,'[1]Tissue Data'!K:K)</f>
        <v>Whole Body</v>
      </c>
      <c r="I1898">
        <f>_xlfn.XLOOKUP(A1898,'[1]Tissue Data'!$A:$A,'[1]Tissue Data'!L:L)</f>
        <v>8</v>
      </c>
      <c r="J1898">
        <f>_xlfn.XLOOKUP(A1898,'[1]Tissue Data'!$A:$A,'[1]Tissue Data'!M:M)</f>
        <v>10.9</v>
      </c>
      <c r="K1898" t="s">
        <v>58</v>
      </c>
      <c r="L1898" t="str">
        <f>_xlfn.XLOOKUP(K1898,[2]analyte_order!$B:$B,[2]analyte_order!$C:$C)</f>
        <v>13252-13-6</v>
      </c>
      <c r="M1898">
        <f>_xlfn.XLOOKUP(L1898,[2]analyte_order!$C:$C,[2]analyte_order!$E:$E)</f>
        <v>34</v>
      </c>
      <c r="N1898">
        <v>9.6970125572348881E-2</v>
      </c>
    </row>
    <row r="1899" spans="1:14">
      <c r="A1899" t="s">
        <v>251</v>
      </c>
      <c r="B1899" t="str">
        <f>_xlfn.XLOOKUP(A1899,'[1]Tissue Data'!$A:$A,'[1]Tissue Data'!$C:$C)</f>
        <v>Spill</v>
      </c>
      <c r="C1899" s="2">
        <f>_xlfn.XLOOKUP(A1899,'[1]Tissue Data'!$A:$A,'[1]Tissue Data'!$D:$D)</f>
        <v>44314</v>
      </c>
      <c r="D1899" s="2" t="str">
        <f>_xlfn.XLOOKUP(A1899,'[1]Tissue Data'!$A:$A,'[1]Tissue Data'!$F:$F)</f>
        <v>Pumpkinseed</v>
      </c>
      <c r="E1899" t="str">
        <f>_xlfn.XLOOKUP(A1899,'[1]Tissue Data'!$A:$A,'[1]Tissue Data'!$H:$H)</f>
        <v>Lepomis</v>
      </c>
      <c r="F1899" t="str">
        <f>_xlfn.XLOOKUP(A1899,'[1]Tissue Data'!$A:$A,'[1]Tissue Data'!$I:$I)</f>
        <v>gibbosus</v>
      </c>
      <c r="G1899" t="str">
        <f>_xlfn.XLOOKUP(A1899,'[1]Tissue Data'!$A:$A,'[1]Tissue Data'!J:J)</f>
        <v>U</v>
      </c>
      <c r="H1899" t="str">
        <f>_xlfn.XLOOKUP(A1899,'[1]Tissue Data'!$A:$A,'[1]Tissue Data'!K:K)</f>
        <v>Whole Body</v>
      </c>
      <c r="I1899">
        <f>_xlfn.XLOOKUP(A1899,'[1]Tissue Data'!$A:$A,'[1]Tissue Data'!L:L)</f>
        <v>8</v>
      </c>
      <c r="J1899">
        <f>_xlfn.XLOOKUP(A1899,'[1]Tissue Data'!$A:$A,'[1]Tissue Data'!M:M)</f>
        <v>10.9</v>
      </c>
      <c r="K1899" t="s">
        <v>59</v>
      </c>
      <c r="L1899" t="str">
        <f>_xlfn.XLOOKUP(K1899,[2]analyte_order!$B:$B,[2]analyte_order!$C:$C)</f>
        <v>57677-95-9</v>
      </c>
      <c r="M1899">
        <f>_xlfn.XLOOKUP(L1899,[2]analyte_order!$C:$C,[2]analyte_order!$E:$E)</f>
        <v>46</v>
      </c>
      <c r="N1899">
        <v>7.1934111325569872E-2</v>
      </c>
    </row>
    <row r="1900" spans="1:14">
      <c r="A1900" t="s">
        <v>251</v>
      </c>
      <c r="B1900" t="str">
        <f>_xlfn.XLOOKUP(A1900,'[1]Tissue Data'!$A:$A,'[1]Tissue Data'!$C:$C)</f>
        <v>Spill</v>
      </c>
      <c r="C1900" s="2">
        <f>_xlfn.XLOOKUP(A1900,'[1]Tissue Data'!$A:$A,'[1]Tissue Data'!$D:$D)</f>
        <v>44314</v>
      </c>
      <c r="D1900" s="2" t="str">
        <f>_xlfn.XLOOKUP(A1900,'[1]Tissue Data'!$A:$A,'[1]Tissue Data'!$F:$F)</f>
        <v>Pumpkinseed</v>
      </c>
      <c r="E1900" t="str">
        <f>_xlfn.XLOOKUP(A1900,'[1]Tissue Data'!$A:$A,'[1]Tissue Data'!$H:$H)</f>
        <v>Lepomis</v>
      </c>
      <c r="F1900" t="str">
        <f>_xlfn.XLOOKUP(A1900,'[1]Tissue Data'!$A:$A,'[1]Tissue Data'!$I:$I)</f>
        <v>gibbosus</v>
      </c>
      <c r="G1900" t="str">
        <f>_xlfn.XLOOKUP(A1900,'[1]Tissue Data'!$A:$A,'[1]Tissue Data'!J:J)</f>
        <v>U</v>
      </c>
      <c r="H1900" t="str">
        <f>_xlfn.XLOOKUP(A1900,'[1]Tissue Data'!$A:$A,'[1]Tissue Data'!K:K)</f>
        <v>Whole Body</v>
      </c>
      <c r="I1900">
        <f>_xlfn.XLOOKUP(A1900,'[1]Tissue Data'!$A:$A,'[1]Tissue Data'!L:L)</f>
        <v>8</v>
      </c>
      <c r="J1900">
        <f>_xlfn.XLOOKUP(A1900,'[1]Tissue Data'!$A:$A,'[1]Tissue Data'!M:M)</f>
        <v>10.9</v>
      </c>
      <c r="K1900" t="s">
        <v>60</v>
      </c>
      <c r="L1900" t="str">
        <f>_xlfn.XLOOKUP(K1900,[2]analyte_order!$B:$B,[2]analyte_order!$C:$C)</f>
        <v>678-41-1</v>
      </c>
      <c r="M1900">
        <f>_xlfn.XLOOKUP(L1900,[2]analyte_order!$C:$C,[2]analyte_order!$E:$E)</f>
        <v>56</v>
      </c>
      <c r="N1900">
        <v>8.9590098715064445E-2</v>
      </c>
    </row>
    <row r="1901" spans="1:14">
      <c r="A1901" t="s">
        <v>251</v>
      </c>
      <c r="B1901" t="str">
        <f>_xlfn.XLOOKUP(A1901,'[1]Tissue Data'!$A:$A,'[1]Tissue Data'!$C:$C)</f>
        <v>Spill</v>
      </c>
      <c r="C1901" s="2">
        <f>_xlfn.XLOOKUP(A1901,'[1]Tissue Data'!$A:$A,'[1]Tissue Data'!$D:$D)</f>
        <v>44314</v>
      </c>
      <c r="D1901" s="2" t="str">
        <f>_xlfn.XLOOKUP(A1901,'[1]Tissue Data'!$A:$A,'[1]Tissue Data'!$F:$F)</f>
        <v>Pumpkinseed</v>
      </c>
      <c r="E1901" t="str">
        <f>_xlfn.XLOOKUP(A1901,'[1]Tissue Data'!$A:$A,'[1]Tissue Data'!$H:$H)</f>
        <v>Lepomis</v>
      </c>
      <c r="F1901" t="str">
        <f>_xlfn.XLOOKUP(A1901,'[1]Tissue Data'!$A:$A,'[1]Tissue Data'!$I:$I)</f>
        <v>gibbosus</v>
      </c>
      <c r="G1901" t="str">
        <f>_xlfn.XLOOKUP(A1901,'[1]Tissue Data'!$A:$A,'[1]Tissue Data'!J:J)</f>
        <v>U</v>
      </c>
      <c r="H1901" t="str">
        <f>_xlfn.XLOOKUP(A1901,'[1]Tissue Data'!$A:$A,'[1]Tissue Data'!K:K)</f>
        <v>Whole Body</v>
      </c>
      <c r="I1901">
        <f>_xlfn.XLOOKUP(A1901,'[1]Tissue Data'!$A:$A,'[1]Tissue Data'!L:L)</f>
        <v>8</v>
      </c>
      <c r="J1901">
        <f>_xlfn.XLOOKUP(A1901,'[1]Tissue Data'!$A:$A,'[1]Tissue Data'!M:M)</f>
        <v>10.9</v>
      </c>
      <c r="K1901" t="s">
        <v>61</v>
      </c>
      <c r="L1901" t="str">
        <f>_xlfn.XLOOKUP(K1901,[2]analyte_order!$B:$B,[2]analyte_order!$C:$C)</f>
        <v>2965-52-8</v>
      </c>
      <c r="M1901">
        <f>_xlfn.XLOOKUP(L1901,[2]analyte_order!$C:$C,[2]analyte_order!$E:$E)</f>
        <v>57</v>
      </c>
      <c r="N1901">
        <v>0.11892963330029734</v>
      </c>
    </row>
    <row r="1902" spans="1:14">
      <c r="A1902" t="s">
        <v>252</v>
      </c>
      <c r="B1902" t="str">
        <f>_xlfn.XLOOKUP(A1902,'[1]Tissue Data'!$A:$A,'[1]Tissue Data'!$C:$C)</f>
        <v>Spill</v>
      </c>
      <c r="C1902" s="2">
        <f>_xlfn.XLOOKUP(A1902,'[1]Tissue Data'!$A:$A,'[1]Tissue Data'!$D:$D)</f>
        <v>44314</v>
      </c>
      <c r="D1902" s="2" t="str">
        <f>_xlfn.XLOOKUP(A1902,'[1]Tissue Data'!$A:$A,'[1]Tissue Data'!$F:$F)</f>
        <v>Pumpkinseed</v>
      </c>
      <c r="E1902" t="str">
        <f>_xlfn.XLOOKUP(A1902,'[1]Tissue Data'!$A:$A,'[1]Tissue Data'!$H:$H)</f>
        <v>Lepomis</v>
      </c>
      <c r="F1902" t="str">
        <f>_xlfn.XLOOKUP(A1902,'[1]Tissue Data'!$A:$A,'[1]Tissue Data'!$I:$I)</f>
        <v>gibbosus</v>
      </c>
      <c r="G1902" t="str">
        <f>_xlfn.XLOOKUP(A1902,'[1]Tissue Data'!$A:$A,'[1]Tissue Data'!J:J)</f>
        <v>U</v>
      </c>
      <c r="H1902" t="str">
        <f>_xlfn.XLOOKUP(A1902,'[1]Tissue Data'!$A:$A,'[1]Tissue Data'!K:K)</f>
        <v>Whole Body</v>
      </c>
      <c r="I1902">
        <f>_xlfn.XLOOKUP(A1902,'[1]Tissue Data'!$A:$A,'[1]Tissue Data'!L:L)</f>
        <v>4.75</v>
      </c>
      <c r="J1902">
        <f>_xlfn.XLOOKUP(A1902,'[1]Tissue Data'!$A:$A,'[1]Tissue Data'!M:M)</f>
        <v>4.1500000000000004</v>
      </c>
      <c r="K1902" t="s">
        <v>12</v>
      </c>
      <c r="L1902" t="str">
        <f>_xlfn.XLOOKUP(K1902,[2]analyte_order!$B:$B,[2]analyte_order!$C:$C)</f>
        <v>375-22-4</v>
      </c>
      <c r="M1902">
        <f>_xlfn.XLOOKUP(L1902,[2]analyte_order!$C:$C,[2]analyte_order!$E:$E)</f>
        <v>1</v>
      </c>
      <c r="N1902">
        <v>2.6954662258081907E-2</v>
      </c>
    </row>
    <row r="1903" spans="1:14">
      <c r="A1903" t="s">
        <v>252</v>
      </c>
      <c r="B1903" t="str">
        <f>_xlfn.XLOOKUP(A1903,'[1]Tissue Data'!$A:$A,'[1]Tissue Data'!$C:$C)</f>
        <v>Spill</v>
      </c>
      <c r="C1903" s="2">
        <f>_xlfn.XLOOKUP(A1903,'[1]Tissue Data'!$A:$A,'[1]Tissue Data'!$D:$D)</f>
        <v>44314</v>
      </c>
      <c r="D1903" s="2" t="str">
        <f>_xlfn.XLOOKUP(A1903,'[1]Tissue Data'!$A:$A,'[1]Tissue Data'!$F:$F)</f>
        <v>Pumpkinseed</v>
      </c>
      <c r="E1903" t="str">
        <f>_xlfn.XLOOKUP(A1903,'[1]Tissue Data'!$A:$A,'[1]Tissue Data'!$H:$H)</f>
        <v>Lepomis</v>
      </c>
      <c r="F1903" t="str">
        <f>_xlfn.XLOOKUP(A1903,'[1]Tissue Data'!$A:$A,'[1]Tissue Data'!$I:$I)</f>
        <v>gibbosus</v>
      </c>
      <c r="G1903" t="str">
        <f>_xlfn.XLOOKUP(A1903,'[1]Tissue Data'!$A:$A,'[1]Tissue Data'!J:J)</f>
        <v>U</v>
      </c>
      <c r="H1903" t="str">
        <f>_xlfn.XLOOKUP(A1903,'[1]Tissue Data'!$A:$A,'[1]Tissue Data'!K:K)</f>
        <v>Whole Body</v>
      </c>
      <c r="I1903">
        <f>_xlfn.XLOOKUP(A1903,'[1]Tissue Data'!$A:$A,'[1]Tissue Data'!L:L)</f>
        <v>4.75</v>
      </c>
      <c r="J1903">
        <f>_xlfn.XLOOKUP(A1903,'[1]Tissue Data'!$A:$A,'[1]Tissue Data'!M:M)</f>
        <v>4.1500000000000004</v>
      </c>
      <c r="K1903" t="s">
        <v>13</v>
      </c>
      <c r="L1903" t="str">
        <f>_xlfn.XLOOKUP(K1903,[2]analyte_order!$B:$B,[2]analyte_order!$C:$C)</f>
        <v>2706-90-3</v>
      </c>
      <c r="M1903">
        <f>_xlfn.XLOOKUP(L1903,[2]analyte_order!$C:$C,[2]analyte_order!$E:$E)</f>
        <v>2</v>
      </c>
      <c r="N1903">
        <v>4.761145484137181E-2</v>
      </c>
    </row>
    <row r="1904" spans="1:14">
      <c r="A1904" t="s">
        <v>252</v>
      </c>
      <c r="B1904" t="str">
        <f>_xlfn.XLOOKUP(A1904,'[1]Tissue Data'!$A:$A,'[1]Tissue Data'!$C:$C)</f>
        <v>Spill</v>
      </c>
      <c r="C1904" s="2">
        <f>_xlfn.XLOOKUP(A1904,'[1]Tissue Data'!$A:$A,'[1]Tissue Data'!$D:$D)</f>
        <v>44314</v>
      </c>
      <c r="D1904" s="2" t="str">
        <f>_xlfn.XLOOKUP(A1904,'[1]Tissue Data'!$A:$A,'[1]Tissue Data'!$F:$F)</f>
        <v>Pumpkinseed</v>
      </c>
      <c r="E1904" t="str">
        <f>_xlfn.XLOOKUP(A1904,'[1]Tissue Data'!$A:$A,'[1]Tissue Data'!$H:$H)</f>
        <v>Lepomis</v>
      </c>
      <c r="F1904" t="str">
        <f>_xlfn.XLOOKUP(A1904,'[1]Tissue Data'!$A:$A,'[1]Tissue Data'!$I:$I)</f>
        <v>gibbosus</v>
      </c>
      <c r="G1904" t="str">
        <f>_xlfn.XLOOKUP(A1904,'[1]Tissue Data'!$A:$A,'[1]Tissue Data'!J:J)</f>
        <v>U</v>
      </c>
      <c r="H1904" t="str">
        <f>_xlfn.XLOOKUP(A1904,'[1]Tissue Data'!$A:$A,'[1]Tissue Data'!K:K)</f>
        <v>Whole Body</v>
      </c>
      <c r="I1904">
        <f>_xlfn.XLOOKUP(A1904,'[1]Tissue Data'!$A:$A,'[1]Tissue Data'!L:L)</f>
        <v>4.75</v>
      </c>
      <c r="J1904">
        <f>_xlfn.XLOOKUP(A1904,'[1]Tissue Data'!$A:$A,'[1]Tissue Data'!M:M)</f>
        <v>4.1500000000000004</v>
      </c>
      <c r="K1904" t="s">
        <v>14</v>
      </c>
      <c r="L1904" t="str">
        <f>_xlfn.XLOOKUP(K1904,[2]analyte_order!$B:$B,[2]analyte_order!$C:$C)</f>
        <v>307-24-4</v>
      </c>
      <c r="M1904">
        <f>_xlfn.XLOOKUP(L1904,[2]analyte_order!$C:$C,[2]analyte_order!$E:$E)</f>
        <v>3</v>
      </c>
      <c r="N1904">
        <v>0.13079549070373225</v>
      </c>
    </row>
    <row r="1905" spans="1:14">
      <c r="A1905" t="s">
        <v>252</v>
      </c>
      <c r="B1905" t="str">
        <f>_xlfn.XLOOKUP(A1905,'[1]Tissue Data'!$A:$A,'[1]Tissue Data'!$C:$C)</f>
        <v>Spill</v>
      </c>
      <c r="C1905" s="2">
        <f>_xlfn.XLOOKUP(A1905,'[1]Tissue Data'!$A:$A,'[1]Tissue Data'!$D:$D)</f>
        <v>44314</v>
      </c>
      <c r="D1905" s="2" t="str">
        <f>_xlfn.XLOOKUP(A1905,'[1]Tissue Data'!$A:$A,'[1]Tissue Data'!$F:$F)</f>
        <v>Pumpkinseed</v>
      </c>
      <c r="E1905" t="str">
        <f>_xlfn.XLOOKUP(A1905,'[1]Tissue Data'!$A:$A,'[1]Tissue Data'!$H:$H)</f>
        <v>Lepomis</v>
      </c>
      <c r="F1905" t="str">
        <f>_xlfn.XLOOKUP(A1905,'[1]Tissue Data'!$A:$A,'[1]Tissue Data'!$I:$I)</f>
        <v>gibbosus</v>
      </c>
      <c r="G1905" t="str">
        <f>_xlfn.XLOOKUP(A1905,'[1]Tissue Data'!$A:$A,'[1]Tissue Data'!J:J)</f>
        <v>U</v>
      </c>
      <c r="H1905" t="str">
        <f>_xlfn.XLOOKUP(A1905,'[1]Tissue Data'!$A:$A,'[1]Tissue Data'!K:K)</f>
        <v>Whole Body</v>
      </c>
      <c r="I1905">
        <f>_xlfn.XLOOKUP(A1905,'[1]Tissue Data'!$A:$A,'[1]Tissue Data'!L:L)</f>
        <v>4.75</v>
      </c>
      <c r="J1905">
        <f>_xlfn.XLOOKUP(A1905,'[1]Tissue Data'!$A:$A,'[1]Tissue Data'!M:M)</f>
        <v>4.1500000000000004</v>
      </c>
      <c r="K1905" t="s">
        <v>15</v>
      </c>
      <c r="L1905" t="str">
        <f>_xlfn.XLOOKUP(K1905,[2]analyte_order!$B:$B,[2]analyte_order!$C:$C)</f>
        <v>375-85-9</v>
      </c>
      <c r="M1905">
        <f>_xlfn.XLOOKUP(L1905,[2]analyte_order!$C:$C,[2]analyte_order!$E:$E)</f>
        <v>4</v>
      </c>
      <c r="N1905">
        <v>9.694097371822491E-2</v>
      </c>
    </row>
    <row r="1906" spans="1:14">
      <c r="A1906" t="s">
        <v>252</v>
      </c>
      <c r="B1906" t="str">
        <f>_xlfn.XLOOKUP(A1906,'[1]Tissue Data'!$A:$A,'[1]Tissue Data'!$C:$C)</f>
        <v>Spill</v>
      </c>
      <c r="C1906" s="2">
        <f>_xlfn.XLOOKUP(A1906,'[1]Tissue Data'!$A:$A,'[1]Tissue Data'!$D:$D)</f>
        <v>44314</v>
      </c>
      <c r="D1906" s="2" t="str">
        <f>_xlfn.XLOOKUP(A1906,'[1]Tissue Data'!$A:$A,'[1]Tissue Data'!$F:$F)</f>
        <v>Pumpkinseed</v>
      </c>
      <c r="E1906" t="str">
        <f>_xlfn.XLOOKUP(A1906,'[1]Tissue Data'!$A:$A,'[1]Tissue Data'!$H:$H)</f>
        <v>Lepomis</v>
      </c>
      <c r="F1906" t="str">
        <f>_xlfn.XLOOKUP(A1906,'[1]Tissue Data'!$A:$A,'[1]Tissue Data'!$I:$I)</f>
        <v>gibbosus</v>
      </c>
      <c r="G1906" t="str">
        <f>_xlfn.XLOOKUP(A1906,'[1]Tissue Data'!$A:$A,'[1]Tissue Data'!J:J)</f>
        <v>U</v>
      </c>
      <c r="H1906" t="str">
        <f>_xlfn.XLOOKUP(A1906,'[1]Tissue Data'!$A:$A,'[1]Tissue Data'!K:K)</f>
        <v>Whole Body</v>
      </c>
      <c r="I1906">
        <f>_xlfn.XLOOKUP(A1906,'[1]Tissue Data'!$A:$A,'[1]Tissue Data'!L:L)</f>
        <v>4.75</v>
      </c>
      <c r="J1906">
        <f>_xlfn.XLOOKUP(A1906,'[1]Tissue Data'!$A:$A,'[1]Tissue Data'!M:M)</f>
        <v>4.1500000000000004</v>
      </c>
      <c r="K1906" t="s">
        <v>16</v>
      </c>
      <c r="L1906" t="str">
        <f>_xlfn.XLOOKUP(K1906,[2]analyte_order!$B:$B,[2]analyte_order!$C:$C)</f>
        <v>335-67-1</v>
      </c>
      <c r="M1906">
        <f>_xlfn.XLOOKUP(L1906,[2]analyte_order!$C:$C,[2]analyte_order!$E:$E)</f>
        <v>5</v>
      </c>
      <c r="N1906">
        <v>0.46500000000000002</v>
      </c>
    </row>
    <row r="1907" spans="1:14">
      <c r="A1907" t="s">
        <v>252</v>
      </c>
      <c r="B1907" t="str">
        <f>_xlfn.XLOOKUP(A1907,'[1]Tissue Data'!$A:$A,'[1]Tissue Data'!$C:$C)</f>
        <v>Spill</v>
      </c>
      <c r="C1907" s="2">
        <f>_xlfn.XLOOKUP(A1907,'[1]Tissue Data'!$A:$A,'[1]Tissue Data'!$D:$D)</f>
        <v>44314</v>
      </c>
      <c r="D1907" s="2" t="str">
        <f>_xlfn.XLOOKUP(A1907,'[1]Tissue Data'!$A:$A,'[1]Tissue Data'!$F:$F)</f>
        <v>Pumpkinseed</v>
      </c>
      <c r="E1907" t="str">
        <f>_xlfn.XLOOKUP(A1907,'[1]Tissue Data'!$A:$A,'[1]Tissue Data'!$H:$H)</f>
        <v>Lepomis</v>
      </c>
      <c r="F1907" t="str">
        <f>_xlfn.XLOOKUP(A1907,'[1]Tissue Data'!$A:$A,'[1]Tissue Data'!$I:$I)</f>
        <v>gibbosus</v>
      </c>
      <c r="G1907" t="str">
        <f>_xlfn.XLOOKUP(A1907,'[1]Tissue Data'!$A:$A,'[1]Tissue Data'!J:J)</f>
        <v>U</v>
      </c>
      <c r="H1907" t="str">
        <f>_xlfn.XLOOKUP(A1907,'[1]Tissue Data'!$A:$A,'[1]Tissue Data'!K:K)</f>
        <v>Whole Body</v>
      </c>
      <c r="I1907">
        <f>_xlfn.XLOOKUP(A1907,'[1]Tissue Data'!$A:$A,'[1]Tissue Data'!L:L)</f>
        <v>4.75</v>
      </c>
      <c r="J1907">
        <f>_xlfn.XLOOKUP(A1907,'[1]Tissue Data'!$A:$A,'[1]Tissue Data'!M:M)</f>
        <v>4.1500000000000004</v>
      </c>
      <c r="K1907" t="s">
        <v>17</v>
      </c>
      <c r="L1907" t="str">
        <f>_xlfn.XLOOKUP(K1907,[2]analyte_order!$B:$B,[2]analyte_order!$C:$C)</f>
        <v>375-95-1</v>
      </c>
      <c r="M1907">
        <f>_xlfn.XLOOKUP(L1907,[2]analyte_order!$C:$C,[2]analyte_order!$E:$E)</f>
        <v>6</v>
      </c>
      <c r="N1907">
        <v>0.1677188650254739</v>
      </c>
    </row>
    <row r="1908" spans="1:14">
      <c r="A1908" t="s">
        <v>252</v>
      </c>
      <c r="B1908" t="str">
        <f>_xlfn.XLOOKUP(A1908,'[1]Tissue Data'!$A:$A,'[1]Tissue Data'!$C:$C)</f>
        <v>Spill</v>
      </c>
      <c r="C1908" s="2">
        <f>_xlfn.XLOOKUP(A1908,'[1]Tissue Data'!$A:$A,'[1]Tissue Data'!$D:$D)</f>
        <v>44314</v>
      </c>
      <c r="D1908" s="2" t="str">
        <f>_xlfn.XLOOKUP(A1908,'[1]Tissue Data'!$A:$A,'[1]Tissue Data'!$F:$F)</f>
        <v>Pumpkinseed</v>
      </c>
      <c r="E1908" t="str">
        <f>_xlfn.XLOOKUP(A1908,'[1]Tissue Data'!$A:$A,'[1]Tissue Data'!$H:$H)</f>
        <v>Lepomis</v>
      </c>
      <c r="F1908" t="str">
        <f>_xlfn.XLOOKUP(A1908,'[1]Tissue Data'!$A:$A,'[1]Tissue Data'!$I:$I)</f>
        <v>gibbosus</v>
      </c>
      <c r="G1908" t="str">
        <f>_xlfn.XLOOKUP(A1908,'[1]Tissue Data'!$A:$A,'[1]Tissue Data'!J:J)</f>
        <v>U</v>
      </c>
      <c r="H1908" t="str">
        <f>_xlfn.XLOOKUP(A1908,'[1]Tissue Data'!$A:$A,'[1]Tissue Data'!K:K)</f>
        <v>Whole Body</v>
      </c>
      <c r="I1908">
        <f>_xlfn.XLOOKUP(A1908,'[1]Tissue Data'!$A:$A,'[1]Tissue Data'!L:L)</f>
        <v>4.75</v>
      </c>
      <c r="J1908">
        <f>_xlfn.XLOOKUP(A1908,'[1]Tissue Data'!$A:$A,'[1]Tissue Data'!M:M)</f>
        <v>4.1500000000000004</v>
      </c>
      <c r="K1908" t="s">
        <v>18</v>
      </c>
      <c r="L1908" t="str">
        <f>_xlfn.XLOOKUP(K1908,[2]analyte_order!$B:$B,[2]analyte_order!$C:$C)</f>
        <v>335-76-2</v>
      </c>
      <c r="M1908">
        <f>_xlfn.XLOOKUP(L1908,[2]analyte_order!$C:$C,[2]analyte_order!$E:$E)</f>
        <v>7</v>
      </c>
      <c r="N1908">
        <v>1.71</v>
      </c>
    </row>
    <row r="1909" spans="1:14">
      <c r="A1909" t="s">
        <v>252</v>
      </c>
      <c r="B1909" t="str">
        <f>_xlfn.XLOOKUP(A1909,'[1]Tissue Data'!$A:$A,'[1]Tissue Data'!$C:$C)</f>
        <v>Spill</v>
      </c>
      <c r="C1909" s="2">
        <f>_xlfn.XLOOKUP(A1909,'[1]Tissue Data'!$A:$A,'[1]Tissue Data'!$D:$D)</f>
        <v>44314</v>
      </c>
      <c r="D1909" s="2" t="str">
        <f>_xlfn.XLOOKUP(A1909,'[1]Tissue Data'!$A:$A,'[1]Tissue Data'!$F:$F)</f>
        <v>Pumpkinseed</v>
      </c>
      <c r="E1909" t="str">
        <f>_xlfn.XLOOKUP(A1909,'[1]Tissue Data'!$A:$A,'[1]Tissue Data'!$H:$H)</f>
        <v>Lepomis</v>
      </c>
      <c r="F1909" t="str">
        <f>_xlfn.XLOOKUP(A1909,'[1]Tissue Data'!$A:$A,'[1]Tissue Data'!$I:$I)</f>
        <v>gibbosus</v>
      </c>
      <c r="G1909" t="str">
        <f>_xlfn.XLOOKUP(A1909,'[1]Tissue Data'!$A:$A,'[1]Tissue Data'!J:J)</f>
        <v>U</v>
      </c>
      <c r="H1909" t="str">
        <f>_xlfn.XLOOKUP(A1909,'[1]Tissue Data'!$A:$A,'[1]Tissue Data'!K:K)</f>
        <v>Whole Body</v>
      </c>
      <c r="I1909">
        <f>_xlfn.XLOOKUP(A1909,'[1]Tissue Data'!$A:$A,'[1]Tissue Data'!L:L)</f>
        <v>4.75</v>
      </c>
      <c r="J1909">
        <f>_xlfn.XLOOKUP(A1909,'[1]Tissue Data'!$A:$A,'[1]Tissue Data'!M:M)</f>
        <v>4.1500000000000004</v>
      </c>
      <c r="K1909" t="s">
        <v>19</v>
      </c>
      <c r="L1909" t="str">
        <f>_xlfn.XLOOKUP(K1909,[2]analyte_order!$B:$B,[2]analyte_order!$C:$C)</f>
        <v>2058-94-8</v>
      </c>
      <c r="M1909">
        <f>_xlfn.XLOOKUP(L1909,[2]analyte_order!$C:$C,[2]analyte_order!$E:$E)</f>
        <v>8</v>
      </c>
      <c r="N1909">
        <v>2.95</v>
      </c>
    </row>
    <row r="1910" spans="1:14">
      <c r="A1910" t="s">
        <v>252</v>
      </c>
      <c r="B1910" t="str">
        <f>_xlfn.XLOOKUP(A1910,'[1]Tissue Data'!$A:$A,'[1]Tissue Data'!$C:$C)</f>
        <v>Spill</v>
      </c>
      <c r="C1910" s="2">
        <f>_xlfn.XLOOKUP(A1910,'[1]Tissue Data'!$A:$A,'[1]Tissue Data'!$D:$D)</f>
        <v>44314</v>
      </c>
      <c r="D1910" s="2" t="str">
        <f>_xlfn.XLOOKUP(A1910,'[1]Tissue Data'!$A:$A,'[1]Tissue Data'!$F:$F)</f>
        <v>Pumpkinseed</v>
      </c>
      <c r="E1910" t="str">
        <f>_xlfn.XLOOKUP(A1910,'[1]Tissue Data'!$A:$A,'[1]Tissue Data'!$H:$H)</f>
        <v>Lepomis</v>
      </c>
      <c r="F1910" t="str">
        <f>_xlfn.XLOOKUP(A1910,'[1]Tissue Data'!$A:$A,'[1]Tissue Data'!$I:$I)</f>
        <v>gibbosus</v>
      </c>
      <c r="G1910" t="str">
        <f>_xlfn.XLOOKUP(A1910,'[1]Tissue Data'!$A:$A,'[1]Tissue Data'!J:J)</f>
        <v>U</v>
      </c>
      <c r="H1910" t="str">
        <f>_xlfn.XLOOKUP(A1910,'[1]Tissue Data'!$A:$A,'[1]Tissue Data'!K:K)</f>
        <v>Whole Body</v>
      </c>
      <c r="I1910">
        <f>_xlfn.XLOOKUP(A1910,'[1]Tissue Data'!$A:$A,'[1]Tissue Data'!L:L)</f>
        <v>4.75</v>
      </c>
      <c r="J1910">
        <f>_xlfn.XLOOKUP(A1910,'[1]Tissue Data'!$A:$A,'[1]Tissue Data'!M:M)</f>
        <v>4.1500000000000004</v>
      </c>
      <c r="K1910" t="s">
        <v>20</v>
      </c>
      <c r="L1910" t="str">
        <f>_xlfn.XLOOKUP(K1910,[2]analyte_order!$B:$B,[2]analyte_order!$C:$C)</f>
        <v>307-55-1</v>
      </c>
      <c r="M1910">
        <f>_xlfn.XLOOKUP(L1910,[2]analyte_order!$C:$C,[2]analyte_order!$E:$E)</f>
        <v>9</v>
      </c>
      <c r="N1910">
        <v>5.380419245354813E-2</v>
      </c>
    </row>
    <row r="1911" spans="1:14">
      <c r="A1911" t="s">
        <v>252</v>
      </c>
      <c r="B1911" t="str">
        <f>_xlfn.XLOOKUP(A1911,'[1]Tissue Data'!$A:$A,'[1]Tissue Data'!$C:$C)</f>
        <v>Spill</v>
      </c>
      <c r="C1911" s="2">
        <f>_xlfn.XLOOKUP(A1911,'[1]Tissue Data'!$A:$A,'[1]Tissue Data'!$D:$D)</f>
        <v>44314</v>
      </c>
      <c r="D1911" s="2" t="str">
        <f>_xlfn.XLOOKUP(A1911,'[1]Tissue Data'!$A:$A,'[1]Tissue Data'!$F:$F)</f>
        <v>Pumpkinseed</v>
      </c>
      <c r="E1911" t="str">
        <f>_xlfn.XLOOKUP(A1911,'[1]Tissue Data'!$A:$A,'[1]Tissue Data'!$H:$H)</f>
        <v>Lepomis</v>
      </c>
      <c r="F1911" t="str">
        <f>_xlfn.XLOOKUP(A1911,'[1]Tissue Data'!$A:$A,'[1]Tissue Data'!$I:$I)</f>
        <v>gibbosus</v>
      </c>
      <c r="G1911" t="str">
        <f>_xlfn.XLOOKUP(A1911,'[1]Tissue Data'!$A:$A,'[1]Tissue Data'!J:J)</f>
        <v>U</v>
      </c>
      <c r="H1911" t="str">
        <f>_xlfn.XLOOKUP(A1911,'[1]Tissue Data'!$A:$A,'[1]Tissue Data'!K:K)</f>
        <v>Whole Body</v>
      </c>
      <c r="I1911">
        <f>_xlfn.XLOOKUP(A1911,'[1]Tissue Data'!$A:$A,'[1]Tissue Data'!L:L)</f>
        <v>4.75</v>
      </c>
      <c r="J1911">
        <f>_xlfn.XLOOKUP(A1911,'[1]Tissue Data'!$A:$A,'[1]Tissue Data'!M:M)</f>
        <v>4.1500000000000004</v>
      </c>
      <c r="K1911" t="s">
        <v>21</v>
      </c>
      <c r="L1911" t="str">
        <f>_xlfn.XLOOKUP(K1911,[2]analyte_order!$B:$B,[2]analyte_order!$C:$C)</f>
        <v>72629-94-8</v>
      </c>
      <c r="M1911">
        <f>_xlfn.XLOOKUP(L1911,[2]analyte_order!$C:$C,[2]analyte_order!$E:$E)</f>
        <v>10</v>
      </c>
      <c r="N1911">
        <v>0.71799999999999997</v>
      </c>
    </row>
    <row r="1912" spans="1:14">
      <c r="A1912" t="s">
        <v>252</v>
      </c>
      <c r="B1912" t="str">
        <f>_xlfn.XLOOKUP(A1912,'[1]Tissue Data'!$A:$A,'[1]Tissue Data'!$C:$C)</f>
        <v>Spill</v>
      </c>
      <c r="C1912" s="2">
        <f>_xlfn.XLOOKUP(A1912,'[1]Tissue Data'!$A:$A,'[1]Tissue Data'!$D:$D)</f>
        <v>44314</v>
      </c>
      <c r="D1912" s="2" t="str">
        <f>_xlfn.XLOOKUP(A1912,'[1]Tissue Data'!$A:$A,'[1]Tissue Data'!$F:$F)</f>
        <v>Pumpkinseed</v>
      </c>
      <c r="E1912" t="str">
        <f>_xlfn.XLOOKUP(A1912,'[1]Tissue Data'!$A:$A,'[1]Tissue Data'!$H:$H)</f>
        <v>Lepomis</v>
      </c>
      <c r="F1912" t="str">
        <f>_xlfn.XLOOKUP(A1912,'[1]Tissue Data'!$A:$A,'[1]Tissue Data'!$I:$I)</f>
        <v>gibbosus</v>
      </c>
      <c r="G1912" t="str">
        <f>_xlfn.XLOOKUP(A1912,'[1]Tissue Data'!$A:$A,'[1]Tissue Data'!J:J)</f>
        <v>U</v>
      </c>
      <c r="H1912" t="str">
        <f>_xlfn.XLOOKUP(A1912,'[1]Tissue Data'!$A:$A,'[1]Tissue Data'!K:K)</f>
        <v>Whole Body</v>
      </c>
      <c r="I1912">
        <f>_xlfn.XLOOKUP(A1912,'[1]Tissue Data'!$A:$A,'[1]Tissue Data'!L:L)</f>
        <v>4.75</v>
      </c>
      <c r="J1912">
        <f>_xlfn.XLOOKUP(A1912,'[1]Tissue Data'!$A:$A,'[1]Tissue Data'!M:M)</f>
        <v>4.1500000000000004</v>
      </c>
      <c r="K1912" t="s">
        <v>22</v>
      </c>
      <c r="L1912" t="str">
        <f>_xlfn.XLOOKUP(K1912,[2]analyte_order!$B:$B,[2]analyte_order!$C:$C)</f>
        <v>376-06-7</v>
      </c>
      <c r="M1912">
        <f>_xlfn.XLOOKUP(L1912,[2]analyte_order!$C:$C,[2]analyte_order!$E:$E)</f>
        <v>11</v>
      </c>
      <c r="N1912">
        <v>2.59</v>
      </c>
    </row>
    <row r="1913" spans="1:14">
      <c r="A1913" t="s">
        <v>252</v>
      </c>
      <c r="B1913" t="str">
        <f>_xlfn.XLOOKUP(A1913,'[1]Tissue Data'!$A:$A,'[1]Tissue Data'!$C:$C)</f>
        <v>Spill</v>
      </c>
      <c r="C1913" s="2">
        <f>_xlfn.XLOOKUP(A1913,'[1]Tissue Data'!$A:$A,'[1]Tissue Data'!$D:$D)</f>
        <v>44314</v>
      </c>
      <c r="D1913" s="2" t="str">
        <f>_xlfn.XLOOKUP(A1913,'[1]Tissue Data'!$A:$A,'[1]Tissue Data'!$F:$F)</f>
        <v>Pumpkinseed</v>
      </c>
      <c r="E1913" t="str">
        <f>_xlfn.XLOOKUP(A1913,'[1]Tissue Data'!$A:$A,'[1]Tissue Data'!$H:$H)</f>
        <v>Lepomis</v>
      </c>
      <c r="F1913" t="str">
        <f>_xlfn.XLOOKUP(A1913,'[1]Tissue Data'!$A:$A,'[1]Tissue Data'!$I:$I)</f>
        <v>gibbosus</v>
      </c>
      <c r="G1913" t="str">
        <f>_xlfn.XLOOKUP(A1913,'[1]Tissue Data'!$A:$A,'[1]Tissue Data'!J:J)</f>
        <v>U</v>
      </c>
      <c r="H1913" t="str">
        <f>_xlfn.XLOOKUP(A1913,'[1]Tissue Data'!$A:$A,'[1]Tissue Data'!K:K)</f>
        <v>Whole Body</v>
      </c>
      <c r="I1913">
        <f>_xlfn.XLOOKUP(A1913,'[1]Tissue Data'!$A:$A,'[1]Tissue Data'!L:L)</f>
        <v>4.75</v>
      </c>
      <c r="J1913">
        <f>_xlfn.XLOOKUP(A1913,'[1]Tissue Data'!$A:$A,'[1]Tissue Data'!M:M)</f>
        <v>4.1500000000000004</v>
      </c>
      <c r="K1913" t="s">
        <v>23</v>
      </c>
      <c r="L1913" t="str">
        <f>_xlfn.XLOOKUP(K1913,[2]analyte_order!$B:$B,[2]analyte_order!$C:$C)</f>
        <v>67905-19-5</v>
      </c>
      <c r="M1913">
        <f>_xlfn.XLOOKUP(L1913,[2]analyte_order!$C:$C,[2]analyte_order!$E:$E)</f>
        <v>12</v>
      </c>
      <c r="N1913">
        <v>8.0311425735323169E-2</v>
      </c>
    </row>
    <row r="1914" spans="1:14">
      <c r="A1914" t="s">
        <v>252</v>
      </c>
      <c r="B1914" t="str">
        <f>_xlfn.XLOOKUP(A1914,'[1]Tissue Data'!$A:$A,'[1]Tissue Data'!$C:$C)</f>
        <v>Spill</v>
      </c>
      <c r="C1914" s="2">
        <f>_xlfn.XLOOKUP(A1914,'[1]Tissue Data'!$A:$A,'[1]Tissue Data'!$D:$D)</f>
        <v>44314</v>
      </c>
      <c r="D1914" s="2" t="str">
        <f>_xlfn.XLOOKUP(A1914,'[1]Tissue Data'!$A:$A,'[1]Tissue Data'!$F:$F)</f>
        <v>Pumpkinseed</v>
      </c>
      <c r="E1914" t="str">
        <f>_xlfn.XLOOKUP(A1914,'[1]Tissue Data'!$A:$A,'[1]Tissue Data'!$H:$H)</f>
        <v>Lepomis</v>
      </c>
      <c r="F1914" t="str">
        <f>_xlfn.XLOOKUP(A1914,'[1]Tissue Data'!$A:$A,'[1]Tissue Data'!$I:$I)</f>
        <v>gibbosus</v>
      </c>
      <c r="G1914" t="str">
        <f>_xlfn.XLOOKUP(A1914,'[1]Tissue Data'!$A:$A,'[1]Tissue Data'!J:J)</f>
        <v>U</v>
      </c>
      <c r="H1914" t="str">
        <f>_xlfn.XLOOKUP(A1914,'[1]Tissue Data'!$A:$A,'[1]Tissue Data'!K:K)</f>
        <v>Whole Body</v>
      </c>
      <c r="I1914">
        <f>_xlfn.XLOOKUP(A1914,'[1]Tissue Data'!$A:$A,'[1]Tissue Data'!L:L)</f>
        <v>4.75</v>
      </c>
      <c r="J1914">
        <f>_xlfn.XLOOKUP(A1914,'[1]Tissue Data'!$A:$A,'[1]Tissue Data'!M:M)</f>
        <v>4.1500000000000004</v>
      </c>
      <c r="K1914" t="s">
        <v>24</v>
      </c>
      <c r="L1914" t="str">
        <f>_xlfn.XLOOKUP(K1914,[2]analyte_order!$B:$B,[2]analyte_order!$C:$C)</f>
        <v>423-41-6</v>
      </c>
      <c r="M1914">
        <f>_xlfn.XLOOKUP(L1914,[2]analyte_order!$C:$C,[2]analyte_order!$E:$E)</f>
        <v>53</v>
      </c>
      <c r="N1914">
        <v>5.1412867058213081E-2</v>
      </c>
    </row>
    <row r="1915" spans="1:14">
      <c r="A1915" t="s">
        <v>252</v>
      </c>
      <c r="B1915" t="str">
        <f>_xlfn.XLOOKUP(A1915,'[1]Tissue Data'!$A:$A,'[1]Tissue Data'!$C:$C)</f>
        <v>Spill</v>
      </c>
      <c r="C1915" s="2">
        <f>_xlfn.XLOOKUP(A1915,'[1]Tissue Data'!$A:$A,'[1]Tissue Data'!$D:$D)</f>
        <v>44314</v>
      </c>
      <c r="D1915" s="2" t="str">
        <f>_xlfn.XLOOKUP(A1915,'[1]Tissue Data'!$A:$A,'[1]Tissue Data'!$F:$F)</f>
        <v>Pumpkinseed</v>
      </c>
      <c r="E1915" t="str">
        <f>_xlfn.XLOOKUP(A1915,'[1]Tissue Data'!$A:$A,'[1]Tissue Data'!$H:$H)</f>
        <v>Lepomis</v>
      </c>
      <c r="F1915" t="str">
        <f>_xlfn.XLOOKUP(A1915,'[1]Tissue Data'!$A:$A,'[1]Tissue Data'!$I:$I)</f>
        <v>gibbosus</v>
      </c>
      <c r="G1915" t="str">
        <f>_xlfn.XLOOKUP(A1915,'[1]Tissue Data'!$A:$A,'[1]Tissue Data'!J:J)</f>
        <v>U</v>
      </c>
      <c r="H1915" t="str">
        <f>_xlfn.XLOOKUP(A1915,'[1]Tissue Data'!$A:$A,'[1]Tissue Data'!K:K)</f>
        <v>Whole Body</v>
      </c>
      <c r="I1915">
        <f>_xlfn.XLOOKUP(A1915,'[1]Tissue Data'!$A:$A,'[1]Tissue Data'!L:L)</f>
        <v>4.75</v>
      </c>
      <c r="J1915">
        <f>_xlfn.XLOOKUP(A1915,'[1]Tissue Data'!$A:$A,'[1]Tissue Data'!M:M)</f>
        <v>4.1500000000000004</v>
      </c>
      <c r="K1915" t="s">
        <v>25</v>
      </c>
      <c r="L1915" t="str">
        <f>_xlfn.XLOOKUP(K1915,[2]analyte_order!$B:$B,[2]analyte_order!$C:$C)</f>
        <v>375-73-5</v>
      </c>
      <c r="M1915">
        <f>_xlfn.XLOOKUP(L1915,[2]analyte_order!$C:$C,[2]analyte_order!$E:$E)</f>
        <v>14</v>
      </c>
      <c r="N1915">
        <v>4.5863985834651108E-2</v>
      </c>
    </row>
    <row r="1916" spans="1:14">
      <c r="A1916" t="s">
        <v>252</v>
      </c>
      <c r="B1916" t="str">
        <f>_xlfn.XLOOKUP(A1916,'[1]Tissue Data'!$A:$A,'[1]Tissue Data'!$C:$C)</f>
        <v>Spill</v>
      </c>
      <c r="C1916" s="2">
        <f>_xlfn.XLOOKUP(A1916,'[1]Tissue Data'!$A:$A,'[1]Tissue Data'!$D:$D)</f>
        <v>44314</v>
      </c>
      <c r="D1916" s="2" t="str">
        <f>_xlfn.XLOOKUP(A1916,'[1]Tissue Data'!$A:$A,'[1]Tissue Data'!$F:$F)</f>
        <v>Pumpkinseed</v>
      </c>
      <c r="E1916" t="str">
        <f>_xlfn.XLOOKUP(A1916,'[1]Tissue Data'!$A:$A,'[1]Tissue Data'!$H:$H)</f>
        <v>Lepomis</v>
      </c>
      <c r="F1916" t="str">
        <f>_xlfn.XLOOKUP(A1916,'[1]Tissue Data'!$A:$A,'[1]Tissue Data'!$I:$I)</f>
        <v>gibbosus</v>
      </c>
      <c r="G1916" t="str">
        <f>_xlfn.XLOOKUP(A1916,'[1]Tissue Data'!$A:$A,'[1]Tissue Data'!J:J)</f>
        <v>U</v>
      </c>
      <c r="H1916" t="str">
        <f>_xlfn.XLOOKUP(A1916,'[1]Tissue Data'!$A:$A,'[1]Tissue Data'!K:K)</f>
        <v>Whole Body</v>
      </c>
      <c r="I1916">
        <f>_xlfn.XLOOKUP(A1916,'[1]Tissue Data'!$A:$A,'[1]Tissue Data'!L:L)</f>
        <v>4.75</v>
      </c>
      <c r="J1916">
        <f>_xlfn.XLOOKUP(A1916,'[1]Tissue Data'!$A:$A,'[1]Tissue Data'!M:M)</f>
        <v>4.1500000000000004</v>
      </c>
      <c r="K1916" t="s">
        <v>26</v>
      </c>
      <c r="L1916" t="str">
        <f>_xlfn.XLOOKUP(K1916,[2]analyte_order!$B:$B,[2]analyte_order!$C:$C)</f>
        <v>2706-91-4</v>
      </c>
      <c r="M1916">
        <f>_xlfn.XLOOKUP(L1916,[2]analyte_order!$C:$C,[2]analyte_order!$E:$E)</f>
        <v>15</v>
      </c>
      <c r="N1916">
        <v>0.12833650458021328</v>
      </c>
    </row>
    <row r="1917" spans="1:14">
      <c r="A1917" t="s">
        <v>252</v>
      </c>
      <c r="B1917" t="str">
        <f>_xlfn.XLOOKUP(A1917,'[1]Tissue Data'!$A:$A,'[1]Tissue Data'!$C:$C)</f>
        <v>Spill</v>
      </c>
      <c r="C1917" s="2">
        <f>_xlfn.XLOOKUP(A1917,'[1]Tissue Data'!$A:$A,'[1]Tissue Data'!$D:$D)</f>
        <v>44314</v>
      </c>
      <c r="D1917" s="2" t="str">
        <f>_xlfn.XLOOKUP(A1917,'[1]Tissue Data'!$A:$A,'[1]Tissue Data'!$F:$F)</f>
        <v>Pumpkinseed</v>
      </c>
      <c r="E1917" t="str">
        <f>_xlfn.XLOOKUP(A1917,'[1]Tissue Data'!$A:$A,'[1]Tissue Data'!$H:$H)</f>
        <v>Lepomis</v>
      </c>
      <c r="F1917" t="str">
        <f>_xlfn.XLOOKUP(A1917,'[1]Tissue Data'!$A:$A,'[1]Tissue Data'!$I:$I)</f>
        <v>gibbosus</v>
      </c>
      <c r="G1917" t="str">
        <f>_xlfn.XLOOKUP(A1917,'[1]Tissue Data'!$A:$A,'[1]Tissue Data'!J:J)</f>
        <v>U</v>
      </c>
      <c r="H1917" t="str">
        <f>_xlfn.XLOOKUP(A1917,'[1]Tissue Data'!$A:$A,'[1]Tissue Data'!K:K)</f>
        <v>Whole Body</v>
      </c>
      <c r="I1917">
        <f>_xlfn.XLOOKUP(A1917,'[1]Tissue Data'!$A:$A,'[1]Tissue Data'!L:L)</f>
        <v>4.75</v>
      </c>
      <c r="J1917">
        <f>_xlfn.XLOOKUP(A1917,'[1]Tissue Data'!$A:$A,'[1]Tissue Data'!M:M)</f>
        <v>4.1500000000000004</v>
      </c>
      <c r="K1917" t="s">
        <v>27</v>
      </c>
      <c r="L1917" t="str">
        <f>_xlfn.XLOOKUP(K1917,[2]analyte_order!$B:$B,[2]analyte_order!$C:$C)</f>
        <v>355-46-4</v>
      </c>
      <c r="M1917">
        <f>_xlfn.XLOOKUP(L1917,[2]analyte_order!$C:$C,[2]analyte_order!$E:$E)</f>
        <v>16</v>
      </c>
      <c r="N1917">
        <v>9.32</v>
      </c>
    </row>
    <row r="1918" spans="1:14">
      <c r="A1918" t="s">
        <v>252</v>
      </c>
      <c r="B1918" t="str">
        <f>_xlfn.XLOOKUP(A1918,'[1]Tissue Data'!$A:$A,'[1]Tissue Data'!$C:$C)</f>
        <v>Spill</v>
      </c>
      <c r="C1918" s="2">
        <f>_xlfn.XLOOKUP(A1918,'[1]Tissue Data'!$A:$A,'[1]Tissue Data'!$D:$D)</f>
        <v>44314</v>
      </c>
      <c r="D1918" s="2" t="str">
        <f>_xlfn.XLOOKUP(A1918,'[1]Tissue Data'!$A:$A,'[1]Tissue Data'!$F:$F)</f>
        <v>Pumpkinseed</v>
      </c>
      <c r="E1918" t="str">
        <f>_xlfn.XLOOKUP(A1918,'[1]Tissue Data'!$A:$A,'[1]Tissue Data'!$H:$H)</f>
        <v>Lepomis</v>
      </c>
      <c r="F1918" t="str">
        <f>_xlfn.XLOOKUP(A1918,'[1]Tissue Data'!$A:$A,'[1]Tissue Data'!$I:$I)</f>
        <v>gibbosus</v>
      </c>
      <c r="G1918" t="str">
        <f>_xlfn.XLOOKUP(A1918,'[1]Tissue Data'!$A:$A,'[1]Tissue Data'!J:J)</f>
        <v>U</v>
      </c>
      <c r="H1918" t="str">
        <f>_xlfn.XLOOKUP(A1918,'[1]Tissue Data'!$A:$A,'[1]Tissue Data'!K:K)</f>
        <v>Whole Body</v>
      </c>
      <c r="I1918">
        <f>_xlfn.XLOOKUP(A1918,'[1]Tissue Data'!$A:$A,'[1]Tissue Data'!L:L)</f>
        <v>4.75</v>
      </c>
      <c r="J1918">
        <f>_xlfn.XLOOKUP(A1918,'[1]Tissue Data'!$A:$A,'[1]Tissue Data'!M:M)</f>
        <v>4.1500000000000004</v>
      </c>
      <c r="K1918" t="s">
        <v>28</v>
      </c>
      <c r="L1918" t="str">
        <f>_xlfn.XLOOKUP(K1918,[2]analyte_order!$B:$B,[2]analyte_order!$C:$C)</f>
        <v>375-92-8</v>
      </c>
      <c r="M1918">
        <f>_xlfn.XLOOKUP(L1918,[2]analyte_order!$C:$C,[2]analyte_order!$E:$E)</f>
        <v>17</v>
      </c>
      <c r="N1918">
        <v>0.81100000000000005</v>
      </c>
    </row>
    <row r="1919" spans="1:14">
      <c r="A1919" t="s">
        <v>252</v>
      </c>
      <c r="B1919" t="str">
        <f>_xlfn.XLOOKUP(A1919,'[1]Tissue Data'!$A:$A,'[1]Tissue Data'!$C:$C)</f>
        <v>Spill</v>
      </c>
      <c r="C1919" s="2">
        <f>_xlfn.XLOOKUP(A1919,'[1]Tissue Data'!$A:$A,'[1]Tissue Data'!$D:$D)</f>
        <v>44314</v>
      </c>
      <c r="D1919" s="2" t="str">
        <f>_xlfn.XLOOKUP(A1919,'[1]Tissue Data'!$A:$A,'[1]Tissue Data'!$F:$F)</f>
        <v>Pumpkinseed</v>
      </c>
      <c r="E1919" t="str">
        <f>_xlfn.XLOOKUP(A1919,'[1]Tissue Data'!$A:$A,'[1]Tissue Data'!$H:$H)</f>
        <v>Lepomis</v>
      </c>
      <c r="F1919" t="str">
        <f>_xlfn.XLOOKUP(A1919,'[1]Tissue Data'!$A:$A,'[1]Tissue Data'!$I:$I)</f>
        <v>gibbosus</v>
      </c>
      <c r="G1919" t="str">
        <f>_xlfn.XLOOKUP(A1919,'[1]Tissue Data'!$A:$A,'[1]Tissue Data'!J:J)</f>
        <v>U</v>
      </c>
      <c r="H1919" t="str">
        <f>_xlfn.XLOOKUP(A1919,'[1]Tissue Data'!$A:$A,'[1]Tissue Data'!K:K)</f>
        <v>Whole Body</v>
      </c>
      <c r="I1919">
        <f>_xlfn.XLOOKUP(A1919,'[1]Tissue Data'!$A:$A,'[1]Tissue Data'!L:L)</f>
        <v>4.75</v>
      </c>
      <c r="J1919">
        <f>_xlfn.XLOOKUP(A1919,'[1]Tissue Data'!$A:$A,'[1]Tissue Data'!M:M)</f>
        <v>4.1500000000000004</v>
      </c>
      <c r="K1919" t="s">
        <v>29</v>
      </c>
      <c r="L1919" t="str">
        <f>_xlfn.XLOOKUP(K1919,[2]analyte_order!$B:$B,[2]analyte_order!$C:$C)</f>
        <v>1763-23-1</v>
      </c>
      <c r="M1919">
        <f>_xlfn.XLOOKUP(L1919,[2]analyte_order!$C:$C,[2]analyte_order!$E:$E)</f>
        <v>18</v>
      </c>
      <c r="N1919">
        <v>397</v>
      </c>
    </row>
    <row r="1920" spans="1:14">
      <c r="A1920" t="s">
        <v>252</v>
      </c>
      <c r="B1920" t="str">
        <f>_xlfn.XLOOKUP(A1920,'[1]Tissue Data'!$A:$A,'[1]Tissue Data'!$C:$C)</f>
        <v>Spill</v>
      </c>
      <c r="C1920" s="2">
        <f>_xlfn.XLOOKUP(A1920,'[1]Tissue Data'!$A:$A,'[1]Tissue Data'!$D:$D)</f>
        <v>44314</v>
      </c>
      <c r="D1920" s="2" t="str">
        <f>_xlfn.XLOOKUP(A1920,'[1]Tissue Data'!$A:$A,'[1]Tissue Data'!$F:$F)</f>
        <v>Pumpkinseed</v>
      </c>
      <c r="E1920" t="str">
        <f>_xlfn.XLOOKUP(A1920,'[1]Tissue Data'!$A:$A,'[1]Tissue Data'!$H:$H)</f>
        <v>Lepomis</v>
      </c>
      <c r="F1920" t="str">
        <f>_xlfn.XLOOKUP(A1920,'[1]Tissue Data'!$A:$A,'[1]Tissue Data'!$I:$I)</f>
        <v>gibbosus</v>
      </c>
      <c r="G1920" t="str">
        <f>_xlfn.XLOOKUP(A1920,'[1]Tissue Data'!$A:$A,'[1]Tissue Data'!J:J)</f>
        <v>U</v>
      </c>
      <c r="H1920" t="str">
        <f>_xlfn.XLOOKUP(A1920,'[1]Tissue Data'!$A:$A,'[1]Tissue Data'!K:K)</f>
        <v>Whole Body</v>
      </c>
      <c r="I1920">
        <f>_xlfn.XLOOKUP(A1920,'[1]Tissue Data'!$A:$A,'[1]Tissue Data'!L:L)</f>
        <v>4.75</v>
      </c>
      <c r="J1920">
        <f>_xlfn.XLOOKUP(A1920,'[1]Tissue Data'!$A:$A,'[1]Tissue Data'!M:M)</f>
        <v>4.1500000000000004</v>
      </c>
      <c r="K1920" t="s">
        <v>30</v>
      </c>
      <c r="L1920" t="str">
        <f>_xlfn.XLOOKUP(K1920,[2]analyte_order!$B:$B,[2]analyte_order!$C:$C)</f>
        <v>68259-12-1</v>
      </c>
      <c r="M1920">
        <f>_xlfn.XLOOKUP(L1920,[2]analyte_order!$C:$C,[2]analyte_order!$E:$E)</f>
        <v>19</v>
      </c>
      <c r="N1920">
        <v>0.35399999999999998</v>
      </c>
    </row>
    <row r="1921" spans="1:14">
      <c r="A1921" t="s">
        <v>252</v>
      </c>
      <c r="B1921" t="str">
        <f>_xlfn.XLOOKUP(A1921,'[1]Tissue Data'!$A:$A,'[1]Tissue Data'!$C:$C)</f>
        <v>Spill</v>
      </c>
      <c r="C1921" s="2">
        <f>_xlfn.XLOOKUP(A1921,'[1]Tissue Data'!$A:$A,'[1]Tissue Data'!$D:$D)</f>
        <v>44314</v>
      </c>
      <c r="D1921" s="2" t="str">
        <f>_xlfn.XLOOKUP(A1921,'[1]Tissue Data'!$A:$A,'[1]Tissue Data'!$F:$F)</f>
        <v>Pumpkinseed</v>
      </c>
      <c r="E1921" t="str">
        <f>_xlfn.XLOOKUP(A1921,'[1]Tissue Data'!$A:$A,'[1]Tissue Data'!$H:$H)</f>
        <v>Lepomis</v>
      </c>
      <c r="F1921" t="str">
        <f>_xlfn.XLOOKUP(A1921,'[1]Tissue Data'!$A:$A,'[1]Tissue Data'!$I:$I)</f>
        <v>gibbosus</v>
      </c>
      <c r="G1921" t="str">
        <f>_xlfn.XLOOKUP(A1921,'[1]Tissue Data'!$A:$A,'[1]Tissue Data'!J:J)</f>
        <v>U</v>
      </c>
      <c r="H1921" t="str">
        <f>_xlfn.XLOOKUP(A1921,'[1]Tissue Data'!$A:$A,'[1]Tissue Data'!K:K)</f>
        <v>Whole Body</v>
      </c>
      <c r="I1921">
        <f>_xlfn.XLOOKUP(A1921,'[1]Tissue Data'!$A:$A,'[1]Tissue Data'!L:L)</f>
        <v>4.75</v>
      </c>
      <c r="J1921">
        <f>_xlfn.XLOOKUP(A1921,'[1]Tissue Data'!$A:$A,'[1]Tissue Data'!M:M)</f>
        <v>4.1500000000000004</v>
      </c>
      <c r="K1921" t="s">
        <v>31</v>
      </c>
      <c r="L1921" t="str">
        <f>_xlfn.XLOOKUP(K1921,[2]analyte_order!$B:$B,[2]analyte_order!$C:$C)</f>
        <v>335-77-3</v>
      </c>
      <c r="M1921">
        <f>_xlfn.XLOOKUP(L1921,[2]analyte_order!$C:$C,[2]analyte_order!$E:$E)</f>
        <v>20</v>
      </c>
      <c r="N1921">
        <v>0.1984748122962085</v>
      </c>
    </row>
    <row r="1922" spans="1:14">
      <c r="A1922" t="s">
        <v>252</v>
      </c>
      <c r="B1922" t="str">
        <f>_xlfn.XLOOKUP(A1922,'[1]Tissue Data'!$A:$A,'[1]Tissue Data'!$C:$C)</f>
        <v>Spill</v>
      </c>
      <c r="C1922" s="2">
        <f>_xlfn.XLOOKUP(A1922,'[1]Tissue Data'!$A:$A,'[1]Tissue Data'!$D:$D)</f>
        <v>44314</v>
      </c>
      <c r="D1922" s="2" t="str">
        <f>_xlfn.XLOOKUP(A1922,'[1]Tissue Data'!$A:$A,'[1]Tissue Data'!$F:$F)</f>
        <v>Pumpkinseed</v>
      </c>
      <c r="E1922" t="str">
        <f>_xlfn.XLOOKUP(A1922,'[1]Tissue Data'!$A:$A,'[1]Tissue Data'!$H:$H)</f>
        <v>Lepomis</v>
      </c>
      <c r="F1922" t="str">
        <f>_xlfn.XLOOKUP(A1922,'[1]Tissue Data'!$A:$A,'[1]Tissue Data'!$I:$I)</f>
        <v>gibbosus</v>
      </c>
      <c r="G1922" t="str">
        <f>_xlfn.XLOOKUP(A1922,'[1]Tissue Data'!$A:$A,'[1]Tissue Data'!J:J)</f>
        <v>U</v>
      </c>
      <c r="H1922" t="str">
        <f>_xlfn.XLOOKUP(A1922,'[1]Tissue Data'!$A:$A,'[1]Tissue Data'!K:K)</f>
        <v>Whole Body</v>
      </c>
      <c r="I1922">
        <f>_xlfn.XLOOKUP(A1922,'[1]Tissue Data'!$A:$A,'[1]Tissue Data'!L:L)</f>
        <v>4.75</v>
      </c>
      <c r="J1922">
        <f>_xlfn.XLOOKUP(A1922,'[1]Tissue Data'!$A:$A,'[1]Tissue Data'!M:M)</f>
        <v>4.1500000000000004</v>
      </c>
      <c r="K1922" t="s">
        <v>32</v>
      </c>
      <c r="L1922" t="str">
        <f>_xlfn.XLOOKUP(K1922,[2]analyte_order!$B:$B,[2]analyte_order!$C:$C)</f>
        <v>79780-39-5</v>
      </c>
      <c r="M1922">
        <f>_xlfn.XLOOKUP(L1922,[2]analyte_order!$C:$C,[2]analyte_order!$E:$E)</f>
        <v>21</v>
      </c>
      <c r="N1922">
        <v>0.25916448663447866</v>
      </c>
    </row>
    <row r="1923" spans="1:14">
      <c r="A1923" t="s">
        <v>252</v>
      </c>
      <c r="B1923" t="str">
        <f>_xlfn.XLOOKUP(A1923,'[1]Tissue Data'!$A:$A,'[1]Tissue Data'!$C:$C)</f>
        <v>Spill</v>
      </c>
      <c r="C1923" s="2">
        <f>_xlfn.XLOOKUP(A1923,'[1]Tissue Data'!$A:$A,'[1]Tissue Data'!$D:$D)</f>
        <v>44314</v>
      </c>
      <c r="D1923" s="2" t="str">
        <f>_xlfn.XLOOKUP(A1923,'[1]Tissue Data'!$A:$A,'[1]Tissue Data'!$F:$F)</f>
        <v>Pumpkinseed</v>
      </c>
      <c r="E1923" t="str">
        <f>_xlfn.XLOOKUP(A1923,'[1]Tissue Data'!$A:$A,'[1]Tissue Data'!$H:$H)</f>
        <v>Lepomis</v>
      </c>
      <c r="F1923" t="str">
        <f>_xlfn.XLOOKUP(A1923,'[1]Tissue Data'!$A:$A,'[1]Tissue Data'!$I:$I)</f>
        <v>gibbosus</v>
      </c>
      <c r="G1923" t="str">
        <f>_xlfn.XLOOKUP(A1923,'[1]Tissue Data'!$A:$A,'[1]Tissue Data'!J:J)</f>
        <v>U</v>
      </c>
      <c r="H1923" t="str">
        <f>_xlfn.XLOOKUP(A1923,'[1]Tissue Data'!$A:$A,'[1]Tissue Data'!K:K)</f>
        <v>Whole Body</v>
      </c>
      <c r="I1923">
        <f>_xlfn.XLOOKUP(A1923,'[1]Tissue Data'!$A:$A,'[1]Tissue Data'!L:L)</f>
        <v>4.75</v>
      </c>
      <c r="J1923">
        <f>_xlfn.XLOOKUP(A1923,'[1]Tissue Data'!$A:$A,'[1]Tissue Data'!M:M)</f>
        <v>4.1500000000000004</v>
      </c>
      <c r="K1923" t="s">
        <v>33</v>
      </c>
      <c r="L1923" t="str">
        <f>_xlfn.XLOOKUP(K1923,[2]analyte_order!$B:$B,[2]analyte_order!$C:$C)</f>
        <v>777011-38-8</v>
      </c>
      <c r="M1923">
        <f>_xlfn.XLOOKUP(L1923,[2]analyte_order!$C:$C,[2]analyte_order!$E:$E)</f>
        <v>54</v>
      </c>
      <c r="N1923">
        <v>0.14727374329052134</v>
      </c>
    </row>
    <row r="1924" spans="1:14">
      <c r="A1924" t="s">
        <v>252</v>
      </c>
      <c r="B1924" t="str">
        <f>_xlfn.XLOOKUP(A1924,'[1]Tissue Data'!$A:$A,'[1]Tissue Data'!$C:$C)</f>
        <v>Spill</v>
      </c>
      <c r="C1924" s="2">
        <f>_xlfn.XLOOKUP(A1924,'[1]Tissue Data'!$A:$A,'[1]Tissue Data'!$D:$D)</f>
        <v>44314</v>
      </c>
      <c r="D1924" s="2" t="str">
        <f>_xlfn.XLOOKUP(A1924,'[1]Tissue Data'!$A:$A,'[1]Tissue Data'!$F:$F)</f>
        <v>Pumpkinseed</v>
      </c>
      <c r="E1924" t="str">
        <f>_xlfn.XLOOKUP(A1924,'[1]Tissue Data'!$A:$A,'[1]Tissue Data'!$H:$H)</f>
        <v>Lepomis</v>
      </c>
      <c r="F1924" t="str">
        <f>_xlfn.XLOOKUP(A1924,'[1]Tissue Data'!$A:$A,'[1]Tissue Data'!$I:$I)</f>
        <v>gibbosus</v>
      </c>
      <c r="G1924" t="str">
        <f>_xlfn.XLOOKUP(A1924,'[1]Tissue Data'!$A:$A,'[1]Tissue Data'!J:J)</f>
        <v>U</v>
      </c>
      <c r="H1924" t="str">
        <f>_xlfn.XLOOKUP(A1924,'[1]Tissue Data'!$A:$A,'[1]Tissue Data'!K:K)</f>
        <v>Whole Body</v>
      </c>
      <c r="I1924">
        <f>_xlfn.XLOOKUP(A1924,'[1]Tissue Data'!$A:$A,'[1]Tissue Data'!L:L)</f>
        <v>4.75</v>
      </c>
      <c r="J1924">
        <f>_xlfn.XLOOKUP(A1924,'[1]Tissue Data'!$A:$A,'[1]Tissue Data'!M:M)</f>
        <v>4.1500000000000004</v>
      </c>
      <c r="K1924" t="s">
        <v>34</v>
      </c>
      <c r="L1924" t="str">
        <f>_xlfn.XLOOKUP(K1924,[2]analyte_order!$B:$B,[2]analyte_order!$C:$C)</f>
        <v>646-83-3</v>
      </c>
      <c r="M1924">
        <f>_xlfn.XLOOKUP(L1924,[2]analyte_order!$C:$C,[2]analyte_order!$E:$E)</f>
        <v>55</v>
      </c>
      <c r="N1924">
        <v>9.694097371822491E-2</v>
      </c>
    </row>
    <row r="1925" spans="1:14">
      <c r="A1925" t="s">
        <v>252</v>
      </c>
      <c r="B1925" t="str">
        <f>_xlfn.XLOOKUP(A1925,'[1]Tissue Data'!$A:$A,'[1]Tissue Data'!$C:$C)</f>
        <v>Spill</v>
      </c>
      <c r="C1925" s="2">
        <f>_xlfn.XLOOKUP(A1925,'[1]Tissue Data'!$A:$A,'[1]Tissue Data'!$D:$D)</f>
        <v>44314</v>
      </c>
      <c r="D1925" s="2" t="str">
        <f>_xlfn.XLOOKUP(A1925,'[1]Tissue Data'!$A:$A,'[1]Tissue Data'!$F:$F)</f>
        <v>Pumpkinseed</v>
      </c>
      <c r="E1925" t="str">
        <f>_xlfn.XLOOKUP(A1925,'[1]Tissue Data'!$A:$A,'[1]Tissue Data'!$H:$H)</f>
        <v>Lepomis</v>
      </c>
      <c r="F1925" t="str">
        <f>_xlfn.XLOOKUP(A1925,'[1]Tissue Data'!$A:$A,'[1]Tissue Data'!$I:$I)</f>
        <v>gibbosus</v>
      </c>
      <c r="G1925" t="str">
        <f>_xlfn.XLOOKUP(A1925,'[1]Tissue Data'!$A:$A,'[1]Tissue Data'!J:J)</f>
        <v>U</v>
      </c>
      <c r="H1925" t="str">
        <f>_xlfn.XLOOKUP(A1925,'[1]Tissue Data'!$A:$A,'[1]Tissue Data'!K:K)</f>
        <v>Whole Body</v>
      </c>
      <c r="I1925">
        <f>_xlfn.XLOOKUP(A1925,'[1]Tissue Data'!$A:$A,'[1]Tissue Data'!L:L)</f>
        <v>4.75</v>
      </c>
      <c r="J1925">
        <f>_xlfn.XLOOKUP(A1925,'[1]Tissue Data'!$A:$A,'[1]Tissue Data'!M:M)</f>
        <v>4.1500000000000004</v>
      </c>
      <c r="K1925" t="s">
        <v>35</v>
      </c>
      <c r="L1925" t="str">
        <f>_xlfn.XLOOKUP(K1925,[2]analyte_order!$B:$B,[2]analyte_order!$C:$C)</f>
        <v>30334-69-1</v>
      </c>
      <c r="M1925">
        <f>_xlfn.XLOOKUP(L1925,[2]analyte_order!$C:$C,[2]analyte_order!$E:$E)</f>
        <v>51</v>
      </c>
      <c r="N1925">
        <v>82</v>
      </c>
    </row>
    <row r="1926" spans="1:14">
      <c r="A1926" t="s">
        <v>252</v>
      </c>
      <c r="B1926" t="str">
        <f>_xlfn.XLOOKUP(A1926,'[1]Tissue Data'!$A:$A,'[1]Tissue Data'!$C:$C)</f>
        <v>Spill</v>
      </c>
      <c r="C1926" s="2">
        <f>_xlfn.XLOOKUP(A1926,'[1]Tissue Data'!$A:$A,'[1]Tissue Data'!$D:$D)</f>
        <v>44314</v>
      </c>
      <c r="D1926" s="2" t="str">
        <f>_xlfn.XLOOKUP(A1926,'[1]Tissue Data'!$A:$A,'[1]Tissue Data'!$F:$F)</f>
        <v>Pumpkinseed</v>
      </c>
      <c r="E1926" t="str">
        <f>_xlfn.XLOOKUP(A1926,'[1]Tissue Data'!$A:$A,'[1]Tissue Data'!$H:$H)</f>
        <v>Lepomis</v>
      </c>
      <c r="F1926" t="str">
        <f>_xlfn.XLOOKUP(A1926,'[1]Tissue Data'!$A:$A,'[1]Tissue Data'!$I:$I)</f>
        <v>gibbosus</v>
      </c>
      <c r="G1926" t="str">
        <f>_xlfn.XLOOKUP(A1926,'[1]Tissue Data'!$A:$A,'[1]Tissue Data'!J:J)</f>
        <v>U</v>
      </c>
      <c r="H1926" t="str">
        <f>_xlfn.XLOOKUP(A1926,'[1]Tissue Data'!$A:$A,'[1]Tissue Data'!K:K)</f>
        <v>Whole Body</v>
      </c>
      <c r="I1926">
        <f>_xlfn.XLOOKUP(A1926,'[1]Tissue Data'!$A:$A,'[1]Tissue Data'!L:L)</f>
        <v>4.75</v>
      </c>
      <c r="J1926">
        <f>_xlfn.XLOOKUP(A1926,'[1]Tissue Data'!$A:$A,'[1]Tissue Data'!M:M)</f>
        <v>4.1500000000000004</v>
      </c>
      <c r="K1926" t="s">
        <v>36</v>
      </c>
      <c r="L1926" t="str">
        <f>_xlfn.XLOOKUP(K1926,[2]analyte_order!$B:$B,[2]analyte_order!$C:$C)</f>
        <v>41997-13-1</v>
      </c>
      <c r="M1926">
        <f>_xlfn.XLOOKUP(L1926,[2]analyte_order!$C:$C,[2]analyte_order!$E:$E)</f>
        <v>52</v>
      </c>
      <c r="N1926">
        <v>229</v>
      </c>
    </row>
    <row r="1927" spans="1:14">
      <c r="A1927" t="s">
        <v>252</v>
      </c>
      <c r="B1927" t="str">
        <f>_xlfn.XLOOKUP(A1927,'[1]Tissue Data'!$A:$A,'[1]Tissue Data'!$C:$C)</f>
        <v>Spill</v>
      </c>
      <c r="C1927" s="2">
        <f>_xlfn.XLOOKUP(A1927,'[1]Tissue Data'!$A:$A,'[1]Tissue Data'!$D:$D)</f>
        <v>44314</v>
      </c>
      <c r="D1927" s="2" t="str">
        <f>_xlfn.XLOOKUP(A1927,'[1]Tissue Data'!$A:$A,'[1]Tissue Data'!$F:$F)</f>
        <v>Pumpkinseed</v>
      </c>
      <c r="E1927" t="str">
        <f>_xlfn.XLOOKUP(A1927,'[1]Tissue Data'!$A:$A,'[1]Tissue Data'!$H:$H)</f>
        <v>Lepomis</v>
      </c>
      <c r="F1927" t="str">
        <f>_xlfn.XLOOKUP(A1927,'[1]Tissue Data'!$A:$A,'[1]Tissue Data'!$I:$I)</f>
        <v>gibbosus</v>
      </c>
      <c r="G1927" t="str">
        <f>_xlfn.XLOOKUP(A1927,'[1]Tissue Data'!$A:$A,'[1]Tissue Data'!J:J)</f>
        <v>U</v>
      </c>
      <c r="H1927" t="str">
        <f>_xlfn.XLOOKUP(A1927,'[1]Tissue Data'!$A:$A,'[1]Tissue Data'!K:K)</f>
        <v>Whole Body</v>
      </c>
      <c r="I1927">
        <f>_xlfn.XLOOKUP(A1927,'[1]Tissue Data'!$A:$A,'[1]Tissue Data'!L:L)</f>
        <v>4.75</v>
      </c>
      <c r="J1927">
        <f>_xlfn.XLOOKUP(A1927,'[1]Tissue Data'!$A:$A,'[1]Tissue Data'!M:M)</f>
        <v>4.1500000000000004</v>
      </c>
      <c r="K1927" t="s">
        <v>37</v>
      </c>
      <c r="L1927" t="str">
        <f>_xlfn.XLOOKUP(K1927,[2]analyte_order!$B:$B,[2]analyte_order!$C:$C)</f>
        <v>754-91-6</v>
      </c>
      <c r="M1927">
        <f>_xlfn.XLOOKUP(L1927,[2]analyte_order!$C:$C,[2]analyte_order!$E:$E)</f>
        <v>28</v>
      </c>
      <c r="N1927">
        <v>24.7</v>
      </c>
    </row>
    <row r="1928" spans="1:14">
      <c r="A1928" t="s">
        <v>252</v>
      </c>
      <c r="B1928" t="str">
        <f>_xlfn.XLOOKUP(A1928,'[1]Tissue Data'!$A:$A,'[1]Tissue Data'!$C:$C)</f>
        <v>Spill</v>
      </c>
      <c r="C1928" s="2">
        <f>_xlfn.XLOOKUP(A1928,'[1]Tissue Data'!$A:$A,'[1]Tissue Data'!$D:$D)</f>
        <v>44314</v>
      </c>
      <c r="D1928" s="2" t="str">
        <f>_xlfn.XLOOKUP(A1928,'[1]Tissue Data'!$A:$A,'[1]Tissue Data'!$F:$F)</f>
        <v>Pumpkinseed</v>
      </c>
      <c r="E1928" t="str">
        <f>_xlfn.XLOOKUP(A1928,'[1]Tissue Data'!$A:$A,'[1]Tissue Data'!$H:$H)</f>
        <v>Lepomis</v>
      </c>
      <c r="F1928" t="str">
        <f>_xlfn.XLOOKUP(A1928,'[1]Tissue Data'!$A:$A,'[1]Tissue Data'!$I:$I)</f>
        <v>gibbosus</v>
      </c>
      <c r="G1928" t="str">
        <f>_xlfn.XLOOKUP(A1928,'[1]Tissue Data'!$A:$A,'[1]Tissue Data'!J:J)</f>
        <v>U</v>
      </c>
      <c r="H1928" t="str">
        <f>_xlfn.XLOOKUP(A1928,'[1]Tissue Data'!$A:$A,'[1]Tissue Data'!K:K)</f>
        <v>Whole Body</v>
      </c>
      <c r="I1928">
        <f>_xlfn.XLOOKUP(A1928,'[1]Tissue Data'!$A:$A,'[1]Tissue Data'!L:L)</f>
        <v>4.75</v>
      </c>
      <c r="J1928">
        <f>_xlfn.XLOOKUP(A1928,'[1]Tissue Data'!$A:$A,'[1]Tissue Data'!M:M)</f>
        <v>4.1500000000000004</v>
      </c>
      <c r="K1928" t="s">
        <v>38</v>
      </c>
      <c r="L1928" t="str">
        <f>_xlfn.XLOOKUP(K1928,[2]analyte_order!$B:$B,[2]analyte_order!$C:$C)</f>
        <v>31506-32-8</v>
      </c>
      <c r="M1928">
        <f>_xlfn.XLOOKUP(L1928,[2]analyte_order!$C:$C,[2]analyte_order!$E:$E)</f>
        <v>30</v>
      </c>
      <c r="N1928">
        <v>5.1913549408974108E-2</v>
      </c>
    </row>
    <row r="1929" spans="1:14">
      <c r="A1929" t="s">
        <v>252</v>
      </c>
      <c r="B1929" t="str">
        <f>_xlfn.XLOOKUP(A1929,'[1]Tissue Data'!$A:$A,'[1]Tissue Data'!$C:$C)</f>
        <v>Spill</v>
      </c>
      <c r="C1929" s="2">
        <f>_xlfn.XLOOKUP(A1929,'[1]Tissue Data'!$A:$A,'[1]Tissue Data'!$D:$D)</f>
        <v>44314</v>
      </c>
      <c r="D1929" s="2" t="str">
        <f>_xlfn.XLOOKUP(A1929,'[1]Tissue Data'!$A:$A,'[1]Tissue Data'!$F:$F)</f>
        <v>Pumpkinseed</v>
      </c>
      <c r="E1929" t="str">
        <f>_xlfn.XLOOKUP(A1929,'[1]Tissue Data'!$A:$A,'[1]Tissue Data'!$H:$H)</f>
        <v>Lepomis</v>
      </c>
      <c r="F1929" t="str">
        <f>_xlfn.XLOOKUP(A1929,'[1]Tissue Data'!$A:$A,'[1]Tissue Data'!$I:$I)</f>
        <v>gibbosus</v>
      </c>
      <c r="G1929" t="str">
        <f>_xlfn.XLOOKUP(A1929,'[1]Tissue Data'!$A:$A,'[1]Tissue Data'!J:J)</f>
        <v>U</v>
      </c>
      <c r="H1929" t="str">
        <f>_xlfn.XLOOKUP(A1929,'[1]Tissue Data'!$A:$A,'[1]Tissue Data'!K:K)</f>
        <v>Whole Body</v>
      </c>
      <c r="I1929">
        <f>_xlfn.XLOOKUP(A1929,'[1]Tissue Data'!$A:$A,'[1]Tissue Data'!L:L)</f>
        <v>4.75</v>
      </c>
      <c r="J1929">
        <f>_xlfn.XLOOKUP(A1929,'[1]Tissue Data'!$A:$A,'[1]Tissue Data'!M:M)</f>
        <v>4.1500000000000004</v>
      </c>
      <c r="K1929" t="s">
        <v>39</v>
      </c>
      <c r="L1929" t="str">
        <f>_xlfn.XLOOKUP(K1929,[2]analyte_order!$B:$B,[2]analyte_order!$C:$C)</f>
        <v>4151-50-2</v>
      </c>
      <c r="M1929">
        <f>_xlfn.XLOOKUP(L1929,[2]analyte_order!$C:$C,[2]analyte_order!$E:$E)</f>
        <v>31</v>
      </c>
      <c r="N1929">
        <v>7.8637408109804297E-2</v>
      </c>
    </row>
    <row r="1930" spans="1:14">
      <c r="A1930" t="s">
        <v>252</v>
      </c>
      <c r="B1930" t="str">
        <f>_xlfn.XLOOKUP(A1930,'[1]Tissue Data'!$A:$A,'[1]Tissue Data'!$C:$C)</f>
        <v>Spill</v>
      </c>
      <c r="C1930" s="2">
        <f>_xlfn.XLOOKUP(A1930,'[1]Tissue Data'!$A:$A,'[1]Tissue Data'!$D:$D)</f>
        <v>44314</v>
      </c>
      <c r="D1930" s="2" t="str">
        <f>_xlfn.XLOOKUP(A1930,'[1]Tissue Data'!$A:$A,'[1]Tissue Data'!$F:$F)</f>
        <v>Pumpkinseed</v>
      </c>
      <c r="E1930" t="str">
        <f>_xlfn.XLOOKUP(A1930,'[1]Tissue Data'!$A:$A,'[1]Tissue Data'!$H:$H)</f>
        <v>Lepomis</v>
      </c>
      <c r="F1930" t="str">
        <f>_xlfn.XLOOKUP(A1930,'[1]Tissue Data'!$A:$A,'[1]Tissue Data'!$I:$I)</f>
        <v>gibbosus</v>
      </c>
      <c r="G1930" t="str">
        <f>_xlfn.XLOOKUP(A1930,'[1]Tissue Data'!$A:$A,'[1]Tissue Data'!J:J)</f>
        <v>U</v>
      </c>
      <c r="H1930" t="str">
        <f>_xlfn.XLOOKUP(A1930,'[1]Tissue Data'!$A:$A,'[1]Tissue Data'!K:K)</f>
        <v>Whole Body</v>
      </c>
      <c r="I1930">
        <f>_xlfn.XLOOKUP(A1930,'[1]Tissue Data'!$A:$A,'[1]Tissue Data'!L:L)</f>
        <v>4.75</v>
      </c>
      <c r="J1930">
        <f>_xlfn.XLOOKUP(A1930,'[1]Tissue Data'!$A:$A,'[1]Tissue Data'!M:M)</f>
        <v>4.1500000000000004</v>
      </c>
      <c r="K1930" t="s">
        <v>40</v>
      </c>
      <c r="L1930" t="str">
        <f>_xlfn.XLOOKUP(K1930,[2]analyte_order!$B:$B,[2]analyte_order!$C:$C)</f>
        <v>2806-24-8</v>
      </c>
      <c r="M1930">
        <f>_xlfn.XLOOKUP(L1930,[2]analyte_order!$C:$C,[2]analyte_order!$E:$E)</f>
        <v>29</v>
      </c>
      <c r="N1930">
        <v>5.3116534782565721E-2</v>
      </c>
    </row>
    <row r="1931" spans="1:14">
      <c r="A1931" t="s">
        <v>252</v>
      </c>
      <c r="B1931" t="str">
        <f>_xlfn.XLOOKUP(A1931,'[1]Tissue Data'!$A:$A,'[1]Tissue Data'!$C:$C)</f>
        <v>Spill</v>
      </c>
      <c r="C1931" s="2">
        <f>_xlfn.XLOOKUP(A1931,'[1]Tissue Data'!$A:$A,'[1]Tissue Data'!$D:$D)</f>
        <v>44314</v>
      </c>
      <c r="D1931" s="2" t="str">
        <f>_xlfn.XLOOKUP(A1931,'[1]Tissue Data'!$A:$A,'[1]Tissue Data'!$F:$F)</f>
        <v>Pumpkinseed</v>
      </c>
      <c r="E1931" t="str">
        <f>_xlfn.XLOOKUP(A1931,'[1]Tissue Data'!$A:$A,'[1]Tissue Data'!$H:$H)</f>
        <v>Lepomis</v>
      </c>
      <c r="F1931" t="str">
        <f>_xlfn.XLOOKUP(A1931,'[1]Tissue Data'!$A:$A,'[1]Tissue Data'!$I:$I)</f>
        <v>gibbosus</v>
      </c>
      <c r="G1931" t="str">
        <f>_xlfn.XLOOKUP(A1931,'[1]Tissue Data'!$A:$A,'[1]Tissue Data'!J:J)</f>
        <v>U</v>
      </c>
      <c r="H1931" t="str">
        <f>_xlfn.XLOOKUP(A1931,'[1]Tissue Data'!$A:$A,'[1]Tissue Data'!K:K)</f>
        <v>Whole Body</v>
      </c>
      <c r="I1931">
        <f>_xlfn.XLOOKUP(A1931,'[1]Tissue Data'!$A:$A,'[1]Tissue Data'!L:L)</f>
        <v>4.75</v>
      </c>
      <c r="J1931">
        <f>_xlfn.XLOOKUP(A1931,'[1]Tissue Data'!$A:$A,'[1]Tissue Data'!M:M)</f>
        <v>4.1500000000000004</v>
      </c>
      <c r="K1931" t="s">
        <v>41</v>
      </c>
      <c r="L1931" t="str">
        <f>_xlfn.XLOOKUP(K1931,[2]analyte_order!$B:$B,[2]analyte_order!$C:$C)</f>
        <v>2355-31-9</v>
      </c>
      <c r="M1931">
        <f>_xlfn.XLOOKUP(L1931,[2]analyte_order!$C:$C,[2]analyte_order!$E:$E)</f>
        <v>26</v>
      </c>
      <c r="N1931">
        <v>6.7794366966297689E-2</v>
      </c>
    </row>
    <row r="1932" spans="1:14">
      <c r="A1932" t="s">
        <v>252</v>
      </c>
      <c r="B1932" t="str">
        <f>_xlfn.XLOOKUP(A1932,'[1]Tissue Data'!$A:$A,'[1]Tissue Data'!$C:$C)</f>
        <v>Spill</v>
      </c>
      <c r="C1932" s="2">
        <f>_xlfn.XLOOKUP(A1932,'[1]Tissue Data'!$A:$A,'[1]Tissue Data'!$D:$D)</f>
        <v>44314</v>
      </c>
      <c r="D1932" s="2" t="str">
        <f>_xlfn.XLOOKUP(A1932,'[1]Tissue Data'!$A:$A,'[1]Tissue Data'!$F:$F)</f>
        <v>Pumpkinseed</v>
      </c>
      <c r="E1932" t="str">
        <f>_xlfn.XLOOKUP(A1932,'[1]Tissue Data'!$A:$A,'[1]Tissue Data'!$H:$H)</f>
        <v>Lepomis</v>
      </c>
      <c r="F1932" t="str">
        <f>_xlfn.XLOOKUP(A1932,'[1]Tissue Data'!$A:$A,'[1]Tissue Data'!$I:$I)</f>
        <v>gibbosus</v>
      </c>
      <c r="G1932" t="str">
        <f>_xlfn.XLOOKUP(A1932,'[1]Tissue Data'!$A:$A,'[1]Tissue Data'!J:J)</f>
        <v>U</v>
      </c>
      <c r="H1932" t="str">
        <f>_xlfn.XLOOKUP(A1932,'[1]Tissue Data'!$A:$A,'[1]Tissue Data'!K:K)</f>
        <v>Whole Body</v>
      </c>
      <c r="I1932">
        <f>_xlfn.XLOOKUP(A1932,'[1]Tissue Data'!$A:$A,'[1]Tissue Data'!L:L)</f>
        <v>4.75</v>
      </c>
      <c r="J1932">
        <f>_xlfn.XLOOKUP(A1932,'[1]Tissue Data'!$A:$A,'[1]Tissue Data'!M:M)</f>
        <v>4.1500000000000004</v>
      </c>
      <c r="K1932" t="s">
        <v>42</v>
      </c>
      <c r="L1932" t="str">
        <f>_xlfn.XLOOKUP(K1932,[2]analyte_order!$B:$B,[2]analyte_order!$C:$C)</f>
        <v>2991-50-6</v>
      </c>
      <c r="M1932">
        <f>_xlfn.XLOOKUP(L1932,[2]analyte_order!$C:$C,[2]analyte_order!$E:$E)</f>
        <v>27</v>
      </c>
      <c r="N1932">
        <v>5.8490974591322395E-2</v>
      </c>
    </row>
    <row r="1933" spans="1:14">
      <c r="A1933" t="s">
        <v>252</v>
      </c>
      <c r="B1933" t="str">
        <f>_xlfn.XLOOKUP(A1933,'[1]Tissue Data'!$A:$A,'[1]Tissue Data'!$C:$C)</f>
        <v>Spill</v>
      </c>
      <c r="C1933" s="2">
        <f>_xlfn.XLOOKUP(A1933,'[1]Tissue Data'!$A:$A,'[1]Tissue Data'!$D:$D)</f>
        <v>44314</v>
      </c>
      <c r="D1933" s="2" t="str">
        <f>_xlfn.XLOOKUP(A1933,'[1]Tissue Data'!$A:$A,'[1]Tissue Data'!$F:$F)</f>
        <v>Pumpkinseed</v>
      </c>
      <c r="E1933" t="str">
        <f>_xlfn.XLOOKUP(A1933,'[1]Tissue Data'!$A:$A,'[1]Tissue Data'!$H:$H)</f>
        <v>Lepomis</v>
      </c>
      <c r="F1933" t="str">
        <f>_xlfn.XLOOKUP(A1933,'[1]Tissue Data'!$A:$A,'[1]Tissue Data'!$I:$I)</f>
        <v>gibbosus</v>
      </c>
      <c r="G1933" t="str">
        <f>_xlfn.XLOOKUP(A1933,'[1]Tissue Data'!$A:$A,'[1]Tissue Data'!J:J)</f>
        <v>U</v>
      </c>
      <c r="H1933" t="str">
        <f>_xlfn.XLOOKUP(A1933,'[1]Tissue Data'!$A:$A,'[1]Tissue Data'!K:K)</f>
        <v>Whole Body</v>
      </c>
      <c r="I1933">
        <f>_xlfn.XLOOKUP(A1933,'[1]Tissue Data'!$A:$A,'[1]Tissue Data'!L:L)</f>
        <v>4.75</v>
      </c>
      <c r="J1933">
        <f>_xlfn.XLOOKUP(A1933,'[1]Tissue Data'!$A:$A,'[1]Tissue Data'!M:M)</f>
        <v>4.1500000000000004</v>
      </c>
      <c r="K1933" t="s">
        <v>43</v>
      </c>
      <c r="L1933" t="str">
        <f>_xlfn.XLOOKUP(K1933,[2]analyte_order!$B:$B,[2]analyte_order!$C:$C)</f>
        <v>757124-72-4</v>
      </c>
      <c r="M1933">
        <f>_xlfn.XLOOKUP(L1933,[2]analyte_order!$C:$C,[2]analyte_order!$E:$E)</f>
        <v>22</v>
      </c>
      <c r="N1933">
        <v>5.5350624805297489E-2</v>
      </c>
    </row>
    <row r="1934" spans="1:14">
      <c r="A1934" t="s">
        <v>252</v>
      </c>
      <c r="B1934" t="str">
        <f>_xlfn.XLOOKUP(A1934,'[1]Tissue Data'!$A:$A,'[1]Tissue Data'!$C:$C)</f>
        <v>Spill</v>
      </c>
      <c r="C1934" s="2">
        <f>_xlfn.XLOOKUP(A1934,'[1]Tissue Data'!$A:$A,'[1]Tissue Data'!$D:$D)</f>
        <v>44314</v>
      </c>
      <c r="D1934" s="2" t="str">
        <f>_xlfn.XLOOKUP(A1934,'[1]Tissue Data'!$A:$A,'[1]Tissue Data'!$F:$F)</f>
        <v>Pumpkinseed</v>
      </c>
      <c r="E1934" t="str">
        <f>_xlfn.XLOOKUP(A1934,'[1]Tissue Data'!$A:$A,'[1]Tissue Data'!$H:$H)</f>
        <v>Lepomis</v>
      </c>
      <c r="F1934" t="str">
        <f>_xlfn.XLOOKUP(A1934,'[1]Tissue Data'!$A:$A,'[1]Tissue Data'!$I:$I)</f>
        <v>gibbosus</v>
      </c>
      <c r="G1934" t="str">
        <f>_xlfn.XLOOKUP(A1934,'[1]Tissue Data'!$A:$A,'[1]Tissue Data'!J:J)</f>
        <v>U</v>
      </c>
      <c r="H1934" t="str">
        <f>_xlfn.XLOOKUP(A1934,'[1]Tissue Data'!$A:$A,'[1]Tissue Data'!K:K)</f>
        <v>Whole Body</v>
      </c>
      <c r="I1934">
        <f>_xlfn.XLOOKUP(A1934,'[1]Tissue Data'!$A:$A,'[1]Tissue Data'!L:L)</f>
        <v>4.75</v>
      </c>
      <c r="J1934">
        <f>_xlfn.XLOOKUP(A1934,'[1]Tissue Data'!$A:$A,'[1]Tissue Data'!M:M)</f>
        <v>4.1500000000000004</v>
      </c>
      <c r="K1934" t="s">
        <v>44</v>
      </c>
      <c r="L1934" t="str">
        <f>_xlfn.XLOOKUP(K1934,[2]analyte_order!$B:$B,[2]analyte_order!$C:$C)</f>
        <v>27619-97-2</v>
      </c>
      <c r="M1934">
        <f>_xlfn.XLOOKUP(L1934,[2]analyte_order!$C:$C,[2]analyte_order!$E:$E)</f>
        <v>23</v>
      </c>
      <c r="N1934">
        <v>0.36699999999999999</v>
      </c>
    </row>
    <row r="1935" spans="1:14">
      <c r="A1935" t="s">
        <v>252</v>
      </c>
      <c r="B1935" t="str">
        <f>_xlfn.XLOOKUP(A1935,'[1]Tissue Data'!$A:$A,'[1]Tissue Data'!$C:$C)</f>
        <v>Spill</v>
      </c>
      <c r="C1935" s="2">
        <f>_xlfn.XLOOKUP(A1935,'[1]Tissue Data'!$A:$A,'[1]Tissue Data'!$D:$D)</f>
        <v>44314</v>
      </c>
      <c r="D1935" s="2" t="str">
        <f>_xlfn.XLOOKUP(A1935,'[1]Tissue Data'!$A:$A,'[1]Tissue Data'!$F:$F)</f>
        <v>Pumpkinseed</v>
      </c>
      <c r="E1935" t="str">
        <f>_xlfn.XLOOKUP(A1935,'[1]Tissue Data'!$A:$A,'[1]Tissue Data'!$H:$H)</f>
        <v>Lepomis</v>
      </c>
      <c r="F1935" t="str">
        <f>_xlfn.XLOOKUP(A1935,'[1]Tissue Data'!$A:$A,'[1]Tissue Data'!$I:$I)</f>
        <v>gibbosus</v>
      </c>
      <c r="G1935" t="str">
        <f>_xlfn.XLOOKUP(A1935,'[1]Tissue Data'!$A:$A,'[1]Tissue Data'!J:J)</f>
        <v>U</v>
      </c>
      <c r="H1935" t="str">
        <f>_xlfn.XLOOKUP(A1935,'[1]Tissue Data'!$A:$A,'[1]Tissue Data'!K:K)</f>
        <v>Whole Body</v>
      </c>
      <c r="I1935">
        <f>_xlfn.XLOOKUP(A1935,'[1]Tissue Data'!$A:$A,'[1]Tissue Data'!L:L)</f>
        <v>4.75</v>
      </c>
      <c r="J1935">
        <f>_xlfn.XLOOKUP(A1935,'[1]Tissue Data'!$A:$A,'[1]Tissue Data'!M:M)</f>
        <v>4.1500000000000004</v>
      </c>
      <c r="K1935" t="s">
        <v>45</v>
      </c>
      <c r="L1935" t="str">
        <f>_xlfn.XLOOKUP(K1935,[2]analyte_order!$B:$B,[2]analyte_order!$C:$C)</f>
        <v>39108-34-4</v>
      </c>
      <c r="M1935">
        <f>_xlfn.XLOOKUP(L1935,[2]analyte_order!$C:$C,[2]analyte_order!$E:$E)</f>
        <v>24</v>
      </c>
      <c r="N1935">
        <v>0.94099999999999995</v>
      </c>
    </row>
    <row r="1936" spans="1:14">
      <c r="A1936" t="s">
        <v>252</v>
      </c>
      <c r="B1936" t="str">
        <f>_xlfn.XLOOKUP(A1936,'[1]Tissue Data'!$A:$A,'[1]Tissue Data'!$C:$C)</f>
        <v>Spill</v>
      </c>
      <c r="C1936" s="2">
        <f>_xlfn.XLOOKUP(A1936,'[1]Tissue Data'!$A:$A,'[1]Tissue Data'!$D:$D)</f>
        <v>44314</v>
      </c>
      <c r="D1936" s="2" t="str">
        <f>_xlfn.XLOOKUP(A1936,'[1]Tissue Data'!$A:$A,'[1]Tissue Data'!$F:$F)</f>
        <v>Pumpkinseed</v>
      </c>
      <c r="E1936" t="str">
        <f>_xlfn.XLOOKUP(A1936,'[1]Tissue Data'!$A:$A,'[1]Tissue Data'!$H:$H)</f>
        <v>Lepomis</v>
      </c>
      <c r="F1936" t="str">
        <f>_xlfn.XLOOKUP(A1936,'[1]Tissue Data'!$A:$A,'[1]Tissue Data'!$I:$I)</f>
        <v>gibbosus</v>
      </c>
      <c r="G1936" t="str">
        <f>_xlfn.XLOOKUP(A1936,'[1]Tissue Data'!$A:$A,'[1]Tissue Data'!J:J)</f>
        <v>U</v>
      </c>
      <c r="H1936" t="str">
        <f>_xlfn.XLOOKUP(A1936,'[1]Tissue Data'!$A:$A,'[1]Tissue Data'!K:K)</f>
        <v>Whole Body</v>
      </c>
      <c r="I1936">
        <f>_xlfn.XLOOKUP(A1936,'[1]Tissue Data'!$A:$A,'[1]Tissue Data'!L:L)</f>
        <v>4.75</v>
      </c>
      <c r="J1936">
        <f>_xlfn.XLOOKUP(A1936,'[1]Tissue Data'!$A:$A,'[1]Tissue Data'!M:M)</f>
        <v>4.1500000000000004</v>
      </c>
      <c r="K1936" t="s">
        <v>46</v>
      </c>
      <c r="L1936" t="str">
        <f>_xlfn.XLOOKUP(K1936,[2]analyte_order!$B:$B,[2]analyte_order!$C:$C)</f>
        <v>120226-60-0</v>
      </c>
      <c r="M1936">
        <f>_xlfn.XLOOKUP(L1936,[2]analyte_order!$C:$C,[2]analyte_order!$E:$E)</f>
        <v>25</v>
      </c>
      <c r="N1936">
        <v>7.6515224747973898E-2</v>
      </c>
    </row>
    <row r="1937" spans="1:14">
      <c r="A1937" t="s">
        <v>252</v>
      </c>
      <c r="B1937" t="str">
        <f>_xlfn.XLOOKUP(A1937,'[1]Tissue Data'!$A:$A,'[1]Tissue Data'!$C:$C)</f>
        <v>Spill</v>
      </c>
      <c r="C1937" s="2">
        <f>_xlfn.XLOOKUP(A1937,'[1]Tissue Data'!$A:$A,'[1]Tissue Data'!$D:$D)</f>
        <v>44314</v>
      </c>
      <c r="D1937" s="2" t="str">
        <f>_xlfn.XLOOKUP(A1937,'[1]Tissue Data'!$A:$A,'[1]Tissue Data'!$F:$F)</f>
        <v>Pumpkinseed</v>
      </c>
      <c r="E1937" t="str">
        <f>_xlfn.XLOOKUP(A1937,'[1]Tissue Data'!$A:$A,'[1]Tissue Data'!$H:$H)</f>
        <v>Lepomis</v>
      </c>
      <c r="F1937" t="str">
        <f>_xlfn.XLOOKUP(A1937,'[1]Tissue Data'!$A:$A,'[1]Tissue Data'!$I:$I)</f>
        <v>gibbosus</v>
      </c>
      <c r="G1937" t="str">
        <f>_xlfn.XLOOKUP(A1937,'[1]Tissue Data'!$A:$A,'[1]Tissue Data'!J:J)</f>
        <v>U</v>
      </c>
      <c r="H1937" t="str">
        <f>_xlfn.XLOOKUP(A1937,'[1]Tissue Data'!$A:$A,'[1]Tissue Data'!K:K)</f>
        <v>Whole Body</v>
      </c>
      <c r="I1937">
        <f>_xlfn.XLOOKUP(A1937,'[1]Tissue Data'!$A:$A,'[1]Tissue Data'!L:L)</f>
        <v>4.75</v>
      </c>
      <c r="J1937">
        <f>_xlfn.XLOOKUP(A1937,'[1]Tissue Data'!$A:$A,'[1]Tissue Data'!M:M)</f>
        <v>4.1500000000000004</v>
      </c>
      <c r="K1937" t="s">
        <v>47</v>
      </c>
      <c r="L1937" t="str">
        <f>_xlfn.XLOOKUP(K1937,[2]analyte_order!$B:$B,[2]analyte_order!$C:$C)</f>
        <v>356-02-5</v>
      </c>
      <c r="M1937">
        <f>_xlfn.XLOOKUP(L1937,[2]analyte_order!$C:$C,[2]analyte_order!$E:$E)</f>
        <v>38</v>
      </c>
      <c r="N1937">
        <v>7.7729755690353813E-2</v>
      </c>
    </row>
    <row r="1938" spans="1:14">
      <c r="A1938" t="s">
        <v>252</v>
      </c>
      <c r="B1938" t="str">
        <f>_xlfn.XLOOKUP(A1938,'[1]Tissue Data'!$A:$A,'[1]Tissue Data'!$C:$C)</f>
        <v>Spill</v>
      </c>
      <c r="C1938" s="2">
        <f>_xlfn.XLOOKUP(A1938,'[1]Tissue Data'!$A:$A,'[1]Tissue Data'!$D:$D)</f>
        <v>44314</v>
      </c>
      <c r="D1938" s="2" t="str">
        <f>_xlfn.XLOOKUP(A1938,'[1]Tissue Data'!$A:$A,'[1]Tissue Data'!$F:$F)</f>
        <v>Pumpkinseed</v>
      </c>
      <c r="E1938" t="str">
        <f>_xlfn.XLOOKUP(A1938,'[1]Tissue Data'!$A:$A,'[1]Tissue Data'!$H:$H)</f>
        <v>Lepomis</v>
      </c>
      <c r="F1938" t="str">
        <f>_xlfn.XLOOKUP(A1938,'[1]Tissue Data'!$A:$A,'[1]Tissue Data'!$I:$I)</f>
        <v>gibbosus</v>
      </c>
      <c r="G1938" t="str">
        <f>_xlfn.XLOOKUP(A1938,'[1]Tissue Data'!$A:$A,'[1]Tissue Data'!J:J)</f>
        <v>U</v>
      </c>
      <c r="H1938" t="str">
        <f>_xlfn.XLOOKUP(A1938,'[1]Tissue Data'!$A:$A,'[1]Tissue Data'!K:K)</f>
        <v>Whole Body</v>
      </c>
      <c r="I1938">
        <f>_xlfn.XLOOKUP(A1938,'[1]Tissue Data'!$A:$A,'[1]Tissue Data'!L:L)</f>
        <v>4.75</v>
      </c>
      <c r="J1938">
        <f>_xlfn.XLOOKUP(A1938,'[1]Tissue Data'!$A:$A,'[1]Tissue Data'!M:M)</f>
        <v>4.1500000000000004</v>
      </c>
      <c r="K1938" t="s">
        <v>48</v>
      </c>
      <c r="L1938" t="str">
        <f>_xlfn.XLOOKUP(K1938,[2]analyte_order!$B:$B,[2]analyte_order!$C:$C)</f>
        <v>914637-49-3</v>
      </c>
      <c r="M1938">
        <f>_xlfn.XLOOKUP(L1938,[2]analyte_order!$C:$C,[2]analyte_order!$E:$E)</f>
        <v>39</v>
      </c>
      <c r="N1938">
        <v>0.18289253576303316</v>
      </c>
    </row>
    <row r="1939" spans="1:14">
      <c r="A1939" t="s">
        <v>252</v>
      </c>
      <c r="B1939" t="str">
        <f>_xlfn.XLOOKUP(A1939,'[1]Tissue Data'!$A:$A,'[1]Tissue Data'!$C:$C)</f>
        <v>Spill</v>
      </c>
      <c r="C1939" s="2">
        <f>_xlfn.XLOOKUP(A1939,'[1]Tissue Data'!$A:$A,'[1]Tissue Data'!$D:$D)</f>
        <v>44314</v>
      </c>
      <c r="D1939" s="2" t="str">
        <f>_xlfn.XLOOKUP(A1939,'[1]Tissue Data'!$A:$A,'[1]Tissue Data'!$F:$F)</f>
        <v>Pumpkinseed</v>
      </c>
      <c r="E1939" t="str">
        <f>_xlfn.XLOOKUP(A1939,'[1]Tissue Data'!$A:$A,'[1]Tissue Data'!$H:$H)</f>
        <v>Lepomis</v>
      </c>
      <c r="F1939" t="str">
        <f>_xlfn.XLOOKUP(A1939,'[1]Tissue Data'!$A:$A,'[1]Tissue Data'!$I:$I)</f>
        <v>gibbosus</v>
      </c>
      <c r="G1939" t="str">
        <f>_xlfn.XLOOKUP(A1939,'[1]Tissue Data'!$A:$A,'[1]Tissue Data'!J:J)</f>
        <v>U</v>
      </c>
      <c r="H1939" t="str">
        <f>_xlfn.XLOOKUP(A1939,'[1]Tissue Data'!$A:$A,'[1]Tissue Data'!K:K)</f>
        <v>Whole Body</v>
      </c>
      <c r="I1939">
        <f>_xlfn.XLOOKUP(A1939,'[1]Tissue Data'!$A:$A,'[1]Tissue Data'!L:L)</f>
        <v>4.75</v>
      </c>
      <c r="J1939">
        <f>_xlfn.XLOOKUP(A1939,'[1]Tissue Data'!$A:$A,'[1]Tissue Data'!M:M)</f>
        <v>4.1500000000000004</v>
      </c>
      <c r="K1939" t="s">
        <v>49</v>
      </c>
      <c r="L1939" t="str">
        <f>_xlfn.XLOOKUP(K1939,[2]analyte_order!$B:$B,[2]analyte_order!$C:$C)</f>
        <v>812-70-4</v>
      </c>
      <c r="M1939">
        <f>_xlfn.XLOOKUP(L1939,[2]analyte_order!$C:$C,[2]analyte_order!$E:$E)</f>
        <v>40</v>
      </c>
      <c r="N1939">
        <v>1.53</v>
      </c>
    </row>
    <row r="1940" spans="1:14">
      <c r="A1940" t="s">
        <v>252</v>
      </c>
      <c r="B1940" t="str">
        <f>_xlfn.XLOOKUP(A1940,'[1]Tissue Data'!$A:$A,'[1]Tissue Data'!$C:$C)</f>
        <v>Spill</v>
      </c>
      <c r="C1940" s="2">
        <f>_xlfn.XLOOKUP(A1940,'[1]Tissue Data'!$A:$A,'[1]Tissue Data'!$D:$D)</f>
        <v>44314</v>
      </c>
      <c r="D1940" s="2" t="str">
        <f>_xlfn.XLOOKUP(A1940,'[1]Tissue Data'!$A:$A,'[1]Tissue Data'!$F:$F)</f>
        <v>Pumpkinseed</v>
      </c>
      <c r="E1940" t="str">
        <f>_xlfn.XLOOKUP(A1940,'[1]Tissue Data'!$A:$A,'[1]Tissue Data'!$H:$H)</f>
        <v>Lepomis</v>
      </c>
      <c r="F1940" t="str">
        <f>_xlfn.XLOOKUP(A1940,'[1]Tissue Data'!$A:$A,'[1]Tissue Data'!$I:$I)</f>
        <v>gibbosus</v>
      </c>
      <c r="G1940" t="str">
        <f>_xlfn.XLOOKUP(A1940,'[1]Tissue Data'!$A:$A,'[1]Tissue Data'!J:J)</f>
        <v>U</v>
      </c>
      <c r="H1940" t="str">
        <f>_xlfn.XLOOKUP(A1940,'[1]Tissue Data'!$A:$A,'[1]Tissue Data'!K:K)</f>
        <v>Whole Body</v>
      </c>
      <c r="I1940">
        <f>_xlfn.XLOOKUP(A1940,'[1]Tissue Data'!$A:$A,'[1]Tissue Data'!L:L)</f>
        <v>4.75</v>
      </c>
      <c r="J1940">
        <f>_xlfn.XLOOKUP(A1940,'[1]Tissue Data'!$A:$A,'[1]Tissue Data'!M:M)</f>
        <v>4.1500000000000004</v>
      </c>
      <c r="K1940" t="s">
        <v>50</v>
      </c>
      <c r="L1940" t="str">
        <f>_xlfn.XLOOKUP(K1940,[2]analyte_order!$B:$B,[2]analyte_order!$C:$C)</f>
        <v>53826-12-3</v>
      </c>
      <c r="M1940">
        <f>_xlfn.XLOOKUP(L1940,[2]analyte_order!$C:$C,[2]analyte_order!$E:$E)</f>
        <v>41</v>
      </c>
      <c r="N1940">
        <v>2.21</v>
      </c>
    </row>
    <row r="1941" spans="1:14">
      <c r="A1941" t="s">
        <v>252</v>
      </c>
      <c r="B1941" t="str">
        <f>_xlfn.XLOOKUP(A1941,'[1]Tissue Data'!$A:$A,'[1]Tissue Data'!$C:$C)</f>
        <v>Spill</v>
      </c>
      <c r="C1941" s="2">
        <f>_xlfn.XLOOKUP(A1941,'[1]Tissue Data'!$A:$A,'[1]Tissue Data'!$D:$D)</f>
        <v>44314</v>
      </c>
      <c r="D1941" s="2" t="str">
        <f>_xlfn.XLOOKUP(A1941,'[1]Tissue Data'!$A:$A,'[1]Tissue Data'!$F:$F)</f>
        <v>Pumpkinseed</v>
      </c>
      <c r="E1941" t="str">
        <f>_xlfn.XLOOKUP(A1941,'[1]Tissue Data'!$A:$A,'[1]Tissue Data'!$H:$H)</f>
        <v>Lepomis</v>
      </c>
      <c r="F1941" t="str">
        <f>_xlfn.XLOOKUP(A1941,'[1]Tissue Data'!$A:$A,'[1]Tissue Data'!$I:$I)</f>
        <v>gibbosus</v>
      </c>
      <c r="G1941" t="str">
        <f>_xlfn.XLOOKUP(A1941,'[1]Tissue Data'!$A:$A,'[1]Tissue Data'!J:J)</f>
        <v>U</v>
      </c>
      <c r="H1941" t="str">
        <f>_xlfn.XLOOKUP(A1941,'[1]Tissue Data'!$A:$A,'[1]Tissue Data'!K:K)</f>
        <v>Whole Body</v>
      </c>
      <c r="I1941">
        <f>_xlfn.XLOOKUP(A1941,'[1]Tissue Data'!$A:$A,'[1]Tissue Data'!L:L)</f>
        <v>4.75</v>
      </c>
      <c r="J1941">
        <f>_xlfn.XLOOKUP(A1941,'[1]Tissue Data'!$A:$A,'[1]Tissue Data'!M:M)</f>
        <v>4.1500000000000004</v>
      </c>
      <c r="K1941" t="s">
        <v>51</v>
      </c>
      <c r="L1941" t="str">
        <f>_xlfn.XLOOKUP(K1941,[2]analyte_order!$B:$B,[2]analyte_order!$C:$C)</f>
        <v>27854-31-5</v>
      </c>
      <c r="M1941">
        <f>_xlfn.XLOOKUP(L1941,[2]analyte_order!$C:$C,[2]analyte_order!$E:$E)</f>
        <v>42</v>
      </c>
      <c r="N1941">
        <v>2.6954662258081907E-2</v>
      </c>
    </row>
    <row r="1942" spans="1:14">
      <c r="A1942" t="s">
        <v>252</v>
      </c>
      <c r="B1942" t="str">
        <f>_xlfn.XLOOKUP(A1942,'[1]Tissue Data'!$A:$A,'[1]Tissue Data'!$C:$C)</f>
        <v>Spill</v>
      </c>
      <c r="C1942" s="2">
        <f>_xlfn.XLOOKUP(A1942,'[1]Tissue Data'!$A:$A,'[1]Tissue Data'!$D:$D)</f>
        <v>44314</v>
      </c>
      <c r="D1942" s="2" t="str">
        <f>_xlfn.XLOOKUP(A1942,'[1]Tissue Data'!$A:$A,'[1]Tissue Data'!$F:$F)</f>
        <v>Pumpkinseed</v>
      </c>
      <c r="E1942" t="str">
        <f>_xlfn.XLOOKUP(A1942,'[1]Tissue Data'!$A:$A,'[1]Tissue Data'!$H:$H)</f>
        <v>Lepomis</v>
      </c>
      <c r="F1942" t="str">
        <f>_xlfn.XLOOKUP(A1942,'[1]Tissue Data'!$A:$A,'[1]Tissue Data'!$I:$I)</f>
        <v>gibbosus</v>
      </c>
      <c r="G1942" t="str">
        <f>_xlfn.XLOOKUP(A1942,'[1]Tissue Data'!$A:$A,'[1]Tissue Data'!J:J)</f>
        <v>U</v>
      </c>
      <c r="H1942" t="str">
        <f>_xlfn.XLOOKUP(A1942,'[1]Tissue Data'!$A:$A,'[1]Tissue Data'!K:K)</f>
        <v>Whole Body</v>
      </c>
      <c r="I1942">
        <f>_xlfn.XLOOKUP(A1942,'[1]Tissue Data'!$A:$A,'[1]Tissue Data'!L:L)</f>
        <v>4.75</v>
      </c>
      <c r="J1942">
        <f>_xlfn.XLOOKUP(A1942,'[1]Tissue Data'!$A:$A,'[1]Tissue Data'!M:M)</f>
        <v>4.1500000000000004</v>
      </c>
      <c r="K1942" t="s">
        <v>52</v>
      </c>
      <c r="L1942" t="str">
        <f>_xlfn.XLOOKUP(K1942,[2]analyte_order!$B:$B,[2]analyte_order!$C:$C)</f>
        <v>53826-13-4</v>
      </c>
      <c r="M1942">
        <f>_xlfn.XLOOKUP(L1942,[2]analyte_order!$C:$C,[2]analyte_order!$E:$E)</f>
        <v>43</v>
      </c>
      <c r="N1942">
        <v>0.10055386267987745</v>
      </c>
    </row>
    <row r="1943" spans="1:14">
      <c r="A1943" t="s">
        <v>252</v>
      </c>
      <c r="B1943" t="str">
        <f>_xlfn.XLOOKUP(A1943,'[1]Tissue Data'!$A:$A,'[1]Tissue Data'!$C:$C)</f>
        <v>Spill</v>
      </c>
      <c r="C1943" s="2">
        <f>_xlfn.XLOOKUP(A1943,'[1]Tissue Data'!$A:$A,'[1]Tissue Data'!$D:$D)</f>
        <v>44314</v>
      </c>
      <c r="D1943" s="2" t="str">
        <f>_xlfn.XLOOKUP(A1943,'[1]Tissue Data'!$A:$A,'[1]Tissue Data'!$F:$F)</f>
        <v>Pumpkinseed</v>
      </c>
      <c r="E1943" t="str">
        <f>_xlfn.XLOOKUP(A1943,'[1]Tissue Data'!$A:$A,'[1]Tissue Data'!$H:$H)</f>
        <v>Lepomis</v>
      </c>
      <c r="F1943" t="str">
        <f>_xlfn.XLOOKUP(A1943,'[1]Tissue Data'!$A:$A,'[1]Tissue Data'!$I:$I)</f>
        <v>gibbosus</v>
      </c>
      <c r="G1943" t="str">
        <f>_xlfn.XLOOKUP(A1943,'[1]Tissue Data'!$A:$A,'[1]Tissue Data'!J:J)</f>
        <v>U</v>
      </c>
      <c r="H1943" t="str">
        <f>_xlfn.XLOOKUP(A1943,'[1]Tissue Data'!$A:$A,'[1]Tissue Data'!K:K)</f>
        <v>Whole Body</v>
      </c>
      <c r="I1943">
        <f>_xlfn.XLOOKUP(A1943,'[1]Tissue Data'!$A:$A,'[1]Tissue Data'!L:L)</f>
        <v>4.75</v>
      </c>
      <c r="J1943">
        <f>_xlfn.XLOOKUP(A1943,'[1]Tissue Data'!$A:$A,'[1]Tissue Data'!M:M)</f>
        <v>4.1500000000000004</v>
      </c>
      <c r="K1943" t="s">
        <v>53</v>
      </c>
      <c r="L1943" t="str">
        <f>_xlfn.XLOOKUP(K1943,[2]analyte_order!$B:$B,[2]analyte_order!$C:$C)</f>
        <v>161094-75-3</v>
      </c>
      <c r="M1943">
        <f>_xlfn.XLOOKUP(L1943,[2]analyte_order!$C:$C,[2]analyte_order!$E:$E)</f>
        <v>44</v>
      </c>
      <c r="N1943">
        <v>5.2911769403044075E-2</v>
      </c>
    </row>
    <row r="1944" spans="1:14">
      <c r="A1944" t="s">
        <v>252</v>
      </c>
      <c r="B1944" t="str">
        <f>_xlfn.XLOOKUP(A1944,'[1]Tissue Data'!$A:$A,'[1]Tissue Data'!$C:$C)</f>
        <v>Spill</v>
      </c>
      <c r="C1944" s="2">
        <f>_xlfn.XLOOKUP(A1944,'[1]Tissue Data'!$A:$A,'[1]Tissue Data'!$D:$D)</f>
        <v>44314</v>
      </c>
      <c r="D1944" s="2" t="str">
        <f>_xlfn.XLOOKUP(A1944,'[1]Tissue Data'!$A:$A,'[1]Tissue Data'!$F:$F)</f>
        <v>Pumpkinseed</v>
      </c>
      <c r="E1944" t="str">
        <f>_xlfn.XLOOKUP(A1944,'[1]Tissue Data'!$A:$A,'[1]Tissue Data'!$H:$H)</f>
        <v>Lepomis</v>
      </c>
      <c r="F1944" t="str">
        <f>_xlfn.XLOOKUP(A1944,'[1]Tissue Data'!$A:$A,'[1]Tissue Data'!$I:$I)</f>
        <v>gibbosus</v>
      </c>
      <c r="G1944" t="str">
        <f>_xlfn.XLOOKUP(A1944,'[1]Tissue Data'!$A:$A,'[1]Tissue Data'!J:J)</f>
        <v>U</v>
      </c>
      <c r="H1944" t="str">
        <f>_xlfn.XLOOKUP(A1944,'[1]Tissue Data'!$A:$A,'[1]Tissue Data'!K:K)</f>
        <v>Whole Body</v>
      </c>
      <c r="I1944">
        <f>_xlfn.XLOOKUP(A1944,'[1]Tissue Data'!$A:$A,'[1]Tissue Data'!L:L)</f>
        <v>4.75</v>
      </c>
      <c r="J1944">
        <f>_xlfn.XLOOKUP(A1944,'[1]Tissue Data'!$A:$A,'[1]Tissue Data'!M:M)</f>
        <v>4.1500000000000004</v>
      </c>
      <c r="K1944" t="s">
        <v>54</v>
      </c>
      <c r="L1944" t="str">
        <f>_xlfn.XLOOKUP(K1944,[2]analyte_order!$B:$B,[2]analyte_order!$C:$C)</f>
        <v>70887-84-2</v>
      </c>
      <c r="M1944">
        <f>_xlfn.XLOOKUP(L1944,[2]analyte_order!$C:$C,[2]analyte_order!$E:$E)</f>
        <v>45</v>
      </c>
      <c r="N1944">
        <v>4.0722061202460962E-2</v>
      </c>
    </row>
    <row r="1945" spans="1:14">
      <c r="A1945" t="s">
        <v>252</v>
      </c>
      <c r="B1945" t="str">
        <f>_xlfn.XLOOKUP(A1945,'[1]Tissue Data'!$A:$A,'[1]Tissue Data'!$C:$C)</f>
        <v>Spill</v>
      </c>
      <c r="C1945" s="2">
        <f>_xlfn.XLOOKUP(A1945,'[1]Tissue Data'!$A:$A,'[1]Tissue Data'!$D:$D)</f>
        <v>44314</v>
      </c>
      <c r="D1945" s="2" t="str">
        <f>_xlfn.XLOOKUP(A1945,'[1]Tissue Data'!$A:$A,'[1]Tissue Data'!$F:$F)</f>
        <v>Pumpkinseed</v>
      </c>
      <c r="E1945" t="str">
        <f>_xlfn.XLOOKUP(A1945,'[1]Tissue Data'!$A:$A,'[1]Tissue Data'!$H:$H)</f>
        <v>Lepomis</v>
      </c>
      <c r="F1945" t="str">
        <f>_xlfn.XLOOKUP(A1945,'[1]Tissue Data'!$A:$A,'[1]Tissue Data'!$I:$I)</f>
        <v>gibbosus</v>
      </c>
      <c r="G1945" t="str">
        <f>_xlfn.XLOOKUP(A1945,'[1]Tissue Data'!$A:$A,'[1]Tissue Data'!J:J)</f>
        <v>U</v>
      </c>
      <c r="H1945" t="str">
        <f>_xlfn.XLOOKUP(A1945,'[1]Tissue Data'!$A:$A,'[1]Tissue Data'!K:K)</f>
        <v>Whole Body</v>
      </c>
      <c r="I1945">
        <f>_xlfn.XLOOKUP(A1945,'[1]Tissue Data'!$A:$A,'[1]Tissue Data'!L:L)</f>
        <v>4.75</v>
      </c>
      <c r="J1945">
        <f>_xlfn.XLOOKUP(A1945,'[1]Tissue Data'!$A:$A,'[1]Tissue Data'!M:M)</f>
        <v>4.1500000000000004</v>
      </c>
      <c r="K1945" t="s">
        <v>55</v>
      </c>
      <c r="L1945" t="str">
        <f>_xlfn.XLOOKUP(K1945,[2]analyte_order!$B:$B,[2]analyte_order!$C:$C)</f>
        <v>919005-14-4</v>
      </c>
      <c r="M1945">
        <f>_xlfn.XLOOKUP(L1945,[2]analyte_order!$C:$C,[2]analyte_order!$E:$E)</f>
        <v>35</v>
      </c>
      <c r="N1945">
        <v>6.7386655645204754E-2</v>
      </c>
    </row>
    <row r="1946" spans="1:14">
      <c r="A1946" t="s">
        <v>252</v>
      </c>
      <c r="B1946" t="str">
        <f>_xlfn.XLOOKUP(A1946,'[1]Tissue Data'!$A:$A,'[1]Tissue Data'!$C:$C)</f>
        <v>Spill</v>
      </c>
      <c r="C1946" s="2">
        <f>_xlfn.XLOOKUP(A1946,'[1]Tissue Data'!$A:$A,'[1]Tissue Data'!$D:$D)</f>
        <v>44314</v>
      </c>
      <c r="D1946" s="2" t="str">
        <f>_xlfn.XLOOKUP(A1946,'[1]Tissue Data'!$A:$A,'[1]Tissue Data'!$F:$F)</f>
        <v>Pumpkinseed</v>
      </c>
      <c r="E1946" t="str">
        <f>_xlfn.XLOOKUP(A1946,'[1]Tissue Data'!$A:$A,'[1]Tissue Data'!$H:$H)</f>
        <v>Lepomis</v>
      </c>
      <c r="F1946" t="str">
        <f>_xlfn.XLOOKUP(A1946,'[1]Tissue Data'!$A:$A,'[1]Tissue Data'!$I:$I)</f>
        <v>gibbosus</v>
      </c>
      <c r="G1946" t="str">
        <f>_xlfn.XLOOKUP(A1946,'[1]Tissue Data'!$A:$A,'[1]Tissue Data'!J:J)</f>
        <v>U</v>
      </c>
      <c r="H1946" t="str">
        <f>_xlfn.XLOOKUP(A1946,'[1]Tissue Data'!$A:$A,'[1]Tissue Data'!K:K)</f>
        <v>Whole Body</v>
      </c>
      <c r="I1946">
        <f>_xlfn.XLOOKUP(A1946,'[1]Tissue Data'!$A:$A,'[1]Tissue Data'!L:L)</f>
        <v>4.75</v>
      </c>
      <c r="J1946">
        <f>_xlfn.XLOOKUP(A1946,'[1]Tissue Data'!$A:$A,'[1]Tissue Data'!M:M)</f>
        <v>4.1500000000000004</v>
      </c>
      <c r="K1946" t="s">
        <v>56</v>
      </c>
      <c r="L1946" t="str">
        <f>_xlfn.XLOOKUP(K1946,[2]analyte_order!$B:$B,[2]analyte_order!$C:$C)</f>
        <v>756426-58-1</v>
      </c>
      <c r="M1946">
        <f>_xlfn.XLOOKUP(L1946,[2]analyte_order!$C:$C,[2]analyte_order!$E:$E)</f>
        <v>36</v>
      </c>
      <c r="N1946">
        <v>4.6773525078572832E-2</v>
      </c>
    </row>
    <row r="1947" spans="1:14">
      <c r="A1947" t="s">
        <v>252</v>
      </c>
      <c r="B1947" t="str">
        <f>_xlfn.XLOOKUP(A1947,'[1]Tissue Data'!$A:$A,'[1]Tissue Data'!$C:$C)</f>
        <v>Spill</v>
      </c>
      <c r="C1947" s="2">
        <f>_xlfn.XLOOKUP(A1947,'[1]Tissue Data'!$A:$A,'[1]Tissue Data'!$D:$D)</f>
        <v>44314</v>
      </c>
      <c r="D1947" s="2" t="str">
        <f>_xlfn.XLOOKUP(A1947,'[1]Tissue Data'!$A:$A,'[1]Tissue Data'!$F:$F)</f>
        <v>Pumpkinseed</v>
      </c>
      <c r="E1947" t="str">
        <f>_xlfn.XLOOKUP(A1947,'[1]Tissue Data'!$A:$A,'[1]Tissue Data'!$H:$H)</f>
        <v>Lepomis</v>
      </c>
      <c r="F1947" t="str">
        <f>_xlfn.XLOOKUP(A1947,'[1]Tissue Data'!$A:$A,'[1]Tissue Data'!$I:$I)</f>
        <v>gibbosus</v>
      </c>
      <c r="G1947" t="str">
        <f>_xlfn.XLOOKUP(A1947,'[1]Tissue Data'!$A:$A,'[1]Tissue Data'!J:J)</f>
        <v>U</v>
      </c>
      <c r="H1947" t="str">
        <f>_xlfn.XLOOKUP(A1947,'[1]Tissue Data'!$A:$A,'[1]Tissue Data'!K:K)</f>
        <v>Whole Body</v>
      </c>
      <c r="I1947">
        <f>_xlfn.XLOOKUP(A1947,'[1]Tissue Data'!$A:$A,'[1]Tissue Data'!L:L)</f>
        <v>4.75</v>
      </c>
      <c r="J1947">
        <f>_xlfn.XLOOKUP(A1947,'[1]Tissue Data'!$A:$A,'[1]Tissue Data'!M:M)</f>
        <v>4.1500000000000004</v>
      </c>
      <c r="K1947" t="s">
        <v>57</v>
      </c>
      <c r="L1947" t="str">
        <f>_xlfn.XLOOKUP(K1947,[2]analyte_order!$B:$B,[2]analyte_order!$C:$C)</f>
        <v>763051-92-9</v>
      </c>
      <c r="M1947">
        <f>_xlfn.XLOOKUP(L1947,[2]analyte_order!$C:$C,[2]analyte_order!$E:$E)</f>
        <v>37</v>
      </c>
      <c r="N1947">
        <v>5.3100047530638468E-2</v>
      </c>
    </row>
    <row r="1948" spans="1:14">
      <c r="A1948" t="s">
        <v>252</v>
      </c>
      <c r="B1948" t="str">
        <f>_xlfn.XLOOKUP(A1948,'[1]Tissue Data'!$A:$A,'[1]Tissue Data'!$C:$C)</f>
        <v>Spill</v>
      </c>
      <c r="C1948" s="2">
        <f>_xlfn.XLOOKUP(A1948,'[1]Tissue Data'!$A:$A,'[1]Tissue Data'!$D:$D)</f>
        <v>44314</v>
      </c>
      <c r="D1948" s="2" t="str">
        <f>_xlfn.XLOOKUP(A1948,'[1]Tissue Data'!$A:$A,'[1]Tissue Data'!$F:$F)</f>
        <v>Pumpkinseed</v>
      </c>
      <c r="E1948" t="str">
        <f>_xlfn.XLOOKUP(A1948,'[1]Tissue Data'!$A:$A,'[1]Tissue Data'!$H:$H)</f>
        <v>Lepomis</v>
      </c>
      <c r="F1948" t="str">
        <f>_xlfn.XLOOKUP(A1948,'[1]Tissue Data'!$A:$A,'[1]Tissue Data'!$I:$I)</f>
        <v>gibbosus</v>
      </c>
      <c r="G1948" t="str">
        <f>_xlfn.XLOOKUP(A1948,'[1]Tissue Data'!$A:$A,'[1]Tissue Data'!J:J)</f>
        <v>U</v>
      </c>
      <c r="H1948" t="str">
        <f>_xlfn.XLOOKUP(A1948,'[1]Tissue Data'!$A:$A,'[1]Tissue Data'!K:K)</f>
        <v>Whole Body</v>
      </c>
      <c r="I1948">
        <f>_xlfn.XLOOKUP(A1948,'[1]Tissue Data'!$A:$A,'[1]Tissue Data'!L:L)</f>
        <v>4.75</v>
      </c>
      <c r="J1948">
        <f>_xlfn.XLOOKUP(A1948,'[1]Tissue Data'!$A:$A,'[1]Tissue Data'!M:M)</f>
        <v>4.1500000000000004</v>
      </c>
      <c r="K1948" t="s">
        <v>58</v>
      </c>
      <c r="L1948" t="str">
        <f>_xlfn.XLOOKUP(K1948,[2]analyte_order!$B:$B,[2]analyte_order!$C:$C)</f>
        <v>13252-13-6</v>
      </c>
      <c r="M1948">
        <f>_xlfn.XLOOKUP(L1948,[2]analyte_order!$C:$C,[2]analyte_order!$E:$E)</f>
        <v>34</v>
      </c>
      <c r="N1948">
        <v>9.6701775748665744E-2</v>
      </c>
    </row>
    <row r="1949" spans="1:14">
      <c r="A1949" t="s">
        <v>252</v>
      </c>
      <c r="B1949" t="str">
        <f>_xlfn.XLOOKUP(A1949,'[1]Tissue Data'!$A:$A,'[1]Tissue Data'!$C:$C)</f>
        <v>Spill</v>
      </c>
      <c r="C1949" s="2">
        <f>_xlfn.XLOOKUP(A1949,'[1]Tissue Data'!$A:$A,'[1]Tissue Data'!$D:$D)</f>
        <v>44314</v>
      </c>
      <c r="D1949" s="2" t="str">
        <f>_xlfn.XLOOKUP(A1949,'[1]Tissue Data'!$A:$A,'[1]Tissue Data'!$F:$F)</f>
        <v>Pumpkinseed</v>
      </c>
      <c r="E1949" t="str">
        <f>_xlfn.XLOOKUP(A1949,'[1]Tissue Data'!$A:$A,'[1]Tissue Data'!$H:$H)</f>
        <v>Lepomis</v>
      </c>
      <c r="F1949" t="str">
        <f>_xlfn.XLOOKUP(A1949,'[1]Tissue Data'!$A:$A,'[1]Tissue Data'!$I:$I)</f>
        <v>gibbosus</v>
      </c>
      <c r="G1949" t="str">
        <f>_xlfn.XLOOKUP(A1949,'[1]Tissue Data'!$A:$A,'[1]Tissue Data'!J:J)</f>
        <v>U</v>
      </c>
      <c r="H1949" t="str">
        <f>_xlfn.XLOOKUP(A1949,'[1]Tissue Data'!$A:$A,'[1]Tissue Data'!K:K)</f>
        <v>Whole Body</v>
      </c>
      <c r="I1949">
        <f>_xlfn.XLOOKUP(A1949,'[1]Tissue Data'!$A:$A,'[1]Tissue Data'!L:L)</f>
        <v>4.75</v>
      </c>
      <c r="J1949">
        <f>_xlfn.XLOOKUP(A1949,'[1]Tissue Data'!$A:$A,'[1]Tissue Data'!M:M)</f>
        <v>4.1500000000000004</v>
      </c>
      <c r="K1949" t="s">
        <v>59</v>
      </c>
      <c r="L1949" t="str">
        <f>_xlfn.XLOOKUP(K1949,[2]analyte_order!$B:$B,[2]analyte_order!$C:$C)</f>
        <v>57677-95-9</v>
      </c>
      <c r="M1949">
        <f>_xlfn.XLOOKUP(L1949,[2]analyte_order!$C:$C,[2]analyte_order!$E:$E)</f>
        <v>46</v>
      </c>
      <c r="N1949">
        <v>7.1735044798873299E-2</v>
      </c>
    </row>
    <row r="1950" spans="1:14">
      <c r="A1950" t="s">
        <v>252</v>
      </c>
      <c r="B1950" t="str">
        <f>_xlfn.XLOOKUP(A1950,'[1]Tissue Data'!$A:$A,'[1]Tissue Data'!$C:$C)</f>
        <v>Spill</v>
      </c>
      <c r="C1950" s="2">
        <f>_xlfn.XLOOKUP(A1950,'[1]Tissue Data'!$A:$A,'[1]Tissue Data'!$D:$D)</f>
        <v>44314</v>
      </c>
      <c r="D1950" s="2" t="str">
        <f>_xlfn.XLOOKUP(A1950,'[1]Tissue Data'!$A:$A,'[1]Tissue Data'!$F:$F)</f>
        <v>Pumpkinseed</v>
      </c>
      <c r="E1950" t="str">
        <f>_xlfn.XLOOKUP(A1950,'[1]Tissue Data'!$A:$A,'[1]Tissue Data'!$H:$H)</f>
        <v>Lepomis</v>
      </c>
      <c r="F1950" t="str">
        <f>_xlfn.XLOOKUP(A1950,'[1]Tissue Data'!$A:$A,'[1]Tissue Data'!$I:$I)</f>
        <v>gibbosus</v>
      </c>
      <c r="G1950" t="str">
        <f>_xlfn.XLOOKUP(A1950,'[1]Tissue Data'!$A:$A,'[1]Tissue Data'!J:J)</f>
        <v>U</v>
      </c>
      <c r="H1950" t="str">
        <f>_xlfn.XLOOKUP(A1950,'[1]Tissue Data'!$A:$A,'[1]Tissue Data'!K:K)</f>
        <v>Whole Body</v>
      </c>
      <c r="I1950">
        <f>_xlfn.XLOOKUP(A1950,'[1]Tissue Data'!$A:$A,'[1]Tissue Data'!L:L)</f>
        <v>4.75</v>
      </c>
      <c r="J1950">
        <f>_xlfn.XLOOKUP(A1950,'[1]Tissue Data'!$A:$A,'[1]Tissue Data'!M:M)</f>
        <v>4.1500000000000004</v>
      </c>
      <c r="K1950" t="s">
        <v>60</v>
      </c>
      <c r="L1950" t="str">
        <f>_xlfn.XLOOKUP(K1950,[2]analyte_order!$B:$B,[2]analyte_order!$C:$C)</f>
        <v>678-41-1</v>
      </c>
      <c r="M1950">
        <f>_xlfn.XLOOKUP(L1950,[2]analyte_order!$C:$C,[2]analyte_order!$E:$E)</f>
        <v>56</v>
      </c>
      <c r="N1950">
        <v>8.9342171974204382E-2</v>
      </c>
    </row>
    <row r="1951" spans="1:14">
      <c r="A1951" t="s">
        <v>252</v>
      </c>
      <c r="B1951" t="str">
        <f>_xlfn.XLOOKUP(A1951,'[1]Tissue Data'!$A:$A,'[1]Tissue Data'!$C:$C)</f>
        <v>Spill</v>
      </c>
      <c r="C1951" s="2">
        <f>_xlfn.XLOOKUP(A1951,'[1]Tissue Data'!$A:$A,'[1]Tissue Data'!$D:$D)</f>
        <v>44314</v>
      </c>
      <c r="D1951" s="2" t="str">
        <f>_xlfn.XLOOKUP(A1951,'[1]Tissue Data'!$A:$A,'[1]Tissue Data'!$F:$F)</f>
        <v>Pumpkinseed</v>
      </c>
      <c r="E1951" t="str">
        <f>_xlfn.XLOOKUP(A1951,'[1]Tissue Data'!$A:$A,'[1]Tissue Data'!$H:$H)</f>
        <v>Lepomis</v>
      </c>
      <c r="F1951" t="str">
        <f>_xlfn.XLOOKUP(A1951,'[1]Tissue Data'!$A:$A,'[1]Tissue Data'!$I:$I)</f>
        <v>gibbosus</v>
      </c>
      <c r="G1951" t="str">
        <f>_xlfn.XLOOKUP(A1951,'[1]Tissue Data'!$A:$A,'[1]Tissue Data'!J:J)</f>
        <v>U</v>
      </c>
      <c r="H1951" t="str">
        <f>_xlfn.XLOOKUP(A1951,'[1]Tissue Data'!$A:$A,'[1]Tissue Data'!K:K)</f>
        <v>Whole Body</v>
      </c>
      <c r="I1951">
        <f>_xlfn.XLOOKUP(A1951,'[1]Tissue Data'!$A:$A,'[1]Tissue Data'!L:L)</f>
        <v>4.75</v>
      </c>
      <c r="J1951">
        <f>_xlfn.XLOOKUP(A1951,'[1]Tissue Data'!$A:$A,'[1]Tissue Data'!M:M)</f>
        <v>4.1500000000000004</v>
      </c>
      <c r="K1951" t="s">
        <v>61</v>
      </c>
      <c r="L1951" t="str">
        <f>_xlfn.XLOOKUP(K1951,[2]analyte_order!$B:$B,[2]analyte_order!$C:$C)</f>
        <v>2965-52-8</v>
      </c>
      <c r="M1951">
        <f>_xlfn.XLOOKUP(L1951,[2]analyte_order!$C:$C,[2]analyte_order!$E:$E)</f>
        <v>57</v>
      </c>
      <c r="N1951">
        <v>0.11860051393556036</v>
      </c>
    </row>
    <row r="1952" spans="1:14">
      <c r="A1952" t="s">
        <v>252</v>
      </c>
      <c r="B1952" t="str">
        <f>_xlfn.XLOOKUP(A1952,'[1]Tissue Data'!$A:$A,'[1]Tissue Data'!$C:$C)</f>
        <v>Spill</v>
      </c>
      <c r="C1952" s="2">
        <f>_xlfn.XLOOKUP(A1952,'[1]Tissue Data'!$A:$A,'[1]Tissue Data'!$D:$D)</f>
        <v>44314</v>
      </c>
      <c r="D1952" s="2" t="str">
        <f>_xlfn.XLOOKUP(A1952,'[1]Tissue Data'!$A:$A,'[1]Tissue Data'!$F:$F)</f>
        <v>Pumpkinseed</v>
      </c>
      <c r="E1952" t="str">
        <f>_xlfn.XLOOKUP(A1952,'[1]Tissue Data'!$A:$A,'[1]Tissue Data'!$H:$H)</f>
        <v>Lepomis</v>
      </c>
      <c r="F1952" t="str">
        <f>_xlfn.XLOOKUP(A1952,'[1]Tissue Data'!$A:$A,'[1]Tissue Data'!$I:$I)</f>
        <v>gibbosus</v>
      </c>
      <c r="G1952" t="str">
        <f>_xlfn.XLOOKUP(A1952,'[1]Tissue Data'!$A:$A,'[1]Tissue Data'!J:J)</f>
        <v>U</v>
      </c>
      <c r="H1952" t="str">
        <f>_xlfn.XLOOKUP(A1952,'[1]Tissue Data'!$A:$A,'[1]Tissue Data'!K:K)</f>
        <v>Whole Body</v>
      </c>
      <c r="I1952">
        <f>_xlfn.XLOOKUP(A1952,'[1]Tissue Data'!$A:$A,'[1]Tissue Data'!L:L)</f>
        <v>4.75</v>
      </c>
      <c r="J1952">
        <f>_xlfn.XLOOKUP(A1952,'[1]Tissue Data'!$A:$A,'[1]Tissue Data'!M:M)</f>
        <v>4.1500000000000004</v>
      </c>
      <c r="K1952" t="s">
        <v>12</v>
      </c>
      <c r="L1952" t="str">
        <f>_xlfn.XLOOKUP(K1952,[2]analyte_order!$B:$B,[2]analyte_order!$C:$C)</f>
        <v>375-22-4</v>
      </c>
      <c r="M1952">
        <f>_xlfn.XLOOKUP(L1952,[2]analyte_order!$C:$C,[2]analyte_order!$E:$E)</f>
        <v>1</v>
      </c>
      <c r="N1952">
        <v>2.6954662258081907E-2</v>
      </c>
    </row>
    <row r="1953" spans="1:14">
      <c r="A1953" t="s">
        <v>252</v>
      </c>
      <c r="B1953" t="str">
        <f>_xlfn.XLOOKUP(A1953,'[1]Tissue Data'!$A:$A,'[1]Tissue Data'!$C:$C)</f>
        <v>Spill</v>
      </c>
      <c r="C1953" s="2">
        <f>_xlfn.XLOOKUP(A1953,'[1]Tissue Data'!$A:$A,'[1]Tissue Data'!$D:$D)</f>
        <v>44314</v>
      </c>
      <c r="D1953" s="2" t="str">
        <f>_xlfn.XLOOKUP(A1953,'[1]Tissue Data'!$A:$A,'[1]Tissue Data'!$F:$F)</f>
        <v>Pumpkinseed</v>
      </c>
      <c r="E1953" t="str">
        <f>_xlfn.XLOOKUP(A1953,'[1]Tissue Data'!$A:$A,'[1]Tissue Data'!$H:$H)</f>
        <v>Lepomis</v>
      </c>
      <c r="F1953" t="str">
        <f>_xlfn.XLOOKUP(A1953,'[1]Tissue Data'!$A:$A,'[1]Tissue Data'!$I:$I)</f>
        <v>gibbosus</v>
      </c>
      <c r="G1953" t="str">
        <f>_xlfn.XLOOKUP(A1953,'[1]Tissue Data'!$A:$A,'[1]Tissue Data'!J:J)</f>
        <v>U</v>
      </c>
      <c r="H1953" t="str">
        <f>_xlfn.XLOOKUP(A1953,'[1]Tissue Data'!$A:$A,'[1]Tissue Data'!K:K)</f>
        <v>Whole Body</v>
      </c>
      <c r="I1953">
        <f>_xlfn.XLOOKUP(A1953,'[1]Tissue Data'!$A:$A,'[1]Tissue Data'!L:L)</f>
        <v>4.75</v>
      </c>
      <c r="J1953">
        <f>_xlfn.XLOOKUP(A1953,'[1]Tissue Data'!$A:$A,'[1]Tissue Data'!M:M)</f>
        <v>4.1500000000000004</v>
      </c>
      <c r="K1953" t="s">
        <v>13</v>
      </c>
      <c r="L1953" t="str">
        <f>_xlfn.XLOOKUP(K1953,[2]analyte_order!$B:$B,[2]analyte_order!$C:$C)</f>
        <v>2706-90-3</v>
      </c>
      <c r="M1953">
        <f>_xlfn.XLOOKUP(L1953,[2]analyte_order!$C:$C,[2]analyte_order!$E:$E)</f>
        <v>2</v>
      </c>
      <c r="N1953">
        <v>4.761145484137181E-2</v>
      </c>
    </row>
    <row r="1954" spans="1:14">
      <c r="A1954" t="s">
        <v>252</v>
      </c>
      <c r="B1954" t="str">
        <f>_xlfn.XLOOKUP(A1954,'[1]Tissue Data'!$A:$A,'[1]Tissue Data'!$C:$C)</f>
        <v>Spill</v>
      </c>
      <c r="C1954" s="2">
        <f>_xlfn.XLOOKUP(A1954,'[1]Tissue Data'!$A:$A,'[1]Tissue Data'!$D:$D)</f>
        <v>44314</v>
      </c>
      <c r="D1954" s="2" t="str">
        <f>_xlfn.XLOOKUP(A1954,'[1]Tissue Data'!$A:$A,'[1]Tissue Data'!$F:$F)</f>
        <v>Pumpkinseed</v>
      </c>
      <c r="E1954" t="str">
        <f>_xlfn.XLOOKUP(A1954,'[1]Tissue Data'!$A:$A,'[1]Tissue Data'!$H:$H)</f>
        <v>Lepomis</v>
      </c>
      <c r="F1954" t="str">
        <f>_xlfn.XLOOKUP(A1954,'[1]Tissue Data'!$A:$A,'[1]Tissue Data'!$I:$I)</f>
        <v>gibbosus</v>
      </c>
      <c r="G1954" t="str">
        <f>_xlfn.XLOOKUP(A1954,'[1]Tissue Data'!$A:$A,'[1]Tissue Data'!J:J)</f>
        <v>U</v>
      </c>
      <c r="H1954" t="str">
        <f>_xlfn.XLOOKUP(A1954,'[1]Tissue Data'!$A:$A,'[1]Tissue Data'!K:K)</f>
        <v>Whole Body</v>
      </c>
      <c r="I1954">
        <f>_xlfn.XLOOKUP(A1954,'[1]Tissue Data'!$A:$A,'[1]Tissue Data'!L:L)</f>
        <v>4.75</v>
      </c>
      <c r="J1954">
        <f>_xlfn.XLOOKUP(A1954,'[1]Tissue Data'!$A:$A,'[1]Tissue Data'!M:M)</f>
        <v>4.1500000000000004</v>
      </c>
      <c r="K1954" t="s">
        <v>14</v>
      </c>
      <c r="L1954" t="str">
        <f>_xlfn.XLOOKUP(K1954,[2]analyte_order!$B:$B,[2]analyte_order!$C:$C)</f>
        <v>307-24-4</v>
      </c>
      <c r="M1954">
        <f>_xlfn.XLOOKUP(L1954,[2]analyte_order!$C:$C,[2]analyte_order!$E:$E)</f>
        <v>3</v>
      </c>
      <c r="N1954">
        <v>0.13079549070373225</v>
      </c>
    </row>
    <row r="1955" spans="1:14">
      <c r="A1955" t="s">
        <v>252</v>
      </c>
      <c r="B1955" t="str">
        <f>_xlfn.XLOOKUP(A1955,'[1]Tissue Data'!$A:$A,'[1]Tissue Data'!$C:$C)</f>
        <v>Spill</v>
      </c>
      <c r="C1955" s="2">
        <f>_xlfn.XLOOKUP(A1955,'[1]Tissue Data'!$A:$A,'[1]Tissue Data'!$D:$D)</f>
        <v>44314</v>
      </c>
      <c r="D1955" s="2" t="str">
        <f>_xlfn.XLOOKUP(A1955,'[1]Tissue Data'!$A:$A,'[1]Tissue Data'!$F:$F)</f>
        <v>Pumpkinseed</v>
      </c>
      <c r="E1955" t="str">
        <f>_xlfn.XLOOKUP(A1955,'[1]Tissue Data'!$A:$A,'[1]Tissue Data'!$H:$H)</f>
        <v>Lepomis</v>
      </c>
      <c r="F1955" t="str">
        <f>_xlfn.XLOOKUP(A1955,'[1]Tissue Data'!$A:$A,'[1]Tissue Data'!$I:$I)</f>
        <v>gibbosus</v>
      </c>
      <c r="G1955" t="str">
        <f>_xlfn.XLOOKUP(A1955,'[1]Tissue Data'!$A:$A,'[1]Tissue Data'!J:J)</f>
        <v>U</v>
      </c>
      <c r="H1955" t="str">
        <f>_xlfn.XLOOKUP(A1955,'[1]Tissue Data'!$A:$A,'[1]Tissue Data'!K:K)</f>
        <v>Whole Body</v>
      </c>
      <c r="I1955">
        <f>_xlfn.XLOOKUP(A1955,'[1]Tissue Data'!$A:$A,'[1]Tissue Data'!L:L)</f>
        <v>4.75</v>
      </c>
      <c r="J1955">
        <f>_xlfn.XLOOKUP(A1955,'[1]Tissue Data'!$A:$A,'[1]Tissue Data'!M:M)</f>
        <v>4.1500000000000004</v>
      </c>
      <c r="K1955" t="s">
        <v>15</v>
      </c>
      <c r="L1955" t="str">
        <f>_xlfn.XLOOKUP(K1955,[2]analyte_order!$B:$B,[2]analyte_order!$C:$C)</f>
        <v>375-85-9</v>
      </c>
      <c r="M1955">
        <f>_xlfn.XLOOKUP(L1955,[2]analyte_order!$C:$C,[2]analyte_order!$E:$E)</f>
        <v>4</v>
      </c>
      <c r="N1955">
        <v>9.694097371822491E-2</v>
      </c>
    </row>
    <row r="1956" spans="1:14">
      <c r="A1956" t="s">
        <v>252</v>
      </c>
      <c r="B1956" t="str">
        <f>_xlfn.XLOOKUP(A1956,'[1]Tissue Data'!$A:$A,'[1]Tissue Data'!$C:$C)</f>
        <v>Spill</v>
      </c>
      <c r="C1956" s="2">
        <f>_xlfn.XLOOKUP(A1956,'[1]Tissue Data'!$A:$A,'[1]Tissue Data'!$D:$D)</f>
        <v>44314</v>
      </c>
      <c r="D1956" s="2" t="str">
        <f>_xlfn.XLOOKUP(A1956,'[1]Tissue Data'!$A:$A,'[1]Tissue Data'!$F:$F)</f>
        <v>Pumpkinseed</v>
      </c>
      <c r="E1956" t="str">
        <f>_xlfn.XLOOKUP(A1956,'[1]Tissue Data'!$A:$A,'[1]Tissue Data'!$H:$H)</f>
        <v>Lepomis</v>
      </c>
      <c r="F1956" t="str">
        <f>_xlfn.XLOOKUP(A1956,'[1]Tissue Data'!$A:$A,'[1]Tissue Data'!$I:$I)</f>
        <v>gibbosus</v>
      </c>
      <c r="G1956" t="str">
        <f>_xlfn.XLOOKUP(A1956,'[1]Tissue Data'!$A:$A,'[1]Tissue Data'!J:J)</f>
        <v>U</v>
      </c>
      <c r="H1956" t="str">
        <f>_xlfn.XLOOKUP(A1956,'[1]Tissue Data'!$A:$A,'[1]Tissue Data'!K:K)</f>
        <v>Whole Body</v>
      </c>
      <c r="I1956">
        <f>_xlfn.XLOOKUP(A1956,'[1]Tissue Data'!$A:$A,'[1]Tissue Data'!L:L)</f>
        <v>4.75</v>
      </c>
      <c r="J1956">
        <f>_xlfn.XLOOKUP(A1956,'[1]Tissue Data'!$A:$A,'[1]Tissue Data'!M:M)</f>
        <v>4.1500000000000004</v>
      </c>
      <c r="K1956" t="s">
        <v>16</v>
      </c>
      <c r="L1956" t="str">
        <f>_xlfn.XLOOKUP(K1956,[2]analyte_order!$B:$B,[2]analyte_order!$C:$C)</f>
        <v>335-67-1</v>
      </c>
      <c r="M1956">
        <f>_xlfn.XLOOKUP(L1956,[2]analyte_order!$C:$C,[2]analyte_order!$E:$E)</f>
        <v>5</v>
      </c>
      <c r="N1956">
        <v>0.46500000000000002</v>
      </c>
    </row>
    <row r="1957" spans="1:14">
      <c r="A1957" t="s">
        <v>252</v>
      </c>
      <c r="B1957" t="str">
        <f>_xlfn.XLOOKUP(A1957,'[1]Tissue Data'!$A:$A,'[1]Tissue Data'!$C:$C)</f>
        <v>Spill</v>
      </c>
      <c r="C1957" s="2">
        <f>_xlfn.XLOOKUP(A1957,'[1]Tissue Data'!$A:$A,'[1]Tissue Data'!$D:$D)</f>
        <v>44314</v>
      </c>
      <c r="D1957" s="2" t="str">
        <f>_xlfn.XLOOKUP(A1957,'[1]Tissue Data'!$A:$A,'[1]Tissue Data'!$F:$F)</f>
        <v>Pumpkinseed</v>
      </c>
      <c r="E1957" t="str">
        <f>_xlfn.XLOOKUP(A1957,'[1]Tissue Data'!$A:$A,'[1]Tissue Data'!$H:$H)</f>
        <v>Lepomis</v>
      </c>
      <c r="F1957" t="str">
        <f>_xlfn.XLOOKUP(A1957,'[1]Tissue Data'!$A:$A,'[1]Tissue Data'!$I:$I)</f>
        <v>gibbosus</v>
      </c>
      <c r="G1957" t="str">
        <f>_xlfn.XLOOKUP(A1957,'[1]Tissue Data'!$A:$A,'[1]Tissue Data'!J:J)</f>
        <v>U</v>
      </c>
      <c r="H1957" t="str">
        <f>_xlfn.XLOOKUP(A1957,'[1]Tissue Data'!$A:$A,'[1]Tissue Data'!K:K)</f>
        <v>Whole Body</v>
      </c>
      <c r="I1957">
        <f>_xlfn.XLOOKUP(A1957,'[1]Tissue Data'!$A:$A,'[1]Tissue Data'!L:L)</f>
        <v>4.75</v>
      </c>
      <c r="J1957">
        <f>_xlfn.XLOOKUP(A1957,'[1]Tissue Data'!$A:$A,'[1]Tissue Data'!M:M)</f>
        <v>4.1500000000000004</v>
      </c>
      <c r="K1957" t="s">
        <v>17</v>
      </c>
      <c r="L1957" t="str">
        <f>_xlfn.XLOOKUP(K1957,[2]analyte_order!$B:$B,[2]analyte_order!$C:$C)</f>
        <v>375-95-1</v>
      </c>
      <c r="M1957">
        <f>_xlfn.XLOOKUP(L1957,[2]analyte_order!$C:$C,[2]analyte_order!$E:$E)</f>
        <v>6</v>
      </c>
      <c r="N1957">
        <v>0.28399999999999997</v>
      </c>
    </row>
    <row r="1958" spans="1:14">
      <c r="A1958" t="s">
        <v>252</v>
      </c>
      <c r="B1958" t="str">
        <f>_xlfn.XLOOKUP(A1958,'[1]Tissue Data'!$A:$A,'[1]Tissue Data'!$C:$C)</f>
        <v>Spill</v>
      </c>
      <c r="C1958" s="2">
        <f>_xlfn.XLOOKUP(A1958,'[1]Tissue Data'!$A:$A,'[1]Tissue Data'!$D:$D)</f>
        <v>44314</v>
      </c>
      <c r="D1958" s="2" t="str">
        <f>_xlfn.XLOOKUP(A1958,'[1]Tissue Data'!$A:$A,'[1]Tissue Data'!$F:$F)</f>
        <v>Pumpkinseed</v>
      </c>
      <c r="E1958" t="str">
        <f>_xlfn.XLOOKUP(A1958,'[1]Tissue Data'!$A:$A,'[1]Tissue Data'!$H:$H)</f>
        <v>Lepomis</v>
      </c>
      <c r="F1958" t="str">
        <f>_xlfn.XLOOKUP(A1958,'[1]Tissue Data'!$A:$A,'[1]Tissue Data'!$I:$I)</f>
        <v>gibbosus</v>
      </c>
      <c r="G1958" t="str">
        <f>_xlfn.XLOOKUP(A1958,'[1]Tissue Data'!$A:$A,'[1]Tissue Data'!J:J)</f>
        <v>U</v>
      </c>
      <c r="H1958" t="str">
        <f>_xlfn.XLOOKUP(A1958,'[1]Tissue Data'!$A:$A,'[1]Tissue Data'!K:K)</f>
        <v>Whole Body</v>
      </c>
      <c r="I1958">
        <f>_xlfn.XLOOKUP(A1958,'[1]Tissue Data'!$A:$A,'[1]Tissue Data'!L:L)</f>
        <v>4.75</v>
      </c>
      <c r="J1958">
        <f>_xlfn.XLOOKUP(A1958,'[1]Tissue Data'!$A:$A,'[1]Tissue Data'!M:M)</f>
        <v>4.1500000000000004</v>
      </c>
      <c r="K1958" t="s">
        <v>18</v>
      </c>
      <c r="L1958" t="str">
        <f>_xlfn.XLOOKUP(K1958,[2]analyte_order!$B:$B,[2]analyte_order!$C:$C)</f>
        <v>335-76-2</v>
      </c>
      <c r="M1958">
        <f>_xlfn.XLOOKUP(L1958,[2]analyte_order!$C:$C,[2]analyte_order!$E:$E)</f>
        <v>7</v>
      </c>
      <c r="N1958">
        <v>1.71</v>
      </c>
    </row>
    <row r="1959" spans="1:14">
      <c r="A1959" t="s">
        <v>252</v>
      </c>
      <c r="B1959" t="str">
        <f>_xlfn.XLOOKUP(A1959,'[1]Tissue Data'!$A:$A,'[1]Tissue Data'!$C:$C)</f>
        <v>Spill</v>
      </c>
      <c r="C1959" s="2">
        <f>_xlfn.XLOOKUP(A1959,'[1]Tissue Data'!$A:$A,'[1]Tissue Data'!$D:$D)</f>
        <v>44314</v>
      </c>
      <c r="D1959" s="2" t="str">
        <f>_xlfn.XLOOKUP(A1959,'[1]Tissue Data'!$A:$A,'[1]Tissue Data'!$F:$F)</f>
        <v>Pumpkinseed</v>
      </c>
      <c r="E1959" t="str">
        <f>_xlfn.XLOOKUP(A1959,'[1]Tissue Data'!$A:$A,'[1]Tissue Data'!$H:$H)</f>
        <v>Lepomis</v>
      </c>
      <c r="F1959" t="str">
        <f>_xlfn.XLOOKUP(A1959,'[1]Tissue Data'!$A:$A,'[1]Tissue Data'!$I:$I)</f>
        <v>gibbosus</v>
      </c>
      <c r="G1959" t="str">
        <f>_xlfn.XLOOKUP(A1959,'[1]Tissue Data'!$A:$A,'[1]Tissue Data'!J:J)</f>
        <v>U</v>
      </c>
      <c r="H1959" t="str">
        <f>_xlfn.XLOOKUP(A1959,'[1]Tissue Data'!$A:$A,'[1]Tissue Data'!K:K)</f>
        <v>Whole Body</v>
      </c>
      <c r="I1959">
        <f>_xlfn.XLOOKUP(A1959,'[1]Tissue Data'!$A:$A,'[1]Tissue Data'!L:L)</f>
        <v>4.75</v>
      </c>
      <c r="J1959">
        <f>_xlfn.XLOOKUP(A1959,'[1]Tissue Data'!$A:$A,'[1]Tissue Data'!M:M)</f>
        <v>4.1500000000000004</v>
      </c>
      <c r="K1959" t="s">
        <v>19</v>
      </c>
      <c r="L1959" t="str">
        <f>_xlfn.XLOOKUP(K1959,[2]analyte_order!$B:$B,[2]analyte_order!$C:$C)</f>
        <v>2058-94-8</v>
      </c>
      <c r="M1959">
        <f>_xlfn.XLOOKUP(L1959,[2]analyte_order!$C:$C,[2]analyte_order!$E:$E)</f>
        <v>8</v>
      </c>
      <c r="N1959">
        <v>2.95</v>
      </c>
    </row>
    <row r="1960" spans="1:14">
      <c r="A1960" t="s">
        <v>252</v>
      </c>
      <c r="B1960" t="str">
        <f>_xlfn.XLOOKUP(A1960,'[1]Tissue Data'!$A:$A,'[1]Tissue Data'!$C:$C)</f>
        <v>Spill</v>
      </c>
      <c r="C1960" s="2">
        <f>_xlfn.XLOOKUP(A1960,'[1]Tissue Data'!$A:$A,'[1]Tissue Data'!$D:$D)</f>
        <v>44314</v>
      </c>
      <c r="D1960" s="2" t="str">
        <f>_xlfn.XLOOKUP(A1960,'[1]Tissue Data'!$A:$A,'[1]Tissue Data'!$F:$F)</f>
        <v>Pumpkinseed</v>
      </c>
      <c r="E1960" t="str">
        <f>_xlfn.XLOOKUP(A1960,'[1]Tissue Data'!$A:$A,'[1]Tissue Data'!$H:$H)</f>
        <v>Lepomis</v>
      </c>
      <c r="F1960" t="str">
        <f>_xlfn.XLOOKUP(A1960,'[1]Tissue Data'!$A:$A,'[1]Tissue Data'!$I:$I)</f>
        <v>gibbosus</v>
      </c>
      <c r="G1960" t="str">
        <f>_xlfn.XLOOKUP(A1960,'[1]Tissue Data'!$A:$A,'[1]Tissue Data'!J:J)</f>
        <v>U</v>
      </c>
      <c r="H1960" t="str">
        <f>_xlfn.XLOOKUP(A1960,'[1]Tissue Data'!$A:$A,'[1]Tissue Data'!K:K)</f>
        <v>Whole Body</v>
      </c>
      <c r="I1960">
        <f>_xlfn.XLOOKUP(A1960,'[1]Tissue Data'!$A:$A,'[1]Tissue Data'!L:L)</f>
        <v>4.75</v>
      </c>
      <c r="J1960">
        <f>_xlfn.XLOOKUP(A1960,'[1]Tissue Data'!$A:$A,'[1]Tissue Data'!M:M)</f>
        <v>4.1500000000000004</v>
      </c>
      <c r="K1960" t="s">
        <v>20</v>
      </c>
      <c r="L1960" t="str">
        <f>_xlfn.XLOOKUP(K1960,[2]analyte_order!$B:$B,[2]analyte_order!$C:$C)</f>
        <v>307-55-1</v>
      </c>
      <c r="M1960">
        <f>_xlfn.XLOOKUP(L1960,[2]analyte_order!$C:$C,[2]analyte_order!$E:$E)</f>
        <v>9</v>
      </c>
      <c r="N1960">
        <v>5.380419245354813E-2</v>
      </c>
    </row>
    <row r="1961" spans="1:14">
      <c r="A1961" t="s">
        <v>252</v>
      </c>
      <c r="B1961" t="str">
        <f>_xlfn.XLOOKUP(A1961,'[1]Tissue Data'!$A:$A,'[1]Tissue Data'!$C:$C)</f>
        <v>Spill</v>
      </c>
      <c r="C1961" s="2">
        <f>_xlfn.XLOOKUP(A1961,'[1]Tissue Data'!$A:$A,'[1]Tissue Data'!$D:$D)</f>
        <v>44314</v>
      </c>
      <c r="D1961" s="2" t="str">
        <f>_xlfn.XLOOKUP(A1961,'[1]Tissue Data'!$A:$A,'[1]Tissue Data'!$F:$F)</f>
        <v>Pumpkinseed</v>
      </c>
      <c r="E1961" t="str">
        <f>_xlfn.XLOOKUP(A1961,'[1]Tissue Data'!$A:$A,'[1]Tissue Data'!$H:$H)</f>
        <v>Lepomis</v>
      </c>
      <c r="F1961" t="str">
        <f>_xlfn.XLOOKUP(A1961,'[1]Tissue Data'!$A:$A,'[1]Tissue Data'!$I:$I)</f>
        <v>gibbosus</v>
      </c>
      <c r="G1961" t="str">
        <f>_xlfn.XLOOKUP(A1961,'[1]Tissue Data'!$A:$A,'[1]Tissue Data'!J:J)</f>
        <v>U</v>
      </c>
      <c r="H1961" t="str">
        <f>_xlfn.XLOOKUP(A1961,'[1]Tissue Data'!$A:$A,'[1]Tissue Data'!K:K)</f>
        <v>Whole Body</v>
      </c>
      <c r="I1961">
        <f>_xlfn.XLOOKUP(A1961,'[1]Tissue Data'!$A:$A,'[1]Tissue Data'!L:L)</f>
        <v>4.75</v>
      </c>
      <c r="J1961">
        <f>_xlfn.XLOOKUP(A1961,'[1]Tissue Data'!$A:$A,'[1]Tissue Data'!M:M)</f>
        <v>4.1500000000000004</v>
      </c>
      <c r="K1961" t="s">
        <v>21</v>
      </c>
      <c r="L1961" t="str">
        <f>_xlfn.XLOOKUP(K1961,[2]analyte_order!$B:$B,[2]analyte_order!$C:$C)</f>
        <v>72629-94-8</v>
      </c>
      <c r="M1961">
        <f>_xlfn.XLOOKUP(L1961,[2]analyte_order!$C:$C,[2]analyte_order!$E:$E)</f>
        <v>10</v>
      </c>
      <c r="N1961">
        <v>0.71799999999999997</v>
      </c>
    </row>
    <row r="1962" spans="1:14">
      <c r="A1962" t="s">
        <v>252</v>
      </c>
      <c r="B1962" t="str">
        <f>_xlfn.XLOOKUP(A1962,'[1]Tissue Data'!$A:$A,'[1]Tissue Data'!$C:$C)</f>
        <v>Spill</v>
      </c>
      <c r="C1962" s="2">
        <f>_xlfn.XLOOKUP(A1962,'[1]Tissue Data'!$A:$A,'[1]Tissue Data'!$D:$D)</f>
        <v>44314</v>
      </c>
      <c r="D1962" s="2" t="str">
        <f>_xlfn.XLOOKUP(A1962,'[1]Tissue Data'!$A:$A,'[1]Tissue Data'!$F:$F)</f>
        <v>Pumpkinseed</v>
      </c>
      <c r="E1962" t="str">
        <f>_xlfn.XLOOKUP(A1962,'[1]Tissue Data'!$A:$A,'[1]Tissue Data'!$H:$H)</f>
        <v>Lepomis</v>
      </c>
      <c r="F1962" t="str">
        <f>_xlfn.XLOOKUP(A1962,'[1]Tissue Data'!$A:$A,'[1]Tissue Data'!$I:$I)</f>
        <v>gibbosus</v>
      </c>
      <c r="G1962" t="str">
        <f>_xlfn.XLOOKUP(A1962,'[1]Tissue Data'!$A:$A,'[1]Tissue Data'!J:J)</f>
        <v>U</v>
      </c>
      <c r="H1962" t="str">
        <f>_xlfn.XLOOKUP(A1962,'[1]Tissue Data'!$A:$A,'[1]Tissue Data'!K:K)</f>
        <v>Whole Body</v>
      </c>
      <c r="I1962">
        <f>_xlfn.XLOOKUP(A1962,'[1]Tissue Data'!$A:$A,'[1]Tissue Data'!L:L)</f>
        <v>4.75</v>
      </c>
      <c r="J1962">
        <f>_xlfn.XLOOKUP(A1962,'[1]Tissue Data'!$A:$A,'[1]Tissue Data'!M:M)</f>
        <v>4.1500000000000004</v>
      </c>
      <c r="K1962" t="s">
        <v>22</v>
      </c>
      <c r="L1962" t="str">
        <f>_xlfn.XLOOKUP(K1962,[2]analyte_order!$B:$B,[2]analyte_order!$C:$C)</f>
        <v>376-06-7</v>
      </c>
      <c r="M1962">
        <f>_xlfn.XLOOKUP(L1962,[2]analyte_order!$C:$C,[2]analyte_order!$E:$E)</f>
        <v>11</v>
      </c>
      <c r="N1962">
        <v>2.59</v>
      </c>
    </row>
    <row r="1963" spans="1:14">
      <c r="A1963" t="s">
        <v>252</v>
      </c>
      <c r="B1963" t="str">
        <f>_xlfn.XLOOKUP(A1963,'[1]Tissue Data'!$A:$A,'[1]Tissue Data'!$C:$C)</f>
        <v>Spill</v>
      </c>
      <c r="C1963" s="2">
        <f>_xlfn.XLOOKUP(A1963,'[1]Tissue Data'!$A:$A,'[1]Tissue Data'!$D:$D)</f>
        <v>44314</v>
      </c>
      <c r="D1963" s="2" t="str">
        <f>_xlfn.XLOOKUP(A1963,'[1]Tissue Data'!$A:$A,'[1]Tissue Data'!$F:$F)</f>
        <v>Pumpkinseed</v>
      </c>
      <c r="E1963" t="str">
        <f>_xlfn.XLOOKUP(A1963,'[1]Tissue Data'!$A:$A,'[1]Tissue Data'!$H:$H)</f>
        <v>Lepomis</v>
      </c>
      <c r="F1963" t="str">
        <f>_xlfn.XLOOKUP(A1963,'[1]Tissue Data'!$A:$A,'[1]Tissue Data'!$I:$I)</f>
        <v>gibbosus</v>
      </c>
      <c r="G1963" t="str">
        <f>_xlfn.XLOOKUP(A1963,'[1]Tissue Data'!$A:$A,'[1]Tissue Data'!J:J)</f>
        <v>U</v>
      </c>
      <c r="H1963" t="str">
        <f>_xlfn.XLOOKUP(A1963,'[1]Tissue Data'!$A:$A,'[1]Tissue Data'!K:K)</f>
        <v>Whole Body</v>
      </c>
      <c r="I1963">
        <f>_xlfn.XLOOKUP(A1963,'[1]Tissue Data'!$A:$A,'[1]Tissue Data'!L:L)</f>
        <v>4.75</v>
      </c>
      <c r="J1963">
        <f>_xlfn.XLOOKUP(A1963,'[1]Tissue Data'!$A:$A,'[1]Tissue Data'!M:M)</f>
        <v>4.1500000000000004</v>
      </c>
      <c r="K1963" t="s">
        <v>23</v>
      </c>
      <c r="L1963" t="str">
        <f>_xlfn.XLOOKUP(K1963,[2]analyte_order!$B:$B,[2]analyte_order!$C:$C)</f>
        <v>67905-19-5</v>
      </c>
      <c r="M1963">
        <f>_xlfn.XLOOKUP(L1963,[2]analyte_order!$C:$C,[2]analyte_order!$E:$E)</f>
        <v>12</v>
      </c>
      <c r="N1963">
        <v>8.0311425735323169E-2</v>
      </c>
    </row>
    <row r="1964" spans="1:14">
      <c r="A1964" t="s">
        <v>252</v>
      </c>
      <c r="B1964" t="str">
        <f>_xlfn.XLOOKUP(A1964,'[1]Tissue Data'!$A:$A,'[1]Tissue Data'!$C:$C)</f>
        <v>Spill</v>
      </c>
      <c r="C1964" s="2">
        <f>_xlfn.XLOOKUP(A1964,'[1]Tissue Data'!$A:$A,'[1]Tissue Data'!$D:$D)</f>
        <v>44314</v>
      </c>
      <c r="D1964" s="2" t="str">
        <f>_xlfn.XLOOKUP(A1964,'[1]Tissue Data'!$A:$A,'[1]Tissue Data'!$F:$F)</f>
        <v>Pumpkinseed</v>
      </c>
      <c r="E1964" t="str">
        <f>_xlfn.XLOOKUP(A1964,'[1]Tissue Data'!$A:$A,'[1]Tissue Data'!$H:$H)</f>
        <v>Lepomis</v>
      </c>
      <c r="F1964" t="str">
        <f>_xlfn.XLOOKUP(A1964,'[1]Tissue Data'!$A:$A,'[1]Tissue Data'!$I:$I)</f>
        <v>gibbosus</v>
      </c>
      <c r="G1964" t="str">
        <f>_xlfn.XLOOKUP(A1964,'[1]Tissue Data'!$A:$A,'[1]Tissue Data'!J:J)</f>
        <v>U</v>
      </c>
      <c r="H1964" t="str">
        <f>_xlfn.XLOOKUP(A1964,'[1]Tissue Data'!$A:$A,'[1]Tissue Data'!K:K)</f>
        <v>Whole Body</v>
      </c>
      <c r="I1964">
        <f>_xlfn.XLOOKUP(A1964,'[1]Tissue Data'!$A:$A,'[1]Tissue Data'!L:L)</f>
        <v>4.75</v>
      </c>
      <c r="J1964">
        <f>_xlfn.XLOOKUP(A1964,'[1]Tissue Data'!$A:$A,'[1]Tissue Data'!M:M)</f>
        <v>4.1500000000000004</v>
      </c>
      <c r="K1964" t="s">
        <v>24</v>
      </c>
      <c r="L1964" t="str">
        <f>_xlfn.XLOOKUP(K1964,[2]analyte_order!$B:$B,[2]analyte_order!$C:$C)</f>
        <v>423-41-6</v>
      </c>
      <c r="M1964">
        <f>_xlfn.XLOOKUP(L1964,[2]analyte_order!$C:$C,[2]analyte_order!$E:$E)</f>
        <v>53</v>
      </c>
      <c r="N1964">
        <v>5.1412867058213081E-2</v>
      </c>
    </row>
    <row r="1965" spans="1:14">
      <c r="A1965" t="s">
        <v>252</v>
      </c>
      <c r="B1965" t="str">
        <f>_xlfn.XLOOKUP(A1965,'[1]Tissue Data'!$A:$A,'[1]Tissue Data'!$C:$C)</f>
        <v>Spill</v>
      </c>
      <c r="C1965" s="2">
        <f>_xlfn.XLOOKUP(A1965,'[1]Tissue Data'!$A:$A,'[1]Tissue Data'!$D:$D)</f>
        <v>44314</v>
      </c>
      <c r="D1965" s="2" t="str">
        <f>_xlfn.XLOOKUP(A1965,'[1]Tissue Data'!$A:$A,'[1]Tissue Data'!$F:$F)</f>
        <v>Pumpkinseed</v>
      </c>
      <c r="E1965" t="str">
        <f>_xlfn.XLOOKUP(A1965,'[1]Tissue Data'!$A:$A,'[1]Tissue Data'!$H:$H)</f>
        <v>Lepomis</v>
      </c>
      <c r="F1965" t="str">
        <f>_xlfn.XLOOKUP(A1965,'[1]Tissue Data'!$A:$A,'[1]Tissue Data'!$I:$I)</f>
        <v>gibbosus</v>
      </c>
      <c r="G1965" t="str">
        <f>_xlfn.XLOOKUP(A1965,'[1]Tissue Data'!$A:$A,'[1]Tissue Data'!J:J)</f>
        <v>U</v>
      </c>
      <c r="H1965" t="str">
        <f>_xlfn.XLOOKUP(A1965,'[1]Tissue Data'!$A:$A,'[1]Tissue Data'!K:K)</f>
        <v>Whole Body</v>
      </c>
      <c r="I1965">
        <f>_xlfn.XLOOKUP(A1965,'[1]Tissue Data'!$A:$A,'[1]Tissue Data'!L:L)</f>
        <v>4.75</v>
      </c>
      <c r="J1965">
        <f>_xlfn.XLOOKUP(A1965,'[1]Tissue Data'!$A:$A,'[1]Tissue Data'!M:M)</f>
        <v>4.1500000000000004</v>
      </c>
      <c r="K1965" t="s">
        <v>25</v>
      </c>
      <c r="L1965" t="str">
        <f>_xlfn.XLOOKUP(K1965,[2]analyte_order!$B:$B,[2]analyte_order!$C:$C)</f>
        <v>375-73-5</v>
      </c>
      <c r="M1965">
        <f>_xlfn.XLOOKUP(L1965,[2]analyte_order!$C:$C,[2]analyte_order!$E:$E)</f>
        <v>14</v>
      </c>
      <c r="N1965">
        <v>4.5863985834651108E-2</v>
      </c>
    </row>
    <row r="1966" spans="1:14">
      <c r="A1966" t="s">
        <v>252</v>
      </c>
      <c r="B1966" t="str">
        <f>_xlfn.XLOOKUP(A1966,'[1]Tissue Data'!$A:$A,'[1]Tissue Data'!$C:$C)</f>
        <v>Spill</v>
      </c>
      <c r="C1966" s="2">
        <f>_xlfn.XLOOKUP(A1966,'[1]Tissue Data'!$A:$A,'[1]Tissue Data'!$D:$D)</f>
        <v>44314</v>
      </c>
      <c r="D1966" s="2" t="str">
        <f>_xlfn.XLOOKUP(A1966,'[1]Tissue Data'!$A:$A,'[1]Tissue Data'!$F:$F)</f>
        <v>Pumpkinseed</v>
      </c>
      <c r="E1966" t="str">
        <f>_xlfn.XLOOKUP(A1966,'[1]Tissue Data'!$A:$A,'[1]Tissue Data'!$H:$H)</f>
        <v>Lepomis</v>
      </c>
      <c r="F1966" t="str">
        <f>_xlfn.XLOOKUP(A1966,'[1]Tissue Data'!$A:$A,'[1]Tissue Data'!$I:$I)</f>
        <v>gibbosus</v>
      </c>
      <c r="G1966" t="str">
        <f>_xlfn.XLOOKUP(A1966,'[1]Tissue Data'!$A:$A,'[1]Tissue Data'!J:J)</f>
        <v>U</v>
      </c>
      <c r="H1966" t="str">
        <f>_xlfn.XLOOKUP(A1966,'[1]Tissue Data'!$A:$A,'[1]Tissue Data'!K:K)</f>
        <v>Whole Body</v>
      </c>
      <c r="I1966">
        <f>_xlfn.XLOOKUP(A1966,'[1]Tissue Data'!$A:$A,'[1]Tissue Data'!L:L)</f>
        <v>4.75</v>
      </c>
      <c r="J1966">
        <f>_xlfn.XLOOKUP(A1966,'[1]Tissue Data'!$A:$A,'[1]Tissue Data'!M:M)</f>
        <v>4.1500000000000004</v>
      </c>
      <c r="K1966" t="s">
        <v>26</v>
      </c>
      <c r="L1966" t="str">
        <f>_xlfn.XLOOKUP(K1966,[2]analyte_order!$B:$B,[2]analyte_order!$C:$C)</f>
        <v>2706-91-4</v>
      </c>
      <c r="M1966">
        <f>_xlfn.XLOOKUP(L1966,[2]analyte_order!$C:$C,[2]analyte_order!$E:$E)</f>
        <v>15</v>
      </c>
      <c r="N1966">
        <v>0.12833650458021328</v>
      </c>
    </row>
    <row r="1967" spans="1:14">
      <c r="A1967" t="s">
        <v>252</v>
      </c>
      <c r="B1967" t="str">
        <f>_xlfn.XLOOKUP(A1967,'[1]Tissue Data'!$A:$A,'[1]Tissue Data'!$C:$C)</f>
        <v>Spill</v>
      </c>
      <c r="C1967" s="2">
        <f>_xlfn.XLOOKUP(A1967,'[1]Tissue Data'!$A:$A,'[1]Tissue Data'!$D:$D)</f>
        <v>44314</v>
      </c>
      <c r="D1967" s="2" t="str">
        <f>_xlfn.XLOOKUP(A1967,'[1]Tissue Data'!$A:$A,'[1]Tissue Data'!$F:$F)</f>
        <v>Pumpkinseed</v>
      </c>
      <c r="E1967" t="str">
        <f>_xlfn.XLOOKUP(A1967,'[1]Tissue Data'!$A:$A,'[1]Tissue Data'!$H:$H)</f>
        <v>Lepomis</v>
      </c>
      <c r="F1967" t="str">
        <f>_xlfn.XLOOKUP(A1967,'[1]Tissue Data'!$A:$A,'[1]Tissue Data'!$I:$I)</f>
        <v>gibbosus</v>
      </c>
      <c r="G1967" t="str">
        <f>_xlfn.XLOOKUP(A1967,'[1]Tissue Data'!$A:$A,'[1]Tissue Data'!J:J)</f>
        <v>U</v>
      </c>
      <c r="H1967" t="str">
        <f>_xlfn.XLOOKUP(A1967,'[1]Tissue Data'!$A:$A,'[1]Tissue Data'!K:K)</f>
        <v>Whole Body</v>
      </c>
      <c r="I1967">
        <f>_xlfn.XLOOKUP(A1967,'[1]Tissue Data'!$A:$A,'[1]Tissue Data'!L:L)</f>
        <v>4.75</v>
      </c>
      <c r="J1967">
        <f>_xlfn.XLOOKUP(A1967,'[1]Tissue Data'!$A:$A,'[1]Tissue Data'!M:M)</f>
        <v>4.1500000000000004</v>
      </c>
      <c r="K1967" t="s">
        <v>27</v>
      </c>
      <c r="L1967" t="str">
        <f>_xlfn.XLOOKUP(K1967,[2]analyte_order!$B:$B,[2]analyte_order!$C:$C)</f>
        <v>355-46-4</v>
      </c>
      <c r="M1967">
        <f>_xlfn.XLOOKUP(L1967,[2]analyte_order!$C:$C,[2]analyte_order!$E:$E)</f>
        <v>16</v>
      </c>
      <c r="N1967">
        <v>9.32</v>
      </c>
    </row>
    <row r="1968" spans="1:14">
      <c r="A1968" t="s">
        <v>252</v>
      </c>
      <c r="B1968" t="str">
        <f>_xlfn.XLOOKUP(A1968,'[1]Tissue Data'!$A:$A,'[1]Tissue Data'!$C:$C)</f>
        <v>Spill</v>
      </c>
      <c r="C1968" s="2">
        <f>_xlfn.XLOOKUP(A1968,'[1]Tissue Data'!$A:$A,'[1]Tissue Data'!$D:$D)</f>
        <v>44314</v>
      </c>
      <c r="D1968" s="2" t="str">
        <f>_xlfn.XLOOKUP(A1968,'[1]Tissue Data'!$A:$A,'[1]Tissue Data'!$F:$F)</f>
        <v>Pumpkinseed</v>
      </c>
      <c r="E1968" t="str">
        <f>_xlfn.XLOOKUP(A1968,'[1]Tissue Data'!$A:$A,'[1]Tissue Data'!$H:$H)</f>
        <v>Lepomis</v>
      </c>
      <c r="F1968" t="str">
        <f>_xlfn.XLOOKUP(A1968,'[1]Tissue Data'!$A:$A,'[1]Tissue Data'!$I:$I)</f>
        <v>gibbosus</v>
      </c>
      <c r="G1968" t="str">
        <f>_xlfn.XLOOKUP(A1968,'[1]Tissue Data'!$A:$A,'[1]Tissue Data'!J:J)</f>
        <v>U</v>
      </c>
      <c r="H1968" t="str">
        <f>_xlfn.XLOOKUP(A1968,'[1]Tissue Data'!$A:$A,'[1]Tissue Data'!K:K)</f>
        <v>Whole Body</v>
      </c>
      <c r="I1968">
        <f>_xlfn.XLOOKUP(A1968,'[1]Tissue Data'!$A:$A,'[1]Tissue Data'!L:L)</f>
        <v>4.75</v>
      </c>
      <c r="J1968">
        <f>_xlfn.XLOOKUP(A1968,'[1]Tissue Data'!$A:$A,'[1]Tissue Data'!M:M)</f>
        <v>4.1500000000000004</v>
      </c>
      <c r="K1968" t="s">
        <v>28</v>
      </c>
      <c r="L1968" t="str">
        <f>_xlfn.XLOOKUP(K1968,[2]analyte_order!$B:$B,[2]analyte_order!$C:$C)</f>
        <v>375-92-8</v>
      </c>
      <c r="M1968">
        <f>_xlfn.XLOOKUP(L1968,[2]analyte_order!$C:$C,[2]analyte_order!$E:$E)</f>
        <v>17</v>
      </c>
      <c r="N1968">
        <v>0.81100000000000005</v>
      </c>
    </row>
    <row r="1969" spans="1:14">
      <c r="A1969" t="s">
        <v>252</v>
      </c>
      <c r="B1969" t="str">
        <f>_xlfn.XLOOKUP(A1969,'[1]Tissue Data'!$A:$A,'[1]Tissue Data'!$C:$C)</f>
        <v>Spill</v>
      </c>
      <c r="C1969" s="2">
        <f>_xlfn.XLOOKUP(A1969,'[1]Tissue Data'!$A:$A,'[1]Tissue Data'!$D:$D)</f>
        <v>44314</v>
      </c>
      <c r="D1969" s="2" t="str">
        <f>_xlfn.XLOOKUP(A1969,'[1]Tissue Data'!$A:$A,'[1]Tissue Data'!$F:$F)</f>
        <v>Pumpkinseed</v>
      </c>
      <c r="E1969" t="str">
        <f>_xlfn.XLOOKUP(A1969,'[1]Tissue Data'!$A:$A,'[1]Tissue Data'!$H:$H)</f>
        <v>Lepomis</v>
      </c>
      <c r="F1969" t="str">
        <f>_xlfn.XLOOKUP(A1969,'[1]Tissue Data'!$A:$A,'[1]Tissue Data'!$I:$I)</f>
        <v>gibbosus</v>
      </c>
      <c r="G1969" t="str">
        <f>_xlfn.XLOOKUP(A1969,'[1]Tissue Data'!$A:$A,'[1]Tissue Data'!J:J)</f>
        <v>U</v>
      </c>
      <c r="H1969" t="str">
        <f>_xlfn.XLOOKUP(A1969,'[1]Tissue Data'!$A:$A,'[1]Tissue Data'!K:K)</f>
        <v>Whole Body</v>
      </c>
      <c r="I1969">
        <f>_xlfn.XLOOKUP(A1969,'[1]Tissue Data'!$A:$A,'[1]Tissue Data'!L:L)</f>
        <v>4.75</v>
      </c>
      <c r="J1969">
        <f>_xlfn.XLOOKUP(A1969,'[1]Tissue Data'!$A:$A,'[1]Tissue Data'!M:M)</f>
        <v>4.1500000000000004</v>
      </c>
      <c r="K1969" t="s">
        <v>29</v>
      </c>
      <c r="L1969" t="str">
        <f>_xlfn.XLOOKUP(K1969,[2]analyte_order!$B:$B,[2]analyte_order!$C:$C)</f>
        <v>1763-23-1</v>
      </c>
      <c r="M1969">
        <f>_xlfn.XLOOKUP(L1969,[2]analyte_order!$C:$C,[2]analyte_order!$E:$E)</f>
        <v>18</v>
      </c>
      <c r="N1969">
        <v>397</v>
      </c>
    </row>
    <row r="1970" spans="1:14">
      <c r="A1970" t="s">
        <v>252</v>
      </c>
      <c r="B1970" t="str">
        <f>_xlfn.XLOOKUP(A1970,'[1]Tissue Data'!$A:$A,'[1]Tissue Data'!$C:$C)</f>
        <v>Spill</v>
      </c>
      <c r="C1970" s="2">
        <f>_xlfn.XLOOKUP(A1970,'[1]Tissue Data'!$A:$A,'[1]Tissue Data'!$D:$D)</f>
        <v>44314</v>
      </c>
      <c r="D1970" s="2" t="str">
        <f>_xlfn.XLOOKUP(A1970,'[1]Tissue Data'!$A:$A,'[1]Tissue Data'!$F:$F)</f>
        <v>Pumpkinseed</v>
      </c>
      <c r="E1970" t="str">
        <f>_xlfn.XLOOKUP(A1970,'[1]Tissue Data'!$A:$A,'[1]Tissue Data'!$H:$H)</f>
        <v>Lepomis</v>
      </c>
      <c r="F1970" t="str">
        <f>_xlfn.XLOOKUP(A1970,'[1]Tissue Data'!$A:$A,'[1]Tissue Data'!$I:$I)</f>
        <v>gibbosus</v>
      </c>
      <c r="G1970" t="str">
        <f>_xlfn.XLOOKUP(A1970,'[1]Tissue Data'!$A:$A,'[1]Tissue Data'!J:J)</f>
        <v>U</v>
      </c>
      <c r="H1970" t="str">
        <f>_xlfn.XLOOKUP(A1970,'[1]Tissue Data'!$A:$A,'[1]Tissue Data'!K:K)</f>
        <v>Whole Body</v>
      </c>
      <c r="I1970">
        <f>_xlfn.XLOOKUP(A1970,'[1]Tissue Data'!$A:$A,'[1]Tissue Data'!L:L)</f>
        <v>4.75</v>
      </c>
      <c r="J1970">
        <f>_xlfn.XLOOKUP(A1970,'[1]Tissue Data'!$A:$A,'[1]Tissue Data'!M:M)</f>
        <v>4.1500000000000004</v>
      </c>
      <c r="K1970" t="s">
        <v>30</v>
      </c>
      <c r="L1970" t="str">
        <f>_xlfn.XLOOKUP(K1970,[2]analyte_order!$B:$B,[2]analyte_order!$C:$C)</f>
        <v>68259-12-1</v>
      </c>
      <c r="M1970">
        <f>_xlfn.XLOOKUP(L1970,[2]analyte_order!$C:$C,[2]analyte_order!$E:$E)</f>
        <v>19</v>
      </c>
      <c r="N1970">
        <v>0.35399999999999998</v>
      </c>
    </row>
    <row r="1971" spans="1:14">
      <c r="A1971" t="s">
        <v>252</v>
      </c>
      <c r="B1971" t="str">
        <f>_xlfn.XLOOKUP(A1971,'[1]Tissue Data'!$A:$A,'[1]Tissue Data'!$C:$C)</f>
        <v>Spill</v>
      </c>
      <c r="C1971" s="2">
        <f>_xlfn.XLOOKUP(A1971,'[1]Tissue Data'!$A:$A,'[1]Tissue Data'!$D:$D)</f>
        <v>44314</v>
      </c>
      <c r="D1971" s="2" t="str">
        <f>_xlfn.XLOOKUP(A1971,'[1]Tissue Data'!$A:$A,'[1]Tissue Data'!$F:$F)</f>
        <v>Pumpkinseed</v>
      </c>
      <c r="E1971" t="str">
        <f>_xlfn.XLOOKUP(A1971,'[1]Tissue Data'!$A:$A,'[1]Tissue Data'!$H:$H)</f>
        <v>Lepomis</v>
      </c>
      <c r="F1971" t="str">
        <f>_xlfn.XLOOKUP(A1971,'[1]Tissue Data'!$A:$A,'[1]Tissue Data'!$I:$I)</f>
        <v>gibbosus</v>
      </c>
      <c r="G1971" t="str">
        <f>_xlfn.XLOOKUP(A1971,'[1]Tissue Data'!$A:$A,'[1]Tissue Data'!J:J)</f>
        <v>U</v>
      </c>
      <c r="H1971" t="str">
        <f>_xlfn.XLOOKUP(A1971,'[1]Tissue Data'!$A:$A,'[1]Tissue Data'!K:K)</f>
        <v>Whole Body</v>
      </c>
      <c r="I1971">
        <f>_xlfn.XLOOKUP(A1971,'[1]Tissue Data'!$A:$A,'[1]Tissue Data'!L:L)</f>
        <v>4.75</v>
      </c>
      <c r="J1971">
        <f>_xlfn.XLOOKUP(A1971,'[1]Tissue Data'!$A:$A,'[1]Tissue Data'!M:M)</f>
        <v>4.1500000000000004</v>
      </c>
      <c r="K1971" t="s">
        <v>31</v>
      </c>
      <c r="L1971" t="str">
        <f>_xlfn.XLOOKUP(K1971,[2]analyte_order!$B:$B,[2]analyte_order!$C:$C)</f>
        <v>335-77-3</v>
      </c>
      <c r="M1971">
        <f>_xlfn.XLOOKUP(L1971,[2]analyte_order!$C:$C,[2]analyte_order!$E:$E)</f>
        <v>20</v>
      </c>
      <c r="N1971">
        <v>0.1984748122962085</v>
      </c>
    </row>
    <row r="1972" spans="1:14">
      <c r="A1972" t="s">
        <v>252</v>
      </c>
      <c r="B1972" t="str">
        <f>_xlfn.XLOOKUP(A1972,'[1]Tissue Data'!$A:$A,'[1]Tissue Data'!$C:$C)</f>
        <v>Spill</v>
      </c>
      <c r="C1972" s="2">
        <f>_xlfn.XLOOKUP(A1972,'[1]Tissue Data'!$A:$A,'[1]Tissue Data'!$D:$D)</f>
        <v>44314</v>
      </c>
      <c r="D1972" s="2" t="str">
        <f>_xlfn.XLOOKUP(A1972,'[1]Tissue Data'!$A:$A,'[1]Tissue Data'!$F:$F)</f>
        <v>Pumpkinseed</v>
      </c>
      <c r="E1972" t="str">
        <f>_xlfn.XLOOKUP(A1972,'[1]Tissue Data'!$A:$A,'[1]Tissue Data'!$H:$H)</f>
        <v>Lepomis</v>
      </c>
      <c r="F1972" t="str">
        <f>_xlfn.XLOOKUP(A1972,'[1]Tissue Data'!$A:$A,'[1]Tissue Data'!$I:$I)</f>
        <v>gibbosus</v>
      </c>
      <c r="G1972" t="str">
        <f>_xlfn.XLOOKUP(A1972,'[1]Tissue Data'!$A:$A,'[1]Tissue Data'!J:J)</f>
        <v>U</v>
      </c>
      <c r="H1972" t="str">
        <f>_xlfn.XLOOKUP(A1972,'[1]Tissue Data'!$A:$A,'[1]Tissue Data'!K:K)</f>
        <v>Whole Body</v>
      </c>
      <c r="I1972">
        <f>_xlfn.XLOOKUP(A1972,'[1]Tissue Data'!$A:$A,'[1]Tissue Data'!L:L)</f>
        <v>4.75</v>
      </c>
      <c r="J1972">
        <f>_xlfn.XLOOKUP(A1972,'[1]Tissue Data'!$A:$A,'[1]Tissue Data'!M:M)</f>
        <v>4.1500000000000004</v>
      </c>
      <c r="K1972" t="s">
        <v>32</v>
      </c>
      <c r="L1972" t="str">
        <f>_xlfn.XLOOKUP(K1972,[2]analyte_order!$B:$B,[2]analyte_order!$C:$C)</f>
        <v>79780-39-5</v>
      </c>
      <c r="M1972">
        <f>_xlfn.XLOOKUP(L1972,[2]analyte_order!$C:$C,[2]analyte_order!$E:$E)</f>
        <v>21</v>
      </c>
      <c r="N1972">
        <v>0.25916448663447866</v>
      </c>
    </row>
    <row r="1973" spans="1:14">
      <c r="A1973" t="s">
        <v>252</v>
      </c>
      <c r="B1973" t="str">
        <f>_xlfn.XLOOKUP(A1973,'[1]Tissue Data'!$A:$A,'[1]Tissue Data'!$C:$C)</f>
        <v>Spill</v>
      </c>
      <c r="C1973" s="2">
        <f>_xlfn.XLOOKUP(A1973,'[1]Tissue Data'!$A:$A,'[1]Tissue Data'!$D:$D)</f>
        <v>44314</v>
      </c>
      <c r="D1973" s="2" t="str">
        <f>_xlfn.XLOOKUP(A1973,'[1]Tissue Data'!$A:$A,'[1]Tissue Data'!$F:$F)</f>
        <v>Pumpkinseed</v>
      </c>
      <c r="E1973" t="str">
        <f>_xlfn.XLOOKUP(A1973,'[1]Tissue Data'!$A:$A,'[1]Tissue Data'!$H:$H)</f>
        <v>Lepomis</v>
      </c>
      <c r="F1973" t="str">
        <f>_xlfn.XLOOKUP(A1973,'[1]Tissue Data'!$A:$A,'[1]Tissue Data'!$I:$I)</f>
        <v>gibbosus</v>
      </c>
      <c r="G1973" t="str">
        <f>_xlfn.XLOOKUP(A1973,'[1]Tissue Data'!$A:$A,'[1]Tissue Data'!J:J)</f>
        <v>U</v>
      </c>
      <c r="H1973" t="str">
        <f>_xlfn.XLOOKUP(A1973,'[1]Tissue Data'!$A:$A,'[1]Tissue Data'!K:K)</f>
        <v>Whole Body</v>
      </c>
      <c r="I1973">
        <f>_xlfn.XLOOKUP(A1973,'[1]Tissue Data'!$A:$A,'[1]Tissue Data'!L:L)</f>
        <v>4.75</v>
      </c>
      <c r="J1973">
        <f>_xlfn.XLOOKUP(A1973,'[1]Tissue Data'!$A:$A,'[1]Tissue Data'!M:M)</f>
        <v>4.1500000000000004</v>
      </c>
      <c r="K1973" t="s">
        <v>33</v>
      </c>
      <c r="L1973" t="str">
        <f>_xlfn.XLOOKUP(K1973,[2]analyte_order!$B:$B,[2]analyte_order!$C:$C)</f>
        <v>777011-38-8</v>
      </c>
      <c r="M1973">
        <f>_xlfn.XLOOKUP(L1973,[2]analyte_order!$C:$C,[2]analyte_order!$E:$E)</f>
        <v>54</v>
      </c>
      <c r="N1973">
        <v>0.14727374329052134</v>
      </c>
    </row>
    <row r="1974" spans="1:14">
      <c r="A1974" t="s">
        <v>252</v>
      </c>
      <c r="B1974" t="str">
        <f>_xlfn.XLOOKUP(A1974,'[1]Tissue Data'!$A:$A,'[1]Tissue Data'!$C:$C)</f>
        <v>Spill</v>
      </c>
      <c r="C1974" s="2">
        <f>_xlfn.XLOOKUP(A1974,'[1]Tissue Data'!$A:$A,'[1]Tissue Data'!$D:$D)</f>
        <v>44314</v>
      </c>
      <c r="D1974" s="2" t="str">
        <f>_xlfn.XLOOKUP(A1974,'[1]Tissue Data'!$A:$A,'[1]Tissue Data'!$F:$F)</f>
        <v>Pumpkinseed</v>
      </c>
      <c r="E1974" t="str">
        <f>_xlfn.XLOOKUP(A1974,'[1]Tissue Data'!$A:$A,'[1]Tissue Data'!$H:$H)</f>
        <v>Lepomis</v>
      </c>
      <c r="F1974" t="str">
        <f>_xlfn.XLOOKUP(A1974,'[1]Tissue Data'!$A:$A,'[1]Tissue Data'!$I:$I)</f>
        <v>gibbosus</v>
      </c>
      <c r="G1974" t="str">
        <f>_xlfn.XLOOKUP(A1974,'[1]Tissue Data'!$A:$A,'[1]Tissue Data'!J:J)</f>
        <v>U</v>
      </c>
      <c r="H1974" t="str">
        <f>_xlfn.XLOOKUP(A1974,'[1]Tissue Data'!$A:$A,'[1]Tissue Data'!K:K)</f>
        <v>Whole Body</v>
      </c>
      <c r="I1974">
        <f>_xlfn.XLOOKUP(A1974,'[1]Tissue Data'!$A:$A,'[1]Tissue Data'!L:L)</f>
        <v>4.75</v>
      </c>
      <c r="J1974">
        <f>_xlfn.XLOOKUP(A1974,'[1]Tissue Data'!$A:$A,'[1]Tissue Data'!M:M)</f>
        <v>4.1500000000000004</v>
      </c>
      <c r="K1974" t="s">
        <v>34</v>
      </c>
      <c r="L1974" t="str">
        <f>_xlfn.XLOOKUP(K1974,[2]analyte_order!$B:$B,[2]analyte_order!$C:$C)</f>
        <v>646-83-3</v>
      </c>
      <c r="M1974">
        <f>_xlfn.XLOOKUP(L1974,[2]analyte_order!$C:$C,[2]analyte_order!$E:$E)</f>
        <v>55</v>
      </c>
      <c r="N1974">
        <v>9.694097371822491E-2</v>
      </c>
    </row>
    <row r="1975" spans="1:14">
      <c r="A1975" t="s">
        <v>252</v>
      </c>
      <c r="B1975" t="str">
        <f>_xlfn.XLOOKUP(A1975,'[1]Tissue Data'!$A:$A,'[1]Tissue Data'!$C:$C)</f>
        <v>Spill</v>
      </c>
      <c r="C1975" s="2">
        <f>_xlfn.XLOOKUP(A1975,'[1]Tissue Data'!$A:$A,'[1]Tissue Data'!$D:$D)</f>
        <v>44314</v>
      </c>
      <c r="D1975" s="2" t="str">
        <f>_xlfn.XLOOKUP(A1975,'[1]Tissue Data'!$A:$A,'[1]Tissue Data'!$F:$F)</f>
        <v>Pumpkinseed</v>
      </c>
      <c r="E1975" t="str">
        <f>_xlfn.XLOOKUP(A1975,'[1]Tissue Data'!$A:$A,'[1]Tissue Data'!$H:$H)</f>
        <v>Lepomis</v>
      </c>
      <c r="F1975" t="str">
        <f>_xlfn.XLOOKUP(A1975,'[1]Tissue Data'!$A:$A,'[1]Tissue Data'!$I:$I)</f>
        <v>gibbosus</v>
      </c>
      <c r="G1975" t="str">
        <f>_xlfn.XLOOKUP(A1975,'[1]Tissue Data'!$A:$A,'[1]Tissue Data'!J:J)</f>
        <v>U</v>
      </c>
      <c r="H1975" t="str">
        <f>_xlfn.XLOOKUP(A1975,'[1]Tissue Data'!$A:$A,'[1]Tissue Data'!K:K)</f>
        <v>Whole Body</v>
      </c>
      <c r="I1975">
        <f>_xlfn.XLOOKUP(A1975,'[1]Tissue Data'!$A:$A,'[1]Tissue Data'!L:L)</f>
        <v>4.75</v>
      </c>
      <c r="J1975">
        <f>_xlfn.XLOOKUP(A1975,'[1]Tissue Data'!$A:$A,'[1]Tissue Data'!M:M)</f>
        <v>4.1500000000000004</v>
      </c>
      <c r="K1975" t="s">
        <v>35</v>
      </c>
      <c r="L1975" t="str">
        <f>_xlfn.XLOOKUP(K1975,[2]analyte_order!$B:$B,[2]analyte_order!$C:$C)</f>
        <v>30334-69-1</v>
      </c>
      <c r="M1975">
        <f>_xlfn.XLOOKUP(L1975,[2]analyte_order!$C:$C,[2]analyte_order!$E:$E)</f>
        <v>51</v>
      </c>
      <c r="N1975">
        <v>82</v>
      </c>
    </row>
    <row r="1976" spans="1:14">
      <c r="A1976" t="s">
        <v>252</v>
      </c>
      <c r="B1976" t="str">
        <f>_xlfn.XLOOKUP(A1976,'[1]Tissue Data'!$A:$A,'[1]Tissue Data'!$C:$C)</f>
        <v>Spill</v>
      </c>
      <c r="C1976" s="2">
        <f>_xlfn.XLOOKUP(A1976,'[1]Tissue Data'!$A:$A,'[1]Tissue Data'!$D:$D)</f>
        <v>44314</v>
      </c>
      <c r="D1976" s="2" t="str">
        <f>_xlfn.XLOOKUP(A1976,'[1]Tissue Data'!$A:$A,'[1]Tissue Data'!$F:$F)</f>
        <v>Pumpkinseed</v>
      </c>
      <c r="E1976" t="str">
        <f>_xlfn.XLOOKUP(A1976,'[1]Tissue Data'!$A:$A,'[1]Tissue Data'!$H:$H)</f>
        <v>Lepomis</v>
      </c>
      <c r="F1976" t="str">
        <f>_xlfn.XLOOKUP(A1976,'[1]Tissue Data'!$A:$A,'[1]Tissue Data'!$I:$I)</f>
        <v>gibbosus</v>
      </c>
      <c r="G1976" t="str">
        <f>_xlfn.XLOOKUP(A1976,'[1]Tissue Data'!$A:$A,'[1]Tissue Data'!J:J)</f>
        <v>U</v>
      </c>
      <c r="H1976" t="str">
        <f>_xlfn.XLOOKUP(A1976,'[1]Tissue Data'!$A:$A,'[1]Tissue Data'!K:K)</f>
        <v>Whole Body</v>
      </c>
      <c r="I1976">
        <f>_xlfn.XLOOKUP(A1976,'[1]Tissue Data'!$A:$A,'[1]Tissue Data'!L:L)</f>
        <v>4.75</v>
      </c>
      <c r="J1976">
        <f>_xlfn.XLOOKUP(A1976,'[1]Tissue Data'!$A:$A,'[1]Tissue Data'!M:M)</f>
        <v>4.1500000000000004</v>
      </c>
      <c r="K1976" t="s">
        <v>36</v>
      </c>
      <c r="L1976" t="str">
        <f>_xlfn.XLOOKUP(K1976,[2]analyte_order!$B:$B,[2]analyte_order!$C:$C)</f>
        <v>41997-13-1</v>
      </c>
      <c r="M1976">
        <f>_xlfn.XLOOKUP(L1976,[2]analyte_order!$C:$C,[2]analyte_order!$E:$E)</f>
        <v>52</v>
      </c>
      <c r="N1976">
        <v>229</v>
      </c>
    </row>
    <row r="1977" spans="1:14">
      <c r="A1977" t="s">
        <v>252</v>
      </c>
      <c r="B1977" t="str">
        <f>_xlfn.XLOOKUP(A1977,'[1]Tissue Data'!$A:$A,'[1]Tissue Data'!$C:$C)</f>
        <v>Spill</v>
      </c>
      <c r="C1977" s="2">
        <f>_xlfn.XLOOKUP(A1977,'[1]Tissue Data'!$A:$A,'[1]Tissue Data'!$D:$D)</f>
        <v>44314</v>
      </c>
      <c r="D1977" s="2" t="str">
        <f>_xlfn.XLOOKUP(A1977,'[1]Tissue Data'!$A:$A,'[1]Tissue Data'!$F:$F)</f>
        <v>Pumpkinseed</v>
      </c>
      <c r="E1977" t="str">
        <f>_xlfn.XLOOKUP(A1977,'[1]Tissue Data'!$A:$A,'[1]Tissue Data'!$H:$H)</f>
        <v>Lepomis</v>
      </c>
      <c r="F1977" t="str">
        <f>_xlfn.XLOOKUP(A1977,'[1]Tissue Data'!$A:$A,'[1]Tissue Data'!$I:$I)</f>
        <v>gibbosus</v>
      </c>
      <c r="G1977" t="str">
        <f>_xlfn.XLOOKUP(A1977,'[1]Tissue Data'!$A:$A,'[1]Tissue Data'!J:J)</f>
        <v>U</v>
      </c>
      <c r="H1977" t="str">
        <f>_xlfn.XLOOKUP(A1977,'[1]Tissue Data'!$A:$A,'[1]Tissue Data'!K:K)</f>
        <v>Whole Body</v>
      </c>
      <c r="I1977">
        <f>_xlfn.XLOOKUP(A1977,'[1]Tissue Data'!$A:$A,'[1]Tissue Data'!L:L)</f>
        <v>4.75</v>
      </c>
      <c r="J1977">
        <f>_xlfn.XLOOKUP(A1977,'[1]Tissue Data'!$A:$A,'[1]Tissue Data'!M:M)</f>
        <v>4.1500000000000004</v>
      </c>
      <c r="K1977" t="s">
        <v>37</v>
      </c>
      <c r="L1977" t="str">
        <f>_xlfn.XLOOKUP(K1977,[2]analyte_order!$B:$B,[2]analyte_order!$C:$C)</f>
        <v>754-91-6</v>
      </c>
      <c r="M1977">
        <f>_xlfn.XLOOKUP(L1977,[2]analyte_order!$C:$C,[2]analyte_order!$E:$E)</f>
        <v>28</v>
      </c>
      <c r="N1977">
        <v>24.7</v>
      </c>
    </row>
    <row r="1978" spans="1:14">
      <c r="A1978" t="s">
        <v>252</v>
      </c>
      <c r="B1978" t="str">
        <f>_xlfn.XLOOKUP(A1978,'[1]Tissue Data'!$A:$A,'[1]Tissue Data'!$C:$C)</f>
        <v>Spill</v>
      </c>
      <c r="C1978" s="2">
        <f>_xlfn.XLOOKUP(A1978,'[1]Tissue Data'!$A:$A,'[1]Tissue Data'!$D:$D)</f>
        <v>44314</v>
      </c>
      <c r="D1978" s="2" t="str">
        <f>_xlfn.XLOOKUP(A1978,'[1]Tissue Data'!$A:$A,'[1]Tissue Data'!$F:$F)</f>
        <v>Pumpkinseed</v>
      </c>
      <c r="E1978" t="str">
        <f>_xlfn.XLOOKUP(A1978,'[1]Tissue Data'!$A:$A,'[1]Tissue Data'!$H:$H)</f>
        <v>Lepomis</v>
      </c>
      <c r="F1978" t="str">
        <f>_xlfn.XLOOKUP(A1978,'[1]Tissue Data'!$A:$A,'[1]Tissue Data'!$I:$I)</f>
        <v>gibbosus</v>
      </c>
      <c r="G1978" t="str">
        <f>_xlfn.XLOOKUP(A1978,'[1]Tissue Data'!$A:$A,'[1]Tissue Data'!J:J)</f>
        <v>U</v>
      </c>
      <c r="H1978" t="str">
        <f>_xlfn.XLOOKUP(A1978,'[1]Tissue Data'!$A:$A,'[1]Tissue Data'!K:K)</f>
        <v>Whole Body</v>
      </c>
      <c r="I1978">
        <f>_xlfn.XLOOKUP(A1978,'[1]Tissue Data'!$A:$A,'[1]Tissue Data'!L:L)</f>
        <v>4.75</v>
      </c>
      <c r="J1978">
        <f>_xlfn.XLOOKUP(A1978,'[1]Tissue Data'!$A:$A,'[1]Tissue Data'!M:M)</f>
        <v>4.1500000000000004</v>
      </c>
      <c r="K1978" t="s">
        <v>38</v>
      </c>
      <c r="L1978" t="str">
        <f>_xlfn.XLOOKUP(K1978,[2]analyte_order!$B:$B,[2]analyte_order!$C:$C)</f>
        <v>31506-32-8</v>
      </c>
      <c r="M1978">
        <f>_xlfn.XLOOKUP(L1978,[2]analyte_order!$C:$C,[2]analyte_order!$E:$E)</f>
        <v>30</v>
      </c>
      <c r="N1978">
        <v>5.1913549408974108E-2</v>
      </c>
    </row>
    <row r="1979" spans="1:14">
      <c r="A1979" t="s">
        <v>252</v>
      </c>
      <c r="B1979" t="str">
        <f>_xlfn.XLOOKUP(A1979,'[1]Tissue Data'!$A:$A,'[1]Tissue Data'!$C:$C)</f>
        <v>Spill</v>
      </c>
      <c r="C1979" s="2">
        <f>_xlfn.XLOOKUP(A1979,'[1]Tissue Data'!$A:$A,'[1]Tissue Data'!$D:$D)</f>
        <v>44314</v>
      </c>
      <c r="D1979" s="2" t="str">
        <f>_xlfn.XLOOKUP(A1979,'[1]Tissue Data'!$A:$A,'[1]Tissue Data'!$F:$F)</f>
        <v>Pumpkinseed</v>
      </c>
      <c r="E1979" t="str">
        <f>_xlfn.XLOOKUP(A1979,'[1]Tissue Data'!$A:$A,'[1]Tissue Data'!$H:$H)</f>
        <v>Lepomis</v>
      </c>
      <c r="F1979" t="str">
        <f>_xlfn.XLOOKUP(A1979,'[1]Tissue Data'!$A:$A,'[1]Tissue Data'!$I:$I)</f>
        <v>gibbosus</v>
      </c>
      <c r="G1979" t="str">
        <f>_xlfn.XLOOKUP(A1979,'[1]Tissue Data'!$A:$A,'[1]Tissue Data'!J:J)</f>
        <v>U</v>
      </c>
      <c r="H1979" t="str">
        <f>_xlfn.XLOOKUP(A1979,'[1]Tissue Data'!$A:$A,'[1]Tissue Data'!K:K)</f>
        <v>Whole Body</v>
      </c>
      <c r="I1979">
        <f>_xlfn.XLOOKUP(A1979,'[1]Tissue Data'!$A:$A,'[1]Tissue Data'!L:L)</f>
        <v>4.75</v>
      </c>
      <c r="J1979">
        <f>_xlfn.XLOOKUP(A1979,'[1]Tissue Data'!$A:$A,'[1]Tissue Data'!M:M)</f>
        <v>4.1500000000000004</v>
      </c>
      <c r="K1979" t="s">
        <v>39</v>
      </c>
      <c r="L1979" t="str">
        <f>_xlfn.XLOOKUP(K1979,[2]analyte_order!$B:$B,[2]analyte_order!$C:$C)</f>
        <v>4151-50-2</v>
      </c>
      <c r="M1979">
        <f>_xlfn.XLOOKUP(L1979,[2]analyte_order!$C:$C,[2]analyte_order!$E:$E)</f>
        <v>31</v>
      </c>
      <c r="N1979">
        <v>7.8637408109804297E-2</v>
      </c>
    </row>
    <row r="1980" spans="1:14">
      <c r="A1980" t="s">
        <v>252</v>
      </c>
      <c r="B1980" t="str">
        <f>_xlfn.XLOOKUP(A1980,'[1]Tissue Data'!$A:$A,'[1]Tissue Data'!$C:$C)</f>
        <v>Spill</v>
      </c>
      <c r="C1980" s="2">
        <f>_xlfn.XLOOKUP(A1980,'[1]Tissue Data'!$A:$A,'[1]Tissue Data'!$D:$D)</f>
        <v>44314</v>
      </c>
      <c r="D1980" s="2" t="str">
        <f>_xlfn.XLOOKUP(A1980,'[1]Tissue Data'!$A:$A,'[1]Tissue Data'!$F:$F)</f>
        <v>Pumpkinseed</v>
      </c>
      <c r="E1980" t="str">
        <f>_xlfn.XLOOKUP(A1980,'[1]Tissue Data'!$A:$A,'[1]Tissue Data'!$H:$H)</f>
        <v>Lepomis</v>
      </c>
      <c r="F1980" t="str">
        <f>_xlfn.XLOOKUP(A1980,'[1]Tissue Data'!$A:$A,'[1]Tissue Data'!$I:$I)</f>
        <v>gibbosus</v>
      </c>
      <c r="G1980" t="str">
        <f>_xlfn.XLOOKUP(A1980,'[1]Tissue Data'!$A:$A,'[1]Tissue Data'!J:J)</f>
        <v>U</v>
      </c>
      <c r="H1980" t="str">
        <f>_xlfn.XLOOKUP(A1980,'[1]Tissue Data'!$A:$A,'[1]Tissue Data'!K:K)</f>
        <v>Whole Body</v>
      </c>
      <c r="I1980">
        <f>_xlfn.XLOOKUP(A1980,'[1]Tissue Data'!$A:$A,'[1]Tissue Data'!L:L)</f>
        <v>4.75</v>
      </c>
      <c r="J1980">
        <f>_xlfn.XLOOKUP(A1980,'[1]Tissue Data'!$A:$A,'[1]Tissue Data'!M:M)</f>
        <v>4.1500000000000004</v>
      </c>
      <c r="K1980" t="s">
        <v>40</v>
      </c>
      <c r="L1980" t="str">
        <f>_xlfn.XLOOKUP(K1980,[2]analyte_order!$B:$B,[2]analyte_order!$C:$C)</f>
        <v>2806-24-8</v>
      </c>
      <c r="M1980">
        <f>_xlfn.XLOOKUP(L1980,[2]analyte_order!$C:$C,[2]analyte_order!$E:$E)</f>
        <v>29</v>
      </c>
      <c r="N1980">
        <v>5.3116534782565721E-2</v>
      </c>
    </row>
    <row r="1981" spans="1:14">
      <c r="A1981" t="s">
        <v>252</v>
      </c>
      <c r="B1981" t="str">
        <f>_xlfn.XLOOKUP(A1981,'[1]Tissue Data'!$A:$A,'[1]Tissue Data'!$C:$C)</f>
        <v>Spill</v>
      </c>
      <c r="C1981" s="2">
        <f>_xlfn.XLOOKUP(A1981,'[1]Tissue Data'!$A:$A,'[1]Tissue Data'!$D:$D)</f>
        <v>44314</v>
      </c>
      <c r="D1981" s="2" t="str">
        <f>_xlfn.XLOOKUP(A1981,'[1]Tissue Data'!$A:$A,'[1]Tissue Data'!$F:$F)</f>
        <v>Pumpkinseed</v>
      </c>
      <c r="E1981" t="str">
        <f>_xlfn.XLOOKUP(A1981,'[1]Tissue Data'!$A:$A,'[1]Tissue Data'!$H:$H)</f>
        <v>Lepomis</v>
      </c>
      <c r="F1981" t="str">
        <f>_xlfn.XLOOKUP(A1981,'[1]Tissue Data'!$A:$A,'[1]Tissue Data'!$I:$I)</f>
        <v>gibbosus</v>
      </c>
      <c r="G1981" t="str">
        <f>_xlfn.XLOOKUP(A1981,'[1]Tissue Data'!$A:$A,'[1]Tissue Data'!J:J)</f>
        <v>U</v>
      </c>
      <c r="H1981" t="str">
        <f>_xlfn.XLOOKUP(A1981,'[1]Tissue Data'!$A:$A,'[1]Tissue Data'!K:K)</f>
        <v>Whole Body</v>
      </c>
      <c r="I1981">
        <f>_xlfn.XLOOKUP(A1981,'[1]Tissue Data'!$A:$A,'[1]Tissue Data'!L:L)</f>
        <v>4.75</v>
      </c>
      <c r="J1981">
        <f>_xlfn.XLOOKUP(A1981,'[1]Tissue Data'!$A:$A,'[1]Tissue Data'!M:M)</f>
        <v>4.1500000000000004</v>
      </c>
      <c r="K1981" t="s">
        <v>41</v>
      </c>
      <c r="L1981" t="str">
        <f>_xlfn.XLOOKUP(K1981,[2]analyte_order!$B:$B,[2]analyte_order!$C:$C)</f>
        <v>2355-31-9</v>
      </c>
      <c r="M1981">
        <f>_xlfn.XLOOKUP(L1981,[2]analyte_order!$C:$C,[2]analyte_order!$E:$E)</f>
        <v>26</v>
      </c>
      <c r="N1981">
        <v>6.7794366966297689E-2</v>
      </c>
    </row>
    <row r="1982" spans="1:14">
      <c r="A1982" t="s">
        <v>252</v>
      </c>
      <c r="B1982" t="str">
        <f>_xlfn.XLOOKUP(A1982,'[1]Tissue Data'!$A:$A,'[1]Tissue Data'!$C:$C)</f>
        <v>Spill</v>
      </c>
      <c r="C1982" s="2">
        <f>_xlfn.XLOOKUP(A1982,'[1]Tissue Data'!$A:$A,'[1]Tissue Data'!$D:$D)</f>
        <v>44314</v>
      </c>
      <c r="D1982" s="2" t="str">
        <f>_xlfn.XLOOKUP(A1982,'[1]Tissue Data'!$A:$A,'[1]Tissue Data'!$F:$F)</f>
        <v>Pumpkinseed</v>
      </c>
      <c r="E1982" t="str">
        <f>_xlfn.XLOOKUP(A1982,'[1]Tissue Data'!$A:$A,'[1]Tissue Data'!$H:$H)</f>
        <v>Lepomis</v>
      </c>
      <c r="F1982" t="str">
        <f>_xlfn.XLOOKUP(A1982,'[1]Tissue Data'!$A:$A,'[1]Tissue Data'!$I:$I)</f>
        <v>gibbosus</v>
      </c>
      <c r="G1982" t="str">
        <f>_xlfn.XLOOKUP(A1982,'[1]Tissue Data'!$A:$A,'[1]Tissue Data'!J:J)</f>
        <v>U</v>
      </c>
      <c r="H1982" t="str">
        <f>_xlfn.XLOOKUP(A1982,'[1]Tissue Data'!$A:$A,'[1]Tissue Data'!K:K)</f>
        <v>Whole Body</v>
      </c>
      <c r="I1982">
        <f>_xlfn.XLOOKUP(A1982,'[1]Tissue Data'!$A:$A,'[1]Tissue Data'!L:L)</f>
        <v>4.75</v>
      </c>
      <c r="J1982">
        <f>_xlfn.XLOOKUP(A1982,'[1]Tissue Data'!$A:$A,'[1]Tissue Data'!M:M)</f>
        <v>4.1500000000000004</v>
      </c>
      <c r="K1982" t="s">
        <v>42</v>
      </c>
      <c r="L1982" t="str">
        <f>_xlfn.XLOOKUP(K1982,[2]analyte_order!$B:$B,[2]analyte_order!$C:$C)</f>
        <v>2991-50-6</v>
      </c>
      <c r="M1982">
        <f>_xlfn.XLOOKUP(L1982,[2]analyte_order!$C:$C,[2]analyte_order!$E:$E)</f>
        <v>27</v>
      </c>
      <c r="N1982">
        <v>5.8490974591322395E-2</v>
      </c>
    </row>
    <row r="1983" spans="1:14">
      <c r="A1983" t="s">
        <v>252</v>
      </c>
      <c r="B1983" t="str">
        <f>_xlfn.XLOOKUP(A1983,'[1]Tissue Data'!$A:$A,'[1]Tissue Data'!$C:$C)</f>
        <v>Spill</v>
      </c>
      <c r="C1983" s="2">
        <f>_xlfn.XLOOKUP(A1983,'[1]Tissue Data'!$A:$A,'[1]Tissue Data'!$D:$D)</f>
        <v>44314</v>
      </c>
      <c r="D1983" s="2" t="str">
        <f>_xlfn.XLOOKUP(A1983,'[1]Tissue Data'!$A:$A,'[1]Tissue Data'!$F:$F)</f>
        <v>Pumpkinseed</v>
      </c>
      <c r="E1983" t="str">
        <f>_xlfn.XLOOKUP(A1983,'[1]Tissue Data'!$A:$A,'[1]Tissue Data'!$H:$H)</f>
        <v>Lepomis</v>
      </c>
      <c r="F1983" t="str">
        <f>_xlfn.XLOOKUP(A1983,'[1]Tissue Data'!$A:$A,'[1]Tissue Data'!$I:$I)</f>
        <v>gibbosus</v>
      </c>
      <c r="G1983" t="str">
        <f>_xlfn.XLOOKUP(A1983,'[1]Tissue Data'!$A:$A,'[1]Tissue Data'!J:J)</f>
        <v>U</v>
      </c>
      <c r="H1983" t="str">
        <f>_xlfn.XLOOKUP(A1983,'[1]Tissue Data'!$A:$A,'[1]Tissue Data'!K:K)</f>
        <v>Whole Body</v>
      </c>
      <c r="I1983">
        <f>_xlfn.XLOOKUP(A1983,'[1]Tissue Data'!$A:$A,'[1]Tissue Data'!L:L)</f>
        <v>4.75</v>
      </c>
      <c r="J1983">
        <f>_xlfn.XLOOKUP(A1983,'[1]Tissue Data'!$A:$A,'[1]Tissue Data'!M:M)</f>
        <v>4.1500000000000004</v>
      </c>
      <c r="K1983" t="s">
        <v>43</v>
      </c>
      <c r="L1983" t="str">
        <f>_xlfn.XLOOKUP(K1983,[2]analyte_order!$B:$B,[2]analyte_order!$C:$C)</f>
        <v>757124-72-4</v>
      </c>
      <c r="M1983">
        <f>_xlfn.XLOOKUP(L1983,[2]analyte_order!$C:$C,[2]analyte_order!$E:$E)</f>
        <v>22</v>
      </c>
      <c r="N1983">
        <v>5.5350624805297489E-2</v>
      </c>
    </row>
    <row r="1984" spans="1:14">
      <c r="A1984" t="s">
        <v>252</v>
      </c>
      <c r="B1984" t="str">
        <f>_xlfn.XLOOKUP(A1984,'[1]Tissue Data'!$A:$A,'[1]Tissue Data'!$C:$C)</f>
        <v>Spill</v>
      </c>
      <c r="C1984" s="2">
        <f>_xlfn.XLOOKUP(A1984,'[1]Tissue Data'!$A:$A,'[1]Tissue Data'!$D:$D)</f>
        <v>44314</v>
      </c>
      <c r="D1984" s="2" t="str">
        <f>_xlfn.XLOOKUP(A1984,'[1]Tissue Data'!$A:$A,'[1]Tissue Data'!$F:$F)</f>
        <v>Pumpkinseed</v>
      </c>
      <c r="E1984" t="str">
        <f>_xlfn.XLOOKUP(A1984,'[1]Tissue Data'!$A:$A,'[1]Tissue Data'!$H:$H)</f>
        <v>Lepomis</v>
      </c>
      <c r="F1984" t="str">
        <f>_xlfn.XLOOKUP(A1984,'[1]Tissue Data'!$A:$A,'[1]Tissue Data'!$I:$I)</f>
        <v>gibbosus</v>
      </c>
      <c r="G1984" t="str">
        <f>_xlfn.XLOOKUP(A1984,'[1]Tissue Data'!$A:$A,'[1]Tissue Data'!J:J)</f>
        <v>U</v>
      </c>
      <c r="H1984" t="str">
        <f>_xlfn.XLOOKUP(A1984,'[1]Tissue Data'!$A:$A,'[1]Tissue Data'!K:K)</f>
        <v>Whole Body</v>
      </c>
      <c r="I1984">
        <f>_xlfn.XLOOKUP(A1984,'[1]Tissue Data'!$A:$A,'[1]Tissue Data'!L:L)</f>
        <v>4.75</v>
      </c>
      <c r="J1984">
        <f>_xlfn.XLOOKUP(A1984,'[1]Tissue Data'!$A:$A,'[1]Tissue Data'!M:M)</f>
        <v>4.1500000000000004</v>
      </c>
      <c r="K1984" t="s">
        <v>44</v>
      </c>
      <c r="L1984" t="str">
        <f>_xlfn.XLOOKUP(K1984,[2]analyte_order!$B:$B,[2]analyte_order!$C:$C)</f>
        <v>27619-97-2</v>
      </c>
      <c r="M1984">
        <f>_xlfn.XLOOKUP(L1984,[2]analyte_order!$C:$C,[2]analyte_order!$E:$E)</f>
        <v>23</v>
      </c>
      <c r="N1984">
        <v>0.36699999999999999</v>
      </c>
    </row>
    <row r="1985" spans="1:14">
      <c r="A1985" t="s">
        <v>252</v>
      </c>
      <c r="B1985" t="str">
        <f>_xlfn.XLOOKUP(A1985,'[1]Tissue Data'!$A:$A,'[1]Tissue Data'!$C:$C)</f>
        <v>Spill</v>
      </c>
      <c r="C1985" s="2">
        <f>_xlfn.XLOOKUP(A1985,'[1]Tissue Data'!$A:$A,'[1]Tissue Data'!$D:$D)</f>
        <v>44314</v>
      </c>
      <c r="D1985" s="2" t="str">
        <f>_xlfn.XLOOKUP(A1985,'[1]Tissue Data'!$A:$A,'[1]Tissue Data'!$F:$F)</f>
        <v>Pumpkinseed</v>
      </c>
      <c r="E1985" t="str">
        <f>_xlfn.XLOOKUP(A1985,'[1]Tissue Data'!$A:$A,'[1]Tissue Data'!$H:$H)</f>
        <v>Lepomis</v>
      </c>
      <c r="F1985" t="str">
        <f>_xlfn.XLOOKUP(A1985,'[1]Tissue Data'!$A:$A,'[1]Tissue Data'!$I:$I)</f>
        <v>gibbosus</v>
      </c>
      <c r="G1985" t="str">
        <f>_xlfn.XLOOKUP(A1985,'[1]Tissue Data'!$A:$A,'[1]Tissue Data'!J:J)</f>
        <v>U</v>
      </c>
      <c r="H1985" t="str">
        <f>_xlfn.XLOOKUP(A1985,'[1]Tissue Data'!$A:$A,'[1]Tissue Data'!K:K)</f>
        <v>Whole Body</v>
      </c>
      <c r="I1985">
        <f>_xlfn.XLOOKUP(A1985,'[1]Tissue Data'!$A:$A,'[1]Tissue Data'!L:L)</f>
        <v>4.75</v>
      </c>
      <c r="J1985">
        <f>_xlfn.XLOOKUP(A1985,'[1]Tissue Data'!$A:$A,'[1]Tissue Data'!M:M)</f>
        <v>4.1500000000000004</v>
      </c>
      <c r="K1985" t="s">
        <v>45</v>
      </c>
      <c r="L1985" t="str">
        <f>_xlfn.XLOOKUP(K1985,[2]analyte_order!$B:$B,[2]analyte_order!$C:$C)</f>
        <v>39108-34-4</v>
      </c>
      <c r="M1985">
        <f>_xlfn.XLOOKUP(L1985,[2]analyte_order!$C:$C,[2]analyte_order!$E:$E)</f>
        <v>24</v>
      </c>
      <c r="N1985">
        <v>0.94099999999999995</v>
      </c>
    </row>
    <row r="1986" spans="1:14">
      <c r="A1986" t="s">
        <v>252</v>
      </c>
      <c r="B1986" t="str">
        <f>_xlfn.XLOOKUP(A1986,'[1]Tissue Data'!$A:$A,'[1]Tissue Data'!$C:$C)</f>
        <v>Spill</v>
      </c>
      <c r="C1986" s="2">
        <f>_xlfn.XLOOKUP(A1986,'[1]Tissue Data'!$A:$A,'[1]Tissue Data'!$D:$D)</f>
        <v>44314</v>
      </c>
      <c r="D1986" s="2" t="str">
        <f>_xlfn.XLOOKUP(A1986,'[1]Tissue Data'!$A:$A,'[1]Tissue Data'!$F:$F)</f>
        <v>Pumpkinseed</v>
      </c>
      <c r="E1986" t="str">
        <f>_xlfn.XLOOKUP(A1986,'[1]Tissue Data'!$A:$A,'[1]Tissue Data'!$H:$H)</f>
        <v>Lepomis</v>
      </c>
      <c r="F1986" t="str">
        <f>_xlfn.XLOOKUP(A1986,'[1]Tissue Data'!$A:$A,'[1]Tissue Data'!$I:$I)</f>
        <v>gibbosus</v>
      </c>
      <c r="G1986" t="str">
        <f>_xlfn.XLOOKUP(A1986,'[1]Tissue Data'!$A:$A,'[1]Tissue Data'!J:J)</f>
        <v>U</v>
      </c>
      <c r="H1986" t="str">
        <f>_xlfn.XLOOKUP(A1986,'[1]Tissue Data'!$A:$A,'[1]Tissue Data'!K:K)</f>
        <v>Whole Body</v>
      </c>
      <c r="I1986">
        <f>_xlfn.XLOOKUP(A1986,'[1]Tissue Data'!$A:$A,'[1]Tissue Data'!L:L)</f>
        <v>4.75</v>
      </c>
      <c r="J1986">
        <f>_xlfn.XLOOKUP(A1986,'[1]Tissue Data'!$A:$A,'[1]Tissue Data'!M:M)</f>
        <v>4.1500000000000004</v>
      </c>
      <c r="K1986" t="s">
        <v>46</v>
      </c>
      <c r="L1986" t="str">
        <f>_xlfn.XLOOKUP(K1986,[2]analyte_order!$B:$B,[2]analyte_order!$C:$C)</f>
        <v>120226-60-0</v>
      </c>
      <c r="M1986">
        <f>_xlfn.XLOOKUP(L1986,[2]analyte_order!$C:$C,[2]analyte_order!$E:$E)</f>
        <v>25</v>
      </c>
      <c r="N1986">
        <v>7.6515224747973898E-2</v>
      </c>
    </row>
    <row r="1987" spans="1:14">
      <c r="A1987" t="s">
        <v>252</v>
      </c>
      <c r="B1987" t="str">
        <f>_xlfn.XLOOKUP(A1987,'[1]Tissue Data'!$A:$A,'[1]Tissue Data'!$C:$C)</f>
        <v>Spill</v>
      </c>
      <c r="C1987" s="2">
        <f>_xlfn.XLOOKUP(A1987,'[1]Tissue Data'!$A:$A,'[1]Tissue Data'!$D:$D)</f>
        <v>44314</v>
      </c>
      <c r="D1987" s="2" t="str">
        <f>_xlfn.XLOOKUP(A1987,'[1]Tissue Data'!$A:$A,'[1]Tissue Data'!$F:$F)</f>
        <v>Pumpkinseed</v>
      </c>
      <c r="E1987" t="str">
        <f>_xlfn.XLOOKUP(A1987,'[1]Tissue Data'!$A:$A,'[1]Tissue Data'!$H:$H)</f>
        <v>Lepomis</v>
      </c>
      <c r="F1987" t="str">
        <f>_xlfn.XLOOKUP(A1987,'[1]Tissue Data'!$A:$A,'[1]Tissue Data'!$I:$I)</f>
        <v>gibbosus</v>
      </c>
      <c r="G1987" t="str">
        <f>_xlfn.XLOOKUP(A1987,'[1]Tissue Data'!$A:$A,'[1]Tissue Data'!J:J)</f>
        <v>U</v>
      </c>
      <c r="H1987" t="str">
        <f>_xlfn.XLOOKUP(A1987,'[1]Tissue Data'!$A:$A,'[1]Tissue Data'!K:K)</f>
        <v>Whole Body</v>
      </c>
      <c r="I1987">
        <f>_xlfn.XLOOKUP(A1987,'[1]Tissue Data'!$A:$A,'[1]Tissue Data'!L:L)</f>
        <v>4.75</v>
      </c>
      <c r="J1987">
        <f>_xlfn.XLOOKUP(A1987,'[1]Tissue Data'!$A:$A,'[1]Tissue Data'!M:M)</f>
        <v>4.1500000000000004</v>
      </c>
      <c r="K1987" t="s">
        <v>47</v>
      </c>
      <c r="L1987" t="str">
        <f>_xlfn.XLOOKUP(K1987,[2]analyte_order!$B:$B,[2]analyte_order!$C:$C)</f>
        <v>356-02-5</v>
      </c>
      <c r="M1987">
        <f>_xlfn.XLOOKUP(L1987,[2]analyte_order!$C:$C,[2]analyte_order!$E:$E)</f>
        <v>38</v>
      </c>
      <c r="N1987">
        <v>7.7729755690353813E-2</v>
      </c>
    </row>
    <row r="1988" spans="1:14">
      <c r="A1988" t="s">
        <v>252</v>
      </c>
      <c r="B1988" t="str">
        <f>_xlfn.XLOOKUP(A1988,'[1]Tissue Data'!$A:$A,'[1]Tissue Data'!$C:$C)</f>
        <v>Spill</v>
      </c>
      <c r="C1988" s="2">
        <f>_xlfn.XLOOKUP(A1988,'[1]Tissue Data'!$A:$A,'[1]Tissue Data'!$D:$D)</f>
        <v>44314</v>
      </c>
      <c r="D1988" s="2" t="str">
        <f>_xlfn.XLOOKUP(A1988,'[1]Tissue Data'!$A:$A,'[1]Tissue Data'!$F:$F)</f>
        <v>Pumpkinseed</v>
      </c>
      <c r="E1988" t="str">
        <f>_xlfn.XLOOKUP(A1988,'[1]Tissue Data'!$A:$A,'[1]Tissue Data'!$H:$H)</f>
        <v>Lepomis</v>
      </c>
      <c r="F1988" t="str">
        <f>_xlfn.XLOOKUP(A1988,'[1]Tissue Data'!$A:$A,'[1]Tissue Data'!$I:$I)</f>
        <v>gibbosus</v>
      </c>
      <c r="G1988" t="str">
        <f>_xlfn.XLOOKUP(A1988,'[1]Tissue Data'!$A:$A,'[1]Tissue Data'!J:J)</f>
        <v>U</v>
      </c>
      <c r="H1988" t="str">
        <f>_xlfn.XLOOKUP(A1988,'[1]Tissue Data'!$A:$A,'[1]Tissue Data'!K:K)</f>
        <v>Whole Body</v>
      </c>
      <c r="I1988">
        <f>_xlfn.XLOOKUP(A1988,'[1]Tissue Data'!$A:$A,'[1]Tissue Data'!L:L)</f>
        <v>4.75</v>
      </c>
      <c r="J1988">
        <f>_xlfn.XLOOKUP(A1988,'[1]Tissue Data'!$A:$A,'[1]Tissue Data'!M:M)</f>
        <v>4.1500000000000004</v>
      </c>
      <c r="K1988" t="s">
        <v>48</v>
      </c>
      <c r="L1988" t="str">
        <f>_xlfn.XLOOKUP(K1988,[2]analyte_order!$B:$B,[2]analyte_order!$C:$C)</f>
        <v>914637-49-3</v>
      </c>
      <c r="M1988">
        <f>_xlfn.XLOOKUP(L1988,[2]analyte_order!$C:$C,[2]analyte_order!$E:$E)</f>
        <v>39</v>
      </c>
      <c r="N1988">
        <v>0.32700000000000001</v>
      </c>
    </row>
    <row r="1989" spans="1:14">
      <c r="A1989" t="s">
        <v>252</v>
      </c>
      <c r="B1989" t="str">
        <f>_xlfn.XLOOKUP(A1989,'[1]Tissue Data'!$A:$A,'[1]Tissue Data'!$C:$C)</f>
        <v>Spill</v>
      </c>
      <c r="C1989" s="2">
        <f>_xlfn.XLOOKUP(A1989,'[1]Tissue Data'!$A:$A,'[1]Tissue Data'!$D:$D)</f>
        <v>44314</v>
      </c>
      <c r="D1989" s="2" t="str">
        <f>_xlfn.XLOOKUP(A1989,'[1]Tissue Data'!$A:$A,'[1]Tissue Data'!$F:$F)</f>
        <v>Pumpkinseed</v>
      </c>
      <c r="E1989" t="str">
        <f>_xlfn.XLOOKUP(A1989,'[1]Tissue Data'!$A:$A,'[1]Tissue Data'!$H:$H)</f>
        <v>Lepomis</v>
      </c>
      <c r="F1989" t="str">
        <f>_xlfn.XLOOKUP(A1989,'[1]Tissue Data'!$A:$A,'[1]Tissue Data'!$I:$I)</f>
        <v>gibbosus</v>
      </c>
      <c r="G1989" t="str">
        <f>_xlfn.XLOOKUP(A1989,'[1]Tissue Data'!$A:$A,'[1]Tissue Data'!J:J)</f>
        <v>U</v>
      </c>
      <c r="H1989" t="str">
        <f>_xlfn.XLOOKUP(A1989,'[1]Tissue Data'!$A:$A,'[1]Tissue Data'!K:K)</f>
        <v>Whole Body</v>
      </c>
      <c r="I1989">
        <f>_xlfn.XLOOKUP(A1989,'[1]Tissue Data'!$A:$A,'[1]Tissue Data'!L:L)</f>
        <v>4.75</v>
      </c>
      <c r="J1989">
        <f>_xlfn.XLOOKUP(A1989,'[1]Tissue Data'!$A:$A,'[1]Tissue Data'!M:M)</f>
        <v>4.1500000000000004</v>
      </c>
      <c r="K1989" t="s">
        <v>49</v>
      </c>
      <c r="L1989" t="str">
        <f>_xlfn.XLOOKUP(K1989,[2]analyte_order!$B:$B,[2]analyte_order!$C:$C)</f>
        <v>812-70-4</v>
      </c>
      <c r="M1989">
        <f>_xlfn.XLOOKUP(L1989,[2]analyte_order!$C:$C,[2]analyte_order!$E:$E)</f>
        <v>40</v>
      </c>
      <c r="N1989">
        <v>1.53</v>
      </c>
    </row>
    <row r="1990" spans="1:14">
      <c r="A1990" t="s">
        <v>252</v>
      </c>
      <c r="B1990" t="str">
        <f>_xlfn.XLOOKUP(A1990,'[1]Tissue Data'!$A:$A,'[1]Tissue Data'!$C:$C)</f>
        <v>Spill</v>
      </c>
      <c r="C1990" s="2">
        <f>_xlfn.XLOOKUP(A1990,'[1]Tissue Data'!$A:$A,'[1]Tissue Data'!$D:$D)</f>
        <v>44314</v>
      </c>
      <c r="D1990" s="2" t="str">
        <f>_xlfn.XLOOKUP(A1990,'[1]Tissue Data'!$A:$A,'[1]Tissue Data'!$F:$F)</f>
        <v>Pumpkinseed</v>
      </c>
      <c r="E1990" t="str">
        <f>_xlfn.XLOOKUP(A1990,'[1]Tissue Data'!$A:$A,'[1]Tissue Data'!$H:$H)</f>
        <v>Lepomis</v>
      </c>
      <c r="F1990" t="str">
        <f>_xlfn.XLOOKUP(A1990,'[1]Tissue Data'!$A:$A,'[1]Tissue Data'!$I:$I)</f>
        <v>gibbosus</v>
      </c>
      <c r="G1990" t="str">
        <f>_xlfn.XLOOKUP(A1990,'[1]Tissue Data'!$A:$A,'[1]Tissue Data'!J:J)</f>
        <v>U</v>
      </c>
      <c r="H1990" t="str">
        <f>_xlfn.XLOOKUP(A1990,'[1]Tissue Data'!$A:$A,'[1]Tissue Data'!K:K)</f>
        <v>Whole Body</v>
      </c>
      <c r="I1990">
        <f>_xlfn.XLOOKUP(A1990,'[1]Tissue Data'!$A:$A,'[1]Tissue Data'!L:L)</f>
        <v>4.75</v>
      </c>
      <c r="J1990">
        <f>_xlfn.XLOOKUP(A1990,'[1]Tissue Data'!$A:$A,'[1]Tissue Data'!M:M)</f>
        <v>4.1500000000000004</v>
      </c>
      <c r="K1990" t="s">
        <v>50</v>
      </c>
      <c r="L1990" t="str">
        <f>_xlfn.XLOOKUP(K1990,[2]analyte_order!$B:$B,[2]analyte_order!$C:$C)</f>
        <v>53826-12-3</v>
      </c>
      <c r="M1990">
        <f>_xlfn.XLOOKUP(L1990,[2]analyte_order!$C:$C,[2]analyte_order!$E:$E)</f>
        <v>41</v>
      </c>
      <c r="N1990">
        <v>2.21</v>
      </c>
    </row>
    <row r="1991" spans="1:14">
      <c r="A1991" t="s">
        <v>252</v>
      </c>
      <c r="B1991" t="str">
        <f>_xlfn.XLOOKUP(A1991,'[1]Tissue Data'!$A:$A,'[1]Tissue Data'!$C:$C)</f>
        <v>Spill</v>
      </c>
      <c r="C1991" s="2">
        <f>_xlfn.XLOOKUP(A1991,'[1]Tissue Data'!$A:$A,'[1]Tissue Data'!$D:$D)</f>
        <v>44314</v>
      </c>
      <c r="D1991" s="2" t="str">
        <f>_xlfn.XLOOKUP(A1991,'[1]Tissue Data'!$A:$A,'[1]Tissue Data'!$F:$F)</f>
        <v>Pumpkinseed</v>
      </c>
      <c r="E1991" t="str">
        <f>_xlfn.XLOOKUP(A1991,'[1]Tissue Data'!$A:$A,'[1]Tissue Data'!$H:$H)</f>
        <v>Lepomis</v>
      </c>
      <c r="F1991" t="str">
        <f>_xlfn.XLOOKUP(A1991,'[1]Tissue Data'!$A:$A,'[1]Tissue Data'!$I:$I)</f>
        <v>gibbosus</v>
      </c>
      <c r="G1991" t="str">
        <f>_xlfn.XLOOKUP(A1991,'[1]Tissue Data'!$A:$A,'[1]Tissue Data'!J:J)</f>
        <v>U</v>
      </c>
      <c r="H1991" t="str">
        <f>_xlfn.XLOOKUP(A1991,'[1]Tissue Data'!$A:$A,'[1]Tissue Data'!K:K)</f>
        <v>Whole Body</v>
      </c>
      <c r="I1991">
        <f>_xlfn.XLOOKUP(A1991,'[1]Tissue Data'!$A:$A,'[1]Tissue Data'!L:L)</f>
        <v>4.75</v>
      </c>
      <c r="J1991">
        <f>_xlfn.XLOOKUP(A1991,'[1]Tissue Data'!$A:$A,'[1]Tissue Data'!M:M)</f>
        <v>4.1500000000000004</v>
      </c>
      <c r="K1991" t="s">
        <v>51</v>
      </c>
      <c r="L1991" t="str">
        <f>_xlfn.XLOOKUP(K1991,[2]analyte_order!$B:$B,[2]analyte_order!$C:$C)</f>
        <v>27854-31-5</v>
      </c>
      <c r="M1991">
        <f>_xlfn.XLOOKUP(L1991,[2]analyte_order!$C:$C,[2]analyte_order!$E:$E)</f>
        <v>42</v>
      </c>
      <c r="N1991">
        <v>2.6954662258081907E-2</v>
      </c>
    </row>
    <row r="1992" spans="1:14">
      <c r="A1992" t="s">
        <v>252</v>
      </c>
      <c r="B1992" t="str">
        <f>_xlfn.XLOOKUP(A1992,'[1]Tissue Data'!$A:$A,'[1]Tissue Data'!$C:$C)</f>
        <v>Spill</v>
      </c>
      <c r="C1992" s="2">
        <f>_xlfn.XLOOKUP(A1992,'[1]Tissue Data'!$A:$A,'[1]Tissue Data'!$D:$D)</f>
        <v>44314</v>
      </c>
      <c r="D1992" s="2" t="str">
        <f>_xlfn.XLOOKUP(A1992,'[1]Tissue Data'!$A:$A,'[1]Tissue Data'!$F:$F)</f>
        <v>Pumpkinseed</v>
      </c>
      <c r="E1992" t="str">
        <f>_xlfn.XLOOKUP(A1992,'[1]Tissue Data'!$A:$A,'[1]Tissue Data'!$H:$H)</f>
        <v>Lepomis</v>
      </c>
      <c r="F1992" t="str">
        <f>_xlfn.XLOOKUP(A1992,'[1]Tissue Data'!$A:$A,'[1]Tissue Data'!$I:$I)</f>
        <v>gibbosus</v>
      </c>
      <c r="G1992" t="str">
        <f>_xlfn.XLOOKUP(A1992,'[1]Tissue Data'!$A:$A,'[1]Tissue Data'!J:J)</f>
        <v>U</v>
      </c>
      <c r="H1992" t="str">
        <f>_xlfn.XLOOKUP(A1992,'[1]Tissue Data'!$A:$A,'[1]Tissue Data'!K:K)</f>
        <v>Whole Body</v>
      </c>
      <c r="I1992">
        <f>_xlfn.XLOOKUP(A1992,'[1]Tissue Data'!$A:$A,'[1]Tissue Data'!L:L)</f>
        <v>4.75</v>
      </c>
      <c r="J1992">
        <f>_xlfn.XLOOKUP(A1992,'[1]Tissue Data'!$A:$A,'[1]Tissue Data'!M:M)</f>
        <v>4.1500000000000004</v>
      </c>
      <c r="K1992" t="s">
        <v>52</v>
      </c>
      <c r="L1992" t="str">
        <f>_xlfn.XLOOKUP(K1992,[2]analyte_order!$B:$B,[2]analyte_order!$C:$C)</f>
        <v>53826-13-4</v>
      </c>
      <c r="M1992">
        <f>_xlfn.XLOOKUP(L1992,[2]analyte_order!$C:$C,[2]analyte_order!$E:$E)</f>
        <v>43</v>
      </c>
      <c r="N1992">
        <v>0.10055386267987745</v>
      </c>
    </row>
    <row r="1993" spans="1:14">
      <c r="A1993" t="s">
        <v>252</v>
      </c>
      <c r="B1993" t="str">
        <f>_xlfn.XLOOKUP(A1993,'[1]Tissue Data'!$A:$A,'[1]Tissue Data'!$C:$C)</f>
        <v>Spill</v>
      </c>
      <c r="C1993" s="2">
        <f>_xlfn.XLOOKUP(A1993,'[1]Tissue Data'!$A:$A,'[1]Tissue Data'!$D:$D)</f>
        <v>44314</v>
      </c>
      <c r="D1993" s="2" t="str">
        <f>_xlfn.XLOOKUP(A1993,'[1]Tissue Data'!$A:$A,'[1]Tissue Data'!$F:$F)</f>
        <v>Pumpkinseed</v>
      </c>
      <c r="E1993" t="str">
        <f>_xlfn.XLOOKUP(A1993,'[1]Tissue Data'!$A:$A,'[1]Tissue Data'!$H:$H)</f>
        <v>Lepomis</v>
      </c>
      <c r="F1993" t="str">
        <f>_xlfn.XLOOKUP(A1993,'[1]Tissue Data'!$A:$A,'[1]Tissue Data'!$I:$I)</f>
        <v>gibbosus</v>
      </c>
      <c r="G1993" t="str">
        <f>_xlfn.XLOOKUP(A1993,'[1]Tissue Data'!$A:$A,'[1]Tissue Data'!J:J)</f>
        <v>U</v>
      </c>
      <c r="H1993" t="str">
        <f>_xlfn.XLOOKUP(A1993,'[1]Tissue Data'!$A:$A,'[1]Tissue Data'!K:K)</f>
        <v>Whole Body</v>
      </c>
      <c r="I1993">
        <f>_xlfn.XLOOKUP(A1993,'[1]Tissue Data'!$A:$A,'[1]Tissue Data'!L:L)</f>
        <v>4.75</v>
      </c>
      <c r="J1993">
        <f>_xlfn.XLOOKUP(A1993,'[1]Tissue Data'!$A:$A,'[1]Tissue Data'!M:M)</f>
        <v>4.1500000000000004</v>
      </c>
      <c r="K1993" t="s">
        <v>53</v>
      </c>
      <c r="L1993" t="str">
        <f>_xlfn.XLOOKUP(K1993,[2]analyte_order!$B:$B,[2]analyte_order!$C:$C)</f>
        <v>161094-75-3</v>
      </c>
      <c r="M1993">
        <f>_xlfn.XLOOKUP(L1993,[2]analyte_order!$C:$C,[2]analyte_order!$E:$E)</f>
        <v>44</v>
      </c>
      <c r="N1993">
        <v>5.2911769403044075E-2</v>
      </c>
    </row>
    <row r="1994" spans="1:14">
      <c r="A1994" t="s">
        <v>252</v>
      </c>
      <c r="B1994" t="str">
        <f>_xlfn.XLOOKUP(A1994,'[1]Tissue Data'!$A:$A,'[1]Tissue Data'!$C:$C)</f>
        <v>Spill</v>
      </c>
      <c r="C1994" s="2">
        <f>_xlfn.XLOOKUP(A1994,'[1]Tissue Data'!$A:$A,'[1]Tissue Data'!$D:$D)</f>
        <v>44314</v>
      </c>
      <c r="D1994" s="2" t="str">
        <f>_xlfn.XLOOKUP(A1994,'[1]Tissue Data'!$A:$A,'[1]Tissue Data'!$F:$F)</f>
        <v>Pumpkinseed</v>
      </c>
      <c r="E1994" t="str">
        <f>_xlfn.XLOOKUP(A1994,'[1]Tissue Data'!$A:$A,'[1]Tissue Data'!$H:$H)</f>
        <v>Lepomis</v>
      </c>
      <c r="F1994" t="str">
        <f>_xlfn.XLOOKUP(A1994,'[1]Tissue Data'!$A:$A,'[1]Tissue Data'!$I:$I)</f>
        <v>gibbosus</v>
      </c>
      <c r="G1994" t="str">
        <f>_xlfn.XLOOKUP(A1994,'[1]Tissue Data'!$A:$A,'[1]Tissue Data'!J:J)</f>
        <v>U</v>
      </c>
      <c r="H1994" t="str">
        <f>_xlfn.XLOOKUP(A1994,'[1]Tissue Data'!$A:$A,'[1]Tissue Data'!K:K)</f>
        <v>Whole Body</v>
      </c>
      <c r="I1994">
        <f>_xlfn.XLOOKUP(A1994,'[1]Tissue Data'!$A:$A,'[1]Tissue Data'!L:L)</f>
        <v>4.75</v>
      </c>
      <c r="J1994">
        <f>_xlfn.XLOOKUP(A1994,'[1]Tissue Data'!$A:$A,'[1]Tissue Data'!M:M)</f>
        <v>4.1500000000000004</v>
      </c>
      <c r="K1994" t="s">
        <v>54</v>
      </c>
      <c r="L1994" t="str">
        <f>_xlfn.XLOOKUP(K1994,[2]analyte_order!$B:$B,[2]analyte_order!$C:$C)</f>
        <v>70887-84-2</v>
      </c>
      <c r="M1994">
        <f>_xlfn.XLOOKUP(L1994,[2]analyte_order!$C:$C,[2]analyte_order!$E:$E)</f>
        <v>45</v>
      </c>
      <c r="N1994">
        <v>4.0722061202460962E-2</v>
      </c>
    </row>
    <row r="1995" spans="1:14">
      <c r="A1995" t="s">
        <v>252</v>
      </c>
      <c r="B1995" t="str">
        <f>_xlfn.XLOOKUP(A1995,'[1]Tissue Data'!$A:$A,'[1]Tissue Data'!$C:$C)</f>
        <v>Spill</v>
      </c>
      <c r="C1995" s="2">
        <f>_xlfn.XLOOKUP(A1995,'[1]Tissue Data'!$A:$A,'[1]Tissue Data'!$D:$D)</f>
        <v>44314</v>
      </c>
      <c r="D1995" s="2" t="str">
        <f>_xlfn.XLOOKUP(A1995,'[1]Tissue Data'!$A:$A,'[1]Tissue Data'!$F:$F)</f>
        <v>Pumpkinseed</v>
      </c>
      <c r="E1995" t="str">
        <f>_xlfn.XLOOKUP(A1995,'[1]Tissue Data'!$A:$A,'[1]Tissue Data'!$H:$H)</f>
        <v>Lepomis</v>
      </c>
      <c r="F1995" t="str">
        <f>_xlfn.XLOOKUP(A1995,'[1]Tissue Data'!$A:$A,'[1]Tissue Data'!$I:$I)</f>
        <v>gibbosus</v>
      </c>
      <c r="G1995" t="str">
        <f>_xlfn.XLOOKUP(A1995,'[1]Tissue Data'!$A:$A,'[1]Tissue Data'!J:J)</f>
        <v>U</v>
      </c>
      <c r="H1995" t="str">
        <f>_xlfn.XLOOKUP(A1995,'[1]Tissue Data'!$A:$A,'[1]Tissue Data'!K:K)</f>
        <v>Whole Body</v>
      </c>
      <c r="I1995">
        <f>_xlfn.XLOOKUP(A1995,'[1]Tissue Data'!$A:$A,'[1]Tissue Data'!L:L)</f>
        <v>4.75</v>
      </c>
      <c r="J1995">
        <f>_xlfn.XLOOKUP(A1995,'[1]Tissue Data'!$A:$A,'[1]Tissue Data'!M:M)</f>
        <v>4.1500000000000004</v>
      </c>
      <c r="K1995" t="s">
        <v>55</v>
      </c>
      <c r="L1995" t="str">
        <f>_xlfn.XLOOKUP(K1995,[2]analyte_order!$B:$B,[2]analyte_order!$C:$C)</f>
        <v>919005-14-4</v>
      </c>
      <c r="M1995">
        <f>_xlfn.XLOOKUP(L1995,[2]analyte_order!$C:$C,[2]analyte_order!$E:$E)</f>
        <v>35</v>
      </c>
      <c r="N1995">
        <v>6.7386655645204754E-2</v>
      </c>
    </row>
    <row r="1996" spans="1:14">
      <c r="A1996" t="s">
        <v>252</v>
      </c>
      <c r="B1996" t="str">
        <f>_xlfn.XLOOKUP(A1996,'[1]Tissue Data'!$A:$A,'[1]Tissue Data'!$C:$C)</f>
        <v>Spill</v>
      </c>
      <c r="C1996" s="2">
        <f>_xlfn.XLOOKUP(A1996,'[1]Tissue Data'!$A:$A,'[1]Tissue Data'!$D:$D)</f>
        <v>44314</v>
      </c>
      <c r="D1996" s="2" t="str">
        <f>_xlfn.XLOOKUP(A1996,'[1]Tissue Data'!$A:$A,'[1]Tissue Data'!$F:$F)</f>
        <v>Pumpkinseed</v>
      </c>
      <c r="E1996" t="str">
        <f>_xlfn.XLOOKUP(A1996,'[1]Tissue Data'!$A:$A,'[1]Tissue Data'!$H:$H)</f>
        <v>Lepomis</v>
      </c>
      <c r="F1996" t="str">
        <f>_xlfn.XLOOKUP(A1996,'[1]Tissue Data'!$A:$A,'[1]Tissue Data'!$I:$I)</f>
        <v>gibbosus</v>
      </c>
      <c r="G1996" t="str">
        <f>_xlfn.XLOOKUP(A1996,'[1]Tissue Data'!$A:$A,'[1]Tissue Data'!J:J)</f>
        <v>U</v>
      </c>
      <c r="H1996" t="str">
        <f>_xlfn.XLOOKUP(A1996,'[1]Tissue Data'!$A:$A,'[1]Tissue Data'!K:K)</f>
        <v>Whole Body</v>
      </c>
      <c r="I1996">
        <f>_xlfn.XLOOKUP(A1996,'[1]Tissue Data'!$A:$A,'[1]Tissue Data'!L:L)</f>
        <v>4.75</v>
      </c>
      <c r="J1996">
        <f>_xlfn.XLOOKUP(A1996,'[1]Tissue Data'!$A:$A,'[1]Tissue Data'!M:M)</f>
        <v>4.1500000000000004</v>
      </c>
      <c r="K1996" t="s">
        <v>56</v>
      </c>
      <c r="L1996" t="str">
        <f>_xlfn.XLOOKUP(K1996,[2]analyte_order!$B:$B,[2]analyte_order!$C:$C)</f>
        <v>756426-58-1</v>
      </c>
      <c r="M1996">
        <f>_xlfn.XLOOKUP(L1996,[2]analyte_order!$C:$C,[2]analyte_order!$E:$E)</f>
        <v>36</v>
      </c>
      <c r="N1996">
        <v>4.6773525078572832E-2</v>
      </c>
    </row>
    <row r="1997" spans="1:14">
      <c r="A1997" t="s">
        <v>252</v>
      </c>
      <c r="B1997" t="str">
        <f>_xlfn.XLOOKUP(A1997,'[1]Tissue Data'!$A:$A,'[1]Tissue Data'!$C:$C)</f>
        <v>Spill</v>
      </c>
      <c r="C1997" s="2">
        <f>_xlfn.XLOOKUP(A1997,'[1]Tissue Data'!$A:$A,'[1]Tissue Data'!$D:$D)</f>
        <v>44314</v>
      </c>
      <c r="D1997" s="2" t="str">
        <f>_xlfn.XLOOKUP(A1997,'[1]Tissue Data'!$A:$A,'[1]Tissue Data'!$F:$F)</f>
        <v>Pumpkinseed</v>
      </c>
      <c r="E1997" t="str">
        <f>_xlfn.XLOOKUP(A1997,'[1]Tissue Data'!$A:$A,'[1]Tissue Data'!$H:$H)</f>
        <v>Lepomis</v>
      </c>
      <c r="F1997" t="str">
        <f>_xlfn.XLOOKUP(A1997,'[1]Tissue Data'!$A:$A,'[1]Tissue Data'!$I:$I)</f>
        <v>gibbosus</v>
      </c>
      <c r="G1997" t="str">
        <f>_xlfn.XLOOKUP(A1997,'[1]Tissue Data'!$A:$A,'[1]Tissue Data'!J:J)</f>
        <v>U</v>
      </c>
      <c r="H1997" t="str">
        <f>_xlfn.XLOOKUP(A1997,'[1]Tissue Data'!$A:$A,'[1]Tissue Data'!K:K)</f>
        <v>Whole Body</v>
      </c>
      <c r="I1997">
        <f>_xlfn.XLOOKUP(A1997,'[1]Tissue Data'!$A:$A,'[1]Tissue Data'!L:L)</f>
        <v>4.75</v>
      </c>
      <c r="J1997">
        <f>_xlfn.XLOOKUP(A1997,'[1]Tissue Data'!$A:$A,'[1]Tissue Data'!M:M)</f>
        <v>4.1500000000000004</v>
      </c>
      <c r="K1997" t="s">
        <v>57</v>
      </c>
      <c r="L1997" t="str">
        <f>_xlfn.XLOOKUP(K1997,[2]analyte_order!$B:$B,[2]analyte_order!$C:$C)</f>
        <v>763051-92-9</v>
      </c>
      <c r="M1997">
        <f>_xlfn.XLOOKUP(L1997,[2]analyte_order!$C:$C,[2]analyte_order!$E:$E)</f>
        <v>37</v>
      </c>
      <c r="N1997">
        <v>5.3100047530638468E-2</v>
      </c>
    </row>
    <row r="1998" spans="1:14">
      <c r="A1998" t="s">
        <v>252</v>
      </c>
      <c r="B1998" t="str">
        <f>_xlfn.XLOOKUP(A1998,'[1]Tissue Data'!$A:$A,'[1]Tissue Data'!$C:$C)</f>
        <v>Spill</v>
      </c>
      <c r="C1998" s="2">
        <f>_xlfn.XLOOKUP(A1998,'[1]Tissue Data'!$A:$A,'[1]Tissue Data'!$D:$D)</f>
        <v>44314</v>
      </c>
      <c r="D1998" s="2" t="str">
        <f>_xlfn.XLOOKUP(A1998,'[1]Tissue Data'!$A:$A,'[1]Tissue Data'!$F:$F)</f>
        <v>Pumpkinseed</v>
      </c>
      <c r="E1998" t="str">
        <f>_xlfn.XLOOKUP(A1998,'[1]Tissue Data'!$A:$A,'[1]Tissue Data'!$H:$H)</f>
        <v>Lepomis</v>
      </c>
      <c r="F1998" t="str">
        <f>_xlfn.XLOOKUP(A1998,'[1]Tissue Data'!$A:$A,'[1]Tissue Data'!$I:$I)</f>
        <v>gibbosus</v>
      </c>
      <c r="G1998" t="str">
        <f>_xlfn.XLOOKUP(A1998,'[1]Tissue Data'!$A:$A,'[1]Tissue Data'!J:J)</f>
        <v>U</v>
      </c>
      <c r="H1998" t="str">
        <f>_xlfn.XLOOKUP(A1998,'[1]Tissue Data'!$A:$A,'[1]Tissue Data'!K:K)</f>
        <v>Whole Body</v>
      </c>
      <c r="I1998">
        <f>_xlfn.XLOOKUP(A1998,'[1]Tissue Data'!$A:$A,'[1]Tissue Data'!L:L)</f>
        <v>4.75</v>
      </c>
      <c r="J1998">
        <f>_xlfn.XLOOKUP(A1998,'[1]Tissue Data'!$A:$A,'[1]Tissue Data'!M:M)</f>
        <v>4.1500000000000004</v>
      </c>
      <c r="K1998" t="s">
        <v>58</v>
      </c>
      <c r="L1998" t="str">
        <f>_xlfn.XLOOKUP(K1998,[2]analyte_order!$B:$B,[2]analyte_order!$C:$C)</f>
        <v>13252-13-6</v>
      </c>
      <c r="M1998">
        <f>_xlfn.XLOOKUP(L1998,[2]analyte_order!$C:$C,[2]analyte_order!$E:$E)</f>
        <v>34</v>
      </c>
      <c r="N1998">
        <v>9.6701775748665744E-2</v>
      </c>
    </row>
    <row r="1999" spans="1:14">
      <c r="A1999" t="s">
        <v>252</v>
      </c>
      <c r="B1999" t="str">
        <f>_xlfn.XLOOKUP(A1999,'[1]Tissue Data'!$A:$A,'[1]Tissue Data'!$C:$C)</f>
        <v>Spill</v>
      </c>
      <c r="C1999" s="2">
        <f>_xlfn.XLOOKUP(A1999,'[1]Tissue Data'!$A:$A,'[1]Tissue Data'!$D:$D)</f>
        <v>44314</v>
      </c>
      <c r="D1999" s="2" t="str">
        <f>_xlfn.XLOOKUP(A1999,'[1]Tissue Data'!$A:$A,'[1]Tissue Data'!$F:$F)</f>
        <v>Pumpkinseed</v>
      </c>
      <c r="E1999" t="str">
        <f>_xlfn.XLOOKUP(A1999,'[1]Tissue Data'!$A:$A,'[1]Tissue Data'!$H:$H)</f>
        <v>Lepomis</v>
      </c>
      <c r="F1999" t="str">
        <f>_xlfn.XLOOKUP(A1999,'[1]Tissue Data'!$A:$A,'[1]Tissue Data'!$I:$I)</f>
        <v>gibbosus</v>
      </c>
      <c r="G1999" t="str">
        <f>_xlfn.XLOOKUP(A1999,'[1]Tissue Data'!$A:$A,'[1]Tissue Data'!J:J)</f>
        <v>U</v>
      </c>
      <c r="H1999" t="str">
        <f>_xlfn.XLOOKUP(A1999,'[1]Tissue Data'!$A:$A,'[1]Tissue Data'!K:K)</f>
        <v>Whole Body</v>
      </c>
      <c r="I1999">
        <f>_xlfn.XLOOKUP(A1999,'[1]Tissue Data'!$A:$A,'[1]Tissue Data'!L:L)</f>
        <v>4.75</v>
      </c>
      <c r="J1999">
        <f>_xlfn.XLOOKUP(A1999,'[1]Tissue Data'!$A:$A,'[1]Tissue Data'!M:M)</f>
        <v>4.1500000000000004</v>
      </c>
      <c r="K1999" t="s">
        <v>59</v>
      </c>
      <c r="L1999" t="str">
        <f>_xlfn.XLOOKUP(K1999,[2]analyte_order!$B:$B,[2]analyte_order!$C:$C)</f>
        <v>57677-95-9</v>
      </c>
      <c r="M1999">
        <f>_xlfn.XLOOKUP(L1999,[2]analyte_order!$C:$C,[2]analyte_order!$E:$E)</f>
        <v>46</v>
      </c>
      <c r="N1999">
        <v>7.1735044798873299E-2</v>
      </c>
    </row>
    <row r="2000" spans="1:14">
      <c r="A2000" t="s">
        <v>252</v>
      </c>
      <c r="B2000" t="str">
        <f>_xlfn.XLOOKUP(A2000,'[1]Tissue Data'!$A:$A,'[1]Tissue Data'!$C:$C)</f>
        <v>Spill</v>
      </c>
      <c r="C2000" s="2">
        <f>_xlfn.XLOOKUP(A2000,'[1]Tissue Data'!$A:$A,'[1]Tissue Data'!$D:$D)</f>
        <v>44314</v>
      </c>
      <c r="D2000" s="2" t="str">
        <f>_xlfn.XLOOKUP(A2000,'[1]Tissue Data'!$A:$A,'[1]Tissue Data'!$F:$F)</f>
        <v>Pumpkinseed</v>
      </c>
      <c r="E2000" t="str">
        <f>_xlfn.XLOOKUP(A2000,'[1]Tissue Data'!$A:$A,'[1]Tissue Data'!$H:$H)</f>
        <v>Lepomis</v>
      </c>
      <c r="F2000" t="str">
        <f>_xlfn.XLOOKUP(A2000,'[1]Tissue Data'!$A:$A,'[1]Tissue Data'!$I:$I)</f>
        <v>gibbosus</v>
      </c>
      <c r="G2000" t="str">
        <f>_xlfn.XLOOKUP(A2000,'[1]Tissue Data'!$A:$A,'[1]Tissue Data'!J:J)</f>
        <v>U</v>
      </c>
      <c r="H2000" t="str">
        <f>_xlfn.XLOOKUP(A2000,'[1]Tissue Data'!$A:$A,'[1]Tissue Data'!K:K)</f>
        <v>Whole Body</v>
      </c>
      <c r="I2000">
        <f>_xlfn.XLOOKUP(A2000,'[1]Tissue Data'!$A:$A,'[1]Tissue Data'!L:L)</f>
        <v>4.75</v>
      </c>
      <c r="J2000">
        <f>_xlfn.XLOOKUP(A2000,'[1]Tissue Data'!$A:$A,'[1]Tissue Data'!M:M)</f>
        <v>4.1500000000000004</v>
      </c>
      <c r="K2000" t="s">
        <v>60</v>
      </c>
      <c r="L2000" t="str">
        <f>_xlfn.XLOOKUP(K2000,[2]analyte_order!$B:$B,[2]analyte_order!$C:$C)</f>
        <v>678-41-1</v>
      </c>
      <c r="M2000">
        <f>_xlfn.XLOOKUP(L2000,[2]analyte_order!$C:$C,[2]analyte_order!$E:$E)</f>
        <v>56</v>
      </c>
      <c r="N2000">
        <v>8.9342171974204382E-2</v>
      </c>
    </row>
    <row r="2001" spans="1:14">
      <c r="A2001" t="s">
        <v>252</v>
      </c>
      <c r="B2001" t="str">
        <f>_xlfn.XLOOKUP(A2001,'[1]Tissue Data'!$A:$A,'[1]Tissue Data'!$C:$C)</f>
        <v>Spill</v>
      </c>
      <c r="C2001" s="2">
        <f>_xlfn.XLOOKUP(A2001,'[1]Tissue Data'!$A:$A,'[1]Tissue Data'!$D:$D)</f>
        <v>44314</v>
      </c>
      <c r="D2001" s="2" t="str">
        <f>_xlfn.XLOOKUP(A2001,'[1]Tissue Data'!$A:$A,'[1]Tissue Data'!$F:$F)</f>
        <v>Pumpkinseed</v>
      </c>
      <c r="E2001" t="str">
        <f>_xlfn.XLOOKUP(A2001,'[1]Tissue Data'!$A:$A,'[1]Tissue Data'!$H:$H)</f>
        <v>Lepomis</v>
      </c>
      <c r="F2001" t="str">
        <f>_xlfn.XLOOKUP(A2001,'[1]Tissue Data'!$A:$A,'[1]Tissue Data'!$I:$I)</f>
        <v>gibbosus</v>
      </c>
      <c r="G2001" t="str">
        <f>_xlfn.XLOOKUP(A2001,'[1]Tissue Data'!$A:$A,'[1]Tissue Data'!J:J)</f>
        <v>U</v>
      </c>
      <c r="H2001" t="str">
        <f>_xlfn.XLOOKUP(A2001,'[1]Tissue Data'!$A:$A,'[1]Tissue Data'!K:K)</f>
        <v>Whole Body</v>
      </c>
      <c r="I2001">
        <f>_xlfn.XLOOKUP(A2001,'[1]Tissue Data'!$A:$A,'[1]Tissue Data'!L:L)</f>
        <v>4.75</v>
      </c>
      <c r="J2001">
        <f>_xlfn.XLOOKUP(A2001,'[1]Tissue Data'!$A:$A,'[1]Tissue Data'!M:M)</f>
        <v>4.1500000000000004</v>
      </c>
      <c r="K2001" t="s">
        <v>61</v>
      </c>
      <c r="L2001" t="str">
        <f>_xlfn.XLOOKUP(K2001,[2]analyte_order!$B:$B,[2]analyte_order!$C:$C)</f>
        <v>2965-52-8</v>
      </c>
      <c r="M2001">
        <f>_xlfn.XLOOKUP(L2001,[2]analyte_order!$C:$C,[2]analyte_order!$E:$E)</f>
        <v>57</v>
      </c>
      <c r="N2001">
        <v>0.11860051393556036</v>
      </c>
    </row>
    <row r="2002" spans="1:14">
      <c r="A2002" t="s">
        <v>253</v>
      </c>
      <c r="B2002" t="str">
        <f>_xlfn.XLOOKUP(A2002,'[1]Tissue Data'!$A:$A,'[1]Tissue Data'!$C:$C)</f>
        <v>Spill</v>
      </c>
      <c r="C2002" s="2">
        <f>_xlfn.XLOOKUP(A2002,'[1]Tissue Data'!$A:$A,'[1]Tissue Data'!$D:$D)</f>
        <v>44314</v>
      </c>
      <c r="D2002" s="2" t="str">
        <f>_xlfn.XLOOKUP(A2002,'[1]Tissue Data'!$A:$A,'[1]Tissue Data'!$F:$F)</f>
        <v>Pumpkinseed</v>
      </c>
      <c r="E2002" t="str">
        <f>_xlfn.XLOOKUP(A2002,'[1]Tissue Data'!$A:$A,'[1]Tissue Data'!$H:$H)</f>
        <v>Lepomis</v>
      </c>
      <c r="F2002" t="str">
        <f>_xlfn.XLOOKUP(A2002,'[1]Tissue Data'!$A:$A,'[1]Tissue Data'!$I:$I)</f>
        <v>gibbosus</v>
      </c>
      <c r="G2002" t="str">
        <f>_xlfn.XLOOKUP(A2002,'[1]Tissue Data'!$A:$A,'[1]Tissue Data'!J:J)</f>
        <v>U</v>
      </c>
      <c r="H2002" t="str">
        <f>_xlfn.XLOOKUP(A2002,'[1]Tissue Data'!$A:$A,'[1]Tissue Data'!K:K)</f>
        <v>Whole Body</v>
      </c>
      <c r="I2002">
        <f>_xlfn.XLOOKUP(A2002,'[1]Tissue Data'!$A:$A,'[1]Tissue Data'!L:L)</f>
        <v>8</v>
      </c>
      <c r="J2002">
        <f>_xlfn.XLOOKUP(A2002,'[1]Tissue Data'!$A:$A,'[1]Tissue Data'!M:M)</f>
        <v>9.35</v>
      </c>
      <c r="K2002" t="s">
        <v>12</v>
      </c>
      <c r="L2002" t="str">
        <f>_xlfn.XLOOKUP(K2002,[2]analyte_order!$B:$B,[2]analyte_order!$C:$C)</f>
        <v>375-22-4</v>
      </c>
      <c r="M2002">
        <f>_xlfn.XLOOKUP(L2002,[2]analyte_order!$C:$C,[2]analyte_order!$E:$E)</f>
        <v>1</v>
      </c>
      <c r="N2002">
        <v>8.8999999999999996E-2</v>
      </c>
    </row>
    <row r="2003" spans="1:14">
      <c r="A2003" t="s">
        <v>253</v>
      </c>
      <c r="B2003" t="str">
        <f>_xlfn.XLOOKUP(A2003,'[1]Tissue Data'!$A:$A,'[1]Tissue Data'!$C:$C)</f>
        <v>Spill</v>
      </c>
      <c r="C2003" s="2">
        <f>_xlfn.XLOOKUP(A2003,'[1]Tissue Data'!$A:$A,'[1]Tissue Data'!$D:$D)</f>
        <v>44314</v>
      </c>
      <c r="D2003" s="2" t="str">
        <f>_xlfn.XLOOKUP(A2003,'[1]Tissue Data'!$A:$A,'[1]Tissue Data'!$F:$F)</f>
        <v>Pumpkinseed</v>
      </c>
      <c r="E2003" t="str">
        <f>_xlfn.XLOOKUP(A2003,'[1]Tissue Data'!$A:$A,'[1]Tissue Data'!$H:$H)</f>
        <v>Lepomis</v>
      </c>
      <c r="F2003" t="str">
        <f>_xlfn.XLOOKUP(A2003,'[1]Tissue Data'!$A:$A,'[1]Tissue Data'!$I:$I)</f>
        <v>gibbosus</v>
      </c>
      <c r="G2003" t="str">
        <f>_xlfn.XLOOKUP(A2003,'[1]Tissue Data'!$A:$A,'[1]Tissue Data'!J:J)</f>
        <v>U</v>
      </c>
      <c r="H2003" t="str">
        <f>_xlfn.XLOOKUP(A2003,'[1]Tissue Data'!$A:$A,'[1]Tissue Data'!K:K)</f>
        <v>Whole Body</v>
      </c>
      <c r="I2003">
        <f>_xlfn.XLOOKUP(A2003,'[1]Tissue Data'!$A:$A,'[1]Tissue Data'!L:L)</f>
        <v>8</v>
      </c>
      <c r="J2003">
        <f>_xlfn.XLOOKUP(A2003,'[1]Tissue Data'!$A:$A,'[1]Tissue Data'!M:M)</f>
        <v>9.35</v>
      </c>
      <c r="K2003" t="s">
        <v>13</v>
      </c>
      <c r="L2003" t="str">
        <f>_xlfn.XLOOKUP(K2003,[2]analyte_order!$B:$B,[2]analyte_order!$C:$C)</f>
        <v>2706-90-3</v>
      </c>
      <c r="M2003">
        <f>_xlfn.XLOOKUP(L2003,[2]analyte_order!$C:$C,[2]analyte_order!$E:$E)</f>
        <v>2</v>
      </c>
      <c r="N2003">
        <v>4.7750000000000001E-2</v>
      </c>
    </row>
    <row r="2004" spans="1:14">
      <c r="A2004" t="s">
        <v>253</v>
      </c>
      <c r="B2004" t="str">
        <f>_xlfn.XLOOKUP(A2004,'[1]Tissue Data'!$A:$A,'[1]Tissue Data'!$C:$C)</f>
        <v>Spill</v>
      </c>
      <c r="C2004" s="2">
        <f>_xlfn.XLOOKUP(A2004,'[1]Tissue Data'!$A:$A,'[1]Tissue Data'!$D:$D)</f>
        <v>44314</v>
      </c>
      <c r="D2004" s="2" t="str">
        <f>_xlfn.XLOOKUP(A2004,'[1]Tissue Data'!$A:$A,'[1]Tissue Data'!$F:$F)</f>
        <v>Pumpkinseed</v>
      </c>
      <c r="E2004" t="str">
        <f>_xlfn.XLOOKUP(A2004,'[1]Tissue Data'!$A:$A,'[1]Tissue Data'!$H:$H)</f>
        <v>Lepomis</v>
      </c>
      <c r="F2004" t="str">
        <f>_xlfn.XLOOKUP(A2004,'[1]Tissue Data'!$A:$A,'[1]Tissue Data'!$I:$I)</f>
        <v>gibbosus</v>
      </c>
      <c r="G2004" t="str">
        <f>_xlfn.XLOOKUP(A2004,'[1]Tissue Data'!$A:$A,'[1]Tissue Data'!J:J)</f>
        <v>U</v>
      </c>
      <c r="H2004" t="str">
        <f>_xlfn.XLOOKUP(A2004,'[1]Tissue Data'!$A:$A,'[1]Tissue Data'!K:K)</f>
        <v>Whole Body</v>
      </c>
      <c r="I2004">
        <f>_xlfn.XLOOKUP(A2004,'[1]Tissue Data'!$A:$A,'[1]Tissue Data'!L:L)</f>
        <v>8</v>
      </c>
      <c r="J2004">
        <f>_xlfn.XLOOKUP(A2004,'[1]Tissue Data'!$A:$A,'[1]Tissue Data'!M:M)</f>
        <v>9.35</v>
      </c>
      <c r="K2004" t="s">
        <v>14</v>
      </c>
      <c r="L2004" t="str">
        <f>_xlfn.XLOOKUP(K2004,[2]analyte_order!$B:$B,[2]analyte_order!$C:$C)</f>
        <v>307-24-4</v>
      </c>
      <c r="M2004">
        <f>_xlfn.XLOOKUP(L2004,[2]analyte_order!$C:$C,[2]analyte_order!$E:$E)</f>
        <v>3</v>
      </c>
      <c r="N2004">
        <v>3.635E-2</v>
      </c>
    </row>
    <row r="2005" spans="1:14">
      <c r="A2005" t="s">
        <v>253</v>
      </c>
      <c r="B2005" t="str">
        <f>_xlfn.XLOOKUP(A2005,'[1]Tissue Data'!$A:$A,'[1]Tissue Data'!$C:$C)</f>
        <v>Spill</v>
      </c>
      <c r="C2005" s="2">
        <f>_xlfn.XLOOKUP(A2005,'[1]Tissue Data'!$A:$A,'[1]Tissue Data'!$D:$D)</f>
        <v>44314</v>
      </c>
      <c r="D2005" s="2" t="str">
        <f>_xlfn.XLOOKUP(A2005,'[1]Tissue Data'!$A:$A,'[1]Tissue Data'!$F:$F)</f>
        <v>Pumpkinseed</v>
      </c>
      <c r="E2005" t="str">
        <f>_xlfn.XLOOKUP(A2005,'[1]Tissue Data'!$A:$A,'[1]Tissue Data'!$H:$H)</f>
        <v>Lepomis</v>
      </c>
      <c r="F2005" t="str">
        <f>_xlfn.XLOOKUP(A2005,'[1]Tissue Data'!$A:$A,'[1]Tissue Data'!$I:$I)</f>
        <v>gibbosus</v>
      </c>
      <c r="G2005" t="str">
        <f>_xlfn.XLOOKUP(A2005,'[1]Tissue Data'!$A:$A,'[1]Tissue Data'!J:J)</f>
        <v>U</v>
      </c>
      <c r="H2005" t="str">
        <f>_xlfn.XLOOKUP(A2005,'[1]Tissue Data'!$A:$A,'[1]Tissue Data'!K:K)</f>
        <v>Whole Body</v>
      </c>
      <c r="I2005">
        <f>_xlfn.XLOOKUP(A2005,'[1]Tissue Data'!$A:$A,'[1]Tissue Data'!L:L)</f>
        <v>8</v>
      </c>
      <c r="J2005">
        <f>_xlfn.XLOOKUP(A2005,'[1]Tissue Data'!$A:$A,'[1]Tissue Data'!M:M)</f>
        <v>9.35</v>
      </c>
      <c r="K2005" t="s">
        <v>15</v>
      </c>
      <c r="L2005" t="str">
        <f>_xlfn.XLOOKUP(K2005,[2]analyte_order!$B:$B,[2]analyte_order!$C:$C)</f>
        <v>375-85-9</v>
      </c>
      <c r="M2005">
        <f>_xlfn.XLOOKUP(L2005,[2]analyte_order!$C:$C,[2]analyte_order!$E:$E)</f>
        <v>4</v>
      </c>
      <c r="N2005">
        <v>2.6950000000000002E-2</v>
      </c>
    </row>
    <row r="2006" spans="1:14">
      <c r="A2006" t="s">
        <v>253</v>
      </c>
      <c r="B2006" t="str">
        <f>_xlfn.XLOOKUP(A2006,'[1]Tissue Data'!$A:$A,'[1]Tissue Data'!$C:$C)</f>
        <v>Spill</v>
      </c>
      <c r="C2006" s="2">
        <f>_xlfn.XLOOKUP(A2006,'[1]Tissue Data'!$A:$A,'[1]Tissue Data'!$D:$D)</f>
        <v>44314</v>
      </c>
      <c r="D2006" s="2" t="str">
        <f>_xlfn.XLOOKUP(A2006,'[1]Tissue Data'!$A:$A,'[1]Tissue Data'!$F:$F)</f>
        <v>Pumpkinseed</v>
      </c>
      <c r="E2006" t="str">
        <f>_xlfn.XLOOKUP(A2006,'[1]Tissue Data'!$A:$A,'[1]Tissue Data'!$H:$H)</f>
        <v>Lepomis</v>
      </c>
      <c r="F2006" t="str">
        <f>_xlfn.XLOOKUP(A2006,'[1]Tissue Data'!$A:$A,'[1]Tissue Data'!$I:$I)</f>
        <v>gibbosus</v>
      </c>
      <c r="G2006" t="str">
        <f>_xlfn.XLOOKUP(A2006,'[1]Tissue Data'!$A:$A,'[1]Tissue Data'!J:J)</f>
        <v>U</v>
      </c>
      <c r="H2006" t="str">
        <f>_xlfn.XLOOKUP(A2006,'[1]Tissue Data'!$A:$A,'[1]Tissue Data'!K:K)</f>
        <v>Whole Body</v>
      </c>
      <c r="I2006">
        <f>_xlfn.XLOOKUP(A2006,'[1]Tissue Data'!$A:$A,'[1]Tissue Data'!L:L)</f>
        <v>8</v>
      </c>
      <c r="J2006">
        <f>_xlfn.XLOOKUP(A2006,'[1]Tissue Data'!$A:$A,'[1]Tissue Data'!M:M)</f>
        <v>9.35</v>
      </c>
      <c r="K2006" t="s">
        <v>16</v>
      </c>
      <c r="L2006" t="str">
        <f>_xlfn.XLOOKUP(K2006,[2]analyte_order!$B:$B,[2]analyte_order!$C:$C)</f>
        <v>335-67-1</v>
      </c>
      <c r="M2006">
        <f>_xlfn.XLOOKUP(L2006,[2]analyte_order!$C:$C,[2]analyte_order!$E:$E)</f>
        <v>5</v>
      </c>
      <c r="N2006">
        <v>0.47199999999999998</v>
      </c>
    </row>
    <row r="2007" spans="1:14">
      <c r="A2007" t="s">
        <v>253</v>
      </c>
      <c r="B2007" t="str">
        <f>_xlfn.XLOOKUP(A2007,'[1]Tissue Data'!$A:$A,'[1]Tissue Data'!$C:$C)</f>
        <v>Spill</v>
      </c>
      <c r="C2007" s="2">
        <f>_xlfn.XLOOKUP(A2007,'[1]Tissue Data'!$A:$A,'[1]Tissue Data'!$D:$D)</f>
        <v>44314</v>
      </c>
      <c r="D2007" s="2" t="str">
        <f>_xlfn.XLOOKUP(A2007,'[1]Tissue Data'!$A:$A,'[1]Tissue Data'!$F:$F)</f>
        <v>Pumpkinseed</v>
      </c>
      <c r="E2007" t="str">
        <f>_xlfn.XLOOKUP(A2007,'[1]Tissue Data'!$A:$A,'[1]Tissue Data'!$H:$H)</f>
        <v>Lepomis</v>
      </c>
      <c r="F2007" t="str">
        <f>_xlfn.XLOOKUP(A2007,'[1]Tissue Data'!$A:$A,'[1]Tissue Data'!$I:$I)</f>
        <v>gibbosus</v>
      </c>
      <c r="G2007" t="str">
        <f>_xlfn.XLOOKUP(A2007,'[1]Tissue Data'!$A:$A,'[1]Tissue Data'!J:J)</f>
        <v>U</v>
      </c>
      <c r="H2007" t="str">
        <f>_xlfn.XLOOKUP(A2007,'[1]Tissue Data'!$A:$A,'[1]Tissue Data'!K:K)</f>
        <v>Whole Body</v>
      </c>
      <c r="I2007">
        <f>_xlfn.XLOOKUP(A2007,'[1]Tissue Data'!$A:$A,'[1]Tissue Data'!L:L)</f>
        <v>8</v>
      </c>
      <c r="J2007">
        <f>_xlfn.XLOOKUP(A2007,'[1]Tissue Data'!$A:$A,'[1]Tissue Data'!M:M)</f>
        <v>9.35</v>
      </c>
      <c r="K2007" t="s">
        <v>17</v>
      </c>
      <c r="L2007" t="str">
        <f>_xlfn.XLOOKUP(K2007,[2]analyte_order!$B:$B,[2]analyte_order!$C:$C)</f>
        <v>375-95-1</v>
      </c>
      <c r="M2007">
        <f>_xlfn.XLOOKUP(L2007,[2]analyte_order!$C:$C,[2]analyte_order!$E:$E)</f>
        <v>6</v>
      </c>
      <c r="N2007">
        <v>0.154</v>
      </c>
    </row>
    <row r="2008" spans="1:14">
      <c r="A2008" t="s">
        <v>253</v>
      </c>
      <c r="B2008" t="str">
        <f>_xlfn.XLOOKUP(A2008,'[1]Tissue Data'!$A:$A,'[1]Tissue Data'!$C:$C)</f>
        <v>Spill</v>
      </c>
      <c r="C2008" s="2">
        <f>_xlfn.XLOOKUP(A2008,'[1]Tissue Data'!$A:$A,'[1]Tissue Data'!$D:$D)</f>
        <v>44314</v>
      </c>
      <c r="D2008" s="2" t="str">
        <f>_xlfn.XLOOKUP(A2008,'[1]Tissue Data'!$A:$A,'[1]Tissue Data'!$F:$F)</f>
        <v>Pumpkinseed</v>
      </c>
      <c r="E2008" t="str">
        <f>_xlfn.XLOOKUP(A2008,'[1]Tissue Data'!$A:$A,'[1]Tissue Data'!$H:$H)</f>
        <v>Lepomis</v>
      </c>
      <c r="F2008" t="str">
        <f>_xlfn.XLOOKUP(A2008,'[1]Tissue Data'!$A:$A,'[1]Tissue Data'!$I:$I)</f>
        <v>gibbosus</v>
      </c>
      <c r="G2008" t="str">
        <f>_xlfn.XLOOKUP(A2008,'[1]Tissue Data'!$A:$A,'[1]Tissue Data'!J:J)</f>
        <v>U</v>
      </c>
      <c r="H2008" t="str">
        <f>_xlfn.XLOOKUP(A2008,'[1]Tissue Data'!$A:$A,'[1]Tissue Data'!K:K)</f>
        <v>Whole Body</v>
      </c>
      <c r="I2008">
        <f>_xlfn.XLOOKUP(A2008,'[1]Tissue Data'!$A:$A,'[1]Tissue Data'!L:L)</f>
        <v>8</v>
      </c>
      <c r="J2008">
        <f>_xlfn.XLOOKUP(A2008,'[1]Tissue Data'!$A:$A,'[1]Tissue Data'!M:M)</f>
        <v>9.35</v>
      </c>
      <c r="K2008" t="s">
        <v>18</v>
      </c>
      <c r="L2008" t="str">
        <f>_xlfn.XLOOKUP(K2008,[2]analyte_order!$B:$B,[2]analyte_order!$C:$C)</f>
        <v>335-76-2</v>
      </c>
      <c r="M2008">
        <f>_xlfn.XLOOKUP(L2008,[2]analyte_order!$C:$C,[2]analyte_order!$E:$E)</f>
        <v>7</v>
      </c>
      <c r="N2008">
        <v>3</v>
      </c>
    </row>
    <row r="2009" spans="1:14">
      <c r="A2009" t="s">
        <v>253</v>
      </c>
      <c r="B2009" t="str">
        <f>_xlfn.XLOOKUP(A2009,'[1]Tissue Data'!$A:$A,'[1]Tissue Data'!$C:$C)</f>
        <v>Spill</v>
      </c>
      <c r="C2009" s="2">
        <f>_xlfn.XLOOKUP(A2009,'[1]Tissue Data'!$A:$A,'[1]Tissue Data'!$D:$D)</f>
        <v>44314</v>
      </c>
      <c r="D2009" s="2" t="str">
        <f>_xlfn.XLOOKUP(A2009,'[1]Tissue Data'!$A:$A,'[1]Tissue Data'!$F:$F)</f>
        <v>Pumpkinseed</v>
      </c>
      <c r="E2009" t="str">
        <f>_xlfn.XLOOKUP(A2009,'[1]Tissue Data'!$A:$A,'[1]Tissue Data'!$H:$H)</f>
        <v>Lepomis</v>
      </c>
      <c r="F2009" t="str">
        <f>_xlfn.XLOOKUP(A2009,'[1]Tissue Data'!$A:$A,'[1]Tissue Data'!$I:$I)</f>
        <v>gibbosus</v>
      </c>
      <c r="G2009" t="str">
        <f>_xlfn.XLOOKUP(A2009,'[1]Tissue Data'!$A:$A,'[1]Tissue Data'!J:J)</f>
        <v>U</v>
      </c>
      <c r="H2009" t="str">
        <f>_xlfn.XLOOKUP(A2009,'[1]Tissue Data'!$A:$A,'[1]Tissue Data'!K:K)</f>
        <v>Whole Body</v>
      </c>
      <c r="I2009">
        <f>_xlfn.XLOOKUP(A2009,'[1]Tissue Data'!$A:$A,'[1]Tissue Data'!L:L)</f>
        <v>8</v>
      </c>
      <c r="J2009">
        <f>_xlfn.XLOOKUP(A2009,'[1]Tissue Data'!$A:$A,'[1]Tissue Data'!M:M)</f>
        <v>9.35</v>
      </c>
      <c r="K2009" t="s">
        <v>19</v>
      </c>
      <c r="L2009" t="str">
        <f>_xlfn.XLOOKUP(K2009,[2]analyte_order!$B:$B,[2]analyte_order!$C:$C)</f>
        <v>2058-94-8</v>
      </c>
      <c r="M2009">
        <f>_xlfn.XLOOKUP(L2009,[2]analyte_order!$C:$C,[2]analyte_order!$E:$E)</f>
        <v>8</v>
      </c>
      <c r="N2009">
        <v>6.01</v>
      </c>
    </row>
    <row r="2010" spans="1:14">
      <c r="A2010" t="s">
        <v>253</v>
      </c>
      <c r="B2010" t="str">
        <f>_xlfn.XLOOKUP(A2010,'[1]Tissue Data'!$A:$A,'[1]Tissue Data'!$C:$C)</f>
        <v>Spill</v>
      </c>
      <c r="C2010" s="2">
        <f>_xlfn.XLOOKUP(A2010,'[1]Tissue Data'!$A:$A,'[1]Tissue Data'!$D:$D)</f>
        <v>44314</v>
      </c>
      <c r="D2010" s="2" t="str">
        <f>_xlfn.XLOOKUP(A2010,'[1]Tissue Data'!$A:$A,'[1]Tissue Data'!$F:$F)</f>
        <v>Pumpkinseed</v>
      </c>
      <c r="E2010" t="str">
        <f>_xlfn.XLOOKUP(A2010,'[1]Tissue Data'!$A:$A,'[1]Tissue Data'!$H:$H)</f>
        <v>Lepomis</v>
      </c>
      <c r="F2010" t="str">
        <f>_xlfn.XLOOKUP(A2010,'[1]Tissue Data'!$A:$A,'[1]Tissue Data'!$I:$I)</f>
        <v>gibbosus</v>
      </c>
      <c r="G2010" t="str">
        <f>_xlfn.XLOOKUP(A2010,'[1]Tissue Data'!$A:$A,'[1]Tissue Data'!J:J)</f>
        <v>U</v>
      </c>
      <c r="H2010" t="str">
        <f>_xlfn.XLOOKUP(A2010,'[1]Tissue Data'!$A:$A,'[1]Tissue Data'!K:K)</f>
        <v>Whole Body</v>
      </c>
      <c r="I2010">
        <f>_xlfn.XLOOKUP(A2010,'[1]Tissue Data'!$A:$A,'[1]Tissue Data'!L:L)</f>
        <v>8</v>
      </c>
      <c r="J2010">
        <f>_xlfn.XLOOKUP(A2010,'[1]Tissue Data'!$A:$A,'[1]Tissue Data'!M:M)</f>
        <v>9.35</v>
      </c>
      <c r="K2010" t="s">
        <v>20</v>
      </c>
      <c r="L2010" t="str">
        <f>_xlfn.XLOOKUP(K2010,[2]analyte_order!$B:$B,[2]analyte_order!$C:$C)</f>
        <v>307-55-1</v>
      </c>
      <c r="M2010">
        <f>_xlfn.XLOOKUP(L2010,[2]analyte_order!$C:$C,[2]analyte_order!$E:$E)</f>
        <v>9</v>
      </c>
      <c r="N2010">
        <v>8.84</v>
      </c>
    </row>
    <row r="2011" spans="1:14">
      <c r="A2011" t="s">
        <v>253</v>
      </c>
      <c r="B2011" t="str">
        <f>_xlfn.XLOOKUP(A2011,'[1]Tissue Data'!$A:$A,'[1]Tissue Data'!$C:$C)</f>
        <v>Spill</v>
      </c>
      <c r="C2011" s="2">
        <f>_xlfn.XLOOKUP(A2011,'[1]Tissue Data'!$A:$A,'[1]Tissue Data'!$D:$D)</f>
        <v>44314</v>
      </c>
      <c r="D2011" s="2" t="str">
        <f>_xlfn.XLOOKUP(A2011,'[1]Tissue Data'!$A:$A,'[1]Tissue Data'!$F:$F)</f>
        <v>Pumpkinseed</v>
      </c>
      <c r="E2011" t="str">
        <f>_xlfn.XLOOKUP(A2011,'[1]Tissue Data'!$A:$A,'[1]Tissue Data'!$H:$H)</f>
        <v>Lepomis</v>
      </c>
      <c r="F2011" t="str">
        <f>_xlfn.XLOOKUP(A2011,'[1]Tissue Data'!$A:$A,'[1]Tissue Data'!$I:$I)</f>
        <v>gibbosus</v>
      </c>
      <c r="G2011" t="str">
        <f>_xlfn.XLOOKUP(A2011,'[1]Tissue Data'!$A:$A,'[1]Tissue Data'!J:J)</f>
        <v>U</v>
      </c>
      <c r="H2011" t="str">
        <f>_xlfn.XLOOKUP(A2011,'[1]Tissue Data'!$A:$A,'[1]Tissue Data'!K:K)</f>
        <v>Whole Body</v>
      </c>
      <c r="I2011">
        <f>_xlfn.XLOOKUP(A2011,'[1]Tissue Data'!$A:$A,'[1]Tissue Data'!L:L)</f>
        <v>8</v>
      </c>
      <c r="J2011">
        <f>_xlfn.XLOOKUP(A2011,'[1]Tissue Data'!$A:$A,'[1]Tissue Data'!M:M)</f>
        <v>9.35</v>
      </c>
      <c r="K2011" t="s">
        <v>21</v>
      </c>
      <c r="L2011" t="str">
        <f>_xlfn.XLOOKUP(K2011,[2]analyte_order!$B:$B,[2]analyte_order!$C:$C)</f>
        <v>72629-94-8</v>
      </c>
      <c r="M2011">
        <f>_xlfn.XLOOKUP(L2011,[2]analyte_order!$C:$C,[2]analyte_order!$E:$E)</f>
        <v>10</v>
      </c>
      <c r="N2011">
        <v>3.31</v>
      </c>
    </row>
    <row r="2012" spans="1:14">
      <c r="A2012" t="s">
        <v>253</v>
      </c>
      <c r="B2012" t="str">
        <f>_xlfn.XLOOKUP(A2012,'[1]Tissue Data'!$A:$A,'[1]Tissue Data'!$C:$C)</f>
        <v>Spill</v>
      </c>
      <c r="C2012" s="2">
        <f>_xlfn.XLOOKUP(A2012,'[1]Tissue Data'!$A:$A,'[1]Tissue Data'!$D:$D)</f>
        <v>44314</v>
      </c>
      <c r="D2012" s="2" t="str">
        <f>_xlfn.XLOOKUP(A2012,'[1]Tissue Data'!$A:$A,'[1]Tissue Data'!$F:$F)</f>
        <v>Pumpkinseed</v>
      </c>
      <c r="E2012" t="str">
        <f>_xlfn.XLOOKUP(A2012,'[1]Tissue Data'!$A:$A,'[1]Tissue Data'!$H:$H)</f>
        <v>Lepomis</v>
      </c>
      <c r="F2012" t="str">
        <f>_xlfn.XLOOKUP(A2012,'[1]Tissue Data'!$A:$A,'[1]Tissue Data'!$I:$I)</f>
        <v>gibbosus</v>
      </c>
      <c r="G2012" t="str">
        <f>_xlfn.XLOOKUP(A2012,'[1]Tissue Data'!$A:$A,'[1]Tissue Data'!J:J)</f>
        <v>U</v>
      </c>
      <c r="H2012" t="str">
        <f>_xlfn.XLOOKUP(A2012,'[1]Tissue Data'!$A:$A,'[1]Tissue Data'!K:K)</f>
        <v>Whole Body</v>
      </c>
      <c r="I2012">
        <f>_xlfn.XLOOKUP(A2012,'[1]Tissue Data'!$A:$A,'[1]Tissue Data'!L:L)</f>
        <v>8</v>
      </c>
      <c r="J2012">
        <f>_xlfn.XLOOKUP(A2012,'[1]Tissue Data'!$A:$A,'[1]Tissue Data'!M:M)</f>
        <v>9.35</v>
      </c>
      <c r="K2012" t="s">
        <v>22</v>
      </c>
      <c r="L2012" t="str">
        <f>_xlfn.XLOOKUP(K2012,[2]analyte_order!$B:$B,[2]analyte_order!$C:$C)</f>
        <v>376-06-7</v>
      </c>
      <c r="M2012">
        <f>_xlfn.XLOOKUP(L2012,[2]analyte_order!$C:$C,[2]analyte_order!$E:$E)</f>
        <v>11</v>
      </c>
      <c r="N2012">
        <v>6.98</v>
      </c>
    </row>
    <row r="2013" spans="1:14">
      <c r="A2013" t="s">
        <v>253</v>
      </c>
      <c r="B2013" t="str">
        <f>_xlfn.XLOOKUP(A2013,'[1]Tissue Data'!$A:$A,'[1]Tissue Data'!$C:$C)</f>
        <v>Spill</v>
      </c>
      <c r="C2013" s="2">
        <f>_xlfn.XLOOKUP(A2013,'[1]Tissue Data'!$A:$A,'[1]Tissue Data'!$D:$D)</f>
        <v>44314</v>
      </c>
      <c r="D2013" s="2" t="str">
        <f>_xlfn.XLOOKUP(A2013,'[1]Tissue Data'!$A:$A,'[1]Tissue Data'!$F:$F)</f>
        <v>Pumpkinseed</v>
      </c>
      <c r="E2013" t="str">
        <f>_xlfn.XLOOKUP(A2013,'[1]Tissue Data'!$A:$A,'[1]Tissue Data'!$H:$H)</f>
        <v>Lepomis</v>
      </c>
      <c r="F2013" t="str">
        <f>_xlfn.XLOOKUP(A2013,'[1]Tissue Data'!$A:$A,'[1]Tissue Data'!$I:$I)</f>
        <v>gibbosus</v>
      </c>
      <c r="G2013" t="str">
        <f>_xlfn.XLOOKUP(A2013,'[1]Tissue Data'!$A:$A,'[1]Tissue Data'!J:J)</f>
        <v>U</v>
      </c>
      <c r="H2013" t="str">
        <f>_xlfn.XLOOKUP(A2013,'[1]Tissue Data'!$A:$A,'[1]Tissue Data'!K:K)</f>
        <v>Whole Body</v>
      </c>
      <c r="I2013">
        <f>_xlfn.XLOOKUP(A2013,'[1]Tissue Data'!$A:$A,'[1]Tissue Data'!L:L)</f>
        <v>8</v>
      </c>
      <c r="J2013">
        <f>_xlfn.XLOOKUP(A2013,'[1]Tissue Data'!$A:$A,'[1]Tissue Data'!M:M)</f>
        <v>9.35</v>
      </c>
      <c r="K2013" t="s">
        <v>23</v>
      </c>
      <c r="L2013" t="str">
        <f>_xlfn.XLOOKUP(K2013,[2]analyte_order!$B:$B,[2]analyte_order!$C:$C)</f>
        <v>67905-19-5</v>
      </c>
      <c r="M2013">
        <f>_xlfn.XLOOKUP(L2013,[2]analyte_order!$C:$C,[2]analyte_order!$E:$E)</f>
        <v>12</v>
      </c>
      <c r="N2013">
        <v>8.0500000000000002E-2</v>
      </c>
    </row>
    <row r="2014" spans="1:14">
      <c r="A2014" t="s">
        <v>253</v>
      </c>
      <c r="B2014" t="str">
        <f>_xlfn.XLOOKUP(A2014,'[1]Tissue Data'!$A:$A,'[1]Tissue Data'!$C:$C)</f>
        <v>Spill</v>
      </c>
      <c r="C2014" s="2">
        <f>_xlfn.XLOOKUP(A2014,'[1]Tissue Data'!$A:$A,'[1]Tissue Data'!$D:$D)</f>
        <v>44314</v>
      </c>
      <c r="D2014" s="2" t="str">
        <f>_xlfn.XLOOKUP(A2014,'[1]Tissue Data'!$A:$A,'[1]Tissue Data'!$F:$F)</f>
        <v>Pumpkinseed</v>
      </c>
      <c r="E2014" t="str">
        <f>_xlfn.XLOOKUP(A2014,'[1]Tissue Data'!$A:$A,'[1]Tissue Data'!$H:$H)</f>
        <v>Lepomis</v>
      </c>
      <c r="F2014" t="str">
        <f>_xlfn.XLOOKUP(A2014,'[1]Tissue Data'!$A:$A,'[1]Tissue Data'!$I:$I)</f>
        <v>gibbosus</v>
      </c>
      <c r="G2014" t="str">
        <f>_xlfn.XLOOKUP(A2014,'[1]Tissue Data'!$A:$A,'[1]Tissue Data'!J:J)</f>
        <v>U</v>
      </c>
      <c r="H2014" t="str">
        <f>_xlfn.XLOOKUP(A2014,'[1]Tissue Data'!$A:$A,'[1]Tissue Data'!K:K)</f>
        <v>Whole Body</v>
      </c>
      <c r="I2014">
        <f>_xlfn.XLOOKUP(A2014,'[1]Tissue Data'!$A:$A,'[1]Tissue Data'!L:L)</f>
        <v>8</v>
      </c>
      <c r="J2014">
        <f>_xlfn.XLOOKUP(A2014,'[1]Tissue Data'!$A:$A,'[1]Tissue Data'!M:M)</f>
        <v>9.35</v>
      </c>
      <c r="K2014" t="s">
        <v>24</v>
      </c>
      <c r="L2014" t="str">
        <f>_xlfn.XLOOKUP(K2014,[2]analyte_order!$B:$B,[2]analyte_order!$C:$C)</f>
        <v>423-41-6</v>
      </c>
      <c r="M2014">
        <f>_xlfn.XLOOKUP(L2014,[2]analyte_order!$C:$C,[2]analyte_order!$E:$E)</f>
        <v>53</v>
      </c>
      <c r="N2014">
        <v>5.1499999999999997E-2</v>
      </c>
    </row>
    <row r="2015" spans="1:14">
      <c r="A2015" t="s">
        <v>253</v>
      </c>
      <c r="B2015" t="str">
        <f>_xlfn.XLOOKUP(A2015,'[1]Tissue Data'!$A:$A,'[1]Tissue Data'!$C:$C)</f>
        <v>Spill</v>
      </c>
      <c r="C2015" s="2">
        <f>_xlfn.XLOOKUP(A2015,'[1]Tissue Data'!$A:$A,'[1]Tissue Data'!$D:$D)</f>
        <v>44314</v>
      </c>
      <c r="D2015" s="2" t="str">
        <f>_xlfn.XLOOKUP(A2015,'[1]Tissue Data'!$A:$A,'[1]Tissue Data'!$F:$F)</f>
        <v>Pumpkinseed</v>
      </c>
      <c r="E2015" t="str">
        <f>_xlfn.XLOOKUP(A2015,'[1]Tissue Data'!$A:$A,'[1]Tissue Data'!$H:$H)</f>
        <v>Lepomis</v>
      </c>
      <c r="F2015" t="str">
        <f>_xlfn.XLOOKUP(A2015,'[1]Tissue Data'!$A:$A,'[1]Tissue Data'!$I:$I)</f>
        <v>gibbosus</v>
      </c>
      <c r="G2015" t="str">
        <f>_xlfn.XLOOKUP(A2015,'[1]Tissue Data'!$A:$A,'[1]Tissue Data'!J:J)</f>
        <v>U</v>
      </c>
      <c r="H2015" t="str">
        <f>_xlfn.XLOOKUP(A2015,'[1]Tissue Data'!$A:$A,'[1]Tissue Data'!K:K)</f>
        <v>Whole Body</v>
      </c>
      <c r="I2015">
        <f>_xlfn.XLOOKUP(A2015,'[1]Tissue Data'!$A:$A,'[1]Tissue Data'!L:L)</f>
        <v>8</v>
      </c>
      <c r="J2015">
        <f>_xlfn.XLOOKUP(A2015,'[1]Tissue Data'!$A:$A,'[1]Tissue Data'!M:M)</f>
        <v>9.35</v>
      </c>
      <c r="K2015" t="s">
        <v>25</v>
      </c>
      <c r="L2015" t="str">
        <f>_xlfn.XLOOKUP(K2015,[2]analyte_order!$B:$B,[2]analyte_order!$C:$C)</f>
        <v>375-73-5</v>
      </c>
      <c r="M2015">
        <f>_xlfn.XLOOKUP(L2015,[2]analyte_order!$C:$C,[2]analyte_order!$E:$E)</f>
        <v>14</v>
      </c>
      <c r="N2015">
        <v>4.5900000000000003E-2</v>
      </c>
    </row>
    <row r="2016" spans="1:14">
      <c r="A2016" t="s">
        <v>253</v>
      </c>
      <c r="B2016" t="str">
        <f>_xlfn.XLOOKUP(A2016,'[1]Tissue Data'!$A:$A,'[1]Tissue Data'!$C:$C)</f>
        <v>Spill</v>
      </c>
      <c r="C2016" s="2">
        <f>_xlfn.XLOOKUP(A2016,'[1]Tissue Data'!$A:$A,'[1]Tissue Data'!$D:$D)</f>
        <v>44314</v>
      </c>
      <c r="D2016" s="2" t="str">
        <f>_xlfn.XLOOKUP(A2016,'[1]Tissue Data'!$A:$A,'[1]Tissue Data'!$F:$F)</f>
        <v>Pumpkinseed</v>
      </c>
      <c r="E2016" t="str">
        <f>_xlfn.XLOOKUP(A2016,'[1]Tissue Data'!$A:$A,'[1]Tissue Data'!$H:$H)</f>
        <v>Lepomis</v>
      </c>
      <c r="F2016" t="str">
        <f>_xlfn.XLOOKUP(A2016,'[1]Tissue Data'!$A:$A,'[1]Tissue Data'!$I:$I)</f>
        <v>gibbosus</v>
      </c>
      <c r="G2016" t="str">
        <f>_xlfn.XLOOKUP(A2016,'[1]Tissue Data'!$A:$A,'[1]Tissue Data'!J:J)</f>
        <v>U</v>
      </c>
      <c r="H2016" t="str">
        <f>_xlfn.XLOOKUP(A2016,'[1]Tissue Data'!$A:$A,'[1]Tissue Data'!K:K)</f>
        <v>Whole Body</v>
      </c>
      <c r="I2016">
        <f>_xlfn.XLOOKUP(A2016,'[1]Tissue Data'!$A:$A,'[1]Tissue Data'!L:L)</f>
        <v>8</v>
      </c>
      <c r="J2016">
        <f>_xlfn.XLOOKUP(A2016,'[1]Tissue Data'!$A:$A,'[1]Tissue Data'!M:M)</f>
        <v>9.35</v>
      </c>
      <c r="K2016" t="s">
        <v>26</v>
      </c>
      <c r="L2016" t="str">
        <f>_xlfn.XLOOKUP(K2016,[2]analyte_order!$B:$B,[2]analyte_order!$C:$C)</f>
        <v>2706-91-4</v>
      </c>
      <c r="M2016">
        <f>_xlfn.XLOOKUP(L2016,[2]analyte_order!$C:$C,[2]analyte_order!$E:$E)</f>
        <v>15</v>
      </c>
      <c r="N2016">
        <v>0.11799999999999999</v>
      </c>
    </row>
    <row r="2017" spans="1:14">
      <c r="A2017" t="s">
        <v>253</v>
      </c>
      <c r="B2017" t="str">
        <f>_xlfn.XLOOKUP(A2017,'[1]Tissue Data'!$A:$A,'[1]Tissue Data'!$C:$C)</f>
        <v>Spill</v>
      </c>
      <c r="C2017" s="2">
        <f>_xlfn.XLOOKUP(A2017,'[1]Tissue Data'!$A:$A,'[1]Tissue Data'!$D:$D)</f>
        <v>44314</v>
      </c>
      <c r="D2017" s="2" t="str">
        <f>_xlfn.XLOOKUP(A2017,'[1]Tissue Data'!$A:$A,'[1]Tissue Data'!$F:$F)</f>
        <v>Pumpkinseed</v>
      </c>
      <c r="E2017" t="str">
        <f>_xlfn.XLOOKUP(A2017,'[1]Tissue Data'!$A:$A,'[1]Tissue Data'!$H:$H)</f>
        <v>Lepomis</v>
      </c>
      <c r="F2017" t="str">
        <f>_xlfn.XLOOKUP(A2017,'[1]Tissue Data'!$A:$A,'[1]Tissue Data'!$I:$I)</f>
        <v>gibbosus</v>
      </c>
      <c r="G2017" t="str">
        <f>_xlfn.XLOOKUP(A2017,'[1]Tissue Data'!$A:$A,'[1]Tissue Data'!J:J)</f>
        <v>U</v>
      </c>
      <c r="H2017" t="str">
        <f>_xlfn.XLOOKUP(A2017,'[1]Tissue Data'!$A:$A,'[1]Tissue Data'!K:K)</f>
        <v>Whole Body</v>
      </c>
      <c r="I2017">
        <f>_xlfn.XLOOKUP(A2017,'[1]Tissue Data'!$A:$A,'[1]Tissue Data'!L:L)</f>
        <v>8</v>
      </c>
      <c r="J2017">
        <f>_xlfn.XLOOKUP(A2017,'[1]Tissue Data'!$A:$A,'[1]Tissue Data'!M:M)</f>
        <v>9.35</v>
      </c>
      <c r="K2017" t="s">
        <v>27</v>
      </c>
      <c r="L2017" t="str">
        <f>_xlfn.XLOOKUP(K2017,[2]analyte_order!$B:$B,[2]analyte_order!$C:$C)</f>
        <v>355-46-4</v>
      </c>
      <c r="M2017">
        <f>_xlfn.XLOOKUP(L2017,[2]analyte_order!$C:$C,[2]analyte_order!$E:$E)</f>
        <v>16</v>
      </c>
      <c r="N2017">
        <v>4.82</v>
      </c>
    </row>
    <row r="2018" spans="1:14">
      <c r="A2018" t="s">
        <v>253</v>
      </c>
      <c r="B2018" t="str">
        <f>_xlfn.XLOOKUP(A2018,'[1]Tissue Data'!$A:$A,'[1]Tissue Data'!$C:$C)</f>
        <v>Spill</v>
      </c>
      <c r="C2018" s="2">
        <f>_xlfn.XLOOKUP(A2018,'[1]Tissue Data'!$A:$A,'[1]Tissue Data'!$D:$D)</f>
        <v>44314</v>
      </c>
      <c r="D2018" s="2" t="str">
        <f>_xlfn.XLOOKUP(A2018,'[1]Tissue Data'!$A:$A,'[1]Tissue Data'!$F:$F)</f>
        <v>Pumpkinseed</v>
      </c>
      <c r="E2018" t="str">
        <f>_xlfn.XLOOKUP(A2018,'[1]Tissue Data'!$A:$A,'[1]Tissue Data'!$H:$H)</f>
        <v>Lepomis</v>
      </c>
      <c r="F2018" t="str">
        <f>_xlfn.XLOOKUP(A2018,'[1]Tissue Data'!$A:$A,'[1]Tissue Data'!$I:$I)</f>
        <v>gibbosus</v>
      </c>
      <c r="G2018" t="str">
        <f>_xlfn.XLOOKUP(A2018,'[1]Tissue Data'!$A:$A,'[1]Tissue Data'!J:J)</f>
        <v>U</v>
      </c>
      <c r="H2018" t="str">
        <f>_xlfn.XLOOKUP(A2018,'[1]Tissue Data'!$A:$A,'[1]Tissue Data'!K:K)</f>
        <v>Whole Body</v>
      </c>
      <c r="I2018">
        <f>_xlfn.XLOOKUP(A2018,'[1]Tissue Data'!$A:$A,'[1]Tissue Data'!L:L)</f>
        <v>8</v>
      </c>
      <c r="J2018">
        <f>_xlfn.XLOOKUP(A2018,'[1]Tissue Data'!$A:$A,'[1]Tissue Data'!M:M)</f>
        <v>9.35</v>
      </c>
      <c r="K2018" t="s">
        <v>28</v>
      </c>
      <c r="L2018" t="str">
        <f>_xlfn.XLOOKUP(K2018,[2]analyte_order!$B:$B,[2]analyte_order!$C:$C)</f>
        <v>375-92-8</v>
      </c>
      <c r="M2018">
        <f>_xlfn.XLOOKUP(L2018,[2]analyte_order!$C:$C,[2]analyte_order!$E:$E)</f>
        <v>17</v>
      </c>
      <c r="N2018">
        <v>0.48199999999999998</v>
      </c>
    </row>
    <row r="2019" spans="1:14">
      <c r="A2019" t="s">
        <v>253</v>
      </c>
      <c r="B2019" t="str">
        <f>_xlfn.XLOOKUP(A2019,'[1]Tissue Data'!$A:$A,'[1]Tissue Data'!$C:$C)</f>
        <v>Spill</v>
      </c>
      <c r="C2019" s="2">
        <f>_xlfn.XLOOKUP(A2019,'[1]Tissue Data'!$A:$A,'[1]Tissue Data'!$D:$D)</f>
        <v>44314</v>
      </c>
      <c r="D2019" s="2" t="str">
        <f>_xlfn.XLOOKUP(A2019,'[1]Tissue Data'!$A:$A,'[1]Tissue Data'!$F:$F)</f>
        <v>Pumpkinseed</v>
      </c>
      <c r="E2019" t="str">
        <f>_xlfn.XLOOKUP(A2019,'[1]Tissue Data'!$A:$A,'[1]Tissue Data'!$H:$H)</f>
        <v>Lepomis</v>
      </c>
      <c r="F2019" t="str">
        <f>_xlfn.XLOOKUP(A2019,'[1]Tissue Data'!$A:$A,'[1]Tissue Data'!$I:$I)</f>
        <v>gibbosus</v>
      </c>
      <c r="G2019" t="str">
        <f>_xlfn.XLOOKUP(A2019,'[1]Tissue Data'!$A:$A,'[1]Tissue Data'!J:J)</f>
        <v>U</v>
      </c>
      <c r="H2019" t="str">
        <f>_xlfn.XLOOKUP(A2019,'[1]Tissue Data'!$A:$A,'[1]Tissue Data'!K:K)</f>
        <v>Whole Body</v>
      </c>
      <c r="I2019">
        <f>_xlfn.XLOOKUP(A2019,'[1]Tissue Data'!$A:$A,'[1]Tissue Data'!L:L)</f>
        <v>8</v>
      </c>
      <c r="J2019">
        <f>_xlfn.XLOOKUP(A2019,'[1]Tissue Data'!$A:$A,'[1]Tissue Data'!M:M)</f>
        <v>9.35</v>
      </c>
      <c r="K2019" t="s">
        <v>29</v>
      </c>
      <c r="L2019" t="str">
        <f>_xlfn.XLOOKUP(K2019,[2]analyte_order!$B:$B,[2]analyte_order!$C:$C)</f>
        <v>1763-23-1</v>
      </c>
      <c r="M2019">
        <f>_xlfn.XLOOKUP(L2019,[2]analyte_order!$C:$C,[2]analyte_order!$E:$E)</f>
        <v>18</v>
      </c>
      <c r="N2019">
        <v>396</v>
      </c>
    </row>
    <row r="2020" spans="1:14">
      <c r="A2020" t="s">
        <v>253</v>
      </c>
      <c r="B2020" t="str">
        <f>_xlfn.XLOOKUP(A2020,'[1]Tissue Data'!$A:$A,'[1]Tissue Data'!$C:$C)</f>
        <v>Spill</v>
      </c>
      <c r="C2020" s="2">
        <f>_xlfn.XLOOKUP(A2020,'[1]Tissue Data'!$A:$A,'[1]Tissue Data'!$D:$D)</f>
        <v>44314</v>
      </c>
      <c r="D2020" s="2" t="str">
        <f>_xlfn.XLOOKUP(A2020,'[1]Tissue Data'!$A:$A,'[1]Tissue Data'!$F:$F)</f>
        <v>Pumpkinseed</v>
      </c>
      <c r="E2020" t="str">
        <f>_xlfn.XLOOKUP(A2020,'[1]Tissue Data'!$A:$A,'[1]Tissue Data'!$H:$H)</f>
        <v>Lepomis</v>
      </c>
      <c r="F2020" t="str">
        <f>_xlfn.XLOOKUP(A2020,'[1]Tissue Data'!$A:$A,'[1]Tissue Data'!$I:$I)</f>
        <v>gibbosus</v>
      </c>
      <c r="G2020" t="str">
        <f>_xlfn.XLOOKUP(A2020,'[1]Tissue Data'!$A:$A,'[1]Tissue Data'!J:J)</f>
        <v>U</v>
      </c>
      <c r="H2020" t="str">
        <f>_xlfn.XLOOKUP(A2020,'[1]Tissue Data'!$A:$A,'[1]Tissue Data'!K:K)</f>
        <v>Whole Body</v>
      </c>
      <c r="I2020">
        <f>_xlfn.XLOOKUP(A2020,'[1]Tissue Data'!$A:$A,'[1]Tissue Data'!L:L)</f>
        <v>8</v>
      </c>
      <c r="J2020">
        <f>_xlfn.XLOOKUP(A2020,'[1]Tissue Data'!$A:$A,'[1]Tissue Data'!M:M)</f>
        <v>9.35</v>
      </c>
      <c r="K2020" t="s">
        <v>30</v>
      </c>
      <c r="L2020" t="str">
        <f>_xlfn.XLOOKUP(K2020,[2]analyte_order!$B:$B,[2]analyte_order!$C:$C)</f>
        <v>68259-12-1</v>
      </c>
      <c r="M2020">
        <f>_xlfn.XLOOKUP(L2020,[2]analyte_order!$C:$C,[2]analyte_order!$E:$E)</f>
        <v>19</v>
      </c>
      <c r="N2020">
        <v>0.53100000000000003</v>
      </c>
    </row>
    <row r="2021" spans="1:14">
      <c r="A2021" t="s">
        <v>253</v>
      </c>
      <c r="B2021" t="str">
        <f>_xlfn.XLOOKUP(A2021,'[1]Tissue Data'!$A:$A,'[1]Tissue Data'!$C:$C)</f>
        <v>Spill</v>
      </c>
      <c r="C2021" s="2">
        <f>_xlfn.XLOOKUP(A2021,'[1]Tissue Data'!$A:$A,'[1]Tissue Data'!$D:$D)</f>
        <v>44314</v>
      </c>
      <c r="D2021" s="2" t="str">
        <f>_xlfn.XLOOKUP(A2021,'[1]Tissue Data'!$A:$A,'[1]Tissue Data'!$F:$F)</f>
        <v>Pumpkinseed</v>
      </c>
      <c r="E2021" t="str">
        <f>_xlfn.XLOOKUP(A2021,'[1]Tissue Data'!$A:$A,'[1]Tissue Data'!$H:$H)</f>
        <v>Lepomis</v>
      </c>
      <c r="F2021" t="str">
        <f>_xlfn.XLOOKUP(A2021,'[1]Tissue Data'!$A:$A,'[1]Tissue Data'!$I:$I)</f>
        <v>gibbosus</v>
      </c>
      <c r="G2021" t="str">
        <f>_xlfn.XLOOKUP(A2021,'[1]Tissue Data'!$A:$A,'[1]Tissue Data'!J:J)</f>
        <v>U</v>
      </c>
      <c r="H2021" t="str">
        <f>_xlfn.XLOOKUP(A2021,'[1]Tissue Data'!$A:$A,'[1]Tissue Data'!K:K)</f>
        <v>Whole Body</v>
      </c>
      <c r="I2021">
        <f>_xlfn.XLOOKUP(A2021,'[1]Tissue Data'!$A:$A,'[1]Tissue Data'!L:L)</f>
        <v>8</v>
      </c>
      <c r="J2021">
        <f>_xlfn.XLOOKUP(A2021,'[1]Tissue Data'!$A:$A,'[1]Tissue Data'!M:M)</f>
        <v>9.35</v>
      </c>
      <c r="K2021" t="s">
        <v>31</v>
      </c>
      <c r="L2021" t="str">
        <f>_xlfn.XLOOKUP(K2021,[2]analyte_order!$B:$B,[2]analyte_order!$C:$C)</f>
        <v>335-77-3</v>
      </c>
      <c r="M2021">
        <f>_xlfn.XLOOKUP(L2021,[2]analyte_order!$C:$C,[2]analyte_order!$E:$E)</f>
        <v>20</v>
      </c>
      <c r="N2021">
        <v>2.62</v>
      </c>
    </row>
    <row r="2022" spans="1:14">
      <c r="A2022" t="s">
        <v>253</v>
      </c>
      <c r="B2022" t="str">
        <f>_xlfn.XLOOKUP(A2022,'[1]Tissue Data'!$A:$A,'[1]Tissue Data'!$C:$C)</f>
        <v>Spill</v>
      </c>
      <c r="C2022" s="2">
        <f>_xlfn.XLOOKUP(A2022,'[1]Tissue Data'!$A:$A,'[1]Tissue Data'!$D:$D)</f>
        <v>44314</v>
      </c>
      <c r="D2022" s="2" t="str">
        <f>_xlfn.XLOOKUP(A2022,'[1]Tissue Data'!$A:$A,'[1]Tissue Data'!$F:$F)</f>
        <v>Pumpkinseed</v>
      </c>
      <c r="E2022" t="str">
        <f>_xlfn.XLOOKUP(A2022,'[1]Tissue Data'!$A:$A,'[1]Tissue Data'!$H:$H)</f>
        <v>Lepomis</v>
      </c>
      <c r="F2022" t="str">
        <f>_xlfn.XLOOKUP(A2022,'[1]Tissue Data'!$A:$A,'[1]Tissue Data'!$I:$I)</f>
        <v>gibbosus</v>
      </c>
      <c r="G2022" t="str">
        <f>_xlfn.XLOOKUP(A2022,'[1]Tissue Data'!$A:$A,'[1]Tissue Data'!J:J)</f>
        <v>U</v>
      </c>
      <c r="H2022" t="str">
        <f>_xlfn.XLOOKUP(A2022,'[1]Tissue Data'!$A:$A,'[1]Tissue Data'!K:K)</f>
        <v>Whole Body</v>
      </c>
      <c r="I2022">
        <f>_xlfn.XLOOKUP(A2022,'[1]Tissue Data'!$A:$A,'[1]Tissue Data'!L:L)</f>
        <v>8</v>
      </c>
      <c r="J2022">
        <f>_xlfn.XLOOKUP(A2022,'[1]Tissue Data'!$A:$A,'[1]Tissue Data'!M:M)</f>
        <v>9.35</v>
      </c>
      <c r="K2022" t="s">
        <v>32</v>
      </c>
      <c r="L2022" t="str">
        <f>_xlfn.XLOOKUP(K2022,[2]analyte_order!$B:$B,[2]analyte_order!$C:$C)</f>
        <v>79780-39-5</v>
      </c>
      <c r="M2022">
        <f>_xlfn.XLOOKUP(L2022,[2]analyte_order!$C:$C,[2]analyte_order!$E:$E)</f>
        <v>21</v>
      </c>
      <c r="N2022">
        <v>0.23799999999999999</v>
      </c>
    </row>
    <row r="2023" spans="1:14">
      <c r="A2023" t="s">
        <v>253</v>
      </c>
      <c r="B2023" t="str">
        <f>_xlfn.XLOOKUP(A2023,'[1]Tissue Data'!$A:$A,'[1]Tissue Data'!$C:$C)</f>
        <v>Spill</v>
      </c>
      <c r="C2023" s="2">
        <f>_xlfn.XLOOKUP(A2023,'[1]Tissue Data'!$A:$A,'[1]Tissue Data'!$D:$D)</f>
        <v>44314</v>
      </c>
      <c r="D2023" s="2" t="str">
        <f>_xlfn.XLOOKUP(A2023,'[1]Tissue Data'!$A:$A,'[1]Tissue Data'!$F:$F)</f>
        <v>Pumpkinseed</v>
      </c>
      <c r="E2023" t="str">
        <f>_xlfn.XLOOKUP(A2023,'[1]Tissue Data'!$A:$A,'[1]Tissue Data'!$H:$H)</f>
        <v>Lepomis</v>
      </c>
      <c r="F2023" t="str">
        <f>_xlfn.XLOOKUP(A2023,'[1]Tissue Data'!$A:$A,'[1]Tissue Data'!$I:$I)</f>
        <v>gibbosus</v>
      </c>
      <c r="G2023" t="str">
        <f>_xlfn.XLOOKUP(A2023,'[1]Tissue Data'!$A:$A,'[1]Tissue Data'!J:J)</f>
        <v>U</v>
      </c>
      <c r="H2023" t="str">
        <f>_xlfn.XLOOKUP(A2023,'[1]Tissue Data'!$A:$A,'[1]Tissue Data'!K:K)</f>
        <v>Whole Body</v>
      </c>
      <c r="I2023">
        <f>_xlfn.XLOOKUP(A2023,'[1]Tissue Data'!$A:$A,'[1]Tissue Data'!L:L)</f>
        <v>8</v>
      </c>
      <c r="J2023">
        <f>_xlfn.XLOOKUP(A2023,'[1]Tissue Data'!$A:$A,'[1]Tissue Data'!M:M)</f>
        <v>9.35</v>
      </c>
      <c r="K2023" t="s">
        <v>33</v>
      </c>
      <c r="L2023" t="str">
        <f>_xlfn.XLOOKUP(K2023,[2]analyte_order!$B:$B,[2]analyte_order!$C:$C)</f>
        <v>777011-38-8</v>
      </c>
      <c r="M2023">
        <f>_xlfn.XLOOKUP(L2023,[2]analyte_order!$C:$C,[2]analyte_order!$E:$E)</f>
        <v>54</v>
      </c>
      <c r="N2023">
        <v>0.13550000000000001</v>
      </c>
    </row>
    <row r="2024" spans="1:14">
      <c r="A2024" t="s">
        <v>253</v>
      </c>
      <c r="B2024" t="str">
        <f>_xlfn.XLOOKUP(A2024,'[1]Tissue Data'!$A:$A,'[1]Tissue Data'!$C:$C)</f>
        <v>Spill</v>
      </c>
      <c r="C2024" s="2">
        <f>_xlfn.XLOOKUP(A2024,'[1]Tissue Data'!$A:$A,'[1]Tissue Data'!$D:$D)</f>
        <v>44314</v>
      </c>
      <c r="D2024" s="2" t="str">
        <f>_xlfn.XLOOKUP(A2024,'[1]Tissue Data'!$A:$A,'[1]Tissue Data'!$F:$F)</f>
        <v>Pumpkinseed</v>
      </c>
      <c r="E2024" t="str">
        <f>_xlfn.XLOOKUP(A2024,'[1]Tissue Data'!$A:$A,'[1]Tissue Data'!$H:$H)</f>
        <v>Lepomis</v>
      </c>
      <c r="F2024" t="str">
        <f>_xlfn.XLOOKUP(A2024,'[1]Tissue Data'!$A:$A,'[1]Tissue Data'!$I:$I)</f>
        <v>gibbosus</v>
      </c>
      <c r="G2024" t="str">
        <f>_xlfn.XLOOKUP(A2024,'[1]Tissue Data'!$A:$A,'[1]Tissue Data'!J:J)</f>
        <v>U</v>
      </c>
      <c r="H2024" t="str">
        <f>_xlfn.XLOOKUP(A2024,'[1]Tissue Data'!$A:$A,'[1]Tissue Data'!K:K)</f>
        <v>Whole Body</v>
      </c>
      <c r="I2024">
        <f>_xlfn.XLOOKUP(A2024,'[1]Tissue Data'!$A:$A,'[1]Tissue Data'!L:L)</f>
        <v>8</v>
      </c>
      <c r="J2024">
        <f>_xlfn.XLOOKUP(A2024,'[1]Tissue Data'!$A:$A,'[1]Tissue Data'!M:M)</f>
        <v>9.35</v>
      </c>
      <c r="K2024" t="s">
        <v>34</v>
      </c>
      <c r="L2024" t="str">
        <f>_xlfn.XLOOKUP(K2024,[2]analyte_order!$B:$B,[2]analyte_order!$C:$C)</f>
        <v>646-83-3</v>
      </c>
      <c r="M2024">
        <f>_xlfn.XLOOKUP(L2024,[2]analyte_order!$C:$C,[2]analyte_order!$E:$E)</f>
        <v>55</v>
      </c>
      <c r="N2024">
        <v>8.8999999999999996E-2</v>
      </c>
    </row>
    <row r="2025" spans="1:14">
      <c r="A2025" t="s">
        <v>253</v>
      </c>
      <c r="B2025" t="str">
        <f>_xlfn.XLOOKUP(A2025,'[1]Tissue Data'!$A:$A,'[1]Tissue Data'!$C:$C)</f>
        <v>Spill</v>
      </c>
      <c r="C2025" s="2">
        <f>_xlfn.XLOOKUP(A2025,'[1]Tissue Data'!$A:$A,'[1]Tissue Data'!$D:$D)</f>
        <v>44314</v>
      </c>
      <c r="D2025" s="2" t="str">
        <f>_xlfn.XLOOKUP(A2025,'[1]Tissue Data'!$A:$A,'[1]Tissue Data'!$F:$F)</f>
        <v>Pumpkinseed</v>
      </c>
      <c r="E2025" t="str">
        <f>_xlfn.XLOOKUP(A2025,'[1]Tissue Data'!$A:$A,'[1]Tissue Data'!$H:$H)</f>
        <v>Lepomis</v>
      </c>
      <c r="F2025" t="str">
        <f>_xlfn.XLOOKUP(A2025,'[1]Tissue Data'!$A:$A,'[1]Tissue Data'!$I:$I)</f>
        <v>gibbosus</v>
      </c>
      <c r="G2025" t="str">
        <f>_xlfn.XLOOKUP(A2025,'[1]Tissue Data'!$A:$A,'[1]Tissue Data'!J:J)</f>
        <v>U</v>
      </c>
      <c r="H2025" t="str">
        <f>_xlfn.XLOOKUP(A2025,'[1]Tissue Data'!$A:$A,'[1]Tissue Data'!K:K)</f>
        <v>Whole Body</v>
      </c>
      <c r="I2025">
        <f>_xlfn.XLOOKUP(A2025,'[1]Tissue Data'!$A:$A,'[1]Tissue Data'!L:L)</f>
        <v>8</v>
      </c>
      <c r="J2025">
        <f>_xlfn.XLOOKUP(A2025,'[1]Tissue Data'!$A:$A,'[1]Tissue Data'!M:M)</f>
        <v>9.35</v>
      </c>
      <c r="K2025" t="s">
        <v>35</v>
      </c>
      <c r="L2025" t="str">
        <f>_xlfn.XLOOKUP(K2025,[2]analyte_order!$B:$B,[2]analyte_order!$C:$C)</f>
        <v>30334-69-1</v>
      </c>
      <c r="M2025">
        <f>_xlfn.XLOOKUP(L2025,[2]analyte_order!$C:$C,[2]analyte_order!$E:$E)</f>
        <v>51</v>
      </c>
      <c r="N2025">
        <v>63.2</v>
      </c>
    </row>
    <row r="2026" spans="1:14">
      <c r="A2026" t="s">
        <v>253</v>
      </c>
      <c r="B2026" t="str">
        <f>_xlfn.XLOOKUP(A2026,'[1]Tissue Data'!$A:$A,'[1]Tissue Data'!$C:$C)</f>
        <v>Spill</v>
      </c>
      <c r="C2026" s="2">
        <f>_xlfn.XLOOKUP(A2026,'[1]Tissue Data'!$A:$A,'[1]Tissue Data'!$D:$D)</f>
        <v>44314</v>
      </c>
      <c r="D2026" s="2" t="str">
        <f>_xlfn.XLOOKUP(A2026,'[1]Tissue Data'!$A:$A,'[1]Tissue Data'!$F:$F)</f>
        <v>Pumpkinseed</v>
      </c>
      <c r="E2026" t="str">
        <f>_xlfn.XLOOKUP(A2026,'[1]Tissue Data'!$A:$A,'[1]Tissue Data'!$H:$H)</f>
        <v>Lepomis</v>
      </c>
      <c r="F2026" t="str">
        <f>_xlfn.XLOOKUP(A2026,'[1]Tissue Data'!$A:$A,'[1]Tissue Data'!$I:$I)</f>
        <v>gibbosus</v>
      </c>
      <c r="G2026" t="str">
        <f>_xlfn.XLOOKUP(A2026,'[1]Tissue Data'!$A:$A,'[1]Tissue Data'!J:J)</f>
        <v>U</v>
      </c>
      <c r="H2026" t="str">
        <f>_xlfn.XLOOKUP(A2026,'[1]Tissue Data'!$A:$A,'[1]Tissue Data'!K:K)</f>
        <v>Whole Body</v>
      </c>
      <c r="I2026">
        <f>_xlfn.XLOOKUP(A2026,'[1]Tissue Data'!$A:$A,'[1]Tissue Data'!L:L)</f>
        <v>8</v>
      </c>
      <c r="J2026">
        <f>_xlfn.XLOOKUP(A2026,'[1]Tissue Data'!$A:$A,'[1]Tissue Data'!M:M)</f>
        <v>9.35</v>
      </c>
      <c r="K2026" t="s">
        <v>36</v>
      </c>
      <c r="L2026" t="str">
        <f>_xlfn.XLOOKUP(K2026,[2]analyte_order!$B:$B,[2]analyte_order!$C:$C)</f>
        <v>41997-13-1</v>
      </c>
      <c r="M2026">
        <f>_xlfn.XLOOKUP(L2026,[2]analyte_order!$C:$C,[2]analyte_order!$E:$E)</f>
        <v>52</v>
      </c>
      <c r="N2026">
        <v>89.5</v>
      </c>
    </row>
    <row r="2027" spans="1:14">
      <c r="A2027" t="s">
        <v>253</v>
      </c>
      <c r="B2027" t="str">
        <f>_xlfn.XLOOKUP(A2027,'[1]Tissue Data'!$A:$A,'[1]Tissue Data'!$C:$C)</f>
        <v>Spill</v>
      </c>
      <c r="C2027" s="2">
        <f>_xlfn.XLOOKUP(A2027,'[1]Tissue Data'!$A:$A,'[1]Tissue Data'!$D:$D)</f>
        <v>44314</v>
      </c>
      <c r="D2027" s="2" t="str">
        <f>_xlfn.XLOOKUP(A2027,'[1]Tissue Data'!$A:$A,'[1]Tissue Data'!$F:$F)</f>
        <v>Pumpkinseed</v>
      </c>
      <c r="E2027" t="str">
        <f>_xlfn.XLOOKUP(A2027,'[1]Tissue Data'!$A:$A,'[1]Tissue Data'!$H:$H)</f>
        <v>Lepomis</v>
      </c>
      <c r="F2027" t="str">
        <f>_xlfn.XLOOKUP(A2027,'[1]Tissue Data'!$A:$A,'[1]Tissue Data'!$I:$I)</f>
        <v>gibbosus</v>
      </c>
      <c r="G2027" t="str">
        <f>_xlfn.XLOOKUP(A2027,'[1]Tissue Data'!$A:$A,'[1]Tissue Data'!J:J)</f>
        <v>U</v>
      </c>
      <c r="H2027" t="str">
        <f>_xlfn.XLOOKUP(A2027,'[1]Tissue Data'!$A:$A,'[1]Tissue Data'!K:K)</f>
        <v>Whole Body</v>
      </c>
      <c r="I2027">
        <f>_xlfn.XLOOKUP(A2027,'[1]Tissue Data'!$A:$A,'[1]Tissue Data'!L:L)</f>
        <v>8</v>
      </c>
      <c r="J2027">
        <f>_xlfn.XLOOKUP(A2027,'[1]Tissue Data'!$A:$A,'[1]Tissue Data'!M:M)</f>
        <v>9.35</v>
      </c>
      <c r="K2027" t="s">
        <v>37</v>
      </c>
      <c r="L2027" t="str">
        <f>_xlfn.XLOOKUP(K2027,[2]analyte_order!$B:$B,[2]analyte_order!$C:$C)</f>
        <v>754-91-6</v>
      </c>
      <c r="M2027">
        <f>_xlfn.XLOOKUP(L2027,[2]analyte_order!$C:$C,[2]analyte_order!$E:$E)</f>
        <v>28</v>
      </c>
      <c r="N2027">
        <v>8.27</v>
      </c>
    </row>
    <row r="2028" spans="1:14">
      <c r="A2028" t="s">
        <v>253</v>
      </c>
      <c r="B2028" t="str">
        <f>_xlfn.XLOOKUP(A2028,'[1]Tissue Data'!$A:$A,'[1]Tissue Data'!$C:$C)</f>
        <v>Spill</v>
      </c>
      <c r="C2028" s="2">
        <f>_xlfn.XLOOKUP(A2028,'[1]Tissue Data'!$A:$A,'[1]Tissue Data'!$D:$D)</f>
        <v>44314</v>
      </c>
      <c r="D2028" s="2" t="str">
        <f>_xlfn.XLOOKUP(A2028,'[1]Tissue Data'!$A:$A,'[1]Tissue Data'!$F:$F)</f>
        <v>Pumpkinseed</v>
      </c>
      <c r="E2028" t="str">
        <f>_xlfn.XLOOKUP(A2028,'[1]Tissue Data'!$A:$A,'[1]Tissue Data'!$H:$H)</f>
        <v>Lepomis</v>
      </c>
      <c r="F2028" t="str">
        <f>_xlfn.XLOOKUP(A2028,'[1]Tissue Data'!$A:$A,'[1]Tissue Data'!$I:$I)</f>
        <v>gibbosus</v>
      </c>
      <c r="G2028" t="str">
        <f>_xlfn.XLOOKUP(A2028,'[1]Tissue Data'!$A:$A,'[1]Tissue Data'!J:J)</f>
        <v>U</v>
      </c>
      <c r="H2028" t="str">
        <f>_xlfn.XLOOKUP(A2028,'[1]Tissue Data'!$A:$A,'[1]Tissue Data'!K:K)</f>
        <v>Whole Body</v>
      </c>
      <c r="I2028">
        <f>_xlfn.XLOOKUP(A2028,'[1]Tissue Data'!$A:$A,'[1]Tissue Data'!L:L)</f>
        <v>8</v>
      </c>
      <c r="J2028">
        <f>_xlfn.XLOOKUP(A2028,'[1]Tissue Data'!$A:$A,'[1]Tissue Data'!M:M)</f>
        <v>9.35</v>
      </c>
      <c r="K2028" t="s">
        <v>38</v>
      </c>
      <c r="L2028" t="str">
        <f>_xlfn.XLOOKUP(K2028,[2]analyte_order!$B:$B,[2]analyte_order!$C:$C)</f>
        <v>31506-32-8</v>
      </c>
      <c r="M2028">
        <f>_xlfn.XLOOKUP(L2028,[2]analyte_order!$C:$C,[2]analyte_order!$E:$E)</f>
        <v>30</v>
      </c>
      <c r="N2028">
        <v>5.1999999999999998E-2</v>
      </c>
    </row>
    <row r="2029" spans="1:14">
      <c r="A2029" t="s">
        <v>253</v>
      </c>
      <c r="B2029" t="str">
        <f>_xlfn.XLOOKUP(A2029,'[1]Tissue Data'!$A:$A,'[1]Tissue Data'!$C:$C)</f>
        <v>Spill</v>
      </c>
      <c r="C2029" s="2">
        <f>_xlfn.XLOOKUP(A2029,'[1]Tissue Data'!$A:$A,'[1]Tissue Data'!$D:$D)</f>
        <v>44314</v>
      </c>
      <c r="D2029" s="2" t="str">
        <f>_xlfn.XLOOKUP(A2029,'[1]Tissue Data'!$A:$A,'[1]Tissue Data'!$F:$F)</f>
        <v>Pumpkinseed</v>
      </c>
      <c r="E2029" t="str">
        <f>_xlfn.XLOOKUP(A2029,'[1]Tissue Data'!$A:$A,'[1]Tissue Data'!$H:$H)</f>
        <v>Lepomis</v>
      </c>
      <c r="F2029" t="str">
        <f>_xlfn.XLOOKUP(A2029,'[1]Tissue Data'!$A:$A,'[1]Tissue Data'!$I:$I)</f>
        <v>gibbosus</v>
      </c>
      <c r="G2029" t="str">
        <f>_xlfn.XLOOKUP(A2029,'[1]Tissue Data'!$A:$A,'[1]Tissue Data'!J:J)</f>
        <v>U</v>
      </c>
      <c r="H2029" t="str">
        <f>_xlfn.XLOOKUP(A2029,'[1]Tissue Data'!$A:$A,'[1]Tissue Data'!K:K)</f>
        <v>Whole Body</v>
      </c>
      <c r="I2029">
        <f>_xlfn.XLOOKUP(A2029,'[1]Tissue Data'!$A:$A,'[1]Tissue Data'!L:L)</f>
        <v>8</v>
      </c>
      <c r="J2029">
        <f>_xlfn.XLOOKUP(A2029,'[1]Tissue Data'!$A:$A,'[1]Tissue Data'!M:M)</f>
        <v>9.35</v>
      </c>
      <c r="K2029" t="s">
        <v>39</v>
      </c>
      <c r="L2029" t="str">
        <f>_xlfn.XLOOKUP(K2029,[2]analyte_order!$B:$B,[2]analyte_order!$C:$C)</f>
        <v>4151-50-2</v>
      </c>
      <c r="M2029">
        <f>_xlfn.XLOOKUP(L2029,[2]analyte_order!$C:$C,[2]analyte_order!$E:$E)</f>
        <v>31</v>
      </c>
      <c r="N2029">
        <v>7.9000000000000001E-2</v>
      </c>
    </row>
    <row r="2030" spans="1:14">
      <c r="A2030" t="s">
        <v>253</v>
      </c>
      <c r="B2030" t="str">
        <f>_xlfn.XLOOKUP(A2030,'[1]Tissue Data'!$A:$A,'[1]Tissue Data'!$C:$C)</f>
        <v>Spill</v>
      </c>
      <c r="C2030" s="2">
        <f>_xlfn.XLOOKUP(A2030,'[1]Tissue Data'!$A:$A,'[1]Tissue Data'!$D:$D)</f>
        <v>44314</v>
      </c>
      <c r="D2030" s="2" t="str">
        <f>_xlfn.XLOOKUP(A2030,'[1]Tissue Data'!$A:$A,'[1]Tissue Data'!$F:$F)</f>
        <v>Pumpkinseed</v>
      </c>
      <c r="E2030" t="str">
        <f>_xlfn.XLOOKUP(A2030,'[1]Tissue Data'!$A:$A,'[1]Tissue Data'!$H:$H)</f>
        <v>Lepomis</v>
      </c>
      <c r="F2030" t="str">
        <f>_xlfn.XLOOKUP(A2030,'[1]Tissue Data'!$A:$A,'[1]Tissue Data'!$I:$I)</f>
        <v>gibbosus</v>
      </c>
      <c r="G2030" t="str">
        <f>_xlfn.XLOOKUP(A2030,'[1]Tissue Data'!$A:$A,'[1]Tissue Data'!J:J)</f>
        <v>U</v>
      </c>
      <c r="H2030" t="str">
        <f>_xlfn.XLOOKUP(A2030,'[1]Tissue Data'!$A:$A,'[1]Tissue Data'!K:K)</f>
        <v>Whole Body</v>
      </c>
      <c r="I2030">
        <f>_xlfn.XLOOKUP(A2030,'[1]Tissue Data'!$A:$A,'[1]Tissue Data'!L:L)</f>
        <v>8</v>
      </c>
      <c r="J2030">
        <f>_xlfn.XLOOKUP(A2030,'[1]Tissue Data'!$A:$A,'[1]Tissue Data'!M:M)</f>
        <v>9.35</v>
      </c>
      <c r="K2030" t="s">
        <v>40</v>
      </c>
      <c r="L2030" t="str">
        <f>_xlfn.XLOOKUP(K2030,[2]analyte_order!$B:$B,[2]analyte_order!$C:$C)</f>
        <v>2806-24-8</v>
      </c>
      <c r="M2030">
        <f>_xlfn.XLOOKUP(L2030,[2]analyte_order!$C:$C,[2]analyte_order!$E:$E)</f>
        <v>29</v>
      </c>
      <c r="N2030">
        <v>5.2999999999999999E-2</v>
      </c>
    </row>
    <row r="2031" spans="1:14">
      <c r="A2031" t="s">
        <v>253</v>
      </c>
      <c r="B2031" t="str">
        <f>_xlfn.XLOOKUP(A2031,'[1]Tissue Data'!$A:$A,'[1]Tissue Data'!$C:$C)</f>
        <v>Spill</v>
      </c>
      <c r="C2031" s="2">
        <f>_xlfn.XLOOKUP(A2031,'[1]Tissue Data'!$A:$A,'[1]Tissue Data'!$D:$D)</f>
        <v>44314</v>
      </c>
      <c r="D2031" s="2" t="str">
        <f>_xlfn.XLOOKUP(A2031,'[1]Tissue Data'!$A:$A,'[1]Tissue Data'!$F:$F)</f>
        <v>Pumpkinseed</v>
      </c>
      <c r="E2031" t="str">
        <f>_xlfn.XLOOKUP(A2031,'[1]Tissue Data'!$A:$A,'[1]Tissue Data'!$H:$H)</f>
        <v>Lepomis</v>
      </c>
      <c r="F2031" t="str">
        <f>_xlfn.XLOOKUP(A2031,'[1]Tissue Data'!$A:$A,'[1]Tissue Data'!$I:$I)</f>
        <v>gibbosus</v>
      </c>
      <c r="G2031" t="str">
        <f>_xlfn.XLOOKUP(A2031,'[1]Tissue Data'!$A:$A,'[1]Tissue Data'!J:J)</f>
        <v>U</v>
      </c>
      <c r="H2031" t="str">
        <f>_xlfn.XLOOKUP(A2031,'[1]Tissue Data'!$A:$A,'[1]Tissue Data'!K:K)</f>
        <v>Whole Body</v>
      </c>
      <c r="I2031">
        <f>_xlfn.XLOOKUP(A2031,'[1]Tissue Data'!$A:$A,'[1]Tissue Data'!L:L)</f>
        <v>8</v>
      </c>
      <c r="J2031">
        <f>_xlfn.XLOOKUP(A2031,'[1]Tissue Data'!$A:$A,'[1]Tissue Data'!M:M)</f>
        <v>9.35</v>
      </c>
      <c r="K2031" t="s">
        <v>41</v>
      </c>
      <c r="L2031" t="str">
        <f>_xlfn.XLOOKUP(K2031,[2]analyte_order!$B:$B,[2]analyte_order!$C:$C)</f>
        <v>2355-31-9</v>
      </c>
      <c r="M2031">
        <f>_xlfn.XLOOKUP(L2031,[2]analyte_order!$C:$C,[2]analyte_order!$E:$E)</f>
        <v>26</v>
      </c>
      <c r="N2031">
        <v>0.224</v>
      </c>
    </row>
    <row r="2032" spans="1:14">
      <c r="A2032" t="s">
        <v>253</v>
      </c>
      <c r="B2032" t="str">
        <f>_xlfn.XLOOKUP(A2032,'[1]Tissue Data'!$A:$A,'[1]Tissue Data'!$C:$C)</f>
        <v>Spill</v>
      </c>
      <c r="C2032" s="2">
        <f>_xlfn.XLOOKUP(A2032,'[1]Tissue Data'!$A:$A,'[1]Tissue Data'!$D:$D)</f>
        <v>44314</v>
      </c>
      <c r="D2032" s="2" t="str">
        <f>_xlfn.XLOOKUP(A2032,'[1]Tissue Data'!$A:$A,'[1]Tissue Data'!$F:$F)</f>
        <v>Pumpkinseed</v>
      </c>
      <c r="E2032" t="str">
        <f>_xlfn.XLOOKUP(A2032,'[1]Tissue Data'!$A:$A,'[1]Tissue Data'!$H:$H)</f>
        <v>Lepomis</v>
      </c>
      <c r="F2032" t="str">
        <f>_xlfn.XLOOKUP(A2032,'[1]Tissue Data'!$A:$A,'[1]Tissue Data'!$I:$I)</f>
        <v>gibbosus</v>
      </c>
      <c r="G2032" t="str">
        <f>_xlfn.XLOOKUP(A2032,'[1]Tissue Data'!$A:$A,'[1]Tissue Data'!J:J)</f>
        <v>U</v>
      </c>
      <c r="H2032" t="str">
        <f>_xlfn.XLOOKUP(A2032,'[1]Tissue Data'!$A:$A,'[1]Tissue Data'!K:K)</f>
        <v>Whole Body</v>
      </c>
      <c r="I2032">
        <f>_xlfn.XLOOKUP(A2032,'[1]Tissue Data'!$A:$A,'[1]Tissue Data'!L:L)</f>
        <v>8</v>
      </c>
      <c r="J2032">
        <f>_xlfn.XLOOKUP(A2032,'[1]Tissue Data'!$A:$A,'[1]Tissue Data'!M:M)</f>
        <v>9.35</v>
      </c>
      <c r="K2032" t="s">
        <v>42</v>
      </c>
      <c r="L2032" t="str">
        <f>_xlfn.XLOOKUP(K2032,[2]analyte_order!$B:$B,[2]analyte_order!$C:$C)</f>
        <v>2991-50-6</v>
      </c>
      <c r="M2032">
        <f>_xlfn.XLOOKUP(L2032,[2]analyte_order!$C:$C,[2]analyte_order!$E:$E)</f>
        <v>27</v>
      </c>
      <c r="N2032">
        <v>5.8500000000000003E-2</v>
      </c>
    </row>
    <row r="2033" spans="1:14">
      <c r="A2033" t="s">
        <v>253</v>
      </c>
      <c r="B2033" t="str">
        <f>_xlfn.XLOOKUP(A2033,'[1]Tissue Data'!$A:$A,'[1]Tissue Data'!$C:$C)</f>
        <v>Spill</v>
      </c>
      <c r="C2033" s="2">
        <f>_xlfn.XLOOKUP(A2033,'[1]Tissue Data'!$A:$A,'[1]Tissue Data'!$D:$D)</f>
        <v>44314</v>
      </c>
      <c r="D2033" s="2" t="str">
        <f>_xlfn.XLOOKUP(A2033,'[1]Tissue Data'!$A:$A,'[1]Tissue Data'!$F:$F)</f>
        <v>Pumpkinseed</v>
      </c>
      <c r="E2033" t="str">
        <f>_xlfn.XLOOKUP(A2033,'[1]Tissue Data'!$A:$A,'[1]Tissue Data'!$H:$H)</f>
        <v>Lepomis</v>
      </c>
      <c r="F2033" t="str">
        <f>_xlfn.XLOOKUP(A2033,'[1]Tissue Data'!$A:$A,'[1]Tissue Data'!$I:$I)</f>
        <v>gibbosus</v>
      </c>
      <c r="G2033" t="str">
        <f>_xlfn.XLOOKUP(A2033,'[1]Tissue Data'!$A:$A,'[1]Tissue Data'!J:J)</f>
        <v>U</v>
      </c>
      <c r="H2033" t="str">
        <f>_xlfn.XLOOKUP(A2033,'[1]Tissue Data'!$A:$A,'[1]Tissue Data'!K:K)</f>
        <v>Whole Body</v>
      </c>
      <c r="I2033">
        <f>_xlfn.XLOOKUP(A2033,'[1]Tissue Data'!$A:$A,'[1]Tissue Data'!L:L)</f>
        <v>8</v>
      </c>
      <c r="J2033">
        <f>_xlfn.XLOOKUP(A2033,'[1]Tissue Data'!$A:$A,'[1]Tissue Data'!M:M)</f>
        <v>9.35</v>
      </c>
      <c r="K2033" t="s">
        <v>43</v>
      </c>
      <c r="L2033" t="str">
        <f>_xlfn.XLOOKUP(K2033,[2]analyte_order!$B:$B,[2]analyte_order!$C:$C)</f>
        <v>757124-72-4</v>
      </c>
      <c r="M2033">
        <f>_xlfn.XLOOKUP(L2033,[2]analyte_order!$C:$C,[2]analyte_order!$E:$E)</f>
        <v>22</v>
      </c>
      <c r="N2033">
        <v>5.5500000000000001E-2</v>
      </c>
    </row>
    <row r="2034" spans="1:14">
      <c r="A2034" t="s">
        <v>253</v>
      </c>
      <c r="B2034" t="str">
        <f>_xlfn.XLOOKUP(A2034,'[1]Tissue Data'!$A:$A,'[1]Tissue Data'!$C:$C)</f>
        <v>Spill</v>
      </c>
      <c r="C2034" s="2">
        <f>_xlfn.XLOOKUP(A2034,'[1]Tissue Data'!$A:$A,'[1]Tissue Data'!$D:$D)</f>
        <v>44314</v>
      </c>
      <c r="D2034" s="2" t="str">
        <f>_xlfn.XLOOKUP(A2034,'[1]Tissue Data'!$A:$A,'[1]Tissue Data'!$F:$F)</f>
        <v>Pumpkinseed</v>
      </c>
      <c r="E2034" t="str">
        <f>_xlfn.XLOOKUP(A2034,'[1]Tissue Data'!$A:$A,'[1]Tissue Data'!$H:$H)</f>
        <v>Lepomis</v>
      </c>
      <c r="F2034" t="str">
        <f>_xlfn.XLOOKUP(A2034,'[1]Tissue Data'!$A:$A,'[1]Tissue Data'!$I:$I)</f>
        <v>gibbosus</v>
      </c>
      <c r="G2034" t="str">
        <f>_xlfn.XLOOKUP(A2034,'[1]Tissue Data'!$A:$A,'[1]Tissue Data'!J:J)</f>
        <v>U</v>
      </c>
      <c r="H2034" t="str">
        <f>_xlfn.XLOOKUP(A2034,'[1]Tissue Data'!$A:$A,'[1]Tissue Data'!K:K)</f>
        <v>Whole Body</v>
      </c>
      <c r="I2034">
        <f>_xlfn.XLOOKUP(A2034,'[1]Tissue Data'!$A:$A,'[1]Tissue Data'!L:L)</f>
        <v>8</v>
      </c>
      <c r="J2034">
        <f>_xlfn.XLOOKUP(A2034,'[1]Tissue Data'!$A:$A,'[1]Tissue Data'!M:M)</f>
        <v>9.35</v>
      </c>
      <c r="K2034" t="s">
        <v>44</v>
      </c>
      <c r="L2034" t="str">
        <f>_xlfn.XLOOKUP(K2034,[2]analyte_order!$B:$B,[2]analyte_order!$C:$C)</f>
        <v>27619-97-2</v>
      </c>
      <c r="M2034">
        <f>_xlfn.XLOOKUP(L2034,[2]analyte_order!$C:$C,[2]analyte_order!$E:$E)</f>
        <v>23</v>
      </c>
      <c r="N2034">
        <v>0.13450000000000001</v>
      </c>
    </row>
    <row r="2035" spans="1:14">
      <c r="A2035" t="s">
        <v>253</v>
      </c>
      <c r="B2035" t="str">
        <f>_xlfn.XLOOKUP(A2035,'[1]Tissue Data'!$A:$A,'[1]Tissue Data'!$C:$C)</f>
        <v>Spill</v>
      </c>
      <c r="C2035" s="2">
        <f>_xlfn.XLOOKUP(A2035,'[1]Tissue Data'!$A:$A,'[1]Tissue Data'!$D:$D)</f>
        <v>44314</v>
      </c>
      <c r="D2035" s="2" t="str">
        <f>_xlfn.XLOOKUP(A2035,'[1]Tissue Data'!$A:$A,'[1]Tissue Data'!$F:$F)</f>
        <v>Pumpkinseed</v>
      </c>
      <c r="E2035" t="str">
        <f>_xlfn.XLOOKUP(A2035,'[1]Tissue Data'!$A:$A,'[1]Tissue Data'!$H:$H)</f>
        <v>Lepomis</v>
      </c>
      <c r="F2035" t="str">
        <f>_xlfn.XLOOKUP(A2035,'[1]Tissue Data'!$A:$A,'[1]Tissue Data'!$I:$I)</f>
        <v>gibbosus</v>
      </c>
      <c r="G2035" t="str">
        <f>_xlfn.XLOOKUP(A2035,'[1]Tissue Data'!$A:$A,'[1]Tissue Data'!J:J)</f>
        <v>U</v>
      </c>
      <c r="H2035" t="str">
        <f>_xlfn.XLOOKUP(A2035,'[1]Tissue Data'!$A:$A,'[1]Tissue Data'!K:K)</f>
        <v>Whole Body</v>
      </c>
      <c r="I2035">
        <f>_xlfn.XLOOKUP(A2035,'[1]Tissue Data'!$A:$A,'[1]Tissue Data'!L:L)</f>
        <v>8</v>
      </c>
      <c r="J2035">
        <f>_xlfn.XLOOKUP(A2035,'[1]Tissue Data'!$A:$A,'[1]Tissue Data'!M:M)</f>
        <v>9.35</v>
      </c>
      <c r="K2035" t="s">
        <v>45</v>
      </c>
      <c r="L2035" t="str">
        <f>_xlfn.XLOOKUP(K2035,[2]analyte_order!$B:$B,[2]analyte_order!$C:$C)</f>
        <v>39108-34-4</v>
      </c>
      <c r="M2035">
        <f>_xlfn.XLOOKUP(L2035,[2]analyte_order!$C:$C,[2]analyte_order!$E:$E)</f>
        <v>24</v>
      </c>
      <c r="N2035">
        <v>0.66</v>
      </c>
    </row>
    <row r="2036" spans="1:14">
      <c r="A2036" t="s">
        <v>253</v>
      </c>
      <c r="B2036" t="str">
        <f>_xlfn.XLOOKUP(A2036,'[1]Tissue Data'!$A:$A,'[1]Tissue Data'!$C:$C)</f>
        <v>Spill</v>
      </c>
      <c r="C2036" s="2">
        <f>_xlfn.XLOOKUP(A2036,'[1]Tissue Data'!$A:$A,'[1]Tissue Data'!$D:$D)</f>
        <v>44314</v>
      </c>
      <c r="D2036" s="2" t="str">
        <f>_xlfn.XLOOKUP(A2036,'[1]Tissue Data'!$A:$A,'[1]Tissue Data'!$F:$F)</f>
        <v>Pumpkinseed</v>
      </c>
      <c r="E2036" t="str">
        <f>_xlfn.XLOOKUP(A2036,'[1]Tissue Data'!$A:$A,'[1]Tissue Data'!$H:$H)</f>
        <v>Lepomis</v>
      </c>
      <c r="F2036" t="str">
        <f>_xlfn.XLOOKUP(A2036,'[1]Tissue Data'!$A:$A,'[1]Tissue Data'!$I:$I)</f>
        <v>gibbosus</v>
      </c>
      <c r="G2036" t="str">
        <f>_xlfn.XLOOKUP(A2036,'[1]Tissue Data'!$A:$A,'[1]Tissue Data'!J:J)</f>
        <v>U</v>
      </c>
      <c r="H2036" t="str">
        <f>_xlfn.XLOOKUP(A2036,'[1]Tissue Data'!$A:$A,'[1]Tissue Data'!K:K)</f>
        <v>Whole Body</v>
      </c>
      <c r="I2036">
        <f>_xlfn.XLOOKUP(A2036,'[1]Tissue Data'!$A:$A,'[1]Tissue Data'!L:L)</f>
        <v>8</v>
      </c>
      <c r="J2036">
        <f>_xlfn.XLOOKUP(A2036,'[1]Tissue Data'!$A:$A,'[1]Tissue Data'!M:M)</f>
        <v>9.35</v>
      </c>
      <c r="K2036" t="s">
        <v>46</v>
      </c>
      <c r="L2036" t="str">
        <f>_xlfn.XLOOKUP(K2036,[2]analyte_order!$B:$B,[2]analyte_order!$C:$C)</f>
        <v>120226-60-0</v>
      </c>
      <c r="M2036">
        <f>_xlfn.XLOOKUP(L2036,[2]analyte_order!$C:$C,[2]analyte_order!$E:$E)</f>
        <v>25</v>
      </c>
      <c r="N2036">
        <v>7.6499999999999999E-2</v>
      </c>
    </row>
    <row r="2037" spans="1:14">
      <c r="A2037" t="s">
        <v>253</v>
      </c>
      <c r="B2037" t="str">
        <f>_xlfn.XLOOKUP(A2037,'[1]Tissue Data'!$A:$A,'[1]Tissue Data'!$C:$C)</f>
        <v>Spill</v>
      </c>
      <c r="C2037" s="2">
        <f>_xlfn.XLOOKUP(A2037,'[1]Tissue Data'!$A:$A,'[1]Tissue Data'!$D:$D)</f>
        <v>44314</v>
      </c>
      <c r="D2037" s="2" t="str">
        <f>_xlfn.XLOOKUP(A2037,'[1]Tissue Data'!$A:$A,'[1]Tissue Data'!$F:$F)</f>
        <v>Pumpkinseed</v>
      </c>
      <c r="E2037" t="str">
        <f>_xlfn.XLOOKUP(A2037,'[1]Tissue Data'!$A:$A,'[1]Tissue Data'!$H:$H)</f>
        <v>Lepomis</v>
      </c>
      <c r="F2037" t="str">
        <f>_xlfn.XLOOKUP(A2037,'[1]Tissue Data'!$A:$A,'[1]Tissue Data'!$I:$I)</f>
        <v>gibbosus</v>
      </c>
      <c r="G2037" t="str">
        <f>_xlfn.XLOOKUP(A2037,'[1]Tissue Data'!$A:$A,'[1]Tissue Data'!J:J)</f>
        <v>U</v>
      </c>
      <c r="H2037" t="str">
        <f>_xlfn.XLOOKUP(A2037,'[1]Tissue Data'!$A:$A,'[1]Tissue Data'!K:K)</f>
        <v>Whole Body</v>
      </c>
      <c r="I2037">
        <f>_xlfn.XLOOKUP(A2037,'[1]Tissue Data'!$A:$A,'[1]Tissue Data'!L:L)</f>
        <v>8</v>
      </c>
      <c r="J2037">
        <f>_xlfn.XLOOKUP(A2037,'[1]Tissue Data'!$A:$A,'[1]Tissue Data'!M:M)</f>
        <v>9.35</v>
      </c>
      <c r="K2037" t="s">
        <v>47</v>
      </c>
      <c r="L2037" t="str">
        <f>_xlfn.XLOOKUP(K2037,[2]analyte_order!$B:$B,[2]analyte_order!$C:$C)</f>
        <v>356-02-5</v>
      </c>
      <c r="M2037">
        <f>_xlfn.XLOOKUP(L2037,[2]analyte_order!$C:$C,[2]analyte_order!$E:$E)</f>
        <v>38</v>
      </c>
      <c r="N2037">
        <v>7.8E-2</v>
      </c>
    </row>
    <row r="2038" spans="1:14">
      <c r="A2038" t="s">
        <v>253</v>
      </c>
      <c r="B2038" t="str">
        <f>_xlfn.XLOOKUP(A2038,'[1]Tissue Data'!$A:$A,'[1]Tissue Data'!$C:$C)</f>
        <v>Spill</v>
      </c>
      <c r="C2038" s="2">
        <f>_xlfn.XLOOKUP(A2038,'[1]Tissue Data'!$A:$A,'[1]Tissue Data'!$D:$D)</f>
        <v>44314</v>
      </c>
      <c r="D2038" s="2" t="str">
        <f>_xlfn.XLOOKUP(A2038,'[1]Tissue Data'!$A:$A,'[1]Tissue Data'!$F:$F)</f>
        <v>Pumpkinseed</v>
      </c>
      <c r="E2038" t="str">
        <f>_xlfn.XLOOKUP(A2038,'[1]Tissue Data'!$A:$A,'[1]Tissue Data'!$H:$H)</f>
        <v>Lepomis</v>
      </c>
      <c r="F2038" t="str">
        <f>_xlfn.XLOOKUP(A2038,'[1]Tissue Data'!$A:$A,'[1]Tissue Data'!$I:$I)</f>
        <v>gibbosus</v>
      </c>
      <c r="G2038" t="str">
        <f>_xlfn.XLOOKUP(A2038,'[1]Tissue Data'!$A:$A,'[1]Tissue Data'!J:J)</f>
        <v>U</v>
      </c>
      <c r="H2038" t="str">
        <f>_xlfn.XLOOKUP(A2038,'[1]Tissue Data'!$A:$A,'[1]Tissue Data'!K:K)</f>
        <v>Whole Body</v>
      </c>
      <c r="I2038">
        <f>_xlfn.XLOOKUP(A2038,'[1]Tissue Data'!$A:$A,'[1]Tissue Data'!L:L)</f>
        <v>8</v>
      </c>
      <c r="J2038">
        <f>_xlfn.XLOOKUP(A2038,'[1]Tissue Data'!$A:$A,'[1]Tissue Data'!M:M)</f>
        <v>9.35</v>
      </c>
      <c r="K2038" t="s">
        <v>48</v>
      </c>
      <c r="L2038" t="str">
        <f>_xlfn.XLOOKUP(K2038,[2]analyte_order!$B:$B,[2]analyte_order!$C:$C)</f>
        <v>914637-49-3</v>
      </c>
      <c r="M2038">
        <f>_xlfn.XLOOKUP(L2038,[2]analyte_order!$C:$C,[2]analyte_order!$E:$E)</f>
        <v>39</v>
      </c>
      <c r="N2038">
        <v>6.14</v>
      </c>
    </row>
    <row r="2039" spans="1:14">
      <c r="A2039" t="s">
        <v>253</v>
      </c>
      <c r="B2039" t="str">
        <f>_xlfn.XLOOKUP(A2039,'[1]Tissue Data'!$A:$A,'[1]Tissue Data'!$C:$C)</f>
        <v>Spill</v>
      </c>
      <c r="C2039" s="2">
        <f>_xlfn.XLOOKUP(A2039,'[1]Tissue Data'!$A:$A,'[1]Tissue Data'!$D:$D)</f>
        <v>44314</v>
      </c>
      <c r="D2039" s="2" t="str">
        <f>_xlfn.XLOOKUP(A2039,'[1]Tissue Data'!$A:$A,'[1]Tissue Data'!$F:$F)</f>
        <v>Pumpkinseed</v>
      </c>
      <c r="E2039" t="str">
        <f>_xlfn.XLOOKUP(A2039,'[1]Tissue Data'!$A:$A,'[1]Tissue Data'!$H:$H)</f>
        <v>Lepomis</v>
      </c>
      <c r="F2039" t="str">
        <f>_xlfn.XLOOKUP(A2039,'[1]Tissue Data'!$A:$A,'[1]Tissue Data'!$I:$I)</f>
        <v>gibbosus</v>
      </c>
      <c r="G2039" t="str">
        <f>_xlfn.XLOOKUP(A2039,'[1]Tissue Data'!$A:$A,'[1]Tissue Data'!J:J)</f>
        <v>U</v>
      </c>
      <c r="H2039" t="str">
        <f>_xlfn.XLOOKUP(A2039,'[1]Tissue Data'!$A:$A,'[1]Tissue Data'!K:K)</f>
        <v>Whole Body</v>
      </c>
      <c r="I2039">
        <f>_xlfn.XLOOKUP(A2039,'[1]Tissue Data'!$A:$A,'[1]Tissue Data'!L:L)</f>
        <v>8</v>
      </c>
      <c r="J2039">
        <f>_xlfn.XLOOKUP(A2039,'[1]Tissue Data'!$A:$A,'[1]Tissue Data'!M:M)</f>
        <v>9.35</v>
      </c>
      <c r="K2039" t="s">
        <v>49</v>
      </c>
      <c r="L2039" t="str">
        <f>_xlfn.XLOOKUP(K2039,[2]analyte_order!$B:$B,[2]analyte_order!$C:$C)</f>
        <v>812-70-4</v>
      </c>
      <c r="M2039">
        <f>_xlfn.XLOOKUP(L2039,[2]analyte_order!$C:$C,[2]analyte_order!$E:$E)</f>
        <v>40</v>
      </c>
      <c r="N2039">
        <v>13.7</v>
      </c>
    </row>
    <row r="2040" spans="1:14">
      <c r="A2040" t="s">
        <v>253</v>
      </c>
      <c r="B2040" t="str">
        <f>_xlfn.XLOOKUP(A2040,'[1]Tissue Data'!$A:$A,'[1]Tissue Data'!$C:$C)</f>
        <v>Spill</v>
      </c>
      <c r="C2040" s="2">
        <f>_xlfn.XLOOKUP(A2040,'[1]Tissue Data'!$A:$A,'[1]Tissue Data'!$D:$D)</f>
        <v>44314</v>
      </c>
      <c r="D2040" s="2" t="str">
        <f>_xlfn.XLOOKUP(A2040,'[1]Tissue Data'!$A:$A,'[1]Tissue Data'!$F:$F)</f>
        <v>Pumpkinseed</v>
      </c>
      <c r="E2040" t="str">
        <f>_xlfn.XLOOKUP(A2040,'[1]Tissue Data'!$A:$A,'[1]Tissue Data'!$H:$H)</f>
        <v>Lepomis</v>
      </c>
      <c r="F2040" t="str">
        <f>_xlfn.XLOOKUP(A2040,'[1]Tissue Data'!$A:$A,'[1]Tissue Data'!$I:$I)</f>
        <v>gibbosus</v>
      </c>
      <c r="G2040" t="str">
        <f>_xlfn.XLOOKUP(A2040,'[1]Tissue Data'!$A:$A,'[1]Tissue Data'!J:J)</f>
        <v>U</v>
      </c>
      <c r="H2040" t="str">
        <f>_xlfn.XLOOKUP(A2040,'[1]Tissue Data'!$A:$A,'[1]Tissue Data'!K:K)</f>
        <v>Whole Body</v>
      </c>
      <c r="I2040">
        <f>_xlfn.XLOOKUP(A2040,'[1]Tissue Data'!$A:$A,'[1]Tissue Data'!L:L)</f>
        <v>8</v>
      </c>
      <c r="J2040">
        <f>_xlfn.XLOOKUP(A2040,'[1]Tissue Data'!$A:$A,'[1]Tissue Data'!M:M)</f>
        <v>9.35</v>
      </c>
      <c r="K2040" t="s">
        <v>50</v>
      </c>
      <c r="L2040" t="str">
        <f>_xlfn.XLOOKUP(K2040,[2]analyte_order!$B:$B,[2]analyte_order!$C:$C)</f>
        <v>53826-12-3</v>
      </c>
      <c r="M2040">
        <f>_xlfn.XLOOKUP(L2040,[2]analyte_order!$C:$C,[2]analyte_order!$E:$E)</f>
        <v>41</v>
      </c>
      <c r="N2040">
        <v>0.14299999999999999</v>
      </c>
    </row>
    <row r="2041" spans="1:14">
      <c r="A2041" t="s">
        <v>253</v>
      </c>
      <c r="B2041" t="str">
        <f>_xlfn.XLOOKUP(A2041,'[1]Tissue Data'!$A:$A,'[1]Tissue Data'!$C:$C)</f>
        <v>Spill</v>
      </c>
      <c r="C2041" s="2">
        <f>_xlfn.XLOOKUP(A2041,'[1]Tissue Data'!$A:$A,'[1]Tissue Data'!$D:$D)</f>
        <v>44314</v>
      </c>
      <c r="D2041" s="2" t="str">
        <f>_xlfn.XLOOKUP(A2041,'[1]Tissue Data'!$A:$A,'[1]Tissue Data'!$F:$F)</f>
        <v>Pumpkinseed</v>
      </c>
      <c r="E2041" t="str">
        <f>_xlfn.XLOOKUP(A2041,'[1]Tissue Data'!$A:$A,'[1]Tissue Data'!$H:$H)</f>
        <v>Lepomis</v>
      </c>
      <c r="F2041" t="str">
        <f>_xlfn.XLOOKUP(A2041,'[1]Tissue Data'!$A:$A,'[1]Tissue Data'!$I:$I)</f>
        <v>gibbosus</v>
      </c>
      <c r="G2041" t="str">
        <f>_xlfn.XLOOKUP(A2041,'[1]Tissue Data'!$A:$A,'[1]Tissue Data'!J:J)</f>
        <v>U</v>
      </c>
      <c r="H2041" t="str">
        <f>_xlfn.XLOOKUP(A2041,'[1]Tissue Data'!$A:$A,'[1]Tissue Data'!K:K)</f>
        <v>Whole Body</v>
      </c>
      <c r="I2041">
        <f>_xlfn.XLOOKUP(A2041,'[1]Tissue Data'!$A:$A,'[1]Tissue Data'!L:L)</f>
        <v>8</v>
      </c>
      <c r="J2041">
        <f>_xlfn.XLOOKUP(A2041,'[1]Tissue Data'!$A:$A,'[1]Tissue Data'!M:M)</f>
        <v>9.35</v>
      </c>
      <c r="K2041" t="s">
        <v>51</v>
      </c>
      <c r="L2041" t="str">
        <f>_xlfn.XLOOKUP(K2041,[2]analyte_order!$B:$B,[2]analyte_order!$C:$C)</f>
        <v>27854-31-5</v>
      </c>
      <c r="M2041">
        <f>_xlfn.XLOOKUP(L2041,[2]analyte_order!$C:$C,[2]analyte_order!$E:$E)</f>
        <v>42</v>
      </c>
      <c r="N2041">
        <v>2.6950000000000002E-2</v>
      </c>
    </row>
    <row r="2042" spans="1:14">
      <c r="A2042" t="s">
        <v>253</v>
      </c>
      <c r="B2042" t="str">
        <f>_xlfn.XLOOKUP(A2042,'[1]Tissue Data'!$A:$A,'[1]Tissue Data'!$C:$C)</f>
        <v>Spill</v>
      </c>
      <c r="C2042" s="2">
        <f>_xlfn.XLOOKUP(A2042,'[1]Tissue Data'!$A:$A,'[1]Tissue Data'!$D:$D)</f>
        <v>44314</v>
      </c>
      <c r="D2042" s="2" t="str">
        <f>_xlfn.XLOOKUP(A2042,'[1]Tissue Data'!$A:$A,'[1]Tissue Data'!$F:$F)</f>
        <v>Pumpkinseed</v>
      </c>
      <c r="E2042" t="str">
        <f>_xlfn.XLOOKUP(A2042,'[1]Tissue Data'!$A:$A,'[1]Tissue Data'!$H:$H)</f>
        <v>Lepomis</v>
      </c>
      <c r="F2042" t="str">
        <f>_xlfn.XLOOKUP(A2042,'[1]Tissue Data'!$A:$A,'[1]Tissue Data'!$I:$I)</f>
        <v>gibbosus</v>
      </c>
      <c r="G2042" t="str">
        <f>_xlfn.XLOOKUP(A2042,'[1]Tissue Data'!$A:$A,'[1]Tissue Data'!J:J)</f>
        <v>U</v>
      </c>
      <c r="H2042" t="str">
        <f>_xlfn.XLOOKUP(A2042,'[1]Tissue Data'!$A:$A,'[1]Tissue Data'!K:K)</f>
        <v>Whole Body</v>
      </c>
      <c r="I2042">
        <f>_xlfn.XLOOKUP(A2042,'[1]Tissue Data'!$A:$A,'[1]Tissue Data'!L:L)</f>
        <v>8</v>
      </c>
      <c r="J2042">
        <f>_xlfn.XLOOKUP(A2042,'[1]Tissue Data'!$A:$A,'[1]Tissue Data'!M:M)</f>
        <v>9.35</v>
      </c>
      <c r="K2042" t="s">
        <v>52</v>
      </c>
      <c r="L2042" t="str">
        <f>_xlfn.XLOOKUP(K2042,[2]analyte_order!$B:$B,[2]analyte_order!$C:$C)</f>
        <v>53826-13-4</v>
      </c>
      <c r="M2042">
        <f>_xlfn.XLOOKUP(L2042,[2]analyte_order!$C:$C,[2]analyte_order!$E:$E)</f>
        <v>43</v>
      </c>
      <c r="N2042">
        <v>0.10100000000000001</v>
      </c>
    </row>
    <row r="2043" spans="1:14">
      <c r="A2043" t="s">
        <v>253</v>
      </c>
      <c r="B2043" t="str">
        <f>_xlfn.XLOOKUP(A2043,'[1]Tissue Data'!$A:$A,'[1]Tissue Data'!$C:$C)</f>
        <v>Spill</v>
      </c>
      <c r="C2043" s="2">
        <f>_xlfn.XLOOKUP(A2043,'[1]Tissue Data'!$A:$A,'[1]Tissue Data'!$D:$D)</f>
        <v>44314</v>
      </c>
      <c r="D2043" s="2" t="str">
        <f>_xlfn.XLOOKUP(A2043,'[1]Tissue Data'!$A:$A,'[1]Tissue Data'!$F:$F)</f>
        <v>Pumpkinseed</v>
      </c>
      <c r="E2043" t="str">
        <f>_xlfn.XLOOKUP(A2043,'[1]Tissue Data'!$A:$A,'[1]Tissue Data'!$H:$H)</f>
        <v>Lepomis</v>
      </c>
      <c r="F2043" t="str">
        <f>_xlfn.XLOOKUP(A2043,'[1]Tissue Data'!$A:$A,'[1]Tissue Data'!$I:$I)</f>
        <v>gibbosus</v>
      </c>
      <c r="G2043" t="str">
        <f>_xlfn.XLOOKUP(A2043,'[1]Tissue Data'!$A:$A,'[1]Tissue Data'!J:J)</f>
        <v>U</v>
      </c>
      <c r="H2043" t="str">
        <f>_xlfn.XLOOKUP(A2043,'[1]Tissue Data'!$A:$A,'[1]Tissue Data'!K:K)</f>
        <v>Whole Body</v>
      </c>
      <c r="I2043">
        <f>_xlfn.XLOOKUP(A2043,'[1]Tissue Data'!$A:$A,'[1]Tissue Data'!L:L)</f>
        <v>8</v>
      </c>
      <c r="J2043">
        <f>_xlfn.XLOOKUP(A2043,'[1]Tissue Data'!$A:$A,'[1]Tissue Data'!M:M)</f>
        <v>9.35</v>
      </c>
      <c r="K2043" t="s">
        <v>53</v>
      </c>
      <c r="L2043" t="str">
        <f>_xlfn.XLOOKUP(K2043,[2]analyte_order!$B:$B,[2]analyte_order!$C:$C)</f>
        <v>161094-75-3</v>
      </c>
      <c r="M2043">
        <f>_xlfn.XLOOKUP(L2043,[2]analyte_order!$C:$C,[2]analyte_order!$E:$E)</f>
        <v>44</v>
      </c>
      <c r="N2043">
        <v>5.2999999999999999E-2</v>
      </c>
    </row>
    <row r="2044" spans="1:14">
      <c r="A2044" t="s">
        <v>253</v>
      </c>
      <c r="B2044" t="str">
        <f>_xlfn.XLOOKUP(A2044,'[1]Tissue Data'!$A:$A,'[1]Tissue Data'!$C:$C)</f>
        <v>Spill</v>
      </c>
      <c r="C2044" s="2">
        <f>_xlfn.XLOOKUP(A2044,'[1]Tissue Data'!$A:$A,'[1]Tissue Data'!$D:$D)</f>
        <v>44314</v>
      </c>
      <c r="D2044" s="2" t="str">
        <f>_xlfn.XLOOKUP(A2044,'[1]Tissue Data'!$A:$A,'[1]Tissue Data'!$F:$F)</f>
        <v>Pumpkinseed</v>
      </c>
      <c r="E2044" t="str">
        <f>_xlfn.XLOOKUP(A2044,'[1]Tissue Data'!$A:$A,'[1]Tissue Data'!$H:$H)</f>
        <v>Lepomis</v>
      </c>
      <c r="F2044" t="str">
        <f>_xlfn.XLOOKUP(A2044,'[1]Tissue Data'!$A:$A,'[1]Tissue Data'!$I:$I)</f>
        <v>gibbosus</v>
      </c>
      <c r="G2044" t="str">
        <f>_xlfn.XLOOKUP(A2044,'[1]Tissue Data'!$A:$A,'[1]Tissue Data'!J:J)</f>
        <v>U</v>
      </c>
      <c r="H2044" t="str">
        <f>_xlfn.XLOOKUP(A2044,'[1]Tissue Data'!$A:$A,'[1]Tissue Data'!K:K)</f>
        <v>Whole Body</v>
      </c>
      <c r="I2044">
        <f>_xlfn.XLOOKUP(A2044,'[1]Tissue Data'!$A:$A,'[1]Tissue Data'!L:L)</f>
        <v>8</v>
      </c>
      <c r="J2044">
        <f>_xlfn.XLOOKUP(A2044,'[1]Tissue Data'!$A:$A,'[1]Tissue Data'!M:M)</f>
        <v>9.35</v>
      </c>
      <c r="K2044" t="s">
        <v>54</v>
      </c>
      <c r="L2044" t="str">
        <f>_xlfn.XLOOKUP(K2044,[2]analyte_order!$B:$B,[2]analyte_order!$C:$C)</f>
        <v>70887-84-2</v>
      </c>
      <c r="M2044">
        <f>_xlfn.XLOOKUP(L2044,[2]analyte_order!$C:$C,[2]analyte_order!$E:$E)</f>
        <v>45</v>
      </c>
      <c r="N2044">
        <v>4.0750000000000001E-2</v>
      </c>
    </row>
    <row r="2045" spans="1:14">
      <c r="A2045" t="s">
        <v>253</v>
      </c>
      <c r="B2045" t="str">
        <f>_xlfn.XLOOKUP(A2045,'[1]Tissue Data'!$A:$A,'[1]Tissue Data'!$C:$C)</f>
        <v>Spill</v>
      </c>
      <c r="C2045" s="2">
        <f>_xlfn.XLOOKUP(A2045,'[1]Tissue Data'!$A:$A,'[1]Tissue Data'!$D:$D)</f>
        <v>44314</v>
      </c>
      <c r="D2045" s="2" t="str">
        <f>_xlfn.XLOOKUP(A2045,'[1]Tissue Data'!$A:$A,'[1]Tissue Data'!$F:$F)</f>
        <v>Pumpkinseed</v>
      </c>
      <c r="E2045" t="str">
        <f>_xlfn.XLOOKUP(A2045,'[1]Tissue Data'!$A:$A,'[1]Tissue Data'!$H:$H)</f>
        <v>Lepomis</v>
      </c>
      <c r="F2045" t="str">
        <f>_xlfn.XLOOKUP(A2045,'[1]Tissue Data'!$A:$A,'[1]Tissue Data'!$I:$I)</f>
        <v>gibbosus</v>
      </c>
      <c r="G2045" t="str">
        <f>_xlfn.XLOOKUP(A2045,'[1]Tissue Data'!$A:$A,'[1]Tissue Data'!J:J)</f>
        <v>U</v>
      </c>
      <c r="H2045" t="str">
        <f>_xlfn.XLOOKUP(A2045,'[1]Tissue Data'!$A:$A,'[1]Tissue Data'!K:K)</f>
        <v>Whole Body</v>
      </c>
      <c r="I2045">
        <f>_xlfn.XLOOKUP(A2045,'[1]Tissue Data'!$A:$A,'[1]Tissue Data'!L:L)</f>
        <v>8</v>
      </c>
      <c r="J2045">
        <f>_xlfn.XLOOKUP(A2045,'[1]Tissue Data'!$A:$A,'[1]Tissue Data'!M:M)</f>
        <v>9.35</v>
      </c>
      <c r="K2045" t="s">
        <v>55</v>
      </c>
      <c r="L2045" t="str">
        <f>_xlfn.XLOOKUP(K2045,[2]analyte_order!$B:$B,[2]analyte_order!$C:$C)</f>
        <v>919005-14-4</v>
      </c>
      <c r="M2045">
        <f>_xlfn.XLOOKUP(L2045,[2]analyte_order!$C:$C,[2]analyte_order!$E:$E)</f>
        <v>35</v>
      </c>
      <c r="N2045">
        <v>6.7500000000000004E-2</v>
      </c>
    </row>
    <row r="2046" spans="1:14">
      <c r="A2046" t="s">
        <v>253</v>
      </c>
      <c r="B2046" t="str">
        <f>_xlfn.XLOOKUP(A2046,'[1]Tissue Data'!$A:$A,'[1]Tissue Data'!$C:$C)</f>
        <v>Spill</v>
      </c>
      <c r="C2046" s="2">
        <f>_xlfn.XLOOKUP(A2046,'[1]Tissue Data'!$A:$A,'[1]Tissue Data'!$D:$D)</f>
        <v>44314</v>
      </c>
      <c r="D2046" s="2" t="str">
        <f>_xlfn.XLOOKUP(A2046,'[1]Tissue Data'!$A:$A,'[1]Tissue Data'!$F:$F)</f>
        <v>Pumpkinseed</v>
      </c>
      <c r="E2046" t="str">
        <f>_xlfn.XLOOKUP(A2046,'[1]Tissue Data'!$A:$A,'[1]Tissue Data'!$H:$H)</f>
        <v>Lepomis</v>
      </c>
      <c r="F2046" t="str">
        <f>_xlfn.XLOOKUP(A2046,'[1]Tissue Data'!$A:$A,'[1]Tissue Data'!$I:$I)</f>
        <v>gibbosus</v>
      </c>
      <c r="G2046" t="str">
        <f>_xlfn.XLOOKUP(A2046,'[1]Tissue Data'!$A:$A,'[1]Tissue Data'!J:J)</f>
        <v>U</v>
      </c>
      <c r="H2046" t="str">
        <f>_xlfn.XLOOKUP(A2046,'[1]Tissue Data'!$A:$A,'[1]Tissue Data'!K:K)</f>
        <v>Whole Body</v>
      </c>
      <c r="I2046">
        <f>_xlfn.XLOOKUP(A2046,'[1]Tissue Data'!$A:$A,'[1]Tissue Data'!L:L)</f>
        <v>8</v>
      </c>
      <c r="J2046">
        <f>_xlfn.XLOOKUP(A2046,'[1]Tissue Data'!$A:$A,'[1]Tissue Data'!M:M)</f>
        <v>9.35</v>
      </c>
      <c r="K2046" t="s">
        <v>56</v>
      </c>
      <c r="L2046" t="str">
        <f>_xlfn.XLOOKUP(K2046,[2]analyte_order!$B:$B,[2]analyte_order!$C:$C)</f>
        <v>756426-58-1</v>
      </c>
      <c r="M2046">
        <f>_xlfn.XLOOKUP(L2046,[2]analyte_order!$C:$C,[2]analyte_order!$E:$E)</f>
        <v>36</v>
      </c>
      <c r="N2046">
        <v>4.6800000000000001E-2</v>
      </c>
    </row>
    <row r="2047" spans="1:14">
      <c r="A2047" t="s">
        <v>253</v>
      </c>
      <c r="B2047" t="str">
        <f>_xlfn.XLOOKUP(A2047,'[1]Tissue Data'!$A:$A,'[1]Tissue Data'!$C:$C)</f>
        <v>Spill</v>
      </c>
      <c r="C2047" s="2">
        <f>_xlfn.XLOOKUP(A2047,'[1]Tissue Data'!$A:$A,'[1]Tissue Data'!$D:$D)</f>
        <v>44314</v>
      </c>
      <c r="D2047" s="2" t="str">
        <f>_xlfn.XLOOKUP(A2047,'[1]Tissue Data'!$A:$A,'[1]Tissue Data'!$F:$F)</f>
        <v>Pumpkinseed</v>
      </c>
      <c r="E2047" t="str">
        <f>_xlfn.XLOOKUP(A2047,'[1]Tissue Data'!$A:$A,'[1]Tissue Data'!$H:$H)</f>
        <v>Lepomis</v>
      </c>
      <c r="F2047" t="str">
        <f>_xlfn.XLOOKUP(A2047,'[1]Tissue Data'!$A:$A,'[1]Tissue Data'!$I:$I)</f>
        <v>gibbosus</v>
      </c>
      <c r="G2047" t="str">
        <f>_xlfn.XLOOKUP(A2047,'[1]Tissue Data'!$A:$A,'[1]Tissue Data'!J:J)</f>
        <v>U</v>
      </c>
      <c r="H2047" t="str">
        <f>_xlfn.XLOOKUP(A2047,'[1]Tissue Data'!$A:$A,'[1]Tissue Data'!K:K)</f>
        <v>Whole Body</v>
      </c>
      <c r="I2047">
        <f>_xlfn.XLOOKUP(A2047,'[1]Tissue Data'!$A:$A,'[1]Tissue Data'!L:L)</f>
        <v>8</v>
      </c>
      <c r="J2047">
        <f>_xlfn.XLOOKUP(A2047,'[1]Tissue Data'!$A:$A,'[1]Tissue Data'!M:M)</f>
        <v>9.35</v>
      </c>
      <c r="K2047" t="s">
        <v>57</v>
      </c>
      <c r="L2047" t="str">
        <f>_xlfn.XLOOKUP(K2047,[2]analyte_order!$B:$B,[2]analyte_order!$C:$C)</f>
        <v>763051-92-9</v>
      </c>
      <c r="M2047">
        <f>_xlfn.XLOOKUP(L2047,[2]analyte_order!$C:$C,[2]analyte_order!$E:$E)</f>
        <v>37</v>
      </c>
      <c r="N2047">
        <v>5.2999999999999999E-2</v>
      </c>
    </row>
    <row r="2048" spans="1:14">
      <c r="A2048" t="s">
        <v>253</v>
      </c>
      <c r="B2048" t="str">
        <f>_xlfn.XLOOKUP(A2048,'[1]Tissue Data'!$A:$A,'[1]Tissue Data'!$C:$C)</f>
        <v>Spill</v>
      </c>
      <c r="C2048" s="2">
        <f>_xlfn.XLOOKUP(A2048,'[1]Tissue Data'!$A:$A,'[1]Tissue Data'!$D:$D)</f>
        <v>44314</v>
      </c>
      <c r="D2048" s="2" t="str">
        <f>_xlfn.XLOOKUP(A2048,'[1]Tissue Data'!$A:$A,'[1]Tissue Data'!$F:$F)</f>
        <v>Pumpkinseed</v>
      </c>
      <c r="E2048" t="str">
        <f>_xlfn.XLOOKUP(A2048,'[1]Tissue Data'!$A:$A,'[1]Tissue Data'!$H:$H)</f>
        <v>Lepomis</v>
      </c>
      <c r="F2048" t="str">
        <f>_xlfn.XLOOKUP(A2048,'[1]Tissue Data'!$A:$A,'[1]Tissue Data'!$I:$I)</f>
        <v>gibbosus</v>
      </c>
      <c r="G2048" t="str">
        <f>_xlfn.XLOOKUP(A2048,'[1]Tissue Data'!$A:$A,'[1]Tissue Data'!J:J)</f>
        <v>U</v>
      </c>
      <c r="H2048" t="str">
        <f>_xlfn.XLOOKUP(A2048,'[1]Tissue Data'!$A:$A,'[1]Tissue Data'!K:K)</f>
        <v>Whole Body</v>
      </c>
      <c r="I2048">
        <f>_xlfn.XLOOKUP(A2048,'[1]Tissue Data'!$A:$A,'[1]Tissue Data'!L:L)</f>
        <v>8</v>
      </c>
      <c r="J2048">
        <f>_xlfn.XLOOKUP(A2048,'[1]Tissue Data'!$A:$A,'[1]Tissue Data'!M:M)</f>
        <v>9.35</v>
      </c>
      <c r="K2048" t="s">
        <v>58</v>
      </c>
      <c r="L2048" t="str">
        <f>_xlfn.XLOOKUP(K2048,[2]analyte_order!$B:$B,[2]analyte_order!$C:$C)</f>
        <v>13252-13-6</v>
      </c>
      <c r="M2048">
        <f>_xlfn.XLOOKUP(L2048,[2]analyte_order!$C:$C,[2]analyte_order!$E:$E)</f>
        <v>34</v>
      </c>
      <c r="N2048">
        <v>9.7000000000000003E-2</v>
      </c>
    </row>
    <row r="2049" spans="1:14">
      <c r="A2049" t="s">
        <v>253</v>
      </c>
      <c r="B2049" t="str">
        <f>_xlfn.XLOOKUP(A2049,'[1]Tissue Data'!$A:$A,'[1]Tissue Data'!$C:$C)</f>
        <v>Spill</v>
      </c>
      <c r="C2049" s="2">
        <f>_xlfn.XLOOKUP(A2049,'[1]Tissue Data'!$A:$A,'[1]Tissue Data'!$D:$D)</f>
        <v>44314</v>
      </c>
      <c r="D2049" s="2" t="str">
        <f>_xlfn.XLOOKUP(A2049,'[1]Tissue Data'!$A:$A,'[1]Tissue Data'!$F:$F)</f>
        <v>Pumpkinseed</v>
      </c>
      <c r="E2049" t="str">
        <f>_xlfn.XLOOKUP(A2049,'[1]Tissue Data'!$A:$A,'[1]Tissue Data'!$H:$H)</f>
        <v>Lepomis</v>
      </c>
      <c r="F2049" t="str">
        <f>_xlfn.XLOOKUP(A2049,'[1]Tissue Data'!$A:$A,'[1]Tissue Data'!$I:$I)</f>
        <v>gibbosus</v>
      </c>
      <c r="G2049" t="str">
        <f>_xlfn.XLOOKUP(A2049,'[1]Tissue Data'!$A:$A,'[1]Tissue Data'!J:J)</f>
        <v>U</v>
      </c>
      <c r="H2049" t="str">
        <f>_xlfn.XLOOKUP(A2049,'[1]Tissue Data'!$A:$A,'[1]Tissue Data'!K:K)</f>
        <v>Whole Body</v>
      </c>
      <c r="I2049">
        <f>_xlfn.XLOOKUP(A2049,'[1]Tissue Data'!$A:$A,'[1]Tissue Data'!L:L)</f>
        <v>8</v>
      </c>
      <c r="J2049">
        <f>_xlfn.XLOOKUP(A2049,'[1]Tissue Data'!$A:$A,'[1]Tissue Data'!M:M)</f>
        <v>9.35</v>
      </c>
      <c r="K2049" t="s">
        <v>59</v>
      </c>
      <c r="L2049" t="str">
        <f>_xlfn.XLOOKUP(K2049,[2]analyte_order!$B:$B,[2]analyte_order!$C:$C)</f>
        <v>57677-95-9</v>
      </c>
      <c r="M2049">
        <f>_xlfn.XLOOKUP(L2049,[2]analyte_order!$C:$C,[2]analyte_order!$E:$E)</f>
        <v>46</v>
      </c>
      <c r="N2049">
        <v>7.1999999999999995E-2</v>
      </c>
    </row>
    <row r="2050" spans="1:14">
      <c r="A2050" t="s">
        <v>253</v>
      </c>
      <c r="B2050" t="str">
        <f>_xlfn.XLOOKUP(A2050,'[1]Tissue Data'!$A:$A,'[1]Tissue Data'!$C:$C)</f>
        <v>Spill</v>
      </c>
      <c r="C2050" s="2">
        <f>_xlfn.XLOOKUP(A2050,'[1]Tissue Data'!$A:$A,'[1]Tissue Data'!$D:$D)</f>
        <v>44314</v>
      </c>
      <c r="D2050" s="2" t="str">
        <f>_xlfn.XLOOKUP(A2050,'[1]Tissue Data'!$A:$A,'[1]Tissue Data'!$F:$F)</f>
        <v>Pumpkinseed</v>
      </c>
      <c r="E2050" t="str">
        <f>_xlfn.XLOOKUP(A2050,'[1]Tissue Data'!$A:$A,'[1]Tissue Data'!$H:$H)</f>
        <v>Lepomis</v>
      </c>
      <c r="F2050" t="str">
        <f>_xlfn.XLOOKUP(A2050,'[1]Tissue Data'!$A:$A,'[1]Tissue Data'!$I:$I)</f>
        <v>gibbosus</v>
      </c>
      <c r="G2050" t="str">
        <f>_xlfn.XLOOKUP(A2050,'[1]Tissue Data'!$A:$A,'[1]Tissue Data'!J:J)</f>
        <v>U</v>
      </c>
      <c r="H2050" t="str">
        <f>_xlfn.XLOOKUP(A2050,'[1]Tissue Data'!$A:$A,'[1]Tissue Data'!K:K)</f>
        <v>Whole Body</v>
      </c>
      <c r="I2050">
        <f>_xlfn.XLOOKUP(A2050,'[1]Tissue Data'!$A:$A,'[1]Tissue Data'!L:L)</f>
        <v>8</v>
      </c>
      <c r="J2050">
        <f>_xlfn.XLOOKUP(A2050,'[1]Tissue Data'!$A:$A,'[1]Tissue Data'!M:M)</f>
        <v>9.35</v>
      </c>
      <c r="K2050" t="s">
        <v>60</v>
      </c>
      <c r="L2050" t="str">
        <f>_xlfn.XLOOKUP(K2050,[2]analyte_order!$B:$B,[2]analyte_order!$C:$C)</f>
        <v>678-41-1</v>
      </c>
      <c r="M2050">
        <f>_xlfn.XLOOKUP(L2050,[2]analyte_order!$C:$C,[2]analyte_order!$E:$E)</f>
        <v>56</v>
      </c>
      <c r="N2050">
        <v>8.9499999999999996E-2</v>
      </c>
    </row>
    <row r="2051" spans="1:14">
      <c r="A2051" t="s">
        <v>253</v>
      </c>
      <c r="B2051" t="str">
        <f>_xlfn.XLOOKUP(A2051,'[1]Tissue Data'!$A:$A,'[1]Tissue Data'!$C:$C)</f>
        <v>Spill</v>
      </c>
      <c r="C2051" s="2">
        <f>_xlfn.XLOOKUP(A2051,'[1]Tissue Data'!$A:$A,'[1]Tissue Data'!$D:$D)</f>
        <v>44314</v>
      </c>
      <c r="D2051" s="2" t="str">
        <f>_xlfn.XLOOKUP(A2051,'[1]Tissue Data'!$A:$A,'[1]Tissue Data'!$F:$F)</f>
        <v>Pumpkinseed</v>
      </c>
      <c r="E2051" t="str">
        <f>_xlfn.XLOOKUP(A2051,'[1]Tissue Data'!$A:$A,'[1]Tissue Data'!$H:$H)</f>
        <v>Lepomis</v>
      </c>
      <c r="F2051" t="str">
        <f>_xlfn.XLOOKUP(A2051,'[1]Tissue Data'!$A:$A,'[1]Tissue Data'!$I:$I)</f>
        <v>gibbosus</v>
      </c>
      <c r="G2051" t="str">
        <f>_xlfn.XLOOKUP(A2051,'[1]Tissue Data'!$A:$A,'[1]Tissue Data'!J:J)</f>
        <v>U</v>
      </c>
      <c r="H2051" t="str">
        <f>_xlfn.XLOOKUP(A2051,'[1]Tissue Data'!$A:$A,'[1]Tissue Data'!K:K)</f>
        <v>Whole Body</v>
      </c>
      <c r="I2051">
        <f>_xlfn.XLOOKUP(A2051,'[1]Tissue Data'!$A:$A,'[1]Tissue Data'!L:L)</f>
        <v>8</v>
      </c>
      <c r="J2051">
        <f>_xlfn.XLOOKUP(A2051,'[1]Tissue Data'!$A:$A,'[1]Tissue Data'!M:M)</f>
        <v>9.35</v>
      </c>
      <c r="K2051" t="s">
        <v>61</v>
      </c>
      <c r="L2051" t="str">
        <f>_xlfn.XLOOKUP(K2051,[2]analyte_order!$B:$B,[2]analyte_order!$C:$C)</f>
        <v>2965-52-8</v>
      </c>
      <c r="M2051">
        <f>_xlfn.XLOOKUP(L2051,[2]analyte_order!$C:$C,[2]analyte_order!$E:$E)</f>
        <v>57</v>
      </c>
      <c r="N2051">
        <v>0.11899999999999999</v>
      </c>
    </row>
    <row r="2052" spans="1:14">
      <c r="A2052" t="s">
        <v>254</v>
      </c>
      <c r="B2052" t="str">
        <f>_xlfn.XLOOKUP(A2052,'[1]Tissue Data'!$A:$A,'[1]Tissue Data'!$C:$C)</f>
        <v>Spill</v>
      </c>
      <c r="C2052" s="2">
        <f>_xlfn.XLOOKUP(A2052,'[1]Tissue Data'!$A:$A,'[1]Tissue Data'!$D:$D)</f>
        <v>44314</v>
      </c>
      <c r="D2052" s="2" t="str">
        <f>_xlfn.XLOOKUP(A2052,'[1]Tissue Data'!$A:$A,'[1]Tissue Data'!$F:$F)</f>
        <v>Pumpkinseed</v>
      </c>
      <c r="E2052" t="str">
        <f>_xlfn.XLOOKUP(A2052,'[1]Tissue Data'!$A:$A,'[1]Tissue Data'!$H:$H)</f>
        <v>Lepomis</v>
      </c>
      <c r="F2052" t="str">
        <f>_xlfn.XLOOKUP(A2052,'[1]Tissue Data'!$A:$A,'[1]Tissue Data'!$I:$I)</f>
        <v>gibbosus</v>
      </c>
      <c r="G2052" t="str">
        <f>_xlfn.XLOOKUP(A2052,'[1]Tissue Data'!$A:$A,'[1]Tissue Data'!J:J)</f>
        <v>U</v>
      </c>
      <c r="H2052" t="str">
        <f>_xlfn.XLOOKUP(A2052,'[1]Tissue Data'!$A:$A,'[1]Tissue Data'!K:K)</f>
        <v>Whole Body</v>
      </c>
      <c r="I2052">
        <f>_xlfn.XLOOKUP(A2052,'[1]Tissue Data'!$A:$A,'[1]Tissue Data'!L:L)</f>
        <v>10.5</v>
      </c>
      <c r="J2052">
        <f>_xlfn.XLOOKUP(A2052,'[1]Tissue Data'!$A:$A,'[1]Tissue Data'!M:M)</f>
        <v>19.55</v>
      </c>
      <c r="K2052" t="s">
        <v>12</v>
      </c>
      <c r="L2052" t="str">
        <f>_xlfn.XLOOKUP(K2052,[2]analyte_order!$B:$B,[2]analyte_order!$C:$C)</f>
        <v>375-22-4</v>
      </c>
      <c r="M2052">
        <f>_xlfn.XLOOKUP(L2052,[2]analyte_order!$C:$C,[2]analyte_order!$E:$E)</f>
        <v>1</v>
      </c>
      <c r="N2052">
        <v>2.8799999999999999E-2</v>
      </c>
    </row>
    <row r="2053" spans="1:14">
      <c r="A2053" t="s">
        <v>254</v>
      </c>
      <c r="B2053" t="str">
        <f>_xlfn.XLOOKUP(A2053,'[1]Tissue Data'!$A:$A,'[1]Tissue Data'!$C:$C)</f>
        <v>Spill</v>
      </c>
      <c r="C2053" s="2">
        <f>_xlfn.XLOOKUP(A2053,'[1]Tissue Data'!$A:$A,'[1]Tissue Data'!$D:$D)</f>
        <v>44314</v>
      </c>
      <c r="D2053" s="2" t="str">
        <f>_xlfn.XLOOKUP(A2053,'[1]Tissue Data'!$A:$A,'[1]Tissue Data'!$F:$F)</f>
        <v>Pumpkinseed</v>
      </c>
      <c r="E2053" t="str">
        <f>_xlfn.XLOOKUP(A2053,'[1]Tissue Data'!$A:$A,'[1]Tissue Data'!$H:$H)</f>
        <v>Lepomis</v>
      </c>
      <c r="F2053" t="str">
        <f>_xlfn.XLOOKUP(A2053,'[1]Tissue Data'!$A:$A,'[1]Tissue Data'!$I:$I)</f>
        <v>gibbosus</v>
      </c>
      <c r="G2053" t="str">
        <f>_xlfn.XLOOKUP(A2053,'[1]Tissue Data'!$A:$A,'[1]Tissue Data'!J:J)</f>
        <v>U</v>
      </c>
      <c r="H2053" t="str">
        <f>_xlfn.XLOOKUP(A2053,'[1]Tissue Data'!$A:$A,'[1]Tissue Data'!K:K)</f>
        <v>Whole Body</v>
      </c>
      <c r="I2053">
        <f>_xlfn.XLOOKUP(A2053,'[1]Tissue Data'!$A:$A,'[1]Tissue Data'!L:L)</f>
        <v>10.5</v>
      </c>
      <c r="J2053">
        <f>_xlfn.XLOOKUP(A2053,'[1]Tissue Data'!$A:$A,'[1]Tissue Data'!M:M)</f>
        <v>19.55</v>
      </c>
      <c r="K2053" t="s">
        <v>13</v>
      </c>
      <c r="L2053" t="str">
        <f>_xlfn.XLOOKUP(K2053,[2]analyte_order!$B:$B,[2]analyte_order!$C:$C)</f>
        <v>2706-90-3</v>
      </c>
      <c r="M2053">
        <f>_xlfn.XLOOKUP(L2053,[2]analyte_order!$C:$C,[2]analyte_order!$E:$E)</f>
        <v>2</v>
      </c>
      <c r="N2053">
        <v>5.0999999999999997E-2</v>
      </c>
    </row>
    <row r="2054" spans="1:14">
      <c r="A2054" t="s">
        <v>254</v>
      </c>
      <c r="B2054" t="str">
        <f>_xlfn.XLOOKUP(A2054,'[1]Tissue Data'!$A:$A,'[1]Tissue Data'!$C:$C)</f>
        <v>Spill</v>
      </c>
      <c r="C2054" s="2">
        <f>_xlfn.XLOOKUP(A2054,'[1]Tissue Data'!$A:$A,'[1]Tissue Data'!$D:$D)</f>
        <v>44314</v>
      </c>
      <c r="D2054" s="2" t="str">
        <f>_xlfn.XLOOKUP(A2054,'[1]Tissue Data'!$A:$A,'[1]Tissue Data'!$F:$F)</f>
        <v>Pumpkinseed</v>
      </c>
      <c r="E2054" t="str">
        <f>_xlfn.XLOOKUP(A2054,'[1]Tissue Data'!$A:$A,'[1]Tissue Data'!$H:$H)</f>
        <v>Lepomis</v>
      </c>
      <c r="F2054" t="str">
        <f>_xlfn.XLOOKUP(A2054,'[1]Tissue Data'!$A:$A,'[1]Tissue Data'!$I:$I)</f>
        <v>gibbosus</v>
      </c>
      <c r="G2054" t="str">
        <f>_xlfn.XLOOKUP(A2054,'[1]Tissue Data'!$A:$A,'[1]Tissue Data'!J:J)</f>
        <v>U</v>
      </c>
      <c r="H2054" t="str">
        <f>_xlfn.XLOOKUP(A2054,'[1]Tissue Data'!$A:$A,'[1]Tissue Data'!K:K)</f>
        <v>Whole Body</v>
      </c>
      <c r="I2054">
        <f>_xlfn.XLOOKUP(A2054,'[1]Tissue Data'!$A:$A,'[1]Tissue Data'!L:L)</f>
        <v>10.5</v>
      </c>
      <c r="J2054">
        <f>_xlfn.XLOOKUP(A2054,'[1]Tissue Data'!$A:$A,'[1]Tissue Data'!M:M)</f>
        <v>19.55</v>
      </c>
      <c r="K2054" t="s">
        <v>14</v>
      </c>
      <c r="L2054" t="str">
        <f>_xlfn.XLOOKUP(K2054,[2]analyte_order!$B:$B,[2]analyte_order!$C:$C)</f>
        <v>307-24-4</v>
      </c>
      <c r="M2054">
        <f>_xlfn.XLOOKUP(L2054,[2]analyte_order!$C:$C,[2]analyte_order!$E:$E)</f>
        <v>3</v>
      </c>
      <c r="N2054">
        <v>3.8949999999999999E-2</v>
      </c>
    </row>
    <row r="2055" spans="1:14">
      <c r="A2055" t="s">
        <v>254</v>
      </c>
      <c r="B2055" t="str">
        <f>_xlfn.XLOOKUP(A2055,'[1]Tissue Data'!$A:$A,'[1]Tissue Data'!$C:$C)</f>
        <v>Spill</v>
      </c>
      <c r="C2055" s="2">
        <f>_xlfn.XLOOKUP(A2055,'[1]Tissue Data'!$A:$A,'[1]Tissue Data'!$D:$D)</f>
        <v>44314</v>
      </c>
      <c r="D2055" s="2" t="str">
        <f>_xlfn.XLOOKUP(A2055,'[1]Tissue Data'!$A:$A,'[1]Tissue Data'!$F:$F)</f>
        <v>Pumpkinseed</v>
      </c>
      <c r="E2055" t="str">
        <f>_xlfn.XLOOKUP(A2055,'[1]Tissue Data'!$A:$A,'[1]Tissue Data'!$H:$H)</f>
        <v>Lepomis</v>
      </c>
      <c r="F2055" t="str">
        <f>_xlfn.XLOOKUP(A2055,'[1]Tissue Data'!$A:$A,'[1]Tissue Data'!$I:$I)</f>
        <v>gibbosus</v>
      </c>
      <c r="G2055" t="str">
        <f>_xlfn.XLOOKUP(A2055,'[1]Tissue Data'!$A:$A,'[1]Tissue Data'!J:J)</f>
        <v>U</v>
      </c>
      <c r="H2055" t="str">
        <f>_xlfn.XLOOKUP(A2055,'[1]Tissue Data'!$A:$A,'[1]Tissue Data'!K:K)</f>
        <v>Whole Body</v>
      </c>
      <c r="I2055">
        <f>_xlfn.XLOOKUP(A2055,'[1]Tissue Data'!$A:$A,'[1]Tissue Data'!L:L)</f>
        <v>10.5</v>
      </c>
      <c r="J2055">
        <f>_xlfn.XLOOKUP(A2055,'[1]Tissue Data'!$A:$A,'[1]Tissue Data'!M:M)</f>
        <v>19.55</v>
      </c>
      <c r="K2055" t="s">
        <v>15</v>
      </c>
      <c r="L2055" t="str">
        <f>_xlfn.XLOOKUP(K2055,[2]analyte_order!$B:$B,[2]analyte_order!$C:$C)</f>
        <v>375-85-9</v>
      </c>
      <c r="M2055">
        <f>_xlfn.XLOOKUP(L2055,[2]analyte_order!$C:$C,[2]analyte_order!$E:$E)</f>
        <v>4</v>
      </c>
      <c r="N2055">
        <v>9.5000000000000001E-2</v>
      </c>
    </row>
    <row r="2056" spans="1:14">
      <c r="A2056" t="s">
        <v>254</v>
      </c>
      <c r="B2056" t="str">
        <f>_xlfn.XLOOKUP(A2056,'[1]Tissue Data'!$A:$A,'[1]Tissue Data'!$C:$C)</f>
        <v>Spill</v>
      </c>
      <c r="C2056" s="2">
        <f>_xlfn.XLOOKUP(A2056,'[1]Tissue Data'!$A:$A,'[1]Tissue Data'!$D:$D)</f>
        <v>44314</v>
      </c>
      <c r="D2056" s="2" t="str">
        <f>_xlfn.XLOOKUP(A2056,'[1]Tissue Data'!$A:$A,'[1]Tissue Data'!$F:$F)</f>
        <v>Pumpkinseed</v>
      </c>
      <c r="E2056" t="str">
        <f>_xlfn.XLOOKUP(A2056,'[1]Tissue Data'!$A:$A,'[1]Tissue Data'!$H:$H)</f>
        <v>Lepomis</v>
      </c>
      <c r="F2056" t="str">
        <f>_xlfn.XLOOKUP(A2056,'[1]Tissue Data'!$A:$A,'[1]Tissue Data'!$I:$I)</f>
        <v>gibbosus</v>
      </c>
      <c r="G2056" t="str">
        <f>_xlfn.XLOOKUP(A2056,'[1]Tissue Data'!$A:$A,'[1]Tissue Data'!J:J)</f>
        <v>U</v>
      </c>
      <c r="H2056" t="str">
        <f>_xlfn.XLOOKUP(A2056,'[1]Tissue Data'!$A:$A,'[1]Tissue Data'!K:K)</f>
        <v>Whole Body</v>
      </c>
      <c r="I2056">
        <f>_xlfn.XLOOKUP(A2056,'[1]Tissue Data'!$A:$A,'[1]Tissue Data'!L:L)</f>
        <v>10.5</v>
      </c>
      <c r="J2056">
        <f>_xlfn.XLOOKUP(A2056,'[1]Tissue Data'!$A:$A,'[1]Tissue Data'!M:M)</f>
        <v>19.55</v>
      </c>
      <c r="K2056" t="s">
        <v>16</v>
      </c>
      <c r="L2056" t="str">
        <f>_xlfn.XLOOKUP(K2056,[2]analyte_order!$B:$B,[2]analyte_order!$C:$C)</f>
        <v>335-67-1</v>
      </c>
      <c r="M2056">
        <f>_xlfn.XLOOKUP(L2056,[2]analyte_order!$C:$C,[2]analyte_order!$E:$E)</f>
        <v>5</v>
      </c>
      <c r="N2056">
        <v>9.5000000000000001E-2</v>
      </c>
    </row>
    <row r="2057" spans="1:14">
      <c r="A2057" t="s">
        <v>254</v>
      </c>
      <c r="B2057" t="str">
        <f>_xlfn.XLOOKUP(A2057,'[1]Tissue Data'!$A:$A,'[1]Tissue Data'!$C:$C)</f>
        <v>Spill</v>
      </c>
      <c r="C2057" s="2">
        <f>_xlfn.XLOOKUP(A2057,'[1]Tissue Data'!$A:$A,'[1]Tissue Data'!$D:$D)</f>
        <v>44314</v>
      </c>
      <c r="D2057" s="2" t="str">
        <f>_xlfn.XLOOKUP(A2057,'[1]Tissue Data'!$A:$A,'[1]Tissue Data'!$F:$F)</f>
        <v>Pumpkinseed</v>
      </c>
      <c r="E2057" t="str">
        <f>_xlfn.XLOOKUP(A2057,'[1]Tissue Data'!$A:$A,'[1]Tissue Data'!$H:$H)</f>
        <v>Lepomis</v>
      </c>
      <c r="F2057" t="str">
        <f>_xlfn.XLOOKUP(A2057,'[1]Tissue Data'!$A:$A,'[1]Tissue Data'!$I:$I)</f>
        <v>gibbosus</v>
      </c>
      <c r="G2057" t="str">
        <f>_xlfn.XLOOKUP(A2057,'[1]Tissue Data'!$A:$A,'[1]Tissue Data'!J:J)</f>
        <v>U</v>
      </c>
      <c r="H2057" t="str">
        <f>_xlfn.XLOOKUP(A2057,'[1]Tissue Data'!$A:$A,'[1]Tissue Data'!K:K)</f>
        <v>Whole Body</v>
      </c>
      <c r="I2057">
        <f>_xlfn.XLOOKUP(A2057,'[1]Tissue Data'!$A:$A,'[1]Tissue Data'!L:L)</f>
        <v>10.5</v>
      </c>
      <c r="J2057">
        <f>_xlfn.XLOOKUP(A2057,'[1]Tissue Data'!$A:$A,'[1]Tissue Data'!M:M)</f>
        <v>19.55</v>
      </c>
      <c r="K2057" t="s">
        <v>17</v>
      </c>
      <c r="L2057" t="str">
        <f>_xlfn.XLOOKUP(K2057,[2]analyte_order!$B:$B,[2]analyte_order!$C:$C)</f>
        <v>375-95-1</v>
      </c>
      <c r="M2057">
        <f>_xlfn.XLOOKUP(L2057,[2]analyte_order!$C:$C,[2]analyte_order!$E:$E)</f>
        <v>6</v>
      </c>
      <c r="N2057">
        <v>0.16450000000000001</v>
      </c>
    </row>
    <row r="2058" spans="1:14">
      <c r="A2058" t="s">
        <v>254</v>
      </c>
      <c r="B2058" t="str">
        <f>_xlfn.XLOOKUP(A2058,'[1]Tissue Data'!$A:$A,'[1]Tissue Data'!$C:$C)</f>
        <v>Spill</v>
      </c>
      <c r="C2058" s="2">
        <f>_xlfn.XLOOKUP(A2058,'[1]Tissue Data'!$A:$A,'[1]Tissue Data'!$D:$D)</f>
        <v>44314</v>
      </c>
      <c r="D2058" s="2" t="str">
        <f>_xlfn.XLOOKUP(A2058,'[1]Tissue Data'!$A:$A,'[1]Tissue Data'!$F:$F)</f>
        <v>Pumpkinseed</v>
      </c>
      <c r="E2058" t="str">
        <f>_xlfn.XLOOKUP(A2058,'[1]Tissue Data'!$A:$A,'[1]Tissue Data'!$H:$H)</f>
        <v>Lepomis</v>
      </c>
      <c r="F2058" t="str">
        <f>_xlfn.XLOOKUP(A2058,'[1]Tissue Data'!$A:$A,'[1]Tissue Data'!$I:$I)</f>
        <v>gibbosus</v>
      </c>
      <c r="G2058" t="str">
        <f>_xlfn.XLOOKUP(A2058,'[1]Tissue Data'!$A:$A,'[1]Tissue Data'!J:J)</f>
        <v>U</v>
      </c>
      <c r="H2058" t="str">
        <f>_xlfn.XLOOKUP(A2058,'[1]Tissue Data'!$A:$A,'[1]Tissue Data'!K:K)</f>
        <v>Whole Body</v>
      </c>
      <c r="I2058">
        <f>_xlfn.XLOOKUP(A2058,'[1]Tissue Data'!$A:$A,'[1]Tissue Data'!L:L)</f>
        <v>10.5</v>
      </c>
      <c r="J2058">
        <f>_xlfn.XLOOKUP(A2058,'[1]Tissue Data'!$A:$A,'[1]Tissue Data'!M:M)</f>
        <v>19.55</v>
      </c>
      <c r="K2058" t="s">
        <v>18</v>
      </c>
      <c r="L2058" t="str">
        <f>_xlfn.XLOOKUP(K2058,[2]analyte_order!$B:$B,[2]analyte_order!$C:$C)</f>
        <v>335-76-2</v>
      </c>
      <c r="M2058">
        <f>_xlfn.XLOOKUP(L2058,[2]analyte_order!$C:$C,[2]analyte_order!$E:$E)</f>
        <v>7</v>
      </c>
      <c r="N2058">
        <v>2.2200000000000002</v>
      </c>
    </row>
    <row r="2059" spans="1:14">
      <c r="A2059" t="s">
        <v>254</v>
      </c>
      <c r="B2059" t="str">
        <f>_xlfn.XLOOKUP(A2059,'[1]Tissue Data'!$A:$A,'[1]Tissue Data'!$C:$C)</f>
        <v>Spill</v>
      </c>
      <c r="C2059" s="2">
        <f>_xlfn.XLOOKUP(A2059,'[1]Tissue Data'!$A:$A,'[1]Tissue Data'!$D:$D)</f>
        <v>44314</v>
      </c>
      <c r="D2059" s="2" t="str">
        <f>_xlfn.XLOOKUP(A2059,'[1]Tissue Data'!$A:$A,'[1]Tissue Data'!$F:$F)</f>
        <v>Pumpkinseed</v>
      </c>
      <c r="E2059" t="str">
        <f>_xlfn.XLOOKUP(A2059,'[1]Tissue Data'!$A:$A,'[1]Tissue Data'!$H:$H)</f>
        <v>Lepomis</v>
      </c>
      <c r="F2059" t="str">
        <f>_xlfn.XLOOKUP(A2059,'[1]Tissue Data'!$A:$A,'[1]Tissue Data'!$I:$I)</f>
        <v>gibbosus</v>
      </c>
      <c r="G2059" t="str">
        <f>_xlfn.XLOOKUP(A2059,'[1]Tissue Data'!$A:$A,'[1]Tissue Data'!J:J)</f>
        <v>U</v>
      </c>
      <c r="H2059" t="str">
        <f>_xlfn.XLOOKUP(A2059,'[1]Tissue Data'!$A:$A,'[1]Tissue Data'!K:K)</f>
        <v>Whole Body</v>
      </c>
      <c r="I2059">
        <f>_xlfn.XLOOKUP(A2059,'[1]Tissue Data'!$A:$A,'[1]Tissue Data'!L:L)</f>
        <v>10.5</v>
      </c>
      <c r="J2059">
        <f>_xlfn.XLOOKUP(A2059,'[1]Tissue Data'!$A:$A,'[1]Tissue Data'!M:M)</f>
        <v>19.55</v>
      </c>
      <c r="K2059" t="s">
        <v>19</v>
      </c>
      <c r="L2059" t="str">
        <f>_xlfn.XLOOKUP(K2059,[2]analyte_order!$B:$B,[2]analyte_order!$C:$C)</f>
        <v>2058-94-8</v>
      </c>
      <c r="M2059">
        <f>_xlfn.XLOOKUP(L2059,[2]analyte_order!$C:$C,[2]analyte_order!$E:$E)</f>
        <v>8</v>
      </c>
      <c r="N2059">
        <v>4.2</v>
      </c>
    </row>
    <row r="2060" spans="1:14">
      <c r="A2060" t="s">
        <v>254</v>
      </c>
      <c r="B2060" t="str">
        <f>_xlfn.XLOOKUP(A2060,'[1]Tissue Data'!$A:$A,'[1]Tissue Data'!$C:$C)</f>
        <v>Spill</v>
      </c>
      <c r="C2060" s="2">
        <f>_xlfn.XLOOKUP(A2060,'[1]Tissue Data'!$A:$A,'[1]Tissue Data'!$D:$D)</f>
        <v>44314</v>
      </c>
      <c r="D2060" s="2" t="str">
        <f>_xlfn.XLOOKUP(A2060,'[1]Tissue Data'!$A:$A,'[1]Tissue Data'!$F:$F)</f>
        <v>Pumpkinseed</v>
      </c>
      <c r="E2060" t="str">
        <f>_xlfn.XLOOKUP(A2060,'[1]Tissue Data'!$A:$A,'[1]Tissue Data'!$H:$H)</f>
        <v>Lepomis</v>
      </c>
      <c r="F2060" t="str">
        <f>_xlfn.XLOOKUP(A2060,'[1]Tissue Data'!$A:$A,'[1]Tissue Data'!$I:$I)</f>
        <v>gibbosus</v>
      </c>
      <c r="G2060" t="str">
        <f>_xlfn.XLOOKUP(A2060,'[1]Tissue Data'!$A:$A,'[1]Tissue Data'!J:J)</f>
        <v>U</v>
      </c>
      <c r="H2060" t="str">
        <f>_xlfn.XLOOKUP(A2060,'[1]Tissue Data'!$A:$A,'[1]Tissue Data'!K:K)</f>
        <v>Whole Body</v>
      </c>
      <c r="I2060">
        <f>_xlfn.XLOOKUP(A2060,'[1]Tissue Data'!$A:$A,'[1]Tissue Data'!L:L)</f>
        <v>10.5</v>
      </c>
      <c r="J2060">
        <f>_xlfn.XLOOKUP(A2060,'[1]Tissue Data'!$A:$A,'[1]Tissue Data'!M:M)</f>
        <v>19.55</v>
      </c>
      <c r="K2060" t="s">
        <v>20</v>
      </c>
      <c r="L2060" t="str">
        <f>_xlfn.XLOOKUP(K2060,[2]analyte_order!$B:$B,[2]analyte_order!$C:$C)</f>
        <v>307-55-1</v>
      </c>
      <c r="M2060">
        <f>_xlfn.XLOOKUP(L2060,[2]analyte_order!$C:$C,[2]analyte_order!$E:$E)</f>
        <v>9</v>
      </c>
      <c r="N2060">
        <v>6.25</v>
      </c>
    </row>
    <row r="2061" spans="1:14">
      <c r="A2061" t="s">
        <v>254</v>
      </c>
      <c r="B2061" t="str">
        <f>_xlfn.XLOOKUP(A2061,'[1]Tissue Data'!$A:$A,'[1]Tissue Data'!$C:$C)</f>
        <v>Spill</v>
      </c>
      <c r="C2061" s="2">
        <f>_xlfn.XLOOKUP(A2061,'[1]Tissue Data'!$A:$A,'[1]Tissue Data'!$D:$D)</f>
        <v>44314</v>
      </c>
      <c r="D2061" s="2" t="str">
        <f>_xlfn.XLOOKUP(A2061,'[1]Tissue Data'!$A:$A,'[1]Tissue Data'!$F:$F)</f>
        <v>Pumpkinseed</v>
      </c>
      <c r="E2061" t="str">
        <f>_xlfn.XLOOKUP(A2061,'[1]Tissue Data'!$A:$A,'[1]Tissue Data'!$H:$H)</f>
        <v>Lepomis</v>
      </c>
      <c r="F2061" t="str">
        <f>_xlfn.XLOOKUP(A2061,'[1]Tissue Data'!$A:$A,'[1]Tissue Data'!$I:$I)</f>
        <v>gibbosus</v>
      </c>
      <c r="G2061" t="str">
        <f>_xlfn.XLOOKUP(A2061,'[1]Tissue Data'!$A:$A,'[1]Tissue Data'!J:J)</f>
        <v>U</v>
      </c>
      <c r="H2061" t="str">
        <f>_xlfn.XLOOKUP(A2061,'[1]Tissue Data'!$A:$A,'[1]Tissue Data'!K:K)</f>
        <v>Whole Body</v>
      </c>
      <c r="I2061">
        <f>_xlfn.XLOOKUP(A2061,'[1]Tissue Data'!$A:$A,'[1]Tissue Data'!L:L)</f>
        <v>10.5</v>
      </c>
      <c r="J2061">
        <f>_xlfn.XLOOKUP(A2061,'[1]Tissue Data'!$A:$A,'[1]Tissue Data'!M:M)</f>
        <v>19.55</v>
      </c>
      <c r="K2061" t="s">
        <v>21</v>
      </c>
      <c r="L2061" t="str">
        <f>_xlfn.XLOOKUP(K2061,[2]analyte_order!$B:$B,[2]analyte_order!$C:$C)</f>
        <v>72629-94-8</v>
      </c>
      <c r="M2061">
        <f>_xlfn.XLOOKUP(L2061,[2]analyte_order!$C:$C,[2]analyte_order!$E:$E)</f>
        <v>10</v>
      </c>
      <c r="N2061">
        <v>3.47</v>
      </c>
    </row>
    <row r="2062" spans="1:14">
      <c r="A2062" t="s">
        <v>254</v>
      </c>
      <c r="B2062" t="str">
        <f>_xlfn.XLOOKUP(A2062,'[1]Tissue Data'!$A:$A,'[1]Tissue Data'!$C:$C)</f>
        <v>Spill</v>
      </c>
      <c r="C2062" s="2">
        <f>_xlfn.XLOOKUP(A2062,'[1]Tissue Data'!$A:$A,'[1]Tissue Data'!$D:$D)</f>
        <v>44314</v>
      </c>
      <c r="D2062" s="2" t="str">
        <f>_xlfn.XLOOKUP(A2062,'[1]Tissue Data'!$A:$A,'[1]Tissue Data'!$F:$F)</f>
        <v>Pumpkinseed</v>
      </c>
      <c r="E2062" t="str">
        <f>_xlfn.XLOOKUP(A2062,'[1]Tissue Data'!$A:$A,'[1]Tissue Data'!$H:$H)</f>
        <v>Lepomis</v>
      </c>
      <c r="F2062" t="str">
        <f>_xlfn.XLOOKUP(A2062,'[1]Tissue Data'!$A:$A,'[1]Tissue Data'!$I:$I)</f>
        <v>gibbosus</v>
      </c>
      <c r="G2062" t="str">
        <f>_xlfn.XLOOKUP(A2062,'[1]Tissue Data'!$A:$A,'[1]Tissue Data'!J:J)</f>
        <v>U</v>
      </c>
      <c r="H2062" t="str">
        <f>_xlfn.XLOOKUP(A2062,'[1]Tissue Data'!$A:$A,'[1]Tissue Data'!K:K)</f>
        <v>Whole Body</v>
      </c>
      <c r="I2062">
        <f>_xlfn.XLOOKUP(A2062,'[1]Tissue Data'!$A:$A,'[1]Tissue Data'!L:L)</f>
        <v>10.5</v>
      </c>
      <c r="J2062">
        <f>_xlfn.XLOOKUP(A2062,'[1]Tissue Data'!$A:$A,'[1]Tissue Data'!M:M)</f>
        <v>19.55</v>
      </c>
      <c r="K2062" t="s">
        <v>22</v>
      </c>
      <c r="L2062" t="str">
        <f>_xlfn.XLOOKUP(K2062,[2]analyte_order!$B:$B,[2]analyte_order!$C:$C)</f>
        <v>376-06-7</v>
      </c>
      <c r="M2062">
        <f>_xlfn.XLOOKUP(L2062,[2]analyte_order!$C:$C,[2]analyte_order!$E:$E)</f>
        <v>11</v>
      </c>
      <c r="N2062">
        <v>5.33</v>
      </c>
    </row>
    <row r="2063" spans="1:14">
      <c r="A2063" t="s">
        <v>254</v>
      </c>
      <c r="B2063" t="str">
        <f>_xlfn.XLOOKUP(A2063,'[1]Tissue Data'!$A:$A,'[1]Tissue Data'!$C:$C)</f>
        <v>Spill</v>
      </c>
      <c r="C2063" s="2">
        <f>_xlfn.XLOOKUP(A2063,'[1]Tissue Data'!$A:$A,'[1]Tissue Data'!$D:$D)</f>
        <v>44314</v>
      </c>
      <c r="D2063" s="2" t="str">
        <f>_xlfn.XLOOKUP(A2063,'[1]Tissue Data'!$A:$A,'[1]Tissue Data'!$F:$F)</f>
        <v>Pumpkinseed</v>
      </c>
      <c r="E2063" t="str">
        <f>_xlfn.XLOOKUP(A2063,'[1]Tissue Data'!$A:$A,'[1]Tissue Data'!$H:$H)</f>
        <v>Lepomis</v>
      </c>
      <c r="F2063" t="str">
        <f>_xlfn.XLOOKUP(A2063,'[1]Tissue Data'!$A:$A,'[1]Tissue Data'!$I:$I)</f>
        <v>gibbosus</v>
      </c>
      <c r="G2063" t="str">
        <f>_xlfn.XLOOKUP(A2063,'[1]Tissue Data'!$A:$A,'[1]Tissue Data'!J:J)</f>
        <v>U</v>
      </c>
      <c r="H2063" t="str">
        <f>_xlfn.XLOOKUP(A2063,'[1]Tissue Data'!$A:$A,'[1]Tissue Data'!K:K)</f>
        <v>Whole Body</v>
      </c>
      <c r="I2063">
        <f>_xlfn.XLOOKUP(A2063,'[1]Tissue Data'!$A:$A,'[1]Tissue Data'!L:L)</f>
        <v>10.5</v>
      </c>
      <c r="J2063">
        <f>_xlfn.XLOOKUP(A2063,'[1]Tissue Data'!$A:$A,'[1]Tissue Data'!M:M)</f>
        <v>19.55</v>
      </c>
      <c r="K2063" t="s">
        <v>23</v>
      </c>
      <c r="L2063" t="str">
        <f>_xlfn.XLOOKUP(K2063,[2]analyte_order!$B:$B,[2]analyte_order!$C:$C)</f>
        <v>67905-19-5</v>
      </c>
      <c r="M2063">
        <f>_xlfn.XLOOKUP(L2063,[2]analyte_order!$C:$C,[2]analyte_order!$E:$E)</f>
        <v>12</v>
      </c>
      <c r="N2063">
        <v>8.5999999999999993E-2</v>
      </c>
    </row>
    <row r="2064" spans="1:14">
      <c r="A2064" t="s">
        <v>254</v>
      </c>
      <c r="B2064" t="str">
        <f>_xlfn.XLOOKUP(A2064,'[1]Tissue Data'!$A:$A,'[1]Tissue Data'!$C:$C)</f>
        <v>Spill</v>
      </c>
      <c r="C2064" s="2">
        <f>_xlfn.XLOOKUP(A2064,'[1]Tissue Data'!$A:$A,'[1]Tissue Data'!$D:$D)</f>
        <v>44314</v>
      </c>
      <c r="D2064" s="2" t="str">
        <f>_xlfn.XLOOKUP(A2064,'[1]Tissue Data'!$A:$A,'[1]Tissue Data'!$F:$F)</f>
        <v>Pumpkinseed</v>
      </c>
      <c r="E2064" t="str">
        <f>_xlfn.XLOOKUP(A2064,'[1]Tissue Data'!$A:$A,'[1]Tissue Data'!$H:$H)</f>
        <v>Lepomis</v>
      </c>
      <c r="F2064" t="str">
        <f>_xlfn.XLOOKUP(A2064,'[1]Tissue Data'!$A:$A,'[1]Tissue Data'!$I:$I)</f>
        <v>gibbosus</v>
      </c>
      <c r="G2064" t="str">
        <f>_xlfn.XLOOKUP(A2064,'[1]Tissue Data'!$A:$A,'[1]Tissue Data'!J:J)</f>
        <v>U</v>
      </c>
      <c r="H2064" t="str">
        <f>_xlfn.XLOOKUP(A2064,'[1]Tissue Data'!$A:$A,'[1]Tissue Data'!K:K)</f>
        <v>Whole Body</v>
      </c>
      <c r="I2064">
        <f>_xlfn.XLOOKUP(A2064,'[1]Tissue Data'!$A:$A,'[1]Tissue Data'!L:L)</f>
        <v>10.5</v>
      </c>
      <c r="J2064">
        <f>_xlfn.XLOOKUP(A2064,'[1]Tissue Data'!$A:$A,'[1]Tissue Data'!M:M)</f>
        <v>19.55</v>
      </c>
      <c r="K2064" t="s">
        <v>24</v>
      </c>
      <c r="L2064" t="str">
        <f>_xlfn.XLOOKUP(K2064,[2]analyte_order!$B:$B,[2]analyte_order!$C:$C)</f>
        <v>423-41-6</v>
      </c>
      <c r="M2064">
        <f>_xlfn.XLOOKUP(L2064,[2]analyte_order!$C:$C,[2]analyte_order!$E:$E)</f>
        <v>53</v>
      </c>
      <c r="N2064">
        <v>5.5E-2</v>
      </c>
    </row>
    <row r="2065" spans="1:14">
      <c r="A2065" t="s">
        <v>254</v>
      </c>
      <c r="B2065" t="str">
        <f>_xlfn.XLOOKUP(A2065,'[1]Tissue Data'!$A:$A,'[1]Tissue Data'!$C:$C)</f>
        <v>Spill</v>
      </c>
      <c r="C2065" s="2">
        <f>_xlfn.XLOOKUP(A2065,'[1]Tissue Data'!$A:$A,'[1]Tissue Data'!$D:$D)</f>
        <v>44314</v>
      </c>
      <c r="D2065" s="2" t="str">
        <f>_xlfn.XLOOKUP(A2065,'[1]Tissue Data'!$A:$A,'[1]Tissue Data'!$F:$F)</f>
        <v>Pumpkinseed</v>
      </c>
      <c r="E2065" t="str">
        <f>_xlfn.XLOOKUP(A2065,'[1]Tissue Data'!$A:$A,'[1]Tissue Data'!$H:$H)</f>
        <v>Lepomis</v>
      </c>
      <c r="F2065" t="str">
        <f>_xlfn.XLOOKUP(A2065,'[1]Tissue Data'!$A:$A,'[1]Tissue Data'!$I:$I)</f>
        <v>gibbosus</v>
      </c>
      <c r="G2065" t="str">
        <f>_xlfn.XLOOKUP(A2065,'[1]Tissue Data'!$A:$A,'[1]Tissue Data'!J:J)</f>
        <v>U</v>
      </c>
      <c r="H2065" t="str">
        <f>_xlfn.XLOOKUP(A2065,'[1]Tissue Data'!$A:$A,'[1]Tissue Data'!K:K)</f>
        <v>Whole Body</v>
      </c>
      <c r="I2065">
        <f>_xlfn.XLOOKUP(A2065,'[1]Tissue Data'!$A:$A,'[1]Tissue Data'!L:L)</f>
        <v>10.5</v>
      </c>
      <c r="J2065">
        <f>_xlfn.XLOOKUP(A2065,'[1]Tissue Data'!$A:$A,'[1]Tissue Data'!M:M)</f>
        <v>19.55</v>
      </c>
      <c r="K2065" t="s">
        <v>25</v>
      </c>
      <c r="L2065" t="str">
        <f>_xlfn.XLOOKUP(K2065,[2]analyte_order!$B:$B,[2]analyte_order!$C:$C)</f>
        <v>375-73-5</v>
      </c>
      <c r="M2065">
        <f>_xlfn.XLOOKUP(L2065,[2]analyte_order!$C:$C,[2]analyte_order!$E:$E)</f>
        <v>14</v>
      </c>
      <c r="N2065">
        <v>0.16200000000000001</v>
      </c>
    </row>
    <row r="2066" spans="1:14">
      <c r="A2066" t="s">
        <v>254</v>
      </c>
      <c r="B2066" t="str">
        <f>_xlfn.XLOOKUP(A2066,'[1]Tissue Data'!$A:$A,'[1]Tissue Data'!$C:$C)</f>
        <v>Spill</v>
      </c>
      <c r="C2066" s="2">
        <f>_xlfn.XLOOKUP(A2066,'[1]Tissue Data'!$A:$A,'[1]Tissue Data'!$D:$D)</f>
        <v>44314</v>
      </c>
      <c r="D2066" s="2" t="str">
        <f>_xlfn.XLOOKUP(A2066,'[1]Tissue Data'!$A:$A,'[1]Tissue Data'!$F:$F)</f>
        <v>Pumpkinseed</v>
      </c>
      <c r="E2066" t="str">
        <f>_xlfn.XLOOKUP(A2066,'[1]Tissue Data'!$A:$A,'[1]Tissue Data'!$H:$H)</f>
        <v>Lepomis</v>
      </c>
      <c r="F2066" t="str">
        <f>_xlfn.XLOOKUP(A2066,'[1]Tissue Data'!$A:$A,'[1]Tissue Data'!$I:$I)</f>
        <v>gibbosus</v>
      </c>
      <c r="G2066" t="str">
        <f>_xlfn.XLOOKUP(A2066,'[1]Tissue Data'!$A:$A,'[1]Tissue Data'!J:J)</f>
        <v>U</v>
      </c>
      <c r="H2066" t="str">
        <f>_xlfn.XLOOKUP(A2066,'[1]Tissue Data'!$A:$A,'[1]Tissue Data'!K:K)</f>
        <v>Whole Body</v>
      </c>
      <c r="I2066">
        <f>_xlfn.XLOOKUP(A2066,'[1]Tissue Data'!$A:$A,'[1]Tissue Data'!L:L)</f>
        <v>10.5</v>
      </c>
      <c r="J2066">
        <f>_xlfn.XLOOKUP(A2066,'[1]Tissue Data'!$A:$A,'[1]Tissue Data'!M:M)</f>
        <v>19.55</v>
      </c>
      <c r="K2066" t="s">
        <v>26</v>
      </c>
      <c r="L2066" t="str">
        <f>_xlfn.XLOOKUP(K2066,[2]analyte_order!$B:$B,[2]analyte_order!$C:$C)</f>
        <v>2706-91-4</v>
      </c>
      <c r="M2066">
        <f>_xlfn.XLOOKUP(L2066,[2]analyte_order!$C:$C,[2]analyte_order!$E:$E)</f>
        <v>15</v>
      </c>
      <c r="N2066">
        <v>0.126</v>
      </c>
    </row>
    <row r="2067" spans="1:14">
      <c r="A2067" t="s">
        <v>254</v>
      </c>
      <c r="B2067" t="str">
        <f>_xlfn.XLOOKUP(A2067,'[1]Tissue Data'!$A:$A,'[1]Tissue Data'!$C:$C)</f>
        <v>Spill</v>
      </c>
      <c r="C2067" s="2">
        <f>_xlfn.XLOOKUP(A2067,'[1]Tissue Data'!$A:$A,'[1]Tissue Data'!$D:$D)</f>
        <v>44314</v>
      </c>
      <c r="D2067" s="2" t="str">
        <f>_xlfn.XLOOKUP(A2067,'[1]Tissue Data'!$A:$A,'[1]Tissue Data'!$F:$F)</f>
        <v>Pumpkinseed</v>
      </c>
      <c r="E2067" t="str">
        <f>_xlfn.XLOOKUP(A2067,'[1]Tissue Data'!$A:$A,'[1]Tissue Data'!$H:$H)</f>
        <v>Lepomis</v>
      </c>
      <c r="F2067" t="str">
        <f>_xlfn.XLOOKUP(A2067,'[1]Tissue Data'!$A:$A,'[1]Tissue Data'!$I:$I)</f>
        <v>gibbosus</v>
      </c>
      <c r="G2067" t="str">
        <f>_xlfn.XLOOKUP(A2067,'[1]Tissue Data'!$A:$A,'[1]Tissue Data'!J:J)</f>
        <v>U</v>
      </c>
      <c r="H2067" t="str">
        <f>_xlfn.XLOOKUP(A2067,'[1]Tissue Data'!$A:$A,'[1]Tissue Data'!K:K)</f>
        <v>Whole Body</v>
      </c>
      <c r="I2067">
        <f>_xlfn.XLOOKUP(A2067,'[1]Tissue Data'!$A:$A,'[1]Tissue Data'!L:L)</f>
        <v>10.5</v>
      </c>
      <c r="J2067">
        <f>_xlfn.XLOOKUP(A2067,'[1]Tissue Data'!$A:$A,'[1]Tissue Data'!M:M)</f>
        <v>19.55</v>
      </c>
      <c r="K2067" t="s">
        <v>27</v>
      </c>
      <c r="L2067" t="str">
        <f>_xlfn.XLOOKUP(K2067,[2]analyte_order!$B:$B,[2]analyte_order!$C:$C)</f>
        <v>355-46-4</v>
      </c>
      <c r="M2067">
        <f>_xlfn.XLOOKUP(L2067,[2]analyte_order!$C:$C,[2]analyte_order!$E:$E)</f>
        <v>16</v>
      </c>
      <c r="N2067">
        <v>4.58</v>
      </c>
    </row>
    <row r="2068" spans="1:14">
      <c r="A2068" t="s">
        <v>254</v>
      </c>
      <c r="B2068" t="str">
        <f>_xlfn.XLOOKUP(A2068,'[1]Tissue Data'!$A:$A,'[1]Tissue Data'!$C:$C)</f>
        <v>Spill</v>
      </c>
      <c r="C2068" s="2">
        <f>_xlfn.XLOOKUP(A2068,'[1]Tissue Data'!$A:$A,'[1]Tissue Data'!$D:$D)</f>
        <v>44314</v>
      </c>
      <c r="D2068" s="2" t="str">
        <f>_xlfn.XLOOKUP(A2068,'[1]Tissue Data'!$A:$A,'[1]Tissue Data'!$F:$F)</f>
        <v>Pumpkinseed</v>
      </c>
      <c r="E2068" t="str">
        <f>_xlfn.XLOOKUP(A2068,'[1]Tissue Data'!$A:$A,'[1]Tissue Data'!$H:$H)</f>
        <v>Lepomis</v>
      </c>
      <c r="F2068" t="str">
        <f>_xlfn.XLOOKUP(A2068,'[1]Tissue Data'!$A:$A,'[1]Tissue Data'!$I:$I)</f>
        <v>gibbosus</v>
      </c>
      <c r="G2068" t="str">
        <f>_xlfn.XLOOKUP(A2068,'[1]Tissue Data'!$A:$A,'[1]Tissue Data'!J:J)</f>
        <v>U</v>
      </c>
      <c r="H2068" t="str">
        <f>_xlfn.XLOOKUP(A2068,'[1]Tissue Data'!$A:$A,'[1]Tissue Data'!K:K)</f>
        <v>Whole Body</v>
      </c>
      <c r="I2068">
        <f>_xlfn.XLOOKUP(A2068,'[1]Tissue Data'!$A:$A,'[1]Tissue Data'!L:L)</f>
        <v>10.5</v>
      </c>
      <c r="J2068">
        <f>_xlfn.XLOOKUP(A2068,'[1]Tissue Data'!$A:$A,'[1]Tissue Data'!M:M)</f>
        <v>19.55</v>
      </c>
      <c r="K2068" t="s">
        <v>28</v>
      </c>
      <c r="L2068" t="str">
        <f>_xlfn.XLOOKUP(K2068,[2]analyte_order!$B:$B,[2]analyte_order!$C:$C)</f>
        <v>375-92-8</v>
      </c>
      <c r="M2068">
        <f>_xlfn.XLOOKUP(L2068,[2]analyte_order!$C:$C,[2]analyte_order!$E:$E)</f>
        <v>17</v>
      </c>
      <c r="N2068">
        <v>0.58399999999999996</v>
      </c>
    </row>
    <row r="2069" spans="1:14">
      <c r="A2069" t="s">
        <v>254</v>
      </c>
      <c r="B2069" t="str">
        <f>_xlfn.XLOOKUP(A2069,'[1]Tissue Data'!$A:$A,'[1]Tissue Data'!$C:$C)</f>
        <v>Spill</v>
      </c>
      <c r="C2069" s="2">
        <f>_xlfn.XLOOKUP(A2069,'[1]Tissue Data'!$A:$A,'[1]Tissue Data'!$D:$D)</f>
        <v>44314</v>
      </c>
      <c r="D2069" s="2" t="str">
        <f>_xlfn.XLOOKUP(A2069,'[1]Tissue Data'!$A:$A,'[1]Tissue Data'!$F:$F)</f>
        <v>Pumpkinseed</v>
      </c>
      <c r="E2069" t="str">
        <f>_xlfn.XLOOKUP(A2069,'[1]Tissue Data'!$A:$A,'[1]Tissue Data'!$H:$H)</f>
        <v>Lepomis</v>
      </c>
      <c r="F2069" t="str">
        <f>_xlfn.XLOOKUP(A2069,'[1]Tissue Data'!$A:$A,'[1]Tissue Data'!$I:$I)</f>
        <v>gibbosus</v>
      </c>
      <c r="G2069" t="str">
        <f>_xlfn.XLOOKUP(A2069,'[1]Tissue Data'!$A:$A,'[1]Tissue Data'!J:J)</f>
        <v>U</v>
      </c>
      <c r="H2069" t="str">
        <f>_xlfn.XLOOKUP(A2069,'[1]Tissue Data'!$A:$A,'[1]Tissue Data'!K:K)</f>
        <v>Whole Body</v>
      </c>
      <c r="I2069">
        <f>_xlfn.XLOOKUP(A2069,'[1]Tissue Data'!$A:$A,'[1]Tissue Data'!L:L)</f>
        <v>10.5</v>
      </c>
      <c r="J2069">
        <f>_xlfn.XLOOKUP(A2069,'[1]Tissue Data'!$A:$A,'[1]Tissue Data'!M:M)</f>
        <v>19.55</v>
      </c>
      <c r="K2069" t="s">
        <v>29</v>
      </c>
      <c r="L2069" t="str">
        <f>_xlfn.XLOOKUP(K2069,[2]analyte_order!$B:$B,[2]analyte_order!$C:$C)</f>
        <v>1763-23-1</v>
      </c>
      <c r="M2069">
        <f>_xlfn.XLOOKUP(L2069,[2]analyte_order!$C:$C,[2]analyte_order!$E:$E)</f>
        <v>18</v>
      </c>
      <c r="N2069">
        <v>484</v>
      </c>
    </row>
    <row r="2070" spans="1:14">
      <c r="A2070" t="s">
        <v>254</v>
      </c>
      <c r="B2070" t="str">
        <f>_xlfn.XLOOKUP(A2070,'[1]Tissue Data'!$A:$A,'[1]Tissue Data'!$C:$C)</f>
        <v>Spill</v>
      </c>
      <c r="C2070" s="2">
        <f>_xlfn.XLOOKUP(A2070,'[1]Tissue Data'!$A:$A,'[1]Tissue Data'!$D:$D)</f>
        <v>44314</v>
      </c>
      <c r="D2070" s="2" t="str">
        <f>_xlfn.XLOOKUP(A2070,'[1]Tissue Data'!$A:$A,'[1]Tissue Data'!$F:$F)</f>
        <v>Pumpkinseed</v>
      </c>
      <c r="E2070" t="str">
        <f>_xlfn.XLOOKUP(A2070,'[1]Tissue Data'!$A:$A,'[1]Tissue Data'!$H:$H)</f>
        <v>Lepomis</v>
      </c>
      <c r="F2070" t="str">
        <f>_xlfn.XLOOKUP(A2070,'[1]Tissue Data'!$A:$A,'[1]Tissue Data'!$I:$I)</f>
        <v>gibbosus</v>
      </c>
      <c r="G2070" t="str">
        <f>_xlfn.XLOOKUP(A2070,'[1]Tissue Data'!$A:$A,'[1]Tissue Data'!J:J)</f>
        <v>U</v>
      </c>
      <c r="H2070" t="str">
        <f>_xlfn.XLOOKUP(A2070,'[1]Tissue Data'!$A:$A,'[1]Tissue Data'!K:K)</f>
        <v>Whole Body</v>
      </c>
      <c r="I2070">
        <f>_xlfn.XLOOKUP(A2070,'[1]Tissue Data'!$A:$A,'[1]Tissue Data'!L:L)</f>
        <v>10.5</v>
      </c>
      <c r="J2070">
        <f>_xlfn.XLOOKUP(A2070,'[1]Tissue Data'!$A:$A,'[1]Tissue Data'!M:M)</f>
        <v>19.55</v>
      </c>
      <c r="K2070" t="s">
        <v>30</v>
      </c>
      <c r="L2070" t="str">
        <f>_xlfn.XLOOKUP(K2070,[2]analyte_order!$B:$B,[2]analyte_order!$C:$C)</f>
        <v>68259-12-1</v>
      </c>
      <c r="M2070">
        <f>_xlfn.XLOOKUP(L2070,[2]analyte_order!$C:$C,[2]analyte_order!$E:$E)</f>
        <v>19</v>
      </c>
      <c r="N2070">
        <v>0.39700000000000002</v>
      </c>
    </row>
    <row r="2071" spans="1:14">
      <c r="A2071" t="s">
        <v>254</v>
      </c>
      <c r="B2071" t="str">
        <f>_xlfn.XLOOKUP(A2071,'[1]Tissue Data'!$A:$A,'[1]Tissue Data'!$C:$C)</f>
        <v>Spill</v>
      </c>
      <c r="C2071" s="2">
        <f>_xlfn.XLOOKUP(A2071,'[1]Tissue Data'!$A:$A,'[1]Tissue Data'!$D:$D)</f>
        <v>44314</v>
      </c>
      <c r="D2071" s="2" t="str">
        <f>_xlfn.XLOOKUP(A2071,'[1]Tissue Data'!$A:$A,'[1]Tissue Data'!$F:$F)</f>
        <v>Pumpkinseed</v>
      </c>
      <c r="E2071" t="str">
        <f>_xlfn.XLOOKUP(A2071,'[1]Tissue Data'!$A:$A,'[1]Tissue Data'!$H:$H)</f>
        <v>Lepomis</v>
      </c>
      <c r="F2071" t="str">
        <f>_xlfn.XLOOKUP(A2071,'[1]Tissue Data'!$A:$A,'[1]Tissue Data'!$I:$I)</f>
        <v>gibbosus</v>
      </c>
      <c r="G2071" t="str">
        <f>_xlfn.XLOOKUP(A2071,'[1]Tissue Data'!$A:$A,'[1]Tissue Data'!J:J)</f>
        <v>U</v>
      </c>
      <c r="H2071" t="str">
        <f>_xlfn.XLOOKUP(A2071,'[1]Tissue Data'!$A:$A,'[1]Tissue Data'!K:K)</f>
        <v>Whole Body</v>
      </c>
      <c r="I2071">
        <f>_xlfn.XLOOKUP(A2071,'[1]Tissue Data'!$A:$A,'[1]Tissue Data'!L:L)</f>
        <v>10.5</v>
      </c>
      <c r="J2071">
        <f>_xlfn.XLOOKUP(A2071,'[1]Tissue Data'!$A:$A,'[1]Tissue Data'!M:M)</f>
        <v>19.55</v>
      </c>
      <c r="K2071" t="s">
        <v>31</v>
      </c>
      <c r="L2071" t="str">
        <f>_xlfn.XLOOKUP(K2071,[2]analyte_order!$B:$B,[2]analyte_order!$C:$C)</f>
        <v>335-77-3</v>
      </c>
      <c r="M2071">
        <f>_xlfn.XLOOKUP(L2071,[2]analyte_order!$C:$C,[2]analyte_order!$E:$E)</f>
        <v>20</v>
      </c>
      <c r="N2071">
        <v>3.48</v>
      </c>
    </row>
    <row r="2072" spans="1:14">
      <c r="A2072" t="s">
        <v>254</v>
      </c>
      <c r="B2072" t="str">
        <f>_xlfn.XLOOKUP(A2072,'[1]Tissue Data'!$A:$A,'[1]Tissue Data'!$C:$C)</f>
        <v>Spill</v>
      </c>
      <c r="C2072" s="2">
        <f>_xlfn.XLOOKUP(A2072,'[1]Tissue Data'!$A:$A,'[1]Tissue Data'!$D:$D)</f>
        <v>44314</v>
      </c>
      <c r="D2072" s="2" t="str">
        <f>_xlfn.XLOOKUP(A2072,'[1]Tissue Data'!$A:$A,'[1]Tissue Data'!$F:$F)</f>
        <v>Pumpkinseed</v>
      </c>
      <c r="E2072" t="str">
        <f>_xlfn.XLOOKUP(A2072,'[1]Tissue Data'!$A:$A,'[1]Tissue Data'!$H:$H)</f>
        <v>Lepomis</v>
      </c>
      <c r="F2072" t="str">
        <f>_xlfn.XLOOKUP(A2072,'[1]Tissue Data'!$A:$A,'[1]Tissue Data'!$I:$I)</f>
        <v>gibbosus</v>
      </c>
      <c r="G2072" t="str">
        <f>_xlfn.XLOOKUP(A2072,'[1]Tissue Data'!$A:$A,'[1]Tissue Data'!J:J)</f>
        <v>U</v>
      </c>
      <c r="H2072" t="str">
        <f>_xlfn.XLOOKUP(A2072,'[1]Tissue Data'!$A:$A,'[1]Tissue Data'!K:K)</f>
        <v>Whole Body</v>
      </c>
      <c r="I2072">
        <f>_xlfn.XLOOKUP(A2072,'[1]Tissue Data'!$A:$A,'[1]Tissue Data'!L:L)</f>
        <v>10.5</v>
      </c>
      <c r="J2072">
        <f>_xlfn.XLOOKUP(A2072,'[1]Tissue Data'!$A:$A,'[1]Tissue Data'!M:M)</f>
        <v>19.55</v>
      </c>
      <c r="K2072" t="s">
        <v>32</v>
      </c>
      <c r="L2072" t="str">
        <f>_xlfn.XLOOKUP(K2072,[2]analyte_order!$B:$B,[2]analyte_order!$C:$C)</f>
        <v>79780-39-5</v>
      </c>
      <c r="M2072">
        <f>_xlfn.XLOOKUP(L2072,[2]analyte_order!$C:$C,[2]analyte_order!$E:$E)</f>
        <v>21</v>
      </c>
      <c r="N2072">
        <v>0.2545</v>
      </c>
    </row>
    <row r="2073" spans="1:14">
      <c r="A2073" t="s">
        <v>254</v>
      </c>
      <c r="B2073" t="str">
        <f>_xlfn.XLOOKUP(A2073,'[1]Tissue Data'!$A:$A,'[1]Tissue Data'!$C:$C)</f>
        <v>Spill</v>
      </c>
      <c r="C2073" s="2">
        <f>_xlfn.XLOOKUP(A2073,'[1]Tissue Data'!$A:$A,'[1]Tissue Data'!$D:$D)</f>
        <v>44314</v>
      </c>
      <c r="D2073" s="2" t="str">
        <f>_xlfn.XLOOKUP(A2073,'[1]Tissue Data'!$A:$A,'[1]Tissue Data'!$F:$F)</f>
        <v>Pumpkinseed</v>
      </c>
      <c r="E2073" t="str">
        <f>_xlfn.XLOOKUP(A2073,'[1]Tissue Data'!$A:$A,'[1]Tissue Data'!$H:$H)</f>
        <v>Lepomis</v>
      </c>
      <c r="F2073" t="str">
        <f>_xlfn.XLOOKUP(A2073,'[1]Tissue Data'!$A:$A,'[1]Tissue Data'!$I:$I)</f>
        <v>gibbosus</v>
      </c>
      <c r="G2073" t="str">
        <f>_xlfn.XLOOKUP(A2073,'[1]Tissue Data'!$A:$A,'[1]Tissue Data'!J:J)</f>
        <v>U</v>
      </c>
      <c r="H2073" t="str">
        <f>_xlfn.XLOOKUP(A2073,'[1]Tissue Data'!$A:$A,'[1]Tissue Data'!K:K)</f>
        <v>Whole Body</v>
      </c>
      <c r="I2073">
        <f>_xlfn.XLOOKUP(A2073,'[1]Tissue Data'!$A:$A,'[1]Tissue Data'!L:L)</f>
        <v>10.5</v>
      </c>
      <c r="J2073">
        <f>_xlfn.XLOOKUP(A2073,'[1]Tissue Data'!$A:$A,'[1]Tissue Data'!M:M)</f>
        <v>19.55</v>
      </c>
      <c r="K2073" t="s">
        <v>33</v>
      </c>
      <c r="L2073" t="str">
        <f>_xlfn.XLOOKUP(K2073,[2]analyte_order!$B:$B,[2]analyte_order!$C:$C)</f>
        <v>777011-38-8</v>
      </c>
      <c r="M2073">
        <f>_xlfn.XLOOKUP(L2073,[2]analyte_order!$C:$C,[2]analyte_order!$E:$E)</f>
        <v>54</v>
      </c>
      <c r="N2073">
        <v>0.14449999999999999</v>
      </c>
    </row>
    <row r="2074" spans="1:14">
      <c r="A2074" t="s">
        <v>254</v>
      </c>
      <c r="B2074" t="str">
        <f>_xlfn.XLOOKUP(A2074,'[1]Tissue Data'!$A:$A,'[1]Tissue Data'!$C:$C)</f>
        <v>Spill</v>
      </c>
      <c r="C2074" s="2">
        <f>_xlfn.XLOOKUP(A2074,'[1]Tissue Data'!$A:$A,'[1]Tissue Data'!$D:$D)</f>
        <v>44314</v>
      </c>
      <c r="D2074" s="2" t="str">
        <f>_xlfn.XLOOKUP(A2074,'[1]Tissue Data'!$A:$A,'[1]Tissue Data'!$F:$F)</f>
        <v>Pumpkinseed</v>
      </c>
      <c r="E2074" t="str">
        <f>_xlfn.XLOOKUP(A2074,'[1]Tissue Data'!$A:$A,'[1]Tissue Data'!$H:$H)</f>
        <v>Lepomis</v>
      </c>
      <c r="F2074" t="str">
        <f>_xlfn.XLOOKUP(A2074,'[1]Tissue Data'!$A:$A,'[1]Tissue Data'!$I:$I)</f>
        <v>gibbosus</v>
      </c>
      <c r="G2074" t="str">
        <f>_xlfn.XLOOKUP(A2074,'[1]Tissue Data'!$A:$A,'[1]Tissue Data'!J:J)</f>
        <v>U</v>
      </c>
      <c r="H2074" t="str">
        <f>_xlfn.XLOOKUP(A2074,'[1]Tissue Data'!$A:$A,'[1]Tissue Data'!K:K)</f>
        <v>Whole Body</v>
      </c>
      <c r="I2074">
        <f>_xlfn.XLOOKUP(A2074,'[1]Tissue Data'!$A:$A,'[1]Tissue Data'!L:L)</f>
        <v>10.5</v>
      </c>
      <c r="J2074">
        <f>_xlfn.XLOOKUP(A2074,'[1]Tissue Data'!$A:$A,'[1]Tissue Data'!M:M)</f>
        <v>19.55</v>
      </c>
      <c r="K2074" t="s">
        <v>34</v>
      </c>
      <c r="L2074" t="str">
        <f>_xlfn.XLOOKUP(K2074,[2]analyte_order!$B:$B,[2]analyte_order!$C:$C)</f>
        <v>646-83-3</v>
      </c>
      <c r="M2074">
        <f>_xlfn.XLOOKUP(L2074,[2]analyte_order!$C:$C,[2]analyte_order!$E:$E)</f>
        <v>55</v>
      </c>
      <c r="N2074">
        <v>9.5000000000000001E-2</v>
      </c>
    </row>
    <row r="2075" spans="1:14">
      <c r="A2075" t="s">
        <v>254</v>
      </c>
      <c r="B2075" t="str">
        <f>_xlfn.XLOOKUP(A2075,'[1]Tissue Data'!$A:$A,'[1]Tissue Data'!$C:$C)</f>
        <v>Spill</v>
      </c>
      <c r="C2075" s="2">
        <f>_xlfn.XLOOKUP(A2075,'[1]Tissue Data'!$A:$A,'[1]Tissue Data'!$D:$D)</f>
        <v>44314</v>
      </c>
      <c r="D2075" s="2" t="str">
        <f>_xlfn.XLOOKUP(A2075,'[1]Tissue Data'!$A:$A,'[1]Tissue Data'!$F:$F)</f>
        <v>Pumpkinseed</v>
      </c>
      <c r="E2075" t="str">
        <f>_xlfn.XLOOKUP(A2075,'[1]Tissue Data'!$A:$A,'[1]Tissue Data'!$H:$H)</f>
        <v>Lepomis</v>
      </c>
      <c r="F2075" t="str">
        <f>_xlfn.XLOOKUP(A2075,'[1]Tissue Data'!$A:$A,'[1]Tissue Data'!$I:$I)</f>
        <v>gibbosus</v>
      </c>
      <c r="G2075" t="str">
        <f>_xlfn.XLOOKUP(A2075,'[1]Tissue Data'!$A:$A,'[1]Tissue Data'!J:J)</f>
        <v>U</v>
      </c>
      <c r="H2075" t="str">
        <f>_xlfn.XLOOKUP(A2075,'[1]Tissue Data'!$A:$A,'[1]Tissue Data'!K:K)</f>
        <v>Whole Body</v>
      </c>
      <c r="I2075">
        <f>_xlfn.XLOOKUP(A2075,'[1]Tissue Data'!$A:$A,'[1]Tissue Data'!L:L)</f>
        <v>10.5</v>
      </c>
      <c r="J2075">
        <f>_xlfn.XLOOKUP(A2075,'[1]Tissue Data'!$A:$A,'[1]Tissue Data'!M:M)</f>
        <v>19.55</v>
      </c>
      <c r="K2075" t="s">
        <v>35</v>
      </c>
      <c r="L2075" t="str">
        <f>_xlfn.XLOOKUP(K2075,[2]analyte_order!$B:$B,[2]analyte_order!$C:$C)</f>
        <v>30334-69-1</v>
      </c>
      <c r="M2075">
        <f>_xlfn.XLOOKUP(L2075,[2]analyte_order!$C:$C,[2]analyte_order!$E:$E)</f>
        <v>51</v>
      </c>
      <c r="N2075">
        <v>37.5</v>
      </c>
    </row>
    <row r="2076" spans="1:14">
      <c r="A2076" t="s">
        <v>254</v>
      </c>
      <c r="B2076" t="str">
        <f>_xlfn.XLOOKUP(A2076,'[1]Tissue Data'!$A:$A,'[1]Tissue Data'!$C:$C)</f>
        <v>Spill</v>
      </c>
      <c r="C2076" s="2">
        <f>_xlfn.XLOOKUP(A2076,'[1]Tissue Data'!$A:$A,'[1]Tissue Data'!$D:$D)</f>
        <v>44314</v>
      </c>
      <c r="D2076" s="2" t="str">
        <f>_xlfn.XLOOKUP(A2076,'[1]Tissue Data'!$A:$A,'[1]Tissue Data'!$F:$F)</f>
        <v>Pumpkinseed</v>
      </c>
      <c r="E2076" t="str">
        <f>_xlfn.XLOOKUP(A2076,'[1]Tissue Data'!$A:$A,'[1]Tissue Data'!$H:$H)</f>
        <v>Lepomis</v>
      </c>
      <c r="F2076" t="str">
        <f>_xlfn.XLOOKUP(A2076,'[1]Tissue Data'!$A:$A,'[1]Tissue Data'!$I:$I)</f>
        <v>gibbosus</v>
      </c>
      <c r="G2076" t="str">
        <f>_xlfn.XLOOKUP(A2076,'[1]Tissue Data'!$A:$A,'[1]Tissue Data'!J:J)</f>
        <v>U</v>
      </c>
      <c r="H2076" t="str">
        <f>_xlfn.XLOOKUP(A2076,'[1]Tissue Data'!$A:$A,'[1]Tissue Data'!K:K)</f>
        <v>Whole Body</v>
      </c>
      <c r="I2076">
        <f>_xlfn.XLOOKUP(A2076,'[1]Tissue Data'!$A:$A,'[1]Tissue Data'!L:L)</f>
        <v>10.5</v>
      </c>
      <c r="J2076">
        <f>_xlfn.XLOOKUP(A2076,'[1]Tissue Data'!$A:$A,'[1]Tissue Data'!M:M)</f>
        <v>19.55</v>
      </c>
      <c r="K2076" t="s">
        <v>36</v>
      </c>
      <c r="L2076" t="str">
        <f>_xlfn.XLOOKUP(K2076,[2]analyte_order!$B:$B,[2]analyte_order!$C:$C)</f>
        <v>41997-13-1</v>
      </c>
      <c r="M2076">
        <f>_xlfn.XLOOKUP(L2076,[2]analyte_order!$C:$C,[2]analyte_order!$E:$E)</f>
        <v>52</v>
      </c>
      <c r="N2076">
        <v>30.1</v>
      </c>
    </row>
    <row r="2077" spans="1:14">
      <c r="A2077" t="s">
        <v>254</v>
      </c>
      <c r="B2077" t="str">
        <f>_xlfn.XLOOKUP(A2077,'[1]Tissue Data'!$A:$A,'[1]Tissue Data'!$C:$C)</f>
        <v>Spill</v>
      </c>
      <c r="C2077" s="2">
        <f>_xlfn.XLOOKUP(A2077,'[1]Tissue Data'!$A:$A,'[1]Tissue Data'!$D:$D)</f>
        <v>44314</v>
      </c>
      <c r="D2077" s="2" t="str">
        <f>_xlfn.XLOOKUP(A2077,'[1]Tissue Data'!$A:$A,'[1]Tissue Data'!$F:$F)</f>
        <v>Pumpkinseed</v>
      </c>
      <c r="E2077" t="str">
        <f>_xlfn.XLOOKUP(A2077,'[1]Tissue Data'!$A:$A,'[1]Tissue Data'!$H:$H)</f>
        <v>Lepomis</v>
      </c>
      <c r="F2077" t="str">
        <f>_xlfn.XLOOKUP(A2077,'[1]Tissue Data'!$A:$A,'[1]Tissue Data'!$I:$I)</f>
        <v>gibbosus</v>
      </c>
      <c r="G2077" t="str">
        <f>_xlfn.XLOOKUP(A2077,'[1]Tissue Data'!$A:$A,'[1]Tissue Data'!J:J)</f>
        <v>U</v>
      </c>
      <c r="H2077" t="str">
        <f>_xlfn.XLOOKUP(A2077,'[1]Tissue Data'!$A:$A,'[1]Tissue Data'!K:K)</f>
        <v>Whole Body</v>
      </c>
      <c r="I2077">
        <f>_xlfn.XLOOKUP(A2077,'[1]Tissue Data'!$A:$A,'[1]Tissue Data'!L:L)</f>
        <v>10.5</v>
      </c>
      <c r="J2077">
        <f>_xlfn.XLOOKUP(A2077,'[1]Tissue Data'!$A:$A,'[1]Tissue Data'!M:M)</f>
        <v>19.55</v>
      </c>
      <c r="K2077" t="s">
        <v>37</v>
      </c>
      <c r="L2077" t="str">
        <f>_xlfn.XLOOKUP(K2077,[2]analyte_order!$B:$B,[2]analyte_order!$C:$C)</f>
        <v>754-91-6</v>
      </c>
      <c r="M2077">
        <f>_xlfn.XLOOKUP(L2077,[2]analyte_order!$C:$C,[2]analyte_order!$E:$E)</f>
        <v>28</v>
      </c>
      <c r="N2077">
        <v>17.100000000000001</v>
      </c>
    </row>
    <row r="2078" spans="1:14">
      <c r="A2078" t="s">
        <v>254</v>
      </c>
      <c r="B2078" t="str">
        <f>_xlfn.XLOOKUP(A2078,'[1]Tissue Data'!$A:$A,'[1]Tissue Data'!$C:$C)</f>
        <v>Spill</v>
      </c>
      <c r="C2078" s="2">
        <f>_xlfn.XLOOKUP(A2078,'[1]Tissue Data'!$A:$A,'[1]Tissue Data'!$D:$D)</f>
        <v>44314</v>
      </c>
      <c r="D2078" s="2" t="str">
        <f>_xlfn.XLOOKUP(A2078,'[1]Tissue Data'!$A:$A,'[1]Tissue Data'!$F:$F)</f>
        <v>Pumpkinseed</v>
      </c>
      <c r="E2078" t="str">
        <f>_xlfn.XLOOKUP(A2078,'[1]Tissue Data'!$A:$A,'[1]Tissue Data'!$H:$H)</f>
        <v>Lepomis</v>
      </c>
      <c r="F2078" t="str">
        <f>_xlfn.XLOOKUP(A2078,'[1]Tissue Data'!$A:$A,'[1]Tissue Data'!$I:$I)</f>
        <v>gibbosus</v>
      </c>
      <c r="G2078" t="str">
        <f>_xlfn.XLOOKUP(A2078,'[1]Tissue Data'!$A:$A,'[1]Tissue Data'!J:J)</f>
        <v>U</v>
      </c>
      <c r="H2078" t="str">
        <f>_xlfn.XLOOKUP(A2078,'[1]Tissue Data'!$A:$A,'[1]Tissue Data'!K:K)</f>
        <v>Whole Body</v>
      </c>
      <c r="I2078">
        <f>_xlfn.XLOOKUP(A2078,'[1]Tissue Data'!$A:$A,'[1]Tissue Data'!L:L)</f>
        <v>10.5</v>
      </c>
      <c r="J2078">
        <f>_xlfn.XLOOKUP(A2078,'[1]Tissue Data'!$A:$A,'[1]Tissue Data'!M:M)</f>
        <v>19.55</v>
      </c>
      <c r="K2078" t="s">
        <v>38</v>
      </c>
      <c r="L2078" t="str">
        <f>_xlfn.XLOOKUP(K2078,[2]analyte_order!$B:$B,[2]analyte_order!$C:$C)</f>
        <v>31506-32-8</v>
      </c>
      <c r="M2078">
        <f>_xlfn.XLOOKUP(L2078,[2]analyte_order!$C:$C,[2]analyte_order!$E:$E)</f>
        <v>30</v>
      </c>
      <c r="N2078">
        <v>5.5500000000000001E-2</v>
      </c>
    </row>
    <row r="2079" spans="1:14">
      <c r="A2079" t="s">
        <v>254</v>
      </c>
      <c r="B2079" t="str">
        <f>_xlfn.XLOOKUP(A2079,'[1]Tissue Data'!$A:$A,'[1]Tissue Data'!$C:$C)</f>
        <v>Spill</v>
      </c>
      <c r="C2079" s="2">
        <f>_xlfn.XLOOKUP(A2079,'[1]Tissue Data'!$A:$A,'[1]Tissue Data'!$D:$D)</f>
        <v>44314</v>
      </c>
      <c r="D2079" s="2" t="str">
        <f>_xlfn.XLOOKUP(A2079,'[1]Tissue Data'!$A:$A,'[1]Tissue Data'!$F:$F)</f>
        <v>Pumpkinseed</v>
      </c>
      <c r="E2079" t="str">
        <f>_xlfn.XLOOKUP(A2079,'[1]Tissue Data'!$A:$A,'[1]Tissue Data'!$H:$H)</f>
        <v>Lepomis</v>
      </c>
      <c r="F2079" t="str">
        <f>_xlfn.XLOOKUP(A2079,'[1]Tissue Data'!$A:$A,'[1]Tissue Data'!$I:$I)</f>
        <v>gibbosus</v>
      </c>
      <c r="G2079" t="str">
        <f>_xlfn.XLOOKUP(A2079,'[1]Tissue Data'!$A:$A,'[1]Tissue Data'!J:J)</f>
        <v>U</v>
      </c>
      <c r="H2079" t="str">
        <f>_xlfn.XLOOKUP(A2079,'[1]Tissue Data'!$A:$A,'[1]Tissue Data'!K:K)</f>
        <v>Whole Body</v>
      </c>
      <c r="I2079">
        <f>_xlfn.XLOOKUP(A2079,'[1]Tissue Data'!$A:$A,'[1]Tissue Data'!L:L)</f>
        <v>10.5</v>
      </c>
      <c r="J2079">
        <f>_xlfn.XLOOKUP(A2079,'[1]Tissue Data'!$A:$A,'[1]Tissue Data'!M:M)</f>
        <v>19.55</v>
      </c>
      <c r="K2079" t="s">
        <v>39</v>
      </c>
      <c r="L2079" t="str">
        <f>_xlfn.XLOOKUP(K2079,[2]analyte_order!$B:$B,[2]analyte_order!$C:$C)</f>
        <v>4151-50-2</v>
      </c>
      <c r="M2079">
        <f>_xlfn.XLOOKUP(L2079,[2]analyte_order!$C:$C,[2]analyte_order!$E:$E)</f>
        <v>31</v>
      </c>
      <c r="N2079">
        <v>8.4000000000000005E-2</v>
      </c>
    </row>
    <row r="2080" spans="1:14">
      <c r="A2080" t="s">
        <v>254</v>
      </c>
      <c r="B2080" t="str">
        <f>_xlfn.XLOOKUP(A2080,'[1]Tissue Data'!$A:$A,'[1]Tissue Data'!$C:$C)</f>
        <v>Spill</v>
      </c>
      <c r="C2080" s="2">
        <f>_xlfn.XLOOKUP(A2080,'[1]Tissue Data'!$A:$A,'[1]Tissue Data'!$D:$D)</f>
        <v>44314</v>
      </c>
      <c r="D2080" s="2" t="str">
        <f>_xlfn.XLOOKUP(A2080,'[1]Tissue Data'!$A:$A,'[1]Tissue Data'!$F:$F)</f>
        <v>Pumpkinseed</v>
      </c>
      <c r="E2080" t="str">
        <f>_xlfn.XLOOKUP(A2080,'[1]Tissue Data'!$A:$A,'[1]Tissue Data'!$H:$H)</f>
        <v>Lepomis</v>
      </c>
      <c r="F2080" t="str">
        <f>_xlfn.XLOOKUP(A2080,'[1]Tissue Data'!$A:$A,'[1]Tissue Data'!$I:$I)</f>
        <v>gibbosus</v>
      </c>
      <c r="G2080" t="str">
        <f>_xlfn.XLOOKUP(A2080,'[1]Tissue Data'!$A:$A,'[1]Tissue Data'!J:J)</f>
        <v>U</v>
      </c>
      <c r="H2080" t="str">
        <f>_xlfn.XLOOKUP(A2080,'[1]Tissue Data'!$A:$A,'[1]Tissue Data'!K:K)</f>
        <v>Whole Body</v>
      </c>
      <c r="I2080">
        <f>_xlfn.XLOOKUP(A2080,'[1]Tissue Data'!$A:$A,'[1]Tissue Data'!L:L)</f>
        <v>10.5</v>
      </c>
      <c r="J2080">
        <f>_xlfn.XLOOKUP(A2080,'[1]Tissue Data'!$A:$A,'[1]Tissue Data'!M:M)</f>
        <v>19.55</v>
      </c>
      <c r="K2080" t="s">
        <v>40</v>
      </c>
      <c r="L2080" t="str">
        <f>_xlfn.XLOOKUP(K2080,[2]analyte_order!$B:$B,[2]analyte_order!$C:$C)</f>
        <v>2806-24-8</v>
      </c>
      <c r="M2080">
        <f>_xlfn.XLOOKUP(L2080,[2]analyte_order!$C:$C,[2]analyte_order!$E:$E)</f>
        <v>29</v>
      </c>
      <c r="N2080">
        <v>5.7000000000000002E-2</v>
      </c>
    </row>
    <row r="2081" spans="1:14">
      <c r="A2081" t="s">
        <v>254</v>
      </c>
      <c r="B2081" t="str">
        <f>_xlfn.XLOOKUP(A2081,'[1]Tissue Data'!$A:$A,'[1]Tissue Data'!$C:$C)</f>
        <v>Spill</v>
      </c>
      <c r="C2081" s="2">
        <f>_xlfn.XLOOKUP(A2081,'[1]Tissue Data'!$A:$A,'[1]Tissue Data'!$D:$D)</f>
        <v>44314</v>
      </c>
      <c r="D2081" s="2" t="str">
        <f>_xlfn.XLOOKUP(A2081,'[1]Tissue Data'!$A:$A,'[1]Tissue Data'!$F:$F)</f>
        <v>Pumpkinseed</v>
      </c>
      <c r="E2081" t="str">
        <f>_xlfn.XLOOKUP(A2081,'[1]Tissue Data'!$A:$A,'[1]Tissue Data'!$H:$H)</f>
        <v>Lepomis</v>
      </c>
      <c r="F2081" t="str">
        <f>_xlfn.XLOOKUP(A2081,'[1]Tissue Data'!$A:$A,'[1]Tissue Data'!$I:$I)</f>
        <v>gibbosus</v>
      </c>
      <c r="G2081" t="str">
        <f>_xlfn.XLOOKUP(A2081,'[1]Tissue Data'!$A:$A,'[1]Tissue Data'!J:J)</f>
        <v>U</v>
      </c>
      <c r="H2081" t="str">
        <f>_xlfn.XLOOKUP(A2081,'[1]Tissue Data'!$A:$A,'[1]Tissue Data'!K:K)</f>
        <v>Whole Body</v>
      </c>
      <c r="I2081">
        <f>_xlfn.XLOOKUP(A2081,'[1]Tissue Data'!$A:$A,'[1]Tissue Data'!L:L)</f>
        <v>10.5</v>
      </c>
      <c r="J2081">
        <f>_xlfn.XLOOKUP(A2081,'[1]Tissue Data'!$A:$A,'[1]Tissue Data'!M:M)</f>
        <v>19.55</v>
      </c>
      <c r="K2081" t="s">
        <v>41</v>
      </c>
      <c r="L2081" t="str">
        <f>_xlfn.XLOOKUP(K2081,[2]analyte_order!$B:$B,[2]analyte_order!$C:$C)</f>
        <v>2355-31-9</v>
      </c>
      <c r="M2081">
        <f>_xlfn.XLOOKUP(L2081,[2]analyte_order!$C:$C,[2]analyte_order!$E:$E)</f>
        <v>26</v>
      </c>
      <c r="N2081">
        <v>0.23949999999999999</v>
      </c>
    </row>
    <row r="2082" spans="1:14">
      <c r="A2082" t="s">
        <v>254</v>
      </c>
      <c r="B2082" t="str">
        <f>_xlfn.XLOOKUP(A2082,'[1]Tissue Data'!$A:$A,'[1]Tissue Data'!$C:$C)</f>
        <v>Spill</v>
      </c>
      <c r="C2082" s="2">
        <f>_xlfn.XLOOKUP(A2082,'[1]Tissue Data'!$A:$A,'[1]Tissue Data'!$D:$D)</f>
        <v>44314</v>
      </c>
      <c r="D2082" s="2" t="str">
        <f>_xlfn.XLOOKUP(A2082,'[1]Tissue Data'!$A:$A,'[1]Tissue Data'!$F:$F)</f>
        <v>Pumpkinseed</v>
      </c>
      <c r="E2082" t="str">
        <f>_xlfn.XLOOKUP(A2082,'[1]Tissue Data'!$A:$A,'[1]Tissue Data'!$H:$H)</f>
        <v>Lepomis</v>
      </c>
      <c r="F2082" t="str">
        <f>_xlfn.XLOOKUP(A2082,'[1]Tissue Data'!$A:$A,'[1]Tissue Data'!$I:$I)</f>
        <v>gibbosus</v>
      </c>
      <c r="G2082" t="str">
        <f>_xlfn.XLOOKUP(A2082,'[1]Tissue Data'!$A:$A,'[1]Tissue Data'!J:J)</f>
        <v>U</v>
      </c>
      <c r="H2082" t="str">
        <f>_xlfn.XLOOKUP(A2082,'[1]Tissue Data'!$A:$A,'[1]Tissue Data'!K:K)</f>
        <v>Whole Body</v>
      </c>
      <c r="I2082">
        <f>_xlfn.XLOOKUP(A2082,'[1]Tissue Data'!$A:$A,'[1]Tissue Data'!L:L)</f>
        <v>10.5</v>
      </c>
      <c r="J2082">
        <f>_xlfn.XLOOKUP(A2082,'[1]Tissue Data'!$A:$A,'[1]Tissue Data'!M:M)</f>
        <v>19.55</v>
      </c>
      <c r="K2082" t="s">
        <v>42</v>
      </c>
      <c r="L2082" t="str">
        <f>_xlfn.XLOOKUP(K2082,[2]analyte_order!$B:$B,[2]analyte_order!$C:$C)</f>
        <v>2991-50-6</v>
      </c>
      <c r="M2082">
        <f>_xlfn.XLOOKUP(L2082,[2]analyte_order!$C:$C,[2]analyte_order!$E:$E)</f>
        <v>27</v>
      </c>
      <c r="N2082">
        <v>6.25E-2</v>
      </c>
    </row>
    <row r="2083" spans="1:14">
      <c r="A2083" t="s">
        <v>254</v>
      </c>
      <c r="B2083" t="str">
        <f>_xlfn.XLOOKUP(A2083,'[1]Tissue Data'!$A:$A,'[1]Tissue Data'!$C:$C)</f>
        <v>Spill</v>
      </c>
      <c r="C2083" s="2">
        <f>_xlfn.XLOOKUP(A2083,'[1]Tissue Data'!$A:$A,'[1]Tissue Data'!$D:$D)</f>
        <v>44314</v>
      </c>
      <c r="D2083" s="2" t="str">
        <f>_xlfn.XLOOKUP(A2083,'[1]Tissue Data'!$A:$A,'[1]Tissue Data'!$F:$F)</f>
        <v>Pumpkinseed</v>
      </c>
      <c r="E2083" t="str">
        <f>_xlfn.XLOOKUP(A2083,'[1]Tissue Data'!$A:$A,'[1]Tissue Data'!$H:$H)</f>
        <v>Lepomis</v>
      </c>
      <c r="F2083" t="str">
        <f>_xlfn.XLOOKUP(A2083,'[1]Tissue Data'!$A:$A,'[1]Tissue Data'!$I:$I)</f>
        <v>gibbosus</v>
      </c>
      <c r="G2083" t="str">
        <f>_xlfn.XLOOKUP(A2083,'[1]Tissue Data'!$A:$A,'[1]Tissue Data'!J:J)</f>
        <v>U</v>
      </c>
      <c r="H2083" t="str">
        <f>_xlfn.XLOOKUP(A2083,'[1]Tissue Data'!$A:$A,'[1]Tissue Data'!K:K)</f>
        <v>Whole Body</v>
      </c>
      <c r="I2083">
        <f>_xlfn.XLOOKUP(A2083,'[1]Tissue Data'!$A:$A,'[1]Tissue Data'!L:L)</f>
        <v>10.5</v>
      </c>
      <c r="J2083">
        <f>_xlfn.XLOOKUP(A2083,'[1]Tissue Data'!$A:$A,'[1]Tissue Data'!M:M)</f>
        <v>19.55</v>
      </c>
      <c r="K2083" t="s">
        <v>43</v>
      </c>
      <c r="L2083" t="str">
        <f>_xlfn.XLOOKUP(K2083,[2]analyte_order!$B:$B,[2]analyte_order!$C:$C)</f>
        <v>757124-72-4</v>
      </c>
      <c r="M2083">
        <f>_xlfn.XLOOKUP(L2083,[2]analyte_order!$C:$C,[2]analyte_order!$E:$E)</f>
        <v>22</v>
      </c>
      <c r="N2083">
        <v>5.8999999999999997E-2</v>
      </c>
    </row>
    <row r="2084" spans="1:14">
      <c r="A2084" t="s">
        <v>254</v>
      </c>
      <c r="B2084" t="str">
        <f>_xlfn.XLOOKUP(A2084,'[1]Tissue Data'!$A:$A,'[1]Tissue Data'!$C:$C)</f>
        <v>Spill</v>
      </c>
      <c r="C2084" s="2">
        <f>_xlfn.XLOOKUP(A2084,'[1]Tissue Data'!$A:$A,'[1]Tissue Data'!$D:$D)</f>
        <v>44314</v>
      </c>
      <c r="D2084" s="2" t="str">
        <f>_xlfn.XLOOKUP(A2084,'[1]Tissue Data'!$A:$A,'[1]Tissue Data'!$F:$F)</f>
        <v>Pumpkinseed</v>
      </c>
      <c r="E2084" t="str">
        <f>_xlfn.XLOOKUP(A2084,'[1]Tissue Data'!$A:$A,'[1]Tissue Data'!$H:$H)</f>
        <v>Lepomis</v>
      </c>
      <c r="F2084" t="str">
        <f>_xlfn.XLOOKUP(A2084,'[1]Tissue Data'!$A:$A,'[1]Tissue Data'!$I:$I)</f>
        <v>gibbosus</v>
      </c>
      <c r="G2084" t="str">
        <f>_xlfn.XLOOKUP(A2084,'[1]Tissue Data'!$A:$A,'[1]Tissue Data'!J:J)</f>
        <v>U</v>
      </c>
      <c r="H2084" t="str">
        <f>_xlfn.XLOOKUP(A2084,'[1]Tissue Data'!$A:$A,'[1]Tissue Data'!K:K)</f>
        <v>Whole Body</v>
      </c>
      <c r="I2084">
        <f>_xlfn.XLOOKUP(A2084,'[1]Tissue Data'!$A:$A,'[1]Tissue Data'!L:L)</f>
        <v>10.5</v>
      </c>
      <c r="J2084">
        <f>_xlfn.XLOOKUP(A2084,'[1]Tissue Data'!$A:$A,'[1]Tissue Data'!M:M)</f>
        <v>19.55</v>
      </c>
      <c r="K2084" t="s">
        <v>44</v>
      </c>
      <c r="L2084" t="str">
        <f>_xlfn.XLOOKUP(K2084,[2]analyte_order!$B:$B,[2]analyte_order!$C:$C)</f>
        <v>27619-97-2</v>
      </c>
      <c r="M2084">
        <f>_xlfn.XLOOKUP(L2084,[2]analyte_order!$C:$C,[2]analyte_order!$E:$E)</f>
        <v>23</v>
      </c>
      <c r="N2084">
        <v>0.14349999999999999</v>
      </c>
    </row>
    <row r="2085" spans="1:14">
      <c r="A2085" t="s">
        <v>254</v>
      </c>
      <c r="B2085" t="str">
        <f>_xlfn.XLOOKUP(A2085,'[1]Tissue Data'!$A:$A,'[1]Tissue Data'!$C:$C)</f>
        <v>Spill</v>
      </c>
      <c r="C2085" s="2">
        <f>_xlfn.XLOOKUP(A2085,'[1]Tissue Data'!$A:$A,'[1]Tissue Data'!$D:$D)</f>
        <v>44314</v>
      </c>
      <c r="D2085" s="2" t="str">
        <f>_xlfn.XLOOKUP(A2085,'[1]Tissue Data'!$A:$A,'[1]Tissue Data'!$F:$F)</f>
        <v>Pumpkinseed</v>
      </c>
      <c r="E2085" t="str">
        <f>_xlfn.XLOOKUP(A2085,'[1]Tissue Data'!$A:$A,'[1]Tissue Data'!$H:$H)</f>
        <v>Lepomis</v>
      </c>
      <c r="F2085" t="str">
        <f>_xlfn.XLOOKUP(A2085,'[1]Tissue Data'!$A:$A,'[1]Tissue Data'!$I:$I)</f>
        <v>gibbosus</v>
      </c>
      <c r="G2085" t="str">
        <f>_xlfn.XLOOKUP(A2085,'[1]Tissue Data'!$A:$A,'[1]Tissue Data'!J:J)</f>
        <v>U</v>
      </c>
      <c r="H2085" t="str">
        <f>_xlfn.XLOOKUP(A2085,'[1]Tissue Data'!$A:$A,'[1]Tissue Data'!K:K)</f>
        <v>Whole Body</v>
      </c>
      <c r="I2085">
        <f>_xlfn.XLOOKUP(A2085,'[1]Tissue Data'!$A:$A,'[1]Tissue Data'!L:L)</f>
        <v>10.5</v>
      </c>
      <c r="J2085">
        <f>_xlfn.XLOOKUP(A2085,'[1]Tissue Data'!$A:$A,'[1]Tissue Data'!M:M)</f>
        <v>19.55</v>
      </c>
      <c r="K2085" t="s">
        <v>45</v>
      </c>
      <c r="L2085" t="str">
        <f>_xlfn.XLOOKUP(K2085,[2]analyte_order!$B:$B,[2]analyte_order!$C:$C)</f>
        <v>39108-34-4</v>
      </c>
      <c r="M2085">
        <f>_xlfn.XLOOKUP(L2085,[2]analyte_order!$C:$C,[2]analyte_order!$E:$E)</f>
        <v>24</v>
      </c>
      <c r="N2085">
        <v>1.39</v>
      </c>
    </row>
    <row r="2086" spans="1:14">
      <c r="A2086" t="s">
        <v>254</v>
      </c>
      <c r="B2086" t="str">
        <f>_xlfn.XLOOKUP(A2086,'[1]Tissue Data'!$A:$A,'[1]Tissue Data'!$C:$C)</f>
        <v>Spill</v>
      </c>
      <c r="C2086" s="2">
        <f>_xlfn.XLOOKUP(A2086,'[1]Tissue Data'!$A:$A,'[1]Tissue Data'!$D:$D)</f>
        <v>44314</v>
      </c>
      <c r="D2086" s="2" t="str">
        <f>_xlfn.XLOOKUP(A2086,'[1]Tissue Data'!$A:$A,'[1]Tissue Data'!$F:$F)</f>
        <v>Pumpkinseed</v>
      </c>
      <c r="E2086" t="str">
        <f>_xlfn.XLOOKUP(A2086,'[1]Tissue Data'!$A:$A,'[1]Tissue Data'!$H:$H)</f>
        <v>Lepomis</v>
      </c>
      <c r="F2086" t="str">
        <f>_xlfn.XLOOKUP(A2086,'[1]Tissue Data'!$A:$A,'[1]Tissue Data'!$I:$I)</f>
        <v>gibbosus</v>
      </c>
      <c r="G2086" t="str">
        <f>_xlfn.XLOOKUP(A2086,'[1]Tissue Data'!$A:$A,'[1]Tissue Data'!J:J)</f>
        <v>U</v>
      </c>
      <c r="H2086" t="str">
        <f>_xlfn.XLOOKUP(A2086,'[1]Tissue Data'!$A:$A,'[1]Tissue Data'!K:K)</f>
        <v>Whole Body</v>
      </c>
      <c r="I2086">
        <f>_xlfn.XLOOKUP(A2086,'[1]Tissue Data'!$A:$A,'[1]Tissue Data'!L:L)</f>
        <v>10.5</v>
      </c>
      <c r="J2086">
        <f>_xlfn.XLOOKUP(A2086,'[1]Tissue Data'!$A:$A,'[1]Tissue Data'!M:M)</f>
        <v>19.55</v>
      </c>
      <c r="K2086" t="s">
        <v>46</v>
      </c>
      <c r="L2086" t="str">
        <f>_xlfn.XLOOKUP(K2086,[2]analyte_order!$B:$B,[2]analyte_order!$C:$C)</f>
        <v>120226-60-0</v>
      </c>
      <c r="M2086">
        <f>_xlfn.XLOOKUP(L2086,[2]analyte_order!$C:$C,[2]analyte_order!$E:$E)</f>
        <v>25</v>
      </c>
      <c r="N2086">
        <v>8.2000000000000003E-2</v>
      </c>
    </row>
    <row r="2087" spans="1:14">
      <c r="A2087" t="s">
        <v>254</v>
      </c>
      <c r="B2087" t="str">
        <f>_xlfn.XLOOKUP(A2087,'[1]Tissue Data'!$A:$A,'[1]Tissue Data'!$C:$C)</f>
        <v>Spill</v>
      </c>
      <c r="C2087" s="2">
        <f>_xlfn.XLOOKUP(A2087,'[1]Tissue Data'!$A:$A,'[1]Tissue Data'!$D:$D)</f>
        <v>44314</v>
      </c>
      <c r="D2087" s="2" t="str">
        <f>_xlfn.XLOOKUP(A2087,'[1]Tissue Data'!$A:$A,'[1]Tissue Data'!$F:$F)</f>
        <v>Pumpkinseed</v>
      </c>
      <c r="E2087" t="str">
        <f>_xlfn.XLOOKUP(A2087,'[1]Tissue Data'!$A:$A,'[1]Tissue Data'!$H:$H)</f>
        <v>Lepomis</v>
      </c>
      <c r="F2087" t="str">
        <f>_xlfn.XLOOKUP(A2087,'[1]Tissue Data'!$A:$A,'[1]Tissue Data'!$I:$I)</f>
        <v>gibbosus</v>
      </c>
      <c r="G2087" t="str">
        <f>_xlfn.XLOOKUP(A2087,'[1]Tissue Data'!$A:$A,'[1]Tissue Data'!J:J)</f>
        <v>U</v>
      </c>
      <c r="H2087" t="str">
        <f>_xlfn.XLOOKUP(A2087,'[1]Tissue Data'!$A:$A,'[1]Tissue Data'!K:K)</f>
        <v>Whole Body</v>
      </c>
      <c r="I2087">
        <f>_xlfn.XLOOKUP(A2087,'[1]Tissue Data'!$A:$A,'[1]Tissue Data'!L:L)</f>
        <v>10.5</v>
      </c>
      <c r="J2087">
        <f>_xlfn.XLOOKUP(A2087,'[1]Tissue Data'!$A:$A,'[1]Tissue Data'!M:M)</f>
        <v>19.55</v>
      </c>
      <c r="K2087" t="s">
        <v>47</v>
      </c>
      <c r="L2087" t="str">
        <f>_xlfn.XLOOKUP(K2087,[2]analyte_order!$B:$B,[2]analyte_order!$C:$C)</f>
        <v>356-02-5</v>
      </c>
      <c r="M2087">
        <f>_xlfn.XLOOKUP(L2087,[2]analyte_order!$C:$C,[2]analyte_order!$E:$E)</f>
        <v>38</v>
      </c>
      <c r="N2087">
        <v>8.3000000000000004E-2</v>
      </c>
    </row>
    <row r="2088" spans="1:14">
      <c r="A2088" t="s">
        <v>254</v>
      </c>
      <c r="B2088" t="str">
        <f>_xlfn.XLOOKUP(A2088,'[1]Tissue Data'!$A:$A,'[1]Tissue Data'!$C:$C)</f>
        <v>Spill</v>
      </c>
      <c r="C2088" s="2">
        <f>_xlfn.XLOOKUP(A2088,'[1]Tissue Data'!$A:$A,'[1]Tissue Data'!$D:$D)</f>
        <v>44314</v>
      </c>
      <c r="D2088" s="2" t="str">
        <f>_xlfn.XLOOKUP(A2088,'[1]Tissue Data'!$A:$A,'[1]Tissue Data'!$F:$F)</f>
        <v>Pumpkinseed</v>
      </c>
      <c r="E2088" t="str">
        <f>_xlfn.XLOOKUP(A2088,'[1]Tissue Data'!$A:$A,'[1]Tissue Data'!$H:$H)</f>
        <v>Lepomis</v>
      </c>
      <c r="F2088" t="str">
        <f>_xlfn.XLOOKUP(A2088,'[1]Tissue Data'!$A:$A,'[1]Tissue Data'!$I:$I)</f>
        <v>gibbosus</v>
      </c>
      <c r="G2088" t="str">
        <f>_xlfn.XLOOKUP(A2088,'[1]Tissue Data'!$A:$A,'[1]Tissue Data'!J:J)</f>
        <v>U</v>
      </c>
      <c r="H2088" t="str">
        <f>_xlfn.XLOOKUP(A2088,'[1]Tissue Data'!$A:$A,'[1]Tissue Data'!K:K)</f>
        <v>Whole Body</v>
      </c>
      <c r="I2088">
        <f>_xlfn.XLOOKUP(A2088,'[1]Tissue Data'!$A:$A,'[1]Tissue Data'!L:L)</f>
        <v>10.5</v>
      </c>
      <c r="J2088">
        <f>_xlfn.XLOOKUP(A2088,'[1]Tissue Data'!$A:$A,'[1]Tissue Data'!M:M)</f>
        <v>19.55</v>
      </c>
      <c r="K2088" t="s">
        <v>48</v>
      </c>
      <c r="L2088" t="str">
        <f>_xlfn.XLOOKUP(K2088,[2]analyte_order!$B:$B,[2]analyte_order!$C:$C)</f>
        <v>914637-49-3</v>
      </c>
      <c r="M2088">
        <f>_xlfn.XLOOKUP(L2088,[2]analyte_order!$C:$C,[2]analyte_order!$E:$E)</f>
        <v>39</v>
      </c>
      <c r="N2088">
        <v>0.17949999999999999</v>
      </c>
    </row>
    <row r="2089" spans="1:14">
      <c r="A2089" t="s">
        <v>254</v>
      </c>
      <c r="B2089" t="str">
        <f>_xlfn.XLOOKUP(A2089,'[1]Tissue Data'!$A:$A,'[1]Tissue Data'!$C:$C)</f>
        <v>Spill</v>
      </c>
      <c r="C2089" s="2">
        <f>_xlfn.XLOOKUP(A2089,'[1]Tissue Data'!$A:$A,'[1]Tissue Data'!$D:$D)</f>
        <v>44314</v>
      </c>
      <c r="D2089" s="2" t="str">
        <f>_xlfn.XLOOKUP(A2089,'[1]Tissue Data'!$A:$A,'[1]Tissue Data'!$F:$F)</f>
        <v>Pumpkinseed</v>
      </c>
      <c r="E2089" t="str">
        <f>_xlfn.XLOOKUP(A2089,'[1]Tissue Data'!$A:$A,'[1]Tissue Data'!$H:$H)</f>
        <v>Lepomis</v>
      </c>
      <c r="F2089" t="str">
        <f>_xlfn.XLOOKUP(A2089,'[1]Tissue Data'!$A:$A,'[1]Tissue Data'!$I:$I)</f>
        <v>gibbosus</v>
      </c>
      <c r="G2089" t="str">
        <f>_xlfn.XLOOKUP(A2089,'[1]Tissue Data'!$A:$A,'[1]Tissue Data'!J:J)</f>
        <v>U</v>
      </c>
      <c r="H2089" t="str">
        <f>_xlfn.XLOOKUP(A2089,'[1]Tissue Data'!$A:$A,'[1]Tissue Data'!K:K)</f>
        <v>Whole Body</v>
      </c>
      <c r="I2089">
        <f>_xlfn.XLOOKUP(A2089,'[1]Tissue Data'!$A:$A,'[1]Tissue Data'!L:L)</f>
        <v>10.5</v>
      </c>
      <c r="J2089">
        <f>_xlfn.XLOOKUP(A2089,'[1]Tissue Data'!$A:$A,'[1]Tissue Data'!M:M)</f>
        <v>19.55</v>
      </c>
      <c r="K2089" t="s">
        <v>49</v>
      </c>
      <c r="L2089" t="str">
        <f>_xlfn.XLOOKUP(K2089,[2]analyte_order!$B:$B,[2]analyte_order!$C:$C)</f>
        <v>812-70-4</v>
      </c>
      <c r="M2089">
        <f>_xlfn.XLOOKUP(L2089,[2]analyte_order!$C:$C,[2]analyte_order!$E:$E)</f>
        <v>40</v>
      </c>
      <c r="N2089">
        <v>3.67</v>
      </c>
    </row>
    <row r="2090" spans="1:14">
      <c r="A2090" t="s">
        <v>254</v>
      </c>
      <c r="B2090" t="str">
        <f>_xlfn.XLOOKUP(A2090,'[1]Tissue Data'!$A:$A,'[1]Tissue Data'!$C:$C)</f>
        <v>Spill</v>
      </c>
      <c r="C2090" s="2">
        <f>_xlfn.XLOOKUP(A2090,'[1]Tissue Data'!$A:$A,'[1]Tissue Data'!$D:$D)</f>
        <v>44314</v>
      </c>
      <c r="D2090" s="2" t="str">
        <f>_xlfn.XLOOKUP(A2090,'[1]Tissue Data'!$A:$A,'[1]Tissue Data'!$F:$F)</f>
        <v>Pumpkinseed</v>
      </c>
      <c r="E2090" t="str">
        <f>_xlfn.XLOOKUP(A2090,'[1]Tissue Data'!$A:$A,'[1]Tissue Data'!$H:$H)</f>
        <v>Lepomis</v>
      </c>
      <c r="F2090" t="str">
        <f>_xlfn.XLOOKUP(A2090,'[1]Tissue Data'!$A:$A,'[1]Tissue Data'!$I:$I)</f>
        <v>gibbosus</v>
      </c>
      <c r="G2090" t="str">
        <f>_xlfn.XLOOKUP(A2090,'[1]Tissue Data'!$A:$A,'[1]Tissue Data'!J:J)</f>
        <v>U</v>
      </c>
      <c r="H2090" t="str">
        <f>_xlfn.XLOOKUP(A2090,'[1]Tissue Data'!$A:$A,'[1]Tissue Data'!K:K)</f>
        <v>Whole Body</v>
      </c>
      <c r="I2090">
        <f>_xlfn.XLOOKUP(A2090,'[1]Tissue Data'!$A:$A,'[1]Tissue Data'!L:L)</f>
        <v>10.5</v>
      </c>
      <c r="J2090">
        <f>_xlfn.XLOOKUP(A2090,'[1]Tissue Data'!$A:$A,'[1]Tissue Data'!M:M)</f>
        <v>19.55</v>
      </c>
      <c r="K2090" t="s">
        <v>50</v>
      </c>
      <c r="L2090" t="str">
        <f>_xlfn.XLOOKUP(K2090,[2]analyte_order!$B:$B,[2]analyte_order!$C:$C)</f>
        <v>53826-12-3</v>
      </c>
      <c r="M2090">
        <f>_xlfn.XLOOKUP(L2090,[2]analyte_order!$C:$C,[2]analyte_order!$E:$E)</f>
        <v>41</v>
      </c>
      <c r="N2090">
        <v>4.6199999999999998E-2</v>
      </c>
    </row>
    <row r="2091" spans="1:14">
      <c r="A2091" t="s">
        <v>254</v>
      </c>
      <c r="B2091" t="str">
        <f>_xlfn.XLOOKUP(A2091,'[1]Tissue Data'!$A:$A,'[1]Tissue Data'!$C:$C)</f>
        <v>Spill</v>
      </c>
      <c r="C2091" s="2">
        <f>_xlfn.XLOOKUP(A2091,'[1]Tissue Data'!$A:$A,'[1]Tissue Data'!$D:$D)</f>
        <v>44314</v>
      </c>
      <c r="D2091" s="2" t="str">
        <f>_xlfn.XLOOKUP(A2091,'[1]Tissue Data'!$A:$A,'[1]Tissue Data'!$F:$F)</f>
        <v>Pumpkinseed</v>
      </c>
      <c r="E2091" t="str">
        <f>_xlfn.XLOOKUP(A2091,'[1]Tissue Data'!$A:$A,'[1]Tissue Data'!$H:$H)</f>
        <v>Lepomis</v>
      </c>
      <c r="F2091" t="str">
        <f>_xlfn.XLOOKUP(A2091,'[1]Tissue Data'!$A:$A,'[1]Tissue Data'!$I:$I)</f>
        <v>gibbosus</v>
      </c>
      <c r="G2091" t="str">
        <f>_xlfn.XLOOKUP(A2091,'[1]Tissue Data'!$A:$A,'[1]Tissue Data'!J:J)</f>
        <v>U</v>
      </c>
      <c r="H2091" t="str">
        <f>_xlfn.XLOOKUP(A2091,'[1]Tissue Data'!$A:$A,'[1]Tissue Data'!K:K)</f>
        <v>Whole Body</v>
      </c>
      <c r="I2091">
        <f>_xlfn.XLOOKUP(A2091,'[1]Tissue Data'!$A:$A,'[1]Tissue Data'!L:L)</f>
        <v>10.5</v>
      </c>
      <c r="J2091">
        <f>_xlfn.XLOOKUP(A2091,'[1]Tissue Data'!$A:$A,'[1]Tissue Data'!M:M)</f>
        <v>19.55</v>
      </c>
      <c r="K2091" t="s">
        <v>51</v>
      </c>
      <c r="L2091" t="str">
        <f>_xlfn.XLOOKUP(K2091,[2]analyte_order!$B:$B,[2]analyte_order!$C:$C)</f>
        <v>27854-31-5</v>
      </c>
      <c r="M2091">
        <f>_xlfn.XLOOKUP(L2091,[2]analyte_order!$C:$C,[2]analyte_order!$E:$E)</f>
        <v>42</v>
      </c>
      <c r="N2091">
        <v>2.8799999999999999E-2</v>
      </c>
    </row>
    <row r="2092" spans="1:14">
      <c r="A2092" t="s">
        <v>254</v>
      </c>
      <c r="B2092" t="str">
        <f>_xlfn.XLOOKUP(A2092,'[1]Tissue Data'!$A:$A,'[1]Tissue Data'!$C:$C)</f>
        <v>Spill</v>
      </c>
      <c r="C2092" s="2">
        <f>_xlfn.XLOOKUP(A2092,'[1]Tissue Data'!$A:$A,'[1]Tissue Data'!$D:$D)</f>
        <v>44314</v>
      </c>
      <c r="D2092" s="2" t="str">
        <f>_xlfn.XLOOKUP(A2092,'[1]Tissue Data'!$A:$A,'[1]Tissue Data'!$F:$F)</f>
        <v>Pumpkinseed</v>
      </c>
      <c r="E2092" t="str">
        <f>_xlfn.XLOOKUP(A2092,'[1]Tissue Data'!$A:$A,'[1]Tissue Data'!$H:$H)</f>
        <v>Lepomis</v>
      </c>
      <c r="F2092" t="str">
        <f>_xlfn.XLOOKUP(A2092,'[1]Tissue Data'!$A:$A,'[1]Tissue Data'!$I:$I)</f>
        <v>gibbosus</v>
      </c>
      <c r="G2092" t="str">
        <f>_xlfn.XLOOKUP(A2092,'[1]Tissue Data'!$A:$A,'[1]Tissue Data'!J:J)</f>
        <v>U</v>
      </c>
      <c r="H2092" t="str">
        <f>_xlfn.XLOOKUP(A2092,'[1]Tissue Data'!$A:$A,'[1]Tissue Data'!K:K)</f>
        <v>Whole Body</v>
      </c>
      <c r="I2092">
        <f>_xlfn.XLOOKUP(A2092,'[1]Tissue Data'!$A:$A,'[1]Tissue Data'!L:L)</f>
        <v>10.5</v>
      </c>
      <c r="J2092">
        <f>_xlfn.XLOOKUP(A2092,'[1]Tissue Data'!$A:$A,'[1]Tissue Data'!M:M)</f>
        <v>19.55</v>
      </c>
      <c r="K2092" t="s">
        <v>52</v>
      </c>
      <c r="L2092" t="str">
        <f>_xlfn.XLOOKUP(K2092,[2]analyte_order!$B:$B,[2]analyte_order!$C:$C)</f>
        <v>53826-13-4</v>
      </c>
      <c r="M2092">
        <f>_xlfn.XLOOKUP(L2092,[2]analyte_order!$C:$C,[2]analyte_order!$E:$E)</f>
        <v>43</v>
      </c>
      <c r="N2092">
        <v>0.1075</v>
      </c>
    </row>
    <row r="2093" spans="1:14">
      <c r="A2093" t="s">
        <v>254</v>
      </c>
      <c r="B2093" t="str">
        <f>_xlfn.XLOOKUP(A2093,'[1]Tissue Data'!$A:$A,'[1]Tissue Data'!$C:$C)</f>
        <v>Spill</v>
      </c>
      <c r="C2093" s="2">
        <f>_xlfn.XLOOKUP(A2093,'[1]Tissue Data'!$A:$A,'[1]Tissue Data'!$D:$D)</f>
        <v>44314</v>
      </c>
      <c r="D2093" s="2" t="str">
        <f>_xlfn.XLOOKUP(A2093,'[1]Tissue Data'!$A:$A,'[1]Tissue Data'!$F:$F)</f>
        <v>Pumpkinseed</v>
      </c>
      <c r="E2093" t="str">
        <f>_xlfn.XLOOKUP(A2093,'[1]Tissue Data'!$A:$A,'[1]Tissue Data'!$H:$H)</f>
        <v>Lepomis</v>
      </c>
      <c r="F2093" t="str">
        <f>_xlfn.XLOOKUP(A2093,'[1]Tissue Data'!$A:$A,'[1]Tissue Data'!$I:$I)</f>
        <v>gibbosus</v>
      </c>
      <c r="G2093" t="str">
        <f>_xlfn.XLOOKUP(A2093,'[1]Tissue Data'!$A:$A,'[1]Tissue Data'!J:J)</f>
        <v>U</v>
      </c>
      <c r="H2093" t="str">
        <f>_xlfn.XLOOKUP(A2093,'[1]Tissue Data'!$A:$A,'[1]Tissue Data'!K:K)</f>
        <v>Whole Body</v>
      </c>
      <c r="I2093">
        <f>_xlfn.XLOOKUP(A2093,'[1]Tissue Data'!$A:$A,'[1]Tissue Data'!L:L)</f>
        <v>10.5</v>
      </c>
      <c r="J2093">
        <f>_xlfn.XLOOKUP(A2093,'[1]Tissue Data'!$A:$A,'[1]Tissue Data'!M:M)</f>
        <v>19.55</v>
      </c>
      <c r="K2093" t="s">
        <v>53</v>
      </c>
      <c r="L2093" t="str">
        <f>_xlfn.XLOOKUP(K2093,[2]analyte_order!$B:$B,[2]analyte_order!$C:$C)</f>
        <v>161094-75-3</v>
      </c>
      <c r="M2093">
        <f>_xlfn.XLOOKUP(L2093,[2]analyte_order!$C:$C,[2]analyte_order!$E:$E)</f>
        <v>44</v>
      </c>
      <c r="N2093">
        <v>5.6500000000000002E-2</v>
      </c>
    </row>
    <row r="2094" spans="1:14">
      <c r="A2094" t="s">
        <v>254</v>
      </c>
      <c r="B2094" t="str">
        <f>_xlfn.XLOOKUP(A2094,'[1]Tissue Data'!$A:$A,'[1]Tissue Data'!$C:$C)</f>
        <v>Spill</v>
      </c>
      <c r="C2094" s="2">
        <f>_xlfn.XLOOKUP(A2094,'[1]Tissue Data'!$A:$A,'[1]Tissue Data'!$D:$D)</f>
        <v>44314</v>
      </c>
      <c r="D2094" s="2" t="str">
        <f>_xlfn.XLOOKUP(A2094,'[1]Tissue Data'!$A:$A,'[1]Tissue Data'!$F:$F)</f>
        <v>Pumpkinseed</v>
      </c>
      <c r="E2094" t="str">
        <f>_xlfn.XLOOKUP(A2094,'[1]Tissue Data'!$A:$A,'[1]Tissue Data'!$H:$H)</f>
        <v>Lepomis</v>
      </c>
      <c r="F2094" t="str">
        <f>_xlfn.XLOOKUP(A2094,'[1]Tissue Data'!$A:$A,'[1]Tissue Data'!$I:$I)</f>
        <v>gibbosus</v>
      </c>
      <c r="G2094" t="str">
        <f>_xlfn.XLOOKUP(A2094,'[1]Tissue Data'!$A:$A,'[1]Tissue Data'!J:J)</f>
        <v>U</v>
      </c>
      <c r="H2094" t="str">
        <f>_xlfn.XLOOKUP(A2094,'[1]Tissue Data'!$A:$A,'[1]Tissue Data'!K:K)</f>
        <v>Whole Body</v>
      </c>
      <c r="I2094">
        <f>_xlfn.XLOOKUP(A2094,'[1]Tissue Data'!$A:$A,'[1]Tissue Data'!L:L)</f>
        <v>10.5</v>
      </c>
      <c r="J2094">
        <f>_xlfn.XLOOKUP(A2094,'[1]Tissue Data'!$A:$A,'[1]Tissue Data'!M:M)</f>
        <v>19.55</v>
      </c>
      <c r="K2094" t="s">
        <v>54</v>
      </c>
      <c r="L2094" t="str">
        <f>_xlfn.XLOOKUP(K2094,[2]analyte_order!$B:$B,[2]analyte_order!$C:$C)</f>
        <v>70887-84-2</v>
      </c>
      <c r="M2094">
        <f>_xlfn.XLOOKUP(L2094,[2]analyte_order!$C:$C,[2]analyte_order!$E:$E)</f>
        <v>45</v>
      </c>
      <c r="N2094">
        <v>4.3499999999999997E-2</v>
      </c>
    </row>
    <row r="2095" spans="1:14">
      <c r="A2095" t="s">
        <v>254</v>
      </c>
      <c r="B2095" t="str">
        <f>_xlfn.XLOOKUP(A2095,'[1]Tissue Data'!$A:$A,'[1]Tissue Data'!$C:$C)</f>
        <v>Spill</v>
      </c>
      <c r="C2095" s="2">
        <f>_xlfn.XLOOKUP(A2095,'[1]Tissue Data'!$A:$A,'[1]Tissue Data'!$D:$D)</f>
        <v>44314</v>
      </c>
      <c r="D2095" s="2" t="str">
        <f>_xlfn.XLOOKUP(A2095,'[1]Tissue Data'!$A:$A,'[1]Tissue Data'!$F:$F)</f>
        <v>Pumpkinseed</v>
      </c>
      <c r="E2095" t="str">
        <f>_xlfn.XLOOKUP(A2095,'[1]Tissue Data'!$A:$A,'[1]Tissue Data'!$H:$H)</f>
        <v>Lepomis</v>
      </c>
      <c r="F2095" t="str">
        <f>_xlfn.XLOOKUP(A2095,'[1]Tissue Data'!$A:$A,'[1]Tissue Data'!$I:$I)</f>
        <v>gibbosus</v>
      </c>
      <c r="G2095" t="str">
        <f>_xlfn.XLOOKUP(A2095,'[1]Tissue Data'!$A:$A,'[1]Tissue Data'!J:J)</f>
        <v>U</v>
      </c>
      <c r="H2095" t="str">
        <f>_xlfn.XLOOKUP(A2095,'[1]Tissue Data'!$A:$A,'[1]Tissue Data'!K:K)</f>
        <v>Whole Body</v>
      </c>
      <c r="I2095">
        <f>_xlfn.XLOOKUP(A2095,'[1]Tissue Data'!$A:$A,'[1]Tissue Data'!L:L)</f>
        <v>10.5</v>
      </c>
      <c r="J2095">
        <f>_xlfn.XLOOKUP(A2095,'[1]Tissue Data'!$A:$A,'[1]Tissue Data'!M:M)</f>
        <v>19.55</v>
      </c>
      <c r="K2095" t="s">
        <v>55</v>
      </c>
      <c r="L2095" t="str">
        <f>_xlfn.XLOOKUP(K2095,[2]analyte_order!$B:$B,[2]analyte_order!$C:$C)</f>
        <v>919005-14-4</v>
      </c>
      <c r="M2095">
        <f>_xlfn.XLOOKUP(L2095,[2]analyte_order!$C:$C,[2]analyte_order!$E:$E)</f>
        <v>35</v>
      </c>
      <c r="N2095">
        <v>7.1999999999999995E-2</v>
      </c>
    </row>
    <row r="2096" spans="1:14">
      <c r="A2096" t="s">
        <v>254</v>
      </c>
      <c r="B2096" t="str">
        <f>_xlfn.XLOOKUP(A2096,'[1]Tissue Data'!$A:$A,'[1]Tissue Data'!$C:$C)</f>
        <v>Spill</v>
      </c>
      <c r="C2096" s="2">
        <f>_xlfn.XLOOKUP(A2096,'[1]Tissue Data'!$A:$A,'[1]Tissue Data'!$D:$D)</f>
        <v>44314</v>
      </c>
      <c r="D2096" s="2" t="str">
        <f>_xlfn.XLOOKUP(A2096,'[1]Tissue Data'!$A:$A,'[1]Tissue Data'!$F:$F)</f>
        <v>Pumpkinseed</v>
      </c>
      <c r="E2096" t="str">
        <f>_xlfn.XLOOKUP(A2096,'[1]Tissue Data'!$A:$A,'[1]Tissue Data'!$H:$H)</f>
        <v>Lepomis</v>
      </c>
      <c r="F2096" t="str">
        <f>_xlfn.XLOOKUP(A2096,'[1]Tissue Data'!$A:$A,'[1]Tissue Data'!$I:$I)</f>
        <v>gibbosus</v>
      </c>
      <c r="G2096" t="str">
        <f>_xlfn.XLOOKUP(A2096,'[1]Tissue Data'!$A:$A,'[1]Tissue Data'!J:J)</f>
        <v>U</v>
      </c>
      <c r="H2096" t="str">
        <f>_xlfn.XLOOKUP(A2096,'[1]Tissue Data'!$A:$A,'[1]Tissue Data'!K:K)</f>
        <v>Whole Body</v>
      </c>
      <c r="I2096">
        <f>_xlfn.XLOOKUP(A2096,'[1]Tissue Data'!$A:$A,'[1]Tissue Data'!L:L)</f>
        <v>10.5</v>
      </c>
      <c r="J2096">
        <f>_xlfn.XLOOKUP(A2096,'[1]Tissue Data'!$A:$A,'[1]Tissue Data'!M:M)</f>
        <v>19.55</v>
      </c>
      <c r="K2096" t="s">
        <v>56</v>
      </c>
      <c r="L2096" t="str">
        <f>_xlfn.XLOOKUP(K2096,[2]analyte_order!$B:$B,[2]analyte_order!$C:$C)</f>
        <v>756426-58-1</v>
      </c>
      <c r="M2096">
        <f>_xlfn.XLOOKUP(L2096,[2]analyte_order!$C:$C,[2]analyte_order!$E:$E)</f>
        <v>36</v>
      </c>
      <c r="N2096">
        <v>0.05</v>
      </c>
    </row>
    <row r="2097" spans="1:14">
      <c r="A2097" t="s">
        <v>254</v>
      </c>
      <c r="B2097" t="str">
        <f>_xlfn.XLOOKUP(A2097,'[1]Tissue Data'!$A:$A,'[1]Tissue Data'!$C:$C)</f>
        <v>Spill</v>
      </c>
      <c r="C2097" s="2">
        <f>_xlfn.XLOOKUP(A2097,'[1]Tissue Data'!$A:$A,'[1]Tissue Data'!$D:$D)</f>
        <v>44314</v>
      </c>
      <c r="D2097" s="2" t="str">
        <f>_xlfn.XLOOKUP(A2097,'[1]Tissue Data'!$A:$A,'[1]Tissue Data'!$F:$F)</f>
        <v>Pumpkinseed</v>
      </c>
      <c r="E2097" t="str">
        <f>_xlfn.XLOOKUP(A2097,'[1]Tissue Data'!$A:$A,'[1]Tissue Data'!$H:$H)</f>
        <v>Lepomis</v>
      </c>
      <c r="F2097" t="str">
        <f>_xlfn.XLOOKUP(A2097,'[1]Tissue Data'!$A:$A,'[1]Tissue Data'!$I:$I)</f>
        <v>gibbosus</v>
      </c>
      <c r="G2097" t="str">
        <f>_xlfn.XLOOKUP(A2097,'[1]Tissue Data'!$A:$A,'[1]Tissue Data'!J:J)</f>
        <v>U</v>
      </c>
      <c r="H2097" t="str">
        <f>_xlfn.XLOOKUP(A2097,'[1]Tissue Data'!$A:$A,'[1]Tissue Data'!K:K)</f>
        <v>Whole Body</v>
      </c>
      <c r="I2097">
        <f>_xlfn.XLOOKUP(A2097,'[1]Tissue Data'!$A:$A,'[1]Tissue Data'!L:L)</f>
        <v>10.5</v>
      </c>
      <c r="J2097">
        <f>_xlfn.XLOOKUP(A2097,'[1]Tissue Data'!$A:$A,'[1]Tissue Data'!M:M)</f>
        <v>19.55</v>
      </c>
      <c r="K2097" t="s">
        <v>57</v>
      </c>
      <c r="L2097" t="str">
        <f>_xlfn.XLOOKUP(K2097,[2]analyte_order!$B:$B,[2]analyte_order!$C:$C)</f>
        <v>763051-92-9</v>
      </c>
      <c r="M2097">
        <f>_xlfn.XLOOKUP(L2097,[2]analyte_order!$C:$C,[2]analyte_order!$E:$E)</f>
        <v>37</v>
      </c>
      <c r="N2097">
        <v>5.7000000000000002E-2</v>
      </c>
    </row>
    <row r="2098" spans="1:14">
      <c r="A2098" t="s">
        <v>254</v>
      </c>
      <c r="B2098" t="str">
        <f>_xlfn.XLOOKUP(A2098,'[1]Tissue Data'!$A:$A,'[1]Tissue Data'!$C:$C)</f>
        <v>Spill</v>
      </c>
      <c r="C2098" s="2">
        <f>_xlfn.XLOOKUP(A2098,'[1]Tissue Data'!$A:$A,'[1]Tissue Data'!$D:$D)</f>
        <v>44314</v>
      </c>
      <c r="D2098" s="2" t="str">
        <f>_xlfn.XLOOKUP(A2098,'[1]Tissue Data'!$A:$A,'[1]Tissue Data'!$F:$F)</f>
        <v>Pumpkinseed</v>
      </c>
      <c r="E2098" t="str">
        <f>_xlfn.XLOOKUP(A2098,'[1]Tissue Data'!$A:$A,'[1]Tissue Data'!$H:$H)</f>
        <v>Lepomis</v>
      </c>
      <c r="F2098" t="str">
        <f>_xlfn.XLOOKUP(A2098,'[1]Tissue Data'!$A:$A,'[1]Tissue Data'!$I:$I)</f>
        <v>gibbosus</v>
      </c>
      <c r="G2098" t="str">
        <f>_xlfn.XLOOKUP(A2098,'[1]Tissue Data'!$A:$A,'[1]Tissue Data'!J:J)</f>
        <v>U</v>
      </c>
      <c r="H2098" t="str">
        <f>_xlfn.XLOOKUP(A2098,'[1]Tissue Data'!$A:$A,'[1]Tissue Data'!K:K)</f>
        <v>Whole Body</v>
      </c>
      <c r="I2098">
        <f>_xlfn.XLOOKUP(A2098,'[1]Tissue Data'!$A:$A,'[1]Tissue Data'!L:L)</f>
        <v>10.5</v>
      </c>
      <c r="J2098">
        <f>_xlfn.XLOOKUP(A2098,'[1]Tissue Data'!$A:$A,'[1]Tissue Data'!M:M)</f>
        <v>19.55</v>
      </c>
      <c r="K2098" t="s">
        <v>58</v>
      </c>
      <c r="L2098" t="str">
        <f>_xlfn.XLOOKUP(K2098,[2]analyte_order!$B:$B,[2]analyte_order!$C:$C)</f>
        <v>13252-13-6</v>
      </c>
      <c r="M2098">
        <f>_xlfn.XLOOKUP(L2098,[2]analyte_order!$C:$C,[2]analyte_order!$E:$E)</f>
        <v>34</v>
      </c>
      <c r="N2098">
        <v>0.34150000000000003</v>
      </c>
    </row>
    <row r="2099" spans="1:14">
      <c r="A2099" t="s">
        <v>254</v>
      </c>
      <c r="B2099" t="str">
        <f>_xlfn.XLOOKUP(A2099,'[1]Tissue Data'!$A:$A,'[1]Tissue Data'!$C:$C)</f>
        <v>Spill</v>
      </c>
      <c r="C2099" s="2">
        <f>_xlfn.XLOOKUP(A2099,'[1]Tissue Data'!$A:$A,'[1]Tissue Data'!$D:$D)</f>
        <v>44314</v>
      </c>
      <c r="D2099" s="2" t="str">
        <f>_xlfn.XLOOKUP(A2099,'[1]Tissue Data'!$A:$A,'[1]Tissue Data'!$F:$F)</f>
        <v>Pumpkinseed</v>
      </c>
      <c r="E2099" t="str">
        <f>_xlfn.XLOOKUP(A2099,'[1]Tissue Data'!$A:$A,'[1]Tissue Data'!$H:$H)</f>
        <v>Lepomis</v>
      </c>
      <c r="F2099" t="str">
        <f>_xlfn.XLOOKUP(A2099,'[1]Tissue Data'!$A:$A,'[1]Tissue Data'!$I:$I)</f>
        <v>gibbosus</v>
      </c>
      <c r="G2099" t="str">
        <f>_xlfn.XLOOKUP(A2099,'[1]Tissue Data'!$A:$A,'[1]Tissue Data'!J:J)</f>
        <v>U</v>
      </c>
      <c r="H2099" t="str">
        <f>_xlfn.XLOOKUP(A2099,'[1]Tissue Data'!$A:$A,'[1]Tissue Data'!K:K)</f>
        <v>Whole Body</v>
      </c>
      <c r="I2099">
        <f>_xlfn.XLOOKUP(A2099,'[1]Tissue Data'!$A:$A,'[1]Tissue Data'!L:L)</f>
        <v>10.5</v>
      </c>
      <c r="J2099">
        <f>_xlfn.XLOOKUP(A2099,'[1]Tissue Data'!$A:$A,'[1]Tissue Data'!M:M)</f>
        <v>19.55</v>
      </c>
      <c r="K2099" t="s">
        <v>59</v>
      </c>
      <c r="L2099" t="str">
        <f>_xlfn.XLOOKUP(K2099,[2]analyte_order!$B:$B,[2]analyte_order!$C:$C)</f>
        <v>57677-95-9</v>
      </c>
      <c r="M2099">
        <f>_xlfn.XLOOKUP(L2099,[2]analyte_order!$C:$C,[2]analyte_order!$E:$E)</f>
        <v>46</v>
      </c>
      <c r="N2099">
        <v>7.6499999999999999E-2</v>
      </c>
    </row>
    <row r="2100" spans="1:14">
      <c r="A2100" t="s">
        <v>254</v>
      </c>
      <c r="B2100" t="str">
        <f>_xlfn.XLOOKUP(A2100,'[1]Tissue Data'!$A:$A,'[1]Tissue Data'!$C:$C)</f>
        <v>Spill</v>
      </c>
      <c r="C2100" s="2">
        <f>_xlfn.XLOOKUP(A2100,'[1]Tissue Data'!$A:$A,'[1]Tissue Data'!$D:$D)</f>
        <v>44314</v>
      </c>
      <c r="D2100" s="2" t="str">
        <f>_xlfn.XLOOKUP(A2100,'[1]Tissue Data'!$A:$A,'[1]Tissue Data'!$F:$F)</f>
        <v>Pumpkinseed</v>
      </c>
      <c r="E2100" t="str">
        <f>_xlfn.XLOOKUP(A2100,'[1]Tissue Data'!$A:$A,'[1]Tissue Data'!$H:$H)</f>
        <v>Lepomis</v>
      </c>
      <c r="F2100" t="str">
        <f>_xlfn.XLOOKUP(A2100,'[1]Tissue Data'!$A:$A,'[1]Tissue Data'!$I:$I)</f>
        <v>gibbosus</v>
      </c>
      <c r="G2100" t="str">
        <f>_xlfn.XLOOKUP(A2100,'[1]Tissue Data'!$A:$A,'[1]Tissue Data'!J:J)</f>
        <v>U</v>
      </c>
      <c r="H2100" t="str">
        <f>_xlfn.XLOOKUP(A2100,'[1]Tissue Data'!$A:$A,'[1]Tissue Data'!K:K)</f>
        <v>Whole Body</v>
      </c>
      <c r="I2100">
        <f>_xlfn.XLOOKUP(A2100,'[1]Tissue Data'!$A:$A,'[1]Tissue Data'!L:L)</f>
        <v>10.5</v>
      </c>
      <c r="J2100">
        <f>_xlfn.XLOOKUP(A2100,'[1]Tissue Data'!$A:$A,'[1]Tissue Data'!M:M)</f>
        <v>19.55</v>
      </c>
      <c r="K2100" t="s">
        <v>60</v>
      </c>
      <c r="L2100" t="str">
        <f>_xlfn.XLOOKUP(K2100,[2]analyte_order!$B:$B,[2]analyte_order!$C:$C)</f>
        <v>678-41-1</v>
      </c>
      <c r="M2100">
        <f>_xlfn.XLOOKUP(L2100,[2]analyte_order!$C:$C,[2]analyte_order!$E:$E)</f>
        <v>56</v>
      </c>
      <c r="N2100">
        <v>9.5500000000000002E-2</v>
      </c>
    </row>
    <row r="2101" spans="1:14">
      <c r="A2101" t="s">
        <v>254</v>
      </c>
      <c r="B2101" t="str">
        <f>_xlfn.XLOOKUP(A2101,'[1]Tissue Data'!$A:$A,'[1]Tissue Data'!$C:$C)</f>
        <v>Spill</v>
      </c>
      <c r="C2101" s="2">
        <f>_xlfn.XLOOKUP(A2101,'[1]Tissue Data'!$A:$A,'[1]Tissue Data'!$D:$D)</f>
        <v>44314</v>
      </c>
      <c r="D2101" s="2" t="str">
        <f>_xlfn.XLOOKUP(A2101,'[1]Tissue Data'!$A:$A,'[1]Tissue Data'!$F:$F)</f>
        <v>Pumpkinseed</v>
      </c>
      <c r="E2101" t="str">
        <f>_xlfn.XLOOKUP(A2101,'[1]Tissue Data'!$A:$A,'[1]Tissue Data'!$H:$H)</f>
        <v>Lepomis</v>
      </c>
      <c r="F2101" t="str">
        <f>_xlfn.XLOOKUP(A2101,'[1]Tissue Data'!$A:$A,'[1]Tissue Data'!$I:$I)</f>
        <v>gibbosus</v>
      </c>
      <c r="G2101" t="str">
        <f>_xlfn.XLOOKUP(A2101,'[1]Tissue Data'!$A:$A,'[1]Tissue Data'!J:J)</f>
        <v>U</v>
      </c>
      <c r="H2101" t="str">
        <f>_xlfn.XLOOKUP(A2101,'[1]Tissue Data'!$A:$A,'[1]Tissue Data'!K:K)</f>
        <v>Whole Body</v>
      </c>
      <c r="I2101">
        <f>_xlfn.XLOOKUP(A2101,'[1]Tissue Data'!$A:$A,'[1]Tissue Data'!L:L)</f>
        <v>10.5</v>
      </c>
      <c r="J2101">
        <f>_xlfn.XLOOKUP(A2101,'[1]Tissue Data'!$A:$A,'[1]Tissue Data'!M:M)</f>
        <v>19.55</v>
      </c>
      <c r="K2101" t="s">
        <v>61</v>
      </c>
      <c r="L2101" t="str">
        <f>_xlfn.XLOOKUP(K2101,[2]analyte_order!$B:$B,[2]analyte_order!$C:$C)</f>
        <v>2965-52-8</v>
      </c>
      <c r="M2101">
        <f>_xlfn.XLOOKUP(L2101,[2]analyte_order!$C:$C,[2]analyte_order!$E:$E)</f>
        <v>57</v>
      </c>
      <c r="N2101">
        <v>0.127</v>
      </c>
    </row>
    <row r="2102" spans="1:14">
      <c r="A2102" t="s">
        <v>255</v>
      </c>
      <c r="B2102" t="str">
        <f>_xlfn.XLOOKUP(A2102,'[1]Tissue Data'!$A:$A,'[1]Tissue Data'!$C:$C)</f>
        <v>Spill</v>
      </c>
      <c r="C2102" s="2">
        <f>_xlfn.XLOOKUP(A2102,'[1]Tissue Data'!$A:$A,'[1]Tissue Data'!$D:$D)</f>
        <v>44314</v>
      </c>
      <c r="D2102" s="2" t="str">
        <f>_xlfn.XLOOKUP(A2102,'[1]Tissue Data'!$A:$A,'[1]Tissue Data'!$F:$F)</f>
        <v>Pumpkinseed</v>
      </c>
      <c r="E2102" t="str">
        <f>_xlfn.XLOOKUP(A2102,'[1]Tissue Data'!$A:$A,'[1]Tissue Data'!$H:$H)</f>
        <v>Lepomis</v>
      </c>
      <c r="F2102" t="str">
        <f>_xlfn.XLOOKUP(A2102,'[1]Tissue Data'!$A:$A,'[1]Tissue Data'!$I:$I)</f>
        <v>gibbosus</v>
      </c>
      <c r="G2102" t="str">
        <f>_xlfn.XLOOKUP(A2102,'[1]Tissue Data'!$A:$A,'[1]Tissue Data'!J:J)</f>
        <v>U</v>
      </c>
      <c r="H2102" t="str">
        <f>_xlfn.XLOOKUP(A2102,'[1]Tissue Data'!$A:$A,'[1]Tissue Data'!K:K)</f>
        <v>Whole Body</v>
      </c>
      <c r="I2102">
        <f>_xlfn.XLOOKUP(A2102,'[1]Tissue Data'!$A:$A,'[1]Tissue Data'!L:L)</f>
        <v>6</v>
      </c>
      <c r="J2102">
        <f>_xlfn.XLOOKUP(A2102,'[1]Tissue Data'!$A:$A,'[1]Tissue Data'!M:M)</f>
        <v>4.3499999999999996</v>
      </c>
      <c r="K2102" t="s">
        <v>12</v>
      </c>
      <c r="L2102" t="str">
        <f>_xlfn.XLOOKUP(K2102,[2]analyte_order!$B:$B,[2]analyte_order!$C:$C)</f>
        <v>375-22-4</v>
      </c>
      <c r="M2102">
        <f>_xlfn.XLOOKUP(L2102,[2]analyte_order!$C:$C,[2]analyte_order!$E:$E)</f>
        <v>1</v>
      </c>
      <c r="N2102">
        <v>9.0499999999999997E-2</v>
      </c>
    </row>
    <row r="2103" spans="1:14">
      <c r="A2103" t="s">
        <v>255</v>
      </c>
      <c r="B2103" t="str">
        <f>_xlfn.XLOOKUP(A2103,'[1]Tissue Data'!$A:$A,'[1]Tissue Data'!$C:$C)</f>
        <v>Spill</v>
      </c>
      <c r="C2103" s="2">
        <f>_xlfn.XLOOKUP(A2103,'[1]Tissue Data'!$A:$A,'[1]Tissue Data'!$D:$D)</f>
        <v>44314</v>
      </c>
      <c r="D2103" s="2" t="str">
        <f>_xlfn.XLOOKUP(A2103,'[1]Tissue Data'!$A:$A,'[1]Tissue Data'!$F:$F)</f>
        <v>Pumpkinseed</v>
      </c>
      <c r="E2103" t="str">
        <f>_xlfn.XLOOKUP(A2103,'[1]Tissue Data'!$A:$A,'[1]Tissue Data'!$H:$H)</f>
        <v>Lepomis</v>
      </c>
      <c r="F2103" t="str">
        <f>_xlfn.XLOOKUP(A2103,'[1]Tissue Data'!$A:$A,'[1]Tissue Data'!$I:$I)</f>
        <v>gibbosus</v>
      </c>
      <c r="G2103" t="str">
        <f>_xlfn.XLOOKUP(A2103,'[1]Tissue Data'!$A:$A,'[1]Tissue Data'!J:J)</f>
        <v>U</v>
      </c>
      <c r="H2103" t="str">
        <f>_xlfn.XLOOKUP(A2103,'[1]Tissue Data'!$A:$A,'[1]Tissue Data'!K:K)</f>
        <v>Whole Body</v>
      </c>
      <c r="I2103">
        <f>_xlfn.XLOOKUP(A2103,'[1]Tissue Data'!$A:$A,'[1]Tissue Data'!L:L)</f>
        <v>6</v>
      </c>
      <c r="J2103">
        <f>_xlfn.XLOOKUP(A2103,'[1]Tissue Data'!$A:$A,'[1]Tissue Data'!M:M)</f>
        <v>4.3499999999999996</v>
      </c>
      <c r="K2103" t="s">
        <v>13</v>
      </c>
      <c r="L2103" t="str">
        <f>_xlfn.XLOOKUP(K2103,[2]analyte_order!$B:$B,[2]analyte_order!$C:$C)</f>
        <v>2706-90-3</v>
      </c>
      <c r="M2103">
        <f>_xlfn.XLOOKUP(L2103,[2]analyte_order!$C:$C,[2]analyte_order!$E:$E)</f>
        <v>2</v>
      </c>
      <c r="N2103">
        <v>4.8649999999999999E-2</v>
      </c>
    </row>
    <row r="2104" spans="1:14">
      <c r="A2104" t="s">
        <v>255</v>
      </c>
      <c r="B2104" t="str">
        <f>_xlfn.XLOOKUP(A2104,'[1]Tissue Data'!$A:$A,'[1]Tissue Data'!$C:$C)</f>
        <v>Spill</v>
      </c>
      <c r="C2104" s="2">
        <f>_xlfn.XLOOKUP(A2104,'[1]Tissue Data'!$A:$A,'[1]Tissue Data'!$D:$D)</f>
        <v>44314</v>
      </c>
      <c r="D2104" s="2" t="str">
        <f>_xlfn.XLOOKUP(A2104,'[1]Tissue Data'!$A:$A,'[1]Tissue Data'!$F:$F)</f>
        <v>Pumpkinseed</v>
      </c>
      <c r="E2104" t="str">
        <f>_xlfn.XLOOKUP(A2104,'[1]Tissue Data'!$A:$A,'[1]Tissue Data'!$H:$H)</f>
        <v>Lepomis</v>
      </c>
      <c r="F2104" t="str">
        <f>_xlfn.XLOOKUP(A2104,'[1]Tissue Data'!$A:$A,'[1]Tissue Data'!$I:$I)</f>
        <v>gibbosus</v>
      </c>
      <c r="G2104" t="str">
        <f>_xlfn.XLOOKUP(A2104,'[1]Tissue Data'!$A:$A,'[1]Tissue Data'!J:J)</f>
        <v>U</v>
      </c>
      <c r="H2104" t="str">
        <f>_xlfn.XLOOKUP(A2104,'[1]Tissue Data'!$A:$A,'[1]Tissue Data'!K:K)</f>
        <v>Whole Body</v>
      </c>
      <c r="I2104">
        <f>_xlfn.XLOOKUP(A2104,'[1]Tissue Data'!$A:$A,'[1]Tissue Data'!L:L)</f>
        <v>6</v>
      </c>
      <c r="J2104">
        <f>_xlfn.XLOOKUP(A2104,'[1]Tissue Data'!$A:$A,'[1]Tissue Data'!M:M)</f>
        <v>4.3499999999999996</v>
      </c>
      <c r="K2104" t="s">
        <v>14</v>
      </c>
      <c r="L2104" t="str">
        <f>_xlfn.XLOOKUP(K2104,[2]analyte_order!$B:$B,[2]analyte_order!$C:$C)</f>
        <v>307-24-4</v>
      </c>
      <c r="M2104">
        <f>_xlfn.XLOOKUP(L2104,[2]analyte_order!$C:$C,[2]analyte_order!$E:$E)</f>
        <v>3</v>
      </c>
      <c r="N2104">
        <v>3.7100000000000001E-2</v>
      </c>
    </row>
    <row r="2105" spans="1:14">
      <c r="A2105" t="s">
        <v>255</v>
      </c>
      <c r="B2105" t="str">
        <f>_xlfn.XLOOKUP(A2105,'[1]Tissue Data'!$A:$A,'[1]Tissue Data'!$C:$C)</f>
        <v>Spill</v>
      </c>
      <c r="C2105" s="2">
        <f>_xlfn.XLOOKUP(A2105,'[1]Tissue Data'!$A:$A,'[1]Tissue Data'!$D:$D)</f>
        <v>44314</v>
      </c>
      <c r="D2105" s="2" t="str">
        <f>_xlfn.XLOOKUP(A2105,'[1]Tissue Data'!$A:$A,'[1]Tissue Data'!$F:$F)</f>
        <v>Pumpkinseed</v>
      </c>
      <c r="E2105" t="str">
        <f>_xlfn.XLOOKUP(A2105,'[1]Tissue Data'!$A:$A,'[1]Tissue Data'!$H:$H)</f>
        <v>Lepomis</v>
      </c>
      <c r="F2105" t="str">
        <f>_xlfn.XLOOKUP(A2105,'[1]Tissue Data'!$A:$A,'[1]Tissue Data'!$I:$I)</f>
        <v>gibbosus</v>
      </c>
      <c r="G2105" t="str">
        <f>_xlfn.XLOOKUP(A2105,'[1]Tissue Data'!$A:$A,'[1]Tissue Data'!J:J)</f>
        <v>U</v>
      </c>
      <c r="H2105" t="str">
        <f>_xlfn.XLOOKUP(A2105,'[1]Tissue Data'!$A:$A,'[1]Tissue Data'!K:K)</f>
        <v>Whole Body</v>
      </c>
      <c r="I2105">
        <f>_xlfn.XLOOKUP(A2105,'[1]Tissue Data'!$A:$A,'[1]Tissue Data'!L:L)</f>
        <v>6</v>
      </c>
      <c r="J2105">
        <f>_xlfn.XLOOKUP(A2105,'[1]Tissue Data'!$A:$A,'[1]Tissue Data'!M:M)</f>
        <v>4.3499999999999996</v>
      </c>
      <c r="K2105" t="s">
        <v>15</v>
      </c>
      <c r="L2105" t="str">
        <f>_xlfn.XLOOKUP(K2105,[2]analyte_order!$B:$B,[2]analyte_order!$C:$C)</f>
        <v>375-85-9</v>
      </c>
      <c r="M2105">
        <f>_xlfn.XLOOKUP(L2105,[2]analyte_order!$C:$C,[2]analyte_order!$E:$E)</f>
        <v>4</v>
      </c>
      <c r="N2105">
        <v>9.0499999999999997E-2</v>
      </c>
    </row>
    <row r="2106" spans="1:14">
      <c r="A2106" t="s">
        <v>255</v>
      </c>
      <c r="B2106" t="str">
        <f>_xlfn.XLOOKUP(A2106,'[1]Tissue Data'!$A:$A,'[1]Tissue Data'!$C:$C)</f>
        <v>Spill</v>
      </c>
      <c r="C2106" s="2">
        <f>_xlfn.XLOOKUP(A2106,'[1]Tissue Data'!$A:$A,'[1]Tissue Data'!$D:$D)</f>
        <v>44314</v>
      </c>
      <c r="D2106" s="2" t="str">
        <f>_xlfn.XLOOKUP(A2106,'[1]Tissue Data'!$A:$A,'[1]Tissue Data'!$F:$F)</f>
        <v>Pumpkinseed</v>
      </c>
      <c r="E2106" t="str">
        <f>_xlfn.XLOOKUP(A2106,'[1]Tissue Data'!$A:$A,'[1]Tissue Data'!$H:$H)</f>
        <v>Lepomis</v>
      </c>
      <c r="F2106" t="str">
        <f>_xlfn.XLOOKUP(A2106,'[1]Tissue Data'!$A:$A,'[1]Tissue Data'!$I:$I)</f>
        <v>gibbosus</v>
      </c>
      <c r="G2106" t="str">
        <f>_xlfn.XLOOKUP(A2106,'[1]Tissue Data'!$A:$A,'[1]Tissue Data'!J:J)</f>
        <v>U</v>
      </c>
      <c r="H2106" t="str">
        <f>_xlfn.XLOOKUP(A2106,'[1]Tissue Data'!$A:$A,'[1]Tissue Data'!K:K)</f>
        <v>Whole Body</v>
      </c>
      <c r="I2106">
        <f>_xlfn.XLOOKUP(A2106,'[1]Tissue Data'!$A:$A,'[1]Tissue Data'!L:L)</f>
        <v>6</v>
      </c>
      <c r="J2106">
        <f>_xlfn.XLOOKUP(A2106,'[1]Tissue Data'!$A:$A,'[1]Tissue Data'!M:M)</f>
        <v>4.3499999999999996</v>
      </c>
      <c r="K2106" t="s">
        <v>16</v>
      </c>
      <c r="L2106" t="str">
        <f>_xlfn.XLOOKUP(K2106,[2]analyte_order!$B:$B,[2]analyte_order!$C:$C)</f>
        <v>335-67-1</v>
      </c>
      <c r="M2106">
        <f>_xlfn.XLOOKUP(L2106,[2]analyte_order!$C:$C,[2]analyte_order!$E:$E)</f>
        <v>5</v>
      </c>
      <c r="N2106">
        <v>0.55000000000000004</v>
      </c>
    </row>
    <row r="2107" spans="1:14">
      <c r="A2107" t="s">
        <v>255</v>
      </c>
      <c r="B2107" t="str">
        <f>_xlfn.XLOOKUP(A2107,'[1]Tissue Data'!$A:$A,'[1]Tissue Data'!$C:$C)</f>
        <v>Spill</v>
      </c>
      <c r="C2107" s="2">
        <f>_xlfn.XLOOKUP(A2107,'[1]Tissue Data'!$A:$A,'[1]Tissue Data'!$D:$D)</f>
        <v>44314</v>
      </c>
      <c r="D2107" s="2" t="str">
        <f>_xlfn.XLOOKUP(A2107,'[1]Tissue Data'!$A:$A,'[1]Tissue Data'!$F:$F)</f>
        <v>Pumpkinseed</v>
      </c>
      <c r="E2107" t="str">
        <f>_xlfn.XLOOKUP(A2107,'[1]Tissue Data'!$A:$A,'[1]Tissue Data'!$H:$H)</f>
        <v>Lepomis</v>
      </c>
      <c r="F2107" t="str">
        <f>_xlfn.XLOOKUP(A2107,'[1]Tissue Data'!$A:$A,'[1]Tissue Data'!$I:$I)</f>
        <v>gibbosus</v>
      </c>
      <c r="G2107" t="str">
        <f>_xlfn.XLOOKUP(A2107,'[1]Tissue Data'!$A:$A,'[1]Tissue Data'!J:J)</f>
        <v>U</v>
      </c>
      <c r="H2107" t="str">
        <f>_xlfn.XLOOKUP(A2107,'[1]Tissue Data'!$A:$A,'[1]Tissue Data'!K:K)</f>
        <v>Whole Body</v>
      </c>
      <c r="I2107">
        <f>_xlfn.XLOOKUP(A2107,'[1]Tissue Data'!$A:$A,'[1]Tissue Data'!L:L)</f>
        <v>6</v>
      </c>
      <c r="J2107">
        <f>_xlfn.XLOOKUP(A2107,'[1]Tissue Data'!$A:$A,'[1]Tissue Data'!M:M)</f>
        <v>4.3499999999999996</v>
      </c>
      <c r="K2107" t="s">
        <v>17</v>
      </c>
      <c r="L2107" t="str">
        <f>_xlfn.XLOOKUP(K2107,[2]analyte_order!$B:$B,[2]analyte_order!$C:$C)</f>
        <v>375-95-1</v>
      </c>
      <c r="M2107">
        <f>_xlfn.XLOOKUP(L2107,[2]analyte_order!$C:$C,[2]analyte_order!$E:$E)</f>
        <v>6</v>
      </c>
      <c r="N2107">
        <v>0.40100000000000002</v>
      </c>
    </row>
    <row r="2108" spans="1:14">
      <c r="A2108" t="s">
        <v>255</v>
      </c>
      <c r="B2108" t="str">
        <f>_xlfn.XLOOKUP(A2108,'[1]Tissue Data'!$A:$A,'[1]Tissue Data'!$C:$C)</f>
        <v>Spill</v>
      </c>
      <c r="C2108" s="2">
        <f>_xlfn.XLOOKUP(A2108,'[1]Tissue Data'!$A:$A,'[1]Tissue Data'!$D:$D)</f>
        <v>44314</v>
      </c>
      <c r="D2108" s="2" t="str">
        <f>_xlfn.XLOOKUP(A2108,'[1]Tissue Data'!$A:$A,'[1]Tissue Data'!$F:$F)</f>
        <v>Pumpkinseed</v>
      </c>
      <c r="E2108" t="str">
        <f>_xlfn.XLOOKUP(A2108,'[1]Tissue Data'!$A:$A,'[1]Tissue Data'!$H:$H)</f>
        <v>Lepomis</v>
      </c>
      <c r="F2108" t="str">
        <f>_xlfn.XLOOKUP(A2108,'[1]Tissue Data'!$A:$A,'[1]Tissue Data'!$I:$I)</f>
        <v>gibbosus</v>
      </c>
      <c r="G2108" t="str">
        <f>_xlfn.XLOOKUP(A2108,'[1]Tissue Data'!$A:$A,'[1]Tissue Data'!J:J)</f>
        <v>U</v>
      </c>
      <c r="H2108" t="str">
        <f>_xlfn.XLOOKUP(A2108,'[1]Tissue Data'!$A:$A,'[1]Tissue Data'!K:K)</f>
        <v>Whole Body</v>
      </c>
      <c r="I2108">
        <f>_xlfn.XLOOKUP(A2108,'[1]Tissue Data'!$A:$A,'[1]Tissue Data'!L:L)</f>
        <v>6</v>
      </c>
      <c r="J2108">
        <f>_xlfn.XLOOKUP(A2108,'[1]Tissue Data'!$A:$A,'[1]Tissue Data'!M:M)</f>
        <v>4.3499999999999996</v>
      </c>
      <c r="K2108" t="s">
        <v>18</v>
      </c>
      <c r="L2108" t="str">
        <f>_xlfn.XLOOKUP(K2108,[2]analyte_order!$B:$B,[2]analyte_order!$C:$C)</f>
        <v>335-76-2</v>
      </c>
      <c r="M2108">
        <f>_xlfn.XLOOKUP(L2108,[2]analyte_order!$C:$C,[2]analyte_order!$E:$E)</f>
        <v>7</v>
      </c>
      <c r="N2108">
        <v>3.98</v>
      </c>
    </row>
    <row r="2109" spans="1:14">
      <c r="A2109" t="s">
        <v>255</v>
      </c>
      <c r="B2109" t="str">
        <f>_xlfn.XLOOKUP(A2109,'[1]Tissue Data'!$A:$A,'[1]Tissue Data'!$C:$C)</f>
        <v>Spill</v>
      </c>
      <c r="C2109" s="2">
        <f>_xlfn.XLOOKUP(A2109,'[1]Tissue Data'!$A:$A,'[1]Tissue Data'!$D:$D)</f>
        <v>44314</v>
      </c>
      <c r="D2109" s="2" t="str">
        <f>_xlfn.XLOOKUP(A2109,'[1]Tissue Data'!$A:$A,'[1]Tissue Data'!$F:$F)</f>
        <v>Pumpkinseed</v>
      </c>
      <c r="E2109" t="str">
        <f>_xlfn.XLOOKUP(A2109,'[1]Tissue Data'!$A:$A,'[1]Tissue Data'!$H:$H)</f>
        <v>Lepomis</v>
      </c>
      <c r="F2109" t="str">
        <f>_xlfn.XLOOKUP(A2109,'[1]Tissue Data'!$A:$A,'[1]Tissue Data'!$I:$I)</f>
        <v>gibbosus</v>
      </c>
      <c r="G2109" t="str">
        <f>_xlfn.XLOOKUP(A2109,'[1]Tissue Data'!$A:$A,'[1]Tissue Data'!J:J)</f>
        <v>U</v>
      </c>
      <c r="H2109" t="str">
        <f>_xlfn.XLOOKUP(A2109,'[1]Tissue Data'!$A:$A,'[1]Tissue Data'!K:K)</f>
        <v>Whole Body</v>
      </c>
      <c r="I2109">
        <f>_xlfn.XLOOKUP(A2109,'[1]Tissue Data'!$A:$A,'[1]Tissue Data'!L:L)</f>
        <v>6</v>
      </c>
      <c r="J2109">
        <f>_xlfn.XLOOKUP(A2109,'[1]Tissue Data'!$A:$A,'[1]Tissue Data'!M:M)</f>
        <v>4.3499999999999996</v>
      </c>
      <c r="K2109" t="s">
        <v>19</v>
      </c>
      <c r="L2109" t="str">
        <f>_xlfn.XLOOKUP(K2109,[2]analyte_order!$B:$B,[2]analyte_order!$C:$C)</f>
        <v>2058-94-8</v>
      </c>
      <c r="M2109">
        <f>_xlfn.XLOOKUP(L2109,[2]analyte_order!$C:$C,[2]analyte_order!$E:$E)</f>
        <v>8</v>
      </c>
      <c r="N2109">
        <v>6.92</v>
      </c>
    </row>
    <row r="2110" spans="1:14">
      <c r="A2110" t="s">
        <v>255</v>
      </c>
      <c r="B2110" t="str">
        <f>_xlfn.XLOOKUP(A2110,'[1]Tissue Data'!$A:$A,'[1]Tissue Data'!$C:$C)</f>
        <v>Spill</v>
      </c>
      <c r="C2110" s="2">
        <f>_xlfn.XLOOKUP(A2110,'[1]Tissue Data'!$A:$A,'[1]Tissue Data'!$D:$D)</f>
        <v>44314</v>
      </c>
      <c r="D2110" s="2" t="str">
        <f>_xlfn.XLOOKUP(A2110,'[1]Tissue Data'!$A:$A,'[1]Tissue Data'!$F:$F)</f>
        <v>Pumpkinseed</v>
      </c>
      <c r="E2110" t="str">
        <f>_xlfn.XLOOKUP(A2110,'[1]Tissue Data'!$A:$A,'[1]Tissue Data'!$H:$H)</f>
        <v>Lepomis</v>
      </c>
      <c r="F2110" t="str">
        <f>_xlfn.XLOOKUP(A2110,'[1]Tissue Data'!$A:$A,'[1]Tissue Data'!$I:$I)</f>
        <v>gibbosus</v>
      </c>
      <c r="G2110" t="str">
        <f>_xlfn.XLOOKUP(A2110,'[1]Tissue Data'!$A:$A,'[1]Tissue Data'!J:J)</f>
        <v>U</v>
      </c>
      <c r="H2110" t="str">
        <f>_xlfn.XLOOKUP(A2110,'[1]Tissue Data'!$A:$A,'[1]Tissue Data'!K:K)</f>
        <v>Whole Body</v>
      </c>
      <c r="I2110">
        <f>_xlfn.XLOOKUP(A2110,'[1]Tissue Data'!$A:$A,'[1]Tissue Data'!L:L)</f>
        <v>6</v>
      </c>
      <c r="J2110">
        <f>_xlfn.XLOOKUP(A2110,'[1]Tissue Data'!$A:$A,'[1]Tissue Data'!M:M)</f>
        <v>4.3499999999999996</v>
      </c>
      <c r="K2110" t="s">
        <v>20</v>
      </c>
      <c r="L2110" t="str">
        <f>_xlfn.XLOOKUP(K2110,[2]analyte_order!$B:$B,[2]analyte_order!$C:$C)</f>
        <v>307-55-1</v>
      </c>
      <c r="M2110">
        <f>_xlfn.XLOOKUP(L2110,[2]analyte_order!$C:$C,[2]analyte_order!$E:$E)</f>
        <v>9</v>
      </c>
      <c r="N2110">
        <v>11.4</v>
      </c>
    </row>
    <row r="2111" spans="1:14">
      <c r="A2111" t="s">
        <v>255</v>
      </c>
      <c r="B2111" t="str">
        <f>_xlfn.XLOOKUP(A2111,'[1]Tissue Data'!$A:$A,'[1]Tissue Data'!$C:$C)</f>
        <v>Spill</v>
      </c>
      <c r="C2111" s="2">
        <f>_xlfn.XLOOKUP(A2111,'[1]Tissue Data'!$A:$A,'[1]Tissue Data'!$D:$D)</f>
        <v>44314</v>
      </c>
      <c r="D2111" s="2" t="str">
        <f>_xlfn.XLOOKUP(A2111,'[1]Tissue Data'!$A:$A,'[1]Tissue Data'!$F:$F)</f>
        <v>Pumpkinseed</v>
      </c>
      <c r="E2111" t="str">
        <f>_xlfn.XLOOKUP(A2111,'[1]Tissue Data'!$A:$A,'[1]Tissue Data'!$H:$H)</f>
        <v>Lepomis</v>
      </c>
      <c r="F2111" t="str">
        <f>_xlfn.XLOOKUP(A2111,'[1]Tissue Data'!$A:$A,'[1]Tissue Data'!$I:$I)</f>
        <v>gibbosus</v>
      </c>
      <c r="G2111" t="str">
        <f>_xlfn.XLOOKUP(A2111,'[1]Tissue Data'!$A:$A,'[1]Tissue Data'!J:J)</f>
        <v>U</v>
      </c>
      <c r="H2111" t="str">
        <f>_xlfn.XLOOKUP(A2111,'[1]Tissue Data'!$A:$A,'[1]Tissue Data'!K:K)</f>
        <v>Whole Body</v>
      </c>
      <c r="I2111">
        <f>_xlfn.XLOOKUP(A2111,'[1]Tissue Data'!$A:$A,'[1]Tissue Data'!L:L)</f>
        <v>6</v>
      </c>
      <c r="J2111">
        <f>_xlfn.XLOOKUP(A2111,'[1]Tissue Data'!$A:$A,'[1]Tissue Data'!M:M)</f>
        <v>4.3499999999999996</v>
      </c>
      <c r="K2111" t="s">
        <v>21</v>
      </c>
      <c r="L2111" t="str">
        <f>_xlfn.XLOOKUP(K2111,[2]analyte_order!$B:$B,[2]analyte_order!$C:$C)</f>
        <v>72629-94-8</v>
      </c>
      <c r="M2111">
        <f>_xlfn.XLOOKUP(L2111,[2]analyte_order!$C:$C,[2]analyte_order!$E:$E)</f>
        <v>10</v>
      </c>
      <c r="N2111">
        <v>1.03</v>
      </c>
    </row>
    <row r="2112" spans="1:14">
      <c r="A2112" t="s">
        <v>255</v>
      </c>
      <c r="B2112" t="str">
        <f>_xlfn.XLOOKUP(A2112,'[1]Tissue Data'!$A:$A,'[1]Tissue Data'!$C:$C)</f>
        <v>Spill</v>
      </c>
      <c r="C2112" s="2">
        <f>_xlfn.XLOOKUP(A2112,'[1]Tissue Data'!$A:$A,'[1]Tissue Data'!$D:$D)</f>
        <v>44314</v>
      </c>
      <c r="D2112" s="2" t="str">
        <f>_xlfn.XLOOKUP(A2112,'[1]Tissue Data'!$A:$A,'[1]Tissue Data'!$F:$F)</f>
        <v>Pumpkinseed</v>
      </c>
      <c r="E2112" t="str">
        <f>_xlfn.XLOOKUP(A2112,'[1]Tissue Data'!$A:$A,'[1]Tissue Data'!$H:$H)</f>
        <v>Lepomis</v>
      </c>
      <c r="F2112" t="str">
        <f>_xlfn.XLOOKUP(A2112,'[1]Tissue Data'!$A:$A,'[1]Tissue Data'!$I:$I)</f>
        <v>gibbosus</v>
      </c>
      <c r="G2112" t="str">
        <f>_xlfn.XLOOKUP(A2112,'[1]Tissue Data'!$A:$A,'[1]Tissue Data'!J:J)</f>
        <v>U</v>
      </c>
      <c r="H2112" t="str">
        <f>_xlfn.XLOOKUP(A2112,'[1]Tissue Data'!$A:$A,'[1]Tissue Data'!K:K)</f>
        <v>Whole Body</v>
      </c>
      <c r="I2112">
        <f>_xlfn.XLOOKUP(A2112,'[1]Tissue Data'!$A:$A,'[1]Tissue Data'!L:L)</f>
        <v>6</v>
      </c>
      <c r="J2112">
        <f>_xlfn.XLOOKUP(A2112,'[1]Tissue Data'!$A:$A,'[1]Tissue Data'!M:M)</f>
        <v>4.3499999999999996</v>
      </c>
      <c r="K2112" t="s">
        <v>22</v>
      </c>
      <c r="L2112" t="str">
        <f>_xlfn.XLOOKUP(K2112,[2]analyte_order!$B:$B,[2]analyte_order!$C:$C)</f>
        <v>376-06-7</v>
      </c>
      <c r="M2112">
        <f>_xlfn.XLOOKUP(L2112,[2]analyte_order!$C:$C,[2]analyte_order!$E:$E)</f>
        <v>11</v>
      </c>
      <c r="N2112">
        <v>5.38</v>
      </c>
    </row>
    <row r="2113" spans="1:14">
      <c r="A2113" t="s">
        <v>255</v>
      </c>
      <c r="B2113" t="str">
        <f>_xlfn.XLOOKUP(A2113,'[1]Tissue Data'!$A:$A,'[1]Tissue Data'!$C:$C)</f>
        <v>Spill</v>
      </c>
      <c r="C2113" s="2">
        <f>_xlfn.XLOOKUP(A2113,'[1]Tissue Data'!$A:$A,'[1]Tissue Data'!$D:$D)</f>
        <v>44314</v>
      </c>
      <c r="D2113" s="2" t="str">
        <f>_xlfn.XLOOKUP(A2113,'[1]Tissue Data'!$A:$A,'[1]Tissue Data'!$F:$F)</f>
        <v>Pumpkinseed</v>
      </c>
      <c r="E2113" t="str">
        <f>_xlfn.XLOOKUP(A2113,'[1]Tissue Data'!$A:$A,'[1]Tissue Data'!$H:$H)</f>
        <v>Lepomis</v>
      </c>
      <c r="F2113" t="str">
        <f>_xlfn.XLOOKUP(A2113,'[1]Tissue Data'!$A:$A,'[1]Tissue Data'!$I:$I)</f>
        <v>gibbosus</v>
      </c>
      <c r="G2113" t="str">
        <f>_xlfn.XLOOKUP(A2113,'[1]Tissue Data'!$A:$A,'[1]Tissue Data'!J:J)</f>
        <v>U</v>
      </c>
      <c r="H2113" t="str">
        <f>_xlfn.XLOOKUP(A2113,'[1]Tissue Data'!$A:$A,'[1]Tissue Data'!K:K)</f>
        <v>Whole Body</v>
      </c>
      <c r="I2113">
        <f>_xlfn.XLOOKUP(A2113,'[1]Tissue Data'!$A:$A,'[1]Tissue Data'!L:L)</f>
        <v>6</v>
      </c>
      <c r="J2113">
        <f>_xlfn.XLOOKUP(A2113,'[1]Tissue Data'!$A:$A,'[1]Tissue Data'!M:M)</f>
        <v>4.3499999999999996</v>
      </c>
      <c r="K2113" t="s">
        <v>23</v>
      </c>
      <c r="L2113" t="str">
        <f>_xlfn.XLOOKUP(K2113,[2]analyte_order!$B:$B,[2]analyte_order!$C:$C)</f>
        <v>67905-19-5</v>
      </c>
      <c r="M2113">
        <f>_xlfn.XLOOKUP(L2113,[2]analyte_order!$C:$C,[2]analyte_order!$E:$E)</f>
        <v>12</v>
      </c>
      <c r="N2113">
        <v>8.2000000000000003E-2</v>
      </c>
    </row>
    <row r="2114" spans="1:14">
      <c r="A2114" t="s">
        <v>255</v>
      </c>
      <c r="B2114" t="str">
        <f>_xlfn.XLOOKUP(A2114,'[1]Tissue Data'!$A:$A,'[1]Tissue Data'!$C:$C)</f>
        <v>Spill</v>
      </c>
      <c r="C2114" s="2">
        <f>_xlfn.XLOOKUP(A2114,'[1]Tissue Data'!$A:$A,'[1]Tissue Data'!$D:$D)</f>
        <v>44314</v>
      </c>
      <c r="D2114" s="2" t="str">
        <f>_xlfn.XLOOKUP(A2114,'[1]Tissue Data'!$A:$A,'[1]Tissue Data'!$F:$F)</f>
        <v>Pumpkinseed</v>
      </c>
      <c r="E2114" t="str">
        <f>_xlfn.XLOOKUP(A2114,'[1]Tissue Data'!$A:$A,'[1]Tissue Data'!$H:$H)</f>
        <v>Lepomis</v>
      </c>
      <c r="F2114" t="str">
        <f>_xlfn.XLOOKUP(A2114,'[1]Tissue Data'!$A:$A,'[1]Tissue Data'!$I:$I)</f>
        <v>gibbosus</v>
      </c>
      <c r="G2114" t="str">
        <f>_xlfn.XLOOKUP(A2114,'[1]Tissue Data'!$A:$A,'[1]Tissue Data'!J:J)</f>
        <v>U</v>
      </c>
      <c r="H2114" t="str">
        <f>_xlfn.XLOOKUP(A2114,'[1]Tissue Data'!$A:$A,'[1]Tissue Data'!K:K)</f>
        <v>Whole Body</v>
      </c>
      <c r="I2114">
        <f>_xlfn.XLOOKUP(A2114,'[1]Tissue Data'!$A:$A,'[1]Tissue Data'!L:L)</f>
        <v>6</v>
      </c>
      <c r="J2114">
        <f>_xlfn.XLOOKUP(A2114,'[1]Tissue Data'!$A:$A,'[1]Tissue Data'!M:M)</f>
        <v>4.3499999999999996</v>
      </c>
      <c r="K2114" t="s">
        <v>24</v>
      </c>
      <c r="L2114" t="str">
        <f>_xlfn.XLOOKUP(K2114,[2]analyte_order!$B:$B,[2]analyte_order!$C:$C)</f>
        <v>423-41-6</v>
      </c>
      <c r="M2114">
        <f>_xlfn.XLOOKUP(L2114,[2]analyte_order!$C:$C,[2]analyte_order!$E:$E)</f>
        <v>53</v>
      </c>
      <c r="N2114">
        <v>5.2499999999999998E-2</v>
      </c>
    </row>
    <row r="2115" spans="1:14">
      <c r="A2115" t="s">
        <v>255</v>
      </c>
      <c r="B2115" t="str">
        <f>_xlfn.XLOOKUP(A2115,'[1]Tissue Data'!$A:$A,'[1]Tissue Data'!$C:$C)</f>
        <v>Spill</v>
      </c>
      <c r="C2115" s="2">
        <f>_xlfn.XLOOKUP(A2115,'[1]Tissue Data'!$A:$A,'[1]Tissue Data'!$D:$D)</f>
        <v>44314</v>
      </c>
      <c r="D2115" s="2" t="str">
        <f>_xlfn.XLOOKUP(A2115,'[1]Tissue Data'!$A:$A,'[1]Tissue Data'!$F:$F)</f>
        <v>Pumpkinseed</v>
      </c>
      <c r="E2115" t="str">
        <f>_xlfn.XLOOKUP(A2115,'[1]Tissue Data'!$A:$A,'[1]Tissue Data'!$H:$H)</f>
        <v>Lepomis</v>
      </c>
      <c r="F2115" t="str">
        <f>_xlfn.XLOOKUP(A2115,'[1]Tissue Data'!$A:$A,'[1]Tissue Data'!$I:$I)</f>
        <v>gibbosus</v>
      </c>
      <c r="G2115" t="str">
        <f>_xlfn.XLOOKUP(A2115,'[1]Tissue Data'!$A:$A,'[1]Tissue Data'!J:J)</f>
        <v>U</v>
      </c>
      <c r="H2115" t="str">
        <f>_xlfn.XLOOKUP(A2115,'[1]Tissue Data'!$A:$A,'[1]Tissue Data'!K:K)</f>
        <v>Whole Body</v>
      </c>
      <c r="I2115">
        <f>_xlfn.XLOOKUP(A2115,'[1]Tissue Data'!$A:$A,'[1]Tissue Data'!L:L)</f>
        <v>6</v>
      </c>
      <c r="J2115">
        <f>_xlfn.XLOOKUP(A2115,'[1]Tissue Data'!$A:$A,'[1]Tissue Data'!M:M)</f>
        <v>4.3499999999999996</v>
      </c>
      <c r="K2115" t="s">
        <v>25</v>
      </c>
      <c r="L2115" t="str">
        <f>_xlfn.XLOOKUP(K2115,[2]analyte_order!$B:$B,[2]analyte_order!$C:$C)</f>
        <v>375-73-5</v>
      </c>
      <c r="M2115">
        <f>_xlfn.XLOOKUP(L2115,[2]analyte_order!$C:$C,[2]analyte_order!$E:$E)</f>
        <v>14</v>
      </c>
      <c r="N2115">
        <v>0.1545</v>
      </c>
    </row>
    <row r="2116" spans="1:14">
      <c r="A2116" t="s">
        <v>255</v>
      </c>
      <c r="B2116" t="str">
        <f>_xlfn.XLOOKUP(A2116,'[1]Tissue Data'!$A:$A,'[1]Tissue Data'!$C:$C)</f>
        <v>Spill</v>
      </c>
      <c r="C2116" s="2">
        <f>_xlfn.XLOOKUP(A2116,'[1]Tissue Data'!$A:$A,'[1]Tissue Data'!$D:$D)</f>
        <v>44314</v>
      </c>
      <c r="D2116" s="2" t="str">
        <f>_xlfn.XLOOKUP(A2116,'[1]Tissue Data'!$A:$A,'[1]Tissue Data'!$F:$F)</f>
        <v>Pumpkinseed</v>
      </c>
      <c r="E2116" t="str">
        <f>_xlfn.XLOOKUP(A2116,'[1]Tissue Data'!$A:$A,'[1]Tissue Data'!$H:$H)</f>
        <v>Lepomis</v>
      </c>
      <c r="F2116" t="str">
        <f>_xlfn.XLOOKUP(A2116,'[1]Tissue Data'!$A:$A,'[1]Tissue Data'!$I:$I)</f>
        <v>gibbosus</v>
      </c>
      <c r="G2116" t="str">
        <f>_xlfn.XLOOKUP(A2116,'[1]Tissue Data'!$A:$A,'[1]Tissue Data'!J:J)</f>
        <v>U</v>
      </c>
      <c r="H2116" t="str">
        <f>_xlfn.XLOOKUP(A2116,'[1]Tissue Data'!$A:$A,'[1]Tissue Data'!K:K)</f>
        <v>Whole Body</v>
      </c>
      <c r="I2116">
        <f>_xlfn.XLOOKUP(A2116,'[1]Tissue Data'!$A:$A,'[1]Tissue Data'!L:L)</f>
        <v>6</v>
      </c>
      <c r="J2116">
        <f>_xlfn.XLOOKUP(A2116,'[1]Tissue Data'!$A:$A,'[1]Tissue Data'!M:M)</f>
        <v>4.3499999999999996</v>
      </c>
      <c r="K2116" t="s">
        <v>26</v>
      </c>
      <c r="L2116" t="str">
        <f>_xlfn.XLOOKUP(K2116,[2]analyte_order!$B:$B,[2]analyte_order!$C:$C)</f>
        <v>2706-91-4</v>
      </c>
      <c r="M2116">
        <f>_xlfn.XLOOKUP(L2116,[2]analyte_order!$C:$C,[2]analyte_order!$E:$E)</f>
        <v>15</v>
      </c>
      <c r="N2116">
        <v>0.12</v>
      </c>
    </row>
    <row r="2117" spans="1:14">
      <c r="A2117" t="s">
        <v>255</v>
      </c>
      <c r="B2117" t="str">
        <f>_xlfn.XLOOKUP(A2117,'[1]Tissue Data'!$A:$A,'[1]Tissue Data'!$C:$C)</f>
        <v>Spill</v>
      </c>
      <c r="C2117" s="2">
        <f>_xlfn.XLOOKUP(A2117,'[1]Tissue Data'!$A:$A,'[1]Tissue Data'!$D:$D)</f>
        <v>44314</v>
      </c>
      <c r="D2117" s="2" t="str">
        <f>_xlfn.XLOOKUP(A2117,'[1]Tissue Data'!$A:$A,'[1]Tissue Data'!$F:$F)</f>
        <v>Pumpkinseed</v>
      </c>
      <c r="E2117" t="str">
        <f>_xlfn.XLOOKUP(A2117,'[1]Tissue Data'!$A:$A,'[1]Tissue Data'!$H:$H)</f>
        <v>Lepomis</v>
      </c>
      <c r="F2117" t="str">
        <f>_xlfn.XLOOKUP(A2117,'[1]Tissue Data'!$A:$A,'[1]Tissue Data'!$I:$I)</f>
        <v>gibbosus</v>
      </c>
      <c r="G2117" t="str">
        <f>_xlfn.XLOOKUP(A2117,'[1]Tissue Data'!$A:$A,'[1]Tissue Data'!J:J)</f>
        <v>U</v>
      </c>
      <c r="H2117" t="str">
        <f>_xlfn.XLOOKUP(A2117,'[1]Tissue Data'!$A:$A,'[1]Tissue Data'!K:K)</f>
        <v>Whole Body</v>
      </c>
      <c r="I2117">
        <f>_xlfn.XLOOKUP(A2117,'[1]Tissue Data'!$A:$A,'[1]Tissue Data'!L:L)</f>
        <v>6</v>
      </c>
      <c r="J2117">
        <f>_xlfn.XLOOKUP(A2117,'[1]Tissue Data'!$A:$A,'[1]Tissue Data'!M:M)</f>
        <v>4.3499999999999996</v>
      </c>
      <c r="K2117" t="s">
        <v>27</v>
      </c>
      <c r="L2117" t="str">
        <f>_xlfn.XLOOKUP(K2117,[2]analyte_order!$B:$B,[2]analyte_order!$C:$C)</f>
        <v>355-46-4</v>
      </c>
      <c r="M2117">
        <f>_xlfn.XLOOKUP(L2117,[2]analyte_order!$C:$C,[2]analyte_order!$E:$E)</f>
        <v>16</v>
      </c>
      <c r="N2117">
        <v>10.7</v>
      </c>
    </row>
    <row r="2118" spans="1:14">
      <c r="A2118" t="s">
        <v>255</v>
      </c>
      <c r="B2118" t="str">
        <f>_xlfn.XLOOKUP(A2118,'[1]Tissue Data'!$A:$A,'[1]Tissue Data'!$C:$C)</f>
        <v>Spill</v>
      </c>
      <c r="C2118" s="2">
        <f>_xlfn.XLOOKUP(A2118,'[1]Tissue Data'!$A:$A,'[1]Tissue Data'!$D:$D)</f>
        <v>44314</v>
      </c>
      <c r="D2118" s="2" t="str">
        <f>_xlfn.XLOOKUP(A2118,'[1]Tissue Data'!$A:$A,'[1]Tissue Data'!$F:$F)</f>
        <v>Pumpkinseed</v>
      </c>
      <c r="E2118" t="str">
        <f>_xlfn.XLOOKUP(A2118,'[1]Tissue Data'!$A:$A,'[1]Tissue Data'!$H:$H)</f>
        <v>Lepomis</v>
      </c>
      <c r="F2118" t="str">
        <f>_xlfn.XLOOKUP(A2118,'[1]Tissue Data'!$A:$A,'[1]Tissue Data'!$I:$I)</f>
        <v>gibbosus</v>
      </c>
      <c r="G2118" t="str">
        <f>_xlfn.XLOOKUP(A2118,'[1]Tissue Data'!$A:$A,'[1]Tissue Data'!J:J)</f>
        <v>U</v>
      </c>
      <c r="H2118" t="str">
        <f>_xlfn.XLOOKUP(A2118,'[1]Tissue Data'!$A:$A,'[1]Tissue Data'!K:K)</f>
        <v>Whole Body</v>
      </c>
      <c r="I2118">
        <f>_xlfn.XLOOKUP(A2118,'[1]Tissue Data'!$A:$A,'[1]Tissue Data'!L:L)</f>
        <v>6</v>
      </c>
      <c r="J2118">
        <f>_xlfn.XLOOKUP(A2118,'[1]Tissue Data'!$A:$A,'[1]Tissue Data'!M:M)</f>
        <v>4.3499999999999996</v>
      </c>
      <c r="K2118" t="s">
        <v>28</v>
      </c>
      <c r="L2118" t="str">
        <f>_xlfn.XLOOKUP(K2118,[2]analyte_order!$B:$B,[2]analyte_order!$C:$C)</f>
        <v>375-92-8</v>
      </c>
      <c r="M2118">
        <f>_xlfn.XLOOKUP(L2118,[2]analyte_order!$C:$C,[2]analyte_order!$E:$E)</f>
        <v>17</v>
      </c>
      <c r="N2118">
        <v>1.18</v>
      </c>
    </row>
    <row r="2119" spans="1:14">
      <c r="A2119" t="s">
        <v>255</v>
      </c>
      <c r="B2119" t="str">
        <f>_xlfn.XLOOKUP(A2119,'[1]Tissue Data'!$A:$A,'[1]Tissue Data'!$C:$C)</f>
        <v>Spill</v>
      </c>
      <c r="C2119" s="2">
        <f>_xlfn.XLOOKUP(A2119,'[1]Tissue Data'!$A:$A,'[1]Tissue Data'!$D:$D)</f>
        <v>44314</v>
      </c>
      <c r="D2119" s="2" t="str">
        <f>_xlfn.XLOOKUP(A2119,'[1]Tissue Data'!$A:$A,'[1]Tissue Data'!$F:$F)</f>
        <v>Pumpkinseed</v>
      </c>
      <c r="E2119" t="str">
        <f>_xlfn.XLOOKUP(A2119,'[1]Tissue Data'!$A:$A,'[1]Tissue Data'!$H:$H)</f>
        <v>Lepomis</v>
      </c>
      <c r="F2119" t="str">
        <f>_xlfn.XLOOKUP(A2119,'[1]Tissue Data'!$A:$A,'[1]Tissue Data'!$I:$I)</f>
        <v>gibbosus</v>
      </c>
      <c r="G2119" t="str">
        <f>_xlfn.XLOOKUP(A2119,'[1]Tissue Data'!$A:$A,'[1]Tissue Data'!J:J)</f>
        <v>U</v>
      </c>
      <c r="H2119" t="str">
        <f>_xlfn.XLOOKUP(A2119,'[1]Tissue Data'!$A:$A,'[1]Tissue Data'!K:K)</f>
        <v>Whole Body</v>
      </c>
      <c r="I2119">
        <f>_xlfn.XLOOKUP(A2119,'[1]Tissue Data'!$A:$A,'[1]Tissue Data'!L:L)</f>
        <v>6</v>
      </c>
      <c r="J2119">
        <f>_xlfn.XLOOKUP(A2119,'[1]Tissue Data'!$A:$A,'[1]Tissue Data'!M:M)</f>
        <v>4.3499999999999996</v>
      </c>
      <c r="K2119" t="s">
        <v>29</v>
      </c>
      <c r="L2119" t="str">
        <f>_xlfn.XLOOKUP(K2119,[2]analyte_order!$B:$B,[2]analyte_order!$C:$C)</f>
        <v>1763-23-1</v>
      </c>
      <c r="M2119">
        <f>_xlfn.XLOOKUP(L2119,[2]analyte_order!$C:$C,[2]analyte_order!$E:$E)</f>
        <v>18</v>
      </c>
      <c r="N2119">
        <v>658</v>
      </c>
    </row>
    <row r="2120" spans="1:14">
      <c r="A2120" t="s">
        <v>255</v>
      </c>
      <c r="B2120" t="str">
        <f>_xlfn.XLOOKUP(A2120,'[1]Tissue Data'!$A:$A,'[1]Tissue Data'!$C:$C)</f>
        <v>Spill</v>
      </c>
      <c r="C2120" s="2">
        <f>_xlfn.XLOOKUP(A2120,'[1]Tissue Data'!$A:$A,'[1]Tissue Data'!$D:$D)</f>
        <v>44314</v>
      </c>
      <c r="D2120" s="2" t="str">
        <f>_xlfn.XLOOKUP(A2120,'[1]Tissue Data'!$A:$A,'[1]Tissue Data'!$F:$F)</f>
        <v>Pumpkinseed</v>
      </c>
      <c r="E2120" t="str">
        <f>_xlfn.XLOOKUP(A2120,'[1]Tissue Data'!$A:$A,'[1]Tissue Data'!$H:$H)</f>
        <v>Lepomis</v>
      </c>
      <c r="F2120" t="str">
        <f>_xlfn.XLOOKUP(A2120,'[1]Tissue Data'!$A:$A,'[1]Tissue Data'!$I:$I)</f>
        <v>gibbosus</v>
      </c>
      <c r="G2120" t="str">
        <f>_xlfn.XLOOKUP(A2120,'[1]Tissue Data'!$A:$A,'[1]Tissue Data'!J:J)</f>
        <v>U</v>
      </c>
      <c r="H2120" t="str">
        <f>_xlfn.XLOOKUP(A2120,'[1]Tissue Data'!$A:$A,'[1]Tissue Data'!K:K)</f>
        <v>Whole Body</v>
      </c>
      <c r="I2120">
        <f>_xlfn.XLOOKUP(A2120,'[1]Tissue Data'!$A:$A,'[1]Tissue Data'!L:L)</f>
        <v>6</v>
      </c>
      <c r="J2120">
        <f>_xlfn.XLOOKUP(A2120,'[1]Tissue Data'!$A:$A,'[1]Tissue Data'!M:M)</f>
        <v>4.3499999999999996</v>
      </c>
      <c r="K2120" t="s">
        <v>30</v>
      </c>
      <c r="L2120" t="str">
        <f>_xlfn.XLOOKUP(K2120,[2]analyte_order!$B:$B,[2]analyte_order!$C:$C)</f>
        <v>68259-12-1</v>
      </c>
      <c r="M2120">
        <f>_xlfn.XLOOKUP(L2120,[2]analyte_order!$C:$C,[2]analyte_order!$E:$E)</f>
        <v>19</v>
      </c>
      <c r="N2120">
        <v>0.29599999999999999</v>
      </c>
    </row>
    <row r="2121" spans="1:14">
      <c r="A2121" t="s">
        <v>255</v>
      </c>
      <c r="B2121" t="str">
        <f>_xlfn.XLOOKUP(A2121,'[1]Tissue Data'!$A:$A,'[1]Tissue Data'!$C:$C)</f>
        <v>Spill</v>
      </c>
      <c r="C2121" s="2">
        <f>_xlfn.XLOOKUP(A2121,'[1]Tissue Data'!$A:$A,'[1]Tissue Data'!$D:$D)</f>
        <v>44314</v>
      </c>
      <c r="D2121" s="2" t="str">
        <f>_xlfn.XLOOKUP(A2121,'[1]Tissue Data'!$A:$A,'[1]Tissue Data'!$F:$F)</f>
        <v>Pumpkinseed</v>
      </c>
      <c r="E2121" t="str">
        <f>_xlfn.XLOOKUP(A2121,'[1]Tissue Data'!$A:$A,'[1]Tissue Data'!$H:$H)</f>
        <v>Lepomis</v>
      </c>
      <c r="F2121" t="str">
        <f>_xlfn.XLOOKUP(A2121,'[1]Tissue Data'!$A:$A,'[1]Tissue Data'!$I:$I)</f>
        <v>gibbosus</v>
      </c>
      <c r="G2121" t="str">
        <f>_xlfn.XLOOKUP(A2121,'[1]Tissue Data'!$A:$A,'[1]Tissue Data'!J:J)</f>
        <v>U</v>
      </c>
      <c r="H2121" t="str">
        <f>_xlfn.XLOOKUP(A2121,'[1]Tissue Data'!$A:$A,'[1]Tissue Data'!K:K)</f>
        <v>Whole Body</v>
      </c>
      <c r="I2121">
        <f>_xlfn.XLOOKUP(A2121,'[1]Tissue Data'!$A:$A,'[1]Tissue Data'!L:L)</f>
        <v>6</v>
      </c>
      <c r="J2121">
        <f>_xlfn.XLOOKUP(A2121,'[1]Tissue Data'!$A:$A,'[1]Tissue Data'!M:M)</f>
        <v>4.3499999999999996</v>
      </c>
      <c r="K2121" t="s">
        <v>31</v>
      </c>
      <c r="L2121" t="str">
        <f>_xlfn.XLOOKUP(K2121,[2]analyte_order!$B:$B,[2]analyte_order!$C:$C)</f>
        <v>335-77-3</v>
      </c>
      <c r="M2121">
        <f>_xlfn.XLOOKUP(L2121,[2]analyte_order!$C:$C,[2]analyte_order!$E:$E)</f>
        <v>20</v>
      </c>
      <c r="N2121">
        <v>2.16</v>
      </c>
    </row>
    <row r="2122" spans="1:14">
      <c r="A2122" t="s">
        <v>255</v>
      </c>
      <c r="B2122" t="str">
        <f>_xlfn.XLOOKUP(A2122,'[1]Tissue Data'!$A:$A,'[1]Tissue Data'!$C:$C)</f>
        <v>Spill</v>
      </c>
      <c r="C2122" s="2">
        <f>_xlfn.XLOOKUP(A2122,'[1]Tissue Data'!$A:$A,'[1]Tissue Data'!$D:$D)</f>
        <v>44314</v>
      </c>
      <c r="D2122" s="2" t="str">
        <f>_xlfn.XLOOKUP(A2122,'[1]Tissue Data'!$A:$A,'[1]Tissue Data'!$F:$F)</f>
        <v>Pumpkinseed</v>
      </c>
      <c r="E2122" t="str">
        <f>_xlfn.XLOOKUP(A2122,'[1]Tissue Data'!$A:$A,'[1]Tissue Data'!$H:$H)</f>
        <v>Lepomis</v>
      </c>
      <c r="F2122" t="str">
        <f>_xlfn.XLOOKUP(A2122,'[1]Tissue Data'!$A:$A,'[1]Tissue Data'!$I:$I)</f>
        <v>gibbosus</v>
      </c>
      <c r="G2122" t="str">
        <f>_xlfn.XLOOKUP(A2122,'[1]Tissue Data'!$A:$A,'[1]Tissue Data'!J:J)</f>
        <v>U</v>
      </c>
      <c r="H2122" t="str">
        <f>_xlfn.XLOOKUP(A2122,'[1]Tissue Data'!$A:$A,'[1]Tissue Data'!K:K)</f>
        <v>Whole Body</v>
      </c>
      <c r="I2122">
        <f>_xlfn.XLOOKUP(A2122,'[1]Tissue Data'!$A:$A,'[1]Tissue Data'!L:L)</f>
        <v>6</v>
      </c>
      <c r="J2122">
        <f>_xlfn.XLOOKUP(A2122,'[1]Tissue Data'!$A:$A,'[1]Tissue Data'!M:M)</f>
        <v>4.3499999999999996</v>
      </c>
      <c r="K2122" t="s">
        <v>32</v>
      </c>
      <c r="L2122" t="str">
        <f>_xlfn.XLOOKUP(K2122,[2]analyte_order!$B:$B,[2]analyte_order!$C:$C)</f>
        <v>79780-39-5</v>
      </c>
      <c r="M2122">
        <f>_xlfn.XLOOKUP(L2122,[2]analyte_order!$C:$C,[2]analyte_order!$E:$E)</f>
        <v>21</v>
      </c>
      <c r="N2122">
        <v>0.24249999999999999</v>
      </c>
    </row>
    <row r="2123" spans="1:14">
      <c r="A2123" t="s">
        <v>255</v>
      </c>
      <c r="B2123" t="str">
        <f>_xlfn.XLOOKUP(A2123,'[1]Tissue Data'!$A:$A,'[1]Tissue Data'!$C:$C)</f>
        <v>Spill</v>
      </c>
      <c r="C2123" s="2">
        <f>_xlfn.XLOOKUP(A2123,'[1]Tissue Data'!$A:$A,'[1]Tissue Data'!$D:$D)</f>
        <v>44314</v>
      </c>
      <c r="D2123" s="2" t="str">
        <f>_xlfn.XLOOKUP(A2123,'[1]Tissue Data'!$A:$A,'[1]Tissue Data'!$F:$F)</f>
        <v>Pumpkinseed</v>
      </c>
      <c r="E2123" t="str">
        <f>_xlfn.XLOOKUP(A2123,'[1]Tissue Data'!$A:$A,'[1]Tissue Data'!$H:$H)</f>
        <v>Lepomis</v>
      </c>
      <c r="F2123" t="str">
        <f>_xlfn.XLOOKUP(A2123,'[1]Tissue Data'!$A:$A,'[1]Tissue Data'!$I:$I)</f>
        <v>gibbosus</v>
      </c>
      <c r="G2123" t="str">
        <f>_xlfn.XLOOKUP(A2123,'[1]Tissue Data'!$A:$A,'[1]Tissue Data'!J:J)</f>
        <v>U</v>
      </c>
      <c r="H2123" t="str">
        <f>_xlfn.XLOOKUP(A2123,'[1]Tissue Data'!$A:$A,'[1]Tissue Data'!K:K)</f>
        <v>Whole Body</v>
      </c>
      <c r="I2123">
        <f>_xlfn.XLOOKUP(A2123,'[1]Tissue Data'!$A:$A,'[1]Tissue Data'!L:L)</f>
        <v>6</v>
      </c>
      <c r="J2123">
        <f>_xlfn.XLOOKUP(A2123,'[1]Tissue Data'!$A:$A,'[1]Tissue Data'!M:M)</f>
        <v>4.3499999999999996</v>
      </c>
      <c r="K2123" t="s">
        <v>33</v>
      </c>
      <c r="L2123" t="str">
        <f>_xlfn.XLOOKUP(K2123,[2]analyte_order!$B:$B,[2]analyte_order!$C:$C)</f>
        <v>777011-38-8</v>
      </c>
      <c r="M2123">
        <f>_xlfn.XLOOKUP(L2123,[2]analyte_order!$C:$C,[2]analyte_order!$E:$E)</f>
        <v>54</v>
      </c>
      <c r="N2123">
        <v>0.13800000000000001</v>
      </c>
    </row>
    <row r="2124" spans="1:14">
      <c r="A2124" t="s">
        <v>255</v>
      </c>
      <c r="B2124" t="str">
        <f>_xlfn.XLOOKUP(A2124,'[1]Tissue Data'!$A:$A,'[1]Tissue Data'!$C:$C)</f>
        <v>Spill</v>
      </c>
      <c r="C2124" s="2">
        <f>_xlfn.XLOOKUP(A2124,'[1]Tissue Data'!$A:$A,'[1]Tissue Data'!$D:$D)</f>
        <v>44314</v>
      </c>
      <c r="D2124" s="2" t="str">
        <f>_xlfn.XLOOKUP(A2124,'[1]Tissue Data'!$A:$A,'[1]Tissue Data'!$F:$F)</f>
        <v>Pumpkinseed</v>
      </c>
      <c r="E2124" t="str">
        <f>_xlfn.XLOOKUP(A2124,'[1]Tissue Data'!$A:$A,'[1]Tissue Data'!$H:$H)</f>
        <v>Lepomis</v>
      </c>
      <c r="F2124" t="str">
        <f>_xlfn.XLOOKUP(A2124,'[1]Tissue Data'!$A:$A,'[1]Tissue Data'!$I:$I)</f>
        <v>gibbosus</v>
      </c>
      <c r="G2124" t="str">
        <f>_xlfn.XLOOKUP(A2124,'[1]Tissue Data'!$A:$A,'[1]Tissue Data'!J:J)</f>
        <v>U</v>
      </c>
      <c r="H2124" t="str">
        <f>_xlfn.XLOOKUP(A2124,'[1]Tissue Data'!$A:$A,'[1]Tissue Data'!K:K)</f>
        <v>Whole Body</v>
      </c>
      <c r="I2124">
        <f>_xlfn.XLOOKUP(A2124,'[1]Tissue Data'!$A:$A,'[1]Tissue Data'!L:L)</f>
        <v>6</v>
      </c>
      <c r="J2124">
        <f>_xlfn.XLOOKUP(A2124,'[1]Tissue Data'!$A:$A,'[1]Tissue Data'!M:M)</f>
        <v>4.3499999999999996</v>
      </c>
      <c r="K2124" t="s">
        <v>34</v>
      </c>
      <c r="L2124" t="str">
        <f>_xlfn.XLOOKUP(K2124,[2]analyte_order!$B:$B,[2]analyte_order!$C:$C)</f>
        <v>646-83-3</v>
      </c>
      <c r="M2124">
        <f>_xlfn.XLOOKUP(L2124,[2]analyte_order!$C:$C,[2]analyte_order!$E:$E)</f>
        <v>55</v>
      </c>
      <c r="N2124">
        <v>9.0499999999999997E-2</v>
      </c>
    </row>
    <row r="2125" spans="1:14">
      <c r="A2125" t="s">
        <v>255</v>
      </c>
      <c r="B2125" t="str">
        <f>_xlfn.XLOOKUP(A2125,'[1]Tissue Data'!$A:$A,'[1]Tissue Data'!$C:$C)</f>
        <v>Spill</v>
      </c>
      <c r="C2125" s="2">
        <f>_xlfn.XLOOKUP(A2125,'[1]Tissue Data'!$A:$A,'[1]Tissue Data'!$D:$D)</f>
        <v>44314</v>
      </c>
      <c r="D2125" s="2" t="str">
        <f>_xlfn.XLOOKUP(A2125,'[1]Tissue Data'!$A:$A,'[1]Tissue Data'!$F:$F)</f>
        <v>Pumpkinseed</v>
      </c>
      <c r="E2125" t="str">
        <f>_xlfn.XLOOKUP(A2125,'[1]Tissue Data'!$A:$A,'[1]Tissue Data'!$H:$H)</f>
        <v>Lepomis</v>
      </c>
      <c r="F2125" t="str">
        <f>_xlfn.XLOOKUP(A2125,'[1]Tissue Data'!$A:$A,'[1]Tissue Data'!$I:$I)</f>
        <v>gibbosus</v>
      </c>
      <c r="G2125" t="str">
        <f>_xlfn.XLOOKUP(A2125,'[1]Tissue Data'!$A:$A,'[1]Tissue Data'!J:J)</f>
        <v>U</v>
      </c>
      <c r="H2125" t="str">
        <f>_xlfn.XLOOKUP(A2125,'[1]Tissue Data'!$A:$A,'[1]Tissue Data'!K:K)</f>
        <v>Whole Body</v>
      </c>
      <c r="I2125">
        <f>_xlfn.XLOOKUP(A2125,'[1]Tissue Data'!$A:$A,'[1]Tissue Data'!L:L)</f>
        <v>6</v>
      </c>
      <c r="J2125">
        <f>_xlfn.XLOOKUP(A2125,'[1]Tissue Data'!$A:$A,'[1]Tissue Data'!M:M)</f>
        <v>4.3499999999999996</v>
      </c>
      <c r="K2125" t="s">
        <v>35</v>
      </c>
      <c r="L2125" t="str">
        <f>_xlfn.XLOOKUP(K2125,[2]analyte_order!$B:$B,[2]analyte_order!$C:$C)</f>
        <v>30334-69-1</v>
      </c>
      <c r="M2125">
        <f>_xlfn.XLOOKUP(L2125,[2]analyte_order!$C:$C,[2]analyte_order!$E:$E)</f>
        <v>51</v>
      </c>
      <c r="N2125">
        <v>83.1</v>
      </c>
    </row>
    <row r="2126" spans="1:14">
      <c r="A2126" t="s">
        <v>255</v>
      </c>
      <c r="B2126" t="str">
        <f>_xlfn.XLOOKUP(A2126,'[1]Tissue Data'!$A:$A,'[1]Tissue Data'!$C:$C)</f>
        <v>Spill</v>
      </c>
      <c r="C2126" s="2">
        <f>_xlfn.XLOOKUP(A2126,'[1]Tissue Data'!$A:$A,'[1]Tissue Data'!$D:$D)</f>
        <v>44314</v>
      </c>
      <c r="D2126" s="2" t="str">
        <f>_xlfn.XLOOKUP(A2126,'[1]Tissue Data'!$A:$A,'[1]Tissue Data'!$F:$F)</f>
        <v>Pumpkinseed</v>
      </c>
      <c r="E2126" t="str">
        <f>_xlfn.XLOOKUP(A2126,'[1]Tissue Data'!$A:$A,'[1]Tissue Data'!$H:$H)</f>
        <v>Lepomis</v>
      </c>
      <c r="F2126" t="str">
        <f>_xlfn.XLOOKUP(A2126,'[1]Tissue Data'!$A:$A,'[1]Tissue Data'!$I:$I)</f>
        <v>gibbosus</v>
      </c>
      <c r="G2126" t="str">
        <f>_xlfn.XLOOKUP(A2126,'[1]Tissue Data'!$A:$A,'[1]Tissue Data'!J:J)</f>
        <v>U</v>
      </c>
      <c r="H2126" t="str">
        <f>_xlfn.XLOOKUP(A2126,'[1]Tissue Data'!$A:$A,'[1]Tissue Data'!K:K)</f>
        <v>Whole Body</v>
      </c>
      <c r="I2126">
        <f>_xlfn.XLOOKUP(A2126,'[1]Tissue Data'!$A:$A,'[1]Tissue Data'!L:L)</f>
        <v>6</v>
      </c>
      <c r="J2126">
        <f>_xlfn.XLOOKUP(A2126,'[1]Tissue Data'!$A:$A,'[1]Tissue Data'!M:M)</f>
        <v>4.3499999999999996</v>
      </c>
      <c r="K2126" t="s">
        <v>36</v>
      </c>
      <c r="L2126" t="str">
        <f>_xlfn.XLOOKUP(K2126,[2]analyte_order!$B:$B,[2]analyte_order!$C:$C)</f>
        <v>41997-13-1</v>
      </c>
      <c r="M2126">
        <f>_xlfn.XLOOKUP(L2126,[2]analyte_order!$C:$C,[2]analyte_order!$E:$E)</f>
        <v>52</v>
      </c>
      <c r="N2126">
        <v>45.8</v>
      </c>
    </row>
    <row r="2127" spans="1:14">
      <c r="A2127" t="s">
        <v>255</v>
      </c>
      <c r="B2127" t="str">
        <f>_xlfn.XLOOKUP(A2127,'[1]Tissue Data'!$A:$A,'[1]Tissue Data'!$C:$C)</f>
        <v>Spill</v>
      </c>
      <c r="C2127" s="2">
        <f>_xlfn.XLOOKUP(A2127,'[1]Tissue Data'!$A:$A,'[1]Tissue Data'!$D:$D)</f>
        <v>44314</v>
      </c>
      <c r="D2127" s="2" t="str">
        <f>_xlfn.XLOOKUP(A2127,'[1]Tissue Data'!$A:$A,'[1]Tissue Data'!$F:$F)</f>
        <v>Pumpkinseed</v>
      </c>
      <c r="E2127" t="str">
        <f>_xlfn.XLOOKUP(A2127,'[1]Tissue Data'!$A:$A,'[1]Tissue Data'!$H:$H)</f>
        <v>Lepomis</v>
      </c>
      <c r="F2127" t="str">
        <f>_xlfn.XLOOKUP(A2127,'[1]Tissue Data'!$A:$A,'[1]Tissue Data'!$I:$I)</f>
        <v>gibbosus</v>
      </c>
      <c r="G2127" t="str">
        <f>_xlfn.XLOOKUP(A2127,'[1]Tissue Data'!$A:$A,'[1]Tissue Data'!J:J)</f>
        <v>U</v>
      </c>
      <c r="H2127" t="str">
        <f>_xlfn.XLOOKUP(A2127,'[1]Tissue Data'!$A:$A,'[1]Tissue Data'!K:K)</f>
        <v>Whole Body</v>
      </c>
      <c r="I2127">
        <f>_xlfn.XLOOKUP(A2127,'[1]Tissue Data'!$A:$A,'[1]Tissue Data'!L:L)</f>
        <v>6</v>
      </c>
      <c r="J2127">
        <f>_xlfn.XLOOKUP(A2127,'[1]Tissue Data'!$A:$A,'[1]Tissue Data'!M:M)</f>
        <v>4.3499999999999996</v>
      </c>
      <c r="K2127" t="s">
        <v>37</v>
      </c>
      <c r="L2127" t="str">
        <f>_xlfn.XLOOKUP(K2127,[2]analyte_order!$B:$B,[2]analyte_order!$C:$C)</f>
        <v>754-91-6</v>
      </c>
      <c r="M2127">
        <f>_xlfn.XLOOKUP(L2127,[2]analyte_order!$C:$C,[2]analyte_order!$E:$E)</f>
        <v>28</v>
      </c>
      <c r="N2127">
        <v>20</v>
      </c>
    </row>
    <row r="2128" spans="1:14">
      <c r="A2128" t="s">
        <v>255</v>
      </c>
      <c r="B2128" t="str">
        <f>_xlfn.XLOOKUP(A2128,'[1]Tissue Data'!$A:$A,'[1]Tissue Data'!$C:$C)</f>
        <v>Spill</v>
      </c>
      <c r="C2128" s="2">
        <f>_xlfn.XLOOKUP(A2128,'[1]Tissue Data'!$A:$A,'[1]Tissue Data'!$D:$D)</f>
        <v>44314</v>
      </c>
      <c r="D2128" s="2" t="str">
        <f>_xlfn.XLOOKUP(A2128,'[1]Tissue Data'!$A:$A,'[1]Tissue Data'!$F:$F)</f>
        <v>Pumpkinseed</v>
      </c>
      <c r="E2128" t="str">
        <f>_xlfn.XLOOKUP(A2128,'[1]Tissue Data'!$A:$A,'[1]Tissue Data'!$H:$H)</f>
        <v>Lepomis</v>
      </c>
      <c r="F2128" t="str">
        <f>_xlfn.XLOOKUP(A2128,'[1]Tissue Data'!$A:$A,'[1]Tissue Data'!$I:$I)</f>
        <v>gibbosus</v>
      </c>
      <c r="G2128" t="str">
        <f>_xlfn.XLOOKUP(A2128,'[1]Tissue Data'!$A:$A,'[1]Tissue Data'!J:J)</f>
        <v>U</v>
      </c>
      <c r="H2128" t="str">
        <f>_xlfn.XLOOKUP(A2128,'[1]Tissue Data'!$A:$A,'[1]Tissue Data'!K:K)</f>
        <v>Whole Body</v>
      </c>
      <c r="I2128">
        <f>_xlfn.XLOOKUP(A2128,'[1]Tissue Data'!$A:$A,'[1]Tissue Data'!L:L)</f>
        <v>6</v>
      </c>
      <c r="J2128">
        <f>_xlfn.XLOOKUP(A2128,'[1]Tissue Data'!$A:$A,'[1]Tissue Data'!M:M)</f>
        <v>4.3499999999999996</v>
      </c>
      <c r="K2128" t="s">
        <v>38</v>
      </c>
      <c r="L2128" t="str">
        <f>_xlfn.XLOOKUP(K2128,[2]analyte_order!$B:$B,[2]analyte_order!$C:$C)</f>
        <v>31506-32-8</v>
      </c>
      <c r="M2128">
        <f>_xlfn.XLOOKUP(L2128,[2]analyte_order!$C:$C,[2]analyte_order!$E:$E)</f>
        <v>30</v>
      </c>
      <c r="N2128">
        <v>5.2999999999999999E-2</v>
      </c>
    </row>
    <row r="2129" spans="1:14">
      <c r="A2129" t="s">
        <v>255</v>
      </c>
      <c r="B2129" t="str">
        <f>_xlfn.XLOOKUP(A2129,'[1]Tissue Data'!$A:$A,'[1]Tissue Data'!$C:$C)</f>
        <v>Spill</v>
      </c>
      <c r="C2129" s="2">
        <f>_xlfn.XLOOKUP(A2129,'[1]Tissue Data'!$A:$A,'[1]Tissue Data'!$D:$D)</f>
        <v>44314</v>
      </c>
      <c r="D2129" s="2" t="str">
        <f>_xlfn.XLOOKUP(A2129,'[1]Tissue Data'!$A:$A,'[1]Tissue Data'!$F:$F)</f>
        <v>Pumpkinseed</v>
      </c>
      <c r="E2129" t="str">
        <f>_xlfn.XLOOKUP(A2129,'[1]Tissue Data'!$A:$A,'[1]Tissue Data'!$H:$H)</f>
        <v>Lepomis</v>
      </c>
      <c r="F2129" t="str">
        <f>_xlfn.XLOOKUP(A2129,'[1]Tissue Data'!$A:$A,'[1]Tissue Data'!$I:$I)</f>
        <v>gibbosus</v>
      </c>
      <c r="G2129" t="str">
        <f>_xlfn.XLOOKUP(A2129,'[1]Tissue Data'!$A:$A,'[1]Tissue Data'!J:J)</f>
        <v>U</v>
      </c>
      <c r="H2129" t="str">
        <f>_xlfn.XLOOKUP(A2129,'[1]Tissue Data'!$A:$A,'[1]Tissue Data'!K:K)</f>
        <v>Whole Body</v>
      </c>
      <c r="I2129">
        <f>_xlfn.XLOOKUP(A2129,'[1]Tissue Data'!$A:$A,'[1]Tissue Data'!L:L)</f>
        <v>6</v>
      </c>
      <c r="J2129">
        <f>_xlfn.XLOOKUP(A2129,'[1]Tissue Data'!$A:$A,'[1]Tissue Data'!M:M)</f>
        <v>4.3499999999999996</v>
      </c>
      <c r="K2129" t="s">
        <v>39</v>
      </c>
      <c r="L2129" t="str">
        <f>_xlfn.XLOOKUP(K2129,[2]analyte_order!$B:$B,[2]analyte_order!$C:$C)</f>
        <v>4151-50-2</v>
      </c>
      <c r="M2129">
        <f>_xlfn.XLOOKUP(L2129,[2]analyte_order!$C:$C,[2]analyte_order!$E:$E)</f>
        <v>31</v>
      </c>
      <c r="N2129">
        <v>0.08</v>
      </c>
    </row>
    <row r="2130" spans="1:14">
      <c r="A2130" t="s">
        <v>255</v>
      </c>
      <c r="B2130" t="str">
        <f>_xlfn.XLOOKUP(A2130,'[1]Tissue Data'!$A:$A,'[1]Tissue Data'!$C:$C)</f>
        <v>Spill</v>
      </c>
      <c r="C2130" s="2">
        <f>_xlfn.XLOOKUP(A2130,'[1]Tissue Data'!$A:$A,'[1]Tissue Data'!$D:$D)</f>
        <v>44314</v>
      </c>
      <c r="D2130" s="2" t="str">
        <f>_xlfn.XLOOKUP(A2130,'[1]Tissue Data'!$A:$A,'[1]Tissue Data'!$F:$F)</f>
        <v>Pumpkinseed</v>
      </c>
      <c r="E2130" t="str">
        <f>_xlfn.XLOOKUP(A2130,'[1]Tissue Data'!$A:$A,'[1]Tissue Data'!$H:$H)</f>
        <v>Lepomis</v>
      </c>
      <c r="F2130" t="str">
        <f>_xlfn.XLOOKUP(A2130,'[1]Tissue Data'!$A:$A,'[1]Tissue Data'!$I:$I)</f>
        <v>gibbosus</v>
      </c>
      <c r="G2130" t="str">
        <f>_xlfn.XLOOKUP(A2130,'[1]Tissue Data'!$A:$A,'[1]Tissue Data'!J:J)</f>
        <v>U</v>
      </c>
      <c r="H2130" t="str">
        <f>_xlfn.XLOOKUP(A2130,'[1]Tissue Data'!$A:$A,'[1]Tissue Data'!K:K)</f>
        <v>Whole Body</v>
      </c>
      <c r="I2130">
        <f>_xlfn.XLOOKUP(A2130,'[1]Tissue Data'!$A:$A,'[1]Tissue Data'!L:L)</f>
        <v>6</v>
      </c>
      <c r="J2130">
        <f>_xlfn.XLOOKUP(A2130,'[1]Tissue Data'!$A:$A,'[1]Tissue Data'!M:M)</f>
        <v>4.3499999999999996</v>
      </c>
      <c r="K2130" t="s">
        <v>40</v>
      </c>
      <c r="L2130" t="str">
        <f>_xlfn.XLOOKUP(K2130,[2]analyte_order!$B:$B,[2]analyte_order!$C:$C)</f>
        <v>2806-24-8</v>
      </c>
      <c r="M2130">
        <f>_xlfn.XLOOKUP(L2130,[2]analyte_order!$C:$C,[2]analyte_order!$E:$E)</f>
        <v>29</v>
      </c>
      <c r="N2130">
        <v>5.3999999999999999E-2</v>
      </c>
    </row>
    <row r="2131" spans="1:14">
      <c r="A2131" t="s">
        <v>255</v>
      </c>
      <c r="B2131" t="str">
        <f>_xlfn.XLOOKUP(A2131,'[1]Tissue Data'!$A:$A,'[1]Tissue Data'!$C:$C)</f>
        <v>Spill</v>
      </c>
      <c r="C2131" s="2">
        <f>_xlfn.XLOOKUP(A2131,'[1]Tissue Data'!$A:$A,'[1]Tissue Data'!$D:$D)</f>
        <v>44314</v>
      </c>
      <c r="D2131" s="2" t="str">
        <f>_xlfn.XLOOKUP(A2131,'[1]Tissue Data'!$A:$A,'[1]Tissue Data'!$F:$F)</f>
        <v>Pumpkinseed</v>
      </c>
      <c r="E2131" t="str">
        <f>_xlfn.XLOOKUP(A2131,'[1]Tissue Data'!$A:$A,'[1]Tissue Data'!$H:$H)</f>
        <v>Lepomis</v>
      </c>
      <c r="F2131" t="str">
        <f>_xlfn.XLOOKUP(A2131,'[1]Tissue Data'!$A:$A,'[1]Tissue Data'!$I:$I)</f>
        <v>gibbosus</v>
      </c>
      <c r="G2131" t="str">
        <f>_xlfn.XLOOKUP(A2131,'[1]Tissue Data'!$A:$A,'[1]Tissue Data'!J:J)</f>
        <v>U</v>
      </c>
      <c r="H2131" t="str">
        <f>_xlfn.XLOOKUP(A2131,'[1]Tissue Data'!$A:$A,'[1]Tissue Data'!K:K)</f>
        <v>Whole Body</v>
      </c>
      <c r="I2131">
        <f>_xlfn.XLOOKUP(A2131,'[1]Tissue Data'!$A:$A,'[1]Tissue Data'!L:L)</f>
        <v>6</v>
      </c>
      <c r="J2131">
        <f>_xlfn.XLOOKUP(A2131,'[1]Tissue Data'!$A:$A,'[1]Tissue Data'!M:M)</f>
        <v>4.3499999999999996</v>
      </c>
      <c r="K2131" t="s">
        <v>41</v>
      </c>
      <c r="L2131" t="str">
        <f>_xlfn.XLOOKUP(K2131,[2]analyte_order!$B:$B,[2]analyte_order!$C:$C)</f>
        <v>2355-31-9</v>
      </c>
      <c r="M2131">
        <f>_xlfn.XLOOKUP(L2131,[2]analyte_order!$C:$C,[2]analyte_order!$E:$E)</f>
        <v>26</v>
      </c>
      <c r="N2131">
        <v>0.91500000000000004</v>
      </c>
    </row>
    <row r="2132" spans="1:14">
      <c r="A2132" t="s">
        <v>255</v>
      </c>
      <c r="B2132" t="str">
        <f>_xlfn.XLOOKUP(A2132,'[1]Tissue Data'!$A:$A,'[1]Tissue Data'!$C:$C)</f>
        <v>Spill</v>
      </c>
      <c r="C2132" s="2">
        <f>_xlfn.XLOOKUP(A2132,'[1]Tissue Data'!$A:$A,'[1]Tissue Data'!$D:$D)</f>
        <v>44314</v>
      </c>
      <c r="D2132" s="2" t="str">
        <f>_xlfn.XLOOKUP(A2132,'[1]Tissue Data'!$A:$A,'[1]Tissue Data'!$F:$F)</f>
        <v>Pumpkinseed</v>
      </c>
      <c r="E2132" t="str">
        <f>_xlfn.XLOOKUP(A2132,'[1]Tissue Data'!$A:$A,'[1]Tissue Data'!$H:$H)</f>
        <v>Lepomis</v>
      </c>
      <c r="F2132" t="str">
        <f>_xlfn.XLOOKUP(A2132,'[1]Tissue Data'!$A:$A,'[1]Tissue Data'!$I:$I)</f>
        <v>gibbosus</v>
      </c>
      <c r="G2132" t="str">
        <f>_xlfn.XLOOKUP(A2132,'[1]Tissue Data'!$A:$A,'[1]Tissue Data'!J:J)</f>
        <v>U</v>
      </c>
      <c r="H2132" t="str">
        <f>_xlfn.XLOOKUP(A2132,'[1]Tissue Data'!$A:$A,'[1]Tissue Data'!K:K)</f>
        <v>Whole Body</v>
      </c>
      <c r="I2132">
        <f>_xlfn.XLOOKUP(A2132,'[1]Tissue Data'!$A:$A,'[1]Tissue Data'!L:L)</f>
        <v>6</v>
      </c>
      <c r="J2132">
        <f>_xlfn.XLOOKUP(A2132,'[1]Tissue Data'!$A:$A,'[1]Tissue Data'!M:M)</f>
        <v>4.3499999999999996</v>
      </c>
      <c r="K2132" t="s">
        <v>42</v>
      </c>
      <c r="L2132" t="str">
        <f>_xlfn.XLOOKUP(K2132,[2]analyte_order!$B:$B,[2]analyte_order!$C:$C)</f>
        <v>2991-50-6</v>
      </c>
      <c r="M2132">
        <f>_xlfn.XLOOKUP(L2132,[2]analyte_order!$C:$C,[2]analyte_order!$E:$E)</f>
        <v>27</v>
      </c>
      <c r="N2132">
        <v>5.9499999999999997E-2</v>
      </c>
    </row>
    <row r="2133" spans="1:14">
      <c r="A2133" t="s">
        <v>255</v>
      </c>
      <c r="B2133" t="str">
        <f>_xlfn.XLOOKUP(A2133,'[1]Tissue Data'!$A:$A,'[1]Tissue Data'!$C:$C)</f>
        <v>Spill</v>
      </c>
      <c r="C2133" s="2">
        <f>_xlfn.XLOOKUP(A2133,'[1]Tissue Data'!$A:$A,'[1]Tissue Data'!$D:$D)</f>
        <v>44314</v>
      </c>
      <c r="D2133" s="2" t="str">
        <f>_xlfn.XLOOKUP(A2133,'[1]Tissue Data'!$A:$A,'[1]Tissue Data'!$F:$F)</f>
        <v>Pumpkinseed</v>
      </c>
      <c r="E2133" t="str">
        <f>_xlfn.XLOOKUP(A2133,'[1]Tissue Data'!$A:$A,'[1]Tissue Data'!$H:$H)</f>
        <v>Lepomis</v>
      </c>
      <c r="F2133" t="str">
        <f>_xlfn.XLOOKUP(A2133,'[1]Tissue Data'!$A:$A,'[1]Tissue Data'!$I:$I)</f>
        <v>gibbosus</v>
      </c>
      <c r="G2133" t="str">
        <f>_xlfn.XLOOKUP(A2133,'[1]Tissue Data'!$A:$A,'[1]Tissue Data'!J:J)</f>
        <v>U</v>
      </c>
      <c r="H2133" t="str">
        <f>_xlfn.XLOOKUP(A2133,'[1]Tissue Data'!$A:$A,'[1]Tissue Data'!K:K)</f>
        <v>Whole Body</v>
      </c>
      <c r="I2133">
        <f>_xlfn.XLOOKUP(A2133,'[1]Tissue Data'!$A:$A,'[1]Tissue Data'!L:L)</f>
        <v>6</v>
      </c>
      <c r="J2133">
        <f>_xlfn.XLOOKUP(A2133,'[1]Tissue Data'!$A:$A,'[1]Tissue Data'!M:M)</f>
        <v>4.3499999999999996</v>
      </c>
      <c r="K2133" t="s">
        <v>43</v>
      </c>
      <c r="L2133" t="str">
        <f>_xlfn.XLOOKUP(K2133,[2]analyte_order!$B:$B,[2]analyte_order!$C:$C)</f>
        <v>757124-72-4</v>
      </c>
      <c r="M2133">
        <f>_xlfn.XLOOKUP(L2133,[2]analyte_order!$C:$C,[2]analyte_order!$E:$E)</f>
        <v>22</v>
      </c>
      <c r="N2133">
        <v>5.6500000000000002E-2</v>
      </c>
    </row>
    <row r="2134" spans="1:14">
      <c r="A2134" t="s">
        <v>255</v>
      </c>
      <c r="B2134" t="str">
        <f>_xlfn.XLOOKUP(A2134,'[1]Tissue Data'!$A:$A,'[1]Tissue Data'!$C:$C)</f>
        <v>Spill</v>
      </c>
      <c r="C2134" s="2">
        <f>_xlfn.XLOOKUP(A2134,'[1]Tissue Data'!$A:$A,'[1]Tissue Data'!$D:$D)</f>
        <v>44314</v>
      </c>
      <c r="D2134" s="2" t="str">
        <f>_xlfn.XLOOKUP(A2134,'[1]Tissue Data'!$A:$A,'[1]Tissue Data'!$F:$F)</f>
        <v>Pumpkinseed</v>
      </c>
      <c r="E2134" t="str">
        <f>_xlfn.XLOOKUP(A2134,'[1]Tissue Data'!$A:$A,'[1]Tissue Data'!$H:$H)</f>
        <v>Lepomis</v>
      </c>
      <c r="F2134" t="str">
        <f>_xlfn.XLOOKUP(A2134,'[1]Tissue Data'!$A:$A,'[1]Tissue Data'!$I:$I)</f>
        <v>gibbosus</v>
      </c>
      <c r="G2134" t="str">
        <f>_xlfn.XLOOKUP(A2134,'[1]Tissue Data'!$A:$A,'[1]Tissue Data'!J:J)</f>
        <v>U</v>
      </c>
      <c r="H2134" t="str">
        <f>_xlfn.XLOOKUP(A2134,'[1]Tissue Data'!$A:$A,'[1]Tissue Data'!K:K)</f>
        <v>Whole Body</v>
      </c>
      <c r="I2134">
        <f>_xlfn.XLOOKUP(A2134,'[1]Tissue Data'!$A:$A,'[1]Tissue Data'!L:L)</f>
        <v>6</v>
      </c>
      <c r="J2134">
        <f>_xlfn.XLOOKUP(A2134,'[1]Tissue Data'!$A:$A,'[1]Tissue Data'!M:M)</f>
        <v>4.3499999999999996</v>
      </c>
      <c r="K2134" t="s">
        <v>44</v>
      </c>
      <c r="L2134" t="str">
        <f>_xlfn.XLOOKUP(K2134,[2]analyte_order!$B:$B,[2]analyte_order!$C:$C)</f>
        <v>27619-97-2</v>
      </c>
      <c r="M2134">
        <f>_xlfn.XLOOKUP(L2134,[2]analyte_order!$C:$C,[2]analyte_order!$E:$E)</f>
        <v>23</v>
      </c>
      <c r="N2134">
        <v>0.59899999999999998</v>
      </c>
    </row>
    <row r="2135" spans="1:14">
      <c r="A2135" t="s">
        <v>255</v>
      </c>
      <c r="B2135" t="str">
        <f>_xlfn.XLOOKUP(A2135,'[1]Tissue Data'!$A:$A,'[1]Tissue Data'!$C:$C)</f>
        <v>Spill</v>
      </c>
      <c r="C2135" s="2">
        <f>_xlfn.XLOOKUP(A2135,'[1]Tissue Data'!$A:$A,'[1]Tissue Data'!$D:$D)</f>
        <v>44314</v>
      </c>
      <c r="D2135" s="2" t="str">
        <f>_xlfn.XLOOKUP(A2135,'[1]Tissue Data'!$A:$A,'[1]Tissue Data'!$F:$F)</f>
        <v>Pumpkinseed</v>
      </c>
      <c r="E2135" t="str">
        <f>_xlfn.XLOOKUP(A2135,'[1]Tissue Data'!$A:$A,'[1]Tissue Data'!$H:$H)</f>
        <v>Lepomis</v>
      </c>
      <c r="F2135" t="str">
        <f>_xlfn.XLOOKUP(A2135,'[1]Tissue Data'!$A:$A,'[1]Tissue Data'!$I:$I)</f>
        <v>gibbosus</v>
      </c>
      <c r="G2135" t="str">
        <f>_xlfn.XLOOKUP(A2135,'[1]Tissue Data'!$A:$A,'[1]Tissue Data'!J:J)</f>
        <v>U</v>
      </c>
      <c r="H2135" t="str">
        <f>_xlfn.XLOOKUP(A2135,'[1]Tissue Data'!$A:$A,'[1]Tissue Data'!K:K)</f>
        <v>Whole Body</v>
      </c>
      <c r="I2135">
        <f>_xlfn.XLOOKUP(A2135,'[1]Tissue Data'!$A:$A,'[1]Tissue Data'!L:L)</f>
        <v>6</v>
      </c>
      <c r="J2135">
        <f>_xlfn.XLOOKUP(A2135,'[1]Tissue Data'!$A:$A,'[1]Tissue Data'!M:M)</f>
        <v>4.3499999999999996</v>
      </c>
      <c r="K2135" t="s">
        <v>45</v>
      </c>
      <c r="L2135" t="str">
        <f>_xlfn.XLOOKUP(K2135,[2]analyte_order!$B:$B,[2]analyte_order!$C:$C)</f>
        <v>39108-34-4</v>
      </c>
      <c r="M2135">
        <f>_xlfn.XLOOKUP(L2135,[2]analyte_order!$C:$C,[2]analyte_order!$E:$E)</f>
        <v>24</v>
      </c>
      <c r="N2135">
        <v>0.95399999999999996</v>
      </c>
    </row>
    <row r="2136" spans="1:14">
      <c r="A2136" t="s">
        <v>255</v>
      </c>
      <c r="B2136" t="str">
        <f>_xlfn.XLOOKUP(A2136,'[1]Tissue Data'!$A:$A,'[1]Tissue Data'!$C:$C)</f>
        <v>Spill</v>
      </c>
      <c r="C2136" s="2">
        <f>_xlfn.XLOOKUP(A2136,'[1]Tissue Data'!$A:$A,'[1]Tissue Data'!$D:$D)</f>
        <v>44314</v>
      </c>
      <c r="D2136" s="2" t="str">
        <f>_xlfn.XLOOKUP(A2136,'[1]Tissue Data'!$A:$A,'[1]Tissue Data'!$F:$F)</f>
        <v>Pumpkinseed</v>
      </c>
      <c r="E2136" t="str">
        <f>_xlfn.XLOOKUP(A2136,'[1]Tissue Data'!$A:$A,'[1]Tissue Data'!$H:$H)</f>
        <v>Lepomis</v>
      </c>
      <c r="F2136" t="str">
        <f>_xlfn.XLOOKUP(A2136,'[1]Tissue Data'!$A:$A,'[1]Tissue Data'!$I:$I)</f>
        <v>gibbosus</v>
      </c>
      <c r="G2136" t="str">
        <f>_xlfn.XLOOKUP(A2136,'[1]Tissue Data'!$A:$A,'[1]Tissue Data'!J:J)</f>
        <v>U</v>
      </c>
      <c r="H2136" t="str">
        <f>_xlfn.XLOOKUP(A2136,'[1]Tissue Data'!$A:$A,'[1]Tissue Data'!K:K)</f>
        <v>Whole Body</v>
      </c>
      <c r="I2136">
        <f>_xlfn.XLOOKUP(A2136,'[1]Tissue Data'!$A:$A,'[1]Tissue Data'!L:L)</f>
        <v>6</v>
      </c>
      <c r="J2136">
        <f>_xlfn.XLOOKUP(A2136,'[1]Tissue Data'!$A:$A,'[1]Tissue Data'!M:M)</f>
        <v>4.3499999999999996</v>
      </c>
      <c r="K2136" t="s">
        <v>46</v>
      </c>
      <c r="L2136" t="str">
        <f>_xlfn.XLOOKUP(K2136,[2]analyte_order!$B:$B,[2]analyte_order!$C:$C)</f>
        <v>120226-60-0</v>
      </c>
      <c r="M2136">
        <f>_xlfn.XLOOKUP(L2136,[2]analyte_order!$C:$C,[2]analyte_order!$E:$E)</f>
        <v>25</v>
      </c>
      <c r="N2136">
        <v>7.8E-2</v>
      </c>
    </row>
    <row r="2137" spans="1:14">
      <c r="A2137" t="s">
        <v>255</v>
      </c>
      <c r="B2137" t="str">
        <f>_xlfn.XLOOKUP(A2137,'[1]Tissue Data'!$A:$A,'[1]Tissue Data'!$C:$C)</f>
        <v>Spill</v>
      </c>
      <c r="C2137" s="2">
        <f>_xlfn.XLOOKUP(A2137,'[1]Tissue Data'!$A:$A,'[1]Tissue Data'!$D:$D)</f>
        <v>44314</v>
      </c>
      <c r="D2137" s="2" t="str">
        <f>_xlfn.XLOOKUP(A2137,'[1]Tissue Data'!$A:$A,'[1]Tissue Data'!$F:$F)</f>
        <v>Pumpkinseed</v>
      </c>
      <c r="E2137" t="str">
        <f>_xlfn.XLOOKUP(A2137,'[1]Tissue Data'!$A:$A,'[1]Tissue Data'!$H:$H)</f>
        <v>Lepomis</v>
      </c>
      <c r="F2137" t="str">
        <f>_xlfn.XLOOKUP(A2137,'[1]Tissue Data'!$A:$A,'[1]Tissue Data'!$I:$I)</f>
        <v>gibbosus</v>
      </c>
      <c r="G2137" t="str">
        <f>_xlfn.XLOOKUP(A2137,'[1]Tissue Data'!$A:$A,'[1]Tissue Data'!J:J)</f>
        <v>U</v>
      </c>
      <c r="H2137" t="str">
        <f>_xlfn.XLOOKUP(A2137,'[1]Tissue Data'!$A:$A,'[1]Tissue Data'!K:K)</f>
        <v>Whole Body</v>
      </c>
      <c r="I2137">
        <f>_xlfn.XLOOKUP(A2137,'[1]Tissue Data'!$A:$A,'[1]Tissue Data'!L:L)</f>
        <v>6</v>
      </c>
      <c r="J2137">
        <f>_xlfn.XLOOKUP(A2137,'[1]Tissue Data'!$A:$A,'[1]Tissue Data'!M:M)</f>
        <v>4.3499999999999996</v>
      </c>
      <c r="K2137" t="s">
        <v>47</v>
      </c>
      <c r="L2137" t="str">
        <f>_xlfn.XLOOKUP(K2137,[2]analyte_order!$B:$B,[2]analyte_order!$C:$C)</f>
        <v>356-02-5</v>
      </c>
      <c r="M2137">
        <f>_xlfn.XLOOKUP(L2137,[2]analyte_order!$C:$C,[2]analyte_order!$E:$E)</f>
        <v>38</v>
      </c>
      <c r="N2137">
        <v>7.9000000000000001E-2</v>
      </c>
    </row>
    <row r="2138" spans="1:14">
      <c r="A2138" t="s">
        <v>255</v>
      </c>
      <c r="B2138" t="str">
        <f>_xlfn.XLOOKUP(A2138,'[1]Tissue Data'!$A:$A,'[1]Tissue Data'!$C:$C)</f>
        <v>Spill</v>
      </c>
      <c r="C2138" s="2">
        <f>_xlfn.XLOOKUP(A2138,'[1]Tissue Data'!$A:$A,'[1]Tissue Data'!$D:$D)</f>
        <v>44314</v>
      </c>
      <c r="D2138" s="2" t="str">
        <f>_xlfn.XLOOKUP(A2138,'[1]Tissue Data'!$A:$A,'[1]Tissue Data'!$F:$F)</f>
        <v>Pumpkinseed</v>
      </c>
      <c r="E2138" t="str">
        <f>_xlfn.XLOOKUP(A2138,'[1]Tissue Data'!$A:$A,'[1]Tissue Data'!$H:$H)</f>
        <v>Lepomis</v>
      </c>
      <c r="F2138" t="str">
        <f>_xlfn.XLOOKUP(A2138,'[1]Tissue Data'!$A:$A,'[1]Tissue Data'!$I:$I)</f>
        <v>gibbosus</v>
      </c>
      <c r="G2138" t="str">
        <f>_xlfn.XLOOKUP(A2138,'[1]Tissue Data'!$A:$A,'[1]Tissue Data'!J:J)</f>
        <v>U</v>
      </c>
      <c r="H2138" t="str">
        <f>_xlfn.XLOOKUP(A2138,'[1]Tissue Data'!$A:$A,'[1]Tissue Data'!K:K)</f>
        <v>Whole Body</v>
      </c>
      <c r="I2138">
        <f>_xlfn.XLOOKUP(A2138,'[1]Tissue Data'!$A:$A,'[1]Tissue Data'!L:L)</f>
        <v>6</v>
      </c>
      <c r="J2138">
        <f>_xlfn.XLOOKUP(A2138,'[1]Tissue Data'!$A:$A,'[1]Tissue Data'!M:M)</f>
        <v>4.3499999999999996</v>
      </c>
      <c r="K2138" t="s">
        <v>48</v>
      </c>
      <c r="L2138" t="str">
        <f>_xlfn.XLOOKUP(K2138,[2]analyte_order!$B:$B,[2]analyte_order!$C:$C)</f>
        <v>914637-49-3</v>
      </c>
      <c r="M2138">
        <f>_xlfn.XLOOKUP(L2138,[2]analyte_order!$C:$C,[2]analyte_order!$E:$E)</f>
        <v>39</v>
      </c>
      <c r="N2138">
        <v>1.82</v>
      </c>
    </row>
    <row r="2139" spans="1:14">
      <c r="A2139" t="s">
        <v>255</v>
      </c>
      <c r="B2139" t="str">
        <f>_xlfn.XLOOKUP(A2139,'[1]Tissue Data'!$A:$A,'[1]Tissue Data'!$C:$C)</f>
        <v>Spill</v>
      </c>
      <c r="C2139" s="2">
        <f>_xlfn.XLOOKUP(A2139,'[1]Tissue Data'!$A:$A,'[1]Tissue Data'!$D:$D)</f>
        <v>44314</v>
      </c>
      <c r="D2139" s="2" t="str">
        <f>_xlfn.XLOOKUP(A2139,'[1]Tissue Data'!$A:$A,'[1]Tissue Data'!$F:$F)</f>
        <v>Pumpkinseed</v>
      </c>
      <c r="E2139" t="str">
        <f>_xlfn.XLOOKUP(A2139,'[1]Tissue Data'!$A:$A,'[1]Tissue Data'!$H:$H)</f>
        <v>Lepomis</v>
      </c>
      <c r="F2139" t="str">
        <f>_xlfn.XLOOKUP(A2139,'[1]Tissue Data'!$A:$A,'[1]Tissue Data'!$I:$I)</f>
        <v>gibbosus</v>
      </c>
      <c r="G2139" t="str">
        <f>_xlfn.XLOOKUP(A2139,'[1]Tissue Data'!$A:$A,'[1]Tissue Data'!J:J)</f>
        <v>U</v>
      </c>
      <c r="H2139" t="str">
        <f>_xlfn.XLOOKUP(A2139,'[1]Tissue Data'!$A:$A,'[1]Tissue Data'!K:K)</f>
        <v>Whole Body</v>
      </c>
      <c r="I2139">
        <f>_xlfn.XLOOKUP(A2139,'[1]Tissue Data'!$A:$A,'[1]Tissue Data'!L:L)</f>
        <v>6</v>
      </c>
      <c r="J2139">
        <f>_xlfn.XLOOKUP(A2139,'[1]Tissue Data'!$A:$A,'[1]Tissue Data'!M:M)</f>
        <v>4.3499999999999996</v>
      </c>
      <c r="K2139" t="s">
        <v>49</v>
      </c>
      <c r="L2139" t="str">
        <f>_xlfn.XLOOKUP(K2139,[2]analyte_order!$B:$B,[2]analyte_order!$C:$C)</f>
        <v>812-70-4</v>
      </c>
      <c r="M2139">
        <f>_xlfn.XLOOKUP(L2139,[2]analyte_order!$C:$C,[2]analyte_order!$E:$E)</f>
        <v>40</v>
      </c>
      <c r="N2139">
        <v>15</v>
      </c>
    </row>
    <row r="2140" spans="1:14">
      <c r="A2140" t="s">
        <v>255</v>
      </c>
      <c r="B2140" t="str">
        <f>_xlfn.XLOOKUP(A2140,'[1]Tissue Data'!$A:$A,'[1]Tissue Data'!$C:$C)</f>
        <v>Spill</v>
      </c>
      <c r="C2140" s="2">
        <f>_xlfn.XLOOKUP(A2140,'[1]Tissue Data'!$A:$A,'[1]Tissue Data'!$D:$D)</f>
        <v>44314</v>
      </c>
      <c r="D2140" s="2" t="str">
        <f>_xlfn.XLOOKUP(A2140,'[1]Tissue Data'!$A:$A,'[1]Tissue Data'!$F:$F)</f>
        <v>Pumpkinseed</v>
      </c>
      <c r="E2140" t="str">
        <f>_xlfn.XLOOKUP(A2140,'[1]Tissue Data'!$A:$A,'[1]Tissue Data'!$H:$H)</f>
        <v>Lepomis</v>
      </c>
      <c r="F2140" t="str">
        <f>_xlfn.XLOOKUP(A2140,'[1]Tissue Data'!$A:$A,'[1]Tissue Data'!$I:$I)</f>
        <v>gibbosus</v>
      </c>
      <c r="G2140" t="str">
        <f>_xlfn.XLOOKUP(A2140,'[1]Tissue Data'!$A:$A,'[1]Tissue Data'!J:J)</f>
        <v>U</v>
      </c>
      <c r="H2140" t="str">
        <f>_xlfn.XLOOKUP(A2140,'[1]Tissue Data'!$A:$A,'[1]Tissue Data'!K:K)</f>
        <v>Whole Body</v>
      </c>
      <c r="I2140">
        <f>_xlfn.XLOOKUP(A2140,'[1]Tissue Data'!$A:$A,'[1]Tissue Data'!L:L)</f>
        <v>6</v>
      </c>
      <c r="J2140">
        <f>_xlfn.XLOOKUP(A2140,'[1]Tissue Data'!$A:$A,'[1]Tissue Data'!M:M)</f>
        <v>4.3499999999999996</v>
      </c>
      <c r="K2140" t="s">
        <v>50</v>
      </c>
      <c r="L2140" t="str">
        <f>_xlfn.XLOOKUP(K2140,[2]analyte_order!$B:$B,[2]analyte_order!$C:$C)</f>
        <v>53826-12-3</v>
      </c>
      <c r="M2140">
        <f>_xlfn.XLOOKUP(L2140,[2]analyte_order!$C:$C,[2]analyte_order!$E:$E)</f>
        <v>41</v>
      </c>
      <c r="N2140">
        <v>4.41E-2</v>
      </c>
    </row>
    <row r="2141" spans="1:14">
      <c r="A2141" t="s">
        <v>255</v>
      </c>
      <c r="B2141" t="str">
        <f>_xlfn.XLOOKUP(A2141,'[1]Tissue Data'!$A:$A,'[1]Tissue Data'!$C:$C)</f>
        <v>Spill</v>
      </c>
      <c r="C2141" s="2">
        <f>_xlfn.XLOOKUP(A2141,'[1]Tissue Data'!$A:$A,'[1]Tissue Data'!$D:$D)</f>
        <v>44314</v>
      </c>
      <c r="D2141" s="2" t="str">
        <f>_xlfn.XLOOKUP(A2141,'[1]Tissue Data'!$A:$A,'[1]Tissue Data'!$F:$F)</f>
        <v>Pumpkinseed</v>
      </c>
      <c r="E2141" t="str">
        <f>_xlfn.XLOOKUP(A2141,'[1]Tissue Data'!$A:$A,'[1]Tissue Data'!$H:$H)</f>
        <v>Lepomis</v>
      </c>
      <c r="F2141" t="str">
        <f>_xlfn.XLOOKUP(A2141,'[1]Tissue Data'!$A:$A,'[1]Tissue Data'!$I:$I)</f>
        <v>gibbosus</v>
      </c>
      <c r="G2141" t="str">
        <f>_xlfn.XLOOKUP(A2141,'[1]Tissue Data'!$A:$A,'[1]Tissue Data'!J:J)</f>
        <v>U</v>
      </c>
      <c r="H2141" t="str">
        <f>_xlfn.XLOOKUP(A2141,'[1]Tissue Data'!$A:$A,'[1]Tissue Data'!K:K)</f>
        <v>Whole Body</v>
      </c>
      <c r="I2141">
        <f>_xlfn.XLOOKUP(A2141,'[1]Tissue Data'!$A:$A,'[1]Tissue Data'!L:L)</f>
        <v>6</v>
      </c>
      <c r="J2141">
        <f>_xlfn.XLOOKUP(A2141,'[1]Tissue Data'!$A:$A,'[1]Tissue Data'!M:M)</f>
        <v>4.3499999999999996</v>
      </c>
      <c r="K2141" t="s">
        <v>51</v>
      </c>
      <c r="L2141" t="str">
        <f>_xlfn.XLOOKUP(K2141,[2]analyte_order!$B:$B,[2]analyte_order!$C:$C)</f>
        <v>27854-31-5</v>
      </c>
      <c r="M2141">
        <f>_xlfn.XLOOKUP(L2141,[2]analyte_order!$C:$C,[2]analyte_order!$E:$E)</f>
        <v>42</v>
      </c>
      <c r="N2141">
        <v>2.7400000000000001E-2</v>
      </c>
    </row>
    <row r="2142" spans="1:14">
      <c r="A2142" t="s">
        <v>255</v>
      </c>
      <c r="B2142" t="str">
        <f>_xlfn.XLOOKUP(A2142,'[1]Tissue Data'!$A:$A,'[1]Tissue Data'!$C:$C)</f>
        <v>Spill</v>
      </c>
      <c r="C2142" s="2">
        <f>_xlfn.XLOOKUP(A2142,'[1]Tissue Data'!$A:$A,'[1]Tissue Data'!$D:$D)</f>
        <v>44314</v>
      </c>
      <c r="D2142" s="2" t="str">
        <f>_xlfn.XLOOKUP(A2142,'[1]Tissue Data'!$A:$A,'[1]Tissue Data'!$F:$F)</f>
        <v>Pumpkinseed</v>
      </c>
      <c r="E2142" t="str">
        <f>_xlfn.XLOOKUP(A2142,'[1]Tissue Data'!$A:$A,'[1]Tissue Data'!$H:$H)</f>
        <v>Lepomis</v>
      </c>
      <c r="F2142" t="str">
        <f>_xlfn.XLOOKUP(A2142,'[1]Tissue Data'!$A:$A,'[1]Tissue Data'!$I:$I)</f>
        <v>gibbosus</v>
      </c>
      <c r="G2142" t="str">
        <f>_xlfn.XLOOKUP(A2142,'[1]Tissue Data'!$A:$A,'[1]Tissue Data'!J:J)</f>
        <v>U</v>
      </c>
      <c r="H2142" t="str">
        <f>_xlfn.XLOOKUP(A2142,'[1]Tissue Data'!$A:$A,'[1]Tissue Data'!K:K)</f>
        <v>Whole Body</v>
      </c>
      <c r="I2142">
        <f>_xlfn.XLOOKUP(A2142,'[1]Tissue Data'!$A:$A,'[1]Tissue Data'!L:L)</f>
        <v>6</v>
      </c>
      <c r="J2142">
        <f>_xlfn.XLOOKUP(A2142,'[1]Tissue Data'!$A:$A,'[1]Tissue Data'!M:M)</f>
        <v>4.3499999999999996</v>
      </c>
      <c r="K2142" t="s">
        <v>52</v>
      </c>
      <c r="L2142" t="str">
        <f>_xlfn.XLOOKUP(K2142,[2]analyte_order!$B:$B,[2]analyte_order!$C:$C)</f>
        <v>53826-13-4</v>
      </c>
      <c r="M2142">
        <f>_xlfn.XLOOKUP(L2142,[2]analyte_order!$C:$C,[2]analyte_order!$E:$E)</f>
        <v>43</v>
      </c>
      <c r="N2142">
        <v>0.10249999999999999</v>
      </c>
    </row>
    <row r="2143" spans="1:14">
      <c r="A2143" t="s">
        <v>255</v>
      </c>
      <c r="B2143" t="str">
        <f>_xlfn.XLOOKUP(A2143,'[1]Tissue Data'!$A:$A,'[1]Tissue Data'!$C:$C)</f>
        <v>Spill</v>
      </c>
      <c r="C2143" s="2">
        <f>_xlfn.XLOOKUP(A2143,'[1]Tissue Data'!$A:$A,'[1]Tissue Data'!$D:$D)</f>
        <v>44314</v>
      </c>
      <c r="D2143" s="2" t="str">
        <f>_xlfn.XLOOKUP(A2143,'[1]Tissue Data'!$A:$A,'[1]Tissue Data'!$F:$F)</f>
        <v>Pumpkinseed</v>
      </c>
      <c r="E2143" t="str">
        <f>_xlfn.XLOOKUP(A2143,'[1]Tissue Data'!$A:$A,'[1]Tissue Data'!$H:$H)</f>
        <v>Lepomis</v>
      </c>
      <c r="F2143" t="str">
        <f>_xlfn.XLOOKUP(A2143,'[1]Tissue Data'!$A:$A,'[1]Tissue Data'!$I:$I)</f>
        <v>gibbosus</v>
      </c>
      <c r="G2143" t="str">
        <f>_xlfn.XLOOKUP(A2143,'[1]Tissue Data'!$A:$A,'[1]Tissue Data'!J:J)</f>
        <v>U</v>
      </c>
      <c r="H2143" t="str">
        <f>_xlfn.XLOOKUP(A2143,'[1]Tissue Data'!$A:$A,'[1]Tissue Data'!K:K)</f>
        <v>Whole Body</v>
      </c>
      <c r="I2143">
        <f>_xlfn.XLOOKUP(A2143,'[1]Tissue Data'!$A:$A,'[1]Tissue Data'!L:L)</f>
        <v>6</v>
      </c>
      <c r="J2143">
        <f>_xlfn.XLOOKUP(A2143,'[1]Tissue Data'!$A:$A,'[1]Tissue Data'!M:M)</f>
        <v>4.3499999999999996</v>
      </c>
      <c r="K2143" t="s">
        <v>53</v>
      </c>
      <c r="L2143" t="str">
        <f>_xlfn.XLOOKUP(K2143,[2]analyte_order!$B:$B,[2]analyte_order!$C:$C)</f>
        <v>161094-75-3</v>
      </c>
      <c r="M2143">
        <f>_xlfn.XLOOKUP(L2143,[2]analyte_order!$C:$C,[2]analyte_order!$E:$E)</f>
        <v>44</v>
      </c>
      <c r="N2143">
        <v>5.3999999999999999E-2</v>
      </c>
    </row>
    <row r="2144" spans="1:14">
      <c r="A2144" t="s">
        <v>255</v>
      </c>
      <c r="B2144" t="str">
        <f>_xlfn.XLOOKUP(A2144,'[1]Tissue Data'!$A:$A,'[1]Tissue Data'!$C:$C)</f>
        <v>Spill</v>
      </c>
      <c r="C2144" s="2">
        <f>_xlfn.XLOOKUP(A2144,'[1]Tissue Data'!$A:$A,'[1]Tissue Data'!$D:$D)</f>
        <v>44314</v>
      </c>
      <c r="D2144" s="2" t="str">
        <f>_xlfn.XLOOKUP(A2144,'[1]Tissue Data'!$A:$A,'[1]Tissue Data'!$F:$F)</f>
        <v>Pumpkinseed</v>
      </c>
      <c r="E2144" t="str">
        <f>_xlfn.XLOOKUP(A2144,'[1]Tissue Data'!$A:$A,'[1]Tissue Data'!$H:$H)</f>
        <v>Lepomis</v>
      </c>
      <c r="F2144" t="str">
        <f>_xlfn.XLOOKUP(A2144,'[1]Tissue Data'!$A:$A,'[1]Tissue Data'!$I:$I)</f>
        <v>gibbosus</v>
      </c>
      <c r="G2144" t="str">
        <f>_xlfn.XLOOKUP(A2144,'[1]Tissue Data'!$A:$A,'[1]Tissue Data'!J:J)</f>
        <v>U</v>
      </c>
      <c r="H2144" t="str">
        <f>_xlfn.XLOOKUP(A2144,'[1]Tissue Data'!$A:$A,'[1]Tissue Data'!K:K)</f>
        <v>Whole Body</v>
      </c>
      <c r="I2144">
        <f>_xlfn.XLOOKUP(A2144,'[1]Tissue Data'!$A:$A,'[1]Tissue Data'!L:L)</f>
        <v>6</v>
      </c>
      <c r="J2144">
        <f>_xlfn.XLOOKUP(A2144,'[1]Tissue Data'!$A:$A,'[1]Tissue Data'!M:M)</f>
        <v>4.3499999999999996</v>
      </c>
      <c r="K2144" t="s">
        <v>54</v>
      </c>
      <c r="L2144" t="str">
        <f>_xlfn.XLOOKUP(K2144,[2]analyte_order!$B:$B,[2]analyte_order!$C:$C)</f>
        <v>70887-84-2</v>
      </c>
      <c r="M2144">
        <f>_xlfn.XLOOKUP(L2144,[2]analyte_order!$C:$C,[2]analyte_order!$E:$E)</f>
        <v>45</v>
      </c>
      <c r="N2144">
        <v>4.1500000000000002E-2</v>
      </c>
    </row>
    <row r="2145" spans="1:14">
      <c r="A2145" t="s">
        <v>255</v>
      </c>
      <c r="B2145" t="str">
        <f>_xlfn.XLOOKUP(A2145,'[1]Tissue Data'!$A:$A,'[1]Tissue Data'!$C:$C)</f>
        <v>Spill</v>
      </c>
      <c r="C2145" s="2">
        <f>_xlfn.XLOOKUP(A2145,'[1]Tissue Data'!$A:$A,'[1]Tissue Data'!$D:$D)</f>
        <v>44314</v>
      </c>
      <c r="D2145" s="2" t="str">
        <f>_xlfn.XLOOKUP(A2145,'[1]Tissue Data'!$A:$A,'[1]Tissue Data'!$F:$F)</f>
        <v>Pumpkinseed</v>
      </c>
      <c r="E2145" t="str">
        <f>_xlfn.XLOOKUP(A2145,'[1]Tissue Data'!$A:$A,'[1]Tissue Data'!$H:$H)</f>
        <v>Lepomis</v>
      </c>
      <c r="F2145" t="str">
        <f>_xlfn.XLOOKUP(A2145,'[1]Tissue Data'!$A:$A,'[1]Tissue Data'!$I:$I)</f>
        <v>gibbosus</v>
      </c>
      <c r="G2145" t="str">
        <f>_xlfn.XLOOKUP(A2145,'[1]Tissue Data'!$A:$A,'[1]Tissue Data'!J:J)</f>
        <v>U</v>
      </c>
      <c r="H2145" t="str">
        <f>_xlfn.XLOOKUP(A2145,'[1]Tissue Data'!$A:$A,'[1]Tissue Data'!K:K)</f>
        <v>Whole Body</v>
      </c>
      <c r="I2145">
        <f>_xlfn.XLOOKUP(A2145,'[1]Tissue Data'!$A:$A,'[1]Tissue Data'!L:L)</f>
        <v>6</v>
      </c>
      <c r="J2145">
        <f>_xlfn.XLOOKUP(A2145,'[1]Tissue Data'!$A:$A,'[1]Tissue Data'!M:M)</f>
        <v>4.3499999999999996</v>
      </c>
      <c r="K2145" t="s">
        <v>55</v>
      </c>
      <c r="L2145" t="str">
        <f>_xlfn.XLOOKUP(K2145,[2]analyte_order!$B:$B,[2]analyte_order!$C:$C)</f>
        <v>919005-14-4</v>
      </c>
      <c r="M2145">
        <f>_xlfn.XLOOKUP(L2145,[2]analyte_order!$C:$C,[2]analyte_order!$E:$E)</f>
        <v>35</v>
      </c>
      <c r="N2145">
        <v>6.9000000000000006E-2</v>
      </c>
    </row>
    <row r="2146" spans="1:14">
      <c r="A2146" t="s">
        <v>255</v>
      </c>
      <c r="B2146" t="str">
        <f>_xlfn.XLOOKUP(A2146,'[1]Tissue Data'!$A:$A,'[1]Tissue Data'!$C:$C)</f>
        <v>Spill</v>
      </c>
      <c r="C2146" s="2">
        <f>_xlfn.XLOOKUP(A2146,'[1]Tissue Data'!$A:$A,'[1]Tissue Data'!$D:$D)</f>
        <v>44314</v>
      </c>
      <c r="D2146" s="2" t="str">
        <f>_xlfn.XLOOKUP(A2146,'[1]Tissue Data'!$A:$A,'[1]Tissue Data'!$F:$F)</f>
        <v>Pumpkinseed</v>
      </c>
      <c r="E2146" t="str">
        <f>_xlfn.XLOOKUP(A2146,'[1]Tissue Data'!$A:$A,'[1]Tissue Data'!$H:$H)</f>
        <v>Lepomis</v>
      </c>
      <c r="F2146" t="str">
        <f>_xlfn.XLOOKUP(A2146,'[1]Tissue Data'!$A:$A,'[1]Tissue Data'!$I:$I)</f>
        <v>gibbosus</v>
      </c>
      <c r="G2146" t="str">
        <f>_xlfn.XLOOKUP(A2146,'[1]Tissue Data'!$A:$A,'[1]Tissue Data'!J:J)</f>
        <v>U</v>
      </c>
      <c r="H2146" t="str">
        <f>_xlfn.XLOOKUP(A2146,'[1]Tissue Data'!$A:$A,'[1]Tissue Data'!K:K)</f>
        <v>Whole Body</v>
      </c>
      <c r="I2146">
        <f>_xlfn.XLOOKUP(A2146,'[1]Tissue Data'!$A:$A,'[1]Tissue Data'!L:L)</f>
        <v>6</v>
      </c>
      <c r="J2146">
        <f>_xlfn.XLOOKUP(A2146,'[1]Tissue Data'!$A:$A,'[1]Tissue Data'!M:M)</f>
        <v>4.3499999999999996</v>
      </c>
      <c r="K2146" t="s">
        <v>56</v>
      </c>
      <c r="L2146" t="str">
        <f>_xlfn.XLOOKUP(K2146,[2]analyte_order!$B:$B,[2]analyte_order!$C:$C)</f>
        <v>756426-58-1</v>
      </c>
      <c r="M2146">
        <f>_xlfn.XLOOKUP(L2146,[2]analyte_order!$C:$C,[2]analyte_order!$E:$E)</f>
        <v>36</v>
      </c>
      <c r="N2146">
        <v>4.7750000000000001E-2</v>
      </c>
    </row>
    <row r="2147" spans="1:14">
      <c r="A2147" t="s">
        <v>255</v>
      </c>
      <c r="B2147" t="str">
        <f>_xlfn.XLOOKUP(A2147,'[1]Tissue Data'!$A:$A,'[1]Tissue Data'!$C:$C)</f>
        <v>Spill</v>
      </c>
      <c r="C2147" s="2">
        <f>_xlfn.XLOOKUP(A2147,'[1]Tissue Data'!$A:$A,'[1]Tissue Data'!$D:$D)</f>
        <v>44314</v>
      </c>
      <c r="D2147" s="2" t="str">
        <f>_xlfn.XLOOKUP(A2147,'[1]Tissue Data'!$A:$A,'[1]Tissue Data'!$F:$F)</f>
        <v>Pumpkinseed</v>
      </c>
      <c r="E2147" t="str">
        <f>_xlfn.XLOOKUP(A2147,'[1]Tissue Data'!$A:$A,'[1]Tissue Data'!$H:$H)</f>
        <v>Lepomis</v>
      </c>
      <c r="F2147" t="str">
        <f>_xlfn.XLOOKUP(A2147,'[1]Tissue Data'!$A:$A,'[1]Tissue Data'!$I:$I)</f>
        <v>gibbosus</v>
      </c>
      <c r="G2147" t="str">
        <f>_xlfn.XLOOKUP(A2147,'[1]Tissue Data'!$A:$A,'[1]Tissue Data'!J:J)</f>
        <v>U</v>
      </c>
      <c r="H2147" t="str">
        <f>_xlfn.XLOOKUP(A2147,'[1]Tissue Data'!$A:$A,'[1]Tissue Data'!K:K)</f>
        <v>Whole Body</v>
      </c>
      <c r="I2147">
        <f>_xlfn.XLOOKUP(A2147,'[1]Tissue Data'!$A:$A,'[1]Tissue Data'!L:L)</f>
        <v>6</v>
      </c>
      <c r="J2147">
        <f>_xlfn.XLOOKUP(A2147,'[1]Tissue Data'!$A:$A,'[1]Tissue Data'!M:M)</f>
        <v>4.3499999999999996</v>
      </c>
      <c r="K2147" t="s">
        <v>57</v>
      </c>
      <c r="L2147" t="str">
        <f>_xlfn.XLOOKUP(K2147,[2]analyte_order!$B:$B,[2]analyte_order!$C:$C)</f>
        <v>763051-92-9</v>
      </c>
      <c r="M2147">
        <f>_xlfn.XLOOKUP(L2147,[2]analyte_order!$C:$C,[2]analyte_order!$E:$E)</f>
        <v>37</v>
      </c>
      <c r="N2147">
        <v>5.3999999999999999E-2</v>
      </c>
    </row>
    <row r="2148" spans="1:14">
      <c r="A2148" t="s">
        <v>255</v>
      </c>
      <c r="B2148" t="str">
        <f>_xlfn.XLOOKUP(A2148,'[1]Tissue Data'!$A:$A,'[1]Tissue Data'!$C:$C)</f>
        <v>Spill</v>
      </c>
      <c r="C2148" s="2">
        <f>_xlfn.XLOOKUP(A2148,'[1]Tissue Data'!$A:$A,'[1]Tissue Data'!$D:$D)</f>
        <v>44314</v>
      </c>
      <c r="D2148" s="2" t="str">
        <f>_xlfn.XLOOKUP(A2148,'[1]Tissue Data'!$A:$A,'[1]Tissue Data'!$F:$F)</f>
        <v>Pumpkinseed</v>
      </c>
      <c r="E2148" t="str">
        <f>_xlfn.XLOOKUP(A2148,'[1]Tissue Data'!$A:$A,'[1]Tissue Data'!$H:$H)</f>
        <v>Lepomis</v>
      </c>
      <c r="F2148" t="str">
        <f>_xlfn.XLOOKUP(A2148,'[1]Tissue Data'!$A:$A,'[1]Tissue Data'!$I:$I)</f>
        <v>gibbosus</v>
      </c>
      <c r="G2148" t="str">
        <f>_xlfn.XLOOKUP(A2148,'[1]Tissue Data'!$A:$A,'[1]Tissue Data'!J:J)</f>
        <v>U</v>
      </c>
      <c r="H2148" t="str">
        <f>_xlfn.XLOOKUP(A2148,'[1]Tissue Data'!$A:$A,'[1]Tissue Data'!K:K)</f>
        <v>Whole Body</v>
      </c>
      <c r="I2148">
        <f>_xlfn.XLOOKUP(A2148,'[1]Tissue Data'!$A:$A,'[1]Tissue Data'!L:L)</f>
        <v>6</v>
      </c>
      <c r="J2148">
        <f>_xlfn.XLOOKUP(A2148,'[1]Tissue Data'!$A:$A,'[1]Tissue Data'!M:M)</f>
        <v>4.3499999999999996</v>
      </c>
      <c r="K2148" t="s">
        <v>58</v>
      </c>
      <c r="L2148" t="str">
        <f>_xlfn.XLOOKUP(K2148,[2]analyte_order!$B:$B,[2]analyte_order!$C:$C)</f>
        <v>13252-13-6</v>
      </c>
      <c r="M2148">
        <f>_xlfn.XLOOKUP(L2148,[2]analyte_order!$C:$C,[2]analyte_order!$E:$E)</f>
        <v>34</v>
      </c>
      <c r="N2148">
        <v>9.8500000000000004E-2</v>
      </c>
    </row>
    <row r="2149" spans="1:14">
      <c r="A2149" t="s">
        <v>255</v>
      </c>
      <c r="B2149" t="str">
        <f>_xlfn.XLOOKUP(A2149,'[1]Tissue Data'!$A:$A,'[1]Tissue Data'!$C:$C)</f>
        <v>Spill</v>
      </c>
      <c r="C2149" s="2">
        <f>_xlfn.XLOOKUP(A2149,'[1]Tissue Data'!$A:$A,'[1]Tissue Data'!$D:$D)</f>
        <v>44314</v>
      </c>
      <c r="D2149" s="2" t="str">
        <f>_xlfn.XLOOKUP(A2149,'[1]Tissue Data'!$A:$A,'[1]Tissue Data'!$F:$F)</f>
        <v>Pumpkinseed</v>
      </c>
      <c r="E2149" t="str">
        <f>_xlfn.XLOOKUP(A2149,'[1]Tissue Data'!$A:$A,'[1]Tissue Data'!$H:$H)</f>
        <v>Lepomis</v>
      </c>
      <c r="F2149" t="str">
        <f>_xlfn.XLOOKUP(A2149,'[1]Tissue Data'!$A:$A,'[1]Tissue Data'!$I:$I)</f>
        <v>gibbosus</v>
      </c>
      <c r="G2149" t="str">
        <f>_xlfn.XLOOKUP(A2149,'[1]Tissue Data'!$A:$A,'[1]Tissue Data'!J:J)</f>
        <v>U</v>
      </c>
      <c r="H2149" t="str">
        <f>_xlfn.XLOOKUP(A2149,'[1]Tissue Data'!$A:$A,'[1]Tissue Data'!K:K)</f>
        <v>Whole Body</v>
      </c>
      <c r="I2149">
        <f>_xlfn.XLOOKUP(A2149,'[1]Tissue Data'!$A:$A,'[1]Tissue Data'!L:L)</f>
        <v>6</v>
      </c>
      <c r="J2149">
        <f>_xlfn.XLOOKUP(A2149,'[1]Tissue Data'!$A:$A,'[1]Tissue Data'!M:M)</f>
        <v>4.3499999999999996</v>
      </c>
      <c r="K2149" t="s">
        <v>59</v>
      </c>
      <c r="L2149" t="str">
        <f>_xlfn.XLOOKUP(K2149,[2]analyte_order!$B:$B,[2]analyte_order!$C:$C)</f>
        <v>57677-95-9</v>
      </c>
      <c r="M2149">
        <f>_xlfn.XLOOKUP(L2149,[2]analyte_order!$C:$C,[2]analyte_order!$E:$E)</f>
        <v>46</v>
      </c>
      <c r="N2149">
        <v>7.2999999999999995E-2</v>
      </c>
    </row>
    <row r="2150" spans="1:14">
      <c r="A2150" t="s">
        <v>255</v>
      </c>
      <c r="B2150" t="str">
        <f>_xlfn.XLOOKUP(A2150,'[1]Tissue Data'!$A:$A,'[1]Tissue Data'!$C:$C)</f>
        <v>Spill</v>
      </c>
      <c r="C2150" s="2">
        <f>_xlfn.XLOOKUP(A2150,'[1]Tissue Data'!$A:$A,'[1]Tissue Data'!$D:$D)</f>
        <v>44314</v>
      </c>
      <c r="D2150" s="2" t="str">
        <f>_xlfn.XLOOKUP(A2150,'[1]Tissue Data'!$A:$A,'[1]Tissue Data'!$F:$F)</f>
        <v>Pumpkinseed</v>
      </c>
      <c r="E2150" t="str">
        <f>_xlfn.XLOOKUP(A2150,'[1]Tissue Data'!$A:$A,'[1]Tissue Data'!$H:$H)</f>
        <v>Lepomis</v>
      </c>
      <c r="F2150" t="str">
        <f>_xlfn.XLOOKUP(A2150,'[1]Tissue Data'!$A:$A,'[1]Tissue Data'!$I:$I)</f>
        <v>gibbosus</v>
      </c>
      <c r="G2150" t="str">
        <f>_xlfn.XLOOKUP(A2150,'[1]Tissue Data'!$A:$A,'[1]Tissue Data'!J:J)</f>
        <v>U</v>
      </c>
      <c r="H2150" t="str">
        <f>_xlfn.XLOOKUP(A2150,'[1]Tissue Data'!$A:$A,'[1]Tissue Data'!K:K)</f>
        <v>Whole Body</v>
      </c>
      <c r="I2150">
        <f>_xlfn.XLOOKUP(A2150,'[1]Tissue Data'!$A:$A,'[1]Tissue Data'!L:L)</f>
        <v>6</v>
      </c>
      <c r="J2150">
        <f>_xlfn.XLOOKUP(A2150,'[1]Tissue Data'!$A:$A,'[1]Tissue Data'!M:M)</f>
        <v>4.3499999999999996</v>
      </c>
      <c r="K2150" t="s">
        <v>60</v>
      </c>
      <c r="L2150" t="str">
        <f>_xlfn.XLOOKUP(K2150,[2]analyte_order!$B:$B,[2]analyte_order!$C:$C)</f>
        <v>678-41-1</v>
      </c>
      <c r="M2150">
        <f>_xlfn.XLOOKUP(L2150,[2]analyte_order!$C:$C,[2]analyte_order!$E:$E)</f>
        <v>56</v>
      </c>
      <c r="N2150">
        <v>9.0999999999999998E-2</v>
      </c>
    </row>
    <row r="2151" spans="1:14">
      <c r="A2151" t="s">
        <v>255</v>
      </c>
      <c r="B2151" t="str">
        <f>_xlfn.XLOOKUP(A2151,'[1]Tissue Data'!$A:$A,'[1]Tissue Data'!$C:$C)</f>
        <v>Spill</v>
      </c>
      <c r="C2151" s="2">
        <f>_xlfn.XLOOKUP(A2151,'[1]Tissue Data'!$A:$A,'[1]Tissue Data'!$D:$D)</f>
        <v>44314</v>
      </c>
      <c r="D2151" s="2" t="str">
        <f>_xlfn.XLOOKUP(A2151,'[1]Tissue Data'!$A:$A,'[1]Tissue Data'!$F:$F)</f>
        <v>Pumpkinseed</v>
      </c>
      <c r="E2151" t="str">
        <f>_xlfn.XLOOKUP(A2151,'[1]Tissue Data'!$A:$A,'[1]Tissue Data'!$H:$H)</f>
        <v>Lepomis</v>
      </c>
      <c r="F2151" t="str">
        <f>_xlfn.XLOOKUP(A2151,'[1]Tissue Data'!$A:$A,'[1]Tissue Data'!$I:$I)</f>
        <v>gibbosus</v>
      </c>
      <c r="G2151" t="str">
        <f>_xlfn.XLOOKUP(A2151,'[1]Tissue Data'!$A:$A,'[1]Tissue Data'!J:J)</f>
        <v>U</v>
      </c>
      <c r="H2151" t="str">
        <f>_xlfn.XLOOKUP(A2151,'[1]Tissue Data'!$A:$A,'[1]Tissue Data'!K:K)</f>
        <v>Whole Body</v>
      </c>
      <c r="I2151">
        <f>_xlfn.XLOOKUP(A2151,'[1]Tissue Data'!$A:$A,'[1]Tissue Data'!L:L)</f>
        <v>6</v>
      </c>
      <c r="J2151">
        <f>_xlfn.XLOOKUP(A2151,'[1]Tissue Data'!$A:$A,'[1]Tissue Data'!M:M)</f>
        <v>4.3499999999999996</v>
      </c>
      <c r="K2151" t="s">
        <v>61</v>
      </c>
      <c r="L2151" t="str">
        <f>_xlfn.XLOOKUP(K2151,[2]analyte_order!$B:$B,[2]analyte_order!$C:$C)</f>
        <v>2965-52-8</v>
      </c>
      <c r="M2151">
        <f>_xlfn.XLOOKUP(L2151,[2]analyte_order!$C:$C,[2]analyte_order!$E:$E)</f>
        <v>57</v>
      </c>
      <c r="N2151">
        <v>0.121</v>
      </c>
    </row>
    <row r="2152" spans="1:14">
      <c r="A2152" t="s">
        <v>256</v>
      </c>
      <c r="B2152" t="str">
        <f>_xlfn.XLOOKUP(A2152,'[1]Tissue Data'!$A:$A,'[1]Tissue Data'!$C:$C)</f>
        <v>Spill</v>
      </c>
      <c r="C2152" s="2">
        <f>_xlfn.XLOOKUP(A2152,'[1]Tissue Data'!$A:$A,'[1]Tissue Data'!$D:$D)</f>
        <v>44314</v>
      </c>
      <c r="D2152" s="2" t="str">
        <f>_xlfn.XLOOKUP(A2152,'[1]Tissue Data'!$A:$A,'[1]Tissue Data'!$F:$F)</f>
        <v>Pumpkinseed</v>
      </c>
      <c r="E2152" t="str">
        <f>_xlfn.XLOOKUP(A2152,'[1]Tissue Data'!$A:$A,'[1]Tissue Data'!$H:$H)</f>
        <v>Lepomis</v>
      </c>
      <c r="F2152" t="str">
        <f>_xlfn.XLOOKUP(A2152,'[1]Tissue Data'!$A:$A,'[1]Tissue Data'!$I:$I)</f>
        <v>gibbosus</v>
      </c>
      <c r="G2152" t="str">
        <f>_xlfn.XLOOKUP(A2152,'[1]Tissue Data'!$A:$A,'[1]Tissue Data'!J:J)</f>
        <v>U</v>
      </c>
      <c r="H2152" t="str">
        <f>_xlfn.XLOOKUP(A2152,'[1]Tissue Data'!$A:$A,'[1]Tissue Data'!K:K)</f>
        <v>Whole Body</v>
      </c>
      <c r="I2152">
        <f>_xlfn.XLOOKUP(A2152,'[1]Tissue Data'!$A:$A,'[1]Tissue Data'!L:L)</f>
        <v>6.5</v>
      </c>
      <c r="J2152">
        <f>_xlfn.XLOOKUP(A2152,'[1]Tissue Data'!$A:$A,'[1]Tissue Data'!M:M)</f>
        <v>4.45</v>
      </c>
      <c r="K2152" t="s">
        <v>12</v>
      </c>
      <c r="L2152" t="str">
        <f>_xlfn.XLOOKUP(K2152,[2]analyte_order!$B:$B,[2]analyte_order!$C:$C)</f>
        <v>375-22-4</v>
      </c>
      <c r="M2152">
        <f>_xlfn.XLOOKUP(L2152,[2]analyte_order!$C:$C,[2]analyte_order!$E:$E)</f>
        <v>1</v>
      </c>
      <c r="N2152">
        <v>2.8649999999999998E-2</v>
      </c>
    </row>
    <row r="2153" spans="1:14">
      <c r="A2153" t="s">
        <v>256</v>
      </c>
      <c r="B2153" t="str">
        <f>_xlfn.XLOOKUP(A2153,'[1]Tissue Data'!$A:$A,'[1]Tissue Data'!$C:$C)</f>
        <v>Spill</v>
      </c>
      <c r="C2153" s="2">
        <f>_xlfn.XLOOKUP(A2153,'[1]Tissue Data'!$A:$A,'[1]Tissue Data'!$D:$D)</f>
        <v>44314</v>
      </c>
      <c r="D2153" s="2" t="str">
        <f>_xlfn.XLOOKUP(A2153,'[1]Tissue Data'!$A:$A,'[1]Tissue Data'!$F:$F)</f>
        <v>Pumpkinseed</v>
      </c>
      <c r="E2153" t="str">
        <f>_xlfn.XLOOKUP(A2153,'[1]Tissue Data'!$A:$A,'[1]Tissue Data'!$H:$H)</f>
        <v>Lepomis</v>
      </c>
      <c r="F2153" t="str">
        <f>_xlfn.XLOOKUP(A2153,'[1]Tissue Data'!$A:$A,'[1]Tissue Data'!$I:$I)</f>
        <v>gibbosus</v>
      </c>
      <c r="G2153" t="str">
        <f>_xlfn.XLOOKUP(A2153,'[1]Tissue Data'!$A:$A,'[1]Tissue Data'!J:J)</f>
        <v>U</v>
      </c>
      <c r="H2153" t="str">
        <f>_xlfn.XLOOKUP(A2153,'[1]Tissue Data'!$A:$A,'[1]Tissue Data'!K:K)</f>
        <v>Whole Body</v>
      </c>
      <c r="I2153">
        <f>_xlfn.XLOOKUP(A2153,'[1]Tissue Data'!$A:$A,'[1]Tissue Data'!L:L)</f>
        <v>6.5</v>
      </c>
      <c r="J2153">
        <f>_xlfn.XLOOKUP(A2153,'[1]Tissue Data'!$A:$A,'[1]Tissue Data'!M:M)</f>
        <v>4.45</v>
      </c>
      <c r="K2153" t="s">
        <v>13</v>
      </c>
      <c r="L2153" t="str">
        <f>_xlfn.XLOOKUP(K2153,[2]analyte_order!$B:$B,[2]analyte_order!$C:$C)</f>
        <v>2706-90-3</v>
      </c>
      <c r="M2153">
        <f>_xlfn.XLOOKUP(L2153,[2]analyte_order!$C:$C,[2]analyte_order!$E:$E)</f>
        <v>2</v>
      </c>
      <c r="N2153">
        <v>5.0999999999999997E-2</v>
      </c>
    </row>
    <row r="2154" spans="1:14">
      <c r="A2154" t="s">
        <v>256</v>
      </c>
      <c r="B2154" t="str">
        <f>_xlfn.XLOOKUP(A2154,'[1]Tissue Data'!$A:$A,'[1]Tissue Data'!$C:$C)</f>
        <v>Spill</v>
      </c>
      <c r="C2154" s="2">
        <f>_xlfn.XLOOKUP(A2154,'[1]Tissue Data'!$A:$A,'[1]Tissue Data'!$D:$D)</f>
        <v>44314</v>
      </c>
      <c r="D2154" s="2" t="str">
        <f>_xlfn.XLOOKUP(A2154,'[1]Tissue Data'!$A:$A,'[1]Tissue Data'!$F:$F)</f>
        <v>Pumpkinseed</v>
      </c>
      <c r="E2154" t="str">
        <f>_xlfn.XLOOKUP(A2154,'[1]Tissue Data'!$A:$A,'[1]Tissue Data'!$H:$H)</f>
        <v>Lepomis</v>
      </c>
      <c r="F2154" t="str">
        <f>_xlfn.XLOOKUP(A2154,'[1]Tissue Data'!$A:$A,'[1]Tissue Data'!$I:$I)</f>
        <v>gibbosus</v>
      </c>
      <c r="G2154" t="str">
        <f>_xlfn.XLOOKUP(A2154,'[1]Tissue Data'!$A:$A,'[1]Tissue Data'!J:J)</f>
        <v>U</v>
      </c>
      <c r="H2154" t="str">
        <f>_xlfn.XLOOKUP(A2154,'[1]Tissue Data'!$A:$A,'[1]Tissue Data'!K:K)</f>
        <v>Whole Body</v>
      </c>
      <c r="I2154">
        <f>_xlfn.XLOOKUP(A2154,'[1]Tissue Data'!$A:$A,'[1]Tissue Data'!L:L)</f>
        <v>6.5</v>
      </c>
      <c r="J2154">
        <f>_xlfn.XLOOKUP(A2154,'[1]Tissue Data'!$A:$A,'[1]Tissue Data'!M:M)</f>
        <v>4.45</v>
      </c>
      <c r="K2154" t="s">
        <v>14</v>
      </c>
      <c r="L2154" t="str">
        <f>_xlfn.XLOOKUP(K2154,[2]analyte_order!$B:$B,[2]analyte_order!$C:$C)</f>
        <v>307-24-4</v>
      </c>
      <c r="M2154">
        <f>_xlfn.XLOOKUP(L2154,[2]analyte_order!$C:$C,[2]analyte_order!$E:$E)</f>
        <v>3</v>
      </c>
      <c r="N2154">
        <v>0.128</v>
      </c>
    </row>
    <row r="2155" spans="1:14">
      <c r="A2155" t="s">
        <v>256</v>
      </c>
      <c r="B2155" t="str">
        <f>_xlfn.XLOOKUP(A2155,'[1]Tissue Data'!$A:$A,'[1]Tissue Data'!$C:$C)</f>
        <v>Spill</v>
      </c>
      <c r="C2155" s="2">
        <f>_xlfn.XLOOKUP(A2155,'[1]Tissue Data'!$A:$A,'[1]Tissue Data'!$D:$D)</f>
        <v>44314</v>
      </c>
      <c r="D2155" s="2" t="str">
        <f>_xlfn.XLOOKUP(A2155,'[1]Tissue Data'!$A:$A,'[1]Tissue Data'!$F:$F)</f>
        <v>Pumpkinseed</v>
      </c>
      <c r="E2155" t="str">
        <f>_xlfn.XLOOKUP(A2155,'[1]Tissue Data'!$A:$A,'[1]Tissue Data'!$H:$H)</f>
        <v>Lepomis</v>
      </c>
      <c r="F2155" t="str">
        <f>_xlfn.XLOOKUP(A2155,'[1]Tissue Data'!$A:$A,'[1]Tissue Data'!$I:$I)</f>
        <v>gibbosus</v>
      </c>
      <c r="G2155" t="str">
        <f>_xlfn.XLOOKUP(A2155,'[1]Tissue Data'!$A:$A,'[1]Tissue Data'!J:J)</f>
        <v>U</v>
      </c>
      <c r="H2155" t="str">
        <f>_xlfn.XLOOKUP(A2155,'[1]Tissue Data'!$A:$A,'[1]Tissue Data'!K:K)</f>
        <v>Whole Body</v>
      </c>
      <c r="I2155">
        <f>_xlfn.XLOOKUP(A2155,'[1]Tissue Data'!$A:$A,'[1]Tissue Data'!L:L)</f>
        <v>6.5</v>
      </c>
      <c r="J2155">
        <f>_xlfn.XLOOKUP(A2155,'[1]Tissue Data'!$A:$A,'[1]Tissue Data'!M:M)</f>
        <v>4.45</v>
      </c>
      <c r="K2155" t="s">
        <v>15</v>
      </c>
      <c r="L2155" t="str">
        <f>_xlfn.XLOOKUP(K2155,[2]analyte_order!$B:$B,[2]analyte_order!$C:$C)</f>
        <v>375-85-9</v>
      </c>
      <c r="M2155">
        <f>_xlfn.XLOOKUP(L2155,[2]analyte_order!$C:$C,[2]analyte_order!$E:$E)</f>
        <v>4</v>
      </c>
      <c r="N2155">
        <v>9.4500000000000001E-2</v>
      </c>
    </row>
    <row r="2156" spans="1:14">
      <c r="A2156" t="s">
        <v>256</v>
      </c>
      <c r="B2156" t="str">
        <f>_xlfn.XLOOKUP(A2156,'[1]Tissue Data'!$A:$A,'[1]Tissue Data'!$C:$C)</f>
        <v>Spill</v>
      </c>
      <c r="C2156" s="2">
        <f>_xlfn.XLOOKUP(A2156,'[1]Tissue Data'!$A:$A,'[1]Tissue Data'!$D:$D)</f>
        <v>44314</v>
      </c>
      <c r="D2156" s="2" t="str">
        <f>_xlfn.XLOOKUP(A2156,'[1]Tissue Data'!$A:$A,'[1]Tissue Data'!$F:$F)</f>
        <v>Pumpkinseed</v>
      </c>
      <c r="E2156" t="str">
        <f>_xlfn.XLOOKUP(A2156,'[1]Tissue Data'!$A:$A,'[1]Tissue Data'!$H:$H)</f>
        <v>Lepomis</v>
      </c>
      <c r="F2156" t="str">
        <f>_xlfn.XLOOKUP(A2156,'[1]Tissue Data'!$A:$A,'[1]Tissue Data'!$I:$I)</f>
        <v>gibbosus</v>
      </c>
      <c r="G2156" t="str">
        <f>_xlfn.XLOOKUP(A2156,'[1]Tissue Data'!$A:$A,'[1]Tissue Data'!J:J)</f>
        <v>U</v>
      </c>
      <c r="H2156" t="str">
        <f>_xlfn.XLOOKUP(A2156,'[1]Tissue Data'!$A:$A,'[1]Tissue Data'!K:K)</f>
        <v>Whole Body</v>
      </c>
      <c r="I2156">
        <f>_xlfn.XLOOKUP(A2156,'[1]Tissue Data'!$A:$A,'[1]Tissue Data'!L:L)</f>
        <v>6.5</v>
      </c>
      <c r="J2156">
        <f>_xlfn.XLOOKUP(A2156,'[1]Tissue Data'!$A:$A,'[1]Tissue Data'!M:M)</f>
        <v>4.45</v>
      </c>
      <c r="K2156" t="s">
        <v>16</v>
      </c>
      <c r="L2156" t="str">
        <f>_xlfn.XLOOKUP(K2156,[2]analyte_order!$B:$B,[2]analyte_order!$C:$C)</f>
        <v>335-67-1</v>
      </c>
      <c r="M2156">
        <f>_xlfn.XLOOKUP(L2156,[2]analyte_order!$C:$C,[2]analyte_order!$E:$E)</f>
        <v>5</v>
      </c>
      <c r="N2156">
        <v>0.315</v>
      </c>
    </row>
    <row r="2157" spans="1:14">
      <c r="A2157" t="s">
        <v>256</v>
      </c>
      <c r="B2157" t="str">
        <f>_xlfn.XLOOKUP(A2157,'[1]Tissue Data'!$A:$A,'[1]Tissue Data'!$C:$C)</f>
        <v>Spill</v>
      </c>
      <c r="C2157" s="2">
        <f>_xlfn.XLOOKUP(A2157,'[1]Tissue Data'!$A:$A,'[1]Tissue Data'!$D:$D)</f>
        <v>44314</v>
      </c>
      <c r="D2157" s="2" t="str">
        <f>_xlfn.XLOOKUP(A2157,'[1]Tissue Data'!$A:$A,'[1]Tissue Data'!$F:$F)</f>
        <v>Pumpkinseed</v>
      </c>
      <c r="E2157" t="str">
        <f>_xlfn.XLOOKUP(A2157,'[1]Tissue Data'!$A:$A,'[1]Tissue Data'!$H:$H)</f>
        <v>Lepomis</v>
      </c>
      <c r="F2157" t="str">
        <f>_xlfn.XLOOKUP(A2157,'[1]Tissue Data'!$A:$A,'[1]Tissue Data'!$I:$I)</f>
        <v>gibbosus</v>
      </c>
      <c r="G2157" t="str">
        <f>_xlfn.XLOOKUP(A2157,'[1]Tissue Data'!$A:$A,'[1]Tissue Data'!J:J)</f>
        <v>U</v>
      </c>
      <c r="H2157" t="str">
        <f>_xlfn.XLOOKUP(A2157,'[1]Tissue Data'!$A:$A,'[1]Tissue Data'!K:K)</f>
        <v>Whole Body</v>
      </c>
      <c r="I2157">
        <f>_xlfn.XLOOKUP(A2157,'[1]Tissue Data'!$A:$A,'[1]Tissue Data'!L:L)</f>
        <v>6.5</v>
      </c>
      <c r="J2157">
        <f>_xlfn.XLOOKUP(A2157,'[1]Tissue Data'!$A:$A,'[1]Tissue Data'!M:M)</f>
        <v>4.45</v>
      </c>
      <c r="K2157" t="s">
        <v>17</v>
      </c>
      <c r="L2157" t="str">
        <f>_xlfn.XLOOKUP(K2157,[2]analyte_order!$B:$B,[2]analyte_order!$C:$C)</f>
        <v>375-95-1</v>
      </c>
      <c r="M2157">
        <f>_xlfn.XLOOKUP(L2157,[2]analyte_order!$C:$C,[2]analyte_order!$E:$E)</f>
        <v>6</v>
      </c>
      <c r="N2157">
        <v>0.16400000000000001</v>
      </c>
    </row>
    <row r="2158" spans="1:14">
      <c r="A2158" t="s">
        <v>256</v>
      </c>
      <c r="B2158" t="str">
        <f>_xlfn.XLOOKUP(A2158,'[1]Tissue Data'!$A:$A,'[1]Tissue Data'!$C:$C)</f>
        <v>Spill</v>
      </c>
      <c r="C2158" s="2">
        <f>_xlfn.XLOOKUP(A2158,'[1]Tissue Data'!$A:$A,'[1]Tissue Data'!$D:$D)</f>
        <v>44314</v>
      </c>
      <c r="D2158" s="2" t="str">
        <f>_xlfn.XLOOKUP(A2158,'[1]Tissue Data'!$A:$A,'[1]Tissue Data'!$F:$F)</f>
        <v>Pumpkinseed</v>
      </c>
      <c r="E2158" t="str">
        <f>_xlfn.XLOOKUP(A2158,'[1]Tissue Data'!$A:$A,'[1]Tissue Data'!$H:$H)</f>
        <v>Lepomis</v>
      </c>
      <c r="F2158" t="str">
        <f>_xlfn.XLOOKUP(A2158,'[1]Tissue Data'!$A:$A,'[1]Tissue Data'!$I:$I)</f>
        <v>gibbosus</v>
      </c>
      <c r="G2158" t="str">
        <f>_xlfn.XLOOKUP(A2158,'[1]Tissue Data'!$A:$A,'[1]Tissue Data'!J:J)</f>
        <v>U</v>
      </c>
      <c r="H2158" t="str">
        <f>_xlfn.XLOOKUP(A2158,'[1]Tissue Data'!$A:$A,'[1]Tissue Data'!K:K)</f>
        <v>Whole Body</v>
      </c>
      <c r="I2158">
        <f>_xlfn.XLOOKUP(A2158,'[1]Tissue Data'!$A:$A,'[1]Tissue Data'!L:L)</f>
        <v>6.5</v>
      </c>
      <c r="J2158">
        <f>_xlfn.XLOOKUP(A2158,'[1]Tissue Data'!$A:$A,'[1]Tissue Data'!M:M)</f>
        <v>4.45</v>
      </c>
      <c r="K2158" t="s">
        <v>18</v>
      </c>
      <c r="L2158" t="str">
        <f>_xlfn.XLOOKUP(K2158,[2]analyte_order!$B:$B,[2]analyte_order!$C:$C)</f>
        <v>335-76-2</v>
      </c>
      <c r="M2158">
        <f>_xlfn.XLOOKUP(L2158,[2]analyte_order!$C:$C,[2]analyte_order!$E:$E)</f>
        <v>7</v>
      </c>
      <c r="N2158">
        <v>1.74</v>
      </c>
    </row>
    <row r="2159" spans="1:14">
      <c r="A2159" t="s">
        <v>256</v>
      </c>
      <c r="B2159" t="str">
        <f>_xlfn.XLOOKUP(A2159,'[1]Tissue Data'!$A:$A,'[1]Tissue Data'!$C:$C)</f>
        <v>Spill</v>
      </c>
      <c r="C2159" s="2">
        <f>_xlfn.XLOOKUP(A2159,'[1]Tissue Data'!$A:$A,'[1]Tissue Data'!$D:$D)</f>
        <v>44314</v>
      </c>
      <c r="D2159" s="2" t="str">
        <f>_xlfn.XLOOKUP(A2159,'[1]Tissue Data'!$A:$A,'[1]Tissue Data'!$F:$F)</f>
        <v>Pumpkinseed</v>
      </c>
      <c r="E2159" t="str">
        <f>_xlfn.XLOOKUP(A2159,'[1]Tissue Data'!$A:$A,'[1]Tissue Data'!$H:$H)</f>
        <v>Lepomis</v>
      </c>
      <c r="F2159" t="str">
        <f>_xlfn.XLOOKUP(A2159,'[1]Tissue Data'!$A:$A,'[1]Tissue Data'!$I:$I)</f>
        <v>gibbosus</v>
      </c>
      <c r="G2159" t="str">
        <f>_xlfn.XLOOKUP(A2159,'[1]Tissue Data'!$A:$A,'[1]Tissue Data'!J:J)</f>
        <v>U</v>
      </c>
      <c r="H2159" t="str">
        <f>_xlfn.XLOOKUP(A2159,'[1]Tissue Data'!$A:$A,'[1]Tissue Data'!K:K)</f>
        <v>Whole Body</v>
      </c>
      <c r="I2159">
        <f>_xlfn.XLOOKUP(A2159,'[1]Tissue Data'!$A:$A,'[1]Tissue Data'!L:L)</f>
        <v>6.5</v>
      </c>
      <c r="J2159">
        <f>_xlfn.XLOOKUP(A2159,'[1]Tissue Data'!$A:$A,'[1]Tissue Data'!M:M)</f>
        <v>4.45</v>
      </c>
      <c r="K2159" t="s">
        <v>19</v>
      </c>
      <c r="L2159" t="str">
        <f>_xlfn.XLOOKUP(K2159,[2]analyte_order!$B:$B,[2]analyte_order!$C:$C)</f>
        <v>2058-94-8</v>
      </c>
      <c r="M2159">
        <f>_xlfn.XLOOKUP(L2159,[2]analyte_order!$C:$C,[2]analyte_order!$E:$E)</f>
        <v>8</v>
      </c>
      <c r="N2159">
        <v>2.06</v>
      </c>
    </row>
    <row r="2160" spans="1:14">
      <c r="A2160" t="s">
        <v>256</v>
      </c>
      <c r="B2160" t="str">
        <f>_xlfn.XLOOKUP(A2160,'[1]Tissue Data'!$A:$A,'[1]Tissue Data'!$C:$C)</f>
        <v>Spill</v>
      </c>
      <c r="C2160" s="2">
        <f>_xlfn.XLOOKUP(A2160,'[1]Tissue Data'!$A:$A,'[1]Tissue Data'!$D:$D)</f>
        <v>44314</v>
      </c>
      <c r="D2160" s="2" t="str">
        <f>_xlfn.XLOOKUP(A2160,'[1]Tissue Data'!$A:$A,'[1]Tissue Data'!$F:$F)</f>
        <v>Pumpkinseed</v>
      </c>
      <c r="E2160" t="str">
        <f>_xlfn.XLOOKUP(A2160,'[1]Tissue Data'!$A:$A,'[1]Tissue Data'!$H:$H)</f>
        <v>Lepomis</v>
      </c>
      <c r="F2160" t="str">
        <f>_xlfn.XLOOKUP(A2160,'[1]Tissue Data'!$A:$A,'[1]Tissue Data'!$I:$I)</f>
        <v>gibbosus</v>
      </c>
      <c r="G2160" t="str">
        <f>_xlfn.XLOOKUP(A2160,'[1]Tissue Data'!$A:$A,'[1]Tissue Data'!J:J)</f>
        <v>U</v>
      </c>
      <c r="H2160" t="str">
        <f>_xlfn.XLOOKUP(A2160,'[1]Tissue Data'!$A:$A,'[1]Tissue Data'!K:K)</f>
        <v>Whole Body</v>
      </c>
      <c r="I2160">
        <f>_xlfn.XLOOKUP(A2160,'[1]Tissue Data'!$A:$A,'[1]Tissue Data'!L:L)</f>
        <v>6.5</v>
      </c>
      <c r="J2160">
        <f>_xlfn.XLOOKUP(A2160,'[1]Tissue Data'!$A:$A,'[1]Tissue Data'!M:M)</f>
        <v>4.45</v>
      </c>
      <c r="K2160" t="s">
        <v>20</v>
      </c>
      <c r="L2160" t="str">
        <f>_xlfn.XLOOKUP(K2160,[2]analyte_order!$B:$B,[2]analyte_order!$C:$C)</f>
        <v>307-55-1</v>
      </c>
      <c r="M2160">
        <f>_xlfn.XLOOKUP(L2160,[2]analyte_order!$C:$C,[2]analyte_order!$E:$E)</f>
        <v>9</v>
      </c>
      <c r="N2160">
        <v>2.58</v>
      </c>
    </row>
    <row r="2161" spans="1:14">
      <c r="A2161" t="s">
        <v>256</v>
      </c>
      <c r="B2161" t="str">
        <f>_xlfn.XLOOKUP(A2161,'[1]Tissue Data'!$A:$A,'[1]Tissue Data'!$C:$C)</f>
        <v>Spill</v>
      </c>
      <c r="C2161" s="2">
        <f>_xlfn.XLOOKUP(A2161,'[1]Tissue Data'!$A:$A,'[1]Tissue Data'!$D:$D)</f>
        <v>44314</v>
      </c>
      <c r="D2161" s="2" t="str">
        <f>_xlfn.XLOOKUP(A2161,'[1]Tissue Data'!$A:$A,'[1]Tissue Data'!$F:$F)</f>
        <v>Pumpkinseed</v>
      </c>
      <c r="E2161" t="str">
        <f>_xlfn.XLOOKUP(A2161,'[1]Tissue Data'!$A:$A,'[1]Tissue Data'!$H:$H)</f>
        <v>Lepomis</v>
      </c>
      <c r="F2161" t="str">
        <f>_xlfn.XLOOKUP(A2161,'[1]Tissue Data'!$A:$A,'[1]Tissue Data'!$I:$I)</f>
        <v>gibbosus</v>
      </c>
      <c r="G2161" t="str">
        <f>_xlfn.XLOOKUP(A2161,'[1]Tissue Data'!$A:$A,'[1]Tissue Data'!J:J)</f>
        <v>U</v>
      </c>
      <c r="H2161" t="str">
        <f>_xlfn.XLOOKUP(A2161,'[1]Tissue Data'!$A:$A,'[1]Tissue Data'!K:K)</f>
        <v>Whole Body</v>
      </c>
      <c r="I2161">
        <f>_xlfn.XLOOKUP(A2161,'[1]Tissue Data'!$A:$A,'[1]Tissue Data'!L:L)</f>
        <v>6.5</v>
      </c>
      <c r="J2161">
        <f>_xlfn.XLOOKUP(A2161,'[1]Tissue Data'!$A:$A,'[1]Tissue Data'!M:M)</f>
        <v>4.45</v>
      </c>
      <c r="K2161" t="s">
        <v>21</v>
      </c>
      <c r="L2161" t="str">
        <f>_xlfn.XLOOKUP(K2161,[2]analyte_order!$B:$B,[2]analyte_order!$C:$C)</f>
        <v>72629-94-8</v>
      </c>
      <c r="M2161">
        <f>_xlfn.XLOOKUP(L2161,[2]analyte_order!$C:$C,[2]analyte_order!$E:$E)</f>
        <v>10</v>
      </c>
      <c r="N2161">
        <v>0.32600000000000001</v>
      </c>
    </row>
    <row r="2162" spans="1:14">
      <c r="A2162" t="s">
        <v>256</v>
      </c>
      <c r="B2162" t="str">
        <f>_xlfn.XLOOKUP(A2162,'[1]Tissue Data'!$A:$A,'[1]Tissue Data'!$C:$C)</f>
        <v>Spill</v>
      </c>
      <c r="C2162" s="2">
        <f>_xlfn.XLOOKUP(A2162,'[1]Tissue Data'!$A:$A,'[1]Tissue Data'!$D:$D)</f>
        <v>44314</v>
      </c>
      <c r="D2162" s="2" t="str">
        <f>_xlfn.XLOOKUP(A2162,'[1]Tissue Data'!$A:$A,'[1]Tissue Data'!$F:$F)</f>
        <v>Pumpkinseed</v>
      </c>
      <c r="E2162" t="str">
        <f>_xlfn.XLOOKUP(A2162,'[1]Tissue Data'!$A:$A,'[1]Tissue Data'!$H:$H)</f>
        <v>Lepomis</v>
      </c>
      <c r="F2162" t="str">
        <f>_xlfn.XLOOKUP(A2162,'[1]Tissue Data'!$A:$A,'[1]Tissue Data'!$I:$I)</f>
        <v>gibbosus</v>
      </c>
      <c r="G2162" t="str">
        <f>_xlfn.XLOOKUP(A2162,'[1]Tissue Data'!$A:$A,'[1]Tissue Data'!J:J)</f>
        <v>U</v>
      </c>
      <c r="H2162" t="str">
        <f>_xlfn.XLOOKUP(A2162,'[1]Tissue Data'!$A:$A,'[1]Tissue Data'!K:K)</f>
        <v>Whole Body</v>
      </c>
      <c r="I2162">
        <f>_xlfn.XLOOKUP(A2162,'[1]Tissue Data'!$A:$A,'[1]Tissue Data'!L:L)</f>
        <v>6.5</v>
      </c>
      <c r="J2162">
        <f>_xlfn.XLOOKUP(A2162,'[1]Tissue Data'!$A:$A,'[1]Tissue Data'!M:M)</f>
        <v>4.45</v>
      </c>
      <c r="K2162" t="s">
        <v>22</v>
      </c>
      <c r="L2162" t="str">
        <f>_xlfn.XLOOKUP(K2162,[2]analyte_order!$B:$B,[2]analyte_order!$C:$C)</f>
        <v>376-06-7</v>
      </c>
      <c r="M2162">
        <f>_xlfn.XLOOKUP(L2162,[2]analyte_order!$C:$C,[2]analyte_order!$E:$E)</f>
        <v>11</v>
      </c>
      <c r="N2162">
        <v>1.26</v>
      </c>
    </row>
    <row r="2163" spans="1:14">
      <c r="A2163" t="s">
        <v>256</v>
      </c>
      <c r="B2163" t="str">
        <f>_xlfn.XLOOKUP(A2163,'[1]Tissue Data'!$A:$A,'[1]Tissue Data'!$C:$C)</f>
        <v>Spill</v>
      </c>
      <c r="C2163" s="2">
        <f>_xlfn.XLOOKUP(A2163,'[1]Tissue Data'!$A:$A,'[1]Tissue Data'!$D:$D)</f>
        <v>44314</v>
      </c>
      <c r="D2163" s="2" t="str">
        <f>_xlfn.XLOOKUP(A2163,'[1]Tissue Data'!$A:$A,'[1]Tissue Data'!$F:$F)</f>
        <v>Pumpkinseed</v>
      </c>
      <c r="E2163" t="str">
        <f>_xlfn.XLOOKUP(A2163,'[1]Tissue Data'!$A:$A,'[1]Tissue Data'!$H:$H)</f>
        <v>Lepomis</v>
      </c>
      <c r="F2163" t="str">
        <f>_xlfn.XLOOKUP(A2163,'[1]Tissue Data'!$A:$A,'[1]Tissue Data'!$I:$I)</f>
        <v>gibbosus</v>
      </c>
      <c r="G2163" t="str">
        <f>_xlfn.XLOOKUP(A2163,'[1]Tissue Data'!$A:$A,'[1]Tissue Data'!J:J)</f>
        <v>U</v>
      </c>
      <c r="H2163" t="str">
        <f>_xlfn.XLOOKUP(A2163,'[1]Tissue Data'!$A:$A,'[1]Tissue Data'!K:K)</f>
        <v>Whole Body</v>
      </c>
      <c r="I2163">
        <f>_xlfn.XLOOKUP(A2163,'[1]Tissue Data'!$A:$A,'[1]Tissue Data'!L:L)</f>
        <v>6.5</v>
      </c>
      <c r="J2163">
        <f>_xlfn.XLOOKUP(A2163,'[1]Tissue Data'!$A:$A,'[1]Tissue Data'!M:M)</f>
        <v>4.45</v>
      </c>
      <c r="K2163" t="s">
        <v>23</v>
      </c>
      <c r="L2163" t="str">
        <f>_xlfn.XLOOKUP(K2163,[2]analyte_order!$B:$B,[2]analyte_order!$C:$C)</f>
        <v>67905-19-5</v>
      </c>
      <c r="M2163">
        <f>_xlfn.XLOOKUP(L2163,[2]analyte_order!$C:$C,[2]analyte_order!$E:$E)</f>
        <v>12</v>
      </c>
      <c r="N2163">
        <v>8.5500000000000007E-2</v>
      </c>
    </row>
    <row r="2164" spans="1:14">
      <c r="A2164" t="s">
        <v>256</v>
      </c>
      <c r="B2164" t="str">
        <f>_xlfn.XLOOKUP(A2164,'[1]Tissue Data'!$A:$A,'[1]Tissue Data'!$C:$C)</f>
        <v>Spill</v>
      </c>
      <c r="C2164" s="2">
        <f>_xlfn.XLOOKUP(A2164,'[1]Tissue Data'!$A:$A,'[1]Tissue Data'!$D:$D)</f>
        <v>44314</v>
      </c>
      <c r="D2164" s="2" t="str">
        <f>_xlfn.XLOOKUP(A2164,'[1]Tissue Data'!$A:$A,'[1]Tissue Data'!$F:$F)</f>
        <v>Pumpkinseed</v>
      </c>
      <c r="E2164" t="str">
        <f>_xlfn.XLOOKUP(A2164,'[1]Tissue Data'!$A:$A,'[1]Tissue Data'!$H:$H)</f>
        <v>Lepomis</v>
      </c>
      <c r="F2164" t="str">
        <f>_xlfn.XLOOKUP(A2164,'[1]Tissue Data'!$A:$A,'[1]Tissue Data'!$I:$I)</f>
        <v>gibbosus</v>
      </c>
      <c r="G2164" t="str">
        <f>_xlfn.XLOOKUP(A2164,'[1]Tissue Data'!$A:$A,'[1]Tissue Data'!J:J)</f>
        <v>U</v>
      </c>
      <c r="H2164" t="str">
        <f>_xlfn.XLOOKUP(A2164,'[1]Tissue Data'!$A:$A,'[1]Tissue Data'!K:K)</f>
        <v>Whole Body</v>
      </c>
      <c r="I2164">
        <f>_xlfn.XLOOKUP(A2164,'[1]Tissue Data'!$A:$A,'[1]Tissue Data'!L:L)</f>
        <v>6.5</v>
      </c>
      <c r="J2164">
        <f>_xlfn.XLOOKUP(A2164,'[1]Tissue Data'!$A:$A,'[1]Tissue Data'!M:M)</f>
        <v>4.45</v>
      </c>
      <c r="K2164" t="s">
        <v>24</v>
      </c>
      <c r="L2164" t="str">
        <f>_xlfn.XLOOKUP(K2164,[2]analyte_order!$B:$B,[2]analyte_order!$C:$C)</f>
        <v>423-41-6</v>
      </c>
      <c r="M2164">
        <f>_xlfn.XLOOKUP(L2164,[2]analyte_order!$C:$C,[2]analyte_order!$E:$E)</f>
        <v>53</v>
      </c>
      <c r="N2164">
        <v>5.45E-2</v>
      </c>
    </row>
    <row r="2165" spans="1:14">
      <c r="A2165" t="s">
        <v>256</v>
      </c>
      <c r="B2165" t="str">
        <f>_xlfn.XLOOKUP(A2165,'[1]Tissue Data'!$A:$A,'[1]Tissue Data'!$C:$C)</f>
        <v>Spill</v>
      </c>
      <c r="C2165" s="2">
        <f>_xlfn.XLOOKUP(A2165,'[1]Tissue Data'!$A:$A,'[1]Tissue Data'!$D:$D)</f>
        <v>44314</v>
      </c>
      <c r="D2165" s="2" t="str">
        <f>_xlfn.XLOOKUP(A2165,'[1]Tissue Data'!$A:$A,'[1]Tissue Data'!$F:$F)</f>
        <v>Pumpkinseed</v>
      </c>
      <c r="E2165" t="str">
        <f>_xlfn.XLOOKUP(A2165,'[1]Tissue Data'!$A:$A,'[1]Tissue Data'!$H:$H)</f>
        <v>Lepomis</v>
      </c>
      <c r="F2165" t="str">
        <f>_xlfn.XLOOKUP(A2165,'[1]Tissue Data'!$A:$A,'[1]Tissue Data'!$I:$I)</f>
        <v>gibbosus</v>
      </c>
      <c r="G2165" t="str">
        <f>_xlfn.XLOOKUP(A2165,'[1]Tissue Data'!$A:$A,'[1]Tissue Data'!J:J)</f>
        <v>U</v>
      </c>
      <c r="H2165" t="str">
        <f>_xlfn.XLOOKUP(A2165,'[1]Tissue Data'!$A:$A,'[1]Tissue Data'!K:K)</f>
        <v>Whole Body</v>
      </c>
      <c r="I2165">
        <f>_xlfn.XLOOKUP(A2165,'[1]Tissue Data'!$A:$A,'[1]Tissue Data'!L:L)</f>
        <v>6.5</v>
      </c>
      <c r="J2165">
        <f>_xlfn.XLOOKUP(A2165,'[1]Tissue Data'!$A:$A,'[1]Tissue Data'!M:M)</f>
        <v>4.45</v>
      </c>
      <c r="K2165" t="s">
        <v>25</v>
      </c>
      <c r="L2165" t="str">
        <f>_xlfn.XLOOKUP(K2165,[2]analyte_order!$B:$B,[2]analyte_order!$C:$C)</f>
        <v>375-73-5</v>
      </c>
      <c r="M2165">
        <f>_xlfn.XLOOKUP(L2165,[2]analyte_order!$C:$C,[2]analyte_order!$E:$E)</f>
        <v>14</v>
      </c>
      <c r="N2165">
        <v>0.161</v>
      </c>
    </row>
    <row r="2166" spans="1:14">
      <c r="A2166" t="s">
        <v>256</v>
      </c>
      <c r="B2166" t="str">
        <f>_xlfn.XLOOKUP(A2166,'[1]Tissue Data'!$A:$A,'[1]Tissue Data'!$C:$C)</f>
        <v>Spill</v>
      </c>
      <c r="C2166" s="2">
        <f>_xlfn.XLOOKUP(A2166,'[1]Tissue Data'!$A:$A,'[1]Tissue Data'!$D:$D)</f>
        <v>44314</v>
      </c>
      <c r="D2166" s="2" t="str">
        <f>_xlfn.XLOOKUP(A2166,'[1]Tissue Data'!$A:$A,'[1]Tissue Data'!$F:$F)</f>
        <v>Pumpkinseed</v>
      </c>
      <c r="E2166" t="str">
        <f>_xlfn.XLOOKUP(A2166,'[1]Tissue Data'!$A:$A,'[1]Tissue Data'!$H:$H)</f>
        <v>Lepomis</v>
      </c>
      <c r="F2166" t="str">
        <f>_xlfn.XLOOKUP(A2166,'[1]Tissue Data'!$A:$A,'[1]Tissue Data'!$I:$I)</f>
        <v>gibbosus</v>
      </c>
      <c r="G2166" t="str">
        <f>_xlfn.XLOOKUP(A2166,'[1]Tissue Data'!$A:$A,'[1]Tissue Data'!J:J)</f>
        <v>U</v>
      </c>
      <c r="H2166" t="str">
        <f>_xlfn.XLOOKUP(A2166,'[1]Tissue Data'!$A:$A,'[1]Tissue Data'!K:K)</f>
        <v>Whole Body</v>
      </c>
      <c r="I2166">
        <f>_xlfn.XLOOKUP(A2166,'[1]Tissue Data'!$A:$A,'[1]Tissue Data'!L:L)</f>
        <v>6.5</v>
      </c>
      <c r="J2166">
        <f>_xlfn.XLOOKUP(A2166,'[1]Tissue Data'!$A:$A,'[1]Tissue Data'!M:M)</f>
        <v>4.45</v>
      </c>
      <c r="K2166" t="s">
        <v>26</v>
      </c>
      <c r="L2166" t="str">
        <f>_xlfn.XLOOKUP(K2166,[2]analyte_order!$B:$B,[2]analyte_order!$C:$C)</f>
        <v>2706-91-4</v>
      </c>
      <c r="M2166">
        <f>_xlfn.XLOOKUP(L2166,[2]analyte_order!$C:$C,[2]analyte_order!$E:$E)</f>
        <v>15</v>
      </c>
      <c r="N2166">
        <v>0.1255</v>
      </c>
    </row>
    <row r="2167" spans="1:14">
      <c r="A2167" t="s">
        <v>256</v>
      </c>
      <c r="B2167" t="str">
        <f>_xlfn.XLOOKUP(A2167,'[1]Tissue Data'!$A:$A,'[1]Tissue Data'!$C:$C)</f>
        <v>Spill</v>
      </c>
      <c r="C2167" s="2">
        <f>_xlfn.XLOOKUP(A2167,'[1]Tissue Data'!$A:$A,'[1]Tissue Data'!$D:$D)</f>
        <v>44314</v>
      </c>
      <c r="D2167" s="2" t="str">
        <f>_xlfn.XLOOKUP(A2167,'[1]Tissue Data'!$A:$A,'[1]Tissue Data'!$F:$F)</f>
        <v>Pumpkinseed</v>
      </c>
      <c r="E2167" t="str">
        <f>_xlfn.XLOOKUP(A2167,'[1]Tissue Data'!$A:$A,'[1]Tissue Data'!$H:$H)</f>
        <v>Lepomis</v>
      </c>
      <c r="F2167" t="str">
        <f>_xlfn.XLOOKUP(A2167,'[1]Tissue Data'!$A:$A,'[1]Tissue Data'!$I:$I)</f>
        <v>gibbosus</v>
      </c>
      <c r="G2167" t="str">
        <f>_xlfn.XLOOKUP(A2167,'[1]Tissue Data'!$A:$A,'[1]Tissue Data'!J:J)</f>
        <v>U</v>
      </c>
      <c r="H2167" t="str">
        <f>_xlfn.XLOOKUP(A2167,'[1]Tissue Data'!$A:$A,'[1]Tissue Data'!K:K)</f>
        <v>Whole Body</v>
      </c>
      <c r="I2167">
        <f>_xlfn.XLOOKUP(A2167,'[1]Tissue Data'!$A:$A,'[1]Tissue Data'!L:L)</f>
        <v>6.5</v>
      </c>
      <c r="J2167">
        <f>_xlfn.XLOOKUP(A2167,'[1]Tissue Data'!$A:$A,'[1]Tissue Data'!M:M)</f>
        <v>4.45</v>
      </c>
      <c r="K2167" t="s">
        <v>27</v>
      </c>
      <c r="L2167" t="str">
        <f>_xlfn.XLOOKUP(K2167,[2]analyte_order!$B:$B,[2]analyte_order!$C:$C)</f>
        <v>355-46-4</v>
      </c>
      <c r="M2167">
        <f>_xlfn.XLOOKUP(L2167,[2]analyte_order!$C:$C,[2]analyte_order!$E:$E)</f>
        <v>16</v>
      </c>
      <c r="N2167">
        <v>6.56</v>
      </c>
    </row>
    <row r="2168" spans="1:14">
      <c r="A2168" t="s">
        <v>256</v>
      </c>
      <c r="B2168" t="str">
        <f>_xlfn.XLOOKUP(A2168,'[1]Tissue Data'!$A:$A,'[1]Tissue Data'!$C:$C)</f>
        <v>Spill</v>
      </c>
      <c r="C2168" s="2">
        <f>_xlfn.XLOOKUP(A2168,'[1]Tissue Data'!$A:$A,'[1]Tissue Data'!$D:$D)</f>
        <v>44314</v>
      </c>
      <c r="D2168" s="2" t="str">
        <f>_xlfn.XLOOKUP(A2168,'[1]Tissue Data'!$A:$A,'[1]Tissue Data'!$F:$F)</f>
        <v>Pumpkinseed</v>
      </c>
      <c r="E2168" t="str">
        <f>_xlfn.XLOOKUP(A2168,'[1]Tissue Data'!$A:$A,'[1]Tissue Data'!$H:$H)</f>
        <v>Lepomis</v>
      </c>
      <c r="F2168" t="str">
        <f>_xlfn.XLOOKUP(A2168,'[1]Tissue Data'!$A:$A,'[1]Tissue Data'!$I:$I)</f>
        <v>gibbosus</v>
      </c>
      <c r="G2168" t="str">
        <f>_xlfn.XLOOKUP(A2168,'[1]Tissue Data'!$A:$A,'[1]Tissue Data'!J:J)</f>
        <v>U</v>
      </c>
      <c r="H2168" t="str">
        <f>_xlfn.XLOOKUP(A2168,'[1]Tissue Data'!$A:$A,'[1]Tissue Data'!K:K)</f>
        <v>Whole Body</v>
      </c>
      <c r="I2168">
        <f>_xlfn.XLOOKUP(A2168,'[1]Tissue Data'!$A:$A,'[1]Tissue Data'!L:L)</f>
        <v>6.5</v>
      </c>
      <c r="J2168">
        <f>_xlfn.XLOOKUP(A2168,'[1]Tissue Data'!$A:$A,'[1]Tissue Data'!M:M)</f>
        <v>4.45</v>
      </c>
      <c r="K2168" t="s">
        <v>28</v>
      </c>
      <c r="L2168" t="str">
        <f>_xlfn.XLOOKUP(K2168,[2]analyte_order!$B:$B,[2]analyte_order!$C:$C)</f>
        <v>375-92-8</v>
      </c>
      <c r="M2168">
        <f>_xlfn.XLOOKUP(L2168,[2]analyte_order!$C:$C,[2]analyte_order!$E:$E)</f>
        <v>17</v>
      </c>
      <c r="N2168">
        <v>0.23699999999999999</v>
      </c>
    </row>
    <row r="2169" spans="1:14">
      <c r="A2169" t="s">
        <v>256</v>
      </c>
      <c r="B2169" t="str">
        <f>_xlfn.XLOOKUP(A2169,'[1]Tissue Data'!$A:$A,'[1]Tissue Data'!$C:$C)</f>
        <v>Spill</v>
      </c>
      <c r="C2169" s="2">
        <f>_xlfn.XLOOKUP(A2169,'[1]Tissue Data'!$A:$A,'[1]Tissue Data'!$D:$D)</f>
        <v>44314</v>
      </c>
      <c r="D2169" s="2" t="str">
        <f>_xlfn.XLOOKUP(A2169,'[1]Tissue Data'!$A:$A,'[1]Tissue Data'!$F:$F)</f>
        <v>Pumpkinseed</v>
      </c>
      <c r="E2169" t="str">
        <f>_xlfn.XLOOKUP(A2169,'[1]Tissue Data'!$A:$A,'[1]Tissue Data'!$H:$H)</f>
        <v>Lepomis</v>
      </c>
      <c r="F2169" t="str">
        <f>_xlfn.XLOOKUP(A2169,'[1]Tissue Data'!$A:$A,'[1]Tissue Data'!$I:$I)</f>
        <v>gibbosus</v>
      </c>
      <c r="G2169" t="str">
        <f>_xlfn.XLOOKUP(A2169,'[1]Tissue Data'!$A:$A,'[1]Tissue Data'!J:J)</f>
        <v>U</v>
      </c>
      <c r="H2169" t="str">
        <f>_xlfn.XLOOKUP(A2169,'[1]Tissue Data'!$A:$A,'[1]Tissue Data'!K:K)</f>
        <v>Whole Body</v>
      </c>
      <c r="I2169">
        <f>_xlfn.XLOOKUP(A2169,'[1]Tissue Data'!$A:$A,'[1]Tissue Data'!L:L)</f>
        <v>6.5</v>
      </c>
      <c r="J2169">
        <f>_xlfn.XLOOKUP(A2169,'[1]Tissue Data'!$A:$A,'[1]Tissue Data'!M:M)</f>
        <v>4.45</v>
      </c>
      <c r="K2169" t="s">
        <v>29</v>
      </c>
      <c r="L2169" t="str">
        <f>_xlfn.XLOOKUP(K2169,[2]analyte_order!$B:$B,[2]analyte_order!$C:$C)</f>
        <v>1763-23-1</v>
      </c>
      <c r="M2169">
        <f>_xlfn.XLOOKUP(L2169,[2]analyte_order!$C:$C,[2]analyte_order!$E:$E)</f>
        <v>18</v>
      </c>
      <c r="N2169">
        <v>197</v>
      </c>
    </row>
    <row r="2170" spans="1:14">
      <c r="A2170" t="s">
        <v>256</v>
      </c>
      <c r="B2170" t="str">
        <f>_xlfn.XLOOKUP(A2170,'[1]Tissue Data'!$A:$A,'[1]Tissue Data'!$C:$C)</f>
        <v>Spill</v>
      </c>
      <c r="C2170" s="2">
        <f>_xlfn.XLOOKUP(A2170,'[1]Tissue Data'!$A:$A,'[1]Tissue Data'!$D:$D)</f>
        <v>44314</v>
      </c>
      <c r="D2170" s="2" t="str">
        <f>_xlfn.XLOOKUP(A2170,'[1]Tissue Data'!$A:$A,'[1]Tissue Data'!$F:$F)</f>
        <v>Pumpkinseed</v>
      </c>
      <c r="E2170" t="str">
        <f>_xlfn.XLOOKUP(A2170,'[1]Tissue Data'!$A:$A,'[1]Tissue Data'!$H:$H)</f>
        <v>Lepomis</v>
      </c>
      <c r="F2170" t="str">
        <f>_xlfn.XLOOKUP(A2170,'[1]Tissue Data'!$A:$A,'[1]Tissue Data'!$I:$I)</f>
        <v>gibbosus</v>
      </c>
      <c r="G2170" t="str">
        <f>_xlfn.XLOOKUP(A2170,'[1]Tissue Data'!$A:$A,'[1]Tissue Data'!J:J)</f>
        <v>U</v>
      </c>
      <c r="H2170" t="str">
        <f>_xlfn.XLOOKUP(A2170,'[1]Tissue Data'!$A:$A,'[1]Tissue Data'!K:K)</f>
        <v>Whole Body</v>
      </c>
      <c r="I2170">
        <f>_xlfn.XLOOKUP(A2170,'[1]Tissue Data'!$A:$A,'[1]Tissue Data'!L:L)</f>
        <v>6.5</v>
      </c>
      <c r="J2170">
        <f>_xlfn.XLOOKUP(A2170,'[1]Tissue Data'!$A:$A,'[1]Tissue Data'!M:M)</f>
        <v>4.45</v>
      </c>
      <c r="K2170" t="s">
        <v>30</v>
      </c>
      <c r="L2170" t="str">
        <f>_xlfn.XLOOKUP(K2170,[2]analyte_order!$B:$B,[2]analyte_order!$C:$C)</f>
        <v>68259-12-1</v>
      </c>
      <c r="M2170">
        <f>_xlfn.XLOOKUP(L2170,[2]analyte_order!$C:$C,[2]analyte_order!$E:$E)</f>
        <v>19</v>
      </c>
      <c r="N2170">
        <v>0.13500000000000001</v>
      </c>
    </row>
    <row r="2171" spans="1:14">
      <c r="A2171" t="s">
        <v>256</v>
      </c>
      <c r="B2171" t="str">
        <f>_xlfn.XLOOKUP(A2171,'[1]Tissue Data'!$A:$A,'[1]Tissue Data'!$C:$C)</f>
        <v>Spill</v>
      </c>
      <c r="C2171" s="2">
        <f>_xlfn.XLOOKUP(A2171,'[1]Tissue Data'!$A:$A,'[1]Tissue Data'!$D:$D)</f>
        <v>44314</v>
      </c>
      <c r="D2171" s="2" t="str">
        <f>_xlfn.XLOOKUP(A2171,'[1]Tissue Data'!$A:$A,'[1]Tissue Data'!$F:$F)</f>
        <v>Pumpkinseed</v>
      </c>
      <c r="E2171" t="str">
        <f>_xlfn.XLOOKUP(A2171,'[1]Tissue Data'!$A:$A,'[1]Tissue Data'!$H:$H)</f>
        <v>Lepomis</v>
      </c>
      <c r="F2171" t="str">
        <f>_xlfn.XLOOKUP(A2171,'[1]Tissue Data'!$A:$A,'[1]Tissue Data'!$I:$I)</f>
        <v>gibbosus</v>
      </c>
      <c r="G2171" t="str">
        <f>_xlfn.XLOOKUP(A2171,'[1]Tissue Data'!$A:$A,'[1]Tissue Data'!J:J)</f>
        <v>U</v>
      </c>
      <c r="H2171" t="str">
        <f>_xlfn.XLOOKUP(A2171,'[1]Tissue Data'!$A:$A,'[1]Tissue Data'!K:K)</f>
        <v>Whole Body</v>
      </c>
      <c r="I2171">
        <f>_xlfn.XLOOKUP(A2171,'[1]Tissue Data'!$A:$A,'[1]Tissue Data'!L:L)</f>
        <v>6.5</v>
      </c>
      <c r="J2171">
        <f>_xlfn.XLOOKUP(A2171,'[1]Tissue Data'!$A:$A,'[1]Tissue Data'!M:M)</f>
        <v>4.45</v>
      </c>
      <c r="K2171" t="s">
        <v>31</v>
      </c>
      <c r="L2171" t="str">
        <f>_xlfn.XLOOKUP(K2171,[2]analyte_order!$B:$B,[2]analyte_order!$C:$C)</f>
        <v>335-77-3</v>
      </c>
      <c r="M2171">
        <f>_xlfn.XLOOKUP(L2171,[2]analyte_order!$C:$C,[2]analyte_order!$E:$E)</f>
        <v>20</v>
      </c>
      <c r="N2171">
        <v>0.503</v>
      </c>
    </row>
    <row r="2172" spans="1:14">
      <c r="A2172" t="s">
        <v>256</v>
      </c>
      <c r="B2172" t="str">
        <f>_xlfn.XLOOKUP(A2172,'[1]Tissue Data'!$A:$A,'[1]Tissue Data'!$C:$C)</f>
        <v>Spill</v>
      </c>
      <c r="C2172" s="2">
        <f>_xlfn.XLOOKUP(A2172,'[1]Tissue Data'!$A:$A,'[1]Tissue Data'!$D:$D)</f>
        <v>44314</v>
      </c>
      <c r="D2172" s="2" t="str">
        <f>_xlfn.XLOOKUP(A2172,'[1]Tissue Data'!$A:$A,'[1]Tissue Data'!$F:$F)</f>
        <v>Pumpkinseed</v>
      </c>
      <c r="E2172" t="str">
        <f>_xlfn.XLOOKUP(A2172,'[1]Tissue Data'!$A:$A,'[1]Tissue Data'!$H:$H)</f>
        <v>Lepomis</v>
      </c>
      <c r="F2172" t="str">
        <f>_xlfn.XLOOKUP(A2172,'[1]Tissue Data'!$A:$A,'[1]Tissue Data'!$I:$I)</f>
        <v>gibbosus</v>
      </c>
      <c r="G2172" t="str">
        <f>_xlfn.XLOOKUP(A2172,'[1]Tissue Data'!$A:$A,'[1]Tissue Data'!J:J)</f>
        <v>U</v>
      </c>
      <c r="H2172" t="str">
        <f>_xlfn.XLOOKUP(A2172,'[1]Tissue Data'!$A:$A,'[1]Tissue Data'!K:K)</f>
        <v>Whole Body</v>
      </c>
      <c r="I2172">
        <f>_xlfn.XLOOKUP(A2172,'[1]Tissue Data'!$A:$A,'[1]Tissue Data'!L:L)</f>
        <v>6.5</v>
      </c>
      <c r="J2172">
        <f>_xlfn.XLOOKUP(A2172,'[1]Tissue Data'!$A:$A,'[1]Tissue Data'!M:M)</f>
        <v>4.45</v>
      </c>
      <c r="K2172" t="s">
        <v>32</v>
      </c>
      <c r="L2172" t="str">
        <f>_xlfn.XLOOKUP(K2172,[2]analyte_order!$B:$B,[2]analyte_order!$C:$C)</f>
        <v>79780-39-5</v>
      </c>
      <c r="M2172">
        <f>_xlfn.XLOOKUP(L2172,[2]analyte_order!$C:$C,[2]analyte_order!$E:$E)</f>
        <v>21</v>
      </c>
      <c r="N2172">
        <v>0.2535</v>
      </c>
    </row>
    <row r="2173" spans="1:14">
      <c r="A2173" t="s">
        <v>256</v>
      </c>
      <c r="B2173" t="str">
        <f>_xlfn.XLOOKUP(A2173,'[1]Tissue Data'!$A:$A,'[1]Tissue Data'!$C:$C)</f>
        <v>Spill</v>
      </c>
      <c r="C2173" s="2">
        <f>_xlfn.XLOOKUP(A2173,'[1]Tissue Data'!$A:$A,'[1]Tissue Data'!$D:$D)</f>
        <v>44314</v>
      </c>
      <c r="D2173" s="2" t="str">
        <f>_xlfn.XLOOKUP(A2173,'[1]Tissue Data'!$A:$A,'[1]Tissue Data'!$F:$F)</f>
        <v>Pumpkinseed</v>
      </c>
      <c r="E2173" t="str">
        <f>_xlfn.XLOOKUP(A2173,'[1]Tissue Data'!$A:$A,'[1]Tissue Data'!$H:$H)</f>
        <v>Lepomis</v>
      </c>
      <c r="F2173" t="str">
        <f>_xlfn.XLOOKUP(A2173,'[1]Tissue Data'!$A:$A,'[1]Tissue Data'!$I:$I)</f>
        <v>gibbosus</v>
      </c>
      <c r="G2173" t="str">
        <f>_xlfn.XLOOKUP(A2173,'[1]Tissue Data'!$A:$A,'[1]Tissue Data'!J:J)</f>
        <v>U</v>
      </c>
      <c r="H2173" t="str">
        <f>_xlfn.XLOOKUP(A2173,'[1]Tissue Data'!$A:$A,'[1]Tissue Data'!K:K)</f>
        <v>Whole Body</v>
      </c>
      <c r="I2173">
        <f>_xlfn.XLOOKUP(A2173,'[1]Tissue Data'!$A:$A,'[1]Tissue Data'!L:L)</f>
        <v>6.5</v>
      </c>
      <c r="J2173">
        <f>_xlfn.XLOOKUP(A2173,'[1]Tissue Data'!$A:$A,'[1]Tissue Data'!M:M)</f>
        <v>4.45</v>
      </c>
      <c r="K2173" t="s">
        <v>33</v>
      </c>
      <c r="L2173" t="str">
        <f>_xlfn.XLOOKUP(K2173,[2]analyte_order!$B:$B,[2]analyte_order!$C:$C)</f>
        <v>777011-38-8</v>
      </c>
      <c r="M2173">
        <f>_xlfn.XLOOKUP(L2173,[2]analyte_order!$C:$C,[2]analyte_order!$E:$E)</f>
        <v>54</v>
      </c>
      <c r="N2173">
        <v>0.14399999999999999</v>
      </c>
    </row>
    <row r="2174" spans="1:14">
      <c r="A2174" t="s">
        <v>256</v>
      </c>
      <c r="B2174" t="str">
        <f>_xlfn.XLOOKUP(A2174,'[1]Tissue Data'!$A:$A,'[1]Tissue Data'!$C:$C)</f>
        <v>Spill</v>
      </c>
      <c r="C2174" s="2">
        <f>_xlfn.XLOOKUP(A2174,'[1]Tissue Data'!$A:$A,'[1]Tissue Data'!$D:$D)</f>
        <v>44314</v>
      </c>
      <c r="D2174" s="2" t="str">
        <f>_xlfn.XLOOKUP(A2174,'[1]Tissue Data'!$A:$A,'[1]Tissue Data'!$F:$F)</f>
        <v>Pumpkinseed</v>
      </c>
      <c r="E2174" t="str">
        <f>_xlfn.XLOOKUP(A2174,'[1]Tissue Data'!$A:$A,'[1]Tissue Data'!$H:$H)</f>
        <v>Lepomis</v>
      </c>
      <c r="F2174" t="str">
        <f>_xlfn.XLOOKUP(A2174,'[1]Tissue Data'!$A:$A,'[1]Tissue Data'!$I:$I)</f>
        <v>gibbosus</v>
      </c>
      <c r="G2174" t="str">
        <f>_xlfn.XLOOKUP(A2174,'[1]Tissue Data'!$A:$A,'[1]Tissue Data'!J:J)</f>
        <v>U</v>
      </c>
      <c r="H2174" t="str">
        <f>_xlfn.XLOOKUP(A2174,'[1]Tissue Data'!$A:$A,'[1]Tissue Data'!K:K)</f>
        <v>Whole Body</v>
      </c>
      <c r="I2174">
        <f>_xlfn.XLOOKUP(A2174,'[1]Tissue Data'!$A:$A,'[1]Tissue Data'!L:L)</f>
        <v>6.5</v>
      </c>
      <c r="J2174">
        <f>_xlfn.XLOOKUP(A2174,'[1]Tissue Data'!$A:$A,'[1]Tissue Data'!M:M)</f>
        <v>4.45</v>
      </c>
      <c r="K2174" t="s">
        <v>34</v>
      </c>
      <c r="L2174" t="str">
        <f>_xlfn.XLOOKUP(K2174,[2]analyte_order!$B:$B,[2]analyte_order!$C:$C)</f>
        <v>646-83-3</v>
      </c>
      <c r="M2174">
        <f>_xlfn.XLOOKUP(L2174,[2]analyte_order!$C:$C,[2]analyte_order!$E:$E)</f>
        <v>55</v>
      </c>
      <c r="N2174">
        <v>9.4500000000000001E-2</v>
      </c>
    </row>
    <row r="2175" spans="1:14">
      <c r="A2175" t="s">
        <v>256</v>
      </c>
      <c r="B2175" t="str">
        <f>_xlfn.XLOOKUP(A2175,'[1]Tissue Data'!$A:$A,'[1]Tissue Data'!$C:$C)</f>
        <v>Spill</v>
      </c>
      <c r="C2175" s="2">
        <f>_xlfn.XLOOKUP(A2175,'[1]Tissue Data'!$A:$A,'[1]Tissue Data'!$D:$D)</f>
        <v>44314</v>
      </c>
      <c r="D2175" s="2" t="str">
        <f>_xlfn.XLOOKUP(A2175,'[1]Tissue Data'!$A:$A,'[1]Tissue Data'!$F:$F)</f>
        <v>Pumpkinseed</v>
      </c>
      <c r="E2175" t="str">
        <f>_xlfn.XLOOKUP(A2175,'[1]Tissue Data'!$A:$A,'[1]Tissue Data'!$H:$H)</f>
        <v>Lepomis</v>
      </c>
      <c r="F2175" t="str">
        <f>_xlfn.XLOOKUP(A2175,'[1]Tissue Data'!$A:$A,'[1]Tissue Data'!$I:$I)</f>
        <v>gibbosus</v>
      </c>
      <c r="G2175" t="str">
        <f>_xlfn.XLOOKUP(A2175,'[1]Tissue Data'!$A:$A,'[1]Tissue Data'!J:J)</f>
        <v>U</v>
      </c>
      <c r="H2175" t="str">
        <f>_xlfn.XLOOKUP(A2175,'[1]Tissue Data'!$A:$A,'[1]Tissue Data'!K:K)</f>
        <v>Whole Body</v>
      </c>
      <c r="I2175">
        <f>_xlfn.XLOOKUP(A2175,'[1]Tissue Data'!$A:$A,'[1]Tissue Data'!L:L)</f>
        <v>6.5</v>
      </c>
      <c r="J2175">
        <f>_xlfn.XLOOKUP(A2175,'[1]Tissue Data'!$A:$A,'[1]Tissue Data'!M:M)</f>
        <v>4.45</v>
      </c>
      <c r="K2175" t="s">
        <v>35</v>
      </c>
      <c r="L2175" t="str">
        <f>_xlfn.XLOOKUP(K2175,[2]analyte_order!$B:$B,[2]analyte_order!$C:$C)</f>
        <v>30334-69-1</v>
      </c>
      <c r="M2175">
        <f>_xlfn.XLOOKUP(L2175,[2]analyte_order!$C:$C,[2]analyte_order!$E:$E)</f>
        <v>51</v>
      </c>
      <c r="N2175">
        <v>14.4</v>
      </c>
    </row>
    <row r="2176" spans="1:14">
      <c r="A2176" t="s">
        <v>256</v>
      </c>
      <c r="B2176" t="str">
        <f>_xlfn.XLOOKUP(A2176,'[1]Tissue Data'!$A:$A,'[1]Tissue Data'!$C:$C)</f>
        <v>Spill</v>
      </c>
      <c r="C2176" s="2">
        <f>_xlfn.XLOOKUP(A2176,'[1]Tissue Data'!$A:$A,'[1]Tissue Data'!$D:$D)</f>
        <v>44314</v>
      </c>
      <c r="D2176" s="2" t="str">
        <f>_xlfn.XLOOKUP(A2176,'[1]Tissue Data'!$A:$A,'[1]Tissue Data'!$F:$F)</f>
        <v>Pumpkinseed</v>
      </c>
      <c r="E2176" t="str">
        <f>_xlfn.XLOOKUP(A2176,'[1]Tissue Data'!$A:$A,'[1]Tissue Data'!$H:$H)</f>
        <v>Lepomis</v>
      </c>
      <c r="F2176" t="str">
        <f>_xlfn.XLOOKUP(A2176,'[1]Tissue Data'!$A:$A,'[1]Tissue Data'!$I:$I)</f>
        <v>gibbosus</v>
      </c>
      <c r="G2176" t="str">
        <f>_xlfn.XLOOKUP(A2176,'[1]Tissue Data'!$A:$A,'[1]Tissue Data'!J:J)</f>
        <v>U</v>
      </c>
      <c r="H2176" t="str">
        <f>_xlfn.XLOOKUP(A2176,'[1]Tissue Data'!$A:$A,'[1]Tissue Data'!K:K)</f>
        <v>Whole Body</v>
      </c>
      <c r="I2176">
        <f>_xlfn.XLOOKUP(A2176,'[1]Tissue Data'!$A:$A,'[1]Tissue Data'!L:L)</f>
        <v>6.5</v>
      </c>
      <c r="J2176">
        <f>_xlfn.XLOOKUP(A2176,'[1]Tissue Data'!$A:$A,'[1]Tissue Data'!M:M)</f>
        <v>4.45</v>
      </c>
      <c r="K2176" t="s">
        <v>36</v>
      </c>
      <c r="L2176" t="str">
        <f>_xlfn.XLOOKUP(K2176,[2]analyte_order!$B:$B,[2]analyte_order!$C:$C)</f>
        <v>41997-13-1</v>
      </c>
      <c r="M2176">
        <f>_xlfn.XLOOKUP(L2176,[2]analyte_order!$C:$C,[2]analyte_order!$E:$E)</f>
        <v>52</v>
      </c>
      <c r="N2176">
        <v>66.099999999999994</v>
      </c>
    </row>
    <row r="2177" spans="1:14">
      <c r="A2177" t="s">
        <v>256</v>
      </c>
      <c r="B2177" t="str">
        <f>_xlfn.XLOOKUP(A2177,'[1]Tissue Data'!$A:$A,'[1]Tissue Data'!$C:$C)</f>
        <v>Spill</v>
      </c>
      <c r="C2177" s="2">
        <f>_xlfn.XLOOKUP(A2177,'[1]Tissue Data'!$A:$A,'[1]Tissue Data'!$D:$D)</f>
        <v>44314</v>
      </c>
      <c r="D2177" s="2" t="str">
        <f>_xlfn.XLOOKUP(A2177,'[1]Tissue Data'!$A:$A,'[1]Tissue Data'!$F:$F)</f>
        <v>Pumpkinseed</v>
      </c>
      <c r="E2177" t="str">
        <f>_xlfn.XLOOKUP(A2177,'[1]Tissue Data'!$A:$A,'[1]Tissue Data'!$H:$H)</f>
        <v>Lepomis</v>
      </c>
      <c r="F2177" t="str">
        <f>_xlfn.XLOOKUP(A2177,'[1]Tissue Data'!$A:$A,'[1]Tissue Data'!$I:$I)</f>
        <v>gibbosus</v>
      </c>
      <c r="G2177" t="str">
        <f>_xlfn.XLOOKUP(A2177,'[1]Tissue Data'!$A:$A,'[1]Tissue Data'!J:J)</f>
        <v>U</v>
      </c>
      <c r="H2177" t="str">
        <f>_xlfn.XLOOKUP(A2177,'[1]Tissue Data'!$A:$A,'[1]Tissue Data'!K:K)</f>
        <v>Whole Body</v>
      </c>
      <c r="I2177">
        <f>_xlfn.XLOOKUP(A2177,'[1]Tissue Data'!$A:$A,'[1]Tissue Data'!L:L)</f>
        <v>6.5</v>
      </c>
      <c r="J2177">
        <f>_xlfn.XLOOKUP(A2177,'[1]Tissue Data'!$A:$A,'[1]Tissue Data'!M:M)</f>
        <v>4.45</v>
      </c>
      <c r="K2177" t="s">
        <v>37</v>
      </c>
      <c r="L2177" t="str">
        <f>_xlfn.XLOOKUP(K2177,[2]analyte_order!$B:$B,[2]analyte_order!$C:$C)</f>
        <v>754-91-6</v>
      </c>
      <c r="M2177">
        <f>_xlfn.XLOOKUP(L2177,[2]analyte_order!$C:$C,[2]analyte_order!$E:$E)</f>
        <v>28</v>
      </c>
      <c r="N2177">
        <v>9.89</v>
      </c>
    </row>
    <row r="2178" spans="1:14">
      <c r="A2178" t="s">
        <v>256</v>
      </c>
      <c r="B2178" t="str">
        <f>_xlfn.XLOOKUP(A2178,'[1]Tissue Data'!$A:$A,'[1]Tissue Data'!$C:$C)</f>
        <v>Spill</v>
      </c>
      <c r="C2178" s="2">
        <f>_xlfn.XLOOKUP(A2178,'[1]Tissue Data'!$A:$A,'[1]Tissue Data'!$D:$D)</f>
        <v>44314</v>
      </c>
      <c r="D2178" s="2" t="str">
        <f>_xlfn.XLOOKUP(A2178,'[1]Tissue Data'!$A:$A,'[1]Tissue Data'!$F:$F)</f>
        <v>Pumpkinseed</v>
      </c>
      <c r="E2178" t="str">
        <f>_xlfn.XLOOKUP(A2178,'[1]Tissue Data'!$A:$A,'[1]Tissue Data'!$H:$H)</f>
        <v>Lepomis</v>
      </c>
      <c r="F2178" t="str">
        <f>_xlfn.XLOOKUP(A2178,'[1]Tissue Data'!$A:$A,'[1]Tissue Data'!$I:$I)</f>
        <v>gibbosus</v>
      </c>
      <c r="G2178" t="str">
        <f>_xlfn.XLOOKUP(A2178,'[1]Tissue Data'!$A:$A,'[1]Tissue Data'!J:J)</f>
        <v>U</v>
      </c>
      <c r="H2178" t="str">
        <f>_xlfn.XLOOKUP(A2178,'[1]Tissue Data'!$A:$A,'[1]Tissue Data'!K:K)</f>
        <v>Whole Body</v>
      </c>
      <c r="I2178">
        <f>_xlfn.XLOOKUP(A2178,'[1]Tissue Data'!$A:$A,'[1]Tissue Data'!L:L)</f>
        <v>6.5</v>
      </c>
      <c r="J2178">
        <f>_xlfn.XLOOKUP(A2178,'[1]Tissue Data'!$A:$A,'[1]Tissue Data'!M:M)</f>
        <v>4.45</v>
      </c>
      <c r="K2178" t="s">
        <v>38</v>
      </c>
      <c r="L2178" t="str">
        <f>_xlfn.XLOOKUP(K2178,[2]analyte_order!$B:$B,[2]analyte_order!$C:$C)</f>
        <v>31506-32-8</v>
      </c>
      <c r="M2178">
        <f>_xlfn.XLOOKUP(L2178,[2]analyte_order!$C:$C,[2]analyte_order!$E:$E)</f>
        <v>30</v>
      </c>
      <c r="N2178">
        <v>5.5500000000000001E-2</v>
      </c>
    </row>
    <row r="2179" spans="1:14">
      <c r="A2179" t="s">
        <v>256</v>
      </c>
      <c r="B2179" t="str">
        <f>_xlfn.XLOOKUP(A2179,'[1]Tissue Data'!$A:$A,'[1]Tissue Data'!$C:$C)</f>
        <v>Spill</v>
      </c>
      <c r="C2179" s="2">
        <f>_xlfn.XLOOKUP(A2179,'[1]Tissue Data'!$A:$A,'[1]Tissue Data'!$D:$D)</f>
        <v>44314</v>
      </c>
      <c r="D2179" s="2" t="str">
        <f>_xlfn.XLOOKUP(A2179,'[1]Tissue Data'!$A:$A,'[1]Tissue Data'!$F:$F)</f>
        <v>Pumpkinseed</v>
      </c>
      <c r="E2179" t="str">
        <f>_xlfn.XLOOKUP(A2179,'[1]Tissue Data'!$A:$A,'[1]Tissue Data'!$H:$H)</f>
        <v>Lepomis</v>
      </c>
      <c r="F2179" t="str">
        <f>_xlfn.XLOOKUP(A2179,'[1]Tissue Data'!$A:$A,'[1]Tissue Data'!$I:$I)</f>
        <v>gibbosus</v>
      </c>
      <c r="G2179" t="str">
        <f>_xlfn.XLOOKUP(A2179,'[1]Tissue Data'!$A:$A,'[1]Tissue Data'!J:J)</f>
        <v>U</v>
      </c>
      <c r="H2179" t="str">
        <f>_xlfn.XLOOKUP(A2179,'[1]Tissue Data'!$A:$A,'[1]Tissue Data'!K:K)</f>
        <v>Whole Body</v>
      </c>
      <c r="I2179">
        <f>_xlfn.XLOOKUP(A2179,'[1]Tissue Data'!$A:$A,'[1]Tissue Data'!L:L)</f>
        <v>6.5</v>
      </c>
      <c r="J2179">
        <f>_xlfn.XLOOKUP(A2179,'[1]Tissue Data'!$A:$A,'[1]Tissue Data'!M:M)</f>
        <v>4.45</v>
      </c>
      <c r="K2179" t="s">
        <v>39</v>
      </c>
      <c r="L2179" t="str">
        <f>_xlfn.XLOOKUP(K2179,[2]analyte_order!$B:$B,[2]analyte_order!$C:$C)</f>
        <v>4151-50-2</v>
      </c>
      <c r="M2179">
        <f>_xlfn.XLOOKUP(L2179,[2]analyte_order!$C:$C,[2]analyte_order!$E:$E)</f>
        <v>31</v>
      </c>
      <c r="N2179">
        <v>8.4000000000000005E-2</v>
      </c>
    </row>
    <row r="2180" spans="1:14">
      <c r="A2180" t="s">
        <v>256</v>
      </c>
      <c r="B2180" t="str">
        <f>_xlfn.XLOOKUP(A2180,'[1]Tissue Data'!$A:$A,'[1]Tissue Data'!$C:$C)</f>
        <v>Spill</v>
      </c>
      <c r="C2180" s="2">
        <f>_xlfn.XLOOKUP(A2180,'[1]Tissue Data'!$A:$A,'[1]Tissue Data'!$D:$D)</f>
        <v>44314</v>
      </c>
      <c r="D2180" s="2" t="str">
        <f>_xlfn.XLOOKUP(A2180,'[1]Tissue Data'!$A:$A,'[1]Tissue Data'!$F:$F)</f>
        <v>Pumpkinseed</v>
      </c>
      <c r="E2180" t="str">
        <f>_xlfn.XLOOKUP(A2180,'[1]Tissue Data'!$A:$A,'[1]Tissue Data'!$H:$H)</f>
        <v>Lepomis</v>
      </c>
      <c r="F2180" t="str">
        <f>_xlfn.XLOOKUP(A2180,'[1]Tissue Data'!$A:$A,'[1]Tissue Data'!$I:$I)</f>
        <v>gibbosus</v>
      </c>
      <c r="G2180" t="str">
        <f>_xlfn.XLOOKUP(A2180,'[1]Tissue Data'!$A:$A,'[1]Tissue Data'!J:J)</f>
        <v>U</v>
      </c>
      <c r="H2180" t="str">
        <f>_xlfn.XLOOKUP(A2180,'[1]Tissue Data'!$A:$A,'[1]Tissue Data'!K:K)</f>
        <v>Whole Body</v>
      </c>
      <c r="I2180">
        <f>_xlfn.XLOOKUP(A2180,'[1]Tissue Data'!$A:$A,'[1]Tissue Data'!L:L)</f>
        <v>6.5</v>
      </c>
      <c r="J2180">
        <f>_xlfn.XLOOKUP(A2180,'[1]Tissue Data'!$A:$A,'[1]Tissue Data'!M:M)</f>
        <v>4.45</v>
      </c>
      <c r="K2180" t="s">
        <v>40</v>
      </c>
      <c r="L2180" t="str">
        <f>_xlfn.XLOOKUP(K2180,[2]analyte_order!$B:$B,[2]analyte_order!$C:$C)</f>
        <v>2806-24-8</v>
      </c>
      <c r="M2180">
        <f>_xlfn.XLOOKUP(L2180,[2]analyte_order!$C:$C,[2]analyte_order!$E:$E)</f>
        <v>29</v>
      </c>
      <c r="N2180">
        <v>5.6500000000000002E-2</v>
      </c>
    </row>
    <row r="2181" spans="1:14">
      <c r="A2181" t="s">
        <v>256</v>
      </c>
      <c r="B2181" t="str">
        <f>_xlfn.XLOOKUP(A2181,'[1]Tissue Data'!$A:$A,'[1]Tissue Data'!$C:$C)</f>
        <v>Spill</v>
      </c>
      <c r="C2181" s="2">
        <f>_xlfn.XLOOKUP(A2181,'[1]Tissue Data'!$A:$A,'[1]Tissue Data'!$D:$D)</f>
        <v>44314</v>
      </c>
      <c r="D2181" s="2" t="str">
        <f>_xlfn.XLOOKUP(A2181,'[1]Tissue Data'!$A:$A,'[1]Tissue Data'!$F:$F)</f>
        <v>Pumpkinseed</v>
      </c>
      <c r="E2181" t="str">
        <f>_xlfn.XLOOKUP(A2181,'[1]Tissue Data'!$A:$A,'[1]Tissue Data'!$H:$H)</f>
        <v>Lepomis</v>
      </c>
      <c r="F2181" t="str">
        <f>_xlfn.XLOOKUP(A2181,'[1]Tissue Data'!$A:$A,'[1]Tissue Data'!$I:$I)</f>
        <v>gibbosus</v>
      </c>
      <c r="G2181" t="str">
        <f>_xlfn.XLOOKUP(A2181,'[1]Tissue Data'!$A:$A,'[1]Tissue Data'!J:J)</f>
        <v>U</v>
      </c>
      <c r="H2181" t="str">
        <f>_xlfn.XLOOKUP(A2181,'[1]Tissue Data'!$A:$A,'[1]Tissue Data'!K:K)</f>
        <v>Whole Body</v>
      </c>
      <c r="I2181">
        <f>_xlfn.XLOOKUP(A2181,'[1]Tissue Data'!$A:$A,'[1]Tissue Data'!L:L)</f>
        <v>6.5</v>
      </c>
      <c r="J2181">
        <f>_xlfn.XLOOKUP(A2181,'[1]Tissue Data'!$A:$A,'[1]Tissue Data'!M:M)</f>
        <v>4.45</v>
      </c>
      <c r="K2181" t="s">
        <v>41</v>
      </c>
      <c r="L2181" t="str">
        <f>_xlfn.XLOOKUP(K2181,[2]analyte_order!$B:$B,[2]analyte_order!$C:$C)</f>
        <v>2355-31-9</v>
      </c>
      <c r="M2181">
        <f>_xlfn.XLOOKUP(L2181,[2]analyte_order!$C:$C,[2]analyte_order!$E:$E)</f>
        <v>26</v>
      </c>
      <c r="N2181">
        <v>0.23849999999999999</v>
      </c>
    </row>
    <row r="2182" spans="1:14">
      <c r="A2182" t="s">
        <v>256</v>
      </c>
      <c r="B2182" t="str">
        <f>_xlfn.XLOOKUP(A2182,'[1]Tissue Data'!$A:$A,'[1]Tissue Data'!$C:$C)</f>
        <v>Spill</v>
      </c>
      <c r="C2182" s="2">
        <f>_xlfn.XLOOKUP(A2182,'[1]Tissue Data'!$A:$A,'[1]Tissue Data'!$D:$D)</f>
        <v>44314</v>
      </c>
      <c r="D2182" s="2" t="str">
        <f>_xlfn.XLOOKUP(A2182,'[1]Tissue Data'!$A:$A,'[1]Tissue Data'!$F:$F)</f>
        <v>Pumpkinseed</v>
      </c>
      <c r="E2182" t="str">
        <f>_xlfn.XLOOKUP(A2182,'[1]Tissue Data'!$A:$A,'[1]Tissue Data'!$H:$H)</f>
        <v>Lepomis</v>
      </c>
      <c r="F2182" t="str">
        <f>_xlfn.XLOOKUP(A2182,'[1]Tissue Data'!$A:$A,'[1]Tissue Data'!$I:$I)</f>
        <v>gibbosus</v>
      </c>
      <c r="G2182" t="str">
        <f>_xlfn.XLOOKUP(A2182,'[1]Tissue Data'!$A:$A,'[1]Tissue Data'!J:J)</f>
        <v>U</v>
      </c>
      <c r="H2182" t="str">
        <f>_xlfn.XLOOKUP(A2182,'[1]Tissue Data'!$A:$A,'[1]Tissue Data'!K:K)</f>
        <v>Whole Body</v>
      </c>
      <c r="I2182">
        <f>_xlfn.XLOOKUP(A2182,'[1]Tissue Data'!$A:$A,'[1]Tissue Data'!L:L)</f>
        <v>6.5</v>
      </c>
      <c r="J2182">
        <f>_xlfn.XLOOKUP(A2182,'[1]Tissue Data'!$A:$A,'[1]Tissue Data'!M:M)</f>
        <v>4.45</v>
      </c>
      <c r="K2182" t="s">
        <v>42</v>
      </c>
      <c r="L2182" t="str">
        <f>_xlfn.XLOOKUP(K2182,[2]analyte_order!$B:$B,[2]analyte_order!$C:$C)</f>
        <v>2991-50-6</v>
      </c>
      <c r="M2182">
        <f>_xlfn.XLOOKUP(L2182,[2]analyte_order!$C:$C,[2]analyte_order!$E:$E)</f>
        <v>27</v>
      </c>
      <c r="N2182">
        <v>6.25E-2</v>
      </c>
    </row>
    <row r="2183" spans="1:14">
      <c r="A2183" t="s">
        <v>256</v>
      </c>
      <c r="B2183" t="str">
        <f>_xlfn.XLOOKUP(A2183,'[1]Tissue Data'!$A:$A,'[1]Tissue Data'!$C:$C)</f>
        <v>Spill</v>
      </c>
      <c r="C2183" s="2">
        <f>_xlfn.XLOOKUP(A2183,'[1]Tissue Data'!$A:$A,'[1]Tissue Data'!$D:$D)</f>
        <v>44314</v>
      </c>
      <c r="D2183" s="2" t="str">
        <f>_xlfn.XLOOKUP(A2183,'[1]Tissue Data'!$A:$A,'[1]Tissue Data'!$F:$F)</f>
        <v>Pumpkinseed</v>
      </c>
      <c r="E2183" t="str">
        <f>_xlfn.XLOOKUP(A2183,'[1]Tissue Data'!$A:$A,'[1]Tissue Data'!$H:$H)</f>
        <v>Lepomis</v>
      </c>
      <c r="F2183" t="str">
        <f>_xlfn.XLOOKUP(A2183,'[1]Tissue Data'!$A:$A,'[1]Tissue Data'!$I:$I)</f>
        <v>gibbosus</v>
      </c>
      <c r="G2183" t="str">
        <f>_xlfn.XLOOKUP(A2183,'[1]Tissue Data'!$A:$A,'[1]Tissue Data'!J:J)</f>
        <v>U</v>
      </c>
      <c r="H2183" t="str">
        <f>_xlfn.XLOOKUP(A2183,'[1]Tissue Data'!$A:$A,'[1]Tissue Data'!K:K)</f>
        <v>Whole Body</v>
      </c>
      <c r="I2183">
        <f>_xlfn.XLOOKUP(A2183,'[1]Tissue Data'!$A:$A,'[1]Tissue Data'!L:L)</f>
        <v>6.5</v>
      </c>
      <c r="J2183">
        <f>_xlfn.XLOOKUP(A2183,'[1]Tissue Data'!$A:$A,'[1]Tissue Data'!M:M)</f>
        <v>4.45</v>
      </c>
      <c r="K2183" t="s">
        <v>43</v>
      </c>
      <c r="L2183" t="str">
        <f>_xlfn.XLOOKUP(K2183,[2]analyte_order!$B:$B,[2]analyte_order!$C:$C)</f>
        <v>757124-72-4</v>
      </c>
      <c r="M2183">
        <f>_xlfn.XLOOKUP(L2183,[2]analyte_order!$C:$C,[2]analyte_order!$E:$E)</f>
        <v>22</v>
      </c>
      <c r="N2183">
        <v>5.8999999999999997E-2</v>
      </c>
    </row>
    <row r="2184" spans="1:14">
      <c r="A2184" t="s">
        <v>256</v>
      </c>
      <c r="B2184" t="str">
        <f>_xlfn.XLOOKUP(A2184,'[1]Tissue Data'!$A:$A,'[1]Tissue Data'!$C:$C)</f>
        <v>Spill</v>
      </c>
      <c r="C2184" s="2">
        <f>_xlfn.XLOOKUP(A2184,'[1]Tissue Data'!$A:$A,'[1]Tissue Data'!$D:$D)</f>
        <v>44314</v>
      </c>
      <c r="D2184" s="2" t="str">
        <f>_xlfn.XLOOKUP(A2184,'[1]Tissue Data'!$A:$A,'[1]Tissue Data'!$F:$F)</f>
        <v>Pumpkinseed</v>
      </c>
      <c r="E2184" t="str">
        <f>_xlfn.XLOOKUP(A2184,'[1]Tissue Data'!$A:$A,'[1]Tissue Data'!$H:$H)</f>
        <v>Lepomis</v>
      </c>
      <c r="F2184" t="str">
        <f>_xlfn.XLOOKUP(A2184,'[1]Tissue Data'!$A:$A,'[1]Tissue Data'!$I:$I)</f>
        <v>gibbosus</v>
      </c>
      <c r="G2184" t="str">
        <f>_xlfn.XLOOKUP(A2184,'[1]Tissue Data'!$A:$A,'[1]Tissue Data'!J:J)</f>
        <v>U</v>
      </c>
      <c r="H2184" t="str">
        <f>_xlfn.XLOOKUP(A2184,'[1]Tissue Data'!$A:$A,'[1]Tissue Data'!K:K)</f>
        <v>Whole Body</v>
      </c>
      <c r="I2184">
        <f>_xlfn.XLOOKUP(A2184,'[1]Tissue Data'!$A:$A,'[1]Tissue Data'!L:L)</f>
        <v>6.5</v>
      </c>
      <c r="J2184">
        <f>_xlfn.XLOOKUP(A2184,'[1]Tissue Data'!$A:$A,'[1]Tissue Data'!M:M)</f>
        <v>4.45</v>
      </c>
      <c r="K2184" t="s">
        <v>44</v>
      </c>
      <c r="L2184" t="str">
        <f>_xlfn.XLOOKUP(K2184,[2]analyte_order!$B:$B,[2]analyte_order!$C:$C)</f>
        <v>27619-97-2</v>
      </c>
      <c r="M2184">
        <f>_xlfn.XLOOKUP(L2184,[2]analyte_order!$C:$C,[2]analyte_order!$E:$E)</f>
        <v>23</v>
      </c>
      <c r="N2184">
        <v>0.14299999999999999</v>
      </c>
    </row>
    <row r="2185" spans="1:14">
      <c r="A2185" t="s">
        <v>256</v>
      </c>
      <c r="B2185" t="str">
        <f>_xlfn.XLOOKUP(A2185,'[1]Tissue Data'!$A:$A,'[1]Tissue Data'!$C:$C)</f>
        <v>Spill</v>
      </c>
      <c r="C2185" s="2">
        <f>_xlfn.XLOOKUP(A2185,'[1]Tissue Data'!$A:$A,'[1]Tissue Data'!$D:$D)</f>
        <v>44314</v>
      </c>
      <c r="D2185" s="2" t="str">
        <f>_xlfn.XLOOKUP(A2185,'[1]Tissue Data'!$A:$A,'[1]Tissue Data'!$F:$F)</f>
        <v>Pumpkinseed</v>
      </c>
      <c r="E2185" t="str">
        <f>_xlfn.XLOOKUP(A2185,'[1]Tissue Data'!$A:$A,'[1]Tissue Data'!$H:$H)</f>
        <v>Lepomis</v>
      </c>
      <c r="F2185" t="str">
        <f>_xlfn.XLOOKUP(A2185,'[1]Tissue Data'!$A:$A,'[1]Tissue Data'!$I:$I)</f>
        <v>gibbosus</v>
      </c>
      <c r="G2185" t="str">
        <f>_xlfn.XLOOKUP(A2185,'[1]Tissue Data'!$A:$A,'[1]Tissue Data'!J:J)</f>
        <v>U</v>
      </c>
      <c r="H2185" t="str">
        <f>_xlfn.XLOOKUP(A2185,'[1]Tissue Data'!$A:$A,'[1]Tissue Data'!K:K)</f>
        <v>Whole Body</v>
      </c>
      <c r="I2185">
        <f>_xlfn.XLOOKUP(A2185,'[1]Tissue Data'!$A:$A,'[1]Tissue Data'!L:L)</f>
        <v>6.5</v>
      </c>
      <c r="J2185">
        <f>_xlfn.XLOOKUP(A2185,'[1]Tissue Data'!$A:$A,'[1]Tissue Data'!M:M)</f>
        <v>4.45</v>
      </c>
      <c r="K2185" t="s">
        <v>45</v>
      </c>
      <c r="L2185" t="str">
        <f>_xlfn.XLOOKUP(K2185,[2]analyte_order!$B:$B,[2]analyte_order!$C:$C)</f>
        <v>39108-34-4</v>
      </c>
      <c r="M2185">
        <f>_xlfn.XLOOKUP(L2185,[2]analyte_order!$C:$C,[2]analyte_order!$E:$E)</f>
        <v>24</v>
      </c>
      <c r="N2185">
        <v>1.31</v>
      </c>
    </row>
    <row r="2186" spans="1:14">
      <c r="A2186" t="s">
        <v>256</v>
      </c>
      <c r="B2186" t="str">
        <f>_xlfn.XLOOKUP(A2186,'[1]Tissue Data'!$A:$A,'[1]Tissue Data'!$C:$C)</f>
        <v>Spill</v>
      </c>
      <c r="C2186" s="2">
        <f>_xlfn.XLOOKUP(A2186,'[1]Tissue Data'!$A:$A,'[1]Tissue Data'!$D:$D)</f>
        <v>44314</v>
      </c>
      <c r="D2186" s="2" t="str">
        <f>_xlfn.XLOOKUP(A2186,'[1]Tissue Data'!$A:$A,'[1]Tissue Data'!$F:$F)</f>
        <v>Pumpkinseed</v>
      </c>
      <c r="E2186" t="str">
        <f>_xlfn.XLOOKUP(A2186,'[1]Tissue Data'!$A:$A,'[1]Tissue Data'!$H:$H)</f>
        <v>Lepomis</v>
      </c>
      <c r="F2186" t="str">
        <f>_xlfn.XLOOKUP(A2186,'[1]Tissue Data'!$A:$A,'[1]Tissue Data'!$I:$I)</f>
        <v>gibbosus</v>
      </c>
      <c r="G2186" t="str">
        <f>_xlfn.XLOOKUP(A2186,'[1]Tissue Data'!$A:$A,'[1]Tissue Data'!J:J)</f>
        <v>U</v>
      </c>
      <c r="H2186" t="str">
        <f>_xlfn.XLOOKUP(A2186,'[1]Tissue Data'!$A:$A,'[1]Tissue Data'!K:K)</f>
        <v>Whole Body</v>
      </c>
      <c r="I2186">
        <f>_xlfn.XLOOKUP(A2186,'[1]Tissue Data'!$A:$A,'[1]Tissue Data'!L:L)</f>
        <v>6.5</v>
      </c>
      <c r="J2186">
        <f>_xlfn.XLOOKUP(A2186,'[1]Tissue Data'!$A:$A,'[1]Tissue Data'!M:M)</f>
        <v>4.45</v>
      </c>
      <c r="K2186" t="s">
        <v>46</v>
      </c>
      <c r="L2186" t="str">
        <f>_xlfn.XLOOKUP(K2186,[2]analyte_order!$B:$B,[2]analyte_order!$C:$C)</f>
        <v>120226-60-0</v>
      </c>
      <c r="M2186">
        <f>_xlfn.XLOOKUP(L2186,[2]analyte_order!$C:$C,[2]analyte_order!$E:$E)</f>
        <v>25</v>
      </c>
      <c r="N2186">
        <v>0.26900000000000002</v>
      </c>
    </row>
    <row r="2187" spans="1:14">
      <c r="A2187" t="s">
        <v>256</v>
      </c>
      <c r="B2187" t="str">
        <f>_xlfn.XLOOKUP(A2187,'[1]Tissue Data'!$A:$A,'[1]Tissue Data'!$C:$C)</f>
        <v>Spill</v>
      </c>
      <c r="C2187" s="2">
        <f>_xlfn.XLOOKUP(A2187,'[1]Tissue Data'!$A:$A,'[1]Tissue Data'!$D:$D)</f>
        <v>44314</v>
      </c>
      <c r="D2187" s="2" t="str">
        <f>_xlfn.XLOOKUP(A2187,'[1]Tissue Data'!$A:$A,'[1]Tissue Data'!$F:$F)</f>
        <v>Pumpkinseed</v>
      </c>
      <c r="E2187" t="str">
        <f>_xlfn.XLOOKUP(A2187,'[1]Tissue Data'!$A:$A,'[1]Tissue Data'!$H:$H)</f>
        <v>Lepomis</v>
      </c>
      <c r="F2187" t="str">
        <f>_xlfn.XLOOKUP(A2187,'[1]Tissue Data'!$A:$A,'[1]Tissue Data'!$I:$I)</f>
        <v>gibbosus</v>
      </c>
      <c r="G2187" t="str">
        <f>_xlfn.XLOOKUP(A2187,'[1]Tissue Data'!$A:$A,'[1]Tissue Data'!J:J)</f>
        <v>U</v>
      </c>
      <c r="H2187" t="str">
        <f>_xlfn.XLOOKUP(A2187,'[1]Tissue Data'!$A:$A,'[1]Tissue Data'!K:K)</f>
        <v>Whole Body</v>
      </c>
      <c r="I2187">
        <f>_xlfn.XLOOKUP(A2187,'[1]Tissue Data'!$A:$A,'[1]Tissue Data'!L:L)</f>
        <v>6.5</v>
      </c>
      <c r="J2187">
        <f>_xlfn.XLOOKUP(A2187,'[1]Tissue Data'!$A:$A,'[1]Tissue Data'!M:M)</f>
        <v>4.45</v>
      </c>
      <c r="K2187" t="s">
        <v>47</v>
      </c>
      <c r="L2187" t="str">
        <f>_xlfn.XLOOKUP(K2187,[2]analyte_order!$B:$B,[2]analyte_order!$C:$C)</f>
        <v>356-02-5</v>
      </c>
      <c r="M2187">
        <f>_xlfn.XLOOKUP(L2187,[2]analyte_order!$C:$C,[2]analyte_order!$E:$E)</f>
        <v>38</v>
      </c>
      <c r="N2187">
        <v>8.2500000000000004E-2</v>
      </c>
    </row>
    <row r="2188" spans="1:14">
      <c r="A2188" t="s">
        <v>256</v>
      </c>
      <c r="B2188" t="str">
        <f>_xlfn.XLOOKUP(A2188,'[1]Tissue Data'!$A:$A,'[1]Tissue Data'!$C:$C)</f>
        <v>Spill</v>
      </c>
      <c r="C2188" s="2">
        <f>_xlfn.XLOOKUP(A2188,'[1]Tissue Data'!$A:$A,'[1]Tissue Data'!$D:$D)</f>
        <v>44314</v>
      </c>
      <c r="D2188" s="2" t="str">
        <f>_xlfn.XLOOKUP(A2188,'[1]Tissue Data'!$A:$A,'[1]Tissue Data'!$F:$F)</f>
        <v>Pumpkinseed</v>
      </c>
      <c r="E2188" t="str">
        <f>_xlfn.XLOOKUP(A2188,'[1]Tissue Data'!$A:$A,'[1]Tissue Data'!$H:$H)</f>
        <v>Lepomis</v>
      </c>
      <c r="F2188" t="str">
        <f>_xlfn.XLOOKUP(A2188,'[1]Tissue Data'!$A:$A,'[1]Tissue Data'!$I:$I)</f>
        <v>gibbosus</v>
      </c>
      <c r="G2188" t="str">
        <f>_xlfn.XLOOKUP(A2188,'[1]Tissue Data'!$A:$A,'[1]Tissue Data'!J:J)</f>
        <v>U</v>
      </c>
      <c r="H2188" t="str">
        <f>_xlfn.XLOOKUP(A2188,'[1]Tissue Data'!$A:$A,'[1]Tissue Data'!K:K)</f>
        <v>Whole Body</v>
      </c>
      <c r="I2188">
        <f>_xlfn.XLOOKUP(A2188,'[1]Tissue Data'!$A:$A,'[1]Tissue Data'!L:L)</f>
        <v>6.5</v>
      </c>
      <c r="J2188">
        <f>_xlfn.XLOOKUP(A2188,'[1]Tissue Data'!$A:$A,'[1]Tissue Data'!M:M)</f>
        <v>4.45</v>
      </c>
      <c r="K2188" t="s">
        <v>48</v>
      </c>
      <c r="L2188" t="str">
        <f>_xlfn.XLOOKUP(K2188,[2]analyte_order!$B:$B,[2]analyte_order!$C:$C)</f>
        <v>914637-49-3</v>
      </c>
      <c r="M2188">
        <f>_xlfn.XLOOKUP(L2188,[2]analyte_order!$C:$C,[2]analyte_order!$E:$E)</f>
        <v>39</v>
      </c>
      <c r="N2188">
        <v>0.17849999999999999</v>
      </c>
    </row>
    <row r="2189" spans="1:14">
      <c r="A2189" t="s">
        <v>256</v>
      </c>
      <c r="B2189" t="str">
        <f>_xlfn.XLOOKUP(A2189,'[1]Tissue Data'!$A:$A,'[1]Tissue Data'!$C:$C)</f>
        <v>Spill</v>
      </c>
      <c r="C2189" s="2">
        <f>_xlfn.XLOOKUP(A2189,'[1]Tissue Data'!$A:$A,'[1]Tissue Data'!$D:$D)</f>
        <v>44314</v>
      </c>
      <c r="D2189" s="2" t="str">
        <f>_xlfn.XLOOKUP(A2189,'[1]Tissue Data'!$A:$A,'[1]Tissue Data'!$F:$F)</f>
        <v>Pumpkinseed</v>
      </c>
      <c r="E2189" t="str">
        <f>_xlfn.XLOOKUP(A2189,'[1]Tissue Data'!$A:$A,'[1]Tissue Data'!$H:$H)</f>
        <v>Lepomis</v>
      </c>
      <c r="F2189" t="str">
        <f>_xlfn.XLOOKUP(A2189,'[1]Tissue Data'!$A:$A,'[1]Tissue Data'!$I:$I)</f>
        <v>gibbosus</v>
      </c>
      <c r="G2189" t="str">
        <f>_xlfn.XLOOKUP(A2189,'[1]Tissue Data'!$A:$A,'[1]Tissue Data'!J:J)</f>
        <v>U</v>
      </c>
      <c r="H2189" t="str">
        <f>_xlfn.XLOOKUP(A2189,'[1]Tissue Data'!$A:$A,'[1]Tissue Data'!K:K)</f>
        <v>Whole Body</v>
      </c>
      <c r="I2189">
        <f>_xlfn.XLOOKUP(A2189,'[1]Tissue Data'!$A:$A,'[1]Tissue Data'!L:L)</f>
        <v>6.5</v>
      </c>
      <c r="J2189">
        <f>_xlfn.XLOOKUP(A2189,'[1]Tissue Data'!$A:$A,'[1]Tissue Data'!M:M)</f>
        <v>4.45</v>
      </c>
      <c r="K2189" t="s">
        <v>49</v>
      </c>
      <c r="L2189" t="str">
        <f>_xlfn.XLOOKUP(K2189,[2]analyte_order!$B:$B,[2]analyte_order!$C:$C)</f>
        <v>812-70-4</v>
      </c>
      <c r="M2189">
        <f>_xlfn.XLOOKUP(L2189,[2]analyte_order!$C:$C,[2]analyte_order!$E:$E)</f>
        <v>40</v>
      </c>
      <c r="N2189">
        <v>0.78800000000000003</v>
      </c>
    </row>
    <row r="2190" spans="1:14">
      <c r="A2190" t="s">
        <v>256</v>
      </c>
      <c r="B2190" t="str">
        <f>_xlfn.XLOOKUP(A2190,'[1]Tissue Data'!$A:$A,'[1]Tissue Data'!$C:$C)</f>
        <v>Spill</v>
      </c>
      <c r="C2190" s="2">
        <f>_xlfn.XLOOKUP(A2190,'[1]Tissue Data'!$A:$A,'[1]Tissue Data'!$D:$D)</f>
        <v>44314</v>
      </c>
      <c r="D2190" s="2" t="str">
        <f>_xlfn.XLOOKUP(A2190,'[1]Tissue Data'!$A:$A,'[1]Tissue Data'!$F:$F)</f>
        <v>Pumpkinseed</v>
      </c>
      <c r="E2190" t="str">
        <f>_xlfn.XLOOKUP(A2190,'[1]Tissue Data'!$A:$A,'[1]Tissue Data'!$H:$H)</f>
        <v>Lepomis</v>
      </c>
      <c r="F2190" t="str">
        <f>_xlfn.XLOOKUP(A2190,'[1]Tissue Data'!$A:$A,'[1]Tissue Data'!$I:$I)</f>
        <v>gibbosus</v>
      </c>
      <c r="G2190" t="str">
        <f>_xlfn.XLOOKUP(A2190,'[1]Tissue Data'!$A:$A,'[1]Tissue Data'!J:J)</f>
        <v>U</v>
      </c>
      <c r="H2190" t="str">
        <f>_xlfn.XLOOKUP(A2190,'[1]Tissue Data'!$A:$A,'[1]Tissue Data'!K:K)</f>
        <v>Whole Body</v>
      </c>
      <c r="I2190">
        <f>_xlfn.XLOOKUP(A2190,'[1]Tissue Data'!$A:$A,'[1]Tissue Data'!L:L)</f>
        <v>6.5</v>
      </c>
      <c r="J2190">
        <f>_xlfn.XLOOKUP(A2190,'[1]Tissue Data'!$A:$A,'[1]Tissue Data'!M:M)</f>
        <v>4.45</v>
      </c>
      <c r="K2190" t="s">
        <v>50</v>
      </c>
      <c r="L2190" t="str">
        <f>_xlfn.XLOOKUP(K2190,[2]analyte_order!$B:$B,[2]analyte_order!$C:$C)</f>
        <v>53826-12-3</v>
      </c>
      <c r="M2190">
        <f>_xlfn.XLOOKUP(L2190,[2]analyte_order!$C:$C,[2]analyte_order!$E:$E)</f>
        <v>41</v>
      </c>
      <c r="N2190">
        <v>4.6050000000000001E-2</v>
      </c>
    </row>
    <row r="2191" spans="1:14">
      <c r="A2191" t="s">
        <v>256</v>
      </c>
      <c r="B2191" t="str">
        <f>_xlfn.XLOOKUP(A2191,'[1]Tissue Data'!$A:$A,'[1]Tissue Data'!$C:$C)</f>
        <v>Spill</v>
      </c>
      <c r="C2191" s="2">
        <f>_xlfn.XLOOKUP(A2191,'[1]Tissue Data'!$A:$A,'[1]Tissue Data'!$D:$D)</f>
        <v>44314</v>
      </c>
      <c r="D2191" s="2" t="str">
        <f>_xlfn.XLOOKUP(A2191,'[1]Tissue Data'!$A:$A,'[1]Tissue Data'!$F:$F)</f>
        <v>Pumpkinseed</v>
      </c>
      <c r="E2191" t="str">
        <f>_xlfn.XLOOKUP(A2191,'[1]Tissue Data'!$A:$A,'[1]Tissue Data'!$H:$H)</f>
        <v>Lepomis</v>
      </c>
      <c r="F2191" t="str">
        <f>_xlfn.XLOOKUP(A2191,'[1]Tissue Data'!$A:$A,'[1]Tissue Data'!$I:$I)</f>
        <v>gibbosus</v>
      </c>
      <c r="G2191" t="str">
        <f>_xlfn.XLOOKUP(A2191,'[1]Tissue Data'!$A:$A,'[1]Tissue Data'!J:J)</f>
        <v>U</v>
      </c>
      <c r="H2191" t="str">
        <f>_xlfn.XLOOKUP(A2191,'[1]Tissue Data'!$A:$A,'[1]Tissue Data'!K:K)</f>
        <v>Whole Body</v>
      </c>
      <c r="I2191">
        <f>_xlfn.XLOOKUP(A2191,'[1]Tissue Data'!$A:$A,'[1]Tissue Data'!L:L)</f>
        <v>6.5</v>
      </c>
      <c r="J2191">
        <f>_xlfn.XLOOKUP(A2191,'[1]Tissue Data'!$A:$A,'[1]Tissue Data'!M:M)</f>
        <v>4.45</v>
      </c>
      <c r="K2191" t="s">
        <v>51</v>
      </c>
      <c r="L2191" t="str">
        <f>_xlfn.XLOOKUP(K2191,[2]analyte_order!$B:$B,[2]analyte_order!$C:$C)</f>
        <v>27854-31-5</v>
      </c>
      <c r="M2191">
        <f>_xlfn.XLOOKUP(L2191,[2]analyte_order!$C:$C,[2]analyte_order!$E:$E)</f>
        <v>42</v>
      </c>
      <c r="N2191">
        <v>2.8649999999999998E-2</v>
      </c>
    </row>
    <row r="2192" spans="1:14">
      <c r="A2192" t="s">
        <v>256</v>
      </c>
      <c r="B2192" t="str">
        <f>_xlfn.XLOOKUP(A2192,'[1]Tissue Data'!$A:$A,'[1]Tissue Data'!$C:$C)</f>
        <v>Spill</v>
      </c>
      <c r="C2192" s="2">
        <f>_xlfn.XLOOKUP(A2192,'[1]Tissue Data'!$A:$A,'[1]Tissue Data'!$D:$D)</f>
        <v>44314</v>
      </c>
      <c r="D2192" s="2" t="str">
        <f>_xlfn.XLOOKUP(A2192,'[1]Tissue Data'!$A:$A,'[1]Tissue Data'!$F:$F)</f>
        <v>Pumpkinseed</v>
      </c>
      <c r="E2192" t="str">
        <f>_xlfn.XLOOKUP(A2192,'[1]Tissue Data'!$A:$A,'[1]Tissue Data'!$H:$H)</f>
        <v>Lepomis</v>
      </c>
      <c r="F2192" t="str">
        <f>_xlfn.XLOOKUP(A2192,'[1]Tissue Data'!$A:$A,'[1]Tissue Data'!$I:$I)</f>
        <v>gibbosus</v>
      </c>
      <c r="G2192" t="str">
        <f>_xlfn.XLOOKUP(A2192,'[1]Tissue Data'!$A:$A,'[1]Tissue Data'!J:J)</f>
        <v>U</v>
      </c>
      <c r="H2192" t="str">
        <f>_xlfn.XLOOKUP(A2192,'[1]Tissue Data'!$A:$A,'[1]Tissue Data'!K:K)</f>
        <v>Whole Body</v>
      </c>
      <c r="I2192">
        <f>_xlfn.XLOOKUP(A2192,'[1]Tissue Data'!$A:$A,'[1]Tissue Data'!L:L)</f>
        <v>6.5</v>
      </c>
      <c r="J2192">
        <f>_xlfn.XLOOKUP(A2192,'[1]Tissue Data'!$A:$A,'[1]Tissue Data'!M:M)</f>
        <v>4.45</v>
      </c>
      <c r="K2192" t="s">
        <v>52</v>
      </c>
      <c r="L2192" t="str">
        <f>_xlfn.XLOOKUP(K2192,[2]analyte_order!$B:$B,[2]analyte_order!$C:$C)</f>
        <v>53826-13-4</v>
      </c>
      <c r="M2192">
        <f>_xlfn.XLOOKUP(L2192,[2]analyte_order!$C:$C,[2]analyte_order!$E:$E)</f>
        <v>43</v>
      </c>
      <c r="N2192">
        <v>0.107</v>
      </c>
    </row>
    <row r="2193" spans="1:14">
      <c r="A2193" t="s">
        <v>256</v>
      </c>
      <c r="B2193" t="str">
        <f>_xlfn.XLOOKUP(A2193,'[1]Tissue Data'!$A:$A,'[1]Tissue Data'!$C:$C)</f>
        <v>Spill</v>
      </c>
      <c r="C2193" s="2">
        <f>_xlfn.XLOOKUP(A2193,'[1]Tissue Data'!$A:$A,'[1]Tissue Data'!$D:$D)</f>
        <v>44314</v>
      </c>
      <c r="D2193" s="2" t="str">
        <f>_xlfn.XLOOKUP(A2193,'[1]Tissue Data'!$A:$A,'[1]Tissue Data'!$F:$F)</f>
        <v>Pumpkinseed</v>
      </c>
      <c r="E2193" t="str">
        <f>_xlfn.XLOOKUP(A2193,'[1]Tissue Data'!$A:$A,'[1]Tissue Data'!$H:$H)</f>
        <v>Lepomis</v>
      </c>
      <c r="F2193" t="str">
        <f>_xlfn.XLOOKUP(A2193,'[1]Tissue Data'!$A:$A,'[1]Tissue Data'!$I:$I)</f>
        <v>gibbosus</v>
      </c>
      <c r="G2193" t="str">
        <f>_xlfn.XLOOKUP(A2193,'[1]Tissue Data'!$A:$A,'[1]Tissue Data'!J:J)</f>
        <v>U</v>
      </c>
      <c r="H2193" t="str">
        <f>_xlfn.XLOOKUP(A2193,'[1]Tissue Data'!$A:$A,'[1]Tissue Data'!K:K)</f>
        <v>Whole Body</v>
      </c>
      <c r="I2193">
        <f>_xlfn.XLOOKUP(A2193,'[1]Tissue Data'!$A:$A,'[1]Tissue Data'!L:L)</f>
        <v>6.5</v>
      </c>
      <c r="J2193">
        <f>_xlfn.XLOOKUP(A2193,'[1]Tissue Data'!$A:$A,'[1]Tissue Data'!M:M)</f>
        <v>4.45</v>
      </c>
      <c r="K2193" t="s">
        <v>53</v>
      </c>
      <c r="L2193" t="str">
        <f>_xlfn.XLOOKUP(K2193,[2]analyte_order!$B:$B,[2]analyte_order!$C:$C)</f>
        <v>161094-75-3</v>
      </c>
      <c r="M2193">
        <f>_xlfn.XLOOKUP(L2193,[2]analyte_order!$C:$C,[2]analyte_order!$E:$E)</f>
        <v>44</v>
      </c>
      <c r="N2193">
        <v>5.6500000000000002E-2</v>
      </c>
    </row>
    <row r="2194" spans="1:14">
      <c r="A2194" t="s">
        <v>256</v>
      </c>
      <c r="B2194" t="str">
        <f>_xlfn.XLOOKUP(A2194,'[1]Tissue Data'!$A:$A,'[1]Tissue Data'!$C:$C)</f>
        <v>Spill</v>
      </c>
      <c r="C2194" s="2">
        <f>_xlfn.XLOOKUP(A2194,'[1]Tissue Data'!$A:$A,'[1]Tissue Data'!$D:$D)</f>
        <v>44314</v>
      </c>
      <c r="D2194" s="2" t="str">
        <f>_xlfn.XLOOKUP(A2194,'[1]Tissue Data'!$A:$A,'[1]Tissue Data'!$F:$F)</f>
        <v>Pumpkinseed</v>
      </c>
      <c r="E2194" t="str">
        <f>_xlfn.XLOOKUP(A2194,'[1]Tissue Data'!$A:$A,'[1]Tissue Data'!$H:$H)</f>
        <v>Lepomis</v>
      </c>
      <c r="F2194" t="str">
        <f>_xlfn.XLOOKUP(A2194,'[1]Tissue Data'!$A:$A,'[1]Tissue Data'!$I:$I)</f>
        <v>gibbosus</v>
      </c>
      <c r="G2194" t="str">
        <f>_xlfn.XLOOKUP(A2194,'[1]Tissue Data'!$A:$A,'[1]Tissue Data'!J:J)</f>
        <v>U</v>
      </c>
      <c r="H2194" t="str">
        <f>_xlfn.XLOOKUP(A2194,'[1]Tissue Data'!$A:$A,'[1]Tissue Data'!K:K)</f>
        <v>Whole Body</v>
      </c>
      <c r="I2194">
        <f>_xlfn.XLOOKUP(A2194,'[1]Tissue Data'!$A:$A,'[1]Tissue Data'!L:L)</f>
        <v>6.5</v>
      </c>
      <c r="J2194">
        <f>_xlfn.XLOOKUP(A2194,'[1]Tissue Data'!$A:$A,'[1]Tissue Data'!M:M)</f>
        <v>4.45</v>
      </c>
      <c r="K2194" t="s">
        <v>54</v>
      </c>
      <c r="L2194" t="str">
        <f>_xlfn.XLOOKUP(K2194,[2]analyte_order!$B:$B,[2]analyte_order!$C:$C)</f>
        <v>70887-84-2</v>
      </c>
      <c r="M2194">
        <f>_xlfn.XLOOKUP(L2194,[2]analyte_order!$C:$C,[2]analyte_order!$E:$E)</f>
        <v>45</v>
      </c>
      <c r="N2194">
        <v>4.335E-2</v>
      </c>
    </row>
    <row r="2195" spans="1:14">
      <c r="A2195" t="s">
        <v>256</v>
      </c>
      <c r="B2195" t="str">
        <f>_xlfn.XLOOKUP(A2195,'[1]Tissue Data'!$A:$A,'[1]Tissue Data'!$C:$C)</f>
        <v>Spill</v>
      </c>
      <c r="C2195" s="2">
        <f>_xlfn.XLOOKUP(A2195,'[1]Tissue Data'!$A:$A,'[1]Tissue Data'!$D:$D)</f>
        <v>44314</v>
      </c>
      <c r="D2195" s="2" t="str">
        <f>_xlfn.XLOOKUP(A2195,'[1]Tissue Data'!$A:$A,'[1]Tissue Data'!$F:$F)</f>
        <v>Pumpkinseed</v>
      </c>
      <c r="E2195" t="str">
        <f>_xlfn.XLOOKUP(A2195,'[1]Tissue Data'!$A:$A,'[1]Tissue Data'!$H:$H)</f>
        <v>Lepomis</v>
      </c>
      <c r="F2195" t="str">
        <f>_xlfn.XLOOKUP(A2195,'[1]Tissue Data'!$A:$A,'[1]Tissue Data'!$I:$I)</f>
        <v>gibbosus</v>
      </c>
      <c r="G2195" t="str">
        <f>_xlfn.XLOOKUP(A2195,'[1]Tissue Data'!$A:$A,'[1]Tissue Data'!J:J)</f>
        <v>U</v>
      </c>
      <c r="H2195" t="str">
        <f>_xlfn.XLOOKUP(A2195,'[1]Tissue Data'!$A:$A,'[1]Tissue Data'!K:K)</f>
        <v>Whole Body</v>
      </c>
      <c r="I2195">
        <f>_xlfn.XLOOKUP(A2195,'[1]Tissue Data'!$A:$A,'[1]Tissue Data'!L:L)</f>
        <v>6.5</v>
      </c>
      <c r="J2195">
        <f>_xlfn.XLOOKUP(A2195,'[1]Tissue Data'!$A:$A,'[1]Tissue Data'!M:M)</f>
        <v>4.45</v>
      </c>
      <c r="K2195" t="s">
        <v>55</v>
      </c>
      <c r="L2195" t="str">
        <f>_xlfn.XLOOKUP(K2195,[2]analyte_order!$B:$B,[2]analyte_order!$C:$C)</f>
        <v>919005-14-4</v>
      </c>
      <c r="M2195">
        <f>_xlfn.XLOOKUP(L2195,[2]analyte_order!$C:$C,[2]analyte_order!$E:$E)</f>
        <v>35</v>
      </c>
      <c r="N2195">
        <v>7.1999999999999995E-2</v>
      </c>
    </row>
    <row r="2196" spans="1:14">
      <c r="A2196" t="s">
        <v>256</v>
      </c>
      <c r="B2196" t="str">
        <f>_xlfn.XLOOKUP(A2196,'[1]Tissue Data'!$A:$A,'[1]Tissue Data'!$C:$C)</f>
        <v>Spill</v>
      </c>
      <c r="C2196" s="2">
        <f>_xlfn.XLOOKUP(A2196,'[1]Tissue Data'!$A:$A,'[1]Tissue Data'!$D:$D)</f>
        <v>44314</v>
      </c>
      <c r="D2196" s="2" t="str">
        <f>_xlfn.XLOOKUP(A2196,'[1]Tissue Data'!$A:$A,'[1]Tissue Data'!$F:$F)</f>
        <v>Pumpkinseed</v>
      </c>
      <c r="E2196" t="str">
        <f>_xlfn.XLOOKUP(A2196,'[1]Tissue Data'!$A:$A,'[1]Tissue Data'!$H:$H)</f>
        <v>Lepomis</v>
      </c>
      <c r="F2196" t="str">
        <f>_xlfn.XLOOKUP(A2196,'[1]Tissue Data'!$A:$A,'[1]Tissue Data'!$I:$I)</f>
        <v>gibbosus</v>
      </c>
      <c r="G2196" t="str">
        <f>_xlfn.XLOOKUP(A2196,'[1]Tissue Data'!$A:$A,'[1]Tissue Data'!J:J)</f>
        <v>U</v>
      </c>
      <c r="H2196" t="str">
        <f>_xlfn.XLOOKUP(A2196,'[1]Tissue Data'!$A:$A,'[1]Tissue Data'!K:K)</f>
        <v>Whole Body</v>
      </c>
      <c r="I2196">
        <f>_xlfn.XLOOKUP(A2196,'[1]Tissue Data'!$A:$A,'[1]Tissue Data'!L:L)</f>
        <v>6.5</v>
      </c>
      <c r="J2196">
        <f>_xlfn.XLOOKUP(A2196,'[1]Tissue Data'!$A:$A,'[1]Tissue Data'!M:M)</f>
        <v>4.45</v>
      </c>
      <c r="K2196" t="s">
        <v>56</v>
      </c>
      <c r="L2196" t="str">
        <f>_xlfn.XLOOKUP(K2196,[2]analyte_order!$B:$B,[2]analyte_order!$C:$C)</f>
        <v>756426-58-1</v>
      </c>
      <c r="M2196">
        <f>_xlfn.XLOOKUP(L2196,[2]analyte_order!$C:$C,[2]analyte_order!$E:$E)</f>
        <v>36</v>
      </c>
      <c r="N2196">
        <v>4.9849999999999998E-2</v>
      </c>
    </row>
    <row r="2197" spans="1:14">
      <c r="A2197" t="s">
        <v>256</v>
      </c>
      <c r="B2197" t="str">
        <f>_xlfn.XLOOKUP(A2197,'[1]Tissue Data'!$A:$A,'[1]Tissue Data'!$C:$C)</f>
        <v>Spill</v>
      </c>
      <c r="C2197" s="2">
        <f>_xlfn.XLOOKUP(A2197,'[1]Tissue Data'!$A:$A,'[1]Tissue Data'!$D:$D)</f>
        <v>44314</v>
      </c>
      <c r="D2197" s="2" t="str">
        <f>_xlfn.XLOOKUP(A2197,'[1]Tissue Data'!$A:$A,'[1]Tissue Data'!$F:$F)</f>
        <v>Pumpkinseed</v>
      </c>
      <c r="E2197" t="str">
        <f>_xlfn.XLOOKUP(A2197,'[1]Tissue Data'!$A:$A,'[1]Tissue Data'!$H:$H)</f>
        <v>Lepomis</v>
      </c>
      <c r="F2197" t="str">
        <f>_xlfn.XLOOKUP(A2197,'[1]Tissue Data'!$A:$A,'[1]Tissue Data'!$I:$I)</f>
        <v>gibbosus</v>
      </c>
      <c r="G2197" t="str">
        <f>_xlfn.XLOOKUP(A2197,'[1]Tissue Data'!$A:$A,'[1]Tissue Data'!J:J)</f>
        <v>U</v>
      </c>
      <c r="H2197" t="str">
        <f>_xlfn.XLOOKUP(A2197,'[1]Tissue Data'!$A:$A,'[1]Tissue Data'!K:K)</f>
        <v>Whole Body</v>
      </c>
      <c r="I2197">
        <f>_xlfn.XLOOKUP(A2197,'[1]Tissue Data'!$A:$A,'[1]Tissue Data'!L:L)</f>
        <v>6.5</v>
      </c>
      <c r="J2197">
        <f>_xlfn.XLOOKUP(A2197,'[1]Tissue Data'!$A:$A,'[1]Tissue Data'!M:M)</f>
        <v>4.45</v>
      </c>
      <c r="K2197" t="s">
        <v>57</v>
      </c>
      <c r="L2197" t="str">
        <f>_xlfn.XLOOKUP(K2197,[2]analyte_order!$B:$B,[2]analyte_order!$C:$C)</f>
        <v>763051-92-9</v>
      </c>
      <c r="M2197">
        <f>_xlfn.XLOOKUP(L2197,[2]analyte_order!$C:$C,[2]analyte_order!$E:$E)</f>
        <v>37</v>
      </c>
      <c r="N2197">
        <v>5.6500000000000002E-2</v>
      </c>
    </row>
    <row r="2198" spans="1:14">
      <c r="A2198" t="s">
        <v>256</v>
      </c>
      <c r="B2198" t="str">
        <f>_xlfn.XLOOKUP(A2198,'[1]Tissue Data'!$A:$A,'[1]Tissue Data'!$C:$C)</f>
        <v>Spill</v>
      </c>
      <c r="C2198" s="2">
        <f>_xlfn.XLOOKUP(A2198,'[1]Tissue Data'!$A:$A,'[1]Tissue Data'!$D:$D)</f>
        <v>44314</v>
      </c>
      <c r="D2198" s="2" t="str">
        <f>_xlfn.XLOOKUP(A2198,'[1]Tissue Data'!$A:$A,'[1]Tissue Data'!$F:$F)</f>
        <v>Pumpkinseed</v>
      </c>
      <c r="E2198" t="str">
        <f>_xlfn.XLOOKUP(A2198,'[1]Tissue Data'!$A:$A,'[1]Tissue Data'!$H:$H)</f>
        <v>Lepomis</v>
      </c>
      <c r="F2198" t="str">
        <f>_xlfn.XLOOKUP(A2198,'[1]Tissue Data'!$A:$A,'[1]Tissue Data'!$I:$I)</f>
        <v>gibbosus</v>
      </c>
      <c r="G2198" t="str">
        <f>_xlfn.XLOOKUP(A2198,'[1]Tissue Data'!$A:$A,'[1]Tissue Data'!J:J)</f>
        <v>U</v>
      </c>
      <c r="H2198" t="str">
        <f>_xlfn.XLOOKUP(A2198,'[1]Tissue Data'!$A:$A,'[1]Tissue Data'!K:K)</f>
        <v>Whole Body</v>
      </c>
      <c r="I2198">
        <f>_xlfn.XLOOKUP(A2198,'[1]Tissue Data'!$A:$A,'[1]Tissue Data'!L:L)</f>
        <v>6.5</v>
      </c>
      <c r="J2198">
        <f>_xlfn.XLOOKUP(A2198,'[1]Tissue Data'!$A:$A,'[1]Tissue Data'!M:M)</f>
        <v>4.45</v>
      </c>
      <c r="K2198" t="s">
        <v>58</v>
      </c>
      <c r="L2198" t="str">
        <f>_xlfn.XLOOKUP(K2198,[2]analyte_order!$B:$B,[2]analyte_order!$C:$C)</f>
        <v>13252-13-6</v>
      </c>
      <c r="M2198">
        <f>_xlfn.XLOOKUP(L2198,[2]analyte_order!$C:$C,[2]analyte_order!$E:$E)</f>
        <v>34</v>
      </c>
      <c r="N2198">
        <v>0.10299999999999999</v>
      </c>
    </row>
    <row r="2199" spans="1:14">
      <c r="A2199" t="s">
        <v>256</v>
      </c>
      <c r="B2199" t="str">
        <f>_xlfn.XLOOKUP(A2199,'[1]Tissue Data'!$A:$A,'[1]Tissue Data'!$C:$C)</f>
        <v>Spill</v>
      </c>
      <c r="C2199" s="2">
        <f>_xlfn.XLOOKUP(A2199,'[1]Tissue Data'!$A:$A,'[1]Tissue Data'!$D:$D)</f>
        <v>44314</v>
      </c>
      <c r="D2199" s="2" t="str">
        <f>_xlfn.XLOOKUP(A2199,'[1]Tissue Data'!$A:$A,'[1]Tissue Data'!$F:$F)</f>
        <v>Pumpkinseed</v>
      </c>
      <c r="E2199" t="str">
        <f>_xlfn.XLOOKUP(A2199,'[1]Tissue Data'!$A:$A,'[1]Tissue Data'!$H:$H)</f>
        <v>Lepomis</v>
      </c>
      <c r="F2199" t="str">
        <f>_xlfn.XLOOKUP(A2199,'[1]Tissue Data'!$A:$A,'[1]Tissue Data'!$I:$I)</f>
        <v>gibbosus</v>
      </c>
      <c r="G2199" t="str">
        <f>_xlfn.XLOOKUP(A2199,'[1]Tissue Data'!$A:$A,'[1]Tissue Data'!J:J)</f>
        <v>U</v>
      </c>
      <c r="H2199" t="str">
        <f>_xlfn.XLOOKUP(A2199,'[1]Tissue Data'!$A:$A,'[1]Tissue Data'!K:K)</f>
        <v>Whole Body</v>
      </c>
      <c r="I2199">
        <f>_xlfn.XLOOKUP(A2199,'[1]Tissue Data'!$A:$A,'[1]Tissue Data'!L:L)</f>
        <v>6.5</v>
      </c>
      <c r="J2199">
        <f>_xlfn.XLOOKUP(A2199,'[1]Tissue Data'!$A:$A,'[1]Tissue Data'!M:M)</f>
        <v>4.45</v>
      </c>
      <c r="K2199" t="s">
        <v>59</v>
      </c>
      <c r="L2199" t="str">
        <f>_xlfn.XLOOKUP(K2199,[2]analyte_order!$B:$B,[2]analyte_order!$C:$C)</f>
        <v>57677-95-9</v>
      </c>
      <c r="M2199">
        <f>_xlfn.XLOOKUP(L2199,[2]analyte_order!$C:$C,[2]analyte_order!$E:$E)</f>
        <v>46</v>
      </c>
      <c r="N2199">
        <v>7.6499999999999999E-2</v>
      </c>
    </row>
    <row r="2200" spans="1:14">
      <c r="A2200" t="s">
        <v>256</v>
      </c>
      <c r="B2200" t="str">
        <f>_xlfn.XLOOKUP(A2200,'[1]Tissue Data'!$A:$A,'[1]Tissue Data'!$C:$C)</f>
        <v>Spill</v>
      </c>
      <c r="C2200" s="2">
        <f>_xlfn.XLOOKUP(A2200,'[1]Tissue Data'!$A:$A,'[1]Tissue Data'!$D:$D)</f>
        <v>44314</v>
      </c>
      <c r="D2200" s="2" t="str">
        <f>_xlfn.XLOOKUP(A2200,'[1]Tissue Data'!$A:$A,'[1]Tissue Data'!$F:$F)</f>
        <v>Pumpkinseed</v>
      </c>
      <c r="E2200" t="str">
        <f>_xlfn.XLOOKUP(A2200,'[1]Tissue Data'!$A:$A,'[1]Tissue Data'!$H:$H)</f>
        <v>Lepomis</v>
      </c>
      <c r="F2200" t="str">
        <f>_xlfn.XLOOKUP(A2200,'[1]Tissue Data'!$A:$A,'[1]Tissue Data'!$I:$I)</f>
        <v>gibbosus</v>
      </c>
      <c r="G2200" t="str">
        <f>_xlfn.XLOOKUP(A2200,'[1]Tissue Data'!$A:$A,'[1]Tissue Data'!J:J)</f>
        <v>U</v>
      </c>
      <c r="H2200" t="str">
        <f>_xlfn.XLOOKUP(A2200,'[1]Tissue Data'!$A:$A,'[1]Tissue Data'!K:K)</f>
        <v>Whole Body</v>
      </c>
      <c r="I2200">
        <f>_xlfn.XLOOKUP(A2200,'[1]Tissue Data'!$A:$A,'[1]Tissue Data'!L:L)</f>
        <v>6.5</v>
      </c>
      <c r="J2200">
        <f>_xlfn.XLOOKUP(A2200,'[1]Tissue Data'!$A:$A,'[1]Tissue Data'!M:M)</f>
        <v>4.45</v>
      </c>
      <c r="K2200" t="s">
        <v>60</v>
      </c>
      <c r="L2200" t="str">
        <f>_xlfn.XLOOKUP(K2200,[2]analyte_order!$B:$B,[2]analyte_order!$C:$C)</f>
        <v>678-41-1</v>
      </c>
      <c r="M2200">
        <f>_xlfn.XLOOKUP(L2200,[2]analyte_order!$C:$C,[2]analyte_order!$E:$E)</f>
        <v>56</v>
      </c>
      <c r="N2200">
        <v>9.5000000000000001E-2</v>
      </c>
    </row>
    <row r="2201" spans="1:14">
      <c r="A2201" t="s">
        <v>256</v>
      </c>
      <c r="B2201" t="str">
        <f>_xlfn.XLOOKUP(A2201,'[1]Tissue Data'!$A:$A,'[1]Tissue Data'!$C:$C)</f>
        <v>Spill</v>
      </c>
      <c r="C2201" s="2">
        <f>_xlfn.XLOOKUP(A2201,'[1]Tissue Data'!$A:$A,'[1]Tissue Data'!$D:$D)</f>
        <v>44314</v>
      </c>
      <c r="D2201" s="2" t="str">
        <f>_xlfn.XLOOKUP(A2201,'[1]Tissue Data'!$A:$A,'[1]Tissue Data'!$F:$F)</f>
        <v>Pumpkinseed</v>
      </c>
      <c r="E2201" t="str">
        <f>_xlfn.XLOOKUP(A2201,'[1]Tissue Data'!$A:$A,'[1]Tissue Data'!$H:$H)</f>
        <v>Lepomis</v>
      </c>
      <c r="F2201" t="str">
        <f>_xlfn.XLOOKUP(A2201,'[1]Tissue Data'!$A:$A,'[1]Tissue Data'!$I:$I)</f>
        <v>gibbosus</v>
      </c>
      <c r="G2201" t="str">
        <f>_xlfn.XLOOKUP(A2201,'[1]Tissue Data'!$A:$A,'[1]Tissue Data'!J:J)</f>
        <v>U</v>
      </c>
      <c r="H2201" t="str">
        <f>_xlfn.XLOOKUP(A2201,'[1]Tissue Data'!$A:$A,'[1]Tissue Data'!K:K)</f>
        <v>Whole Body</v>
      </c>
      <c r="I2201">
        <f>_xlfn.XLOOKUP(A2201,'[1]Tissue Data'!$A:$A,'[1]Tissue Data'!L:L)</f>
        <v>6.5</v>
      </c>
      <c r="J2201">
        <f>_xlfn.XLOOKUP(A2201,'[1]Tissue Data'!$A:$A,'[1]Tissue Data'!M:M)</f>
        <v>4.45</v>
      </c>
      <c r="K2201" t="s">
        <v>61</v>
      </c>
      <c r="L2201" t="str">
        <f>_xlfn.XLOOKUP(K2201,[2]analyte_order!$B:$B,[2]analyte_order!$C:$C)</f>
        <v>2965-52-8</v>
      </c>
      <c r="M2201">
        <f>_xlfn.XLOOKUP(L2201,[2]analyte_order!$C:$C,[2]analyte_order!$E:$E)</f>
        <v>57</v>
      </c>
      <c r="N2201">
        <v>0.1265</v>
      </c>
    </row>
    <row r="2202" spans="1:14">
      <c r="A2202" t="s">
        <v>257</v>
      </c>
      <c r="B2202" t="str">
        <f>_xlfn.XLOOKUP(A2202,'[1]Tissue Data'!$A:$A,'[1]Tissue Data'!$C:$C)</f>
        <v>Spill</v>
      </c>
      <c r="C2202" s="2">
        <f>_xlfn.XLOOKUP(A2202,'[1]Tissue Data'!$A:$A,'[1]Tissue Data'!$D:$D)</f>
        <v>44314</v>
      </c>
      <c r="D2202" s="2" t="str">
        <f>_xlfn.XLOOKUP(A2202,'[1]Tissue Data'!$A:$A,'[1]Tissue Data'!$F:$F)</f>
        <v>Pumpkinseed</v>
      </c>
      <c r="E2202" t="str">
        <f>_xlfn.XLOOKUP(A2202,'[1]Tissue Data'!$A:$A,'[1]Tissue Data'!$H:$H)</f>
        <v>Lepomis</v>
      </c>
      <c r="F2202" t="str">
        <f>_xlfn.XLOOKUP(A2202,'[1]Tissue Data'!$A:$A,'[1]Tissue Data'!$I:$I)</f>
        <v>gibbosus</v>
      </c>
      <c r="G2202" t="str">
        <f>_xlfn.XLOOKUP(A2202,'[1]Tissue Data'!$A:$A,'[1]Tissue Data'!J:J)</f>
        <v>U</v>
      </c>
      <c r="H2202" t="str">
        <f>_xlfn.XLOOKUP(A2202,'[1]Tissue Data'!$A:$A,'[1]Tissue Data'!K:K)</f>
        <v>Whole Body</v>
      </c>
      <c r="I2202">
        <f>_xlfn.XLOOKUP(A2202,'[1]Tissue Data'!$A:$A,'[1]Tissue Data'!L:L)</f>
        <v>8</v>
      </c>
      <c r="J2202">
        <f>_xlfn.XLOOKUP(A2202,'[1]Tissue Data'!$A:$A,'[1]Tissue Data'!M:M)</f>
        <v>12.95</v>
      </c>
      <c r="K2202" t="s">
        <v>12</v>
      </c>
      <c r="L2202" t="str">
        <f>_xlfn.XLOOKUP(K2202,[2]analyte_order!$B:$B,[2]analyte_order!$C:$C)</f>
        <v>375-22-4</v>
      </c>
      <c r="M2202">
        <f>_xlfn.XLOOKUP(L2202,[2]analyte_order!$C:$C,[2]analyte_order!$E:$E)</f>
        <v>1</v>
      </c>
      <c r="N2202">
        <v>2.8049999999999999E-2</v>
      </c>
    </row>
    <row r="2203" spans="1:14">
      <c r="A2203" t="s">
        <v>257</v>
      </c>
      <c r="B2203" t="str">
        <f>_xlfn.XLOOKUP(A2203,'[1]Tissue Data'!$A:$A,'[1]Tissue Data'!$C:$C)</f>
        <v>Spill</v>
      </c>
      <c r="C2203" s="2">
        <f>_xlfn.XLOOKUP(A2203,'[1]Tissue Data'!$A:$A,'[1]Tissue Data'!$D:$D)</f>
        <v>44314</v>
      </c>
      <c r="D2203" s="2" t="str">
        <f>_xlfn.XLOOKUP(A2203,'[1]Tissue Data'!$A:$A,'[1]Tissue Data'!$F:$F)</f>
        <v>Pumpkinseed</v>
      </c>
      <c r="E2203" t="str">
        <f>_xlfn.XLOOKUP(A2203,'[1]Tissue Data'!$A:$A,'[1]Tissue Data'!$H:$H)</f>
        <v>Lepomis</v>
      </c>
      <c r="F2203" t="str">
        <f>_xlfn.XLOOKUP(A2203,'[1]Tissue Data'!$A:$A,'[1]Tissue Data'!$I:$I)</f>
        <v>gibbosus</v>
      </c>
      <c r="G2203" t="str">
        <f>_xlfn.XLOOKUP(A2203,'[1]Tissue Data'!$A:$A,'[1]Tissue Data'!J:J)</f>
        <v>U</v>
      </c>
      <c r="H2203" t="str">
        <f>_xlfn.XLOOKUP(A2203,'[1]Tissue Data'!$A:$A,'[1]Tissue Data'!K:K)</f>
        <v>Whole Body</v>
      </c>
      <c r="I2203">
        <f>_xlfn.XLOOKUP(A2203,'[1]Tissue Data'!$A:$A,'[1]Tissue Data'!L:L)</f>
        <v>8</v>
      </c>
      <c r="J2203">
        <f>_xlfn.XLOOKUP(A2203,'[1]Tissue Data'!$A:$A,'[1]Tissue Data'!M:M)</f>
        <v>12.95</v>
      </c>
      <c r="K2203" t="s">
        <v>13</v>
      </c>
      <c r="L2203" t="str">
        <f>_xlfn.XLOOKUP(K2203,[2]analyte_order!$B:$B,[2]analyte_order!$C:$C)</f>
        <v>2706-90-3</v>
      </c>
      <c r="M2203">
        <f>_xlfn.XLOOKUP(L2203,[2]analyte_order!$C:$C,[2]analyte_order!$E:$E)</f>
        <v>2</v>
      </c>
      <c r="N2203">
        <v>4.9549999999999997E-2</v>
      </c>
    </row>
    <row r="2204" spans="1:14">
      <c r="A2204" t="s">
        <v>257</v>
      </c>
      <c r="B2204" t="str">
        <f>_xlfn.XLOOKUP(A2204,'[1]Tissue Data'!$A:$A,'[1]Tissue Data'!$C:$C)</f>
        <v>Spill</v>
      </c>
      <c r="C2204" s="2">
        <f>_xlfn.XLOOKUP(A2204,'[1]Tissue Data'!$A:$A,'[1]Tissue Data'!$D:$D)</f>
        <v>44314</v>
      </c>
      <c r="D2204" s="2" t="str">
        <f>_xlfn.XLOOKUP(A2204,'[1]Tissue Data'!$A:$A,'[1]Tissue Data'!$F:$F)</f>
        <v>Pumpkinseed</v>
      </c>
      <c r="E2204" t="str">
        <f>_xlfn.XLOOKUP(A2204,'[1]Tissue Data'!$A:$A,'[1]Tissue Data'!$H:$H)</f>
        <v>Lepomis</v>
      </c>
      <c r="F2204" t="str">
        <f>_xlfn.XLOOKUP(A2204,'[1]Tissue Data'!$A:$A,'[1]Tissue Data'!$I:$I)</f>
        <v>gibbosus</v>
      </c>
      <c r="G2204" t="str">
        <f>_xlfn.XLOOKUP(A2204,'[1]Tissue Data'!$A:$A,'[1]Tissue Data'!J:J)</f>
        <v>U</v>
      </c>
      <c r="H2204" t="str">
        <f>_xlfn.XLOOKUP(A2204,'[1]Tissue Data'!$A:$A,'[1]Tissue Data'!K:K)</f>
        <v>Whole Body</v>
      </c>
      <c r="I2204">
        <f>_xlfn.XLOOKUP(A2204,'[1]Tissue Data'!$A:$A,'[1]Tissue Data'!L:L)</f>
        <v>8</v>
      </c>
      <c r="J2204">
        <f>_xlfn.XLOOKUP(A2204,'[1]Tissue Data'!$A:$A,'[1]Tissue Data'!M:M)</f>
        <v>12.95</v>
      </c>
      <c r="K2204" t="s">
        <v>14</v>
      </c>
      <c r="L2204" t="str">
        <f>_xlfn.XLOOKUP(K2204,[2]analyte_order!$B:$B,[2]analyte_order!$C:$C)</f>
        <v>307-24-4</v>
      </c>
      <c r="M2204">
        <f>_xlfn.XLOOKUP(L2204,[2]analyte_order!$C:$C,[2]analyte_order!$E:$E)</f>
        <v>3</v>
      </c>
      <c r="N2204">
        <v>0.125</v>
      </c>
    </row>
    <row r="2205" spans="1:14">
      <c r="A2205" t="s">
        <v>257</v>
      </c>
      <c r="B2205" t="str">
        <f>_xlfn.XLOOKUP(A2205,'[1]Tissue Data'!$A:$A,'[1]Tissue Data'!$C:$C)</f>
        <v>Spill</v>
      </c>
      <c r="C2205" s="2">
        <f>_xlfn.XLOOKUP(A2205,'[1]Tissue Data'!$A:$A,'[1]Tissue Data'!$D:$D)</f>
        <v>44314</v>
      </c>
      <c r="D2205" s="2" t="str">
        <f>_xlfn.XLOOKUP(A2205,'[1]Tissue Data'!$A:$A,'[1]Tissue Data'!$F:$F)</f>
        <v>Pumpkinseed</v>
      </c>
      <c r="E2205" t="str">
        <f>_xlfn.XLOOKUP(A2205,'[1]Tissue Data'!$A:$A,'[1]Tissue Data'!$H:$H)</f>
        <v>Lepomis</v>
      </c>
      <c r="F2205" t="str">
        <f>_xlfn.XLOOKUP(A2205,'[1]Tissue Data'!$A:$A,'[1]Tissue Data'!$I:$I)</f>
        <v>gibbosus</v>
      </c>
      <c r="G2205" t="str">
        <f>_xlfn.XLOOKUP(A2205,'[1]Tissue Data'!$A:$A,'[1]Tissue Data'!J:J)</f>
        <v>U</v>
      </c>
      <c r="H2205" t="str">
        <f>_xlfn.XLOOKUP(A2205,'[1]Tissue Data'!$A:$A,'[1]Tissue Data'!K:K)</f>
        <v>Whole Body</v>
      </c>
      <c r="I2205">
        <f>_xlfn.XLOOKUP(A2205,'[1]Tissue Data'!$A:$A,'[1]Tissue Data'!L:L)</f>
        <v>8</v>
      </c>
      <c r="J2205">
        <f>_xlfn.XLOOKUP(A2205,'[1]Tissue Data'!$A:$A,'[1]Tissue Data'!M:M)</f>
        <v>12.95</v>
      </c>
      <c r="K2205" t="s">
        <v>15</v>
      </c>
      <c r="L2205" t="str">
        <f>_xlfn.XLOOKUP(K2205,[2]analyte_order!$B:$B,[2]analyte_order!$C:$C)</f>
        <v>375-85-9</v>
      </c>
      <c r="M2205">
        <f>_xlfn.XLOOKUP(L2205,[2]analyte_order!$C:$C,[2]analyte_order!$E:$E)</f>
        <v>4</v>
      </c>
      <c r="N2205">
        <v>9.2499999999999999E-2</v>
      </c>
    </row>
    <row r="2206" spans="1:14">
      <c r="A2206" t="s">
        <v>257</v>
      </c>
      <c r="B2206" t="str">
        <f>_xlfn.XLOOKUP(A2206,'[1]Tissue Data'!$A:$A,'[1]Tissue Data'!$C:$C)</f>
        <v>Spill</v>
      </c>
      <c r="C2206" s="2">
        <f>_xlfn.XLOOKUP(A2206,'[1]Tissue Data'!$A:$A,'[1]Tissue Data'!$D:$D)</f>
        <v>44314</v>
      </c>
      <c r="D2206" s="2" t="str">
        <f>_xlfn.XLOOKUP(A2206,'[1]Tissue Data'!$A:$A,'[1]Tissue Data'!$F:$F)</f>
        <v>Pumpkinseed</v>
      </c>
      <c r="E2206" t="str">
        <f>_xlfn.XLOOKUP(A2206,'[1]Tissue Data'!$A:$A,'[1]Tissue Data'!$H:$H)</f>
        <v>Lepomis</v>
      </c>
      <c r="F2206" t="str">
        <f>_xlfn.XLOOKUP(A2206,'[1]Tissue Data'!$A:$A,'[1]Tissue Data'!$I:$I)</f>
        <v>gibbosus</v>
      </c>
      <c r="G2206" t="str">
        <f>_xlfn.XLOOKUP(A2206,'[1]Tissue Data'!$A:$A,'[1]Tissue Data'!J:J)</f>
        <v>U</v>
      </c>
      <c r="H2206" t="str">
        <f>_xlfn.XLOOKUP(A2206,'[1]Tissue Data'!$A:$A,'[1]Tissue Data'!K:K)</f>
        <v>Whole Body</v>
      </c>
      <c r="I2206">
        <f>_xlfn.XLOOKUP(A2206,'[1]Tissue Data'!$A:$A,'[1]Tissue Data'!L:L)</f>
        <v>8</v>
      </c>
      <c r="J2206">
        <f>_xlfn.XLOOKUP(A2206,'[1]Tissue Data'!$A:$A,'[1]Tissue Data'!M:M)</f>
        <v>12.95</v>
      </c>
      <c r="K2206" t="s">
        <v>16</v>
      </c>
      <c r="L2206" t="str">
        <f>_xlfn.XLOOKUP(K2206,[2]analyte_order!$B:$B,[2]analyte_order!$C:$C)</f>
        <v>335-67-1</v>
      </c>
      <c r="M2206">
        <f>_xlfn.XLOOKUP(L2206,[2]analyte_order!$C:$C,[2]analyte_order!$E:$E)</f>
        <v>5</v>
      </c>
      <c r="N2206">
        <v>0.35499999999999998</v>
      </c>
    </row>
    <row r="2207" spans="1:14">
      <c r="A2207" t="s">
        <v>257</v>
      </c>
      <c r="B2207" t="str">
        <f>_xlfn.XLOOKUP(A2207,'[1]Tissue Data'!$A:$A,'[1]Tissue Data'!$C:$C)</f>
        <v>Spill</v>
      </c>
      <c r="C2207" s="2">
        <f>_xlfn.XLOOKUP(A2207,'[1]Tissue Data'!$A:$A,'[1]Tissue Data'!$D:$D)</f>
        <v>44314</v>
      </c>
      <c r="D2207" s="2" t="str">
        <f>_xlfn.XLOOKUP(A2207,'[1]Tissue Data'!$A:$A,'[1]Tissue Data'!$F:$F)</f>
        <v>Pumpkinseed</v>
      </c>
      <c r="E2207" t="str">
        <f>_xlfn.XLOOKUP(A2207,'[1]Tissue Data'!$A:$A,'[1]Tissue Data'!$H:$H)</f>
        <v>Lepomis</v>
      </c>
      <c r="F2207" t="str">
        <f>_xlfn.XLOOKUP(A2207,'[1]Tissue Data'!$A:$A,'[1]Tissue Data'!$I:$I)</f>
        <v>gibbosus</v>
      </c>
      <c r="G2207" t="str">
        <f>_xlfn.XLOOKUP(A2207,'[1]Tissue Data'!$A:$A,'[1]Tissue Data'!J:J)</f>
        <v>U</v>
      </c>
      <c r="H2207" t="str">
        <f>_xlfn.XLOOKUP(A2207,'[1]Tissue Data'!$A:$A,'[1]Tissue Data'!K:K)</f>
        <v>Whole Body</v>
      </c>
      <c r="I2207">
        <f>_xlfn.XLOOKUP(A2207,'[1]Tissue Data'!$A:$A,'[1]Tissue Data'!L:L)</f>
        <v>8</v>
      </c>
      <c r="J2207">
        <f>_xlfn.XLOOKUP(A2207,'[1]Tissue Data'!$A:$A,'[1]Tissue Data'!M:M)</f>
        <v>12.95</v>
      </c>
      <c r="K2207" t="s">
        <v>17</v>
      </c>
      <c r="L2207" t="str">
        <f>_xlfn.XLOOKUP(K2207,[2]analyte_order!$B:$B,[2]analyte_order!$C:$C)</f>
        <v>375-95-1</v>
      </c>
      <c r="M2207">
        <f>_xlfn.XLOOKUP(L2207,[2]analyte_order!$C:$C,[2]analyte_order!$E:$E)</f>
        <v>6</v>
      </c>
      <c r="N2207">
        <v>0.16</v>
      </c>
    </row>
    <row r="2208" spans="1:14">
      <c r="A2208" t="s">
        <v>257</v>
      </c>
      <c r="B2208" t="str">
        <f>_xlfn.XLOOKUP(A2208,'[1]Tissue Data'!$A:$A,'[1]Tissue Data'!$C:$C)</f>
        <v>Spill</v>
      </c>
      <c r="C2208" s="2">
        <f>_xlfn.XLOOKUP(A2208,'[1]Tissue Data'!$A:$A,'[1]Tissue Data'!$D:$D)</f>
        <v>44314</v>
      </c>
      <c r="D2208" s="2" t="str">
        <f>_xlfn.XLOOKUP(A2208,'[1]Tissue Data'!$A:$A,'[1]Tissue Data'!$F:$F)</f>
        <v>Pumpkinseed</v>
      </c>
      <c r="E2208" t="str">
        <f>_xlfn.XLOOKUP(A2208,'[1]Tissue Data'!$A:$A,'[1]Tissue Data'!$H:$H)</f>
        <v>Lepomis</v>
      </c>
      <c r="F2208" t="str">
        <f>_xlfn.XLOOKUP(A2208,'[1]Tissue Data'!$A:$A,'[1]Tissue Data'!$I:$I)</f>
        <v>gibbosus</v>
      </c>
      <c r="G2208" t="str">
        <f>_xlfn.XLOOKUP(A2208,'[1]Tissue Data'!$A:$A,'[1]Tissue Data'!J:J)</f>
        <v>U</v>
      </c>
      <c r="H2208" t="str">
        <f>_xlfn.XLOOKUP(A2208,'[1]Tissue Data'!$A:$A,'[1]Tissue Data'!K:K)</f>
        <v>Whole Body</v>
      </c>
      <c r="I2208">
        <f>_xlfn.XLOOKUP(A2208,'[1]Tissue Data'!$A:$A,'[1]Tissue Data'!L:L)</f>
        <v>8</v>
      </c>
      <c r="J2208">
        <f>_xlfn.XLOOKUP(A2208,'[1]Tissue Data'!$A:$A,'[1]Tissue Data'!M:M)</f>
        <v>12.95</v>
      </c>
      <c r="K2208" t="s">
        <v>18</v>
      </c>
      <c r="L2208" t="str">
        <f>_xlfn.XLOOKUP(K2208,[2]analyte_order!$B:$B,[2]analyte_order!$C:$C)</f>
        <v>335-76-2</v>
      </c>
      <c r="M2208">
        <f>_xlfn.XLOOKUP(L2208,[2]analyte_order!$C:$C,[2]analyte_order!$E:$E)</f>
        <v>7</v>
      </c>
      <c r="N2208">
        <v>3.87</v>
      </c>
    </row>
    <row r="2209" spans="1:14">
      <c r="A2209" t="s">
        <v>257</v>
      </c>
      <c r="B2209" t="str">
        <f>_xlfn.XLOOKUP(A2209,'[1]Tissue Data'!$A:$A,'[1]Tissue Data'!$C:$C)</f>
        <v>Spill</v>
      </c>
      <c r="C2209" s="2">
        <f>_xlfn.XLOOKUP(A2209,'[1]Tissue Data'!$A:$A,'[1]Tissue Data'!$D:$D)</f>
        <v>44314</v>
      </c>
      <c r="D2209" s="2" t="str">
        <f>_xlfn.XLOOKUP(A2209,'[1]Tissue Data'!$A:$A,'[1]Tissue Data'!$F:$F)</f>
        <v>Pumpkinseed</v>
      </c>
      <c r="E2209" t="str">
        <f>_xlfn.XLOOKUP(A2209,'[1]Tissue Data'!$A:$A,'[1]Tissue Data'!$H:$H)</f>
        <v>Lepomis</v>
      </c>
      <c r="F2209" t="str">
        <f>_xlfn.XLOOKUP(A2209,'[1]Tissue Data'!$A:$A,'[1]Tissue Data'!$I:$I)</f>
        <v>gibbosus</v>
      </c>
      <c r="G2209" t="str">
        <f>_xlfn.XLOOKUP(A2209,'[1]Tissue Data'!$A:$A,'[1]Tissue Data'!J:J)</f>
        <v>U</v>
      </c>
      <c r="H2209" t="str">
        <f>_xlfn.XLOOKUP(A2209,'[1]Tissue Data'!$A:$A,'[1]Tissue Data'!K:K)</f>
        <v>Whole Body</v>
      </c>
      <c r="I2209">
        <f>_xlfn.XLOOKUP(A2209,'[1]Tissue Data'!$A:$A,'[1]Tissue Data'!L:L)</f>
        <v>8</v>
      </c>
      <c r="J2209">
        <f>_xlfn.XLOOKUP(A2209,'[1]Tissue Data'!$A:$A,'[1]Tissue Data'!M:M)</f>
        <v>12.95</v>
      </c>
      <c r="K2209" t="s">
        <v>19</v>
      </c>
      <c r="L2209" t="str">
        <f>_xlfn.XLOOKUP(K2209,[2]analyte_order!$B:$B,[2]analyte_order!$C:$C)</f>
        <v>2058-94-8</v>
      </c>
      <c r="M2209">
        <f>_xlfn.XLOOKUP(L2209,[2]analyte_order!$C:$C,[2]analyte_order!$E:$E)</f>
        <v>8</v>
      </c>
      <c r="N2209">
        <v>4.5</v>
      </c>
    </row>
    <row r="2210" spans="1:14">
      <c r="A2210" t="s">
        <v>257</v>
      </c>
      <c r="B2210" t="str">
        <f>_xlfn.XLOOKUP(A2210,'[1]Tissue Data'!$A:$A,'[1]Tissue Data'!$C:$C)</f>
        <v>Spill</v>
      </c>
      <c r="C2210" s="2">
        <f>_xlfn.XLOOKUP(A2210,'[1]Tissue Data'!$A:$A,'[1]Tissue Data'!$D:$D)</f>
        <v>44314</v>
      </c>
      <c r="D2210" s="2" t="str">
        <f>_xlfn.XLOOKUP(A2210,'[1]Tissue Data'!$A:$A,'[1]Tissue Data'!$F:$F)</f>
        <v>Pumpkinseed</v>
      </c>
      <c r="E2210" t="str">
        <f>_xlfn.XLOOKUP(A2210,'[1]Tissue Data'!$A:$A,'[1]Tissue Data'!$H:$H)</f>
        <v>Lepomis</v>
      </c>
      <c r="F2210" t="str">
        <f>_xlfn.XLOOKUP(A2210,'[1]Tissue Data'!$A:$A,'[1]Tissue Data'!$I:$I)</f>
        <v>gibbosus</v>
      </c>
      <c r="G2210" t="str">
        <f>_xlfn.XLOOKUP(A2210,'[1]Tissue Data'!$A:$A,'[1]Tissue Data'!J:J)</f>
        <v>U</v>
      </c>
      <c r="H2210" t="str">
        <f>_xlfn.XLOOKUP(A2210,'[1]Tissue Data'!$A:$A,'[1]Tissue Data'!K:K)</f>
        <v>Whole Body</v>
      </c>
      <c r="I2210">
        <f>_xlfn.XLOOKUP(A2210,'[1]Tissue Data'!$A:$A,'[1]Tissue Data'!L:L)</f>
        <v>8</v>
      </c>
      <c r="J2210">
        <f>_xlfn.XLOOKUP(A2210,'[1]Tissue Data'!$A:$A,'[1]Tissue Data'!M:M)</f>
        <v>12.95</v>
      </c>
      <c r="K2210" t="s">
        <v>20</v>
      </c>
      <c r="L2210" t="str">
        <f>_xlfn.XLOOKUP(K2210,[2]analyte_order!$B:$B,[2]analyte_order!$C:$C)</f>
        <v>307-55-1</v>
      </c>
      <c r="M2210">
        <f>_xlfn.XLOOKUP(L2210,[2]analyte_order!$C:$C,[2]analyte_order!$E:$E)</f>
        <v>9</v>
      </c>
      <c r="N2210">
        <v>4.8899999999999997</v>
      </c>
    </row>
    <row r="2211" spans="1:14">
      <c r="A2211" t="s">
        <v>257</v>
      </c>
      <c r="B2211" t="str">
        <f>_xlfn.XLOOKUP(A2211,'[1]Tissue Data'!$A:$A,'[1]Tissue Data'!$C:$C)</f>
        <v>Spill</v>
      </c>
      <c r="C2211" s="2">
        <f>_xlfn.XLOOKUP(A2211,'[1]Tissue Data'!$A:$A,'[1]Tissue Data'!$D:$D)</f>
        <v>44314</v>
      </c>
      <c r="D2211" s="2" t="str">
        <f>_xlfn.XLOOKUP(A2211,'[1]Tissue Data'!$A:$A,'[1]Tissue Data'!$F:$F)</f>
        <v>Pumpkinseed</v>
      </c>
      <c r="E2211" t="str">
        <f>_xlfn.XLOOKUP(A2211,'[1]Tissue Data'!$A:$A,'[1]Tissue Data'!$H:$H)</f>
        <v>Lepomis</v>
      </c>
      <c r="F2211" t="str">
        <f>_xlfn.XLOOKUP(A2211,'[1]Tissue Data'!$A:$A,'[1]Tissue Data'!$I:$I)</f>
        <v>gibbosus</v>
      </c>
      <c r="G2211" t="str">
        <f>_xlfn.XLOOKUP(A2211,'[1]Tissue Data'!$A:$A,'[1]Tissue Data'!J:J)</f>
        <v>U</v>
      </c>
      <c r="H2211" t="str">
        <f>_xlfn.XLOOKUP(A2211,'[1]Tissue Data'!$A:$A,'[1]Tissue Data'!K:K)</f>
        <v>Whole Body</v>
      </c>
      <c r="I2211">
        <f>_xlfn.XLOOKUP(A2211,'[1]Tissue Data'!$A:$A,'[1]Tissue Data'!L:L)</f>
        <v>8</v>
      </c>
      <c r="J2211">
        <f>_xlfn.XLOOKUP(A2211,'[1]Tissue Data'!$A:$A,'[1]Tissue Data'!M:M)</f>
        <v>12.95</v>
      </c>
      <c r="K2211" t="s">
        <v>21</v>
      </c>
      <c r="L2211" t="str">
        <f>_xlfn.XLOOKUP(K2211,[2]analyte_order!$B:$B,[2]analyte_order!$C:$C)</f>
        <v>72629-94-8</v>
      </c>
      <c r="M2211">
        <f>_xlfn.XLOOKUP(L2211,[2]analyte_order!$C:$C,[2]analyte_order!$E:$E)</f>
        <v>10</v>
      </c>
      <c r="N2211">
        <v>2.02</v>
      </c>
    </row>
    <row r="2212" spans="1:14">
      <c r="A2212" t="s">
        <v>257</v>
      </c>
      <c r="B2212" t="str">
        <f>_xlfn.XLOOKUP(A2212,'[1]Tissue Data'!$A:$A,'[1]Tissue Data'!$C:$C)</f>
        <v>Spill</v>
      </c>
      <c r="C2212" s="2">
        <f>_xlfn.XLOOKUP(A2212,'[1]Tissue Data'!$A:$A,'[1]Tissue Data'!$D:$D)</f>
        <v>44314</v>
      </c>
      <c r="D2212" s="2" t="str">
        <f>_xlfn.XLOOKUP(A2212,'[1]Tissue Data'!$A:$A,'[1]Tissue Data'!$F:$F)</f>
        <v>Pumpkinseed</v>
      </c>
      <c r="E2212" t="str">
        <f>_xlfn.XLOOKUP(A2212,'[1]Tissue Data'!$A:$A,'[1]Tissue Data'!$H:$H)</f>
        <v>Lepomis</v>
      </c>
      <c r="F2212" t="str">
        <f>_xlfn.XLOOKUP(A2212,'[1]Tissue Data'!$A:$A,'[1]Tissue Data'!$I:$I)</f>
        <v>gibbosus</v>
      </c>
      <c r="G2212" t="str">
        <f>_xlfn.XLOOKUP(A2212,'[1]Tissue Data'!$A:$A,'[1]Tissue Data'!J:J)</f>
        <v>U</v>
      </c>
      <c r="H2212" t="str">
        <f>_xlfn.XLOOKUP(A2212,'[1]Tissue Data'!$A:$A,'[1]Tissue Data'!K:K)</f>
        <v>Whole Body</v>
      </c>
      <c r="I2212">
        <f>_xlfn.XLOOKUP(A2212,'[1]Tissue Data'!$A:$A,'[1]Tissue Data'!L:L)</f>
        <v>8</v>
      </c>
      <c r="J2212">
        <f>_xlfn.XLOOKUP(A2212,'[1]Tissue Data'!$A:$A,'[1]Tissue Data'!M:M)</f>
        <v>12.95</v>
      </c>
      <c r="K2212" t="s">
        <v>22</v>
      </c>
      <c r="L2212" t="str">
        <f>_xlfn.XLOOKUP(K2212,[2]analyte_order!$B:$B,[2]analyte_order!$C:$C)</f>
        <v>376-06-7</v>
      </c>
      <c r="M2212">
        <f>_xlfn.XLOOKUP(L2212,[2]analyte_order!$C:$C,[2]analyte_order!$E:$E)</f>
        <v>11</v>
      </c>
      <c r="N2212">
        <v>3.99</v>
      </c>
    </row>
    <row r="2213" spans="1:14">
      <c r="A2213" t="s">
        <v>257</v>
      </c>
      <c r="B2213" t="str">
        <f>_xlfn.XLOOKUP(A2213,'[1]Tissue Data'!$A:$A,'[1]Tissue Data'!$C:$C)</f>
        <v>Spill</v>
      </c>
      <c r="C2213" s="2">
        <f>_xlfn.XLOOKUP(A2213,'[1]Tissue Data'!$A:$A,'[1]Tissue Data'!$D:$D)</f>
        <v>44314</v>
      </c>
      <c r="D2213" s="2" t="str">
        <f>_xlfn.XLOOKUP(A2213,'[1]Tissue Data'!$A:$A,'[1]Tissue Data'!$F:$F)</f>
        <v>Pumpkinseed</v>
      </c>
      <c r="E2213" t="str">
        <f>_xlfn.XLOOKUP(A2213,'[1]Tissue Data'!$A:$A,'[1]Tissue Data'!$H:$H)</f>
        <v>Lepomis</v>
      </c>
      <c r="F2213" t="str">
        <f>_xlfn.XLOOKUP(A2213,'[1]Tissue Data'!$A:$A,'[1]Tissue Data'!$I:$I)</f>
        <v>gibbosus</v>
      </c>
      <c r="G2213" t="str">
        <f>_xlfn.XLOOKUP(A2213,'[1]Tissue Data'!$A:$A,'[1]Tissue Data'!J:J)</f>
        <v>U</v>
      </c>
      <c r="H2213" t="str">
        <f>_xlfn.XLOOKUP(A2213,'[1]Tissue Data'!$A:$A,'[1]Tissue Data'!K:K)</f>
        <v>Whole Body</v>
      </c>
      <c r="I2213">
        <f>_xlfn.XLOOKUP(A2213,'[1]Tissue Data'!$A:$A,'[1]Tissue Data'!L:L)</f>
        <v>8</v>
      </c>
      <c r="J2213">
        <f>_xlfn.XLOOKUP(A2213,'[1]Tissue Data'!$A:$A,'[1]Tissue Data'!M:M)</f>
        <v>12.95</v>
      </c>
      <c r="K2213" t="s">
        <v>23</v>
      </c>
      <c r="L2213" t="str">
        <f>_xlfn.XLOOKUP(K2213,[2]analyte_order!$B:$B,[2]analyte_order!$C:$C)</f>
        <v>67905-19-5</v>
      </c>
      <c r="M2213">
        <f>_xlfn.XLOOKUP(L2213,[2]analyte_order!$C:$C,[2]analyte_order!$E:$E)</f>
        <v>12</v>
      </c>
      <c r="N2213">
        <v>8.3500000000000005E-2</v>
      </c>
    </row>
    <row r="2214" spans="1:14">
      <c r="A2214" t="s">
        <v>257</v>
      </c>
      <c r="B2214" t="str">
        <f>_xlfn.XLOOKUP(A2214,'[1]Tissue Data'!$A:$A,'[1]Tissue Data'!$C:$C)</f>
        <v>Spill</v>
      </c>
      <c r="C2214" s="2">
        <f>_xlfn.XLOOKUP(A2214,'[1]Tissue Data'!$A:$A,'[1]Tissue Data'!$D:$D)</f>
        <v>44314</v>
      </c>
      <c r="D2214" s="2" t="str">
        <f>_xlfn.XLOOKUP(A2214,'[1]Tissue Data'!$A:$A,'[1]Tissue Data'!$F:$F)</f>
        <v>Pumpkinseed</v>
      </c>
      <c r="E2214" t="str">
        <f>_xlfn.XLOOKUP(A2214,'[1]Tissue Data'!$A:$A,'[1]Tissue Data'!$H:$H)</f>
        <v>Lepomis</v>
      </c>
      <c r="F2214" t="str">
        <f>_xlfn.XLOOKUP(A2214,'[1]Tissue Data'!$A:$A,'[1]Tissue Data'!$I:$I)</f>
        <v>gibbosus</v>
      </c>
      <c r="G2214" t="str">
        <f>_xlfn.XLOOKUP(A2214,'[1]Tissue Data'!$A:$A,'[1]Tissue Data'!J:J)</f>
        <v>U</v>
      </c>
      <c r="H2214" t="str">
        <f>_xlfn.XLOOKUP(A2214,'[1]Tissue Data'!$A:$A,'[1]Tissue Data'!K:K)</f>
        <v>Whole Body</v>
      </c>
      <c r="I2214">
        <f>_xlfn.XLOOKUP(A2214,'[1]Tissue Data'!$A:$A,'[1]Tissue Data'!L:L)</f>
        <v>8</v>
      </c>
      <c r="J2214">
        <f>_xlfn.XLOOKUP(A2214,'[1]Tissue Data'!$A:$A,'[1]Tissue Data'!M:M)</f>
        <v>12.95</v>
      </c>
      <c r="K2214" t="s">
        <v>24</v>
      </c>
      <c r="L2214" t="str">
        <f>_xlfn.XLOOKUP(K2214,[2]analyte_order!$B:$B,[2]analyte_order!$C:$C)</f>
        <v>423-41-6</v>
      </c>
      <c r="M2214">
        <f>_xlfn.XLOOKUP(L2214,[2]analyte_order!$C:$C,[2]analyte_order!$E:$E)</f>
        <v>53</v>
      </c>
      <c r="N2214">
        <v>5.3499999999999999E-2</v>
      </c>
    </row>
    <row r="2215" spans="1:14">
      <c r="A2215" t="s">
        <v>257</v>
      </c>
      <c r="B2215" t="str">
        <f>_xlfn.XLOOKUP(A2215,'[1]Tissue Data'!$A:$A,'[1]Tissue Data'!$C:$C)</f>
        <v>Spill</v>
      </c>
      <c r="C2215" s="2">
        <f>_xlfn.XLOOKUP(A2215,'[1]Tissue Data'!$A:$A,'[1]Tissue Data'!$D:$D)</f>
        <v>44314</v>
      </c>
      <c r="D2215" s="2" t="str">
        <f>_xlfn.XLOOKUP(A2215,'[1]Tissue Data'!$A:$A,'[1]Tissue Data'!$F:$F)</f>
        <v>Pumpkinseed</v>
      </c>
      <c r="E2215" t="str">
        <f>_xlfn.XLOOKUP(A2215,'[1]Tissue Data'!$A:$A,'[1]Tissue Data'!$H:$H)</f>
        <v>Lepomis</v>
      </c>
      <c r="F2215" t="str">
        <f>_xlfn.XLOOKUP(A2215,'[1]Tissue Data'!$A:$A,'[1]Tissue Data'!$I:$I)</f>
        <v>gibbosus</v>
      </c>
      <c r="G2215" t="str">
        <f>_xlfn.XLOOKUP(A2215,'[1]Tissue Data'!$A:$A,'[1]Tissue Data'!J:J)</f>
        <v>U</v>
      </c>
      <c r="H2215" t="str">
        <f>_xlfn.XLOOKUP(A2215,'[1]Tissue Data'!$A:$A,'[1]Tissue Data'!K:K)</f>
        <v>Whole Body</v>
      </c>
      <c r="I2215">
        <f>_xlfn.XLOOKUP(A2215,'[1]Tissue Data'!$A:$A,'[1]Tissue Data'!L:L)</f>
        <v>8</v>
      </c>
      <c r="J2215">
        <f>_xlfn.XLOOKUP(A2215,'[1]Tissue Data'!$A:$A,'[1]Tissue Data'!M:M)</f>
        <v>12.95</v>
      </c>
      <c r="K2215" t="s">
        <v>25</v>
      </c>
      <c r="L2215" t="str">
        <f>_xlfn.XLOOKUP(K2215,[2]analyte_order!$B:$B,[2]analyte_order!$C:$C)</f>
        <v>375-73-5</v>
      </c>
      <c r="M2215">
        <f>_xlfn.XLOOKUP(L2215,[2]analyte_order!$C:$C,[2]analyte_order!$E:$E)</f>
        <v>14</v>
      </c>
      <c r="N2215">
        <v>4.7750000000000001E-2</v>
      </c>
    </row>
    <row r="2216" spans="1:14">
      <c r="A2216" t="s">
        <v>257</v>
      </c>
      <c r="B2216" t="str">
        <f>_xlfn.XLOOKUP(A2216,'[1]Tissue Data'!$A:$A,'[1]Tissue Data'!$C:$C)</f>
        <v>Spill</v>
      </c>
      <c r="C2216" s="2">
        <f>_xlfn.XLOOKUP(A2216,'[1]Tissue Data'!$A:$A,'[1]Tissue Data'!$D:$D)</f>
        <v>44314</v>
      </c>
      <c r="D2216" s="2" t="str">
        <f>_xlfn.XLOOKUP(A2216,'[1]Tissue Data'!$A:$A,'[1]Tissue Data'!$F:$F)</f>
        <v>Pumpkinseed</v>
      </c>
      <c r="E2216" t="str">
        <f>_xlfn.XLOOKUP(A2216,'[1]Tissue Data'!$A:$A,'[1]Tissue Data'!$H:$H)</f>
        <v>Lepomis</v>
      </c>
      <c r="F2216" t="str">
        <f>_xlfn.XLOOKUP(A2216,'[1]Tissue Data'!$A:$A,'[1]Tissue Data'!$I:$I)</f>
        <v>gibbosus</v>
      </c>
      <c r="G2216" t="str">
        <f>_xlfn.XLOOKUP(A2216,'[1]Tissue Data'!$A:$A,'[1]Tissue Data'!J:J)</f>
        <v>U</v>
      </c>
      <c r="H2216" t="str">
        <f>_xlfn.XLOOKUP(A2216,'[1]Tissue Data'!$A:$A,'[1]Tissue Data'!K:K)</f>
        <v>Whole Body</v>
      </c>
      <c r="I2216">
        <f>_xlfn.XLOOKUP(A2216,'[1]Tissue Data'!$A:$A,'[1]Tissue Data'!L:L)</f>
        <v>8</v>
      </c>
      <c r="J2216">
        <f>_xlfn.XLOOKUP(A2216,'[1]Tissue Data'!$A:$A,'[1]Tissue Data'!M:M)</f>
        <v>12.95</v>
      </c>
      <c r="K2216" t="s">
        <v>26</v>
      </c>
      <c r="L2216" t="str">
        <f>_xlfn.XLOOKUP(K2216,[2]analyte_order!$B:$B,[2]analyte_order!$C:$C)</f>
        <v>2706-91-4</v>
      </c>
      <c r="M2216">
        <f>_xlfn.XLOOKUP(L2216,[2]analyte_order!$C:$C,[2]analyte_order!$E:$E)</f>
        <v>15</v>
      </c>
      <c r="N2216">
        <v>0.1225</v>
      </c>
    </row>
    <row r="2217" spans="1:14">
      <c r="A2217" t="s">
        <v>257</v>
      </c>
      <c r="B2217" t="str">
        <f>_xlfn.XLOOKUP(A2217,'[1]Tissue Data'!$A:$A,'[1]Tissue Data'!$C:$C)</f>
        <v>Spill</v>
      </c>
      <c r="C2217" s="2">
        <f>_xlfn.XLOOKUP(A2217,'[1]Tissue Data'!$A:$A,'[1]Tissue Data'!$D:$D)</f>
        <v>44314</v>
      </c>
      <c r="D2217" s="2" t="str">
        <f>_xlfn.XLOOKUP(A2217,'[1]Tissue Data'!$A:$A,'[1]Tissue Data'!$F:$F)</f>
        <v>Pumpkinseed</v>
      </c>
      <c r="E2217" t="str">
        <f>_xlfn.XLOOKUP(A2217,'[1]Tissue Data'!$A:$A,'[1]Tissue Data'!$H:$H)</f>
        <v>Lepomis</v>
      </c>
      <c r="F2217" t="str">
        <f>_xlfn.XLOOKUP(A2217,'[1]Tissue Data'!$A:$A,'[1]Tissue Data'!$I:$I)</f>
        <v>gibbosus</v>
      </c>
      <c r="G2217" t="str">
        <f>_xlfn.XLOOKUP(A2217,'[1]Tissue Data'!$A:$A,'[1]Tissue Data'!J:J)</f>
        <v>U</v>
      </c>
      <c r="H2217" t="str">
        <f>_xlfn.XLOOKUP(A2217,'[1]Tissue Data'!$A:$A,'[1]Tissue Data'!K:K)</f>
        <v>Whole Body</v>
      </c>
      <c r="I2217">
        <f>_xlfn.XLOOKUP(A2217,'[1]Tissue Data'!$A:$A,'[1]Tissue Data'!L:L)</f>
        <v>8</v>
      </c>
      <c r="J2217">
        <f>_xlfn.XLOOKUP(A2217,'[1]Tissue Data'!$A:$A,'[1]Tissue Data'!M:M)</f>
        <v>12.95</v>
      </c>
      <c r="K2217" t="s">
        <v>27</v>
      </c>
      <c r="L2217" t="str">
        <f>_xlfn.XLOOKUP(K2217,[2]analyte_order!$B:$B,[2]analyte_order!$C:$C)</f>
        <v>355-46-4</v>
      </c>
      <c r="M2217">
        <f>_xlfn.XLOOKUP(L2217,[2]analyte_order!$C:$C,[2]analyte_order!$E:$E)</f>
        <v>16</v>
      </c>
      <c r="N2217">
        <v>12.2</v>
      </c>
    </row>
    <row r="2218" spans="1:14">
      <c r="A2218" t="s">
        <v>257</v>
      </c>
      <c r="B2218" t="str">
        <f>_xlfn.XLOOKUP(A2218,'[1]Tissue Data'!$A:$A,'[1]Tissue Data'!$C:$C)</f>
        <v>Spill</v>
      </c>
      <c r="C2218" s="2">
        <f>_xlfn.XLOOKUP(A2218,'[1]Tissue Data'!$A:$A,'[1]Tissue Data'!$D:$D)</f>
        <v>44314</v>
      </c>
      <c r="D2218" s="2" t="str">
        <f>_xlfn.XLOOKUP(A2218,'[1]Tissue Data'!$A:$A,'[1]Tissue Data'!$F:$F)</f>
        <v>Pumpkinseed</v>
      </c>
      <c r="E2218" t="str">
        <f>_xlfn.XLOOKUP(A2218,'[1]Tissue Data'!$A:$A,'[1]Tissue Data'!$H:$H)</f>
        <v>Lepomis</v>
      </c>
      <c r="F2218" t="str">
        <f>_xlfn.XLOOKUP(A2218,'[1]Tissue Data'!$A:$A,'[1]Tissue Data'!$I:$I)</f>
        <v>gibbosus</v>
      </c>
      <c r="G2218" t="str">
        <f>_xlfn.XLOOKUP(A2218,'[1]Tissue Data'!$A:$A,'[1]Tissue Data'!J:J)</f>
        <v>U</v>
      </c>
      <c r="H2218" t="str">
        <f>_xlfn.XLOOKUP(A2218,'[1]Tissue Data'!$A:$A,'[1]Tissue Data'!K:K)</f>
        <v>Whole Body</v>
      </c>
      <c r="I2218">
        <f>_xlfn.XLOOKUP(A2218,'[1]Tissue Data'!$A:$A,'[1]Tissue Data'!L:L)</f>
        <v>8</v>
      </c>
      <c r="J2218">
        <f>_xlfn.XLOOKUP(A2218,'[1]Tissue Data'!$A:$A,'[1]Tissue Data'!M:M)</f>
        <v>12.95</v>
      </c>
      <c r="K2218" t="s">
        <v>28</v>
      </c>
      <c r="L2218" t="str">
        <f>_xlfn.XLOOKUP(K2218,[2]analyte_order!$B:$B,[2]analyte_order!$C:$C)</f>
        <v>375-92-8</v>
      </c>
      <c r="M2218">
        <f>_xlfn.XLOOKUP(L2218,[2]analyte_order!$C:$C,[2]analyte_order!$E:$E)</f>
        <v>17</v>
      </c>
      <c r="N2218">
        <v>0.73799999999999999</v>
      </c>
    </row>
    <row r="2219" spans="1:14">
      <c r="A2219" t="s">
        <v>257</v>
      </c>
      <c r="B2219" t="str">
        <f>_xlfn.XLOOKUP(A2219,'[1]Tissue Data'!$A:$A,'[1]Tissue Data'!$C:$C)</f>
        <v>Spill</v>
      </c>
      <c r="C2219" s="2">
        <f>_xlfn.XLOOKUP(A2219,'[1]Tissue Data'!$A:$A,'[1]Tissue Data'!$D:$D)</f>
        <v>44314</v>
      </c>
      <c r="D2219" s="2" t="str">
        <f>_xlfn.XLOOKUP(A2219,'[1]Tissue Data'!$A:$A,'[1]Tissue Data'!$F:$F)</f>
        <v>Pumpkinseed</v>
      </c>
      <c r="E2219" t="str">
        <f>_xlfn.XLOOKUP(A2219,'[1]Tissue Data'!$A:$A,'[1]Tissue Data'!$H:$H)</f>
        <v>Lepomis</v>
      </c>
      <c r="F2219" t="str">
        <f>_xlfn.XLOOKUP(A2219,'[1]Tissue Data'!$A:$A,'[1]Tissue Data'!$I:$I)</f>
        <v>gibbosus</v>
      </c>
      <c r="G2219" t="str">
        <f>_xlfn.XLOOKUP(A2219,'[1]Tissue Data'!$A:$A,'[1]Tissue Data'!J:J)</f>
        <v>U</v>
      </c>
      <c r="H2219" t="str">
        <f>_xlfn.XLOOKUP(A2219,'[1]Tissue Data'!$A:$A,'[1]Tissue Data'!K:K)</f>
        <v>Whole Body</v>
      </c>
      <c r="I2219">
        <f>_xlfn.XLOOKUP(A2219,'[1]Tissue Data'!$A:$A,'[1]Tissue Data'!L:L)</f>
        <v>8</v>
      </c>
      <c r="J2219">
        <f>_xlfn.XLOOKUP(A2219,'[1]Tissue Data'!$A:$A,'[1]Tissue Data'!M:M)</f>
        <v>12.95</v>
      </c>
      <c r="K2219" t="s">
        <v>29</v>
      </c>
      <c r="L2219" t="str">
        <f>_xlfn.XLOOKUP(K2219,[2]analyte_order!$B:$B,[2]analyte_order!$C:$C)</f>
        <v>1763-23-1</v>
      </c>
      <c r="M2219">
        <f>_xlfn.XLOOKUP(L2219,[2]analyte_order!$C:$C,[2]analyte_order!$E:$E)</f>
        <v>18</v>
      </c>
      <c r="N2219">
        <v>481</v>
      </c>
    </row>
    <row r="2220" spans="1:14">
      <c r="A2220" t="s">
        <v>257</v>
      </c>
      <c r="B2220" t="str">
        <f>_xlfn.XLOOKUP(A2220,'[1]Tissue Data'!$A:$A,'[1]Tissue Data'!$C:$C)</f>
        <v>Spill</v>
      </c>
      <c r="C2220" s="2">
        <f>_xlfn.XLOOKUP(A2220,'[1]Tissue Data'!$A:$A,'[1]Tissue Data'!$D:$D)</f>
        <v>44314</v>
      </c>
      <c r="D2220" s="2" t="str">
        <f>_xlfn.XLOOKUP(A2220,'[1]Tissue Data'!$A:$A,'[1]Tissue Data'!$F:$F)</f>
        <v>Pumpkinseed</v>
      </c>
      <c r="E2220" t="str">
        <f>_xlfn.XLOOKUP(A2220,'[1]Tissue Data'!$A:$A,'[1]Tissue Data'!$H:$H)</f>
        <v>Lepomis</v>
      </c>
      <c r="F2220" t="str">
        <f>_xlfn.XLOOKUP(A2220,'[1]Tissue Data'!$A:$A,'[1]Tissue Data'!$I:$I)</f>
        <v>gibbosus</v>
      </c>
      <c r="G2220" t="str">
        <f>_xlfn.XLOOKUP(A2220,'[1]Tissue Data'!$A:$A,'[1]Tissue Data'!J:J)</f>
        <v>U</v>
      </c>
      <c r="H2220" t="str">
        <f>_xlfn.XLOOKUP(A2220,'[1]Tissue Data'!$A:$A,'[1]Tissue Data'!K:K)</f>
        <v>Whole Body</v>
      </c>
      <c r="I2220">
        <f>_xlfn.XLOOKUP(A2220,'[1]Tissue Data'!$A:$A,'[1]Tissue Data'!L:L)</f>
        <v>8</v>
      </c>
      <c r="J2220">
        <f>_xlfn.XLOOKUP(A2220,'[1]Tissue Data'!$A:$A,'[1]Tissue Data'!M:M)</f>
        <v>12.95</v>
      </c>
      <c r="K2220" t="s">
        <v>30</v>
      </c>
      <c r="L2220" t="str">
        <f>_xlfn.XLOOKUP(K2220,[2]analyte_order!$B:$B,[2]analyte_order!$C:$C)</f>
        <v>68259-12-1</v>
      </c>
      <c r="M2220">
        <f>_xlfn.XLOOKUP(L2220,[2]analyte_order!$C:$C,[2]analyte_order!$E:$E)</f>
        <v>19</v>
      </c>
      <c r="N2220">
        <v>0.29199999999999998</v>
      </c>
    </row>
    <row r="2221" spans="1:14">
      <c r="A2221" t="s">
        <v>257</v>
      </c>
      <c r="B2221" t="str">
        <f>_xlfn.XLOOKUP(A2221,'[1]Tissue Data'!$A:$A,'[1]Tissue Data'!$C:$C)</f>
        <v>Spill</v>
      </c>
      <c r="C2221" s="2">
        <f>_xlfn.XLOOKUP(A2221,'[1]Tissue Data'!$A:$A,'[1]Tissue Data'!$D:$D)</f>
        <v>44314</v>
      </c>
      <c r="D2221" s="2" t="str">
        <f>_xlfn.XLOOKUP(A2221,'[1]Tissue Data'!$A:$A,'[1]Tissue Data'!$F:$F)</f>
        <v>Pumpkinseed</v>
      </c>
      <c r="E2221" t="str">
        <f>_xlfn.XLOOKUP(A2221,'[1]Tissue Data'!$A:$A,'[1]Tissue Data'!$H:$H)</f>
        <v>Lepomis</v>
      </c>
      <c r="F2221" t="str">
        <f>_xlfn.XLOOKUP(A2221,'[1]Tissue Data'!$A:$A,'[1]Tissue Data'!$I:$I)</f>
        <v>gibbosus</v>
      </c>
      <c r="G2221" t="str">
        <f>_xlfn.XLOOKUP(A2221,'[1]Tissue Data'!$A:$A,'[1]Tissue Data'!J:J)</f>
        <v>U</v>
      </c>
      <c r="H2221" t="str">
        <f>_xlfn.XLOOKUP(A2221,'[1]Tissue Data'!$A:$A,'[1]Tissue Data'!K:K)</f>
        <v>Whole Body</v>
      </c>
      <c r="I2221">
        <f>_xlfn.XLOOKUP(A2221,'[1]Tissue Data'!$A:$A,'[1]Tissue Data'!L:L)</f>
        <v>8</v>
      </c>
      <c r="J2221">
        <f>_xlfn.XLOOKUP(A2221,'[1]Tissue Data'!$A:$A,'[1]Tissue Data'!M:M)</f>
        <v>12.95</v>
      </c>
      <c r="K2221" t="s">
        <v>31</v>
      </c>
      <c r="L2221" t="str">
        <f>_xlfn.XLOOKUP(K2221,[2]analyte_order!$B:$B,[2]analyte_order!$C:$C)</f>
        <v>335-77-3</v>
      </c>
      <c r="M2221">
        <f>_xlfn.XLOOKUP(L2221,[2]analyte_order!$C:$C,[2]analyte_order!$E:$E)</f>
        <v>20</v>
      </c>
      <c r="N2221">
        <v>5.38</v>
      </c>
    </row>
    <row r="2222" spans="1:14">
      <c r="A2222" t="s">
        <v>257</v>
      </c>
      <c r="B2222" t="str">
        <f>_xlfn.XLOOKUP(A2222,'[1]Tissue Data'!$A:$A,'[1]Tissue Data'!$C:$C)</f>
        <v>Spill</v>
      </c>
      <c r="C2222" s="2">
        <f>_xlfn.XLOOKUP(A2222,'[1]Tissue Data'!$A:$A,'[1]Tissue Data'!$D:$D)</f>
        <v>44314</v>
      </c>
      <c r="D2222" s="2" t="str">
        <f>_xlfn.XLOOKUP(A2222,'[1]Tissue Data'!$A:$A,'[1]Tissue Data'!$F:$F)</f>
        <v>Pumpkinseed</v>
      </c>
      <c r="E2222" t="str">
        <f>_xlfn.XLOOKUP(A2222,'[1]Tissue Data'!$A:$A,'[1]Tissue Data'!$H:$H)</f>
        <v>Lepomis</v>
      </c>
      <c r="F2222" t="str">
        <f>_xlfn.XLOOKUP(A2222,'[1]Tissue Data'!$A:$A,'[1]Tissue Data'!$I:$I)</f>
        <v>gibbosus</v>
      </c>
      <c r="G2222" t="str">
        <f>_xlfn.XLOOKUP(A2222,'[1]Tissue Data'!$A:$A,'[1]Tissue Data'!J:J)</f>
        <v>U</v>
      </c>
      <c r="H2222" t="str">
        <f>_xlfn.XLOOKUP(A2222,'[1]Tissue Data'!$A:$A,'[1]Tissue Data'!K:K)</f>
        <v>Whole Body</v>
      </c>
      <c r="I2222">
        <f>_xlfn.XLOOKUP(A2222,'[1]Tissue Data'!$A:$A,'[1]Tissue Data'!L:L)</f>
        <v>8</v>
      </c>
      <c r="J2222">
        <f>_xlfn.XLOOKUP(A2222,'[1]Tissue Data'!$A:$A,'[1]Tissue Data'!M:M)</f>
        <v>12.95</v>
      </c>
      <c r="K2222" t="s">
        <v>32</v>
      </c>
      <c r="L2222" t="str">
        <f>_xlfn.XLOOKUP(K2222,[2]analyte_order!$B:$B,[2]analyte_order!$C:$C)</f>
        <v>79780-39-5</v>
      </c>
      <c r="M2222">
        <f>_xlfn.XLOOKUP(L2222,[2]analyte_order!$C:$C,[2]analyte_order!$E:$E)</f>
        <v>21</v>
      </c>
      <c r="N2222">
        <v>0.2475</v>
      </c>
    </row>
    <row r="2223" spans="1:14">
      <c r="A2223" t="s">
        <v>257</v>
      </c>
      <c r="B2223" t="str">
        <f>_xlfn.XLOOKUP(A2223,'[1]Tissue Data'!$A:$A,'[1]Tissue Data'!$C:$C)</f>
        <v>Spill</v>
      </c>
      <c r="C2223" s="2">
        <f>_xlfn.XLOOKUP(A2223,'[1]Tissue Data'!$A:$A,'[1]Tissue Data'!$D:$D)</f>
        <v>44314</v>
      </c>
      <c r="D2223" s="2" t="str">
        <f>_xlfn.XLOOKUP(A2223,'[1]Tissue Data'!$A:$A,'[1]Tissue Data'!$F:$F)</f>
        <v>Pumpkinseed</v>
      </c>
      <c r="E2223" t="str">
        <f>_xlfn.XLOOKUP(A2223,'[1]Tissue Data'!$A:$A,'[1]Tissue Data'!$H:$H)</f>
        <v>Lepomis</v>
      </c>
      <c r="F2223" t="str">
        <f>_xlfn.XLOOKUP(A2223,'[1]Tissue Data'!$A:$A,'[1]Tissue Data'!$I:$I)</f>
        <v>gibbosus</v>
      </c>
      <c r="G2223" t="str">
        <f>_xlfn.XLOOKUP(A2223,'[1]Tissue Data'!$A:$A,'[1]Tissue Data'!J:J)</f>
        <v>U</v>
      </c>
      <c r="H2223" t="str">
        <f>_xlfn.XLOOKUP(A2223,'[1]Tissue Data'!$A:$A,'[1]Tissue Data'!K:K)</f>
        <v>Whole Body</v>
      </c>
      <c r="I2223">
        <f>_xlfn.XLOOKUP(A2223,'[1]Tissue Data'!$A:$A,'[1]Tissue Data'!L:L)</f>
        <v>8</v>
      </c>
      <c r="J2223">
        <f>_xlfn.XLOOKUP(A2223,'[1]Tissue Data'!$A:$A,'[1]Tissue Data'!M:M)</f>
        <v>12.95</v>
      </c>
      <c r="K2223" t="s">
        <v>33</v>
      </c>
      <c r="L2223" t="str">
        <f>_xlfn.XLOOKUP(K2223,[2]analyte_order!$B:$B,[2]analyte_order!$C:$C)</f>
        <v>777011-38-8</v>
      </c>
      <c r="M2223">
        <f>_xlfn.XLOOKUP(L2223,[2]analyte_order!$C:$C,[2]analyte_order!$E:$E)</f>
        <v>54</v>
      </c>
      <c r="N2223">
        <v>0.14050000000000001</v>
      </c>
    </row>
    <row r="2224" spans="1:14">
      <c r="A2224" t="s">
        <v>257</v>
      </c>
      <c r="B2224" t="str">
        <f>_xlfn.XLOOKUP(A2224,'[1]Tissue Data'!$A:$A,'[1]Tissue Data'!$C:$C)</f>
        <v>Spill</v>
      </c>
      <c r="C2224" s="2">
        <f>_xlfn.XLOOKUP(A2224,'[1]Tissue Data'!$A:$A,'[1]Tissue Data'!$D:$D)</f>
        <v>44314</v>
      </c>
      <c r="D2224" s="2" t="str">
        <f>_xlfn.XLOOKUP(A2224,'[1]Tissue Data'!$A:$A,'[1]Tissue Data'!$F:$F)</f>
        <v>Pumpkinseed</v>
      </c>
      <c r="E2224" t="str">
        <f>_xlfn.XLOOKUP(A2224,'[1]Tissue Data'!$A:$A,'[1]Tissue Data'!$H:$H)</f>
        <v>Lepomis</v>
      </c>
      <c r="F2224" t="str">
        <f>_xlfn.XLOOKUP(A2224,'[1]Tissue Data'!$A:$A,'[1]Tissue Data'!$I:$I)</f>
        <v>gibbosus</v>
      </c>
      <c r="G2224" t="str">
        <f>_xlfn.XLOOKUP(A2224,'[1]Tissue Data'!$A:$A,'[1]Tissue Data'!J:J)</f>
        <v>U</v>
      </c>
      <c r="H2224" t="str">
        <f>_xlfn.XLOOKUP(A2224,'[1]Tissue Data'!$A:$A,'[1]Tissue Data'!K:K)</f>
        <v>Whole Body</v>
      </c>
      <c r="I2224">
        <f>_xlfn.XLOOKUP(A2224,'[1]Tissue Data'!$A:$A,'[1]Tissue Data'!L:L)</f>
        <v>8</v>
      </c>
      <c r="J2224">
        <f>_xlfn.XLOOKUP(A2224,'[1]Tissue Data'!$A:$A,'[1]Tissue Data'!M:M)</f>
        <v>12.95</v>
      </c>
      <c r="K2224" t="s">
        <v>34</v>
      </c>
      <c r="L2224" t="str">
        <f>_xlfn.XLOOKUP(K2224,[2]analyte_order!$B:$B,[2]analyte_order!$C:$C)</f>
        <v>646-83-3</v>
      </c>
      <c r="M2224">
        <f>_xlfn.XLOOKUP(L2224,[2]analyte_order!$C:$C,[2]analyte_order!$E:$E)</f>
        <v>55</v>
      </c>
      <c r="N2224">
        <v>9.2499999999999999E-2</v>
      </c>
    </row>
    <row r="2225" spans="1:14">
      <c r="A2225" t="s">
        <v>257</v>
      </c>
      <c r="B2225" t="str">
        <f>_xlfn.XLOOKUP(A2225,'[1]Tissue Data'!$A:$A,'[1]Tissue Data'!$C:$C)</f>
        <v>Spill</v>
      </c>
      <c r="C2225" s="2">
        <f>_xlfn.XLOOKUP(A2225,'[1]Tissue Data'!$A:$A,'[1]Tissue Data'!$D:$D)</f>
        <v>44314</v>
      </c>
      <c r="D2225" s="2" t="str">
        <f>_xlfn.XLOOKUP(A2225,'[1]Tissue Data'!$A:$A,'[1]Tissue Data'!$F:$F)</f>
        <v>Pumpkinseed</v>
      </c>
      <c r="E2225" t="str">
        <f>_xlfn.XLOOKUP(A2225,'[1]Tissue Data'!$A:$A,'[1]Tissue Data'!$H:$H)</f>
        <v>Lepomis</v>
      </c>
      <c r="F2225" t="str">
        <f>_xlfn.XLOOKUP(A2225,'[1]Tissue Data'!$A:$A,'[1]Tissue Data'!$I:$I)</f>
        <v>gibbosus</v>
      </c>
      <c r="G2225" t="str">
        <f>_xlfn.XLOOKUP(A2225,'[1]Tissue Data'!$A:$A,'[1]Tissue Data'!J:J)</f>
        <v>U</v>
      </c>
      <c r="H2225" t="str">
        <f>_xlfn.XLOOKUP(A2225,'[1]Tissue Data'!$A:$A,'[1]Tissue Data'!K:K)</f>
        <v>Whole Body</v>
      </c>
      <c r="I2225">
        <f>_xlfn.XLOOKUP(A2225,'[1]Tissue Data'!$A:$A,'[1]Tissue Data'!L:L)</f>
        <v>8</v>
      </c>
      <c r="J2225">
        <f>_xlfn.XLOOKUP(A2225,'[1]Tissue Data'!$A:$A,'[1]Tissue Data'!M:M)</f>
        <v>12.95</v>
      </c>
      <c r="K2225" t="s">
        <v>35</v>
      </c>
      <c r="L2225" t="str">
        <f>_xlfn.XLOOKUP(K2225,[2]analyte_order!$B:$B,[2]analyte_order!$C:$C)</f>
        <v>30334-69-1</v>
      </c>
      <c r="M2225">
        <f>_xlfn.XLOOKUP(L2225,[2]analyte_order!$C:$C,[2]analyte_order!$E:$E)</f>
        <v>51</v>
      </c>
      <c r="N2225">
        <v>34</v>
      </c>
    </row>
    <row r="2226" spans="1:14">
      <c r="A2226" t="s">
        <v>257</v>
      </c>
      <c r="B2226" t="str">
        <f>_xlfn.XLOOKUP(A2226,'[1]Tissue Data'!$A:$A,'[1]Tissue Data'!$C:$C)</f>
        <v>Spill</v>
      </c>
      <c r="C2226" s="2">
        <f>_xlfn.XLOOKUP(A2226,'[1]Tissue Data'!$A:$A,'[1]Tissue Data'!$D:$D)</f>
        <v>44314</v>
      </c>
      <c r="D2226" s="2" t="str">
        <f>_xlfn.XLOOKUP(A2226,'[1]Tissue Data'!$A:$A,'[1]Tissue Data'!$F:$F)</f>
        <v>Pumpkinseed</v>
      </c>
      <c r="E2226" t="str">
        <f>_xlfn.XLOOKUP(A2226,'[1]Tissue Data'!$A:$A,'[1]Tissue Data'!$H:$H)</f>
        <v>Lepomis</v>
      </c>
      <c r="F2226" t="str">
        <f>_xlfn.XLOOKUP(A2226,'[1]Tissue Data'!$A:$A,'[1]Tissue Data'!$I:$I)</f>
        <v>gibbosus</v>
      </c>
      <c r="G2226" t="str">
        <f>_xlfn.XLOOKUP(A2226,'[1]Tissue Data'!$A:$A,'[1]Tissue Data'!J:J)</f>
        <v>U</v>
      </c>
      <c r="H2226" t="str">
        <f>_xlfn.XLOOKUP(A2226,'[1]Tissue Data'!$A:$A,'[1]Tissue Data'!K:K)</f>
        <v>Whole Body</v>
      </c>
      <c r="I2226">
        <f>_xlfn.XLOOKUP(A2226,'[1]Tissue Data'!$A:$A,'[1]Tissue Data'!L:L)</f>
        <v>8</v>
      </c>
      <c r="J2226">
        <f>_xlfn.XLOOKUP(A2226,'[1]Tissue Data'!$A:$A,'[1]Tissue Data'!M:M)</f>
        <v>12.95</v>
      </c>
      <c r="K2226" t="s">
        <v>36</v>
      </c>
      <c r="L2226" t="str">
        <f>_xlfn.XLOOKUP(K2226,[2]analyte_order!$B:$B,[2]analyte_order!$C:$C)</f>
        <v>41997-13-1</v>
      </c>
      <c r="M2226">
        <f>_xlfn.XLOOKUP(L2226,[2]analyte_order!$C:$C,[2]analyte_order!$E:$E)</f>
        <v>52</v>
      </c>
      <c r="N2226">
        <v>34.700000000000003</v>
      </c>
    </row>
    <row r="2227" spans="1:14">
      <c r="A2227" t="s">
        <v>257</v>
      </c>
      <c r="B2227" t="str">
        <f>_xlfn.XLOOKUP(A2227,'[1]Tissue Data'!$A:$A,'[1]Tissue Data'!$C:$C)</f>
        <v>Spill</v>
      </c>
      <c r="C2227" s="2">
        <f>_xlfn.XLOOKUP(A2227,'[1]Tissue Data'!$A:$A,'[1]Tissue Data'!$D:$D)</f>
        <v>44314</v>
      </c>
      <c r="D2227" s="2" t="str">
        <f>_xlfn.XLOOKUP(A2227,'[1]Tissue Data'!$A:$A,'[1]Tissue Data'!$F:$F)</f>
        <v>Pumpkinseed</v>
      </c>
      <c r="E2227" t="str">
        <f>_xlfn.XLOOKUP(A2227,'[1]Tissue Data'!$A:$A,'[1]Tissue Data'!$H:$H)</f>
        <v>Lepomis</v>
      </c>
      <c r="F2227" t="str">
        <f>_xlfn.XLOOKUP(A2227,'[1]Tissue Data'!$A:$A,'[1]Tissue Data'!$I:$I)</f>
        <v>gibbosus</v>
      </c>
      <c r="G2227" t="str">
        <f>_xlfn.XLOOKUP(A2227,'[1]Tissue Data'!$A:$A,'[1]Tissue Data'!J:J)</f>
        <v>U</v>
      </c>
      <c r="H2227" t="str">
        <f>_xlfn.XLOOKUP(A2227,'[1]Tissue Data'!$A:$A,'[1]Tissue Data'!K:K)</f>
        <v>Whole Body</v>
      </c>
      <c r="I2227">
        <f>_xlfn.XLOOKUP(A2227,'[1]Tissue Data'!$A:$A,'[1]Tissue Data'!L:L)</f>
        <v>8</v>
      </c>
      <c r="J2227">
        <f>_xlfn.XLOOKUP(A2227,'[1]Tissue Data'!$A:$A,'[1]Tissue Data'!M:M)</f>
        <v>12.95</v>
      </c>
      <c r="K2227" t="s">
        <v>37</v>
      </c>
      <c r="L2227" t="str">
        <f>_xlfn.XLOOKUP(K2227,[2]analyte_order!$B:$B,[2]analyte_order!$C:$C)</f>
        <v>754-91-6</v>
      </c>
      <c r="M2227">
        <f>_xlfn.XLOOKUP(L2227,[2]analyte_order!$C:$C,[2]analyte_order!$E:$E)</f>
        <v>28</v>
      </c>
      <c r="N2227">
        <v>19.600000000000001</v>
      </c>
    </row>
    <row r="2228" spans="1:14">
      <c r="A2228" t="s">
        <v>257</v>
      </c>
      <c r="B2228" t="str">
        <f>_xlfn.XLOOKUP(A2228,'[1]Tissue Data'!$A:$A,'[1]Tissue Data'!$C:$C)</f>
        <v>Spill</v>
      </c>
      <c r="C2228" s="2">
        <f>_xlfn.XLOOKUP(A2228,'[1]Tissue Data'!$A:$A,'[1]Tissue Data'!$D:$D)</f>
        <v>44314</v>
      </c>
      <c r="D2228" s="2" t="str">
        <f>_xlfn.XLOOKUP(A2228,'[1]Tissue Data'!$A:$A,'[1]Tissue Data'!$F:$F)</f>
        <v>Pumpkinseed</v>
      </c>
      <c r="E2228" t="str">
        <f>_xlfn.XLOOKUP(A2228,'[1]Tissue Data'!$A:$A,'[1]Tissue Data'!$H:$H)</f>
        <v>Lepomis</v>
      </c>
      <c r="F2228" t="str">
        <f>_xlfn.XLOOKUP(A2228,'[1]Tissue Data'!$A:$A,'[1]Tissue Data'!$I:$I)</f>
        <v>gibbosus</v>
      </c>
      <c r="G2228" t="str">
        <f>_xlfn.XLOOKUP(A2228,'[1]Tissue Data'!$A:$A,'[1]Tissue Data'!J:J)</f>
        <v>U</v>
      </c>
      <c r="H2228" t="str">
        <f>_xlfn.XLOOKUP(A2228,'[1]Tissue Data'!$A:$A,'[1]Tissue Data'!K:K)</f>
        <v>Whole Body</v>
      </c>
      <c r="I2228">
        <f>_xlfn.XLOOKUP(A2228,'[1]Tissue Data'!$A:$A,'[1]Tissue Data'!L:L)</f>
        <v>8</v>
      </c>
      <c r="J2228">
        <f>_xlfn.XLOOKUP(A2228,'[1]Tissue Data'!$A:$A,'[1]Tissue Data'!M:M)</f>
        <v>12.95</v>
      </c>
      <c r="K2228" t="s">
        <v>38</v>
      </c>
      <c r="L2228" t="str">
        <f>_xlfn.XLOOKUP(K2228,[2]analyte_order!$B:$B,[2]analyte_order!$C:$C)</f>
        <v>31506-32-8</v>
      </c>
      <c r="M2228">
        <f>_xlfn.XLOOKUP(L2228,[2]analyte_order!$C:$C,[2]analyte_order!$E:$E)</f>
        <v>30</v>
      </c>
      <c r="N2228">
        <v>5.3999999999999999E-2</v>
      </c>
    </row>
    <row r="2229" spans="1:14">
      <c r="A2229" t="s">
        <v>257</v>
      </c>
      <c r="B2229" t="str">
        <f>_xlfn.XLOOKUP(A2229,'[1]Tissue Data'!$A:$A,'[1]Tissue Data'!$C:$C)</f>
        <v>Spill</v>
      </c>
      <c r="C2229" s="2">
        <f>_xlfn.XLOOKUP(A2229,'[1]Tissue Data'!$A:$A,'[1]Tissue Data'!$D:$D)</f>
        <v>44314</v>
      </c>
      <c r="D2229" s="2" t="str">
        <f>_xlfn.XLOOKUP(A2229,'[1]Tissue Data'!$A:$A,'[1]Tissue Data'!$F:$F)</f>
        <v>Pumpkinseed</v>
      </c>
      <c r="E2229" t="str">
        <f>_xlfn.XLOOKUP(A2229,'[1]Tissue Data'!$A:$A,'[1]Tissue Data'!$H:$H)</f>
        <v>Lepomis</v>
      </c>
      <c r="F2229" t="str">
        <f>_xlfn.XLOOKUP(A2229,'[1]Tissue Data'!$A:$A,'[1]Tissue Data'!$I:$I)</f>
        <v>gibbosus</v>
      </c>
      <c r="G2229" t="str">
        <f>_xlfn.XLOOKUP(A2229,'[1]Tissue Data'!$A:$A,'[1]Tissue Data'!J:J)</f>
        <v>U</v>
      </c>
      <c r="H2229" t="str">
        <f>_xlfn.XLOOKUP(A2229,'[1]Tissue Data'!$A:$A,'[1]Tissue Data'!K:K)</f>
        <v>Whole Body</v>
      </c>
      <c r="I2229">
        <f>_xlfn.XLOOKUP(A2229,'[1]Tissue Data'!$A:$A,'[1]Tissue Data'!L:L)</f>
        <v>8</v>
      </c>
      <c r="J2229">
        <f>_xlfn.XLOOKUP(A2229,'[1]Tissue Data'!$A:$A,'[1]Tissue Data'!M:M)</f>
        <v>12.95</v>
      </c>
      <c r="K2229" t="s">
        <v>39</v>
      </c>
      <c r="L2229" t="str">
        <f>_xlfn.XLOOKUP(K2229,[2]analyte_order!$B:$B,[2]analyte_order!$C:$C)</f>
        <v>4151-50-2</v>
      </c>
      <c r="M2229">
        <f>_xlfn.XLOOKUP(L2229,[2]analyte_order!$C:$C,[2]analyte_order!$E:$E)</f>
        <v>31</v>
      </c>
      <c r="N2229">
        <v>8.2000000000000003E-2</v>
      </c>
    </row>
    <row r="2230" spans="1:14">
      <c r="A2230" t="s">
        <v>257</v>
      </c>
      <c r="B2230" t="str">
        <f>_xlfn.XLOOKUP(A2230,'[1]Tissue Data'!$A:$A,'[1]Tissue Data'!$C:$C)</f>
        <v>Spill</v>
      </c>
      <c r="C2230" s="2">
        <f>_xlfn.XLOOKUP(A2230,'[1]Tissue Data'!$A:$A,'[1]Tissue Data'!$D:$D)</f>
        <v>44314</v>
      </c>
      <c r="D2230" s="2" t="str">
        <f>_xlfn.XLOOKUP(A2230,'[1]Tissue Data'!$A:$A,'[1]Tissue Data'!$F:$F)</f>
        <v>Pumpkinseed</v>
      </c>
      <c r="E2230" t="str">
        <f>_xlfn.XLOOKUP(A2230,'[1]Tissue Data'!$A:$A,'[1]Tissue Data'!$H:$H)</f>
        <v>Lepomis</v>
      </c>
      <c r="F2230" t="str">
        <f>_xlfn.XLOOKUP(A2230,'[1]Tissue Data'!$A:$A,'[1]Tissue Data'!$I:$I)</f>
        <v>gibbosus</v>
      </c>
      <c r="G2230" t="str">
        <f>_xlfn.XLOOKUP(A2230,'[1]Tissue Data'!$A:$A,'[1]Tissue Data'!J:J)</f>
        <v>U</v>
      </c>
      <c r="H2230" t="str">
        <f>_xlfn.XLOOKUP(A2230,'[1]Tissue Data'!$A:$A,'[1]Tissue Data'!K:K)</f>
        <v>Whole Body</v>
      </c>
      <c r="I2230">
        <f>_xlfn.XLOOKUP(A2230,'[1]Tissue Data'!$A:$A,'[1]Tissue Data'!L:L)</f>
        <v>8</v>
      </c>
      <c r="J2230">
        <f>_xlfn.XLOOKUP(A2230,'[1]Tissue Data'!$A:$A,'[1]Tissue Data'!M:M)</f>
        <v>12.95</v>
      </c>
      <c r="K2230" t="s">
        <v>40</v>
      </c>
      <c r="L2230" t="str">
        <f>_xlfn.XLOOKUP(K2230,[2]analyte_order!$B:$B,[2]analyte_order!$C:$C)</f>
        <v>2806-24-8</v>
      </c>
      <c r="M2230">
        <f>_xlfn.XLOOKUP(L2230,[2]analyte_order!$C:$C,[2]analyte_order!$E:$E)</f>
        <v>29</v>
      </c>
      <c r="N2230">
        <v>5.5500000000000001E-2</v>
      </c>
    </row>
    <row r="2231" spans="1:14">
      <c r="A2231" t="s">
        <v>257</v>
      </c>
      <c r="B2231" t="str">
        <f>_xlfn.XLOOKUP(A2231,'[1]Tissue Data'!$A:$A,'[1]Tissue Data'!$C:$C)</f>
        <v>Spill</v>
      </c>
      <c r="C2231" s="2">
        <f>_xlfn.XLOOKUP(A2231,'[1]Tissue Data'!$A:$A,'[1]Tissue Data'!$D:$D)</f>
        <v>44314</v>
      </c>
      <c r="D2231" s="2" t="str">
        <f>_xlfn.XLOOKUP(A2231,'[1]Tissue Data'!$A:$A,'[1]Tissue Data'!$F:$F)</f>
        <v>Pumpkinseed</v>
      </c>
      <c r="E2231" t="str">
        <f>_xlfn.XLOOKUP(A2231,'[1]Tissue Data'!$A:$A,'[1]Tissue Data'!$H:$H)</f>
        <v>Lepomis</v>
      </c>
      <c r="F2231" t="str">
        <f>_xlfn.XLOOKUP(A2231,'[1]Tissue Data'!$A:$A,'[1]Tissue Data'!$I:$I)</f>
        <v>gibbosus</v>
      </c>
      <c r="G2231" t="str">
        <f>_xlfn.XLOOKUP(A2231,'[1]Tissue Data'!$A:$A,'[1]Tissue Data'!J:J)</f>
        <v>U</v>
      </c>
      <c r="H2231" t="str">
        <f>_xlfn.XLOOKUP(A2231,'[1]Tissue Data'!$A:$A,'[1]Tissue Data'!K:K)</f>
        <v>Whole Body</v>
      </c>
      <c r="I2231">
        <f>_xlfn.XLOOKUP(A2231,'[1]Tissue Data'!$A:$A,'[1]Tissue Data'!L:L)</f>
        <v>8</v>
      </c>
      <c r="J2231">
        <f>_xlfn.XLOOKUP(A2231,'[1]Tissue Data'!$A:$A,'[1]Tissue Data'!M:M)</f>
        <v>12.95</v>
      </c>
      <c r="K2231" t="s">
        <v>41</v>
      </c>
      <c r="L2231" t="str">
        <f>_xlfn.XLOOKUP(K2231,[2]analyte_order!$B:$B,[2]analyte_order!$C:$C)</f>
        <v>2355-31-9</v>
      </c>
      <c r="M2231">
        <f>_xlfn.XLOOKUP(L2231,[2]analyte_order!$C:$C,[2]analyte_order!$E:$E)</f>
        <v>26</v>
      </c>
      <c r="N2231">
        <v>0.23300000000000001</v>
      </c>
    </row>
    <row r="2232" spans="1:14">
      <c r="A2232" t="s">
        <v>257</v>
      </c>
      <c r="B2232" t="str">
        <f>_xlfn.XLOOKUP(A2232,'[1]Tissue Data'!$A:$A,'[1]Tissue Data'!$C:$C)</f>
        <v>Spill</v>
      </c>
      <c r="C2232" s="2">
        <f>_xlfn.XLOOKUP(A2232,'[1]Tissue Data'!$A:$A,'[1]Tissue Data'!$D:$D)</f>
        <v>44314</v>
      </c>
      <c r="D2232" s="2" t="str">
        <f>_xlfn.XLOOKUP(A2232,'[1]Tissue Data'!$A:$A,'[1]Tissue Data'!$F:$F)</f>
        <v>Pumpkinseed</v>
      </c>
      <c r="E2232" t="str">
        <f>_xlfn.XLOOKUP(A2232,'[1]Tissue Data'!$A:$A,'[1]Tissue Data'!$H:$H)</f>
        <v>Lepomis</v>
      </c>
      <c r="F2232" t="str">
        <f>_xlfn.XLOOKUP(A2232,'[1]Tissue Data'!$A:$A,'[1]Tissue Data'!$I:$I)</f>
        <v>gibbosus</v>
      </c>
      <c r="G2232" t="str">
        <f>_xlfn.XLOOKUP(A2232,'[1]Tissue Data'!$A:$A,'[1]Tissue Data'!J:J)</f>
        <v>U</v>
      </c>
      <c r="H2232" t="str">
        <f>_xlfn.XLOOKUP(A2232,'[1]Tissue Data'!$A:$A,'[1]Tissue Data'!K:K)</f>
        <v>Whole Body</v>
      </c>
      <c r="I2232">
        <f>_xlfn.XLOOKUP(A2232,'[1]Tissue Data'!$A:$A,'[1]Tissue Data'!L:L)</f>
        <v>8</v>
      </c>
      <c r="J2232">
        <f>_xlfn.XLOOKUP(A2232,'[1]Tissue Data'!$A:$A,'[1]Tissue Data'!M:M)</f>
        <v>12.95</v>
      </c>
      <c r="K2232" t="s">
        <v>42</v>
      </c>
      <c r="L2232" t="str">
        <f>_xlfn.XLOOKUP(K2232,[2]analyte_order!$B:$B,[2]analyte_order!$C:$C)</f>
        <v>2991-50-6</v>
      </c>
      <c r="M2232">
        <f>_xlfn.XLOOKUP(L2232,[2]analyte_order!$C:$C,[2]analyte_order!$E:$E)</f>
        <v>27</v>
      </c>
      <c r="N2232">
        <v>6.0999999999999999E-2</v>
      </c>
    </row>
    <row r="2233" spans="1:14">
      <c r="A2233" t="s">
        <v>257</v>
      </c>
      <c r="B2233" t="str">
        <f>_xlfn.XLOOKUP(A2233,'[1]Tissue Data'!$A:$A,'[1]Tissue Data'!$C:$C)</f>
        <v>Spill</v>
      </c>
      <c r="C2233" s="2">
        <f>_xlfn.XLOOKUP(A2233,'[1]Tissue Data'!$A:$A,'[1]Tissue Data'!$D:$D)</f>
        <v>44314</v>
      </c>
      <c r="D2233" s="2" t="str">
        <f>_xlfn.XLOOKUP(A2233,'[1]Tissue Data'!$A:$A,'[1]Tissue Data'!$F:$F)</f>
        <v>Pumpkinseed</v>
      </c>
      <c r="E2233" t="str">
        <f>_xlfn.XLOOKUP(A2233,'[1]Tissue Data'!$A:$A,'[1]Tissue Data'!$H:$H)</f>
        <v>Lepomis</v>
      </c>
      <c r="F2233" t="str">
        <f>_xlfn.XLOOKUP(A2233,'[1]Tissue Data'!$A:$A,'[1]Tissue Data'!$I:$I)</f>
        <v>gibbosus</v>
      </c>
      <c r="G2233" t="str">
        <f>_xlfn.XLOOKUP(A2233,'[1]Tissue Data'!$A:$A,'[1]Tissue Data'!J:J)</f>
        <v>U</v>
      </c>
      <c r="H2233" t="str">
        <f>_xlfn.XLOOKUP(A2233,'[1]Tissue Data'!$A:$A,'[1]Tissue Data'!K:K)</f>
        <v>Whole Body</v>
      </c>
      <c r="I2233">
        <f>_xlfn.XLOOKUP(A2233,'[1]Tissue Data'!$A:$A,'[1]Tissue Data'!L:L)</f>
        <v>8</v>
      </c>
      <c r="J2233">
        <f>_xlfn.XLOOKUP(A2233,'[1]Tissue Data'!$A:$A,'[1]Tissue Data'!M:M)</f>
        <v>12.95</v>
      </c>
      <c r="K2233" t="s">
        <v>43</v>
      </c>
      <c r="L2233" t="str">
        <f>_xlfn.XLOOKUP(K2233,[2]analyte_order!$B:$B,[2]analyte_order!$C:$C)</f>
        <v>757124-72-4</v>
      </c>
      <c r="M2233">
        <f>_xlfn.XLOOKUP(L2233,[2]analyte_order!$C:$C,[2]analyte_order!$E:$E)</f>
        <v>22</v>
      </c>
      <c r="N2233">
        <v>5.7500000000000002E-2</v>
      </c>
    </row>
    <row r="2234" spans="1:14">
      <c r="A2234" t="s">
        <v>257</v>
      </c>
      <c r="B2234" t="str">
        <f>_xlfn.XLOOKUP(A2234,'[1]Tissue Data'!$A:$A,'[1]Tissue Data'!$C:$C)</f>
        <v>Spill</v>
      </c>
      <c r="C2234" s="2">
        <f>_xlfn.XLOOKUP(A2234,'[1]Tissue Data'!$A:$A,'[1]Tissue Data'!$D:$D)</f>
        <v>44314</v>
      </c>
      <c r="D2234" s="2" t="str">
        <f>_xlfn.XLOOKUP(A2234,'[1]Tissue Data'!$A:$A,'[1]Tissue Data'!$F:$F)</f>
        <v>Pumpkinseed</v>
      </c>
      <c r="E2234" t="str">
        <f>_xlfn.XLOOKUP(A2234,'[1]Tissue Data'!$A:$A,'[1]Tissue Data'!$H:$H)</f>
        <v>Lepomis</v>
      </c>
      <c r="F2234" t="str">
        <f>_xlfn.XLOOKUP(A2234,'[1]Tissue Data'!$A:$A,'[1]Tissue Data'!$I:$I)</f>
        <v>gibbosus</v>
      </c>
      <c r="G2234" t="str">
        <f>_xlfn.XLOOKUP(A2234,'[1]Tissue Data'!$A:$A,'[1]Tissue Data'!J:J)</f>
        <v>U</v>
      </c>
      <c r="H2234" t="str">
        <f>_xlfn.XLOOKUP(A2234,'[1]Tissue Data'!$A:$A,'[1]Tissue Data'!K:K)</f>
        <v>Whole Body</v>
      </c>
      <c r="I2234">
        <f>_xlfn.XLOOKUP(A2234,'[1]Tissue Data'!$A:$A,'[1]Tissue Data'!L:L)</f>
        <v>8</v>
      </c>
      <c r="J2234">
        <f>_xlfn.XLOOKUP(A2234,'[1]Tissue Data'!$A:$A,'[1]Tissue Data'!M:M)</f>
        <v>12.95</v>
      </c>
      <c r="K2234" t="s">
        <v>44</v>
      </c>
      <c r="L2234" t="str">
        <f>_xlfn.XLOOKUP(K2234,[2]analyte_order!$B:$B,[2]analyte_order!$C:$C)</f>
        <v>27619-97-2</v>
      </c>
      <c r="M2234">
        <f>_xlfn.XLOOKUP(L2234,[2]analyte_order!$C:$C,[2]analyte_order!$E:$E)</f>
        <v>23</v>
      </c>
      <c r="N2234">
        <v>0.14000000000000001</v>
      </c>
    </row>
    <row r="2235" spans="1:14">
      <c r="A2235" t="s">
        <v>257</v>
      </c>
      <c r="B2235" t="str">
        <f>_xlfn.XLOOKUP(A2235,'[1]Tissue Data'!$A:$A,'[1]Tissue Data'!$C:$C)</f>
        <v>Spill</v>
      </c>
      <c r="C2235" s="2">
        <f>_xlfn.XLOOKUP(A2235,'[1]Tissue Data'!$A:$A,'[1]Tissue Data'!$D:$D)</f>
        <v>44314</v>
      </c>
      <c r="D2235" s="2" t="str">
        <f>_xlfn.XLOOKUP(A2235,'[1]Tissue Data'!$A:$A,'[1]Tissue Data'!$F:$F)</f>
        <v>Pumpkinseed</v>
      </c>
      <c r="E2235" t="str">
        <f>_xlfn.XLOOKUP(A2235,'[1]Tissue Data'!$A:$A,'[1]Tissue Data'!$H:$H)</f>
        <v>Lepomis</v>
      </c>
      <c r="F2235" t="str">
        <f>_xlfn.XLOOKUP(A2235,'[1]Tissue Data'!$A:$A,'[1]Tissue Data'!$I:$I)</f>
        <v>gibbosus</v>
      </c>
      <c r="G2235" t="str">
        <f>_xlfn.XLOOKUP(A2235,'[1]Tissue Data'!$A:$A,'[1]Tissue Data'!J:J)</f>
        <v>U</v>
      </c>
      <c r="H2235" t="str">
        <f>_xlfn.XLOOKUP(A2235,'[1]Tissue Data'!$A:$A,'[1]Tissue Data'!K:K)</f>
        <v>Whole Body</v>
      </c>
      <c r="I2235">
        <f>_xlfn.XLOOKUP(A2235,'[1]Tissue Data'!$A:$A,'[1]Tissue Data'!L:L)</f>
        <v>8</v>
      </c>
      <c r="J2235">
        <f>_xlfn.XLOOKUP(A2235,'[1]Tissue Data'!$A:$A,'[1]Tissue Data'!M:M)</f>
        <v>12.95</v>
      </c>
      <c r="K2235" t="s">
        <v>45</v>
      </c>
      <c r="L2235" t="str">
        <f>_xlfn.XLOOKUP(K2235,[2]analyte_order!$B:$B,[2]analyte_order!$C:$C)</f>
        <v>39108-34-4</v>
      </c>
      <c r="M2235">
        <f>_xlfn.XLOOKUP(L2235,[2]analyte_order!$C:$C,[2]analyte_order!$E:$E)</f>
        <v>24</v>
      </c>
      <c r="N2235">
        <v>1.5</v>
      </c>
    </row>
    <row r="2236" spans="1:14">
      <c r="A2236" t="s">
        <v>257</v>
      </c>
      <c r="B2236" t="str">
        <f>_xlfn.XLOOKUP(A2236,'[1]Tissue Data'!$A:$A,'[1]Tissue Data'!$C:$C)</f>
        <v>Spill</v>
      </c>
      <c r="C2236" s="2">
        <f>_xlfn.XLOOKUP(A2236,'[1]Tissue Data'!$A:$A,'[1]Tissue Data'!$D:$D)</f>
        <v>44314</v>
      </c>
      <c r="D2236" s="2" t="str">
        <f>_xlfn.XLOOKUP(A2236,'[1]Tissue Data'!$A:$A,'[1]Tissue Data'!$F:$F)</f>
        <v>Pumpkinseed</v>
      </c>
      <c r="E2236" t="str">
        <f>_xlfn.XLOOKUP(A2236,'[1]Tissue Data'!$A:$A,'[1]Tissue Data'!$H:$H)</f>
        <v>Lepomis</v>
      </c>
      <c r="F2236" t="str">
        <f>_xlfn.XLOOKUP(A2236,'[1]Tissue Data'!$A:$A,'[1]Tissue Data'!$I:$I)</f>
        <v>gibbosus</v>
      </c>
      <c r="G2236" t="str">
        <f>_xlfn.XLOOKUP(A2236,'[1]Tissue Data'!$A:$A,'[1]Tissue Data'!J:J)</f>
        <v>U</v>
      </c>
      <c r="H2236" t="str">
        <f>_xlfn.XLOOKUP(A2236,'[1]Tissue Data'!$A:$A,'[1]Tissue Data'!K:K)</f>
        <v>Whole Body</v>
      </c>
      <c r="I2236">
        <f>_xlfn.XLOOKUP(A2236,'[1]Tissue Data'!$A:$A,'[1]Tissue Data'!L:L)</f>
        <v>8</v>
      </c>
      <c r="J2236">
        <f>_xlfn.XLOOKUP(A2236,'[1]Tissue Data'!$A:$A,'[1]Tissue Data'!M:M)</f>
        <v>12.95</v>
      </c>
      <c r="K2236" t="s">
        <v>46</v>
      </c>
      <c r="L2236" t="str">
        <f>_xlfn.XLOOKUP(K2236,[2]analyte_order!$B:$B,[2]analyte_order!$C:$C)</f>
        <v>120226-60-0</v>
      </c>
      <c r="M2236">
        <f>_xlfn.XLOOKUP(L2236,[2]analyte_order!$C:$C,[2]analyte_order!$E:$E)</f>
        <v>25</v>
      </c>
      <c r="N2236">
        <v>0.26300000000000001</v>
      </c>
    </row>
    <row r="2237" spans="1:14">
      <c r="A2237" t="s">
        <v>257</v>
      </c>
      <c r="B2237" t="str">
        <f>_xlfn.XLOOKUP(A2237,'[1]Tissue Data'!$A:$A,'[1]Tissue Data'!$C:$C)</f>
        <v>Spill</v>
      </c>
      <c r="C2237" s="2">
        <f>_xlfn.XLOOKUP(A2237,'[1]Tissue Data'!$A:$A,'[1]Tissue Data'!$D:$D)</f>
        <v>44314</v>
      </c>
      <c r="D2237" s="2" t="str">
        <f>_xlfn.XLOOKUP(A2237,'[1]Tissue Data'!$A:$A,'[1]Tissue Data'!$F:$F)</f>
        <v>Pumpkinseed</v>
      </c>
      <c r="E2237" t="str">
        <f>_xlfn.XLOOKUP(A2237,'[1]Tissue Data'!$A:$A,'[1]Tissue Data'!$H:$H)</f>
        <v>Lepomis</v>
      </c>
      <c r="F2237" t="str">
        <f>_xlfn.XLOOKUP(A2237,'[1]Tissue Data'!$A:$A,'[1]Tissue Data'!$I:$I)</f>
        <v>gibbosus</v>
      </c>
      <c r="G2237" t="str">
        <f>_xlfn.XLOOKUP(A2237,'[1]Tissue Data'!$A:$A,'[1]Tissue Data'!J:J)</f>
        <v>U</v>
      </c>
      <c r="H2237" t="str">
        <f>_xlfn.XLOOKUP(A2237,'[1]Tissue Data'!$A:$A,'[1]Tissue Data'!K:K)</f>
        <v>Whole Body</v>
      </c>
      <c r="I2237">
        <f>_xlfn.XLOOKUP(A2237,'[1]Tissue Data'!$A:$A,'[1]Tissue Data'!L:L)</f>
        <v>8</v>
      </c>
      <c r="J2237">
        <f>_xlfn.XLOOKUP(A2237,'[1]Tissue Data'!$A:$A,'[1]Tissue Data'!M:M)</f>
        <v>12.95</v>
      </c>
      <c r="K2237" t="s">
        <v>47</v>
      </c>
      <c r="L2237" t="str">
        <f>_xlfn.XLOOKUP(K2237,[2]analyte_order!$B:$B,[2]analyte_order!$C:$C)</f>
        <v>356-02-5</v>
      </c>
      <c r="M2237">
        <f>_xlfn.XLOOKUP(L2237,[2]analyte_order!$C:$C,[2]analyte_order!$E:$E)</f>
        <v>38</v>
      </c>
      <c r="N2237">
        <v>8.1000000000000003E-2</v>
      </c>
    </row>
    <row r="2238" spans="1:14">
      <c r="A2238" t="s">
        <v>257</v>
      </c>
      <c r="B2238" t="str">
        <f>_xlfn.XLOOKUP(A2238,'[1]Tissue Data'!$A:$A,'[1]Tissue Data'!$C:$C)</f>
        <v>Spill</v>
      </c>
      <c r="C2238" s="2">
        <f>_xlfn.XLOOKUP(A2238,'[1]Tissue Data'!$A:$A,'[1]Tissue Data'!$D:$D)</f>
        <v>44314</v>
      </c>
      <c r="D2238" s="2" t="str">
        <f>_xlfn.XLOOKUP(A2238,'[1]Tissue Data'!$A:$A,'[1]Tissue Data'!$F:$F)</f>
        <v>Pumpkinseed</v>
      </c>
      <c r="E2238" t="str">
        <f>_xlfn.XLOOKUP(A2238,'[1]Tissue Data'!$A:$A,'[1]Tissue Data'!$H:$H)</f>
        <v>Lepomis</v>
      </c>
      <c r="F2238" t="str">
        <f>_xlfn.XLOOKUP(A2238,'[1]Tissue Data'!$A:$A,'[1]Tissue Data'!$I:$I)</f>
        <v>gibbosus</v>
      </c>
      <c r="G2238" t="str">
        <f>_xlfn.XLOOKUP(A2238,'[1]Tissue Data'!$A:$A,'[1]Tissue Data'!J:J)</f>
        <v>U</v>
      </c>
      <c r="H2238" t="str">
        <f>_xlfn.XLOOKUP(A2238,'[1]Tissue Data'!$A:$A,'[1]Tissue Data'!K:K)</f>
        <v>Whole Body</v>
      </c>
      <c r="I2238">
        <f>_xlfn.XLOOKUP(A2238,'[1]Tissue Data'!$A:$A,'[1]Tissue Data'!L:L)</f>
        <v>8</v>
      </c>
      <c r="J2238">
        <f>_xlfn.XLOOKUP(A2238,'[1]Tissue Data'!$A:$A,'[1]Tissue Data'!M:M)</f>
        <v>12.95</v>
      </c>
      <c r="K2238" t="s">
        <v>48</v>
      </c>
      <c r="L2238" t="str">
        <f>_xlfn.XLOOKUP(K2238,[2]analyte_order!$B:$B,[2]analyte_order!$C:$C)</f>
        <v>914637-49-3</v>
      </c>
      <c r="M2238">
        <f>_xlfn.XLOOKUP(L2238,[2]analyte_order!$C:$C,[2]analyte_order!$E:$E)</f>
        <v>39</v>
      </c>
      <c r="N2238">
        <v>0.43</v>
      </c>
    </row>
    <row r="2239" spans="1:14">
      <c r="A2239" t="s">
        <v>257</v>
      </c>
      <c r="B2239" t="str">
        <f>_xlfn.XLOOKUP(A2239,'[1]Tissue Data'!$A:$A,'[1]Tissue Data'!$C:$C)</f>
        <v>Spill</v>
      </c>
      <c r="C2239" s="2">
        <f>_xlfn.XLOOKUP(A2239,'[1]Tissue Data'!$A:$A,'[1]Tissue Data'!$D:$D)</f>
        <v>44314</v>
      </c>
      <c r="D2239" s="2" t="str">
        <f>_xlfn.XLOOKUP(A2239,'[1]Tissue Data'!$A:$A,'[1]Tissue Data'!$F:$F)</f>
        <v>Pumpkinseed</v>
      </c>
      <c r="E2239" t="str">
        <f>_xlfn.XLOOKUP(A2239,'[1]Tissue Data'!$A:$A,'[1]Tissue Data'!$H:$H)</f>
        <v>Lepomis</v>
      </c>
      <c r="F2239" t="str">
        <f>_xlfn.XLOOKUP(A2239,'[1]Tissue Data'!$A:$A,'[1]Tissue Data'!$I:$I)</f>
        <v>gibbosus</v>
      </c>
      <c r="G2239" t="str">
        <f>_xlfn.XLOOKUP(A2239,'[1]Tissue Data'!$A:$A,'[1]Tissue Data'!J:J)</f>
        <v>U</v>
      </c>
      <c r="H2239" t="str">
        <f>_xlfn.XLOOKUP(A2239,'[1]Tissue Data'!$A:$A,'[1]Tissue Data'!K:K)</f>
        <v>Whole Body</v>
      </c>
      <c r="I2239">
        <f>_xlfn.XLOOKUP(A2239,'[1]Tissue Data'!$A:$A,'[1]Tissue Data'!L:L)</f>
        <v>8</v>
      </c>
      <c r="J2239">
        <f>_xlfn.XLOOKUP(A2239,'[1]Tissue Data'!$A:$A,'[1]Tissue Data'!M:M)</f>
        <v>12.95</v>
      </c>
      <c r="K2239" t="s">
        <v>49</v>
      </c>
      <c r="L2239" t="str">
        <f>_xlfn.XLOOKUP(K2239,[2]analyte_order!$B:$B,[2]analyte_order!$C:$C)</f>
        <v>812-70-4</v>
      </c>
      <c r="M2239">
        <f>_xlfn.XLOOKUP(L2239,[2]analyte_order!$C:$C,[2]analyte_order!$E:$E)</f>
        <v>40</v>
      </c>
      <c r="N2239">
        <v>1.94</v>
      </c>
    </row>
    <row r="2240" spans="1:14">
      <c r="A2240" t="s">
        <v>257</v>
      </c>
      <c r="B2240" t="str">
        <f>_xlfn.XLOOKUP(A2240,'[1]Tissue Data'!$A:$A,'[1]Tissue Data'!$C:$C)</f>
        <v>Spill</v>
      </c>
      <c r="C2240" s="2">
        <f>_xlfn.XLOOKUP(A2240,'[1]Tissue Data'!$A:$A,'[1]Tissue Data'!$D:$D)</f>
        <v>44314</v>
      </c>
      <c r="D2240" s="2" t="str">
        <f>_xlfn.XLOOKUP(A2240,'[1]Tissue Data'!$A:$A,'[1]Tissue Data'!$F:$F)</f>
        <v>Pumpkinseed</v>
      </c>
      <c r="E2240" t="str">
        <f>_xlfn.XLOOKUP(A2240,'[1]Tissue Data'!$A:$A,'[1]Tissue Data'!$H:$H)</f>
        <v>Lepomis</v>
      </c>
      <c r="F2240" t="str">
        <f>_xlfn.XLOOKUP(A2240,'[1]Tissue Data'!$A:$A,'[1]Tissue Data'!$I:$I)</f>
        <v>gibbosus</v>
      </c>
      <c r="G2240" t="str">
        <f>_xlfn.XLOOKUP(A2240,'[1]Tissue Data'!$A:$A,'[1]Tissue Data'!J:J)</f>
        <v>U</v>
      </c>
      <c r="H2240" t="str">
        <f>_xlfn.XLOOKUP(A2240,'[1]Tissue Data'!$A:$A,'[1]Tissue Data'!K:K)</f>
        <v>Whole Body</v>
      </c>
      <c r="I2240">
        <f>_xlfn.XLOOKUP(A2240,'[1]Tissue Data'!$A:$A,'[1]Tissue Data'!L:L)</f>
        <v>8</v>
      </c>
      <c r="J2240">
        <f>_xlfn.XLOOKUP(A2240,'[1]Tissue Data'!$A:$A,'[1]Tissue Data'!M:M)</f>
        <v>12.95</v>
      </c>
      <c r="K2240" t="s">
        <v>50</v>
      </c>
      <c r="L2240" t="str">
        <f>_xlfn.XLOOKUP(K2240,[2]analyte_order!$B:$B,[2]analyte_order!$C:$C)</f>
        <v>53826-12-3</v>
      </c>
      <c r="M2240">
        <f>_xlfn.XLOOKUP(L2240,[2]analyte_order!$C:$C,[2]analyte_order!$E:$E)</f>
        <v>41</v>
      </c>
      <c r="N2240">
        <v>4.4999999999999998E-2</v>
      </c>
    </row>
    <row r="2241" spans="1:14">
      <c r="A2241" t="s">
        <v>257</v>
      </c>
      <c r="B2241" t="str">
        <f>_xlfn.XLOOKUP(A2241,'[1]Tissue Data'!$A:$A,'[1]Tissue Data'!$C:$C)</f>
        <v>Spill</v>
      </c>
      <c r="C2241" s="2">
        <f>_xlfn.XLOOKUP(A2241,'[1]Tissue Data'!$A:$A,'[1]Tissue Data'!$D:$D)</f>
        <v>44314</v>
      </c>
      <c r="D2241" s="2" t="str">
        <f>_xlfn.XLOOKUP(A2241,'[1]Tissue Data'!$A:$A,'[1]Tissue Data'!$F:$F)</f>
        <v>Pumpkinseed</v>
      </c>
      <c r="E2241" t="str">
        <f>_xlfn.XLOOKUP(A2241,'[1]Tissue Data'!$A:$A,'[1]Tissue Data'!$H:$H)</f>
        <v>Lepomis</v>
      </c>
      <c r="F2241" t="str">
        <f>_xlfn.XLOOKUP(A2241,'[1]Tissue Data'!$A:$A,'[1]Tissue Data'!$I:$I)</f>
        <v>gibbosus</v>
      </c>
      <c r="G2241" t="str">
        <f>_xlfn.XLOOKUP(A2241,'[1]Tissue Data'!$A:$A,'[1]Tissue Data'!J:J)</f>
        <v>U</v>
      </c>
      <c r="H2241" t="str">
        <f>_xlfn.XLOOKUP(A2241,'[1]Tissue Data'!$A:$A,'[1]Tissue Data'!K:K)</f>
        <v>Whole Body</v>
      </c>
      <c r="I2241">
        <f>_xlfn.XLOOKUP(A2241,'[1]Tissue Data'!$A:$A,'[1]Tissue Data'!L:L)</f>
        <v>8</v>
      </c>
      <c r="J2241">
        <f>_xlfn.XLOOKUP(A2241,'[1]Tissue Data'!$A:$A,'[1]Tissue Data'!M:M)</f>
        <v>12.95</v>
      </c>
      <c r="K2241" t="s">
        <v>51</v>
      </c>
      <c r="L2241" t="str">
        <f>_xlfn.XLOOKUP(K2241,[2]analyte_order!$B:$B,[2]analyte_order!$C:$C)</f>
        <v>27854-31-5</v>
      </c>
      <c r="M2241">
        <f>_xlfn.XLOOKUP(L2241,[2]analyte_order!$C:$C,[2]analyte_order!$E:$E)</f>
        <v>42</v>
      </c>
      <c r="N2241">
        <v>2.8049999999999999E-2</v>
      </c>
    </row>
    <row r="2242" spans="1:14">
      <c r="A2242" t="s">
        <v>257</v>
      </c>
      <c r="B2242" t="str">
        <f>_xlfn.XLOOKUP(A2242,'[1]Tissue Data'!$A:$A,'[1]Tissue Data'!$C:$C)</f>
        <v>Spill</v>
      </c>
      <c r="C2242" s="2">
        <f>_xlfn.XLOOKUP(A2242,'[1]Tissue Data'!$A:$A,'[1]Tissue Data'!$D:$D)</f>
        <v>44314</v>
      </c>
      <c r="D2242" s="2" t="str">
        <f>_xlfn.XLOOKUP(A2242,'[1]Tissue Data'!$A:$A,'[1]Tissue Data'!$F:$F)</f>
        <v>Pumpkinseed</v>
      </c>
      <c r="E2242" t="str">
        <f>_xlfn.XLOOKUP(A2242,'[1]Tissue Data'!$A:$A,'[1]Tissue Data'!$H:$H)</f>
        <v>Lepomis</v>
      </c>
      <c r="F2242" t="str">
        <f>_xlfn.XLOOKUP(A2242,'[1]Tissue Data'!$A:$A,'[1]Tissue Data'!$I:$I)</f>
        <v>gibbosus</v>
      </c>
      <c r="G2242" t="str">
        <f>_xlfn.XLOOKUP(A2242,'[1]Tissue Data'!$A:$A,'[1]Tissue Data'!J:J)</f>
        <v>U</v>
      </c>
      <c r="H2242" t="str">
        <f>_xlfn.XLOOKUP(A2242,'[1]Tissue Data'!$A:$A,'[1]Tissue Data'!K:K)</f>
        <v>Whole Body</v>
      </c>
      <c r="I2242">
        <f>_xlfn.XLOOKUP(A2242,'[1]Tissue Data'!$A:$A,'[1]Tissue Data'!L:L)</f>
        <v>8</v>
      </c>
      <c r="J2242">
        <f>_xlfn.XLOOKUP(A2242,'[1]Tissue Data'!$A:$A,'[1]Tissue Data'!M:M)</f>
        <v>12.95</v>
      </c>
      <c r="K2242" t="s">
        <v>52</v>
      </c>
      <c r="L2242" t="str">
        <f>_xlfn.XLOOKUP(K2242,[2]analyte_order!$B:$B,[2]analyte_order!$C:$C)</f>
        <v>53826-13-4</v>
      </c>
      <c r="M2242">
        <f>_xlfn.XLOOKUP(L2242,[2]analyte_order!$C:$C,[2]analyte_order!$E:$E)</f>
        <v>43</v>
      </c>
      <c r="N2242">
        <v>0.1045</v>
      </c>
    </row>
    <row r="2243" spans="1:14">
      <c r="A2243" t="s">
        <v>257</v>
      </c>
      <c r="B2243" t="str">
        <f>_xlfn.XLOOKUP(A2243,'[1]Tissue Data'!$A:$A,'[1]Tissue Data'!$C:$C)</f>
        <v>Spill</v>
      </c>
      <c r="C2243" s="2">
        <f>_xlfn.XLOOKUP(A2243,'[1]Tissue Data'!$A:$A,'[1]Tissue Data'!$D:$D)</f>
        <v>44314</v>
      </c>
      <c r="D2243" s="2" t="str">
        <f>_xlfn.XLOOKUP(A2243,'[1]Tissue Data'!$A:$A,'[1]Tissue Data'!$F:$F)</f>
        <v>Pumpkinseed</v>
      </c>
      <c r="E2243" t="str">
        <f>_xlfn.XLOOKUP(A2243,'[1]Tissue Data'!$A:$A,'[1]Tissue Data'!$H:$H)</f>
        <v>Lepomis</v>
      </c>
      <c r="F2243" t="str">
        <f>_xlfn.XLOOKUP(A2243,'[1]Tissue Data'!$A:$A,'[1]Tissue Data'!$I:$I)</f>
        <v>gibbosus</v>
      </c>
      <c r="G2243" t="str">
        <f>_xlfn.XLOOKUP(A2243,'[1]Tissue Data'!$A:$A,'[1]Tissue Data'!J:J)</f>
        <v>U</v>
      </c>
      <c r="H2243" t="str">
        <f>_xlfn.XLOOKUP(A2243,'[1]Tissue Data'!$A:$A,'[1]Tissue Data'!K:K)</f>
        <v>Whole Body</v>
      </c>
      <c r="I2243">
        <f>_xlfn.XLOOKUP(A2243,'[1]Tissue Data'!$A:$A,'[1]Tissue Data'!L:L)</f>
        <v>8</v>
      </c>
      <c r="J2243">
        <f>_xlfn.XLOOKUP(A2243,'[1]Tissue Data'!$A:$A,'[1]Tissue Data'!M:M)</f>
        <v>12.95</v>
      </c>
      <c r="K2243" t="s">
        <v>53</v>
      </c>
      <c r="L2243" t="str">
        <f>_xlfn.XLOOKUP(K2243,[2]analyte_order!$B:$B,[2]analyte_order!$C:$C)</f>
        <v>161094-75-3</v>
      </c>
      <c r="M2243">
        <f>_xlfn.XLOOKUP(L2243,[2]analyte_order!$C:$C,[2]analyte_order!$E:$E)</f>
        <v>44</v>
      </c>
      <c r="N2243">
        <v>5.5E-2</v>
      </c>
    </row>
    <row r="2244" spans="1:14">
      <c r="A2244" t="s">
        <v>257</v>
      </c>
      <c r="B2244" t="str">
        <f>_xlfn.XLOOKUP(A2244,'[1]Tissue Data'!$A:$A,'[1]Tissue Data'!$C:$C)</f>
        <v>Spill</v>
      </c>
      <c r="C2244" s="2">
        <f>_xlfn.XLOOKUP(A2244,'[1]Tissue Data'!$A:$A,'[1]Tissue Data'!$D:$D)</f>
        <v>44314</v>
      </c>
      <c r="D2244" s="2" t="str">
        <f>_xlfn.XLOOKUP(A2244,'[1]Tissue Data'!$A:$A,'[1]Tissue Data'!$F:$F)</f>
        <v>Pumpkinseed</v>
      </c>
      <c r="E2244" t="str">
        <f>_xlfn.XLOOKUP(A2244,'[1]Tissue Data'!$A:$A,'[1]Tissue Data'!$H:$H)</f>
        <v>Lepomis</v>
      </c>
      <c r="F2244" t="str">
        <f>_xlfn.XLOOKUP(A2244,'[1]Tissue Data'!$A:$A,'[1]Tissue Data'!$I:$I)</f>
        <v>gibbosus</v>
      </c>
      <c r="G2244" t="str">
        <f>_xlfn.XLOOKUP(A2244,'[1]Tissue Data'!$A:$A,'[1]Tissue Data'!J:J)</f>
        <v>U</v>
      </c>
      <c r="H2244" t="str">
        <f>_xlfn.XLOOKUP(A2244,'[1]Tissue Data'!$A:$A,'[1]Tissue Data'!K:K)</f>
        <v>Whole Body</v>
      </c>
      <c r="I2244">
        <f>_xlfn.XLOOKUP(A2244,'[1]Tissue Data'!$A:$A,'[1]Tissue Data'!L:L)</f>
        <v>8</v>
      </c>
      <c r="J2244">
        <f>_xlfn.XLOOKUP(A2244,'[1]Tissue Data'!$A:$A,'[1]Tissue Data'!M:M)</f>
        <v>12.95</v>
      </c>
      <c r="K2244" t="s">
        <v>54</v>
      </c>
      <c r="L2244" t="str">
        <f>_xlfn.XLOOKUP(K2244,[2]analyte_order!$B:$B,[2]analyte_order!$C:$C)</f>
        <v>70887-84-2</v>
      </c>
      <c r="M2244">
        <f>_xlfn.XLOOKUP(L2244,[2]analyte_order!$C:$C,[2]analyte_order!$E:$E)</f>
        <v>45</v>
      </c>
      <c r="N2244">
        <v>4.24E-2</v>
      </c>
    </row>
    <row r="2245" spans="1:14">
      <c r="A2245" t="s">
        <v>257</v>
      </c>
      <c r="B2245" t="str">
        <f>_xlfn.XLOOKUP(A2245,'[1]Tissue Data'!$A:$A,'[1]Tissue Data'!$C:$C)</f>
        <v>Spill</v>
      </c>
      <c r="C2245" s="2">
        <f>_xlfn.XLOOKUP(A2245,'[1]Tissue Data'!$A:$A,'[1]Tissue Data'!$D:$D)</f>
        <v>44314</v>
      </c>
      <c r="D2245" s="2" t="str">
        <f>_xlfn.XLOOKUP(A2245,'[1]Tissue Data'!$A:$A,'[1]Tissue Data'!$F:$F)</f>
        <v>Pumpkinseed</v>
      </c>
      <c r="E2245" t="str">
        <f>_xlfn.XLOOKUP(A2245,'[1]Tissue Data'!$A:$A,'[1]Tissue Data'!$H:$H)</f>
        <v>Lepomis</v>
      </c>
      <c r="F2245" t="str">
        <f>_xlfn.XLOOKUP(A2245,'[1]Tissue Data'!$A:$A,'[1]Tissue Data'!$I:$I)</f>
        <v>gibbosus</v>
      </c>
      <c r="G2245" t="str">
        <f>_xlfn.XLOOKUP(A2245,'[1]Tissue Data'!$A:$A,'[1]Tissue Data'!J:J)</f>
        <v>U</v>
      </c>
      <c r="H2245" t="str">
        <f>_xlfn.XLOOKUP(A2245,'[1]Tissue Data'!$A:$A,'[1]Tissue Data'!K:K)</f>
        <v>Whole Body</v>
      </c>
      <c r="I2245">
        <f>_xlfn.XLOOKUP(A2245,'[1]Tissue Data'!$A:$A,'[1]Tissue Data'!L:L)</f>
        <v>8</v>
      </c>
      <c r="J2245">
        <f>_xlfn.XLOOKUP(A2245,'[1]Tissue Data'!$A:$A,'[1]Tissue Data'!M:M)</f>
        <v>12.95</v>
      </c>
      <c r="K2245" t="s">
        <v>55</v>
      </c>
      <c r="L2245" t="str">
        <f>_xlfn.XLOOKUP(K2245,[2]analyte_order!$B:$B,[2]analyte_order!$C:$C)</f>
        <v>919005-14-4</v>
      </c>
      <c r="M2245">
        <f>_xlfn.XLOOKUP(L2245,[2]analyte_order!$C:$C,[2]analyte_order!$E:$E)</f>
        <v>35</v>
      </c>
      <c r="N2245">
        <v>7.0000000000000007E-2</v>
      </c>
    </row>
    <row r="2246" spans="1:14">
      <c r="A2246" t="s">
        <v>257</v>
      </c>
      <c r="B2246" t="str">
        <f>_xlfn.XLOOKUP(A2246,'[1]Tissue Data'!$A:$A,'[1]Tissue Data'!$C:$C)</f>
        <v>Spill</v>
      </c>
      <c r="C2246" s="2">
        <f>_xlfn.XLOOKUP(A2246,'[1]Tissue Data'!$A:$A,'[1]Tissue Data'!$D:$D)</f>
        <v>44314</v>
      </c>
      <c r="D2246" s="2" t="str">
        <f>_xlfn.XLOOKUP(A2246,'[1]Tissue Data'!$A:$A,'[1]Tissue Data'!$F:$F)</f>
        <v>Pumpkinseed</v>
      </c>
      <c r="E2246" t="str">
        <f>_xlfn.XLOOKUP(A2246,'[1]Tissue Data'!$A:$A,'[1]Tissue Data'!$H:$H)</f>
        <v>Lepomis</v>
      </c>
      <c r="F2246" t="str">
        <f>_xlfn.XLOOKUP(A2246,'[1]Tissue Data'!$A:$A,'[1]Tissue Data'!$I:$I)</f>
        <v>gibbosus</v>
      </c>
      <c r="G2246" t="str">
        <f>_xlfn.XLOOKUP(A2246,'[1]Tissue Data'!$A:$A,'[1]Tissue Data'!J:J)</f>
        <v>U</v>
      </c>
      <c r="H2246" t="str">
        <f>_xlfn.XLOOKUP(A2246,'[1]Tissue Data'!$A:$A,'[1]Tissue Data'!K:K)</f>
        <v>Whole Body</v>
      </c>
      <c r="I2246">
        <f>_xlfn.XLOOKUP(A2246,'[1]Tissue Data'!$A:$A,'[1]Tissue Data'!L:L)</f>
        <v>8</v>
      </c>
      <c r="J2246">
        <f>_xlfn.XLOOKUP(A2246,'[1]Tissue Data'!$A:$A,'[1]Tissue Data'!M:M)</f>
        <v>12.95</v>
      </c>
      <c r="K2246" t="s">
        <v>56</v>
      </c>
      <c r="L2246" t="str">
        <f>_xlfn.XLOOKUP(K2246,[2]analyte_order!$B:$B,[2]analyte_order!$C:$C)</f>
        <v>756426-58-1</v>
      </c>
      <c r="M2246">
        <f>_xlfn.XLOOKUP(L2246,[2]analyte_order!$C:$C,[2]analyte_order!$E:$E)</f>
        <v>36</v>
      </c>
      <c r="N2246">
        <v>4.8649999999999999E-2</v>
      </c>
    </row>
    <row r="2247" spans="1:14">
      <c r="A2247" t="s">
        <v>257</v>
      </c>
      <c r="B2247" t="str">
        <f>_xlfn.XLOOKUP(A2247,'[1]Tissue Data'!$A:$A,'[1]Tissue Data'!$C:$C)</f>
        <v>Spill</v>
      </c>
      <c r="C2247" s="2">
        <f>_xlfn.XLOOKUP(A2247,'[1]Tissue Data'!$A:$A,'[1]Tissue Data'!$D:$D)</f>
        <v>44314</v>
      </c>
      <c r="D2247" s="2" t="str">
        <f>_xlfn.XLOOKUP(A2247,'[1]Tissue Data'!$A:$A,'[1]Tissue Data'!$F:$F)</f>
        <v>Pumpkinseed</v>
      </c>
      <c r="E2247" t="str">
        <f>_xlfn.XLOOKUP(A2247,'[1]Tissue Data'!$A:$A,'[1]Tissue Data'!$H:$H)</f>
        <v>Lepomis</v>
      </c>
      <c r="F2247" t="str">
        <f>_xlfn.XLOOKUP(A2247,'[1]Tissue Data'!$A:$A,'[1]Tissue Data'!$I:$I)</f>
        <v>gibbosus</v>
      </c>
      <c r="G2247" t="str">
        <f>_xlfn.XLOOKUP(A2247,'[1]Tissue Data'!$A:$A,'[1]Tissue Data'!J:J)</f>
        <v>U</v>
      </c>
      <c r="H2247" t="str">
        <f>_xlfn.XLOOKUP(A2247,'[1]Tissue Data'!$A:$A,'[1]Tissue Data'!K:K)</f>
        <v>Whole Body</v>
      </c>
      <c r="I2247">
        <f>_xlfn.XLOOKUP(A2247,'[1]Tissue Data'!$A:$A,'[1]Tissue Data'!L:L)</f>
        <v>8</v>
      </c>
      <c r="J2247">
        <f>_xlfn.XLOOKUP(A2247,'[1]Tissue Data'!$A:$A,'[1]Tissue Data'!M:M)</f>
        <v>12.95</v>
      </c>
      <c r="K2247" t="s">
        <v>57</v>
      </c>
      <c r="L2247" t="str">
        <f>_xlfn.XLOOKUP(K2247,[2]analyte_order!$B:$B,[2]analyte_order!$C:$C)</f>
        <v>763051-92-9</v>
      </c>
      <c r="M2247">
        <f>_xlfn.XLOOKUP(L2247,[2]analyte_order!$C:$C,[2]analyte_order!$E:$E)</f>
        <v>37</v>
      </c>
      <c r="N2247">
        <v>5.5500000000000001E-2</v>
      </c>
    </row>
    <row r="2248" spans="1:14">
      <c r="A2248" t="s">
        <v>257</v>
      </c>
      <c r="B2248" t="str">
        <f>_xlfn.XLOOKUP(A2248,'[1]Tissue Data'!$A:$A,'[1]Tissue Data'!$C:$C)</f>
        <v>Spill</v>
      </c>
      <c r="C2248" s="2">
        <f>_xlfn.XLOOKUP(A2248,'[1]Tissue Data'!$A:$A,'[1]Tissue Data'!$D:$D)</f>
        <v>44314</v>
      </c>
      <c r="D2248" s="2" t="str">
        <f>_xlfn.XLOOKUP(A2248,'[1]Tissue Data'!$A:$A,'[1]Tissue Data'!$F:$F)</f>
        <v>Pumpkinseed</v>
      </c>
      <c r="E2248" t="str">
        <f>_xlfn.XLOOKUP(A2248,'[1]Tissue Data'!$A:$A,'[1]Tissue Data'!$H:$H)</f>
        <v>Lepomis</v>
      </c>
      <c r="F2248" t="str">
        <f>_xlfn.XLOOKUP(A2248,'[1]Tissue Data'!$A:$A,'[1]Tissue Data'!$I:$I)</f>
        <v>gibbosus</v>
      </c>
      <c r="G2248" t="str">
        <f>_xlfn.XLOOKUP(A2248,'[1]Tissue Data'!$A:$A,'[1]Tissue Data'!J:J)</f>
        <v>U</v>
      </c>
      <c r="H2248" t="str">
        <f>_xlfn.XLOOKUP(A2248,'[1]Tissue Data'!$A:$A,'[1]Tissue Data'!K:K)</f>
        <v>Whole Body</v>
      </c>
      <c r="I2248">
        <f>_xlfn.XLOOKUP(A2248,'[1]Tissue Data'!$A:$A,'[1]Tissue Data'!L:L)</f>
        <v>8</v>
      </c>
      <c r="J2248">
        <f>_xlfn.XLOOKUP(A2248,'[1]Tissue Data'!$A:$A,'[1]Tissue Data'!M:M)</f>
        <v>12.95</v>
      </c>
      <c r="K2248" t="s">
        <v>58</v>
      </c>
      <c r="L2248" t="str">
        <f>_xlfn.XLOOKUP(K2248,[2]analyte_order!$B:$B,[2]analyte_order!$C:$C)</f>
        <v>13252-13-6</v>
      </c>
      <c r="M2248">
        <f>_xlfn.XLOOKUP(L2248,[2]analyte_order!$C:$C,[2]analyte_order!$E:$E)</f>
        <v>34</v>
      </c>
      <c r="N2248">
        <v>0.10050000000000001</v>
      </c>
    </row>
    <row r="2249" spans="1:14">
      <c r="A2249" t="s">
        <v>257</v>
      </c>
      <c r="B2249" t="str">
        <f>_xlfn.XLOOKUP(A2249,'[1]Tissue Data'!$A:$A,'[1]Tissue Data'!$C:$C)</f>
        <v>Spill</v>
      </c>
      <c r="C2249" s="2">
        <f>_xlfn.XLOOKUP(A2249,'[1]Tissue Data'!$A:$A,'[1]Tissue Data'!$D:$D)</f>
        <v>44314</v>
      </c>
      <c r="D2249" s="2" t="str">
        <f>_xlfn.XLOOKUP(A2249,'[1]Tissue Data'!$A:$A,'[1]Tissue Data'!$F:$F)</f>
        <v>Pumpkinseed</v>
      </c>
      <c r="E2249" t="str">
        <f>_xlfn.XLOOKUP(A2249,'[1]Tissue Data'!$A:$A,'[1]Tissue Data'!$H:$H)</f>
        <v>Lepomis</v>
      </c>
      <c r="F2249" t="str">
        <f>_xlfn.XLOOKUP(A2249,'[1]Tissue Data'!$A:$A,'[1]Tissue Data'!$I:$I)</f>
        <v>gibbosus</v>
      </c>
      <c r="G2249" t="str">
        <f>_xlfn.XLOOKUP(A2249,'[1]Tissue Data'!$A:$A,'[1]Tissue Data'!J:J)</f>
        <v>U</v>
      </c>
      <c r="H2249" t="str">
        <f>_xlfn.XLOOKUP(A2249,'[1]Tissue Data'!$A:$A,'[1]Tissue Data'!K:K)</f>
        <v>Whole Body</v>
      </c>
      <c r="I2249">
        <f>_xlfn.XLOOKUP(A2249,'[1]Tissue Data'!$A:$A,'[1]Tissue Data'!L:L)</f>
        <v>8</v>
      </c>
      <c r="J2249">
        <f>_xlfn.XLOOKUP(A2249,'[1]Tissue Data'!$A:$A,'[1]Tissue Data'!M:M)</f>
        <v>12.95</v>
      </c>
      <c r="K2249" t="s">
        <v>59</v>
      </c>
      <c r="L2249" t="str">
        <f>_xlfn.XLOOKUP(K2249,[2]analyte_order!$B:$B,[2]analyte_order!$C:$C)</f>
        <v>57677-95-9</v>
      </c>
      <c r="M2249">
        <f>_xlfn.XLOOKUP(L2249,[2]analyte_order!$C:$C,[2]analyte_order!$E:$E)</f>
        <v>46</v>
      </c>
      <c r="N2249">
        <v>7.4499999999999997E-2</v>
      </c>
    </row>
    <row r="2250" spans="1:14">
      <c r="A2250" t="s">
        <v>257</v>
      </c>
      <c r="B2250" t="str">
        <f>_xlfn.XLOOKUP(A2250,'[1]Tissue Data'!$A:$A,'[1]Tissue Data'!$C:$C)</f>
        <v>Spill</v>
      </c>
      <c r="C2250" s="2">
        <f>_xlfn.XLOOKUP(A2250,'[1]Tissue Data'!$A:$A,'[1]Tissue Data'!$D:$D)</f>
        <v>44314</v>
      </c>
      <c r="D2250" s="2" t="str">
        <f>_xlfn.XLOOKUP(A2250,'[1]Tissue Data'!$A:$A,'[1]Tissue Data'!$F:$F)</f>
        <v>Pumpkinseed</v>
      </c>
      <c r="E2250" t="str">
        <f>_xlfn.XLOOKUP(A2250,'[1]Tissue Data'!$A:$A,'[1]Tissue Data'!$H:$H)</f>
        <v>Lepomis</v>
      </c>
      <c r="F2250" t="str">
        <f>_xlfn.XLOOKUP(A2250,'[1]Tissue Data'!$A:$A,'[1]Tissue Data'!$I:$I)</f>
        <v>gibbosus</v>
      </c>
      <c r="G2250" t="str">
        <f>_xlfn.XLOOKUP(A2250,'[1]Tissue Data'!$A:$A,'[1]Tissue Data'!J:J)</f>
        <v>U</v>
      </c>
      <c r="H2250" t="str">
        <f>_xlfn.XLOOKUP(A2250,'[1]Tissue Data'!$A:$A,'[1]Tissue Data'!K:K)</f>
        <v>Whole Body</v>
      </c>
      <c r="I2250">
        <f>_xlfn.XLOOKUP(A2250,'[1]Tissue Data'!$A:$A,'[1]Tissue Data'!L:L)</f>
        <v>8</v>
      </c>
      <c r="J2250">
        <f>_xlfn.XLOOKUP(A2250,'[1]Tissue Data'!$A:$A,'[1]Tissue Data'!M:M)</f>
        <v>12.95</v>
      </c>
      <c r="K2250" t="s">
        <v>60</v>
      </c>
      <c r="L2250" t="str">
        <f>_xlfn.XLOOKUP(K2250,[2]analyte_order!$B:$B,[2]analyte_order!$C:$C)</f>
        <v>678-41-1</v>
      </c>
      <c r="M2250">
        <f>_xlfn.XLOOKUP(L2250,[2]analyte_order!$C:$C,[2]analyte_order!$E:$E)</f>
        <v>56</v>
      </c>
      <c r="N2250">
        <v>9.2999999999999999E-2</v>
      </c>
    </row>
    <row r="2251" spans="1:14">
      <c r="A2251" t="s">
        <v>257</v>
      </c>
      <c r="B2251" t="str">
        <f>_xlfn.XLOOKUP(A2251,'[1]Tissue Data'!$A:$A,'[1]Tissue Data'!$C:$C)</f>
        <v>Spill</v>
      </c>
      <c r="C2251" s="2">
        <f>_xlfn.XLOOKUP(A2251,'[1]Tissue Data'!$A:$A,'[1]Tissue Data'!$D:$D)</f>
        <v>44314</v>
      </c>
      <c r="D2251" s="2" t="str">
        <f>_xlfn.XLOOKUP(A2251,'[1]Tissue Data'!$A:$A,'[1]Tissue Data'!$F:$F)</f>
        <v>Pumpkinseed</v>
      </c>
      <c r="E2251" t="str">
        <f>_xlfn.XLOOKUP(A2251,'[1]Tissue Data'!$A:$A,'[1]Tissue Data'!$H:$H)</f>
        <v>Lepomis</v>
      </c>
      <c r="F2251" t="str">
        <f>_xlfn.XLOOKUP(A2251,'[1]Tissue Data'!$A:$A,'[1]Tissue Data'!$I:$I)</f>
        <v>gibbosus</v>
      </c>
      <c r="G2251" t="str">
        <f>_xlfn.XLOOKUP(A2251,'[1]Tissue Data'!$A:$A,'[1]Tissue Data'!J:J)</f>
        <v>U</v>
      </c>
      <c r="H2251" t="str">
        <f>_xlfn.XLOOKUP(A2251,'[1]Tissue Data'!$A:$A,'[1]Tissue Data'!K:K)</f>
        <v>Whole Body</v>
      </c>
      <c r="I2251">
        <f>_xlfn.XLOOKUP(A2251,'[1]Tissue Data'!$A:$A,'[1]Tissue Data'!L:L)</f>
        <v>8</v>
      </c>
      <c r="J2251">
        <f>_xlfn.XLOOKUP(A2251,'[1]Tissue Data'!$A:$A,'[1]Tissue Data'!M:M)</f>
        <v>12.95</v>
      </c>
      <c r="K2251" t="s">
        <v>61</v>
      </c>
      <c r="L2251" t="str">
        <f>_xlfn.XLOOKUP(K2251,[2]analyte_order!$B:$B,[2]analyte_order!$C:$C)</f>
        <v>2965-52-8</v>
      </c>
      <c r="M2251">
        <f>_xlfn.XLOOKUP(L2251,[2]analyte_order!$C:$C,[2]analyte_order!$E:$E)</f>
        <v>57</v>
      </c>
      <c r="N2251">
        <v>0.1235</v>
      </c>
    </row>
    <row r="2252" spans="1:14">
      <c r="A2252" t="s">
        <v>258</v>
      </c>
      <c r="B2252" t="str">
        <f>_xlfn.XLOOKUP(A2252,'[1]Tissue Data'!$A:$A,'[1]Tissue Data'!$C:$C)</f>
        <v>Spill</v>
      </c>
      <c r="C2252" s="2">
        <f>_xlfn.XLOOKUP(A2252,'[1]Tissue Data'!$A:$A,'[1]Tissue Data'!$D:$D)</f>
        <v>44314</v>
      </c>
      <c r="D2252" s="2" t="str">
        <f>_xlfn.XLOOKUP(A2252,'[1]Tissue Data'!$A:$A,'[1]Tissue Data'!$F:$F)</f>
        <v>Pumpkinseed</v>
      </c>
      <c r="E2252" t="str">
        <f>_xlfn.XLOOKUP(A2252,'[1]Tissue Data'!$A:$A,'[1]Tissue Data'!$H:$H)</f>
        <v>Lepomis</v>
      </c>
      <c r="F2252" t="str">
        <f>_xlfn.XLOOKUP(A2252,'[1]Tissue Data'!$A:$A,'[1]Tissue Data'!$I:$I)</f>
        <v>gibbosus</v>
      </c>
      <c r="G2252" t="str">
        <f>_xlfn.XLOOKUP(A2252,'[1]Tissue Data'!$A:$A,'[1]Tissue Data'!J:J)</f>
        <v>U</v>
      </c>
      <c r="H2252" t="str">
        <f>_xlfn.XLOOKUP(A2252,'[1]Tissue Data'!$A:$A,'[1]Tissue Data'!K:K)</f>
        <v>Whole Body</v>
      </c>
      <c r="I2252">
        <f>_xlfn.XLOOKUP(A2252,'[1]Tissue Data'!$A:$A,'[1]Tissue Data'!L:L)</f>
        <v>7.5</v>
      </c>
      <c r="J2252">
        <f>_xlfn.XLOOKUP(A2252,'[1]Tissue Data'!$A:$A,'[1]Tissue Data'!M:M)</f>
        <v>8.5500000000000007</v>
      </c>
      <c r="K2252" t="s">
        <v>12</v>
      </c>
      <c r="L2252" t="str">
        <f>_xlfn.XLOOKUP(K2252,[2]analyte_order!$B:$B,[2]analyte_order!$C:$C)</f>
        <v>375-22-4</v>
      </c>
      <c r="M2252">
        <f>_xlfn.XLOOKUP(L2252,[2]analyte_order!$C:$C,[2]analyte_order!$E:$E)</f>
        <v>1</v>
      </c>
      <c r="N2252">
        <v>2.6200000000000001E-2</v>
      </c>
    </row>
    <row r="2253" spans="1:14">
      <c r="A2253" t="s">
        <v>258</v>
      </c>
      <c r="B2253" t="str">
        <f>_xlfn.XLOOKUP(A2253,'[1]Tissue Data'!$A:$A,'[1]Tissue Data'!$C:$C)</f>
        <v>Spill</v>
      </c>
      <c r="C2253" s="2">
        <f>_xlfn.XLOOKUP(A2253,'[1]Tissue Data'!$A:$A,'[1]Tissue Data'!$D:$D)</f>
        <v>44314</v>
      </c>
      <c r="D2253" s="2" t="str">
        <f>_xlfn.XLOOKUP(A2253,'[1]Tissue Data'!$A:$A,'[1]Tissue Data'!$F:$F)</f>
        <v>Pumpkinseed</v>
      </c>
      <c r="E2253" t="str">
        <f>_xlfn.XLOOKUP(A2253,'[1]Tissue Data'!$A:$A,'[1]Tissue Data'!$H:$H)</f>
        <v>Lepomis</v>
      </c>
      <c r="F2253" t="str">
        <f>_xlfn.XLOOKUP(A2253,'[1]Tissue Data'!$A:$A,'[1]Tissue Data'!$I:$I)</f>
        <v>gibbosus</v>
      </c>
      <c r="G2253" t="str">
        <f>_xlfn.XLOOKUP(A2253,'[1]Tissue Data'!$A:$A,'[1]Tissue Data'!J:J)</f>
        <v>U</v>
      </c>
      <c r="H2253" t="str">
        <f>_xlfn.XLOOKUP(A2253,'[1]Tissue Data'!$A:$A,'[1]Tissue Data'!K:K)</f>
        <v>Whole Body</v>
      </c>
      <c r="I2253">
        <f>_xlfn.XLOOKUP(A2253,'[1]Tissue Data'!$A:$A,'[1]Tissue Data'!L:L)</f>
        <v>7.5</v>
      </c>
      <c r="J2253">
        <f>_xlfn.XLOOKUP(A2253,'[1]Tissue Data'!$A:$A,'[1]Tissue Data'!M:M)</f>
        <v>8.5500000000000007</v>
      </c>
      <c r="K2253" t="s">
        <v>13</v>
      </c>
      <c r="L2253" t="str">
        <f>_xlfn.XLOOKUP(K2253,[2]analyte_order!$B:$B,[2]analyte_order!$C:$C)</f>
        <v>2706-90-3</v>
      </c>
      <c r="M2253">
        <f>_xlfn.XLOOKUP(L2253,[2]analyte_order!$C:$C,[2]analyte_order!$E:$E)</f>
        <v>2</v>
      </c>
      <c r="N2253">
        <v>4.6199999999999998E-2</v>
      </c>
    </row>
    <row r="2254" spans="1:14">
      <c r="A2254" t="s">
        <v>258</v>
      </c>
      <c r="B2254" t="str">
        <f>_xlfn.XLOOKUP(A2254,'[1]Tissue Data'!$A:$A,'[1]Tissue Data'!$C:$C)</f>
        <v>Spill</v>
      </c>
      <c r="C2254" s="2">
        <f>_xlfn.XLOOKUP(A2254,'[1]Tissue Data'!$A:$A,'[1]Tissue Data'!$D:$D)</f>
        <v>44314</v>
      </c>
      <c r="D2254" s="2" t="str">
        <f>_xlfn.XLOOKUP(A2254,'[1]Tissue Data'!$A:$A,'[1]Tissue Data'!$F:$F)</f>
        <v>Pumpkinseed</v>
      </c>
      <c r="E2254" t="str">
        <f>_xlfn.XLOOKUP(A2254,'[1]Tissue Data'!$A:$A,'[1]Tissue Data'!$H:$H)</f>
        <v>Lepomis</v>
      </c>
      <c r="F2254" t="str">
        <f>_xlfn.XLOOKUP(A2254,'[1]Tissue Data'!$A:$A,'[1]Tissue Data'!$I:$I)</f>
        <v>gibbosus</v>
      </c>
      <c r="G2254" t="str">
        <f>_xlfn.XLOOKUP(A2254,'[1]Tissue Data'!$A:$A,'[1]Tissue Data'!J:J)</f>
        <v>U</v>
      </c>
      <c r="H2254" t="str">
        <f>_xlfn.XLOOKUP(A2254,'[1]Tissue Data'!$A:$A,'[1]Tissue Data'!K:K)</f>
        <v>Whole Body</v>
      </c>
      <c r="I2254">
        <f>_xlfn.XLOOKUP(A2254,'[1]Tissue Data'!$A:$A,'[1]Tissue Data'!L:L)</f>
        <v>7.5</v>
      </c>
      <c r="J2254">
        <f>_xlfn.XLOOKUP(A2254,'[1]Tissue Data'!$A:$A,'[1]Tissue Data'!M:M)</f>
        <v>8.5500000000000007</v>
      </c>
      <c r="K2254" t="s">
        <v>14</v>
      </c>
      <c r="L2254" t="str">
        <f>_xlfn.XLOOKUP(K2254,[2]analyte_order!$B:$B,[2]analyte_order!$C:$C)</f>
        <v>307-24-4</v>
      </c>
      <c r="M2254">
        <f>_xlfn.XLOOKUP(L2254,[2]analyte_order!$C:$C,[2]analyte_order!$E:$E)</f>
        <v>3</v>
      </c>
      <c r="N2254">
        <v>0.11650000000000001</v>
      </c>
    </row>
    <row r="2255" spans="1:14">
      <c r="A2255" t="s">
        <v>258</v>
      </c>
      <c r="B2255" t="str">
        <f>_xlfn.XLOOKUP(A2255,'[1]Tissue Data'!$A:$A,'[1]Tissue Data'!$C:$C)</f>
        <v>Spill</v>
      </c>
      <c r="C2255" s="2">
        <f>_xlfn.XLOOKUP(A2255,'[1]Tissue Data'!$A:$A,'[1]Tissue Data'!$D:$D)</f>
        <v>44314</v>
      </c>
      <c r="D2255" s="2" t="str">
        <f>_xlfn.XLOOKUP(A2255,'[1]Tissue Data'!$A:$A,'[1]Tissue Data'!$F:$F)</f>
        <v>Pumpkinseed</v>
      </c>
      <c r="E2255" t="str">
        <f>_xlfn.XLOOKUP(A2255,'[1]Tissue Data'!$A:$A,'[1]Tissue Data'!$H:$H)</f>
        <v>Lepomis</v>
      </c>
      <c r="F2255" t="str">
        <f>_xlfn.XLOOKUP(A2255,'[1]Tissue Data'!$A:$A,'[1]Tissue Data'!$I:$I)</f>
        <v>gibbosus</v>
      </c>
      <c r="G2255" t="str">
        <f>_xlfn.XLOOKUP(A2255,'[1]Tissue Data'!$A:$A,'[1]Tissue Data'!J:J)</f>
        <v>U</v>
      </c>
      <c r="H2255" t="str">
        <f>_xlfn.XLOOKUP(A2255,'[1]Tissue Data'!$A:$A,'[1]Tissue Data'!K:K)</f>
        <v>Whole Body</v>
      </c>
      <c r="I2255">
        <f>_xlfn.XLOOKUP(A2255,'[1]Tissue Data'!$A:$A,'[1]Tissue Data'!L:L)</f>
        <v>7.5</v>
      </c>
      <c r="J2255">
        <f>_xlfn.XLOOKUP(A2255,'[1]Tissue Data'!$A:$A,'[1]Tissue Data'!M:M)</f>
        <v>8.5500000000000007</v>
      </c>
      <c r="K2255" t="s">
        <v>15</v>
      </c>
      <c r="L2255" t="str">
        <f>_xlfn.XLOOKUP(K2255,[2]analyte_order!$B:$B,[2]analyte_order!$C:$C)</f>
        <v>375-85-9</v>
      </c>
      <c r="M2255">
        <f>_xlfn.XLOOKUP(L2255,[2]analyte_order!$C:$C,[2]analyte_order!$E:$E)</f>
        <v>4</v>
      </c>
      <c r="N2255">
        <v>2.6200000000000001E-2</v>
      </c>
    </row>
    <row r="2256" spans="1:14">
      <c r="A2256" t="s">
        <v>258</v>
      </c>
      <c r="B2256" t="str">
        <f>_xlfn.XLOOKUP(A2256,'[1]Tissue Data'!$A:$A,'[1]Tissue Data'!$C:$C)</f>
        <v>Spill</v>
      </c>
      <c r="C2256" s="2">
        <f>_xlfn.XLOOKUP(A2256,'[1]Tissue Data'!$A:$A,'[1]Tissue Data'!$D:$D)</f>
        <v>44314</v>
      </c>
      <c r="D2256" s="2" t="str">
        <f>_xlfn.XLOOKUP(A2256,'[1]Tissue Data'!$A:$A,'[1]Tissue Data'!$F:$F)</f>
        <v>Pumpkinseed</v>
      </c>
      <c r="E2256" t="str">
        <f>_xlfn.XLOOKUP(A2256,'[1]Tissue Data'!$A:$A,'[1]Tissue Data'!$H:$H)</f>
        <v>Lepomis</v>
      </c>
      <c r="F2256" t="str">
        <f>_xlfn.XLOOKUP(A2256,'[1]Tissue Data'!$A:$A,'[1]Tissue Data'!$I:$I)</f>
        <v>gibbosus</v>
      </c>
      <c r="G2256" t="str">
        <f>_xlfn.XLOOKUP(A2256,'[1]Tissue Data'!$A:$A,'[1]Tissue Data'!J:J)</f>
        <v>U</v>
      </c>
      <c r="H2256" t="str">
        <f>_xlfn.XLOOKUP(A2256,'[1]Tissue Data'!$A:$A,'[1]Tissue Data'!K:K)</f>
        <v>Whole Body</v>
      </c>
      <c r="I2256">
        <f>_xlfn.XLOOKUP(A2256,'[1]Tissue Data'!$A:$A,'[1]Tissue Data'!L:L)</f>
        <v>7.5</v>
      </c>
      <c r="J2256">
        <f>_xlfn.XLOOKUP(A2256,'[1]Tissue Data'!$A:$A,'[1]Tissue Data'!M:M)</f>
        <v>8.5500000000000007</v>
      </c>
      <c r="K2256" t="s">
        <v>16</v>
      </c>
      <c r="L2256" t="str">
        <f>_xlfn.XLOOKUP(K2256,[2]analyte_order!$B:$B,[2]analyte_order!$C:$C)</f>
        <v>335-67-1</v>
      </c>
      <c r="M2256">
        <f>_xlfn.XLOOKUP(L2256,[2]analyte_order!$C:$C,[2]analyte_order!$E:$E)</f>
        <v>5</v>
      </c>
      <c r="N2256">
        <v>0.26400000000000001</v>
      </c>
    </row>
    <row r="2257" spans="1:14">
      <c r="A2257" t="s">
        <v>258</v>
      </c>
      <c r="B2257" t="str">
        <f>_xlfn.XLOOKUP(A2257,'[1]Tissue Data'!$A:$A,'[1]Tissue Data'!$C:$C)</f>
        <v>Spill</v>
      </c>
      <c r="C2257" s="2">
        <f>_xlfn.XLOOKUP(A2257,'[1]Tissue Data'!$A:$A,'[1]Tissue Data'!$D:$D)</f>
        <v>44314</v>
      </c>
      <c r="D2257" s="2" t="str">
        <f>_xlfn.XLOOKUP(A2257,'[1]Tissue Data'!$A:$A,'[1]Tissue Data'!$F:$F)</f>
        <v>Pumpkinseed</v>
      </c>
      <c r="E2257" t="str">
        <f>_xlfn.XLOOKUP(A2257,'[1]Tissue Data'!$A:$A,'[1]Tissue Data'!$H:$H)</f>
        <v>Lepomis</v>
      </c>
      <c r="F2257" t="str">
        <f>_xlfn.XLOOKUP(A2257,'[1]Tissue Data'!$A:$A,'[1]Tissue Data'!$I:$I)</f>
        <v>gibbosus</v>
      </c>
      <c r="G2257" t="str">
        <f>_xlfn.XLOOKUP(A2257,'[1]Tissue Data'!$A:$A,'[1]Tissue Data'!J:J)</f>
        <v>U</v>
      </c>
      <c r="H2257" t="str">
        <f>_xlfn.XLOOKUP(A2257,'[1]Tissue Data'!$A:$A,'[1]Tissue Data'!K:K)</f>
        <v>Whole Body</v>
      </c>
      <c r="I2257">
        <f>_xlfn.XLOOKUP(A2257,'[1]Tissue Data'!$A:$A,'[1]Tissue Data'!L:L)</f>
        <v>7.5</v>
      </c>
      <c r="J2257">
        <f>_xlfn.XLOOKUP(A2257,'[1]Tissue Data'!$A:$A,'[1]Tissue Data'!M:M)</f>
        <v>8.5500000000000007</v>
      </c>
      <c r="K2257" t="s">
        <v>17</v>
      </c>
      <c r="L2257" t="str">
        <f>_xlfn.XLOOKUP(K2257,[2]analyte_order!$B:$B,[2]analyte_order!$C:$C)</f>
        <v>375-95-1</v>
      </c>
      <c r="M2257">
        <f>_xlfn.XLOOKUP(L2257,[2]analyte_order!$C:$C,[2]analyte_order!$E:$E)</f>
        <v>6</v>
      </c>
      <c r="N2257">
        <v>0.14949999999999999</v>
      </c>
    </row>
    <row r="2258" spans="1:14">
      <c r="A2258" t="s">
        <v>258</v>
      </c>
      <c r="B2258" t="str">
        <f>_xlfn.XLOOKUP(A2258,'[1]Tissue Data'!$A:$A,'[1]Tissue Data'!$C:$C)</f>
        <v>Spill</v>
      </c>
      <c r="C2258" s="2">
        <f>_xlfn.XLOOKUP(A2258,'[1]Tissue Data'!$A:$A,'[1]Tissue Data'!$D:$D)</f>
        <v>44314</v>
      </c>
      <c r="D2258" s="2" t="str">
        <f>_xlfn.XLOOKUP(A2258,'[1]Tissue Data'!$A:$A,'[1]Tissue Data'!$F:$F)</f>
        <v>Pumpkinseed</v>
      </c>
      <c r="E2258" t="str">
        <f>_xlfn.XLOOKUP(A2258,'[1]Tissue Data'!$A:$A,'[1]Tissue Data'!$H:$H)</f>
        <v>Lepomis</v>
      </c>
      <c r="F2258" t="str">
        <f>_xlfn.XLOOKUP(A2258,'[1]Tissue Data'!$A:$A,'[1]Tissue Data'!$I:$I)</f>
        <v>gibbosus</v>
      </c>
      <c r="G2258" t="str">
        <f>_xlfn.XLOOKUP(A2258,'[1]Tissue Data'!$A:$A,'[1]Tissue Data'!J:J)</f>
        <v>U</v>
      </c>
      <c r="H2258" t="str">
        <f>_xlfn.XLOOKUP(A2258,'[1]Tissue Data'!$A:$A,'[1]Tissue Data'!K:K)</f>
        <v>Whole Body</v>
      </c>
      <c r="I2258">
        <f>_xlfn.XLOOKUP(A2258,'[1]Tissue Data'!$A:$A,'[1]Tissue Data'!L:L)</f>
        <v>7.5</v>
      </c>
      <c r="J2258">
        <f>_xlfn.XLOOKUP(A2258,'[1]Tissue Data'!$A:$A,'[1]Tissue Data'!M:M)</f>
        <v>8.5500000000000007</v>
      </c>
      <c r="K2258" t="s">
        <v>18</v>
      </c>
      <c r="L2258" t="str">
        <f>_xlfn.XLOOKUP(K2258,[2]analyte_order!$B:$B,[2]analyte_order!$C:$C)</f>
        <v>335-76-2</v>
      </c>
      <c r="M2258">
        <f>_xlfn.XLOOKUP(L2258,[2]analyte_order!$C:$C,[2]analyte_order!$E:$E)</f>
        <v>7</v>
      </c>
      <c r="N2258">
        <v>2.2000000000000002</v>
      </c>
    </row>
    <row r="2259" spans="1:14">
      <c r="A2259" t="s">
        <v>258</v>
      </c>
      <c r="B2259" t="str">
        <f>_xlfn.XLOOKUP(A2259,'[1]Tissue Data'!$A:$A,'[1]Tissue Data'!$C:$C)</f>
        <v>Spill</v>
      </c>
      <c r="C2259" s="2">
        <f>_xlfn.XLOOKUP(A2259,'[1]Tissue Data'!$A:$A,'[1]Tissue Data'!$D:$D)</f>
        <v>44314</v>
      </c>
      <c r="D2259" s="2" t="str">
        <f>_xlfn.XLOOKUP(A2259,'[1]Tissue Data'!$A:$A,'[1]Tissue Data'!$F:$F)</f>
        <v>Pumpkinseed</v>
      </c>
      <c r="E2259" t="str">
        <f>_xlfn.XLOOKUP(A2259,'[1]Tissue Data'!$A:$A,'[1]Tissue Data'!$H:$H)</f>
        <v>Lepomis</v>
      </c>
      <c r="F2259" t="str">
        <f>_xlfn.XLOOKUP(A2259,'[1]Tissue Data'!$A:$A,'[1]Tissue Data'!$I:$I)</f>
        <v>gibbosus</v>
      </c>
      <c r="G2259" t="str">
        <f>_xlfn.XLOOKUP(A2259,'[1]Tissue Data'!$A:$A,'[1]Tissue Data'!J:J)</f>
        <v>U</v>
      </c>
      <c r="H2259" t="str">
        <f>_xlfn.XLOOKUP(A2259,'[1]Tissue Data'!$A:$A,'[1]Tissue Data'!K:K)</f>
        <v>Whole Body</v>
      </c>
      <c r="I2259">
        <f>_xlfn.XLOOKUP(A2259,'[1]Tissue Data'!$A:$A,'[1]Tissue Data'!L:L)</f>
        <v>7.5</v>
      </c>
      <c r="J2259">
        <f>_xlfn.XLOOKUP(A2259,'[1]Tissue Data'!$A:$A,'[1]Tissue Data'!M:M)</f>
        <v>8.5500000000000007</v>
      </c>
      <c r="K2259" t="s">
        <v>19</v>
      </c>
      <c r="L2259" t="str">
        <f>_xlfn.XLOOKUP(K2259,[2]analyte_order!$B:$B,[2]analyte_order!$C:$C)</f>
        <v>2058-94-8</v>
      </c>
      <c r="M2259">
        <f>_xlfn.XLOOKUP(L2259,[2]analyte_order!$C:$C,[2]analyte_order!$E:$E)</f>
        <v>8</v>
      </c>
      <c r="N2259">
        <v>4.0599999999999996</v>
      </c>
    </row>
    <row r="2260" spans="1:14">
      <c r="A2260" t="s">
        <v>258</v>
      </c>
      <c r="B2260" t="str">
        <f>_xlfn.XLOOKUP(A2260,'[1]Tissue Data'!$A:$A,'[1]Tissue Data'!$C:$C)</f>
        <v>Spill</v>
      </c>
      <c r="C2260" s="2">
        <f>_xlfn.XLOOKUP(A2260,'[1]Tissue Data'!$A:$A,'[1]Tissue Data'!$D:$D)</f>
        <v>44314</v>
      </c>
      <c r="D2260" s="2" t="str">
        <f>_xlfn.XLOOKUP(A2260,'[1]Tissue Data'!$A:$A,'[1]Tissue Data'!$F:$F)</f>
        <v>Pumpkinseed</v>
      </c>
      <c r="E2260" t="str">
        <f>_xlfn.XLOOKUP(A2260,'[1]Tissue Data'!$A:$A,'[1]Tissue Data'!$H:$H)</f>
        <v>Lepomis</v>
      </c>
      <c r="F2260" t="str">
        <f>_xlfn.XLOOKUP(A2260,'[1]Tissue Data'!$A:$A,'[1]Tissue Data'!$I:$I)</f>
        <v>gibbosus</v>
      </c>
      <c r="G2260" t="str">
        <f>_xlfn.XLOOKUP(A2260,'[1]Tissue Data'!$A:$A,'[1]Tissue Data'!J:J)</f>
        <v>U</v>
      </c>
      <c r="H2260" t="str">
        <f>_xlfn.XLOOKUP(A2260,'[1]Tissue Data'!$A:$A,'[1]Tissue Data'!K:K)</f>
        <v>Whole Body</v>
      </c>
      <c r="I2260">
        <f>_xlfn.XLOOKUP(A2260,'[1]Tissue Data'!$A:$A,'[1]Tissue Data'!L:L)</f>
        <v>7.5</v>
      </c>
      <c r="J2260">
        <f>_xlfn.XLOOKUP(A2260,'[1]Tissue Data'!$A:$A,'[1]Tissue Data'!M:M)</f>
        <v>8.5500000000000007</v>
      </c>
      <c r="K2260" t="s">
        <v>20</v>
      </c>
      <c r="L2260" t="str">
        <f>_xlfn.XLOOKUP(K2260,[2]analyte_order!$B:$B,[2]analyte_order!$C:$C)</f>
        <v>307-55-1</v>
      </c>
      <c r="M2260">
        <f>_xlfn.XLOOKUP(L2260,[2]analyte_order!$C:$C,[2]analyte_order!$E:$E)</f>
        <v>9</v>
      </c>
      <c r="N2260">
        <v>5.78</v>
      </c>
    </row>
    <row r="2261" spans="1:14">
      <c r="A2261" t="s">
        <v>258</v>
      </c>
      <c r="B2261" t="str">
        <f>_xlfn.XLOOKUP(A2261,'[1]Tissue Data'!$A:$A,'[1]Tissue Data'!$C:$C)</f>
        <v>Spill</v>
      </c>
      <c r="C2261" s="2">
        <f>_xlfn.XLOOKUP(A2261,'[1]Tissue Data'!$A:$A,'[1]Tissue Data'!$D:$D)</f>
        <v>44314</v>
      </c>
      <c r="D2261" s="2" t="str">
        <f>_xlfn.XLOOKUP(A2261,'[1]Tissue Data'!$A:$A,'[1]Tissue Data'!$F:$F)</f>
        <v>Pumpkinseed</v>
      </c>
      <c r="E2261" t="str">
        <f>_xlfn.XLOOKUP(A2261,'[1]Tissue Data'!$A:$A,'[1]Tissue Data'!$H:$H)</f>
        <v>Lepomis</v>
      </c>
      <c r="F2261" t="str">
        <f>_xlfn.XLOOKUP(A2261,'[1]Tissue Data'!$A:$A,'[1]Tissue Data'!$I:$I)</f>
        <v>gibbosus</v>
      </c>
      <c r="G2261" t="str">
        <f>_xlfn.XLOOKUP(A2261,'[1]Tissue Data'!$A:$A,'[1]Tissue Data'!J:J)</f>
        <v>U</v>
      </c>
      <c r="H2261" t="str">
        <f>_xlfn.XLOOKUP(A2261,'[1]Tissue Data'!$A:$A,'[1]Tissue Data'!K:K)</f>
        <v>Whole Body</v>
      </c>
      <c r="I2261">
        <f>_xlfn.XLOOKUP(A2261,'[1]Tissue Data'!$A:$A,'[1]Tissue Data'!L:L)</f>
        <v>7.5</v>
      </c>
      <c r="J2261">
        <f>_xlfn.XLOOKUP(A2261,'[1]Tissue Data'!$A:$A,'[1]Tissue Data'!M:M)</f>
        <v>8.5500000000000007</v>
      </c>
      <c r="K2261" t="s">
        <v>21</v>
      </c>
      <c r="L2261" t="str">
        <f>_xlfn.XLOOKUP(K2261,[2]analyte_order!$B:$B,[2]analyte_order!$C:$C)</f>
        <v>72629-94-8</v>
      </c>
      <c r="M2261">
        <f>_xlfn.XLOOKUP(L2261,[2]analyte_order!$C:$C,[2]analyte_order!$E:$E)</f>
        <v>10</v>
      </c>
      <c r="N2261">
        <v>1.27</v>
      </c>
    </row>
    <row r="2262" spans="1:14">
      <c r="A2262" t="s">
        <v>258</v>
      </c>
      <c r="B2262" t="str">
        <f>_xlfn.XLOOKUP(A2262,'[1]Tissue Data'!$A:$A,'[1]Tissue Data'!$C:$C)</f>
        <v>Spill</v>
      </c>
      <c r="C2262" s="2">
        <f>_xlfn.XLOOKUP(A2262,'[1]Tissue Data'!$A:$A,'[1]Tissue Data'!$D:$D)</f>
        <v>44314</v>
      </c>
      <c r="D2262" s="2" t="str">
        <f>_xlfn.XLOOKUP(A2262,'[1]Tissue Data'!$A:$A,'[1]Tissue Data'!$F:$F)</f>
        <v>Pumpkinseed</v>
      </c>
      <c r="E2262" t="str">
        <f>_xlfn.XLOOKUP(A2262,'[1]Tissue Data'!$A:$A,'[1]Tissue Data'!$H:$H)</f>
        <v>Lepomis</v>
      </c>
      <c r="F2262" t="str">
        <f>_xlfn.XLOOKUP(A2262,'[1]Tissue Data'!$A:$A,'[1]Tissue Data'!$I:$I)</f>
        <v>gibbosus</v>
      </c>
      <c r="G2262" t="str">
        <f>_xlfn.XLOOKUP(A2262,'[1]Tissue Data'!$A:$A,'[1]Tissue Data'!J:J)</f>
        <v>U</v>
      </c>
      <c r="H2262" t="str">
        <f>_xlfn.XLOOKUP(A2262,'[1]Tissue Data'!$A:$A,'[1]Tissue Data'!K:K)</f>
        <v>Whole Body</v>
      </c>
      <c r="I2262">
        <f>_xlfn.XLOOKUP(A2262,'[1]Tissue Data'!$A:$A,'[1]Tissue Data'!L:L)</f>
        <v>7.5</v>
      </c>
      <c r="J2262">
        <f>_xlfn.XLOOKUP(A2262,'[1]Tissue Data'!$A:$A,'[1]Tissue Data'!M:M)</f>
        <v>8.5500000000000007</v>
      </c>
      <c r="K2262" t="s">
        <v>22</v>
      </c>
      <c r="L2262" t="str">
        <f>_xlfn.XLOOKUP(K2262,[2]analyte_order!$B:$B,[2]analyte_order!$C:$C)</f>
        <v>376-06-7</v>
      </c>
      <c r="M2262">
        <f>_xlfn.XLOOKUP(L2262,[2]analyte_order!$C:$C,[2]analyte_order!$E:$E)</f>
        <v>11</v>
      </c>
      <c r="N2262">
        <v>5.94</v>
      </c>
    </row>
    <row r="2263" spans="1:14">
      <c r="A2263" t="s">
        <v>258</v>
      </c>
      <c r="B2263" t="str">
        <f>_xlfn.XLOOKUP(A2263,'[1]Tissue Data'!$A:$A,'[1]Tissue Data'!$C:$C)</f>
        <v>Spill</v>
      </c>
      <c r="C2263" s="2">
        <f>_xlfn.XLOOKUP(A2263,'[1]Tissue Data'!$A:$A,'[1]Tissue Data'!$D:$D)</f>
        <v>44314</v>
      </c>
      <c r="D2263" s="2" t="str">
        <f>_xlfn.XLOOKUP(A2263,'[1]Tissue Data'!$A:$A,'[1]Tissue Data'!$F:$F)</f>
        <v>Pumpkinseed</v>
      </c>
      <c r="E2263" t="str">
        <f>_xlfn.XLOOKUP(A2263,'[1]Tissue Data'!$A:$A,'[1]Tissue Data'!$H:$H)</f>
        <v>Lepomis</v>
      </c>
      <c r="F2263" t="str">
        <f>_xlfn.XLOOKUP(A2263,'[1]Tissue Data'!$A:$A,'[1]Tissue Data'!$I:$I)</f>
        <v>gibbosus</v>
      </c>
      <c r="G2263" t="str">
        <f>_xlfn.XLOOKUP(A2263,'[1]Tissue Data'!$A:$A,'[1]Tissue Data'!J:J)</f>
        <v>U</v>
      </c>
      <c r="H2263" t="str">
        <f>_xlfn.XLOOKUP(A2263,'[1]Tissue Data'!$A:$A,'[1]Tissue Data'!K:K)</f>
        <v>Whole Body</v>
      </c>
      <c r="I2263">
        <f>_xlfn.XLOOKUP(A2263,'[1]Tissue Data'!$A:$A,'[1]Tissue Data'!L:L)</f>
        <v>7.5</v>
      </c>
      <c r="J2263">
        <f>_xlfn.XLOOKUP(A2263,'[1]Tissue Data'!$A:$A,'[1]Tissue Data'!M:M)</f>
        <v>8.5500000000000007</v>
      </c>
      <c r="K2263" t="s">
        <v>23</v>
      </c>
      <c r="L2263" t="str">
        <f>_xlfn.XLOOKUP(K2263,[2]analyte_order!$B:$B,[2]analyte_order!$C:$C)</f>
        <v>67905-19-5</v>
      </c>
      <c r="M2263">
        <f>_xlfn.XLOOKUP(L2263,[2]analyte_order!$C:$C,[2]analyte_order!$E:$E)</f>
        <v>12</v>
      </c>
      <c r="N2263">
        <v>7.8E-2</v>
      </c>
    </row>
    <row r="2264" spans="1:14">
      <c r="A2264" t="s">
        <v>258</v>
      </c>
      <c r="B2264" t="str">
        <f>_xlfn.XLOOKUP(A2264,'[1]Tissue Data'!$A:$A,'[1]Tissue Data'!$C:$C)</f>
        <v>Spill</v>
      </c>
      <c r="C2264" s="2">
        <f>_xlfn.XLOOKUP(A2264,'[1]Tissue Data'!$A:$A,'[1]Tissue Data'!$D:$D)</f>
        <v>44314</v>
      </c>
      <c r="D2264" s="2" t="str">
        <f>_xlfn.XLOOKUP(A2264,'[1]Tissue Data'!$A:$A,'[1]Tissue Data'!$F:$F)</f>
        <v>Pumpkinseed</v>
      </c>
      <c r="E2264" t="str">
        <f>_xlfn.XLOOKUP(A2264,'[1]Tissue Data'!$A:$A,'[1]Tissue Data'!$H:$H)</f>
        <v>Lepomis</v>
      </c>
      <c r="F2264" t="str">
        <f>_xlfn.XLOOKUP(A2264,'[1]Tissue Data'!$A:$A,'[1]Tissue Data'!$I:$I)</f>
        <v>gibbosus</v>
      </c>
      <c r="G2264" t="str">
        <f>_xlfn.XLOOKUP(A2264,'[1]Tissue Data'!$A:$A,'[1]Tissue Data'!J:J)</f>
        <v>U</v>
      </c>
      <c r="H2264" t="str">
        <f>_xlfn.XLOOKUP(A2264,'[1]Tissue Data'!$A:$A,'[1]Tissue Data'!K:K)</f>
        <v>Whole Body</v>
      </c>
      <c r="I2264">
        <f>_xlfn.XLOOKUP(A2264,'[1]Tissue Data'!$A:$A,'[1]Tissue Data'!L:L)</f>
        <v>7.5</v>
      </c>
      <c r="J2264">
        <f>_xlfn.XLOOKUP(A2264,'[1]Tissue Data'!$A:$A,'[1]Tissue Data'!M:M)</f>
        <v>8.5500000000000007</v>
      </c>
      <c r="K2264" t="s">
        <v>24</v>
      </c>
      <c r="L2264" t="str">
        <f>_xlfn.XLOOKUP(K2264,[2]analyte_order!$B:$B,[2]analyte_order!$C:$C)</f>
        <v>423-41-6</v>
      </c>
      <c r="M2264">
        <f>_xlfn.XLOOKUP(L2264,[2]analyte_order!$C:$C,[2]analyte_order!$E:$E)</f>
        <v>53</v>
      </c>
      <c r="N2264">
        <v>0.05</v>
      </c>
    </row>
    <row r="2265" spans="1:14">
      <c r="A2265" t="s">
        <v>258</v>
      </c>
      <c r="B2265" t="str">
        <f>_xlfn.XLOOKUP(A2265,'[1]Tissue Data'!$A:$A,'[1]Tissue Data'!$C:$C)</f>
        <v>Spill</v>
      </c>
      <c r="C2265" s="2">
        <f>_xlfn.XLOOKUP(A2265,'[1]Tissue Data'!$A:$A,'[1]Tissue Data'!$D:$D)</f>
        <v>44314</v>
      </c>
      <c r="D2265" s="2" t="str">
        <f>_xlfn.XLOOKUP(A2265,'[1]Tissue Data'!$A:$A,'[1]Tissue Data'!$F:$F)</f>
        <v>Pumpkinseed</v>
      </c>
      <c r="E2265" t="str">
        <f>_xlfn.XLOOKUP(A2265,'[1]Tissue Data'!$A:$A,'[1]Tissue Data'!$H:$H)</f>
        <v>Lepomis</v>
      </c>
      <c r="F2265" t="str">
        <f>_xlfn.XLOOKUP(A2265,'[1]Tissue Data'!$A:$A,'[1]Tissue Data'!$I:$I)</f>
        <v>gibbosus</v>
      </c>
      <c r="G2265" t="str">
        <f>_xlfn.XLOOKUP(A2265,'[1]Tissue Data'!$A:$A,'[1]Tissue Data'!J:J)</f>
        <v>U</v>
      </c>
      <c r="H2265" t="str">
        <f>_xlfn.XLOOKUP(A2265,'[1]Tissue Data'!$A:$A,'[1]Tissue Data'!K:K)</f>
        <v>Whole Body</v>
      </c>
      <c r="I2265">
        <f>_xlfn.XLOOKUP(A2265,'[1]Tissue Data'!$A:$A,'[1]Tissue Data'!L:L)</f>
        <v>7.5</v>
      </c>
      <c r="J2265">
        <f>_xlfn.XLOOKUP(A2265,'[1]Tissue Data'!$A:$A,'[1]Tissue Data'!M:M)</f>
        <v>8.5500000000000007</v>
      </c>
      <c r="K2265" t="s">
        <v>25</v>
      </c>
      <c r="L2265" t="str">
        <f>_xlfn.XLOOKUP(K2265,[2]analyte_order!$B:$B,[2]analyte_order!$C:$C)</f>
        <v>375-73-5</v>
      </c>
      <c r="M2265">
        <f>_xlfn.XLOOKUP(L2265,[2]analyte_order!$C:$C,[2]analyte_order!$E:$E)</f>
        <v>14</v>
      </c>
      <c r="N2265">
        <v>4.4549999999999999E-2</v>
      </c>
    </row>
    <row r="2266" spans="1:14">
      <c r="A2266" t="s">
        <v>258</v>
      </c>
      <c r="B2266" t="str">
        <f>_xlfn.XLOOKUP(A2266,'[1]Tissue Data'!$A:$A,'[1]Tissue Data'!$C:$C)</f>
        <v>Spill</v>
      </c>
      <c r="C2266" s="2">
        <f>_xlfn.XLOOKUP(A2266,'[1]Tissue Data'!$A:$A,'[1]Tissue Data'!$D:$D)</f>
        <v>44314</v>
      </c>
      <c r="D2266" s="2" t="str">
        <f>_xlfn.XLOOKUP(A2266,'[1]Tissue Data'!$A:$A,'[1]Tissue Data'!$F:$F)</f>
        <v>Pumpkinseed</v>
      </c>
      <c r="E2266" t="str">
        <f>_xlfn.XLOOKUP(A2266,'[1]Tissue Data'!$A:$A,'[1]Tissue Data'!$H:$H)</f>
        <v>Lepomis</v>
      </c>
      <c r="F2266" t="str">
        <f>_xlfn.XLOOKUP(A2266,'[1]Tissue Data'!$A:$A,'[1]Tissue Data'!$I:$I)</f>
        <v>gibbosus</v>
      </c>
      <c r="G2266" t="str">
        <f>_xlfn.XLOOKUP(A2266,'[1]Tissue Data'!$A:$A,'[1]Tissue Data'!J:J)</f>
        <v>U</v>
      </c>
      <c r="H2266" t="str">
        <f>_xlfn.XLOOKUP(A2266,'[1]Tissue Data'!$A:$A,'[1]Tissue Data'!K:K)</f>
        <v>Whole Body</v>
      </c>
      <c r="I2266">
        <f>_xlfn.XLOOKUP(A2266,'[1]Tissue Data'!$A:$A,'[1]Tissue Data'!L:L)</f>
        <v>7.5</v>
      </c>
      <c r="J2266">
        <f>_xlfn.XLOOKUP(A2266,'[1]Tissue Data'!$A:$A,'[1]Tissue Data'!M:M)</f>
        <v>8.5500000000000007</v>
      </c>
      <c r="K2266" t="s">
        <v>26</v>
      </c>
      <c r="L2266" t="str">
        <f>_xlfn.XLOOKUP(K2266,[2]analyte_order!$B:$B,[2]analyte_order!$C:$C)</f>
        <v>2706-91-4</v>
      </c>
      <c r="M2266">
        <f>_xlfn.XLOOKUP(L2266,[2]analyte_order!$C:$C,[2]analyte_order!$E:$E)</f>
        <v>15</v>
      </c>
      <c r="N2266">
        <v>0.1145</v>
      </c>
    </row>
    <row r="2267" spans="1:14">
      <c r="A2267" t="s">
        <v>258</v>
      </c>
      <c r="B2267" t="str">
        <f>_xlfn.XLOOKUP(A2267,'[1]Tissue Data'!$A:$A,'[1]Tissue Data'!$C:$C)</f>
        <v>Spill</v>
      </c>
      <c r="C2267" s="2">
        <f>_xlfn.XLOOKUP(A2267,'[1]Tissue Data'!$A:$A,'[1]Tissue Data'!$D:$D)</f>
        <v>44314</v>
      </c>
      <c r="D2267" s="2" t="str">
        <f>_xlfn.XLOOKUP(A2267,'[1]Tissue Data'!$A:$A,'[1]Tissue Data'!$F:$F)</f>
        <v>Pumpkinseed</v>
      </c>
      <c r="E2267" t="str">
        <f>_xlfn.XLOOKUP(A2267,'[1]Tissue Data'!$A:$A,'[1]Tissue Data'!$H:$H)</f>
        <v>Lepomis</v>
      </c>
      <c r="F2267" t="str">
        <f>_xlfn.XLOOKUP(A2267,'[1]Tissue Data'!$A:$A,'[1]Tissue Data'!$I:$I)</f>
        <v>gibbosus</v>
      </c>
      <c r="G2267" t="str">
        <f>_xlfn.XLOOKUP(A2267,'[1]Tissue Data'!$A:$A,'[1]Tissue Data'!J:J)</f>
        <v>U</v>
      </c>
      <c r="H2267" t="str">
        <f>_xlfn.XLOOKUP(A2267,'[1]Tissue Data'!$A:$A,'[1]Tissue Data'!K:K)</f>
        <v>Whole Body</v>
      </c>
      <c r="I2267">
        <f>_xlfn.XLOOKUP(A2267,'[1]Tissue Data'!$A:$A,'[1]Tissue Data'!L:L)</f>
        <v>7.5</v>
      </c>
      <c r="J2267">
        <f>_xlfn.XLOOKUP(A2267,'[1]Tissue Data'!$A:$A,'[1]Tissue Data'!M:M)</f>
        <v>8.5500000000000007</v>
      </c>
      <c r="K2267" t="s">
        <v>27</v>
      </c>
      <c r="L2267" t="str">
        <f>_xlfn.XLOOKUP(K2267,[2]analyte_order!$B:$B,[2]analyte_order!$C:$C)</f>
        <v>355-46-4</v>
      </c>
      <c r="M2267">
        <f>_xlfn.XLOOKUP(L2267,[2]analyte_order!$C:$C,[2]analyte_order!$E:$E)</f>
        <v>16</v>
      </c>
      <c r="N2267">
        <v>5.05</v>
      </c>
    </row>
    <row r="2268" spans="1:14">
      <c r="A2268" t="s">
        <v>258</v>
      </c>
      <c r="B2268" t="str">
        <f>_xlfn.XLOOKUP(A2268,'[1]Tissue Data'!$A:$A,'[1]Tissue Data'!$C:$C)</f>
        <v>Spill</v>
      </c>
      <c r="C2268" s="2">
        <f>_xlfn.XLOOKUP(A2268,'[1]Tissue Data'!$A:$A,'[1]Tissue Data'!$D:$D)</f>
        <v>44314</v>
      </c>
      <c r="D2268" s="2" t="str">
        <f>_xlfn.XLOOKUP(A2268,'[1]Tissue Data'!$A:$A,'[1]Tissue Data'!$F:$F)</f>
        <v>Pumpkinseed</v>
      </c>
      <c r="E2268" t="str">
        <f>_xlfn.XLOOKUP(A2268,'[1]Tissue Data'!$A:$A,'[1]Tissue Data'!$H:$H)</f>
        <v>Lepomis</v>
      </c>
      <c r="F2268" t="str">
        <f>_xlfn.XLOOKUP(A2268,'[1]Tissue Data'!$A:$A,'[1]Tissue Data'!$I:$I)</f>
        <v>gibbosus</v>
      </c>
      <c r="G2268" t="str">
        <f>_xlfn.XLOOKUP(A2268,'[1]Tissue Data'!$A:$A,'[1]Tissue Data'!J:J)</f>
        <v>U</v>
      </c>
      <c r="H2268" t="str">
        <f>_xlfn.XLOOKUP(A2268,'[1]Tissue Data'!$A:$A,'[1]Tissue Data'!K:K)</f>
        <v>Whole Body</v>
      </c>
      <c r="I2268">
        <f>_xlfn.XLOOKUP(A2268,'[1]Tissue Data'!$A:$A,'[1]Tissue Data'!L:L)</f>
        <v>7.5</v>
      </c>
      <c r="J2268">
        <f>_xlfn.XLOOKUP(A2268,'[1]Tissue Data'!$A:$A,'[1]Tissue Data'!M:M)</f>
        <v>8.5500000000000007</v>
      </c>
      <c r="K2268" t="s">
        <v>28</v>
      </c>
      <c r="L2268" t="str">
        <f>_xlfn.XLOOKUP(K2268,[2]analyte_order!$B:$B,[2]analyte_order!$C:$C)</f>
        <v>375-92-8</v>
      </c>
      <c r="M2268">
        <f>_xlfn.XLOOKUP(L2268,[2]analyte_order!$C:$C,[2]analyte_order!$E:$E)</f>
        <v>17</v>
      </c>
      <c r="N2268">
        <v>0.81</v>
      </c>
    </row>
    <row r="2269" spans="1:14">
      <c r="A2269" t="s">
        <v>258</v>
      </c>
      <c r="B2269" t="str">
        <f>_xlfn.XLOOKUP(A2269,'[1]Tissue Data'!$A:$A,'[1]Tissue Data'!$C:$C)</f>
        <v>Spill</v>
      </c>
      <c r="C2269" s="2">
        <f>_xlfn.XLOOKUP(A2269,'[1]Tissue Data'!$A:$A,'[1]Tissue Data'!$D:$D)</f>
        <v>44314</v>
      </c>
      <c r="D2269" s="2" t="str">
        <f>_xlfn.XLOOKUP(A2269,'[1]Tissue Data'!$A:$A,'[1]Tissue Data'!$F:$F)</f>
        <v>Pumpkinseed</v>
      </c>
      <c r="E2269" t="str">
        <f>_xlfn.XLOOKUP(A2269,'[1]Tissue Data'!$A:$A,'[1]Tissue Data'!$H:$H)</f>
        <v>Lepomis</v>
      </c>
      <c r="F2269" t="str">
        <f>_xlfn.XLOOKUP(A2269,'[1]Tissue Data'!$A:$A,'[1]Tissue Data'!$I:$I)</f>
        <v>gibbosus</v>
      </c>
      <c r="G2269" t="str">
        <f>_xlfn.XLOOKUP(A2269,'[1]Tissue Data'!$A:$A,'[1]Tissue Data'!J:J)</f>
        <v>U</v>
      </c>
      <c r="H2269" t="str">
        <f>_xlfn.XLOOKUP(A2269,'[1]Tissue Data'!$A:$A,'[1]Tissue Data'!K:K)</f>
        <v>Whole Body</v>
      </c>
      <c r="I2269">
        <f>_xlfn.XLOOKUP(A2269,'[1]Tissue Data'!$A:$A,'[1]Tissue Data'!L:L)</f>
        <v>7.5</v>
      </c>
      <c r="J2269">
        <f>_xlfn.XLOOKUP(A2269,'[1]Tissue Data'!$A:$A,'[1]Tissue Data'!M:M)</f>
        <v>8.5500000000000007</v>
      </c>
      <c r="K2269" t="s">
        <v>29</v>
      </c>
      <c r="L2269" t="str">
        <f>_xlfn.XLOOKUP(K2269,[2]analyte_order!$B:$B,[2]analyte_order!$C:$C)</f>
        <v>1763-23-1</v>
      </c>
      <c r="M2269">
        <f>_xlfn.XLOOKUP(L2269,[2]analyte_order!$C:$C,[2]analyte_order!$E:$E)</f>
        <v>18</v>
      </c>
      <c r="N2269">
        <v>332</v>
      </c>
    </row>
    <row r="2270" spans="1:14">
      <c r="A2270" t="s">
        <v>258</v>
      </c>
      <c r="B2270" t="str">
        <f>_xlfn.XLOOKUP(A2270,'[1]Tissue Data'!$A:$A,'[1]Tissue Data'!$C:$C)</f>
        <v>Spill</v>
      </c>
      <c r="C2270" s="2">
        <f>_xlfn.XLOOKUP(A2270,'[1]Tissue Data'!$A:$A,'[1]Tissue Data'!$D:$D)</f>
        <v>44314</v>
      </c>
      <c r="D2270" s="2" t="str">
        <f>_xlfn.XLOOKUP(A2270,'[1]Tissue Data'!$A:$A,'[1]Tissue Data'!$F:$F)</f>
        <v>Pumpkinseed</v>
      </c>
      <c r="E2270" t="str">
        <f>_xlfn.XLOOKUP(A2270,'[1]Tissue Data'!$A:$A,'[1]Tissue Data'!$H:$H)</f>
        <v>Lepomis</v>
      </c>
      <c r="F2270" t="str">
        <f>_xlfn.XLOOKUP(A2270,'[1]Tissue Data'!$A:$A,'[1]Tissue Data'!$I:$I)</f>
        <v>gibbosus</v>
      </c>
      <c r="G2270" t="str">
        <f>_xlfn.XLOOKUP(A2270,'[1]Tissue Data'!$A:$A,'[1]Tissue Data'!J:J)</f>
        <v>U</v>
      </c>
      <c r="H2270" t="str">
        <f>_xlfn.XLOOKUP(A2270,'[1]Tissue Data'!$A:$A,'[1]Tissue Data'!K:K)</f>
        <v>Whole Body</v>
      </c>
      <c r="I2270">
        <f>_xlfn.XLOOKUP(A2270,'[1]Tissue Data'!$A:$A,'[1]Tissue Data'!L:L)</f>
        <v>7.5</v>
      </c>
      <c r="J2270">
        <f>_xlfn.XLOOKUP(A2270,'[1]Tissue Data'!$A:$A,'[1]Tissue Data'!M:M)</f>
        <v>8.5500000000000007</v>
      </c>
      <c r="K2270" t="s">
        <v>30</v>
      </c>
      <c r="L2270" t="str">
        <f>_xlfn.XLOOKUP(K2270,[2]analyte_order!$B:$B,[2]analyte_order!$C:$C)</f>
        <v>68259-12-1</v>
      </c>
      <c r="M2270">
        <f>_xlfn.XLOOKUP(L2270,[2]analyte_order!$C:$C,[2]analyte_order!$E:$E)</f>
        <v>19</v>
      </c>
      <c r="N2270">
        <v>0.95399999999999996</v>
      </c>
    </row>
    <row r="2271" spans="1:14">
      <c r="A2271" t="s">
        <v>258</v>
      </c>
      <c r="B2271" t="str">
        <f>_xlfn.XLOOKUP(A2271,'[1]Tissue Data'!$A:$A,'[1]Tissue Data'!$C:$C)</f>
        <v>Spill</v>
      </c>
      <c r="C2271" s="2">
        <f>_xlfn.XLOOKUP(A2271,'[1]Tissue Data'!$A:$A,'[1]Tissue Data'!$D:$D)</f>
        <v>44314</v>
      </c>
      <c r="D2271" s="2" t="str">
        <f>_xlfn.XLOOKUP(A2271,'[1]Tissue Data'!$A:$A,'[1]Tissue Data'!$F:$F)</f>
        <v>Pumpkinseed</v>
      </c>
      <c r="E2271" t="str">
        <f>_xlfn.XLOOKUP(A2271,'[1]Tissue Data'!$A:$A,'[1]Tissue Data'!$H:$H)</f>
        <v>Lepomis</v>
      </c>
      <c r="F2271" t="str">
        <f>_xlfn.XLOOKUP(A2271,'[1]Tissue Data'!$A:$A,'[1]Tissue Data'!$I:$I)</f>
        <v>gibbosus</v>
      </c>
      <c r="G2271" t="str">
        <f>_xlfn.XLOOKUP(A2271,'[1]Tissue Data'!$A:$A,'[1]Tissue Data'!J:J)</f>
        <v>U</v>
      </c>
      <c r="H2271" t="str">
        <f>_xlfn.XLOOKUP(A2271,'[1]Tissue Data'!$A:$A,'[1]Tissue Data'!K:K)</f>
        <v>Whole Body</v>
      </c>
      <c r="I2271">
        <f>_xlfn.XLOOKUP(A2271,'[1]Tissue Data'!$A:$A,'[1]Tissue Data'!L:L)</f>
        <v>7.5</v>
      </c>
      <c r="J2271">
        <f>_xlfn.XLOOKUP(A2271,'[1]Tissue Data'!$A:$A,'[1]Tissue Data'!M:M)</f>
        <v>8.5500000000000007</v>
      </c>
      <c r="K2271" t="s">
        <v>31</v>
      </c>
      <c r="L2271" t="str">
        <f>_xlfn.XLOOKUP(K2271,[2]analyte_order!$B:$B,[2]analyte_order!$C:$C)</f>
        <v>335-77-3</v>
      </c>
      <c r="M2271">
        <f>_xlfn.XLOOKUP(L2271,[2]analyte_order!$C:$C,[2]analyte_order!$E:$E)</f>
        <v>20</v>
      </c>
      <c r="N2271">
        <v>5.21</v>
      </c>
    </row>
    <row r="2272" spans="1:14">
      <c r="A2272" t="s">
        <v>258</v>
      </c>
      <c r="B2272" t="str">
        <f>_xlfn.XLOOKUP(A2272,'[1]Tissue Data'!$A:$A,'[1]Tissue Data'!$C:$C)</f>
        <v>Spill</v>
      </c>
      <c r="C2272" s="2">
        <f>_xlfn.XLOOKUP(A2272,'[1]Tissue Data'!$A:$A,'[1]Tissue Data'!$D:$D)</f>
        <v>44314</v>
      </c>
      <c r="D2272" s="2" t="str">
        <f>_xlfn.XLOOKUP(A2272,'[1]Tissue Data'!$A:$A,'[1]Tissue Data'!$F:$F)</f>
        <v>Pumpkinseed</v>
      </c>
      <c r="E2272" t="str">
        <f>_xlfn.XLOOKUP(A2272,'[1]Tissue Data'!$A:$A,'[1]Tissue Data'!$H:$H)</f>
        <v>Lepomis</v>
      </c>
      <c r="F2272" t="str">
        <f>_xlfn.XLOOKUP(A2272,'[1]Tissue Data'!$A:$A,'[1]Tissue Data'!$I:$I)</f>
        <v>gibbosus</v>
      </c>
      <c r="G2272" t="str">
        <f>_xlfn.XLOOKUP(A2272,'[1]Tissue Data'!$A:$A,'[1]Tissue Data'!J:J)</f>
        <v>U</v>
      </c>
      <c r="H2272" t="str">
        <f>_xlfn.XLOOKUP(A2272,'[1]Tissue Data'!$A:$A,'[1]Tissue Data'!K:K)</f>
        <v>Whole Body</v>
      </c>
      <c r="I2272">
        <f>_xlfn.XLOOKUP(A2272,'[1]Tissue Data'!$A:$A,'[1]Tissue Data'!L:L)</f>
        <v>7.5</v>
      </c>
      <c r="J2272">
        <f>_xlfn.XLOOKUP(A2272,'[1]Tissue Data'!$A:$A,'[1]Tissue Data'!M:M)</f>
        <v>8.5500000000000007</v>
      </c>
      <c r="K2272" t="s">
        <v>32</v>
      </c>
      <c r="L2272" t="str">
        <f>_xlfn.XLOOKUP(K2272,[2]analyte_order!$B:$B,[2]analyte_order!$C:$C)</f>
        <v>79780-39-5</v>
      </c>
      <c r="M2272">
        <f>_xlfn.XLOOKUP(L2272,[2]analyte_order!$C:$C,[2]analyte_order!$E:$E)</f>
        <v>21</v>
      </c>
      <c r="N2272">
        <v>0.23100000000000001</v>
      </c>
    </row>
    <row r="2273" spans="1:14">
      <c r="A2273" t="s">
        <v>258</v>
      </c>
      <c r="B2273" t="str">
        <f>_xlfn.XLOOKUP(A2273,'[1]Tissue Data'!$A:$A,'[1]Tissue Data'!$C:$C)</f>
        <v>Spill</v>
      </c>
      <c r="C2273" s="2">
        <f>_xlfn.XLOOKUP(A2273,'[1]Tissue Data'!$A:$A,'[1]Tissue Data'!$D:$D)</f>
        <v>44314</v>
      </c>
      <c r="D2273" s="2" t="str">
        <f>_xlfn.XLOOKUP(A2273,'[1]Tissue Data'!$A:$A,'[1]Tissue Data'!$F:$F)</f>
        <v>Pumpkinseed</v>
      </c>
      <c r="E2273" t="str">
        <f>_xlfn.XLOOKUP(A2273,'[1]Tissue Data'!$A:$A,'[1]Tissue Data'!$H:$H)</f>
        <v>Lepomis</v>
      </c>
      <c r="F2273" t="str">
        <f>_xlfn.XLOOKUP(A2273,'[1]Tissue Data'!$A:$A,'[1]Tissue Data'!$I:$I)</f>
        <v>gibbosus</v>
      </c>
      <c r="G2273" t="str">
        <f>_xlfn.XLOOKUP(A2273,'[1]Tissue Data'!$A:$A,'[1]Tissue Data'!J:J)</f>
        <v>U</v>
      </c>
      <c r="H2273" t="str">
        <f>_xlfn.XLOOKUP(A2273,'[1]Tissue Data'!$A:$A,'[1]Tissue Data'!K:K)</f>
        <v>Whole Body</v>
      </c>
      <c r="I2273">
        <f>_xlfn.XLOOKUP(A2273,'[1]Tissue Data'!$A:$A,'[1]Tissue Data'!L:L)</f>
        <v>7.5</v>
      </c>
      <c r="J2273">
        <f>_xlfn.XLOOKUP(A2273,'[1]Tissue Data'!$A:$A,'[1]Tissue Data'!M:M)</f>
        <v>8.5500000000000007</v>
      </c>
      <c r="K2273" t="s">
        <v>33</v>
      </c>
      <c r="L2273" t="str">
        <f>_xlfn.XLOOKUP(K2273,[2]analyte_order!$B:$B,[2]analyte_order!$C:$C)</f>
        <v>777011-38-8</v>
      </c>
      <c r="M2273">
        <f>_xlfn.XLOOKUP(L2273,[2]analyte_order!$C:$C,[2]analyte_order!$E:$E)</f>
        <v>54</v>
      </c>
      <c r="N2273">
        <v>0.13100000000000001</v>
      </c>
    </row>
    <row r="2274" spans="1:14">
      <c r="A2274" t="s">
        <v>258</v>
      </c>
      <c r="B2274" t="str">
        <f>_xlfn.XLOOKUP(A2274,'[1]Tissue Data'!$A:$A,'[1]Tissue Data'!$C:$C)</f>
        <v>Spill</v>
      </c>
      <c r="C2274" s="2">
        <f>_xlfn.XLOOKUP(A2274,'[1]Tissue Data'!$A:$A,'[1]Tissue Data'!$D:$D)</f>
        <v>44314</v>
      </c>
      <c r="D2274" s="2" t="str">
        <f>_xlfn.XLOOKUP(A2274,'[1]Tissue Data'!$A:$A,'[1]Tissue Data'!$F:$F)</f>
        <v>Pumpkinseed</v>
      </c>
      <c r="E2274" t="str">
        <f>_xlfn.XLOOKUP(A2274,'[1]Tissue Data'!$A:$A,'[1]Tissue Data'!$H:$H)</f>
        <v>Lepomis</v>
      </c>
      <c r="F2274" t="str">
        <f>_xlfn.XLOOKUP(A2274,'[1]Tissue Data'!$A:$A,'[1]Tissue Data'!$I:$I)</f>
        <v>gibbosus</v>
      </c>
      <c r="G2274" t="str">
        <f>_xlfn.XLOOKUP(A2274,'[1]Tissue Data'!$A:$A,'[1]Tissue Data'!J:J)</f>
        <v>U</v>
      </c>
      <c r="H2274" t="str">
        <f>_xlfn.XLOOKUP(A2274,'[1]Tissue Data'!$A:$A,'[1]Tissue Data'!K:K)</f>
        <v>Whole Body</v>
      </c>
      <c r="I2274">
        <f>_xlfn.XLOOKUP(A2274,'[1]Tissue Data'!$A:$A,'[1]Tissue Data'!L:L)</f>
        <v>7.5</v>
      </c>
      <c r="J2274">
        <f>_xlfn.XLOOKUP(A2274,'[1]Tissue Data'!$A:$A,'[1]Tissue Data'!M:M)</f>
        <v>8.5500000000000007</v>
      </c>
      <c r="K2274" t="s">
        <v>34</v>
      </c>
      <c r="L2274" t="str">
        <f>_xlfn.XLOOKUP(K2274,[2]analyte_order!$B:$B,[2]analyte_order!$C:$C)</f>
        <v>646-83-3</v>
      </c>
      <c r="M2274">
        <f>_xlfn.XLOOKUP(L2274,[2]analyte_order!$C:$C,[2]analyte_order!$E:$E)</f>
        <v>55</v>
      </c>
      <c r="N2274">
        <v>8.6499999999999994E-2</v>
      </c>
    </row>
    <row r="2275" spans="1:14">
      <c r="A2275" t="s">
        <v>258</v>
      </c>
      <c r="B2275" t="str">
        <f>_xlfn.XLOOKUP(A2275,'[1]Tissue Data'!$A:$A,'[1]Tissue Data'!$C:$C)</f>
        <v>Spill</v>
      </c>
      <c r="C2275" s="2">
        <f>_xlfn.XLOOKUP(A2275,'[1]Tissue Data'!$A:$A,'[1]Tissue Data'!$D:$D)</f>
        <v>44314</v>
      </c>
      <c r="D2275" s="2" t="str">
        <f>_xlfn.XLOOKUP(A2275,'[1]Tissue Data'!$A:$A,'[1]Tissue Data'!$F:$F)</f>
        <v>Pumpkinseed</v>
      </c>
      <c r="E2275" t="str">
        <f>_xlfn.XLOOKUP(A2275,'[1]Tissue Data'!$A:$A,'[1]Tissue Data'!$H:$H)</f>
        <v>Lepomis</v>
      </c>
      <c r="F2275" t="str">
        <f>_xlfn.XLOOKUP(A2275,'[1]Tissue Data'!$A:$A,'[1]Tissue Data'!$I:$I)</f>
        <v>gibbosus</v>
      </c>
      <c r="G2275" t="str">
        <f>_xlfn.XLOOKUP(A2275,'[1]Tissue Data'!$A:$A,'[1]Tissue Data'!J:J)</f>
        <v>U</v>
      </c>
      <c r="H2275" t="str">
        <f>_xlfn.XLOOKUP(A2275,'[1]Tissue Data'!$A:$A,'[1]Tissue Data'!K:K)</f>
        <v>Whole Body</v>
      </c>
      <c r="I2275">
        <f>_xlfn.XLOOKUP(A2275,'[1]Tissue Data'!$A:$A,'[1]Tissue Data'!L:L)</f>
        <v>7.5</v>
      </c>
      <c r="J2275">
        <f>_xlfn.XLOOKUP(A2275,'[1]Tissue Data'!$A:$A,'[1]Tissue Data'!M:M)</f>
        <v>8.5500000000000007</v>
      </c>
      <c r="K2275" t="s">
        <v>35</v>
      </c>
      <c r="L2275" t="str">
        <f>_xlfn.XLOOKUP(K2275,[2]analyte_order!$B:$B,[2]analyte_order!$C:$C)</f>
        <v>30334-69-1</v>
      </c>
      <c r="M2275">
        <f>_xlfn.XLOOKUP(L2275,[2]analyte_order!$C:$C,[2]analyte_order!$E:$E)</f>
        <v>51</v>
      </c>
      <c r="N2275">
        <v>20.6</v>
      </c>
    </row>
    <row r="2276" spans="1:14">
      <c r="A2276" t="s">
        <v>258</v>
      </c>
      <c r="B2276" t="str">
        <f>_xlfn.XLOOKUP(A2276,'[1]Tissue Data'!$A:$A,'[1]Tissue Data'!$C:$C)</f>
        <v>Spill</v>
      </c>
      <c r="C2276" s="2">
        <f>_xlfn.XLOOKUP(A2276,'[1]Tissue Data'!$A:$A,'[1]Tissue Data'!$D:$D)</f>
        <v>44314</v>
      </c>
      <c r="D2276" s="2" t="str">
        <f>_xlfn.XLOOKUP(A2276,'[1]Tissue Data'!$A:$A,'[1]Tissue Data'!$F:$F)</f>
        <v>Pumpkinseed</v>
      </c>
      <c r="E2276" t="str">
        <f>_xlfn.XLOOKUP(A2276,'[1]Tissue Data'!$A:$A,'[1]Tissue Data'!$H:$H)</f>
        <v>Lepomis</v>
      </c>
      <c r="F2276" t="str">
        <f>_xlfn.XLOOKUP(A2276,'[1]Tissue Data'!$A:$A,'[1]Tissue Data'!$I:$I)</f>
        <v>gibbosus</v>
      </c>
      <c r="G2276" t="str">
        <f>_xlfn.XLOOKUP(A2276,'[1]Tissue Data'!$A:$A,'[1]Tissue Data'!J:J)</f>
        <v>U</v>
      </c>
      <c r="H2276" t="str">
        <f>_xlfn.XLOOKUP(A2276,'[1]Tissue Data'!$A:$A,'[1]Tissue Data'!K:K)</f>
        <v>Whole Body</v>
      </c>
      <c r="I2276">
        <f>_xlfn.XLOOKUP(A2276,'[1]Tissue Data'!$A:$A,'[1]Tissue Data'!L:L)</f>
        <v>7.5</v>
      </c>
      <c r="J2276">
        <f>_xlfn.XLOOKUP(A2276,'[1]Tissue Data'!$A:$A,'[1]Tissue Data'!M:M)</f>
        <v>8.5500000000000007</v>
      </c>
      <c r="K2276" t="s">
        <v>36</v>
      </c>
      <c r="L2276" t="str">
        <f>_xlfn.XLOOKUP(K2276,[2]analyte_order!$B:$B,[2]analyte_order!$C:$C)</f>
        <v>41997-13-1</v>
      </c>
      <c r="M2276">
        <f>_xlfn.XLOOKUP(L2276,[2]analyte_order!$C:$C,[2]analyte_order!$E:$E)</f>
        <v>52</v>
      </c>
      <c r="N2276">
        <v>40.799999999999997</v>
      </c>
    </row>
    <row r="2277" spans="1:14">
      <c r="A2277" t="s">
        <v>258</v>
      </c>
      <c r="B2277" t="str">
        <f>_xlfn.XLOOKUP(A2277,'[1]Tissue Data'!$A:$A,'[1]Tissue Data'!$C:$C)</f>
        <v>Spill</v>
      </c>
      <c r="C2277" s="2">
        <f>_xlfn.XLOOKUP(A2277,'[1]Tissue Data'!$A:$A,'[1]Tissue Data'!$D:$D)</f>
        <v>44314</v>
      </c>
      <c r="D2277" s="2" t="str">
        <f>_xlfn.XLOOKUP(A2277,'[1]Tissue Data'!$A:$A,'[1]Tissue Data'!$F:$F)</f>
        <v>Pumpkinseed</v>
      </c>
      <c r="E2277" t="str">
        <f>_xlfn.XLOOKUP(A2277,'[1]Tissue Data'!$A:$A,'[1]Tissue Data'!$H:$H)</f>
        <v>Lepomis</v>
      </c>
      <c r="F2277" t="str">
        <f>_xlfn.XLOOKUP(A2277,'[1]Tissue Data'!$A:$A,'[1]Tissue Data'!$I:$I)</f>
        <v>gibbosus</v>
      </c>
      <c r="G2277" t="str">
        <f>_xlfn.XLOOKUP(A2277,'[1]Tissue Data'!$A:$A,'[1]Tissue Data'!J:J)</f>
        <v>U</v>
      </c>
      <c r="H2277" t="str">
        <f>_xlfn.XLOOKUP(A2277,'[1]Tissue Data'!$A:$A,'[1]Tissue Data'!K:K)</f>
        <v>Whole Body</v>
      </c>
      <c r="I2277">
        <f>_xlfn.XLOOKUP(A2277,'[1]Tissue Data'!$A:$A,'[1]Tissue Data'!L:L)</f>
        <v>7.5</v>
      </c>
      <c r="J2277">
        <f>_xlfn.XLOOKUP(A2277,'[1]Tissue Data'!$A:$A,'[1]Tissue Data'!M:M)</f>
        <v>8.5500000000000007</v>
      </c>
      <c r="K2277" t="s">
        <v>37</v>
      </c>
      <c r="L2277" t="str">
        <f>_xlfn.XLOOKUP(K2277,[2]analyte_order!$B:$B,[2]analyte_order!$C:$C)</f>
        <v>754-91-6</v>
      </c>
      <c r="M2277">
        <f>_xlfn.XLOOKUP(L2277,[2]analyte_order!$C:$C,[2]analyte_order!$E:$E)</f>
        <v>28</v>
      </c>
      <c r="N2277">
        <v>19.100000000000001</v>
      </c>
    </row>
    <row r="2278" spans="1:14">
      <c r="A2278" t="s">
        <v>258</v>
      </c>
      <c r="B2278" t="str">
        <f>_xlfn.XLOOKUP(A2278,'[1]Tissue Data'!$A:$A,'[1]Tissue Data'!$C:$C)</f>
        <v>Spill</v>
      </c>
      <c r="C2278" s="2">
        <f>_xlfn.XLOOKUP(A2278,'[1]Tissue Data'!$A:$A,'[1]Tissue Data'!$D:$D)</f>
        <v>44314</v>
      </c>
      <c r="D2278" s="2" t="str">
        <f>_xlfn.XLOOKUP(A2278,'[1]Tissue Data'!$A:$A,'[1]Tissue Data'!$F:$F)</f>
        <v>Pumpkinseed</v>
      </c>
      <c r="E2278" t="str">
        <f>_xlfn.XLOOKUP(A2278,'[1]Tissue Data'!$A:$A,'[1]Tissue Data'!$H:$H)</f>
        <v>Lepomis</v>
      </c>
      <c r="F2278" t="str">
        <f>_xlfn.XLOOKUP(A2278,'[1]Tissue Data'!$A:$A,'[1]Tissue Data'!$I:$I)</f>
        <v>gibbosus</v>
      </c>
      <c r="G2278" t="str">
        <f>_xlfn.XLOOKUP(A2278,'[1]Tissue Data'!$A:$A,'[1]Tissue Data'!J:J)</f>
        <v>U</v>
      </c>
      <c r="H2278" t="str">
        <f>_xlfn.XLOOKUP(A2278,'[1]Tissue Data'!$A:$A,'[1]Tissue Data'!K:K)</f>
        <v>Whole Body</v>
      </c>
      <c r="I2278">
        <f>_xlfn.XLOOKUP(A2278,'[1]Tissue Data'!$A:$A,'[1]Tissue Data'!L:L)</f>
        <v>7.5</v>
      </c>
      <c r="J2278">
        <f>_xlfn.XLOOKUP(A2278,'[1]Tissue Data'!$A:$A,'[1]Tissue Data'!M:M)</f>
        <v>8.5500000000000007</v>
      </c>
      <c r="K2278" t="s">
        <v>38</v>
      </c>
      <c r="L2278" t="str">
        <f>_xlfn.XLOOKUP(K2278,[2]analyte_order!$B:$B,[2]analyte_order!$C:$C)</f>
        <v>31506-32-8</v>
      </c>
      <c r="M2278">
        <f>_xlfn.XLOOKUP(L2278,[2]analyte_order!$C:$C,[2]analyte_order!$E:$E)</f>
        <v>30</v>
      </c>
      <c r="N2278">
        <v>5.0500000000000003E-2</v>
      </c>
    </row>
    <row r="2279" spans="1:14">
      <c r="A2279" t="s">
        <v>258</v>
      </c>
      <c r="B2279" t="str">
        <f>_xlfn.XLOOKUP(A2279,'[1]Tissue Data'!$A:$A,'[1]Tissue Data'!$C:$C)</f>
        <v>Spill</v>
      </c>
      <c r="C2279" s="2">
        <f>_xlfn.XLOOKUP(A2279,'[1]Tissue Data'!$A:$A,'[1]Tissue Data'!$D:$D)</f>
        <v>44314</v>
      </c>
      <c r="D2279" s="2" t="str">
        <f>_xlfn.XLOOKUP(A2279,'[1]Tissue Data'!$A:$A,'[1]Tissue Data'!$F:$F)</f>
        <v>Pumpkinseed</v>
      </c>
      <c r="E2279" t="str">
        <f>_xlfn.XLOOKUP(A2279,'[1]Tissue Data'!$A:$A,'[1]Tissue Data'!$H:$H)</f>
        <v>Lepomis</v>
      </c>
      <c r="F2279" t="str">
        <f>_xlfn.XLOOKUP(A2279,'[1]Tissue Data'!$A:$A,'[1]Tissue Data'!$I:$I)</f>
        <v>gibbosus</v>
      </c>
      <c r="G2279" t="str">
        <f>_xlfn.XLOOKUP(A2279,'[1]Tissue Data'!$A:$A,'[1]Tissue Data'!J:J)</f>
        <v>U</v>
      </c>
      <c r="H2279" t="str">
        <f>_xlfn.XLOOKUP(A2279,'[1]Tissue Data'!$A:$A,'[1]Tissue Data'!K:K)</f>
        <v>Whole Body</v>
      </c>
      <c r="I2279">
        <f>_xlfn.XLOOKUP(A2279,'[1]Tissue Data'!$A:$A,'[1]Tissue Data'!L:L)</f>
        <v>7.5</v>
      </c>
      <c r="J2279">
        <f>_xlfn.XLOOKUP(A2279,'[1]Tissue Data'!$A:$A,'[1]Tissue Data'!M:M)</f>
        <v>8.5500000000000007</v>
      </c>
      <c r="K2279" t="s">
        <v>39</v>
      </c>
      <c r="L2279" t="str">
        <f>_xlfn.XLOOKUP(K2279,[2]analyte_order!$B:$B,[2]analyte_order!$C:$C)</f>
        <v>4151-50-2</v>
      </c>
      <c r="M2279">
        <f>_xlfn.XLOOKUP(L2279,[2]analyte_order!$C:$C,[2]analyte_order!$E:$E)</f>
        <v>31</v>
      </c>
      <c r="N2279">
        <v>7.6499999999999999E-2</v>
      </c>
    </row>
    <row r="2280" spans="1:14">
      <c r="A2280" t="s">
        <v>258</v>
      </c>
      <c r="B2280" t="str">
        <f>_xlfn.XLOOKUP(A2280,'[1]Tissue Data'!$A:$A,'[1]Tissue Data'!$C:$C)</f>
        <v>Spill</v>
      </c>
      <c r="C2280" s="2">
        <f>_xlfn.XLOOKUP(A2280,'[1]Tissue Data'!$A:$A,'[1]Tissue Data'!$D:$D)</f>
        <v>44314</v>
      </c>
      <c r="D2280" s="2" t="str">
        <f>_xlfn.XLOOKUP(A2280,'[1]Tissue Data'!$A:$A,'[1]Tissue Data'!$F:$F)</f>
        <v>Pumpkinseed</v>
      </c>
      <c r="E2280" t="str">
        <f>_xlfn.XLOOKUP(A2280,'[1]Tissue Data'!$A:$A,'[1]Tissue Data'!$H:$H)</f>
        <v>Lepomis</v>
      </c>
      <c r="F2280" t="str">
        <f>_xlfn.XLOOKUP(A2280,'[1]Tissue Data'!$A:$A,'[1]Tissue Data'!$I:$I)</f>
        <v>gibbosus</v>
      </c>
      <c r="G2280" t="str">
        <f>_xlfn.XLOOKUP(A2280,'[1]Tissue Data'!$A:$A,'[1]Tissue Data'!J:J)</f>
        <v>U</v>
      </c>
      <c r="H2280" t="str">
        <f>_xlfn.XLOOKUP(A2280,'[1]Tissue Data'!$A:$A,'[1]Tissue Data'!K:K)</f>
        <v>Whole Body</v>
      </c>
      <c r="I2280">
        <f>_xlfn.XLOOKUP(A2280,'[1]Tissue Data'!$A:$A,'[1]Tissue Data'!L:L)</f>
        <v>7.5</v>
      </c>
      <c r="J2280">
        <f>_xlfn.XLOOKUP(A2280,'[1]Tissue Data'!$A:$A,'[1]Tissue Data'!M:M)</f>
        <v>8.5500000000000007</v>
      </c>
      <c r="K2280" t="s">
        <v>40</v>
      </c>
      <c r="L2280" t="str">
        <f>_xlfn.XLOOKUP(K2280,[2]analyte_order!$B:$B,[2]analyte_order!$C:$C)</f>
        <v>2806-24-8</v>
      </c>
      <c r="M2280">
        <f>_xlfn.XLOOKUP(L2280,[2]analyte_order!$C:$C,[2]analyte_order!$E:$E)</f>
        <v>29</v>
      </c>
      <c r="N2280">
        <v>5.1499999999999997E-2</v>
      </c>
    </row>
    <row r="2281" spans="1:14">
      <c r="A2281" t="s">
        <v>258</v>
      </c>
      <c r="B2281" t="str">
        <f>_xlfn.XLOOKUP(A2281,'[1]Tissue Data'!$A:$A,'[1]Tissue Data'!$C:$C)</f>
        <v>Spill</v>
      </c>
      <c r="C2281" s="2">
        <f>_xlfn.XLOOKUP(A2281,'[1]Tissue Data'!$A:$A,'[1]Tissue Data'!$D:$D)</f>
        <v>44314</v>
      </c>
      <c r="D2281" s="2" t="str">
        <f>_xlfn.XLOOKUP(A2281,'[1]Tissue Data'!$A:$A,'[1]Tissue Data'!$F:$F)</f>
        <v>Pumpkinseed</v>
      </c>
      <c r="E2281" t="str">
        <f>_xlfn.XLOOKUP(A2281,'[1]Tissue Data'!$A:$A,'[1]Tissue Data'!$H:$H)</f>
        <v>Lepomis</v>
      </c>
      <c r="F2281" t="str">
        <f>_xlfn.XLOOKUP(A2281,'[1]Tissue Data'!$A:$A,'[1]Tissue Data'!$I:$I)</f>
        <v>gibbosus</v>
      </c>
      <c r="G2281" t="str">
        <f>_xlfn.XLOOKUP(A2281,'[1]Tissue Data'!$A:$A,'[1]Tissue Data'!J:J)</f>
        <v>U</v>
      </c>
      <c r="H2281" t="str">
        <f>_xlfn.XLOOKUP(A2281,'[1]Tissue Data'!$A:$A,'[1]Tissue Data'!K:K)</f>
        <v>Whole Body</v>
      </c>
      <c r="I2281">
        <f>_xlfn.XLOOKUP(A2281,'[1]Tissue Data'!$A:$A,'[1]Tissue Data'!L:L)</f>
        <v>7.5</v>
      </c>
      <c r="J2281">
        <f>_xlfn.XLOOKUP(A2281,'[1]Tissue Data'!$A:$A,'[1]Tissue Data'!M:M)</f>
        <v>8.5500000000000007</v>
      </c>
      <c r="K2281" t="s">
        <v>41</v>
      </c>
      <c r="L2281" t="str">
        <f>_xlfn.XLOOKUP(K2281,[2]analyte_order!$B:$B,[2]analyte_order!$C:$C)</f>
        <v>2355-31-9</v>
      </c>
      <c r="M2281">
        <f>_xlfn.XLOOKUP(L2281,[2]analyte_order!$C:$C,[2]analyte_order!$E:$E)</f>
        <v>26</v>
      </c>
      <c r="N2281">
        <v>1.27</v>
      </c>
    </row>
    <row r="2282" spans="1:14">
      <c r="A2282" t="s">
        <v>258</v>
      </c>
      <c r="B2282" t="str">
        <f>_xlfn.XLOOKUP(A2282,'[1]Tissue Data'!$A:$A,'[1]Tissue Data'!$C:$C)</f>
        <v>Spill</v>
      </c>
      <c r="C2282" s="2">
        <f>_xlfn.XLOOKUP(A2282,'[1]Tissue Data'!$A:$A,'[1]Tissue Data'!$D:$D)</f>
        <v>44314</v>
      </c>
      <c r="D2282" s="2" t="str">
        <f>_xlfn.XLOOKUP(A2282,'[1]Tissue Data'!$A:$A,'[1]Tissue Data'!$F:$F)</f>
        <v>Pumpkinseed</v>
      </c>
      <c r="E2282" t="str">
        <f>_xlfn.XLOOKUP(A2282,'[1]Tissue Data'!$A:$A,'[1]Tissue Data'!$H:$H)</f>
        <v>Lepomis</v>
      </c>
      <c r="F2282" t="str">
        <f>_xlfn.XLOOKUP(A2282,'[1]Tissue Data'!$A:$A,'[1]Tissue Data'!$I:$I)</f>
        <v>gibbosus</v>
      </c>
      <c r="G2282" t="str">
        <f>_xlfn.XLOOKUP(A2282,'[1]Tissue Data'!$A:$A,'[1]Tissue Data'!J:J)</f>
        <v>U</v>
      </c>
      <c r="H2282" t="str">
        <f>_xlfn.XLOOKUP(A2282,'[1]Tissue Data'!$A:$A,'[1]Tissue Data'!K:K)</f>
        <v>Whole Body</v>
      </c>
      <c r="I2282">
        <f>_xlfn.XLOOKUP(A2282,'[1]Tissue Data'!$A:$A,'[1]Tissue Data'!L:L)</f>
        <v>7.5</v>
      </c>
      <c r="J2282">
        <f>_xlfn.XLOOKUP(A2282,'[1]Tissue Data'!$A:$A,'[1]Tissue Data'!M:M)</f>
        <v>8.5500000000000007</v>
      </c>
      <c r="K2282" t="s">
        <v>42</v>
      </c>
      <c r="L2282" t="str">
        <f>_xlfn.XLOOKUP(K2282,[2]analyte_order!$B:$B,[2]analyte_order!$C:$C)</f>
        <v>2991-50-6</v>
      </c>
      <c r="M2282">
        <f>_xlfn.XLOOKUP(L2282,[2]analyte_order!$C:$C,[2]analyte_order!$E:$E)</f>
        <v>27</v>
      </c>
      <c r="N2282">
        <v>5.7000000000000002E-2</v>
      </c>
    </row>
    <row r="2283" spans="1:14">
      <c r="A2283" t="s">
        <v>258</v>
      </c>
      <c r="B2283" t="str">
        <f>_xlfn.XLOOKUP(A2283,'[1]Tissue Data'!$A:$A,'[1]Tissue Data'!$C:$C)</f>
        <v>Spill</v>
      </c>
      <c r="C2283" s="2">
        <f>_xlfn.XLOOKUP(A2283,'[1]Tissue Data'!$A:$A,'[1]Tissue Data'!$D:$D)</f>
        <v>44314</v>
      </c>
      <c r="D2283" s="2" t="str">
        <f>_xlfn.XLOOKUP(A2283,'[1]Tissue Data'!$A:$A,'[1]Tissue Data'!$F:$F)</f>
        <v>Pumpkinseed</v>
      </c>
      <c r="E2283" t="str">
        <f>_xlfn.XLOOKUP(A2283,'[1]Tissue Data'!$A:$A,'[1]Tissue Data'!$H:$H)</f>
        <v>Lepomis</v>
      </c>
      <c r="F2283" t="str">
        <f>_xlfn.XLOOKUP(A2283,'[1]Tissue Data'!$A:$A,'[1]Tissue Data'!$I:$I)</f>
        <v>gibbosus</v>
      </c>
      <c r="G2283" t="str">
        <f>_xlfn.XLOOKUP(A2283,'[1]Tissue Data'!$A:$A,'[1]Tissue Data'!J:J)</f>
        <v>U</v>
      </c>
      <c r="H2283" t="str">
        <f>_xlfn.XLOOKUP(A2283,'[1]Tissue Data'!$A:$A,'[1]Tissue Data'!K:K)</f>
        <v>Whole Body</v>
      </c>
      <c r="I2283">
        <f>_xlfn.XLOOKUP(A2283,'[1]Tissue Data'!$A:$A,'[1]Tissue Data'!L:L)</f>
        <v>7.5</v>
      </c>
      <c r="J2283">
        <f>_xlfn.XLOOKUP(A2283,'[1]Tissue Data'!$A:$A,'[1]Tissue Data'!M:M)</f>
        <v>8.5500000000000007</v>
      </c>
      <c r="K2283" t="s">
        <v>43</v>
      </c>
      <c r="L2283" t="str">
        <f>_xlfn.XLOOKUP(K2283,[2]analyte_order!$B:$B,[2]analyte_order!$C:$C)</f>
        <v>757124-72-4</v>
      </c>
      <c r="M2283">
        <f>_xlfn.XLOOKUP(L2283,[2]analyte_order!$C:$C,[2]analyte_order!$E:$E)</f>
        <v>22</v>
      </c>
      <c r="N2283">
        <v>5.3999999999999999E-2</v>
      </c>
    </row>
    <row r="2284" spans="1:14">
      <c r="A2284" t="s">
        <v>258</v>
      </c>
      <c r="B2284" t="str">
        <f>_xlfn.XLOOKUP(A2284,'[1]Tissue Data'!$A:$A,'[1]Tissue Data'!$C:$C)</f>
        <v>Spill</v>
      </c>
      <c r="C2284" s="2">
        <f>_xlfn.XLOOKUP(A2284,'[1]Tissue Data'!$A:$A,'[1]Tissue Data'!$D:$D)</f>
        <v>44314</v>
      </c>
      <c r="D2284" s="2" t="str">
        <f>_xlfn.XLOOKUP(A2284,'[1]Tissue Data'!$A:$A,'[1]Tissue Data'!$F:$F)</f>
        <v>Pumpkinseed</v>
      </c>
      <c r="E2284" t="str">
        <f>_xlfn.XLOOKUP(A2284,'[1]Tissue Data'!$A:$A,'[1]Tissue Data'!$H:$H)</f>
        <v>Lepomis</v>
      </c>
      <c r="F2284" t="str">
        <f>_xlfn.XLOOKUP(A2284,'[1]Tissue Data'!$A:$A,'[1]Tissue Data'!$I:$I)</f>
        <v>gibbosus</v>
      </c>
      <c r="G2284" t="str">
        <f>_xlfn.XLOOKUP(A2284,'[1]Tissue Data'!$A:$A,'[1]Tissue Data'!J:J)</f>
        <v>U</v>
      </c>
      <c r="H2284" t="str">
        <f>_xlfn.XLOOKUP(A2284,'[1]Tissue Data'!$A:$A,'[1]Tissue Data'!K:K)</f>
        <v>Whole Body</v>
      </c>
      <c r="I2284">
        <f>_xlfn.XLOOKUP(A2284,'[1]Tissue Data'!$A:$A,'[1]Tissue Data'!L:L)</f>
        <v>7.5</v>
      </c>
      <c r="J2284">
        <f>_xlfn.XLOOKUP(A2284,'[1]Tissue Data'!$A:$A,'[1]Tissue Data'!M:M)</f>
        <v>8.5500000000000007</v>
      </c>
      <c r="K2284" t="s">
        <v>44</v>
      </c>
      <c r="L2284" t="str">
        <f>_xlfn.XLOOKUP(K2284,[2]analyte_order!$B:$B,[2]analyte_order!$C:$C)</f>
        <v>27619-97-2</v>
      </c>
      <c r="M2284">
        <f>_xlfn.XLOOKUP(L2284,[2]analyte_order!$C:$C,[2]analyte_order!$E:$E)</f>
        <v>23</v>
      </c>
      <c r="N2284">
        <v>0.1305</v>
      </c>
    </row>
    <row r="2285" spans="1:14">
      <c r="A2285" t="s">
        <v>258</v>
      </c>
      <c r="B2285" t="str">
        <f>_xlfn.XLOOKUP(A2285,'[1]Tissue Data'!$A:$A,'[1]Tissue Data'!$C:$C)</f>
        <v>Spill</v>
      </c>
      <c r="C2285" s="2">
        <f>_xlfn.XLOOKUP(A2285,'[1]Tissue Data'!$A:$A,'[1]Tissue Data'!$D:$D)</f>
        <v>44314</v>
      </c>
      <c r="D2285" s="2" t="str">
        <f>_xlfn.XLOOKUP(A2285,'[1]Tissue Data'!$A:$A,'[1]Tissue Data'!$F:$F)</f>
        <v>Pumpkinseed</v>
      </c>
      <c r="E2285" t="str">
        <f>_xlfn.XLOOKUP(A2285,'[1]Tissue Data'!$A:$A,'[1]Tissue Data'!$H:$H)</f>
        <v>Lepomis</v>
      </c>
      <c r="F2285" t="str">
        <f>_xlfn.XLOOKUP(A2285,'[1]Tissue Data'!$A:$A,'[1]Tissue Data'!$I:$I)</f>
        <v>gibbosus</v>
      </c>
      <c r="G2285" t="str">
        <f>_xlfn.XLOOKUP(A2285,'[1]Tissue Data'!$A:$A,'[1]Tissue Data'!J:J)</f>
        <v>U</v>
      </c>
      <c r="H2285" t="str">
        <f>_xlfn.XLOOKUP(A2285,'[1]Tissue Data'!$A:$A,'[1]Tissue Data'!K:K)</f>
        <v>Whole Body</v>
      </c>
      <c r="I2285">
        <f>_xlfn.XLOOKUP(A2285,'[1]Tissue Data'!$A:$A,'[1]Tissue Data'!L:L)</f>
        <v>7.5</v>
      </c>
      <c r="J2285">
        <f>_xlfn.XLOOKUP(A2285,'[1]Tissue Data'!$A:$A,'[1]Tissue Data'!M:M)</f>
        <v>8.5500000000000007</v>
      </c>
      <c r="K2285" t="s">
        <v>45</v>
      </c>
      <c r="L2285" t="str">
        <f>_xlfn.XLOOKUP(K2285,[2]analyte_order!$B:$B,[2]analyte_order!$C:$C)</f>
        <v>39108-34-4</v>
      </c>
      <c r="M2285">
        <f>_xlfn.XLOOKUP(L2285,[2]analyte_order!$C:$C,[2]analyte_order!$E:$E)</f>
        <v>24</v>
      </c>
      <c r="N2285">
        <v>1.1000000000000001</v>
      </c>
    </row>
    <row r="2286" spans="1:14">
      <c r="A2286" t="s">
        <v>258</v>
      </c>
      <c r="B2286" t="str">
        <f>_xlfn.XLOOKUP(A2286,'[1]Tissue Data'!$A:$A,'[1]Tissue Data'!$C:$C)</f>
        <v>Spill</v>
      </c>
      <c r="C2286" s="2">
        <f>_xlfn.XLOOKUP(A2286,'[1]Tissue Data'!$A:$A,'[1]Tissue Data'!$D:$D)</f>
        <v>44314</v>
      </c>
      <c r="D2286" s="2" t="str">
        <f>_xlfn.XLOOKUP(A2286,'[1]Tissue Data'!$A:$A,'[1]Tissue Data'!$F:$F)</f>
        <v>Pumpkinseed</v>
      </c>
      <c r="E2286" t="str">
        <f>_xlfn.XLOOKUP(A2286,'[1]Tissue Data'!$A:$A,'[1]Tissue Data'!$H:$H)</f>
        <v>Lepomis</v>
      </c>
      <c r="F2286" t="str">
        <f>_xlfn.XLOOKUP(A2286,'[1]Tissue Data'!$A:$A,'[1]Tissue Data'!$I:$I)</f>
        <v>gibbosus</v>
      </c>
      <c r="G2286" t="str">
        <f>_xlfn.XLOOKUP(A2286,'[1]Tissue Data'!$A:$A,'[1]Tissue Data'!J:J)</f>
        <v>U</v>
      </c>
      <c r="H2286" t="str">
        <f>_xlfn.XLOOKUP(A2286,'[1]Tissue Data'!$A:$A,'[1]Tissue Data'!K:K)</f>
        <v>Whole Body</v>
      </c>
      <c r="I2286">
        <f>_xlfn.XLOOKUP(A2286,'[1]Tissue Data'!$A:$A,'[1]Tissue Data'!L:L)</f>
        <v>7.5</v>
      </c>
      <c r="J2286">
        <f>_xlfn.XLOOKUP(A2286,'[1]Tissue Data'!$A:$A,'[1]Tissue Data'!M:M)</f>
        <v>8.5500000000000007</v>
      </c>
      <c r="K2286" t="s">
        <v>46</v>
      </c>
      <c r="L2286" t="str">
        <f>_xlfn.XLOOKUP(K2286,[2]analyte_order!$B:$B,[2]analyte_order!$C:$C)</f>
        <v>120226-60-0</v>
      </c>
      <c r="M2286">
        <f>_xlfn.XLOOKUP(L2286,[2]analyte_order!$C:$C,[2]analyte_order!$E:$E)</f>
        <v>25</v>
      </c>
      <c r="N2286">
        <v>0.245</v>
      </c>
    </row>
    <row r="2287" spans="1:14">
      <c r="A2287" t="s">
        <v>258</v>
      </c>
      <c r="B2287" t="str">
        <f>_xlfn.XLOOKUP(A2287,'[1]Tissue Data'!$A:$A,'[1]Tissue Data'!$C:$C)</f>
        <v>Spill</v>
      </c>
      <c r="C2287" s="2">
        <f>_xlfn.XLOOKUP(A2287,'[1]Tissue Data'!$A:$A,'[1]Tissue Data'!$D:$D)</f>
        <v>44314</v>
      </c>
      <c r="D2287" s="2" t="str">
        <f>_xlfn.XLOOKUP(A2287,'[1]Tissue Data'!$A:$A,'[1]Tissue Data'!$F:$F)</f>
        <v>Pumpkinseed</v>
      </c>
      <c r="E2287" t="str">
        <f>_xlfn.XLOOKUP(A2287,'[1]Tissue Data'!$A:$A,'[1]Tissue Data'!$H:$H)</f>
        <v>Lepomis</v>
      </c>
      <c r="F2287" t="str">
        <f>_xlfn.XLOOKUP(A2287,'[1]Tissue Data'!$A:$A,'[1]Tissue Data'!$I:$I)</f>
        <v>gibbosus</v>
      </c>
      <c r="G2287" t="str">
        <f>_xlfn.XLOOKUP(A2287,'[1]Tissue Data'!$A:$A,'[1]Tissue Data'!J:J)</f>
        <v>U</v>
      </c>
      <c r="H2287" t="str">
        <f>_xlfn.XLOOKUP(A2287,'[1]Tissue Data'!$A:$A,'[1]Tissue Data'!K:K)</f>
        <v>Whole Body</v>
      </c>
      <c r="I2287">
        <f>_xlfn.XLOOKUP(A2287,'[1]Tissue Data'!$A:$A,'[1]Tissue Data'!L:L)</f>
        <v>7.5</v>
      </c>
      <c r="J2287">
        <f>_xlfn.XLOOKUP(A2287,'[1]Tissue Data'!$A:$A,'[1]Tissue Data'!M:M)</f>
        <v>8.5500000000000007</v>
      </c>
      <c r="K2287" t="s">
        <v>47</v>
      </c>
      <c r="L2287" t="str">
        <f>_xlfn.XLOOKUP(K2287,[2]analyte_order!$B:$B,[2]analyte_order!$C:$C)</f>
        <v>356-02-5</v>
      </c>
      <c r="M2287">
        <f>_xlfn.XLOOKUP(L2287,[2]analyte_order!$C:$C,[2]analyte_order!$E:$E)</f>
        <v>38</v>
      </c>
      <c r="N2287">
        <v>7.5499999999999998E-2</v>
      </c>
    </row>
    <row r="2288" spans="1:14">
      <c r="A2288" t="s">
        <v>258</v>
      </c>
      <c r="B2288" t="str">
        <f>_xlfn.XLOOKUP(A2288,'[1]Tissue Data'!$A:$A,'[1]Tissue Data'!$C:$C)</f>
        <v>Spill</v>
      </c>
      <c r="C2288" s="2">
        <f>_xlfn.XLOOKUP(A2288,'[1]Tissue Data'!$A:$A,'[1]Tissue Data'!$D:$D)</f>
        <v>44314</v>
      </c>
      <c r="D2288" s="2" t="str">
        <f>_xlfn.XLOOKUP(A2288,'[1]Tissue Data'!$A:$A,'[1]Tissue Data'!$F:$F)</f>
        <v>Pumpkinseed</v>
      </c>
      <c r="E2288" t="str">
        <f>_xlfn.XLOOKUP(A2288,'[1]Tissue Data'!$A:$A,'[1]Tissue Data'!$H:$H)</f>
        <v>Lepomis</v>
      </c>
      <c r="F2288" t="str">
        <f>_xlfn.XLOOKUP(A2288,'[1]Tissue Data'!$A:$A,'[1]Tissue Data'!$I:$I)</f>
        <v>gibbosus</v>
      </c>
      <c r="G2288" t="str">
        <f>_xlfn.XLOOKUP(A2288,'[1]Tissue Data'!$A:$A,'[1]Tissue Data'!J:J)</f>
        <v>U</v>
      </c>
      <c r="H2288" t="str">
        <f>_xlfn.XLOOKUP(A2288,'[1]Tissue Data'!$A:$A,'[1]Tissue Data'!K:K)</f>
        <v>Whole Body</v>
      </c>
      <c r="I2288">
        <f>_xlfn.XLOOKUP(A2288,'[1]Tissue Data'!$A:$A,'[1]Tissue Data'!L:L)</f>
        <v>7.5</v>
      </c>
      <c r="J2288">
        <f>_xlfn.XLOOKUP(A2288,'[1]Tissue Data'!$A:$A,'[1]Tissue Data'!M:M)</f>
        <v>8.5500000000000007</v>
      </c>
      <c r="K2288" t="s">
        <v>48</v>
      </c>
      <c r="L2288" t="str">
        <f>_xlfn.XLOOKUP(K2288,[2]analyte_order!$B:$B,[2]analyte_order!$C:$C)</f>
        <v>914637-49-3</v>
      </c>
      <c r="M2288">
        <f>_xlfn.XLOOKUP(L2288,[2]analyte_order!$C:$C,[2]analyte_order!$E:$E)</f>
        <v>39</v>
      </c>
      <c r="N2288">
        <v>1.1100000000000001</v>
      </c>
    </row>
    <row r="2289" spans="1:14">
      <c r="A2289" t="s">
        <v>258</v>
      </c>
      <c r="B2289" t="str">
        <f>_xlfn.XLOOKUP(A2289,'[1]Tissue Data'!$A:$A,'[1]Tissue Data'!$C:$C)</f>
        <v>Spill</v>
      </c>
      <c r="C2289" s="2">
        <f>_xlfn.XLOOKUP(A2289,'[1]Tissue Data'!$A:$A,'[1]Tissue Data'!$D:$D)</f>
        <v>44314</v>
      </c>
      <c r="D2289" s="2" t="str">
        <f>_xlfn.XLOOKUP(A2289,'[1]Tissue Data'!$A:$A,'[1]Tissue Data'!$F:$F)</f>
        <v>Pumpkinseed</v>
      </c>
      <c r="E2289" t="str">
        <f>_xlfn.XLOOKUP(A2289,'[1]Tissue Data'!$A:$A,'[1]Tissue Data'!$H:$H)</f>
        <v>Lepomis</v>
      </c>
      <c r="F2289" t="str">
        <f>_xlfn.XLOOKUP(A2289,'[1]Tissue Data'!$A:$A,'[1]Tissue Data'!$I:$I)</f>
        <v>gibbosus</v>
      </c>
      <c r="G2289" t="str">
        <f>_xlfn.XLOOKUP(A2289,'[1]Tissue Data'!$A:$A,'[1]Tissue Data'!J:J)</f>
        <v>U</v>
      </c>
      <c r="H2289" t="str">
        <f>_xlfn.XLOOKUP(A2289,'[1]Tissue Data'!$A:$A,'[1]Tissue Data'!K:K)</f>
        <v>Whole Body</v>
      </c>
      <c r="I2289">
        <f>_xlfn.XLOOKUP(A2289,'[1]Tissue Data'!$A:$A,'[1]Tissue Data'!L:L)</f>
        <v>7.5</v>
      </c>
      <c r="J2289">
        <f>_xlfn.XLOOKUP(A2289,'[1]Tissue Data'!$A:$A,'[1]Tissue Data'!M:M)</f>
        <v>8.5500000000000007</v>
      </c>
      <c r="K2289" t="s">
        <v>49</v>
      </c>
      <c r="L2289" t="str">
        <f>_xlfn.XLOOKUP(K2289,[2]analyte_order!$B:$B,[2]analyte_order!$C:$C)</f>
        <v>812-70-4</v>
      </c>
      <c r="M2289">
        <f>_xlfn.XLOOKUP(L2289,[2]analyte_order!$C:$C,[2]analyte_order!$E:$E)</f>
        <v>40</v>
      </c>
      <c r="N2289">
        <v>4.33</v>
      </c>
    </row>
    <row r="2290" spans="1:14">
      <c r="A2290" t="s">
        <v>258</v>
      </c>
      <c r="B2290" t="str">
        <f>_xlfn.XLOOKUP(A2290,'[1]Tissue Data'!$A:$A,'[1]Tissue Data'!$C:$C)</f>
        <v>Spill</v>
      </c>
      <c r="C2290" s="2">
        <f>_xlfn.XLOOKUP(A2290,'[1]Tissue Data'!$A:$A,'[1]Tissue Data'!$D:$D)</f>
        <v>44314</v>
      </c>
      <c r="D2290" s="2" t="str">
        <f>_xlfn.XLOOKUP(A2290,'[1]Tissue Data'!$A:$A,'[1]Tissue Data'!$F:$F)</f>
        <v>Pumpkinseed</v>
      </c>
      <c r="E2290" t="str">
        <f>_xlfn.XLOOKUP(A2290,'[1]Tissue Data'!$A:$A,'[1]Tissue Data'!$H:$H)</f>
        <v>Lepomis</v>
      </c>
      <c r="F2290" t="str">
        <f>_xlfn.XLOOKUP(A2290,'[1]Tissue Data'!$A:$A,'[1]Tissue Data'!$I:$I)</f>
        <v>gibbosus</v>
      </c>
      <c r="G2290" t="str">
        <f>_xlfn.XLOOKUP(A2290,'[1]Tissue Data'!$A:$A,'[1]Tissue Data'!J:J)</f>
        <v>U</v>
      </c>
      <c r="H2290" t="str">
        <f>_xlfn.XLOOKUP(A2290,'[1]Tissue Data'!$A:$A,'[1]Tissue Data'!K:K)</f>
        <v>Whole Body</v>
      </c>
      <c r="I2290">
        <f>_xlfn.XLOOKUP(A2290,'[1]Tissue Data'!$A:$A,'[1]Tissue Data'!L:L)</f>
        <v>7.5</v>
      </c>
      <c r="J2290">
        <f>_xlfn.XLOOKUP(A2290,'[1]Tissue Data'!$A:$A,'[1]Tissue Data'!M:M)</f>
        <v>8.5500000000000007</v>
      </c>
      <c r="K2290" t="s">
        <v>50</v>
      </c>
      <c r="L2290" t="str">
        <f>_xlfn.XLOOKUP(K2290,[2]analyte_order!$B:$B,[2]analyte_order!$C:$C)</f>
        <v>53826-12-3</v>
      </c>
      <c r="M2290">
        <f>_xlfn.XLOOKUP(L2290,[2]analyte_order!$C:$C,[2]analyte_order!$E:$E)</f>
        <v>41</v>
      </c>
      <c r="N2290">
        <v>4.1950000000000001E-2</v>
      </c>
    </row>
    <row r="2291" spans="1:14">
      <c r="A2291" t="s">
        <v>258</v>
      </c>
      <c r="B2291" t="str">
        <f>_xlfn.XLOOKUP(A2291,'[1]Tissue Data'!$A:$A,'[1]Tissue Data'!$C:$C)</f>
        <v>Spill</v>
      </c>
      <c r="C2291" s="2">
        <f>_xlfn.XLOOKUP(A2291,'[1]Tissue Data'!$A:$A,'[1]Tissue Data'!$D:$D)</f>
        <v>44314</v>
      </c>
      <c r="D2291" s="2" t="str">
        <f>_xlfn.XLOOKUP(A2291,'[1]Tissue Data'!$A:$A,'[1]Tissue Data'!$F:$F)</f>
        <v>Pumpkinseed</v>
      </c>
      <c r="E2291" t="str">
        <f>_xlfn.XLOOKUP(A2291,'[1]Tissue Data'!$A:$A,'[1]Tissue Data'!$H:$H)</f>
        <v>Lepomis</v>
      </c>
      <c r="F2291" t="str">
        <f>_xlfn.XLOOKUP(A2291,'[1]Tissue Data'!$A:$A,'[1]Tissue Data'!$I:$I)</f>
        <v>gibbosus</v>
      </c>
      <c r="G2291" t="str">
        <f>_xlfn.XLOOKUP(A2291,'[1]Tissue Data'!$A:$A,'[1]Tissue Data'!J:J)</f>
        <v>U</v>
      </c>
      <c r="H2291" t="str">
        <f>_xlfn.XLOOKUP(A2291,'[1]Tissue Data'!$A:$A,'[1]Tissue Data'!K:K)</f>
        <v>Whole Body</v>
      </c>
      <c r="I2291">
        <f>_xlfn.XLOOKUP(A2291,'[1]Tissue Data'!$A:$A,'[1]Tissue Data'!L:L)</f>
        <v>7.5</v>
      </c>
      <c r="J2291">
        <f>_xlfn.XLOOKUP(A2291,'[1]Tissue Data'!$A:$A,'[1]Tissue Data'!M:M)</f>
        <v>8.5500000000000007</v>
      </c>
      <c r="K2291" t="s">
        <v>51</v>
      </c>
      <c r="L2291" t="str">
        <f>_xlfn.XLOOKUP(K2291,[2]analyte_order!$B:$B,[2]analyte_order!$C:$C)</f>
        <v>27854-31-5</v>
      </c>
      <c r="M2291">
        <f>_xlfn.XLOOKUP(L2291,[2]analyte_order!$C:$C,[2]analyte_order!$E:$E)</f>
        <v>42</v>
      </c>
      <c r="N2291">
        <v>2.6200000000000001E-2</v>
      </c>
    </row>
    <row r="2292" spans="1:14">
      <c r="A2292" t="s">
        <v>258</v>
      </c>
      <c r="B2292" t="str">
        <f>_xlfn.XLOOKUP(A2292,'[1]Tissue Data'!$A:$A,'[1]Tissue Data'!$C:$C)</f>
        <v>Spill</v>
      </c>
      <c r="C2292" s="2">
        <f>_xlfn.XLOOKUP(A2292,'[1]Tissue Data'!$A:$A,'[1]Tissue Data'!$D:$D)</f>
        <v>44314</v>
      </c>
      <c r="D2292" s="2" t="str">
        <f>_xlfn.XLOOKUP(A2292,'[1]Tissue Data'!$A:$A,'[1]Tissue Data'!$F:$F)</f>
        <v>Pumpkinseed</v>
      </c>
      <c r="E2292" t="str">
        <f>_xlfn.XLOOKUP(A2292,'[1]Tissue Data'!$A:$A,'[1]Tissue Data'!$H:$H)</f>
        <v>Lepomis</v>
      </c>
      <c r="F2292" t="str">
        <f>_xlfn.XLOOKUP(A2292,'[1]Tissue Data'!$A:$A,'[1]Tissue Data'!$I:$I)</f>
        <v>gibbosus</v>
      </c>
      <c r="G2292" t="str">
        <f>_xlfn.XLOOKUP(A2292,'[1]Tissue Data'!$A:$A,'[1]Tissue Data'!J:J)</f>
        <v>U</v>
      </c>
      <c r="H2292" t="str">
        <f>_xlfn.XLOOKUP(A2292,'[1]Tissue Data'!$A:$A,'[1]Tissue Data'!K:K)</f>
        <v>Whole Body</v>
      </c>
      <c r="I2292">
        <f>_xlfn.XLOOKUP(A2292,'[1]Tissue Data'!$A:$A,'[1]Tissue Data'!L:L)</f>
        <v>7.5</v>
      </c>
      <c r="J2292">
        <f>_xlfn.XLOOKUP(A2292,'[1]Tissue Data'!$A:$A,'[1]Tissue Data'!M:M)</f>
        <v>8.5500000000000007</v>
      </c>
      <c r="K2292" t="s">
        <v>52</v>
      </c>
      <c r="L2292" t="str">
        <f>_xlfn.XLOOKUP(K2292,[2]analyte_order!$B:$B,[2]analyte_order!$C:$C)</f>
        <v>53826-13-4</v>
      </c>
      <c r="M2292">
        <f>_xlfn.XLOOKUP(L2292,[2]analyte_order!$C:$C,[2]analyte_order!$E:$E)</f>
        <v>43</v>
      </c>
      <c r="N2292">
        <v>1.83</v>
      </c>
    </row>
    <row r="2293" spans="1:14">
      <c r="A2293" t="s">
        <v>258</v>
      </c>
      <c r="B2293" t="str">
        <f>_xlfn.XLOOKUP(A2293,'[1]Tissue Data'!$A:$A,'[1]Tissue Data'!$C:$C)</f>
        <v>Spill</v>
      </c>
      <c r="C2293" s="2">
        <f>_xlfn.XLOOKUP(A2293,'[1]Tissue Data'!$A:$A,'[1]Tissue Data'!$D:$D)</f>
        <v>44314</v>
      </c>
      <c r="D2293" s="2" t="str">
        <f>_xlfn.XLOOKUP(A2293,'[1]Tissue Data'!$A:$A,'[1]Tissue Data'!$F:$F)</f>
        <v>Pumpkinseed</v>
      </c>
      <c r="E2293" t="str">
        <f>_xlfn.XLOOKUP(A2293,'[1]Tissue Data'!$A:$A,'[1]Tissue Data'!$H:$H)</f>
        <v>Lepomis</v>
      </c>
      <c r="F2293" t="str">
        <f>_xlfn.XLOOKUP(A2293,'[1]Tissue Data'!$A:$A,'[1]Tissue Data'!$I:$I)</f>
        <v>gibbosus</v>
      </c>
      <c r="G2293" t="str">
        <f>_xlfn.XLOOKUP(A2293,'[1]Tissue Data'!$A:$A,'[1]Tissue Data'!J:J)</f>
        <v>U</v>
      </c>
      <c r="H2293" t="str">
        <f>_xlfn.XLOOKUP(A2293,'[1]Tissue Data'!$A:$A,'[1]Tissue Data'!K:K)</f>
        <v>Whole Body</v>
      </c>
      <c r="I2293">
        <f>_xlfn.XLOOKUP(A2293,'[1]Tissue Data'!$A:$A,'[1]Tissue Data'!L:L)</f>
        <v>7.5</v>
      </c>
      <c r="J2293">
        <f>_xlfn.XLOOKUP(A2293,'[1]Tissue Data'!$A:$A,'[1]Tissue Data'!M:M)</f>
        <v>8.5500000000000007</v>
      </c>
      <c r="K2293" t="s">
        <v>53</v>
      </c>
      <c r="L2293" t="str">
        <f>_xlfn.XLOOKUP(K2293,[2]analyte_order!$B:$B,[2]analyte_order!$C:$C)</f>
        <v>161094-75-3</v>
      </c>
      <c r="M2293">
        <f>_xlfn.XLOOKUP(L2293,[2]analyte_order!$C:$C,[2]analyte_order!$E:$E)</f>
        <v>44</v>
      </c>
      <c r="N2293">
        <v>5.1499999999999997E-2</v>
      </c>
    </row>
    <row r="2294" spans="1:14">
      <c r="A2294" t="s">
        <v>258</v>
      </c>
      <c r="B2294" t="str">
        <f>_xlfn.XLOOKUP(A2294,'[1]Tissue Data'!$A:$A,'[1]Tissue Data'!$C:$C)</f>
        <v>Spill</v>
      </c>
      <c r="C2294" s="2">
        <f>_xlfn.XLOOKUP(A2294,'[1]Tissue Data'!$A:$A,'[1]Tissue Data'!$D:$D)</f>
        <v>44314</v>
      </c>
      <c r="D2294" s="2" t="str">
        <f>_xlfn.XLOOKUP(A2294,'[1]Tissue Data'!$A:$A,'[1]Tissue Data'!$F:$F)</f>
        <v>Pumpkinseed</v>
      </c>
      <c r="E2294" t="str">
        <f>_xlfn.XLOOKUP(A2294,'[1]Tissue Data'!$A:$A,'[1]Tissue Data'!$H:$H)</f>
        <v>Lepomis</v>
      </c>
      <c r="F2294" t="str">
        <f>_xlfn.XLOOKUP(A2294,'[1]Tissue Data'!$A:$A,'[1]Tissue Data'!$I:$I)</f>
        <v>gibbosus</v>
      </c>
      <c r="G2294" t="str">
        <f>_xlfn.XLOOKUP(A2294,'[1]Tissue Data'!$A:$A,'[1]Tissue Data'!J:J)</f>
        <v>U</v>
      </c>
      <c r="H2294" t="str">
        <f>_xlfn.XLOOKUP(A2294,'[1]Tissue Data'!$A:$A,'[1]Tissue Data'!K:K)</f>
        <v>Whole Body</v>
      </c>
      <c r="I2294">
        <f>_xlfn.XLOOKUP(A2294,'[1]Tissue Data'!$A:$A,'[1]Tissue Data'!L:L)</f>
        <v>7.5</v>
      </c>
      <c r="J2294">
        <f>_xlfn.XLOOKUP(A2294,'[1]Tissue Data'!$A:$A,'[1]Tissue Data'!M:M)</f>
        <v>8.5500000000000007</v>
      </c>
      <c r="K2294" t="s">
        <v>54</v>
      </c>
      <c r="L2294" t="str">
        <f>_xlfn.XLOOKUP(K2294,[2]analyte_order!$B:$B,[2]analyte_order!$C:$C)</f>
        <v>70887-84-2</v>
      </c>
      <c r="M2294">
        <f>_xlfn.XLOOKUP(L2294,[2]analyte_order!$C:$C,[2]analyte_order!$E:$E)</f>
        <v>45</v>
      </c>
      <c r="N2294">
        <v>3.9550000000000002E-2</v>
      </c>
    </row>
    <row r="2295" spans="1:14">
      <c r="A2295" t="s">
        <v>258</v>
      </c>
      <c r="B2295" t="str">
        <f>_xlfn.XLOOKUP(A2295,'[1]Tissue Data'!$A:$A,'[1]Tissue Data'!$C:$C)</f>
        <v>Spill</v>
      </c>
      <c r="C2295" s="2">
        <f>_xlfn.XLOOKUP(A2295,'[1]Tissue Data'!$A:$A,'[1]Tissue Data'!$D:$D)</f>
        <v>44314</v>
      </c>
      <c r="D2295" s="2" t="str">
        <f>_xlfn.XLOOKUP(A2295,'[1]Tissue Data'!$A:$A,'[1]Tissue Data'!$F:$F)</f>
        <v>Pumpkinseed</v>
      </c>
      <c r="E2295" t="str">
        <f>_xlfn.XLOOKUP(A2295,'[1]Tissue Data'!$A:$A,'[1]Tissue Data'!$H:$H)</f>
        <v>Lepomis</v>
      </c>
      <c r="F2295" t="str">
        <f>_xlfn.XLOOKUP(A2295,'[1]Tissue Data'!$A:$A,'[1]Tissue Data'!$I:$I)</f>
        <v>gibbosus</v>
      </c>
      <c r="G2295" t="str">
        <f>_xlfn.XLOOKUP(A2295,'[1]Tissue Data'!$A:$A,'[1]Tissue Data'!J:J)</f>
        <v>U</v>
      </c>
      <c r="H2295" t="str">
        <f>_xlfn.XLOOKUP(A2295,'[1]Tissue Data'!$A:$A,'[1]Tissue Data'!K:K)</f>
        <v>Whole Body</v>
      </c>
      <c r="I2295">
        <f>_xlfn.XLOOKUP(A2295,'[1]Tissue Data'!$A:$A,'[1]Tissue Data'!L:L)</f>
        <v>7.5</v>
      </c>
      <c r="J2295">
        <f>_xlfn.XLOOKUP(A2295,'[1]Tissue Data'!$A:$A,'[1]Tissue Data'!M:M)</f>
        <v>8.5500000000000007</v>
      </c>
      <c r="K2295" t="s">
        <v>55</v>
      </c>
      <c r="L2295" t="str">
        <f>_xlfn.XLOOKUP(K2295,[2]analyte_order!$B:$B,[2]analyte_order!$C:$C)</f>
        <v>919005-14-4</v>
      </c>
      <c r="M2295">
        <f>_xlfn.XLOOKUP(L2295,[2]analyte_order!$C:$C,[2]analyte_order!$E:$E)</f>
        <v>35</v>
      </c>
      <c r="N2295">
        <v>6.5500000000000003E-2</v>
      </c>
    </row>
    <row r="2296" spans="1:14">
      <c r="A2296" t="s">
        <v>258</v>
      </c>
      <c r="B2296" t="str">
        <f>_xlfn.XLOOKUP(A2296,'[1]Tissue Data'!$A:$A,'[1]Tissue Data'!$C:$C)</f>
        <v>Spill</v>
      </c>
      <c r="C2296" s="2">
        <f>_xlfn.XLOOKUP(A2296,'[1]Tissue Data'!$A:$A,'[1]Tissue Data'!$D:$D)</f>
        <v>44314</v>
      </c>
      <c r="D2296" s="2" t="str">
        <f>_xlfn.XLOOKUP(A2296,'[1]Tissue Data'!$A:$A,'[1]Tissue Data'!$F:$F)</f>
        <v>Pumpkinseed</v>
      </c>
      <c r="E2296" t="str">
        <f>_xlfn.XLOOKUP(A2296,'[1]Tissue Data'!$A:$A,'[1]Tissue Data'!$H:$H)</f>
        <v>Lepomis</v>
      </c>
      <c r="F2296" t="str">
        <f>_xlfn.XLOOKUP(A2296,'[1]Tissue Data'!$A:$A,'[1]Tissue Data'!$I:$I)</f>
        <v>gibbosus</v>
      </c>
      <c r="G2296" t="str">
        <f>_xlfn.XLOOKUP(A2296,'[1]Tissue Data'!$A:$A,'[1]Tissue Data'!J:J)</f>
        <v>U</v>
      </c>
      <c r="H2296" t="str">
        <f>_xlfn.XLOOKUP(A2296,'[1]Tissue Data'!$A:$A,'[1]Tissue Data'!K:K)</f>
        <v>Whole Body</v>
      </c>
      <c r="I2296">
        <f>_xlfn.XLOOKUP(A2296,'[1]Tissue Data'!$A:$A,'[1]Tissue Data'!L:L)</f>
        <v>7.5</v>
      </c>
      <c r="J2296">
        <f>_xlfn.XLOOKUP(A2296,'[1]Tissue Data'!$A:$A,'[1]Tissue Data'!M:M)</f>
        <v>8.5500000000000007</v>
      </c>
      <c r="K2296" t="s">
        <v>56</v>
      </c>
      <c r="L2296" t="str">
        <f>_xlfn.XLOOKUP(K2296,[2]analyte_order!$B:$B,[2]analyte_order!$C:$C)</f>
        <v>756426-58-1</v>
      </c>
      <c r="M2296">
        <f>_xlfn.XLOOKUP(L2296,[2]analyte_order!$C:$C,[2]analyte_order!$E:$E)</f>
        <v>36</v>
      </c>
      <c r="N2296">
        <v>4.5449999999999997E-2</v>
      </c>
    </row>
    <row r="2297" spans="1:14">
      <c r="A2297" t="s">
        <v>258</v>
      </c>
      <c r="B2297" t="str">
        <f>_xlfn.XLOOKUP(A2297,'[1]Tissue Data'!$A:$A,'[1]Tissue Data'!$C:$C)</f>
        <v>Spill</v>
      </c>
      <c r="C2297" s="2">
        <f>_xlfn.XLOOKUP(A2297,'[1]Tissue Data'!$A:$A,'[1]Tissue Data'!$D:$D)</f>
        <v>44314</v>
      </c>
      <c r="D2297" s="2" t="str">
        <f>_xlfn.XLOOKUP(A2297,'[1]Tissue Data'!$A:$A,'[1]Tissue Data'!$F:$F)</f>
        <v>Pumpkinseed</v>
      </c>
      <c r="E2297" t="str">
        <f>_xlfn.XLOOKUP(A2297,'[1]Tissue Data'!$A:$A,'[1]Tissue Data'!$H:$H)</f>
        <v>Lepomis</v>
      </c>
      <c r="F2297" t="str">
        <f>_xlfn.XLOOKUP(A2297,'[1]Tissue Data'!$A:$A,'[1]Tissue Data'!$I:$I)</f>
        <v>gibbosus</v>
      </c>
      <c r="G2297" t="str">
        <f>_xlfn.XLOOKUP(A2297,'[1]Tissue Data'!$A:$A,'[1]Tissue Data'!J:J)</f>
        <v>U</v>
      </c>
      <c r="H2297" t="str">
        <f>_xlfn.XLOOKUP(A2297,'[1]Tissue Data'!$A:$A,'[1]Tissue Data'!K:K)</f>
        <v>Whole Body</v>
      </c>
      <c r="I2297">
        <f>_xlfn.XLOOKUP(A2297,'[1]Tissue Data'!$A:$A,'[1]Tissue Data'!L:L)</f>
        <v>7.5</v>
      </c>
      <c r="J2297">
        <f>_xlfn.XLOOKUP(A2297,'[1]Tissue Data'!$A:$A,'[1]Tissue Data'!M:M)</f>
        <v>8.5500000000000007</v>
      </c>
      <c r="K2297" t="s">
        <v>57</v>
      </c>
      <c r="L2297" t="str">
        <f>_xlfn.XLOOKUP(K2297,[2]analyte_order!$B:$B,[2]analyte_order!$C:$C)</f>
        <v>763051-92-9</v>
      </c>
      <c r="M2297">
        <f>_xlfn.XLOOKUP(L2297,[2]analyte_order!$C:$C,[2]analyte_order!$E:$E)</f>
        <v>37</v>
      </c>
      <c r="N2297">
        <v>5.1499999999999997E-2</v>
      </c>
    </row>
    <row r="2298" spans="1:14">
      <c r="A2298" t="s">
        <v>258</v>
      </c>
      <c r="B2298" t="str">
        <f>_xlfn.XLOOKUP(A2298,'[1]Tissue Data'!$A:$A,'[1]Tissue Data'!$C:$C)</f>
        <v>Spill</v>
      </c>
      <c r="C2298" s="2">
        <f>_xlfn.XLOOKUP(A2298,'[1]Tissue Data'!$A:$A,'[1]Tissue Data'!$D:$D)</f>
        <v>44314</v>
      </c>
      <c r="D2298" s="2" t="str">
        <f>_xlfn.XLOOKUP(A2298,'[1]Tissue Data'!$A:$A,'[1]Tissue Data'!$F:$F)</f>
        <v>Pumpkinseed</v>
      </c>
      <c r="E2298" t="str">
        <f>_xlfn.XLOOKUP(A2298,'[1]Tissue Data'!$A:$A,'[1]Tissue Data'!$H:$H)</f>
        <v>Lepomis</v>
      </c>
      <c r="F2298" t="str">
        <f>_xlfn.XLOOKUP(A2298,'[1]Tissue Data'!$A:$A,'[1]Tissue Data'!$I:$I)</f>
        <v>gibbosus</v>
      </c>
      <c r="G2298" t="str">
        <f>_xlfn.XLOOKUP(A2298,'[1]Tissue Data'!$A:$A,'[1]Tissue Data'!J:J)</f>
        <v>U</v>
      </c>
      <c r="H2298" t="str">
        <f>_xlfn.XLOOKUP(A2298,'[1]Tissue Data'!$A:$A,'[1]Tissue Data'!K:K)</f>
        <v>Whole Body</v>
      </c>
      <c r="I2298">
        <f>_xlfn.XLOOKUP(A2298,'[1]Tissue Data'!$A:$A,'[1]Tissue Data'!L:L)</f>
        <v>7.5</v>
      </c>
      <c r="J2298">
        <f>_xlfn.XLOOKUP(A2298,'[1]Tissue Data'!$A:$A,'[1]Tissue Data'!M:M)</f>
        <v>8.5500000000000007</v>
      </c>
      <c r="K2298" t="s">
        <v>58</v>
      </c>
      <c r="L2298" t="str">
        <f>_xlfn.XLOOKUP(K2298,[2]analyte_order!$B:$B,[2]analyte_order!$C:$C)</f>
        <v>13252-13-6</v>
      </c>
      <c r="M2298">
        <f>_xlfn.XLOOKUP(L2298,[2]analyte_order!$C:$C,[2]analyte_order!$E:$E)</f>
        <v>34</v>
      </c>
      <c r="N2298">
        <v>9.4E-2</v>
      </c>
    </row>
    <row r="2299" spans="1:14">
      <c r="A2299" t="s">
        <v>258</v>
      </c>
      <c r="B2299" t="str">
        <f>_xlfn.XLOOKUP(A2299,'[1]Tissue Data'!$A:$A,'[1]Tissue Data'!$C:$C)</f>
        <v>Spill</v>
      </c>
      <c r="C2299" s="2">
        <f>_xlfn.XLOOKUP(A2299,'[1]Tissue Data'!$A:$A,'[1]Tissue Data'!$D:$D)</f>
        <v>44314</v>
      </c>
      <c r="D2299" s="2" t="str">
        <f>_xlfn.XLOOKUP(A2299,'[1]Tissue Data'!$A:$A,'[1]Tissue Data'!$F:$F)</f>
        <v>Pumpkinseed</v>
      </c>
      <c r="E2299" t="str">
        <f>_xlfn.XLOOKUP(A2299,'[1]Tissue Data'!$A:$A,'[1]Tissue Data'!$H:$H)</f>
        <v>Lepomis</v>
      </c>
      <c r="F2299" t="str">
        <f>_xlfn.XLOOKUP(A2299,'[1]Tissue Data'!$A:$A,'[1]Tissue Data'!$I:$I)</f>
        <v>gibbosus</v>
      </c>
      <c r="G2299" t="str">
        <f>_xlfn.XLOOKUP(A2299,'[1]Tissue Data'!$A:$A,'[1]Tissue Data'!J:J)</f>
        <v>U</v>
      </c>
      <c r="H2299" t="str">
        <f>_xlfn.XLOOKUP(A2299,'[1]Tissue Data'!$A:$A,'[1]Tissue Data'!K:K)</f>
        <v>Whole Body</v>
      </c>
      <c r="I2299">
        <f>_xlfn.XLOOKUP(A2299,'[1]Tissue Data'!$A:$A,'[1]Tissue Data'!L:L)</f>
        <v>7.5</v>
      </c>
      <c r="J2299">
        <f>_xlfn.XLOOKUP(A2299,'[1]Tissue Data'!$A:$A,'[1]Tissue Data'!M:M)</f>
        <v>8.5500000000000007</v>
      </c>
      <c r="K2299" t="s">
        <v>59</v>
      </c>
      <c r="L2299" t="str">
        <f>_xlfn.XLOOKUP(K2299,[2]analyte_order!$B:$B,[2]analyte_order!$C:$C)</f>
        <v>57677-95-9</v>
      </c>
      <c r="M2299">
        <f>_xlfn.XLOOKUP(L2299,[2]analyte_order!$C:$C,[2]analyte_order!$E:$E)</f>
        <v>46</v>
      </c>
      <c r="N2299">
        <v>6.9500000000000006E-2</v>
      </c>
    </row>
    <row r="2300" spans="1:14">
      <c r="A2300" t="s">
        <v>258</v>
      </c>
      <c r="B2300" t="str">
        <f>_xlfn.XLOOKUP(A2300,'[1]Tissue Data'!$A:$A,'[1]Tissue Data'!$C:$C)</f>
        <v>Spill</v>
      </c>
      <c r="C2300" s="2">
        <f>_xlfn.XLOOKUP(A2300,'[1]Tissue Data'!$A:$A,'[1]Tissue Data'!$D:$D)</f>
        <v>44314</v>
      </c>
      <c r="D2300" s="2" t="str">
        <f>_xlfn.XLOOKUP(A2300,'[1]Tissue Data'!$A:$A,'[1]Tissue Data'!$F:$F)</f>
        <v>Pumpkinseed</v>
      </c>
      <c r="E2300" t="str">
        <f>_xlfn.XLOOKUP(A2300,'[1]Tissue Data'!$A:$A,'[1]Tissue Data'!$H:$H)</f>
        <v>Lepomis</v>
      </c>
      <c r="F2300" t="str">
        <f>_xlfn.XLOOKUP(A2300,'[1]Tissue Data'!$A:$A,'[1]Tissue Data'!$I:$I)</f>
        <v>gibbosus</v>
      </c>
      <c r="G2300" t="str">
        <f>_xlfn.XLOOKUP(A2300,'[1]Tissue Data'!$A:$A,'[1]Tissue Data'!J:J)</f>
        <v>U</v>
      </c>
      <c r="H2300" t="str">
        <f>_xlfn.XLOOKUP(A2300,'[1]Tissue Data'!$A:$A,'[1]Tissue Data'!K:K)</f>
        <v>Whole Body</v>
      </c>
      <c r="I2300">
        <f>_xlfn.XLOOKUP(A2300,'[1]Tissue Data'!$A:$A,'[1]Tissue Data'!L:L)</f>
        <v>7.5</v>
      </c>
      <c r="J2300">
        <f>_xlfn.XLOOKUP(A2300,'[1]Tissue Data'!$A:$A,'[1]Tissue Data'!M:M)</f>
        <v>8.5500000000000007</v>
      </c>
      <c r="K2300" t="s">
        <v>60</v>
      </c>
      <c r="L2300" t="str">
        <f>_xlfn.XLOOKUP(K2300,[2]analyte_order!$B:$B,[2]analyte_order!$C:$C)</f>
        <v>678-41-1</v>
      </c>
      <c r="M2300">
        <f>_xlfn.XLOOKUP(L2300,[2]analyte_order!$C:$C,[2]analyte_order!$E:$E)</f>
        <v>56</v>
      </c>
      <c r="N2300">
        <v>8.6999999999999994E-2</v>
      </c>
    </row>
    <row r="2301" spans="1:14">
      <c r="A2301" t="s">
        <v>258</v>
      </c>
      <c r="B2301" t="str">
        <f>_xlfn.XLOOKUP(A2301,'[1]Tissue Data'!$A:$A,'[1]Tissue Data'!$C:$C)</f>
        <v>Spill</v>
      </c>
      <c r="C2301" s="2">
        <f>_xlfn.XLOOKUP(A2301,'[1]Tissue Data'!$A:$A,'[1]Tissue Data'!$D:$D)</f>
        <v>44314</v>
      </c>
      <c r="D2301" s="2" t="str">
        <f>_xlfn.XLOOKUP(A2301,'[1]Tissue Data'!$A:$A,'[1]Tissue Data'!$F:$F)</f>
        <v>Pumpkinseed</v>
      </c>
      <c r="E2301" t="str">
        <f>_xlfn.XLOOKUP(A2301,'[1]Tissue Data'!$A:$A,'[1]Tissue Data'!$H:$H)</f>
        <v>Lepomis</v>
      </c>
      <c r="F2301" t="str">
        <f>_xlfn.XLOOKUP(A2301,'[1]Tissue Data'!$A:$A,'[1]Tissue Data'!$I:$I)</f>
        <v>gibbosus</v>
      </c>
      <c r="G2301" t="str">
        <f>_xlfn.XLOOKUP(A2301,'[1]Tissue Data'!$A:$A,'[1]Tissue Data'!J:J)</f>
        <v>U</v>
      </c>
      <c r="H2301" t="str">
        <f>_xlfn.XLOOKUP(A2301,'[1]Tissue Data'!$A:$A,'[1]Tissue Data'!K:K)</f>
        <v>Whole Body</v>
      </c>
      <c r="I2301">
        <f>_xlfn.XLOOKUP(A2301,'[1]Tissue Data'!$A:$A,'[1]Tissue Data'!L:L)</f>
        <v>7.5</v>
      </c>
      <c r="J2301">
        <f>_xlfn.XLOOKUP(A2301,'[1]Tissue Data'!$A:$A,'[1]Tissue Data'!M:M)</f>
        <v>8.5500000000000007</v>
      </c>
      <c r="K2301" t="s">
        <v>61</v>
      </c>
      <c r="L2301" t="str">
        <f>_xlfn.XLOOKUP(K2301,[2]analyte_order!$B:$B,[2]analyte_order!$C:$C)</f>
        <v>2965-52-8</v>
      </c>
      <c r="M2301">
        <f>_xlfn.XLOOKUP(L2301,[2]analyte_order!$C:$C,[2]analyte_order!$E:$E)</f>
        <v>57</v>
      </c>
      <c r="N2301">
        <v>0.115</v>
      </c>
    </row>
    <row r="2302" spans="1:14">
      <c r="A2302" t="s">
        <v>259</v>
      </c>
      <c r="B2302" t="str">
        <f>_xlfn.XLOOKUP(A2302,'[1]Tissue Data'!$A:$A,'[1]Tissue Data'!$C:$C)</f>
        <v>Spill</v>
      </c>
      <c r="C2302" s="2">
        <f>_xlfn.XLOOKUP(A2302,'[1]Tissue Data'!$A:$A,'[1]Tissue Data'!$D:$D)</f>
        <v>44314</v>
      </c>
      <c r="D2302" s="2" t="str">
        <f>_xlfn.XLOOKUP(A2302,'[1]Tissue Data'!$A:$A,'[1]Tissue Data'!$F:$F)</f>
        <v>Pumpkinseed</v>
      </c>
      <c r="E2302" t="str">
        <f>_xlfn.XLOOKUP(A2302,'[1]Tissue Data'!$A:$A,'[1]Tissue Data'!$H:$H)</f>
        <v>Lepomis</v>
      </c>
      <c r="F2302" t="str">
        <f>_xlfn.XLOOKUP(A2302,'[1]Tissue Data'!$A:$A,'[1]Tissue Data'!$I:$I)</f>
        <v>gibbosus</v>
      </c>
      <c r="G2302" t="str">
        <f>_xlfn.XLOOKUP(A2302,'[1]Tissue Data'!$A:$A,'[1]Tissue Data'!J:J)</f>
        <v>U</v>
      </c>
      <c r="H2302" t="str">
        <f>_xlfn.XLOOKUP(A2302,'[1]Tissue Data'!$A:$A,'[1]Tissue Data'!K:K)</f>
        <v>Whole Body</v>
      </c>
      <c r="I2302">
        <f>_xlfn.XLOOKUP(A2302,'[1]Tissue Data'!$A:$A,'[1]Tissue Data'!L:L)</f>
        <v>5.5</v>
      </c>
      <c r="J2302">
        <f>_xlfn.XLOOKUP(A2302,'[1]Tissue Data'!$A:$A,'[1]Tissue Data'!M:M)</f>
        <v>3.15</v>
      </c>
      <c r="K2302" t="s">
        <v>12</v>
      </c>
      <c r="L2302" t="str">
        <f>_xlfn.XLOOKUP(K2302,[2]analyte_order!$B:$B,[2]analyte_order!$C:$C)</f>
        <v>375-22-4</v>
      </c>
      <c r="M2302">
        <f>_xlfn.XLOOKUP(L2302,[2]analyte_order!$C:$C,[2]analyte_order!$E:$E)</f>
        <v>1</v>
      </c>
      <c r="N2302">
        <v>2.775E-2</v>
      </c>
    </row>
    <row r="2303" spans="1:14">
      <c r="A2303" t="s">
        <v>259</v>
      </c>
      <c r="B2303" t="str">
        <f>_xlfn.XLOOKUP(A2303,'[1]Tissue Data'!$A:$A,'[1]Tissue Data'!$C:$C)</f>
        <v>Spill</v>
      </c>
      <c r="C2303" s="2">
        <f>_xlfn.XLOOKUP(A2303,'[1]Tissue Data'!$A:$A,'[1]Tissue Data'!$D:$D)</f>
        <v>44314</v>
      </c>
      <c r="D2303" s="2" t="str">
        <f>_xlfn.XLOOKUP(A2303,'[1]Tissue Data'!$A:$A,'[1]Tissue Data'!$F:$F)</f>
        <v>Pumpkinseed</v>
      </c>
      <c r="E2303" t="str">
        <f>_xlfn.XLOOKUP(A2303,'[1]Tissue Data'!$A:$A,'[1]Tissue Data'!$H:$H)</f>
        <v>Lepomis</v>
      </c>
      <c r="F2303" t="str">
        <f>_xlfn.XLOOKUP(A2303,'[1]Tissue Data'!$A:$A,'[1]Tissue Data'!$I:$I)</f>
        <v>gibbosus</v>
      </c>
      <c r="G2303" t="str">
        <f>_xlfn.XLOOKUP(A2303,'[1]Tissue Data'!$A:$A,'[1]Tissue Data'!J:J)</f>
        <v>U</v>
      </c>
      <c r="H2303" t="str">
        <f>_xlfn.XLOOKUP(A2303,'[1]Tissue Data'!$A:$A,'[1]Tissue Data'!K:K)</f>
        <v>Whole Body</v>
      </c>
      <c r="I2303">
        <f>_xlfn.XLOOKUP(A2303,'[1]Tissue Data'!$A:$A,'[1]Tissue Data'!L:L)</f>
        <v>5.5</v>
      </c>
      <c r="J2303">
        <f>_xlfn.XLOOKUP(A2303,'[1]Tissue Data'!$A:$A,'[1]Tissue Data'!M:M)</f>
        <v>3.15</v>
      </c>
      <c r="K2303" t="s">
        <v>13</v>
      </c>
      <c r="L2303" t="str">
        <f>_xlfn.XLOOKUP(K2303,[2]analyte_order!$B:$B,[2]analyte_order!$C:$C)</f>
        <v>2706-90-3</v>
      </c>
      <c r="M2303">
        <f>_xlfn.XLOOKUP(L2303,[2]analyte_order!$C:$C,[2]analyte_order!$E:$E)</f>
        <v>2</v>
      </c>
      <c r="N2303">
        <v>4.9099999999999998E-2</v>
      </c>
    </row>
    <row r="2304" spans="1:14">
      <c r="A2304" t="s">
        <v>259</v>
      </c>
      <c r="B2304" t="str">
        <f>_xlfn.XLOOKUP(A2304,'[1]Tissue Data'!$A:$A,'[1]Tissue Data'!$C:$C)</f>
        <v>Spill</v>
      </c>
      <c r="C2304" s="2">
        <f>_xlfn.XLOOKUP(A2304,'[1]Tissue Data'!$A:$A,'[1]Tissue Data'!$D:$D)</f>
        <v>44314</v>
      </c>
      <c r="D2304" s="2" t="str">
        <f>_xlfn.XLOOKUP(A2304,'[1]Tissue Data'!$A:$A,'[1]Tissue Data'!$F:$F)</f>
        <v>Pumpkinseed</v>
      </c>
      <c r="E2304" t="str">
        <f>_xlfn.XLOOKUP(A2304,'[1]Tissue Data'!$A:$A,'[1]Tissue Data'!$H:$H)</f>
        <v>Lepomis</v>
      </c>
      <c r="F2304" t="str">
        <f>_xlfn.XLOOKUP(A2304,'[1]Tissue Data'!$A:$A,'[1]Tissue Data'!$I:$I)</f>
        <v>gibbosus</v>
      </c>
      <c r="G2304" t="str">
        <f>_xlfn.XLOOKUP(A2304,'[1]Tissue Data'!$A:$A,'[1]Tissue Data'!J:J)</f>
        <v>U</v>
      </c>
      <c r="H2304" t="str">
        <f>_xlfn.XLOOKUP(A2304,'[1]Tissue Data'!$A:$A,'[1]Tissue Data'!K:K)</f>
        <v>Whole Body</v>
      </c>
      <c r="I2304">
        <f>_xlfn.XLOOKUP(A2304,'[1]Tissue Data'!$A:$A,'[1]Tissue Data'!L:L)</f>
        <v>5.5</v>
      </c>
      <c r="J2304">
        <f>_xlfn.XLOOKUP(A2304,'[1]Tissue Data'!$A:$A,'[1]Tissue Data'!M:M)</f>
        <v>3.15</v>
      </c>
      <c r="K2304" t="s">
        <v>14</v>
      </c>
      <c r="L2304" t="str">
        <f>_xlfn.XLOOKUP(K2304,[2]analyte_order!$B:$B,[2]analyte_order!$C:$C)</f>
        <v>307-24-4</v>
      </c>
      <c r="M2304">
        <f>_xlfn.XLOOKUP(L2304,[2]analyte_order!$C:$C,[2]analyte_order!$E:$E)</f>
        <v>3</v>
      </c>
      <c r="N2304">
        <v>0.1235</v>
      </c>
    </row>
    <row r="2305" spans="1:14">
      <c r="A2305" t="s">
        <v>259</v>
      </c>
      <c r="B2305" t="str">
        <f>_xlfn.XLOOKUP(A2305,'[1]Tissue Data'!$A:$A,'[1]Tissue Data'!$C:$C)</f>
        <v>Spill</v>
      </c>
      <c r="C2305" s="2">
        <f>_xlfn.XLOOKUP(A2305,'[1]Tissue Data'!$A:$A,'[1]Tissue Data'!$D:$D)</f>
        <v>44314</v>
      </c>
      <c r="D2305" s="2" t="str">
        <f>_xlfn.XLOOKUP(A2305,'[1]Tissue Data'!$A:$A,'[1]Tissue Data'!$F:$F)</f>
        <v>Pumpkinseed</v>
      </c>
      <c r="E2305" t="str">
        <f>_xlfn.XLOOKUP(A2305,'[1]Tissue Data'!$A:$A,'[1]Tissue Data'!$H:$H)</f>
        <v>Lepomis</v>
      </c>
      <c r="F2305" t="str">
        <f>_xlfn.XLOOKUP(A2305,'[1]Tissue Data'!$A:$A,'[1]Tissue Data'!$I:$I)</f>
        <v>gibbosus</v>
      </c>
      <c r="G2305" t="str">
        <f>_xlfn.XLOOKUP(A2305,'[1]Tissue Data'!$A:$A,'[1]Tissue Data'!J:J)</f>
        <v>U</v>
      </c>
      <c r="H2305" t="str">
        <f>_xlfn.XLOOKUP(A2305,'[1]Tissue Data'!$A:$A,'[1]Tissue Data'!K:K)</f>
        <v>Whole Body</v>
      </c>
      <c r="I2305">
        <f>_xlfn.XLOOKUP(A2305,'[1]Tissue Data'!$A:$A,'[1]Tissue Data'!L:L)</f>
        <v>5.5</v>
      </c>
      <c r="J2305">
        <f>_xlfn.XLOOKUP(A2305,'[1]Tissue Data'!$A:$A,'[1]Tissue Data'!M:M)</f>
        <v>3.15</v>
      </c>
      <c r="K2305" t="s">
        <v>15</v>
      </c>
      <c r="L2305" t="str">
        <f>_xlfn.XLOOKUP(K2305,[2]analyte_order!$B:$B,[2]analyte_order!$C:$C)</f>
        <v>375-85-9</v>
      </c>
      <c r="M2305">
        <f>_xlfn.XLOOKUP(L2305,[2]analyte_order!$C:$C,[2]analyte_order!$E:$E)</f>
        <v>4</v>
      </c>
      <c r="N2305">
        <v>9.1499999999999998E-2</v>
      </c>
    </row>
    <row r="2306" spans="1:14">
      <c r="A2306" t="s">
        <v>259</v>
      </c>
      <c r="B2306" t="str">
        <f>_xlfn.XLOOKUP(A2306,'[1]Tissue Data'!$A:$A,'[1]Tissue Data'!$C:$C)</f>
        <v>Spill</v>
      </c>
      <c r="C2306" s="2">
        <f>_xlfn.XLOOKUP(A2306,'[1]Tissue Data'!$A:$A,'[1]Tissue Data'!$D:$D)</f>
        <v>44314</v>
      </c>
      <c r="D2306" s="2" t="str">
        <f>_xlfn.XLOOKUP(A2306,'[1]Tissue Data'!$A:$A,'[1]Tissue Data'!$F:$F)</f>
        <v>Pumpkinseed</v>
      </c>
      <c r="E2306" t="str">
        <f>_xlfn.XLOOKUP(A2306,'[1]Tissue Data'!$A:$A,'[1]Tissue Data'!$H:$H)</f>
        <v>Lepomis</v>
      </c>
      <c r="F2306" t="str">
        <f>_xlfn.XLOOKUP(A2306,'[1]Tissue Data'!$A:$A,'[1]Tissue Data'!$I:$I)</f>
        <v>gibbosus</v>
      </c>
      <c r="G2306" t="str">
        <f>_xlfn.XLOOKUP(A2306,'[1]Tissue Data'!$A:$A,'[1]Tissue Data'!J:J)</f>
        <v>U</v>
      </c>
      <c r="H2306" t="str">
        <f>_xlfn.XLOOKUP(A2306,'[1]Tissue Data'!$A:$A,'[1]Tissue Data'!K:K)</f>
        <v>Whole Body</v>
      </c>
      <c r="I2306">
        <f>_xlfn.XLOOKUP(A2306,'[1]Tissue Data'!$A:$A,'[1]Tissue Data'!L:L)</f>
        <v>5.5</v>
      </c>
      <c r="J2306">
        <f>_xlfn.XLOOKUP(A2306,'[1]Tissue Data'!$A:$A,'[1]Tissue Data'!M:M)</f>
        <v>3.15</v>
      </c>
      <c r="K2306" t="s">
        <v>16</v>
      </c>
      <c r="L2306" t="str">
        <f>_xlfn.XLOOKUP(K2306,[2]analyte_order!$B:$B,[2]analyte_order!$C:$C)</f>
        <v>335-67-1</v>
      </c>
      <c r="M2306">
        <f>_xlfn.XLOOKUP(L2306,[2]analyte_order!$C:$C,[2]analyte_order!$E:$E)</f>
        <v>5</v>
      </c>
      <c r="N2306">
        <v>0.80500000000000005</v>
      </c>
    </row>
    <row r="2307" spans="1:14">
      <c r="A2307" t="s">
        <v>259</v>
      </c>
      <c r="B2307" t="str">
        <f>_xlfn.XLOOKUP(A2307,'[1]Tissue Data'!$A:$A,'[1]Tissue Data'!$C:$C)</f>
        <v>Spill</v>
      </c>
      <c r="C2307" s="2">
        <f>_xlfn.XLOOKUP(A2307,'[1]Tissue Data'!$A:$A,'[1]Tissue Data'!$D:$D)</f>
        <v>44314</v>
      </c>
      <c r="D2307" s="2" t="str">
        <f>_xlfn.XLOOKUP(A2307,'[1]Tissue Data'!$A:$A,'[1]Tissue Data'!$F:$F)</f>
        <v>Pumpkinseed</v>
      </c>
      <c r="E2307" t="str">
        <f>_xlfn.XLOOKUP(A2307,'[1]Tissue Data'!$A:$A,'[1]Tissue Data'!$H:$H)</f>
        <v>Lepomis</v>
      </c>
      <c r="F2307" t="str">
        <f>_xlfn.XLOOKUP(A2307,'[1]Tissue Data'!$A:$A,'[1]Tissue Data'!$I:$I)</f>
        <v>gibbosus</v>
      </c>
      <c r="G2307" t="str">
        <f>_xlfn.XLOOKUP(A2307,'[1]Tissue Data'!$A:$A,'[1]Tissue Data'!J:J)</f>
        <v>U</v>
      </c>
      <c r="H2307" t="str">
        <f>_xlfn.XLOOKUP(A2307,'[1]Tissue Data'!$A:$A,'[1]Tissue Data'!K:K)</f>
        <v>Whole Body</v>
      </c>
      <c r="I2307">
        <f>_xlfn.XLOOKUP(A2307,'[1]Tissue Data'!$A:$A,'[1]Tissue Data'!L:L)</f>
        <v>5.5</v>
      </c>
      <c r="J2307">
        <f>_xlfn.XLOOKUP(A2307,'[1]Tissue Data'!$A:$A,'[1]Tissue Data'!M:M)</f>
        <v>3.15</v>
      </c>
      <c r="K2307" t="s">
        <v>17</v>
      </c>
      <c r="L2307" t="str">
        <f>_xlfn.XLOOKUP(K2307,[2]analyte_order!$B:$B,[2]analyte_order!$C:$C)</f>
        <v>375-95-1</v>
      </c>
      <c r="M2307">
        <f>_xlfn.XLOOKUP(L2307,[2]analyte_order!$C:$C,[2]analyte_order!$E:$E)</f>
        <v>6</v>
      </c>
      <c r="N2307">
        <v>0.50700000000000001</v>
      </c>
    </row>
    <row r="2308" spans="1:14">
      <c r="A2308" t="s">
        <v>259</v>
      </c>
      <c r="B2308" t="str">
        <f>_xlfn.XLOOKUP(A2308,'[1]Tissue Data'!$A:$A,'[1]Tissue Data'!$C:$C)</f>
        <v>Spill</v>
      </c>
      <c r="C2308" s="2">
        <f>_xlfn.XLOOKUP(A2308,'[1]Tissue Data'!$A:$A,'[1]Tissue Data'!$D:$D)</f>
        <v>44314</v>
      </c>
      <c r="D2308" s="2" t="str">
        <f>_xlfn.XLOOKUP(A2308,'[1]Tissue Data'!$A:$A,'[1]Tissue Data'!$F:$F)</f>
        <v>Pumpkinseed</v>
      </c>
      <c r="E2308" t="str">
        <f>_xlfn.XLOOKUP(A2308,'[1]Tissue Data'!$A:$A,'[1]Tissue Data'!$H:$H)</f>
        <v>Lepomis</v>
      </c>
      <c r="F2308" t="str">
        <f>_xlfn.XLOOKUP(A2308,'[1]Tissue Data'!$A:$A,'[1]Tissue Data'!$I:$I)</f>
        <v>gibbosus</v>
      </c>
      <c r="G2308" t="str">
        <f>_xlfn.XLOOKUP(A2308,'[1]Tissue Data'!$A:$A,'[1]Tissue Data'!J:J)</f>
        <v>U</v>
      </c>
      <c r="H2308" t="str">
        <f>_xlfn.XLOOKUP(A2308,'[1]Tissue Data'!$A:$A,'[1]Tissue Data'!K:K)</f>
        <v>Whole Body</v>
      </c>
      <c r="I2308">
        <f>_xlfn.XLOOKUP(A2308,'[1]Tissue Data'!$A:$A,'[1]Tissue Data'!L:L)</f>
        <v>5.5</v>
      </c>
      <c r="J2308">
        <f>_xlfn.XLOOKUP(A2308,'[1]Tissue Data'!$A:$A,'[1]Tissue Data'!M:M)</f>
        <v>3.15</v>
      </c>
      <c r="K2308" t="s">
        <v>18</v>
      </c>
      <c r="L2308" t="str">
        <f>_xlfn.XLOOKUP(K2308,[2]analyte_order!$B:$B,[2]analyte_order!$C:$C)</f>
        <v>335-76-2</v>
      </c>
      <c r="M2308">
        <f>_xlfn.XLOOKUP(L2308,[2]analyte_order!$C:$C,[2]analyte_order!$E:$E)</f>
        <v>7</v>
      </c>
      <c r="N2308">
        <v>2.48</v>
      </c>
    </row>
    <row r="2309" spans="1:14">
      <c r="A2309" t="s">
        <v>259</v>
      </c>
      <c r="B2309" t="str">
        <f>_xlfn.XLOOKUP(A2309,'[1]Tissue Data'!$A:$A,'[1]Tissue Data'!$C:$C)</f>
        <v>Spill</v>
      </c>
      <c r="C2309" s="2">
        <f>_xlfn.XLOOKUP(A2309,'[1]Tissue Data'!$A:$A,'[1]Tissue Data'!$D:$D)</f>
        <v>44314</v>
      </c>
      <c r="D2309" s="2" t="str">
        <f>_xlfn.XLOOKUP(A2309,'[1]Tissue Data'!$A:$A,'[1]Tissue Data'!$F:$F)</f>
        <v>Pumpkinseed</v>
      </c>
      <c r="E2309" t="str">
        <f>_xlfn.XLOOKUP(A2309,'[1]Tissue Data'!$A:$A,'[1]Tissue Data'!$H:$H)</f>
        <v>Lepomis</v>
      </c>
      <c r="F2309" t="str">
        <f>_xlfn.XLOOKUP(A2309,'[1]Tissue Data'!$A:$A,'[1]Tissue Data'!$I:$I)</f>
        <v>gibbosus</v>
      </c>
      <c r="G2309" t="str">
        <f>_xlfn.XLOOKUP(A2309,'[1]Tissue Data'!$A:$A,'[1]Tissue Data'!J:J)</f>
        <v>U</v>
      </c>
      <c r="H2309" t="str">
        <f>_xlfn.XLOOKUP(A2309,'[1]Tissue Data'!$A:$A,'[1]Tissue Data'!K:K)</f>
        <v>Whole Body</v>
      </c>
      <c r="I2309">
        <f>_xlfn.XLOOKUP(A2309,'[1]Tissue Data'!$A:$A,'[1]Tissue Data'!L:L)</f>
        <v>5.5</v>
      </c>
      <c r="J2309">
        <f>_xlfn.XLOOKUP(A2309,'[1]Tissue Data'!$A:$A,'[1]Tissue Data'!M:M)</f>
        <v>3.15</v>
      </c>
      <c r="K2309" t="s">
        <v>19</v>
      </c>
      <c r="L2309" t="str">
        <f>_xlfn.XLOOKUP(K2309,[2]analyte_order!$B:$B,[2]analyte_order!$C:$C)</f>
        <v>2058-94-8</v>
      </c>
      <c r="M2309">
        <f>_xlfn.XLOOKUP(L2309,[2]analyte_order!$C:$C,[2]analyte_order!$E:$E)</f>
        <v>8</v>
      </c>
      <c r="N2309">
        <v>4.75</v>
      </c>
    </row>
    <row r="2310" spans="1:14">
      <c r="A2310" t="s">
        <v>259</v>
      </c>
      <c r="B2310" t="str">
        <f>_xlfn.XLOOKUP(A2310,'[1]Tissue Data'!$A:$A,'[1]Tissue Data'!$C:$C)</f>
        <v>Spill</v>
      </c>
      <c r="C2310" s="2">
        <f>_xlfn.XLOOKUP(A2310,'[1]Tissue Data'!$A:$A,'[1]Tissue Data'!$D:$D)</f>
        <v>44314</v>
      </c>
      <c r="D2310" s="2" t="str">
        <f>_xlfn.XLOOKUP(A2310,'[1]Tissue Data'!$A:$A,'[1]Tissue Data'!$F:$F)</f>
        <v>Pumpkinseed</v>
      </c>
      <c r="E2310" t="str">
        <f>_xlfn.XLOOKUP(A2310,'[1]Tissue Data'!$A:$A,'[1]Tissue Data'!$H:$H)</f>
        <v>Lepomis</v>
      </c>
      <c r="F2310" t="str">
        <f>_xlfn.XLOOKUP(A2310,'[1]Tissue Data'!$A:$A,'[1]Tissue Data'!$I:$I)</f>
        <v>gibbosus</v>
      </c>
      <c r="G2310" t="str">
        <f>_xlfn.XLOOKUP(A2310,'[1]Tissue Data'!$A:$A,'[1]Tissue Data'!J:J)</f>
        <v>U</v>
      </c>
      <c r="H2310" t="str">
        <f>_xlfn.XLOOKUP(A2310,'[1]Tissue Data'!$A:$A,'[1]Tissue Data'!K:K)</f>
        <v>Whole Body</v>
      </c>
      <c r="I2310">
        <f>_xlfn.XLOOKUP(A2310,'[1]Tissue Data'!$A:$A,'[1]Tissue Data'!L:L)</f>
        <v>5.5</v>
      </c>
      <c r="J2310">
        <f>_xlfn.XLOOKUP(A2310,'[1]Tissue Data'!$A:$A,'[1]Tissue Data'!M:M)</f>
        <v>3.15</v>
      </c>
      <c r="K2310" t="s">
        <v>20</v>
      </c>
      <c r="L2310" t="str">
        <f>_xlfn.XLOOKUP(K2310,[2]analyte_order!$B:$B,[2]analyte_order!$C:$C)</f>
        <v>307-55-1</v>
      </c>
      <c r="M2310">
        <f>_xlfn.XLOOKUP(L2310,[2]analyte_order!$C:$C,[2]analyte_order!$E:$E)</f>
        <v>9</v>
      </c>
      <c r="N2310">
        <v>8.19</v>
      </c>
    </row>
    <row r="2311" spans="1:14">
      <c r="A2311" t="s">
        <v>259</v>
      </c>
      <c r="B2311" t="str">
        <f>_xlfn.XLOOKUP(A2311,'[1]Tissue Data'!$A:$A,'[1]Tissue Data'!$C:$C)</f>
        <v>Spill</v>
      </c>
      <c r="C2311" s="2">
        <f>_xlfn.XLOOKUP(A2311,'[1]Tissue Data'!$A:$A,'[1]Tissue Data'!$D:$D)</f>
        <v>44314</v>
      </c>
      <c r="D2311" s="2" t="str">
        <f>_xlfn.XLOOKUP(A2311,'[1]Tissue Data'!$A:$A,'[1]Tissue Data'!$F:$F)</f>
        <v>Pumpkinseed</v>
      </c>
      <c r="E2311" t="str">
        <f>_xlfn.XLOOKUP(A2311,'[1]Tissue Data'!$A:$A,'[1]Tissue Data'!$H:$H)</f>
        <v>Lepomis</v>
      </c>
      <c r="F2311" t="str">
        <f>_xlfn.XLOOKUP(A2311,'[1]Tissue Data'!$A:$A,'[1]Tissue Data'!$I:$I)</f>
        <v>gibbosus</v>
      </c>
      <c r="G2311" t="str">
        <f>_xlfn.XLOOKUP(A2311,'[1]Tissue Data'!$A:$A,'[1]Tissue Data'!J:J)</f>
        <v>U</v>
      </c>
      <c r="H2311" t="str">
        <f>_xlfn.XLOOKUP(A2311,'[1]Tissue Data'!$A:$A,'[1]Tissue Data'!K:K)</f>
        <v>Whole Body</v>
      </c>
      <c r="I2311">
        <f>_xlfn.XLOOKUP(A2311,'[1]Tissue Data'!$A:$A,'[1]Tissue Data'!L:L)</f>
        <v>5.5</v>
      </c>
      <c r="J2311">
        <f>_xlfn.XLOOKUP(A2311,'[1]Tissue Data'!$A:$A,'[1]Tissue Data'!M:M)</f>
        <v>3.15</v>
      </c>
      <c r="K2311" t="s">
        <v>21</v>
      </c>
      <c r="L2311" t="str">
        <f>_xlfn.XLOOKUP(K2311,[2]analyte_order!$B:$B,[2]analyte_order!$C:$C)</f>
        <v>72629-94-8</v>
      </c>
      <c r="M2311">
        <f>_xlfn.XLOOKUP(L2311,[2]analyte_order!$C:$C,[2]analyte_order!$E:$E)</f>
        <v>10</v>
      </c>
      <c r="N2311">
        <v>0.92100000000000004</v>
      </c>
    </row>
    <row r="2312" spans="1:14">
      <c r="A2312" t="s">
        <v>259</v>
      </c>
      <c r="B2312" t="str">
        <f>_xlfn.XLOOKUP(A2312,'[1]Tissue Data'!$A:$A,'[1]Tissue Data'!$C:$C)</f>
        <v>Spill</v>
      </c>
      <c r="C2312" s="2">
        <f>_xlfn.XLOOKUP(A2312,'[1]Tissue Data'!$A:$A,'[1]Tissue Data'!$D:$D)</f>
        <v>44314</v>
      </c>
      <c r="D2312" s="2" t="str">
        <f>_xlfn.XLOOKUP(A2312,'[1]Tissue Data'!$A:$A,'[1]Tissue Data'!$F:$F)</f>
        <v>Pumpkinseed</v>
      </c>
      <c r="E2312" t="str">
        <f>_xlfn.XLOOKUP(A2312,'[1]Tissue Data'!$A:$A,'[1]Tissue Data'!$H:$H)</f>
        <v>Lepomis</v>
      </c>
      <c r="F2312" t="str">
        <f>_xlfn.XLOOKUP(A2312,'[1]Tissue Data'!$A:$A,'[1]Tissue Data'!$I:$I)</f>
        <v>gibbosus</v>
      </c>
      <c r="G2312" t="str">
        <f>_xlfn.XLOOKUP(A2312,'[1]Tissue Data'!$A:$A,'[1]Tissue Data'!J:J)</f>
        <v>U</v>
      </c>
      <c r="H2312" t="str">
        <f>_xlfn.XLOOKUP(A2312,'[1]Tissue Data'!$A:$A,'[1]Tissue Data'!K:K)</f>
        <v>Whole Body</v>
      </c>
      <c r="I2312">
        <f>_xlfn.XLOOKUP(A2312,'[1]Tissue Data'!$A:$A,'[1]Tissue Data'!L:L)</f>
        <v>5.5</v>
      </c>
      <c r="J2312">
        <f>_xlfn.XLOOKUP(A2312,'[1]Tissue Data'!$A:$A,'[1]Tissue Data'!M:M)</f>
        <v>3.15</v>
      </c>
      <c r="K2312" t="s">
        <v>22</v>
      </c>
      <c r="L2312" t="str">
        <f>_xlfn.XLOOKUP(K2312,[2]analyte_order!$B:$B,[2]analyte_order!$C:$C)</f>
        <v>376-06-7</v>
      </c>
      <c r="M2312">
        <f>_xlfn.XLOOKUP(L2312,[2]analyte_order!$C:$C,[2]analyte_order!$E:$E)</f>
        <v>11</v>
      </c>
      <c r="N2312">
        <v>4.96</v>
      </c>
    </row>
    <row r="2313" spans="1:14">
      <c r="A2313" t="s">
        <v>259</v>
      </c>
      <c r="B2313" t="str">
        <f>_xlfn.XLOOKUP(A2313,'[1]Tissue Data'!$A:$A,'[1]Tissue Data'!$C:$C)</f>
        <v>Spill</v>
      </c>
      <c r="C2313" s="2">
        <f>_xlfn.XLOOKUP(A2313,'[1]Tissue Data'!$A:$A,'[1]Tissue Data'!$D:$D)</f>
        <v>44314</v>
      </c>
      <c r="D2313" s="2" t="str">
        <f>_xlfn.XLOOKUP(A2313,'[1]Tissue Data'!$A:$A,'[1]Tissue Data'!$F:$F)</f>
        <v>Pumpkinseed</v>
      </c>
      <c r="E2313" t="str">
        <f>_xlfn.XLOOKUP(A2313,'[1]Tissue Data'!$A:$A,'[1]Tissue Data'!$H:$H)</f>
        <v>Lepomis</v>
      </c>
      <c r="F2313" t="str">
        <f>_xlfn.XLOOKUP(A2313,'[1]Tissue Data'!$A:$A,'[1]Tissue Data'!$I:$I)</f>
        <v>gibbosus</v>
      </c>
      <c r="G2313" t="str">
        <f>_xlfn.XLOOKUP(A2313,'[1]Tissue Data'!$A:$A,'[1]Tissue Data'!J:J)</f>
        <v>U</v>
      </c>
      <c r="H2313" t="str">
        <f>_xlfn.XLOOKUP(A2313,'[1]Tissue Data'!$A:$A,'[1]Tissue Data'!K:K)</f>
        <v>Whole Body</v>
      </c>
      <c r="I2313">
        <f>_xlfn.XLOOKUP(A2313,'[1]Tissue Data'!$A:$A,'[1]Tissue Data'!L:L)</f>
        <v>5.5</v>
      </c>
      <c r="J2313">
        <f>_xlfn.XLOOKUP(A2313,'[1]Tissue Data'!$A:$A,'[1]Tissue Data'!M:M)</f>
        <v>3.15</v>
      </c>
      <c r="K2313" t="s">
        <v>23</v>
      </c>
      <c r="L2313" t="str">
        <f>_xlfn.XLOOKUP(K2313,[2]analyte_order!$B:$B,[2]analyte_order!$C:$C)</f>
        <v>67905-19-5</v>
      </c>
      <c r="M2313">
        <f>_xlfn.XLOOKUP(L2313,[2]analyte_order!$C:$C,[2]analyte_order!$E:$E)</f>
        <v>12</v>
      </c>
      <c r="N2313">
        <v>8.2500000000000004E-2</v>
      </c>
    </row>
    <row r="2314" spans="1:14">
      <c r="A2314" t="s">
        <v>259</v>
      </c>
      <c r="B2314" t="str">
        <f>_xlfn.XLOOKUP(A2314,'[1]Tissue Data'!$A:$A,'[1]Tissue Data'!$C:$C)</f>
        <v>Spill</v>
      </c>
      <c r="C2314" s="2">
        <f>_xlfn.XLOOKUP(A2314,'[1]Tissue Data'!$A:$A,'[1]Tissue Data'!$D:$D)</f>
        <v>44314</v>
      </c>
      <c r="D2314" s="2" t="str">
        <f>_xlfn.XLOOKUP(A2314,'[1]Tissue Data'!$A:$A,'[1]Tissue Data'!$F:$F)</f>
        <v>Pumpkinseed</v>
      </c>
      <c r="E2314" t="str">
        <f>_xlfn.XLOOKUP(A2314,'[1]Tissue Data'!$A:$A,'[1]Tissue Data'!$H:$H)</f>
        <v>Lepomis</v>
      </c>
      <c r="F2314" t="str">
        <f>_xlfn.XLOOKUP(A2314,'[1]Tissue Data'!$A:$A,'[1]Tissue Data'!$I:$I)</f>
        <v>gibbosus</v>
      </c>
      <c r="G2314" t="str">
        <f>_xlfn.XLOOKUP(A2314,'[1]Tissue Data'!$A:$A,'[1]Tissue Data'!J:J)</f>
        <v>U</v>
      </c>
      <c r="H2314" t="str">
        <f>_xlfn.XLOOKUP(A2314,'[1]Tissue Data'!$A:$A,'[1]Tissue Data'!K:K)</f>
        <v>Whole Body</v>
      </c>
      <c r="I2314">
        <f>_xlfn.XLOOKUP(A2314,'[1]Tissue Data'!$A:$A,'[1]Tissue Data'!L:L)</f>
        <v>5.5</v>
      </c>
      <c r="J2314">
        <f>_xlfn.XLOOKUP(A2314,'[1]Tissue Data'!$A:$A,'[1]Tissue Data'!M:M)</f>
        <v>3.15</v>
      </c>
      <c r="K2314" t="s">
        <v>24</v>
      </c>
      <c r="L2314" t="str">
        <f>_xlfn.XLOOKUP(K2314,[2]analyte_order!$B:$B,[2]analyte_order!$C:$C)</f>
        <v>423-41-6</v>
      </c>
      <c r="M2314">
        <f>_xlfn.XLOOKUP(L2314,[2]analyte_order!$C:$C,[2]analyte_order!$E:$E)</f>
        <v>53</v>
      </c>
      <c r="N2314">
        <v>5.2999999999999999E-2</v>
      </c>
    </row>
    <row r="2315" spans="1:14">
      <c r="A2315" t="s">
        <v>259</v>
      </c>
      <c r="B2315" t="str">
        <f>_xlfn.XLOOKUP(A2315,'[1]Tissue Data'!$A:$A,'[1]Tissue Data'!$C:$C)</f>
        <v>Spill</v>
      </c>
      <c r="C2315" s="2">
        <f>_xlfn.XLOOKUP(A2315,'[1]Tissue Data'!$A:$A,'[1]Tissue Data'!$D:$D)</f>
        <v>44314</v>
      </c>
      <c r="D2315" s="2" t="str">
        <f>_xlfn.XLOOKUP(A2315,'[1]Tissue Data'!$A:$A,'[1]Tissue Data'!$F:$F)</f>
        <v>Pumpkinseed</v>
      </c>
      <c r="E2315" t="str">
        <f>_xlfn.XLOOKUP(A2315,'[1]Tissue Data'!$A:$A,'[1]Tissue Data'!$H:$H)</f>
        <v>Lepomis</v>
      </c>
      <c r="F2315" t="str">
        <f>_xlfn.XLOOKUP(A2315,'[1]Tissue Data'!$A:$A,'[1]Tissue Data'!$I:$I)</f>
        <v>gibbosus</v>
      </c>
      <c r="G2315" t="str">
        <f>_xlfn.XLOOKUP(A2315,'[1]Tissue Data'!$A:$A,'[1]Tissue Data'!J:J)</f>
        <v>U</v>
      </c>
      <c r="H2315" t="str">
        <f>_xlfn.XLOOKUP(A2315,'[1]Tissue Data'!$A:$A,'[1]Tissue Data'!K:K)</f>
        <v>Whole Body</v>
      </c>
      <c r="I2315">
        <f>_xlfn.XLOOKUP(A2315,'[1]Tissue Data'!$A:$A,'[1]Tissue Data'!L:L)</f>
        <v>5.5</v>
      </c>
      <c r="J2315">
        <f>_xlfn.XLOOKUP(A2315,'[1]Tissue Data'!$A:$A,'[1]Tissue Data'!M:M)</f>
        <v>3.15</v>
      </c>
      <c r="K2315" t="s">
        <v>25</v>
      </c>
      <c r="L2315" t="str">
        <f>_xlfn.XLOOKUP(K2315,[2]analyte_order!$B:$B,[2]analyte_order!$C:$C)</f>
        <v>375-73-5</v>
      </c>
      <c r="M2315">
        <f>_xlfn.XLOOKUP(L2315,[2]analyte_order!$C:$C,[2]analyte_order!$E:$E)</f>
        <v>14</v>
      </c>
      <c r="N2315">
        <v>0.156</v>
      </c>
    </row>
    <row r="2316" spans="1:14">
      <c r="A2316" t="s">
        <v>259</v>
      </c>
      <c r="B2316" t="str">
        <f>_xlfn.XLOOKUP(A2316,'[1]Tissue Data'!$A:$A,'[1]Tissue Data'!$C:$C)</f>
        <v>Spill</v>
      </c>
      <c r="C2316" s="2">
        <f>_xlfn.XLOOKUP(A2316,'[1]Tissue Data'!$A:$A,'[1]Tissue Data'!$D:$D)</f>
        <v>44314</v>
      </c>
      <c r="D2316" s="2" t="str">
        <f>_xlfn.XLOOKUP(A2316,'[1]Tissue Data'!$A:$A,'[1]Tissue Data'!$F:$F)</f>
        <v>Pumpkinseed</v>
      </c>
      <c r="E2316" t="str">
        <f>_xlfn.XLOOKUP(A2316,'[1]Tissue Data'!$A:$A,'[1]Tissue Data'!$H:$H)</f>
        <v>Lepomis</v>
      </c>
      <c r="F2316" t="str">
        <f>_xlfn.XLOOKUP(A2316,'[1]Tissue Data'!$A:$A,'[1]Tissue Data'!$I:$I)</f>
        <v>gibbosus</v>
      </c>
      <c r="G2316" t="str">
        <f>_xlfn.XLOOKUP(A2316,'[1]Tissue Data'!$A:$A,'[1]Tissue Data'!J:J)</f>
        <v>U</v>
      </c>
      <c r="H2316" t="str">
        <f>_xlfn.XLOOKUP(A2316,'[1]Tissue Data'!$A:$A,'[1]Tissue Data'!K:K)</f>
        <v>Whole Body</v>
      </c>
      <c r="I2316">
        <f>_xlfn.XLOOKUP(A2316,'[1]Tissue Data'!$A:$A,'[1]Tissue Data'!L:L)</f>
        <v>5.5</v>
      </c>
      <c r="J2316">
        <f>_xlfn.XLOOKUP(A2316,'[1]Tissue Data'!$A:$A,'[1]Tissue Data'!M:M)</f>
        <v>3.15</v>
      </c>
      <c r="K2316" t="s">
        <v>26</v>
      </c>
      <c r="L2316" t="str">
        <f>_xlfn.XLOOKUP(K2316,[2]analyte_order!$B:$B,[2]analyte_order!$C:$C)</f>
        <v>2706-91-4</v>
      </c>
      <c r="M2316">
        <f>_xlfn.XLOOKUP(L2316,[2]analyte_order!$C:$C,[2]analyte_order!$E:$E)</f>
        <v>15</v>
      </c>
      <c r="N2316">
        <v>0.1215</v>
      </c>
    </row>
    <row r="2317" spans="1:14">
      <c r="A2317" t="s">
        <v>259</v>
      </c>
      <c r="B2317" t="str">
        <f>_xlfn.XLOOKUP(A2317,'[1]Tissue Data'!$A:$A,'[1]Tissue Data'!$C:$C)</f>
        <v>Spill</v>
      </c>
      <c r="C2317" s="2">
        <f>_xlfn.XLOOKUP(A2317,'[1]Tissue Data'!$A:$A,'[1]Tissue Data'!$D:$D)</f>
        <v>44314</v>
      </c>
      <c r="D2317" s="2" t="str">
        <f>_xlfn.XLOOKUP(A2317,'[1]Tissue Data'!$A:$A,'[1]Tissue Data'!$F:$F)</f>
        <v>Pumpkinseed</v>
      </c>
      <c r="E2317" t="str">
        <f>_xlfn.XLOOKUP(A2317,'[1]Tissue Data'!$A:$A,'[1]Tissue Data'!$H:$H)</f>
        <v>Lepomis</v>
      </c>
      <c r="F2317" t="str">
        <f>_xlfn.XLOOKUP(A2317,'[1]Tissue Data'!$A:$A,'[1]Tissue Data'!$I:$I)</f>
        <v>gibbosus</v>
      </c>
      <c r="G2317" t="str">
        <f>_xlfn.XLOOKUP(A2317,'[1]Tissue Data'!$A:$A,'[1]Tissue Data'!J:J)</f>
        <v>U</v>
      </c>
      <c r="H2317" t="str">
        <f>_xlfn.XLOOKUP(A2317,'[1]Tissue Data'!$A:$A,'[1]Tissue Data'!K:K)</f>
        <v>Whole Body</v>
      </c>
      <c r="I2317">
        <f>_xlfn.XLOOKUP(A2317,'[1]Tissue Data'!$A:$A,'[1]Tissue Data'!L:L)</f>
        <v>5.5</v>
      </c>
      <c r="J2317">
        <f>_xlfn.XLOOKUP(A2317,'[1]Tissue Data'!$A:$A,'[1]Tissue Data'!M:M)</f>
        <v>3.15</v>
      </c>
      <c r="K2317" t="s">
        <v>27</v>
      </c>
      <c r="L2317" t="str">
        <f>_xlfn.XLOOKUP(K2317,[2]analyte_order!$B:$B,[2]analyte_order!$C:$C)</f>
        <v>355-46-4</v>
      </c>
      <c r="M2317">
        <f>_xlfn.XLOOKUP(L2317,[2]analyte_order!$C:$C,[2]analyte_order!$E:$E)</f>
        <v>16</v>
      </c>
      <c r="N2317">
        <v>10.1</v>
      </c>
    </row>
    <row r="2318" spans="1:14">
      <c r="A2318" t="s">
        <v>259</v>
      </c>
      <c r="B2318" t="str">
        <f>_xlfn.XLOOKUP(A2318,'[1]Tissue Data'!$A:$A,'[1]Tissue Data'!$C:$C)</f>
        <v>Spill</v>
      </c>
      <c r="C2318" s="2">
        <f>_xlfn.XLOOKUP(A2318,'[1]Tissue Data'!$A:$A,'[1]Tissue Data'!$D:$D)</f>
        <v>44314</v>
      </c>
      <c r="D2318" s="2" t="str">
        <f>_xlfn.XLOOKUP(A2318,'[1]Tissue Data'!$A:$A,'[1]Tissue Data'!$F:$F)</f>
        <v>Pumpkinseed</v>
      </c>
      <c r="E2318" t="str">
        <f>_xlfn.XLOOKUP(A2318,'[1]Tissue Data'!$A:$A,'[1]Tissue Data'!$H:$H)</f>
        <v>Lepomis</v>
      </c>
      <c r="F2318" t="str">
        <f>_xlfn.XLOOKUP(A2318,'[1]Tissue Data'!$A:$A,'[1]Tissue Data'!$I:$I)</f>
        <v>gibbosus</v>
      </c>
      <c r="G2318" t="str">
        <f>_xlfn.XLOOKUP(A2318,'[1]Tissue Data'!$A:$A,'[1]Tissue Data'!J:J)</f>
        <v>U</v>
      </c>
      <c r="H2318" t="str">
        <f>_xlfn.XLOOKUP(A2318,'[1]Tissue Data'!$A:$A,'[1]Tissue Data'!K:K)</f>
        <v>Whole Body</v>
      </c>
      <c r="I2318">
        <f>_xlfn.XLOOKUP(A2318,'[1]Tissue Data'!$A:$A,'[1]Tissue Data'!L:L)</f>
        <v>5.5</v>
      </c>
      <c r="J2318">
        <f>_xlfn.XLOOKUP(A2318,'[1]Tissue Data'!$A:$A,'[1]Tissue Data'!M:M)</f>
        <v>3.15</v>
      </c>
      <c r="K2318" t="s">
        <v>28</v>
      </c>
      <c r="L2318" t="str">
        <f>_xlfn.XLOOKUP(K2318,[2]analyte_order!$B:$B,[2]analyte_order!$C:$C)</f>
        <v>375-92-8</v>
      </c>
      <c r="M2318">
        <f>_xlfn.XLOOKUP(L2318,[2]analyte_order!$C:$C,[2]analyte_order!$E:$E)</f>
        <v>17</v>
      </c>
      <c r="N2318">
        <v>0.73799999999999999</v>
      </c>
    </row>
    <row r="2319" spans="1:14">
      <c r="A2319" t="s">
        <v>259</v>
      </c>
      <c r="B2319" t="str">
        <f>_xlfn.XLOOKUP(A2319,'[1]Tissue Data'!$A:$A,'[1]Tissue Data'!$C:$C)</f>
        <v>Spill</v>
      </c>
      <c r="C2319" s="2">
        <f>_xlfn.XLOOKUP(A2319,'[1]Tissue Data'!$A:$A,'[1]Tissue Data'!$D:$D)</f>
        <v>44314</v>
      </c>
      <c r="D2319" s="2" t="str">
        <f>_xlfn.XLOOKUP(A2319,'[1]Tissue Data'!$A:$A,'[1]Tissue Data'!$F:$F)</f>
        <v>Pumpkinseed</v>
      </c>
      <c r="E2319" t="str">
        <f>_xlfn.XLOOKUP(A2319,'[1]Tissue Data'!$A:$A,'[1]Tissue Data'!$H:$H)</f>
        <v>Lepomis</v>
      </c>
      <c r="F2319" t="str">
        <f>_xlfn.XLOOKUP(A2319,'[1]Tissue Data'!$A:$A,'[1]Tissue Data'!$I:$I)</f>
        <v>gibbosus</v>
      </c>
      <c r="G2319" t="str">
        <f>_xlfn.XLOOKUP(A2319,'[1]Tissue Data'!$A:$A,'[1]Tissue Data'!J:J)</f>
        <v>U</v>
      </c>
      <c r="H2319" t="str">
        <f>_xlfn.XLOOKUP(A2319,'[1]Tissue Data'!$A:$A,'[1]Tissue Data'!K:K)</f>
        <v>Whole Body</v>
      </c>
      <c r="I2319">
        <f>_xlfn.XLOOKUP(A2319,'[1]Tissue Data'!$A:$A,'[1]Tissue Data'!L:L)</f>
        <v>5.5</v>
      </c>
      <c r="J2319">
        <f>_xlfn.XLOOKUP(A2319,'[1]Tissue Data'!$A:$A,'[1]Tissue Data'!M:M)</f>
        <v>3.15</v>
      </c>
      <c r="K2319" t="s">
        <v>29</v>
      </c>
      <c r="L2319" t="str">
        <f>_xlfn.XLOOKUP(K2319,[2]analyte_order!$B:$B,[2]analyte_order!$C:$C)</f>
        <v>1763-23-1</v>
      </c>
      <c r="M2319">
        <f>_xlfn.XLOOKUP(L2319,[2]analyte_order!$C:$C,[2]analyte_order!$E:$E)</f>
        <v>18</v>
      </c>
      <c r="N2319">
        <v>354</v>
      </c>
    </row>
    <row r="2320" spans="1:14">
      <c r="A2320" t="s">
        <v>259</v>
      </c>
      <c r="B2320" t="str">
        <f>_xlfn.XLOOKUP(A2320,'[1]Tissue Data'!$A:$A,'[1]Tissue Data'!$C:$C)</f>
        <v>Spill</v>
      </c>
      <c r="C2320" s="2">
        <f>_xlfn.XLOOKUP(A2320,'[1]Tissue Data'!$A:$A,'[1]Tissue Data'!$D:$D)</f>
        <v>44314</v>
      </c>
      <c r="D2320" s="2" t="str">
        <f>_xlfn.XLOOKUP(A2320,'[1]Tissue Data'!$A:$A,'[1]Tissue Data'!$F:$F)</f>
        <v>Pumpkinseed</v>
      </c>
      <c r="E2320" t="str">
        <f>_xlfn.XLOOKUP(A2320,'[1]Tissue Data'!$A:$A,'[1]Tissue Data'!$H:$H)</f>
        <v>Lepomis</v>
      </c>
      <c r="F2320" t="str">
        <f>_xlfn.XLOOKUP(A2320,'[1]Tissue Data'!$A:$A,'[1]Tissue Data'!$I:$I)</f>
        <v>gibbosus</v>
      </c>
      <c r="G2320" t="str">
        <f>_xlfn.XLOOKUP(A2320,'[1]Tissue Data'!$A:$A,'[1]Tissue Data'!J:J)</f>
        <v>U</v>
      </c>
      <c r="H2320" t="str">
        <f>_xlfn.XLOOKUP(A2320,'[1]Tissue Data'!$A:$A,'[1]Tissue Data'!K:K)</f>
        <v>Whole Body</v>
      </c>
      <c r="I2320">
        <f>_xlfn.XLOOKUP(A2320,'[1]Tissue Data'!$A:$A,'[1]Tissue Data'!L:L)</f>
        <v>5.5</v>
      </c>
      <c r="J2320">
        <f>_xlfn.XLOOKUP(A2320,'[1]Tissue Data'!$A:$A,'[1]Tissue Data'!M:M)</f>
        <v>3.15</v>
      </c>
      <c r="K2320" t="s">
        <v>30</v>
      </c>
      <c r="L2320" t="str">
        <f>_xlfn.XLOOKUP(K2320,[2]analyte_order!$B:$B,[2]analyte_order!$C:$C)</f>
        <v>68259-12-1</v>
      </c>
      <c r="M2320">
        <f>_xlfn.XLOOKUP(L2320,[2]analyte_order!$C:$C,[2]analyte_order!$E:$E)</f>
        <v>19</v>
      </c>
      <c r="N2320">
        <v>0.1305</v>
      </c>
    </row>
    <row r="2321" spans="1:14">
      <c r="A2321" t="s">
        <v>259</v>
      </c>
      <c r="B2321" t="str">
        <f>_xlfn.XLOOKUP(A2321,'[1]Tissue Data'!$A:$A,'[1]Tissue Data'!$C:$C)</f>
        <v>Spill</v>
      </c>
      <c r="C2321" s="2">
        <f>_xlfn.XLOOKUP(A2321,'[1]Tissue Data'!$A:$A,'[1]Tissue Data'!$D:$D)</f>
        <v>44314</v>
      </c>
      <c r="D2321" s="2" t="str">
        <f>_xlfn.XLOOKUP(A2321,'[1]Tissue Data'!$A:$A,'[1]Tissue Data'!$F:$F)</f>
        <v>Pumpkinseed</v>
      </c>
      <c r="E2321" t="str">
        <f>_xlfn.XLOOKUP(A2321,'[1]Tissue Data'!$A:$A,'[1]Tissue Data'!$H:$H)</f>
        <v>Lepomis</v>
      </c>
      <c r="F2321" t="str">
        <f>_xlfn.XLOOKUP(A2321,'[1]Tissue Data'!$A:$A,'[1]Tissue Data'!$I:$I)</f>
        <v>gibbosus</v>
      </c>
      <c r="G2321" t="str">
        <f>_xlfn.XLOOKUP(A2321,'[1]Tissue Data'!$A:$A,'[1]Tissue Data'!J:J)</f>
        <v>U</v>
      </c>
      <c r="H2321" t="str">
        <f>_xlfn.XLOOKUP(A2321,'[1]Tissue Data'!$A:$A,'[1]Tissue Data'!K:K)</f>
        <v>Whole Body</v>
      </c>
      <c r="I2321">
        <f>_xlfn.XLOOKUP(A2321,'[1]Tissue Data'!$A:$A,'[1]Tissue Data'!L:L)</f>
        <v>5.5</v>
      </c>
      <c r="J2321">
        <f>_xlfn.XLOOKUP(A2321,'[1]Tissue Data'!$A:$A,'[1]Tissue Data'!M:M)</f>
        <v>3.15</v>
      </c>
      <c r="K2321" t="s">
        <v>31</v>
      </c>
      <c r="L2321" t="str">
        <f>_xlfn.XLOOKUP(K2321,[2]analyte_order!$B:$B,[2]analyte_order!$C:$C)</f>
        <v>335-77-3</v>
      </c>
      <c r="M2321">
        <f>_xlfn.XLOOKUP(L2321,[2]analyte_order!$C:$C,[2]analyte_order!$E:$E)</f>
        <v>20</v>
      </c>
      <c r="N2321">
        <v>0.94099999999999995</v>
      </c>
    </row>
    <row r="2322" spans="1:14">
      <c r="A2322" t="s">
        <v>259</v>
      </c>
      <c r="B2322" t="str">
        <f>_xlfn.XLOOKUP(A2322,'[1]Tissue Data'!$A:$A,'[1]Tissue Data'!$C:$C)</f>
        <v>Spill</v>
      </c>
      <c r="C2322" s="2">
        <f>_xlfn.XLOOKUP(A2322,'[1]Tissue Data'!$A:$A,'[1]Tissue Data'!$D:$D)</f>
        <v>44314</v>
      </c>
      <c r="D2322" s="2" t="str">
        <f>_xlfn.XLOOKUP(A2322,'[1]Tissue Data'!$A:$A,'[1]Tissue Data'!$F:$F)</f>
        <v>Pumpkinseed</v>
      </c>
      <c r="E2322" t="str">
        <f>_xlfn.XLOOKUP(A2322,'[1]Tissue Data'!$A:$A,'[1]Tissue Data'!$H:$H)</f>
        <v>Lepomis</v>
      </c>
      <c r="F2322" t="str">
        <f>_xlfn.XLOOKUP(A2322,'[1]Tissue Data'!$A:$A,'[1]Tissue Data'!$I:$I)</f>
        <v>gibbosus</v>
      </c>
      <c r="G2322" t="str">
        <f>_xlfn.XLOOKUP(A2322,'[1]Tissue Data'!$A:$A,'[1]Tissue Data'!J:J)</f>
        <v>U</v>
      </c>
      <c r="H2322" t="str">
        <f>_xlfn.XLOOKUP(A2322,'[1]Tissue Data'!$A:$A,'[1]Tissue Data'!K:K)</f>
        <v>Whole Body</v>
      </c>
      <c r="I2322">
        <f>_xlfn.XLOOKUP(A2322,'[1]Tissue Data'!$A:$A,'[1]Tissue Data'!L:L)</f>
        <v>5.5</v>
      </c>
      <c r="J2322">
        <f>_xlfn.XLOOKUP(A2322,'[1]Tissue Data'!$A:$A,'[1]Tissue Data'!M:M)</f>
        <v>3.15</v>
      </c>
      <c r="K2322" t="s">
        <v>32</v>
      </c>
      <c r="L2322" t="str">
        <f>_xlfn.XLOOKUP(K2322,[2]analyte_order!$B:$B,[2]analyte_order!$C:$C)</f>
        <v>79780-39-5</v>
      </c>
      <c r="M2322">
        <f>_xlfn.XLOOKUP(L2322,[2]analyte_order!$C:$C,[2]analyte_order!$E:$E)</f>
        <v>21</v>
      </c>
      <c r="N2322">
        <v>0.245</v>
      </c>
    </row>
    <row r="2323" spans="1:14">
      <c r="A2323" t="s">
        <v>259</v>
      </c>
      <c r="B2323" t="str">
        <f>_xlfn.XLOOKUP(A2323,'[1]Tissue Data'!$A:$A,'[1]Tissue Data'!$C:$C)</f>
        <v>Spill</v>
      </c>
      <c r="C2323" s="2">
        <f>_xlfn.XLOOKUP(A2323,'[1]Tissue Data'!$A:$A,'[1]Tissue Data'!$D:$D)</f>
        <v>44314</v>
      </c>
      <c r="D2323" s="2" t="str">
        <f>_xlfn.XLOOKUP(A2323,'[1]Tissue Data'!$A:$A,'[1]Tissue Data'!$F:$F)</f>
        <v>Pumpkinseed</v>
      </c>
      <c r="E2323" t="str">
        <f>_xlfn.XLOOKUP(A2323,'[1]Tissue Data'!$A:$A,'[1]Tissue Data'!$H:$H)</f>
        <v>Lepomis</v>
      </c>
      <c r="F2323" t="str">
        <f>_xlfn.XLOOKUP(A2323,'[1]Tissue Data'!$A:$A,'[1]Tissue Data'!$I:$I)</f>
        <v>gibbosus</v>
      </c>
      <c r="G2323" t="str">
        <f>_xlfn.XLOOKUP(A2323,'[1]Tissue Data'!$A:$A,'[1]Tissue Data'!J:J)</f>
        <v>U</v>
      </c>
      <c r="H2323" t="str">
        <f>_xlfn.XLOOKUP(A2323,'[1]Tissue Data'!$A:$A,'[1]Tissue Data'!K:K)</f>
        <v>Whole Body</v>
      </c>
      <c r="I2323">
        <f>_xlfn.XLOOKUP(A2323,'[1]Tissue Data'!$A:$A,'[1]Tissue Data'!L:L)</f>
        <v>5.5</v>
      </c>
      <c r="J2323">
        <f>_xlfn.XLOOKUP(A2323,'[1]Tissue Data'!$A:$A,'[1]Tissue Data'!M:M)</f>
        <v>3.15</v>
      </c>
      <c r="K2323" t="s">
        <v>33</v>
      </c>
      <c r="L2323" t="str">
        <f>_xlfn.XLOOKUP(K2323,[2]analyte_order!$B:$B,[2]analyte_order!$C:$C)</f>
        <v>777011-38-8</v>
      </c>
      <c r="M2323">
        <f>_xlfn.XLOOKUP(L2323,[2]analyte_order!$C:$C,[2]analyte_order!$E:$E)</f>
        <v>54</v>
      </c>
      <c r="N2323">
        <v>0.13900000000000001</v>
      </c>
    </row>
    <row r="2324" spans="1:14">
      <c r="A2324" t="s">
        <v>259</v>
      </c>
      <c r="B2324" t="str">
        <f>_xlfn.XLOOKUP(A2324,'[1]Tissue Data'!$A:$A,'[1]Tissue Data'!$C:$C)</f>
        <v>Spill</v>
      </c>
      <c r="C2324" s="2">
        <f>_xlfn.XLOOKUP(A2324,'[1]Tissue Data'!$A:$A,'[1]Tissue Data'!$D:$D)</f>
        <v>44314</v>
      </c>
      <c r="D2324" s="2" t="str">
        <f>_xlfn.XLOOKUP(A2324,'[1]Tissue Data'!$A:$A,'[1]Tissue Data'!$F:$F)</f>
        <v>Pumpkinseed</v>
      </c>
      <c r="E2324" t="str">
        <f>_xlfn.XLOOKUP(A2324,'[1]Tissue Data'!$A:$A,'[1]Tissue Data'!$H:$H)</f>
        <v>Lepomis</v>
      </c>
      <c r="F2324" t="str">
        <f>_xlfn.XLOOKUP(A2324,'[1]Tissue Data'!$A:$A,'[1]Tissue Data'!$I:$I)</f>
        <v>gibbosus</v>
      </c>
      <c r="G2324" t="str">
        <f>_xlfn.XLOOKUP(A2324,'[1]Tissue Data'!$A:$A,'[1]Tissue Data'!J:J)</f>
        <v>U</v>
      </c>
      <c r="H2324" t="str">
        <f>_xlfn.XLOOKUP(A2324,'[1]Tissue Data'!$A:$A,'[1]Tissue Data'!K:K)</f>
        <v>Whole Body</v>
      </c>
      <c r="I2324">
        <f>_xlfn.XLOOKUP(A2324,'[1]Tissue Data'!$A:$A,'[1]Tissue Data'!L:L)</f>
        <v>5.5</v>
      </c>
      <c r="J2324">
        <f>_xlfn.XLOOKUP(A2324,'[1]Tissue Data'!$A:$A,'[1]Tissue Data'!M:M)</f>
        <v>3.15</v>
      </c>
      <c r="K2324" t="s">
        <v>34</v>
      </c>
      <c r="L2324" t="str">
        <f>_xlfn.XLOOKUP(K2324,[2]analyte_order!$B:$B,[2]analyte_order!$C:$C)</f>
        <v>646-83-3</v>
      </c>
      <c r="M2324">
        <f>_xlfn.XLOOKUP(L2324,[2]analyte_order!$C:$C,[2]analyte_order!$E:$E)</f>
        <v>55</v>
      </c>
      <c r="N2324">
        <v>9.1499999999999998E-2</v>
      </c>
    </row>
    <row r="2325" spans="1:14">
      <c r="A2325" t="s">
        <v>259</v>
      </c>
      <c r="B2325" t="str">
        <f>_xlfn.XLOOKUP(A2325,'[1]Tissue Data'!$A:$A,'[1]Tissue Data'!$C:$C)</f>
        <v>Spill</v>
      </c>
      <c r="C2325" s="2">
        <f>_xlfn.XLOOKUP(A2325,'[1]Tissue Data'!$A:$A,'[1]Tissue Data'!$D:$D)</f>
        <v>44314</v>
      </c>
      <c r="D2325" s="2" t="str">
        <f>_xlfn.XLOOKUP(A2325,'[1]Tissue Data'!$A:$A,'[1]Tissue Data'!$F:$F)</f>
        <v>Pumpkinseed</v>
      </c>
      <c r="E2325" t="str">
        <f>_xlfn.XLOOKUP(A2325,'[1]Tissue Data'!$A:$A,'[1]Tissue Data'!$H:$H)</f>
        <v>Lepomis</v>
      </c>
      <c r="F2325" t="str">
        <f>_xlfn.XLOOKUP(A2325,'[1]Tissue Data'!$A:$A,'[1]Tissue Data'!$I:$I)</f>
        <v>gibbosus</v>
      </c>
      <c r="G2325" t="str">
        <f>_xlfn.XLOOKUP(A2325,'[1]Tissue Data'!$A:$A,'[1]Tissue Data'!J:J)</f>
        <v>U</v>
      </c>
      <c r="H2325" t="str">
        <f>_xlfn.XLOOKUP(A2325,'[1]Tissue Data'!$A:$A,'[1]Tissue Data'!K:K)</f>
        <v>Whole Body</v>
      </c>
      <c r="I2325">
        <f>_xlfn.XLOOKUP(A2325,'[1]Tissue Data'!$A:$A,'[1]Tissue Data'!L:L)</f>
        <v>5.5</v>
      </c>
      <c r="J2325">
        <f>_xlfn.XLOOKUP(A2325,'[1]Tissue Data'!$A:$A,'[1]Tissue Data'!M:M)</f>
        <v>3.15</v>
      </c>
      <c r="K2325" t="s">
        <v>35</v>
      </c>
      <c r="L2325" t="str">
        <f>_xlfn.XLOOKUP(K2325,[2]analyte_order!$B:$B,[2]analyte_order!$C:$C)</f>
        <v>30334-69-1</v>
      </c>
      <c r="M2325">
        <f>_xlfn.XLOOKUP(L2325,[2]analyte_order!$C:$C,[2]analyte_order!$E:$E)</f>
        <v>51</v>
      </c>
      <c r="N2325">
        <v>73.3</v>
      </c>
    </row>
    <row r="2326" spans="1:14">
      <c r="A2326" t="s">
        <v>259</v>
      </c>
      <c r="B2326" t="str">
        <f>_xlfn.XLOOKUP(A2326,'[1]Tissue Data'!$A:$A,'[1]Tissue Data'!$C:$C)</f>
        <v>Spill</v>
      </c>
      <c r="C2326" s="2">
        <f>_xlfn.XLOOKUP(A2326,'[1]Tissue Data'!$A:$A,'[1]Tissue Data'!$D:$D)</f>
        <v>44314</v>
      </c>
      <c r="D2326" s="2" t="str">
        <f>_xlfn.XLOOKUP(A2326,'[1]Tissue Data'!$A:$A,'[1]Tissue Data'!$F:$F)</f>
        <v>Pumpkinseed</v>
      </c>
      <c r="E2326" t="str">
        <f>_xlfn.XLOOKUP(A2326,'[1]Tissue Data'!$A:$A,'[1]Tissue Data'!$H:$H)</f>
        <v>Lepomis</v>
      </c>
      <c r="F2326" t="str">
        <f>_xlfn.XLOOKUP(A2326,'[1]Tissue Data'!$A:$A,'[1]Tissue Data'!$I:$I)</f>
        <v>gibbosus</v>
      </c>
      <c r="G2326" t="str">
        <f>_xlfn.XLOOKUP(A2326,'[1]Tissue Data'!$A:$A,'[1]Tissue Data'!J:J)</f>
        <v>U</v>
      </c>
      <c r="H2326" t="str">
        <f>_xlfn.XLOOKUP(A2326,'[1]Tissue Data'!$A:$A,'[1]Tissue Data'!K:K)</f>
        <v>Whole Body</v>
      </c>
      <c r="I2326">
        <f>_xlfn.XLOOKUP(A2326,'[1]Tissue Data'!$A:$A,'[1]Tissue Data'!L:L)</f>
        <v>5.5</v>
      </c>
      <c r="J2326">
        <f>_xlfn.XLOOKUP(A2326,'[1]Tissue Data'!$A:$A,'[1]Tissue Data'!M:M)</f>
        <v>3.15</v>
      </c>
      <c r="K2326" t="s">
        <v>36</v>
      </c>
      <c r="L2326" t="str">
        <f>_xlfn.XLOOKUP(K2326,[2]analyte_order!$B:$B,[2]analyte_order!$C:$C)</f>
        <v>41997-13-1</v>
      </c>
      <c r="M2326">
        <f>_xlfn.XLOOKUP(L2326,[2]analyte_order!$C:$C,[2]analyte_order!$E:$E)</f>
        <v>52</v>
      </c>
      <c r="N2326">
        <v>185</v>
      </c>
    </row>
    <row r="2327" spans="1:14">
      <c r="A2327" t="s">
        <v>259</v>
      </c>
      <c r="B2327" t="str">
        <f>_xlfn.XLOOKUP(A2327,'[1]Tissue Data'!$A:$A,'[1]Tissue Data'!$C:$C)</f>
        <v>Spill</v>
      </c>
      <c r="C2327" s="2">
        <f>_xlfn.XLOOKUP(A2327,'[1]Tissue Data'!$A:$A,'[1]Tissue Data'!$D:$D)</f>
        <v>44314</v>
      </c>
      <c r="D2327" s="2" t="str">
        <f>_xlfn.XLOOKUP(A2327,'[1]Tissue Data'!$A:$A,'[1]Tissue Data'!$F:$F)</f>
        <v>Pumpkinseed</v>
      </c>
      <c r="E2327" t="str">
        <f>_xlfn.XLOOKUP(A2327,'[1]Tissue Data'!$A:$A,'[1]Tissue Data'!$H:$H)</f>
        <v>Lepomis</v>
      </c>
      <c r="F2327" t="str">
        <f>_xlfn.XLOOKUP(A2327,'[1]Tissue Data'!$A:$A,'[1]Tissue Data'!$I:$I)</f>
        <v>gibbosus</v>
      </c>
      <c r="G2327" t="str">
        <f>_xlfn.XLOOKUP(A2327,'[1]Tissue Data'!$A:$A,'[1]Tissue Data'!J:J)</f>
        <v>U</v>
      </c>
      <c r="H2327" t="str">
        <f>_xlfn.XLOOKUP(A2327,'[1]Tissue Data'!$A:$A,'[1]Tissue Data'!K:K)</f>
        <v>Whole Body</v>
      </c>
      <c r="I2327">
        <f>_xlfn.XLOOKUP(A2327,'[1]Tissue Data'!$A:$A,'[1]Tissue Data'!L:L)</f>
        <v>5.5</v>
      </c>
      <c r="J2327">
        <f>_xlfn.XLOOKUP(A2327,'[1]Tissue Data'!$A:$A,'[1]Tissue Data'!M:M)</f>
        <v>3.15</v>
      </c>
      <c r="K2327" t="s">
        <v>37</v>
      </c>
      <c r="L2327" t="str">
        <f>_xlfn.XLOOKUP(K2327,[2]analyte_order!$B:$B,[2]analyte_order!$C:$C)</f>
        <v>754-91-6</v>
      </c>
      <c r="M2327">
        <f>_xlfn.XLOOKUP(L2327,[2]analyte_order!$C:$C,[2]analyte_order!$E:$E)</f>
        <v>28</v>
      </c>
      <c r="N2327">
        <v>30.2</v>
      </c>
    </row>
    <row r="2328" spans="1:14">
      <c r="A2328" t="s">
        <v>259</v>
      </c>
      <c r="B2328" t="str">
        <f>_xlfn.XLOOKUP(A2328,'[1]Tissue Data'!$A:$A,'[1]Tissue Data'!$C:$C)</f>
        <v>Spill</v>
      </c>
      <c r="C2328" s="2">
        <f>_xlfn.XLOOKUP(A2328,'[1]Tissue Data'!$A:$A,'[1]Tissue Data'!$D:$D)</f>
        <v>44314</v>
      </c>
      <c r="D2328" s="2" t="str">
        <f>_xlfn.XLOOKUP(A2328,'[1]Tissue Data'!$A:$A,'[1]Tissue Data'!$F:$F)</f>
        <v>Pumpkinseed</v>
      </c>
      <c r="E2328" t="str">
        <f>_xlfn.XLOOKUP(A2328,'[1]Tissue Data'!$A:$A,'[1]Tissue Data'!$H:$H)</f>
        <v>Lepomis</v>
      </c>
      <c r="F2328" t="str">
        <f>_xlfn.XLOOKUP(A2328,'[1]Tissue Data'!$A:$A,'[1]Tissue Data'!$I:$I)</f>
        <v>gibbosus</v>
      </c>
      <c r="G2328" t="str">
        <f>_xlfn.XLOOKUP(A2328,'[1]Tissue Data'!$A:$A,'[1]Tissue Data'!J:J)</f>
        <v>U</v>
      </c>
      <c r="H2328" t="str">
        <f>_xlfn.XLOOKUP(A2328,'[1]Tissue Data'!$A:$A,'[1]Tissue Data'!K:K)</f>
        <v>Whole Body</v>
      </c>
      <c r="I2328">
        <f>_xlfn.XLOOKUP(A2328,'[1]Tissue Data'!$A:$A,'[1]Tissue Data'!L:L)</f>
        <v>5.5</v>
      </c>
      <c r="J2328">
        <f>_xlfn.XLOOKUP(A2328,'[1]Tissue Data'!$A:$A,'[1]Tissue Data'!M:M)</f>
        <v>3.15</v>
      </c>
      <c r="K2328" t="s">
        <v>38</v>
      </c>
      <c r="L2328" t="str">
        <f>_xlfn.XLOOKUP(K2328,[2]analyte_order!$B:$B,[2]analyte_order!$C:$C)</f>
        <v>31506-32-8</v>
      </c>
      <c r="M2328">
        <f>_xlfn.XLOOKUP(L2328,[2]analyte_order!$C:$C,[2]analyte_order!$E:$E)</f>
        <v>30</v>
      </c>
      <c r="N2328">
        <v>5.3499999999999999E-2</v>
      </c>
    </row>
    <row r="2329" spans="1:14">
      <c r="A2329" t="s">
        <v>259</v>
      </c>
      <c r="B2329" t="str">
        <f>_xlfn.XLOOKUP(A2329,'[1]Tissue Data'!$A:$A,'[1]Tissue Data'!$C:$C)</f>
        <v>Spill</v>
      </c>
      <c r="C2329" s="2">
        <f>_xlfn.XLOOKUP(A2329,'[1]Tissue Data'!$A:$A,'[1]Tissue Data'!$D:$D)</f>
        <v>44314</v>
      </c>
      <c r="D2329" s="2" t="str">
        <f>_xlfn.XLOOKUP(A2329,'[1]Tissue Data'!$A:$A,'[1]Tissue Data'!$F:$F)</f>
        <v>Pumpkinseed</v>
      </c>
      <c r="E2329" t="str">
        <f>_xlfn.XLOOKUP(A2329,'[1]Tissue Data'!$A:$A,'[1]Tissue Data'!$H:$H)</f>
        <v>Lepomis</v>
      </c>
      <c r="F2329" t="str">
        <f>_xlfn.XLOOKUP(A2329,'[1]Tissue Data'!$A:$A,'[1]Tissue Data'!$I:$I)</f>
        <v>gibbosus</v>
      </c>
      <c r="G2329" t="str">
        <f>_xlfn.XLOOKUP(A2329,'[1]Tissue Data'!$A:$A,'[1]Tissue Data'!J:J)</f>
        <v>U</v>
      </c>
      <c r="H2329" t="str">
        <f>_xlfn.XLOOKUP(A2329,'[1]Tissue Data'!$A:$A,'[1]Tissue Data'!K:K)</f>
        <v>Whole Body</v>
      </c>
      <c r="I2329">
        <f>_xlfn.XLOOKUP(A2329,'[1]Tissue Data'!$A:$A,'[1]Tissue Data'!L:L)</f>
        <v>5.5</v>
      </c>
      <c r="J2329">
        <f>_xlfn.XLOOKUP(A2329,'[1]Tissue Data'!$A:$A,'[1]Tissue Data'!M:M)</f>
        <v>3.15</v>
      </c>
      <c r="K2329" t="s">
        <v>39</v>
      </c>
      <c r="L2329" t="str">
        <f>_xlfn.XLOOKUP(K2329,[2]analyte_order!$B:$B,[2]analyte_order!$C:$C)</f>
        <v>4151-50-2</v>
      </c>
      <c r="M2329">
        <f>_xlfn.XLOOKUP(L2329,[2]analyte_order!$C:$C,[2]analyte_order!$E:$E)</f>
        <v>31</v>
      </c>
      <c r="N2329">
        <v>8.1000000000000003E-2</v>
      </c>
    </row>
    <row r="2330" spans="1:14">
      <c r="A2330" t="s">
        <v>259</v>
      </c>
      <c r="B2330" t="str">
        <f>_xlfn.XLOOKUP(A2330,'[1]Tissue Data'!$A:$A,'[1]Tissue Data'!$C:$C)</f>
        <v>Spill</v>
      </c>
      <c r="C2330" s="2">
        <f>_xlfn.XLOOKUP(A2330,'[1]Tissue Data'!$A:$A,'[1]Tissue Data'!$D:$D)</f>
        <v>44314</v>
      </c>
      <c r="D2330" s="2" t="str">
        <f>_xlfn.XLOOKUP(A2330,'[1]Tissue Data'!$A:$A,'[1]Tissue Data'!$F:$F)</f>
        <v>Pumpkinseed</v>
      </c>
      <c r="E2330" t="str">
        <f>_xlfn.XLOOKUP(A2330,'[1]Tissue Data'!$A:$A,'[1]Tissue Data'!$H:$H)</f>
        <v>Lepomis</v>
      </c>
      <c r="F2330" t="str">
        <f>_xlfn.XLOOKUP(A2330,'[1]Tissue Data'!$A:$A,'[1]Tissue Data'!$I:$I)</f>
        <v>gibbosus</v>
      </c>
      <c r="G2330" t="str">
        <f>_xlfn.XLOOKUP(A2330,'[1]Tissue Data'!$A:$A,'[1]Tissue Data'!J:J)</f>
        <v>U</v>
      </c>
      <c r="H2330" t="str">
        <f>_xlfn.XLOOKUP(A2330,'[1]Tissue Data'!$A:$A,'[1]Tissue Data'!K:K)</f>
        <v>Whole Body</v>
      </c>
      <c r="I2330">
        <f>_xlfn.XLOOKUP(A2330,'[1]Tissue Data'!$A:$A,'[1]Tissue Data'!L:L)</f>
        <v>5.5</v>
      </c>
      <c r="J2330">
        <f>_xlfn.XLOOKUP(A2330,'[1]Tissue Data'!$A:$A,'[1]Tissue Data'!M:M)</f>
        <v>3.15</v>
      </c>
      <c r="K2330" t="s">
        <v>40</v>
      </c>
      <c r="L2330" t="str">
        <f>_xlfn.XLOOKUP(K2330,[2]analyte_order!$B:$B,[2]analyte_order!$C:$C)</f>
        <v>2806-24-8</v>
      </c>
      <c r="M2330">
        <f>_xlfn.XLOOKUP(L2330,[2]analyte_order!$C:$C,[2]analyte_order!$E:$E)</f>
        <v>29</v>
      </c>
      <c r="N2330">
        <v>5.45E-2</v>
      </c>
    </row>
    <row r="2331" spans="1:14">
      <c r="A2331" t="s">
        <v>259</v>
      </c>
      <c r="B2331" t="str">
        <f>_xlfn.XLOOKUP(A2331,'[1]Tissue Data'!$A:$A,'[1]Tissue Data'!$C:$C)</f>
        <v>Spill</v>
      </c>
      <c r="C2331" s="2">
        <f>_xlfn.XLOOKUP(A2331,'[1]Tissue Data'!$A:$A,'[1]Tissue Data'!$D:$D)</f>
        <v>44314</v>
      </c>
      <c r="D2331" s="2" t="str">
        <f>_xlfn.XLOOKUP(A2331,'[1]Tissue Data'!$A:$A,'[1]Tissue Data'!$F:$F)</f>
        <v>Pumpkinseed</v>
      </c>
      <c r="E2331" t="str">
        <f>_xlfn.XLOOKUP(A2331,'[1]Tissue Data'!$A:$A,'[1]Tissue Data'!$H:$H)</f>
        <v>Lepomis</v>
      </c>
      <c r="F2331" t="str">
        <f>_xlfn.XLOOKUP(A2331,'[1]Tissue Data'!$A:$A,'[1]Tissue Data'!$I:$I)</f>
        <v>gibbosus</v>
      </c>
      <c r="G2331" t="str">
        <f>_xlfn.XLOOKUP(A2331,'[1]Tissue Data'!$A:$A,'[1]Tissue Data'!J:J)</f>
        <v>U</v>
      </c>
      <c r="H2331" t="str">
        <f>_xlfn.XLOOKUP(A2331,'[1]Tissue Data'!$A:$A,'[1]Tissue Data'!K:K)</f>
        <v>Whole Body</v>
      </c>
      <c r="I2331">
        <f>_xlfn.XLOOKUP(A2331,'[1]Tissue Data'!$A:$A,'[1]Tissue Data'!L:L)</f>
        <v>5.5</v>
      </c>
      <c r="J2331">
        <f>_xlfn.XLOOKUP(A2331,'[1]Tissue Data'!$A:$A,'[1]Tissue Data'!M:M)</f>
        <v>3.15</v>
      </c>
      <c r="K2331" t="s">
        <v>41</v>
      </c>
      <c r="L2331" t="str">
        <f>_xlfn.XLOOKUP(K2331,[2]analyte_order!$B:$B,[2]analyte_order!$C:$C)</f>
        <v>2355-31-9</v>
      </c>
      <c r="M2331">
        <f>_xlfn.XLOOKUP(L2331,[2]analyte_order!$C:$C,[2]analyte_order!$E:$E)</f>
        <v>26</v>
      </c>
      <c r="N2331">
        <v>0.23050000000000001</v>
      </c>
    </row>
    <row r="2332" spans="1:14">
      <c r="A2332" t="s">
        <v>259</v>
      </c>
      <c r="B2332" t="str">
        <f>_xlfn.XLOOKUP(A2332,'[1]Tissue Data'!$A:$A,'[1]Tissue Data'!$C:$C)</f>
        <v>Spill</v>
      </c>
      <c r="C2332" s="2">
        <f>_xlfn.XLOOKUP(A2332,'[1]Tissue Data'!$A:$A,'[1]Tissue Data'!$D:$D)</f>
        <v>44314</v>
      </c>
      <c r="D2332" s="2" t="str">
        <f>_xlfn.XLOOKUP(A2332,'[1]Tissue Data'!$A:$A,'[1]Tissue Data'!$F:$F)</f>
        <v>Pumpkinseed</v>
      </c>
      <c r="E2332" t="str">
        <f>_xlfn.XLOOKUP(A2332,'[1]Tissue Data'!$A:$A,'[1]Tissue Data'!$H:$H)</f>
        <v>Lepomis</v>
      </c>
      <c r="F2332" t="str">
        <f>_xlfn.XLOOKUP(A2332,'[1]Tissue Data'!$A:$A,'[1]Tissue Data'!$I:$I)</f>
        <v>gibbosus</v>
      </c>
      <c r="G2332" t="str">
        <f>_xlfn.XLOOKUP(A2332,'[1]Tissue Data'!$A:$A,'[1]Tissue Data'!J:J)</f>
        <v>U</v>
      </c>
      <c r="H2332" t="str">
        <f>_xlfn.XLOOKUP(A2332,'[1]Tissue Data'!$A:$A,'[1]Tissue Data'!K:K)</f>
        <v>Whole Body</v>
      </c>
      <c r="I2332">
        <f>_xlfn.XLOOKUP(A2332,'[1]Tissue Data'!$A:$A,'[1]Tissue Data'!L:L)</f>
        <v>5.5</v>
      </c>
      <c r="J2332">
        <f>_xlfn.XLOOKUP(A2332,'[1]Tissue Data'!$A:$A,'[1]Tissue Data'!M:M)</f>
        <v>3.15</v>
      </c>
      <c r="K2332" t="s">
        <v>42</v>
      </c>
      <c r="L2332" t="str">
        <f>_xlfn.XLOOKUP(K2332,[2]analyte_order!$B:$B,[2]analyte_order!$C:$C)</f>
        <v>2991-50-6</v>
      </c>
      <c r="M2332">
        <f>_xlfn.XLOOKUP(L2332,[2]analyte_order!$C:$C,[2]analyte_order!$E:$E)</f>
        <v>27</v>
      </c>
      <c r="N2332">
        <v>6.0499999999999998E-2</v>
      </c>
    </row>
    <row r="2333" spans="1:14">
      <c r="A2333" t="s">
        <v>259</v>
      </c>
      <c r="B2333" t="str">
        <f>_xlfn.XLOOKUP(A2333,'[1]Tissue Data'!$A:$A,'[1]Tissue Data'!$C:$C)</f>
        <v>Spill</v>
      </c>
      <c r="C2333" s="2">
        <f>_xlfn.XLOOKUP(A2333,'[1]Tissue Data'!$A:$A,'[1]Tissue Data'!$D:$D)</f>
        <v>44314</v>
      </c>
      <c r="D2333" s="2" t="str">
        <f>_xlfn.XLOOKUP(A2333,'[1]Tissue Data'!$A:$A,'[1]Tissue Data'!$F:$F)</f>
        <v>Pumpkinseed</v>
      </c>
      <c r="E2333" t="str">
        <f>_xlfn.XLOOKUP(A2333,'[1]Tissue Data'!$A:$A,'[1]Tissue Data'!$H:$H)</f>
        <v>Lepomis</v>
      </c>
      <c r="F2333" t="str">
        <f>_xlfn.XLOOKUP(A2333,'[1]Tissue Data'!$A:$A,'[1]Tissue Data'!$I:$I)</f>
        <v>gibbosus</v>
      </c>
      <c r="G2333" t="str">
        <f>_xlfn.XLOOKUP(A2333,'[1]Tissue Data'!$A:$A,'[1]Tissue Data'!J:J)</f>
        <v>U</v>
      </c>
      <c r="H2333" t="str">
        <f>_xlfn.XLOOKUP(A2333,'[1]Tissue Data'!$A:$A,'[1]Tissue Data'!K:K)</f>
        <v>Whole Body</v>
      </c>
      <c r="I2333">
        <f>_xlfn.XLOOKUP(A2333,'[1]Tissue Data'!$A:$A,'[1]Tissue Data'!L:L)</f>
        <v>5.5</v>
      </c>
      <c r="J2333">
        <f>_xlfn.XLOOKUP(A2333,'[1]Tissue Data'!$A:$A,'[1]Tissue Data'!M:M)</f>
        <v>3.15</v>
      </c>
      <c r="K2333" t="s">
        <v>43</v>
      </c>
      <c r="L2333" t="str">
        <f>_xlfn.XLOOKUP(K2333,[2]analyte_order!$B:$B,[2]analyte_order!$C:$C)</f>
        <v>757124-72-4</v>
      </c>
      <c r="M2333">
        <f>_xlfn.XLOOKUP(L2333,[2]analyte_order!$C:$C,[2]analyte_order!$E:$E)</f>
        <v>22</v>
      </c>
      <c r="N2333">
        <v>5.7000000000000002E-2</v>
      </c>
    </row>
    <row r="2334" spans="1:14">
      <c r="A2334" t="s">
        <v>259</v>
      </c>
      <c r="B2334" t="str">
        <f>_xlfn.XLOOKUP(A2334,'[1]Tissue Data'!$A:$A,'[1]Tissue Data'!$C:$C)</f>
        <v>Spill</v>
      </c>
      <c r="C2334" s="2">
        <f>_xlfn.XLOOKUP(A2334,'[1]Tissue Data'!$A:$A,'[1]Tissue Data'!$D:$D)</f>
        <v>44314</v>
      </c>
      <c r="D2334" s="2" t="str">
        <f>_xlfn.XLOOKUP(A2334,'[1]Tissue Data'!$A:$A,'[1]Tissue Data'!$F:$F)</f>
        <v>Pumpkinseed</v>
      </c>
      <c r="E2334" t="str">
        <f>_xlfn.XLOOKUP(A2334,'[1]Tissue Data'!$A:$A,'[1]Tissue Data'!$H:$H)</f>
        <v>Lepomis</v>
      </c>
      <c r="F2334" t="str">
        <f>_xlfn.XLOOKUP(A2334,'[1]Tissue Data'!$A:$A,'[1]Tissue Data'!$I:$I)</f>
        <v>gibbosus</v>
      </c>
      <c r="G2334" t="str">
        <f>_xlfn.XLOOKUP(A2334,'[1]Tissue Data'!$A:$A,'[1]Tissue Data'!J:J)</f>
        <v>U</v>
      </c>
      <c r="H2334" t="str">
        <f>_xlfn.XLOOKUP(A2334,'[1]Tissue Data'!$A:$A,'[1]Tissue Data'!K:K)</f>
        <v>Whole Body</v>
      </c>
      <c r="I2334">
        <f>_xlfn.XLOOKUP(A2334,'[1]Tissue Data'!$A:$A,'[1]Tissue Data'!L:L)</f>
        <v>5.5</v>
      </c>
      <c r="J2334">
        <f>_xlfn.XLOOKUP(A2334,'[1]Tissue Data'!$A:$A,'[1]Tissue Data'!M:M)</f>
        <v>3.15</v>
      </c>
      <c r="K2334" t="s">
        <v>44</v>
      </c>
      <c r="L2334" t="str">
        <f>_xlfn.XLOOKUP(K2334,[2]analyte_order!$B:$B,[2]analyte_order!$C:$C)</f>
        <v>27619-97-2</v>
      </c>
      <c r="M2334">
        <f>_xlfn.XLOOKUP(L2334,[2]analyte_order!$C:$C,[2]analyte_order!$E:$E)</f>
        <v>23</v>
      </c>
      <c r="N2334">
        <v>0.80800000000000005</v>
      </c>
    </row>
    <row r="2335" spans="1:14">
      <c r="A2335" t="s">
        <v>259</v>
      </c>
      <c r="B2335" t="str">
        <f>_xlfn.XLOOKUP(A2335,'[1]Tissue Data'!$A:$A,'[1]Tissue Data'!$C:$C)</f>
        <v>Spill</v>
      </c>
      <c r="C2335" s="2">
        <f>_xlfn.XLOOKUP(A2335,'[1]Tissue Data'!$A:$A,'[1]Tissue Data'!$D:$D)</f>
        <v>44314</v>
      </c>
      <c r="D2335" s="2" t="str">
        <f>_xlfn.XLOOKUP(A2335,'[1]Tissue Data'!$A:$A,'[1]Tissue Data'!$F:$F)</f>
        <v>Pumpkinseed</v>
      </c>
      <c r="E2335" t="str">
        <f>_xlfn.XLOOKUP(A2335,'[1]Tissue Data'!$A:$A,'[1]Tissue Data'!$H:$H)</f>
        <v>Lepomis</v>
      </c>
      <c r="F2335" t="str">
        <f>_xlfn.XLOOKUP(A2335,'[1]Tissue Data'!$A:$A,'[1]Tissue Data'!$I:$I)</f>
        <v>gibbosus</v>
      </c>
      <c r="G2335" t="str">
        <f>_xlfn.XLOOKUP(A2335,'[1]Tissue Data'!$A:$A,'[1]Tissue Data'!J:J)</f>
        <v>U</v>
      </c>
      <c r="H2335" t="str">
        <f>_xlfn.XLOOKUP(A2335,'[1]Tissue Data'!$A:$A,'[1]Tissue Data'!K:K)</f>
        <v>Whole Body</v>
      </c>
      <c r="I2335">
        <f>_xlfn.XLOOKUP(A2335,'[1]Tissue Data'!$A:$A,'[1]Tissue Data'!L:L)</f>
        <v>5.5</v>
      </c>
      <c r="J2335">
        <f>_xlfn.XLOOKUP(A2335,'[1]Tissue Data'!$A:$A,'[1]Tissue Data'!M:M)</f>
        <v>3.15</v>
      </c>
      <c r="K2335" t="s">
        <v>45</v>
      </c>
      <c r="L2335" t="str">
        <f>_xlfn.XLOOKUP(K2335,[2]analyte_order!$B:$B,[2]analyte_order!$C:$C)</f>
        <v>39108-34-4</v>
      </c>
      <c r="M2335">
        <f>_xlfn.XLOOKUP(L2335,[2]analyte_order!$C:$C,[2]analyte_order!$E:$E)</f>
        <v>24</v>
      </c>
      <c r="N2335">
        <v>1.7</v>
      </c>
    </row>
    <row r="2336" spans="1:14">
      <c r="A2336" t="s">
        <v>259</v>
      </c>
      <c r="B2336" t="str">
        <f>_xlfn.XLOOKUP(A2336,'[1]Tissue Data'!$A:$A,'[1]Tissue Data'!$C:$C)</f>
        <v>Spill</v>
      </c>
      <c r="C2336" s="2">
        <f>_xlfn.XLOOKUP(A2336,'[1]Tissue Data'!$A:$A,'[1]Tissue Data'!$D:$D)</f>
        <v>44314</v>
      </c>
      <c r="D2336" s="2" t="str">
        <f>_xlfn.XLOOKUP(A2336,'[1]Tissue Data'!$A:$A,'[1]Tissue Data'!$F:$F)</f>
        <v>Pumpkinseed</v>
      </c>
      <c r="E2336" t="str">
        <f>_xlfn.XLOOKUP(A2336,'[1]Tissue Data'!$A:$A,'[1]Tissue Data'!$H:$H)</f>
        <v>Lepomis</v>
      </c>
      <c r="F2336" t="str">
        <f>_xlfn.XLOOKUP(A2336,'[1]Tissue Data'!$A:$A,'[1]Tissue Data'!$I:$I)</f>
        <v>gibbosus</v>
      </c>
      <c r="G2336" t="str">
        <f>_xlfn.XLOOKUP(A2336,'[1]Tissue Data'!$A:$A,'[1]Tissue Data'!J:J)</f>
        <v>U</v>
      </c>
      <c r="H2336" t="str">
        <f>_xlfn.XLOOKUP(A2336,'[1]Tissue Data'!$A:$A,'[1]Tissue Data'!K:K)</f>
        <v>Whole Body</v>
      </c>
      <c r="I2336">
        <f>_xlfn.XLOOKUP(A2336,'[1]Tissue Data'!$A:$A,'[1]Tissue Data'!L:L)</f>
        <v>5.5</v>
      </c>
      <c r="J2336">
        <f>_xlfn.XLOOKUP(A2336,'[1]Tissue Data'!$A:$A,'[1]Tissue Data'!M:M)</f>
        <v>3.15</v>
      </c>
      <c r="K2336" t="s">
        <v>46</v>
      </c>
      <c r="L2336" t="str">
        <f>_xlfn.XLOOKUP(K2336,[2]analyte_order!$B:$B,[2]analyte_order!$C:$C)</f>
        <v>120226-60-0</v>
      </c>
      <c r="M2336">
        <f>_xlfn.XLOOKUP(L2336,[2]analyte_order!$C:$C,[2]analyte_order!$E:$E)</f>
        <v>25</v>
      </c>
      <c r="N2336">
        <v>0.26</v>
      </c>
    </row>
    <row r="2337" spans="1:14">
      <c r="A2337" t="s">
        <v>259</v>
      </c>
      <c r="B2337" t="str">
        <f>_xlfn.XLOOKUP(A2337,'[1]Tissue Data'!$A:$A,'[1]Tissue Data'!$C:$C)</f>
        <v>Spill</v>
      </c>
      <c r="C2337" s="2">
        <f>_xlfn.XLOOKUP(A2337,'[1]Tissue Data'!$A:$A,'[1]Tissue Data'!$D:$D)</f>
        <v>44314</v>
      </c>
      <c r="D2337" s="2" t="str">
        <f>_xlfn.XLOOKUP(A2337,'[1]Tissue Data'!$A:$A,'[1]Tissue Data'!$F:$F)</f>
        <v>Pumpkinseed</v>
      </c>
      <c r="E2337" t="str">
        <f>_xlfn.XLOOKUP(A2337,'[1]Tissue Data'!$A:$A,'[1]Tissue Data'!$H:$H)</f>
        <v>Lepomis</v>
      </c>
      <c r="F2337" t="str">
        <f>_xlfn.XLOOKUP(A2337,'[1]Tissue Data'!$A:$A,'[1]Tissue Data'!$I:$I)</f>
        <v>gibbosus</v>
      </c>
      <c r="G2337" t="str">
        <f>_xlfn.XLOOKUP(A2337,'[1]Tissue Data'!$A:$A,'[1]Tissue Data'!J:J)</f>
        <v>U</v>
      </c>
      <c r="H2337" t="str">
        <f>_xlfn.XLOOKUP(A2337,'[1]Tissue Data'!$A:$A,'[1]Tissue Data'!K:K)</f>
        <v>Whole Body</v>
      </c>
      <c r="I2337">
        <f>_xlfn.XLOOKUP(A2337,'[1]Tissue Data'!$A:$A,'[1]Tissue Data'!L:L)</f>
        <v>5.5</v>
      </c>
      <c r="J2337">
        <f>_xlfn.XLOOKUP(A2337,'[1]Tissue Data'!$A:$A,'[1]Tissue Data'!M:M)</f>
        <v>3.15</v>
      </c>
      <c r="K2337" t="s">
        <v>47</v>
      </c>
      <c r="L2337" t="str">
        <f>_xlfn.XLOOKUP(K2337,[2]analyte_order!$B:$B,[2]analyte_order!$C:$C)</f>
        <v>356-02-5</v>
      </c>
      <c r="M2337">
        <f>_xlfn.XLOOKUP(L2337,[2]analyte_order!$C:$C,[2]analyte_order!$E:$E)</f>
        <v>38</v>
      </c>
      <c r="N2337">
        <v>0.26400000000000001</v>
      </c>
    </row>
    <row r="2338" spans="1:14">
      <c r="A2338" t="s">
        <v>259</v>
      </c>
      <c r="B2338" t="str">
        <f>_xlfn.XLOOKUP(A2338,'[1]Tissue Data'!$A:$A,'[1]Tissue Data'!$C:$C)</f>
        <v>Spill</v>
      </c>
      <c r="C2338" s="2">
        <f>_xlfn.XLOOKUP(A2338,'[1]Tissue Data'!$A:$A,'[1]Tissue Data'!$D:$D)</f>
        <v>44314</v>
      </c>
      <c r="D2338" s="2" t="str">
        <f>_xlfn.XLOOKUP(A2338,'[1]Tissue Data'!$A:$A,'[1]Tissue Data'!$F:$F)</f>
        <v>Pumpkinseed</v>
      </c>
      <c r="E2338" t="str">
        <f>_xlfn.XLOOKUP(A2338,'[1]Tissue Data'!$A:$A,'[1]Tissue Data'!$H:$H)</f>
        <v>Lepomis</v>
      </c>
      <c r="F2338" t="str">
        <f>_xlfn.XLOOKUP(A2338,'[1]Tissue Data'!$A:$A,'[1]Tissue Data'!$I:$I)</f>
        <v>gibbosus</v>
      </c>
      <c r="G2338" t="str">
        <f>_xlfn.XLOOKUP(A2338,'[1]Tissue Data'!$A:$A,'[1]Tissue Data'!J:J)</f>
        <v>U</v>
      </c>
      <c r="H2338" t="str">
        <f>_xlfn.XLOOKUP(A2338,'[1]Tissue Data'!$A:$A,'[1]Tissue Data'!K:K)</f>
        <v>Whole Body</v>
      </c>
      <c r="I2338">
        <f>_xlfn.XLOOKUP(A2338,'[1]Tissue Data'!$A:$A,'[1]Tissue Data'!L:L)</f>
        <v>5.5</v>
      </c>
      <c r="J2338">
        <f>_xlfn.XLOOKUP(A2338,'[1]Tissue Data'!$A:$A,'[1]Tissue Data'!M:M)</f>
        <v>3.15</v>
      </c>
      <c r="K2338" t="s">
        <v>48</v>
      </c>
      <c r="L2338" t="str">
        <f>_xlfn.XLOOKUP(K2338,[2]analyte_order!$B:$B,[2]analyte_order!$C:$C)</f>
        <v>914637-49-3</v>
      </c>
      <c r="M2338">
        <f>_xlfn.XLOOKUP(L2338,[2]analyte_order!$C:$C,[2]analyte_order!$E:$E)</f>
        <v>39</v>
      </c>
      <c r="N2338">
        <v>0.17299999999999999</v>
      </c>
    </row>
    <row r="2339" spans="1:14">
      <c r="A2339" t="s">
        <v>259</v>
      </c>
      <c r="B2339" t="str">
        <f>_xlfn.XLOOKUP(A2339,'[1]Tissue Data'!$A:$A,'[1]Tissue Data'!$C:$C)</f>
        <v>Spill</v>
      </c>
      <c r="C2339" s="2">
        <f>_xlfn.XLOOKUP(A2339,'[1]Tissue Data'!$A:$A,'[1]Tissue Data'!$D:$D)</f>
        <v>44314</v>
      </c>
      <c r="D2339" s="2" t="str">
        <f>_xlfn.XLOOKUP(A2339,'[1]Tissue Data'!$A:$A,'[1]Tissue Data'!$F:$F)</f>
        <v>Pumpkinseed</v>
      </c>
      <c r="E2339" t="str">
        <f>_xlfn.XLOOKUP(A2339,'[1]Tissue Data'!$A:$A,'[1]Tissue Data'!$H:$H)</f>
        <v>Lepomis</v>
      </c>
      <c r="F2339" t="str">
        <f>_xlfn.XLOOKUP(A2339,'[1]Tissue Data'!$A:$A,'[1]Tissue Data'!$I:$I)</f>
        <v>gibbosus</v>
      </c>
      <c r="G2339" t="str">
        <f>_xlfn.XLOOKUP(A2339,'[1]Tissue Data'!$A:$A,'[1]Tissue Data'!J:J)</f>
        <v>U</v>
      </c>
      <c r="H2339" t="str">
        <f>_xlfn.XLOOKUP(A2339,'[1]Tissue Data'!$A:$A,'[1]Tissue Data'!K:K)</f>
        <v>Whole Body</v>
      </c>
      <c r="I2339">
        <f>_xlfn.XLOOKUP(A2339,'[1]Tissue Data'!$A:$A,'[1]Tissue Data'!L:L)</f>
        <v>5.5</v>
      </c>
      <c r="J2339">
        <f>_xlfn.XLOOKUP(A2339,'[1]Tissue Data'!$A:$A,'[1]Tissue Data'!M:M)</f>
        <v>3.15</v>
      </c>
      <c r="K2339" t="s">
        <v>49</v>
      </c>
      <c r="L2339" t="str">
        <f>_xlfn.XLOOKUP(K2339,[2]analyte_order!$B:$B,[2]analyte_order!$C:$C)</f>
        <v>812-70-4</v>
      </c>
      <c r="M2339">
        <f>_xlfn.XLOOKUP(L2339,[2]analyte_order!$C:$C,[2]analyte_order!$E:$E)</f>
        <v>40</v>
      </c>
      <c r="N2339">
        <v>5.6000000000000001E-2</v>
      </c>
    </row>
    <row r="2340" spans="1:14">
      <c r="A2340" t="s">
        <v>259</v>
      </c>
      <c r="B2340" t="str">
        <f>_xlfn.XLOOKUP(A2340,'[1]Tissue Data'!$A:$A,'[1]Tissue Data'!$C:$C)</f>
        <v>Spill</v>
      </c>
      <c r="C2340" s="2">
        <f>_xlfn.XLOOKUP(A2340,'[1]Tissue Data'!$A:$A,'[1]Tissue Data'!$D:$D)</f>
        <v>44314</v>
      </c>
      <c r="D2340" s="2" t="str">
        <f>_xlfn.XLOOKUP(A2340,'[1]Tissue Data'!$A:$A,'[1]Tissue Data'!$F:$F)</f>
        <v>Pumpkinseed</v>
      </c>
      <c r="E2340" t="str">
        <f>_xlfn.XLOOKUP(A2340,'[1]Tissue Data'!$A:$A,'[1]Tissue Data'!$H:$H)</f>
        <v>Lepomis</v>
      </c>
      <c r="F2340" t="str">
        <f>_xlfn.XLOOKUP(A2340,'[1]Tissue Data'!$A:$A,'[1]Tissue Data'!$I:$I)</f>
        <v>gibbosus</v>
      </c>
      <c r="G2340" t="str">
        <f>_xlfn.XLOOKUP(A2340,'[1]Tissue Data'!$A:$A,'[1]Tissue Data'!J:J)</f>
        <v>U</v>
      </c>
      <c r="H2340" t="str">
        <f>_xlfn.XLOOKUP(A2340,'[1]Tissue Data'!$A:$A,'[1]Tissue Data'!K:K)</f>
        <v>Whole Body</v>
      </c>
      <c r="I2340">
        <f>_xlfn.XLOOKUP(A2340,'[1]Tissue Data'!$A:$A,'[1]Tissue Data'!L:L)</f>
        <v>5.5</v>
      </c>
      <c r="J2340">
        <f>_xlfn.XLOOKUP(A2340,'[1]Tissue Data'!$A:$A,'[1]Tissue Data'!M:M)</f>
        <v>3.15</v>
      </c>
      <c r="K2340" t="s">
        <v>50</v>
      </c>
      <c r="L2340" t="str">
        <f>_xlfn.XLOOKUP(K2340,[2]analyte_order!$B:$B,[2]analyte_order!$C:$C)</f>
        <v>53826-12-3</v>
      </c>
      <c r="M2340">
        <f>_xlfn.XLOOKUP(L2340,[2]analyte_order!$C:$C,[2]analyte_order!$E:$E)</f>
        <v>41</v>
      </c>
      <c r="N2340">
        <v>4.4549999999999999E-2</v>
      </c>
    </row>
    <row r="2341" spans="1:14">
      <c r="A2341" t="s">
        <v>259</v>
      </c>
      <c r="B2341" t="str">
        <f>_xlfn.XLOOKUP(A2341,'[1]Tissue Data'!$A:$A,'[1]Tissue Data'!$C:$C)</f>
        <v>Spill</v>
      </c>
      <c r="C2341" s="2">
        <f>_xlfn.XLOOKUP(A2341,'[1]Tissue Data'!$A:$A,'[1]Tissue Data'!$D:$D)</f>
        <v>44314</v>
      </c>
      <c r="D2341" s="2" t="str">
        <f>_xlfn.XLOOKUP(A2341,'[1]Tissue Data'!$A:$A,'[1]Tissue Data'!$F:$F)</f>
        <v>Pumpkinseed</v>
      </c>
      <c r="E2341" t="str">
        <f>_xlfn.XLOOKUP(A2341,'[1]Tissue Data'!$A:$A,'[1]Tissue Data'!$H:$H)</f>
        <v>Lepomis</v>
      </c>
      <c r="F2341" t="str">
        <f>_xlfn.XLOOKUP(A2341,'[1]Tissue Data'!$A:$A,'[1]Tissue Data'!$I:$I)</f>
        <v>gibbosus</v>
      </c>
      <c r="G2341" t="str">
        <f>_xlfn.XLOOKUP(A2341,'[1]Tissue Data'!$A:$A,'[1]Tissue Data'!J:J)</f>
        <v>U</v>
      </c>
      <c r="H2341" t="str">
        <f>_xlfn.XLOOKUP(A2341,'[1]Tissue Data'!$A:$A,'[1]Tissue Data'!K:K)</f>
        <v>Whole Body</v>
      </c>
      <c r="I2341">
        <f>_xlfn.XLOOKUP(A2341,'[1]Tissue Data'!$A:$A,'[1]Tissue Data'!L:L)</f>
        <v>5.5</v>
      </c>
      <c r="J2341">
        <f>_xlfn.XLOOKUP(A2341,'[1]Tissue Data'!$A:$A,'[1]Tissue Data'!M:M)</f>
        <v>3.15</v>
      </c>
      <c r="K2341" t="s">
        <v>51</v>
      </c>
      <c r="L2341" t="str">
        <f>_xlfn.XLOOKUP(K2341,[2]analyte_order!$B:$B,[2]analyte_order!$C:$C)</f>
        <v>27854-31-5</v>
      </c>
      <c r="M2341">
        <f>_xlfn.XLOOKUP(L2341,[2]analyte_order!$C:$C,[2]analyte_order!$E:$E)</f>
        <v>42</v>
      </c>
      <c r="N2341">
        <v>2.775E-2</v>
      </c>
    </row>
    <row r="2342" spans="1:14">
      <c r="A2342" t="s">
        <v>259</v>
      </c>
      <c r="B2342" t="str">
        <f>_xlfn.XLOOKUP(A2342,'[1]Tissue Data'!$A:$A,'[1]Tissue Data'!$C:$C)</f>
        <v>Spill</v>
      </c>
      <c r="C2342" s="2">
        <f>_xlfn.XLOOKUP(A2342,'[1]Tissue Data'!$A:$A,'[1]Tissue Data'!$D:$D)</f>
        <v>44314</v>
      </c>
      <c r="D2342" s="2" t="str">
        <f>_xlfn.XLOOKUP(A2342,'[1]Tissue Data'!$A:$A,'[1]Tissue Data'!$F:$F)</f>
        <v>Pumpkinseed</v>
      </c>
      <c r="E2342" t="str">
        <f>_xlfn.XLOOKUP(A2342,'[1]Tissue Data'!$A:$A,'[1]Tissue Data'!$H:$H)</f>
        <v>Lepomis</v>
      </c>
      <c r="F2342" t="str">
        <f>_xlfn.XLOOKUP(A2342,'[1]Tissue Data'!$A:$A,'[1]Tissue Data'!$I:$I)</f>
        <v>gibbosus</v>
      </c>
      <c r="G2342" t="str">
        <f>_xlfn.XLOOKUP(A2342,'[1]Tissue Data'!$A:$A,'[1]Tissue Data'!J:J)</f>
        <v>U</v>
      </c>
      <c r="H2342" t="str">
        <f>_xlfn.XLOOKUP(A2342,'[1]Tissue Data'!$A:$A,'[1]Tissue Data'!K:K)</f>
        <v>Whole Body</v>
      </c>
      <c r="I2342">
        <f>_xlfn.XLOOKUP(A2342,'[1]Tissue Data'!$A:$A,'[1]Tissue Data'!L:L)</f>
        <v>5.5</v>
      </c>
      <c r="J2342">
        <f>_xlfn.XLOOKUP(A2342,'[1]Tissue Data'!$A:$A,'[1]Tissue Data'!M:M)</f>
        <v>3.15</v>
      </c>
      <c r="K2342" t="s">
        <v>52</v>
      </c>
      <c r="L2342" t="str">
        <f>_xlfn.XLOOKUP(K2342,[2]analyte_order!$B:$B,[2]analyte_order!$C:$C)</f>
        <v>53826-13-4</v>
      </c>
      <c r="M2342">
        <f>_xlfn.XLOOKUP(L2342,[2]analyte_order!$C:$C,[2]analyte_order!$E:$E)</f>
        <v>43</v>
      </c>
      <c r="N2342">
        <v>0.10349999999999999</v>
      </c>
    </row>
    <row r="2343" spans="1:14">
      <c r="A2343" t="s">
        <v>259</v>
      </c>
      <c r="B2343" t="str">
        <f>_xlfn.XLOOKUP(A2343,'[1]Tissue Data'!$A:$A,'[1]Tissue Data'!$C:$C)</f>
        <v>Spill</v>
      </c>
      <c r="C2343" s="2">
        <f>_xlfn.XLOOKUP(A2343,'[1]Tissue Data'!$A:$A,'[1]Tissue Data'!$D:$D)</f>
        <v>44314</v>
      </c>
      <c r="D2343" s="2" t="str">
        <f>_xlfn.XLOOKUP(A2343,'[1]Tissue Data'!$A:$A,'[1]Tissue Data'!$F:$F)</f>
        <v>Pumpkinseed</v>
      </c>
      <c r="E2343" t="str">
        <f>_xlfn.XLOOKUP(A2343,'[1]Tissue Data'!$A:$A,'[1]Tissue Data'!$H:$H)</f>
        <v>Lepomis</v>
      </c>
      <c r="F2343" t="str">
        <f>_xlfn.XLOOKUP(A2343,'[1]Tissue Data'!$A:$A,'[1]Tissue Data'!$I:$I)</f>
        <v>gibbosus</v>
      </c>
      <c r="G2343" t="str">
        <f>_xlfn.XLOOKUP(A2343,'[1]Tissue Data'!$A:$A,'[1]Tissue Data'!J:J)</f>
        <v>U</v>
      </c>
      <c r="H2343" t="str">
        <f>_xlfn.XLOOKUP(A2343,'[1]Tissue Data'!$A:$A,'[1]Tissue Data'!K:K)</f>
        <v>Whole Body</v>
      </c>
      <c r="I2343">
        <f>_xlfn.XLOOKUP(A2343,'[1]Tissue Data'!$A:$A,'[1]Tissue Data'!L:L)</f>
        <v>5.5</v>
      </c>
      <c r="J2343">
        <f>_xlfn.XLOOKUP(A2343,'[1]Tissue Data'!$A:$A,'[1]Tissue Data'!M:M)</f>
        <v>3.15</v>
      </c>
      <c r="K2343" t="s">
        <v>53</v>
      </c>
      <c r="L2343" t="str">
        <f>_xlfn.XLOOKUP(K2343,[2]analyte_order!$B:$B,[2]analyte_order!$C:$C)</f>
        <v>161094-75-3</v>
      </c>
      <c r="M2343">
        <f>_xlfn.XLOOKUP(L2343,[2]analyte_order!$C:$C,[2]analyte_order!$E:$E)</f>
        <v>44</v>
      </c>
      <c r="N2343">
        <v>5.45E-2</v>
      </c>
    </row>
    <row r="2344" spans="1:14">
      <c r="A2344" t="s">
        <v>259</v>
      </c>
      <c r="B2344" t="str">
        <f>_xlfn.XLOOKUP(A2344,'[1]Tissue Data'!$A:$A,'[1]Tissue Data'!$C:$C)</f>
        <v>Spill</v>
      </c>
      <c r="C2344" s="2">
        <f>_xlfn.XLOOKUP(A2344,'[1]Tissue Data'!$A:$A,'[1]Tissue Data'!$D:$D)</f>
        <v>44314</v>
      </c>
      <c r="D2344" s="2" t="str">
        <f>_xlfn.XLOOKUP(A2344,'[1]Tissue Data'!$A:$A,'[1]Tissue Data'!$F:$F)</f>
        <v>Pumpkinseed</v>
      </c>
      <c r="E2344" t="str">
        <f>_xlfn.XLOOKUP(A2344,'[1]Tissue Data'!$A:$A,'[1]Tissue Data'!$H:$H)</f>
        <v>Lepomis</v>
      </c>
      <c r="F2344" t="str">
        <f>_xlfn.XLOOKUP(A2344,'[1]Tissue Data'!$A:$A,'[1]Tissue Data'!$I:$I)</f>
        <v>gibbosus</v>
      </c>
      <c r="G2344" t="str">
        <f>_xlfn.XLOOKUP(A2344,'[1]Tissue Data'!$A:$A,'[1]Tissue Data'!J:J)</f>
        <v>U</v>
      </c>
      <c r="H2344" t="str">
        <f>_xlfn.XLOOKUP(A2344,'[1]Tissue Data'!$A:$A,'[1]Tissue Data'!K:K)</f>
        <v>Whole Body</v>
      </c>
      <c r="I2344">
        <f>_xlfn.XLOOKUP(A2344,'[1]Tissue Data'!$A:$A,'[1]Tissue Data'!L:L)</f>
        <v>5.5</v>
      </c>
      <c r="J2344">
        <f>_xlfn.XLOOKUP(A2344,'[1]Tissue Data'!$A:$A,'[1]Tissue Data'!M:M)</f>
        <v>3.15</v>
      </c>
      <c r="K2344" t="s">
        <v>54</v>
      </c>
      <c r="L2344" t="str">
        <f>_xlfn.XLOOKUP(K2344,[2]analyte_order!$B:$B,[2]analyte_order!$C:$C)</f>
        <v>70887-84-2</v>
      </c>
      <c r="M2344">
        <f>_xlfn.XLOOKUP(L2344,[2]analyte_order!$C:$C,[2]analyte_order!$E:$E)</f>
        <v>45</v>
      </c>
      <c r="N2344">
        <v>4.1950000000000001E-2</v>
      </c>
    </row>
    <row r="2345" spans="1:14">
      <c r="A2345" t="s">
        <v>259</v>
      </c>
      <c r="B2345" t="str">
        <f>_xlfn.XLOOKUP(A2345,'[1]Tissue Data'!$A:$A,'[1]Tissue Data'!$C:$C)</f>
        <v>Spill</v>
      </c>
      <c r="C2345" s="2">
        <f>_xlfn.XLOOKUP(A2345,'[1]Tissue Data'!$A:$A,'[1]Tissue Data'!$D:$D)</f>
        <v>44314</v>
      </c>
      <c r="D2345" s="2" t="str">
        <f>_xlfn.XLOOKUP(A2345,'[1]Tissue Data'!$A:$A,'[1]Tissue Data'!$F:$F)</f>
        <v>Pumpkinseed</v>
      </c>
      <c r="E2345" t="str">
        <f>_xlfn.XLOOKUP(A2345,'[1]Tissue Data'!$A:$A,'[1]Tissue Data'!$H:$H)</f>
        <v>Lepomis</v>
      </c>
      <c r="F2345" t="str">
        <f>_xlfn.XLOOKUP(A2345,'[1]Tissue Data'!$A:$A,'[1]Tissue Data'!$I:$I)</f>
        <v>gibbosus</v>
      </c>
      <c r="G2345" t="str">
        <f>_xlfn.XLOOKUP(A2345,'[1]Tissue Data'!$A:$A,'[1]Tissue Data'!J:J)</f>
        <v>U</v>
      </c>
      <c r="H2345" t="str">
        <f>_xlfn.XLOOKUP(A2345,'[1]Tissue Data'!$A:$A,'[1]Tissue Data'!K:K)</f>
        <v>Whole Body</v>
      </c>
      <c r="I2345">
        <f>_xlfn.XLOOKUP(A2345,'[1]Tissue Data'!$A:$A,'[1]Tissue Data'!L:L)</f>
        <v>5.5</v>
      </c>
      <c r="J2345">
        <f>_xlfn.XLOOKUP(A2345,'[1]Tissue Data'!$A:$A,'[1]Tissue Data'!M:M)</f>
        <v>3.15</v>
      </c>
      <c r="K2345" t="s">
        <v>55</v>
      </c>
      <c r="L2345" t="str">
        <f>_xlfn.XLOOKUP(K2345,[2]analyte_order!$B:$B,[2]analyte_order!$C:$C)</f>
        <v>919005-14-4</v>
      </c>
      <c r="M2345">
        <f>_xlfn.XLOOKUP(L2345,[2]analyte_order!$C:$C,[2]analyte_order!$E:$E)</f>
        <v>35</v>
      </c>
      <c r="N2345">
        <v>6.9500000000000006E-2</v>
      </c>
    </row>
    <row r="2346" spans="1:14">
      <c r="A2346" t="s">
        <v>259</v>
      </c>
      <c r="B2346" t="str">
        <f>_xlfn.XLOOKUP(A2346,'[1]Tissue Data'!$A:$A,'[1]Tissue Data'!$C:$C)</f>
        <v>Spill</v>
      </c>
      <c r="C2346" s="2">
        <f>_xlfn.XLOOKUP(A2346,'[1]Tissue Data'!$A:$A,'[1]Tissue Data'!$D:$D)</f>
        <v>44314</v>
      </c>
      <c r="D2346" s="2" t="str">
        <f>_xlfn.XLOOKUP(A2346,'[1]Tissue Data'!$A:$A,'[1]Tissue Data'!$F:$F)</f>
        <v>Pumpkinseed</v>
      </c>
      <c r="E2346" t="str">
        <f>_xlfn.XLOOKUP(A2346,'[1]Tissue Data'!$A:$A,'[1]Tissue Data'!$H:$H)</f>
        <v>Lepomis</v>
      </c>
      <c r="F2346" t="str">
        <f>_xlfn.XLOOKUP(A2346,'[1]Tissue Data'!$A:$A,'[1]Tissue Data'!$I:$I)</f>
        <v>gibbosus</v>
      </c>
      <c r="G2346" t="str">
        <f>_xlfn.XLOOKUP(A2346,'[1]Tissue Data'!$A:$A,'[1]Tissue Data'!J:J)</f>
        <v>U</v>
      </c>
      <c r="H2346" t="str">
        <f>_xlfn.XLOOKUP(A2346,'[1]Tissue Data'!$A:$A,'[1]Tissue Data'!K:K)</f>
        <v>Whole Body</v>
      </c>
      <c r="I2346">
        <f>_xlfn.XLOOKUP(A2346,'[1]Tissue Data'!$A:$A,'[1]Tissue Data'!L:L)</f>
        <v>5.5</v>
      </c>
      <c r="J2346">
        <f>_xlfn.XLOOKUP(A2346,'[1]Tissue Data'!$A:$A,'[1]Tissue Data'!M:M)</f>
        <v>3.15</v>
      </c>
      <c r="K2346" t="s">
        <v>56</v>
      </c>
      <c r="L2346" t="str">
        <f>_xlfn.XLOOKUP(K2346,[2]analyte_order!$B:$B,[2]analyte_order!$C:$C)</f>
        <v>756426-58-1</v>
      </c>
      <c r="M2346">
        <f>_xlfn.XLOOKUP(L2346,[2]analyte_order!$C:$C,[2]analyte_order!$E:$E)</f>
        <v>36</v>
      </c>
      <c r="N2346">
        <v>4.82E-2</v>
      </c>
    </row>
    <row r="2347" spans="1:14">
      <c r="A2347" t="s">
        <v>259</v>
      </c>
      <c r="B2347" t="str">
        <f>_xlfn.XLOOKUP(A2347,'[1]Tissue Data'!$A:$A,'[1]Tissue Data'!$C:$C)</f>
        <v>Spill</v>
      </c>
      <c r="C2347" s="2">
        <f>_xlfn.XLOOKUP(A2347,'[1]Tissue Data'!$A:$A,'[1]Tissue Data'!$D:$D)</f>
        <v>44314</v>
      </c>
      <c r="D2347" s="2" t="str">
        <f>_xlfn.XLOOKUP(A2347,'[1]Tissue Data'!$A:$A,'[1]Tissue Data'!$F:$F)</f>
        <v>Pumpkinseed</v>
      </c>
      <c r="E2347" t="str">
        <f>_xlfn.XLOOKUP(A2347,'[1]Tissue Data'!$A:$A,'[1]Tissue Data'!$H:$H)</f>
        <v>Lepomis</v>
      </c>
      <c r="F2347" t="str">
        <f>_xlfn.XLOOKUP(A2347,'[1]Tissue Data'!$A:$A,'[1]Tissue Data'!$I:$I)</f>
        <v>gibbosus</v>
      </c>
      <c r="G2347" t="str">
        <f>_xlfn.XLOOKUP(A2347,'[1]Tissue Data'!$A:$A,'[1]Tissue Data'!J:J)</f>
        <v>U</v>
      </c>
      <c r="H2347" t="str">
        <f>_xlfn.XLOOKUP(A2347,'[1]Tissue Data'!$A:$A,'[1]Tissue Data'!K:K)</f>
        <v>Whole Body</v>
      </c>
      <c r="I2347">
        <f>_xlfn.XLOOKUP(A2347,'[1]Tissue Data'!$A:$A,'[1]Tissue Data'!L:L)</f>
        <v>5.5</v>
      </c>
      <c r="J2347">
        <f>_xlfn.XLOOKUP(A2347,'[1]Tissue Data'!$A:$A,'[1]Tissue Data'!M:M)</f>
        <v>3.15</v>
      </c>
      <c r="K2347" t="s">
        <v>57</v>
      </c>
      <c r="L2347" t="str">
        <f>_xlfn.XLOOKUP(K2347,[2]analyte_order!$B:$B,[2]analyte_order!$C:$C)</f>
        <v>763051-92-9</v>
      </c>
      <c r="M2347">
        <f>_xlfn.XLOOKUP(L2347,[2]analyte_order!$C:$C,[2]analyte_order!$E:$E)</f>
        <v>37</v>
      </c>
      <c r="N2347">
        <v>5.45E-2</v>
      </c>
    </row>
    <row r="2348" spans="1:14">
      <c r="A2348" t="s">
        <v>259</v>
      </c>
      <c r="B2348" t="str">
        <f>_xlfn.XLOOKUP(A2348,'[1]Tissue Data'!$A:$A,'[1]Tissue Data'!$C:$C)</f>
        <v>Spill</v>
      </c>
      <c r="C2348" s="2">
        <f>_xlfn.XLOOKUP(A2348,'[1]Tissue Data'!$A:$A,'[1]Tissue Data'!$D:$D)</f>
        <v>44314</v>
      </c>
      <c r="D2348" s="2" t="str">
        <f>_xlfn.XLOOKUP(A2348,'[1]Tissue Data'!$A:$A,'[1]Tissue Data'!$F:$F)</f>
        <v>Pumpkinseed</v>
      </c>
      <c r="E2348" t="str">
        <f>_xlfn.XLOOKUP(A2348,'[1]Tissue Data'!$A:$A,'[1]Tissue Data'!$H:$H)</f>
        <v>Lepomis</v>
      </c>
      <c r="F2348" t="str">
        <f>_xlfn.XLOOKUP(A2348,'[1]Tissue Data'!$A:$A,'[1]Tissue Data'!$I:$I)</f>
        <v>gibbosus</v>
      </c>
      <c r="G2348" t="str">
        <f>_xlfn.XLOOKUP(A2348,'[1]Tissue Data'!$A:$A,'[1]Tissue Data'!J:J)</f>
        <v>U</v>
      </c>
      <c r="H2348" t="str">
        <f>_xlfn.XLOOKUP(A2348,'[1]Tissue Data'!$A:$A,'[1]Tissue Data'!K:K)</f>
        <v>Whole Body</v>
      </c>
      <c r="I2348">
        <f>_xlfn.XLOOKUP(A2348,'[1]Tissue Data'!$A:$A,'[1]Tissue Data'!L:L)</f>
        <v>5.5</v>
      </c>
      <c r="J2348">
        <f>_xlfn.XLOOKUP(A2348,'[1]Tissue Data'!$A:$A,'[1]Tissue Data'!M:M)</f>
        <v>3.15</v>
      </c>
      <c r="K2348" t="s">
        <v>58</v>
      </c>
      <c r="L2348" t="str">
        <f>_xlfn.XLOOKUP(K2348,[2]analyte_order!$B:$B,[2]analyte_order!$C:$C)</f>
        <v>13252-13-6</v>
      </c>
      <c r="M2348">
        <f>_xlfn.XLOOKUP(L2348,[2]analyte_order!$C:$C,[2]analyte_order!$E:$E)</f>
        <v>34</v>
      </c>
      <c r="N2348">
        <v>9.9500000000000005E-2</v>
      </c>
    </row>
    <row r="2349" spans="1:14">
      <c r="A2349" t="s">
        <v>259</v>
      </c>
      <c r="B2349" t="str">
        <f>_xlfn.XLOOKUP(A2349,'[1]Tissue Data'!$A:$A,'[1]Tissue Data'!$C:$C)</f>
        <v>Spill</v>
      </c>
      <c r="C2349" s="2">
        <f>_xlfn.XLOOKUP(A2349,'[1]Tissue Data'!$A:$A,'[1]Tissue Data'!$D:$D)</f>
        <v>44314</v>
      </c>
      <c r="D2349" s="2" t="str">
        <f>_xlfn.XLOOKUP(A2349,'[1]Tissue Data'!$A:$A,'[1]Tissue Data'!$F:$F)</f>
        <v>Pumpkinseed</v>
      </c>
      <c r="E2349" t="str">
        <f>_xlfn.XLOOKUP(A2349,'[1]Tissue Data'!$A:$A,'[1]Tissue Data'!$H:$H)</f>
        <v>Lepomis</v>
      </c>
      <c r="F2349" t="str">
        <f>_xlfn.XLOOKUP(A2349,'[1]Tissue Data'!$A:$A,'[1]Tissue Data'!$I:$I)</f>
        <v>gibbosus</v>
      </c>
      <c r="G2349" t="str">
        <f>_xlfn.XLOOKUP(A2349,'[1]Tissue Data'!$A:$A,'[1]Tissue Data'!J:J)</f>
        <v>U</v>
      </c>
      <c r="H2349" t="str">
        <f>_xlfn.XLOOKUP(A2349,'[1]Tissue Data'!$A:$A,'[1]Tissue Data'!K:K)</f>
        <v>Whole Body</v>
      </c>
      <c r="I2349">
        <f>_xlfn.XLOOKUP(A2349,'[1]Tissue Data'!$A:$A,'[1]Tissue Data'!L:L)</f>
        <v>5.5</v>
      </c>
      <c r="J2349">
        <f>_xlfn.XLOOKUP(A2349,'[1]Tissue Data'!$A:$A,'[1]Tissue Data'!M:M)</f>
        <v>3.15</v>
      </c>
      <c r="K2349" t="s">
        <v>59</v>
      </c>
      <c r="L2349" t="str">
        <f>_xlfn.XLOOKUP(K2349,[2]analyte_order!$B:$B,[2]analyte_order!$C:$C)</f>
        <v>57677-95-9</v>
      </c>
      <c r="M2349">
        <f>_xlfn.XLOOKUP(L2349,[2]analyte_order!$C:$C,[2]analyte_order!$E:$E)</f>
        <v>46</v>
      </c>
      <c r="N2349">
        <v>7.3999999999999996E-2</v>
      </c>
    </row>
    <row r="2350" spans="1:14">
      <c r="A2350" t="s">
        <v>259</v>
      </c>
      <c r="B2350" t="str">
        <f>_xlfn.XLOOKUP(A2350,'[1]Tissue Data'!$A:$A,'[1]Tissue Data'!$C:$C)</f>
        <v>Spill</v>
      </c>
      <c r="C2350" s="2">
        <f>_xlfn.XLOOKUP(A2350,'[1]Tissue Data'!$A:$A,'[1]Tissue Data'!$D:$D)</f>
        <v>44314</v>
      </c>
      <c r="D2350" s="2" t="str">
        <f>_xlfn.XLOOKUP(A2350,'[1]Tissue Data'!$A:$A,'[1]Tissue Data'!$F:$F)</f>
        <v>Pumpkinseed</v>
      </c>
      <c r="E2350" t="str">
        <f>_xlfn.XLOOKUP(A2350,'[1]Tissue Data'!$A:$A,'[1]Tissue Data'!$H:$H)</f>
        <v>Lepomis</v>
      </c>
      <c r="F2350" t="str">
        <f>_xlfn.XLOOKUP(A2350,'[1]Tissue Data'!$A:$A,'[1]Tissue Data'!$I:$I)</f>
        <v>gibbosus</v>
      </c>
      <c r="G2350" t="str">
        <f>_xlfn.XLOOKUP(A2350,'[1]Tissue Data'!$A:$A,'[1]Tissue Data'!J:J)</f>
        <v>U</v>
      </c>
      <c r="H2350" t="str">
        <f>_xlfn.XLOOKUP(A2350,'[1]Tissue Data'!$A:$A,'[1]Tissue Data'!K:K)</f>
        <v>Whole Body</v>
      </c>
      <c r="I2350">
        <f>_xlfn.XLOOKUP(A2350,'[1]Tissue Data'!$A:$A,'[1]Tissue Data'!L:L)</f>
        <v>5.5</v>
      </c>
      <c r="J2350">
        <f>_xlfn.XLOOKUP(A2350,'[1]Tissue Data'!$A:$A,'[1]Tissue Data'!M:M)</f>
        <v>3.15</v>
      </c>
      <c r="K2350" t="s">
        <v>60</v>
      </c>
      <c r="L2350" t="str">
        <f>_xlfn.XLOOKUP(K2350,[2]analyte_order!$B:$B,[2]analyte_order!$C:$C)</f>
        <v>678-41-1</v>
      </c>
      <c r="M2350">
        <f>_xlfn.XLOOKUP(L2350,[2]analyte_order!$C:$C,[2]analyte_order!$E:$E)</f>
        <v>56</v>
      </c>
      <c r="N2350">
        <v>9.1999999999999998E-2</v>
      </c>
    </row>
    <row r="2351" spans="1:14">
      <c r="A2351" t="s">
        <v>259</v>
      </c>
      <c r="B2351" t="str">
        <f>_xlfn.XLOOKUP(A2351,'[1]Tissue Data'!$A:$A,'[1]Tissue Data'!$C:$C)</f>
        <v>Spill</v>
      </c>
      <c r="C2351" s="2">
        <f>_xlfn.XLOOKUP(A2351,'[1]Tissue Data'!$A:$A,'[1]Tissue Data'!$D:$D)</f>
        <v>44314</v>
      </c>
      <c r="D2351" s="2" t="str">
        <f>_xlfn.XLOOKUP(A2351,'[1]Tissue Data'!$A:$A,'[1]Tissue Data'!$F:$F)</f>
        <v>Pumpkinseed</v>
      </c>
      <c r="E2351" t="str">
        <f>_xlfn.XLOOKUP(A2351,'[1]Tissue Data'!$A:$A,'[1]Tissue Data'!$H:$H)</f>
        <v>Lepomis</v>
      </c>
      <c r="F2351" t="str">
        <f>_xlfn.XLOOKUP(A2351,'[1]Tissue Data'!$A:$A,'[1]Tissue Data'!$I:$I)</f>
        <v>gibbosus</v>
      </c>
      <c r="G2351" t="str">
        <f>_xlfn.XLOOKUP(A2351,'[1]Tissue Data'!$A:$A,'[1]Tissue Data'!J:J)</f>
        <v>U</v>
      </c>
      <c r="H2351" t="str">
        <f>_xlfn.XLOOKUP(A2351,'[1]Tissue Data'!$A:$A,'[1]Tissue Data'!K:K)</f>
        <v>Whole Body</v>
      </c>
      <c r="I2351">
        <f>_xlfn.XLOOKUP(A2351,'[1]Tissue Data'!$A:$A,'[1]Tissue Data'!L:L)</f>
        <v>5.5</v>
      </c>
      <c r="J2351">
        <f>_xlfn.XLOOKUP(A2351,'[1]Tissue Data'!$A:$A,'[1]Tissue Data'!M:M)</f>
        <v>3.15</v>
      </c>
      <c r="K2351" t="s">
        <v>61</v>
      </c>
      <c r="L2351" t="str">
        <f>_xlfn.XLOOKUP(K2351,[2]analyte_order!$B:$B,[2]analyte_order!$C:$C)</f>
        <v>2965-52-8</v>
      </c>
      <c r="M2351">
        <f>_xlfn.XLOOKUP(L2351,[2]analyte_order!$C:$C,[2]analyte_order!$E:$E)</f>
        <v>57</v>
      </c>
      <c r="N2351">
        <v>0.122</v>
      </c>
    </row>
    <row r="2352" spans="1:14">
      <c r="A2352" t="s">
        <v>186</v>
      </c>
      <c r="B2352" t="str">
        <f>_xlfn.XLOOKUP(A2352,'[1]Tissue Data'!$A:$A,'[1]Tissue Data'!$C:$C)</f>
        <v>Spill</v>
      </c>
      <c r="C2352" s="2">
        <f>_xlfn.XLOOKUP(A2352,'[1]Tissue Data'!$A:$A,'[1]Tissue Data'!$D:$D)</f>
        <v>44314</v>
      </c>
      <c r="D2352" s="2" t="str">
        <f>_xlfn.XLOOKUP(A2352,'[1]Tissue Data'!$A:$A,'[1]Tissue Data'!$F:$F)</f>
        <v>Swallowtail Shiner</v>
      </c>
      <c r="E2352" t="str">
        <f>_xlfn.XLOOKUP(A2352,'[1]Tissue Data'!$A:$A,'[1]Tissue Data'!$H:$H)</f>
        <v>Notropis</v>
      </c>
      <c r="F2352" t="str">
        <f>_xlfn.XLOOKUP(A2352,'[1]Tissue Data'!$A:$A,'[1]Tissue Data'!$I:$I)</f>
        <v>procne</v>
      </c>
      <c r="G2352" t="str">
        <f>_xlfn.XLOOKUP(A2352,'[1]Tissue Data'!$A:$A,'[1]Tissue Data'!J:J)</f>
        <v>U</v>
      </c>
      <c r="H2352" t="str">
        <f>_xlfn.XLOOKUP(A2352,'[1]Tissue Data'!$A:$A,'[1]Tissue Data'!K:K)</f>
        <v>Whole Body</v>
      </c>
      <c r="I2352">
        <f>_xlfn.XLOOKUP(A2352,'[1]Tissue Data'!$A:$A,'[1]Tissue Data'!L:L)</f>
        <v>5.5</v>
      </c>
      <c r="J2352">
        <f>_xlfn.XLOOKUP(A2352,'[1]Tissue Data'!$A:$A,'[1]Tissue Data'!M:M)</f>
        <v>2.4500000000000002</v>
      </c>
      <c r="K2352" t="s">
        <v>12</v>
      </c>
      <c r="L2352" t="str">
        <f>_xlfn.XLOOKUP(K2352,[2]analyte_order!$B:$B,[2]analyte_order!$C:$C)</f>
        <v>375-22-4</v>
      </c>
      <c r="M2352">
        <f>_xlfn.XLOOKUP(L2352,[2]analyte_order!$C:$C,[2]analyte_order!$E:$E)</f>
        <v>1</v>
      </c>
      <c r="N2352">
        <v>2.76E-2</v>
      </c>
    </row>
    <row r="2353" spans="1:14">
      <c r="A2353" t="s">
        <v>186</v>
      </c>
      <c r="B2353" t="str">
        <f>_xlfn.XLOOKUP(A2353,'[1]Tissue Data'!$A:$A,'[1]Tissue Data'!$C:$C)</f>
        <v>Spill</v>
      </c>
      <c r="C2353" s="2">
        <f>_xlfn.XLOOKUP(A2353,'[1]Tissue Data'!$A:$A,'[1]Tissue Data'!$D:$D)</f>
        <v>44314</v>
      </c>
      <c r="D2353" s="2" t="str">
        <f>_xlfn.XLOOKUP(A2353,'[1]Tissue Data'!$A:$A,'[1]Tissue Data'!$F:$F)</f>
        <v>Swallowtail Shiner</v>
      </c>
      <c r="E2353" t="str">
        <f>_xlfn.XLOOKUP(A2353,'[1]Tissue Data'!$A:$A,'[1]Tissue Data'!$H:$H)</f>
        <v>Notropis</v>
      </c>
      <c r="F2353" t="str">
        <f>_xlfn.XLOOKUP(A2353,'[1]Tissue Data'!$A:$A,'[1]Tissue Data'!$I:$I)</f>
        <v>procne</v>
      </c>
      <c r="G2353" t="str">
        <f>_xlfn.XLOOKUP(A2353,'[1]Tissue Data'!$A:$A,'[1]Tissue Data'!J:J)</f>
        <v>U</v>
      </c>
      <c r="H2353" t="str">
        <f>_xlfn.XLOOKUP(A2353,'[1]Tissue Data'!$A:$A,'[1]Tissue Data'!K:K)</f>
        <v>Whole Body</v>
      </c>
      <c r="I2353">
        <f>_xlfn.XLOOKUP(A2353,'[1]Tissue Data'!$A:$A,'[1]Tissue Data'!L:L)</f>
        <v>5.5</v>
      </c>
      <c r="J2353">
        <f>_xlfn.XLOOKUP(A2353,'[1]Tissue Data'!$A:$A,'[1]Tissue Data'!M:M)</f>
        <v>2.4500000000000002</v>
      </c>
      <c r="K2353" t="s">
        <v>13</v>
      </c>
      <c r="L2353" t="str">
        <f>_xlfn.XLOOKUP(K2353,[2]analyte_order!$B:$B,[2]analyte_order!$C:$C)</f>
        <v>2706-90-3</v>
      </c>
      <c r="M2353">
        <f>_xlfn.XLOOKUP(L2353,[2]analyte_order!$C:$C,[2]analyte_order!$E:$E)</f>
        <v>2</v>
      </c>
      <c r="N2353">
        <v>4.8649999999999999E-2</v>
      </c>
    </row>
    <row r="2354" spans="1:14">
      <c r="A2354" t="s">
        <v>186</v>
      </c>
      <c r="B2354" t="str">
        <f>_xlfn.XLOOKUP(A2354,'[1]Tissue Data'!$A:$A,'[1]Tissue Data'!$C:$C)</f>
        <v>Spill</v>
      </c>
      <c r="C2354" s="2">
        <f>_xlfn.XLOOKUP(A2354,'[1]Tissue Data'!$A:$A,'[1]Tissue Data'!$D:$D)</f>
        <v>44314</v>
      </c>
      <c r="D2354" s="2" t="str">
        <f>_xlfn.XLOOKUP(A2354,'[1]Tissue Data'!$A:$A,'[1]Tissue Data'!$F:$F)</f>
        <v>Swallowtail Shiner</v>
      </c>
      <c r="E2354" t="str">
        <f>_xlfn.XLOOKUP(A2354,'[1]Tissue Data'!$A:$A,'[1]Tissue Data'!$H:$H)</f>
        <v>Notropis</v>
      </c>
      <c r="F2354" t="str">
        <f>_xlfn.XLOOKUP(A2354,'[1]Tissue Data'!$A:$A,'[1]Tissue Data'!$I:$I)</f>
        <v>procne</v>
      </c>
      <c r="G2354" t="str">
        <f>_xlfn.XLOOKUP(A2354,'[1]Tissue Data'!$A:$A,'[1]Tissue Data'!J:J)</f>
        <v>U</v>
      </c>
      <c r="H2354" t="str">
        <f>_xlfn.XLOOKUP(A2354,'[1]Tissue Data'!$A:$A,'[1]Tissue Data'!K:K)</f>
        <v>Whole Body</v>
      </c>
      <c r="I2354">
        <f>_xlfn.XLOOKUP(A2354,'[1]Tissue Data'!$A:$A,'[1]Tissue Data'!L:L)</f>
        <v>5.5</v>
      </c>
      <c r="J2354">
        <f>_xlfn.XLOOKUP(A2354,'[1]Tissue Data'!$A:$A,'[1]Tissue Data'!M:M)</f>
        <v>2.4500000000000002</v>
      </c>
      <c r="K2354" t="s">
        <v>14</v>
      </c>
      <c r="L2354" t="str">
        <f>_xlfn.XLOOKUP(K2354,[2]analyte_order!$B:$B,[2]analyte_order!$C:$C)</f>
        <v>307-24-4</v>
      </c>
      <c r="M2354">
        <f>_xlfn.XLOOKUP(L2354,[2]analyte_order!$C:$C,[2]analyte_order!$E:$E)</f>
        <v>3</v>
      </c>
      <c r="N2354">
        <v>3.7100000000000001E-2</v>
      </c>
    </row>
    <row r="2355" spans="1:14">
      <c r="A2355" t="s">
        <v>186</v>
      </c>
      <c r="B2355" t="str">
        <f>_xlfn.XLOOKUP(A2355,'[1]Tissue Data'!$A:$A,'[1]Tissue Data'!$C:$C)</f>
        <v>Spill</v>
      </c>
      <c r="C2355" s="2">
        <f>_xlfn.XLOOKUP(A2355,'[1]Tissue Data'!$A:$A,'[1]Tissue Data'!$D:$D)</f>
        <v>44314</v>
      </c>
      <c r="D2355" s="2" t="str">
        <f>_xlfn.XLOOKUP(A2355,'[1]Tissue Data'!$A:$A,'[1]Tissue Data'!$F:$F)</f>
        <v>Swallowtail Shiner</v>
      </c>
      <c r="E2355" t="str">
        <f>_xlfn.XLOOKUP(A2355,'[1]Tissue Data'!$A:$A,'[1]Tissue Data'!$H:$H)</f>
        <v>Notropis</v>
      </c>
      <c r="F2355" t="str">
        <f>_xlfn.XLOOKUP(A2355,'[1]Tissue Data'!$A:$A,'[1]Tissue Data'!$I:$I)</f>
        <v>procne</v>
      </c>
      <c r="G2355" t="str">
        <f>_xlfn.XLOOKUP(A2355,'[1]Tissue Data'!$A:$A,'[1]Tissue Data'!J:J)</f>
        <v>U</v>
      </c>
      <c r="H2355" t="str">
        <f>_xlfn.XLOOKUP(A2355,'[1]Tissue Data'!$A:$A,'[1]Tissue Data'!K:K)</f>
        <v>Whole Body</v>
      </c>
      <c r="I2355">
        <f>_xlfn.XLOOKUP(A2355,'[1]Tissue Data'!$A:$A,'[1]Tissue Data'!L:L)</f>
        <v>5.5</v>
      </c>
      <c r="J2355">
        <f>_xlfn.XLOOKUP(A2355,'[1]Tissue Data'!$A:$A,'[1]Tissue Data'!M:M)</f>
        <v>2.4500000000000002</v>
      </c>
      <c r="K2355" t="s">
        <v>15</v>
      </c>
      <c r="L2355" t="str">
        <f>_xlfn.XLOOKUP(K2355,[2]analyte_order!$B:$B,[2]analyte_order!$C:$C)</f>
        <v>375-85-9</v>
      </c>
      <c r="M2355">
        <f>_xlfn.XLOOKUP(L2355,[2]analyte_order!$C:$C,[2]analyte_order!$E:$E)</f>
        <v>4</v>
      </c>
      <c r="N2355">
        <v>2.76E-2</v>
      </c>
    </row>
    <row r="2356" spans="1:14">
      <c r="A2356" t="s">
        <v>186</v>
      </c>
      <c r="B2356" t="str">
        <f>_xlfn.XLOOKUP(A2356,'[1]Tissue Data'!$A:$A,'[1]Tissue Data'!$C:$C)</f>
        <v>Spill</v>
      </c>
      <c r="C2356" s="2">
        <f>_xlfn.XLOOKUP(A2356,'[1]Tissue Data'!$A:$A,'[1]Tissue Data'!$D:$D)</f>
        <v>44314</v>
      </c>
      <c r="D2356" s="2" t="str">
        <f>_xlfn.XLOOKUP(A2356,'[1]Tissue Data'!$A:$A,'[1]Tissue Data'!$F:$F)</f>
        <v>Swallowtail Shiner</v>
      </c>
      <c r="E2356" t="str">
        <f>_xlfn.XLOOKUP(A2356,'[1]Tissue Data'!$A:$A,'[1]Tissue Data'!$H:$H)</f>
        <v>Notropis</v>
      </c>
      <c r="F2356" t="str">
        <f>_xlfn.XLOOKUP(A2356,'[1]Tissue Data'!$A:$A,'[1]Tissue Data'!$I:$I)</f>
        <v>procne</v>
      </c>
      <c r="G2356" t="str">
        <f>_xlfn.XLOOKUP(A2356,'[1]Tissue Data'!$A:$A,'[1]Tissue Data'!J:J)</f>
        <v>U</v>
      </c>
      <c r="H2356" t="str">
        <f>_xlfn.XLOOKUP(A2356,'[1]Tissue Data'!$A:$A,'[1]Tissue Data'!K:K)</f>
        <v>Whole Body</v>
      </c>
      <c r="I2356">
        <f>_xlfn.XLOOKUP(A2356,'[1]Tissue Data'!$A:$A,'[1]Tissue Data'!L:L)</f>
        <v>5.5</v>
      </c>
      <c r="J2356">
        <f>_xlfn.XLOOKUP(A2356,'[1]Tissue Data'!$A:$A,'[1]Tissue Data'!M:M)</f>
        <v>2.4500000000000002</v>
      </c>
      <c r="K2356" t="s">
        <v>16</v>
      </c>
      <c r="L2356" t="str">
        <f>_xlfn.XLOOKUP(K2356,[2]analyte_order!$B:$B,[2]analyte_order!$C:$C)</f>
        <v>335-67-1</v>
      </c>
      <c r="M2356">
        <f>_xlfn.XLOOKUP(L2356,[2]analyte_order!$C:$C,[2]analyte_order!$E:$E)</f>
        <v>5</v>
      </c>
      <c r="N2356">
        <v>1.77</v>
      </c>
    </row>
    <row r="2357" spans="1:14">
      <c r="A2357" t="s">
        <v>186</v>
      </c>
      <c r="B2357" t="str">
        <f>_xlfn.XLOOKUP(A2357,'[1]Tissue Data'!$A:$A,'[1]Tissue Data'!$C:$C)</f>
        <v>Spill</v>
      </c>
      <c r="C2357" s="2">
        <f>_xlfn.XLOOKUP(A2357,'[1]Tissue Data'!$A:$A,'[1]Tissue Data'!$D:$D)</f>
        <v>44314</v>
      </c>
      <c r="D2357" s="2" t="str">
        <f>_xlfn.XLOOKUP(A2357,'[1]Tissue Data'!$A:$A,'[1]Tissue Data'!$F:$F)</f>
        <v>Swallowtail Shiner</v>
      </c>
      <c r="E2357" t="str">
        <f>_xlfn.XLOOKUP(A2357,'[1]Tissue Data'!$A:$A,'[1]Tissue Data'!$H:$H)</f>
        <v>Notropis</v>
      </c>
      <c r="F2357" t="str">
        <f>_xlfn.XLOOKUP(A2357,'[1]Tissue Data'!$A:$A,'[1]Tissue Data'!$I:$I)</f>
        <v>procne</v>
      </c>
      <c r="G2357" t="str">
        <f>_xlfn.XLOOKUP(A2357,'[1]Tissue Data'!$A:$A,'[1]Tissue Data'!J:J)</f>
        <v>U</v>
      </c>
      <c r="H2357" t="str">
        <f>_xlfn.XLOOKUP(A2357,'[1]Tissue Data'!$A:$A,'[1]Tissue Data'!K:K)</f>
        <v>Whole Body</v>
      </c>
      <c r="I2357">
        <f>_xlfn.XLOOKUP(A2357,'[1]Tissue Data'!$A:$A,'[1]Tissue Data'!L:L)</f>
        <v>5.5</v>
      </c>
      <c r="J2357">
        <f>_xlfn.XLOOKUP(A2357,'[1]Tissue Data'!$A:$A,'[1]Tissue Data'!M:M)</f>
        <v>2.4500000000000002</v>
      </c>
      <c r="K2357" t="s">
        <v>17</v>
      </c>
      <c r="L2357" t="str">
        <f>_xlfn.XLOOKUP(K2357,[2]analyte_order!$B:$B,[2]analyte_order!$C:$C)</f>
        <v>375-95-1</v>
      </c>
      <c r="M2357">
        <f>_xlfn.XLOOKUP(L2357,[2]analyte_order!$C:$C,[2]analyte_order!$E:$E)</f>
        <v>6</v>
      </c>
      <c r="N2357">
        <v>3.88</v>
      </c>
    </row>
    <row r="2358" spans="1:14">
      <c r="A2358" t="s">
        <v>186</v>
      </c>
      <c r="B2358" t="str">
        <f>_xlfn.XLOOKUP(A2358,'[1]Tissue Data'!$A:$A,'[1]Tissue Data'!$C:$C)</f>
        <v>Spill</v>
      </c>
      <c r="C2358" s="2">
        <f>_xlfn.XLOOKUP(A2358,'[1]Tissue Data'!$A:$A,'[1]Tissue Data'!$D:$D)</f>
        <v>44314</v>
      </c>
      <c r="D2358" s="2" t="str">
        <f>_xlfn.XLOOKUP(A2358,'[1]Tissue Data'!$A:$A,'[1]Tissue Data'!$F:$F)</f>
        <v>Swallowtail Shiner</v>
      </c>
      <c r="E2358" t="str">
        <f>_xlfn.XLOOKUP(A2358,'[1]Tissue Data'!$A:$A,'[1]Tissue Data'!$H:$H)</f>
        <v>Notropis</v>
      </c>
      <c r="F2358" t="str">
        <f>_xlfn.XLOOKUP(A2358,'[1]Tissue Data'!$A:$A,'[1]Tissue Data'!$I:$I)</f>
        <v>procne</v>
      </c>
      <c r="G2358" t="str">
        <f>_xlfn.XLOOKUP(A2358,'[1]Tissue Data'!$A:$A,'[1]Tissue Data'!J:J)</f>
        <v>U</v>
      </c>
      <c r="H2358" t="str">
        <f>_xlfn.XLOOKUP(A2358,'[1]Tissue Data'!$A:$A,'[1]Tissue Data'!K:K)</f>
        <v>Whole Body</v>
      </c>
      <c r="I2358">
        <f>_xlfn.XLOOKUP(A2358,'[1]Tissue Data'!$A:$A,'[1]Tissue Data'!L:L)</f>
        <v>5.5</v>
      </c>
      <c r="J2358">
        <f>_xlfn.XLOOKUP(A2358,'[1]Tissue Data'!$A:$A,'[1]Tissue Data'!M:M)</f>
        <v>2.4500000000000002</v>
      </c>
      <c r="K2358" t="s">
        <v>18</v>
      </c>
      <c r="L2358" t="str">
        <f>_xlfn.XLOOKUP(K2358,[2]analyte_order!$B:$B,[2]analyte_order!$C:$C)</f>
        <v>335-76-2</v>
      </c>
      <c r="M2358">
        <f>_xlfn.XLOOKUP(L2358,[2]analyte_order!$C:$C,[2]analyte_order!$E:$E)</f>
        <v>7</v>
      </c>
      <c r="N2358">
        <v>14.2</v>
      </c>
    </row>
    <row r="2359" spans="1:14">
      <c r="A2359" t="s">
        <v>186</v>
      </c>
      <c r="B2359" t="str">
        <f>_xlfn.XLOOKUP(A2359,'[1]Tissue Data'!$A:$A,'[1]Tissue Data'!$C:$C)</f>
        <v>Spill</v>
      </c>
      <c r="C2359" s="2">
        <f>_xlfn.XLOOKUP(A2359,'[1]Tissue Data'!$A:$A,'[1]Tissue Data'!$D:$D)</f>
        <v>44314</v>
      </c>
      <c r="D2359" s="2" t="str">
        <f>_xlfn.XLOOKUP(A2359,'[1]Tissue Data'!$A:$A,'[1]Tissue Data'!$F:$F)</f>
        <v>Swallowtail Shiner</v>
      </c>
      <c r="E2359" t="str">
        <f>_xlfn.XLOOKUP(A2359,'[1]Tissue Data'!$A:$A,'[1]Tissue Data'!$H:$H)</f>
        <v>Notropis</v>
      </c>
      <c r="F2359" t="str">
        <f>_xlfn.XLOOKUP(A2359,'[1]Tissue Data'!$A:$A,'[1]Tissue Data'!$I:$I)</f>
        <v>procne</v>
      </c>
      <c r="G2359" t="str">
        <f>_xlfn.XLOOKUP(A2359,'[1]Tissue Data'!$A:$A,'[1]Tissue Data'!J:J)</f>
        <v>U</v>
      </c>
      <c r="H2359" t="str">
        <f>_xlfn.XLOOKUP(A2359,'[1]Tissue Data'!$A:$A,'[1]Tissue Data'!K:K)</f>
        <v>Whole Body</v>
      </c>
      <c r="I2359">
        <f>_xlfn.XLOOKUP(A2359,'[1]Tissue Data'!$A:$A,'[1]Tissue Data'!L:L)</f>
        <v>5.5</v>
      </c>
      <c r="J2359">
        <f>_xlfn.XLOOKUP(A2359,'[1]Tissue Data'!$A:$A,'[1]Tissue Data'!M:M)</f>
        <v>2.4500000000000002</v>
      </c>
      <c r="K2359" t="s">
        <v>19</v>
      </c>
      <c r="L2359" t="str">
        <f>_xlfn.XLOOKUP(K2359,[2]analyte_order!$B:$B,[2]analyte_order!$C:$C)</f>
        <v>2058-94-8</v>
      </c>
      <c r="M2359">
        <f>_xlfn.XLOOKUP(L2359,[2]analyte_order!$C:$C,[2]analyte_order!$E:$E)</f>
        <v>8</v>
      </c>
      <c r="N2359">
        <v>15.8</v>
      </c>
    </row>
    <row r="2360" spans="1:14">
      <c r="A2360" t="s">
        <v>186</v>
      </c>
      <c r="B2360" t="str">
        <f>_xlfn.XLOOKUP(A2360,'[1]Tissue Data'!$A:$A,'[1]Tissue Data'!$C:$C)</f>
        <v>Spill</v>
      </c>
      <c r="C2360" s="2">
        <f>_xlfn.XLOOKUP(A2360,'[1]Tissue Data'!$A:$A,'[1]Tissue Data'!$D:$D)</f>
        <v>44314</v>
      </c>
      <c r="D2360" s="2" t="str">
        <f>_xlfn.XLOOKUP(A2360,'[1]Tissue Data'!$A:$A,'[1]Tissue Data'!$F:$F)</f>
        <v>Swallowtail Shiner</v>
      </c>
      <c r="E2360" t="str">
        <f>_xlfn.XLOOKUP(A2360,'[1]Tissue Data'!$A:$A,'[1]Tissue Data'!$H:$H)</f>
        <v>Notropis</v>
      </c>
      <c r="F2360" t="str">
        <f>_xlfn.XLOOKUP(A2360,'[1]Tissue Data'!$A:$A,'[1]Tissue Data'!$I:$I)</f>
        <v>procne</v>
      </c>
      <c r="G2360" t="str">
        <f>_xlfn.XLOOKUP(A2360,'[1]Tissue Data'!$A:$A,'[1]Tissue Data'!J:J)</f>
        <v>U</v>
      </c>
      <c r="H2360" t="str">
        <f>_xlfn.XLOOKUP(A2360,'[1]Tissue Data'!$A:$A,'[1]Tissue Data'!K:K)</f>
        <v>Whole Body</v>
      </c>
      <c r="I2360">
        <f>_xlfn.XLOOKUP(A2360,'[1]Tissue Data'!$A:$A,'[1]Tissue Data'!L:L)</f>
        <v>5.5</v>
      </c>
      <c r="J2360">
        <f>_xlfn.XLOOKUP(A2360,'[1]Tissue Data'!$A:$A,'[1]Tissue Data'!M:M)</f>
        <v>2.4500000000000002</v>
      </c>
      <c r="K2360" t="s">
        <v>20</v>
      </c>
      <c r="L2360" t="str">
        <f>_xlfn.XLOOKUP(K2360,[2]analyte_order!$B:$B,[2]analyte_order!$C:$C)</f>
        <v>307-55-1</v>
      </c>
      <c r="M2360">
        <f>_xlfn.XLOOKUP(L2360,[2]analyte_order!$C:$C,[2]analyte_order!$E:$E)</f>
        <v>9</v>
      </c>
      <c r="N2360">
        <v>16.8</v>
      </c>
    </row>
    <row r="2361" spans="1:14">
      <c r="A2361" t="s">
        <v>186</v>
      </c>
      <c r="B2361" t="str">
        <f>_xlfn.XLOOKUP(A2361,'[1]Tissue Data'!$A:$A,'[1]Tissue Data'!$C:$C)</f>
        <v>Spill</v>
      </c>
      <c r="C2361" s="2">
        <f>_xlfn.XLOOKUP(A2361,'[1]Tissue Data'!$A:$A,'[1]Tissue Data'!$D:$D)</f>
        <v>44314</v>
      </c>
      <c r="D2361" s="2" t="str">
        <f>_xlfn.XLOOKUP(A2361,'[1]Tissue Data'!$A:$A,'[1]Tissue Data'!$F:$F)</f>
        <v>Swallowtail Shiner</v>
      </c>
      <c r="E2361" t="str">
        <f>_xlfn.XLOOKUP(A2361,'[1]Tissue Data'!$A:$A,'[1]Tissue Data'!$H:$H)</f>
        <v>Notropis</v>
      </c>
      <c r="F2361" t="str">
        <f>_xlfn.XLOOKUP(A2361,'[1]Tissue Data'!$A:$A,'[1]Tissue Data'!$I:$I)</f>
        <v>procne</v>
      </c>
      <c r="G2361" t="str">
        <f>_xlfn.XLOOKUP(A2361,'[1]Tissue Data'!$A:$A,'[1]Tissue Data'!J:J)</f>
        <v>U</v>
      </c>
      <c r="H2361" t="str">
        <f>_xlfn.XLOOKUP(A2361,'[1]Tissue Data'!$A:$A,'[1]Tissue Data'!K:K)</f>
        <v>Whole Body</v>
      </c>
      <c r="I2361">
        <f>_xlfn.XLOOKUP(A2361,'[1]Tissue Data'!$A:$A,'[1]Tissue Data'!L:L)</f>
        <v>5.5</v>
      </c>
      <c r="J2361">
        <f>_xlfn.XLOOKUP(A2361,'[1]Tissue Data'!$A:$A,'[1]Tissue Data'!M:M)</f>
        <v>2.4500000000000002</v>
      </c>
      <c r="K2361" t="s">
        <v>21</v>
      </c>
      <c r="L2361" t="str">
        <f>_xlfn.XLOOKUP(K2361,[2]analyte_order!$B:$B,[2]analyte_order!$C:$C)</f>
        <v>72629-94-8</v>
      </c>
      <c r="M2361">
        <f>_xlfn.XLOOKUP(L2361,[2]analyte_order!$C:$C,[2]analyte_order!$E:$E)</f>
        <v>10</v>
      </c>
      <c r="N2361">
        <v>8.85</v>
      </c>
    </row>
    <row r="2362" spans="1:14">
      <c r="A2362" t="s">
        <v>186</v>
      </c>
      <c r="B2362" t="str">
        <f>_xlfn.XLOOKUP(A2362,'[1]Tissue Data'!$A:$A,'[1]Tissue Data'!$C:$C)</f>
        <v>Spill</v>
      </c>
      <c r="C2362" s="2">
        <f>_xlfn.XLOOKUP(A2362,'[1]Tissue Data'!$A:$A,'[1]Tissue Data'!$D:$D)</f>
        <v>44314</v>
      </c>
      <c r="D2362" s="2" t="str">
        <f>_xlfn.XLOOKUP(A2362,'[1]Tissue Data'!$A:$A,'[1]Tissue Data'!$F:$F)</f>
        <v>Swallowtail Shiner</v>
      </c>
      <c r="E2362" t="str">
        <f>_xlfn.XLOOKUP(A2362,'[1]Tissue Data'!$A:$A,'[1]Tissue Data'!$H:$H)</f>
        <v>Notropis</v>
      </c>
      <c r="F2362" t="str">
        <f>_xlfn.XLOOKUP(A2362,'[1]Tissue Data'!$A:$A,'[1]Tissue Data'!$I:$I)</f>
        <v>procne</v>
      </c>
      <c r="G2362" t="str">
        <f>_xlfn.XLOOKUP(A2362,'[1]Tissue Data'!$A:$A,'[1]Tissue Data'!J:J)</f>
        <v>U</v>
      </c>
      <c r="H2362" t="str">
        <f>_xlfn.XLOOKUP(A2362,'[1]Tissue Data'!$A:$A,'[1]Tissue Data'!K:K)</f>
        <v>Whole Body</v>
      </c>
      <c r="I2362">
        <f>_xlfn.XLOOKUP(A2362,'[1]Tissue Data'!$A:$A,'[1]Tissue Data'!L:L)</f>
        <v>5.5</v>
      </c>
      <c r="J2362">
        <f>_xlfn.XLOOKUP(A2362,'[1]Tissue Data'!$A:$A,'[1]Tissue Data'!M:M)</f>
        <v>2.4500000000000002</v>
      </c>
      <c r="K2362" t="s">
        <v>22</v>
      </c>
      <c r="L2362" t="str">
        <f>_xlfn.XLOOKUP(K2362,[2]analyte_order!$B:$B,[2]analyte_order!$C:$C)</f>
        <v>376-06-7</v>
      </c>
      <c r="M2362">
        <f>_xlfn.XLOOKUP(L2362,[2]analyte_order!$C:$C,[2]analyte_order!$E:$E)</f>
        <v>11</v>
      </c>
      <c r="N2362">
        <v>10.3</v>
      </c>
    </row>
    <row r="2363" spans="1:14">
      <c r="A2363" t="s">
        <v>186</v>
      </c>
      <c r="B2363" t="str">
        <f>_xlfn.XLOOKUP(A2363,'[1]Tissue Data'!$A:$A,'[1]Tissue Data'!$C:$C)</f>
        <v>Spill</v>
      </c>
      <c r="C2363" s="2">
        <f>_xlfn.XLOOKUP(A2363,'[1]Tissue Data'!$A:$A,'[1]Tissue Data'!$D:$D)</f>
        <v>44314</v>
      </c>
      <c r="D2363" s="2" t="str">
        <f>_xlfn.XLOOKUP(A2363,'[1]Tissue Data'!$A:$A,'[1]Tissue Data'!$F:$F)</f>
        <v>Swallowtail Shiner</v>
      </c>
      <c r="E2363" t="str">
        <f>_xlfn.XLOOKUP(A2363,'[1]Tissue Data'!$A:$A,'[1]Tissue Data'!$H:$H)</f>
        <v>Notropis</v>
      </c>
      <c r="F2363" t="str">
        <f>_xlfn.XLOOKUP(A2363,'[1]Tissue Data'!$A:$A,'[1]Tissue Data'!$I:$I)</f>
        <v>procne</v>
      </c>
      <c r="G2363" t="str">
        <f>_xlfn.XLOOKUP(A2363,'[1]Tissue Data'!$A:$A,'[1]Tissue Data'!J:J)</f>
        <v>U</v>
      </c>
      <c r="H2363" t="str">
        <f>_xlfn.XLOOKUP(A2363,'[1]Tissue Data'!$A:$A,'[1]Tissue Data'!K:K)</f>
        <v>Whole Body</v>
      </c>
      <c r="I2363">
        <f>_xlfn.XLOOKUP(A2363,'[1]Tissue Data'!$A:$A,'[1]Tissue Data'!L:L)</f>
        <v>5.5</v>
      </c>
      <c r="J2363">
        <f>_xlfn.XLOOKUP(A2363,'[1]Tissue Data'!$A:$A,'[1]Tissue Data'!M:M)</f>
        <v>2.4500000000000002</v>
      </c>
      <c r="K2363" t="s">
        <v>23</v>
      </c>
      <c r="L2363" t="str">
        <f>_xlfn.XLOOKUP(K2363,[2]analyte_order!$B:$B,[2]analyte_order!$C:$C)</f>
        <v>67905-19-5</v>
      </c>
      <c r="M2363">
        <f>_xlfn.XLOOKUP(L2363,[2]analyte_order!$C:$C,[2]analyte_order!$E:$E)</f>
        <v>12</v>
      </c>
      <c r="N2363">
        <v>8.2000000000000003E-2</v>
      </c>
    </row>
    <row r="2364" spans="1:14">
      <c r="A2364" t="s">
        <v>186</v>
      </c>
      <c r="B2364" t="str">
        <f>_xlfn.XLOOKUP(A2364,'[1]Tissue Data'!$A:$A,'[1]Tissue Data'!$C:$C)</f>
        <v>Spill</v>
      </c>
      <c r="C2364" s="2">
        <f>_xlfn.XLOOKUP(A2364,'[1]Tissue Data'!$A:$A,'[1]Tissue Data'!$D:$D)</f>
        <v>44314</v>
      </c>
      <c r="D2364" s="2" t="str">
        <f>_xlfn.XLOOKUP(A2364,'[1]Tissue Data'!$A:$A,'[1]Tissue Data'!$F:$F)</f>
        <v>Swallowtail Shiner</v>
      </c>
      <c r="E2364" t="str">
        <f>_xlfn.XLOOKUP(A2364,'[1]Tissue Data'!$A:$A,'[1]Tissue Data'!$H:$H)</f>
        <v>Notropis</v>
      </c>
      <c r="F2364" t="str">
        <f>_xlfn.XLOOKUP(A2364,'[1]Tissue Data'!$A:$A,'[1]Tissue Data'!$I:$I)</f>
        <v>procne</v>
      </c>
      <c r="G2364" t="str">
        <f>_xlfn.XLOOKUP(A2364,'[1]Tissue Data'!$A:$A,'[1]Tissue Data'!J:J)</f>
        <v>U</v>
      </c>
      <c r="H2364" t="str">
        <f>_xlfn.XLOOKUP(A2364,'[1]Tissue Data'!$A:$A,'[1]Tissue Data'!K:K)</f>
        <v>Whole Body</v>
      </c>
      <c r="I2364">
        <f>_xlfn.XLOOKUP(A2364,'[1]Tissue Data'!$A:$A,'[1]Tissue Data'!L:L)</f>
        <v>5.5</v>
      </c>
      <c r="J2364">
        <f>_xlfn.XLOOKUP(A2364,'[1]Tissue Data'!$A:$A,'[1]Tissue Data'!M:M)</f>
        <v>2.4500000000000002</v>
      </c>
      <c r="K2364" t="s">
        <v>24</v>
      </c>
      <c r="L2364" t="str">
        <f>_xlfn.XLOOKUP(K2364,[2]analyte_order!$B:$B,[2]analyte_order!$C:$C)</f>
        <v>423-41-6</v>
      </c>
      <c r="M2364">
        <f>_xlfn.XLOOKUP(L2364,[2]analyte_order!$C:$C,[2]analyte_order!$E:$E)</f>
        <v>53</v>
      </c>
      <c r="N2364">
        <v>5.2499999999999998E-2</v>
      </c>
    </row>
    <row r="2365" spans="1:14">
      <c r="A2365" t="s">
        <v>186</v>
      </c>
      <c r="B2365" t="str">
        <f>_xlfn.XLOOKUP(A2365,'[1]Tissue Data'!$A:$A,'[1]Tissue Data'!$C:$C)</f>
        <v>Spill</v>
      </c>
      <c r="C2365" s="2">
        <f>_xlfn.XLOOKUP(A2365,'[1]Tissue Data'!$A:$A,'[1]Tissue Data'!$D:$D)</f>
        <v>44314</v>
      </c>
      <c r="D2365" s="2" t="str">
        <f>_xlfn.XLOOKUP(A2365,'[1]Tissue Data'!$A:$A,'[1]Tissue Data'!$F:$F)</f>
        <v>Swallowtail Shiner</v>
      </c>
      <c r="E2365" t="str">
        <f>_xlfn.XLOOKUP(A2365,'[1]Tissue Data'!$A:$A,'[1]Tissue Data'!$H:$H)</f>
        <v>Notropis</v>
      </c>
      <c r="F2365" t="str">
        <f>_xlfn.XLOOKUP(A2365,'[1]Tissue Data'!$A:$A,'[1]Tissue Data'!$I:$I)</f>
        <v>procne</v>
      </c>
      <c r="G2365" t="str">
        <f>_xlfn.XLOOKUP(A2365,'[1]Tissue Data'!$A:$A,'[1]Tissue Data'!J:J)</f>
        <v>U</v>
      </c>
      <c r="H2365" t="str">
        <f>_xlfn.XLOOKUP(A2365,'[1]Tissue Data'!$A:$A,'[1]Tissue Data'!K:K)</f>
        <v>Whole Body</v>
      </c>
      <c r="I2365">
        <f>_xlfn.XLOOKUP(A2365,'[1]Tissue Data'!$A:$A,'[1]Tissue Data'!L:L)</f>
        <v>5.5</v>
      </c>
      <c r="J2365">
        <f>_xlfn.XLOOKUP(A2365,'[1]Tissue Data'!$A:$A,'[1]Tissue Data'!M:M)</f>
        <v>2.4500000000000002</v>
      </c>
      <c r="K2365" t="s">
        <v>25</v>
      </c>
      <c r="L2365" t="str">
        <f>_xlfn.XLOOKUP(K2365,[2]analyte_order!$B:$B,[2]analyte_order!$C:$C)</f>
        <v>375-73-5</v>
      </c>
      <c r="M2365">
        <f>_xlfn.XLOOKUP(L2365,[2]analyte_order!$C:$C,[2]analyte_order!$E:$E)</f>
        <v>14</v>
      </c>
      <c r="N2365">
        <v>0.1545</v>
      </c>
    </row>
    <row r="2366" spans="1:14">
      <c r="A2366" t="s">
        <v>186</v>
      </c>
      <c r="B2366" t="str">
        <f>_xlfn.XLOOKUP(A2366,'[1]Tissue Data'!$A:$A,'[1]Tissue Data'!$C:$C)</f>
        <v>Spill</v>
      </c>
      <c r="C2366" s="2">
        <f>_xlfn.XLOOKUP(A2366,'[1]Tissue Data'!$A:$A,'[1]Tissue Data'!$D:$D)</f>
        <v>44314</v>
      </c>
      <c r="D2366" s="2" t="str">
        <f>_xlfn.XLOOKUP(A2366,'[1]Tissue Data'!$A:$A,'[1]Tissue Data'!$F:$F)</f>
        <v>Swallowtail Shiner</v>
      </c>
      <c r="E2366" t="str">
        <f>_xlfn.XLOOKUP(A2366,'[1]Tissue Data'!$A:$A,'[1]Tissue Data'!$H:$H)</f>
        <v>Notropis</v>
      </c>
      <c r="F2366" t="str">
        <f>_xlfn.XLOOKUP(A2366,'[1]Tissue Data'!$A:$A,'[1]Tissue Data'!$I:$I)</f>
        <v>procne</v>
      </c>
      <c r="G2366" t="str">
        <f>_xlfn.XLOOKUP(A2366,'[1]Tissue Data'!$A:$A,'[1]Tissue Data'!J:J)</f>
        <v>U</v>
      </c>
      <c r="H2366" t="str">
        <f>_xlfn.XLOOKUP(A2366,'[1]Tissue Data'!$A:$A,'[1]Tissue Data'!K:K)</f>
        <v>Whole Body</v>
      </c>
      <c r="I2366">
        <f>_xlfn.XLOOKUP(A2366,'[1]Tissue Data'!$A:$A,'[1]Tissue Data'!L:L)</f>
        <v>5.5</v>
      </c>
      <c r="J2366">
        <f>_xlfn.XLOOKUP(A2366,'[1]Tissue Data'!$A:$A,'[1]Tissue Data'!M:M)</f>
        <v>2.4500000000000002</v>
      </c>
      <c r="K2366" t="s">
        <v>26</v>
      </c>
      <c r="L2366" t="str">
        <f>_xlfn.XLOOKUP(K2366,[2]analyte_order!$B:$B,[2]analyte_order!$C:$C)</f>
        <v>2706-91-4</v>
      </c>
      <c r="M2366">
        <f>_xlfn.XLOOKUP(L2366,[2]analyte_order!$C:$C,[2]analyte_order!$E:$E)</f>
        <v>15</v>
      </c>
      <c r="N2366">
        <v>1.1200000000000001</v>
      </c>
    </row>
    <row r="2367" spans="1:14">
      <c r="A2367" t="s">
        <v>186</v>
      </c>
      <c r="B2367" t="str">
        <f>_xlfn.XLOOKUP(A2367,'[1]Tissue Data'!$A:$A,'[1]Tissue Data'!$C:$C)</f>
        <v>Spill</v>
      </c>
      <c r="C2367" s="2">
        <f>_xlfn.XLOOKUP(A2367,'[1]Tissue Data'!$A:$A,'[1]Tissue Data'!$D:$D)</f>
        <v>44314</v>
      </c>
      <c r="D2367" s="2" t="str">
        <f>_xlfn.XLOOKUP(A2367,'[1]Tissue Data'!$A:$A,'[1]Tissue Data'!$F:$F)</f>
        <v>Swallowtail Shiner</v>
      </c>
      <c r="E2367" t="str">
        <f>_xlfn.XLOOKUP(A2367,'[1]Tissue Data'!$A:$A,'[1]Tissue Data'!$H:$H)</f>
        <v>Notropis</v>
      </c>
      <c r="F2367" t="str">
        <f>_xlfn.XLOOKUP(A2367,'[1]Tissue Data'!$A:$A,'[1]Tissue Data'!$I:$I)</f>
        <v>procne</v>
      </c>
      <c r="G2367" t="str">
        <f>_xlfn.XLOOKUP(A2367,'[1]Tissue Data'!$A:$A,'[1]Tissue Data'!J:J)</f>
        <v>U</v>
      </c>
      <c r="H2367" t="str">
        <f>_xlfn.XLOOKUP(A2367,'[1]Tissue Data'!$A:$A,'[1]Tissue Data'!K:K)</f>
        <v>Whole Body</v>
      </c>
      <c r="I2367">
        <f>_xlfn.XLOOKUP(A2367,'[1]Tissue Data'!$A:$A,'[1]Tissue Data'!L:L)</f>
        <v>5.5</v>
      </c>
      <c r="J2367">
        <f>_xlfn.XLOOKUP(A2367,'[1]Tissue Data'!$A:$A,'[1]Tissue Data'!M:M)</f>
        <v>2.4500000000000002</v>
      </c>
      <c r="K2367" t="s">
        <v>27</v>
      </c>
      <c r="L2367" t="str">
        <f>_xlfn.XLOOKUP(K2367,[2]analyte_order!$B:$B,[2]analyte_order!$C:$C)</f>
        <v>355-46-4</v>
      </c>
      <c r="M2367">
        <f>_xlfn.XLOOKUP(L2367,[2]analyte_order!$C:$C,[2]analyte_order!$E:$E)</f>
        <v>16</v>
      </c>
      <c r="N2367">
        <v>73.2</v>
      </c>
    </row>
    <row r="2368" spans="1:14">
      <c r="A2368" t="s">
        <v>186</v>
      </c>
      <c r="B2368" t="str">
        <f>_xlfn.XLOOKUP(A2368,'[1]Tissue Data'!$A:$A,'[1]Tissue Data'!$C:$C)</f>
        <v>Spill</v>
      </c>
      <c r="C2368" s="2">
        <f>_xlfn.XLOOKUP(A2368,'[1]Tissue Data'!$A:$A,'[1]Tissue Data'!$D:$D)</f>
        <v>44314</v>
      </c>
      <c r="D2368" s="2" t="str">
        <f>_xlfn.XLOOKUP(A2368,'[1]Tissue Data'!$A:$A,'[1]Tissue Data'!$F:$F)</f>
        <v>Swallowtail Shiner</v>
      </c>
      <c r="E2368" t="str">
        <f>_xlfn.XLOOKUP(A2368,'[1]Tissue Data'!$A:$A,'[1]Tissue Data'!$H:$H)</f>
        <v>Notropis</v>
      </c>
      <c r="F2368" t="str">
        <f>_xlfn.XLOOKUP(A2368,'[1]Tissue Data'!$A:$A,'[1]Tissue Data'!$I:$I)</f>
        <v>procne</v>
      </c>
      <c r="G2368" t="str">
        <f>_xlfn.XLOOKUP(A2368,'[1]Tissue Data'!$A:$A,'[1]Tissue Data'!J:J)</f>
        <v>U</v>
      </c>
      <c r="H2368" t="str">
        <f>_xlfn.XLOOKUP(A2368,'[1]Tissue Data'!$A:$A,'[1]Tissue Data'!K:K)</f>
        <v>Whole Body</v>
      </c>
      <c r="I2368">
        <f>_xlfn.XLOOKUP(A2368,'[1]Tissue Data'!$A:$A,'[1]Tissue Data'!L:L)</f>
        <v>5.5</v>
      </c>
      <c r="J2368">
        <f>_xlfn.XLOOKUP(A2368,'[1]Tissue Data'!$A:$A,'[1]Tissue Data'!M:M)</f>
        <v>2.4500000000000002</v>
      </c>
      <c r="K2368" t="s">
        <v>28</v>
      </c>
      <c r="L2368" t="str">
        <f>_xlfn.XLOOKUP(K2368,[2]analyte_order!$B:$B,[2]analyte_order!$C:$C)</f>
        <v>375-92-8</v>
      </c>
      <c r="M2368">
        <f>_xlfn.XLOOKUP(L2368,[2]analyte_order!$C:$C,[2]analyte_order!$E:$E)</f>
        <v>17</v>
      </c>
      <c r="N2368">
        <v>5.0599999999999996</v>
      </c>
    </row>
    <row r="2369" spans="1:14">
      <c r="A2369" t="s">
        <v>186</v>
      </c>
      <c r="B2369" t="str">
        <f>_xlfn.XLOOKUP(A2369,'[1]Tissue Data'!$A:$A,'[1]Tissue Data'!$C:$C)</f>
        <v>Spill</v>
      </c>
      <c r="C2369" s="2">
        <f>_xlfn.XLOOKUP(A2369,'[1]Tissue Data'!$A:$A,'[1]Tissue Data'!$D:$D)</f>
        <v>44314</v>
      </c>
      <c r="D2369" s="2" t="str">
        <f>_xlfn.XLOOKUP(A2369,'[1]Tissue Data'!$A:$A,'[1]Tissue Data'!$F:$F)</f>
        <v>Swallowtail Shiner</v>
      </c>
      <c r="E2369" t="str">
        <f>_xlfn.XLOOKUP(A2369,'[1]Tissue Data'!$A:$A,'[1]Tissue Data'!$H:$H)</f>
        <v>Notropis</v>
      </c>
      <c r="F2369" t="str">
        <f>_xlfn.XLOOKUP(A2369,'[1]Tissue Data'!$A:$A,'[1]Tissue Data'!$I:$I)</f>
        <v>procne</v>
      </c>
      <c r="G2369" t="str">
        <f>_xlfn.XLOOKUP(A2369,'[1]Tissue Data'!$A:$A,'[1]Tissue Data'!J:J)</f>
        <v>U</v>
      </c>
      <c r="H2369" t="str">
        <f>_xlfn.XLOOKUP(A2369,'[1]Tissue Data'!$A:$A,'[1]Tissue Data'!K:K)</f>
        <v>Whole Body</v>
      </c>
      <c r="I2369">
        <f>_xlfn.XLOOKUP(A2369,'[1]Tissue Data'!$A:$A,'[1]Tissue Data'!L:L)</f>
        <v>5.5</v>
      </c>
      <c r="J2369">
        <f>_xlfn.XLOOKUP(A2369,'[1]Tissue Data'!$A:$A,'[1]Tissue Data'!M:M)</f>
        <v>2.4500000000000002</v>
      </c>
      <c r="K2369" t="s">
        <v>29</v>
      </c>
      <c r="L2369" t="str">
        <f>_xlfn.XLOOKUP(K2369,[2]analyte_order!$B:$B,[2]analyte_order!$C:$C)</f>
        <v>1763-23-1</v>
      </c>
      <c r="M2369">
        <f>_xlfn.XLOOKUP(L2369,[2]analyte_order!$C:$C,[2]analyte_order!$E:$E)</f>
        <v>18</v>
      </c>
      <c r="N2369">
        <v>1390</v>
      </c>
    </row>
    <row r="2370" spans="1:14">
      <c r="A2370" t="s">
        <v>186</v>
      </c>
      <c r="B2370" t="str">
        <f>_xlfn.XLOOKUP(A2370,'[1]Tissue Data'!$A:$A,'[1]Tissue Data'!$C:$C)</f>
        <v>Spill</v>
      </c>
      <c r="C2370" s="2">
        <f>_xlfn.XLOOKUP(A2370,'[1]Tissue Data'!$A:$A,'[1]Tissue Data'!$D:$D)</f>
        <v>44314</v>
      </c>
      <c r="D2370" s="2" t="str">
        <f>_xlfn.XLOOKUP(A2370,'[1]Tissue Data'!$A:$A,'[1]Tissue Data'!$F:$F)</f>
        <v>Swallowtail Shiner</v>
      </c>
      <c r="E2370" t="str">
        <f>_xlfn.XLOOKUP(A2370,'[1]Tissue Data'!$A:$A,'[1]Tissue Data'!$H:$H)</f>
        <v>Notropis</v>
      </c>
      <c r="F2370" t="str">
        <f>_xlfn.XLOOKUP(A2370,'[1]Tissue Data'!$A:$A,'[1]Tissue Data'!$I:$I)</f>
        <v>procne</v>
      </c>
      <c r="G2370" t="str">
        <f>_xlfn.XLOOKUP(A2370,'[1]Tissue Data'!$A:$A,'[1]Tissue Data'!J:J)</f>
        <v>U</v>
      </c>
      <c r="H2370" t="str">
        <f>_xlfn.XLOOKUP(A2370,'[1]Tissue Data'!$A:$A,'[1]Tissue Data'!K:K)</f>
        <v>Whole Body</v>
      </c>
      <c r="I2370">
        <f>_xlfn.XLOOKUP(A2370,'[1]Tissue Data'!$A:$A,'[1]Tissue Data'!L:L)</f>
        <v>5.5</v>
      </c>
      <c r="J2370">
        <f>_xlfn.XLOOKUP(A2370,'[1]Tissue Data'!$A:$A,'[1]Tissue Data'!M:M)</f>
        <v>2.4500000000000002</v>
      </c>
      <c r="K2370" t="s">
        <v>30</v>
      </c>
      <c r="L2370" t="str">
        <f>_xlfn.XLOOKUP(K2370,[2]analyte_order!$B:$B,[2]analyte_order!$C:$C)</f>
        <v>68259-12-1</v>
      </c>
      <c r="M2370">
        <f>_xlfn.XLOOKUP(L2370,[2]analyte_order!$C:$C,[2]analyte_order!$E:$E)</f>
        <v>19</v>
      </c>
      <c r="N2370">
        <v>1.85</v>
      </c>
    </row>
    <row r="2371" spans="1:14">
      <c r="A2371" t="s">
        <v>186</v>
      </c>
      <c r="B2371" t="str">
        <f>_xlfn.XLOOKUP(A2371,'[1]Tissue Data'!$A:$A,'[1]Tissue Data'!$C:$C)</f>
        <v>Spill</v>
      </c>
      <c r="C2371" s="2">
        <f>_xlfn.XLOOKUP(A2371,'[1]Tissue Data'!$A:$A,'[1]Tissue Data'!$D:$D)</f>
        <v>44314</v>
      </c>
      <c r="D2371" s="2" t="str">
        <f>_xlfn.XLOOKUP(A2371,'[1]Tissue Data'!$A:$A,'[1]Tissue Data'!$F:$F)</f>
        <v>Swallowtail Shiner</v>
      </c>
      <c r="E2371" t="str">
        <f>_xlfn.XLOOKUP(A2371,'[1]Tissue Data'!$A:$A,'[1]Tissue Data'!$H:$H)</f>
        <v>Notropis</v>
      </c>
      <c r="F2371" t="str">
        <f>_xlfn.XLOOKUP(A2371,'[1]Tissue Data'!$A:$A,'[1]Tissue Data'!$I:$I)</f>
        <v>procne</v>
      </c>
      <c r="G2371" t="str">
        <f>_xlfn.XLOOKUP(A2371,'[1]Tissue Data'!$A:$A,'[1]Tissue Data'!J:J)</f>
        <v>U</v>
      </c>
      <c r="H2371" t="str">
        <f>_xlfn.XLOOKUP(A2371,'[1]Tissue Data'!$A:$A,'[1]Tissue Data'!K:K)</f>
        <v>Whole Body</v>
      </c>
      <c r="I2371">
        <f>_xlfn.XLOOKUP(A2371,'[1]Tissue Data'!$A:$A,'[1]Tissue Data'!L:L)</f>
        <v>5.5</v>
      </c>
      <c r="J2371">
        <f>_xlfn.XLOOKUP(A2371,'[1]Tissue Data'!$A:$A,'[1]Tissue Data'!M:M)</f>
        <v>2.4500000000000002</v>
      </c>
      <c r="K2371" t="s">
        <v>31</v>
      </c>
      <c r="L2371" t="str">
        <f>_xlfn.XLOOKUP(K2371,[2]analyte_order!$B:$B,[2]analyte_order!$C:$C)</f>
        <v>335-77-3</v>
      </c>
      <c r="M2371">
        <f>_xlfn.XLOOKUP(L2371,[2]analyte_order!$C:$C,[2]analyte_order!$E:$E)</f>
        <v>20</v>
      </c>
      <c r="N2371">
        <v>8.3800000000000008</v>
      </c>
    </row>
    <row r="2372" spans="1:14">
      <c r="A2372" t="s">
        <v>186</v>
      </c>
      <c r="B2372" t="str">
        <f>_xlfn.XLOOKUP(A2372,'[1]Tissue Data'!$A:$A,'[1]Tissue Data'!$C:$C)</f>
        <v>Spill</v>
      </c>
      <c r="C2372" s="2">
        <f>_xlfn.XLOOKUP(A2372,'[1]Tissue Data'!$A:$A,'[1]Tissue Data'!$D:$D)</f>
        <v>44314</v>
      </c>
      <c r="D2372" s="2" t="str">
        <f>_xlfn.XLOOKUP(A2372,'[1]Tissue Data'!$A:$A,'[1]Tissue Data'!$F:$F)</f>
        <v>Swallowtail Shiner</v>
      </c>
      <c r="E2372" t="str">
        <f>_xlfn.XLOOKUP(A2372,'[1]Tissue Data'!$A:$A,'[1]Tissue Data'!$H:$H)</f>
        <v>Notropis</v>
      </c>
      <c r="F2372" t="str">
        <f>_xlfn.XLOOKUP(A2372,'[1]Tissue Data'!$A:$A,'[1]Tissue Data'!$I:$I)</f>
        <v>procne</v>
      </c>
      <c r="G2372" t="str">
        <f>_xlfn.XLOOKUP(A2372,'[1]Tissue Data'!$A:$A,'[1]Tissue Data'!J:J)</f>
        <v>U</v>
      </c>
      <c r="H2372" t="str">
        <f>_xlfn.XLOOKUP(A2372,'[1]Tissue Data'!$A:$A,'[1]Tissue Data'!K:K)</f>
        <v>Whole Body</v>
      </c>
      <c r="I2372">
        <f>_xlfn.XLOOKUP(A2372,'[1]Tissue Data'!$A:$A,'[1]Tissue Data'!L:L)</f>
        <v>5.5</v>
      </c>
      <c r="J2372">
        <f>_xlfn.XLOOKUP(A2372,'[1]Tissue Data'!$A:$A,'[1]Tissue Data'!M:M)</f>
        <v>2.4500000000000002</v>
      </c>
      <c r="K2372" t="s">
        <v>32</v>
      </c>
      <c r="L2372" t="str">
        <f>_xlfn.XLOOKUP(K2372,[2]analyte_order!$B:$B,[2]analyte_order!$C:$C)</f>
        <v>79780-39-5</v>
      </c>
      <c r="M2372">
        <f>_xlfn.XLOOKUP(L2372,[2]analyte_order!$C:$C,[2]analyte_order!$E:$E)</f>
        <v>21</v>
      </c>
      <c r="N2372">
        <v>0.79300000000000004</v>
      </c>
    </row>
    <row r="2373" spans="1:14">
      <c r="A2373" t="s">
        <v>186</v>
      </c>
      <c r="B2373" t="str">
        <f>_xlfn.XLOOKUP(A2373,'[1]Tissue Data'!$A:$A,'[1]Tissue Data'!$C:$C)</f>
        <v>Spill</v>
      </c>
      <c r="C2373" s="2">
        <f>_xlfn.XLOOKUP(A2373,'[1]Tissue Data'!$A:$A,'[1]Tissue Data'!$D:$D)</f>
        <v>44314</v>
      </c>
      <c r="D2373" s="2" t="str">
        <f>_xlfn.XLOOKUP(A2373,'[1]Tissue Data'!$A:$A,'[1]Tissue Data'!$F:$F)</f>
        <v>Swallowtail Shiner</v>
      </c>
      <c r="E2373" t="str">
        <f>_xlfn.XLOOKUP(A2373,'[1]Tissue Data'!$A:$A,'[1]Tissue Data'!$H:$H)</f>
        <v>Notropis</v>
      </c>
      <c r="F2373" t="str">
        <f>_xlfn.XLOOKUP(A2373,'[1]Tissue Data'!$A:$A,'[1]Tissue Data'!$I:$I)</f>
        <v>procne</v>
      </c>
      <c r="G2373" t="str">
        <f>_xlfn.XLOOKUP(A2373,'[1]Tissue Data'!$A:$A,'[1]Tissue Data'!J:J)</f>
        <v>U</v>
      </c>
      <c r="H2373" t="str">
        <f>_xlfn.XLOOKUP(A2373,'[1]Tissue Data'!$A:$A,'[1]Tissue Data'!K:K)</f>
        <v>Whole Body</v>
      </c>
      <c r="I2373">
        <f>_xlfn.XLOOKUP(A2373,'[1]Tissue Data'!$A:$A,'[1]Tissue Data'!L:L)</f>
        <v>5.5</v>
      </c>
      <c r="J2373">
        <f>_xlfn.XLOOKUP(A2373,'[1]Tissue Data'!$A:$A,'[1]Tissue Data'!M:M)</f>
        <v>2.4500000000000002</v>
      </c>
      <c r="K2373" t="s">
        <v>33</v>
      </c>
      <c r="L2373" t="str">
        <f>_xlfn.XLOOKUP(K2373,[2]analyte_order!$B:$B,[2]analyte_order!$C:$C)</f>
        <v>777011-38-8</v>
      </c>
      <c r="M2373">
        <f>_xlfn.XLOOKUP(L2373,[2]analyte_order!$C:$C,[2]analyte_order!$E:$E)</f>
        <v>54</v>
      </c>
      <c r="N2373">
        <v>0.34</v>
      </c>
    </row>
    <row r="2374" spans="1:14">
      <c r="A2374" t="s">
        <v>186</v>
      </c>
      <c r="B2374" t="str">
        <f>_xlfn.XLOOKUP(A2374,'[1]Tissue Data'!$A:$A,'[1]Tissue Data'!$C:$C)</f>
        <v>Spill</v>
      </c>
      <c r="C2374" s="2">
        <f>_xlfn.XLOOKUP(A2374,'[1]Tissue Data'!$A:$A,'[1]Tissue Data'!$D:$D)</f>
        <v>44314</v>
      </c>
      <c r="D2374" s="2" t="str">
        <f>_xlfn.XLOOKUP(A2374,'[1]Tissue Data'!$A:$A,'[1]Tissue Data'!$F:$F)</f>
        <v>Swallowtail Shiner</v>
      </c>
      <c r="E2374" t="str">
        <f>_xlfn.XLOOKUP(A2374,'[1]Tissue Data'!$A:$A,'[1]Tissue Data'!$H:$H)</f>
        <v>Notropis</v>
      </c>
      <c r="F2374" t="str">
        <f>_xlfn.XLOOKUP(A2374,'[1]Tissue Data'!$A:$A,'[1]Tissue Data'!$I:$I)</f>
        <v>procne</v>
      </c>
      <c r="G2374" t="str">
        <f>_xlfn.XLOOKUP(A2374,'[1]Tissue Data'!$A:$A,'[1]Tissue Data'!J:J)</f>
        <v>U</v>
      </c>
      <c r="H2374" t="str">
        <f>_xlfn.XLOOKUP(A2374,'[1]Tissue Data'!$A:$A,'[1]Tissue Data'!K:K)</f>
        <v>Whole Body</v>
      </c>
      <c r="I2374">
        <f>_xlfn.XLOOKUP(A2374,'[1]Tissue Data'!$A:$A,'[1]Tissue Data'!L:L)</f>
        <v>5.5</v>
      </c>
      <c r="J2374">
        <f>_xlfn.XLOOKUP(A2374,'[1]Tissue Data'!$A:$A,'[1]Tissue Data'!M:M)</f>
        <v>2.4500000000000002</v>
      </c>
      <c r="K2374" t="s">
        <v>34</v>
      </c>
      <c r="L2374" t="str">
        <f>_xlfn.XLOOKUP(K2374,[2]analyte_order!$B:$B,[2]analyte_order!$C:$C)</f>
        <v>646-83-3</v>
      </c>
      <c r="M2374">
        <f>_xlfn.XLOOKUP(L2374,[2]analyte_order!$C:$C,[2]analyte_order!$E:$E)</f>
        <v>55</v>
      </c>
      <c r="N2374">
        <v>9.0999999999999998E-2</v>
      </c>
    </row>
    <row r="2375" spans="1:14">
      <c r="A2375" t="s">
        <v>186</v>
      </c>
      <c r="B2375" t="str">
        <f>_xlfn.XLOOKUP(A2375,'[1]Tissue Data'!$A:$A,'[1]Tissue Data'!$C:$C)</f>
        <v>Spill</v>
      </c>
      <c r="C2375" s="2">
        <f>_xlfn.XLOOKUP(A2375,'[1]Tissue Data'!$A:$A,'[1]Tissue Data'!$D:$D)</f>
        <v>44314</v>
      </c>
      <c r="D2375" s="2" t="str">
        <f>_xlfn.XLOOKUP(A2375,'[1]Tissue Data'!$A:$A,'[1]Tissue Data'!$F:$F)</f>
        <v>Swallowtail Shiner</v>
      </c>
      <c r="E2375" t="str">
        <f>_xlfn.XLOOKUP(A2375,'[1]Tissue Data'!$A:$A,'[1]Tissue Data'!$H:$H)</f>
        <v>Notropis</v>
      </c>
      <c r="F2375" t="str">
        <f>_xlfn.XLOOKUP(A2375,'[1]Tissue Data'!$A:$A,'[1]Tissue Data'!$I:$I)</f>
        <v>procne</v>
      </c>
      <c r="G2375" t="str">
        <f>_xlfn.XLOOKUP(A2375,'[1]Tissue Data'!$A:$A,'[1]Tissue Data'!J:J)</f>
        <v>U</v>
      </c>
      <c r="H2375" t="str">
        <f>_xlfn.XLOOKUP(A2375,'[1]Tissue Data'!$A:$A,'[1]Tissue Data'!K:K)</f>
        <v>Whole Body</v>
      </c>
      <c r="I2375">
        <f>_xlfn.XLOOKUP(A2375,'[1]Tissue Data'!$A:$A,'[1]Tissue Data'!L:L)</f>
        <v>5.5</v>
      </c>
      <c r="J2375">
        <f>_xlfn.XLOOKUP(A2375,'[1]Tissue Data'!$A:$A,'[1]Tissue Data'!M:M)</f>
        <v>2.4500000000000002</v>
      </c>
      <c r="K2375" t="s">
        <v>35</v>
      </c>
      <c r="L2375" t="str">
        <f>_xlfn.XLOOKUP(K2375,[2]analyte_order!$B:$B,[2]analyte_order!$C:$C)</f>
        <v>30334-69-1</v>
      </c>
      <c r="M2375">
        <f>_xlfn.XLOOKUP(L2375,[2]analyte_order!$C:$C,[2]analyte_order!$E:$E)</f>
        <v>51</v>
      </c>
      <c r="N2375">
        <v>145</v>
      </c>
    </row>
    <row r="2376" spans="1:14">
      <c r="A2376" t="s">
        <v>186</v>
      </c>
      <c r="B2376" t="str">
        <f>_xlfn.XLOOKUP(A2376,'[1]Tissue Data'!$A:$A,'[1]Tissue Data'!$C:$C)</f>
        <v>Spill</v>
      </c>
      <c r="C2376" s="2">
        <f>_xlfn.XLOOKUP(A2376,'[1]Tissue Data'!$A:$A,'[1]Tissue Data'!$D:$D)</f>
        <v>44314</v>
      </c>
      <c r="D2376" s="2" t="str">
        <f>_xlfn.XLOOKUP(A2376,'[1]Tissue Data'!$A:$A,'[1]Tissue Data'!$F:$F)</f>
        <v>Swallowtail Shiner</v>
      </c>
      <c r="E2376" t="str">
        <f>_xlfn.XLOOKUP(A2376,'[1]Tissue Data'!$A:$A,'[1]Tissue Data'!$H:$H)</f>
        <v>Notropis</v>
      </c>
      <c r="F2376" t="str">
        <f>_xlfn.XLOOKUP(A2376,'[1]Tissue Data'!$A:$A,'[1]Tissue Data'!$I:$I)</f>
        <v>procne</v>
      </c>
      <c r="G2376" t="str">
        <f>_xlfn.XLOOKUP(A2376,'[1]Tissue Data'!$A:$A,'[1]Tissue Data'!J:J)</f>
        <v>U</v>
      </c>
      <c r="H2376" t="str">
        <f>_xlfn.XLOOKUP(A2376,'[1]Tissue Data'!$A:$A,'[1]Tissue Data'!K:K)</f>
        <v>Whole Body</v>
      </c>
      <c r="I2376">
        <f>_xlfn.XLOOKUP(A2376,'[1]Tissue Data'!$A:$A,'[1]Tissue Data'!L:L)</f>
        <v>5.5</v>
      </c>
      <c r="J2376">
        <f>_xlfn.XLOOKUP(A2376,'[1]Tissue Data'!$A:$A,'[1]Tissue Data'!M:M)</f>
        <v>2.4500000000000002</v>
      </c>
      <c r="K2376" t="s">
        <v>36</v>
      </c>
      <c r="L2376" t="str">
        <f>_xlfn.XLOOKUP(K2376,[2]analyte_order!$B:$B,[2]analyte_order!$C:$C)</f>
        <v>41997-13-1</v>
      </c>
      <c r="M2376">
        <f>_xlfn.XLOOKUP(L2376,[2]analyte_order!$C:$C,[2]analyte_order!$E:$E)</f>
        <v>52</v>
      </c>
      <c r="N2376">
        <v>470</v>
      </c>
    </row>
    <row r="2377" spans="1:14">
      <c r="A2377" t="s">
        <v>186</v>
      </c>
      <c r="B2377" t="str">
        <f>_xlfn.XLOOKUP(A2377,'[1]Tissue Data'!$A:$A,'[1]Tissue Data'!$C:$C)</f>
        <v>Spill</v>
      </c>
      <c r="C2377" s="2">
        <f>_xlfn.XLOOKUP(A2377,'[1]Tissue Data'!$A:$A,'[1]Tissue Data'!$D:$D)</f>
        <v>44314</v>
      </c>
      <c r="D2377" s="2" t="str">
        <f>_xlfn.XLOOKUP(A2377,'[1]Tissue Data'!$A:$A,'[1]Tissue Data'!$F:$F)</f>
        <v>Swallowtail Shiner</v>
      </c>
      <c r="E2377" t="str">
        <f>_xlfn.XLOOKUP(A2377,'[1]Tissue Data'!$A:$A,'[1]Tissue Data'!$H:$H)</f>
        <v>Notropis</v>
      </c>
      <c r="F2377" t="str">
        <f>_xlfn.XLOOKUP(A2377,'[1]Tissue Data'!$A:$A,'[1]Tissue Data'!$I:$I)</f>
        <v>procne</v>
      </c>
      <c r="G2377" t="str">
        <f>_xlfn.XLOOKUP(A2377,'[1]Tissue Data'!$A:$A,'[1]Tissue Data'!J:J)</f>
        <v>U</v>
      </c>
      <c r="H2377" t="str">
        <f>_xlfn.XLOOKUP(A2377,'[1]Tissue Data'!$A:$A,'[1]Tissue Data'!K:K)</f>
        <v>Whole Body</v>
      </c>
      <c r="I2377">
        <f>_xlfn.XLOOKUP(A2377,'[1]Tissue Data'!$A:$A,'[1]Tissue Data'!L:L)</f>
        <v>5.5</v>
      </c>
      <c r="J2377">
        <f>_xlfn.XLOOKUP(A2377,'[1]Tissue Data'!$A:$A,'[1]Tissue Data'!M:M)</f>
        <v>2.4500000000000002</v>
      </c>
      <c r="K2377" t="s">
        <v>37</v>
      </c>
      <c r="L2377" t="str">
        <f>_xlfn.XLOOKUP(K2377,[2]analyte_order!$B:$B,[2]analyte_order!$C:$C)</f>
        <v>754-91-6</v>
      </c>
      <c r="M2377">
        <f>_xlfn.XLOOKUP(L2377,[2]analyte_order!$C:$C,[2]analyte_order!$E:$E)</f>
        <v>28</v>
      </c>
      <c r="N2377">
        <v>30.3</v>
      </c>
    </row>
    <row r="2378" spans="1:14">
      <c r="A2378" t="s">
        <v>186</v>
      </c>
      <c r="B2378" t="str">
        <f>_xlfn.XLOOKUP(A2378,'[1]Tissue Data'!$A:$A,'[1]Tissue Data'!$C:$C)</f>
        <v>Spill</v>
      </c>
      <c r="C2378" s="2">
        <f>_xlfn.XLOOKUP(A2378,'[1]Tissue Data'!$A:$A,'[1]Tissue Data'!$D:$D)</f>
        <v>44314</v>
      </c>
      <c r="D2378" s="2" t="str">
        <f>_xlfn.XLOOKUP(A2378,'[1]Tissue Data'!$A:$A,'[1]Tissue Data'!$F:$F)</f>
        <v>Swallowtail Shiner</v>
      </c>
      <c r="E2378" t="str">
        <f>_xlfn.XLOOKUP(A2378,'[1]Tissue Data'!$A:$A,'[1]Tissue Data'!$H:$H)</f>
        <v>Notropis</v>
      </c>
      <c r="F2378" t="str">
        <f>_xlfn.XLOOKUP(A2378,'[1]Tissue Data'!$A:$A,'[1]Tissue Data'!$I:$I)</f>
        <v>procne</v>
      </c>
      <c r="G2378" t="str">
        <f>_xlfn.XLOOKUP(A2378,'[1]Tissue Data'!$A:$A,'[1]Tissue Data'!J:J)</f>
        <v>U</v>
      </c>
      <c r="H2378" t="str">
        <f>_xlfn.XLOOKUP(A2378,'[1]Tissue Data'!$A:$A,'[1]Tissue Data'!K:K)</f>
        <v>Whole Body</v>
      </c>
      <c r="I2378">
        <f>_xlfn.XLOOKUP(A2378,'[1]Tissue Data'!$A:$A,'[1]Tissue Data'!L:L)</f>
        <v>5.5</v>
      </c>
      <c r="J2378">
        <f>_xlfn.XLOOKUP(A2378,'[1]Tissue Data'!$A:$A,'[1]Tissue Data'!M:M)</f>
        <v>2.4500000000000002</v>
      </c>
      <c r="K2378" t="s">
        <v>38</v>
      </c>
      <c r="L2378" t="str">
        <f>_xlfn.XLOOKUP(K2378,[2]analyte_order!$B:$B,[2]analyte_order!$C:$C)</f>
        <v>31506-32-8</v>
      </c>
      <c r="M2378">
        <f>_xlfn.XLOOKUP(L2378,[2]analyte_order!$C:$C,[2]analyte_order!$E:$E)</f>
        <v>30</v>
      </c>
      <c r="N2378">
        <v>5.2999999999999999E-2</v>
      </c>
    </row>
    <row r="2379" spans="1:14">
      <c r="A2379" t="s">
        <v>186</v>
      </c>
      <c r="B2379" t="str">
        <f>_xlfn.XLOOKUP(A2379,'[1]Tissue Data'!$A:$A,'[1]Tissue Data'!$C:$C)</f>
        <v>Spill</v>
      </c>
      <c r="C2379" s="2">
        <f>_xlfn.XLOOKUP(A2379,'[1]Tissue Data'!$A:$A,'[1]Tissue Data'!$D:$D)</f>
        <v>44314</v>
      </c>
      <c r="D2379" s="2" t="str">
        <f>_xlfn.XLOOKUP(A2379,'[1]Tissue Data'!$A:$A,'[1]Tissue Data'!$F:$F)</f>
        <v>Swallowtail Shiner</v>
      </c>
      <c r="E2379" t="str">
        <f>_xlfn.XLOOKUP(A2379,'[1]Tissue Data'!$A:$A,'[1]Tissue Data'!$H:$H)</f>
        <v>Notropis</v>
      </c>
      <c r="F2379" t="str">
        <f>_xlfn.XLOOKUP(A2379,'[1]Tissue Data'!$A:$A,'[1]Tissue Data'!$I:$I)</f>
        <v>procne</v>
      </c>
      <c r="G2379" t="str">
        <f>_xlfn.XLOOKUP(A2379,'[1]Tissue Data'!$A:$A,'[1]Tissue Data'!J:J)</f>
        <v>U</v>
      </c>
      <c r="H2379" t="str">
        <f>_xlfn.XLOOKUP(A2379,'[1]Tissue Data'!$A:$A,'[1]Tissue Data'!K:K)</f>
        <v>Whole Body</v>
      </c>
      <c r="I2379">
        <f>_xlfn.XLOOKUP(A2379,'[1]Tissue Data'!$A:$A,'[1]Tissue Data'!L:L)</f>
        <v>5.5</v>
      </c>
      <c r="J2379">
        <f>_xlfn.XLOOKUP(A2379,'[1]Tissue Data'!$A:$A,'[1]Tissue Data'!M:M)</f>
        <v>2.4500000000000002</v>
      </c>
      <c r="K2379" t="s">
        <v>39</v>
      </c>
      <c r="L2379" t="str">
        <f>_xlfn.XLOOKUP(K2379,[2]analyte_order!$B:$B,[2]analyte_order!$C:$C)</f>
        <v>4151-50-2</v>
      </c>
      <c r="M2379">
        <f>_xlfn.XLOOKUP(L2379,[2]analyte_order!$C:$C,[2]analyte_order!$E:$E)</f>
        <v>31</v>
      </c>
      <c r="N2379">
        <v>8.0500000000000002E-2</v>
      </c>
    </row>
    <row r="2380" spans="1:14">
      <c r="A2380" t="s">
        <v>186</v>
      </c>
      <c r="B2380" t="str">
        <f>_xlfn.XLOOKUP(A2380,'[1]Tissue Data'!$A:$A,'[1]Tissue Data'!$C:$C)</f>
        <v>Spill</v>
      </c>
      <c r="C2380" s="2">
        <f>_xlfn.XLOOKUP(A2380,'[1]Tissue Data'!$A:$A,'[1]Tissue Data'!$D:$D)</f>
        <v>44314</v>
      </c>
      <c r="D2380" s="2" t="str">
        <f>_xlfn.XLOOKUP(A2380,'[1]Tissue Data'!$A:$A,'[1]Tissue Data'!$F:$F)</f>
        <v>Swallowtail Shiner</v>
      </c>
      <c r="E2380" t="str">
        <f>_xlfn.XLOOKUP(A2380,'[1]Tissue Data'!$A:$A,'[1]Tissue Data'!$H:$H)</f>
        <v>Notropis</v>
      </c>
      <c r="F2380" t="str">
        <f>_xlfn.XLOOKUP(A2380,'[1]Tissue Data'!$A:$A,'[1]Tissue Data'!$I:$I)</f>
        <v>procne</v>
      </c>
      <c r="G2380" t="str">
        <f>_xlfn.XLOOKUP(A2380,'[1]Tissue Data'!$A:$A,'[1]Tissue Data'!J:J)</f>
        <v>U</v>
      </c>
      <c r="H2380" t="str">
        <f>_xlfn.XLOOKUP(A2380,'[1]Tissue Data'!$A:$A,'[1]Tissue Data'!K:K)</f>
        <v>Whole Body</v>
      </c>
      <c r="I2380">
        <f>_xlfn.XLOOKUP(A2380,'[1]Tissue Data'!$A:$A,'[1]Tissue Data'!L:L)</f>
        <v>5.5</v>
      </c>
      <c r="J2380">
        <f>_xlfn.XLOOKUP(A2380,'[1]Tissue Data'!$A:$A,'[1]Tissue Data'!M:M)</f>
        <v>2.4500000000000002</v>
      </c>
      <c r="K2380" t="s">
        <v>40</v>
      </c>
      <c r="L2380" t="str">
        <f>_xlfn.XLOOKUP(K2380,[2]analyte_order!$B:$B,[2]analyte_order!$C:$C)</f>
        <v>2806-24-8</v>
      </c>
      <c r="M2380">
        <f>_xlfn.XLOOKUP(L2380,[2]analyte_order!$C:$C,[2]analyte_order!$E:$E)</f>
        <v>29</v>
      </c>
      <c r="N2380">
        <v>5.3999999999999999E-2</v>
      </c>
    </row>
    <row r="2381" spans="1:14">
      <c r="A2381" t="s">
        <v>186</v>
      </c>
      <c r="B2381" t="str">
        <f>_xlfn.XLOOKUP(A2381,'[1]Tissue Data'!$A:$A,'[1]Tissue Data'!$C:$C)</f>
        <v>Spill</v>
      </c>
      <c r="C2381" s="2">
        <f>_xlfn.XLOOKUP(A2381,'[1]Tissue Data'!$A:$A,'[1]Tissue Data'!$D:$D)</f>
        <v>44314</v>
      </c>
      <c r="D2381" s="2" t="str">
        <f>_xlfn.XLOOKUP(A2381,'[1]Tissue Data'!$A:$A,'[1]Tissue Data'!$F:$F)</f>
        <v>Swallowtail Shiner</v>
      </c>
      <c r="E2381" t="str">
        <f>_xlfn.XLOOKUP(A2381,'[1]Tissue Data'!$A:$A,'[1]Tissue Data'!$H:$H)</f>
        <v>Notropis</v>
      </c>
      <c r="F2381" t="str">
        <f>_xlfn.XLOOKUP(A2381,'[1]Tissue Data'!$A:$A,'[1]Tissue Data'!$I:$I)</f>
        <v>procne</v>
      </c>
      <c r="G2381" t="str">
        <f>_xlfn.XLOOKUP(A2381,'[1]Tissue Data'!$A:$A,'[1]Tissue Data'!J:J)</f>
        <v>U</v>
      </c>
      <c r="H2381" t="str">
        <f>_xlfn.XLOOKUP(A2381,'[1]Tissue Data'!$A:$A,'[1]Tissue Data'!K:K)</f>
        <v>Whole Body</v>
      </c>
      <c r="I2381">
        <f>_xlfn.XLOOKUP(A2381,'[1]Tissue Data'!$A:$A,'[1]Tissue Data'!L:L)</f>
        <v>5.5</v>
      </c>
      <c r="J2381">
        <f>_xlfn.XLOOKUP(A2381,'[1]Tissue Data'!$A:$A,'[1]Tissue Data'!M:M)</f>
        <v>2.4500000000000002</v>
      </c>
      <c r="K2381" t="s">
        <v>41</v>
      </c>
      <c r="L2381" t="str">
        <f>_xlfn.XLOOKUP(K2381,[2]analyte_order!$B:$B,[2]analyte_order!$C:$C)</f>
        <v>2355-31-9</v>
      </c>
      <c r="M2381">
        <f>_xlfn.XLOOKUP(L2381,[2]analyte_order!$C:$C,[2]analyte_order!$E:$E)</f>
        <v>26</v>
      </c>
      <c r="N2381">
        <v>0.22850000000000001</v>
      </c>
    </row>
    <row r="2382" spans="1:14">
      <c r="A2382" t="s">
        <v>186</v>
      </c>
      <c r="B2382" t="str">
        <f>_xlfn.XLOOKUP(A2382,'[1]Tissue Data'!$A:$A,'[1]Tissue Data'!$C:$C)</f>
        <v>Spill</v>
      </c>
      <c r="C2382" s="2">
        <f>_xlfn.XLOOKUP(A2382,'[1]Tissue Data'!$A:$A,'[1]Tissue Data'!$D:$D)</f>
        <v>44314</v>
      </c>
      <c r="D2382" s="2" t="str">
        <f>_xlfn.XLOOKUP(A2382,'[1]Tissue Data'!$A:$A,'[1]Tissue Data'!$F:$F)</f>
        <v>Swallowtail Shiner</v>
      </c>
      <c r="E2382" t="str">
        <f>_xlfn.XLOOKUP(A2382,'[1]Tissue Data'!$A:$A,'[1]Tissue Data'!$H:$H)</f>
        <v>Notropis</v>
      </c>
      <c r="F2382" t="str">
        <f>_xlfn.XLOOKUP(A2382,'[1]Tissue Data'!$A:$A,'[1]Tissue Data'!$I:$I)</f>
        <v>procne</v>
      </c>
      <c r="G2382" t="str">
        <f>_xlfn.XLOOKUP(A2382,'[1]Tissue Data'!$A:$A,'[1]Tissue Data'!J:J)</f>
        <v>U</v>
      </c>
      <c r="H2382" t="str">
        <f>_xlfn.XLOOKUP(A2382,'[1]Tissue Data'!$A:$A,'[1]Tissue Data'!K:K)</f>
        <v>Whole Body</v>
      </c>
      <c r="I2382">
        <f>_xlfn.XLOOKUP(A2382,'[1]Tissue Data'!$A:$A,'[1]Tissue Data'!L:L)</f>
        <v>5.5</v>
      </c>
      <c r="J2382">
        <f>_xlfn.XLOOKUP(A2382,'[1]Tissue Data'!$A:$A,'[1]Tissue Data'!M:M)</f>
        <v>2.4500000000000002</v>
      </c>
      <c r="K2382" t="s">
        <v>42</v>
      </c>
      <c r="L2382" t="str">
        <f>_xlfn.XLOOKUP(K2382,[2]analyte_order!$B:$B,[2]analyte_order!$C:$C)</f>
        <v>2991-50-6</v>
      </c>
      <c r="M2382">
        <f>_xlfn.XLOOKUP(L2382,[2]analyte_order!$C:$C,[2]analyte_order!$E:$E)</f>
        <v>27</v>
      </c>
      <c r="N2382">
        <v>0.06</v>
      </c>
    </row>
    <row r="2383" spans="1:14">
      <c r="A2383" t="s">
        <v>186</v>
      </c>
      <c r="B2383" t="str">
        <f>_xlfn.XLOOKUP(A2383,'[1]Tissue Data'!$A:$A,'[1]Tissue Data'!$C:$C)</f>
        <v>Spill</v>
      </c>
      <c r="C2383" s="2">
        <f>_xlfn.XLOOKUP(A2383,'[1]Tissue Data'!$A:$A,'[1]Tissue Data'!$D:$D)</f>
        <v>44314</v>
      </c>
      <c r="D2383" s="2" t="str">
        <f>_xlfn.XLOOKUP(A2383,'[1]Tissue Data'!$A:$A,'[1]Tissue Data'!$F:$F)</f>
        <v>Swallowtail Shiner</v>
      </c>
      <c r="E2383" t="str">
        <f>_xlfn.XLOOKUP(A2383,'[1]Tissue Data'!$A:$A,'[1]Tissue Data'!$H:$H)</f>
        <v>Notropis</v>
      </c>
      <c r="F2383" t="str">
        <f>_xlfn.XLOOKUP(A2383,'[1]Tissue Data'!$A:$A,'[1]Tissue Data'!$I:$I)</f>
        <v>procne</v>
      </c>
      <c r="G2383" t="str">
        <f>_xlfn.XLOOKUP(A2383,'[1]Tissue Data'!$A:$A,'[1]Tissue Data'!J:J)</f>
        <v>U</v>
      </c>
      <c r="H2383" t="str">
        <f>_xlfn.XLOOKUP(A2383,'[1]Tissue Data'!$A:$A,'[1]Tissue Data'!K:K)</f>
        <v>Whole Body</v>
      </c>
      <c r="I2383">
        <f>_xlfn.XLOOKUP(A2383,'[1]Tissue Data'!$A:$A,'[1]Tissue Data'!L:L)</f>
        <v>5.5</v>
      </c>
      <c r="J2383">
        <f>_xlfn.XLOOKUP(A2383,'[1]Tissue Data'!$A:$A,'[1]Tissue Data'!M:M)</f>
        <v>2.4500000000000002</v>
      </c>
      <c r="K2383" t="s">
        <v>43</v>
      </c>
      <c r="L2383" t="str">
        <f>_xlfn.XLOOKUP(K2383,[2]analyte_order!$B:$B,[2]analyte_order!$C:$C)</f>
        <v>757124-72-4</v>
      </c>
      <c r="M2383">
        <f>_xlfn.XLOOKUP(L2383,[2]analyte_order!$C:$C,[2]analyte_order!$E:$E)</f>
        <v>22</v>
      </c>
      <c r="N2383">
        <v>5.6500000000000002E-2</v>
      </c>
    </row>
    <row r="2384" spans="1:14">
      <c r="A2384" t="s">
        <v>186</v>
      </c>
      <c r="B2384" t="str">
        <f>_xlfn.XLOOKUP(A2384,'[1]Tissue Data'!$A:$A,'[1]Tissue Data'!$C:$C)</f>
        <v>Spill</v>
      </c>
      <c r="C2384" s="2">
        <f>_xlfn.XLOOKUP(A2384,'[1]Tissue Data'!$A:$A,'[1]Tissue Data'!$D:$D)</f>
        <v>44314</v>
      </c>
      <c r="D2384" s="2" t="str">
        <f>_xlfn.XLOOKUP(A2384,'[1]Tissue Data'!$A:$A,'[1]Tissue Data'!$F:$F)</f>
        <v>Swallowtail Shiner</v>
      </c>
      <c r="E2384" t="str">
        <f>_xlfn.XLOOKUP(A2384,'[1]Tissue Data'!$A:$A,'[1]Tissue Data'!$H:$H)</f>
        <v>Notropis</v>
      </c>
      <c r="F2384" t="str">
        <f>_xlfn.XLOOKUP(A2384,'[1]Tissue Data'!$A:$A,'[1]Tissue Data'!$I:$I)</f>
        <v>procne</v>
      </c>
      <c r="G2384" t="str">
        <f>_xlfn.XLOOKUP(A2384,'[1]Tissue Data'!$A:$A,'[1]Tissue Data'!J:J)</f>
        <v>U</v>
      </c>
      <c r="H2384" t="str">
        <f>_xlfn.XLOOKUP(A2384,'[1]Tissue Data'!$A:$A,'[1]Tissue Data'!K:K)</f>
        <v>Whole Body</v>
      </c>
      <c r="I2384">
        <f>_xlfn.XLOOKUP(A2384,'[1]Tissue Data'!$A:$A,'[1]Tissue Data'!L:L)</f>
        <v>5.5</v>
      </c>
      <c r="J2384">
        <f>_xlfn.XLOOKUP(A2384,'[1]Tissue Data'!$A:$A,'[1]Tissue Data'!M:M)</f>
        <v>2.4500000000000002</v>
      </c>
      <c r="K2384" t="s">
        <v>44</v>
      </c>
      <c r="L2384" t="str">
        <f>_xlfn.XLOOKUP(K2384,[2]analyte_order!$B:$B,[2]analyte_order!$C:$C)</f>
        <v>27619-97-2</v>
      </c>
      <c r="M2384">
        <f>_xlfn.XLOOKUP(L2384,[2]analyte_order!$C:$C,[2]analyte_order!$E:$E)</f>
        <v>23</v>
      </c>
      <c r="N2384">
        <v>0.13700000000000001</v>
      </c>
    </row>
    <row r="2385" spans="1:14">
      <c r="A2385" t="s">
        <v>186</v>
      </c>
      <c r="B2385" t="str">
        <f>_xlfn.XLOOKUP(A2385,'[1]Tissue Data'!$A:$A,'[1]Tissue Data'!$C:$C)</f>
        <v>Spill</v>
      </c>
      <c r="C2385" s="2">
        <f>_xlfn.XLOOKUP(A2385,'[1]Tissue Data'!$A:$A,'[1]Tissue Data'!$D:$D)</f>
        <v>44314</v>
      </c>
      <c r="D2385" s="2" t="str">
        <f>_xlfn.XLOOKUP(A2385,'[1]Tissue Data'!$A:$A,'[1]Tissue Data'!$F:$F)</f>
        <v>Swallowtail Shiner</v>
      </c>
      <c r="E2385" t="str">
        <f>_xlfn.XLOOKUP(A2385,'[1]Tissue Data'!$A:$A,'[1]Tissue Data'!$H:$H)</f>
        <v>Notropis</v>
      </c>
      <c r="F2385" t="str">
        <f>_xlfn.XLOOKUP(A2385,'[1]Tissue Data'!$A:$A,'[1]Tissue Data'!$I:$I)</f>
        <v>procne</v>
      </c>
      <c r="G2385" t="str">
        <f>_xlfn.XLOOKUP(A2385,'[1]Tissue Data'!$A:$A,'[1]Tissue Data'!J:J)</f>
        <v>U</v>
      </c>
      <c r="H2385" t="str">
        <f>_xlfn.XLOOKUP(A2385,'[1]Tissue Data'!$A:$A,'[1]Tissue Data'!K:K)</f>
        <v>Whole Body</v>
      </c>
      <c r="I2385">
        <f>_xlfn.XLOOKUP(A2385,'[1]Tissue Data'!$A:$A,'[1]Tissue Data'!L:L)</f>
        <v>5.5</v>
      </c>
      <c r="J2385">
        <f>_xlfn.XLOOKUP(A2385,'[1]Tissue Data'!$A:$A,'[1]Tissue Data'!M:M)</f>
        <v>2.4500000000000002</v>
      </c>
      <c r="K2385" t="s">
        <v>45</v>
      </c>
      <c r="L2385" t="str">
        <f>_xlfn.XLOOKUP(K2385,[2]analyte_order!$B:$B,[2]analyte_order!$C:$C)</f>
        <v>39108-34-4</v>
      </c>
      <c r="M2385">
        <f>_xlfn.XLOOKUP(L2385,[2]analyte_order!$C:$C,[2]analyte_order!$E:$E)</f>
        <v>24</v>
      </c>
      <c r="N2385">
        <v>21</v>
      </c>
    </row>
    <row r="2386" spans="1:14">
      <c r="A2386" t="s">
        <v>186</v>
      </c>
      <c r="B2386" t="str">
        <f>_xlfn.XLOOKUP(A2386,'[1]Tissue Data'!$A:$A,'[1]Tissue Data'!$C:$C)</f>
        <v>Spill</v>
      </c>
      <c r="C2386" s="2">
        <f>_xlfn.XLOOKUP(A2386,'[1]Tissue Data'!$A:$A,'[1]Tissue Data'!$D:$D)</f>
        <v>44314</v>
      </c>
      <c r="D2386" s="2" t="str">
        <f>_xlfn.XLOOKUP(A2386,'[1]Tissue Data'!$A:$A,'[1]Tissue Data'!$F:$F)</f>
        <v>Swallowtail Shiner</v>
      </c>
      <c r="E2386" t="str">
        <f>_xlfn.XLOOKUP(A2386,'[1]Tissue Data'!$A:$A,'[1]Tissue Data'!$H:$H)</f>
        <v>Notropis</v>
      </c>
      <c r="F2386" t="str">
        <f>_xlfn.XLOOKUP(A2386,'[1]Tissue Data'!$A:$A,'[1]Tissue Data'!$I:$I)</f>
        <v>procne</v>
      </c>
      <c r="G2386" t="str">
        <f>_xlfn.XLOOKUP(A2386,'[1]Tissue Data'!$A:$A,'[1]Tissue Data'!J:J)</f>
        <v>U</v>
      </c>
      <c r="H2386" t="str">
        <f>_xlfn.XLOOKUP(A2386,'[1]Tissue Data'!$A:$A,'[1]Tissue Data'!K:K)</f>
        <v>Whole Body</v>
      </c>
      <c r="I2386">
        <f>_xlfn.XLOOKUP(A2386,'[1]Tissue Data'!$A:$A,'[1]Tissue Data'!L:L)</f>
        <v>5.5</v>
      </c>
      <c r="J2386">
        <f>_xlfn.XLOOKUP(A2386,'[1]Tissue Data'!$A:$A,'[1]Tissue Data'!M:M)</f>
        <v>2.4500000000000002</v>
      </c>
      <c r="K2386" t="s">
        <v>46</v>
      </c>
      <c r="L2386" t="str">
        <f>_xlfn.XLOOKUP(K2386,[2]analyte_order!$B:$B,[2]analyte_order!$C:$C)</f>
        <v>120226-60-0</v>
      </c>
      <c r="M2386">
        <f>_xlfn.XLOOKUP(L2386,[2]analyte_order!$C:$C,[2]analyte_order!$E:$E)</f>
        <v>25</v>
      </c>
      <c r="N2386">
        <v>0.25800000000000001</v>
      </c>
    </row>
    <row r="2387" spans="1:14">
      <c r="A2387" t="s">
        <v>186</v>
      </c>
      <c r="B2387" t="str">
        <f>_xlfn.XLOOKUP(A2387,'[1]Tissue Data'!$A:$A,'[1]Tissue Data'!$C:$C)</f>
        <v>Spill</v>
      </c>
      <c r="C2387" s="2">
        <f>_xlfn.XLOOKUP(A2387,'[1]Tissue Data'!$A:$A,'[1]Tissue Data'!$D:$D)</f>
        <v>44314</v>
      </c>
      <c r="D2387" s="2" t="str">
        <f>_xlfn.XLOOKUP(A2387,'[1]Tissue Data'!$A:$A,'[1]Tissue Data'!$F:$F)</f>
        <v>Swallowtail Shiner</v>
      </c>
      <c r="E2387" t="str">
        <f>_xlfn.XLOOKUP(A2387,'[1]Tissue Data'!$A:$A,'[1]Tissue Data'!$H:$H)</f>
        <v>Notropis</v>
      </c>
      <c r="F2387" t="str">
        <f>_xlfn.XLOOKUP(A2387,'[1]Tissue Data'!$A:$A,'[1]Tissue Data'!$I:$I)</f>
        <v>procne</v>
      </c>
      <c r="G2387" t="str">
        <f>_xlfn.XLOOKUP(A2387,'[1]Tissue Data'!$A:$A,'[1]Tissue Data'!J:J)</f>
        <v>U</v>
      </c>
      <c r="H2387" t="str">
        <f>_xlfn.XLOOKUP(A2387,'[1]Tissue Data'!$A:$A,'[1]Tissue Data'!K:K)</f>
        <v>Whole Body</v>
      </c>
      <c r="I2387">
        <f>_xlfn.XLOOKUP(A2387,'[1]Tissue Data'!$A:$A,'[1]Tissue Data'!L:L)</f>
        <v>5.5</v>
      </c>
      <c r="J2387">
        <f>_xlfn.XLOOKUP(A2387,'[1]Tissue Data'!$A:$A,'[1]Tissue Data'!M:M)</f>
        <v>2.4500000000000002</v>
      </c>
      <c r="K2387" t="s">
        <v>47</v>
      </c>
      <c r="L2387" t="str">
        <f>_xlfn.XLOOKUP(K2387,[2]analyte_order!$B:$B,[2]analyte_order!$C:$C)</f>
        <v>356-02-5</v>
      </c>
      <c r="M2387">
        <f>_xlfn.XLOOKUP(L2387,[2]analyte_order!$C:$C,[2]analyte_order!$E:$E)</f>
        <v>38</v>
      </c>
      <c r="N2387">
        <v>7.9500000000000001E-2</v>
      </c>
    </row>
    <row r="2388" spans="1:14">
      <c r="A2388" t="s">
        <v>186</v>
      </c>
      <c r="B2388" t="str">
        <f>_xlfn.XLOOKUP(A2388,'[1]Tissue Data'!$A:$A,'[1]Tissue Data'!$C:$C)</f>
        <v>Spill</v>
      </c>
      <c r="C2388" s="2">
        <f>_xlfn.XLOOKUP(A2388,'[1]Tissue Data'!$A:$A,'[1]Tissue Data'!$D:$D)</f>
        <v>44314</v>
      </c>
      <c r="D2388" s="2" t="str">
        <f>_xlfn.XLOOKUP(A2388,'[1]Tissue Data'!$A:$A,'[1]Tissue Data'!$F:$F)</f>
        <v>Swallowtail Shiner</v>
      </c>
      <c r="E2388" t="str">
        <f>_xlfn.XLOOKUP(A2388,'[1]Tissue Data'!$A:$A,'[1]Tissue Data'!$H:$H)</f>
        <v>Notropis</v>
      </c>
      <c r="F2388" t="str">
        <f>_xlfn.XLOOKUP(A2388,'[1]Tissue Data'!$A:$A,'[1]Tissue Data'!$I:$I)</f>
        <v>procne</v>
      </c>
      <c r="G2388" t="str">
        <f>_xlfn.XLOOKUP(A2388,'[1]Tissue Data'!$A:$A,'[1]Tissue Data'!J:J)</f>
        <v>U</v>
      </c>
      <c r="H2388" t="str">
        <f>_xlfn.XLOOKUP(A2388,'[1]Tissue Data'!$A:$A,'[1]Tissue Data'!K:K)</f>
        <v>Whole Body</v>
      </c>
      <c r="I2388">
        <f>_xlfn.XLOOKUP(A2388,'[1]Tissue Data'!$A:$A,'[1]Tissue Data'!L:L)</f>
        <v>5.5</v>
      </c>
      <c r="J2388">
        <f>_xlfn.XLOOKUP(A2388,'[1]Tissue Data'!$A:$A,'[1]Tissue Data'!M:M)</f>
        <v>2.4500000000000002</v>
      </c>
      <c r="K2388" t="s">
        <v>48</v>
      </c>
      <c r="L2388" t="str">
        <f>_xlfn.XLOOKUP(K2388,[2]analyte_order!$B:$B,[2]analyte_order!$C:$C)</f>
        <v>914637-49-3</v>
      </c>
      <c r="M2388">
        <f>_xlfn.XLOOKUP(L2388,[2]analyte_order!$C:$C,[2]analyte_order!$E:$E)</f>
        <v>39</v>
      </c>
      <c r="N2388">
        <v>1.99</v>
      </c>
    </row>
    <row r="2389" spans="1:14">
      <c r="A2389" t="s">
        <v>186</v>
      </c>
      <c r="B2389" t="str">
        <f>_xlfn.XLOOKUP(A2389,'[1]Tissue Data'!$A:$A,'[1]Tissue Data'!$C:$C)</f>
        <v>Spill</v>
      </c>
      <c r="C2389" s="2">
        <f>_xlfn.XLOOKUP(A2389,'[1]Tissue Data'!$A:$A,'[1]Tissue Data'!$D:$D)</f>
        <v>44314</v>
      </c>
      <c r="D2389" s="2" t="str">
        <f>_xlfn.XLOOKUP(A2389,'[1]Tissue Data'!$A:$A,'[1]Tissue Data'!$F:$F)</f>
        <v>Swallowtail Shiner</v>
      </c>
      <c r="E2389" t="str">
        <f>_xlfn.XLOOKUP(A2389,'[1]Tissue Data'!$A:$A,'[1]Tissue Data'!$H:$H)</f>
        <v>Notropis</v>
      </c>
      <c r="F2389" t="str">
        <f>_xlfn.XLOOKUP(A2389,'[1]Tissue Data'!$A:$A,'[1]Tissue Data'!$I:$I)</f>
        <v>procne</v>
      </c>
      <c r="G2389" t="str">
        <f>_xlfn.XLOOKUP(A2389,'[1]Tissue Data'!$A:$A,'[1]Tissue Data'!J:J)</f>
        <v>U</v>
      </c>
      <c r="H2389" t="str">
        <f>_xlfn.XLOOKUP(A2389,'[1]Tissue Data'!$A:$A,'[1]Tissue Data'!K:K)</f>
        <v>Whole Body</v>
      </c>
      <c r="I2389">
        <f>_xlfn.XLOOKUP(A2389,'[1]Tissue Data'!$A:$A,'[1]Tissue Data'!L:L)</f>
        <v>5.5</v>
      </c>
      <c r="J2389">
        <f>_xlfn.XLOOKUP(A2389,'[1]Tissue Data'!$A:$A,'[1]Tissue Data'!M:M)</f>
        <v>2.4500000000000002</v>
      </c>
      <c r="K2389" t="s">
        <v>49</v>
      </c>
      <c r="L2389" t="str">
        <f>_xlfn.XLOOKUP(K2389,[2]analyte_order!$B:$B,[2]analyte_order!$C:$C)</f>
        <v>812-70-4</v>
      </c>
      <c r="M2389">
        <f>_xlfn.XLOOKUP(L2389,[2]analyte_order!$C:$C,[2]analyte_order!$E:$E)</f>
        <v>40</v>
      </c>
      <c r="N2389">
        <v>4.43</v>
      </c>
    </row>
    <row r="2390" spans="1:14">
      <c r="A2390" t="s">
        <v>186</v>
      </c>
      <c r="B2390" t="str">
        <f>_xlfn.XLOOKUP(A2390,'[1]Tissue Data'!$A:$A,'[1]Tissue Data'!$C:$C)</f>
        <v>Spill</v>
      </c>
      <c r="C2390" s="2">
        <f>_xlfn.XLOOKUP(A2390,'[1]Tissue Data'!$A:$A,'[1]Tissue Data'!$D:$D)</f>
        <v>44314</v>
      </c>
      <c r="D2390" s="2" t="str">
        <f>_xlfn.XLOOKUP(A2390,'[1]Tissue Data'!$A:$A,'[1]Tissue Data'!$F:$F)</f>
        <v>Swallowtail Shiner</v>
      </c>
      <c r="E2390" t="str">
        <f>_xlfn.XLOOKUP(A2390,'[1]Tissue Data'!$A:$A,'[1]Tissue Data'!$H:$H)</f>
        <v>Notropis</v>
      </c>
      <c r="F2390" t="str">
        <f>_xlfn.XLOOKUP(A2390,'[1]Tissue Data'!$A:$A,'[1]Tissue Data'!$I:$I)</f>
        <v>procne</v>
      </c>
      <c r="G2390" t="str">
        <f>_xlfn.XLOOKUP(A2390,'[1]Tissue Data'!$A:$A,'[1]Tissue Data'!J:J)</f>
        <v>U</v>
      </c>
      <c r="H2390" t="str">
        <f>_xlfn.XLOOKUP(A2390,'[1]Tissue Data'!$A:$A,'[1]Tissue Data'!K:K)</f>
        <v>Whole Body</v>
      </c>
      <c r="I2390">
        <f>_xlfn.XLOOKUP(A2390,'[1]Tissue Data'!$A:$A,'[1]Tissue Data'!L:L)</f>
        <v>5.5</v>
      </c>
      <c r="J2390">
        <f>_xlfn.XLOOKUP(A2390,'[1]Tissue Data'!$A:$A,'[1]Tissue Data'!M:M)</f>
        <v>2.4500000000000002</v>
      </c>
      <c r="K2390" t="s">
        <v>50</v>
      </c>
      <c r="L2390" t="str">
        <f>_xlfn.XLOOKUP(K2390,[2]analyte_order!$B:$B,[2]analyte_order!$C:$C)</f>
        <v>53826-12-3</v>
      </c>
      <c r="M2390">
        <f>_xlfn.XLOOKUP(L2390,[2]analyte_order!$C:$C,[2]analyte_order!$E:$E)</f>
        <v>41</v>
      </c>
      <c r="N2390">
        <v>4.4249999999999998E-2</v>
      </c>
    </row>
    <row r="2391" spans="1:14">
      <c r="A2391" t="s">
        <v>186</v>
      </c>
      <c r="B2391" t="str">
        <f>_xlfn.XLOOKUP(A2391,'[1]Tissue Data'!$A:$A,'[1]Tissue Data'!$C:$C)</f>
        <v>Spill</v>
      </c>
      <c r="C2391" s="2">
        <f>_xlfn.XLOOKUP(A2391,'[1]Tissue Data'!$A:$A,'[1]Tissue Data'!$D:$D)</f>
        <v>44314</v>
      </c>
      <c r="D2391" s="2" t="str">
        <f>_xlfn.XLOOKUP(A2391,'[1]Tissue Data'!$A:$A,'[1]Tissue Data'!$F:$F)</f>
        <v>Swallowtail Shiner</v>
      </c>
      <c r="E2391" t="str">
        <f>_xlfn.XLOOKUP(A2391,'[1]Tissue Data'!$A:$A,'[1]Tissue Data'!$H:$H)</f>
        <v>Notropis</v>
      </c>
      <c r="F2391" t="str">
        <f>_xlfn.XLOOKUP(A2391,'[1]Tissue Data'!$A:$A,'[1]Tissue Data'!$I:$I)</f>
        <v>procne</v>
      </c>
      <c r="G2391" t="str">
        <f>_xlfn.XLOOKUP(A2391,'[1]Tissue Data'!$A:$A,'[1]Tissue Data'!J:J)</f>
        <v>U</v>
      </c>
      <c r="H2391" t="str">
        <f>_xlfn.XLOOKUP(A2391,'[1]Tissue Data'!$A:$A,'[1]Tissue Data'!K:K)</f>
        <v>Whole Body</v>
      </c>
      <c r="I2391">
        <f>_xlfn.XLOOKUP(A2391,'[1]Tissue Data'!$A:$A,'[1]Tissue Data'!L:L)</f>
        <v>5.5</v>
      </c>
      <c r="J2391">
        <f>_xlfn.XLOOKUP(A2391,'[1]Tissue Data'!$A:$A,'[1]Tissue Data'!M:M)</f>
        <v>2.4500000000000002</v>
      </c>
      <c r="K2391" t="s">
        <v>51</v>
      </c>
      <c r="L2391" t="str">
        <f>_xlfn.XLOOKUP(K2391,[2]analyte_order!$B:$B,[2]analyte_order!$C:$C)</f>
        <v>27854-31-5</v>
      </c>
      <c r="M2391">
        <f>_xlfn.XLOOKUP(L2391,[2]analyte_order!$C:$C,[2]analyte_order!$E:$E)</f>
        <v>42</v>
      </c>
      <c r="N2391">
        <v>2.76E-2</v>
      </c>
    </row>
    <row r="2392" spans="1:14">
      <c r="A2392" t="s">
        <v>186</v>
      </c>
      <c r="B2392" t="str">
        <f>_xlfn.XLOOKUP(A2392,'[1]Tissue Data'!$A:$A,'[1]Tissue Data'!$C:$C)</f>
        <v>Spill</v>
      </c>
      <c r="C2392" s="2">
        <f>_xlfn.XLOOKUP(A2392,'[1]Tissue Data'!$A:$A,'[1]Tissue Data'!$D:$D)</f>
        <v>44314</v>
      </c>
      <c r="D2392" s="2" t="str">
        <f>_xlfn.XLOOKUP(A2392,'[1]Tissue Data'!$A:$A,'[1]Tissue Data'!$F:$F)</f>
        <v>Swallowtail Shiner</v>
      </c>
      <c r="E2392" t="str">
        <f>_xlfn.XLOOKUP(A2392,'[1]Tissue Data'!$A:$A,'[1]Tissue Data'!$H:$H)</f>
        <v>Notropis</v>
      </c>
      <c r="F2392" t="str">
        <f>_xlfn.XLOOKUP(A2392,'[1]Tissue Data'!$A:$A,'[1]Tissue Data'!$I:$I)</f>
        <v>procne</v>
      </c>
      <c r="G2392" t="str">
        <f>_xlfn.XLOOKUP(A2392,'[1]Tissue Data'!$A:$A,'[1]Tissue Data'!J:J)</f>
        <v>U</v>
      </c>
      <c r="H2392" t="str">
        <f>_xlfn.XLOOKUP(A2392,'[1]Tissue Data'!$A:$A,'[1]Tissue Data'!K:K)</f>
        <v>Whole Body</v>
      </c>
      <c r="I2392">
        <f>_xlfn.XLOOKUP(A2392,'[1]Tissue Data'!$A:$A,'[1]Tissue Data'!L:L)</f>
        <v>5.5</v>
      </c>
      <c r="J2392">
        <f>_xlfn.XLOOKUP(A2392,'[1]Tissue Data'!$A:$A,'[1]Tissue Data'!M:M)</f>
        <v>2.4500000000000002</v>
      </c>
      <c r="K2392" t="s">
        <v>52</v>
      </c>
      <c r="L2392" t="str">
        <f>_xlfn.XLOOKUP(K2392,[2]analyte_order!$B:$B,[2]analyte_order!$C:$C)</f>
        <v>53826-13-4</v>
      </c>
      <c r="M2392">
        <f>_xlfn.XLOOKUP(L2392,[2]analyte_order!$C:$C,[2]analyte_order!$E:$E)</f>
        <v>43</v>
      </c>
      <c r="N2392">
        <v>0.10249999999999999</v>
      </c>
    </row>
    <row r="2393" spans="1:14">
      <c r="A2393" t="s">
        <v>186</v>
      </c>
      <c r="B2393" t="str">
        <f>_xlfn.XLOOKUP(A2393,'[1]Tissue Data'!$A:$A,'[1]Tissue Data'!$C:$C)</f>
        <v>Spill</v>
      </c>
      <c r="C2393" s="2">
        <f>_xlfn.XLOOKUP(A2393,'[1]Tissue Data'!$A:$A,'[1]Tissue Data'!$D:$D)</f>
        <v>44314</v>
      </c>
      <c r="D2393" s="2" t="str">
        <f>_xlfn.XLOOKUP(A2393,'[1]Tissue Data'!$A:$A,'[1]Tissue Data'!$F:$F)</f>
        <v>Swallowtail Shiner</v>
      </c>
      <c r="E2393" t="str">
        <f>_xlfn.XLOOKUP(A2393,'[1]Tissue Data'!$A:$A,'[1]Tissue Data'!$H:$H)</f>
        <v>Notropis</v>
      </c>
      <c r="F2393" t="str">
        <f>_xlfn.XLOOKUP(A2393,'[1]Tissue Data'!$A:$A,'[1]Tissue Data'!$I:$I)</f>
        <v>procne</v>
      </c>
      <c r="G2393" t="str">
        <f>_xlfn.XLOOKUP(A2393,'[1]Tissue Data'!$A:$A,'[1]Tissue Data'!J:J)</f>
        <v>U</v>
      </c>
      <c r="H2393" t="str">
        <f>_xlfn.XLOOKUP(A2393,'[1]Tissue Data'!$A:$A,'[1]Tissue Data'!K:K)</f>
        <v>Whole Body</v>
      </c>
      <c r="I2393">
        <f>_xlfn.XLOOKUP(A2393,'[1]Tissue Data'!$A:$A,'[1]Tissue Data'!L:L)</f>
        <v>5.5</v>
      </c>
      <c r="J2393">
        <f>_xlfn.XLOOKUP(A2393,'[1]Tissue Data'!$A:$A,'[1]Tissue Data'!M:M)</f>
        <v>2.4500000000000002</v>
      </c>
      <c r="K2393" t="s">
        <v>53</v>
      </c>
      <c r="L2393" t="str">
        <f>_xlfn.XLOOKUP(K2393,[2]analyte_order!$B:$B,[2]analyte_order!$C:$C)</f>
        <v>161094-75-3</v>
      </c>
      <c r="M2393">
        <f>_xlfn.XLOOKUP(L2393,[2]analyte_order!$C:$C,[2]analyte_order!$E:$E)</f>
        <v>44</v>
      </c>
      <c r="N2393">
        <v>5.3999999999999999E-2</v>
      </c>
    </row>
    <row r="2394" spans="1:14">
      <c r="A2394" t="s">
        <v>186</v>
      </c>
      <c r="B2394" t="str">
        <f>_xlfn.XLOOKUP(A2394,'[1]Tissue Data'!$A:$A,'[1]Tissue Data'!$C:$C)</f>
        <v>Spill</v>
      </c>
      <c r="C2394" s="2">
        <f>_xlfn.XLOOKUP(A2394,'[1]Tissue Data'!$A:$A,'[1]Tissue Data'!$D:$D)</f>
        <v>44314</v>
      </c>
      <c r="D2394" s="2" t="str">
        <f>_xlfn.XLOOKUP(A2394,'[1]Tissue Data'!$A:$A,'[1]Tissue Data'!$F:$F)</f>
        <v>Swallowtail Shiner</v>
      </c>
      <c r="E2394" t="str">
        <f>_xlfn.XLOOKUP(A2394,'[1]Tissue Data'!$A:$A,'[1]Tissue Data'!$H:$H)</f>
        <v>Notropis</v>
      </c>
      <c r="F2394" t="str">
        <f>_xlfn.XLOOKUP(A2394,'[1]Tissue Data'!$A:$A,'[1]Tissue Data'!$I:$I)</f>
        <v>procne</v>
      </c>
      <c r="G2394" t="str">
        <f>_xlfn.XLOOKUP(A2394,'[1]Tissue Data'!$A:$A,'[1]Tissue Data'!J:J)</f>
        <v>U</v>
      </c>
      <c r="H2394" t="str">
        <f>_xlfn.XLOOKUP(A2394,'[1]Tissue Data'!$A:$A,'[1]Tissue Data'!K:K)</f>
        <v>Whole Body</v>
      </c>
      <c r="I2394">
        <f>_xlfn.XLOOKUP(A2394,'[1]Tissue Data'!$A:$A,'[1]Tissue Data'!L:L)</f>
        <v>5.5</v>
      </c>
      <c r="J2394">
        <f>_xlfn.XLOOKUP(A2394,'[1]Tissue Data'!$A:$A,'[1]Tissue Data'!M:M)</f>
        <v>2.4500000000000002</v>
      </c>
      <c r="K2394" t="s">
        <v>54</v>
      </c>
      <c r="L2394" t="str">
        <f>_xlfn.XLOOKUP(K2394,[2]analyte_order!$B:$B,[2]analyte_order!$C:$C)</f>
        <v>70887-84-2</v>
      </c>
      <c r="M2394">
        <f>_xlfn.XLOOKUP(L2394,[2]analyte_order!$C:$C,[2]analyte_order!$E:$E)</f>
        <v>45</v>
      </c>
      <c r="N2394">
        <v>4.165E-2</v>
      </c>
    </row>
    <row r="2395" spans="1:14">
      <c r="A2395" t="s">
        <v>186</v>
      </c>
      <c r="B2395" t="str">
        <f>_xlfn.XLOOKUP(A2395,'[1]Tissue Data'!$A:$A,'[1]Tissue Data'!$C:$C)</f>
        <v>Spill</v>
      </c>
      <c r="C2395" s="2">
        <f>_xlfn.XLOOKUP(A2395,'[1]Tissue Data'!$A:$A,'[1]Tissue Data'!$D:$D)</f>
        <v>44314</v>
      </c>
      <c r="D2395" s="2" t="str">
        <f>_xlfn.XLOOKUP(A2395,'[1]Tissue Data'!$A:$A,'[1]Tissue Data'!$F:$F)</f>
        <v>Swallowtail Shiner</v>
      </c>
      <c r="E2395" t="str">
        <f>_xlfn.XLOOKUP(A2395,'[1]Tissue Data'!$A:$A,'[1]Tissue Data'!$H:$H)</f>
        <v>Notropis</v>
      </c>
      <c r="F2395" t="str">
        <f>_xlfn.XLOOKUP(A2395,'[1]Tissue Data'!$A:$A,'[1]Tissue Data'!$I:$I)</f>
        <v>procne</v>
      </c>
      <c r="G2395" t="str">
        <f>_xlfn.XLOOKUP(A2395,'[1]Tissue Data'!$A:$A,'[1]Tissue Data'!J:J)</f>
        <v>U</v>
      </c>
      <c r="H2395" t="str">
        <f>_xlfn.XLOOKUP(A2395,'[1]Tissue Data'!$A:$A,'[1]Tissue Data'!K:K)</f>
        <v>Whole Body</v>
      </c>
      <c r="I2395">
        <f>_xlfn.XLOOKUP(A2395,'[1]Tissue Data'!$A:$A,'[1]Tissue Data'!L:L)</f>
        <v>5.5</v>
      </c>
      <c r="J2395">
        <f>_xlfn.XLOOKUP(A2395,'[1]Tissue Data'!$A:$A,'[1]Tissue Data'!M:M)</f>
        <v>2.4500000000000002</v>
      </c>
      <c r="K2395" t="s">
        <v>55</v>
      </c>
      <c r="L2395" t="str">
        <f>_xlfn.XLOOKUP(K2395,[2]analyte_order!$B:$B,[2]analyte_order!$C:$C)</f>
        <v>919005-14-4</v>
      </c>
      <c r="M2395">
        <f>_xlfn.XLOOKUP(L2395,[2]analyte_order!$C:$C,[2]analyte_order!$E:$E)</f>
        <v>35</v>
      </c>
      <c r="N2395">
        <v>6.9000000000000006E-2</v>
      </c>
    </row>
    <row r="2396" spans="1:14">
      <c r="A2396" t="s">
        <v>186</v>
      </c>
      <c r="B2396" t="str">
        <f>_xlfn.XLOOKUP(A2396,'[1]Tissue Data'!$A:$A,'[1]Tissue Data'!$C:$C)</f>
        <v>Spill</v>
      </c>
      <c r="C2396" s="2">
        <f>_xlfn.XLOOKUP(A2396,'[1]Tissue Data'!$A:$A,'[1]Tissue Data'!$D:$D)</f>
        <v>44314</v>
      </c>
      <c r="D2396" s="2" t="str">
        <f>_xlfn.XLOOKUP(A2396,'[1]Tissue Data'!$A:$A,'[1]Tissue Data'!$F:$F)</f>
        <v>Swallowtail Shiner</v>
      </c>
      <c r="E2396" t="str">
        <f>_xlfn.XLOOKUP(A2396,'[1]Tissue Data'!$A:$A,'[1]Tissue Data'!$H:$H)</f>
        <v>Notropis</v>
      </c>
      <c r="F2396" t="str">
        <f>_xlfn.XLOOKUP(A2396,'[1]Tissue Data'!$A:$A,'[1]Tissue Data'!$I:$I)</f>
        <v>procne</v>
      </c>
      <c r="G2396" t="str">
        <f>_xlfn.XLOOKUP(A2396,'[1]Tissue Data'!$A:$A,'[1]Tissue Data'!J:J)</f>
        <v>U</v>
      </c>
      <c r="H2396" t="str">
        <f>_xlfn.XLOOKUP(A2396,'[1]Tissue Data'!$A:$A,'[1]Tissue Data'!K:K)</f>
        <v>Whole Body</v>
      </c>
      <c r="I2396">
        <f>_xlfn.XLOOKUP(A2396,'[1]Tissue Data'!$A:$A,'[1]Tissue Data'!L:L)</f>
        <v>5.5</v>
      </c>
      <c r="J2396">
        <f>_xlfn.XLOOKUP(A2396,'[1]Tissue Data'!$A:$A,'[1]Tissue Data'!M:M)</f>
        <v>2.4500000000000002</v>
      </c>
      <c r="K2396" t="s">
        <v>56</v>
      </c>
      <c r="L2396" t="str">
        <f>_xlfn.XLOOKUP(K2396,[2]analyte_order!$B:$B,[2]analyte_order!$C:$C)</f>
        <v>756426-58-1</v>
      </c>
      <c r="M2396">
        <f>_xlfn.XLOOKUP(L2396,[2]analyte_order!$C:$C,[2]analyte_order!$E:$E)</f>
        <v>36</v>
      </c>
      <c r="N2396">
        <v>4.7899999999999998E-2</v>
      </c>
    </row>
    <row r="2397" spans="1:14">
      <c r="A2397" t="s">
        <v>186</v>
      </c>
      <c r="B2397" t="str">
        <f>_xlfn.XLOOKUP(A2397,'[1]Tissue Data'!$A:$A,'[1]Tissue Data'!$C:$C)</f>
        <v>Spill</v>
      </c>
      <c r="C2397" s="2">
        <f>_xlfn.XLOOKUP(A2397,'[1]Tissue Data'!$A:$A,'[1]Tissue Data'!$D:$D)</f>
        <v>44314</v>
      </c>
      <c r="D2397" s="2" t="str">
        <f>_xlfn.XLOOKUP(A2397,'[1]Tissue Data'!$A:$A,'[1]Tissue Data'!$F:$F)</f>
        <v>Swallowtail Shiner</v>
      </c>
      <c r="E2397" t="str">
        <f>_xlfn.XLOOKUP(A2397,'[1]Tissue Data'!$A:$A,'[1]Tissue Data'!$H:$H)</f>
        <v>Notropis</v>
      </c>
      <c r="F2397" t="str">
        <f>_xlfn.XLOOKUP(A2397,'[1]Tissue Data'!$A:$A,'[1]Tissue Data'!$I:$I)</f>
        <v>procne</v>
      </c>
      <c r="G2397" t="str">
        <f>_xlfn.XLOOKUP(A2397,'[1]Tissue Data'!$A:$A,'[1]Tissue Data'!J:J)</f>
        <v>U</v>
      </c>
      <c r="H2397" t="str">
        <f>_xlfn.XLOOKUP(A2397,'[1]Tissue Data'!$A:$A,'[1]Tissue Data'!K:K)</f>
        <v>Whole Body</v>
      </c>
      <c r="I2397">
        <f>_xlfn.XLOOKUP(A2397,'[1]Tissue Data'!$A:$A,'[1]Tissue Data'!L:L)</f>
        <v>5.5</v>
      </c>
      <c r="J2397">
        <f>_xlfn.XLOOKUP(A2397,'[1]Tissue Data'!$A:$A,'[1]Tissue Data'!M:M)</f>
        <v>2.4500000000000002</v>
      </c>
      <c r="K2397" t="s">
        <v>57</v>
      </c>
      <c r="L2397" t="str">
        <f>_xlfn.XLOOKUP(K2397,[2]analyte_order!$B:$B,[2]analyte_order!$C:$C)</f>
        <v>763051-92-9</v>
      </c>
      <c r="M2397">
        <f>_xlfn.XLOOKUP(L2397,[2]analyte_order!$C:$C,[2]analyte_order!$E:$E)</f>
        <v>37</v>
      </c>
      <c r="N2397">
        <v>5.3999999999999999E-2</v>
      </c>
    </row>
    <row r="2398" spans="1:14">
      <c r="A2398" t="s">
        <v>186</v>
      </c>
      <c r="B2398" t="str">
        <f>_xlfn.XLOOKUP(A2398,'[1]Tissue Data'!$A:$A,'[1]Tissue Data'!$C:$C)</f>
        <v>Spill</v>
      </c>
      <c r="C2398" s="2">
        <f>_xlfn.XLOOKUP(A2398,'[1]Tissue Data'!$A:$A,'[1]Tissue Data'!$D:$D)</f>
        <v>44314</v>
      </c>
      <c r="D2398" s="2" t="str">
        <f>_xlfn.XLOOKUP(A2398,'[1]Tissue Data'!$A:$A,'[1]Tissue Data'!$F:$F)</f>
        <v>Swallowtail Shiner</v>
      </c>
      <c r="E2398" t="str">
        <f>_xlfn.XLOOKUP(A2398,'[1]Tissue Data'!$A:$A,'[1]Tissue Data'!$H:$H)</f>
        <v>Notropis</v>
      </c>
      <c r="F2398" t="str">
        <f>_xlfn.XLOOKUP(A2398,'[1]Tissue Data'!$A:$A,'[1]Tissue Data'!$I:$I)</f>
        <v>procne</v>
      </c>
      <c r="G2398" t="str">
        <f>_xlfn.XLOOKUP(A2398,'[1]Tissue Data'!$A:$A,'[1]Tissue Data'!J:J)</f>
        <v>U</v>
      </c>
      <c r="H2398" t="str">
        <f>_xlfn.XLOOKUP(A2398,'[1]Tissue Data'!$A:$A,'[1]Tissue Data'!K:K)</f>
        <v>Whole Body</v>
      </c>
      <c r="I2398">
        <f>_xlfn.XLOOKUP(A2398,'[1]Tissue Data'!$A:$A,'[1]Tissue Data'!L:L)</f>
        <v>5.5</v>
      </c>
      <c r="J2398">
        <f>_xlfn.XLOOKUP(A2398,'[1]Tissue Data'!$A:$A,'[1]Tissue Data'!M:M)</f>
        <v>2.4500000000000002</v>
      </c>
      <c r="K2398" t="s">
        <v>58</v>
      </c>
      <c r="L2398" t="str">
        <f>_xlfn.XLOOKUP(K2398,[2]analyte_order!$B:$B,[2]analyte_order!$C:$C)</f>
        <v>13252-13-6</v>
      </c>
      <c r="M2398">
        <f>_xlfn.XLOOKUP(L2398,[2]analyte_order!$C:$C,[2]analyte_order!$E:$E)</f>
        <v>34</v>
      </c>
      <c r="N2398">
        <v>9.9000000000000005E-2</v>
      </c>
    </row>
    <row r="2399" spans="1:14">
      <c r="A2399" t="s">
        <v>186</v>
      </c>
      <c r="B2399" t="str">
        <f>_xlfn.XLOOKUP(A2399,'[1]Tissue Data'!$A:$A,'[1]Tissue Data'!$C:$C)</f>
        <v>Spill</v>
      </c>
      <c r="C2399" s="2">
        <f>_xlfn.XLOOKUP(A2399,'[1]Tissue Data'!$A:$A,'[1]Tissue Data'!$D:$D)</f>
        <v>44314</v>
      </c>
      <c r="D2399" s="2" t="str">
        <f>_xlfn.XLOOKUP(A2399,'[1]Tissue Data'!$A:$A,'[1]Tissue Data'!$F:$F)</f>
        <v>Swallowtail Shiner</v>
      </c>
      <c r="E2399" t="str">
        <f>_xlfn.XLOOKUP(A2399,'[1]Tissue Data'!$A:$A,'[1]Tissue Data'!$H:$H)</f>
        <v>Notropis</v>
      </c>
      <c r="F2399" t="str">
        <f>_xlfn.XLOOKUP(A2399,'[1]Tissue Data'!$A:$A,'[1]Tissue Data'!$I:$I)</f>
        <v>procne</v>
      </c>
      <c r="G2399" t="str">
        <f>_xlfn.XLOOKUP(A2399,'[1]Tissue Data'!$A:$A,'[1]Tissue Data'!J:J)</f>
        <v>U</v>
      </c>
      <c r="H2399" t="str">
        <f>_xlfn.XLOOKUP(A2399,'[1]Tissue Data'!$A:$A,'[1]Tissue Data'!K:K)</f>
        <v>Whole Body</v>
      </c>
      <c r="I2399">
        <f>_xlfn.XLOOKUP(A2399,'[1]Tissue Data'!$A:$A,'[1]Tissue Data'!L:L)</f>
        <v>5.5</v>
      </c>
      <c r="J2399">
        <f>_xlfn.XLOOKUP(A2399,'[1]Tissue Data'!$A:$A,'[1]Tissue Data'!M:M)</f>
        <v>2.4500000000000002</v>
      </c>
      <c r="K2399" t="s">
        <v>59</v>
      </c>
      <c r="L2399" t="str">
        <f>_xlfn.XLOOKUP(K2399,[2]analyte_order!$B:$B,[2]analyte_order!$C:$C)</f>
        <v>57677-95-9</v>
      </c>
      <c r="M2399">
        <f>_xlfn.XLOOKUP(L2399,[2]analyte_order!$C:$C,[2]analyte_order!$E:$E)</f>
        <v>46</v>
      </c>
      <c r="N2399">
        <v>7.3499999999999996E-2</v>
      </c>
    </row>
    <row r="2400" spans="1:14">
      <c r="A2400" t="s">
        <v>186</v>
      </c>
      <c r="B2400" t="str">
        <f>_xlfn.XLOOKUP(A2400,'[1]Tissue Data'!$A:$A,'[1]Tissue Data'!$C:$C)</f>
        <v>Spill</v>
      </c>
      <c r="C2400" s="2">
        <f>_xlfn.XLOOKUP(A2400,'[1]Tissue Data'!$A:$A,'[1]Tissue Data'!$D:$D)</f>
        <v>44314</v>
      </c>
      <c r="D2400" s="2" t="str">
        <f>_xlfn.XLOOKUP(A2400,'[1]Tissue Data'!$A:$A,'[1]Tissue Data'!$F:$F)</f>
        <v>Swallowtail Shiner</v>
      </c>
      <c r="E2400" t="str">
        <f>_xlfn.XLOOKUP(A2400,'[1]Tissue Data'!$A:$A,'[1]Tissue Data'!$H:$H)</f>
        <v>Notropis</v>
      </c>
      <c r="F2400" t="str">
        <f>_xlfn.XLOOKUP(A2400,'[1]Tissue Data'!$A:$A,'[1]Tissue Data'!$I:$I)</f>
        <v>procne</v>
      </c>
      <c r="G2400" t="str">
        <f>_xlfn.XLOOKUP(A2400,'[1]Tissue Data'!$A:$A,'[1]Tissue Data'!J:J)</f>
        <v>U</v>
      </c>
      <c r="H2400" t="str">
        <f>_xlfn.XLOOKUP(A2400,'[1]Tissue Data'!$A:$A,'[1]Tissue Data'!K:K)</f>
        <v>Whole Body</v>
      </c>
      <c r="I2400">
        <f>_xlfn.XLOOKUP(A2400,'[1]Tissue Data'!$A:$A,'[1]Tissue Data'!L:L)</f>
        <v>5.5</v>
      </c>
      <c r="J2400">
        <f>_xlfn.XLOOKUP(A2400,'[1]Tissue Data'!$A:$A,'[1]Tissue Data'!M:M)</f>
        <v>2.4500000000000002</v>
      </c>
      <c r="K2400" t="s">
        <v>60</v>
      </c>
      <c r="L2400" t="str">
        <f>_xlfn.XLOOKUP(K2400,[2]analyte_order!$B:$B,[2]analyte_order!$C:$C)</f>
        <v>678-41-1</v>
      </c>
      <c r="M2400">
        <f>_xlfn.XLOOKUP(L2400,[2]analyte_order!$C:$C,[2]analyte_order!$E:$E)</f>
        <v>56</v>
      </c>
      <c r="N2400">
        <v>9.1499999999999998E-2</v>
      </c>
    </row>
    <row r="2401" spans="1:14">
      <c r="A2401" t="s">
        <v>186</v>
      </c>
      <c r="B2401" t="str">
        <f>_xlfn.XLOOKUP(A2401,'[1]Tissue Data'!$A:$A,'[1]Tissue Data'!$C:$C)</f>
        <v>Spill</v>
      </c>
      <c r="C2401" s="2">
        <f>_xlfn.XLOOKUP(A2401,'[1]Tissue Data'!$A:$A,'[1]Tissue Data'!$D:$D)</f>
        <v>44314</v>
      </c>
      <c r="D2401" s="2" t="str">
        <f>_xlfn.XLOOKUP(A2401,'[1]Tissue Data'!$A:$A,'[1]Tissue Data'!$F:$F)</f>
        <v>Swallowtail Shiner</v>
      </c>
      <c r="E2401" t="str">
        <f>_xlfn.XLOOKUP(A2401,'[1]Tissue Data'!$A:$A,'[1]Tissue Data'!$H:$H)</f>
        <v>Notropis</v>
      </c>
      <c r="F2401" t="str">
        <f>_xlfn.XLOOKUP(A2401,'[1]Tissue Data'!$A:$A,'[1]Tissue Data'!$I:$I)</f>
        <v>procne</v>
      </c>
      <c r="G2401" t="str">
        <f>_xlfn.XLOOKUP(A2401,'[1]Tissue Data'!$A:$A,'[1]Tissue Data'!J:J)</f>
        <v>U</v>
      </c>
      <c r="H2401" t="str">
        <f>_xlfn.XLOOKUP(A2401,'[1]Tissue Data'!$A:$A,'[1]Tissue Data'!K:K)</f>
        <v>Whole Body</v>
      </c>
      <c r="I2401">
        <f>_xlfn.XLOOKUP(A2401,'[1]Tissue Data'!$A:$A,'[1]Tissue Data'!L:L)</f>
        <v>5.5</v>
      </c>
      <c r="J2401">
        <f>_xlfn.XLOOKUP(A2401,'[1]Tissue Data'!$A:$A,'[1]Tissue Data'!M:M)</f>
        <v>2.4500000000000002</v>
      </c>
      <c r="K2401" t="s">
        <v>61</v>
      </c>
      <c r="L2401" t="str">
        <f>_xlfn.XLOOKUP(K2401,[2]analyte_order!$B:$B,[2]analyte_order!$C:$C)</f>
        <v>2965-52-8</v>
      </c>
      <c r="M2401">
        <f>_xlfn.XLOOKUP(L2401,[2]analyte_order!$C:$C,[2]analyte_order!$E:$E)</f>
        <v>57</v>
      </c>
      <c r="N2401">
        <v>0.121</v>
      </c>
    </row>
    <row r="2402" spans="1:14">
      <c r="A2402" t="s">
        <v>187</v>
      </c>
      <c r="B2402" t="str">
        <f>_xlfn.XLOOKUP(A2402,'[1]Tissue Data'!$A:$A,'[1]Tissue Data'!$C:$C)</f>
        <v>Spill</v>
      </c>
      <c r="C2402" s="2">
        <f>_xlfn.XLOOKUP(A2402,'[1]Tissue Data'!$A:$A,'[1]Tissue Data'!$D:$D)</f>
        <v>44314</v>
      </c>
      <c r="D2402" s="2" t="str">
        <f>_xlfn.XLOOKUP(A2402,'[1]Tissue Data'!$A:$A,'[1]Tissue Data'!$F:$F)</f>
        <v>Swallowtail Shiner</v>
      </c>
      <c r="E2402" t="str">
        <f>_xlfn.XLOOKUP(A2402,'[1]Tissue Data'!$A:$A,'[1]Tissue Data'!$H:$H)</f>
        <v>Notropis</v>
      </c>
      <c r="F2402" t="str">
        <f>_xlfn.XLOOKUP(A2402,'[1]Tissue Data'!$A:$A,'[1]Tissue Data'!$I:$I)</f>
        <v>procne</v>
      </c>
      <c r="G2402" t="str">
        <f>_xlfn.XLOOKUP(A2402,'[1]Tissue Data'!$A:$A,'[1]Tissue Data'!J:J)</f>
        <v>U</v>
      </c>
      <c r="H2402" t="str">
        <f>_xlfn.XLOOKUP(A2402,'[1]Tissue Data'!$A:$A,'[1]Tissue Data'!K:K)</f>
        <v>Whole Body</v>
      </c>
      <c r="I2402">
        <f>_xlfn.XLOOKUP(A2402,'[1]Tissue Data'!$A:$A,'[1]Tissue Data'!L:L)</f>
        <v>5.5</v>
      </c>
      <c r="J2402">
        <f>_xlfn.XLOOKUP(A2402,'[1]Tissue Data'!$A:$A,'[1]Tissue Data'!M:M)</f>
        <v>1.95</v>
      </c>
      <c r="K2402" t="s">
        <v>12</v>
      </c>
      <c r="L2402" t="str">
        <f>_xlfn.XLOOKUP(K2402,[2]analyte_order!$B:$B,[2]analyte_order!$C:$C)</f>
        <v>375-22-4</v>
      </c>
      <c r="M2402">
        <f>_xlfn.XLOOKUP(L2402,[2]analyte_order!$C:$C,[2]analyte_order!$E:$E)</f>
        <v>1</v>
      </c>
      <c r="N2402">
        <v>9.4E-2</v>
      </c>
    </row>
    <row r="2403" spans="1:14">
      <c r="A2403" t="s">
        <v>187</v>
      </c>
      <c r="B2403" t="str">
        <f>_xlfn.XLOOKUP(A2403,'[1]Tissue Data'!$A:$A,'[1]Tissue Data'!$C:$C)</f>
        <v>Spill</v>
      </c>
      <c r="C2403" s="2">
        <f>_xlfn.XLOOKUP(A2403,'[1]Tissue Data'!$A:$A,'[1]Tissue Data'!$D:$D)</f>
        <v>44314</v>
      </c>
      <c r="D2403" s="2" t="str">
        <f>_xlfn.XLOOKUP(A2403,'[1]Tissue Data'!$A:$A,'[1]Tissue Data'!$F:$F)</f>
        <v>Swallowtail Shiner</v>
      </c>
      <c r="E2403" t="str">
        <f>_xlfn.XLOOKUP(A2403,'[1]Tissue Data'!$A:$A,'[1]Tissue Data'!$H:$H)</f>
        <v>Notropis</v>
      </c>
      <c r="F2403" t="str">
        <f>_xlfn.XLOOKUP(A2403,'[1]Tissue Data'!$A:$A,'[1]Tissue Data'!$I:$I)</f>
        <v>procne</v>
      </c>
      <c r="G2403" t="str">
        <f>_xlfn.XLOOKUP(A2403,'[1]Tissue Data'!$A:$A,'[1]Tissue Data'!J:J)</f>
        <v>U</v>
      </c>
      <c r="H2403" t="str">
        <f>_xlfn.XLOOKUP(A2403,'[1]Tissue Data'!$A:$A,'[1]Tissue Data'!K:K)</f>
        <v>Whole Body</v>
      </c>
      <c r="I2403">
        <f>_xlfn.XLOOKUP(A2403,'[1]Tissue Data'!$A:$A,'[1]Tissue Data'!L:L)</f>
        <v>5.5</v>
      </c>
      <c r="J2403">
        <f>_xlfn.XLOOKUP(A2403,'[1]Tissue Data'!$A:$A,'[1]Tissue Data'!M:M)</f>
        <v>1.95</v>
      </c>
      <c r="K2403" t="s">
        <v>13</v>
      </c>
      <c r="L2403" t="str">
        <f>_xlfn.XLOOKUP(K2403,[2]analyte_order!$B:$B,[2]analyte_order!$C:$C)</f>
        <v>2706-90-3</v>
      </c>
      <c r="M2403">
        <f>_xlfn.XLOOKUP(L2403,[2]analyte_order!$C:$C,[2]analyte_order!$E:$E)</f>
        <v>2</v>
      </c>
      <c r="N2403">
        <v>5.0500000000000003E-2</v>
      </c>
    </row>
    <row r="2404" spans="1:14">
      <c r="A2404" t="s">
        <v>187</v>
      </c>
      <c r="B2404" t="str">
        <f>_xlfn.XLOOKUP(A2404,'[1]Tissue Data'!$A:$A,'[1]Tissue Data'!$C:$C)</f>
        <v>Spill</v>
      </c>
      <c r="C2404" s="2">
        <f>_xlfn.XLOOKUP(A2404,'[1]Tissue Data'!$A:$A,'[1]Tissue Data'!$D:$D)</f>
        <v>44314</v>
      </c>
      <c r="D2404" s="2" t="str">
        <f>_xlfn.XLOOKUP(A2404,'[1]Tissue Data'!$A:$A,'[1]Tissue Data'!$F:$F)</f>
        <v>Swallowtail Shiner</v>
      </c>
      <c r="E2404" t="str">
        <f>_xlfn.XLOOKUP(A2404,'[1]Tissue Data'!$A:$A,'[1]Tissue Data'!$H:$H)</f>
        <v>Notropis</v>
      </c>
      <c r="F2404" t="str">
        <f>_xlfn.XLOOKUP(A2404,'[1]Tissue Data'!$A:$A,'[1]Tissue Data'!$I:$I)</f>
        <v>procne</v>
      </c>
      <c r="G2404" t="str">
        <f>_xlfn.XLOOKUP(A2404,'[1]Tissue Data'!$A:$A,'[1]Tissue Data'!J:J)</f>
        <v>U</v>
      </c>
      <c r="H2404" t="str">
        <f>_xlfn.XLOOKUP(A2404,'[1]Tissue Data'!$A:$A,'[1]Tissue Data'!K:K)</f>
        <v>Whole Body</v>
      </c>
      <c r="I2404">
        <f>_xlfn.XLOOKUP(A2404,'[1]Tissue Data'!$A:$A,'[1]Tissue Data'!L:L)</f>
        <v>5.5</v>
      </c>
      <c r="J2404">
        <f>_xlfn.XLOOKUP(A2404,'[1]Tissue Data'!$A:$A,'[1]Tissue Data'!M:M)</f>
        <v>1.95</v>
      </c>
      <c r="K2404" t="s">
        <v>14</v>
      </c>
      <c r="L2404" t="str">
        <f>_xlfn.XLOOKUP(K2404,[2]analyte_order!$B:$B,[2]analyte_order!$C:$C)</f>
        <v>307-24-4</v>
      </c>
      <c r="M2404">
        <f>_xlfn.XLOOKUP(L2404,[2]analyte_order!$C:$C,[2]analyte_order!$E:$E)</f>
        <v>3</v>
      </c>
      <c r="N2404">
        <v>0.1265</v>
      </c>
    </row>
    <row r="2405" spans="1:14">
      <c r="A2405" t="s">
        <v>187</v>
      </c>
      <c r="B2405" t="str">
        <f>_xlfn.XLOOKUP(A2405,'[1]Tissue Data'!$A:$A,'[1]Tissue Data'!$C:$C)</f>
        <v>Spill</v>
      </c>
      <c r="C2405" s="2">
        <f>_xlfn.XLOOKUP(A2405,'[1]Tissue Data'!$A:$A,'[1]Tissue Data'!$D:$D)</f>
        <v>44314</v>
      </c>
      <c r="D2405" s="2" t="str">
        <f>_xlfn.XLOOKUP(A2405,'[1]Tissue Data'!$A:$A,'[1]Tissue Data'!$F:$F)</f>
        <v>Swallowtail Shiner</v>
      </c>
      <c r="E2405" t="str">
        <f>_xlfn.XLOOKUP(A2405,'[1]Tissue Data'!$A:$A,'[1]Tissue Data'!$H:$H)</f>
        <v>Notropis</v>
      </c>
      <c r="F2405" t="str">
        <f>_xlfn.XLOOKUP(A2405,'[1]Tissue Data'!$A:$A,'[1]Tissue Data'!$I:$I)</f>
        <v>procne</v>
      </c>
      <c r="G2405" t="str">
        <f>_xlfn.XLOOKUP(A2405,'[1]Tissue Data'!$A:$A,'[1]Tissue Data'!J:J)</f>
        <v>U</v>
      </c>
      <c r="H2405" t="str">
        <f>_xlfn.XLOOKUP(A2405,'[1]Tissue Data'!$A:$A,'[1]Tissue Data'!K:K)</f>
        <v>Whole Body</v>
      </c>
      <c r="I2405">
        <f>_xlfn.XLOOKUP(A2405,'[1]Tissue Data'!$A:$A,'[1]Tissue Data'!L:L)</f>
        <v>5.5</v>
      </c>
      <c r="J2405">
        <f>_xlfn.XLOOKUP(A2405,'[1]Tissue Data'!$A:$A,'[1]Tissue Data'!M:M)</f>
        <v>1.95</v>
      </c>
      <c r="K2405" t="s">
        <v>15</v>
      </c>
      <c r="L2405" t="str">
        <f>_xlfn.XLOOKUP(K2405,[2]analyte_order!$B:$B,[2]analyte_order!$C:$C)</f>
        <v>375-85-9</v>
      </c>
      <c r="M2405">
        <f>_xlfn.XLOOKUP(L2405,[2]analyte_order!$C:$C,[2]analyte_order!$E:$E)</f>
        <v>4</v>
      </c>
      <c r="N2405">
        <v>2.8500000000000001E-2</v>
      </c>
    </row>
    <row r="2406" spans="1:14">
      <c r="A2406" t="s">
        <v>187</v>
      </c>
      <c r="B2406" t="str">
        <f>_xlfn.XLOOKUP(A2406,'[1]Tissue Data'!$A:$A,'[1]Tissue Data'!$C:$C)</f>
        <v>Spill</v>
      </c>
      <c r="C2406" s="2">
        <f>_xlfn.XLOOKUP(A2406,'[1]Tissue Data'!$A:$A,'[1]Tissue Data'!$D:$D)</f>
        <v>44314</v>
      </c>
      <c r="D2406" s="2" t="str">
        <f>_xlfn.XLOOKUP(A2406,'[1]Tissue Data'!$A:$A,'[1]Tissue Data'!$F:$F)</f>
        <v>Swallowtail Shiner</v>
      </c>
      <c r="E2406" t="str">
        <f>_xlfn.XLOOKUP(A2406,'[1]Tissue Data'!$A:$A,'[1]Tissue Data'!$H:$H)</f>
        <v>Notropis</v>
      </c>
      <c r="F2406" t="str">
        <f>_xlfn.XLOOKUP(A2406,'[1]Tissue Data'!$A:$A,'[1]Tissue Data'!$I:$I)</f>
        <v>procne</v>
      </c>
      <c r="G2406" t="str">
        <f>_xlfn.XLOOKUP(A2406,'[1]Tissue Data'!$A:$A,'[1]Tissue Data'!J:J)</f>
        <v>U</v>
      </c>
      <c r="H2406" t="str">
        <f>_xlfn.XLOOKUP(A2406,'[1]Tissue Data'!$A:$A,'[1]Tissue Data'!K:K)</f>
        <v>Whole Body</v>
      </c>
      <c r="I2406">
        <f>_xlfn.XLOOKUP(A2406,'[1]Tissue Data'!$A:$A,'[1]Tissue Data'!L:L)</f>
        <v>5.5</v>
      </c>
      <c r="J2406">
        <f>_xlfn.XLOOKUP(A2406,'[1]Tissue Data'!$A:$A,'[1]Tissue Data'!M:M)</f>
        <v>1.95</v>
      </c>
      <c r="K2406" t="s">
        <v>16</v>
      </c>
      <c r="L2406" t="str">
        <f>_xlfn.XLOOKUP(K2406,[2]analyte_order!$B:$B,[2]analyte_order!$C:$C)</f>
        <v>335-67-1</v>
      </c>
      <c r="M2406">
        <f>_xlfn.XLOOKUP(L2406,[2]analyte_order!$C:$C,[2]analyte_order!$E:$E)</f>
        <v>5</v>
      </c>
      <c r="N2406">
        <v>1.51</v>
      </c>
    </row>
    <row r="2407" spans="1:14">
      <c r="A2407" t="s">
        <v>187</v>
      </c>
      <c r="B2407" t="str">
        <f>_xlfn.XLOOKUP(A2407,'[1]Tissue Data'!$A:$A,'[1]Tissue Data'!$C:$C)</f>
        <v>Spill</v>
      </c>
      <c r="C2407" s="2">
        <f>_xlfn.XLOOKUP(A2407,'[1]Tissue Data'!$A:$A,'[1]Tissue Data'!$D:$D)</f>
        <v>44314</v>
      </c>
      <c r="D2407" s="2" t="str">
        <f>_xlfn.XLOOKUP(A2407,'[1]Tissue Data'!$A:$A,'[1]Tissue Data'!$F:$F)</f>
        <v>Swallowtail Shiner</v>
      </c>
      <c r="E2407" t="str">
        <f>_xlfn.XLOOKUP(A2407,'[1]Tissue Data'!$A:$A,'[1]Tissue Data'!$H:$H)</f>
        <v>Notropis</v>
      </c>
      <c r="F2407" t="str">
        <f>_xlfn.XLOOKUP(A2407,'[1]Tissue Data'!$A:$A,'[1]Tissue Data'!$I:$I)</f>
        <v>procne</v>
      </c>
      <c r="G2407" t="str">
        <f>_xlfn.XLOOKUP(A2407,'[1]Tissue Data'!$A:$A,'[1]Tissue Data'!J:J)</f>
        <v>U</v>
      </c>
      <c r="H2407" t="str">
        <f>_xlfn.XLOOKUP(A2407,'[1]Tissue Data'!$A:$A,'[1]Tissue Data'!K:K)</f>
        <v>Whole Body</v>
      </c>
      <c r="I2407">
        <f>_xlfn.XLOOKUP(A2407,'[1]Tissue Data'!$A:$A,'[1]Tissue Data'!L:L)</f>
        <v>5.5</v>
      </c>
      <c r="J2407">
        <f>_xlfn.XLOOKUP(A2407,'[1]Tissue Data'!$A:$A,'[1]Tissue Data'!M:M)</f>
        <v>1.95</v>
      </c>
      <c r="K2407" t="s">
        <v>17</v>
      </c>
      <c r="L2407" t="str">
        <f>_xlfn.XLOOKUP(K2407,[2]analyte_order!$B:$B,[2]analyte_order!$C:$C)</f>
        <v>375-95-1</v>
      </c>
      <c r="M2407">
        <f>_xlfn.XLOOKUP(L2407,[2]analyte_order!$C:$C,[2]analyte_order!$E:$E)</f>
        <v>6</v>
      </c>
      <c r="N2407">
        <v>4.92</v>
      </c>
    </row>
    <row r="2408" spans="1:14">
      <c r="A2408" t="s">
        <v>187</v>
      </c>
      <c r="B2408" t="str">
        <f>_xlfn.XLOOKUP(A2408,'[1]Tissue Data'!$A:$A,'[1]Tissue Data'!$C:$C)</f>
        <v>Spill</v>
      </c>
      <c r="C2408" s="2">
        <f>_xlfn.XLOOKUP(A2408,'[1]Tissue Data'!$A:$A,'[1]Tissue Data'!$D:$D)</f>
        <v>44314</v>
      </c>
      <c r="D2408" s="2" t="str">
        <f>_xlfn.XLOOKUP(A2408,'[1]Tissue Data'!$A:$A,'[1]Tissue Data'!$F:$F)</f>
        <v>Swallowtail Shiner</v>
      </c>
      <c r="E2408" t="str">
        <f>_xlfn.XLOOKUP(A2408,'[1]Tissue Data'!$A:$A,'[1]Tissue Data'!$H:$H)</f>
        <v>Notropis</v>
      </c>
      <c r="F2408" t="str">
        <f>_xlfn.XLOOKUP(A2408,'[1]Tissue Data'!$A:$A,'[1]Tissue Data'!$I:$I)</f>
        <v>procne</v>
      </c>
      <c r="G2408" t="str">
        <f>_xlfn.XLOOKUP(A2408,'[1]Tissue Data'!$A:$A,'[1]Tissue Data'!J:J)</f>
        <v>U</v>
      </c>
      <c r="H2408" t="str">
        <f>_xlfn.XLOOKUP(A2408,'[1]Tissue Data'!$A:$A,'[1]Tissue Data'!K:K)</f>
        <v>Whole Body</v>
      </c>
      <c r="I2408">
        <f>_xlfn.XLOOKUP(A2408,'[1]Tissue Data'!$A:$A,'[1]Tissue Data'!L:L)</f>
        <v>5.5</v>
      </c>
      <c r="J2408">
        <f>_xlfn.XLOOKUP(A2408,'[1]Tissue Data'!$A:$A,'[1]Tissue Data'!M:M)</f>
        <v>1.95</v>
      </c>
      <c r="K2408" t="s">
        <v>18</v>
      </c>
      <c r="L2408" t="str">
        <f>_xlfn.XLOOKUP(K2408,[2]analyte_order!$B:$B,[2]analyte_order!$C:$C)</f>
        <v>335-76-2</v>
      </c>
      <c r="M2408">
        <f>_xlfn.XLOOKUP(L2408,[2]analyte_order!$C:$C,[2]analyte_order!$E:$E)</f>
        <v>7</v>
      </c>
      <c r="N2408">
        <v>10.8</v>
      </c>
    </row>
    <row r="2409" spans="1:14">
      <c r="A2409" t="s">
        <v>187</v>
      </c>
      <c r="B2409" t="str">
        <f>_xlfn.XLOOKUP(A2409,'[1]Tissue Data'!$A:$A,'[1]Tissue Data'!$C:$C)</f>
        <v>Spill</v>
      </c>
      <c r="C2409" s="2">
        <f>_xlfn.XLOOKUP(A2409,'[1]Tissue Data'!$A:$A,'[1]Tissue Data'!$D:$D)</f>
        <v>44314</v>
      </c>
      <c r="D2409" s="2" t="str">
        <f>_xlfn.XLOOKUP(A2409,'[1]Tissue Data'!$A:$A,'[1]Tissue Data'!$F:$F)</f>
        <v>Swallowtail Shiner</v>
      </c>
      <c r="E2409" t="str">
        <f>_xlfn.XLOOKUP(A2409,'[1]Tissue Data'!$A:$A,'[1]Tissue Data'!$H:$H)</f>
        <v>Notropis</v>
      </c>
      <c r="F2409" t="str">
        <f>_xlfn.XLOOKUP(A2409,'[1]Tissue Data'!$A:$A,'[1]Tissue Data'!$I:$I)</f>
        <v>procne</v>
      </c>
      <c r="G2409" t="str">
        <f>_xlfn.XLOOKUP(A2409,'[1]Tissue Data'!$A:$A,'[1]Tissue Data'!J:J)</f>
        <v>U</v>
      </c>
      <c r="H2409" t="str">
        <f>_xlfn.XLOOKUP(A2409,'[1]Tissue Data'!$A:$A,'[1]Tissue Data'!K:K)</f>
        <v>Whole Body</v>
      </c>
      <c r="I2409">
        <f>_xlfn.XLOOKUP(A2409,'[1]Tissue Data'!$A:$A,'[1]Tissue Data'!L:L)</f>
        <v>5.5</v>
      </c>
      <c r="J2409">
        <f>_xlfn.XLOOKUP(A2409,'[1]Tissue Data'!$A:$A,'[1]Tissue Data'!M:M)</f>
        <v>1.95</v>
      </c>
      <c r="K2409" t="s">
        <v>19</v>
      </c>
      <c r="L2409" t="str">
        <f>_xlfn.XLOOKUP(K2409,[2]analyte_order!$B:$B,[2]analyte_order!$C:$C)</f>
        <v>2058-94-8</v>
      </c>
      <c r="M2409">
        <f>_xlfn.XLOOKUP(L2409,[2]analyte_order!$C:$C,[2]analyte_order!$E:$E)</f>
        <v>8</v>
      </c>
      <c r="N2409">
        <v>19.5</v>
      </c>
    </row>
    <row r="2410" spans="1:14">
      <c r="A2410" t="s">
        <v>187</v>
      </c>
      <c r="B2410" t="str">
        <f>_xlfn.XLOOKUP(A2410,'[1]Tissue Data'!$A:$A,'[1]Tissue Data'!$C:$C)</f>
        <v>Spill</v>
      </c>
      <c r="C2410" s="2">
        <f>_xlfn.XLOOKUP(A2410,'[1]Tissue Data'!$A:$A,'[1]Tissue Data'!$D:$D)</f>
        <v>44314</v>
      </c>
      <c r="D2410" s="2" t="str">
        <f>_xlfn.XLOOKUP(A2410,'[1]Tissue Data'!$A:$A,'[1]Tissue Data'!$F:$F)</f>
        <v>Swallowtail Shiner</v>
      </c>
      <c r="E2410" t="str">
        <f>_xlfn.XLOOKUP(A2410,'[1]Tissue Data'!$A:$A,'[1]Tissue Data'!$H:$H)</f>
        <v>Notropis</v>
      </c>
      <c r="F2410" t="str">
        <f>_xlfn.XLOOKUP(A2410,'[1]Tissue Data'!$A:$A,'[1]Tissue Data'!$I:$I)</f>
        <v>procne</v>
      </c>
      <c r="G2410" t="str">
        <f>_xlfn.XLOOKUP(A2410,'[1]Tissue Data'!$A:$A,'[1]Tissue Data'!J:J)</f>
        <v>U</v>
      </c>
      <c r="H2410" t="str">
        <f>_xlfn.XLOOKUP(A2410,'[1]Tissue Data'!$A:$A,'[1]Tissue Data'!K:K)</f>
        <v>Whole Body</v>
      </c>
      <c r="I2410">
        <f>_xlfn.XLOOKUP(A2410,'[1]Tissue Data'!$A:$A,'[1]Tissue Data'!L:L)</f>
        <v>5.5</v>
      </c>
      <c r="J2410">
        <f>_xlfn.XLOOKUP(A2410,'[1]Tissue Data'!$A:$A,'[1]Tissue Data'!M:M)</f>
        <v>1.95</v>
      </c>
      <c r="K2410" t="s">
        <v>20</v>
      </c>
      <c r="L2410" t="str">
        <f>_xlfn.XLOOKUP(K2410,[2]analyte_order!$B:$B,[2]analyte_order!$C:$C)</f>
        <v>307-55-1</v>
      </c>
      <c r="M2410">
        <f>_xlfn.XLOOKUP(L2410,[2]analyte_order!$C:$C,[2]analyte_order!$E:$E)</f>
        <v>9</v>
      </c>
      <c r="N2410">
        <v>20.3</v>
      </c>
    </row>
    <row r="2411" spans="1:14">
      <c r="A2411" t="s">
        <v>187</v>
      </c>
      <c r="B2411" t="str">
        <f>_xlfn.XLOOKUP(A2411,'[1]Tissue Data'!$A:$A,'[1]Tissue Data'!$C:$C)</f>
        <v>Spill</v>
      </c>
      <c r="C2411" s="2">
        <f>_xlfn.XLOOKUP(A2411,'[1]Tissue Data'!$A:$A,'[1]Tissue Data'!$D:$D)</f>
        <v>44314</v>
      </c>
      <c r="D2411" s="2" t="str">
        <f>_xlfn.XLOOKUP(A2411,'[1]Tissue Data'!$A:$A,'[1]Tissue Data'!$F:$F)</f>
        <v>Swallowtail Shiner</v>
      </c>
      <c r="E2411" t="str">
        <f>_xlfn.XLOOKUP(A2411,'[1]Tissue Data'!$A:$A,'[1]Tissue Data'!$H:$H)</f>
        <v>Notropis</v>
      </c>
      <c r="F2411" t="str">
        <f>_xlfn.XLOOKUP(A2411,'[1]Tissue Data'!$A:$A,'[1]Tissue Data'!$I:$I)</f>
        <v>procne</v>
      </c>
      <c r="G2411" t="str">
        <f>_xlfn.XLOOKUP(A2411,'[1]Tissue Data'!$A:$A,'[1]Tissue Data'!J:J)</f>
        <v>U</v>
      </c>
      <c r="H2411" t="str">
        <f>_xlfn.XLOOKUP(A2411,'[1]Tissue Data'!$A:$A,'[1]Tissue Data'!K:K)</f>
        <v>Whole Body</v>
      </c>
      <c r="I2411">
        <f>_xlfn.XLOOKUP(A2411,'[1]Tissue Data'!$A:$A,'[1]Tissue Data'!L:L)</f>
        <v>5.5</v>
      </c>
      <c r="J2411">
        <f>_xlfn.XLOOKUP(A2411,'[1]Tissue Data'!$A:$A,'[1]Tissue Data'!M:M)</f>
        <v>1.95</v>
      </c>
      <c r="K2411" t="s">
        <v>21</v>
      </c>
      <c r="L2411" t="str">
        <f>_xlfn.XLOOKUP(K2411,[2]analyte_order!$B:$B,[2]analyte_order!$C:$C)</f>
        <v>72629-94-8</v>
      </c>
      <c r="M2411">
        <f>_xlfn.XLOOKUP(L2411,[2]analyte_order!$C:$C,[2]analyte_order!$E:$E)</f>
        <v>10</v>
      </c>
      <c r="N2411">
        <v>5.87</v>
      </c>
    </row>
    <row r="2412" spans="1:14">
      <c r="A2412" t="s">
        <v>187</v>
      </c>
      <c r="B2412" t="str">
        <f>_xlfn.XLOOKUP(A2412,'[1]Tissue Data'!$A:$A,'[1]Tissue Data'!$C:$C)</f>
        <v>Spill</v>
      </c>
      <c r="C2412" s="2">
        <f>_xlfn.XLOOKUP(A2412,'[1]Tissue Data'!$A:$A,'[1]Tissue Data'!$D:$D)</f>
        <v>44314</v>
      </c>
      <c r="D2412" s="2" t="str">
        <f>_xlfn.XLOOKUP(A2412,'[1]Tissue Data'!$A:$A,'[1]Tissue Data'!$F:$F)</f>
        <v>Swallowtail Shiner</v>
      </c>
      <c r="E2412" t="str">
        <f>_xlfn.XLOOKUP(A2412,'[1]Tissue Data'!$A:$A,'[1]Tissue Data'!$H:$H)</f>
        <v>Notropis</v>
      </c>
      <c r="F2412" t="str">
        <f>_xlfn.XLOOKUP(A2412,'[1]Tissue Data'!$A:$A,'[1]Tissue Data'!$I:$I)</f>
        <v>procne</v>
      </c>
      <c r="G2412" t="str">
        <f>_xlfn.XLOOKUP(A2412,'[1]Tissue Data'!$A:$A,'[1]Tissue Data'!J:J)</f>
        <v>U</v>
      </c>
      <c r="H2412" t="str">
        <f>_xlfn.XLOOKUP(A2412,'[1]Tissue Data'!$A:$A,'[1]Tissue Data'!K:K)</f>
        <v>Whole Body</v>
      </c>
      <c r="I2412">
        <f>_xlfn.XLOOKUP(A2412,'[1]Tissue Data'!$A:$A,'[1]Tissue Data'!L:L)</f>
        <v>5.5</v>
      </c>
      <c r="J2412">
        <f>_xlfn.XLOOKUP(A2412,'[1]Tissue Data'!$A:$A,'[1]Tissue Data'!M:M)</f>
        <v>1.95</v>
      </c>
      <c r="K2412" t="s">
        <v>22</v>
      </c>
      <c r="L2412" t="str">
        <f>_xlfn.XLOOKUP(K2412,[2]analyte_order!$B:$B,[2]analyte_order!$C:$C)</f>
        <v>376-06-7</v>
      </c>
      <c r="M2412">
        <f>_xlfn.XLOOKUP(L2412,[2]analyte_order!$C:$C,[2]analyte_order!$E:$E)</f>
        <v>11</v>
      </c>
      <c r="N2412">
        <v>9.0299999999999994</v>
      </c>
    </row>
    <row r="2413" spans="1:14">
      <c r="A2413" t="s">
        <v>187</v>
      </c>
      <c r="B2413" t="str">
        <f>_xlfn.XLOOKUP(A2413,'[1]Tissue Data'!$A:$A,'[1]Tissue Data'!$C:$C)</f>
        <v>Spill</v>
      </c>
      <c r="C2413" s="2">
        <f>_xlfn.XLOOKUP(A2413,'[1]Tissue Data'!$A:$A,'[1]Tissue Data'!$D:$D)</f>
        <v>44314</v>
      </c>
      <c r="D2413" s="2" t="str">
        <f>_xlfn.XLOOKUP(A2413,'[1]Tissue Data'!$A:$A,'[1]Tissue Data'!$F:$F)</f>
        <v>Swallowtail Shiner</v>
      </c>
      <c r="E2413" t="str">
        <f>_xlfn.XLOOKUP(A2413,'[1]Tissue Data'!$A:$A,'[1]Tissue Data'!$H:$H)</f>
        <v>Notropis</v>
      </c>
      <c r="F2413" t="str">
        <f>_xlfn.XLOOKUP(A2413,'[1]Tissue Data'!$A:$A,'[1]Tissue Data'!$I:$I)</f>
        <v>procne</v>
      </c>
      <c r="G2413" t="str">
        <f>_xlfn.XLOOKUP(A2413,'[1]Tissue Data'!$A:$A,'[1]Tissue Data'!J:J)</f>
        <v>U</v>
      </c>
      <c r="H2413" t="str">
        <f>_xlfn.XLOOKUP(A2413,'[1]Tissue Data'!$A:$A,'[1]Tissue Data'!K:K)</f>
        <v>Whole Body</v>
      </c>
      <c r="I2413">
        <f>_xlfn.XLOOKUP(A2413,'[1]Tissue Data'!$A:$A,'[1]Tissue Data'!L:L)</f>
        <v>5.5</v>
      </c>
      <c r="J2413">
        <f>_xlfn.XLOOKUP(A2413,'[1]Tissue Data'!$A:$A,'[1]Tissue Data'!M:M)</f>
        <v>1.95</v>
      </c>
      <c r="K2413" t="s">
        <v>23</v>
      </c>
      <c r="L2413" t="str">
        <f>_xlfn.XLOOKUP(K2413,[2]analyte_order!$B:$B,[2]analyte_order!$C:$C)</f>
        <v>67905-19-5</v>
      </c>
      <c r="M2413">
        <f>_xlfn.XLOOKUP(L2413,[2]analyte_order!$C:$C,[2]analyte_order!$E:$E)</f>
        <v>12</v>
      </c>
      <c r="N2413">
        <v>8.4500000000000006E-2</v>
      </c>
    </row>
    <row r="2414" spans="1:14">
      <c r="A2414" t="s">
        <v>187</v>
      </c>
      <c r="B2414" t="str">
        <f>_xlfn.XLOOKUP(A2414,'[1]Tissue Data'!$A:$A,'[1]Tissue Data'!$C:$C)</f>
        <v>Spill</v>
      </c>
      <c r="C2414" s="2">
        <f>_xlfn.XLOOKUP(A2414,'[1]Tissue Data'!$A:$A,'[1]Tissue Data'!$D:$D)</f>
        <v>44314</v>
      </c>
      <c r="D2414" s="2" t="str">
        <f>_xlfn.XLOOKUP(A2414,'[1]Tissue Data'!$A:$A,'[1]Tissue Data'!$F:$F)</f>
        <v>Swallowtail Shiner</v>
      </c>
      <c r="E2414" t="str">
        <f>_xlfn.XLOOKUP(A2414,'[1]Tissue Data'!$A:$A,'[1]Tissue Data'!$H:$H)</f>
        <v>Notropis</v>
      </c>
      <c r="F2414" t="str">
        <f>_xlfn.XLOOKUP(A2414,'[1]Tissue Data'!$A:$A,'[1]Tissue Data'!$I:$I)</f>
        <v>procne</v>
      </c>
      <c r="G2414" t="str">
        <f>_xlfn.XLOOKUP(A2414,'[1]Tissue Data'!$A:$A,'[1]Tissue Data'!J:J)</f>
        <v>U</v>
      </c>
      <c r="H2414" t="str">
        <f>_xlfn.XLOOKUP(A2414,'[1]Tissue Data'!$A:$A,'[1]Tissue Data'!K:K)</f>
        <v>Whole Body</v>
      </c>
      <c r="I2414">
        <f>_xlfn.XLOOKUP(A2414,'[1]Tissue Data'!$A:$A,'[1]Tissue Data'!L:L)</f>
        <v>5.5</v>
      </c>
      <c r="J2414">
        <f>_xlfn.XLOOKUP(A2414,'[1]Tissue Data'!$A:$A,'[1]Tissue Data'!M:M)</f>
        <v>1.95</v>
      </c>
      <c r="K2414" t="s">
        <v>24</v>
      </c>
      <c r="L2414" t="str">
        <f>_xlfn.XLOOKUP(K2414,[2]analyte_order!$B:$B,[2]analyte_order!$C:$C)</f>
        <v>423-41-6</v>
      </c>
      <c r="M2414">
        <f>_xlfn.XLOOKUP(L2414,[2]analyte_order!$C:$C,[2]analyte_order!$E:$E)</f>
        <v>53</v>
      </c>
      <c r="N2414">
        <v>5.3999999999999999E-2</v>
      </c>
    </row>
    <row r="2415" spans="1:14">
      <c r="A2415" t="s">
        <v>187</v>
      </c>
      <c r="B2415" t="str">
        <f>_xlfn.XLOOKUP(A2415,'[1]Tissue Data'!$A:$A,'[1]Tissue Data'!$C:$C)</f>
        <v>Spill</v>
      </c>
      <c r="C2415" s="2">
        <f>_xlfn.XLOOKUP(A2415,'[1]Tissue Data'!$A:$A,'[1]Tissue Data'!$D:$D)</f>
        <v>44314</v>
      </c>
      <c r="D2415" s="2" t="str">
        <f>_xlfn.XLOOKUP(A2415,'[1]Tissue Data'!$A:$A,'[1]Tissue Data'!$F:$F)</f>
        <v>Swallowtail Shiner</v>
      </c>
      <c r="E2415" t="str">
        <f>_xlfn.XLOOKUP(A2415,'[1]Tissue Data'!$A:$A,'[1]Tissue Data'!$H:$H)</f>
        <v>Notropis</v>
      </c>
      <c r="F2415" t="str">
        <f>_xlfn.XLOOKUP(A2415,'[1]Tissue Data'!$A:$A,'[1]Tissue Data'!$I:$I)</f>
        <v>procne</v>
      </c>
      <c r="G2415" t="str">
        <f>_xlfn.XLOOKUP(A2415,'[1]Tissue Data'!$A:$A,'[1]Tissue Data'!J:J)</f>
        <v>U</v>
      </c>
      <c r="H2415" t="str">
        <f>_xlfn.XLOOKUP(A2415,'[1]Tissue Data'!$A:$A,'[1]Tissue Data'!K:K)</f>
        <v>Whole Body</v>
      </c>
      <c r="I2415">
        <f>_xlfn.XLOOKUP(A2415,'[1]Tissue Data'!$A:$A,'[1]Tissue Data'!L:L)</f>
        <v>5.5</v>
      </c>
      <c r="J2415">
        <f>_xlfn.XLOOKUP(A2415,'[1]Tissue Data'!$A:$A,'[1]Tissue Data'!M:M)</f>
        <v>1.95</v>
      </c>
      <c r="K2415" t="s">
        <v>25</v>
      </c>
      <c r="L2415" t="str">
        <f>_xlfn.XLOOKUP(K2415,[2]analyte_order!$B:$B,[2]analyte_order!$C:$C)</f>
        <v>375-73-5</v>
      </c>
      <c r="M2415">
        <f>_xlfn.XLOOKUP(L2415,[2]analyte_order!$C:$C,[2]analyte_order!$E:$E)</f>
        <v>14</v>
      </c>
      <c r="N2415">
        <v>0.1595</v>
      </c>
    </row>
    <row r="2416" spans="1:14">
      <c r="A2416" t="s">
        <v>187</v>
      </c>
      <c r="B2416" t="str">
        <f>_xlfn.XLOOKUP(A2416,'[1]Tissue Data'!$A:$A,'[1]Tissue Data'!$C:$C)</f>
        <v>Spill</v>
      </c>
      <c r="C2416" s="2">
        <f>_xlfn.XLOOKUP(A2416,'[1]Tissue Data'!$A:$A,'[1]Tissue Data'!$D:$D)</f>
        <v>44314</v>
      </c>
      <c r="D2416" s="2" t="str">
        <f>_xlfn.XLOOKUP(A2416,'[1]Tissue Data'!$A:$A,'[1]Tissue Data'!$F:$F)</f>
        <v>Swallowtail Shiner</v>
      </c>
      <c r="E2416" t="str">
        <f>_xlfn.XLOOKUP(A2416,'[1]Tissue Data'!$A:$A,'[1]Tissue Data'!$H:$H)</f>
        <v>Notropis</v>
      </c>
      <c r="F2416" t="str">
        <f>_xlfn.XLOOKUP(A2416,'[1]Tissue Data'!$A:$A,'[1]Tissue Data'!$I:$I)</f>
        <v>procne</v>
      </c>
      <c r="G2416" t="str">
        <f>_xlfn.XLOOKUP(A2416,'[1]Tissue Data'!$A:$A,'[1]Tissue Data'!J:J)</f>
        <v>U</v>
      </c>
      <c r="H2416" t="str">
        <f>_xlfn.XLOOKUP(A2416,'[1]Tissue Data'!$A:$A,'[1]Tissue Data'!K:K)</f>
        <v>Whole Body</v>
      </c>
      <c r="I2416">
        <f>_xlfn.XLOOKUP(A2416,'[1]Tissue Data'!$A:$A,'[1]Tissue Data'!L:L)</f>
        <v>5.5</v>
      </c>
      <c r="J2416">
        <f>_xlfn.XLOOKUP(A2416,'[1]Tissue Data'!$A:$A,'[1]Tissue Data'!M:M)</f>
        <v>1.95</v>
      </c>
      <c r="K2416" t="s">
        <v>26</v>
      </c>
      <c r="L2416" t="str">
        <f>_xlfn.XLOOKUP(K2416,[2]analyte_order!$B:$B,[2]analyte_order!$C:$C)</f>
        <v>2706-91-4</v>
      </c>
      <c r="M2416">
        <f>_xlfn.XLOOKUP(L2416,[2]analyte_order!$C:$C,[2]analyte_order!$E:$E)</f>
        <v>15</v>
      </c>
      <c r="N2416">
        <v>0.98599999999999999</v>
      </c>
    </row>
    <row r="2417" spans="1:14">
      <c r="A2417" t="s">
        <v>187</v>
      </c>
      <c r="B2417" t="str">
        <f>_xlfn.XLOOKUP(A2417,'[1]Tissue Data'!$A:$A,'[1]Tissue Data'!$C:$C)</f>
        <v>Spill</v>
      </c>
      <c r="C2417" s="2">
        <f>_xlfn.XLOOKUP(A2417,'[1]Tissue Data'!$A:$A,'[1]Tissue Data'!$D:$D)</f>
        <v>44314</v>
      </c>
      <c r="D2417" s="2" t="str">
        <f>_xlfn.XLOOKUP(A2417,'[1]Tissue Data'!$A:$A,'[1]Tissue Data'!$F:$F)</f>
        <v>Swallowtail Shiner</v>
      </c>
      <c r="E2417" t="str">
        <f>_xlfn.XLOOKUP(A2417,'[1]Tissue Data'!$A:$A,'[1]Tissue Data'!$H:$H)</f>
        <v>Notropis</v>
      </c>
      <c r="F2417" t="str">
        <f>_xlfn.XLOOKUP(A2417,'[1]Tissue Data'!$A:$A,'[1]Tissue Data'!$I:$I)</f>
        <v>procne</v>
      </c>
      <c r="G2417" t="str">
        <f>_xlfn.XLOOKUP(A2417,'[1]Tissue Data'!$A:$A,'[1]Tissue Data'!J:J)</f>
        <v>U</v>
      </c>
      <c r="H2417" t="str">
        <f>_xlfn.XLOOKUP(A2417,'[1]Tissue Data'!$A:$A,'[1]Tissue Data'!K:K)</f>
        <v>Whole Body</v>
      </c>
      <c r="I2417">
        <f>_xlfn.XLOOKUP(A2417,'[1]Tissue Data'!$A:$A,'[1]Tissue Data'!L:L)</f>
        <v>5.5</v>
      </c>
      <c r="J2417">
        <f>_xlfn.XLOOKUP(A2417,'[1]Tissue Data'!$A:$A,'[1]Tissue Data'!M:M)</f>
        <v>1.95</v>
      </c>
      <c r="K2417" t="s">
        <v>27</v>
      </c>
      <c r="L2417" t="str">
        <f>_xlfn.XLOOKUP(K2417,[2]analyte_order!$B:$B,[2]analyte_order!$C:$C)</f>
        <v>355-46-4</v>
      </c>
      <c r="M2417">
        <f>_xlfn.XLOOKUP(L2417,[2]analyte_order!$C:$C,[2]analyte_order!$E:$E)</f>
        <v>16</v>
      </c>
      <c r="N2417">
        <v>46.5</v>
      </c>
    </row>
    <row r="2418" spans="1:14">
      <c r="A2418" t="s">
        <v>187</v>
      </c>
      <c r="B2418" t="str">
        <f>_xlfn.XLOOKUP(A2418,'[1]Tissue Data'!$A:$A,'[1]Tissue Data'!$C:$C)</f>
        <v>Spill</v>
      </c>
      <c r="C2418" s="2">
        <f>_xlfn.XLOOKUP(A2418,'[1]Tissue Data'!$A:$A,'[1]Tissue Data'!$D:$D)</f>
        <v>44314</v>
      </c>
      <c r="D2418" s="2" t="str">
        <f>_xlfn.XLOOKUP(A2418,'[1]Tissue Data'!$A:$A,'[1]Tissue Data'!$F:$F)</f>
        <v>Swallowtail Shiner</v>
      </c>
      <c r="E2418" t="str">
        <f>_xlfn.XLOOKUP(A2418,'[1]Tissue Data'!$A:$A,'[1]Tissue Data'!$H:$H)</f>
        <v>Notropis</v>
      </c>
      <c r="F2418" t="str">
        <f>_xlfn.XLOOKUP(A2418,'[1]Tissue Data'!$A:$A,'[1]Tissue Data'!$I:$I)</f>
        <v>procne</v>
      </c>
      <c r="G2418" t="str">
        <f>_xlfn.XLOOKUP(A2418,'[1]Tissue Data'!$A:$A,'[1]Tissue Data'!J:J)</f>
        <v>U</v>
      </c>
      <c r="H2418" t="str">
        <f>_xlfn.XLOOKUP(A2418,'[1]Tissue Data'!$A:$A,'[1]Tissue Data'!K:K)</f>
        <v>Whole Body</v>
      </c>
      <c r="I2418">
        <f>_xlfn.XLOOKUP(A2418,'[1]Tissue Data'!$A:$A,'[1]Tissue Data'!L:L)</f>
        <v>5.5</v>
      </c>
      <c r="J2418">
        <f>_xlfn.XLOOKUP(A2418,'[1]Tissue Data'!$A:$A,'[1]Tissue Data'!M:M)</f>
        <v>1.95</v>
      </c>
      <c r="K2418" t="s">
        <v>28</v>
      </c>
      <c r="L2418" t="str">
        <f>_xlfn.XLOOKUP(K2418,[2]analyte_order!$B:$B,[2]analyte_order!$C:$C)</f>
        <v>375-92-8</v>
      </c>
      <c r="M2418">
        <f>_xlfn.XLOOKUP(L2418,[2]analyte_order!$C:$C,[2]analyte_order!$E:$E)</f>
        <v>17</v>
      </c>
      <c r="N2418">
        <v>6.04</v>
      </c>
    </row>
    <row r="2419" spans="1:14">
      <c r="A2419" t="s">
        <v>187</v>
      </c>
      <c r="B2419" t="str">
        <f>_xlfn.XLOOKUP(A2419,'[1]Tissue Data'!$A:$A,'[1]Tissue Data'!$C:$C)</f>
        <v>Spill</v>
      </c>
      <c r="C2419" s="2">
        <f>_xlfn.XLOOKUP(A2419,'[1]Tissue Data'!$A:$A,'[1]Tissue Data'!$D:$D)</f>
        <v>44314</v>
      </c>
      <c r="D2419" s="2" t="str">
        <f>_xlfn.XLOOKUP(A2419,'[1]Tissue Data'!$A:$A,'[1]Tissue Data'!$F:$F)</f>
        <v>Swallowtail Shiner</v>
      </c>
      <c r="E2419" t="str">
        <f>_xlfn.XLOOKUP(A2419,'[1]Tissue Data'!$A:$A,'[1]Tissue Data'!$H:$H)</f>
        <v>Notropis</v>
      </c>
      <c r="F2419" t="str">
        <f>_xlfn.XLOOKUP(A2419,'[1]Tissue Data'!$A:$A,'[1]Tissue Data'!$I:$I)</f>
        <v>procne</v>
      </c>
      <c r="G2419" t="str">
        <f>_xlfn.XLOOKUP(A2419,'[1]Tissue Data'!$A:$A,'[1]Tissue Data'!J:J)</f>
        <v>U</v>
      </c>
      <c r="H2419" t="str">
        <f>_xlfn.XLOOKUP(A2419,'[1]Tissue Data'!$A:$A,'[1]Tissue Data'!K:K)</f>
        <v>Whole Body</v>
      </c>
      <c r="I2419">
        <f>_xlfn.XLOOKUP(A2419,'[1]Tissue Data'!$A:$A,'[1]Tissue Data'!L:L)</f>
        <v>5.5</v>
      </c>
      <c r="J2419">
        <f>_xlfn.XLOOKUP(A2419,'[1]Tissue Data'!$A:$A,'[1]Tissue Data'!M:M)</f>
        <v>1.95</v>
      </c>
      <c r="K2419" t="s">
        <v>29</v>
      </c>
      <c r="L2419" t="str">
        <f>_xlfn.XLOOKUP(K2419,[2]analyte_order!$B:$B,[2]analyte_order!$C:$C)</f>
        <v>1763-23-1</v>
      </c>
      <c r="M2419">
        <f>_xlfn.XLOOKUP(L2419,[2]analyte_order!$C:$C,[2]analyte_order!$E:$E)</f>
        <v>18</v>
      </c>
      <c r="N2419">
        <v>959</v>
      </c>
    </row>
    <row r="2420" spans="1:14">
      <c r="A2420" t="s">
        <v>187</v>
      </c>
      <c r="B2420" t="str">
        <f>_xlfn.XLOOKUP(A2420,'[1]Tissue Data'!$A:$A,'[1]Tissue Data'!$C:$C)</f>
        <v>Spill</v>
      </c>
      <c r="C2420" s="2">
        <f>_xlfn.XLOOKUP(A2420,'[1]Tissue Data'!$A:$A,'[1]Tissue Data'!$D:$D)</f>
        <v>44314</v>
      </c>
      <c r="D2420" s="2" t="str">
        <f>_xlfn.XLOOKUP(A2420,'[1]Tissue Data'!$A:$A,'[1]Tissue Data'!$F:$F)</f>
        <v>Swallowtail Shiner</v>
      </c>
      <c r="E2420" t="str">
        <f>_xlfn.XLOOKUP(A2420,'[1]Tissue Data'!$A:$A,'[1]Tissue Data'!$H:$H)</f>
        <v>Notropis</v>
      </c>
      <c r="F2420" t="str">
        <f>_xlfn.XLOOKUP(A2420,'[1]Tissue Data'!$A:$A,'[1]Tissue Data'!$I:$I)</f>
        <v>procne</v>
      </c>
      <c r="G2420" t="str">
        <f>_xlfn.XLOOKUP(A2420,'[1]Tissue Data'!$A:$A,'[1]Tissue Data'!J:J)</f>
        <v>U</v>
      </c>
      <c r="H2420" t="str">
        <f>_xlfn.XLOOKUP(A2420,'[1]Tissue Data'!$A:$A,'[1]Tissue Data'!K:K)</f>
        <v>Whole Body</v>
      </c>
      <c r="I2420">
        <f>_xlfn.XLOOKUP(A2420,'[1]Tissue Data'!$A:$A,'[1]Tissue Data'!L:L)</f>
        <v>5.5</v>
      </c>
      <c r="J2420">
        <f>_xlfn.XLOOKUP(A2420,'[1]Tissue Data'!$A:$A,'[1]Tissue Data'!M:M)</f>
        <v>1.95</v>
      </c>
      <c r="K2420" t="s">
        <v>30</v>
      </c>
      <c r="L2420" t="str">
        <f>_xlfn.XLOOKUP(K2420,[2]analyte_order!$B:$B,[2]analyte_order!$C:$C)</f>
        <v>68259-12-1</v>
      </c>
      <c r="M2420">
        <f>_xlfn.XLOOKUP(L2420,[2]analyte_order!$C:$C,[2]analyte_order!$E:$E)</f>
        <v>19</v>
      </c>
      <c r="N2420">
        <v>0.73299999999999998</v>
      </c>
    </row>
    <row r="2421" spans="1:14">
      <c r="A2421" t="s">
        <v>187</v>
      </c>
      <c r="B2421" t="str">
        <f>_xlfn.XLOOKUP(A2421,'[1]Tissue Data'!$A:$A,'[1]Tissue Data'!$C:$C)</f>
        <v>Spill</v>
      </c>
      <c r="C2421" s="2">
        <f>_xlfn.XLOOKUP(A2421,'[1]Tissue Data'!$A:$A,'[1]Tissue Data'!$D:$D)</f>
        <v>44314</v>
      </c>
      <c r="D2421" s="2" t="str">
        <f>_xlfn.XLOOKUP(A2421,'[1]Tissue Data'!$A:$A,'[1]Tissue Data'!$F:$F)</f>
        <v>Swallowtail Shiner</v>
      </c>
      <c r="E2421" t="str">
        <f>_xlfn.XLOOKUP(A2421,'[1]Tissue Data'!$A:$A,'[1]Tissue Data'!$H:$H)</f>
        <v>Notropis</v>
      </c>
      <c r="F2421" t="str">
        <f>_xlfn.XLOOKUP(A2421,'[1]Tissue Data'!$A:$A,'[1]Tissue Data'!$I:$I)</f>
        <v>procne</v>
      </c>
      <c r="G2421" t="str">
        <f>_xlfn.XLOOKUP(A2421,'[1]Tissue Data'!$A:$A,'[1]Tissue Data'!J:J)</f>
        <v>U</v>
      </c>
      <c r="H2421" t="str">
        <f>_xlfn.XLOOKUP(A2421,'[1]Tissue Data'!$A:$A,'[1]Tissue Data'!K:K)</f>
        <v>Whole Body</v>
      </c>
      <c r="I2421">
        <f>_xlfn.XLOOKUP(A2421,'[1]Tissue Data'!$A:$A,'[1]Tissue Data'!L:L)</f>
        <v>5.5</v>
      </c>
      <c r="J2421">
        <f>_xlfn.XLOOKUP(A2421,'[1]Tissue Data'!$A:$A,'[1]Tissue Data'!M:M)</f>
        <v>1.95</v>
      </c>
      <c r="K2421" t="s">
        <v>31</v>
      </c>
      <c r="L2421" t="str">
        <f>_xlfn.XLOOKUP(K2421,[2]analyte_order!$B:$B,[2]analyte_order!$C:$C)</f>
        <v>335-77-3</v>
      </c>
      <c r="M2421">
        <f>_xlfn.XLOOKUP(L2421,[2]analyte_order!$C:$C,[2]analyte_order!$E:$E)</f>
        <v>20</v>
      </c>
      <c r="N2421">
        <v>3.85</v>
      </c>
    </row>
    <row r="2422" spans="1:14">
      <c r="A2422" t="s">
        <v>187</v>
      </c>
      <c r="B2422" t="str">
        <f>_xlfn.XLOOKUP(A2422,'[1]Tissue Data'!$A:$A,'[1]Tissue Data'!$C:$C)</f>
        <v>Spill</v>
      </c>
      <c r="C2422" s="2">
        <f>_xlfn.XLOOKUP(A2422,'[1]Tissue Data'!$A:$A,'[1]Tissue Data'!$D:$D)</f>
        <v>44314</v>
      </c>
      <c r="D2422" s="2" t="str">
        <f>_xlfn.XLOOKUP(A2422,'[1]Tissue Data'!$A:$A,'[1]Tissue Data'!$F:$F)</f>
        <v>Swallowtail Shiner</v>
      </c>
      <c r="E2422" t="str">
        <f>_xlfn.XLOOKUP(A2422,'[1]Tissue Data'!$A:$A,'[1]Tissue Data'!$H:$H)</f>
        <v>Notropis</v>
      </c>
      <c r="F2422" t="str">
        <f>_xlfn.XLOOKUP(A2422,'[1]Tissue Data'!$A:$A,'[1]Tissue Data'!$I:$I)</f>
        <v>procne</v>
      </c>
      <c r="G2422" t="str">
        <f>_xlfn.XLOOKUP(A2422,'[1]Tissue Data'!$A:$A,'[1]Tissue Data'!J:J)</f>
        <v>U</v>
      </c>
      <c r="H2422" t="str">
        <f>_xlfn.XLOOKUP(A2422,'[1]Tissue Data'!$A:$A,'[1]Tissue Data'!K:K)</f>
        <v>Whole Body</v>
      </c>
      <c r="I2422">
        <f>_xlfn.XLOOKUP(A2422,'[1]Tissue Data'!$A:$A,'[1]Tissue Data'!L:L)</f>
        <v>5.5</v>
      </c>
      <c r="J2422">
        <f>_xlfn.XLOOKUP(A2422,'[1]Tissue Data'!$A:$A,'[1]Tissue Data'!M:M)</f>
        <v>1.95</v>
      </c>
      <c r="K2422" t="s">
        <v>32</v>
      </c>
      <c r="L2422" t="str">
        <f>_xlfn.XLOOKUP(K2422,[2]analyte_order!$B:$B,[2]analyte_order!$C:$C)</f>
        <v>79780-39-5</v>
      </c>
      <c r="M2422">
        <f>_xlfn.XLOOKUP(L2422,[2]analyte_order!$C:$C,[2]analyte_order!$E:$E)</f>
        <v>21</v>
      </c>
      <c r="N2422">
        <v>0.55600000000000005</v>
      </c>
    </row>
    <row r="2423" spans="1:14">
      <c r="A2423" t="s">
        <v>187</v>
      </c>
      <c r="B2423" t="str">
        <f>_xlfn.XLOOKUP(A2423,'[1]Tissue Data'!$A:$A,'[1]Tissue Data'!$C:$C)</f>
        <v>Spill</v>
      </c>
      <c r="C2423" s="2">
        <f>_xlfn.XLOOKUP(A2423,'[1]Tissue Data'!$A:$A,'[1]Tissue Data'!$D:$D)</f>
        <v>44314</v>
      </c>
      <c r="D2423" s="2" t="str">
        <f>_xlfn.XLOOKUP(A2423,'[1]Tissue Data'!$A:$A,'[1]Tissue Data'!$F:$F)</f>
        <v>Swallowtail Shiner</v>
      </c>
      <c r="E2423" t="str">
        <f>_xlfn.XLOOKUP(A2423,'[1]Tissue Data'!$A:$A,'[1]Tissue Data'!$H:$H)</f>
        <v>Notropis</v>
      </c>
      <c r="F2423" t="str">
        <f>_xlfn.XLOOKUP(A2423,'[1]Tissue Data'!$A:$A,'[1]Tissue Data'!$I:$I)</f>
        <v>procne</v>
      </c>
      <c r="G2423" t="str">
        <f>_xlfn.XLOOKUP(A2423,'[1]Tissue Data'!$A:$A,'[1]Tissue Data'!J:J)</f>
        <v>U</v>
      </c>
      <c r="H2423" t="str">
        <f>_xlfn.XLOOKUP(A2423,'[1]Tissue Data'!$A:$A,'[1]Tissue Data'!K:K)</f>
        <v>Whole Body</v>
      </c>
      <c r="I2423">
        <f>_xlfn.XLOOKUP(A2423,'[1]Tissue Data'!$A:$A,'[1]Tissue Data'!L:L)</f>
        <v>5.5</v>
      </c>
      <c r="J2423">
        <f>_xlfn.XLOOKUP(A2423,'[1]Tissue Data'!$A:$A,'[1]Tissue Data'!M:M)</f>
        <v>1.95</v>
      </c>
      <c r="K2423" t="s">
        <v>33</v>
      </c>
      <c r="L2423" t="str">
        <f>_xlfn.XLOOKUP(K2423,[2]analyte_order!$B:$B,[2]analyte_order!$C:$C)</f>
        <v>777011-38-8</v>
      </c>
      <c r="M2423">
        <f>_xlfn.XLOOKUP(L2423,[2]analyte_order!$C:$C,[2]analyte_order!$E:$E)</f>
        <v>54</v>
      </c>
      <c r="N2423">
        <v>0.374</v>
      </c>
    </row>
    <row r="2424" spans="1:14">
      <c r="A2424" t="s">
        <v>187</v>
      </c>
      <c r="B2424" t="str">
        <f>_xlfn.XLOOKUP(A2424,'[1]Tissue Data'!$A:$A,'[1]Tissue Data'!$C:$C)</f>
        <v>Spill</v>
      </c>
      <c r="C2424" s="2">
        <f>_xlfn.XLOOKUP(A2424,'[1]Tissue Data'!$A:$A,'[1]Tissue Data'!$D:$D)</f>
        <v>44314</v>
      </c>
      <c r="D2424" s="2" t="str">
        <f>_xlfn.XLOOKUP(A2424,'[1]Tissue Data'!$A:$A,'[1]Tissue Data'!$F:$F)</f>
        <v>Swallowtail Shiner</v>
      </c>
      <c r="E2424" t="str">
        <f>_xlfn.XLOOKUP(A2424,'[1]Tissue Data'!$A:$A,'[1]Tissue Data'!$H:$H)</f>
        <v>Notropis</v>
      </c>
      <c r="F2424" t="str">
        <f>_xlfn.XLOOKUP(A2424,'[1]Tissue Data'!$A:$A,'[1]Tissue Data'!$I:$I)</f>
        <v>procne</v>
      </c>
      <c r="G2424" t="str">
        <f>_xlfn.XLOOKUP(A2424,'[1]Tissue Data'!$A:$A,'[1]Tissue Data'!J:J)</f>
        <v>U</v>
      </c>
      <c r="H2424" t="str">
        <f>_xlfn.XLOOKUP(A2424,'[1]Tissue Data'!$A:$A,'[1]Tissue Data'!K:K)</f>
        <v>Whole Body</v>
      </c>
      <c r="I2424">
        <f>_xlfn.XLOOKUP(A2424,'[1]Tissue Data'!$A:$A,'[1]Tissue Data'!L:L)</f>
        <v>5.5</v>
      </c>
      <c r="J2424">
        <f>_xlfn.XLOOKUP(A2424,'[1]Tissue Data'!$A:$A,'[1]Tissue Data'!M:M)</f>
        <v>1.95</v>
      </c>
      <c r="K2424" t="s">
        <v>34</v>
      </c>
      <c r="L2424" t="str">
        <f>_xlfn.XLOOKUP(K2424,[2]analyte_order!$B:$B,[2]analyte_order!$C:$C)</f>
        <v>646-83-3</v>
      </c>
      <c r="M2424">
        <f>_xlfn.XLOOKUP(L2424,[2]analyte_order!$C:$C,[2]analyte_order!$E:$E)</f>
        <v>55</v>
      </c>
      <c r="N2424">
        <v>0.23599999999999999</v>
      </c>
    </row>
    <row r="2425" spans="1:14">
      <c r="A2425" t="s">
        <v>187</v>
      </c>
      <c r="B2425" t="str">
        <f>_xlfn.XLOOKUP(A2425,'[1]Tissue Data'!$A:$A,'[1]Tissue Data'!$C:$C)</f>
        <v>Spill</v>
      </c>
      <c r="C2425" s="2">
        <f>_xlfn.XLOOKUP(A2425,'[1]Tissue Data'!$A:$A,'[1]Tissue Data'!$D:$D)</f>
        <v>44314</v>
      </c>
      <c r="D2425" s="2" t="str">
        <f>_xlfn.XLOOKUP(A2425,'[1]Tissue Data'!$A:$A,'[1]Tissue Data'!$F:$F)</f>
        <v>Swallowtail Shiner</v>
      </c>
      <c r="E2425" t="str">
        <f>_xlfn.XLOOKUP(A2425,'[1]Tissue Data'!$A:$A,'[1]Tissue Data'!$H:$H)</f>
        <v>Notropis</v>
      </c>
      <c r="F2425" t="str">
        <f>_xlfn.XLOOKUP(A2425,'[1]Tissue Data'!$A:$A,'[1]Tissue Data'!$I:$I)</f>
        <v>procne</v>
      </c>
      <c r="G2425" t="str">
        <f>_xlfn.XLOOKUP(A2425,'[1]Tissue Data'!$A:$A,'[1]Tissue Data'!J:J)</f>
        <v>U</v>
      </c>
      <c r="H2425" t="str">
        <f>_xlfn.XLOOKUP(A2425,'[1]Tissue Data'!$A:$A,'[1]Tissue Data'!K:K)</f>
        <v>Whole Body</v>
      </c>
      <c r="I2425">
        <f>_xlfn.XLOOKUP(A2425,'[1]Tissue Data'!$A:$A,'[1]Tissue Data'!L:L)</f>
        <v>5.5</v>
      </c>
      <c r="J2425">
        <f>_xlfn.XLOOKUP(A2425,'[1]Tissue Data'!$A:$A,'[1]Tissue Data'!M:M)</f>
        <v>1.95</v>
      </c>
      <c r="K2425" t="s">
        <v>35</v>
      </c>
      <c r="L2425" t="str">
        <f>_xlfn.XLOOKUP(K2425,[2]analyte_order!$B:$B,[2]analyte_order!$C:$C)</f>
        <v>30334-69-1</v>
      </c>
      <c r="M2425">
        <f>_xlfn.XLOOKUP(L2425,[2]analyte_order!$C:$C,[2]analyte_order!$E:$E)</f>
        <v>51</v>
      </c>
      <c r="N2425">
        <v>59.1</v>
      </c>
    </row>
    <row r="2426" spans="1:14">
      <c r="A2426" t="s">
        <v>187</v>
      </c>
      <c r="B2426" t="str">
        <f>_xlfn.XLOOKUP(A2426,'[1]Tissue Data'!$A:$A,'[1]Tissue Data'!$C:$C)</f>
        <v>Spill</v>
      </c>
      <c r="C2426" s="2">
        <f>_xlfn.XLOOKUP(A2426,'[1]Tissue Data'!$A:$A,'[1]Tissue Data'!$D:$D)</f>
        <v>44314</v>
      </c>
      <c r="D2426" s="2" t="str">
        <f>_xlfn.XLOOKUP(A2426,'[1]Tissue Data'!$A:$A,'[1]Tissue Data'!$F:$F)</f>
        <v>Swallowtail Shiner</v>
      </c>
      <c r="E2426" t="str">
        <f>_xlfn.XLOOKUP(A2426,'[1]Tissue Data'!$A:$A,'[1]Tissue Data'!$H:$H)</f>
        <v>Notropis</v>
      </c>
      <c r="F2426" t="str">
        <f>_xlfn.XLOOKUP(A2426,'[1]Tissue Data'!$A:$A,'[1]Tissue Data'!$I:$I)</f>
        <v>procne</v>
      </c>
      <c r="G2426" t="str">
        <f>_xlfn.XLOOKUP(A2426,'[1]Tissue Data'!$A:$A,'[1]Tissue Data'!J:J)</f>
        <v>U</v>
      </c>
      <c r="H2426" t="str">
        <f>_xlfn.XLOOKUP(A2426,'[1]Tissue Data'!$A:$A,'[1]Tissue Data'!K:K)</f>
        <v>Whole Body</v>
      </c>
      <c r="I2426">
        <f>_xlfn.XLOOKUP(A2426,'[1]Tissue Data'!$A:$A,'[1]Tissue Data'!L:L)</f>
        <v>5.5</v>
      </c>
      <c r="J2426">
        <f>_xlfn.XLOOKUP(A2426,'[1]Tissue Data'!$A:$A,'[1]Tissue Data'!M:M)</f>
        <v>1.95</v>
      </c>
      <c r="K2426" t="s">
        <v>36</v>
      </c>
      <c r="L2426" t="str">
        <f>_xlfn.XLOOKUP(K2426,[2]analyte_order!$B:$B,[2]analyte_order!$C:$C)</f>
        <v>41997-13-1</v>
      </c>
      <c r="M2426">
        <f>_xlfn.XLOOKUP(L2426,[2]analyte_order!$C:$C,[2]analyte_order!$E:$E)</f>
        <v>52</v>
      </c>
      <c r="N2426">
        <v>236</v>
      </c>
    </row>
    <row r="2427" spans="1:14">
      <c r="A2427" t="s">
        <v>187</v>
      </c>
      <c r="B2427" t="str">
        <f>_xlfn.XLOOKUP(A2427,'[1]Tissue Data'!$A:$A,'[1]Tissue Data'!$C:$C)</f>
        <v>Spill</v>
      </c>
      <c r="C2427" s="2">
        <f>_xlfn.XLOOKUP(A2427,'[1]Tissue Data'!$A:$A,'[1]Tissue Data'!$D:$D)</f>
        <v>44314</v>
      </c>
      <c r="D2427" s="2" t="str">
        <f>_xlfn.XLOOKUP(A2427,'[1]Tissue Data'!$A:$A,'[1]Tissue Data'!$F:$F)</f>
        <v>Swallowtail Shiner</v>
      </c>
      <c r="E2427" t="str">
        <f>_xlfn.XLOOKUP(A2427,'[1]Tissue Data'!$A:$A,'[1]Tissue Data'!$H:$H)</f>
        <v>Notropis</v>
      </c>
      <c r="F2427" t="str">
        <f>_xlfn.XLOOKUP(A2427,'[1]Tissue Data'!$A:$A,'[1]Tissue Data'!$I:$I)</f>
        <v>procne</v>
      </c>
      <c r="G2427" t="str">
        <f>_xlfn.XLOOKUP(A2427,'[1]Tissue Data'!$A:$A,'[1]Tissue Data'!J:J)</f>
        <v>U</v>
      </c>
      <c r="H2427" t="str">
        <f>_xlfn.XLOOKUP(A2427,'[1]Tissue Data'!$A:$A,'[1]Tissue Data'!K:K)</f>
        <v>Whole Body</v>
      </c>
      <c r="I2427">
        <f>_xlfn.XLOOKUP(A2427,'[1]Tissue Data'!$A:$A,'[1]Tissue Data'!L:L)</f>
        <v>5.5</v>
      </c>
      <c r="J2427">
        <f>_xlfn.XLOOKUP(A2427,'[1]Tissue Data'!$A:$A,'[1]Tissue Data'!M:M)</f>
        <v>1.95</v>
      </c>
      <c r="K2427" t="s">
        <v>37</v>
      </c>
      <c r="L2427" t="str">
        <f>_xlfn.XLOOKUP(K2427,[2]analyte_order!$B:$B,[2]analyte_order!$C:$C)</f>
        <v>754-91-6</v>
      </c>
      <c r="M2427">
        <f>_xlfn.XLOOKUP(L2427,[2]analyte_order!$C:$C,[2]analyte_order!$E:$E)</f>
        <v>28</v>
      </c>
      <c r="N2427">
        <v>17.8</v>
      </c>
    </row>
    <row r="2428" spans="1:14">
      <c r="A2428" t="s">
        <v>187</v>
      </c>
      <c r="B2428" t="str">
        <f>_xlfn.XLOOKUP(A2428,'[1]Tissue Data'!$A:$A,'[1]Tissue Data'!$C:$C)</f>
        <v>Spill</v>
      </c>
      <c r="C2428" s="2">
        <f>_xlfn.XLOOKUP(A2428,'[1]Tissue Data'!$A:$A,'[1]Tissue Data'!$D:$D)</f>
        <v>44314</v>
      </c>
      <c r="D2428" s="2" t="str">
        <f>_xlfn.XLOOKUP(A2428,'[1]Tissue Data'!$A:$A,'[1]Tissue Data'!$F:$F)</f>
        <v>Swallowtail Shiner</v>
      </c>
      <c r="E2428" t="str">
        <f>_xlfn.XLOOKUP(A2428,'[1]Tissue Data'!$A:$A,'[1]Tissue Data'!$H:$H)</f>
        <v>Notropis</v>
      </c>
      <c r="F2428" t="str">
        <f>_xlfn.XLOOKUP(A2428,'[1]Tissue Data'!$A:$A,'[1]Tissue Data'!$I:$I)</f>
        <v>procne</v>
      </c>
      <c r="G2428" t="str">
        <f>_xlfn.XLOOKUP(A2428,'[1]Tissue Data'!$A:$A,'[1]Tissue Data'!J:J)</f>
        <v>U</v>
      </c>
      <c r="H2428" t="str">
        <f>_xlfn.XLOOKUP(A2428,'[1]Tissue Data'!$A:$A,'[1]Tissue Data'!K:K)</f>
        <v>Whole Body</v>
      </c>
      <c r="I2428">
        <f>_xlfn.XLOOKUP(A2428,'[1]Tissue Data'!$A:$A,'[1]Tissue Data'!L:L)</f>
        <v>5.5</v>
      </c>
      <c r="J2428">
        <f>_xlfn.XLOOKUP(A2428,'[1]Tissue Data'!$A:$A,'[1]Tissue Data'!M:M)</f>
        <v>1.95</v>
      </c>
      <c r="K2428" t="s">
        <v>38</v>
      </c>
      <c r="L2428" t="str">
        <f>_xlfn.XLOOKUP(K2428,[2]analyte_order!$B:$B,[2]analyte_order!$C:$C)</f>
        <v>31506-32-8</v>
      </c>
      <c r="M2428">
        <f>_xlfn.XLOOKUP(L2428,[2]analyte_order!$C:$C,[2]analyte_order!$E:$E)</f>
        <v>30</v>
      </c>
      <c r="N2428">
        <v>5.5E-2</v>
      </c>
    </row>
    <row r="2429" spans="1:14">
      <c r="A2429" t="s">
        <v>187</v>
      </c>
      <c r="B2429" t="str">
        <f>_xlfn.XLOOKUP(A2429,'[1]Tissue Data'!$A:$A,'[1]Tissue Data'!$C:$C)</f>
        <v>Spill</v>
      </c>
      <c r="C2429" s="2">
        <f>_xlfn.XLOOKUP(A2429,'[1]Tissue Data'!$A:$A,'[1]Tissue Data'!$D:$D)</f>
        <v>44314</v>
      </c>
      <c r="D2429" s="2" t="str">
        <f>_xlfn.XLOOKUP(A2429,'[1]Tissue Data'!$A:$A,'[1]Tissue Data'!$F:$F)</f>
        <v>Swallowtail Shiner</v>
      </c>
      <c r="E2429" t="str">
        <f>_xlfn.XLOOKUP(A2429,'[1]Tissue Data'!$A:$A,'[1]Tissue Data'!$H:$H)</f>
        <v>Notropis</v>
      </c>
      <c r="F2429" t="str">
        <f>_xlfn.XLOOKUP(A2429,'[1]Tissue Data'!$A:$A,'[1]Tissue Data'!$I:$I)</f>
        <v>procne</v>
      </c>
      <c r="G2429" t="str">
        <f>_xlfn.XLOOKUP(A2429,'[1]Tissue Data'!$A:$A,'[1]Tissue Data'!J:J)</f>
        <v>U</v>
      </c>
      <c r="H2429" t="str">
        <f>_xlfn.XLOOKUP(A2429,'[1]Tissue Data'!$A:$A,'[1]Tissue Data'!K:K)</f>
        <v>Whole Body</v>
      </c>
      <c r="I2429">
        <f>_xlfn.XLOOKUP(A2429,'[1]Tissue Data'!$A:$A,'[1]Tissue Data'!L:L)</f>
        <v>5.5</v>
      </c>
      <c r="J2429">
        <f>_xlfn.XLOOKUP(A2429,'[1]Tissue Data'!$A:$A,'[1]Tissue Data'!M:M)</f>
        <v>1.95</v>
      </c>
      <c r="K2429" t="s">
        <v>39</v>
      </c>
      <c r="L2429" t="str">
        <f>_xlfn.XLOOKUP(K2429,[2]analyte_order!$B:$B,[2]analyte_order!$C:$C)</f>
        <v>4151-50-2</v>
      </c>
      <c r="M2429">
        <f>_xlfn.XLOOKUP(L2429,[2]analyte_order!$C:$C,[2]analyte_order!$E:$E)</f>
        <v>31</v>
      </c>
      <c r="N2429">
        <v>8.3000000000000004E-2</v>
      </c>
    </row>
    <row r="2430" spans="1:14">
      <c r="A2430" t="s">
        <v>187</v>
      </c>
      <c r="B2430" t="str">
        <f>_xlfn.XLOOKUP(A2430,'[1]Tissue Data'!$A:$A,'[1]Tissue Data'!$C:$C)</f>
        <v>Spill</v>
      </c>
      <c r="C2430" s="2">
        <f>_xlfn.XLOOKUP(A2430,'[1]Tissue Data'!$A:$A,'[1]Tissue Data'!$D:$D)</f>
        <v>44314</v>
      </c>
      <c r="D2430" s="2" t="str">
        <f>_xlfn.XLOOKUP(A2430,'[1]Tissue Data'!$A:$A,'[1]Tissue Data'!$F:$F)</f>
        <v>Swallowtail Shiner</v>
      </c>
      <c r="E2430" t="str">
        <f>_xlfn.XLOOKUP(A2430,'[1]Tissue Data'!$A:$A,'[1]Tissue Data'!$H:$H)</f>
        <v>Notropis</v>
      </c>
      <c r="F2430" t="str">
        <f>_xlfn.XLOOKUP(A2430,'[1]Tissue Data'!$A:$A,'[1]Tissue Data'!$I:$I)</f>
        <v>procne</v>
      </c>
      <c r="G2430" t="str">
        <f>_xlfn.XLOOKUP(A2430,'[1]Tissue Data'!$A:$A,'[1]Tissue Data'!J:J)</f>
        <v>U</v>
      </c>
      <c r="H2430" t="str">
        <f>_xlfn.XLOOKUP(A2430,'[1]Tissue Data'!$A:$A,'[1]Tissue Data'!K:K)</f>
        <v>Whole Body</v>
      </c>
      <c r="I2430">
        <f>_xlfn.XLOOKUP(A2430,'[1]Tissue Data'!$A:$A,'[1]Tissue Data'!L:L)</f>
        <v>5.5</v>
      </c>
      <c r="J2430">
        <f>_xlfn.XLOOKUP(A2430,'[1]Tissue Data'!$A:$A,'[1]Tissue Data'!M:M)</f>
        <v>1.95</v>
      </c>
      <c r="K2430" t="s">
        <v>40</v>
      </c>
      <c r="L2430" t="str">
        <f>_xlfn.XLOOKUP(K2430,[2]analyte_order!$B:$B,[2]analyte_order!$C:$C)</f>
        <v>2806-24-8</v>
      </c>
      <c r="M2430">
        <f>_xlfn.XLOOKUP(L2430,[2]analyte_order!$C:$C,[2]analyte_order!$E:$E)</f>
        <v>29</v>
      </c>
      <c r="N2430">
        <v>5.6000000000000001E-2</v>
      </c>
    </row>
    <row r="2431" spans="1:14">
      <c r="A2431" t="s">
        <v>187</v>
      </c>
      <c r="B2431" t="str">
        <f>_xlfn.XLOOKUP(A2431,'[1]Tissue Data'!$A:$A,'[1]Tissue Data'!$C:$C)</f>
        <v>Spill</v>
      </c>
      <c r="C2431" s="2">
        <f>_xlfn.XLOOKUP(A2431,'[1]Tissue Data'!$A:$A,'[1]Tissue Data'!$D:$D)</f>
        <v>44314</v>
      </c>
      <c r="D2431" s="2" t="str">
        <f>_xlfn.XLOOKUP(A2431,'[1]Tissue Data'!$A:$A,'[1]Tissue Data'!$F:$F)</f>
        <v>Swallowtail Shiner</v>
      </c>
      <c r="E2431" t="str">
        <f>_xlfn.XLOOKUP(A2431,'[1]Tissue Data'!$A:$A,'[1]Tissue Data'!$H:$H)</f>
        <v>Notropis</v>
      </c>
      <c r="F2431" t="str">
        <f>_xlfn.XLOOKUP(A2431,'[1]Tissue Data'!$A:$A,'[1]Tissue Data'!$I:$I)</f>
        <v>procne</v>
      </c>
      <c r="G2431" t="str">
        <f>_xlfn.XLOOKUP(A2431,'[1]Tissue Data'!$A:$A,'[1]Tissue Data'!J:J)</f>
        <v>U</v>
      </c>
      <c r="H2431" t="str">
        <f>_xlfn.XLOOKUP(A2431,'[1]Tissue Data'!$A:$A,'[1]Tissue Data'!K:K)</f>
        <v>Whole Body</v>
      </c>
      <c r="I2431">
        <f>_xlfn.XLOOKUP(A2431,'[1]Tissue Data'!$A:$A,'[1]Tissue Data'!L:L)</f>
        <v>5.5</v>
      </c>
      <c r="J2431">
        <f>_xlfn.XLOOKUP(A2431,'[1]Tissue Data'!$A:$A,'[1]Tissue Data'!M:M)</f>
        <v>1.95</v>
      </c>
      <c r="K2431" t="s">
        <v>41</v>
      </c>
      <c r="L2431" t="str">
        <f>_xlfn.XLOOKUP(K2431,[2]analyte_order!$B:$B,[2]analyte_order!$C:$C)</f>
        <v>2355-31-9</v>
      </c>
      <c r="M2431">
        <f>_xlfn.XLOOKUP(L2431,[2]analyte_order!$C:$C,[2]analyte_order!$E:$E)</f>
        <v>26</v>
      </c>
      <c r="N2431">
        <v>1.02</v>
      </c>
    </row>
    <row r="2432" spans="1:14">
      <c r="A2432" t="s">
        <v>187</v>
      </c>
      <c r="B2432" t="str">
        <f>_xlfn.XLOOKUP(A2432,'[1]Tissue Data'!$A:$A,'[1]Tissue Data'!$C:$C)</f>
        <v>Spill</v>
      </c>
      <c r="C2432" s="2">
        <f>_xlfn.XLOOKUP(A2432,'[1]Tissue Data'!$A:$A,'[1]Tissue Data'!$D:$D)</f>
        <v>44314</v>
      </c>
      <c r="D2432" s="2" t="str">
        <f>_xlfn.XLOOKUP(A2432,'[1]Tissue Data'!$A:$A,'[1]Tissue Data'!$F:$F)</f>
        <v>Swallowtail Shiner</v>
      </c>
      <c r="E2432" t="str">
        <f>_xlfn.XLOOKUP(A2432,'[1]Tissue Data'!$A:$A,'[1]Tissue Data'!$H:$H)</f>
        <v>Notropis</v>
      </c>
      <c r="F2432" t="str">
        <f>_xlfn.XLOOKUP(A2432,'[1]Tissue Data'!$A:$A,'[1]Tissue Data'!$I:$I)</f>
        <v>procne</v>
      </c>
      <c r="G2432" t="str">
        <f>_xlfn.XLOOKUP(A2432,'[1]Tissue Data'!$A:$A,'[1]Tissue Data'!J:J)</f>
        <v>U</v>
      </c>
      <c r="H2432" t="str">
        <f>_xlfn.XLOOKUP(A2432,'[1]Tissue Data'!$A:$A,'[1]Tissue Data'!K:K)</f>
        <v>Whole Body</v>
      </c>
      <c r="I2432">
        <f>_xlfn.XLOOKUP(A2432,'[1]Tissue Data'!$A:$A,'[1]Tissue Data'!L:L)</f>
        <v>5.5</v>
      </c>
      <c r="J2432">
        <f>_xlfn.XLOOKUP(A2432,'[1]Tissue Data'!$A:$A,'[1]Tissue Data'!M:M)</f>
        <v>1.95</v>
      </c>
      <c r="K2432" t="s">
        <v>42</v>
      </c>
      <c r="L2432" t="str">
        <f>_xlfn.XLOOKUP(K2432,[2]analyte_order!$B:$B,[2]analyte_order!$C:$C)</f>
        <v>2991-50-6</v>
      </c>
      <c r="M2432">
        <f>_xlfn.XLOOKUP(L2432,[2]analyte_order!$C:$C,[2]analyte_order!$E:$E)</f>
        <v>27</v>
      </c>
      <c r="N2432">
        <v>6.1499999999999999E-2</v>
      </c>
    </row>
    <row r="2433" spans="1:14">
      <c r="A2433" t="s">
        <v>187</v>
      </c>
      <c r="B2433" t="str">
        <f>_xlfn.XLOOKUP(A2433,'[1]Tissue Data'!$A:$A,'[1]Tissue Data'!$C:$C)</f>
        <v>Spill</v>
      </c>
      <c r="C2433" s="2">
        <f>_xlfn.XLOOKUP(A2433,'[1]Tissue Data'!$A:$A,'[1]Tissue Data'!$D:$D)</f>
        <v>44314</v>
      </c>
      <c r="D2433" s="2" t="str">
        <f>_xlfn.XLOOKUP(A2433,'[1]Tissue Data'!$A:$A,'[1]Tissue Data'!$F:$F)</f>
        <v>Swallowtail Shiner</v>
      </c>
      <c r="E2433" t="str">
        <f>_xlfn.XLOOKUP(A2433,'[1]Tissue Data'!$A:$A,'[1]Tissue Data'!$H:$H)</f>
        <v>Notropis</v>
      </c>
      <c r="F2433" t="str">
        <f>_xlfn.XLOOKUP(A2433,'[1]Tissue Data'!$A:$A,'[1]Tissue Data'!$I:$I)</f>
        <v>procne</v>
      </c>
      <c r="G2433" t="str">
        <f>_xlfn.XLOOKUP(A2433,'[1]Tissue Data'!$A:$A,'[1]Tissue Data'!J:J)</f>
        <v>U</v>
      </c>
      <c r="H2433" t="str">
        <f>_xlfn.XLOOKUP(A2433,'[1]Tissue Data'!$A:$A,'[1]Tissue Data'!K:K)</f>
        <v>Whole Body</v>
      </c>
      <c r="I2433">
        <f>_xlfn.XLOOKUP(A2433,'[1]Tissue Data'!$A:$A,'[1]Tissue Data'!L:L)</f>
        <v>5.5</v>
      </c>
      <c r="J2433">
        <f>_xlfn.XLOOKUP(A2433,'[1]Tissue Data'!$A:$A,'[1]Tissue Data'!M:M)</f>
        <v>1.95</v>
      </c>
      <c r="K2433" t="s">
        <v>43</v>
      </c>
      <c r="L2433" t="str">
        <f>_xlfn.XLOOKUP(K2433,[2]analyte_order!$B:$B,[2]analyte_order!$C:$C)</f>
        <v>757124-72-4</v>
      </c>
      <c r="M2433">
        <f>_xlfn.XLOOKUP(L2433,[2]analyte_order!$C:$C,[2]analyte_order!$E:$E)</f>
        <v>22</v>
      </c>
      <c r="N2433">
        <v>5.8500000000000003E-2</v>
      </c>
    </row>
    <row r="2434" spans="1:14">
      <c r="A2434" t="s">
        <v>187</v>
      </c>
      <c r="B2434" t="str">
        <f>_xlfn.XLOOKUP(A2434,'[1]Tissue Data'!$A:$A,'[1]Tissue Data'!$C:$C)</f>
        <v>Spill</v>
      </c>
      <c r="C2434" s="2">
        <f>_xlfn.XLOOKUP(A2434,'[1]Tissue Data'!$A:$A,'[1]Tissue Data'!$D:$D)</f>
        <v>44314</v>
      </c>
      <c r="D2434" s="2" t="str">
        <f>_xlfn.XLOOKUP(A2434,'[1]Tissue Data'!$A:$A,'[1]Tissue Data'!$F:$F)</f>
        <v>Swallowtail Shiner</v>
      </c>
      <c r="E2434" t="str">
        <f>_xlfn.XLOOKUP(A2434,'[1]Tissue Data'!$A:$A,'[1]Tissue Data'!$H:$H)</f>
        <v>Notropis</v>
      </c>
      <c r="F2434" t="str">
        <f>_xlfn.XLOOKUP(A2434,'[1]Tissue Data'!$A:$A,'[1]Tissue Data'!$I:$I)</f>
        <v>procne</v>
      </c>
      <c r="G2434" t="str">
        <f>_xlfn.XLOOKUP(A2434,'[1]Tissue Data'!$A:$A,'[1]Tissue Data'!J:J)</f>
        <v>U</v>
      </c>
      <c r="H2434" t="str">
        <f>_xlfn.XLOOKUP(A2434,'[1]Tissue Data'!$A:$A,'[1]Tissue Data'!K:K)</f>
        <v>Whole Body</v>
      </c>
      <c r="I2434">
        <f>_xlfn.XLOOKUP(A2434,'[1]Tissue Data'!$A:$A,'[1]Tissue Data'!L:L)</f>
        <v>5.5</v>
      </c>
      <c r="J2434">
        <f>_xlfn.XLOOKUP(A2434,'[1]Tissue Data'!$A:$A,'[1]Tissue Data'!M:M)</f>
        <v>1.95</v>
      </c>
      <c r="K2434" t="s">
        <v>44</v>
      </c>
      <c r="L2434" t="str">
        <f>_xlfn.XLOOKUP(K2434,[2]analyte_order!$B:$B,[2]analyte_order!$C:$C)</f>
        <v>27619-97-2</v>
      </c>
      <c r="M2434">
        <f>_xlfn.XLOOKUP(L2434,[2]analyte_order!$C:$C,[2]analyte_order!$E:$E)</f>
        <v>23</v>
      </c>
      <c r="N2434">
        <v>0.42099999999999999</v>
      </c>
    </row>
    <row r="2435" spans="1:14">
      <c r="A2435" t="s">
        <v>187</v>
      </c>
      <c r="B2435" t="str">
        <f>_xlfn.XLOOKUP(A2435,'[1]Tissue Data'!$A:$A,'[1]Tissue Data'!$C:$C)</f>
        <v>Spill</v>
      </c>
      <c r="C2435" s="2">
        <f>_xlfn.XLOOKUP(A2435,'[1]Tissue Data'!$A:$A,'[1]Tissue Data'!$D:$D)</f>
        <v>44314</v>
      </c>
      <c r="D2435" s="2" t="str">
        <f>_xlfn.XLOOKUP(A2435,'[1]Tissue Data'!$A:$A,'[1]Tissue Data'!$F:$F)</f>
        <v>Swallowtail Shiner</v>
      </c>
      <c r="E2435" t="str">
        <f>_xlfn.XLOOKUP(A2435,'[1]Tissue Data'!$A:$A,'[1]Tissue Data'!$H:$H)</f>
        <v>Notropis</v>
      </c>
      <c r="F2435" t="str">
        <f>_xlfn.XLOOKUP(A2435,'[1]Tissue Data'!$A:$A,'[1]Tissue Data'!$I:$I)</f>
        <v>procne</v>
      </c>
      <c r="G2435" t="str">
        <f>_xlfn.XLOOKUP(A2435,'[1]Tissue Data'!$A:$A,'[1]Tissue Data'!J:J)</f>
        <v>U</v>
      </c>
      <c r="H2435" t="str">
        <f>_xlfn.XLOOKUP(A2435,'[1]Tissue Data'!$A:$A,'[1]Tissue Data'!K:K)</f>
        <v>Whole Body</v>
      </c>
      <c r="I2435">
        <f>_xlfn.XLOOKUP(A2435,'[1]Tissue Data'!$A:$A,'[1]Tissue Data'!L:L)</f>
        <v>5.5</v>
      </c>
      <c r="J2435">
        <f>_xlfn.XLOOKUP(A2435,'[1]Tissue Data'!$A:$A,'[1]Tissue Data'!M:M)</f>
        <v>1.95</v>
      </c>
      <c r="K2435" t="s">
        <v>45</v>
      </c>
      <c r="L2435" t="str">
        <f>_xlfn.XLOOKUP(K2435,[2]analyte_order!$B:$B,[2]analyte_order!$C:$C)</f>
        <v>39108-34-4</v>
      </c>
      <c r="M2435">
        <f>_xlfn.XLOOKUP(L2435,[2]analyte_order!$C:$C,[2]analyte_order!$E:$E)</f>
        <v>24</v>
      </c>
      <c r="N2435">
        <v>19.3</v>
      </c>
    </row>
    <row r="2436" spans="1:14">
      <c r="A2436" t="s">
        <v>187</v>
      </c>
      <c r="B2436" t="str">
        <f>_xlfn.XLOOKUP(A2436,'[1]Tissue Data'!$A:$A,'[1]Tissue Data'!$C:$C)</f>
        <v>Spill</v>
      </c>
      <c r="C2436" s="2">
        <f>_xlfn.XLOOKUP(A2436,'[1]Tissue Data'!$A:$A,'[1]Tissue Data'!$D:$D)</f>
        <v>44314</v>
      </c>
      <c r="D2436" s="2" t="str">
        <f>_xlfn.XLOOKUP(A2436,'[1]Tissue Data'!$A:$A,'[1]Tissue Data'!$F:$F)</f>
        <v>Swallowtail Shiner</v>
      </c>
      <c r="E2436" t="str">
        <f>_xlfn.XLOOKUP(A2436,'[1]Tissue Data'!$A:$A,'[1]Tissue Data'!$H:$H)</f>
        <v>Notropis</v>
      </c>
      <c r="F2436" t="str">
        <f>_xlfn.XLOOKUP(A2436,'[1]Tissue Data'!$A:$A,'[1]Tissue Data'!$I:$I)</f>
        <v>procne</v>
      </c>
      <c r="G2436" t="str">
        <f>_xlfn.XLOOKUP(A2436,'[1]Tissue Data'!$A:$A,'[1]Tissue Data'!J:J)</f>
        <v>U</v>
      </c>
      <c r="H2436" t="str">
        <f>_xlfn.XLOOKUP(A2436,'[1]Tissue Data'!$A:$A,'[1]Tissue Data'!K:K)</f>
        <v>Whole Body</v>
      </c>
      <c r="I2436">
        <f>_xlfn.XLOOKUP(A2436,'[1]Tissue Data'!$A:$A,'[1]Tissue Data'!L:L)</f>
        <v>5.5</v>
      </c>
      <c r="J2436">
        <f>_xlfn.XLOOKUP(A2436,'[1]Tissue Data'!$A:$A,'[1]Tissue Data'!M:M)</f>
        <v>1.95</v>
      </c>
      <c r="K2436" t="s">
        <v>46</v>
      </c>
      <c r="L2436" t="str">
        <f>_xlfn.XLOOKUP(K2436,[2]analyte_order!$B:$B,[2]analyte_order!$C:$C)</f>
        <v>120226-60-0</v>
      </c>
      <c r="M2436">
        <f>_xlfn.XLOOKUP(L2436,[2]analyte_order!$C:$C,[2]analyte_order!$E:$E)</f>
        <v>25</v>
      </c>
      <c r="N2436">
        <v>0.26650000000000001</v>
      </c>
    </row>
    <row r="2437" spans="1:14">
      <c r="A2437" t="s">
        <v>187</v>
      </c>
      <c r="B2437" t="str">
        <f>_xlfn.XLOOKUP(A2437,'[1]Tissue Data'!$A:$A,'[1]Tissue Data'!$C:$C)</f>
        <v>Spill</v>
      </c>
      <c r="C2437" s="2">
        <f>_xlfn.XLOOKUP(A2437,'[1]Tissue Data'!$A:$A,'[1]Tissue Data'!$D:$D)</f>
        <v>44314</v>
      </c>
      <c r="D2437" s="2" t="str">
        <f>_xlfn.XLOOKUP(A2437,'[1]Tissue Data'!$A:$A,'[1]Tissue Data'!$F:$F)</f>
        <v>Swallowtail Shiner</v>
      </c>
      <c r="E2437" t="str">
        <f>_xlfn.XLOOKUP(A2437,'[1]Tissue Data'!$A:$A,'[1]Tissue Data'!$H:$H)</f>
        <v>Notropis</v>
      </c>
      <c r="F2437" t="str">
        <f>_xlfn.XLOOKUP(A2437,'[1]Tissue Data'!$A:$A,'[1]Tissue Data'!$I:$I)</f>
        <v>procne</v>
      </c>
      <c r="G2437" t="str">
        <f>_xlfn.XLOOKUP(A2437,'[1]Tissue Data'!$A:$A,'[1]Tissue Data'!J:J)</f>
        <v>U</v>
      </c>
      <c r="H2437" t="str">
        <f>_xlfn.XLOOKUP(A2437,'[1]Tissue Data'!$A:$A,'[1]Tissue Data'!K:K)</f>
        <v>Whole Body</v>
      </c>
      <c r="I2437">
        <f>_xlfn.XLOOKUP(A2437,'[1]Tissue Data'!$A:$A,'[1]Tissue Data'!L:L)</f>
        <v>5.5</v>
      </c>
      <c r="J2437">
        <f>_xlfn.XLOOKUP(A2437,'[1]Tissue Data'!$A:$A,'[1]Tissue Data'!M:M)</f>
        <v>1.95</v>
      </c>
      <c r="K2437" t="s">
        <v>47</v>
      </c>
      <c r="L2437" t="str">
        <f>_xlfn.XLOOKUP(K2437,[2]analyte_order!$B:$B,[2]analyte_order!$C:$C)</f>
        <v>356-02-5</v>
      </c>
      <c r="M2437">
        <f>_xlfn.XLOOKUP(L2437,[2]analyte_order!$C:$C,[2]analyte_order!$E:$E)</f>
        <v>38</v>
      </c>
      <c r="N2437">
        <v>8.2000000000000003E-2</v>
      </c>
    </row>
    <row r="2438" spans="1:14">
      <c r="A2438" t="s">
        <v>187</v>
      </c>
      <c r="B2438" t="str">
        <f>_xlfn.XLOOKUP(A2438,'[1]Tissue Data'!$A:$A,'[1]Tissue Data'!$C:$C)</f>
        <v>Spill</v>
      </c>
      <c r="C2438" s="2">
        <f>_xlfn.XLOOKUP(A2438,'[1]Tissue Data'!$A:$A,'[1]Tissue Data'!$D:$D)</f>
        <v>44314</v>
      </c>
      <c r="D2438" s="2" t="str">
        <f>_xlfn.XLOOKUP(A2438,'[1]Tissue Data'!$A:$A,'[1]Tissue Data'!$F:$F)</f>
        <v>Swallowtail Shiner</v>
      </c>
      <c r="E2438" t="str">
        <f>_xlfn.XLOOKUP(A2438,'[1]Tissue Data'!$A:$A,'[1]Tissue Data'!$H:$H)</f>
        <v>Notropis</v>
      </c>
      <c r="F2438" t="str">
        <f>_xlfn.XLOOKUP(A2438,'[1]Tissue Data'!$A:$A,'[1]Tissue Data'!$I:$I)</f>
        <v>procne</v>
      </c>
      <c r="G2438" t="str">
        <f>_xlfn.XLOOKUP(A2438,'[1]Tissue Data'!$A:$A,'[1]Tissue Data'!J:J)</f>
        <v>U</v>
      </c>
      <c r="H2438" t="str">
        <f>_xlfn.XLOOKUP(A2438,'[1]Tissue Data'!$A:$A,'[1]Tissue Data'!K:K)</f>
        <v>Whole Body</v>
      </c>
      <c r="I2438">
        <f>_xlfn.XLOOKUP(A2438,'[1]Tissue Data'!$A:$A,'[1]Tissue Data'!L:L)</f>
        <v>5.5</v>
      </c>
      <c r="J2438">
        <f>_xlfn.XLOOKUP(A2438,'[1]Tissue Data'!$A:$A,'[1]Tissue Data'!M:M)</f>
        <v>1.95</v>
      </c>
      <c r="K2438" t="s">
        <v>48</v>
      </c>
      <c r="L2438" t="str">
        <f>_xlfn.XLOOKUP(K2438,[2]analyte_order!$B:$B,[2]analyte_order!$C:$C)</f>
        <v>914637-49-3</v>
      </c>
      <c r="M2438">
        <f>_xlfn.XLOOKUP(L2438,[2]analyte_order!$C:$C,[2]analyte_order!$E:$E)</f>
        <v>39</v>
      </c>
      <c r="N2438">
        <v>4.75</v>
      </c>
    </row>
    <row r="2439" spans="1:14">
      <c r="A2439" t="s">
        <v>187</v>
      </c>
      <c r="B2439" t="str">
        <f>_xlfn.XLOOKUP(A2439,'[1]Tissue Data'!$A:$A,'[1]Tissue Data'!$C:$C)</f>
        <v>Spill</v>
      </c>
      <c r="C2439" s="2">
        <f>_xlfn.XLOOKUP(A2439,'[1]Tissue Data'!$A:$A,'[1]Tissue Data'!$D:$D)</f>
        <v>44314</v>
      </c>
      <c r="D2439" s="2" t="str">
        <f>_xlfn.XLOOKUP(A2439,'[1]Tissue Data'!$A:$A,'[1]Tissue Data'!$F:$F)</f>
        <v>Swallowtail Shiner</v>
      </c>
      <c r="E2439" t="str">
        <f>_xlfn.XLOOKUP(A2439,'[1]Tissue Data'!$A:$A,'[1]Tissue Data'!$H:$H)</f>
        <v>Notropis</v>
      </c>
      <c r="F2439" t="str">
        <f>_xlfn.XLOOKUP(A2439,'[1]Tissue Data'!$A:$A,'[1]Tissue Data'!$I:$I)</f>
        <v>procne</v>
      </c>
      <c r="G2439" t="str">
        <f>_xlfn.XLOOKUP(A2439,'[1]Tissue Data'!$A:$A,'[1]Tissue Data'!J:J)</f>
        <v>U</v>
      </c>
      <c r="H2439" t="str">
        <f>_xlfn.XLOOKUP(A2439,'[1]Tissue Data'!$A:$A,'[1]Tissue Data'!K:K)</f>
        <v>Whole Body</v>
      </c>
      <c r="I2439">
        <f>_xlfn.XLOOKUP(A2439,'[1]Tissue Data'!$A:$A,'[1]Tissue Data'!L:L)</f>
        <v>5.5</v>
      </c>
      <c r="J2439">
        <f>_xlfn.XLOOKUP(A2439,'[1]Tissue Data'!$A:$A,'[1]Tissue Data'!M:M)</f>
        <v>1.95</v>
      </c>
      <c r="K2439" t="s">
        <v>49</v>
      </c>
      <c r="L2439" t="str">
        <f>_xlfn.XLOOKUP(K2439,[2]analyte_order!$B:$B,[2]analyte_order!$C:$C)</f>
        <v>812-70-4</v>
      </c>
      <c r="M2439">
        <f>_xlfn.XLOOKUP(L2439,[2]analyte_order!$C:$C,[2]analyte_order!$E:$E)</f>
        <v>40</v>
      </c>
      <c r="N2439">
        <v>8.18</v>
      </c>
    </row>
    <row r="2440" spans="1:14">
      <c r="A2440" t="s">
        <v>187</v>
      </c>
      <c r="B2440" t="str">
        <f>_xlfn.XLOOKUP(A2440,'[1]Tissue Data'!$A:$A,'[1]Tissue Data'!$C:$C)</f>
        <v>Spill</v>
      </c>
      <c r="C2440" s="2">
        <f>_xlfn.XLOOKUP(A2440,'[1]Tissue Data'!$A:$A,'[1]Tissue Data'!$D:$D)</f>
        <v>44314</v>
      </c>
      <c r="D2440" s="2" t="str">
        <f>_xlfn.XLOOKUP(A2440,'[1]Tissue Data'!$A:$A,'[1]Tissue Data'!$F:$F)</f>
        <v>Swallowtail Shiner</v>
      </c>
      <c r="E2440" t="str">
        <f>_xlfn.XLOOKUP(A2440,'[1]Tissue Data'!$A:$A,'[1]Tissue Data'!$H:$H)</f>
        <v>Notropis</v>
      </c>
      <c r="F2440" t="str">
        <f>_xlfn.XLOOKUP(A2440,'[1]Tissue Data'!$A:$A,'[1]Tissue Data'!$I:$I)</f>
        <v>procne</v>
      </c>
      <c r="G2440" t="str">
        <f>_xlfn.XLOOKUP(A2440,'[1]Tissue Data'!$A:$A,'[1]Tissue Data'!J:J)</f>
        <v>U</v>
      </c>
      <c r="H2440" t="str">
        <f>_xlfn.XLOOKUP(A2440,'[1]Tissue Data'!$A:$A,'[1]Tissue Data'!K:K)</f>
        <v>Whole Body</v>
      </c>
      <c r="I2440">
        <f>_xlfn.XLOOKUP(A2440,'[1]Tissue Data'!$A:$A,'[1]Tissue Data'!L:L)</f>
        <v>5.5</v>
      </c>
      <c r="J2440">
        <f>_xlfn.XLOOKUP(A2440,'[1]Tissue Data'!$A:$A,'[1]Tissue Data'!M:M)</f>
        <v>1.95</v>
      </c>
      <c r="K2440" t="s">
        <v>50</v>
      </c>
      <c r="L2440" t="str">
        <f>_xlfn.XLOOKUP(K2440,[2]analyte_order!$B:$B,[2]analyte_order!$C:$C)</f>
        <v>53826-12-3</v>
      </c>
      <c r="M2440">
        <f>_xlfn.XLOOKUP(L2440,[2]analyte_order!$C:$C,[2]analyte_order!$E:$E)</f>
        <v>41</v>
      </c>
      <c r="N2440">
        <v>4.5600000000000002E-2</v>
      </c>
    </row>
    <row r="2441" spans="1:14">
      <c r="A2441" t="s">
        <v>187</v>
      </c>
      <c r="B2441" t="str">
        <f>_xlfn.XLOOKUP(A2441,'[1]Tissue Data'!$A:$A,'[1]Tissue Data'!$C:$C)</f>
        <v>Spill</v>
      </c>
      <c r="C2441" s="2">
        <f>_xlfn.XLOOKUP(A2441,'[1]Tissue Data'!$A:$A,'[1]Tissue Data'!$D:$D)</f>
        <v>44314</v>
      </c>
      <c r="D2441" s="2" t="str">
        <f>_xlfn.XLOOKUP(A2441,'[1]Tissue Data'!$A:$A,'[1]Tissue Data'!$F:$F)</f>
        <v>Swallowtail Shiner</v>
      </c>
      <c r="E2441" t="str">
        <f>_xlfn.XLOOKUP(A2441,'[1]Tissue Data'!$A:$A,'[1]Tissue Data'!$H:$H)</f>
        <v>Notropis</v>
      </c>
      <c r="F2441" t="str">
        <f>_xlfn.XLOOKUP(A2441,'[1]Tissue Data'!$A:$A,'[1]Tissue Data'!$I:$I)</f>
        <v>procne</v>
      </c>
      <c r="G2441" t="str">
        <f>_xlfn.XLOOKUP(A2441,'[1]Tissue Data'!$A:$A,'[1]Tissue Data'!J:J)</f>
        <v>U</v>
      </c>
      <c r="H2441" t="str">
        <f>_xlfn.XLOOKUP(A2441,'[1]Tissue Data'!$A:$A,'[1]Tissue Data'!K:K)</f>
        <v>Whole Body</v>
      </c>
      <c r="I2441">
        <f>_xlfn.XLOOKUP(A2441,'[1]Tissue Data'!$A:$A,'[1]Tissue Data'!L:L)</f>
        <v>5.5</v>
      </c>
      <c r="J2441">
        <f>_xlfn.XLOOKUP(A2441,'[1]Tissue Data'!$A:$A,'[1]Tissue Data'!M:M)</f>
        <v>1.95</v>
      </c>
      <c r="K2441" t="s">
        <v>51</v>
      </c>
      <c r="L2441" t="str">
        <f>_xlfn.XLOOKUP(K2441,[2]analyte_order!$B:$B,[2]analyte_order!$C:$C)</f>
        <v>27854-31-5</v>
      </c>
      <c r="M2441">
        <f>_xlfn.XLOOKUP(L2441,[2]analyte_order!$C:$C,[2]analyte_order!$E:$E)</f>
        <v>42</v>
      </c>
      <c r="N2441">
        <v>2.8500000000000001E-2</v>
      </c>
    </row>
    <row r="2442" spans="1:14">
      <c r="A2442" t="s">
        <v>187</v>
      </c>
      <c r="B2442" t="str">
        <f>_xlfn.XLOOKUP(A2442,'[1]Tissue Data'!$A:$A,'[1]Tissue Data'!$C:$C)</f>
        <v>Spill</v>
      </c>
      <c r="C2442" s="2">
        <f>_xlfn.XLOOKUP(A2442,'[1]Tissue Data'!$A:$A,'[1]Tissue Data'!$D:$D)</f>
        <v>44314</v>
      </c>
      <c r="D2442" s="2" t="str">
        <f>_xlfn.XLOOKUP(A2442,'[1]Tissue Data'!$A:$A,'[1]Tissue Data'!$F:$F)</f>
        <v>Swallowtail Shiner</v>
      </c>
      <c r="E2442" t="str">
        <f>_xlfn.XLOOKUP(A2442,'[1]Tissue Data'!$A:$A,'[1]Tissue Data'!$H:$H)</f>
        <v>Notropis</v>
      </c>
      <c r="F2442" t="str">
        <f>_xlfn.XLOOKUP(A2442,'[1]Tissue Data'!$A:$A,'[1]Tissue Data'!$I:$I)</f>
        <v>procne</v>
      </c>
      <c r="G2442" t="str">
        <f>_xlfn.XLOOKUP(A2442,'[1]Tissue Data'!$A:$A,'[1]Tissue Data'!J:J)</f>
        <v>U</v>
      </c>
      <c r="H2442" t="str">
        <f>_xlfn.XLOOKUP(A2442,'[1]Tissue Data'!$A:$A,'[1]Tissue Data'!K:K)</f>
        <v>Whole Body</v>
      </c>
      <c r="I2442">
        <f>_xlfn.XLOOKUP(A2442,'[1]Tissue Data'!$A:$A,'[1]Tissue Data'!L:L)</f>
        <v>5.5</v>
      </c>
      <c r="J2442">
        <f>_xlfn.XLOOKUP(A2442,'[1]Tissue Data'!$A:$A,'[1]Tissue Data'!M:M)</f>
        <v>1.95</v>
      </c>
      <c r="K2442" t="s">
        <v>52</v>
      </c>
      <c r="L2442" t="str">
        <f>_xlfn.XLOOKUP(K2442,[2]analyte_order!$B:$B,[2]analyte_order!$C:$C)</f>
        <v>53826-13-4</v>
      </c>
      <c r="M2442">
        <f>_xlfn.XLOOKUP(L2442,[2]analyte_order!$C:$C,[2]analyte_order!$E:$E)</f>
        <v>43</v>
      </c>
      <c r="N2442">
        <v>0.106</v>
      </c>
    </row>
    <row r="2443" spans="1:14">
      <c r="A2443" t="s">
        <v>187</v>
      </c>
      <c r="B2443" t="str">
        <f>_xlfn.XLOOKUP(A2443,'[1]Tissue Data'!$A:$A,'[1]Tissue Data'!$C:$C)</f>
        <v>Spill</v>
      </c>
      <c r="C2443" s="2">
        <f>_xlfn.XLOOKUP(A2443,'[1]Tissue Data'!$A:$A,'[1]Tissue Data'!$D:$D)</f>
        <v>44314</v>
      </c>
      <c r="D2443" s="2" t="str">
        <f>_xlfn.XLOOKUP(A2443,'[1]Tissue Data'!$A:$A,'[1]Tissue Data'!$F:$F)</f>
        <v>Swallowtail Shiner</v>
      </c>
      <c r="E2443" t="str">
        <f>_xlfn.XLOOKUP(A2443,'[1]Tissue Data'!$A:$A,'[1]Tissue Data'!$H:$H)</f>
        <v>Notropis</v>
      </c>
      <c r="F2443" t="str">
        <f>_xlfn.XLOOKUP(A2443,'[1]Tissue Data'!$A:$A,'[1]Tissue Data'!$I:$I)</f>
        <v>procne</v>
      </c>
      <c r="G2443" t="str">
        <f>_xlfn.XLOOKUP(A2443,'[1]Tissue Data'!$A:$A,'[1]Tissue Data'!J:J)</f>
        <v>U</v>
      </c>
      <c r="H2443" t="str">
        <f>_xlfn.XLOOKUP(A2443,'[1]Tissue Data'!$A:$A,'[1]Tissue Data'!K:K)</f>
        <v>Whole Body</v>
      </c>
      <c r="I2443">
        <f>_xlfn.XLOOKUP(A2443,'[1]Tissue Data'!$A:$A,'[1]Tissue Data'!L:L)</f>
        <v>5.5</v>
      </c>
      <c r="J2443">
        <f>_xlfn.XLOOKUP(A2443,'[1]Tissue Data'!$A:$A,'[1]Tissue Data'!M:M)</f>
        <v>1.95</v>
      </c>
      <c r="K2443" t="s">
        <v>53</v>
      </c>
      <c r="L2443" t="str">
        <f>_xlfn.XLOOKUP(K2443,[2]analyte_order!$B:$B,[2]analyte_order!$C:$C)</f>
        <v>161094-75-3</v>
      </c>
      <c r="M2443">
        <f>_xlfn.XLOOKUP(L2443,[2]analyte_order!$C:$C,[2]analyte_order!$E:$E)</f>
        <v>44</v>
      </c>
      <c r="N2443">
        <v>5.6000000000000001E-2</v>
      </c>
    </row>
    <row r="2444" spans="1:14">
      <c r="A2444" t="s">
        <v>187</v>
      </c>
      <c r="B2444" t="str">
        <f>_xlfn.XLOOKUP(A2444,'[1]Tissue Data'!$A:$A,'[1]Tissue Data'!$C:$C)</f>
        <v>Spill</v>
      </c>
      <c r="C2444" s="2">
        <f>_xlfn.XLOOKUP(A2444,'[1]Tissue Data'!$A:$A,'[1]Tissue Data'!$D:$D)</f>
        <v>44314</v>
      </c>
      <c r="D2444" s="2" t="str">
        <f>_xlfn.XLOOKUP(A2444,'[1]Tissue Data'!$A:$A,'[1]Tissue Data'!$F:$F)</f>
        <v>Swallowtail Shiner</v>
      </c>
      <c r="E2444" t="str">
        <f>_xlfn.XLOOKUP(A2444,'[1]Tissue Data'!$A:$A,'[1]Tissue Data'!$H:$H)</f>
        <v>Notropis</v>
      </c>
      <c r="F2444" t="str">
        <f>_xlfn.XLOOKUP(A2444,'[1]Tissue Data'!$A:$A,'[1]Tissue Data'!$I:$I)</f>
        <v>procne</v>
      </c>
      <c r="G2444" t="str">
        <f>_xlfn.XLOOKUP(A2444,'[1]Tissue Data'!$A:$A,'[1]Tissue Data'!J:J)</f>
        <v>U</v>
      </c>
      <c r="H2444" t="str">
        <f>_xlfn.XLOOKUP(A2444,'[1]Tissue Data'!$A:$A,'[1]Tissue Data'!K:K)</f>
        <v>Whole Body</v>
      </c>
      <c r="I2444">
        <f>_xlfn.XLOOKUP(A2444,'[1]Tissue Data'!$A:$A,'[1]Tissue Data'!L:L)</f>
        <v>5.5</v>
      </c>
      <c r="J2444">
        <f>_xlfn.XLOOKUP(A2444,'[1]Tissue Data'!$A:$A,'[1]Tissue Data'!M:M)</f>
        <v>1.95</v>
      </c>
      <c r="K2444" t="s">
        <v>54</v>
      </c>
      <c r="L2444" t="str">
        <f>_xlfn.XLOOKUP(K2444,[2]analyte_order!$B:$B,[2]analyte_order!$C:$C)</f>
        <v>70887-84-2</v>
      </c>
      <c r="M2444">
        <f>_xlfn.XLOOKUP(L2444,[2]analyte_order!$C:$C,[2]analyte_order!$E:$E)</f>
        <v>45</v>
      </c>
      <c r="N2444">
        <v>4.3049999999999998E-2</v>
      </c>
    </row>
    <row r="2445" spans="1:14">
      <c r="A2445" t="s">
        <v>187</v>
      </c>
      <c r="B2445" t="str">
        <f>_xlfn.XLOOKUP(A2445,'[1]Tissue Data'!$A:$A,'[1]Tissue Data'!$C:$C)</f>
        <v>Spill</v>
      </c>
      <c r="C2445" s="2">
        <f>_xlfn.XLOOKUP(A2445,'[1]Tissue Data'!$A:$A,'[1]Tissue Data'!$D:$D)</f>
        <v>44314</v>
      </c>
      <c r="D2445" s="2" t="str">
        <f>_xlfn.XLOOKUP(A2445,'[1]Tissue Data'!$A:$A,'[1]Tissue Data'!$F:$F)</f>
        <v>Swallowtail Shiner</v>
      </c>
      <c r="E2445" t="str">
        <f>_xlfn.XLOOKUP(A2445,'[1]Tissue Data'!$A:$A,'[1]Tissue Data'!$H:$H)</f>
        <v>Notropis</v>
      </c>
      <c r="F2445" t="str">
        <f>_xlfn.XLOOKUP(A2445,'[1]Tissue Data'!$A:$A,'[1]Tissue Data'!$I:$I)</f>
        <v>procne</v>
      </c>
      <c r="G2445" t="str">
        <f>_xlfn.XLOOKUP(A2445,'[1]Tissue Data'!$A:$A,'[1]Tissue Data'!J:J)</f>
        <v>U</v>
      </c>
      <c r="H2445" t="str">
        <f>_xlfn.XLOOKUP(A2445,'[1]Tissue Data'!$A:$A,'[1]Tissue Data'!K:K)</f>
        <v>Whole Body</v>
      </c>
      <c r="I2445">
        <f>_xlfn.XLOOKUP(A2445,'[1]Tissue Data'!$A:$A,'[1]Tissue Data'!L:L)</f>
        <v>5.5</v>
      </c>
      <c r="J2445">
        <f>_xlfn.XLOOKUP(A2445,'[1]Tissue Data'!$A:$A,'[1]Tissue Data'!M:M)</f>
        <v>1.95</v>
      </c>
      <c r="K2445" t="s">
        <v>55</v>
      </c>
      <c r="L2445" t="str">
        <f>_xlfn.XLOOKUP(K2445,[2]analyte_order!$B:$B,[2]analyte_order!$C:$C)</f>
        <v>919005-14-4</v>
      </c>
      <c r="M2445">
        <f>_xlfn.XLOOKUP(L2445,[2]analyte_order!$C:$C,[2]analyte_order!$E:$E)</f>
        <v>35</v>
      </c>
      <c r="N2445">
        <v>7.0999999999999994E-2</v>
      </c>
    </row>
    <row r="2446" spans="1:14">
      <c r="A2446" t="s">
        <v>187</v>
      </c>
      <c r="B2446" t="str">
        <f>_xlfn.XLOOKUP(A2446,'[1]Tissue Data'!$A:$A,'[1]Tissue Data'!$C:$C)</f>
        <v>Spill</v>
      </c>
      <c r="C2446" s="2">
        <f>_xlfn.XLOOKUP(A2446,'[1]Tissue Data'!$A:$A,'[1]Tissue Data'!$D:$D)</f>
        <v>44314</v>
      </c>
      <c r="D2446" s="2" t="str">
        <f>_xlfn.XLOOKUP(A2446,'[1]Tissue Data'!$A:$A,'[1]Tissue Data'!$F:$F)</f>
        <v>Swallowtail Shiner</v>
      </c>
      <c r="E2446" t="str">
        <f>_xlfn.XLOOKUP(A2446,'[1]Tissue Data'!$A:$A,'[1]Tissue Data'!$H:$H)</f>
        <v>Notropis</v>
      </c>
      <c r="F2446" t="str">
        <f>_xlfn.XLOOKUP(A2446,'[1]Tissue Data'!$A:$A,'[1]Tissue Data'!$I:$I)</f>
        <v>procne</v>
      </c>
      <c r="G2446" t="str">
        <f>_xlfn.XLOOKUP(A2446,'[1]Tissue Data'!$A:$A,'[1]Tissue Data'!J:J)</f>
        <v>U</v>
      </c>
      <c r="H2446" t="str">
        <f>_xlfn.XLOOKUP(A2446,'[1]Tissue Data'!$A:$A,'[1]Tissue Data'!K:K)</f>
        <v>Whole Body</v>
      </c>
      <c r="I2446">
        <f>_xlfn.XLOOKUP(A2446,'[1]Tissue Data'!$A:$A,'[1]Tissue Data'!L:L)</f>
        <v>5.5</v>
      </c>
      <c r="J2446">
        <f>_xlfn.XLOOKUP(A2446,'[1]Tissue Data'!$A:$A,'[1]Tissue Data'!M:M)</f>
        <v>1.95</v>
      </c>
      <c r="K2446" t="s">
        <v>56</v>
      </c>
      <c r="L2446" t="str">
        <f>_xlfn.XLOOKUP(K2446,[2]analyte_order!$B:$B,[2]analyte_order!$C:$C)</f>
        <v>756426-58-1</v>
      </c>
      <c r="M2446">
        <f>_xlfn.XLOOKUP(L2446,[2]analyte_order!$C:$C,[2]analyte_order!$E:$E)</f>
        <v>36</v>
      </c>
      <c r="N2446">
        <v>4.9399999999999999E-2</v>
      </c>
    </row>
    <row r="2447" spans="1:14">
      <c r="A2447" t="s">
        <v>187</v>
      </c>
      <c r="B2447" t="str">
        <f>_xlfn.XLOOKUP(A2447,'[1]Tissue Data'!$A:$A,'[1]Tissue Data'!$C:$C)</f>
        <v>Spill</v>
      </c>
      <c r="C2447" s="2">
        <f>_xlfn.XLOOKUP(A2447,'[1]Tissue Data'!$A:$A,'[1]Tissue Data'!$D:$D)</f>
        <v>44314</v>
      </c>
      <c r="D2447" s="2" t="str">
        <f>_xlfn.XLOOKUP(A2447,'[1]Tissue Data'!$A:$A,'[1]Tissue Data'!$F:$F)</f>
        <v>Swallowtail Shiner</v>
      </c>
      <c r="E2447" t="str">
        <f>_xlfn.XLOOKUP(A2447,'[1]Tissue Data'!$A:$A,'[1]Tissue Data'!$H:$H)</f>
        <v>Notropis</v>
      </c>
      <c r="F2447" t="str">
        <f>_xlfn.XLOOKUP(A2447,'[1]Tissue Data'!$A:$A,'[1]Tissue Data'!$I:$I)</f>
        <v>procne</v>
      </c>
      <c r="G2447" t="str">
        <f>_xlfn.XLOOKUP(A2447,'[1]Tissue Data'!$A:$A,'[1]Tissue Data'!J:J)</f>
        <v>U</v>
      </c>
      <c r="H2447" t="str">
        <f>_xlfn.XLOOKUP(A2447,'[1]Tissue Data'!$A:$A,'[1]Tissue Data'!K:K)</f>
        <v>Whole Body</v>
      </c>
      <c r="I2447">
        <f>_xlfn.XLOOKUP(A2447,'[1]Tissue Data'!$A:$A,'[1]Tissue Data'!L:L)</f>
        <v>5.5</v>
      </c>
      <c r="J2447">
        <f>_xlfn.XLOOKUP(A2447,'[1]Tissue Data'!$A:$A,'[1]Tissue Data'!M:M)</f>
        <v>1.95</v>
      </c>
      <c r="K2447" t="s">
        <v>57</v>
      </c>
      <c r="L2447" t="str">
        <f>_xlfn.XLOOKUP(K2447,[2]analyte_order!$B:$B,[2]analyte_order!$C:$C)</f>
        <v>763051-92-9</v>
      </c>
      <c r="M2447">
        <f>_xlfn.XLOOKUP(L2447,[2]analyte_order!$C:$C,[2]analyte_order!$E:$E)</f>
        <v>37</v>
      </c>
      <c r="N2447">
        <v>5.6000000000000001E-2</v>
      </c>
    </row>
    <row r="2448" spans="1:14">
      <c r="A2448" t="s">
        <v>187</v>
      </c>
      <c r="B2448" t="str">
        <f>_xlfn.XLOOKUP(A2448,'[1]Tissue Data'!$A:$A,'[1]Tissue Data'!$C:$C)</f>
        <v>Spill</v>
      </c>
      <c r="C2448" s="2">
        <f>_xlfn.XLOOKUP(A2448,'[1]Tissue Data'!$A:$A,'[1]Tissue Data'!$D:$D)</f>
        <v>44314</v>
      </c>
      <c r="D2448" s="2" t="str">
        <f>_xlfn.XLOOKUP(A2448,'[1]Tissue Data'!$A:$A,'[1]Tissue Data'!$F:$F)</f>
        <v>Swallowtail Shiner</v>
      </c>
      <c r="E2448" t="str">
        <f>_xlfn.XLOOKUP(A2448,'[1]Tissue Data'!$A:$A,'[1]Tissue Data'!$H:$H)</f>
        <v>Notropis</v>
      </c>
      <c r="F2448" t="str">
        <f>_xlfn.XLOOKUP(A2448,'[1]Tissue Data'!$A:$A,'[1]Tissue Data'!$I:$I)</f>
        <v>procne</v>
      </c>
      <c r="G2448" t="str">
        <f>_xlfn.XLOOKUP(A2448,'[1]Tissue Data'!$A:$A,'[1]Tissue Data'!J:J)</f>
        <v>U</v>
      </c>
      <c r="H2448" t="str">
        <f>_xlfn.XLOOKUP(A2448,'[1]Tissue Data'!$A:$A,'[1]Tissue Data'!K:K)</f>
        <v>Whole Body</v>
      </c>
      <c r="I2448">
        <f>_xlfn.XLOOKUP(A2448,'[1]Tissue Data'!$A:$A,'[1]Tissue Data'!L:L)</f>
        <v>5.5</v>
      </c>
      <c r="J2448">
        <f>_xlfn.XLOOKUP(A2448,'[1]Tissue Data'!$A:$A,'[1]Tissue Data'!M:M)</f>
        <v>1.95</v>
      </c>
      <c r="K2448" t="s">
        <v>58</v>
      </c>
      <c r="L2448" t="str">
        <f>_xlfn.XLOOKUP(K2448,[2]analyte_order!$B:$B,[2]analyte_order!$C:$C)</f>
        <v>13252-13-6</v>
      </c>
      <c r="M2448">
        <f>_xlfn.XLOOKUP(L2448,[2]analyte_order!$C:$C,[2]analyte_order!$E:$E)</f>
        <v>34</v>
      </c>
      <c r="N2448">
        <v>0.10199999999999999</v>
      </c>
    </row>
    <row r="2449" spans="1:14">
      <c r="A2449" t="s">
        <v>187</v>
      </c>
      <c r="B2449" t="str">
        <f>_xlfn.XLOOKUP(A2449,'[1]Tissue Data'!$A:$A,'[1]Tissue Data'!$C:$C)</f>
        <v>Spill</v>
      </c>
      <c r="C2449" s="2">
        <f>_xlfn.XLOOKUP(A2449,'[1]Tissue Data'!$A:$A,'[1]Tissue Data'!$D:$D)</f>
        <v>44314</v>
      </c>
      <c r="D2449" s="2" t="str">
        <f>_xlfn.XLOOKUP(A2449,'[1]Tissue Data'!$A:$A,'[1]Tissue Data'!$F:$F)</f>
        <v>Swallowtail Shiner</v>
      </c>
      <c r="E2449" t="str">
        <f>_xlfn.XLOOKUP(A2449,'[1]Tissue Data'!$A:$A,'[1]Tissue Data'!$H:$H)</f>
        <v>Notropis</v>
      </c>
      <c r="F2449" t="str">
        <f>_xlfn.XLOOKUP(A2449,'[1]Tissue Data'!$A:$A,'[1]Tissue Data'!$I:$I)</f>
        <v>procne</v>
      </c>
      <c r="G2449" t="str">
        <f>_xlfn.XLOOKUP(A2449,'[1]Tissue Data'!$A:$A,'[1]Tissue Data'!J:J)</f>
        <v>U</v>
      </c>
      <c r="H2449" t="str">
        <f>_xlfn.XLOOKUP(A2449,'[1]Tissue Data'!$A:$A,'[1]Tissue Data'!K:K)</f>
        <v>Whole Body</v>
      </c>
      <c r="I2449">
        <f>_xlfn.XLOOKUP(A2449,'[1]Tissue Data'!$A:$A,'[1]Tissue Data'!L:L)</f>
        <v>5.5</v>
      </c>
      <c r="J2449">
        <f>_xlfn.XLOOKUP(A2449,'[1]Tissue Data'!$A:$A,'[1]Tissue Data'!M:M)</f>
        <v>1.95</v>
      </c>
      <c r="K2449" t="s">
        <v>59</v>
      </c>
      <c r="L2449" t="str">
        <f>_xlfn.XLOOKUP(K2449,[2]analyte_order!$B:$B,[2]analyte_order!$C:$C)</f>
        <v>57677-95-9</v>
      </c>
      <c r="M2449">
        <f>_xlfn.XLOOKUP(L2449,[2]analyte_order!$C:$C,[2]analyte_order!$E:$E)</f>
        <v>46</v>
      </c>
      <c r="N2449">
        <v>7.5999999999999998E-2</v>
      </c>
    </row>
    <row r="2450" spans="1:14">
      <c r="A2450" t="s">
        <v>187</v>
      </c>
      <c r="B2450" t="str">
        <f>_xlfn.XLOOKUP(A2450,'[1]Tissue Data'!$A:$A,'[1]Tissue Data'!$C:$C)</f>
        <v>Spill</v>
      </c>
      <c r="C2450" s="2">
        <f>_xlfn.XLOOKUP(A2450,'[1]Tissue Data'!$A:$A,'[1]Tissue Data'!$D:$D)</f>
        <v>44314</v>
      </c>
      <c r="D2450" s="2" t="str">
        <f>_xlfn.XLOOKUP(A2450,'[1]Tissue Data'!$A:$A,'[1]Tissue Data'!$F:$F)</f>
        <v>Swallowtail Shiner</v>
      </c>
      <c r="E2450" t="str">
        <f>_xlfn.XLOOKUP(A2450,'[1]Tissue Data'!$A:$A,'[1]Tissue Data'!$H:$H)</f>
        <v>Notropis</v>
      </c>
      <c r="F2450" t="str">
        <f>_xlfn.XLOOKUP(A2450,'[1]Tissue Data'!$A:$A,'[1]Tissue Data'!$I:$I)</f>
        <v>procne</v>
      </c>
      <c r="G2450" t="str">
        <f>_xlfn.XLOOKUP(A2450,'[1]Tissue Data'!$A:$A,'[1]Tissue Data'!J:J)</f>
        <v>U</v>
      </c>
      <c r="H2450" t="str">
        <f>_xlfn.XLOOKUP(A2450,'[1]Tissue Data'!$A:$A,'[1]Tissue Data'!K:K)</f>
        <v>Whole Body</v>
      </c>
      <c r="I2450">
        <f>_xlfn.XLOOKUP(A2450,'[1]Tissue Data'!$A:$A,'[1]Tissue Data'!L:L)</f>
        <v>5.5</v>
      </c>
      <c r="J2450">
        <f>_xlfn.XLOOKUP(A2450,'[1]Tissue Data'!$A:$A,'[1]Tissue Data'!M:M)</f>
        <v>1.95</v>
      </c>
      <c r="K2450" t="s">
        <v>60</v>
      </c>
      <c r="L2450" t="str">
        <f>_xlfn.XLOOKUP(K2450,[2]analyte_order!$B:$B,[2]analyte_order!$C:$C)</f>
        <v>678-41-1</v>
      </c>
      <c r="M2450">
        <f>_xlfn.XLOOKUP(L2450,[2]analyte_order!$C:$C,[2]analyte_order!$E:$E)</f>
        <v>56</v>
      </c>
      <c r="N2450">
        <v>9.4E-2</v>
      </c>
    </row>
    <row r="2451" spans="1:14">
      <c r="A2451" t="s">
        <v>187</v>
      </c>
      <c r="B2451" t="str">
        <f>_xlfn.XLOOKUP(A2451,'[1]Tissue Data'!$A:$A,'[1]Tissue Data'!$C:$C)</f>
        <v>Spill</v>
      </c>
      <c r="C2451" s="2">
        <f>_xlfn.XLOOKUP(A2451,'[1]Tissue Data'!$A:$A,'[1]Tissue Data'!$D:$D)</f>
        <v>44314</v>
      </c>
      <c r="D2451" s="2" t="str">
        <f>_xlfn.XLOOKUP(A2451,'[1]Tissue Data'!$A:$A,'[1]Tissue Data'!$F:$F)</f>
        <v>Swallowtail Shiner</v>
      </c>
      <c r="E2451" t="str">
        <f>_xlfn.XLOOKUP(A2451,'[1]Tissue Data'!$A:$A,'[1]Tissue Data'!$H:$H)</f>
        <v>Notropis</v>
      </c>
      <c r="F2451" t="str">
        <f>_xlfn.XLOOKUP(A2451,'[1]Tissue Data'!$A:$A,'[1]Tissue Data'!$I:$I)</f>
        <v>procne</v>
      </c>
      <c r="G2451" t="str">
        <f>_xlfn.XLOOKUP(A2451,'[1]Tissue Data'!$A:$A,'[1]Tissue Data'!J:J)</f>
        <v>U</v>
      </c>
      <c r="H2451" t="str">
        <f>_xlfn.XLOOKUP(A2451,'[1]Tissue Data'!$A:$A,'[1]Tissue Data'!K:K)</f>
        <v>Whole Body</v>
      </c>
      <c r="I2451">
        <f>_xlfn.XLOOKUP(A2451,'[1]Tissue Data'!$A:$A,'[1]Tissue Data'!L:L)</f>
        <v>5.5</v>
      </c>
      <c r="J2451">
        <f>_xlfn.XLOOKUP(A2451,'[1]Tissue Data'!$A:$A,'[1]Tissue Data'!M:M)</f>
        <v>1.95</v>
      </c>
      <c r="K2451" t="s">
        <v>61</v>
      </c>
      <c r="L2451" t="str">
        <f>_xlfn.XLOOKUP(K2451,[2]analyte_order!$B:$B,[2]analyte_order!$C:$C)</f>
        <v>2965-52-8</v>
      </c>
      <c r="M2451">
        <f>_xlfn.XLOOKUP(L2451,[2]analyte_order!$C:$C,[2]analyte_order!$E:$E)</f>
        <v>57</v>
      </c>
      <c r="N2451">
        <v>0.125</v>
      </c>
    </row>
    <row r="2452" spans="1:14">
      <c r="A2452" t="s">
        <v>188</v>
      </c>
      <c r="B2452" t="str">
        <f>_xlfn.XLOOKUP(A2452,'[1]Tissue Data'!$A:$A,'[1]Tissue Data'!$C:$C)</f>
        <v>Spill</v>
      </c>
      <c r="C2452" s="2">
        <f>_xlfn.XLOOKUP(A2452,'[1]Tissue Data'!$A:$A,'[1]Tissue Data'!$D:$D)</f>
        <v>44314</v>
      </c>
      <c r="D2452" s="2" t="str">
        <f>_xlfn.XLOOKUP(A2452,'[1]Tissue Data'!$A:$A,'[1]Tissue Data'!$F:$F)</f>
        <v>Swallowtail Shiner</v>
      </c>
      <c r="E2452" t="str">
        <f>_xlfn.XLOOKUP(A2452,'[1]Tissue Data'!$A:$A,'[1]Tissue Data'!$H:$H)</f>
        <v>Notropis</v>
      </c>
      <c r="F2452" t="str">
        <f>_xlfn.XLOOKUP(A2452,'[1]Tissue Data'!$A:$A,'[1]Tissue Data'!$I:$I)</f>
        <v>procne</v>
      </c>
      <c r="G2452" t="str">
        <f>_xlfn.XLOOKUP(A2452,'[1]Tissue Data'!$A:$A,'[1]Tissue Data'!J:J)</f>
        <v>U</v>
      </c>
      <c r="H2452" t="str">
        <f>_xlfn.XLOOKUP(A2452,'[1]Tissue Data'!$A:$A,'[1]Tissue Data'!K:K)</f>
        <v>Whole Body</v>
      </c>
      <c r="I2452">
        <f>_xlfn.XLOOKUP(A2452,'[1]Tissue Data'!$A:$A,'[1]Tissue Data'!L:L)</f>
        <v>5.5</v>
      </c>
      <c r="J2452">
        <f>_xlfn.XLOOKUP(A2452,'[1]Tissue Data'!$A:$A,'[1]Tissue Data'!M:M)</f>
        <v>2.4</v>
      </c>
      <c r="K2452" t="s">
        <v>12</v>
      </c>
      <c r="L2452" t="str">
        <f>_xlfn.XLOOKUP(K2452,[2]analyte_order!$B:$B,[2]analyte_order!$C:$C)</f>
        <v>375-22-4</v>
      </c>
      <c r="M2452">
        <f>_xlfn.XLOOKUP(L2452,[2]analyte_order!$C:$C,[2]analyte_order!$E:$E)</f>
        <v>1</v>
      </c>
      <c r="N2452">
        <v>2.5149999999999999E-2</v>
      </c>
    </row>
    <row r="2453" spans="1:14">
      <c r="A2453" t="s">
        <v>188</v>
      </c>
      <c r="B2453" t="str">
        <f>_xlfn.XLOOKUP(A2453,'[1]Tissue Data'!$A:$A,'[1]Tissue Data'!$C:$C)</f>
        <v>Spill</v>
      </c>
      <c r="C2453" s="2">
        <f>_xlfn.XLOOKUP(A2453,'[1]Tissue Data'!$A:$A,'[1]Tissue Data'!$D:$D)</f>
        <v>44314</v>
      </c>
      <c r="D2453" s="2" t="str">
        <f>_xlfn.XLOOKUP(A2453,'[1]Tissue Data'!$A:$A,'[1]Tissue Data'!$F:$F)</f>
        <v>Swallowtail Shiner</v>
      </c>
      <c r="E2453" t="str">
        <f>_xlfn.XLOOKUP(A2453,'[1]Tissue Data'!$A:$A,'[1]Tissue Data'!$H:$H)</f>
        <v>Notropis</v>
      </c>
      <c r="F2453" t="str">
        <f>_xlfn.XLOOKUP(A2453,'[1]Tissue Data'!$A:$A,'[1]Tissue Data'!$I:$I)</f>
        <v>procne</v>
      </c>
      <c r="G2453" t="str">
        <f>_xlfn.XLOOKUP(A2453,'[1]Tissue Data'!$A:$A,'[1]Tissue Data'!J:J)</f>
        <v>U</v>
      </c>
      <c r="H2453" t="str">
        <f>_xlfn.XLOOKUP(A2453,'[1]Tissue Data'!$A:$A,'[1]Tissue Data'!K:K)</f>
        <v>Whole Body</v>
      </c>
      <c r="I2453">
        <f>_xlfn.XLOOKUP(A2453,'[1]Tissue Data'!$A:$A,'[1]Tissue Data'!L:L)</f>
        <v>5.5</v>
      </c>
      <c r="J2453">
        <f>_xlfn.XLOOKUP(A2453,'[1]Tissue Data'!$A:$A,'[1]Tissue Data'!M:M)</f>
        <v>2.4</v>
      </c>
      <c r="K2453" t="s">
        <v>13</v>
      </c>
      <c r="L2453" t="str">
        <f>_xlfn.XLOOKUP(K2453,[2]analyte_order!$B:$B,[2]analyte_order!$C:$C)</f>
        <v>2706-90-3</v>
      </c>
      <c r="M2453">
        <f>_xlfn.XLOOKUP(L2453,[2]analyte_order!$C:$C,[2]analyte_order!$E:$E)</f>
        <v>2</v>
      </c>
      <c r="N2453">
        <v>4.4400000000000002E-2</v>
      </c>
    </row>
    <row r="2454" spans="1:14">
      <c r="A2454" t="s">
        <v>188</v>
      </c>
      <c r="B2454" t="str">
        <f>_xlfn.XLOOKUP(A2454,'[1]Tissue Data'!$A:$A,'[1]Tissue Data'!$C:$C)</f>
        <v>Spill</v>
      </c>
      <c r="C2454" s="2">
        <f>_xlfn.XLOOKUP(A2454,'[1]Tissue Data'!$A:$A,'[1]Tissue Data'!$D:$D)</f>
        <v>44314</v>
      </c>
      <c r="D2454" s="2" t="str">
        <f>_xlfn.XLOOKUP(A2454,'[1]Tissue Data'!$A:$A,'[1]Tissue Data'!$F:$F)</f>
        <v>Swallowtail Shiner</v>
      </c>
      <c r="E2454" t="str">
        <f>_xlfn.XLOOKUP(A2454,'[1]Tissue Data'!$A:$A,'[1]Tissue Data'!$H:$H)</f>
        <v>Notropis</v>
      </c>
      <c r="F2454" t="str">
        <f>_xlfn.XLOOKUP(A2454,'[1]Tissue Data'!$A:$A,'[1]Tissue Data'!$I:$I)</f>
        <v>procne</v>
      </c>
      <c r="G2454" t="str">
        <f>_xlfn.XLOOKUP(A2454,'[1]Tissue Data'!$A:$A,'[1]Tissue Data'!J:J)</f>
        <v>U</v>
      </c>
      <c r="H2454" t="str">
        <f>_xlfn.XLOOKUP(A2454,'[1]Tissue Data'!$A:$A,'[1]Tissue Data'!K:K)</f>
        <v>Whole Body</v>
      </c>
      <c r="I2454">
        <f>_xlfn.XLOOKUP(A2454,'[1]Tissue Data'!$A:$A,'[1]Tissue Data'!L:L)</f>
        <v>5.5</v>
      </c>
      <c r="J2454">
        <f>_xlfn.XLOOKUP(A2454,'[1]Tissue Data'!$A:$A,'[1]Tissue Data'!M:M)</f>
        <v>2.4</v>
      </c>
      <c r="K2454" t="s">
        <v>14</v>
      </c>
      <c r="L2454" t="str">
        <f>_xlfn.XLOOKUP(K2454,[2]analyte_order!$B:$B,[2]analyte_order!$C:$C)</f>
        <v>307-24-4</v>
      </c>
      <c r="M2454">
        <f>_xlfn.XLOOKUP(L2454,[2]analyte_order!$C:$C,[2]analyte_order!$E:$E)</f>
        <v>3</v>
      </c>
      <c r="N2454">
        <v>0.38500000000000001</v>
      </c>
    </row>
    <row r="2455" spans="1:14">
      <c r="A2455" t="s">
        <v>188</v>
      </c>
      <c r="B2455" t="str">
        <f>_xlfn.XLOOKUP(A2455,'[1]Tissue Data'!$A:$A,'[1]Tissue Data'!$C:$C)</f>
        <v>Spill</v>
      </c>
      <c r="C2455" s="2">
        <f>_xlfn.XLOOKUP(A2455,'[1]Tissue Data'!$A:$A,'[1]Tissue Data'!$D:$D)</f>
        <v>44314</v>
      </c>
      <c r="D2455" s="2" t="str">
        <f>_xlfn.XLOOKUP(A2455,'[1]Tissue Data'!$A:$A,'[1]Tissue Data'!$F:$F)</f>
        <v>Swallowtail Shiner</v>
      </c>
      <c r="E2455" t="str">
        <f>_xlfn.XLOOKUP(A2455,'[1]Tissue Data'!$A:$A,'[1]Tissue Data'!$H:$H)</f>
        <v>Notropis</v>
      </c>
      <c r="F2455" t="str">
        <f>_xlfn.XLOOKUP(A2455,'[1]Tissue Data'!$A:$A,'[1]Tissue Data'!$I:$I)</f>
        <v>procne</v>
      </c>
      <c r="G2455" t="str">
        <f>_xlfn.XLOOKUP(A2455,'[1]Tissue Data'!$A:$A,'[1]Tissue Data'!J:J)</f>
        <v>U</v>
      </c>
      <c r="H2455" t="str">
        <f>_xlfn.XLOOKUP(A2455,'[1]Tissue Data'!$A:$A,'[1]Tissue Data'!K:K)</f>
        <v>Whole Body</v>
      </c>
      <c r="I2455">
        <f>_xlfn.XLOOKUP(A2455,'[1]Tissue Data'!$A:$A,'[1]Tissue Data'!L:L)</f>
        <v>5.5</v>
      </c>
      <c r="J2455">
        <f>_xlfn.XLOOKUP(A2455,'[1]Tissue Data'!$A:$A,'[1]Tissue Data'!M:M)</f>
        <v>2.4</v>
      </c>
      <c r="K2455" t="s">
        <v>15</v>
      </c>
      <c r="L2455" t="str">
        <f>_xlfn.XLOOKUP(K2455,[2]analyte_order!$B:$B,[2]analyte_order!$C:$C)</f>
        <v>375-85-9</v>
      </c>
      <c r="M2455">
        <f>_xlfn.XLOOKUP(L2455,[2]analyte_order!$C:$C,[2]analyte_order!$E:$E)</f>
        <v>4</v>
      </c>
      <c r="N2455">
        <v>8.3000000000000004E-2</v>
      </c>
    </row>
    <row r="2456" spans="1:14">
      <c r="A2456" t="s">
        <v>188</v>
      </c>
      <c r="B2456" t="str">
        <f>_xlfn.XLOOKUP(A2456,'[1]Tissue Data'!$A:$A,'[1]Tissue Data'!$C:$C)</f>
        <v>Spill</v>
      </c>
      <c r="C2456" s="2">
        <f>_xlfn.XLOOKUP(A2456,'[1]Tissue Data'!$A:$A,'[1]Tissue Data'!$D:$D)</f>
        <v>44314</v>
      </c>
      <c r="D2456" s="2" t="str">
        <f>_xlfn.XLOOKUP(A2456,'[1]Tissue Data'!$A:$A,'[1]Tissue Data'!$F:$F)</f>
        <v>Swallowtail Shiner</v>
      </c>
      <c r="E2456" t="str">
        <f>_xlfn.XLOOKUP(A2456,'[1]Tissue Data'!$A:$A,'[1]Tissue Data'!$H:$H)</f>
        <v>Notropis</v>
      </c>
      <c r="F2456" t="str">
        <f>_xlfn.XLOOKUP(A2456,'[1]Tissue Data'!$A:$A,'[1]Tissue Data'!$I:$I)</f>
        <v>procne</v>
      </c>
      <c r="G2456" t="str">
        <f>_xlfn.XLOOKUP(A2456,'[1]Tissue Data'!$A:$A,'[1]Tissue Data'!J:J)</f>
        <v>U</v>
      </c>
      <c r="H2456" t="str">
        <f>_xlfn.XLOOKUP(A2456,'[1]Tissue Data'!$A:$A,'[1]Tissue Data'!K:K)</f>
        <v>Whole Body</v>
      </c>
      <c r="I2456">
        <f>_xlfn.XLOOKUP(A2456,'[1]Tissue Data'!$A:$A,'[1]Tissue Data'!L:L)</f>
        <v>5.5</v>
      </c>
      <c r="J2456">
        <f>_xlfn.XLOOKUP(A2456,'[1]Tissue Data'!$A:$A,'[1]Tissue Data'!M:M)</f>
        <v>2.4</v>
      </c>
      <c r="K2456" t="s">
        <v>16</v>
      </c>
      <c r="L2456" t="str">
        <f>_xlfn.XLOOKUP(K2456,[2]analyte_order!$B:$B,[2]analyte_order!$C:$C)</f>
        <v>335-67-1</v>
      </c>
      <c r="M2456">
        <f>_xlfn.XLOOKUP(L2456,[2]analyte_order!$C:$C,[2]analyte_order!$E:$E)</f>
        <v>5</v>
      </c>
      <c r="N2456">
        <v>3.23</v>
      </c>
    </row>
    <row r="2457" spans="1:14">
      <c r="A2457" t="s">
        <v>188</v>
      </c>
      <c r="B2457" t="str">
        <f>_xlfn.XLOOKUP(A2457,'[1]Tissue Data'!$A:$A,'[1]Tissue Data'!$C:$C)</f>
        <v>Spill</v>
      </c>
      <c r="C2457" s="2">
        <f>_xlfn.XLOOKUP(A2457,'[1]Tissue Data'!$A:$A,'[1]Tissue Data'!$D:$D)</f>
        <v>44314</v>
      </c>
      <c r="D2457" s="2" t="str">
        <f>_xlfn.XLOOKUP(A2457,'[1]Tissue Data'!$A:$A,'[1]Tissue Data'!$F:$F)</f>
        <v>Swallowtail Shiner</v>
      </c>
      <c r="E2457" t="str">
        <f>_xlfn.XLOOKUP(A2457,'[1]Tissue Data'!$A:$A,'[1]Tissue Data'!$H:$H)</f>
        <v>Notropis</v>
      </c>
      <c r="F2457" t="str">
        <f>_xlfn.XLOOKUP(A2457,'[1]Tissue Data'!$A:$A,'[1]Tissue Data'!$I:$I)</f>
        <v>procne</v>
      </c>
      <c r="G2457" t="str">
        <f>_xlfn.XLOOKUP(A2457,'[1]Tissue Data'!$A:$A,'[1]Tissue Data'!J:J)</f>
        <v>U</v>
      </c>
      <c r="H2457" t="str">
        <f>_xlfn.XLOOKUP(A2457,'[1]Tissue Data'!$A:$A,'[1]Tissue Data'!K:K)</f>
        <v>Whole Body</v>
      </c>
      <c r="I2457">
        <f>_xlfn.XLOOKUP(A2457,'[1]Tissue Data'!$A:$A,'[1]Tissue Data'!L:L)</f>
        <v>5.5</v>
      </c>
      <c r="J2457">
        <f>_xlfn.XLOOKUP(A2457,'[1]Tissue Data'!$A:$A,'[1]Tissue Data'!M:M)</f>
        <v>2.4</v>
      </c>
      <c r="K2457" t="s">
        <v>17</v>
      </c>
      <c r="L2457" t="str">
        <f>_xlfn.XLOOKUP(K2457,[2]analyte_order!$B:$B,[2]analyte_order!$C:$C)</f>
        <v>375-95-1</v>
      </c>
      <c r="M2457">
        <f>_xlfn.XLOOKUP(L2457,[2]analyte_order!$C:$C,[2]analyte_order!$E:$E)</f>
        <v>6</v>
      </c>
      <c r="N2457">
        <v>13.1</v>
      </c>
    </row>
    <row r="2458" spans="1:14">
      <c r="A2458" t="s">
        <v>188</v>
      </c>
      <c r="B2458" t="str">
        <f>_xlfn.XLOOKUP(A2458,'[1]Tissue Data'!$A:$A,'[1]Tissue Data'!$C:$C)</f>
        <v>Spill</v>
      </c>
      <c r="C2458" s="2">
        <f>_xlfn.XLOOKUP(A2458,'[1]Tissue Data'!$A:$A,'[1]Tissue Data'!$D:$D)</f>
        <v>44314</v>
      </c>
      <c r="D2458" s="2" t="str">
        <f>_xlfn.XLOOKUP(A2458,'[1]Tissue Data'!$A:$A,'[1]Tissue Data'!$F:$F)</f>
        <v>Swallowtail Shiner</v>
      </c>
      <c r="E2458" t="str">
        <f>_xlfn.XLOOKUP(A2458,'[1]Tissue Data'!$A:$A,'[1]Tissue Data'!$H:$H)</f>
        <v>Notropis</v>
      </c>
      <c r="F2458" t="str">
        <f>_xlfn.XLOOKUP(A2458,'[1]Tissue Data'!$A:$A,'[1]Tissue Data'!$I:$I)</f>
        <v>procne</v>
      </c>
      <c r="G2458" t="str">
        <f>_xlfn.XLOOKUP(A2458,'[1]Tissue Data'!$A:$A,'[1]Tissue Data'!J:J)</f>
        <v>U</v>
      </c>
      <c r="H2458" t="str">
        <f>_xlfn.XLOOKUP(A2458,'[1]Tissue Data'!$A:$A,'[1]Tissue Data'!K:K)</f>
        <v>Whole Body</v>
      </c>
      <c r="I2458">
        <f>_xlfn.XLOOKUP(A2458,'[1]Tissue Data'!$A:$A,'[1]Tissue Data'!L:L)</f>
        <v>5.5</v>
      </c>
      <c r="J2458">
        <f>_xlfn.XLOOKUP(A2458,'[1]Tissue Data'!$A:$A,'[1]Tissue Data'!M:M)</f>
        <v>2.4</v>
      </c>
      <c r="K2458" t="s">
        <v>18</v>
      </c>
      <c r="L2458" t="str">
        <f>_xlfn.XLOOKUP(K2458,[2]analyte_order!$B:$B,[2]analyte_order!$C:$C)</f>
        <v>335-76-2</v>
      </c>
      <c r="M2458">
        <f>_xlfn.XLOOKUP(L2458,[2]analyte_order!$C:$C,[2]analyte_order!$E:$E)</f>
        <v>7</v>
      </c>
      <c r="N2458">
        <v>13.6</v>
      </c>
    </row>
    <row r="2459" spans="1:14">
      <c r="A2459" t="s">
        <v>188</v>
      </c>
      <c r="B2459" t="str">
        <f>_xlfn.XLOOKUP(A2459,'[1]Tissue Data'!$A:$A,'[1]Tissue Data'!$C:$C)</f>
        <v>Spill</v>
      </c>
      <c r="C2459" s="2">
        <f>_xlfn.XLOOKUP(A2459,'[1]Tissue Data'!$A:$A,'[1]Tissue Data'!$D:$D)</f>
        <v>44314</v>
      </c>
      <c r="D2459" s="2" t="str">
        <f>_xlfn.XLOOKUP(A2459,'[1]Tissue Data'!$A:$A,'[1]Tissue Data'!$F:$F)</f>
        <v>Swallowtail Shiner</v>
      </c>
      <c r="E2459" t="str">
        <f>_xlfn.XLOOKUP(A2459,'[1]Tissue Data'!$A:$A,'[1]Tissue Data'!$H:$H)</f>
        <v>Notropis</v>
      </c>
      <c r="F2459" t="str">
        <f>_xlfn.XLOOKUP(A2459,'[1]Tissue Data'!$A:$A,'[1]Tissue Data'!$I:$I)</f>
        <v>procne</v>
      </c>
      <c r="G2459" t="str">
        <f>_xlfn.XLOOKUP(A2459,'[1]Tissue Data'!$A:$A,'[1]Tissue Data'!J:J)</f>
        <v>U</v>
      </c>
      <c r="H2459" t="str">
        <f>_xlfn.XLOOKUP(A2459,'[1]Tissue Data'!$A:$A,'[1]Tissue Data'!K:K)</f>
        <v>Whole Body</v>
      </c>
      <c r="I2459">
        <f>_xlfn.XLOOKUP(A2459,'[1]Tissue Data'!$A:$A,'[1]Tissue Data'!L:L)</f>
        <v>5.5</v>
      </c>
      <c r="J2459">
        <f>_xlfn.XLOOKUP(A2459,'[1]Tissue Data'!$A:$A,'[1]Tissue Data'!M:M)</f>
        <v>2.4</v>
      </c>
      <c r="K2459" t="s">
        <v>19</v>
      </c>
      <c r="L2459" t="str">
        <f>_xlfn.XLOOKUP(K2459,[2]analyte_order!$B:$B,[2]analyte_order!$C:$C)</f>
        <v>2058-94-8</v>
      </c>
      <c r="M2459">
        <f>_xlfn.XLOOKUP(L2459,[2]analyte_order!$C:$C,[2]analyte_order!$E:$E)</f>
        <v>8</v>
      </c>
      <c r="N2459">
        <v>24.3</v>
      </c>
    </row>
    <row r="2460" spans="1:14">
      <c r="A2460" t="s">
        <v>188</v>
      </c>
      <c r="B2460" t="str">
        <f>_xlfn.XLOOKUP(A2460,'[1]Tissue Data'!$A:$A,'[1]Tissue Data'!$C:$C)</f>
        <v>Spill</v>
      </c>
      <c r="C2460" s="2">
        <f>_xlfn.XLOOKUP(A2460,'[1]Tissue Data'!$A:$A,'[1]Tissue Data'!$D:$D)</f>
        <v>44314</v>
      </c>
      <c r="D2460" s="2" t="str">
        <f>_xlfn.XLOOKUP(A2460,'[1]Tissue Data'!$A:$A,'[1]Tissue Data'!$F:$F)</f>
        <v>Swallowtail Shiner</v>
      </c>
      <c r="E2460" t="str">
        <f>_xlfn.XLOOKUP(A2460,'[1]Tissue Data'!$A:$A,'[1]Tissue Data'!$H:$H)</f>
        <v>Notropis</v>
      </c>
      <c r="F2460" t="str">
        <f>_xlfn.XLOOKUP(A2460,'[1]Tissue Data'!$A:$A,'[1]Tissue Data'!$I:$I)</f>
        <v>procne</v>
      </c>
      <c r="G2460" t="str">
        <f>_xlfn.XLOOKUP(A2460,'[1]Tissue Data'!$A:$A,'[1]Tissue Data'!J:J)</f>
        <v>U</v>
      </c>
      <c r="H2460" t="str">
        <f>_xlfn.XLOOKUP(A2460,'[1]Tissue Data'!$A:$A,'[1]Tissue Data'!K:K)</f>
        <v>Whole Body</v>
      </c>
      <c r="I2460">
        <f>_xlfn.XLOOKUP(A2460,'[1]Tissue Data'!$A:$A,'[1]Tissue Data'!L:L)</f>
        <v>5.5</v>
      </c>
      <c r="J2460">
        <f>_xlfn.XLOOKUP(A2460,'[1]Tissue Data'!$A:$A,'[1]Tissue Data'!M:M)</f>
        <v>2.4</v>
      </c>
      <c r="K2460" t="s">
        <v>20</v>
      </c>
      <c r="L2460" t="str">
        <f>_xlfn.XLOOKUP(K2460,[2]analyte_order!$B:$B,[2]analyte_order!$C:$C)</f>
        <v>307-55-1</v>
      </c>
      <c r="M2460">
        <f>_xlfn.XLOOKUP(L2460,[2]analyte_order!$C:$C,[2]analyte_order!$E:$E)</f>
        <v>9</v>
      </c>
      <c r="N2460">
        <v>17.100000000000001</v>
      </c>
    </row>
    <row r="2461" spans="1:14">
      <c r="A2461" t="s">
        <v>188</v>
      </c>
      <c r="B2461" t="str">
        <f>_xlfn.XLOOKUP(A2461,'[1]Tissue Data'!$A:$A,'[1]Tissue Data'!$C:$C)</f>
        <v>Spill</v>
      </c>
      <c r="C2461" s="2">
        <f>_xlfn.XLOOKUP(A2461,'[1]Tissue Data'!$A:$A,'[1]Tissue Data'!$D:$D)</f>
        <v>44314</v>
      </c>
      <c r="D2461" s="2" t="str">
        <f>_xlfn.XLOOKUP(A2461,'[1]Tissue Data'!$A:$A,'[1]Tissue Data'!$F:$F)</f>
        <v>Swallowtail Shiner</v>
      </c>
      <c r="E2461" t="str">
        <f>_xlfn.XLOOKUP(A2461,'[1]Tissue Data'!$A:$A,'[1]Tissue Data'!$H:$H)</f>
        <v>Notropis</v>
      </c>
      <c r="F2461" t="str">
        <f>_xlfn.XLOOKUP(A2461,'[1]Tissue Data'!$A:$A,'[1]Tissue Data'!$I:$I)</f>
        <v>procne</v>
      </c>
      <c r="G2461" t="str">
        <f>_xlfn.XLOOKUP(A2461,'[1]Tissue Data'!$A:$A,'[1]Tissue Data'!J:J)</f>
        <v>U</v>
      </c>
      <c r="H2461" t="str">
        <f>_xlfn.XLOOKUP(A2461,'[1]Tissue Data'!$A:$A,'[1]Tissue Data'!K:K)</f>
        <v>Whole Body</v>
      </c>
      <c r="I2461">
        <f>_xlfn.XLOOKUP(A2461,'[1]Tissue Data'!$A:$A,'[1]Tissue Data'!L:L)</f>
        <v>5.5</v>
      </c>
      <c r="J2461">
        <f>_xlfn.XLOOKUP(A2461,'[1]Tissue Data'!$A:$A,'[1]Tissue Data'!M:M)</f>
        <v>2.4</v>
      </c>
      <c r="K2461" t="s">
        <v>21</v>
      </c>
      <c r="L2461" t="str">
        <f>_xlfn.XLOOKUP(K2461,[2]analyte_order!$B:$B,[2]analyte_order!$C:$C)</f>
        <v>72629-94-8</v>
      </c>
      <c r="M2461">
        <f>_xlfn.XLOOKUP(L2461,[2]analyte_order!$C:$C,[2]analyte_order!$E:$E)</f>
        <v>10</v>
      </c>
      <c r="N2461">
        <v>4.58</v>
      </c>
    </row>
    <row r="2462" spans="1:14">
      <c r="A2462" t="s">
        <v>188</v>
      </c>
      <c r="B2462" t="str">
        <f>_xlfn.XLOOKUP(A2462,'[1]Tissue Data'!$A:$A,'[1]Tissue Data'!$C:$C)</f>
        <v>Spill</v>
      </c>
      <c r="C2462" s="2">
        <f>_xlfn.XLOOKUP(A2462,'[1]Tissue Data'!$A:$A,'[1]Tissue Data'!$D:$D)</f>
        <v>44314</v>
      </c>
      <c r="D2462" s="2" t="str">
        <f>_xlfn.XLOOKUP(A2462,'[1]Tissue Data'!$A:$A,'[1]Tissue Data'!$F:$F)</f>
        <v>Swallowtail Shiner</v>
      </c>
      <c r="E2462" t="str">
        <f>_xlfn.XLOOKUP(A2462,'[1]Tissue Data'!$A:$A,'[1]Tissue Data'!$H:$H)</f>
        <v>Notropis</v>
      </c>
      <c r="F2462" t="str">
        <f>_xlfn.XLOOKUP(A2462,'[1]Tissue Data'!$A:$A,'[1]Tissue Data'!$I:$I)</f>
        <v>procne</v>
      </c>
      <c r="G2462" t="str">
        <f>_xlfn.XLOOKUP(A2462,'[1]Tissue Data'!$A:$A,'[1]Tissue Data'!J:J)</f>
        <v>U</v>
      </c>
      <c r="H2462" t="str">
        <f>_xlfn.XLOOKUP(A2462,'[1]Tissue Data'!$A:$A,'[1]Tissue Data'!K:K)</f>
        <v>Whole Body</v>
      </c>
      <c r="I2462">
        <f>_xlfn.XLOOKUP(A2462,'[1]Tissue Data'!$A:$A,'[1]Tissue Data'!L:L)</f>
        <v>5.5</v>
      </c>
      <c r="J2462">
        <f>_xlfn.XLOOKUP(A2462,'[1]Tissue Data'!$A:$A,'[1]Tissue Data'!M:M)</f>
        <v>2.4</v>
      </c>
      <c r="K2462" t="s">
        <v>22</v>
      </c>
      <c r="L2462" t="str">
        <f>_xlfn.XLOOKUP(K2462,[2]analyte_order!$B:$B,[2]analyte_order!$C:$C)</f>
        <v>376-06-7</v>
      </c>
      <c r="M2462">
        <f>_xlfn.XLOOKUP(L2462,[2]analyte_order!$C:$C,[2]analyte_order!$E:$E)</f>
        <v>11</v>
      </c>
      <c r="N2462">
        <v>9.73</v>
      </c>
    </row>
    <row r="2463" spans="1:14">
      <c r="A2463" t="s">
        <v>188</v>
      </c>
      <c r="B2463" t="str">
        <f>_xlfn.XLOOKUP(A2463,'[1]Tissue Data'!$A:$A,'[1]Tissue Data'!$C:$C)</f>
        <v>Spill</v>
      </c>
      <c r="C2463" s="2">
        <f>_xlfn.XLOOKUP(A2463,'[1]Tissue Data'!$A:$A,'[1]Tissue Data'!$D:$D)</f>
        <v>44314</v>
      </c>
      <c r="D2463" s="2" t="str">
        <f>_xlfn.XLOOKUP(A2463,'[1]Tissue Data'!$A:$A,'[1]Tissue Data'!$F:$F)</f>
        <v>Swallowtail Shiner</v>
      </c>
      <c r="E2463" t="str">
        <f>_xlfn.XLOOKUP(A2463,'[1]Tissue Data'!$A:$A,'[1]Tissue Data'!$H:$H)</f>
        <v>Notropis</v>
      </c>
      <c r="F2463" t="str">
        <f>_xlfn.XLOOKUP(A2463,'[1]Tissue Data'!$A:$A,'[1]Tissue Data'!$I:$I)</f>
        <v>procne</v>
      </c>
      <c r="G2463" t="str">
        <f>_xlfn.XLOOKUP(A2463,'[1]Tissue Data'!$A:$A,'[1]Tissue Data'!J:J)</f>
        <v>U</v>
      </c>
      <c r="H2463" t="str">
        <f>_xlfn.XLOOKUP(A2463,'[1]Tissue Data'!$A:$A,'[1]Tissue Data'!K:K)</f>
        <v>Whole Body</v>
      </c>
      <c r="I2463">
        <f>_xlfn.XLOOKUP(A2463,'[1]Tissue Data'!$A:$A,'[1]Tissue Data'!L:L)</f>
        <v>5.5</v>
      </c>
      <c r="J2463">
        <f>_xlfn.XLOOKUP(A2463,'[1]Tissue Data'!$A:$A,'[1]Tissue Data'!M:M)</f>
        <v>2.4</v>
      </c>
      <c r="K2463" t="s">
        <v>23</v>
      </c>
      <c r="L2463" t="str">
        <f>_xlfn.XLOOKUP(K2463,[2]analyte_order!$B:$B,[2]analyte_order!$C:$C)</f>
        <v>67905-19-5</v>
      </c>
      <c r="M2463">
        <f>_xlfn.XLOOKUP(L2463,[2]analyte_order!$C:$C,[2]analyte_order!$E:$E)</f>
        <v>12</v>
      </c>
      <c r="N2463">
        <v>7.4999999999999997E-2</v>
      </c>
    </row>
    <row r="2464" spans="1:14">
      <c r="A2464" t="s">
        <v>188</v>
      </c>
      <c r="B2464" t="str">
        <f>_xlfn.XLOOKUP(A2464,'[1]Tissue Data'!$A:$A,'[1]Tissue Data'!$C:$C)</f>
        <v>Spill</v>
      </c>
      <c r="C2464" s="2">
        <f>_xlfn.XLOOKUP(A2464,'[1]Tissue Data'!$A:$A,'[1]Tissue Data'!$D:$D)</f>
        <v>44314</v>
      </c>
      <c r="D2464" s="2" t="str">
        <f>_xlfn.XLOOKUP(A2464,'[1]Tissue Data'!$A:$A,'[1]Tissue Data'!$F:$F)</f>
        <v>Swallowtail Shiner</v>
      </c>
      <c r="E2464" t="str">
        <f>_xlfn.XLOOKUP(A2464,'[1]Tissue Data'!$A:$A,'[1]Tissue Data'!$H:$H)</f>
        <v>Notropis</v>
      </c>
      <c r="F2464" t="str">
        <f>_xlfn.XLOOKUP(A2464,'[1]Tissue Data'!$A:$A,'[1]Tissue Data'!$I:$I)</f>
        <v>procne</v>
      </c>
      <c r="G2464" t="str">
        <f>_xlfn.XLOOKUP(A2464,'[1]Tissue Data'!$A:$A,'[1]Tissue Data'!J:J)</f>
        <v>U</v>
      </c>
      <c r="H2464" t="str">
        <f>_xlfn.XLOOKUP(A2464,'[1]Tissue Data'!$A:$A,'[1]Tissue Data'!K:K)</f>
        <v>Whole Body</v>
      </c>
      <c r="I2464">
        <f>_xlfn.XLOOKUP(A2464,'[1]Tissue Data'!$A:$A,'[1]Tissue Data'!L:L)</f>
        <v>5.5</v>
      </c>
      <c r="J2464">
        <f>_xlfn.XLOOKUP(A2464,'[1]Tissue Data'!$A:$A,'[1]Tissue Data'!M:M)</f>
        <v>2.4</v>
      </c>
      <c r="K2464" t="s">
        <v>24</v>
      </c>
      <c r="L2464" t="str">
        <f>_xlfn.XLOOKUP(K2464,[2]analyte_order!$B:$B,[2]analyte_order!$C:$C)</f>
        <v>423-41-6</v>
      </c>
      <c r="M2464">
        <f>_xlfn.XLOOKUP(L2464,[2]analyte_order!$C:$C,[2]analyte_order!$E:$E)</f>
        <v>53</v>
      </c>
      <c r="N2464">
        <v>4.7899999999999998E-2</v>
      </c>
    </row>
    <row r="2465" spans="1:14">
      <c r="A2465" t="s">
        <v>188</v>
      </c>
      <c r="B2465" t="str">
        <f>_xlfn.XLOOKUP(A2465,'[1]Tissue Data'!$A:$A,'[1]Tissue Data'!$C:$C)</f>
        <v>Spill</v>
      </c>
      <c r="C2465" s="2">
        <f>_xlfn.XLOOKUP(A2465,'[1]Tissue Data'!$A:$A,'[1]Tissue Data'!$D:$D)</f>
        <v>44314</v>
      </c>
      <c r="D2465" s="2" t="str">
        <f>_xlfn.XLOOKUP(A2465,'[1]Tissue Data'!$A:$A,'[1]Tissue Data'!$F:$F)</f>
        <v>Swallowtail Shiner</v>
      </c>
      <c r="E2465" t="str">
        <f>_xlfn.XLOOKUP(A2465,'[1]Tissue Data'!$A:$A,'[1]Tissue Data'!$H:$H)</f>
        <v>Notropis</v>
      </c>
      <c r="F2465" t="str">
        <f>_xlfn.XLOOKUP(A2465,'[1]Tissue Data'!$A:$A,'[1]Tissue Data'!$I:$I)</f>
        <v>procne</v>
      </c>
      <c r="G2465" t="str">
        <f>_xlfn.XLOOKUP(A2465,'[1]Tissue Data'!$A:$A,'[1]Tissue Data'!J:J)</f>
        <v>U</v>
      </c>
      <c r="H2465" t="str">
        <f>_xlfn.XLOOKUP(A2465,'[1]Tissue Data'!$A:$A,'[1]Tissue Data'!K:K)</f>
        <v>Whole Body</v>
      </c>
      <c r="I2465">
        <f>_xlfn.XLOOKUP(A2465,'[1]Tissue Data'!$A:$A,'[1]Tissue Data'!L:L)</f>
        <v>5.5</v>
      </c>
      <c r="J2465">
        <f>_xlfn.XLOOKUP(A2465,'[1]Tissue Data'!$A:$A,'[1]Tissue Data'!M:M)</f>
        <v>2.4</v>
      </c>
      <c r="K2465" t="s">
        <v>25</v>
      </c>
      <c r="L2465" t="str">
        <f>_xlfn.XLOOKUP(K2465,[2]analyte_order!$B:$B,[2]analyte_order!$C:$C)</f>
        <v>375-73-5</v>
      </c>
      <c r="M2465">
        <f>_xlfn.XLOOKUP(L2465,[2]analyte_order!$C:$C,[2]analyte_order!$E:$E)</f>
        <v>14</v>
      </c>
      <c r="N2465">
        <v>0.14099999999999999</v>
      </c>
    </row>
    <row r="2466" spans="1:14">
      <c r="A2466" t="s">
        <v>188</v>
      </c>
      <c r="B2466" t="str">
        <f>_xlfn.XLOOKUP(A2466,'[1]Tissue Data'!$A:$A,'[1]Tissue Data'!$C:$C)</f>
        <v>Spill</v>
      </c>
      <c r="C2466" s="2">
        <f>_xlfn.XLOOKUP(A2466,'[1]Tissue Data'!$A:$A,'[1]Tissue Data'!$D:$D)</f>
        <v>44314</v>
      </c>
      <c r="D2466" s="2" t="str">
        <f>_xlfn.XLOOKUP(A2466,'[1]Tissue Data'!$A:$A,'[1]Tissue Data'!$F:$F)</f>
        <v>Swallowtail Shiner</v>
      </c>
      <c r="E2466" t="str">
        <f>_xlfn.XLOOKUP(A2466,'[1]Tissue Data'!$A:$A,'[1]Tissue Data'!$H:$H)</f>
        <v>Notropis</v>
      </c>
      <c r="F2466" t="str">
        <f>_xlfn.XLOOKUP(A2466,'[1]Tissue Data'!$A:$A,'[1]Tissue Data'!$I:$I)</f>
        <v>procne</v>
      </c>
      <c r="G2466" t="str">
        <f>_xlfn.XLOOKUP(A2466,'[1]Tissue Data'!$A:$A,'[1]Tissue Data'!J:J)</f>
        <v>U</v>
      </c>
      <c r="H2466" t="str">
        <f>_xlfn.XLOOKUP(A2466,'[1]Tissue Data'!$A:$A,'[1]Tissue Data'!K:K)</f>
        <v>Whole Body</v>
      </c>
      <c r="I2466">
        <f>_xlfn.XLOOKUP(A2466,'[1]Tissue Data'!$A:$A,'[1]Tissue Data'!L:L)</f>
        <v>5.5</v>
      </c>
      <c r="J2466">
        <f>_xlfn.XLOOKUP(A2466,'[1]Tissue Data'!$A:$A,'[1]Tissue Data'!M:M)</f>
        <v>2.4</v>
      </c>
      <c r="K2466" t="s">
        <v>26</v>
      </c>
      <c r="L2466" t="str">
        <f>_xlfn.XLOOKUP(K2466,[2]analyte_order!$B:$B,[2]analyte_order!$C:$C)</f>
        <v>2706-91-4</v>
      </c>
      <c r="M2466">
        <f>_xlfn.XLOOKUP(L2466,[2]analyte_order!$C:$C,[2]analyte_order!$E:$E)</f>
        <v>15</v>
      </c>
      <c r="N2466">
        <v>1.71</v>
      </c>
    </row>
    <row r="2467" spans="1:14">
      <c r="A2467" t="s">
        <v>188</v>
      </c>
      <c r="B2467" t="str">
        <f>_xlfn.XLOOKUP(A2467,'[1]Tissue Data'!$A:$A,'[1]Tissue Data'!$C:$C)</f>
        <v>Spill</v>
      </c>
      <c r="C2467" s="2">
        <f>_xlfn.XLOOKUP(A2467,'[1]Tissue Data'!$A:$A,'[1]Tissue Data'!$D:$D)</f>
        <v>44314</v>
      </c>
      <c r="D2467" s="2" t="str">
        <f>_xlfn.XLOOKUP(A2467,'[1]Tissue Data'!$A:$A,'[1]Tissue Data'!$F:$F)</f>
        <v>Swallowtail Shiner</v>
      </c>
      <c r="E2467" t="str">
        <f>_xlfn.XLOOKUP(A2467,'[1]Tissue Data'!$A:$A,'[1]Tissue Data'!$H:$H)</f>
        <v>Notropis</v>
      </c>
      <c r="F2467" t="str">
        <f>_xlfn.XLOOKUP(A2467,'[1]Tissue Data'!$A:$A,'[1]Tissue Data'!$I:$I)</f>
        <v>procne</v>
      </c>
      <c r="G2467" t="str">
        <f>_xlfn.XLOOKUP(A2467,'[1]Tissue Data'!$A:$A,'[1]Tissue Data'!J:J)</f>
        <v>U</v>
      </c>
      <c r="H2467" t="str">
        <f>_xlfn.XLOOKUP(A2467,'[1]Tissue Data'!$A:$A,'[1]Tissue Data'!K:K)</f>
        <v>Whole Body</v>
      </c>
      <c r="I2467">
        <f>_xlfn.XLOOKUP(A2467,'[1]Tissue Data'!$A:$A,'[1]Tissue Data'!L:L)</f>
        <v>5.5</v>
      </c>
      <c r="J2467">
        <f>_xlfn.XLOOKUP(A2467,'[1]Tissue Data'!$A:$A,'[1]Tissue Data'!M:M)</f>
        <v>2.4</v>
      </c>
      <c r="K2467" t="s">
        <v>27</v>
      </c>
      <c r="L2467" t="str">
        <f>_xlfn.XLOOKUP(K2467,[2]analyte_order!$B:$B,[2]analyte_order!$C:$C)</f>
        <v>355-46-4</v>
      </c>
      <c r="M2467">
        <f>_xlfn.XLOOKUP(L2467,[2]analyte_order!$C:$C,[2]analyte_order!$E:$E)</f>
        <v>16</v>
      </c>
      <c r="N2467">
        <v>56.3</v>
      </c>
    </row>
    <row r="2468" spans="1:14">
      <c r="A2468" t="s">
        <v>188</v>
      </c>
      <c r="B2468" t="str">
        <f>_xlfn.XLOOKUP(A2468,'[1]Tissue Data'!$A:$A,'[1]Tissue Data'!$C:$C)</f>
        <v>Spill</v>
      </c>
      <c r="C2468" s="2">
        <f>_xlfn.XLOOKUP(A2468,'[1]Tissue Data'!$A:$A,'[1]Tissue Data'!$D:$D)</f>
        <v>44314</v>
      </c>
      <c r="D2468" s="2" t="str">
        <f>_xlfn.XLOOKUP(A2468,'[1]Tissue Data'!$A:$A,'[1]Tissue Data'!$F:$F)</f>
        <v>Swallowtail Shiner</v>
      </c>
      <c r="E2468" t="str">
        <f>_xlfn.XLOOKUP(A2468,'[1]Tissue Data'!$A:$A,'[1]Tissue Data'!$H:$H)</f>
        <v>Notropis</v>
      </c>
      <c r="F2468" t="str">
        <f>_xlfn.XLOOKUP(A2468,'[1]Tissue Data'!$A:$A,'[1]Tissue Data'!$I:$I)</f>
        <v>procne</v>
      </c>
      <c r="G2468" t="str">
        <f>_xlfn.XLOOKUP(A2468,'[1]Tissue Data'!$A:$A,'[1]Tissue Data'!J:J)</f>
        <v>U</v>
      </c>
      <c r="H2468" t="str">
        <f>_xlfn.XLOOKUP(A2468,'[1]Tissue Data'!$A:$A,'[1]Tissue Data'!K:K)</f>
        <v>Whole Body</v>
      </c>
      <c r="I2468">
        <f>_xlfn.XLOOKUP(A2468,'[1]Tissue Data'!$A:$A,'[1]Tissue Data'!L:L)</f>
        <v>5.5</v>
      </c>
      <c r="J2468">
        <f>_xlfn.XLOOKUP(A2468,'[1]Tissue Data'!$A:$A,'[1]Tissue Data'!M:M)</f>
        <v>2.4</v>
      </c>
      <c r="K2468" t="s">
        <v>28</v>
      </c>
      <c r="L2468" t="str">
        <f>_xlfn.XLOOKUP(K2468,[2]analyte_order!$B:$B,[2]analyte_order!$C:$C)</f>
        <v>375-92-8</v>
      </c>
      <c r="M2468">
        <f>_xlfn.XLOOKUP(L2468,[2]analyte_order!$C:$C,[2]analyte_order!$E:$E)</f>
        <v>17</v>
      </c>
      <c r="N2468">
        <v>8.73</v>
      </c>
    </row>
    <row r="2469" spans="1:14">
      <c r="A2469" t="s">
        <v>188</v>
      </c>
      <c r="B2469" t="str">
        <f>_xlfn.XLOOKUP(A2469,'[1]Tissue Data'!$A:$A,'[1]Tissue Data'!$C:$C)</f>
        <v>Spill</v>
      </c>
      <c r="C2469" s="2">
        <f>_xlfn.XLOOKUP(A2469,'[1]Tissue Data'!$A:$A,'[1]Tissue Data'!$D:$D)</f>
        <v>44314</v>
      </c>
      <c r="D2469" s="2" t="str">
        <f>_xlfn.XLOOKUP(A2469,'[1]Tissue Data'!$A:$A,'[1]Tissue Data'!$F:$F)</f>
        <v>Swallowtail Shiner</v>
      </c>
      <c r="E2469" t="str">
        <f>_xlfn.XLOOKUP(A2469,'[1]Tissue Data'!$A:$A,'[1]Tissue Data'!$H:$H)</f>
        <v>Notropis</v>
      </c>
      <c r="F2469" t="str">
        <f>_xlfn.XLOOKUP(A2469,'[1]Tissue Data'!$A:$A,'[1]Tissue Data'!$I:$I)</f>
        <v>procne</v>
      </c>
      <c r="G2469" t="str">
        <f>_xlfn.XLOOKUP(A2469,'[1]Tissue Data'!$A:$A,'[1]Tissue Data'!J:J)</f>
        <v>U</v>
      </c>
      <c r="H2469" t="str">
        <f>_xlfn.XLOOKUP(A2469,'[1]Tissue Data'!$A:$A,'[1]Tissue Data'!K:K)</f>
        <v>Whole Body</v>
      </c>
      <c r="I2469">
        <f>_xlfn.XLOOKUP(A2469,'[1]Tissue Data'!$A:$A,'[1]Tissue Data'!L:L)</f>
        <v>5.5</v>
      </c>
      <c r="J2469">
        <f>_xlfn.XLOOKUP(A2469,'[1]Tissue Data'!$A:$A,'[1]Tissue Data'!M:M)</f>
        <v>2.4</v>
      </c>
      <c r="K2469" t="s">
        <v>29</v>
      </c>
      <c r="L2469" t="str">
        <f>_xlfn.XLOOKUP(K2469,[2]analyte_order!$B:$B,[2]analyte_order!$C:$C)</f>
        <v>1763-23-1</v>
      </c>
      <c r="M2469">
        <f>_xlfn.XLOOKUP(L2469,[2]analyte_order!$C:$C,[2]analyte_order!$E:$E)</f>
        <v>18</v>
      </c>
      <c r="N2469">
        <v>1640</v>
      </c>
    </row>
    <row r="2470" spans="1:14">
      <c r="A2470" t="s">
        <v>188</v>
      </c>
      <c r="B2470" t="str">
        <f>_xlfn.XLOOKUP(A2470,'[1]Tissue Data'!$A:$A,'[1]Tissue Data'!$C:$C)</f>
        <v>Spill</v>
      </c>
      <c r="C2470" s="2">
        <f>_xlfn.XLOOKUP(A2470,'[1]Tissue Data'!$A:$A,'[1]Tissue Data'!$D:$D)</f>
        <v>44314</v>
      </c>
      <c r="D2470" s="2" t="str">
        <f>_xlfn.XLOOKUP(A2470,'[1]Tissue Data'!$A:$A,'[1]Tissue Data'!$F:$F)</f>
        <v>Swallowtail Shiner</v>
      </c>
      <c r="E2470" t="str">
        <f>_xlfn.XLOOKUP(A2470,'[1]Tissue Data'!$A:$A,'[1]Tissue Data'!$H:$H)</f>
        <v>Notropis</v>
      </c>
      <c r="F2470" t="str">
        <f>_xlfn.XLOOKUP(A2470,'[1]Tissue Data'!$A:$A,'[1]Tissue Data'!$I:$I)</f>
        <v>procne</v>
      </c>
      <c r="G2470" t="str">
        <f>_xlfn.XLOOKUP(A2470,'[1]Tissue Data'!$A:$A,'[1]Tissue Data'!J:J)</f>
        <v>U</v>
      </c>
      <c r="H2470" t="str">
        <f>_xlfn.XLOOKUP(A2470,'[1]Tissue Data'!$A:$A,'[1]Tissue Data'!K:K)</f>
        <v>Whole Body</v>
      </c>
      <c r="I2470">
        <f>_xlfn.XLOOKUP(A2470,'[1]Tissue Data'!$A:$A,'[1]Tissue Data'!L:L)</f>
        <v>5.5</v>
      </c>
      <c r="J2470">
        <f>_xlfn.XLOOKUP(A2470,'[1]Tissue Data'!$A:$A,'[1]Tissue Data'!M:M)</f>
        <v>2.4</v>
      </c>
      <c r="K2470" t="s">
        <v>30</v>
      </c>
      <c r="L2470" t="str">
        <f>_xlfn.XLOOKUP(K2470,[2]analyte_order!$B:$B,[2]analyte_order!$C:$C)</f>
        <v>68259-12-1</v>
      </c>
      <c r="M2470">
        <f>_xlfn.XLOOKUP(L2470,[2]analyte_order!$C:$C,[2]analyte_order!$E:$E)</f>
        <v>19</v>
      </c>
      <c r="N2470">
        <v>1.78</v>
      </c>
    </row>
    <row r="2471" spans="1:14">
      <c r="A2471" t="s">
        <v>188</v>
      </c>
      <c r="B2471" t="str">
        <f>_xlfn.XLOOKUP(A2471,'[1]Tissue Data'!$A:$A,'[1]Tissue Data'!$C:$C)</f>
        <v>Spill</v>
      </c>
      <c r="C2471" s="2">
        <f>_xlfn.XLOOKUP(A2471,'[1]Tissue Data'!$A:$A,'[1]Tissue Data'!$D:$D)</f>
        <v>44314</v>
      </c>
      <c r="D2471" s="2" t="str">
        <f>_xlfn.XLOOKUP(A2471,'[1]Tissue Data'!$A:$A,'[1]Tissue Data'!$F:$F)</f>
        <v>Swallowtail Shiner</v>
      </c>
      <c r="E2471" t="str">
        <f>_xlfn.XLOOKUP(A2471,'[1]Tissue Data'!$A:$A,'[1]Tissue Data'!$H:$H)</f>
        <v>Notropis</v>
      </c>
      <c r="F2471" t="str">
        <f>_xlfn.XLOOKUP(A2471,'[1]Tissue Data'!$A:$A,'[1]Tissue Data'!$I:$I)</f>
        <v>procne</v>
      </c>
      <c r="G2471" t="str">
        <f>_xlfn.XLOOKUP(A2471,'[1]Tissue Data'!$A:$A,'[1]Tissue Data'!J:J)</f>
        <v>U</v>
      </c>
      <c r="H2471" t="str">
        <f>_xlfn.XLOOKUP(A2471,'[1]Tissue Data'!$A:$A,'[1]Tissue Data'!K:K)</f>
        <v>Whole Body</v>
      </c>
      <c r="I2471">
        <f>_xlfn.XLOOKUP(A2471,'[1]Tissue Data'!$A:$A,'[1]Tissue Data'!L:L)</f>
        <v>5.5</v>
      </c>
      <c r="J2471">
        <f>_xlfn.XLOOKUP(A2471,'[1]Tissue Data'!$A:$A,'[1]Tissue Data'!M:M)</f>
        <v>2.4</v>
      </c>
      <c r="K2471" t="s">
        <v>31</v>
      </c>
      <c r="L2471" t="str">
        <f>_xlfn.XLOOKUP(K2471,[2]analyte_order!$B:$B,[2]analyte_order!$C:$C)</f>
        <v>335-77-3</v>
      </c>
      <c r="M2471">
        <f>_xlfn.XLOOKUP(L2471,[2]analyte_order!$C:$C,[2]analyte_order!$E:$E)</f>
        <v>20</v>
      </c>
      <c r="N2471">
        <v>10.6</v>
      </c>
    </row>
    <row r="2472" spans="1:14">
      <c r="A2472" t="s">
        <v>188</v>
      </c>
      <c r="B2472" t="str">
        <f>_xlfn.XLOOKUP(A2472,'[1]Tissue Data'!$A:$A,'[1]Tissue Data'!$C:$C)</f>
        <v>Spill</v>
      </c>
      <c r="C2472" s="2">
        <f>_xlfn.XLOOKUP(A2472,'[1]Tissue Data'!$A:$A,'[1]Tissue Data'!$D:$D)</f>
        <v>44314</v>
      </c>
      <c r="D2472" s="2" t="str">
        <f>_xlfn.XLOOKUP(A2472,'[1]Tissue Data'!$A:$A,'[1]Tissue Data'!$F:$F)</f>
        <v>Swallowtail Shiner</v>
      </c>
      <c r="E2472" t="str">
        <f>_xlfn.XLOOKUP(A2472,'[1]Tissue Data'!$A:$A,'[1]Tissue Data'!$H:$H)</f>
        <v>Notropis</v>
      </c>
      <c r="F2472" t="str">
        <f>_xlfn.XLOOKUP(A2472,'[1]Tissue Data'!$A:$A,'[1]Tissue Data'!$I:$I)</f>
        <v>procne</v>
      </c>
      <c r="G2472" t="str">
        <f>_xlfn.XLOOKUP(A2472,'[1]Tissue Data'!$A:$A,'[1]Tissue Data'!J:J)</f>
        <v>U</v>
      </c>
      <c r="H2472" t="str">
        <f>_xlfn.XLOOKUP(A2472,'[1]Tissue Data'!$A:$A,'[1]Tissue Data'!K:K)</f>
        <v>Whole Body</v>
      </c>
      <c r="I2472">
        <f>_xlfn.XLOOKUP(A2472,'[1]Tissue Data'!$A:$A,'[1]Tissue Data'!L:L)</f>
        <v>5.5</v>
      </c>
      <c r="J2472">
        <f>_xlfn.XLOOKUP(A2472,'[1]Tissue Data'!$A:$A,'[1]Tissue Data'!M:M)</f>
        <v>2.4</v>
      </c>
      <c r="K2472" t="s">
        <v>32</v>
      </c>
      <c r="L2472" t="str">
        <f>_xlfn.XLOOKUP(K2472,[2]analyte_order!$B:$B,[2]analyte_order!$C:$C)</f>
        <v>79780-39-5</v>
      </c>
      <c r="M2472">
        <f>_xlfn.XLOOKUP(L2472,[2]analyte_order!$C:$C,[2]analyte_order!$E:$E)</f>
        <v>21</v>
      </c>
      <c r="N2472">
        <v>1.1599999999999999</v>
      </c>
    </row>
    <row r="2473" spans="1:14">
      <c r="A2473" t="s">
        <v>188</v>
      </c>
      <c r="B2473" t="str">
        <f>_xlfn.XLOOKUP(A2473,'[1]Tissue Data'!$A:$A,'[1]Tissue Data'!$C:$C)</f>
        <v>Spill</v>
      </c>
      <c r="C2473" s="2">
        <f>_xlfn.XLOOKUP(A2473,'[1]Tissue Data'!$A:$A,'[1]Tissue Data'!$D:$D)</f>
        <v>44314</v>
      </c>
      <c r="D2473" s="2" t="str">
        <f>_xlfn.XLOOKUP(A2473,'[1]Tissue Data'!$A:$A,'[1]Tissue Data'!$F:$F)</f>
        <v>Swallowtail Shiner</v>
      </c>
      <c r="E2473" t="str">
        <f>_xlfn.XLOOKUP(A2473,'[1]Tissue Data'!$A:$A,'[1]Tissue Data'!$H:$H)</f>
        <v>Notropis</v>
      </c>
      <c r="F2473" t="str">
        <f>_xlfn.XLOOKUP(A2473,'[1]Tissue Data'!$A:$A,'[1]Tissue Data'!$I:$I)</f>
        <v>procne</v>
      </c>
      <c r="G2473" t="str">
        <f>_xlfn.XLOOKUP(A2473,'[1]Tissue Data'!$A:$A,'[1]Tissue Data'!J:J)</f>
        <v>U</v>
      </c>
      <c r="H2473" t="str">
        <f>_xlfn.XLOOKUP(A2473,'[1]Tissue Data'!$A:$A,'[1]Tissue Data'!K:K)</f>
        <v>Whole Body</v>
      </c>
      <c r="I2473">
        <f>_xlfn.XLOOKUP(A2473,'[1]Tissue Data'!$A:$A,'[1]Tissue Data'!L:L)</f>
        <v>5.5</v>
      </c>
      <c r="J2473">
        <f>_xlfn.XLOOKUP(A2473,'[1]Tissue Data'!$A:$A,'[1]Tissue Data'!M:M)</f>
        <v>2.4</v>
      </c>
      <c r="K2473" t="s">
        <v>33</v>
      </c>
      <c r="L2473" t="str">
        <f>_xlfn.XLOOKUP(K2473,[2]analyte_order!$B:$B,[2]analyte_order!$C:$C)</f>
        <v>777011-38-8</v>
      </c>
      <c r="M2473">
        <f>_xlfn.XLOOKUP(L2473,[2]analyte_order!$C:$C,[2]analyte_order!$E:$E)</f>
        <v>54</v>
      </c>
      <c r="N2473">
        <v>0.63200000000000001</v>
      </c>
    </row>
    <row r="2474" spans="1:14">
      <c r="A2474" t="s">
        <v>188</v>
      </c>
      <c r="B2474" t="str">
        <f>_xlfn.XLOOKUP(A2474,'[1]Tissue Data'!$A:$A,'[1]Tissue Data'!$C:$C)</f>
        <v>Spill</v>
      </c>
      <c r="C2474" s="2">
        <f>_xlfn.XLOOKUP(A2474,'[1]Tissue Data'!$A:$A,'[1]Tissue Data'!$D:$D)</f>
        <v>44314</v>
      </c>
      <c r="D2474" s="2" t="str">
        <f>_xlfn.XLOOKUP(A2474,'[1]Tissue Data'!$A:$A,'[1]Tissue Data'!$F:$F)</f>
        <v>Swallowtail Shiner</v>
      </c>
      <c r="E2474" t="str">
        <f>_xlfn.XLOOKUP(A2474,'[1]Tissue Data'!$A:$A,'[1]Tissue Data'!$H:$H)</f>
        <v>Notropis</v>
      </c>
      <c r="F2474" t="str">
        <f>_xlfn.XLOOKUP(A2474,'[1]Tissue Data'!$A:$A,'[1]Tissue Data'!$I:$I)</f>
        <v>procne</v>
      </c>
      <c r="G2474" t="str">
        <f>_xlfn.XLOOKUP(A2474,'[1]Tissue Data'!$A:$A,'[1]Tissue Data'!J:J)</f>
        <v>U</v>
      </c>
      <c r="H2474" t="str">
        <f>_xlfn.XLOOKUP(A2474,'[1]Tissue Data'!$A:$A,'[1]Tissue Data'!K:K)</f>
        <v>Whole Body</v>
      </c>
      <c r="I2474">
        <f>_xlfn.XLOOKUP(A2474,'[1]Tissue Data'!$A:$A,'[1]Tissue Data'!L:L)</f>
        <v>5.5</v>
      </c>
      <c r="J2474">
        <f>_xlfn.XLOOKUP(A2474,'[1]Tissue Data'!$A:$A,'[1]Tissue Data'!M:M)</f>
        <v>2.4</v>
      </c>
      <c r="K2474" t="s">
        <v>34</v>
      </c>
      <c r="L2474" t="str">
        <f>_xlfn.XLOOKUP(K2474,[2]analyte_order!$B:$B,[2]analyte_order!$C:$C)</f>
        <v>646-83-3</v>
      </c>
      <c r="M2474">
        <f>_xlfn.XLOOKUP(L2474,[2]analyte_order!$C:$C,[2]analyte_order!$E:$E)</f>
        <v>55</v>
      </c>
      <c r="N2474">
        <v>0.27</v>
      </c>
    </row>
    <row r="2475" spans="1:14">
      <c r="A2475" t="s">
        <v>188</v>
      </c>
      <c r="B2475" t="str">
        <f>_xlfn.XLOOKUP(A2475,'[1]Tissue Data'!$A:$A,'[1]Tissue Data'!$C:$C)</f>
        <v>Spill</v>
      </c>
      <c r="C2475" s="2">
        <f>_xlfn.XLOOKUP(A2475,'[1]Tissue Data'!$A:$A,'[1]Tissue Data'!$D:$D)</f>
        <v>44314</v>
      </c>
      <c r="D2475" s="2" t="str">
        <f>_xlfn.XLOOKUP(A2475,'[1]Tissue Data'!$A:$A,'[1]Tissue Data'!$F:$F)</f>
        <v>Swallowtail Shiner</v>
      </c>
      <c r="E2475" t="str">
        <f>_xlfn.XLOOKUP(A2475,'[1]Tissue Data'!$A:$A,'[1]Tissue Data'!$H:$H)</f>
        <v>Notropis</v>
      </c>
      <c r="F2475" t="str">
        <f>_xlfn.XLOOKUP(A2475,'[1]Tissue Data'!$A:$A,'[1]Tissue Data'!$I:$I)</f>
        <v>procne</v>
      </c>
      <c r="G2475" t="str">
        <f>_xlfn.XLOOKUP(A2475,'[1]Tissue Data'!$A:$A,'[1]Tissue Data'!J:J)</f>
        <v>U</v>
      </c>
      <c r="H2475" t="str">
        <f>_xlfn.XLOOKUP(A2475,'[1]Tissue Data'!$A:$A,'[1]Tissue Data'!K:K)</f>
        <v>Whole Body</v>
      </c>
      <c r="I2475">
        <f>_xlfn.XLOOKUP(A2475,'[1]Tissue Data'!$A:$A,'[1]Tissue Data'!L:L)</f>
        <v>5.5</v>
      </c>
      <c r="J2475">
        <f>_xlfn.XLOOKUP(A2475,'[1]Tissue Data'!$A:$A,'[1]Tissue Data'!M:M)</f>
        <v>2.4</v>
      </c>
      <c r="K2475" t="s">
        <v>35</v>
      </c>
      <c r="L2475" t="str">
        <f>_xlfn.XLOOKUP(K2475,[2]analyte_order!$B:$B,[2]analyte_order!$C:$C)</f>
        <v>30334-69-1</v>
      </c>
      <c r="M2475">
        <f>_xlfn.XLOOKUP(L2475,[2]analyte_order!$C:$C,[2]analyte_order!$E:$E)</f>
        <v>51</v>
      </c>
      <c r="N2475">
        <v>97.6</v>
      </c>
    </row>
    <row r="2476" spans="1:14">
      <c r="A2476" t="s">
        <v>188</v>
      </c>
      <c r="B2476" t="str">
        <f>_xlfn.XLOOKUP(A2476,'[1]Tissue Data'!$A:$A,'[1]Tissue Data'!$C:$C)</f>
        <v>Spill</v>
      </c>
      <c r="C2476" s="2">
        <f>_xlfn.XLOOKUP(A2476,'[1]Tissue Data'!$A:$A,'[1]Tissue Data'!$D:$D)</f>
        <v>44314</v>
      </c>
      <c r="D2476" s="2" t="str">
        <f>_xlfn.XLOOKUP(A2476,'[1]Tissue Data'!$A:$A,'[1]Tissue Data'!$F:$F)</f>
        <v>Swallowtail Shiner</v>
      </c>
      <c r="E2476" t="str">
        <f>_xlfn.XLOOKUP(A2476,'[1]Tissue Data'!$A:$A,'[1]Tissue Data'!$H:$H)</f>
        <v>Notropis</v>
      </c>
      <c r="F2476" t="str">
        <f>_xlfn.XLOOKUP(A2476,'[1]Tissue Data'!$A:$A,'[1]Tissue Data'!$I:$I)</f>
        <v>procne</v>
      </c>
      <c r="G2476" t="str">
        <f>_xlfn.XLOOKUP(A2476,'[1]Tissue Data'!$A:$A,'[1]Tissue Data'!J:J)</f>
        <v>U</v>
      </c>
      <c r="H2476" t="str">
        <f>_xlfn.XLOOKUP(A2476,'[1]Tissue Data'!$A:$A,'[1]Tissue Data'!K:K)</f>
        <v>Whole Body</v>
      </c>
      <c r="I2476">
        <f>_xlfn.XLOOKUP(A2476,'[1]Tissue Data'!$A:$A,'[1]Tissue Data'!L:L)</f>
        <v>5.5</v>
      </c>
      <c r="J2476">
        <f>_xlfn.XLOOKUP(A2476,'[1]Tissue Data'!$A:$A,'[1]Tissue Data'!M:M)</f>
        <v>2.4</v>
      </c>
      <c r="K2476" t="s">
        <v>36</v>
      </c>
      <c r="L2476" t="str">
        <f>_xlfn.XLOOKUP(K2476,[2]analyte_order!$B:$B,[2]analyte_order!$C:$C)</f>
        <v>41997-13-1</v>
      </c>
      <c r="M2476">
        <f>_xlfn.XLOOKUP(L2476,[2]analyte_order!$C:$C,[2]analyte_order!$E:$E)</f>
        <v>52</v>
      </c>
      <c r="N2476">
        <v>382</v>
      </c>
    </row>
    <row r="2477" spans="1:14">
      <c r="A2477" t="s">
        <v>188</v>
      </c>
      <c r="B2477" t="str">
        <f>_xlfn.XLOOKUP(A2477,'[1]Tissue Data'!$A:$A,'[1]Tissue Data'!$C:$C)</f>
        <v>Spill</v>
      </c>
      <c r="C2477" s="2">
        <f>_xlfn.XLOOKUP(A2477,'[1]Tissue Data'!$A:$A,'[1]Tissue Data'!$D:$D)</f>
        <v>44314</v>
      </c>
      <c r="D2477" s="2" t="str">
        <f>_xlfn.XLOOKUP(A2477,'[1]Tissue Data'!$A:$A,'[1]Tissue Data'!$F:$F)</f>
        <v>Swallowtail Shiner</v>
      </c>
      <c r="E2477" t="str">
        <f>_xlfn.XLOOKUP(A2477,'[1]Tissue Data'!$A:$A,'[1]Tissue Data'!$H:$H)</f>
        <v>Notropis</v>
      </c>
      <c r="F2477" t="str">
        <f>_xlfn.XLOOKUP(A2477,'[1]Tissue Data'!$A:$A,'[1]Tissue Data'!$I:$I)</f>
        <v>procne</v>
      </c>
      <c r="G2477" t="str">
        <f>_xlfn.XLOOKUP(A2477,'[1]Tissue Data'!$A:$A,'[1]Tissue Data'!J:J)</f>
        <v>U</v>
      </c>
      <c r="H2477" t="str">
        <f>_xlfn.XLOOKUP(A2477,'[1]Tissue Data'!$A:$A,'[1]Tissue Data'!K:K)</f>
        <v>Whole Body</v>
      </c>
      <c r="I2477">
        <f>_xlfn.XLOOKUP(A2477,'[1]Tissue Data'!$A:$A,'[1]Tissue Data'!L:L)</f>
        <v>5.5</v>
      </c>
      <c r="J2477">
        <f>_xlfn.XLOOKUP(A2477,'[1]Tissue Data'!$A:$A,'[1]Tissue Data'!M:M)</f>
        <v>2.4</v>
      </c>
      <c r="K2477" t="s">
        <v>37</v>
      </c>
      <c r="L2477" t="str">
        <f>_xlfn.XLOOKUP(K2477,[2]analyte_order!$B:$B,[2]analyte_order!$C:$C)</f>
        <v>754-91-6</v>
      </c>
      <c r="M2477">
        <f>_xlfn.XLOOKUP(L2477,[2]analyte_order!$C:$C,[2]analyte_order!$E:$E)</f>
        <v>28</v>
      </c>
      <c r="N2477">
        <v>30.3</v>
      </c>
    </row>
    <row r="2478" spans="1:14">
      <c r="A2478" t="s">
        <v>188</v>
      </c>
      <c r="B2478" t="str">
        <f>_xlfn.XLOOKUP(A2478,'[1]Tissue Data'!$A:$A,'[1]Tissue Data'!$C:$C)</f>
        <v>Spill</v>
      </c>
      <c r="C2478" s="2">
        <f>_xlfn.XLOOKUP(A2478,'[1]Tissue Data'!$A:$A,'[1]Tissue Data'!$D:$D)</f>
        <v>44314</v>
      </c>
      <c r="D2478" s="2" t="str">
        <f>_xlfn.XLOOKUP(A2478,'[1]Tissue Data'!$A:$A,'[1]Tissue Data'!$F:$F)</f>
        <v>Swallowtail Shiner</v>
      </c>
      <c r="E2478" t="str">
        <f>_xlfn.XLOOKUP(A2478,'[1]Tissue Data'!$A:$A,'[1]Tissue Data'!$H:$H)</f>
        <v>Notropis</v>
      </c>
      <c r="F2478" t="str">
        <f>_xlfn.XLOOKUP(A2478,'[1]Tissue Data'!$A:$A,'[1]Tissue Data'!$I:$I)</f>
        <v>procne</v>
      </c>
      <c r="G2478" t="str">
        <f>_xlfn.XLOOKUP(A2478,'[1]Tissue Data'!$A:$A,'[1]Tissue Data'!J:J)</f>
        <v>U</v>
      </c>
      <c r="H2478" t="str">
        <f>_xlfn.XLOOKUP(A2478,'[1]Tissue Data'!$A:$A,'[1]Tissue Data'!K:K)</f>
        <v>Whole Body</v>
      </c>
      <c r="I2478">
        <f>_xlfn.XLOOKUP(A2478,'[1]Tissue Data'!$A:$A,'[1]Tissue Data'!L:L)</f>
        <v>5.5</v>
      </c>
      <c r="J2478">
        <f>_xlfn.XLOOKUP(A2478,'[1]Tissue Data'!$A:$A,'[1]Tissue Data'!M:M)</f>
        <v>2.4</v>
      </c>
      <c r="K2478" t="s">
        <v>38</v>
      </c>
      <c r="L2478" t="str">
        <f>_xlfn.XLOOKUP(K2478,[2]analyte_order!$B:$B,[2]analyte_order!$C:$C)</f>
        <v>31506-32-8</v>
      </c>
      <c r="M2478">
        <f>_xlfn.XLOOKUP(L2478,[2]analyte_order!$C:$C,[2]analyte_order!$E:$E)</f>
        <v>30</v>
      </c>
      <c r="N2478">
        <v>4.8349999999999997E-2</v>
      </c>
    </row>
    <row r="2479" spans="1:14">
      <c r="A2479" t="s">
        <v>188</v>
      </c>
      <c r="B2479" t="str">
        <f>_xlfn.XLOOKUP(A2479,'[1]Tissue Data'!$A:$A,'[1]Tissue Data'!$C:$C)</f>
        <v>Spill</v>
      </c>
      <c r="C2479" s="2">
        <f>_xlfn.XLOOKUP(A2479,'[1]Tissue Data'!$A:$A,'[1]Tissue Data'!$D:$D)</f>
        <v>44314</v>
      </c>
      <c r="D2479" s="2" t="str">
        <f>_xlfn.XLOOKUP(A2479,'[1]Tissue Data'!$A:$A,'[1]Tissue Data'!$F:$F)</f>
        <v>Swallowtail Shiner</v>
      </c>
      <c r="E2479" t="str">
        <f>_xlfn.XLOOKUP(A2479,'[1]Tissue Data'!$A:$A,'[1]Tissue Data'!$H:$H)</f>
        <v>Notropis</v>
      </c>
      <c r="F2479" t="str">
        <f>_xlfn.XLOOKUP(A2479,'[1]Tissue Data'!$A:$A,'[1]Tissue Data'!$I:$I)</f>
        <v>procne</v>
      </c>
      <c r="G2479" t="str">
        <f>_xlfn.XLOOKUP(A2479,'[1]Tissue Data'!$A:$A,'[1]Tissue Data'!J:J)</f>
        <v>U</v>
      </c>
      <c r="H2479" t="str">
        <f>_xlfn.XLOOKUP(A2479,'[1]Tissue Data'!$A:$A,'[1]Tissue Data'!K:K)</f>
        <v>Whole Body</v>
      </c>
      <c r="I2479">
        <f>_xlfn.XLOOKUP(A2479,'[1]Tissue Data'!$A:$A,'[1]Tissue Data'!L:L)</f>
        <v>5.5</v>
      </c>
      <c r="J2479">
        <f>_xlfn.XLOOKUP(A2479,'[1]Tissue Data'!$A:$A,'[1]Tissue Data'!M:M)</f>
        <v>2.4</v>
      </c>
      <c r="K2479" t="s">
        <v>39</v>
      </c>
      <c r="L2479" t="str">
        <f>_xlfn.XLOOKUP(K2479,[2]analyte_order!$B:$B,[2]analyte_order!$C:$C)</f>
        <v>4151-50-2</v>
      </c>
      <c r="M2479">
        <f>_xlfn.XLOOKUP(L2479,[2]analyte_order!$C:$C,[2]analyte_order!$E:$E)</f>
        <v>31</v>
      </c>
      <c r="N2479">
        <v>7.3499999999999996E-2</v>
      </c>
    </row>
    <row r="2480" spans="1:14">
      <c r="A2480" t="s">
        <v>188</v>
      </c>
      <c r="B2480" t="str">
        <f>_xlfn.XLOOKUP(A2480,'[1]Tissue Data'!$A:$A,'[1]Tissue Data'!$C:$C)</f>
        <v>Spill</v>
      </c>
      <c r="C2480" s="2">
        <f>_xlfn.XLOOKUP(A2480,'[1]Tissue Data'!$A:$A,'[1]Tissue Data'!$D:$D)</f>
        <v>44314</v>
      </c>
      <c r="D2480" s="2" t="str">
        <f>_xlfn.XLOOKUP(A2480,'[1]Tissue Data'!$A:$A,'[1]Tissue Data'!$F:$F)</f>
        <v>Swallowtail Shiner</v>
      </c>
      <c r="E2480" t="str">
        <f>_xlfn.XLOOKUP(A2480,'[1]Tissue Data'!$A:$A,'[1]Tissue Data'!$H:$H)</f>
        <v>Notropis</v>
      </c>
      <c r="F2480" t="str">
        <f>_xlfn.XLOOKUP(A2480,'[1]Tissue Data'!$A:$A,'[1]Tissue Data'!$I:$I)</f>
        <v>procne</v>
      </c>
      <c r="G2480" t="str">
        <f>_xlfn.XLOOKUP(A2480,'[1]Tissue Data'!$A:$A,'[1]Tissue Data'!J:J)</f>
        <v>U</v>
      </c>
      <c r="H2480" t="str">
        <f>_xlfn.XLOOKUP(A2480,'[1]Tissue Data'!$A:$A,'[1]Tissue Data'!K:K)</f>
        <v>Whole Body</v>
      </c>
      <c r="I2480">
        <f>_xlfn.XLOOKUP(A2480,'[1]Tissue Data'!$A:$A,'[1]Tissue Data'!L:L)</f>
        <v>5.5</v>
      </c>
      <c r="J2480">
        <f>_xlfn.XLOOKUP(A2480,'[1]Tissue Data'!$A:$A,'[1]Tissue Data'!M:M)</f>
        <v>2.4</v>
      </c>
      <c r="K2480" t="s">
        <v>40</v>
      </c>
      <c r="L2480" t="str">
        <f>_xlfn.XLOOKUP(K2480,[2]analyte_order!$B:$B,[2]analyte_order!$C:$C)</f>
        <v>2806-24-8</v>
      </c>
      <c r="M2480">
        <f>_xlfn.XLOOKUP(L2480,[2]analyte_order!$C:$C,[2]analyte_order!$E:$E)</f>
        <v>29</v>
      </c>
      <c r="N2480">
        <v>4.9549999999999997E-2</v>
      </c>
    </row>
    <row r="2481" spans="1:14">
      <c r="A2481" t="s">
        <v>188</v>
      </c>
      <c r="B2481" t="str">
        <f>_xlfn.XLOOKUP(A2481,'[1]Tissue Data'!$A:$A,'[1]Tissue Data'!$C:$C)</f>
        <v>Spill</v>
      </c>
      <c r="C2481" s="2">
        <f>_xlfn.XLOOKUP(A2481,'[1]Tissue Data'!$A:$A,'[1]Tissue Data'!$D:$D)</f>
        <v>44314</v>
      </c>
      <c r="D2481" s="2" t="str">
        <f>_xlfn.XLOOKUP(A2481,'[1]Tissue Data'!$A:$A,'[1]Tissue Data'!$F:$F)</f>
        <v>Swallowtail Shiner</v>
      </c>
      <c r="E2481" t="str">
        <f>_xlfn.XLOOKUP(A2481,'[1]Tissue Data'!$A:$A,'[1]Tissue Data'!$H:$H)</f>
        <v>Notropis</v>
      </c>
      <c r="F2481" t="str">
        <f>_xlfn.XLOOKUP(A2481,'[1]Tissue Data'!$A:$A,'[1]Tissue Data'!$I:$I)</f>
        <v>procne</v>
      </c>
      <c r="G2481" t="str">
        <f>_xlfn.XLOOKUP(A2481,'[1]Tissue Data'!$A:$A,'[1]Tissue Data'!J:J)</f>
        <v>U</v>
      </c>
      <c r="H2481" t="str">
        <f>_xlfn.XLOOKUP(A2481,'[1]Tissue Data'!$A:$A,'[1]Tissue Data'!K:K)</f>
        <v>Whole Body</v>
      </c>
      <c r="I2481">
        <f>_xlfn.XLOOKUP(A2481,'[1]Tissue Data'!$A:$A,'[1]Tissue Data'!L:L)</f>
        <v>5.5</v>
      </c>
      <c r="J2481">
        <f>_xlfn.XLOOKUP(A2481,'[1]Tissue Data'!$A:$A,'[1]Tissue Data'!M:M)</f>
        <v>2.4</v>
      </c>
      <c r="K2481" t="s">
        <v>41</v>
      </c>
      <c r="L2481" t="str">
        <f>_xlfn.XLOOKUP(K2481,[2]analyte_order!$B:$B,[2]analyte_order!$C:$C)</f>
        <v>2355-31-9</v>
      </c>
      <c r="M2481">
        <f>_xlfn.XLOOKUP(L2481,[2]analyte_order!$C:$C,[2]analyte_order!$E:$E)</f>
        <v>26</v>
      </c>
      <c r="N2481">
        <v>1.19</v>
      </c>
    </row>
    <row r="2482" spans="1:14">
      <c r="A2482" t="s">
        <v>188</v>
      </c>
      <c r="B2482" t="str">
        <f>_xlfn.XLOOKUP(A2482,'[1]Tissue Data'!$A:$A,'[1]Tissue Data'!$C:$C)</f>
        <v>Spill</v>
      </c>
      <c r="C2482" s="2">
        <f>_xlfn.XLOOKUP(A2482,'[1]Tissue Data'!$A:$A,'[1]Tissue Data'!$D:$D)</f>
        <v>44314</v>
      </c>
      <c r="D2482" s="2" t="str">
        <f>_xlfn.XLOOKUP(A2482,'[1]Tissue Data'!$A:$A,'[1]Tissue Data'!$F:$F)</f>
        <v>Swallowtail Shiner</v>
      </c>
      <c r="E2482" t="str">
        <f>_xlfn.XLOOKUP(A2482,'[1]Tissue Data'!$A:$A,'[1]Tissue Data'!$H:$H)</f>
        <v>Notropis</v>
      </c>
      <c r="F2482" t="str">
        <f>_xlfn.XLOOKUP(A2482,'[1]Tissue Data'!$A:$A,'[1]Tissue Data'!$I:$I)</f>
        <v>procne</v>
      </c>
      <c r="G2482" t="str">
        <f>_xlfn.XLOOKUP(A2482,'[1]Tissue Data'!$A:$A,'[1]Tissue Data'!J:J)</f>
        <v>U</v>
      </c>
      <c r="H2482" t="str">
        <f>_xlfn.XLOOKUP(A2482,'[1]Tissue Data'!$A:$A,'[1]Tissue Data'!K:K)</f>
        <v>Whole Body</v>
      </c>
      <c r="I2482">
        <f>_xlfn.XLOOKUP(A2482,'[1]Tissue Data'!$A:$A,'[1]Tissue Data'!L:L)</f>
        <v>5.5</v>
      </c>
      <c r="J2482">
        <f>_xlfn.XLOOKUP(A2482,'[1]Tissue Data'!$A:$A,'[1]Tissue Data'!M:M)</f>
        <v>2.4</v>
      </c>
      <c r="K2482" t="s">
        <v>42</v>
      </c>
      <c r="L2482" t="str">
        <f>_xlfn.XLOOKUP(K2482,[2]analyte_order!$B:$B,[2]analyte_order!$C:$C)</f>
        <v>2991-50-6</v>
      </c>
      <c r="M2482">
        <f>_xlfn.XLOOKUP(L2482,[2]analyte_order!$C:$C,[2]analyte_order!$E:$E)</f>
        <v>27</v>
      </c>
      <c r="N2482">
        <v>5.45E-2</v>
      </c>
    </row>
    <row r="2483" spans="1:14">
      <c r="A2483" t="s">
        <v>188</v>
      </c>
      <c r="B2483" t="str">
        <f>_xlfn.XLOOKUP(A2483,'[1]Tissue Data'!$A:$A,'[1]Tissue Data'!$C:$C)</f>
        <v>Spill</v>
      </c>
      <c r="C2483" s="2">
        <f>_xlfn.XLOOKUP(A2483,'[1]Tissue Data'!$A:$A,'[1]Tissue Data'!$D:$D)</f>
        <v>44314</v>
      </c>
      <c r="D2483" s="2" t="str">
        <f>_xlfn.XLOOKUP(A2483,'[1]Tissue Data'!$A:$A,'[1]Tissue Data'!$F:$F)</f>
        <v>Swallowtail Shiner</v>
      </c>
      <c r="E2483" t="str">
        <f>_xlfn.XLOOKUP(A2483,'[1]Tissue Data'!$A:$A,'[1]Tissue Data'!$H:$H)</f>
        <v>Notropis</v>
      </c>
      <c r="F2483" t="str">
        <f>_xlfn.XLOOKUP(A2483,'[1]Tissue Data'!$A:$A,'[1]Tissue Data'!$I:$I)</f>
        <v>procne</v>
      </c>
      <c r="G2483" t="str">
        <f>_xlfn.XLOOKUP(A2483,'[1]Tissue Data'!$A:$A,'[1]Tissue Data'!J:J)</f>
        <v>U</v>
      </c>
      <c r="H2483" t="str">
        <f>_xlfn.XLOOKUP(A2483,'[1]Tissue Data'!$A:$A,'[1]Tissue Data'!K:K)</f>
        <v>Whole Body</v>
      </c>
      <c r="I2483">
        <f>_xlfn.XLOOKUP(A2483,'[1]Tissue Data'!$A:$A,'[1]Tissue Data'!L:L)</f>
        <v>5.5</v>
      </c>
      <c r="J2483">
        <f>_xlfn.XLOOKUP(A2483,'[1]Tissue Data'!$A:$A,'[1]Tissue Data'!M:M)</f>
        <v>2.4</v>
      </c>
      <c r="K2483" t="s">
        <v>43</v>
      </c>
      <c r="L2483" t="str">
        <f>_xlfn.XLOOKUP(K2483,[2]analyte_order!$B:$B,[2]analyte_order!$C:$C)</f>
        <v>757124-72-4</v>
      </c>
      <c r="M2483">
        <f>_xlfn.XLOOKUP(L2483,[2]analyte_order!$C:$C,[2]analyte_order!$E:$E)</f>
        <v>22</v>
      </c>
      <c r="N2483">
        <v>5.1499999999999997E-2</v>
      </c>
    </row>
    <row r="2484" spans="1:14">
      <c r="A2484" t="s">
        <v>188</v>
      </c>
      <c r="B2484" t="str">
        <f>_xlfn.XLOOKUP(A2484,'[1]Tissue Data'!$A:$A,'[1]Tissue Data'!$C:$C)</f>
        <v>Spill</v>
      </c>
      <c r="C2484" s="2">
        <f>_xlfn.XLOOKUP(A2484,'[1]Tissue Data'!$A:$A,'[1]Tissue Data'!$D:$D)</f>
        <v>44314</v>
      </c>
      <c r="D2484" s="2" t="str">
        <f>_xlfn.XLOOKUP(A2484,'[1]Tissue Data'!$A:$A,'[1]Tissue Data'!$F:$F)</f>
        <v>Swallowtail Shiner</v>
      </c>
      <c r="E2484" t="str">
        <f>_xlfn.XLOOKUP(A2484,'[1]Tissue Data'!$A:$A,'[1]Tissue Data'!$H:$H)</f>
        <v>Notropis</v>
      </c>
      <c r="F2484" t="str">
        <f>_xlfn.XLOOKUP(A2484,'[1]Tissue Data'!$A:$A,'[1]Tissue Data'!$I:$I)</f>
        <v>procne</v>
      </c>
      <c r="G2484" t="str">
        <f>_xlfn.XLOOKUP(A2484,'[1]Tissue Data'!$A:$A,'[1]Tissue Data'!J:J)</f>
        <v>U</v>
      </c>
      <c r="H2484" t="str">
        <f>_xlfn.XLOOKUP(A2484,'[1]Tissue Data'!$A:$A,'[1]Tissue Data'!K:K)</f>
        <v>Whole Body</v>
      </c>
      <c r="I2484">
        <f>_xlfn.XLOOKUP(A2484,'[1]Tissue Data'!$A:$A,'[1]Tissue Data'!L:L)</f>
        <v>5.5</v>
      </c>
      <c r="J2484">
        <f>_xlfn.XLOOKUP(A2484,'[1]Tissue Data'!$A:$A,'[1]Tissue Data'!M:M)</f>
        <v>2.4</v>
      </c>
      <c r="K2484" t="s">
        <v>44</v>
      </c>
      <c r="L2484" t="str">
        <f>_xlfn.XLOOKUP(K2484,[2]analyte_order!$B:$B,[2]analyte_order!$C:$C)</f>
        <v>27619-97-2</v>
      </c>
      <c r="M2484">
        <f>_xlfn.XLOOKUP(L2484,[2]analyte_order!$C:$C,[2]analyte_order!$E:$E)</f>
        <v>23</v>
      </c>
      <c r="N2484">
        <v>0.376</v>
      </c>
    </row>
    <row r="2485" spans="1:14">
      <c r="A2485" t="s">
        <v>188</v>
      </c>
      <c r="B2485" t="str">
        <f>_xlfn.XLOOKUP(A2485,'[1]Tissue Data'!$A:$A,'[1]Tissue Data'!$C:$C)</f>
        <v>Spill</v>
      </c>
      <c r="C2485" s="2">
        <f>_xlfn.XLOOKUP(A2485,'[1]Tissue Data'!$A:$A,'[1]Tissue Data'!$D:$D)</f>
        <v>44314</v>
      </c>
      <c r="D2485" s="2" t="str">
        <f>_xlfn.XLOOKUP(A2485,'[1]Tissue Data'!$A:$A,'[1]Tissue Data'!$F:$F)</f>
        <v>Swallowtail Shiner</v>
      </c>
      <c r="E2485" t="str">
        <f>_xlfn.XLOOKUP(A2485,'[1]Tissue Data'!$A:$A,'[1]Tissue Data'!$H:$H)</f>
        <v>Notropis</v>
      </c>
      <c r="F2485" t="str">
        <f>_xlfn.XLOOKUP(A2485,'[1]Tissue Data'!$A:$A,'[1]Tissue Data'!$I:$I)</f>
        <v>procne</v>
      </c>
      <c r="G2485" t="str">
        <f>_xlfn.XLOOKUP(A2485,'[1]Tissue Data'!$A:$A,'[1]Tissue Data'!J:J)</f>
        <v>U</v>
      </c>
      <c r="H2485" t="str">
        <f>_xlfn.XLOOKUP(A2485,'[1]Tissue Data'!$A:$A,'[1]Tissue Data'!K:K)</f>
        <v>Whole Body</v>
      </c>
      <c r="I2485">
        <f>_xlfn.XLOOKUP(A2485,'[1]Tissue Data'!$A:$A,'[1]Tissue Data'!L:L)</f>
        <v>5.5</v>
      </c>
      <c r="J2485">
        <f>_xlfn.XLOOKUP(A2485,'[1]Tissue Data'!$A:$A,'[1]Tissue Data'!M:M)</f>
        <v>2.4</v>
      </c>
      <c r="K2485" t="s">
        <v>45</v>
      </c>
      <c r="L2485" t="str">
        <f>_xlfn.XLOOKUP(K2485,[2]analyte_order!$B:$B,[2]analyte_order!$C:$C)</f>
        <v>39108-34-4</v>
      </c>
      <c r="M2485">
        <f>_xlfn.XLOOKUP(L2485,[2]analyte_order!$C:$C,[2]analyte_order!$E:$E)</f>
        <v>24</v>
      </c>
      <c r="N2485">
        <v>30.7</v>
      </c>
    </row>
    <row r="2486" spans="1:14">
      <c r="A2486" t="s">
        <v>188</v>
      </c>
      <c r="B2486" t="str">
        <f>_xlfn.XLOOKUP(A2486,'[1]Tissue Data'!$A:$A,'[1]Tissue Data'!$C:$C)</f>
        <v>Spill</v>
      </c>
      <c r="C2486" s="2">
        <f>_xlfn.XLOOKUP(A2486,'[1]Tissue Data'!$A:$A,'[1]Tissue Data'!$D:$D)</f>
        <v>44314</v>
      </c>
      <c r="D2486" s="2" t="str">
        <f>_xlfn.XLOOKUP(A2486,'[1]Tissue Data'!$A:$A,'[1]Tissue Data'!$F:$F)</f>
        <v>Swallowtail Shiner</v>
      </c>
      <c r="E2486" t="str">
        <f>_xlfn.XLOOKUP(A2486,'[1]Tissue Data'!$A:$A,'[1]Tissue Data'!$H:$H)</f>
        <v>Notropis</v>
      </c>
      <c r="F2486" t="str">
        <f>_xlfn.XLOOKUP(A2486,'[1]Tissue Data'!$A:$A,'[1]Tissue Data'!$I:$I)</f>
        <v>procne</v>
      </c>
      <c r="G2486" t="str">
        <f>_xlfn.XLOOKUP(A2486,'[1]Tissue Data'!$A:$A,'[1]Tissue Data'!J:J)</f>
        <v>U</v>
      </c>
      <c r="H2486" t="str">
        <f>_xlfn.XLOOKUP(A2486,'[1]Tissue Data'!$A:$A,'[1]Tissue Data'!K:K)</f>
        <v>Whole Body</v>
      </c>
      <c r="I2486">
        <f>_xlfn.XLOOKUP(A2486,'[1]Tissue Data'!$A:$A,'[1]Tissue Data'!L:L)</f>
        <v>5.5</v>
      </c>
      <c r="J2486">
        <f>_xlfn.XLOOKUP(A2486,'[1]Tissue Data'!$A:$A,'[1]Tissue Data'!M:M)</f>
        <v>2.4</v>
      </c>
      <c r="K2486" t="s">
        <v>46</v>
      </c>
      <c r="L2486" t="str">
        <f>_xlfn.XLOOKUP(K2486,[2]analyte_order!$B:$B,[2]analyte_order!$C:$C)</f>
        <v>120226-60-0</v>
      </c>
      <c r="M2486">
        <f>_xlfn.XLOOKUP(L2486,[2]analyte_order!$C:$C,[2]analyte_order!$E:$E)</f>
        <v>25</v>
      </c>
      <c r="N2486">
        <v>0.86599999999999999</v>
      </c>
    </row>
    <row r="2487" spans="1:14">
      <c r="A2487" t="s">
        <v>188</v>
      </c>
      <c r="B2487" t="str">
        <f>_xlfn.XLOOKUP(A2487,'[1]Tissue Data'!$A:$A,'[1]Tissue Data'!$C:$C)</f>
        <v>Spill</v>
      </c>
      <c r="C2487" s="2">
        <f>_xlfn.XLOOKUP(A2487,'[1]Tissue Data'!$A:$A,'[1]Tissue Data'!$D:$D)</f>
        <v>44314</v>
      </c>
      <c r="D2487" s="2" t="str">
        <f>_xlfn.XLOOKUP(A2487,'[1]Tissue Data'!$A:$A,'[1]Tissue Data'!$F:$F)</f>
        <v>Swallowtail Shiner</v>
      </c>
      <c r="E2487" t="str">
        <f>_xlfn.XLOOKUP(A2487,'[1]Tissue Data'!$A:$A,'[1]Tissue Data'!$H:$H)</f>
        <v>Notropis</v>
      </c>
      <c r="F2487" t="str">
        <f>_xlfn.XLOOKUP(A2487,'[1]Tissue Data'!$A:$A,'[1]Tissue Data'!$I:$I)</f>
        <v>procne</v>
      </c>
      <c r="G2487" t="str">
        <f>_xlfn.XLOOKUP(A2487,'[1]Tissue Data'!$A:$A,'[1]Tissue Data'!J:J)</f>
        <v>U</v>
      </c>
      <c r="H2487" t="str">
        <f>_xlfn.XLOOKUP(A2487,'[1]Tissue Data'!$A:$A,'[1]Tissue Data'!K:K)</f>
        <v>Whole Body</v>
      </c>
      <c r="I2487">
        <f>_xlfn.XLOOKUP(A2487,'[1]Tissue Data'!$A:$A,'[1]Tissue Data'!L:L)</f>
        <v>5.5</v>
      </c>
      <c r="J2487">
        <f>_xlfn.XLOOKUP(A2487,'[1]Tissue Data'!$A:$A,'[1]Tissue Data'!M:M)</f>
        <v>2.4</v>
      </c>
      <c r="K2487" t="s">
        <v>47</v>
      </c>
      <c r="L2487" t="str">
        <f>_xlfn.XLOOKUP(K2487,[2]analyte_order!$B:$B,[2]analyte_order!$C:$C)</f>
        <v>356-02-5</v>
      </c>
      <c r="M2487">
        <f>_xlfn.XLOOKUP(L2487,[2]analyte_order!$C:$C,[2]analyte_order!$E:$E)</f>
        <v>38</v>
      </c>
      <c r="N2487">
        <v>7.2499999999999995E-2</v>
      </c>
    </row>
    <row r="2488" spans="1:14">
      <c r="A2488" t="s">
        <v>188</v>
      </c>
      <c r="B2488" t="str">
        <f>_xlfn.XLOOKUP(A2488,'[1]Tissue Data'!$A:$A,'[1]Tissue Data'!$C:$C)</f>
        <v>Spill</v>
      </c>
      <c r="C2488" s="2">
        <f>_xlfn.XLOOKUP(A2488,'[1]Tissue Data'!$A:$A,'[1]Tissue Data'!$D:$D)</f>
        <v>44314</v>
      </c>
      <c r="D2488" s="2" t="str">
        <f>_xlfn.XLOOKUP(A2488,'[1]Tissue Data'!$A:$A,'[1]Tissue Data'!$F:$F)</f>
        <v>Swallowtail Shiner</v>
      </c>
      <c r="E2488" t="str">
        <f>_xlfn.XLOOKUP(A2488,'[1]Tissue Data'!$A:$A,'[1]Tissue Data'!$H:$H)</f>
        <v>Notropis</v>
      </c>
      <c r="F2488" t="str">
        <f>_xlfn.XLOOKUP(A2488,'[1]Tissue Data'!$A:$A,'[1]Tissue Data'!$I:$I)</f>
        <v>procne</v>
      </c>
      <c r="G2488" t="str">
        <f>_xlfn.XLOOKUP(A2488,'[1]Tissue Data'!$A:$A,'[1]Tissue Data'!J:J)</f>
        <v>U</v>
      </c>
      <c r="H2488" t="str">
        <f>_xlfn.XLOOKUP(A2488,'[1]Tissue Data'!$A:$A,'[1]Tissue Data'!K:K)</f>
        <v>Whole Body</v>
      </c>
      <c r="I2488">
        <f>_xlfn.XLOOKUP(A2488,'[1]Tissue Data'!$A:$A,'[1]Tissue Data'!L:L)</f>
        <v>5.5</v>
      </c>
      <c r="J2488">
        <f>_xlfn.XLOOKUP(A2488,'[1]Tissue Data'!$A:$A,'[1]Tissue Data'!M:M)</f>
        <v>2.4</v>
      </c>
      <c r="K2488" t="s">
        <v>48</v>
      </c>
      <c r="L2488" t="str">
        <f>_xlfn.XLOOKUP(K2488,[2]analyte_order!$B:$B,[2]analyte_order!$C:$C)</f>
        <v>914637-49-3</v>
      </c>
      <c r="M2488">
        <f>_xlfn.XLOOKUP(L2488,[2]analyte_order!$C:$C,[2]analyte_order!$E:$E)</f>
        <v>39</v>
      </c>
      <c r="N2488">
        <v>2.88</v>
      </c>
    </row>
    <row r="2489" spans="1:14">
      <c r="A2489" t="s">
        <v>188</v>
      </c>
      <c r="B2489" t="str">
        <f>_xlfn.XLOOKUP(A2489,'[1]Tissue Data'!$A:$A,'[1]Tissue Data'!$C:$C)</f>
        <v>Spill</v>
      </c>
      <c r="C2489" s="2">
        <f>_xlfn.XLOOKUP(A2489,'[1]Tissue Data'!$A:$A,'[1]Tissue Data'!$D:$D)</f>
        <v>44314</v>
      </c>
      <c r="D2489" s="2" t="str">
        <f>_xlfn.XLOOKUP(A2489,'[1]Tissue Data'!$A:$A,'[1]Tissue Data'!$F:$F)</f>
        <v>Swallowtail Shiner</v>
      </c>
      <c r="E2489" t="str">
        <f>_xlfn.XLOOKUP(A2489,'[1]Tissue Data'!$A:$A,'[1]Tissue Data'!$H:$H)</f>
        <v>Notropis</v>
      </c>
      <c r="F2489" t="str">
        <f>_xlfn.XLOOKUP(A2489,'[1]Tissue Data'!$A:$A,'[1]Tissue Data'!$I:$I)</f>
        <v>procne</v>
      </c>
      <c r="G2489" t="str">
        <f>_xlfn.XLOOKUP(A2489,'[1]Tissue Data'!$A:$A,'[1]Tissue Data'!J:J)</f>
        <v>U</v>
      </c>
      <c r="H2489" t="str">
        <f>_xlfn.XLOOKUP(A2489,'[1]Tissue Data'!$A:$A,'[1]Tissue Data'!K:K)</f>
        <v>Whole Body</v>
      </c>
      <c r="I2489">
        <f>_xlfn.XLOOKUP(A2489,'[1]Tissue Data'!$A:$A,'[1]Tissue Data'!L:L)</f>
        <v>5.5</v>
      </c>
      <c r="J2489">
        <f>_xlfn.XLOOKUP(A2489,'[1]Tissue Data'!$A:$A,'[1]Tissue Data'!M:M)</f>
        <v>2.4</v>
      </c>
      <c r="K2489" t="s">
        <v>49</v>
      </c>
      <c r="L2489" t="str">
        <f>_xlfn.XLOOKUP(K2489,[2]analyte_order!$B:$B,[2]analyte_order!$C:$C)</f>
        <v>812-70-4</v>
      </c>
      <c r="M2489">
        <f>_xlfn.XLOOKUP(L2489,[2]analyte_order!$C:$C,[2]analyte_order!$E:$E)</f>
        <v>40</v>
      </c>
      <c r="N2489">
        <v>22.2</v>
      </c>
    </row>
    <row r="2490" spans="1:14">
      <c r="A2490" t="s">
        <v>188</v>
      </c>
      <c r="B2490" t="str">
        <f>_xlfn.XLOOKUP(A2490,'[1]Tissue Data'!$A:$A,'[1]Tissue Data'!$C:$C)</f>
        <v>Spill</v>
      </c>
      <c r="C2490" s="2">
        <f>_xlfn.XLOOKUP(A2490,'[1]Tissue Data'!$A:$A,'[1]Tissue Data'!$D:$D)</f>
        <v>44314</v>
      </c>
      <c r="D2490" s="2" t="str">
        <f>_xlfn.XLOOKUP(A2490,'[1]Tissue Data'!$A:$A,'[1]Tissue Data'!$F:$F)</f>
        <v>Swallowtail Shiner</v>
      </c>
      <c r="E2490" t="str">
        <f>_xlfn.XLOOKUP(A2490,'[1]Tissue Data'!$A:$A,'[1]Tissue Data'!$H:$H)</f>
        <v>Notropis</v>
      </c>
      <c r="F2490" t="str">
        <f>_xlfn.XLOOKUP(A2490,'[1]Tissue Data'!$A:$A,'[1]Tissue Data'!$I:$I)</f>
        <v>procne</v>
      </c>
      <c r="G2490" t="str">
        <f>_xlfn.XLOOKUP(A2490,'[1]Tissue Data'!$A:$A,'[1]Tissue Data'!J:J)</f>
        <v>U</v>
      </c>
      <c r="H2490" t="str">
        <f>_xlfn.XLOOKUP(A2490,'[1]Tissue Data'!$A:$A,'[1]Tissue Data'!K:K)</f>
        <v>Whole Body</v>
      </c>
      <c r="I2490">
        <f>_xlfn.XLOOKUP(A2490,'[1]Tissue Data'!$A:$A,'[1]Tissue Data'!L:L)</f>
        <v>5.5</v>
      </c>
      <c r="J2490">
        <f>_xlfn.XLOOKUP(A2490,'[1]Tissue Data'!$A:$A,'[1]Tissue Data'!M:M)</f>
        <v>2.4</v>
      </c>
      <c r="K2490" t="s">
        <v>50</v>
      </c>
      <c r="L2490" t="str">
        <f>_xlfn.XLOOKUP(K2490,[2]analyte_order!$B:$B,[2]analyte_order!$C:$C)</f>
        <v>53826-12-3</v>
      </c>
      <c r="M2490">
        <f>_xlfn.XLOOKUP(L2490,[2]analyte_order!$C:$C,[2]analyte_order!$E:$E)</f>
        <v>41</v>
      </c>
      <c r="N2490">
        <v>4.0300000000000002E-2</v>
      </c>
    </row>
    <row r="2491" spans="1:14">
      <c r="A2491" t="s">
        <v>188</v>
      </c>
      <c r="B2491" t="str">
        <f>_xlfn.XLOOKUP(A2491,'[1]Tissue Data'!$A:$A,'[1]Tissue Data'!$C:$C)</f>
        <v>Spill</v>
      </c>
      <c r="C2491" s="2">
        <f>_xlfn.XLOOKUP(A2491,'[1]Tissue Data'!$A:$A,'[1]Tissue Data'!$D:$D)</f>
        <v>44314</v>
      </c>
      <c r="D2491" s="2" t="str">
        <f>_xlfn.XLOOKUP(A2491,'[1]Tissue Data'!$A:$A,'[1]Tissue Data'!$F:$F)</f>
        <v>Swallowtail Shiner</v>
      </c>
      <c r="E2491" t="str">
        <f>_xlfn.XLOOKUP(A2491,'[1]Tissue Data'!$A:$A,'[1]Tissue Data'!$H:$H)</f>
        <v>Notropis</v>
      </c>
      <c r="F2491" t="str">
        <f>_xlfn.XLOOKUP(A2491,'[1]Tissue Data'!$A:$A,'[1]Tissue Data'!$I:$I)</f>
        <v>procne</v>
      </c>
      <c r="G2491" t="str">
        <f>_xlfn.XLOOKUP(A2491,'[1]Tissue Data'!$A:$A,'[1]Tissue Data'!J:J)</f>
        <v>U</v>
      </c>
      <c r="H2491" t="str">
        <f>_xlfn.XLOOKUP(A2491,'[1]Tissue Data'!$A:$A,'[1]Tissue Data'!K:K)</f>
        <v>Whole Body</v>
      </c>
      <c r="I2491">
        <f>_xlfn.XLOOKUP(A2491,'[1]Tissue Data'!$A:$A,'[1]Tissue Data'!L:L)</f>
        <v>5.5</v>
      </c>
      <c r="J2491">
        <f>_xlfn.XLOOKUP(A2491,'[1]Tissue Data'!$A:$A,'[1]Tissue Data'!M:M)</f>
        <v>2.4</v>
      </c>
      <c r="K2491" t="s">
        <v>51</v>
      </c>
      <c r="L2491" t="str">
        <f>_xlfn.XLOOKUP(K2491,[2]analyte_order!$B:$B,[2]analyte_order!$C:$C)</f>
        <v>27854-31-5</v>
      </c>
      <c r="M2491">
        <f>_xlfn.XLOOKUP(L2491,[2]analyte_order!$C:$C,[2]analyte_order!$E:$E)</f>
        <v>42</v>
      </c>
      <c r="N2491">
        <v>2.5149999999999999E-2</v>
      </c>
    </row>
    <row r="2492" spans="1:14">
      <c r="A2492" t="s">
        <v>188</v>
      </c>
      <c r="B2492" t="str">
        <f>_xlfn.XLOOKUP(A2492,'[1]Tissue Data'!$A:$A,'[1]Tissue Data'!$C:$C)</f>
        <v>Spill</v>
      </c>
      <c r="C2492" s="2">
        <f>_xlfn.XLOOKUP(A2492,'[1]Tissue Data'!$A:$A,'[1]Tissue Data'!$D:$D)</f>
        <v>44314</v>
      </c>
      <c r="D2492" s="2" t="str">
        <f>_xlfn.XLOOKUP(A2492,'[1]Tissue Data'!$A:$A,'[1]Tissue Data'!$F:$F)</f>
        <v>Swallowtail Shiner</v>
      </c>
      <c r="E2492" t="str">
        <f>_xlfn.XLOOKUP(A2492,'[1]Tissue Data'!$A:$A,'[1]Tissue Data'!$H:$H)</f>
        <v>Notropis</v>
      </c>
      <c r="F2492" t="str">
        <f>_xlfn.XLOOKUP(A2492,'[1]Tissue Data'!$A:$A,'[1]Tissue Data'!$I:$I)</f>
        <v>procne</v>
      </c>
      <c r="G2492" t="str">
        <f>_xlfn.XLOOKUP(A2492,'[1]Tissue Data'!$A:$A,'[1]Tissue Data'!J:J)</f>
        <v>U</v>
      </c>
      <c r="H2492" t="str">
        <f>_xlfn.XLOOKUP(A2492,'[1]Tissue Data'!$A:$A,'[1]Tissue Data'!K:K)</f>
        <v>Whole Body</v>
      </c>
      <c r="I2492">
        <f>_xlfn.XLOOKUP(A2492,'[1]Tissue Data'!$A:$A,'[1]Tissue Data'!L:L)</f>
        <v>5.5</v>
      </c>
      <c r="J2492">
        <f>_xlfn.XLOOKUP(A2492,'[1]Tissue Data'!$A:$A,'[1]Tissue Data'!M:M)</f>
        <v>2.4</v>
      </c>
      <c r="K2492" t="s">
        <v>52</v>
      </c>
      <c r="L2492" t="str">
        <f>_xlfn.XLOOKUP(K2492,[2]analyte_order!$B:$B,[2]analyte_order!$C:$C)</f>
        <v>53826-13-4</v>
      </c>
      <c r="M2492">
        <f>_xlfn.XLOOKUP(L2492,[2]analyte_order!$C:$C,[2]analyte_order!$E:$E)</f>
        <v>43</v>
      </c>
      <c r="N2492">
        <v>9.4E-2</v>
      </c>
    </row>
    <row r="2493" spans="1:14">
      <c r="A2493" t="s">
        <v>188</v>
      </c>
      <c r="B2493" t="str">
        <f>_xlfn.XLOOKUP(A2493,'[1]Tissue Data'!$A:$A,'[1]Tissue Data'!$C:$C)</f>
        <v>Spill</v>
      </c>
      <c r="C2493" s="2">
        <f>_xlfn.XLOOKUP(A2493,'[1]Tissue Data'!$A:$A,'[1]Tissue Data'!$D:$D)</f>
        <v>44314</v>
      </c>
      <c r="D2493" s="2" t="str">
        <f>_xlfn.XLOOKUP(A2493,'[1]Tissue Data'!$A:$A,'[1]Tissue Data'!$F:$F)</f>
        <v>Swallowtail Shiner</v>
      </c>
      <c r="E2493" t="str">
        <f>_xlfn.XLOOKUP(A2493,'[1]Tissue Data'!$A:$A,'[1]Tissue Data'!$H:$H)</f>
        <v>Notropis</v>
      </c>
      <c r="F2493" t="str">
        <f>_xlfn.XLOOKUP(A2493,'[1]Tissue Data'!$A:$A,'[1]Tissue Data'!$I:$I)</f>
        <v>procne</v>
      </c>
      <c r="G2493" t="str">
        <f>_xlfn.XLOOKUP(A2493,'[1]Tissue Data'!$A:$A,'[1]Tissue Data'!J:J)</f>
        <v>U</v>
      </c>
      <c r="H2493" t="str">
        <f>_xlfn.XLOOKUP(A2493,'[1]Tissue Data'!$A:$A,'[1]Tissue Data'!K:K)</f>
        <v>Whole Body</v>
      </c>
      <c r="I2493">
        <f>_xlfn.XLOOKUP(A2493,'[1]Tissue Data'!$A:$A,'[1]Tissue Data'!L:L)</f>
        <v>5.5</v>
      </c>
      <c r="J2493">
        <f>_xlfn.XLOOKUP(A2493,'[1]Tissue Data'!$A:$A,'[1]Tissue Data'!M:M)</f>
        <v>2.4</v>
      </c>
      <c r="K2493" t="s">
        <v>53</v>
      </c>
      <c r="L2493" t="str">
        <f>_xlfn.XLOOKUP(K2493,[2]analyte_order!$B:$B,[2]analyte_order!$C:$C)</f>
        <v>161094-75-3</v>
      </c>
      <c r="M2493">
        <f>_xlfn.XLOOKUP(L2493,[2]analyte_order!$C:$C,[2]analyte_order!$E:$E)</f>
        <v>44</v>
      </c>
      <c r="N2493">
        <v>4.9250000000000002E-2</v>
      </c>
    </row>
    <row r="2494" spans="1:14">
      <c r="A2494" t="s">
        <v>188</v>
      </c>
      <c r="B2494" t="str">
        <f>_xlfn.XLOOKUP(A2494,'[1]Tissue Data'!$A:$A,'[1]Tissue Data'!$C:$C)</f>
        <v>Spill</v>
      </c>
      <c r="C2494" s="2">
        <f>_xlfn.XLOOKUP(A2494,'[1]Tissue Data'!$A:$A,'[1]Tissue Data'!$D:$D)</f>
        <v>44314</v>
      </c>
      <c r="D2494" s="2" t="str">
        <f>_xlfn.XLOOKUP(A2494,'[1]Tissue Data'!$A:$A,'[1]Tissue Data'!$F:$F)</f>
        <v>Swallowtail Shiner</v>
      </c>
      <c r="E2494" t="str">
        <f>_xlfn.XLOOKUP(A2494,'[1]Tissue Data'!$A:$A,'[1]Tissue Data'!$H:$H)</f>
        <v>Notropis</v>
      </c>
      <c r="F2494" t="str">
        <f>_xlfn.XLOOKUP(A2494,'[1]Tissue Data'!$A:$A,'[1]Tissue Data'!$I:$I)</f>
        <v>procne</v>
      </c>
      <c r="G2494" t="str">
        <f>_xlfn.XLOOKUP(A2494,'[1]Tissue Data'!$A:$A,'[1]Tissue Data'!J:J)</f>
        <v>U</v>
      </c>
      <c r="H2494" t="str">
        <f>_xlfn.XLOOKUP(A2494,'[1]Tissue Data'!$A:$A,'[1]Tissue Data'!K:K)</f>
        <v>Whole Body</v>
      </c>
      <c r="I2494">
        <f>_xlfn.XLOOKUP(A2494,'[1]Tissue Data'!$A:$A,'[1]Tissue Data'!L:L)</f>
        <v>5.5</v>
      </c>
      <c r="J2494">
        <f>_xlfn.XLOOKUP(A2494,'[1]Tissue Data'!$A:$A,'[1]Tissue Data'!M:M)</f>
        <v>2.4</v>
      </c>
      <c r="K2494" t="s">
        <v>54</v>
      </c>
      <c r="L2494" t="str">
        <f>_xlfn.XLOOKUP(K2494,[2]analyte_order!$B:$B,[2]analyte_order!$C:$C)</f>
        <v>70887-84-2</v>
      </c>
      <c r="M2494">
        <f>_xlfn.XLOOKUP(L2494,[2]analyte_order!$C:$C,[2]analyte_order!$E:$E)</f>
        <v>45</v>
      </c>
      <c r="N2494">
        <v>3.7900000000000003E-2</v>
      </c>
    </row>
    <row r="2495" spans="1:14">
      <c r="A2495" t="s">
        <v>188</v>
      </c>
      <c r="B2495" t="str">
        <f>_xlfn.XLOOKUP(A2495,'[1]Tissue Data'!$A:$A,'[1]Tissue Data'!$C:$C)</f>
        <v>Spill</v>
      </c>
      <c r="C2495" s="2">
        <f>_xlfn.XLOOKUP(A2495,'[1]Tissue Data'!$A:$A,'[1]Tissue Data'!$D:$D)</f>
        <v>44314</v>
      </c>
      <c r="D2495" s="2" t="str">
        <f>_xlfn.XLOOKUP(A2495,'[1]Tissue Data'!$A:$A,'[1]Tissue Data'!$F:$F)</f>
        <v>Swallowtail Shiner</v>
      </c>
      <c r="E2495" t="str">
        <f>_xlfn.XLOOKUP(A2495,'[1]Tissue Data'!$A:$A,'[1]Tissue Data'!$H:$H)</f>
        <v>Notropis</v>
      </c>
      <c r="F2495" t="str">
        <f>_xlfn.XLOOKUP(A2495,'[1]Tissue Data'!$A:$A,'[1]Tissue Data'!$I:$I)</f>
        <v>procne</v>
      </c>
      <c r="G2495" t="str">
        <f>_xlfn.XLOOKUP(A2495,'[1]Tissue Data'!$A:$A,'[1]Tissue Data'!J:J)</f>
        <v>U</v>
      </c>
      <c r="H2495" t="str">
        <f>_xlfn.XLOOKUP(A2495,'[1]Tissue Data'!$A:$A,'[1]Tissue Data'!K:K)</f>
        <v>Whole Body</v>
      </c>
      <c r="I2495">
        <f>_xlfn.XLOOKUP(A2495,'[1]Tissue Data'!$A:$A,'[1]Tissue Data'!L:L)</f>
        <v>5.5</v>
      </c>
      <c r="J2495">
        <f>_xlfn.XLOOKUP(A2495,'[1]Tissue Data'!$A:$A,'[1]Tissue Data'!M:M)</f>
        <v>2.4</v>
      </c>
      <c r="K2495" t="s">
        <v>55</v>
      </c>
      <c r="L2495" t="str">
        <f>_xlfn.XLOOKUP(K2495,[2]analyte_order!$B:$B,[2]analyte_order!$C:$C)</f>
        <v>919005-14-4</v>
      </c>
      <c r="M2495">
        <f>_xlfn.XLOOKUP(L2495,[2]analyte_order!$C:$C,[2]analyte_order!$E:$E)</f>
        <v>35</v>
      </c>
      <c r="N2495">
        <v>6.3E-2</v>
      </c>
    </row>
    <row r="2496" spans="1:14">
      <c r="A2496" t="s">
        <v>188</v>
      </c>
      <c r="B2496" t="str">
        <f>_xlfn.XLOOKUP(A2496,'[1]Tissue Data'!$A:$A,'[1]Tissue Data'!$C:$C)</f>
        <v>Spill</v>
      </c>
      <c r="C2496" s="2">
        <f>_xlfn.XLOOKUP(A2496,'[1]Tissue Data'!$A:$A,'[1]Tissue Data'!$D:$D)</f>
        <v>44314</v>
      </c>
      <c r="D2496" s="2" t="str">
        <f>_xlfn.XLOOKUP(A2496,'[1]Tissue Data'!$A:$A,'[1]Tissue Data'!$F:$F)</f>
        <v>Swallowtail Shiner</v>
      </c>
      <c r="E2496" t="str">
        <f>_xlfn.XLOOKUP(A2496,'[1]Tissue Data'!$A:$A,'[1]Tissue Data'!$H:$H)</f>
        <v>Notropis</v>
      </c>
      <c r="F2496" t="str">
        <f>_xlfn.XLOOKUP(A2496,'[1]Tissue Data'!$A:$A,'[1]Tissue Data'!$I:$I)</f>
        <v>procne</v>
      </c>
      <c r="G2496" t="str">
        <f>_xlfn.XLOOKUP(A2496,'[1]Tissue Data'!$A:$A,'[1]Tissue Data'!J:J)</f>
        <v>U</v>
      </c>
      <c r="H2496" t="str">
        <f>_xlfn.XLOOKUP(A2496,'[1]Tissue Data'!$A:$A,'[1]Tissue Data'!K:K)</f>
        <v>Whole Body</v>
      </c>
      <c r="I2496">
        <f>_xlfn.XLOOKUP(A2496,'[1]Tissue Data'!$A:$A,'[1]Tissue Data'!L:L)</f>
        <v>5.5</v>
      </c>
      <c r="J2496">
        <f>_xlfn.XLOOKUP(A2496,'[1]Tissue Data'!$A:$A,'[1]Tissue Data'!M:M)</f>
        <v>2.4</v>
      </c>
      <c r="K2496" t="s">
        <v>56</v>
      </c>
      <c r="L2496" t="str">
        <f>_xlfn.XLOOKUP(K2496,[2]analyte_order!$B:$B,[2]analyte_order!$C:$C)</f>
        <v>756426-58-1</v>
      </c>
      <c r="M2496">
        <f>_xlfn.XLOOKUP(L2496,[2]analyte_order!$C:$C,[2]analyte_order!$E:$E)</f>
        <v>36</v>
      </c>
      <c r="N2496">
        <v>4.3650000000000001E-2</v>
      </c>
    </row>
    <row r="2497" spans="1:14">
      <c r="A2497" t="s">
        <v>188</v>
      </c>
      <c r="B2497" t="str">
        <f>_xlfn.XLOOKUP(A2497,'[1]Tissue Data'!$A:$A,'[1]Tissue Data'!$C:$C)</f>
        <v>Spill</v>
      </c>
      <c r="C2497" s="2">
        <f>_xlfn.XLOOKUP(A2497,'[1]Tissue Data'!$A:$A,'[1]Tissue Data'!$D:$D)</f>
        <v>44314</v>
      </c>
      <c r="D2497" s="2" t="str">
        <f>_xlfn.XLOOKUP(A2497,'[1]Tissue Data'!$A:$A,'[1]Tissue Data'!$F:$F)</f>
        <v>Swallowtail Shiner</v>
      </c>
      <c r="E2497" t="str">
        <f>_xlfn.XLOOKUP(A2497,'[1]Tissue Data'!$A:$A,'[1]Tissue Data'!$H:$H)</f>
        <v>Notropis</v>
      </c>
      <c r="F2497" t="str">
        <f>_xlfn.XLOOKUP(A2497,'[1]Tissue Data'!$A:$A,'[1]Tissue Data'!$I:$I)</f>
        <v>procne</v>
      </c>
      <c r="G2497" t="str">
        <f>_xlfn.XLOOKUP(A2497,'[1]Tissue Data'!$A:$A,'[1]Tissue Data'!J:J)</f>
        <v>U</v>
      </c>
      <c r="H2497" t="str">
        <f>_xlfn.XLOOKUP(A2497,'[1]Tissue Data'!$A:$A,'[1]Tissue Data'!K:K)</f>
        <v>Whole Body</v>
      </c>
      <c r="I2497">
        <f>_xlfn.XLOOKUP(A2497,'[1]Tissue Data'!$A:$A,'[1]Tissue Data'!L:L)</f>
        <v>5.5</v>
      </c>
      <c r="J2497">
        <f>_xlfn.XLOOKUP(A2497,'[1]Tissue Data'!$A:$A,'[1]Tissue Data'!M:M)</f>
        <v>2.4</v>
      </c>
      <c r="K2497" t="s">
        <v>57</v>
      </c>
      <c r="L2497" t="str">
        <f>_xlfn.XLOOKUP(K2497,[2]analyte_order!$B:$B,[2]analyte_order!$C:$C)</f>
        <v>763051-92-9</v>
      </c>
      <c r="M2497">
        <f>_xlfn.XLOOKUP(L2497,[2]analyte_order!$C:$C,[2]analyte_order!$E:$E)</f>
        <v>37</v>
      </c>
      <c r="N2497">
        <v>4.9549999999999997E-2</v>
      </c>
    </row>
    <row r="2498" spans="1:14">
      <c r="A2498" t="s">
        <v>188</v>
      </c>
      <c r="B2498" t="str">
        <f>_xlfn.XLOOKUP(A2498,'[1]Tissue Data'!$A:$A,'[1]Tissue Data'!$C:$C)</f>
        <v>Spill</v>
      </c>
      <c r="C2498" s="2">
        <f>_xlfn.XLOOKUP(A2498,'[1]Tissue Data'!$A:$A,'[1]Tissue Data'!$D:$D)</f>
        <v>44314</v>
      </c>
      <c r="D2498" s="2" t="str">
        <f>_xlfn.XLOOKUP(A2498,'[1]Tissue Data'!$A:$A,'[1]Tissue Data'!$F:$F)</f>
        <v>Swallowtail Shiner</v>
      </c>
      <c r="E2498" t="str">
        <f>_xlfn.XLOOKUP(A2498,'[1]Tissue Data'!$A:$A,'[1]Tissue Data'!$H:$H)</f>
        <v>Notropis</v>
      </c>
      <c r="F2498" t="str">
        <f>_xlfn.XLOOKUP(A2498,'[1]Tissue Data'!$A:$A,'[1]Tissue Data'!$I:$I)</f>
        <v>procne</v>
      </c>
      <c r="G2498" t="str">
        <f>_xlfn.XLOOKUP(A2498,'[1]Tissue Data'!$A:$A,'[1]Tissue Data'!J:J)</f>
        <v>U</v>
      </c>
      <c r="H2498" t="str">
        <f>_xlfn.XLOOKUP(A2498,'[1]Tissue Data'!$A:$A,'[1]Tissue Data'!K:K)</f>
        <v>Whole Body</v>
      </c>
      <c r="I2498">
        <f>_xlfn.XLOOKUP(A2498,'[1]Tissue Data'!$A:$A,'[1]Tissue Data'!L:L)</f>
        <v>5.5</v>
      </c>
      <c r="J2498">
        <f>_xlfn.XLOOKUP(A2498,'[1]Tissue Data'!$A:$A,'[1]Tissue Data'!M:M)</f>
        <v>2.4</v>
      </c>
      <c r="K2498" t="s">
        <v>58</v>
      </c>
      <c r="L2498" t="str">
        <f>_xlfn.XLOOKUP(K2498,[2]analyte_order!$B:$B,[2]analyte_order!$C:$C)</f>
        <v>13252-13-6</v>
      </c>
      <c r="M2498">
        <f>_xlfn.XLOOKUP(L2498,[2]analyte_order!$C:$C,[2]analyte_order!$E:$E)</f>
        <v>34</v>
      </c>
      <c r="N2498">
        <v>0.09</v>
      </c>
    </row>
    <row r="2499" spans="1:14">
      <c r="A2499" t="s">
        <v>188</v>
      </c>
      <c r="B2499" t="str">
        <f>_xlfn.XLOOKUP(A2499,'[1]Tissue Data'!$A:$A,'[1]Tissue Data'!$C:$C)</f>
        <v>Spill</v>
      </c>
      <c r="C2499" s="2">
        <f>_xlfn.XLOOKUP(A2499,'[1]Tissue Data'!$A:$A,'[1]Tissue Data'!$D:$D)</f>
        <v>44314</v>
      </c>
      <c r="D2499" s="2" t="str">
        <f>_xlfn.XLOOKUP(A2499,'[1]Tissue Data'!$A:$A,'[1]Tissue Data'!$F:$F)</f>
        <v>Swallowtail Shiner</v>
      </c>
      <c r="E2499" t="str">
        <f>_xlfn.XLOOKUP(A2499,'[1]Tissue Data'!$A:$A,'[1]Tissue Data'!$H:$H)</f>
        <v>Notropis</v>
      </c>
      <c r="F2499" t="str">
        <f>_xlfn.XLOOKUP(A2499,'[1]Tissue Data'!$A:$A,'[1]Tissue Data'!$I:$I)</f>
        <v>procne</v>
      </c>
      <c r="G2499" t="str">
        <f>_xlfn.XLOOKUP(A2499,'[1]Tissue Data'!$A:$A,'[1]Tissue Data'!J:J)</f>
        <v>U</v>
      </c>
      <c r="H2499" t="str">
        <f>_xlfn.XLOOKUP(A2499,'[1]Tissue Data'!$A:$A,'[1]Tissue Data'!K:K)</f>
        <v>Whole Body</v>
      </c>
      <c r="I2499">
        <f>_xlfn.XLOOKUP(A2499,'[1]Tissue Data'!$A:$A,'[1]Tissue Data'!L:L)</f>
        <v>5.5</v>
      </c>
      <c r="J2499">
        <f>_xlfn.XLOOKUP(A2499,'[1]Tissue Data'!$A:$A,'[1]Tissue Data'!M:M)</f>
        <v>2.4</v>
      </c>
      <c r="K2499" t="s">
        <v>59</v>
      </c>
      <c r="L2499" t="str">
        <f>_xlfn.XLOOKUP(K2499,[2]analyte_order!$B:$B,[2]analyte_order!$C:$C)</f>
        <v>57677-95-9</v>
      </c>
      <c r="M2499">
        <f>_xlfn.XLOOKUP(L2499,[2]analyte_order!$C:$C,[2]analyte_order!$E:$E)</f>
        <v>46</v>
      </c>
      <c r="N2499">
        <v>6.7000000000000004E-2</v>
      </c>
    </row>
    <row r="2500" spans="1:14">
      <c r="A2500" t="s">
        <v>188</v>
      </c>
      <c r="B2500" t="str">
        <f>_xlfn.XLOOKUP(A2500,'[1]Tissue Data'!$A:$A,'[1]Tissue Data'!$C:$C)</f>
        <v>Spill</v>
      </c>
      <c r="C2500" s="2">
        <f>_xlfn.XLOOKUP(A2500,'[1]Tissue Data'!$A:$A,'[1]Tissue Data'!$D:$D)</f>
        <v>44314</v>
      </c>
      <c r="D2500" s="2" t="str">
        <f>_xlfn.XLOOKUP(A2500,'[1]Tissue Data'!$A:$A,'[1]Tissue Data'!$F:$F)</f>
        <v>Swallowtail Shiner</v>
      </c>
      <c r="E2500" t="str">
        <f>_xlfn.XLOOKUP(A2500,'[1]Tissue Data'!$A:$A,'[1]Tissue Data'!$H:$H)</f>
        <v>Notropis</v>
      </c>
      <c r="F2500" t="str">
        <f>_xlfn.XLOOKUP(A2500,'[1]Tissue Data'!$A:$A,'[1]Tissue Data'!$I:$I)</f>
        <v>procne</v>
      </c>
      <c r="G2500" t="str">
        <f>_xlfn.XLOOKUP(A2500,'[1]Tissue Data'!$A:$A,'[1]Tissue Data'!J:J)</f>
        <v>U</v>
      </c>
      <c r="H2500" t="str">
        <f>_xlfn.XLOOKUP(A2500,'[1]Tissue Data'!$A:$A,'[1]Tissue Data'!K:K)</f>
        <v>Whole Body</v>
      </c>
      <c r="I2500">
        <f>_xlfn.XLOOKUP(A2500,'[1]Tissue Data'!$A:$A,'[1]Tissue Data'!L:L)</f>
        <v>5.5</v>
      </c>
      <c r="J2500">
        <f>_xlfn.XLOOKUP(A2500,'[1]Tissue Data'!$A:$A,'[1]Tissue Data'!M:M)</f>
        <v>2.4</v>
      </c>
      <c r="K2500" t="s">
        <v>60</v>
      </c>
      <c r="L2500" t="str">
        <f>_xlfn.XLOOKUP(K2500,[2]analyte_order!$B:$B,[2]analyte_order!$C:$C)</f>
        <v>678-41-1</v>
      </c>
      <c r="M2500">
        <f>_xlfn.XLOOKUP(L2500,[2]analyte_order!$C:$C,[2]analyte_order!$E:$E)</f>
        <v>56</v>
      </c>
      <c r="N2500">
        <v>8.3500000000000005E-2</v>
      </c>
    </row>
    <row r="2501" spans="1:14">
      <c r="A2501" t="s">
        <v>188</v>
      </c>
      <c r="B2501" t="str">
        <f>_xlfn.XLOOKUP(A2501,'[1]Tissue Data'!$A:$A,'[1]Tissue Data'!$C:$C)</f>
        <v>Spill</v>
      </c>
      <c r="C2501" s="2">
        <f>_xlfn.XLOOKUP(A2501,'[1]Tissue Data'!$A:$A,'[1]Tissue Data'!$D:$D)</f>
        <v>44314</v>
      </c>
      <c r="D2501" s="2" t="str">
        <f>_xlfn.XLOOKUP(A2501,'[1]Tissue Data'!$A:$A,'[1]Tissue Data'!$F:$F)</f>
        <v>Swallowtail Shiner</v>
      </c>
      <c r="E2501" t="str">
        <f>_xlfn.XLOOKUP(A2501,'[1]Tissue Data'!$A:$A,'[1]Tissue Data'!$H:$H)</f>
        <v>Notropis</v>
      </c>
      <c r="F2501" t="str">
        <f>_xlfn.XLOOKUP(A2501,'[1]Tissue Data'!$A:$A,'[1]Tissue Data'!$I:$I)</f>
        <v>procne</v>
      </c>
      <c r="G2501" t="str">
        <f>_xlfn.XLOOKUP(A2501,'[1]Tissue Data'!$A:$A,'[1]Tissue Data'!J:J)</f>
        <v>U</v>
      </c>
      <c r="H2501" t="str">
        <f>_xlfn.XLOOKUP(A2501,'[1]Tissue Data'!$A:$A,'[1]Tissue Data'!K:K)</f>
        <v>Whole Body</v>
      </c>
      <c r="I2501">
        <f>_xlfn.XLOOKUP(A2501,'[1]Tissue Data'!$A:$A,'[1]Tissue Data'!L:L)</f>
        <v>5.5</v>
      </c>
      <c r="J2501">
        <f>_xlfn.XLOOKUP(A2501,'[1]Tissue Data'!$A:$A,'[1]Tissue Data'!M:M)</f>
        <v>2.4</v>
      </c>
      <c r="K2501" t="s">
        <v>61</v>
      </c>
      <c r="L2501" t="str">
        <f>_xlfn.XLOOKUP(K2501,[2]analyte_order!$B:$B,[2]analyte_order!$C:$C)</f>
        <v>2965-52-8</v>
      </c>
      <c r="M2501">
        <f>_xlfn.XLOOKUP(L2501,[2]analyte_order!$C:$C,[2]analyte_order!$E:$E)</f>
        <v>57</v>
      </c>
      <c r="N2501">
        <v>0.1105</v>
      </c>
    </row>
    <row r="2502" spans="1:14">
      <c r="A2502" t="s">
        <v>189</v>
      </c>
      <c r="B2502" t="str">
        <f>_xlfn.XLOOKUP(A2502,'[1]Tissue Data'!$A:$A,'[1]Tissue Data'!$C:$C)</f>
        <v>Spill</v>
      </c>
      <c r="C2502" s="2">
        <f>_xlfn.XLOOKUP(A2502,'[1]Tissue Data'!$A:$A,'[1]Tissue Data'!$D:$D)</f>
        <v>44314</v>
      </c>
      <c r="D2502" s="2" t="str">
        <f>_xlfn.XLOOKUP(A2502,'[1]Tissue Data'!$A:$A,'[1]Tissue Data'!$F:$F)</f>
        <v>Swallowtail Shiner</v>
      </c>
      <c r="E2502" t="str">
        <f>_xlfn.XLOOKUP(A2502,'[1]Tissue Data'!$A:$A,'[1]Tissue Data'!$H:$H)</f>
        <v>Notropis</v>
      </c>
      <c r="F2502" t="str">
        <f>_xlfn.XLOOKUP(A2502,'[1]Tissue Data'!$A:$A,'[1]Tissue Data'!$I:$I)</f>
        <v>procne</v>
      </c>
      <c r="G2502" t="str">
        <f>_xlfn.XLOOKUP(A2502,'[1]Tissue Data'!$A:$A,'[1]Tissue Data'!J:J)</f>
        <v>U</v>
      </c>
      <c r="H2502" t="str">
        <f>_xlfn.XLOOKUP(A2502,'[1]Tissue Data'!$A:$A,'[1]Tissue Data'!K:K)</f>
        <v>Whole Body</v>
      </c>
      <c r="I2502">
        <f>_xlfn.XLOOKUP(A2502,'[1]Tissue Data'!$A:$A,'[1]Tissue Data'!L:L)</f>
        <v>5.5</v>
      </c>
      <c r="J2502">
        <f>_xlfn.XLOOKUP(A2502,'[1]Tissue Data'!$A:$A,'[1]Tissue Data'!M:M)</f>
        <v>2.75</v>
      </c>
      <c r="K2502" t="s">
        <v>12</v>
      </c>
      <c r="L2502" t="str">
        <f>_xlfn.XLOOKUP(K2502,[2]analyte_order!$B:$B,[2]analyte_order!$C:$C)</f>
        <v>375-22-4</v>
      </c>
      <c r="M2502">
        <f>_xlfn.XLOOKUP(L2502,[2]analyte_order!$C:$C,[2]analyte_order!$E:$E)</f>
        <v>1</v>
      </c>
      <c r="N2502">
        <v>9.1499999999999998E-2</v>
      </c>
    </row>
    <row r="2503" spans="1:14">
      <c r="A2503" t="s">
        <v>189</v>
      </c>
      <c r="B2503" t="str">
        <f>_xlfn.XLOOKUP(A2503,'[1]Tissue Data'!$A:$A,'[1]Tissue Data'!$C:$C)</f>
        <v>Spill</v>
      </c>
      <c r="C2503" s="2">
        <f>_xlfn.XLOOKUP(A2503,'[1]Tissue Data'!$A:$A,'[1]Tissue Data'!$D:$D)</f>
        <v>44314</v>
      </c>
      <c r="D2503" s="2" t="str">
        <f>_xlfn.XLOOKUP(A2503,'[1]Tissue Data'!$A:$A,'[1]Tissue Data'!$F:$F)</f>
        <v>Swallowtail Shiner</v>
      </c>
      <c r="E2503" t="str">
        <f>_xlfn.XLOOKUP(A2503,'[1]Tissue Data'!$A:$A,'[1]Tissue Data'!$H:$H)</f>
        <v>Notropis</v>
      </c>
      <c r="F2503" t="str">
        <f>_xlfn.XLOOKUP(A2503,'[1]Tissue Data'!$A:$A,'[1]Tissue Data'!$I:$I)</f>
        <v>procne</v>
      </c>
      <c r="G2503" t="str">
        <f>_xlfn.XLOOKUP(A2503,'[1]Tissue Data'!$A:$A,'[1]Tissue Data'!J:J)</f>
        <v>U</v>
      </c>
      <c r="H2503" t="str">
        <f>_xlfn.XLOOKUP(A2503,'[1]Tissue Data'!$A:$A,'[1]Tissue Data'!K:K)</f>
        <v>Whole Body</v>
      </c>
      <c r="I2503">
        <f>_xlfn.XLOOKUP(A2503,'[1]Tissue Data'!$A:$A,'[1]Tissue Data'!L:L)</f>
        <v>5.5</v>
      </c>
      <c r="J2503">
        <f>_xlfn.XLOOKUP(A2503,'[1]Tissue Data'!$A:$A,'[1]Tissue Data'!M:M)</f>
        <v>2.75</v>
      </c>
      <c r="K2503" t="s">
        <v>13</v>
      </c>
      <c r="L2503" t="str">
        <f>_xlfn.XLOOKUP(K2503,[2]analyte_order!$B:$B,[2]analyte_order!$C:$C)</f>
        <v>2706-90-3</v>
      </c>
      <c r="M2503">
        <f>_xlfn.XLOOKUP(L2503,[2]analyte_order!$C:$C,[2]analyte_order!$E:$E)</f>
        <v>2</v>
      </c>
      <c r="N2503">
        <v>0.16200000000000001</v>
      </c>
    </row>
    <row r="2504" spans="1:14">
      <c r="A2504" t="s">
        <v>189</v>
      </c>
      <c r="B2504" t="str">
        <f>_xlfn.XLOOKUP(A2504,'[1]Tissue Data'!$A:$A,'[1]Tissue Data'!$C:$C)</f>
        <v>Spill</v>
      </c>
      <c r="C2504" s="2">
        <f>_xlfn.XLOOKUP(A2504,'[1]Tissue Data'!$A:$A,'[1]Tissue Data'!$D:$D)</f>
        <v>44314</v>
      </c>
      <c r="D2504" s="2" t="str">
        <f>_xlfn.XLOOKUP(A2504,'[1]Tissue Data'!$A:$A,'[1]Tissue Data'!$F:$F)</f>
        <v>Swallowtail Shiner</v>
      </c>
      <c r="E2504" t="str">
        <f>_xlfn.XLOOKUP(A2504,'[1]Tissue Data'!$A:$A,'[1]Tissue Data'!$H:$H)</f>
        <v>Notropis</v>
      </c>
      <c r="F2504" t="str">
        <f>_xlfn.XLOOKUP(A2504,'[1]Tissue Data'!$A:$A,'[1]Tissue Data'!$I:$I)</f>
        <v>procne</v>
      </c>
      <c r="G2504" t="str">
        <f>_xlfn.XLOOKUP(A2504,'[1]Tissue Data'!$A:$A,'[1]Tissue Data'!J:J)</f>
        <v>U</v>
      </c>
      <c r="H2504" t="str">
        <f>_xlfn.XLOOKUP(A2504,'[1]Tissue Data'!$A:$A,'[1]Tissue Data'!K:K)</f>
        <v>Whole Body</v>
      </c>
      <c r="I2504">
        <f>_xlfn.XLOOKUP(A2504,'[1]Tissue Data'!$A:$A,'[1]Tissue Data'!L:L)</f>
        <v>5.5</v>
      </c>
      <c r="J2504">
        <f>_xlfn.XLOOKUP(A2504,'[1]Tissue Data'!$A:$A,'[1]Tissue Data'!M:M)</f>
        <v>2.75</v>
      </c>
      <c r="K2504" t="s">
        <v>14</v>
      </c>
      <c r="L2504" t="str">
        <f>_xlfn.XLOOKUP(K2504,[2]analyte_order!$B:$B,[2]analyte_order!$C:$C)</f>
        <v>307-24-4</v>
      </c>
      <c r="M2504">
        <f>_xlfn.XLOOKUP(L2504,[2]analyte_order!$C:$C,[2]analyte_order!$E:$E)</f>
        <v>3</v>
      </c>
      <c r="N2504">
        <v>0.65800000000000003</v>
      </c>
    </row>
    <row r="2505" spans="1:14">
      <c r="A2505" t="s">
        <v>189</v>
      </c>
      <c r="B2505" t="str">
        <f>_xlfn.XLOOKUP(A2505,'[1]Tissue Data'!$A:$A,'[1]Tissue Data'!$C:$C)</f>
        <v>Spill</v>
      </c>
      <c r="C2505" s="2">
        <f>_xlfn.XLOOKUP(A2505,'[1]Tissue Data'!$A:$A,'[1]Tissue Data'!$D:$D)</f>
        <v>44314</v>
      </c>
      <c r="D2505" s="2" t="str">
        <f>_xlfn.XLOOKUP(A2505,'[1]Tissue Data'!$A:$A,'[1]Tissue Data'!$F:$F)</f>
        <v>Swallowtail Shiner</v>
      </c>
      <c r="E2505" t="str">
        <f>_xlfn.XLOOKUP(A2505,'[1]Tissue Data'!$A:$A,'[1]Tissue Data'!$H:$H)</f>
        <v>Notropis</v>
      </c>
      <c r="F2505" t="str">
        <f>_xlfn.XLOOKUP(A2505,'[1]Tissue Data'!$A:$A,'[1]Tissue Data'!$I:$I)</f>
        <v>procne</v>
      </c>
      <c r="G2505" t="str">
        <f>_xlfn.XLOOKUP(A2505,'[1]Tissue Data'!$A:$A,'[1]Tissue Data'!J:J)</f>
        <v>U</v>
      </c>
      <c r="H2505" t="str">
        <f>_xlfn.XLOOKUP(A2505,'[1]Tissue Data'!$A:$A,'[1]Tissue Data'!K:K)</f>
        <v>Whole Body</v>
      </c>
      <c r="I2505">
        <f>_xlfn.XLOOKUP(A2505,'[1]Tissue Data'!$A:$A,'[1]Tissue Data'!L:L)</f>
        <v>5.5</v>
      </c>
      <c r="J2505">
        <f>_xlfn.XLOOKUP(A2505,'[1]Tissue Data'!$A:$A,'[1]Tissue Data'!M:M)</f>
        <v>2.75</v>
      </c>
      <c r="K2505" t="s">
        <v>15</v>
      </c>
      <c r="L2505" t="str">
        <f>_xlfn.XLOOKUP(K2505,[2]analyte_order!$B:$B,[2]analyte_order!$C:$C)</f>
        <v>375-85-9</v>
      </c>
      <c r="M2505">
        <f>_xlfn.XLOOKUP(L2505,[2]analyte_order!$C:$C,[2]analyte_order!$E:$E)</f>
        <v>4</v>
      </c>
      <c r="N2505">
        <v>9.1499999999999998E-2</v>
      </c>
    </row>
    <row r="2506" spans="1:14">
      <c r="A2506" t="s">
        <v>189</v>
      </c>
      <c r="B2506" t="str">
        <f>_xlfn.XLOOKUP(A2506,'[1]Tissue Data'!$A:$A,'[1]Tissue Data'!$C:$C)</f>
        <v>Spill</v>
      </c>
      <c r="C2506" s="2">
        <f>_xlfn.XLOOKUP(A2506,'[1]Tissue Data'!$A:$A,'[1]Tissue Data'!$D:$D)</f>
        <v>44314</v>
      </c>
      <c r="D2506" s="2" t="str">
        <f>_xlfn.XLOOKUP(A2506,'[1]Tissue Data'!$A:$A,'[1]Tissue Data'!$F:$F)</f>
        <v>Swallowtail Shiner</v>
      </c>
      <c r="E2506" t="str">
        <f>_xlfn.XLOOKUP(A2506,'[1]Tissue Data'!$A:$A,'[1]Tissue Data'!$H:$H)</f>
        <v>Notropis</v>
      </c>
      <c r="F2506" t="str">
        <f>_xlfn.XLOOKUP(A2506,'[1]Tissue Data'!$A:$A,'[1]Tissue Data'!$I:$I)</f>
        <v>procne</v>
      </c>
      <c r="G2506" t="str">
        <f>_xlfn.XLOOKUP(A2506,'[1]Tissue Data'!$A:$A,'[1]Tissue Data'!J:J)</f>
        <v>U</v>
      </c>
      <c r="H2506" t="str">
        <f>_xlfn.XLOOKUP(A2506,'[1]Tissue Data'!$A:$A,'[1]Tissue Data'!K:K)</f>
        <v>Whole Body</v>
      </c>
      <c r="I2506">
        <f>_xlfn.XLOOKUP(A2506,'[1]Tissue Data'!$A:$A,'[1]Tissue Data'!L:L)</f>
        <v>5.5</v>
      </c>
      <c r="J2506">
        <f>_xlfn.XLOOKUP(A2506,'[1]Tissue Data'!$A:$A,'[1]Tissue Data'!M:M)</f>
        <v>2.75</v>
      </c>
      <c r="K2506" t="s">
        <v>16</v>
      </c>
      <c r="L2506" t="str">
        <f>_xlfn.XLOOKUP(K2506,[2]analyte_order!$B:$B,[2]analyte_order!$C:$C)</f>
        <v>335-67-1</v>
      </c>
      <c r="M2506">
        <f>_xlfn.XLOOKUP(L2506,[2]analyte_order!$C:$C,[2]analyte_order!$E:$E)</f>
        <v>5</v>
      </c>
      <c r="N2506">
        <v>8.3000000000000007</v>
      </c>
    </row>
    <row r="2507" spans="1:14">
      <c r="A2507" t="s">
        <v>189</v>
      </c>
      <c r="B2507" t="str">
        <f>_xlfn.XLOOKUP(A2507,'[1]Tissue Data'!$A:$A,'[1]Tissue Data'!$C:$C)</f>
        <v>Spill</v>
      </c>
      <c r="C2507" s="2">
        <f>_xlfn.XLOOKUP(A2507,'[1]Tissue Data'!$A:$A,'[1]Tissue Data'!$D:$D)</f>
        <v>44314</v>
      </c>
      <c r="D2507" s="2" t="str">
        <f>_xlfn.XLOOKUP(A2507,'[1]Tissue Data'!$A:$A,'[1]Tissue Data'!$F:$F)</f>
        <v>Swallowtail Shiner</v>
      </c>
      <c r="E2507" t="str">
        <f>_xlfn.XLOOKUP(A2507,'[1]Tissue Data'!$A:$A,'[1]Tissue Data'!$H:$H)</f>
        <v>Notropis</v>
      </c>
      <c r="F2507" t="str">
        <f>_xlfn.XLOOKUP(A2507,'[1]Tissue Data'!$A:$A,'[1]Tissue Data'!$I:$I)</f>
        <v>procne</v>
      </c>
      <c r="G2507" t="str">
        <f>_xlfn.XLOOKUP(A2507,'[1]Tissue Data'!$A:$A,'[1]Tissue Data'!J:J)</f>
        <v>U</v>
      </c>
      <c r="H2507" t="str">
        <f>_xlfn.XLOOKUP(A2507,'[1]Tissue Data'!$A:$A,'[1]Tissue Data'!K:K)</f>
        <v>Whole Body</v>
      </c>
      <c r="I2507">
        <f>_xlfn.XLOOKUP(A2507,'[1]Tissue Data'!$A:$A,'[1]Tissue Data'!L:L)</f>
        <v>5.5</v>
      </c>
      <c r="J2507">
        <f>_xlfn.XLOOKUP(A2507,'[1]Tissue Data'!$A:$A,'[1]Tissue Data'!M:M)</f>
        <v>2.75</v>
      </c>
      <c r="K2507" t="s">
        <v>17</v>
      </c>
      <c r="L2507" t="str">
        <f>_xlfn.XLOOKUP(K2507,[2]analyte_order!$B:$B,[2]analyte_order!$C:$C)</f>
        <v>375-95-1</v>
      </c>
      <c r="M2507">
        <f>_xlfn.XLOOKUP(L2507,[2]analyte_order!$C:$C,[2]analyte_order!$E:$E)</f>
        <v>6</v>
      </c>
      <c r="N2507">
        <v>11.4</v>
      </c>
    </row>
    <row r="2508" spans="1:14">
      <c r="A2508" t="s">
        <v>189</v>
      </c>
      <c r="B2508" t="str">
        <f>_xlfn.XLOOKUP(A2508,'[1]Tissue Data'!$A:$A,'[1]Tissue Data'!$C:$C)</f>
        <v>Spill</v>
      </c>
      <c r="C2508" s="2">
        <f>_xlfn.XLOOKUP(A2508,'[1]Tissue Data'!$A:$A,'[1]Tissue Data'!$D:$D)</f>
        <v>44314</v>
      </c>
      <c r="D2508" s="2" t="str">
        <f>_xlfn.XLOOKUP(A2508,'[1]Tissue Data'!$A:$A,'[1]Tissue Data'!$F:$F)</f>
        <v>Swallowtail Shiner</v>
      </c>
      <c r="E2508" t="str">
        <f>_xlfn.XLOOKUP(A2508,'[1]Tissue Data'!$A:$A,'[1]Tissue Data'!$H:$H)</f>
        <v>Notropis</v>
      </c>
      <c r="F2508" t="str">
        <f>_xlfn.XLOOKUP(A2508,'[1]Tissue Data'!$A:$A,'[1]Tissue Data'!$I:$I)</f>
        <v>procne</v>
      </c>
      <c r="G2508" t="str">
        <f>_xlfn.XLOOKUP(A2508,'[1]Tissue Data'!$A:$A,'[1]Tissue Data'!J:J)</f>
        <v>U</v>
      </c>
      <c r="H2508" t="str">
        <f>_xlfn.XLOOKUP(A2508,'[1]Tissue Data'!$A:$A,'[1]Tissue Data'!K:K)</f>
        <v>Whole Body</v>
      </c>
      <c r="I2508">
        <f>_xlfn.XLOOKUP(A2508,'[1]Tissue Data'!$A:$A,'[1]Tissue Data'!L:L)</f>
        <v>5.5</v>
      </c>
      <c r="J2508">
        <f>_xlfn.XLOOKUP(A2508,'[1]Tissue Data'!$A:$A,'[1]Tissue Data'!M:M)</f>
        <v>2.75</v>
      </c>
      <c r="K2508" t="s">
        <v>18</v>
      </c>
      <c r="L2508" t="str">
        <f>_xlfn.XLOOKUP(K2508,[2]analyte_order!$B:$B,[2]analyte_order!$C:$C)</f>
        <v>335-76-2</v>
      </c>
      <c r="M2508">
        <f>_xlfn.XLOOKUP(L2508,[2]analyte_order!$C:$C,[2]analyte_order!$E:$E)</f>
        <v>7</v>
      </c>
      <c r="N2508">
        <v>15.1</v>
      </c>
    </row>
    <row r="2509" spans="1:14">
      <c r="A2509" t="s">
        <v>189</v>
      </c>
      <c r="B2509" t="str">
        <f>_xlfn.XLOOKUP(A2509,'[1]Tissue Data'!$A:$A,'[1]Tissue Data'!$C:$C)</f>
        <v>Spill</v>
      </c>
      <c r="C2509" s="2">
        <f>_xlfn.XLOOKUP(A2509,'[1]Tissue Data'!$A:$A,'[1]Tissue Data'!$D:$D)</f>
        <v>44314</v>
      </c>
      <c r="D2509" s="2" t="str">
        <f>_xlfn.XLOOKUP(A2509,'[1]Tissue Data'!$A:$A,'[1]Tissue Data'!$F:$F)</f>
        <v>Swallowtail Shiner</v>
      </c>
      <c r="E2509" t="str">
        <f>_xlfn.XLOOKUP(A2509,'[1]Tissue Data'!$A:$A,'[1]Tissue Data'!$H:$H)</f>
        <v>Notropis</v>
      </c>
      <c r="F2509" t="str">
        <f>_xlfn.XLOOKUP(A2509,'[1]Tissue Data'!$A:$A,'[1]Tissue Data'!$I:$I)</f>
        <v>procne</v>
      </c>
      <c r="G2509" t="str">
        <f>_xlfn.XLOOKUP(A2509,'[1]Tissue Data'!$A:$A,'[1]Tissue Data'!J:J)</f>
        <v>U</v>
      </c>
      <c r="H2509" t="str">
        <f>_xlfn.XLOOKUP(A2509,'[1]Tissue Data'!$A:$A,'[1]Tissue Data'!K:K)</f>
        <v>Whole Body</v>
      </c>
      <c r="I2509">
        <f>_xlfn.XLOOKUP(A2509,'[1]Tissue Data'!$A:$A,'[1]Tissue Data'!L:L)</f>
        <v>5.5</v>
      </c>
      <c r="J2509">
        <f>_xlfn.XLOOKUP(A2509,'[1]Tissue Data'!$A:$A,'[1]Tissue Data'!M:M)</f>
        <v>2.75</v>
      </c>
      <c r="K2509" t="s">
        <v>19</v>
      </c>
      <c r="L2509" t="str">
        <f>_xlfn.XLOOKUP(K2509,[2]analyte_order!$B:$B,[2]analyte_order!$C:$C)</f>
        <v>2058-94-8</v>
      </c>
      <c r="M2509">
        <f>_xlfn.XLOOKUP(L2509,[2]analyte_order!$C:$C,[2]analyte_order!$E:$E)</f>
        <v>8</v>
      </c>
      <c r="N2509">
        <v>19.899999999999999</v>
      </c>
    </row>
    <row r="2510" spans="1:14">
      <c r="A2510" t="s">
        <v>189</v>
      </c>
      <c r="B2510" t="str">
        <f>_xlfn.XLOOKUP(A2510,'[1]Tissue Data'!$A:$A,'[1]Tissue Data'!$C:$C)</f>
        <v>Spill</v>
      </c>
      <c r="C2510" s="2">
        <f>_xlfn.XLOOKUP(A2510,'[1]Tissue Data'!$A:$A,'[1]Tissue Data'!$D:$D)</f>
        <v>44314</v>
      </c>
      <c r="D2510" s="2" t="str">
        <f>_xlfn.XLOOKUP(A2510,'[1]Tissue Data'!$A:$A,'[1]Tissue Data'!$F:$F)</f>
        <v>Swallowtail Shiner</v>
      </c>
      <c r="E2510" t="str">
        <f>_xlfn.XLOOKUP(A2510,'[1]Tissue Data'!$A:$A,'[1]Tissue Data'!$H:$H)</f>
        <v>Notropis</v>
      </c>
      <c r="F2510" t="str">
        <f>_xlfn.XLOOKUP(A2510,'[1]Tissue Data'!$A:$A,'[1]Tissue Data'!$I:$I)</f>
        <v>procne</v>
      </c>
      <c r="G2510" t="str">
        <f>_xlfn.XLOOKUP(A2510,'[1]Tissue Data'!$A:$A,'[1]Tissue Data'!J:J)</f>
        <v>U</v>
      </c>
      <c r="H2510" t="str">
        <f>_xlfn.XLOOKUP(A2510,'[1]Tissue Data'!$A:$A,'[1]Tissue Data'!K:K)</f>
        <v>Whole Body</v>
      </c>
      <c r="I2510">
        <f>_xlfn.XLOOKUP(A2510,'[1]Tissue Data'!$A:$A,'[1]Tissue Data'!L:L)</f>
        <v>5.5</v>
      </c>
      <c r="J2510">
        <f>_xlfn.XLOOKUP(A2510,'[1]Tissue Data'!$A:$A,'[1]Tissue Data'!M:M)</f>
        <v>2.75</v>
      </c>
      <c r="K2510" t="s">
        <v>20</v>
      </c>
      <c r="L2510" t="str">
        <f>_xlfn.XLOOKUP(K2510,[2]analyte_order!$B:$B,[2]analyte_order!$C:$C)</f>
        <v>307-55-1</v>
      </c>
      <c r="M2510">
        <f>_xlfn.XLOOKUP(L2510,[2]analyte_order!$C:$C,[2]analyte_order!$E:$E)</f>
        <v>9</v>
      </c>
      <c r="N2510">
        <v>26.8</v>
      </c>
    </row>
    <row r="2511" spans="1:14">
      <c r="A2511" t="s">
        <v>189</v>
      </c>
      <c r="B2511" t="str">
        <f>_xlfn.XLOOKUP(A2511,'[1]Tissue Data'!$A:$A,'[1]Tissue Data'!$C:$C)</f>
        <v>Spill</v>
      </c>
      <c r="C2511" s="2">
        <f>_xlfn.XLOOKUP(A2511,'[1]Tissue Data'!$A:$A,'[1]Tissue Data'!$D:$D)</f>
        <v>44314</v>
      </c>
      <c r="D2511" s="2" t="str">
        <f>_xlfn.XLOOKUP(A2511,'[1]Tissue Data'!$A:$A,'[1]Tissue Data'!$F:$F)</f>
        <v>Swallowtail Shiner</v>
      </c>
      <c r="E2511" t="str">
        <f>_xlfn.XLOOKUP(A2511,'[1]Tissue Data'!$A:$A,'[1]Tissue Data'!$H:$H)</f>
        <v>Notropis</v>
      </c>
      <c r="F2511" t="str">
        <f>_xlfn.XLOOKUP(A2511,'[1]Tissue Data'!$A:$A,'[1]Tissue Data'!$I:$I)</f>
        <v>procne</v>
      </c>
      <c r="G2511" t="str">
        <f>_xlfn.XLOOKUP(A2511,'[1]Tissue Data'!$A:$A,'[1]Tissue Data'!J:J)</f>
        <v>U</v>
      </c>
      <c r="H2511" t="str">
        <f>_xlfn.XLOOKUP(A2511,'[1]Tissue Data'!$A:$A,'[1]Tissue Data'!K:K)</f>
        <v>Whole Body</v>
      </c>
      <c r="I2511">
        <f>_xlfn.XLOOKUP(A2511,'[1]Tissue Data'!$A:$A,'[1]Tissue Data'!L:L)</f>
        <v>5.5</v>
      </c>
      <c r="J2511">
        <f>_xlfn.XLOOKUP(A2511,'[1]Tissue Data'!$A:$A,'[1]Tissue Data'!M:M)</f>
        <v>2.75</v>
      </c>
      <c r="K2511" t="s">
        <v>21</v>
      </c>
      <c r="L2511" t="str">
        <f>_xlfn.XLOOKUP(K2511,[2]analyte_order!$B:$B,[2]analyte_order!$C:$C)</f>
        <v>72629-94-8</v>
      </c>
      <c r="M2511">
        <f>_xlfn.XLOOKUP(L2511,[2]analyte_order!$C:$C,[2]analyte_order!$E:$E)</f>
        <v>10</v>
      </c>
      <c r="N2511">
        <v>13.9</v>
      </c>
    </row>
    <row r="2512" spans="1:14">
      <c r="A2512" t="s">
        <v>189</v>
      </c>
      <c r="B2512" t="str">
        <f>_xlfn.XLOOKUP(A2512,'[1]Tissue Data'!$A:$A,'[1]Tissue Data'!$C:$C)</f>
        <v>Spill</v>
      </c>
      <c r="C2512" s="2">
        <f>_xlfn.XLOOKUP(A2512,'[1]Tissue Data'!$A:$A,'[1]Tissue Data'!$D:$D)</f>
        <v>44314</v>
      </c>
      <c r="D2512" s="2" t="str">
        <f>_xlfn.XLOOKUP(A2512,'[1]Tissue Data'!$A:$A,'[1]Tissue Data'!$F:$F)</f>
        <v>Swallowtail Shiner</v>
      </c>
      <c r="E2512" t="str">
        <f>_xlfn.XLOOKUP(A2512,'[1]Tissue Data'!$A:$A,'[1]Tissue Data'!$H:$H)</f>
        <v>Notropis</v>
      </c>
      <c r="F2512" t="str">
        <f>_xlfn.XLOOKUP(A2512,'[1]Tissue Data'!$A:$A,'[1]Tissue Data'!$I:$I)</f>
        <v>procne</v>
      </c>
      <c r="G2512" t="str">
        <f>_xlfn.XLOOKUP(A2512,'[1]Tissue Data'!$A:$A,'[1]Tissue Data'!J:J)</f>
        <v>U</v>
      </c>
      <c r="H2512" t="str">
        <f>_xlfn.XLOOKUP(A2512,'[1]Tissue Data'!$A:$A,'[1]Tissue Data'!K:K)</f>
        <v>Whole Body</v>
      </c>
      <c r="I2512">
        <f>_xlfn.XLOOKUP(A2512,'[1]Tissue Data'!$A:$A,'[1]Tissue Data'!L:L)</f>
        <v>5.5</v>
      </c>
      <c r="J2512">
        <f>_xlfn.XLOOKUP(A2512,'[1]Tissue Data'!$A:$A,'[1]Tissue Data'!M:M)</f>
        <v>2.75</v>
      </c>
      <c r="K2512" t="s">
        <v>22</v>
      </c>
      <c r="L2512" t="str">
        <f>_xlfn.XLOOKUP(K2512,[2]analyte_order!$B:$B,[2]analyte_order!$C:$C)</f>
        <v>376-06-7</v>
      </c>
      <c r="M2512">
        <f>_xlfn.XLOOKUP(L2512,[2]analyte_order!$C:$C,[2]analyte_order!$E:$E)</f>
        <v>11</v>
      </c>
      <c r="N2512">
        <v>12.6</v>
      </c>
    </row>
    <row r="2513" spans="1:14">
      <c r="A2513" t="s">
        <v>189</v>
      </c>
      <c r="B2513" t="str">
        <f>_xlfn.XLOOKUP(A2513,'[1]Tissue Data'!$A:$A,'[1]Tissue Data'!$C:$C)</f>
        <v>Spill</v>
      </c>
      <c r="C2513" s="2">
        <f>_xlfn.XLOOKUP(A2513,'[1]Tissue Data'!$A:$A,'[1]Tissue Data'!$D:$D)</f>
        <v>44314</v>
      </c>
      <c r="D2513" s="2" t="str">
        <f>_xlfn.XLOOKUP(A2513,'[1]Tissue Data'!$A:$A,'[1]Tissue Data'!$F:$F)</f>
        <v>Swallowtail Shiner</v>
      </c>
      <c r="E2513" t="str">
        <f>_xlfn.XLOOKUP(A2513,'[1]Tissue Data'!$A:$A,'[1]Tissue Data'!$H:$H)</f>
        <v>Notropis</v>
      </c>
      <c r="F2513" t="str">
        <f>_xlfn.XLOOKUP(A2513,'[1]Tissue Data'!$A:$A,'[1]Tissue Data'!$I:$I)</f>
        <v>procne</v>
      </c>
      <c r="G2513" t="str">
        <f>_xlfn.XLOOKUP(A2513,'[1]Tissue Data'!$A:$A,'[1]Tissue Data'!J:J)</f>
        <v>U</v>
      </c>
      <c r="H2513" t="str">
        <f>_xlfn.XLOOKUP(A2513,'[1]Tissue Data'!$A:$A,'[1]Tissue Data'!K:K)</f>
        <v>Whole Body</v>
      </c>
      <c r="I2513">
        <f>_xlfn.XLOOKUP(A2513,'[1]Tissue Data'!$A:$A,'[1]Tissue Data'!L:L)</f>
        <v>5.5</v>
      </c>
      <c r="J2513">
        <f>_xlfn.XLOOKUP(A2513,'[1]Tissue Data'!$A:$A,'[1]Tissue Data'!M:M)</f>
        <v>2.75</v>
      </c>
      <c r="K2513" t="s">
        <v>23</v>
      </c>
      <c r="L2513" t="str">
        <f>_xlfn.XLOOKUP(K2513,[2]analyte_order!$B:$B,[2]analyte_order!$C:$C)</f>
        <v>67905-19-5</v>
      </c>
      <c r="M2513">
        <f>_xlfn.XLOOKUP(L2513,[2]analyte_order!$C:$C,[2]analyte_order!$E:$E)</f>
        <v>12</v>
      </c>
      <c r="N2513">
        <v>8.2500000000000004E-2</v>
      </c>
    </row>
    <row r="2514" spans="1:14">
      <c r="A2514" t="s">
        <v>189</v>
      </c>
      <c r="B2514" t="str">
        <f>_xlfn.XLOOKUP(A2514,'[1]Tissue Data'!$A:$A,'[1]Tissue Data'!$C:$C)</f>
        <v>Spill</v>
      </c>
      <c r="C2514" s="2">
        <f>_xlfn.XLOOKUP(A2514,'[1]Tissue Data'!$A:$A,'[1]Tissue Data'!$D:$D)</f>
        <v>44314</v>
      </c>
      <c r="D2514" s="2" t="str">
        <f>_xlfn.XLOOKUP(A2514,'[1]Tissue Data'!$A:$A,'[1]Tissue Data'!$F:$F)</f>
        <v>Swallowtail Shiner</v>
      </c>
      <c r="E2514" t="str">
        <f>_xlfn.XLOOKUP(A2514,'[1]Tissue Data'!$A:$A,'[1]Tissue Data'!$H:$H)</f>
        <v>Notropis</v>
      </c>
      <c r="F2514" t="str">
        <f>_xlfn.XLOOKUP(A2514,'[1]Tissue Data'!$A:$A,'[1]Tissue Data'!$I:$I)</f>
        <v>procne</v>
      </c>
      <c r="G2514" t="str">
        <f>_xlfn.XLOOKUP(A2514,'[1]Tissue Data'!$A:$A,'[1]Tissue Data'!J:J)</f>
        <v>U</v>
      </c>
      <c r="H2514" t="str">
        <f>_xlfn.XLOOKUP(A2514,'[1]Tissue Data'!$A:$A,'[1]Tissue Data'!K:K)</f>
        <v>Whole Body</v>
      </c>
      <c r="I2514">
        <f>_xlfn.XLOOKUP(A2514,'[1]Tissue Data'!$A:$A,'[1]Tissue Data'!L:L)</f>
        <v>5.5</v>
      </c>
      <c r="J2514">
        <f>_xlfn.XLOOKUP(A2514,'[1]Tissue Data'!$A:$A,'[1]Tissue Data'!M:M)</f>
        <v>2.75</v>
      </c>
      <c r="K2514" t="s">
        <v>24</v>
      </c>
      <c r="L2514" t="str">
        <f>_xlfn.XLOOKUP(K2514,[2]analyte_order!$B:$B,[2]analyte_order!$C:$C)</f>
        <v>423-41-6</v>
      </c>
      <c r="M2514">
        <f>_xlfn.XLOOKUP(L2514,[2]analyte_order!$C:$C,[2]analyte_order!$E:$E)</f>
        <v>53</v>
      </c>
      <c r="N2514">
        <v>5.2999999999999999E-2</v>
      </c>
    </row>
    <row r="2515" spans="1:14">
      <c r="A2515" t="s">
        <v>189</v>
      </c>
      <c r="B2515" t="str">
        <f>_xlfn.XLOOKUP(A2515,'[1]Tissue Data'!$A:$A,'[1]Tissue Data'!$C:$C)</f>
        <v>Spill</v>
      </c>
      <c r="C2515" s="2">
        <f>_xlfn.XLOOKUP(A2515,'[1]Tissue Data'!$A:$A,'[1]Tissue Data'!$D:$D)</f>
        <v>44314</v>
      </c>
      <c r="D2515" s="2" t="str">
        <f>_xlfn.XLOOKUP(A2515,'[1]Tissue Data'!$A:$A,'[1]Tissue Data'!$F:$F)</f>
        <v>Swallowtail Shiner</v>
      </c>
      <c r="E2515" t="str">
        <f>_xlfn.XLOOKUP(A2515,'[1]Tissue Data'!$A:$A,'[1]Tissue Data'!$H:$H)</f>
        <v>Notropis</v>
      </c>
      <c r="F2515" t="str">
        <f>_xlfn.XLOOKUP(A2515,'[1]Tissue Data'!$A:$A,'[1]Tissue Data'!$I:$I)</f>
        <v>procne</v>
      </c>
      <c r="G2515" t="str">
        <f>_xlfn.XLOOKUP(A2515,'[1]Tissue Data'!$A:$A,'[1]Tissue Data'!J:J)</f>
        <v>U</v>
      </c>
      <c r="H2515" t="str">
        <f>_xlfn.XLOOKUP(A2515,'[1]Tissue Data'!$A:$A,'[1]Tissue Data'!K:K)</f>
        <v>Whole Body</v>
      </c>
      <c r="I2515">
        <f>_xlfn.XLOOKUP(A2515,'[1]Tissue Data'!$A:$A,'[1]Tissue Data'!L:L)</f>
        <v>5.5</v>
      </c>
      <c r="J2515">
        <f>_xlfn.XLOOKUP(A2515,'[1]Tissue Data'!$A:$A,'[1]Tissue Data'!M:M)</f>
        <v>2.75</v>
      </c>
      <c r="K2515" t="s">
        <v>25</v>
      </c>
      <c r="L2515" t="str">
        <f>_xlfn.XLOOKUP(K2515,[2]analyte_order!$B:$B,[2]analyte_order!$C:$C)</f>
        <v>375-73-5</v>
      </c>
      <c r="M2515">
        <f>_xlfn.XLOOKUP(L2515,[2]analyte_order!$C:$C,[2]analyte_order!$E:$E)</f>
        <v>14</v>
      </c>
      <c r="N2515">
        <v>0.156</v>
      </c>
    </row>
    <row r="2516" spans="1:14">
      <c r="A2516" t="s">
        <v>189</v>
      </c>
      <c r="B2516" t="str">
        <f>_xlfn.XLOOKUP(A2516,'[1]Tissue Data'!$A:$A,'[1]Tissue Data'!$C:$C)</f>
        <v>Spill</v>
      </c>
      <c r="C2516" s="2">
        <f>_xlfn.XLOOKUP(A2516,'[1]Tissue Data'!$A:$A,'[1]Tissue Data'!$D:$D)</f>
        <v>44314</v>
      </c>
      <c r="D2516" s="2" t="str">
        <f>_xlfn.XLOOKUP(A2516,'[1]Tissue Data'!$A:$A,'[1]Tissue Data'!$F:$F)</f>
        <v>Swallowtail Shiner</v>
      </c>
      <c r="E2516" t="str">
        <f>_xlfn.XLOOKUP(A2516,'[1]Tissue Data'!$A:$A,'[1]Tissue Data'!$H:$H)</f>
        <v>Notropis</v>
      </c>
      <c r="F2516" t="str">
        <f>_xlfn.XLOOKUP(A2516,'[1]Tissue Data'!$A:$A,'[1]Tissue Data'!$I:$I)</f>
        <v>procne</v>
      </c>
      <c r="G2516" t="str">
        <f>_xlfn.XLOOKUP(A2516,'[1]Tissue Data'!$A:$A,'[1]Tissue Data'!J:J)</f>
        <v>U</v>
      </c>
      <c r="H2516" t="str">
        <f>_xlfn.XLOOKUP(A2516,'[1]Tissue Data'!$A:$A,'[1]Tissue Data'!K:K)</f>
        <v>Whole Body</v>
      </c>
      <c r="I2516">
        <f>_xlfn.XLOOKUP(A2516,'[1]Tissue Data'!$A:$A,'[1]Tissue Data'!L:L)</f>
        <v>5.5</v>
      </c>
      <c r="J2516">
        <f>_xlfn.XLOOKUP(A2516,'[1]Tissue Data'!$A:$A,'[1]Tissue Data'!M:M)</f>
        <v>2.75</v>
      </c>
      <c r="K2516" t="s">
        <v>26</v>
      </c>
      <c r="L2516" t="str">
        <f>_xlfn.XLOOKUP(K2516,[2]analyte_order!$B:$B,[2]analyte_order!$C:$C)</f>
        <v>2706-91-4</v>
      </c>
      <c r="M2516">
        <f>_xlfn.XLOOKUP(L2516,[2]analyte_order!$C:$C,[2]analyte_order!$E:$E)</f>
        <v>15</v>
      </c>
      <c r="N2516">
        <v>1.38</v>
      </c>
    </row>
    <row r="2517" spans="1:14">
      <c r="A2517" t="s">
        <v>189</v>
      </c>
      <c r="B2517" t="str">
        <f>_xlfn.XLOOKUP(A2517,'[1]Tissue Data'!$A:$A,'[1]Tissue Data'!$C:$C)</f>
        <v>Spill</v>
      </c>
      <c r="C2517" s="2">
        <f>_xlfn.XLOOKUP(A2517,'[1]Tissue Data'!$A:$A,'[1]Tissue Data'!$D:$D)</f>
        <v>44314</v>
      </c>
      <c r="D2517" s="2" t="str">
        <f>_xlfn.XLOOKUP(A2517,'[1]Tissue Data'!$A:$A,'[1]Tissue Data'!$F:$F)</f>
        <v>Swallowtail Shiner</v>
      </c>
      <c r="E2517" t="str">
        <f>_xlfn.XLOOKUP(A2517,'[1]Tissue Data'!$A:$A,'[1]Tissue Data'!$H:$H)</f>
        <v>Notropis</v>
      </c>
      <c r="F2517" t="str">
        <f>_xlfn.XLOOKUP(A2517,'[1]Tissue Data'!$A:$A,'[1]Tissue Data'!$I:$I)</f>
        <v>procne</v>
      </c>
      <c r="G2517" t="str">
        <f>_xlfn.XLOOKUP(A2517,'[1]Tissue Data'!$A:$A,'[1]Tissue Data'!J:J)</f>
        <v>U</v>
      </c>
      <c r="H2517" t="str">
        <f>_xlfn.XLOOKUP(A2517,'[1]Tissue Data'!$A:$A,'[1]Tissue Data'!K:K)</f>
        <v>Whole Body</v>
      </c>
      <c r="I2517">
        <f>_xlfn.XLOOKUP(A2517,'[1]Tissue Data'!$A:$A,'[1]Tissue Data'!L:L)</f>
        <v>5.5</v>
      </c>
      <c r="J2517">
        <f>_xlfn.XLOOKUP(A2517,'[1]Tissue Data'!$A:$A,'[1]Tissue Data'!M:M)</f>
        <v>2.75</v>
      </c>
      <c r="K2517" t="s">
        <v>27</v>
      </c>
      <c r="L2517" t="str">
        <f>_xlfn.XLOOKUP(K2517,[2]analyte_order!$B:$B,[2]analyte_order!$C:$C)</f>
        <v>355-46-4</v>
      </c>
      <c r="M2517">
        <f>_xlfn.XLOOKUP(L2517,[2]analyte_order!$C:$C,[2]analyte_order!$E:$E)</f>
        <v>16</v>
      </c>
      <c r="N2517">
        <v>106</v>
      </c>
    </row>
    <row r="2518" spans="1:14">
      <c r="A2518" t="s">
        <v>189</v>
      </c>
      <c r="B2518" t="str">
        <f>_xlfn.XLOOKUP(A2518,'[1]Tissue Data'!$A:$A,'[1]Tissue Data'!$C:$C)</f>
        <v>Spill</v>
      </c>
      <c r="C2518" s="2">
        <f>_xlfn.XLOOKUP(A2518,'[1]Tissue Data'!$A:$A,'[1]Tissue Data'!$D:$D)</f>
        <v>44314</v>
      </c>
      <c r="D2518" s="2" t="str">
        <f>_xlfn.XLOOKUP(A2518,'[1]Tissue Data'!$A:$A,'[1]Tissue Data'!$F:$F)</f>
        <v>Swallowtail Shiner</v>
      </c>
      <c r="E2518" t="str">
        <f>_xlfn.XLOOKUP(A2518,'[1]Tissue Data'!$A:$A,'[1]Tissue Data'!$H:$H)</f>
        <v>Notropis</v>
      </c>
      <c r="F2518" t="str">
        <f>_xlfn.XLOOKUP(A2518,'[1]Tissue Data'!$A:$A,'[1]Tissue Data'!$I:$I)</f>
        <v>procne</v>
      </c>
      <c r="G2518" t="str">
        <f>_xlfn.XLOOKUP(A2518,'[1]Tissue Data'!$A:$A,'[1]Tissue Data'!J:J)</f>
        <v>U</v>
      </c>
      <c r="H2518" t="str">
        <f>_xlfn.XLOOKUP(A2518,'[1]Tissue Data'!$A:$A,'[1]Tissue Data'!K:K)</f>
        <v>Whole Body</v>
      </c>
      <c r="I2518">
        <f>_xlfn.XLOOKUP(A2518,'[1]Tissue Data'!$A:$A,'[1]Tissue Data'!L:L)</f>
        <v>5.5</v>
      </c>
      <c r="J2518">
        <f>_xlfn.XLOOKUP(A2518,'[1]Tissue Data'!$A:$A,'[1]Tissue Data'!M:M)</f>
        <v>2.75</v>
      </c>
      <c r="K2518" t="s">
        <v>28</v>
      </c>
      <c r="L2518" t="str">
        <f>_xlfn.XLOOKUP(K2518,[2]analyte_order!$B:$B,[2]analyte_order!$C:$C)</f>
        <v>375-92-8</v>
      </c>
      <c r="M2518">
        <f>_xlfn.XLOOKUP(L2518,[2]analyte_order!$C:$C,[2]analyte_order!$E:$E)</f>
        <v>17</v>
      </c>
      <c r="N2518">
        <v>4.47</v>
      </c>
    </row>
    <row r="2519" spans="1:14">
      <c r="A2519" t="s">
        <v>189</v>
      </c>
      <c r="B2519" t="str">
        <f>_xlfn.XLOOKUP(A2519,'[1]Tissue Data'!$A:$A,'[1]Tissue Data'!$C:$C)</f>
        <v>Spill</v>
      </c>
      <c r="C2519" s="2">
        <f>_xlfn.XLOOKUP(A2519,'[1]Tissue Data'!$A:$A,'[1]Tissue Data'!$D:$D)</f>
        <v>44314</v>
      </c>
      <c r="D2519" s="2" t="str">
        <f>_xlfn.XLOOKUP(A2519,'[1]Tissue Data'!$A:$A,'[1]Tissue Data'!$F:$F)</f>
        <v>Swallowtail Shiner</v>
      </c>
      <c r="E2519" t="str">
        <f>_xlfn.XLOOKUP(A2519,'[1]Tissue Data'!$A:$A,'[1]Tissue Data'!$H:$H)</f>
        <v>Notropis</v>
      </c>
      <c r="F2519" t="str">
        <f>_xlfn.XLOOKUP(A2519,'[1]Tissue Data'!$A:$A,'[1]Tissue Data'!$I:$I)</f>
        <v>procne</v>
      </c>
      <c r="G2519" t="str">
        <f>_xlfn.XLOOKUP(A2519,'[1]Tissue Data'!$A:$A,'[1]Tissue Data'!J:J)</f>
        <v>U</v>
      </c>
      <c r="H2519" t="str">
        <f>_xlfn.XLOOKUP(A2519,'[1]Tissue Data'!$A:$A,'[1]Tissue Data'!K:K)</f>
        <v>Whole Body</v>
      </c>
      <c r="I2519">
        <f>_xlfn.XLOOKUP(A2519,'[1]Tissue Data'!$A:$A,'[1]Tissue Data'!L:L)</f>
        <v>5.5</v>
      </c>
      <c r="J2519">
        <f>_xlfn.XLOOKUP(A2519,'[1]Tissue Data'!$A:$A,'[1]Tissue Data'!M:M)</f>
        <v>2.75</v>
      </c>
      <c r="K2519" t="s">
        <v>29</v>
      </c>
      <c r="L2519" t="str">
        <f>_xlfn.XLOOKUP(K2519,[2]analyte_order!$B:$B,[2]analyte_order!$C:$C)</f>
        <v>1763-23-1</v>
      </c>
      <c r="M2519">
        <f>_xlfn.XLOOKUP(L2519,[2]analyte_order!$C:$C,[2]analyte_order!$E:$E)</f>
        <v>18</v>
      </c>
      <c r="N2519">
        <v>1360</v>
      </c>
    </row>
    <row r="2520" spans="1:14">
      <c r="A2520" t="s">
        <v>189</v>
      </c>
      <c r="B2520" t="str">
        <f>_xlfn.XLOOKUP(A2520,'[1]Tissue Data'!$A:$A,'[1]Tissue Data'!$C:$C)</f>
        <v>Spill</v>
      </c>
      <c r="C2520" s="2">
        <f>_xlfn.XLOOKUP(A2520,'[1]Tissue Data'!$A:$A,'[1]Tissue Data'!$D:$D)</f>
        <v>44314</v>
      </c>
      <c r="D2520" s="2" t="str">
        <f>_xlfn.XLOOKUP(A2520,'[1]Tissue Data'!$A:$A,'[1]Tissue Data'!$F:$F)</f>
        <v>Swallowtail Shiner</v>
      </c>
      <c r="E2520" t="str">
        <f>_xlfn.XLOOKUP(A2520,'[1]Tissue Data'!$A:$A,'[1]Tissue Data'!$H:$H)</f>
        <v>Notropis</v>
      </c>
      <c r="F2520" t="str">
        <f>_xlfn.XLOOKUP(A2520,'[1]Tissue Data'!$A:$A,'[1]Tissue Data'!$I:$I)</f>
        <v>procne</v>
      </c>
      <c r="G2520" t="str">
        <f>_xlfn.XLOOKUP(A2520,'[1]Tissue Data'!$A:$A,'[1]Tissue Data'!J:J)</f>
        <v>U</v>
      </c>
      <c r="H2520" t="str">
        <f>_xlfn.XLOOKUP(A2520,'[1]Tissue Data'!$A:$A,'[1]Tissue Data'!K:K)</f>
        <v>Whole Body</v>
      </c>
      <c r="I2520">
        <f>_xlfn.XLOOKUP(A2520,'[1]Tissue Data'!$A:$A,'[1]Tissue Data'!L:L)</f>
        <v>5.5</v>
      </c>
      <c r="J2520">
        <f>_xlfn.XLOOKUP(A2520,'[1]Tissue Data'!$A:$A,'[1]Tissue Data'!M:M)</f>
        <v>2.75</v>
      </c>
      <c r="K2520" t="s">
        <v>30</v>
      </c>
      <c r="L2520" t="str">
        <f>_xlfn.XLOOKUP(K2520,[2]analyte_order!$B:$B,[2]analyte_order!$C:$C)</f>
        <v>68259-12-1</v>
      </c>
      <c r="M2520">
        <f>_xlfn.XLOOKUP(L2520,[2]analyte_order!$C:$C,[2]analyte_order!$E:$E)</f>
        <v>19</v>
      </c>
      <c r="N2520">
        <v>0.48899999999999999</v>
      </c>
    </row>
    <row r="2521" spans="1:14">
      <c r="A2521" t="s">
        <v>189</v>
      </c>
      <c r="B2521" t="str">
        <f>_xlfn.XLOOKUP(A2521,'[1]Tissue Data'!$A:$A,'[1]Tissue Data'!$C:$C)</f>
        <v>Spill</v>
      </c>
      <c r="C2521" s="2">
        <f>_xlfn.XLOOKUP(A2521,'[1]Tissue Data'!$A:$A,'[1]Tissue Data'!$D:$D)</f>
        <v>44314</v>
      </c>
      <c r="D2521" s="2" t="str">
        <f>_xlfn.XLOOKUP(A2521,'[1]Tissue Data'!$A:$A,'[1]Tissue Data'!$F:$F)</f>
        <v>Swallowtail Shiner</v>
      </c>
      <c r="E2521" t="str">
        <f>_xlfn.XLOOKUP(A2521,'[1]Tissue Data'!$A:$A,'[1]Tissue Data'!$H:$H)</f>
        <v>Notropis</v>
      </c>
      <c r="F2521" t="str">
        <f>_xlfn.XLOOKUP(A2521,'[1]Tissue Data'!$A:$A,'[1]Tissue Data'!$I:$I)</f>
        <v>procne</v>
      </c>
      <c r="G2521" t="str">
        <f>_xlfn.XLOOKUP(A2521,'[1]Tissue Data'!$A:$A,'[1]Tissue Data'!J:J)</f>
        <v>U</v>
      </c>
      <c r="H2521" t="str">
        <f>_xlfn.XLOOKUP(A2521,'[1]Tissue Data'!$A:$A,'[1]Tissue Data'!K:K)</f>
        <v>Whole Body</v>
      </c>
      <c r="I2521">
        <f>_xlfn.XLOOKUP(A2521,'[1]Tissue Data'!$A:$A,'[1]Tissue Data'!L:L)</f>
        <v>5.5</v>
      </c>
      <c r="J2521">
        <f>_xlfn.XLOOKUP(A2521,'[1]Tissue Data'!$A:$A,'[1]Tissue Data'!M:M)</f>
        <v>2.75</v>
      </c>
      <c r="K2521" t="s">
        <v>31</v>
      </c>
      <c r="L2521" t="str">
        <f>_xlfn.XLOOKUP(K2521,[2]analyte_order!$B:$B,[2]analyte_order!$C:$C)</f>
        <v>335-77-3</v>
      </c>
      <c r="M2521">
        <f>_xlfn.XLOOKUP(L2521,[2]analyte_order!$C:$C,[2]analyte_order!$E:$E)</f>
        <v>20</v>
      </c>
      <c r="N2521">
        <v>8.85</v>
      </c>
    </row>
    <row r="2522" spans="1:14">
      <c r="A2522" t="s">
        <v>189</v>
      </c>
      <c r="B2522" t="str">
        <f>_xlfn.XLOOKUP(A2522,'[1]Tissue Data'!$A:$A,'[1]Tissue Data'!$C:$C)</f>
        <v>Spill</v>
      </c>
      <c r="C2522" s="2">
        <f>_xlfn.XLOOKUP(A2522,'[1]Tissue Data'!$A:$A,'[1]Tissue Data'!$D:$D)</f>
        <v>44314</v>
      </c>
      <c r="D2522" s="2" t="str">
        <f>_xlfn.XLOOKUP(A2522,'[1]Tissue Data'!$A:$A,'[1]Tissue Data'!$F:$F)</f>
        <v>Swallowtail Shiner</v>
      </c>
      <c r="E2522" t="str">
        <f>_xlfn.XLOOKUP(A2522,'[1]Tissue Data'!$A:$A,'[1]Tissue Data'!$H:$H)</f>
        <v>Notropis</v>
      </c>
      <c r="F2522" t="str">
        <f>_xlfn.XLOOKUP(A2522,'[1]Tissue Data'!$A:$A,'[1]Tissue Data'!$I:$I)</f>
        <v>procne</v>
      </c>
      <c r="G2522" t="str">
        <f>_xlfn.XLOOKUP(A2522,'[1]Tissue Data'!$A:$A,'[1]Tissue Data'!J:J)</f>
        <v>U</v>
      </c>
      <c r="H2522" t="str">
        <f>_xlfn.XLOOKUP(A2522,'[1]Tissue Data'!$A:$A,'[1]Tissue Data'!K:K)</f>
        <v>Whole Body</v>
      </c>
      <c r="I2522">
        <f>_xlfn.XLOOKUP(A2522,'[1]Tissue Data'!$A:$A,'[1]Tissue Data'!L:L)</f>
        <v>5.5</v>
      </c>
      <c r="J2522">
        <f>_xlfn.XLOOKUP(A2522,'[1]Tissue Data'!$A:$A,'[1]Tissue Data'!M:M)</f>
        <v>2.75</v>
      </c>
      <c r="K2522" t="s">
        <v>32</v>
      </c>
      <c r="L2522" t="str">
        <f>_xlfn.XLOOKUP(K2522,[2]analyte_order!$B:$B,[2]analyte_order!$C:$C)</f>
        <v>79780-39-5</v>
      </c>
      <c r="M2522">
        <f>_xlfn.XLOOKUP(L2522,[2]analyte_order!$C:$C,[2]analyte_order!$E:$E)</f>
        <v>21</v>
      </c>
      <c r="N2522">
        <v>0.245</v>
      </c>
    </row>
    <row r="2523" spans="1:14">
      <c r="A2523" t="s">
        <v>189</v>
      </c>
      <c r="B2523" t="str">
        <f>_xlfn.XLOOKUP(A2523,'[1]Tissue Data'!$A:$A,'[1]Tissue Data'!$C:$C)</f>
        <v>Spill</v>
      </c>
      <c r="C2523" s="2">
        <f>_xlfn.XLOOKUP(A2523,'[1]Tissue Data'!$A:$A,'[1]Tissue Data'!$D:$D)</f>
        <v>44314</v>
      </c>
      <c r="D2523" s="2" t="str">
        <f>_xlfn.XLOOKUP(A2523,'[1]Tissue Data'!$A:$A,'[1]Tissue Data'!$F:$F)</f>
        <v>Swallowtail Shiner</v>
      </c>
      <c r="E2523" t="str">
        <f>_xlfn.XLOOKUP(A2523,'[1]Tissue Data'!$A:$A,'[1]Tissue Data'!$H:$H)</f>
        <v>Notropis</v>
      </c>
      <c r="F2523" t="str">
        <f>_xlfn.XLOOKUP(A2523,'[1]Tissue Data'!$A:$A,'[1]Tissue Data'!$I:$I)</f>
        <v>procne</v>
      </c>
      <c r="G2523" t="str">
        <f>_xlfn.XLOOKUP(A2523,'[1]Tissue Data'!$A:$A,'[1]Tissue Data'!J:J)</f>
        <v>U</v>
      </c>
      <c r="H2523" t="str">
        <f>_xlfn.XLOOKUP(A2523,'[1]Tissue Data'!$A:$A,'[1]Tissue Data'!K:K)</f>
        <v>Whole Body</v>
      </c>
      <c r="I2523">
        <f>_xlfn.XLOOKUP(A2523,'[1]Tissue Data'!$A:$A,'[1]Tissue Data'!L:L)</f>
        <v>5.5</v>
      </c>
      <c r="J2523">
        <f>_xlfn.XLOOKUP(A2523,'[1]Tissue Data'!$A:$A,'[1]Tissue Data'!M:M)</f>
        <v>2.75</v>
      </c>
      <c r="K2523" t="s">
        <v>33</v>
      </c>
      <c r="L2523" t="str">
        <f>_xlfn.XLOOKUP(K2523,[2]analyte_order!$B:$B,[2]analyte_order!$C:$C)</f>
        <v>777011-38-8</v>
      </c>
      <c r="M2523">
        <f>_xlfn.XLOOKUP(L2523,[2]analyte_order!$C:$C,[2]analyte_order!$E:$E)</f>
        <v>54</v>
      </c>
      <c r="N2523">
        <v>0.13900000000000001</v>
      </c>
    </row>
    <row r="2524" spans="1:14">
      <c r="A2524" t="s">
        <v>189</v>
      </c>
      <c r="B2524" t="str">
        <f>_xlfn.XLOOKUP(A2524,'[1]Tissue Data'!$A:$A,'[1]Tissue Data'!$C:$C)</f>
        <v>Spill</v>
      </c>
      <c r="C2524" s="2">
        <f>_xlfn.XLOOKUP(A2524,'[1]Tissue Data'!$A:$A,'[1]Tissue Data'!$D:$D)</f>
        <v>44314</v>
      </c>
      <c r="D2524" s="2" t="str">
        <f>_xlfn.XLOOKUP(A2524,'[1]Tissue Data'!$A:$A,'[1]Tissue Data'!$F:$F)</f>
        <v>Swallowtail Shiner</v>
      </c>
      <c r="E2524" t="str">
        <f>_xlfn.XLOOKUP(A2524,'[1]Tissue Data'!$A:$A,'[1]Tissue Data'!$H:$H)</f>
        <v>Notropis</v>
      </c>
      <c r="F2524" t="str">
        <f>_xlfn.XLOOKUP(A2524,'[1]Tissue Data'!$A:$A,'[1]Tissue Data'!$I:$I)</f>
        <v>procne</v>
      </c>
      <c r="G2524" t="str">
        <f>_xlfn.XLOOKUP(A2524,'[1]Tissue Data'!$A:$A,'[1]Tissue Data'!J:J)</f>
        <v>U</v>
      </c>
      <c r="H2524" t="str">
        <f>_xlfn.XLOOKUP(A2524,'[1]Tissue Data'!$A:$A,'[1]Tissue Data'!K:K)</f>
        <v>Whole Body</v>
      </c>
      <c r="I2524">
        <f>_xlfn.XLOOKUP(A2524,'[1]Tissue Data'!$A:$A,'[1]Tissue Data'!L:L)</f>
        <v>5.5</v>
      </c>
      <c r="J2524">
        <f>_xlfn.XLOOKUP(A2524,'[1]Tissue Data'!$A:$A,'[1]Tissue Data'!M:M)</f>
        <v>2.75</v>
      </c>
      <c r="K2524" t="s">
        <v>34</v>
      </c>
      <c r="L2524" t="str">
        <f>_xlfn.XLOOKUP(K2524,[2]analyte_order!$B:$B,[2]analyte_order!$C:$C)</f>
        <v>646-83-3</v>
      </c>
      <c r="M2524">
        <f>_xlfn.XLOOKUP(L2524,[2]analyte_order!$C:$C,[2]analyte_order!$E:$E)</f>
        <v>55</v>
      </c>
      <c r="N2524">
        <v>0.19800000000000001</v>
      </c>
    </row>
    <row r="2525" spans="1:14">
      <c r="A2525" t="s">
        <v>189</v>
      </c>
      <c r="B2525" t="str">
        <f>_xlfn.XLOOKUP(A2525,'[1]Tissue Data'!$A:$A,'[1]Tissue Data'!$C:$C)</f>
        <v>Spill</v>
      </c>
      <c r="C2525" s="2">
        <f>_xlfn.XLOOKUP(A2525,'[1]Tissue Data'!$A:$A,'[1]Tissue Data'!$D:$D)</f>
        <v>44314</v>
      </c>
      <c r="D2525" s="2" t="str">
        <f>_xlfn.XLOOKUP(A2525,'[1]Tissue Data'!$A:$A,'[1]Tissue Data'!$F:$F)</f>
        <v>Swallowtail Shiner</v>
      </c>
      <c r="E2525" t="str">
        <f>_xlfn.XLOOKUP(A2525,'[1]Tissue Data'!$A:$A,'[1]Tissue Data'!$H:$H)</f>
        <v>Notropis</v>
      </c>
      <c r="F2525" t="str">
        <f>_xlfn.XLOOKUP(A2525,'[1]Tissue Data'!$A:$A,'[1]Tissue Data'!$I:$I)</f>
        <v>procne</v>
      </c>
      <c r="G2525" t="str">
        <f>_xlfn.XLOOKUP(A2525,'[1]Tissue Data'!$A:$A,'[1]Tissue Data'!J:J)</f>
        <v>U</v>
      </c>
      <c r="H2525" t="str">
        <f>_xlfn.XLOOKUP(A2525,'[1]Tissue Data'!$A:$A,'[1]Tissue Data'!K:K)</f>
        <v>Whole Body</v>
      </c>
      <c r="I2525">
        <f>_xlfn.XLOOKUP(A2525,'[1]Tissue Data'!$A:$A,'[1]Tissue Data'!L:L)</f>
        <v>5.5</v>
      </c>
      <c r="J2525">
        <f>_xlfn.XLOOKUP(A2525,'[1]Tissue Data'!$A:$A,'[1]Tissue Data'!M:M)</f>
        <v>2.75</v>
      </c>
      <c r="K2525" t="s">
        <v>35</v>
      </c>
      <c r="L2525" t="str">
        <f>_xlfn.XLOOKUP(K2525,[2]analyte_order!$B:$B,[2]analyte_order!$C:$C)</f>
        <v>30334-69-1</v>
      </c>
      <c r="M2525">
        <f>_xlfn.XLOOKUP(L2525,[2]analyte_order!$C:$C,[2]analyte_order!$E:$E)</f>
        <v>51</v>
      </c>
      <c r="N2525">
        <v>574</v>
      </c>
    </row>
    <row r="2526" spans="1:14">
      <c r="A2526" t="s">
        <v>189</v>
      </c>
      <c r="B2526" t="str">
        <f>_xlfn.XLOOKUP(A2526,'[1]Tissue Data'!$A:$A,'[1]Tissue Data'!$C:$C)</f>
        <v>Spill</v>
      </c>
      <c r="C2526" s="2">
        <f>_xlfn.XLOOKUP(A2526,'[1]Tissue Data'!$A:$A,'[1]Tissue Data'!$D:$D)</f>
        <v>44314</v>
      </c>
      <c r="D2526" s="2" t="str">
        <f>_xlfn.XLOOKUP(A2526,'[1]Tissue Data'!$A:$A,'[1]Tissue Data'!$F:$F)</f>
        <v>Swallowtail Shiner</v>
      </c>
      <c r="E2526" t="str">
        <f>_xlfn.XLOOKUP(A2526,'[1]Tissue Data'!$A:$A,'[1]Tissue Data'!$H:$H)</f>
        <v>Notropis</v>
      </c>
      <c r="F2526" t="str">
        <f>_xlfn.XLOOKUP(A2526,'[1]Tissue Data'!$A:$A,'[1]Tissue Data'!$I:$I)</f>
        <v>procne</v>
      </c>
      <c r="G2526" t="str">
        <f>_xlfn.XLOOKUP(A2526,'[1]Tissue Data'!$A:$A,'[1]Tissue Data'!J:J)</f>
        <v>U</v>
      </c>
      <c r="H2526" t="str">
        <f>_xlfn.XLOOKUP(A2526,'[1]Tissue Data'!$A:$A,'[1]Tissue Data'!K:K)</f>
        <v>Whole Body</v>
      </c>
      <c r="I2526">
        <f>_xlfn.XLOOKUP(A2526,'[1]Tissue Data'!$A:$A,'[1]Tissue Data'!L:L)</f>
        <v>5.5</v>
      </c>
      <c r="J2526">
        <f>_xlfn.XLOOKUP(A2526,'[1]Tissue Data'!$A:$A,'[1]Tissue Data'!M:M)</f>
        <v>2.75</v>
      </c>
      <c r="K2526" t="s">
        <v>36</v>
      </c>
      <c r="L2526" t="str">
        <f>_xlfn.XLOOKUP(K2526,[2]analyte_order!$B:$B,[2]analyte_order!$C:$C)</f>
        <v>41997-13-1</v>
      </c>
      <c r="M2526">
        <f>_xlfn.XLOOKUP(L2526,[2]analyte_order!$C:$C,[2]analyte_order!$E:$E)</f>
        <v>52</v>
      </c>
      <c r="N2526">
        <v>1060</v>
      </c>
    </row>
    <row r="2527" spans="1:14">
      <c r="A2527" t="s">
        <v>189</v>
      </c>
      <c r="B2527" t="str">
        <f>_xlfn.XLOOKUP(A2527,'[1]Tissue Data'!$A:$A,'[1]Tissue Data'!$C:$C)</f>
        <v>Spill</v>
      </c>
      <c r="C2527" s="2">
        <f>_xlfn.XLOOKUP(A2527,'[1]Tissue Data'!$A:$A,'[1]Tissue Data'!$D:$D)</f>
        <v>44314</v>
      </c>
      <c r="D2527" s="2" t="str">
        <f>_xlfn.XLOOKUP(A2527,'[1]Tissue Data'!$A:$A,'[1]Tissue Data'!$F:$F)</f>
        <v>Swallowtail Shiner</v>
      </c>
      <c r="E2527" t="str">
        <f>_xlfn.XLOOKUP(A2527,'[1]Tissue Data'!$A:$A,'[1]Tissue Data'!$H:$H)</f>
        <v>Notropis</v>
      </c>
      <c r="F2527" t="str">
        <f>_xlfn.XLOOKUP(A2527,'[1]Tissue Data'!$A:$A,'[1]Tissue Data'!$I:$I)</f>
        <v>procne</v>
      </c>
      <c r="G2527" t="str">
        <f>_xlfn.XLOOKUP(A2527,'[1]Tissue Data'!$A:$A,'[1]Tissue Data'!J:J)</f>
        <v>U</v>
      </c>
      <c r="H2527" t="str">
        <f>_xlfn.XLOOKUP(A2527,'[1]Tissue Data'!$A:$A,'[1]Tissue Data'!K:K)</f>
        <v>Whole Body</v>
      </c>
      <c r="I2527">
        <f>_xlfn.XLOOKUP(A2527,'[1]Tissue Data'!$A:$A,'[1]Tissue Data'!L:L)</f>
        <v>5.5</v>
      </c>
      <c r="J2527">
        <f>_xlfn.XLOOKUP(A2527,'[1]Tissue Data'!$A:$A,'[1]Tissue Data'!M:M)</f>
        <v>2.75</v>
      </c>
      <c r="K2527" t="s">
        <v>37</v>
      </c>
      <c r="L2527" t="str">
        <f>_xlfn.XLOOKUP(K2527,[2]analyte_order!$B:$B,[2]analyte_order!$C:$C)</f>
        <v>754-91-6</v>
      </c>
      <c r="M2527">
        <f>_xlfn.XLOOKUP(L2527,[2]analyte_order!$C:$C,[2]analyte_order!$E:$E)</f>
        <v>28</v>
      </c>
      <c r="N2527">
        <v>45.6</v>
      </c>
    </row>
    <row r="2528" spans="1:14">
      <c r="A2528" t="s">
        <v>189</v>
      </c>
      <c r="B2528" t="str">
        <f>_xlfn.XLOOKUP(A2528,'[1]Tissue Data'!$A:$A,'[1]Tissue Data'!$C:$C)</f>
        <v>Spill</v>
      </c>
      <c r="C2528" s="2">
        <f>_xlfn.XLOOKUP(A2528,'[1]Tissue Data'!$A:$A,'[1]Tissue Data'!$D:$D)</f>
        <v>44314</v>
      </c>
      <c r="D2528" s="2" t="str">
        <f>_xlfn.XLOOKUP(A2528,'[1]Tissue Data'!$A:$A,'[1]Tissue Data'!$F:$F)</f>
        <v>Swallowtail Shiner</v>
      </c>
      <c r="E2528" t="str">
        <f>_xlfn.XLOOKUP(A2528,'[1]Tissue Data'!$A:$A,'[1]Tissue Data'!$H:$H)</f>
        <v>Notropis</v>
      </c>
      <c r="F2528" t="str">
        <f>_xlfn.XLOOKUP(A2528,'[1]Tissue Data'!$A:$A,'[1]Tissue Data'!$I:$I)</f>
        <v>procne</v>
      </c>
      <c r="G2528" t="str">
        <f>_xlfn.XLOOKUP(A2528,'[1]Tissue Data'!$A:$A,'[1]Tissue Data'!J:J)</f>
        <v>U</v>
      </c>
      <c r="H2528" t="str">
        <f>_xlfn.XLOOKUP(A2528,'[1]Tissue Data'!$A:$A,'[1]Tissue Data'!K:K)</f>
        <v>Whole Body</v>
      </c>
      <c r="I2528">
        <f>_xlfn.XLOOKUP(A2528,'[1]Tissue Data'!$A:$A,'[1]Tissue Data'!L:L)</f>
        <v>5.5</v>
      </c>
      <c r="J2528">
        <f>_xlfn.XLOOKUP(A2528,'[1]Tissue Data'!$A:$A,'[1]Tissue Data'!M:M)</f>
        <v>2.75</v>
      </c>
      <c r="K2528" t="s">
        <v>38</v>
      </c>
      <c r="L2528" t="str">
        <f>_xlfn.XLOOKUP(K2528,[2]analyte_order!$B:$B,[2]analyte_order!$C:$C)</f>
        <v>31506-32-8</v>
      </c>
      <c r="M2528">
        <f>_xlfn.XLOOKUP(L2528,[2]analyte_order!$C:$C,[2]analyte_order!$E:$E)</f>
        <v>30</v>
      </c>
      <c r="N2528">
        <v>5.3499999999999999E-2</v>
      </c>
    </row>
    <row r="2529" spans="1:14">
      <c r="A2529" t="s">
        <v>189</v>
      </c>
      <c r="B2529" t="str">
        <f>_xlfn.XLOOKUP(A2529,'[1]Tissue Data'!$A:$A,'[1]Tissue Data'!$C:$C)</f>
        <v>Spill</v>
      </c>
      <c r="C2529" s="2">
        <f>_xlfn.XLOOKUP(A2529,'[1]Tissue Data'!$A:$A,'[1]Tissue Data'!$D:$D)</f>
        <v>44314</v>
      </c>
      <c r="D2529" s="2" t="str">
        <f>_xlfn.XLOOKUP(A2529,'[1]Tissue Data'!$A:$A,'[1]Tissue Data'!$F:$F)</f>
        <v>Swallowtail Shiner</v>
      </c>
      <c r="E2529" t="str">
        <f>_xlfn.XLOOKUP(A2529,'[1]Tissue Data'!$A:$A,'[1]Tissue Data'!$H:$H)</f>
        <v>Notropis</v>
      </c>
      <c r="F2529" t="str">
        <f>_xlfn.XLOOKUP(A2529,'[1]Tissue Data'!$A:$A,'[1]Tissue Data'!$I:$I)</f>
        <v>procne</v>
      </c>
      <c r="G2529" t="str">
        <f>_xlfn.XLOOKUP(A2529,'[1]Tissue Data'!$A:$A,'[1]Tissue Data'!J:J)</f>
        <v>U</v>
      </c>
      <c r="H2529" t="str">
        <f>_xlfn.XLOOKUP(A2529,'[1]Tissue Data'!$A:$A,'[1]Tissue Data'!K:K)</f>
        <v>Whole Body</v>
      </c>
      <c r="I2529">
        <f>_xlfn.XLOOKUP(A2529,'[1]Tissue Data'!$A:$A,'[1]Tissue Data'!L:L)</f>
        <v>5.5</v>
      </c>
      <c r="J2529">
        <f>_xlfn.XLOOKUP(A2529,'[1]Tissue Data'!$A:$A,'[1]Tissue Data'!M:M)</f>
        <v>2.75</v>
      </c>
      <c r="K2529" t="s">
        <v>39</v>
      </c>
      <c r="L2529" t="str">
        <f>_xlfn.XLOOKUP(K2529,[2]analyte_order!$B:$B,[2]analyte_order!$C:$C)</f>
        <v>4151-50-2</v>
      </c>
      <c r="M2529">
        <f>_xlfn.XLOOKUP(L2529,[2]analyte_order!$C:$C,[2]analyte_order!$E:$E)</f>
        <v>31</v>
      </c>
      <c r="N2529">
        <v>8.1000000000000003E-2</v>
      </c>
    </row>
    <row r="2530" spans="1:14">
      <c r="A2530" t="s">
        <v>189</v>
      </c>
      <c r="B2530" t="str">
        <f>_xlfn.XLOOKUP(A2530,'[1]Tissue Data'!$A:$A,'[1]Tissue Data'!$C:$C)</f>
        <v>Spill</v>
      </c>
      <c r="C2530" s="2">
        <f>_xlfn.XLOOKUP(A2530,'[1]Tissue Data'!$A:$A,'[1]Tissue Data'!$D:$D)</f>
        <v>44314</v>
      </c>
      <c r="D2530" s="2" t="str">
        <f>_xlfn.XLOOKUP(A2530,'[1]Tissue Data'!$A:$A,'[1]Tissue Data'!$F:$F)</f>
        <v>Swallowtail Shiner</v>
      </c>
      <c r="E2530" t="str">
        <f>_xlfn.XLOOKUP(A2530,'[1]Tissue Data'!$A:$A,'[1]Tissue Data'!$H:$H)</f>
        <v>Notropis</v>
      </c>
      <c r="F2530" t="str">
        <f>_xlfn.XLOOKUP(A2530,'[1]Tissue Data'!$A:$A,'[1]Tissue Data'!$I:$I)</f>
        <v>procne</v>
      </c>
      <c r="G2530" t="str">
        <f>_xlfn.XLOOKUP(A2530,'[1]Tissue Data'!$A:$A,'[1]Tissue Data'!J:J)</f>
        <v>U</v>
      </c>
      <c r="H2530" t="str">
        <f>_xlfn.XLOOKUP(A2530,'[1]Tissue Data'!$A:$A,'[1]Tissue Data'!K:K)</f>
        <v>Whole Body</v>
      </c>
      <c r="I2530">
        <f>_xlfn.XLOOKUP(A2530,'[1]Tissue Data'!$A:$A,'[1]Tissue Data'!L:L)</f>
        <v>5.5</v>
      </c>
      <c r="J2530">
        <f>_xlfn.XLOOKUP(A2530,'[1]Tissue Data'!$A:$A,'[1]Tissue Data'!M:M)</f>
        <v>2.75</v>
      </c>
      <c r="K2530" t="s">
        <v>40</v>
      </c>
      <c r="L2530" t="str">
        <f>_xlfn.XLOOKUP(K2530,[2]analyte_order!$B:$B,[2]analyte_order!$C:$C)</f>
        <v>2806-24-8</v>
      </c>
      <c r="M2530">
        <f>_xlfn.XLOOKUP(L2530,[2]analyte_order!$C:$C,[2]analyte_order!$E:$E)</f>
        <v>29</v>
      </c>
      <c r="N2530">
        <v>5.45E-2</v>
      </c>
    </row>
    <row r="2531" spans="1:14">
      <c r="A2531" t="s">
        <v>189</v>
      </c>
      <c r="B2531" t="str">
        <f>_xlfn.XLOOKUP(A2531,'[1]Tissue Data'!$A:$A,'[1]Tissue Data'!$C:$C)</f>
        <v>Spill</v>
      </c>
      <c r="C2531" s="2">
        <f>_xlfn.XLOOKUP(A2531,'[1]Tissue Data'!$A:$A,'[1]Tissue Data'!$D:$D)</f>
        <v>44314</v>
      </c>
      <c r="D2531" s="2" t="str">
        <f>_xlfn.XLOOKUP(A2531,'[1]Tissue Data'!$A:$A,'[1]Tissue Data'!$F:$F)</f>
        <v>Swallowtail Shiner</v>
      </c>
      <c r="E2531" t="str">
        <f>_xlfn.XLOOKUP(A2531,'[1]Tissue Data'!$A:$A,'[1]Tissue Data'!$H:$H)</f>
        <v>Notropis</v>
      </c>
      <c r="F2531" t="str">
        <f>_xlfn.XLOOKUP(A2531,'[1]Tissue Data'!$A:$A,'[1]Tissue Data'!$I:$I)</f>
        <v>procne</v>
      </c>
      <c r="G2531" t="str">
        <f>_xlfn.XLOOKUP(A2531,'[1]Tissue Data'!$A:$A,'[1]Tissue Data'!J:J)</f>
        <v>U</v>
      </c>
      <c r="H2531" t="str">
        <f>_xlfn.XLOOKUP(A2531,'[1]Tissue Data'!$A:$A,'[1]Tissue Data'!K:K)</f>
        <v>Whole Body</v>
      </c>
      <c r="I2531">
        <f>_xlfn.XLOOKUP(A2531,'[1]Tissue Data'!$A:$A,'[1]Tissue Data'!L:L)</f>
        <v>5.5</v>
      </c>
      <c r="J2531">
        <f>_xlfn.XLOOKUP(A2531,'[1]Tissue Data'!$A:$A,'[1]Tissue Data'!M:M)</f>
        <v>2.75</v>
      </c>
      <c r="K2531" t="s">
        <v>41</v>
      </c>
      <c r="L2531" t="str">
        <f>_xlfn.XLOOKUP(K2531,[2]analyte_order!$B:$B,[2]analyte_order!$C:$C)</f>
        <v>2355-31-9</v>
      </c>
      <c r="M2531">
        <f>_xlfn.XLOOKUP(L2531,[2]analyte_order!$C:$C,[2]analyte_order!$E:$E)</f>
        <v>26</v>
      </c>
      <c r="N2531">
        <v>0.95</v>
      </c>
    </row>
    <row r="2532" spans="1:14">
      <c r="A2532" t="s">
        <v>189</v>
      </c>
      <c r="B2532" t="str">
        <f>_xlfn.XLOOKUP(A2532,'[1]Tissue Data'!$A:$A,'[1]Tissue Data'!$C:$C)</f>
        <v>Spill</v>
      </c>
      <c r="C2532" s="2">
        <f>_xlfn.XLOOKUP(A2532,'[1]Tissue Data'!$A:$A,'[1]Tissue Data'!$D:$D)</f>
        <v>44314</v>
      </c>
      <c r="D2532" s="2" t="str">
        <f>_xlfn.XLOOKUP(A2532,'[1]Tissue Data'!$A:$A,'[1]Tissue Data'!$F:$F)</f>
        <v>Swallowtail Shiner</v>
      </c>
      <c r="E2532" t="str">
        <f>_xlfn.XLOOKUP(A2532,'[1]Tissue Data'!$A:$A,'[1]Tissue Data'!$H:$H)</f>
        <v>Notropis</v>
      </c>
      <c r="F2532" t="str">
        <f>_xlfn.XLOOKUP(A2532,'[1]Tissue Data'!$A:$A,'[1]Tissue Data'!$I:$I)</f>
        <v>procne</v>
      </c>
      <c r="G2532" t="str">
        <f>_xlfn.XLOOKUP(A2532,'[1]Tissue Data'!$A:$A,'[1]Tissue Data'!J:J)</f>
        <v>U</v>
      </c>
      <c r="H2532" t="str">
        <f>_xlfn.XLOOKUP(A2532,'[1]Tissue Data'!$A:$A,'[1]Tissue Data'!K:K)</f>
        <v>Whole Body</v>
      </c>
      <c r="I2532">
        <f>_xlfn.XLOOKUP(A2532,'[1]Tissue Data'!$A:$A,'[1]Tissue Data'!L:L)</f>
        <v>5.5</v>
      </c>
      <c r="J2532">
        <f>_xlfn.XLOOKUP(A2532,'[1]Tissue Data'!$A:$A,'[1]Tissue Data'!M:M)</f>
        <v>2.75</v>
      </c>
      <c r="K2532" t="s">
        <v>42</v>
      </c>
      <c r="L2532" t="str">
        <f>_xlfn.XLOOKUP(K2532,[2]analyte_order!$B:$B,[2]analyte_order!$C:$C)</f>
        <v>2991-50-6</v>
      </c>
      <c r="M2532">
        <f>_xlfn.XLOOKUP(L2532,[2]analyte_order!$C:$C,[2]analyte_order!$E:$E)</f>
        <v>27</v>
      </c>
      <c r="N2532">
        <v>6.0499999999999998E-2</v>
      </c>
    </row>
    <row r="2533" spans="1:14">
      <c r="A2533" t="s">
        <v>189</v>
      </c>
      <c r="B2533" t="str">
        <f>_xlfn.XLOOKUP(A2533,'[1]Tissue Data'!$A:$A,'[1]Tissue Data'!$C:$C)</f>
        <v>Spill</v>
      </c>
      <c r="C2533" s="2">
        <f>_xlfn.XLOOKUP(A2533,'[1]Tissue Data'!$A:$A,'[1]Tissue Data'!$D:$D)</f>
        <v>44314</v>
      </c>
      <c r="D2533" s="2" t="str">
        <f>_xlfn.XLOOKUP(A2533,'[1]Tissue Data'!$A:$A,'[1]Tissue Data'!$F:$F)</f>
        <v>Swallowtail Shiner</v>
      </c>
      <c r="E2533" t="str">
        <f>_xlfn.XLOOKUP(A2533,'[1]Tissue Data'!$A:$A,'[1]Tissue Data'!$H:$H)</f>
        <v>Notropis</v>
      </c>
      <c r="F2533" t="str">
        <f>_xlfn.XLOOKUP(A2533,'[1]Tissue Data'!$A:$A,'[1]Tissue Data'!$I:$I)</f>
        <v>procne</v>
      </c>
      <c r="G2533" t="str">
        <f>_xlfn.XLOOKUP(A2533,'[1]Tissue Data'!$A:$A,'[1]Tissue Data'!J:J)</f>
        <v>U</v>
      </c>
      <c r="H2533" t="str">
        <f>_xlfn.XLOOKUP(A2533,'[1]Tissue Data'!$A:$A,'[1]Tissue Data'!K:K)</f>
        <v>Whole Body</v>
      </c>
      <c r="I2533">
        <f>_xlfn.XLOOKUP(A2533,'[1]Tissue Data'!$A:$A,'[1]Tissue Data'!L:L)</f>
        <v>5.5</v>
      </c>
      <c r="J2533">
        <f>_xlfn.XLOOKUP(A2533,'[1]Tissue Data'!$A:$A,'[1]Tissue Data'!M:M)</f>
        <v>2.75</v>
      </c>
      <c r="K2533" t="s">
        <v>43</v>
      </c>
      <c r="L2533" t="str">
        <f>_xlfn.XLOOKUP(K2533,[2]analyte_order!$B:$B,[2]analyte_order!$C:$C)</f>
        <v>757124-72-4</v>
      </c>
      <c r="M2533">
        <f>_xlfn.XLOOKUP(L2533,[2]analyte_order!$C:$C,[2]analyte_order!$E:$E)</f>
        <v>22</v>
      </c>
      <c r="N2533">
        <v>5.7000000000000002E-2</v>
      </c>
    </row>
    <row r="2534" spans="1:14">
      <c r="A2534" t="s">
        <v>189</v>
      </c>
      <c r="B2534" t="str">
        <f>_xlfn.XLOOKUP(A2534,'[1]Tissue Data'!$A:$A,'[1]Tissue Data'!$C:$C)</f>
        <v>Spill</v>
      </c>
      <c r="C2534" s="2">
        <f>_xlfn.XLOOKUP(A2534,'[1]Tissue Data'!$A:$A,'[1]Tissue Data'!$D:$D)</f>
        <v>44314</v>
      </c>
      <c r="D2534" s="2" t="str">
        <f>_xlfn.XLOOKUP(A2534,'[1]Tissue Data'!$A:$A,'[1]Tissue Data'!$F:$F)</f>
        <v>Swallowtail Shiner</v>
      </c>
      <c r="E2534" t="str">
        <f>_xlfn.XLOOKUP(A2534,'[1]Tissue Data'!$A:$A,'[1]Tissue Data'!$H:$H)</f>
        <v>Notropis</v>
      </c>
      <c r="F2534" t="str">
        <f>_xlfn.XLOOKUP(A2534,'[1]Tissue Data'!$A:$A,'[1]Tissue Data'!$I:$I)</f>
        <v>procne</v>
      </c>
      <c r="G2534" t="str">
        <f>_xlfn.XLOOKUP(A2534,'[1]Tissue Data'!$A:$A,'[1]Tissue Data'!J:J)</f>
        <v>U</v>
      </c>
      <c r="H2534" t="str">
        <f>_xlfn.XLOOKUP(A2534,'[1]Tissue Data'!$A:$A,'[1]Tissue Data'!K:K)</f>
        <v>Whole Body</v>
      </c>
      <c r="I2534">
        <f>_xlfn.XLOOKUP(A2534,'[1]Tissue Data'!$A:$A,'[1]Tissue Data'!L:L)</f>
        <v>5.5</v>
      </c>
      <c r="J2534">
        <f>_xlfn.XLOOKUP(A2534,'[1]Tissue Data'!$A:$A,'[1]Tissue Data'!M:M)</f>
        <v>2.75</v>
      </c>
      <c r="K2534" t="s">
        <v>44</v>
      </c>
      <c r="L2534" t="str">
        <f>_xlfn.XLOOKUP(K2534,[2]analyte_order!$B:$B,[2]analyte_order!$C:$C)</f>
        <v>27619-97-2</v>
      </c>
      <c r="M2534">
        <f>_xlfn.XLOOKUP(L2534,[2]analyte_order!$C:$C,[2]analyte_order!$E:$E)</f>
        <v>23</v>
      </c>
      <c r="N2534">
        <v>1.02</v>
      </c>
    </row>
    <row r="2535" spans="1:14">
      <c r="A2535" t="s">
        <v>189</v>
      </c>
      <c r="B2535" t="str">
        <f>_xlfn.XLOOKUP(A2535,'[1]Tissue Data'!$A:$A,'[1]Tissue Data'!$C:$C)</f>
        <v>Spill</v>
      </c>
      <c r="C2535" s="2">
        <f>_xlfn.XLOOKUP(A2535,'[1]Tissue Data'!$A:$A,'[1]Tissue Data'!$D:$D)</f>
        <v>44314</v>
      </c>
      <c r="D2535" s="2" t="str">
        <f>_xlfn.XLOOKUP(A2535,'[1]Tissue Data'!$A:$A,'[1]Tissue Data'!$F:$F)</f>
        <v>Swallowtail Shiner</v>
      </c>
      <c r="E2535" t="str">
        <f>_xlfn.XLOOKUP(A2535,'[1]Tissue Data'!$A:$A,'[1]Tissue Data'!$H:$H)</f>
        <v>Notropis</v>
      </c>
      <c r="F2535" t="str">
        <f>_xlfn.XLOOKUP(A2535,'[1]Tissue Data'!$A:$A,'[1]Tissue Data'!$I:$I)</f>
        <v>procne</v>
      </c>
      <c r="G2535" t="str">
        <f>_xlfn.XLOOKUP(A2535,'[1]Tissue Data'!$A:$A,'[1]Tissue Data'!J:J)</f>
        <v>U</v>
      </c>
      <c r="H2535" t="str">
        <f>_xlfn.XLOOKUP(A2535,'[1]Tissue Data'!$A:$A,'[1]Tissue Data'!K:K)</f>
        <v>Whole Body</v>
      </c>
      <c r="I2535">
        <f>_xlfn.XLOOKUP(A2535,'[1]Tissue Data'!$A:$A,'[1]Tissue Data'!L:L)</f>
        <v>5.5</v>
      </c>
      <c r="J2535">
        <f>_xlfn.XLOOKUP(A2535,'[1]Tissue Data'!$A:$A,'[1]Tissue Data'!M:M)</f>
        <v>2.75</v>
      </c>
      <c r="K2535" t="s">
        <v>45</v>
      </c>
      <c r="L2535" t="str">
        <f>_xlfn.XLOOKUP(K2535,[2]analyte_order!$B:$B,[2]analyte_order!$C:$C)</f>
        <v>39108-34-4</v>
      </c>
      <c r="M2535">
        <f>_xlfn.XLOOKUP(L2535,[2]analyte_order!$C:$C,[2]analyte_order!$E:$E)</f>
        <v>24</v>
      </c>
      <c r="N2535">
        <v>26</v>
      </c>
    </row>
    <row r="2536" spans="1:14">
      <c r="A2536" t="s">
        <v>189</v>
      </c>
      <c r="B2536" t="str">
        <f>_xlfn.XLOOKUP(A2536,'[1]Tissue Data'!$A:$A,'[1]Tissue Data'!$C:$C)</f>
        <v>Spill</v>
      </c>
      <c r="C2536" s="2">
        <f>_xlfn.XLOOKUP(A2536,'[1]Tissue Data'!$A:$A,'[1]Tissue Data'!$D:$D)</f>
        <v>44314</v>
      </c>
      <c r="D2536" s="2" t="str">
        <f>_xlfn.XLOOKUP(A2536,'[1]Tissue Data'!$A:$A,'[1]Tissue Data'!$F:$F)</f>
        <v>Swallowtail Shiner</v>
      </c>
      <c r="E2536" t="str">
        <f>_xlfn.XLOOKUP(A2536,'[1]Tissue Data'!$A:$A,'[1]Tissue Data'!$H:$H)</f>
        <v>Notropis</v>
      </c>
      <c r="F2536" t="str">
        <f>_xlfn.XLOOKUP(A2536,'[1]Tissue Data'!$A:$A,'[1]Tissue Data'!$I:$I)</f>
        <v>procne</v>
      </c>
      <c r="G2536" t="str">
        <f>_xlfn.XLOOKUP(A2536,'[1]Tissue Data'!$A:$A,'[1]Tissue Data'!J:J)</f>
        <v>U</v>
      </c>
      <c r="H2536" t="str">
        <f>_xlfn.XLOOKUP(A2536,'[1]Tissue Data'!$A:$A,'[1]Tissue Data'!K:K)</f>
        <v>Whole Body</v>
      </c>
      <c r="I2536">
        <f>_xlfn.XLOOKUP(A2536,'[1]Tissue Data'!$A:$A,'[1]Tissue Data'!L:L)</f>
        <v>5.5</v>
      </c>
      <c r="J2536">
        <f>_xlfn.XLOOKUP(A2536,'[1]Tissue Data'!$A:$A,'[1]Tissue Data'!M:M)</f>
        <v>2.75</v>
      </c>
      <c r="K2536" t="s">
        <v>46</v>
      </c>
      <c r="L2536" t="str">
        <f>_xlfn.XLOOKUP(K2536,[2]analyte_order!$B:$B,[2]analyte_order!$C:$C)</f>
        <v>120226-60-0</v>
      </c>
      <c r="M2536">
        <f>_xlfn.XLOOKUP(L2536,[2]analyte_order!$C:$C,[2]analyte_order!$E:$E)</f>
        <v>25</v>
      </c>
      <c r="N2536">
        <v>0.26</v>
      </c>
    </row>
    <row r="2537" spans="1:14">
      <c r="A2537" t="s">
        <v>189</v>
      </c>
      <c r="B2537" t="str">
        <f>_xlfn.XLOOKUP(A2537,'[1]Tissue Data'!$A:$A,'[1]Tissue Data'!$C:$C)</f>
        <v>Spill</v>
      </c>
      <c r="C2537" s="2">
        <f>_xlfn.XLOOKUP(A2537,'[1]Tissue Data'!$A:$A,'[1]Tissue Data'!$D:$D)</f>
        <v>44314</v>
      </c>
      <c r="D2537" s="2" t="str">
        <f>_xlfn.XLOOKUP(A2537,'[1]Tissue Data'!$A:$A,'[1]Tissue Data'!$F:$F)</f>
        <v>Swallowtail Shiner</v>
      </c>
      <c r="E2537" t="str">
        <f>_xlfn.XLOOKUP(A2537,'[1]Tissue Data'!$A:$A,'[1]Tissue Data'!$H:$H)</f>
        <v>Notropis</v>
      </c>
      <c r="F2537" t="str">
        <f>_xlfn.XLOOKUP(A2537,'[1]Tissue Data'!$A:$A,'[1]Tissue Data'!$I:$I)</f>
        <v>procne</v>
      </c>
      <c r="G2537" t="str">
        <f>_xlfn.XLOOKUP(A2537,'[1]Tissue Data'!$A:$A,'[1]Tissue Data'!J:J)</f>
        <v>U</v>
      </c>
      <c r="H2537" t="str">
        <f>_xlfn.XLOOKUP(A2537,'[1]Tissue Data'!$A:$A,'[1]Tissue Data'!K:K)</f>
        <v>Whole Body</v>
      </c>
      <c r="I2537">
        <f>_xlfn.XLOOKUP(A2537,'[1]Tissue Data'!$A:$A,'[1]Tissue Data'!L:L)</f>
        <v>5.5</v>
      </c>
      <c r="J2537">
        <f>_xlfn.XLOOKUP(A2537,'[1]Tissue Data'!$A:$A,'[1]Tissue Data'!M:M)</f>
        <v>2.75</v>
      </c>
      <c r="K2537" t="s">
        <v>47</v>
      </c>
      <c r="L2537" t="str">
        <f>_xlfn.XLOOKUP(K2537,[2]analyte_order!$B:$B,[2]analyte_order!$C:$C)</f>
        <v>356-02-5</v>
      </c>
      <c r="M2537">
        <f>_xlfn.XLOOKUP(L2537,[2]analyte_order!$C:$C,[2]analyte_order!$E:$E)</f>
        <v>38</v>
      </c>
      <c r="N2537">
        <v>0.08</v>
      </c>
    </row>
    <row r="2538" spans="1:14">
      <c r="A2538" t="s">
        <v>189</v>
      </c>
      <c r="B2538" t="str">
        <f>_xlfn.XLOOKUP(A2538,'[1]Tissue Data'!$A:$A,'[1]Tissue Data'!$C:$C)</f>
        <v>Spill</v>
      </c>
      <c r="C2538" s="2">
        <f>_xlfn.XLOOKUP(A2538,'[1]Tissue Data'!$A:$A,'[1]Tissue Data'!$D:$D)</f>
        <v>44314</v>
      </c>
      <c r="D2538" s="2" t="str">
        <f>_xlfn.XLOOKUP(A2538,'[1]Tissue Data'!$A:$A,'[1]Tissue Data'!$F:$F)</f>
        <v>Swallowtail Shiner</v>
      </c>
      <c r="E2538" t="str">
        <f>_xlfn.XLOOKUP(A2538,'[1]Tissue Data'!$A:$A,'[1]Tissue Data'!$H:$H)</f>
        <v>Notropis</v>
      </c>
      <c r="F2538" t="str">
        <f>_xlfn.XLOOKUP(A2538,'[1]Tissue Data'!$A:$A,'[1]Tissue Data'!$I:$I)</f>
        <v>procne</v>
      </c>
      <c r="G2538" t="str">
        <f>_xlfn.XLOOKUP(A2538,'[1]Tissue Data'!$A:$A,'[1]Tissue Data'!J:J)</f>
        <v>U</v>
      </c>
      <c r="H2538" t="str">
        <f>_xlfn.XLOOKUP(A2538,'[1]Tissue Data'!$A:$A,'[1]Tissue Data'!K:K)</f>
        <v>Whole Body</v>
      </c>
      <c r="I2538">
        <f>_xlfn.XLOOKUP(A2538,'[1]Tissue Data'!$A:$A,'[1]Tissue Data'!L:L)</f>
        <v>5.5</v>
      </c>
      <c r="J2538">
        <f>_xlfn.XLOOKUP(A2538,'[1]Tissue Data'!$A:$A,'[1]Tissue Data'!M:M)</f>
        <v>2.75</v>
      </c>
      <c r="K2538" t="s">
        <v>48</v>
      </c>
      <c r="L2538" t="str">
        <f>_xlfn.XLOOKUP(K2538,[2]analyte_order!$B:$B,[2]analyte_order!$C:$C)</f>
        <v>914637-49-3</v>
      </c>
      <c r="M2538">
        <f>_xlfn.XLOOKUP(L2538,[2]analyte_order!$C:$C,[2]analyte_order!$E:$E)</f>
        <v>39</v>
      </c>
      <c r="N2538">
        <v>0.54700000000000004</v>
      </c>
    </row>
    <row r="2539" spans="1:14">
      <c r="A2539" t="s">
        <v>189</v>
      </c>
      <c r="B2539" t="str">
        <f>_xlfn.XLOOKUP(A2539,'[1]Tissue Data'!$A:$A,'[1]Tissue Data'!$C:$C)</f>
        <v>Spill</v>
      </c>
      <c r="C2539" s="2">
        <f>_xlfn.XLOOKUP(A2539,'[1]Tissue Data'!$A:$A,'[1]Tissue Data'!$D:$D)</f>
        <v>44314</v>
      </c>
      <c r="D2539" s="2" t="str">
        <f>_xlfn.XLOOKUP(A2539,'[1]Tissue Data'!$A:$A,'[1]Tissue Data'!$F:$F)</f>
        <v>Swallowtail Shiner</v>
      </c>
      <c r="E2539" t="str">
        <f>_xlfn.XLOOKUP(A2539,'[1]Tissue Data'!$A:$A,'[1]Tissue Data'!$H:$H)</f>
        <v>Notropis</v>
      </c>
      <c r="F2539" t="str">
        <f>_xlfn.XLOOKUP(A2539,'[1]Tissue Data'!$A:$A,'[1]Tissue Data'!$I:$I)</f>
        <v>procne</v>
      </c>
      <c r="G2539" t="str">
        <f>_xlfn.XLOOKUP(A2539,'[1]Tissue Data'!$A:$A,'[1]Tissue Data'!J:J)</f>
        <v>U</v>
      </c>
      <c r="H2539" t="str">
        <f>_xlfn.XLOOKUP(A2539,'[1]Tissue Data'!$A:$A,'[1]Tissue Data'!K:K)</f>
        <v>Whole Body</v>
      </c>
      <c r="I2539">
        <f>_xlfn.XLOOKUP(A2539,'[1]Tissue Data'!$A:$A,'[1]Tissue Data'!L:L)</f>
        <v>5.5</v>
      </c>
      <c r="J2539">
        <f>_xlfn.XLOOKUP(A2539,'[1]Tissue Data'!$A:$A,'[1]Tissue Data'!M:M)</f>
        <v>2.75</v>
      </c>
      <c r="K2539" t="s">
        <v>49</v>
      </c>
      <c r="L2539" t="str">
        <f>_xlfn.XLOOKUP(K2539,[2]analyte_order!$B:$B,[2]analyte_order!$C:$C)</f>
        <v>812-70-4</v>
      </c>
      <c r="M2539">
        <f>_xlfn.XLOOKUP(L2539,[2]analyte_order!$C:$C,[2]analyte_order!$E:$E)</f>
        <v>40</v>
      </c>
      <c r="N2539">
        <v>8.65</v>
      </c>
    </row>
    <row r="2540" spans="1:14">
      <c r="A2540" t="s">
        <v>189</v>
      </c>
      <c r="B2540" t="str">
        <f>_xlfn.XLOOKUP(A2540,'[1]Tissue Data'!$A:$A,'[1]Tissue Data'!$C:$C)</f>
        <v>Spill</v>
      </c>
      <c r="C2540" s="2">
        <f>_xlfn.XLOOKUP(A2540,'[1]Tissue Data'!$A:$A,'[1]Tissue Data'!$D:$D)</f>
        <v>44314</v>
      </c>
      <c r="D2540" s="2" t="str">
        <f>_xlfn.XLOOKUP(A2540,'[1]Tissue Data'!$A:$A,'[1]Tissue Data'!$F:$F)</f>
        <v>Swallowtail Shiner</v>
      </c>
      <c r="E2540" t="str">
        <f>_xlfn.XLOOKUP(A2540,'[1]Tissue Data'!$A:$A,'[1]Tissue Data'!$H:$H)</f>
        <v>Notropis</v>
      </c>
      <c r="F2540" t="str">
        <f>_xlfn.XLOOKUP(A2540,'[1]Tissue Data'!$A:$A,'[1]Tissue Data'!$I:$I)</f>
        <v>procne</v>
      </c>
      <c r="G2540" t="str">
        <f>_xlfn.XLOOKUP(A2540,'[1]Tissue Data'!$A:$A,'[1]Tissue Data'!J:J)</f>
        <v>U</v>
      </c>
      <c r="H2540" t="str">
        <f>_xlfn.XLOOKUP(A2540,'[1]Tissue Data'!$A:$A,'[1]Tissue Data'!K:K)</f>
        <v>Whole Body</v>
      </c>
      <c r="I2540">
        <f>_xlfn.XLOOKUP(A2540,'[1]Tissue Data'!$A:$A,'[1]Tissue Data'!L:L)</f>
        <v>5.5</v>
      </c>
      <c r="J2540">
        <f>_xlfn.XLOOKUP(A2540,'[1]Tissue Data'!$A:$A,'[1]Tissue Data'!M:M)</f>
        <v>2.75</v>
      </c>
      <c r="K2540" t="s">
        <v>50</v>
      </c>
      <c r="L2540" t="str">
        <f>_xlfn.XLOOKUP(K2540,[2]analyte_order!$B:$B,[2]analyte_order!$C:$C)</f>
        <v>53826-12-3</v>
      </c>
      <c r="M2540">
        <f>_xlfn.XLOOKUP(L2540,[2]analyte_order!$C:$C,[2]analyte_order!$E:$E)</f>
        <v>41</v>
      </c>
      <c r="N2540">
        <v>4.4549999999999999E-2</v>
      </c>
    </row>
    <row r="2541" spans="1:14">
      <c r="A2541" t="s">
        <v>189</v>
      </c>
      <c r="B2541" t="str">
        <f>_xlfn.XLOOKUP(A2541,'[1]Tissue Data'!$A:$A,'[1]Tissue Data'!$C:$C)</f>
        <v>Spill</v>
      </c>
      <c r="C2541" s="2">
        <f>_xlfn.XLOOKUP(A2541,'[1]Tissue Data'!$A:$A,'[1]Tissue Data'!$D:$D)</f>
        <v>44314</v>
      </c>
      <c r="D2541" s="2" t="str">
        <f>_xlfn.XLOOKUP(A2541,'[1]Tissue Data'!$A:$A,'[1]Tissue Data'!$F:$F)</f>
        <v>Swallowtail Shiner</v>
      </c>
      <c r="E2541" t="str">
        <f>_xlfn.XLOOKUP(A2541,'[1]Tissue Data'!$A:$A,'[1]Tissue Data'!$H:$H)</f>
        <v>Notropis</v>
      </c>
      <c r="F2541" t="str">
        <f>_xlfn.XLOOKUP(A2541,'[1]Tissue Data'!$A:$A,'[1]Tissue Data'!$I:$I)</f>
        <v>procne</v>
      </c>
      <c r="G2541" t="str">
        <f>_xlfn.XLOOKUP(A2541,'[1]Tissue Data'!$A:$A,'[1]Tissue Data'!J:J)</f>
        <v>U</v>
      </c>
      <c r="H2541" t="str">
        <f>_xlfn.XLOOKUP(A2541,'[1]Tissue Data'!$A:$A,'[1]Tissue Data'!K:K)</f>
        <v>Whole Body</v>
      </c>
      <c r="I2541">
        <f>_xlfn.XLOOKUP(A2541,'[1]Tissue Data'!$A:$A,'[1]Tissue Data'!L:L)</f>
        <v>5.5</v>
      </c>
      <c r="J2541">
        <f>_xlfn.XLOOKUP(A2541,'[1]Tissue Data'!$A:$A,'[1]Tissue Data'!M:M)</f>
        <v>2.75</v>
      </c>
      <c r="K2541" t="s">
        <v>51</v>
      </c>
      <c r="L2541" t="str">
        <f>_xlfn.XLOOKUP(K2541,[2]analyte_order!$B:$B,[2]analyte_order!$C:$C)</f>
        <v>27854-31-5</v>
      </c>
      <c r="M2541">
        <f>_xlfn.XLOOKUP(L2541,[2]analyte_order!$C:$C,[2]analyte_order!$E:$E)</f>
        <v>42</v>
      </c>
      <c r="N2541">
        <v>2.775E-2</v>
      </c>
    </row>
    <row r="2542" spans="1:14">
      <c r="A2542" t="s">
        <v>189</v>
      </c>
      <c r="B2542" t="str">
        <f>_xlfn.XLOOKUP(A2542,'[1]Tissue Data'!$A:$A,'[1]Tissue Data'!$C:$C)</f>
        <v>Spill</v>
      </c>
      <c r="C2542" s="2">
        <f>_xlfn.XLOOKUP(A2542,'[1]Tissue Data'!$A:$A,'[1]Tissue Data'!$D:$D)</f>
        <v>44314</v>
      </c>
      <c r="D2542" s="2" t="str">
        <f>_xlfn.XLOOKUP(A2542,'[1]Tissue Data'!$A:$A,'[1]Tissue Data'!$F:$F)</f>
        <v>Swallowtail Shiner</v>
      </c>
      <c r="E2542" t="str">
        <f>_xlfn.XLOOKUP(A2542,'[1]Tissue Data'!$A:$A,'[1]Tissue Data'!$H:$H)</f>
        <v>Notropis</v>
      </c>
      <c r="F2542" t="str">
        <f>_xlfn.XLOOKUP(A2542,'[1]Tissue Data'!$A:$A,'[1]Tissue Data'!$I:$I)</f>
        <v>procne</v>
      </c>
      <c r="G2542" t="str">
        <f>_xlfn.XLOOKUP(A2542,'[1]Tissue Data'!$A:$A,'[1]Tissue Data'!J:J)</f>
        <v>U</v>
      </c>
      <c r="H2542" t="str">
        <f>_xlfn.XLOOKUP(A2542,'[1]Tissue Data'!$A:$A,'[1]Tissue Data'!K:K)</f>
        <v>Whole Body</v>
      </c>
      <c r="I2542">
        <f>_xlfn.XLOOKUP(A2542,'[1]Tissue Data'!$A:$A,'[1]Tissue Data'!L:L)</f>
        <v>5.5</v>
      </c>
      <c r="J2542">
        <f>_xlfn.XLOOKUP(A2542,'[1]Tissue Data'!$A:$A,'[1]Tissue Data'!M:M)</f>
        <v>2.75</v>
      </c>
      <c r="K2542" t="s">
        <v>52</v>
      </c>
      <c r="L2542" t="str">
        <f>_xlfn.XLOOKUP(K2542,[2]analyte_order!$B:$B,[2]analyte_order!$C:$C)</f>
        <v>53826-13-4</v>
      </c>
      <c r="M2542">
        <f>_xlfn.XLOOKUP(L2542,[2]analyte_order!$C:$C,[2]analyte_order!$E:$E)</f>
        <v>43</v>
      </c>
      <c r="N2542">
        <v>0.10349999999999999</v>
      </c>
    </row>
    <row r="2543" spans="1:14">
      <c r="A2543" t="s">
        <v>189</v>
      </c>
      <c r="B2543" t="str">
        <f>_xlfn.XLOOKUP(A2543,'[1]Tissue Data'!$A:$A,'[1]Tissue Data'!$C:$C)</f>
        <v>Spill</v>
      </c>
      <c r="C2543" s="2">
        <f>_xlfn.XLOOKUP(A2543,'[1]Tissue Data'!$A:$A,'[1]Tissue Data'!$D:$D)</f>
        <v>44314</v>
      </c>
      <c r="D2543" s="2" t="str">
        <f>_xlfn.XLOOKUP(A2543,'[1]Tissue Data'!$A:$A,'[1]Tissue Data'!$F:$F)</f>
        <v>Swallowtail Shiner</v>
      </c>
      <c r="E2543" t="str">
        <f>_xlfn.XLOOKUP(A2543,'[1]Tissue Data'!$A:$A,'[1]Tissue Data'!$H:$H)</f>
        <v>Notropis</v>
      </c>
      <c r="F2543" t="str">
        <f>_xlfn.XLOOKUP(A2543,'[1]Tissue Data'!$A:$A,'[1]Tissue Data'!$I:$I)</f>
        <v>procne</v>
      </c>
      <c r="G2543" t="str">
        <f>_xlfn.XLOOKUP(A2543,'[1]Tissue Data'!$A:$A,'[1]Tissue Data'!J:J)</f>
        <v>U</v>
      </c>
      <c r="H2543" t="str">
        <f>_xlfn.XLOOKUP(A2543,'[1]Tissue Data'!$A:$A,'[1]Tissue Data'!K:K)</f>
        <v>Whole Body</v>
      </c>
      <c r="I2543">
        <f>_xlfn.XLOOKUP(A2543,'[1]Tissue Data'!$A:$A,'[1]Tissue Data'!L:L)</f>
        <v>5.5</v>
      </c>
      <c r="J2543">
        <f>_xlfn.XLOOKUP(A2543,'[1]Tissue Data'!$A:$A,'[1]Tissue Data'!M:M)</f>
        <v>2.75</v>
      </c>
      <c r="K2543" t="s">
        <v>53</v>
      </c>
      <c r="L2543" t="str">
        <f>_xlfn.XLOOKUP(K2543,[2]analyte_order!$B:$B,[2]analyte_order!$C:$C)</f>
        <v>161094-75-3</v>
      </c>
      <c r="M2543">
        <f>_xlfn.XLOOKUP(L2543,[2]analyte_order!$C:$C,[2]analyte_order!$E:$E)</f>
        <v>44</v>
      </c>
      <c r="N2543">
        <v>5.45E-2</v>
      </c>
    </row>
    <row r="2544" spans="1:14">
      <c r="A2544" t="s">
        <v>189</v>
      </c>
      <c r="B2544" t="str">
        <f>_xlfn.XLOOKUP(A2544,'[1]Tissue Data'!$A:$A,'[1]Tissue Data'!$C:$C)</f>
        <v>Spill</v>
      </c>
      <c r="C2544" s="2">
        <f>_xlfn.XLOOKUP(A2544,'[1]Tissue Data'!$A:$A,'[1]Tissue Data'!$D:$D)</f>
        <v>44314</v>
      </c>
      <c r="D2544" s="2" t="str">
        <f>_xlfn.XLOOKUP(A2544,'[1]Tissue Data'!$A:$A,'[1]Tissue Data'!$F:$F)</f>
        <v>Swallowtail Shiner</v>
      </c>
      <c r="E2544" t="str">
        <f>_xlfn.XLOOKUP(A2544,'[1]Tissue Data'!$A:$A,'[1]Tissue Data'!$H:$H)</f>
        <v>Notropis</v>
      </c>
      <c r="F2544" t="str">
        <f>_xlfn.XLOOKUP(A2544,'[1]Tissue Data'!$A:$A,'[1]Tissue Data'!$I:$I)</f>
        <v>procne</v>
      </c>
      <c r="G2544" t="str">
        <f>_xlfn.XLOOKUP(A2544,'[1]Tissue Data'!$A:$A,'[1]Tissue Data'!J:J)</f>
        <v>U</v>
      </c>
      <c r="H2544" t="str">
        <f>_xlfn.XLOOKUP(A2544,'[1]Tissue Data'!$A:$A,'[1]Tissue Data'!K:K)</f>
        <v>Whole Body</v>
      </c>
      <c r="I2544">
        <f>_xlfn.XLOOKUP(A2544,'[1]Tissue Data'!$A:$A,'[1]Tissue Data'!L:L)</f>
        <v>5.5</v>
      </c>
      <c r="J2544">
        <f>_xlfn.XLOOKUP(A2544,'[1]Tissue Data'!$A:$A,'[1]Tissue Data'!M:M)</f>
        <v>2.75</v>
      </c>
      <c r="K2544" t="s">
        <v>54</v>
      </c>
      <c r="L2544" t="str">
        <f>_xlfn.XLOOKUP(K2544,[2]analyte_order!$B:$B,[2]analyte_order!$C:$C)</f>
        <v>70887-84-2</v>
      </c>
      <c r="M2544">
        <f>_xlfn.XLOOKUP(L2544,[2]analyte_order!$C:$C,[2]analyte_order!$E:$E)</f>
        <v>45</v>
      </c>
      <c r="N2544">
        <v>4.1950000000000001E-2</v>
      </c>
    </row>
    <row r="2545" spans="1:14">
      <c r="A2545" t="s">
        <v>189</v>
      </c>
      <c r="B2545" t="str">
        <f>_xlfn.XLOOKUP(A2545,'[1]Tissue Data'!$A:$A,'[1]Tissue Data'!$C:$C)</f>
        <v>Spill</v>
      </c>
      <c r="C2545" s="2">
        <f>_xlfn.XLOOKUP(A2545,'[1]Tissue Data'!$A:$A,'[1]Tissue Data'!$D:$D)</f>
        <v>44314</v>
      </c>
      <c r="D2545" s="2" t="str">
        <f>_xlfn.XLOOKUP(A2545,'[1]Tissue Data'!$A:$A,'[1]Tissue Data'!$F:$F)</f>
        <v>Swallowtail Shiner</v>
      </c>
      <c r="E2545" t="str">
        <f>_xlfn.XLOOKUP(A2545,'[1]Tissue Data'!$A:$A,'[1]Tissue Data'!$H:$H)</f>
        <v>Notropis</v>
      </c>
      <c r="F2545" t="str">
        <f>_xlfn.XLOOKUP(A2545,'[1]Tissue Data'!$A:$A,'[1]Tissue Data'!$I:$I)</f>
        <v>procne</v>
      </c>
      <c r="G2545" t="str">
        <f>_xlfn.XLOOKUP(A2545,'[1]Tissue Data'!$A:$A,'[1]Tissue Data'!J:J)</f>
        <v>U</v>
      </c>
      <c r="H2545" t="str">
        <f>_xlfn.XLOOKUP(A2545,'[1]Tissue Data'!$A:$A,'[1]Tissue Data'!K:K)</f>
        <v>Whole Body</v>
      </c>
      <c r="I2545">
        <f>_xlfn.XLOOKUP(A2545,'[1]Tissue Data'!$A:$A,'[1]Tissue Data'!L:L)</f>
        <v>5.5</v>
      </c>
      <c r="J2545">
        <f>_xlfn.XLOOKUP(A2545,'[1]Tissue Data'!$A:$A,'[1]Tissue Data'!M:M)</f>
        <v>2.75</v>
      </c>
      <c r="K2545" t="s">
        <v>55</v>
      </c>
      <c r="L2545" t="str">
        <f>_xlfn.XLOOKUP(K2545,[2]analyte_order!$B:$B,[2]analyte_order!$C:$C)</f>
        <v>919005-14-4</v>
      </c>
      <c r="M2545">
        <f>_xlfn.XLOOKUP(L2545,[2]analyte_order!$C:$C,[2]analyte_order!$E:$E)</f>
        <v>35</v>
      </c>
      <c r="N2545">
        <v>6.9500000000000006E-2</v>
      </c>
    </row>
    <row r="2546" spans="1:14">
      <c r="A2546" t="s">
        <v>189</v>
      </c>
      <c r="B2546" t="str">
        <f>_xlfn.XLOOKUP(A2546,'[1]Tissue Data'!$A:$A,'[1]Tissue Data'!$C:$C)</f>
        <v>Spill</v>
      </c>
      <c r="C2546" s="2">
        <f>_xlfn.XLOOKUP(A2546,'[1]Tissue Data'!$A:$A,'[1]Tissue Data'!$D:$D)</f>
        <v>44314</v>
      </c>
      <c r="D2546" s="2" t="str">
        <f>_xlfn.XLOOKUP(A2546,'[1]Tissue Data'!$A:$A,'[1]Tissue Data'!$F:$F)</f>
        <v>Swallowtail Shiner</v>
      </c>
      <c r="E2546" t="str">
        <f>_xlfn.XLOOKUP(A2546,'[1]Tissue Data'!$A:$A,'[1]Tissue Data'!$H:$H)</f>
        <v>Notropis</v>
      </c>
      <c r="F2546" t="str">
        <f>_xlfn.XLOOKUP(A2546,'[1]Tissue Data'!$A:$A,'[1]Tissue Data'!$I:$I)</f>
        <v>procne</v>
      </c>
      <c r="G2546" t="str">
        <f>_xlfn.XLOOKUP(A2546,'[1]Tissue Data'!$A:$A,'[1]Tissue Data'!J:J)</f>
        <v>U</v>
      </c>
      <c r="H2546" t="str">
        <f>_xlfn.XLOOKUP(A2546,'[1]Tissue Data'!$A:$A,'[1]Tissue Data'!K:K)</f>
        <v>Whole Body</v>
      </c>
      <c r="I2546">
        <f>_xlfn.XLOOKUP(A2546,'[1]Tissue Data'!$A:$A,'[1]Tissue Data'!L:L)</f>
        <v>5.5</v>
      </c>
      <c r="J2546">
        <f>_xlfn.XLOOKUP(A2546,'[1]Tissue Data'!$A:$A,'[1]Tissue Data'!M:M)</f>
        <v>2.75</v>
      </c>
      <c r="K2546" t="s">
        <v>56</v>
      </c>
      <c r="L2546" t="str">
        <f>_xlfn.XLOOKUP(K2546,[2]analyte_order!$B:$B,[2]analyte_order!$C:$C)</f>
        <v>756426-58-1</v>
      </c>
      <c r="M2546">
        <f>_xlfn.XLOOKUP(L2546,[2]analyte_order!$C:$C,[2]analyte_order!$E:$E)</f>
        <v>36</v>
      </c>
      <c r="N2546">
        <v>4.82E-2</v>
      </c>
    </row>
    <row r="2547" spans="1:14">
      <c r="A2547" t="s">
        <v>189</v>
      </c>
      <c r="B2547" t="str">
        <f>_xlfn.XLOOKUP(A2547,'[1]Tissue Data'!$A:$A,'[1]Tissue Data'!$C:$C)</f>
        <v>Spill</v>
      </c>
      <c r="C2547" s="2">
        <f>_xlfn.XLOOKUP(A2547,'[1]Tissue Data'!$A:$A,'[1]Tissue Data'!$D:$D)</f>
        <v>44314</v>
      </c>
      <c r="D2547" s="2" t="str">
        <f>_xlfn.XLOOKUP(A2547,'[1]Tissue Data'!$A:$A,'[1]Tissue Data'!$F:$F)</f>
        <v>Swallowtail Shiner</v>
      </c>
      <c r="E2547" t="str">
        <f>_xlfn.XLOOKUP(A2547,'[1]Tissue Data'!$A:$A,'[1]Tissue Data'!$H:$H)</f>
        <v>Notropis</v>
      </c>
      <c r="F2547" t="str">
        <f>_xlfn.XLOOKUP(A2547,'[1]Tissue Data'!$A:$A,'[1]Tissue Data'!$I:$I)</f>
        <v>procne</v>
      </c>
      <c r="G2547" t="str">
        <f>_xlfn.XLOOKUP(A2547,'[1]Tissue Data'!$A:$A,'[1]Tissue Data'!J:J)</f>
        <v>U</v>
      </c>
      <c r="H2547" t="str">
        <f>_xlfn.XLOOKUP(A2547,'[1]Tissue Data'!$A:$A,'[1]Tissue Data'!K:K)</f>
        <v>Whole Body</v>
      </c>
      <c r="I2547">
        <f>_xlfn.XLOOKUP(A2547,'[1]Tissue Data'!$A:$A,'[1]Tissue Data'!L:L)</f>
        <v>5.5</v>
      </c>
      <c r="J2547">
        <f>_xlfn.XLOOKUP(A2547,'[1]Tissue Data'!$A:$A,'[1]Tissue Data'!M:M)</f>
        <v>2.75</v>
      </c>
      <c r="K2547" t="s">
        <v>57</v>
      </c>
      <c r="L2547" t="str">
        <f>_xlfn.XLOOKUP(K2547,[2]analyte_order!$B:$B,[2]analyte_order!$C:$C)</f>
        <v>763051-92-9</v>
      </c>
      <c r="M2547">
        <f>_xlfn.XLOOKUP(L2547,[2]analyte_order!$C:$C,[2]analyte_order!$E:$E)</f>
        <v>37</v>
      </c>
      <c r="N2547">
        <v>5.45E-2</v>
      </c>
    </row>
    <row r="2548" spans="1:14">
      <c r="A2548" t="s">
        <v>189</v>
      </c>
      <c r="B2548" t="str">
        <f>_xlfn.XLOOKUP(A2548,'[1]Tissue Data'!$A:$A,'[1]Tissue Data'!$C:$C)</f>
        <v>Spill</v>
      </c>
      <c r="C2548" s="2">
        <f>_xlfn.XLOOKUP(A2548,'[1]Tissue Data'!$A:$A,'[1]Tissue Data'!$D:$D)</f>
        <v>44314</v>
      </c>
      <c r="D2548" s="2" t="str">
        <f>_xlfn.XLOOKUP(A2548,'[1]Tissue Data'!$A:$A,'[1]Tissue Data'!$F:$F)</f>
        <v>Swallowtail Shiner</v>
      </c>
      <c r="E2548" t="str">
        <f>_xlfn.XLOOKUP(A2548,'[1]Tissue Data'!$A:$A,'[1]Tissue Data'!$H:$H)</f>
        <v>Notropis</v>
      </c>
      <c r="F2548" t="str">
        <f>_xlfn.XLOOKUP(A2548,'[1]Tissue Data'!$A:$A,'[1]Tissue Data'!$I:$I)</f>
        <v>procne</v>
      </c>
      <c r="G2548" t="str">
        <f>_xlfn.XLOOKUP(A2548,'[1]Tissue Data'!$A:$A,'[1]Tissue Data'!J:J)</f>
        <v>U</v>
      </c>
      <c r="H2548" t="str">
        <f>_xlfn.XLOOKUP(A2548,'[1]Tissue Data'!$A:$A,'[1]Tissue Data'!K:K)</f>
        <v>Whole Body</v>
      </c>
      <c r="I2548">
        <f>_xlfn.XLOOKUP(A2548,'[1]Tissue Data'!$A:$A,'[1]Tissue Data'!L:L)</f>
        <v>5.5</v>
      </c>
      <c r="J2548">
        <f>_xlfn.XLOOKUP(A2548,'[1]Tissue Data'!$A:$A,'[1]Tissue Data'!M:M)</f>
        <v>2.75</v>
      </c>
      <c r="K2548" t="s">
        <v>58</v>
      </c>
      <c r="L2548" t="str">
        <f>_xlfn.XLOOKUP(K2548,[2]analyte_order!$B:$B,[2]analyte_order!$C:$C)</f>
        <v>13252-13-6</v>
      </c>
      <c r="M2548">
        <f>_xlfn.XLOOKUP(L2548,[2]analyte_order!$C:$C,[2]analyte_order!$E:$E)</f>
        <v>34</v>
      </c>
      <c r="N2548">
        <v>9.9500000000000005E-2</v>
      </c>
    </row>
    <row r="2549" spans="1:14">
      <c r="A2549" t="s">
        <v>189</v>
      </c>
      <c r="B2549" t="str">
        <f>_xlfn.XLOOKUP(A2549,'[1]Tissue Data'!$A:$A,'[1]Tissue Data'!$C:$C)</f>
        <v>Spill</v>
      </c>
      <c r="C2549" s="2">
        <f>_xlfn.XLOOKUP(A2549,'[1]Tissue Data'!$A:$A,'[1]Tissue Data'!$D:$D)</f>
        <v>44314</v>
      </c>
      <c r="D2549" s="2" t="str">
        <f>_xlfn.XLOOKUP(A2549,'[1]Tissue Data'!$A:$A,'[1]Tissue Data'!$F:$F)</f>
        <v>Swallowtail Shiner</v>
      </c>
      <c r="E2549" t="str">
        <f>_xlfn.XLOOKUP(A2549,'[1]Tissue Data'!$A:$A,'[1]Tissue Data'!$H:$H)</f>
        <v>Notropis</v>
      </c>
      <c r="F2549" t="str">
        <f>_xlfn.XLOOKUP(A2549,'[1]Tissue Data'!$A:$A,'[1]Tissue Data'!$I:$I)</f>
        <v>procne</v>
      </c>
      <c r="G2549" t="str">
        <f>_xlfn.XLOOKUP(A2549,'[1]Tissue Data'!$A:$A,'[1]Tissue Data'!J:J)</f>
        <v>U</v>
      </c>
      <c r="H2549" t="str">
        <f>_xlfn.XLOOKUP(A2549,'[1]Tissue Data'!$A:$A,'[1]Tissue Data'!K:K)</f>
        <v>Whole Body</v>
      </c>
      <c r="I2549">
        <f>_xlfn.XLOOKUP(A2549,'[1]Tissue Data'!$A:$A,'[1]Tissue Data'!L:L)</f>
        <v>5.5</v>
      </c>
      <c r="J2549">
        <f>_xlfn.XLOOKUP(A2549,'[1]Tissue Data'!$A:$A,'[1]Tissue Data'!M:M)</f>
        <v>2.75</v>
      </c>
      <c r="K2549" t="s">
        <v>59</v>
      </c>
      <c r="L2549" t="str">
        <f>_xlfn.XLOOKUP(K2549,[2]analyte_order!$B:$B,[2]analyte_order!$C:$C)</f>
        <v>57677-95-9</v>
      </c>
      <c r="M2549">
        <f>_xlfn.XLOOKUP(L2549,[2]analyte_order!$C:$C,[2]analyte_order!$E:$E)</f>
        <v>46</v>
      </c>
      <c r="N2549">
        <v>7.3999999999999996E-2</v>
      </c>
    </row>
    <row r="2550" spans="1:14">
      <c r="A2550" t="s">
        <v>189</v>
      </c>
      <c r="B2550" t="str">
        <f>_xlfn.XLOOKUP(A2550,'[1]Tissue Data'!$A:$A,'[1]Tissue Data'!$C:$C)</f>
        <v>Spill</v>
      </c>
      <c r="C2550" s="2">
        <f>_xlfn.XLOOKUP(A2550,'[1]Tissue Data'!$A:$A,'[1]Tissue Data'!$D:$D)</f>
        <v>44314</v>
      </c>
      <c r="D2550" s="2" t="str">
        <f>_xlfn.XLOOKUP(A2550,'[1]Tissue Data'!$A:$A,'[1]Tissue Data'!$F:$F)</f>
        <v>Swallowtail Shiner</v>
      </c>
      <c r="E2550" t="str">
        <f>_xlfn.XLOOKUP(A2550,'[1]Tissue Data'!$A:$A,'[1]Tissue Data'!$H:$H)</f>
        <v>Notropis</v>
      </c>
      <c r="F2550" t="str">
        <f>_xlfn.XLOOKUP(A2550,'[1]Tissue Data'!$A:$A,'[1]Tissue Data'!$I:$I)</f>
        <v>procne</v>
      </c>
      <c r="G2550" t="str">
        <f>_xlfn.XLOOKUP(A2550,'[1]Tissue Data'!$A:$A,'[1]Tissue Data'!J:J)</f>
        <v>U</v>
      </c>
      <c r="H2550" t="str">
        <f>_xlfn.XLOOKUP(A2550,'[1]Tissue Data'!$A:$A,'[1]Tissue Data'!K:K)</f>
        <v>Whole Body</v>
      </c>
      <c r="I2550">
        <f>_xlfn.XLOOKUP(A2550,'[1]Tissue Data'!$A:$A,'[1]Tissue Data'!L:L)</f>
        <v>5.5</v>
      </c>
      <c r="J2550">
        <f>_xlfn.XLOOKUP(A2550,'[1]Tissue Data'!$A:$A,'[1]Tissue Data'!M:M)</f>
        <v>2.75</v>
      </c>
      <c r="K2550" t="s">
        <v>60</v>
      </c>
      <c r="L2550" t="str">
        <f>_xlfn.XLOOKUP(K2550,[2]analyte_order!$B:$B,[2]analyte_order!$C:$C)</f>
        <v>678-41-1</v>
      </c>
      <c r="M2550">
        <f>_xlfn.XLOOKUP(L2550,[2]analyte_order!$C:$C,[2]analyte_order!$E:$E)</f>
        <v>56</v>
      </c>
      <c r="N2550">
        <v>9.1999999999999998E-2</v>
      </c>
    </row>
    <row r="2551" spans="1:14">
      <c r="A2551" t="s">
        <v>189</v>
      </c>
      <c r="B2551" t="str">
        <f>_xlfn.XLOOKUP(A2551,'[1]Tissue Data'!$A:$A,'[1]Tissue Data'!$C:$C)</f>
        <v>Spill</v>
      </c>
      <c r="C2551" s="2">
        <f>_xlfn.XLOOKUP(A2551,'[1]Tissue Data'!$A:$A,'[1]Tissue Data'!$D:$D)</f>
        <v>44314</v>
      </c>
      <c r="D2551" s="2" t="str">
        <f>_xlfn.XLOOKUP(A2551,'[1]Tissue Data'!$A:$A,'[1]Tissue Data'!$F:$F)</f>
        <v>Swallowtail Shiner</v>
      </c>
      <c r="E2551" t="str">
        <f>_xlfn.XLOOKUP(A2551,'[1]Tissue Data'!$A:$A,'[1]Tissue Data'!$H:$H)</f>
        <v>Notropis</v>
      </c>
      <c r="F2551" t="str">
        <f>_xlfn.XLOOKUP(A2551,'[1]Tissue Data'!$A:$A,'[1]Tissue Data'!$I:$I)</f>
        <v>procne</v>
      </c>
      <c r="G2551" t="str">
        <f>_xlfn.XLOOKUP(A2551,'[1]Tissue Data'!$A:$A,'[1]Tissue Data'!J:J)</f>
        <v>U</v>
      </c>
      <c r="H2551" t="str">
        <f>_xlfn.XLOOKUP(A2551,'[1]Tissue Data'!$A:$A,'[1]Tissue Data'!K:K)</f>
        <v>Whole Body</v>
      </c>
      <c r="I2551">
        <f>_xlfn.XLOOKUP(A2551,'[1]Tissue Data'!$A:$A,'[1]Tissue Data'!L:L)</f>
        <v>5.5</v>
      </c>
      <c r="J2551">
        <f>_xlfn.XLOOKUP(A2551,'[1]Tissue Data'!$A:$A,'[1]Tissue Data'!M:M)</f>
        <v>2.75</v>
      </c>
      <c r="K2551" t="s">
        <v>61</v>
      </c>
      <c r="L2551" t="str">
        <f>_xlfn.XLOOKUP(K2551,[2]analyte_order!$B:$B,[2]analyte_order!$C:$C)</f>
        <v>2965-52-8</v>
      </c>
      <c r="M2551">
        <f>_xlfn.XLOOKUP(L2551,[2]analyte_order!$C:$C,[2]analyte_order!$E:$E)</f>
        <v>57</v>
      </c>
      <c r="N2551">
        <v>0.122</v>
      </c>
    </row>
    <row r="2552" spans="1:14">
      <c r="A2552" t="s">
        <v>190</v>
      </c>
      <c r="B2552" t="str">
        <f>_xlfn.XLOOKUP(A2552,'[1]Tissue Data'!$A:$A,'[1]Tissue Data'!$C:$C)</f>
        <v>Spill</v>
      </c>
      <c r="C2552" s="2">
        <f>_xlfn.XLOOKUP(A2552,'[1]Tissue Data'!$A:$A,'[1]Tissue Data'!$D:$D)</f>
        <v>44314</v>
      </c>
      <c r="D2552" s="2" t="str">
        <f>_xlfn.XLOOKUP(A2552,'[1]Tissue Data'!$A:$A,'[1]Tissue Data'!$F:$F)</f>
        <v>Swallowtail Shiner</v>
      </c>
      <c r="E2552" t="str">
        <f>_xlfn.XLOOKUP(A2552,'[1]Tissue Data'!$A:$A,'[1]Tissue Data'!$H:$H)</f>
        <v>Notropis</v>
      </c>
      <c r="F2552" t="str">
        <f>_xlfn.XLOOKUP(A2552,'[1]Tissue Data'!$A:$A,'[1]Tissue Data'!$I:$I)</f>
        <v>procne</v>
      </c>
      <c r="G2552" t="str">
        <f>_xlfn.XLOOKUP(A2552,'[1]Tissue Data'!$A:$A,'[1]Tissue Data'!J:J)</f>
        <v>U</v>
      </c>
      <c r="H2552" t="str">
        <f>_xlfn.XLOOKUP(A2552,'[1]Tissue Data'!$A:$A,'[1]Tissue Data'!K:K)</f>
        <v>Whole Body</v>
      </c>
      <c r="I2552">
        <f>_xlfn.XLOOKUP(A2552,'[1]Tissue Data'!$A:$A,'[1]Tissue Data'!L:L)</f>
        <v>5.5</v>
      </c>
      <c r="J2552">
        <f>_xlfn.XLOOKUP(A2552,'[1]Tissue Data'!$A:$A,'[1]Tissue Data'!M:M)</f>
        <v>2.25</v>
      </c>
      <c r="K2552" t="s">
        <v>12</v>
      </c>
      <c r="L2552" t="str">
        <f>_xlfn.XLOOKUP(K2552,[2]analyte_order!$B:$B,[2]analyte_order!$C:$C)</f>
        <v>375-22-4</v>
      </c>
      <c r="M2552">
        <f>_xlfn.XLOOKUP(L2552,[2]analyte_order!$C:$C,[2]analyte_order!$E:$E)</f>
        <v>1</v>
      </c>
      <c r="N2552">
        <v>9.6000000000000002E-2</v>
      </c>
    </row>
    <row r="2553" spans="1:14">
      <c r="A2553" t="s">
        <v>190</v>
      </c>
      <c r="B2553" t="str">
        <f>_xlfn.XLOOKUP(A2553,'[1]Tissue Data'!$A:$A,'[1]Tissue Data'!$C:$C)</f>
        <v>Spill</v>
      </c>
      <c r="C2553" s="2">
        <f>_xlfn.XLOOKUP(A2553,'[1]Tissue Data'!$A:$A,'[1]Tissue Data'!$D:$D)</f>
        <v>44314</v>
      </c>
      <c r="D2553" s="2" t="str">
        <f>_xlfn.XLOOKUP(A2553,'[1]Tissue Data'!$A:$A,'[1]Tissue Data'!$F:$F)</f>
        <v>Swallowtail Shiner</v>
      </c>
      <c r="E2553" t="str">
        <f>_xlfn.XLOOKUP(A2553,'[1]Tissue Data'!$A:$A,'[1]Tissue Data'!$H:$H)</f>
        <v>Notropis</v>
      </c>
      <c r="F2553" t="str">
        <f>_xlfn.XLOOKUP(A2553,'[1]Tissue Data'!$A:$A,'[1]Tissue Data'!$I:$I)</f>
        <v>procne</v>
      </c>
      <c r="G2553" t="str">
        <f>_xlfn.XLOOKUP(A2553,'[1]Tissue Data'!$A:$A,'[1]Tissue Data'!J:J)</f>
        <v>U</v>
      </c>
      <c r="H2553" t="str">
        <f>_xlfn.XLOOKUP(A2553,'[1]Tissue Data'!$A:$A,'[1]Tissue Data'!K:K)</f>
        <v>Whole Body</v>
      </c>
      <c r="I2553">
        <f>_xlfn.XLOOKUP(A2553,'[1]Tissue Data'!$A:$A,'[1]Tissue Data'!L:L)</f>
        <v>5.5</v>
      </c>
      <c r="J2553">
        <f>_xlfn.XLOOKUP(A2553,'[1]Tissue Data'!$A:$A,'[1]Tissue Data'!M:M)</f>
        <v>2.25</v>
      </c>
      <c r="K2553" t="s">
        <v>13</v>
      </c>
      <c r="L2553" t="str">
        <f>_xlfn.XLOOKUP(K2553,[2]analyte_order!$B:$B,[2]analyte_order!$C:$C)</f>
        <v>2706-90-3</v>
      </c>
      <c r="M2553">
        <f>_xlfn.XLOOKUP(L2553,[2]analyte_order!$C:$C,[2]analyte_order!$E:$E)</f>
        <v>2</v>
      </c>
      <c r="N2553">
        <v>5.1499999999999997E-2</v>
      </c>
    </row>
    <row r="2554" spans="1:14">
      <c r="A2554" t="s">
        <v>190</v>
      </c>
      <c r="B2554" t="str">
        <f>_xlfn.XLOOKUP(A2554,'[1]Tissue Data'!$A:$A,'[1]Tissue Data'!$C:$C)</f>
        <v>Spill</v>
      </c>
      <c r="C2554" s="2">
        <f>_xlfn.XLOOKUP(A2554,'[1]Tissue Data'!$A:$A,'[1]Tissue Data'!$D:$D)</f>
        <v>44314</v>
      </c>
      <c r="D2554" s="2" t="str">
        <f>_xlfn.XLOOKUP(A2554,'[1]Tissue Data'!$A:$A,'[1]Tissue Data'!$F:$F)</f>
        <v>Swallowtail Shiner</v>
      </c>
      <c r="E2554" t="str">
        <f>_xlfn.XLOOKUP(A2554,'[1]Tissue Data'!$A:$A,'[1]Tissue Data'!$H:$H)</f>
        <v>Notropis</v>
      </c>
      <c r="F2554" t="str">
        <f>_xlfn.XLOOKUP(A2554,'[1]Tissue Data'!$A:$A,'[1]Tissue Data'!$I:$I)</f>
        <v>procne</v>
      </c>
      <c r="G2554" t="str">
        <f>_xlfn.XLOOKUP(A2554,'[1]Tissue Data'!$A:$A,'[1]Tissue Data'!J:J)</f>
        <v>U</v>
      </c>
      <c r="H2554" t="str">
        <f>_xlfn.XLOOKUP(A2554,'[1]Tissue Data'!$A:$A,'[1]Tissue Data'!K:K)</f>
        <v>Whole Body</v>
      </c>
      <c r="I2554">
        <f>_xlfn.XLOOKUP(A2554,'[1]Tissue Data'!$A:$A,'[1]Tissue Data'!L:L)</f>
        <v>5.5</v>
      </c>
      <c r="J2554">
        <f>_xlfn.XLOOKUP(A2554,'[1]Tissue Data'!$A:$A,'[1]Tissue Data'!M:M)</f>
        <v>2.25</v>
      </c>
      <c r="K2554" t="s">
        <v>14</v>
      </c>
      <c r="L2554" t="str">
        <f>_xlfn.XLOOKUP(K2554,[2]analyte_order!$B:$B,[2]analyte_order!$C:$C)</f>
        <v>307-24-4</v>
      </c>
      <c r="M2554">
        <f>_xlfn.XLOOKUP(L2554,[2]analyte_order!$C:$C,[2]analyte_order!$E:$E)</f>
        <v>3</v>
      </c>
      <c r="N2554">
        <v>0.13</v>
      </c>
    </row>
    <row r="2555" spans="1:14">
      <c r="A2555" t="s">
        <v>190</v>
      </c>
      <c r="B2555" t="str">
        <f>_xlfn.XLOOKUP(A2555,'[1]Tissue Data'!$A:$A,'[1]Tissue Data'!$C:$C)</f>
        <v>Spill</v>
      </c>
      <c r="C2555" s="2">
        <f>_xlfn.XLOOKUP(A2555,'[1]Tissue Data'!$A:$A,'[1]Tissue Data'!$D:$D)</f>
        <v>44314</v>
      </c>
      <c r="D2555" s="2" t="str">
        <f>_xlfn.XLOOKUP(A2555,'[1]Tissue Data'!$A:$A,'[1]Tissue Data'!$F:$F)</f>
        <v>Swallowtail Shiner</v>
      </c>
      <c r="E2555" t="str">
        <f>_xlfn.XLOOKUP(A2555,'[1]Tissue Data'!$A:$A,'[1]Tissue Data'!$H:$H)</f>
        <v>Notropis</v>
      </c>
      <c r="F2555" t="str">
        <f>_xlfn.XLOOKUP(A2555,'[1]Tissue Data'!$A:$A,'[1]Tissue Data'!$I:$I)</f>
        <v>procne</v>
      </c>
      <c r="G2555" t="str">
        <f>_xlfn.XLOOKUP(A2555,'[1]Tissue Data'!$A:$A,'[1]Tissue Data'!J:J)</f>
        <v>U</v>
      </c>
      <c r="H2555" t="str">
        <f>_xlfn.XLOOKUP(A2555,'[1]Tissue Data'!$A:$A,'[1]Tissue Data'!K:K)</f>
        <v>Whole Body</v>
      </c>
      <c r="I2555">
        <f>_xlfn.XLOOKUP(A2555,'[1]Tissue Data'!$A:$A,'[1]Tissue Data'!L:L)</f>
        <v>5.5</v>
      </c>
      <c r="J2555">
        <f>_xlfn.XLOOKUP(A2555,'[1]Tissue Data'!$A:$A,'[1]Tissue Data'!M:M)</f>
        <v>2.25</v>
      </c>
      <c r="K2555" t="s">
        <v>15</v>
      </c>
      <c r="L2555" t="str">
        <f>_xlfn.XLOOKUP(K2555,[2]analyte_order!$B:$B,[2]analyte_order!$C:$C)</f>
        <v>375-85-9</v>
      </c>
      <c r="M2555">
        <f>_xlfn.XLOOKUP(L2555,[2]analyte_order!$C:$C,[2]analyte_order!$E:$E)</f>
        <v>4</v>
      </c>
      <c r="N2555">
        <v>9.6000000000000002E-2</v>
      </c>
    </row>
    <row r="2556" spans="1:14">
      <c r="A2556" t="s">
        <v>190</v>
      </c>
      <c r="B2556" t="str">
        <f>_xlfn.XLOOKUP(A2556,'[1]Tissue Data'!$A:$A,'[1]Tissue Data'!$C:$C)</f>
        <v>Spill</v>
      </c>
      <c r="C2556" s="2">
        <f>_xlfn.XLOOKUP(A2556,'[1]Tissue Data'!$A:$A,'[1]Tissue Data'!$D:$D)</f>
        <v>44314</v>
      </c>
      <c r="D2556" s="2" t="str">
        <f>_xlfn.XLOOKUP(A2556,'[1]Tissue Data'!$A:$A,'[1]Tissue Data'!$F:$F)</f>
        <v>Swallowtail Shiner</v>
      </c>
      <c r="E2556" t="str">
        <f>_xlfn.XLOOKUP(A2556,'[1]Tissue Data'!$A:$A,'[1]Tissue Data'!$H:$H)</f>
        <v>Notropis</v>
      </c>
      <c r="F2556" t="str">
        <f>_xlfn.XLOOKUP(A2556,'[1]Tissue Data'!$A:$A,'[1]Tissue Data'!$I:$I)</f>
        <v>procne</v>
      </c>
      <c r="G2556" t="str">
        <f>_xlfn.XLOOKUP(A2556,'[1]Tissue Data'!$A:$A,'[1]Tissue Data'!J:J)</f>
        <v>U</v>
      </c>
      <c r="H2556" t="str">
        <f>_xlfn.XLOOKUP(A2556,'[1]Tissue Data'!$A:$A,'[1]Tissue Data'!K:K)</f>
        <v>Whole Body</v>
      </c>
      <c r="I2556">
        <f>_xlfn.XLOOKUP(A2556,'[1]Tissue Data'!$A:$A,'[1]Tissue Data'!L:L)</f>
        <v>5.5</v>
      </c>
      <c r="J2556">
        <f>_xlfn.XLOOKUP(A2556,'[1]Tissue Data'!$A:$A,'[1]Tissue Data'!M:M)</f>
        <v>2.25</v>
      </c>
      <c r="K2556" t="s">
        <v>16</v>
      </c>
      <c r="L2556" t="str">
        <f>_xlfn.XLOOKUP(K2556,[2]analyte_order!$B:$B,[2]analyte_order!$C:$C)</f>
        <v>335-67-1</v>
      </c>
      <c r="M2556">
        <f>_xlfn.XLOOKUP(L2556,[2]analyte_order!$C:$C,[2]analyte_order!$E:$E)</f>
        <v>5</v>
      </c>
      <c r="N2556">
        <v>2.0499999999999998</v>
      </c>
    </row>
    <row r="2557" spans="1:14">
      <c r="A2557" t="s">
        <v>190</v>
      </c>
      <c r="B2557" t="str">
        <f>_xlfn.XLOOKUP(A2557,'[1]Tissue Data'!$A:$A,'[1]Tissue Data'!$C:$C)</f>
        <v>Spill</v>
      </c>
      <c r="C2557" s="2">
        <f>_xlfn.XLOOKUP(A2557,'[1]Tissue Data'!$A:$A,'[1]Tissue Data'!$D:$D)</f>
        <v>44314</v>
      </c>
      <c r="D2557" s="2" t="str">
        <f>_xlfn.XLOOKUP(A2557,'[1]Tissue Data'!$A:$A,'[1]Tissue Data'!$F:$F)</f>
        <v>Swallowtail Shiner</v>
      </c>
      <c r="E2557" t="str">
        <f>_xlfn.XLOOKUP(A2557,'[1]Tissue Data'!$A:$A,'[1]Tissue Data'!$H:$H)</f>
        <v>Notropis</v>
      </c>
      <c r="F2557" t="str">
        <f>_xlfn.XLOOKUP(A2557,'[1]Tissue Data'!$A:$A,'[1]Tissue Data'!$I:$I)</f>
        <v>procne</v>
      </c>
      <c r="G2557" t="str">
        <f>_xlfn.XLOOKUP(A2557,'[1]Tissue Data'!$A:$A,'[1]Tissue Data'!J:J)</f>
        <v>U</v>
      </c>
      <c r="H2557" t="str">
        <f>_xlfn.XLOOKUP(A2557,'[1]Tissue Data'!$A:$A,'[1]Tissue Data'!K:K)</f>
        <v>Whole Body</v>
      </c>
      <c r="I2557">
        <f>_xlfn.XLOOKUP(A2557,'[1]Tissue Data'!$A:$A,'[1]Tissue Data'!L:L)</f>
        <v>5.5</v>
      </c>
      <c r="J2557">
        <f>_xlfn.XLOOKUP(A2557,'[1]Tissue Data'!$A:$A,'[1]Tissue Data'!M:M)</f>
        <v>2.25</v>
      </c>
      <c r="K2557" t="s">
        <v>17</v>
      </c>
      <c r="L2557" t="str">
        <f>_xlfn.XLOOKUP(K2557,[2]analyte_order!$B:$B,[2]analyte_order!$C:$C)</f>
        <v>375-95-1</v>
      </c>
      <c r="M2557">
        <f>_xlfn.XLOOKUP(L2557,[2]analyte_order!$C:$C,[2]analyte_order!$E:$E)</f>
        <v>6</v>
      </c>
      <c r="N2557">
        <v>5.24</v>
      </c>
    </row>
    <row r="2558" spans="1:14">
      <c r="A2558" t="s">
        <v>190</v>
      </c>
      <c r="B2558" t="str">
        <f>_xlfn.XLOOKUP(A2558,'[1]Tissue Data'!$A:$A,'[1]Tissue Data'!$C:$C)</f>
        <v>Spill</v>
      </c>
      <c r="C2558" s="2">
        <f>_xlfn.XLOOKUP(A2558,'[1]Tissue Data'!$A:$A,'[1]Tissue Data'!$D:$D)</f>
        <v>44314</v>
      </c>
      <c r="D2558" s="2" t="str">
        <f>_xlfn.XLOOKUP(A2558,'[1]Tissue Data'!$A:$A,'[1]Tissue Data'!$F:$F)</f>
        <v>Swallowtail Shiner</v>
      </c>
      <c r="E2558" t="str">
        <f>_xlfn.XLOOKUP(A2558,'[1]Tissue Data'!$A:$A,'[1]Tissue Data'!$H:$H)</f>
        <v>Notropis</v>
      </c>
      <c r="F2558" t="str">
        <f>_xlfn.XLOOKUP(A2558,'[1]Tissue Data'!$A:$A,'[1]Tissue Data'!$I:$I)</f>
        <v>procne</v>
      </c>
      <c r="G2558" t="str">
        <f>_xlfn.XLOOKUP(A2558,'[1]Tissue Data'!$A:$A,'[1]Tissue Data'!J:J)</f>
        <v>U</v>
      </c>
      <c r="H2558" t="str">
        <f>_xlfn.XLOOKUP(A2558,'[1]Tissue Data'!$A:$A,'[1]Tissue Data'!K:K)</f>
        <v>Whole Body</v>
      </c>
      <c r="I2558">
        <f>_xlfn.XLOOKUP(A2558,'[1]Tissue Data'!$A:$A,'[1]Tissue Data'!L:L)</f>
        <v>5.5</v>
      </c>
      <c r="J2558">
        <f>_xlfn.XLOOKUP(A2558,'[1]Tissue Data'!$A:$A,'[1]Tissue Data'!M:M)</f>
        <v>2.25</v>
      </c>
      <c r="K2558" t="s">
        <v>18</v>
      </c>
      <c r="L2558" t="str">
        <f>_xlfn.XLOOKUP(K2558,[2]analyte_order!$B:$B,[2]analyte_order!$C:$C)</f>
        <v>335-76-2</v>
      </c>
      <c r="M2558">
        <f>_xlfn.XLOOKUP(L2558,[2]analyte_order!$C:$C,[2]analyte_order!$E:$E)</f>
        <v>7</v>
      </c>
      <c r="N2558">
        <v>14</v>
      </c>
    </row>
    <row r="2559" spans="1:14">
      <c r="A2559" t="s">
        <v>190</v>
      </c>
      <c r="B2559" t="str">
        <f>_xlfn.XLOOKUP(A2559,'[1]Tissue Data'!$A:$A,'[1]Tissue Data'!$C:$C)</f>
        <v>Spill</v>
      </c>
      <c r="C2559" s="2">
        <f>_xlfn.XLOOKUP(A2559,'[1]Tissue Data'!$A:$A,'[1]Tissue Data'!$D:$D)</f>
        <v>44314</v>
      </c>
      <c r="D2559" s="2" t="str">
        <f>_xlfn.XLOOKUP(A2559,'[1]Tissue Data'!$A:$A,'[1]Tissue Data'!$F:$F)</f>
        <v>Swallowtail Shiner</v>
      </c>
      <c r="E2559" t="str">
        <f>_xlfn.XLOOKUP(A2559,'[1]Tissue Data'!$A:$A,'[1]Tissue Data'!$H:$H)</f>
        <v>Notropis</v>
      </c>
      <c r="F2559" t="str">
        <f>_xlfn.XLOOKUP(A2559,'[1]Tissue Data'!$A:$A,'[1]Tissue Data'!$I:$I)</f>
        <v>procne</v>
      </c>
      <c r="G2559" t="str">
        <f>_xlfn.XLOOKUP(A2559,'[1]Tissue Data'!$A:$A,'[1]Tissue Data'!J:J)</f>
        <v>U</v>
      </c>
      <c r="H2559" t="str">
        <f>_xlfn.XLOOKUP(A2559,'[1]Tissue Data'!$A:$A,'[1]Tissue Data'!K:K)</f>
        <v>Whole Body</v>
      </c>
      <c r="I2559">
        <f>_xlfn.XLOOKUP(A2559,'[1]Tissue Data'!$A:$A,'[1]Tissue Data'!L:L)</f>
        <v>5.5</v>
      </c>
      <c r="J2559">
        <f>_xlfn.XLOOKUP(A2559,'[1]Tissue Data'!$A:$A,'[1]Tissue Data'!M:M)</f>
        <v>2.25</v>
      </c>
      <c r="K2559" t="s">
        <v>19</v>
      </c>
      <c r="L2559" t="str">
        <f>_xlfn.XLOOKUP(K2559,[2]analyte_order!$B:$B,[2]analyte_order!$C:$C)</f>
        <v>2058-94-8</v>
      </c>
      <c r="M2559">
        <f>_xlfn.XLOOKUP(L2559,[2]analyte_order!$C:$C,[2]analyte_order!$E:$E)</f>
        <v>8</v>
      </c>
      <c r="N2559">
        <v>9.8800000000000008</v>
      </c>
    </row>
    <row r="2560" spans="1:14">
      <c r="A2560" t="s">
        <v>190</v>
      </c>
      <c r="B2560" t="str">
        <f>_xlfn.XLOOKUP(A2560,'[1]Tissue Data'!$A:$A,'[1]Tissue Data'!$C:$C)</f>
        <v>Spill</v>
      </c>
      <c r="C2560" s="2">
        <f>_xlfn.XLOOKUP(A2560,'[1]Tissue Data'!$A:$A,'[1]Tissue Data'!$D:$D)</f>
        <v>44314</v>
      </c>
      <c r="D2560" s="2" t="str">
        <f>_xlfn.XLOOKUP(A2560,'[1]Tissue Data'!$A:$A,'[1]Tissue Data'!$F:$F)</f>
        <v>Swallowtail Shiner</v>
      </c>
      <c r="E2560" t="str">
        <f>_xlfn.XLOOKUP(A2560,'[1]Tissue Data'!$A:$A,'[1]Tissue Data'!$H:$H)</f>
        <v>Notropis</v>
      </c>
      <c r="F2560" t="str">
        <f>_xlfn.XLOOKUP(A2560,'[1]Tissue Data'!$A:$A,'[1]Tissue Data'!$I:$I)</f>
        <v>procne</v>
      </c>
      <c r="G2560" t="str">
        <f>_xlfn.XLOOKUP(A2560,'[1]Tissue Data'!$A:$A,'[1]Tissue Data'!J:J)</f>
        <v>U</v>
      </c>
      <c r="H2560" t="str">
        <f>_xlfn.XLOOKUP(A2560,'[1]Tissue Data'!$A:$A,'[1]Tissue Data'!K:K)</f>
        <v>Whole Body</v>
      </c>
      <c r="I2560">
        <f>_xlfn.XLOOKUP(A2560,'[1]Tissue Data'!$A:$A,'[1]Tissue Data'!L:L)</f>
        <v>5.5</v>
      </c>
      <c r="J2560">
        <f>_xlfn.XLOOKUP(A2560,'[1]Tissue Data'!$A:$A,'[1]Tissue Data'!M:M)</f>
        <v>2.25</v>
      </c>
      <c r="K2560" t="s">
        <v>20</v>
      </c>
      <c r="L2560" t="str">
        <f>_xlfn.XLOOKUP(K2560,[2]analyte_order!$B:$B,[2]analyte_order!$C:$C)</f>
        <v>307-55-1</v>
      </c>
      <c r="M2560">
        <f>_xlfn.XLOOKUP(L2560,[2]analyte_order!$C:$C,[2]analyte_order!$E:$E)</f>
        <v>9</v>
      </c>
      <c r="N2560">
        <v>9.6999999999999993</v>
      </c>
    </row>
    <row r="2561" spans="1:14">
      <c r="A2561" t="s">
        <v>190</v>
      </c>
      <c r="B2561" t="str">
        <f>_xlfn.XLOOKUP(A2561,'[1]Tissue Data'!$A:$A,'[1]Tissue Data'!$C:$C)</f>
        <v>Spill</v>
      </c>
      <c r="C2561" s="2">
        <f>_xlfn.XLOOKUP(A2561,'[1]Tissue Data'!$A:$A,'[1]Tissue Data'!$D:$D)</f>
        <v>44314</v>
      </c>
      <c r="D2561" s="2" t="str">
        <f>_xlfn.XLOOKUP(A2561,'[1]Tissue Data'!$A:$A,'[1]Tissue Data'!$F:$F)</f>
        <v>Swallowtail Shiner</v>
      </c>
      <c r="E2561" t="str">
        <f>_xlfn.XLOOKUP(A2561,'[1]Tissue Data'!$A:$A,'[1]Tissue Data'!$H:$H)</f>
        <v>Notropis</v>
      </c>
      <c r="F2561" t="str">
        <f>_xlfn.XLOOKUP(A2561,'[1]Tissue Data'!$A:$A,'[1]Tissue Data'!$I:$I)</f>
        <v>procne</v>
      </c>
      <c r="G2561" t="str">
        <f>_xlfn.XLOOKUP(A2561,'[1]Tissue Data'!$A:$A,'[1]Tissue Data'!J:J)</f>
        <v>U</v>
      </c>
      <c r="H2561" t="str">
        <f>_xlfn.XLOOKUP(A2561,'[1]Tissue Data'!$A:$A,'[1]Tissue Data'!K:K)</f>
        <v>Whole Body</v>
      </c>
      <c r="I2561">
        <f>_xlfn.XLOOKUP(A2561,'[1]Tissue Data'!$A:$A,'[1]Tissue Data'!L:L)</f>
        <v>5.5</v>
      </c>
      <c r="J2561">
        <f>_xlfn.XLOOKUP(A2561,'[1]Tissue Data'!$A:$A,'[1]Tissue Data'!M:M)</f>
        <v>2.25</v>
      </c>
      <c r="K2561" t="s">
        <v>21</v>
      </c>
      <c r="L2561" t="str">
        <f>_xlfn.XLOOKUP(K2561,[2]analyte_order!$B:$B,[2]analyte_order!$C:$C)</f>
        <v>72629-94-8</v>
      </c>
      <c r="M2561">
        <f>_xlfn.XLOOKUP(L2561,[2]analyte_order!$C:$C,[2]analyte_order!$E:$E)</f>
        <v>10</v>
      </c>
      <c r="N2561">
        <v>4.0599999999999996</v>
      </c>
    </row>
    <row r="2562" spans="1:14">
      <c r="A2562" t="s">
        <v>190</v>
      </c>
      <c r="B2562" t="str">
        <f>_xlfn.XLOOKUP(A2562,'[1]Tissue Data'!$A:$A,'[1]Tissue Data'!$C:$C)</f>
        <v>Spill</v>
      </c>
      <c r="C2562" s="2">
        <f>_xlfn.XLOOKUP(A2562,'[1]Tissue Data'!$A:$A,'[1]Tissue Data'!$D:$D)</f>
        <v>44314</v>
      </c>
      <c r="D2562" s="2" t="str">
        <f>_xlfn.XLOOKUP(A2562,'[1]Tissue Data'!$A:$A,'[1]Tissue Data'!$F:$F)</f>
        <v>Swallowtail Shiner</v>
      </c>
      <c r="E2562" t="str">
        <f>_xlfn.XLOOKUP(A2562,'[1]Tissue Data'!$A:$A,'[1]Tissue Data'!$H:$H)</f>
        <v>Notropis</v>
      </c>
      <c r="F2562" t="str">
        <f>_xlfn.XLOOKUP(A2562,'[1]Tissue Data'!$A:$A,'[1]Tissue Data'!$I:$I)</f>
        <v>procne</v>
      </c>
      <c r="G2562" t="str">
        <f>_xlfn.XLOOKUP(A2562,'[1]Tissue Data'!$A:$A,'[1]Tissue Data'!J:J)</f>
        <v>U</v>
      </c>
      <c r="H2562" t="str">
        <f>_xlfn.XLOOKUP(A2562,'[1]Tissue Data'!$A:$A,'[1]Tissue Data'!K:K)</f>
        <v>Whole Body</v>
      </c>
      <c r="I2562">
        <f>_xlfn.XLOOKUP(A2562,'[1]Tissue Data'!$A:$A,'[1]Tissue Data'!L:L)</f>
        <v>5.5</v>
      </c>
      <c r="J2562">
        <f>_xlfn.XLOOKUP(A2562,'[1]Tissue Data'!$A:$A,'[1]Tissue Data'!M:M)</f>
        <v>2.25</v>
      </c>
      <c r="K2562" t="s">
        <v>22</v>
      </c>
      <c r="L2562" t="str">
        <f>_xlfn.XLOOKUP(K2562,[2]analyte_order!$B:$B,[2]analyte_order!$C:$C)</f>
        <v>376-06-7</v>
      </c>
      <c r="M2562">
        <f>_xlfn.XLOOKUP(L2562,[2]analyte_order!$C:$C,[2]analyte_order!$E:$E)</f>
        <v>11</v>
      </c>
      <c r="N2562">
        <v>4.1500000000000004</v>
      </c>
    </row>
    <row r="2563" spans="1:14">
      <c r="A2563" t="s">
        <v>190</v>
      </c>
      <c r="B2563" t="str">
        <f>_xlfn.XLOOKUP(A2563,'[1]Tissue Data'!$A:$A,'[1]Tissue Data'!$C:$C)</f>
        <v>Spill</v>
      </c>
      <c r="C2563" s="2">
        <f>_xlfn.XLOOKUP(A2563,'[1]Tissue Data'!$A:$A,'[1]Tissue Data'!$D:$D)</f>
        <v>44314</v>
      </c>
      <c r="D2563" s="2" t="str">
        <f>_xlfn.XLOOKUP(A2563,'[1]Tissue Data'!$A:$A,'[1]Tissue Data'!$F:$F)</f>
        <v>Swallowtail Shiner</v>
      </c>
      <c r="E2563" t="str">
        <f>_xlfn.XLOOKUP(A2563,'[1]Tissue Data'!$A:$A,'[1]Tissue Data'!$H:$H)</f>
        <v>Notropis</v>
      </c>
      <c r="F2563" t="str">
        <f>_xlfn.XLOOKUP(A2563,'[1]Tissue Data'!$A:$A,'[1]Tissue Data'!$I:$I)</f>
        <v>procne</v>
      </c>
      <c r="G2563" t="str">
        <f>_xlfn.XLOOKUP(A2563,'[1]Tissue Data'!$A:$A,'[1]Tissue Data'!J:J)</f>
        <v>U</v>
      </c>
      <c r="H2563" t="str">
        <f>_xlfn.XLOOKUP(A2563,'[1]Tissue Data'!$A:$A,'[1]Tissue Data'!K:K)</f>
        <v>Whole Body</v>
      </c>
      <c r="I2563">
        <f>_xlfn.XLOOKUP(A2563,'[1]Tissue Data'!$A:$A,'[1]Tissue Data'!L:L)</f>
        <v>5.5</v>
      </c>
      <c r="J2563">
        <f>_xlfn.XLOOKUP(A2563,'[1]Tissue Data'!$A:$A,'[1]Tissue Data'!M:M)</f>
        <v>2.25</v>
      </c>
      <c r="K2563" t="s">
        <v>23</v>
      </c>
      <c r="L2563" t="str">
        <f>_xlfn.XLOOKUP(K2563,[2]analyte_order!$B:$B,[2]analyte_order!$C:$C)</f>
        <v>67905-19-5</v>
      </c>
      <c r="M2563">
        <f>_xlfn.XLOOKUP(L2563,[2]analyte_order!$C:$C,[2]analyte_order!$E:$E)</f>
        <v>12</v>
      </c>
      <c r="N2563">
        <v>8.6999999999999994E-2</v>
      </c>
    </row>
    <row r="2564" spans="1:14">
      <c r="A2564" t="s">
        <v>190</v>
      </c>
      <c r="B2564" t="str">
        <f>_xlfn.XLOOKUP(A2564,'[1]Tissue Data'!$A:$A,'[1]Tissue Data'!$C:$C)</f>
        <v>Spill</v>
      </c>
      <c r="C2564" s="2">
        <f>_xlfn.XLOOKUP(A2564,'[1]Tissue Data'!$A:$A,'[1]Tissue Data'!$D:$D)</f>
        <v>44314</v>
      </c>
      <c r="D2564" s="2" t="str">
        <f>_xlfn.XLOOKUP(A2564,'[1]Tissue Data'!$A:$A,'[1]Tissue Data'!$F:$F)</f>
        <v>Swallowtail Shiner</v>
      </c>
      <c r="E2564" t="str">
        <f>_xlfn.XLOOKUP(A2564,'[1]Tissue Data'!$A:$A,'[1]Tissue Data'!$H:$H)</f>
        <v>Notropis</v>
      </c>
      <c r="F2564" t="str">
        <f>_xlfn.XLOOKUP(A2564,'[1]Tissue Data'!$A:$A,'[1]Tissue Data'!$I:$I)</f>
        <v>procne</v>
      </c>
      <c r="G2564" t="str">
        <f>_xlfn.XLOOKUP(A2564,'[1]Tissue Data'!$A:$A,'[1]Tissue Data'!J:J)</f>
        <v>U</v>
      </c>
      <c r="H2564" t="str">
        <f>_xlfn.XLOOKUP(A2564,'[1]Tissue Data'!$A:$A,'[1]Tissue Data'!K:K)</f>
        <v>Whole Body</v>
      </c>
      <c r="I2564">
        <f>_xlfn.XLOOKUP(A2564,'[1]Tissue Data'!$A:$A,'[1]Tissue Data'!L:L)</f>
        <v>5.5</v>
      </c>
      <c r="J2564">
        <f>_xlfn.XLOOKUP(A2564,'[1]Tissue Data'!$A:$A,'[1]Tissue Data'!M:M)</f>
        <v>2.25</v>
      </c>
      <c r="K2564" t="s">
        <v>24</v>
      </c>
      <c r="L2564" t="str">
        <f>_xlfn.XLOOKUP(K2564,[2]analyte_order!$B:$B,[2]analyte_order!$C:$C)</f>
        <v>423-41-6</v>
      </c>
      <c r="M2564">
        <f>_xlfn.XLOOKUP(L2564,[2]analyte_order!$C:$C,[2]analyte_order!$E:$E)</f>
        <v>53</v>
      </c>
      <c r="N2564">
        <v>5.5500000000000001E-2</v>
      </c>
    </row>
    <row r="2565" spans="1:14">
      <c r="A2565" t="s">
        <v>190</v>
      </c>
      <c r="B2565" t="str">
        <f>_xlfn.XLOOKUP(A2565,'[1]Tissue Data'!$A:$A,'[1]Tissue Data'!$C:$C)</f>
        <v>Spill</v>
      </c>
      <c r="C2565" s="2">
        <f>_xlfn.XLOOKUP(A2565,'[1]Tissue Data'!$A:$A,'[1]Tissue Data'!$D:$D)</f>
        <v>44314</v>
      </c>
      <c r="D2565" s="2" t="str">
        <f>_xlfn.XLOOKUP(A2565,'[1]Tissue Data'!$A:$A,'[1]Tissue Data'!$F:$F)</f>
        <v>Swallowtail Shiner</v>
      </c>
      <c r="E2565" t="str">
        <f>_xlfn.XLOOKUP(A2565,'[1]Tissue Data'!$A:$A,'[1]Tissue Data'!$H:$H)</f>
        <v>Notropis</v>
      </c>
      <c r="F2565" t="str">
        <f>_xlfn.XLOOKUP(A2565,'[1]Tissue Data'!$A:$A,'[1]Tissue Data'!$I:$I)</f>
        <v>procne</v>
      </c>
      <c r="G2565" t="str">
        <f>_xlfn.XLOOKUP(A2565,'[1]Tissue Data'!$A:$A,'[1]Tissue Data'!J:J)</f>
        <v>U</v>
      </c>
      <c r="H2565" t="str">
        <f>_xlfn.XLOOKUP(A2565,'[1]Tissue Data'!$A:$A,'[1]Tissue Data'!K:K)</f>
        <v>Whole Body</v>
      </c>
      <c r="I2565">
        <f>_xlfn.XLOOKUP(A2565,'[1]Tissue Data'!$A:$A,'[1]Tissue Data'!L:L)</f>
        <v>5.5</v>
      </c>
      <c r="J2565">
        <f>_xlfn.XLOOKUP(A2565,'[1]Tissue Data'!$A:$A,'[1]Tissue Data'!M:M)</f>
        <v>2.25</v>
      </c>
      <c r="K2565" t="s">
        <v>25</v>
      </c>
      <c r="L2565" t="str">
        <f>_xlfn.XLOOKUP(K2565,[2]analyte_order!$B:$B,[2]analyte_order!$C:$C)</f>
        <v>375-73-5</v>
      </c>
      <c r="M2565">
        <f>_xlfn.XLOOKUP(L2565,[2]analyte_order!$C:$C,[2]analyte_order!$E:$E)</f>
        <v>14</v>
      </c>
      <c r="N2565">
        <v>0.16350000000000001</v>
      </c>
    </row>
    <row r="2566" spans="1:14">
      <c r="A2566" t="s">
        <v>190</v>
      </c>
      <c r="B2566" t="str">
        <f>_xlfn.XLOOKUP(A2566,'[1]Tissue Data'!$A:$A,'[1]Tissue Data'!$C:$C)</f>
        <v>Spill</v>
      </c>
      <c r="C2566" s="2">
        <f>_xlfn.XLOOKUP(A2566,'[1]Tissue Data'!$A:$A,'[1]Tissue Data'!$D:$D)</f>
        <v>44314</v>
      </c>
      <c r="D2566" s="2" t="str">
        <f>_xlfn.XLOOKUP(A2566,'[1]Tissue Data'!$A:$A,'[1]Tissue Data'!$F:$F)</f>
        <v>Swallowtail Shiner</v>
      </c>
      <c r="E2566" t="str">
        <f>_xlfn.XLOOKUP(A2566,'[1]Tissue Data'!$A:$A,'[1]Tissue Data'!$H:$H)</f>
        <v>Notropis</v>
      </c>
      <c r="F2566" t="str">
        <f>_xlfn.XLOOKUP(A2566,'[1]Tissue Data'!$A:$A,'[1]Tissue Data'!$I:$I)</f>
        <v>procne</v>
      </c>
      <c r="G2566" t="str">
        <f>_xlfn.XLOOKUP(A2566,'[1]Tissue Data'!$A:$A,'[1]Tissue Data'!J:J)</f>
        <v>U</v>
      </c>
      <c r="H2566" t="str">
        <f>_xlfn.XLOOKUP(A2566,'[1]Tissue Data'!$A:$A,'[1]Tissue Data'!K:K)</f>
        <v>Whole Body</v>
      </c>
      <c r="I2566">
        <f>_xlfn.XLOOKUP(A2566,'[1]Tissue Data'!$A:$A,'[1]Tissue Data'!L:L)</f>
        <v>5.5</v>
      </c>
      <c r="J2566">
        <f>_xlfn.XLOOKUP(A2566,'[1]Tissue Data'!$A:$A,'[1]Tissue Data'!M:M)</f>
        <v>2.25</v>
      </c>
      <c r="K2566" t="s">
        <v>26</v>
      </c>
      <c r="L2566" t="str">
        <f>_xlfn.XLOOKUP(K2566,[2]analyte_order!$B:$B,[2]analyte_order!$C:$C)</f>
        <v>2706-91-4</v>
      </c>
      <c r="M2566">
        <f>_xlfn.XLOOKUP(L2566,[2]analyte_order!$C:$C,[2]analyte_order!$E:$E)</f>
        <v>15</v>
      </c>
      <c r="N2566">
        <v>0.375</v>
      </c>
    </row>
    <row r="2567" spans="1:14">
      <c r="A2567" t="s">
        <v>190</v>
      </c>
      <c r="B2567" t="str">
        <f>_xlfn.XLOOKUP(A2567,'[1]Tissue Data'!$A:$A,'[1]Tissue Data'!$C:$C)</f>
        <v>Spill</v>
      </c>
      <c r="C2567" s="2">
        <f>_xlfn.XLOOKUP(A2567,'[1]Tissue Data'!$A:$A,'[1]Tissue Data'!$D:$D)</f>
        <v>44314</v>
      </c>
      <c r="D2567" s="2" t="str">
        <f>_xlfn.XLOOKUP(A2567,'[1]Tissue Data'!$A:$A,'[1]Tissue Data'!$F:$F)</f>
        <v>Swallowtail Shiner</v>
      </c>
      <c r="E2567" t="str">
        <f>_xlfn.XLOOKUP(A2567,'[1]Tissue Data'!$A:$A,'[1]Tissue Data'!$H:$H)</f>
        <v>Notropis</v>
      </c>
      <c r="F2567" t="str">
        <f>_xlfn.XLOOKUP(A2567,'[1]Tissue Data'!$A:$A,'[1]Tissue Data'!$I:$I)</f>
        <v>procne</v>
      </c>
      <c r="G2567" t="str">
        <f>_xlfn.XLOOKUP(A2567,'[1]Tissue Data'!$A:$A,'[1]Tissue Data'!J:J)</f>
        <v>U</v>
      </c>
      <c r="H2567" t="str">
        <f>_xlfn.XLOOKUP(A2567,'[1]Tissue Data'!$A:$A,'[1]Tissue Data'!K:K)</f>
        <v>Whole Body</v>
      </c>
      <c r="I2567">
        <f>_xlfn.XLOOKUP(A2567,'[1]Tissue Data'!$A:$A,'[1]Tissue Data'!L:L)</f>
        <v>5.5</v>
      </c>
      <c r="J2567">
        <f>_xlfn.XLOOKUP(A2567,'[1]Tissue Data'!$A:$A,'[1]Tissue Data'!M:M)</f>
        <v>2.25</v>
      </c>
      <c r="K2567" t="s">
        <v>27</v>
      </c>
      <c r="L2567" t="str">
        <f>_xlfn.XLOOKUP(K2567,[2]analyte_order!$B:$B,[2]analyte_order!$C:$C)</f>
        <v>355-46-4</v>
      </c>
      <c r="M2567">
        <f>_xlfn.XLOOKUP(L2567,[2]analyte_order!$C:$C,[2]analyte_order!$E:$E)</f>
        <v>16</v>
      </c>
      <c r="N2567">
        <v>40.9</v>
      </c>
    </row>
    <row r="2568" spans="1:14">
      <c r="A2568" t="s">
        <v>190</v>
      </c>
      <c r="B2568" t="str">
        <f>_xlfn.XLOOKUP(A2568,'[1]Tissue Data'!$A:$A,'[1]Tissue Data'!$C:$C)</f>
        <v>Spill</v>
      </c>
      <c r="C2568" s="2">
        <f>_xlfn.XLOOKUP(A2568,'[1]Tissue Data'!$A:$A,'[1]Tissue Data'!$D:$D)</f>
        <v>44314</v>
      </c>
      <c r="D2568" s="2" t="str">
        <f>_xlfn.XLOOKUP(A2568,'[1]Tissue Data'!$A:$A,'[1]Tissue Data'!$F:$F)</f>
        <v>Swallowtail Shiner</v>
      </c>
      <c r="E2568" t="str">
        <f>_xlfn.XLOOKUP(A2568,'[1]Tissue Data'!$A:$A,'[1]Tissue Data'!$H:$H)</f>
        <v>Notropis</v>
      </c>
      <c r="F2568" t="str">
        <f>_xlfn.XLOOKUP(A2568,'[1]Tissue Data'!$A:$A,'[1]Tissue Data'!$I:$I)</f>
        <v>procne</v>
      </c>
      <c r="G2568" t="str">
        <f>_xlfn.XLOOKUP(A2568,'[1]Tissue Data'!$A:$A,'[1]Tissue Data'!J:J)</f>
        <v>U</v>
      </c>
      <c r="H2568" t="str">
        <f>_xlfn.XLOOKUP(A2568,'[1]Tissue Data'!$A:$A,'[1]Tissue Data'!K:K)</f>
        <v>Whole Body</v>
      </c>
      <c r="I2568">
        <f>_xlfn.XLOOKUP(A2568,'[1]Tissue Data'!$A:$A,'[1]Tissue Data'!L:L)</f>
        <v>5.5</v>
      </c>
      <c r="J2568">
        <f>_xlfn.XLOOKUP(A2568,'[1]Tissue Data'!$A:$A,'[1]Tissue Data'!M:M)</f>
        <v>2.25</v>
      </c>
      <c r="K2568" t="s">
        <v>28</v>
      </c>
      <c r="L2568" t="str">
        <f>_xlfn.XLOOKUP(K2568,[2]analyte_order!$B:$B,[2]analyte_order!$C:$C)</f>
        <v>375-92-8</v>
      </c>
      <c r="M2568">
        <f>_xlfn.XLOOKUP(L2568,[2]analyte_order!$C:$C,[2]analyte_order!$E:$E)</f>
        <v>17</v>
      </c>
      <c r="N2568">
        <v>2.0299999999999998</v>
      </c>
    </row>
    <row r="2569" spans="1:14">
      <c r="A2569" t="s">
        <v>190</v>
      </c>
      <c r="B2569" t="str">
        <f>_xlfn.XLOOKUP(A2569,'[1]Tissue Data'!$A:$A,'[1]Tissue Data'!$C:$C)</f>
        <v>Spill</v>
      </c>
      <c r="C2569" s="2">
        <f>_xlfn.XLOOKUP(A2569,'[1]Tissue Data'!$A:$A,'[1]Tissue Data'!$D:$D)</f>
        <v>44314</v>
      </c>
      <c r="D2569" s="2" t="str">
        <f>_xlfn.XLOOKUP(A2569,'[1]Tissue Data'!$A:$A,'[1]Tissue Data'!$F:$F)</f>
        <v>Swallowtail Shiner</v>
      </c>
      <c r="E2569" t="str">
        <f>_xlfn.XLOOKUP(A2569,'[1]Tissue Data'!$A:$A,'[1]Tissue Data'!$H:$H)</f>
        <v>Notropis</v>
      </c>
      <c r="F2569" t="str">
        <f>_xlfn.XLOOKUP(A2569,'[1]Tissue Data'!$A:$A,'[1]Tissue Data'!$I:$I)</f>
        <v>procne</v>
      </c>
      <c r="G2569" t="str">
        <f>_xlfn.XLOOKUP(A2569,'[1]Tissue Data'!$A:$A,'[1]Tissue Data'!J:J)</f>
        <v>U</v>
      </c>
      <c r="H2569" t="str">
        <f>_xlfn.XLOOKUP(A2569,'[1]Tissue Data'!$A:$A,'[1]Tissue Data'!K:K)</f>
        <v>Whole Body</v>
      </c>
      <c r="I2569">
        <f>_xlfn.XLOOKUP(A2569,'[1]Tissue Data'!$A:$A,'[1]Tissue Data'!L:L)</f>
        <v>5.5</v>
      </c>
      <c r="J2569">
        <f>_xlfn.XLOOKUP(A2569,'[1]Tissue Data'!$A:$A,'[1]Tissue Data'!M:M)</f>
        <v>2.25</v>
      </c>
      <c r="K2569" t="s">
        <v>29</v>
      </c>
      <c r="L2569" t="str">
        <f>_xlfn.XLOOKUP(K2569,[2]analyte_order!$B:$B,[2]analyte_order!$C:$C)</f>
        <v>1763-23-1</v>
      </c>
      <c r="M2569">
        <f>_xlfn.XLOOKUP(L2569,[2]analyte_order!$C:$C,[2]analyte_order!$E:$E)</f>
        <v>18</v>
      </c>
      <c r="N2569">
        <v>749</v>
      </c>
    </row>
    <row r="2570" spans="1:14">
      <c r="A2570" t="s">
        <v>190</v>
      </c>
      <c r="B2570" t="str">
        <f>_xlfn.XLOOKUP(A2570,'[1]Tissue Data'!$A:$A,'[1]Tissue Data'!$C:$C)</f>
        <v>Spill</v>
      </c>
      <c r="C2570" s="2">
        <f>_xlfn.XLOOKUP(A2570,'[1]Tissue Data'!$A:$A,'[1]Tissue Data'!$D:$D)</f>
        <v>44314</v>
      </c>
      <c r="D2570" s="2" t="str">
        <f>_xlfn.XLOOKUP(A2570,'[1]Tissue Data'!$A:$A,'[1]Tissue Data'!$F:$F)</f>
        <v>Swallowtail Shiner</v>
      </c>
      <c r="E2570" t="str">
        <f>_xlfn.XLOOKUP(A2570,'[1]Tissue Data'!$A:$A,'[1]Tissue Data'!$H:$H)</f>
        <v>Notropis</v>
      </c>
      <c r="F2570" t="str">
        <f>_xlfn.XLOOKUP(A2570,'[1]Tissue Data'!$A:$A,'[1]Tissue Data'!$I:$I)</f>
        <v>procne</v>
      </c>
      <c r="G2570" t="str">
        <f>_xlfn.XLOOKUP(A2570,'[1]Tissue Data'!$A:$A,'[1]Tissue Data'!J:J)</f>
        <v>U</v>
      </c>
      <c r="H2570" t="str">
        <f>_xlfn.XLOOKUP(A2570,'[1]Tissue Data'!$A:$A,'[1]Tissue Data'!K:K)</f>
        <v>Whole Body</v>
      </c>
      <c r="I2570">
        <f>_xlfn.XLOOKUP(A2570,'[1]Tissue Data'!$A:$A,'[1]Tissue Data'!L:L)</f>
        <v>5.5</v>
      </c>
      <c r="J2570">
        <f>_xlfn.XLOOKUP(A2570,'[1]Tissue Data'!$A:$A,'[1]Tissue Data'!M:M)</f>
        <v>2.25</v>
      </c>
      <c r="K2570" t="s">
        <v>30</v>
      </c>
      <c r="L2570" t="str">
        <f>_xlfn.XLOOKUP(K2570,[2]analyte_order!$B:$B,[2]analyte_order!$C:$C)</f>
        <v>68259-12-1</v>
      </c>
      <c r="M2570">
        <f>_xlfn.XLOOKUP(L2570,[2]analyte_order!$C:$C,[2]analyte_order!$E:$E)</f>
        <v>19</v>
      </c>
      <c r="N2570">
        <v>0.13700000000000001</v>
      </c>
    </row>
    <row r="2571" spans="1:14">
      <c r="A2571" t="s">
        <v>190</v>
      </c>
      <c r="B2571" t="str">
        <f>_xlfn.XLOOKUP(A2571,'[1]Tissue Data'!$A:$A,'[1]Tissue Data'!$C:$C)</f>
        <v>Spill</v>
      </c>
      <c r="C2571" s="2">
        <f>_xlfn.XLOOKUP(A2571,'[1]Tissue Data'!$A:$A,'[1]Tissue Data'!$D:$D)</f>
        <v>44314</v>
      </c>
      <c r="D2571" s="2" t="str">
        <f>_xlfn.XLOOKUP(A2571,'[1]Tissue Data'!$A:$A,'[1]Tissue Data'!$F:$F)</f>
        <v>Swallowtail Shiner</v>
      </c>
      <c r="E2571" t="str">
        <f>_xlfn.XLOOKUP(A2571,'[1]Tissue Data'!$A:$A,'[1]Tissue Data'!$H:$H)</f>
        <v>Notropis</v>
      </c>
      <c r="F2571" t="str">
        <f>_xlfn.XLOOKUP(A2571,'[1]Tissue Data'!$A:$A,'[1]Tissue Data'!$I:$I)</f>
        <v>procne</v>
      </c>
      <c r="G2571" t="str">
        <f>_xlfn.XLOOKUP(A2571,'[1]Tissue Data'!$A:$A,'[1]Tissue Data'!J:J)</f>
        <v>U</v>
      </c>
      <c r="H2571" t="str">
        <f>_xlfn.XLOOKUP(A2571,'[1]Tissue Data'!$A:$A,'[1]Tissue Data'!K:K)</f>
        <v>Whole Body</v>
      </c>
      <c r="I2571">
        <f>_xlfn.XLOOKUP(A2571,'[1]Tissue Data'!$A:$A,'[1]Tissue Data'!L:L)</f>
        <v>5.5</v>
      </c>
      <c r="J2571">
        <f>_xlfn.XLOOKUP(A2571,'[1]Tissue Data'!$A:$A,'[1]Tissue Data'!M:M)</f>
        <v>2.25</v>
      </c>
      <c r="K2571" t="s">
        <v>31</v>
      </c>
      <c r="L2571" t="str">
        <f>_xlfn.XLOOKUP(K2571,[2]analyte_order!$B:$B,[2]analyte_order!$C:$C)</f>
        <v>335-77-3</v>
      </c>
      <c r="M2571">
        <f>_xlfn.XLOOKUP(L2571,[2]analyte_order!$C:$C,[2]analyte_order!$E:$E)</f>
        <v>20</v>
      </c>
      <c r="N2571">
        <v>3.87</v>
      </c>
    </row>
    <row r="2572" spans="1:14">
      <c r="A2572" t="s">
        <v>190</v>
      </c>
      <c r="B2572" t="str">
        <f>_xlfn.XLOOKUP(A2572,'[1]Tissue Data'!$A:$A,'[1]Tissue Data'!$C:$C)</f>
        <v>Spill</v>
      </c>
      <c r="C2572" s="2">
        <f>_xlfn.XLOOKUP(A2572,'[1]Tissue Data'!$A:$A,'[1]Tissue Data'!$D:$D)</f>
        <v>44314</v>
      </c>
      <c r="D2572" s="2" t="str">
        <f>_xlfn.XLOOKUP(A2572,'[1]Tissue Data'!$A:$A,'[1]Tissue Data'!$F:$F)</f>
        <v>Swallowtail Shiner</v>
      </c>
      <c r="E2572" t="str">
        <f>_xlfn.XLOOKUP(A2572,'[1]Tissue Data'!$A:$A,'[1]Tissue Data'!$H:$H)</f>
        <v>Notropis</v>
      </c>
      <c r="F2572" t="str">
        <f>_xlfn.XLOOKUP(A2572,'[1]Tissue Data'!$A:$A,'[1]Tissue Data'!$I:$I)</f>
        <v>procne</v>
      </c>
      <c r="G2572" t="str">
        <f>_xlfn.XLOOKUP(A2572,'[1]Tissue Data'!$A:$A,'[1]Tissue Data'!J:J)</f>
        <v>U</v>
      </c>
      <c r="H2572" t="str">
        <f>_xlfn.XLOOKUP(A2572,'[1]Tissue Data'!$A:$A,'[1]Tissue Data'!K:K)</f>
        <v>Whole Body</v>
      </c>
      <c r="I2572">
        <f>_xlfn.XLOOKUP(A2572,'[1]Tissue Data'!$A:$A,'[1]Tissue Data'!L:L)</f>
        <v>5.5</v>
      </c>
      <c r="J2572">
        <f>_xlfn.XLOOKUP(A2572,'[1]Tissue Data'!$A:$A,'[1]Tissue Data'!M:M)</f>
        <v>2.25</v>
      </c>
      <c r="K2572" t="s">
        <v>32</v>
      </c>
      <c r="L2572" t="str">
        <f>_xlfn.XLOOKUP(K2572,[2]analyte_order!$B:$B,[2]analyte_order!$C:$C)</f>
        <v>79780-39-5</v>
      </c>
      <c r="M2572">
        <f>_xlfn.XLOOKUP(L2572,[2]analyte_order!$C:$C,[2]analyte_order!$E:$E)</f>
        <v>21</v>
      </c>
      <c r="N2572">
        <v>0.25700000000000001</v>
      </c>
    </row>
    <row r="2573" spans="1:14">
      <c r="A2573" t="s">
        <v>190</v>
      </c>
      <c r="B2573" t="str">
        <f>_xlfn.XLOOKUP(A2573,'[1]Tissue Data'!$A:$A,'[1]Tissue Data'!$C:$C)</f>
        <v>Spill</v>
      </c>
      <c r="C2573" s="2">
        <f>_xlfn.XLOOKUP(A2573,'[1]Tissue Data'!$A:$A,'[1]Tissue Data'!$D:$D)</f>
        <v>44314</v>
      </c>
      <c r="D2573" s="2" t="str">
        <f>_xlfn.XLOOKUP(A2573,'[1]Tissue Data'!$A:$A,'[1]Tissue Data'!$F:$F)</f>
        <v>Swallowtail Shiner</v>
      </c>
      <c r="E2573" t="str">
        <f>_xlfn.XLOOKUP(A2573,'[1]Tissue Data'!$A:$A,'[1]Tissue Data'!$H:$H)</f>
        <v>Notropis</v>
      </c>
      <c r="F2573" t="str">
        <f>_xlfn.XLOOKUP(A2573,'[1]Tissue Data'!$A:$A,'[1]Tissue Data'!$I:$I)</f>
        <v>procne</v>
      </c>
      <c r="G2573" t="str">
        <f>_xlfn.XLOOKUP(A2573,'[1]Tissue Data'!$A:$A,'[1]Tissue Data'!J:J)</f>
        <v>U</v>
      </c>
      <c r="H2573" t="str">
        <f>_xlfn.XLOOKUP(A2573,'[1]Tissue Data'!$A:$A,'[1]Tissue Data'!K:K)</f>
        <v>Whole Body</v>
      </c>
      <c r="I2573">
        <f>_xlfn.XLOOKUP(A2573,'[1]Tissue Data'!$A:$A,'[1]Tissue Data'!L:L)</f>
        <v>5.5</v>
      </c>
      <c r="J2573">
        <f>_xlfn.XLOOKUP(A2573,'[1]Tissue Data'!$A:$A,'[1]Tissue Data'!M:M)</f>
        <v>2.25</v>
      </c>
      <c r="K2573" t="s">
        <v>33</v>
      </c>
      <c r="L2573" t="str">
        <f>_xlfn.XLOOKUP(K2573,[2]analyte_order!$B:$B,[2]analyte_order!$C:$C)</f>
        <v>777011-38-8</v>
      </c>
      <c r="M2573">
        <f>_xlfn.XLOOKUP(L2573,[2]analyte_order!$C:$C,[2]analyte_order!$E:$E)</f>
        <v>54</v>
      </c>
      <c r="N2573">
        <v>0.14599999999999999</v>
      </c>
    </row>
    <row r="2574" spans="1:14">
      <c r="A2574" t="s">
        <v>190</v>
      </c>
      <c r="B2574" t="str">
        <f>_xlfn.XLOOKUP(A2574,'[1]Tissue Data'!$A:$A,'[1]Tissue Data'!$C:$C)</f>
        <v>Spill</v>
      </c>
      <c r="C2574" s="2">
        <f>_xlfn.XLOOKUP(A2574,'[1]Tissue Data'!$A:$A,'[1]Tissue Data'!$D:$D)</f>
        <v>44314</v>
      </c>
      <c r="D2574" s="2" t="str">
        <f>_xlfn.XLOOKUP(A2574,'[1]Tissue Data'!$A:$A,'[1]Tissue Data'!$F:$F)</f>
        <v>Swallowtail Shiner</v>
      </c>
      <c r="E2574" t="str">
        <f>_xlfn.XLOOKUP(A2574,'[1]Tissue Data'!$A:$A,'[1]Tissue Data'!$H:$H)</f>
        <v>Notropis</v>
      </c>
      <c r="F2574" t="str">
        <f>_xlfn.XLOOKUP(A2574,'[1]Tissue Data'!$A:$A,'[1]Tissue Data'!$I:$I)</f>
        <v>procne</v>
      </c>
      <c r="G2574" t="str">
        <f>_xlfn.XLOOKUP(A2574,'[1]Tissue Data'!$A:$A,'[1]Tissue Data'!J:J)</f>
        <v>U</v>
      </c>
      <c r="H2574" t="str">
        <f>_xlfn.XLOOKUP(A2574,'[1]Tissue Data'!$A:$A,'[1]Tissue Data'!K:K)</f>
        <v>Whole Body</v>
      </c>
      <c r="I2574">
        <f>_xlfn.XLOOKUP(A2574,'[1]Tissue Data'!$A:$A,'[1]Tissue Data'!L:L)</f>
        <v>5.5</v>
      </c>
      <c r="J2574">
        <f>_xlfn.XLOOKUP(A2574,'[1]Tissue Data'!$A:$A,'[1]Tissue Data'!M:M)</f>
        <v>2.25</v>
      </c>
      <c r="K2574" t="s">
        <v>34</v>
      </c>
      <c r="L2574" t="str">
        <f>_xlfn.XLOOKUP(K2574,[2]analyte_order!$B:$B,[2]analyte_order!$C:$C)</f>
        <v>646-83-3</v>
      </c>
      <c r="M2574">
        <f>_xlfn.XLOOKUP(L2574,[2]analyte_order!$C:$C,[2]analyte_order!$E:$E)</f>
        <v>55</v>
      </c>
      <c r="N2574">
        <v>9.6000000000000002E-2</v>
      </c>
    </row>
    <row r="2575" spans="1:14">
      <c r="A2575" t="s">
        <v>190</v>
      </c>
      <c r="B2575" t="str">
        <f>_xlfn.XLOOKUP(A2575,'[1]Tissue Data'!$A:$A,'[1]Tissue Data'!$C:$C)</f>
        <v>Spill</v>
      </c>
      <c r="C2575" s="2">
        <f>_xlfn.XLOOKUP(A2575,'[1]Tissue Data'!$A:$A,'[1]Tissue Data'!$D:$D)</f>
        <v>44314</v>
      </c>
      <c r="D2575" s="2" t="str">
        <f>_xlfn.XLOOKUP(A2575,'[1]Tissue Data'!$A:$A,'[1]Tissue Data'!$F:$F)</f>
        <v>Swallowtail Shiner</v>
      </c>
      <c r="E2575" t="str">
        <f>_xlfn.XLOOKUP(A2575,'[1]Tissue Data'!$A:$A,'[1]Tissue Data'!$H:$H)</f>
        <v>Notropis</v>
      </c>
      <c r="F2575" t="str">
        <f>_xlfn.XLOOKUP(A2575,'[1]Tissue Data'!$A:$A,'[1]Tissue Data'!$I:$I)</f>
        <v>procne</v>
      </c>
      <c r="G2575" t="str">
        <f>_xlfn.XLOOKUP(A2575,'[1]Tissue Data'!$A:$A,'[1]Tissue Data'!J:J)</f>
        <v>U</v>
      </c>
      <c r="H2575" t="str">
        <f>_xlfn.XLOOKUP(A2575,'[1]Tissue Data'!$A:$A,'[1]Tissue Data'!K:K)</f>
        <v>Whole Body</v>
      </c>
      <c r="I2575">
        <f>_xlfn.XLOOKUP(A2575,'[1]Tissue Data'!$A:$A,'[1]Tissue Data'!L:L)</f>
        <v>5.5</v>
      </c>
      <c r="J2575">
        <f>_xlfn.XLOOKUP(A2575,'[1]Tissue Data'!$A:$A,'[1]Tissue Data'!M:M)</f>
        <v>2.25</v>
      </c>
      <c r="K2575" t="s">
        <v>35</v>
      </c>
      <c r="L2575" t="str">
        <f>_xlfn.XLOOKUP(K2575,[2]analyte_order!$B:$B,[2]analyte_order!$C:$C)</f>
        <v>30334-69-1</v>
      </c>
      <c r="M2575">
        <f>_xlfn.XLOOKUP(L2575,[2]analyte_order!$C:$C,[2]analyte_order!$E:$E)</f>
        <v>51</v>
      </c>
      <c r="N2575">
        <v>244</v>
      </c>
    </row>
    <row r="2576" spans="1:14">
      <c r="A2576" t="s">
        <v>190</v>
      </c>
      <c r="B2576" t="str">
        <f>_xlfn.XLOOKUP(A2576,'[1]Tissue Data'!$A:$A,'[1]Tissue Data'!$C:$C)</f>
        <v>Spill</v>
      </c>
      <c r="C2576" s="2">
        <f>_xlfn.XLOOKUP(A2576,'[1]Tissue Data'!$A:$A,'[1]Tissue Data'!$D:$D)</f>
        <v>44314</v>
      </c>
      <c r="D2576" s="2" t="str">
        <f>_xlfn.XLOOKUP(A2576,'[1]Tissue Data'!$A:$A,'[1]Tissue Data'!$F:$F)</f>
        <v>Swallowtail Shiner</v>
      </c>
      <c r="E2576" t="str">
        <f>_xlfn.XLOOKUP(A2576,'[1]Tissue Data'!$A:$A,'[1]Tissue Data'!$H:$H)</f>
        <v>Notropis</v>
      </c>
      <c r="F2576" t="str">
        <f>_xlfn.XLOOKUP(A2576,'[1]Tissue Data'!$A:$A,'[1]Tissue Data'!$I:$I)</f>
        <v>procne</v>
      </c>
      <c r="G2576" t="str">
        <f>_xlfn.XLOOKUP(A2576,'[1]Tissue Data'!$A:$A,'[1]Tissue Data'!J:J)</f>
        <v>U</v>
      </c>
      <c r="H2576" t="str">
        <f>_xlfn.XLOOKUP(A2576,'[1]Tissue Data'!$A:$A,'[1]Tissue Data'!K:K)</f>
        <v>Whole Body</v>
      </c>
      <c r="I2576">
        <f>_xlfn.XLOOKUP(A2576,'[1]Tissue Data'!$A:$A,'[1]Tissue Data'!L:L)</f>
        <v>5.5</v>
      </c>
      <c r="J2576">
        <f>_xlfn.XLOOKUP(A2576,'[1]Tissue Data'!$A:$A,'[1]Tissue Data'!M:M)</f>
        <v>2.25</v>
      </c>
      <c r="K2576" t="s">
        <v>36</v>
      </c>
      <c r="L2576" t="str">
        <f>_xlfn.XLOOKUP(K2576,[2]analyte_order!$B:$B,[2]analyte_order!$C:$C)</f>
        <v>41997-13-1</v>
      </c>
      <c r="M2576">
        <f>_xlfn.XLOOKUP(L2576,[2]analyte_order!$C:$C,[2]analyte_order!$E:$E)</f>
        <v>52</v>
      </c>
      <c r="N2576">
        <v>623</v>
      </c>
    </row>
    <row r="2577" spans="1:14">
      <c r="A2577" t="s">
        <v>190</v>
      </c>
      <c r="B2577" t="str">
        <f>_xlfn.XLOOKUP(A2577,'[1]Tissue Data'!$A:$A,'[1]Tissue Data'!$C:$C)</f>
        <v>Spill</v>
      </c>
      <c r="C2577" s="2">
        <f>_xlfn.XLOOKUP(A2577,'[1]Tissue Data'!$A:$A,'[1]Tissue Data'!$D:$D)</f>
        <v>44314</v>
      </c>
      <c r="D2577" s="2" t="str">
        <f>_xlfn.XLOOKUP(A2577,'[1]Tissue Data'!$A:$A,'[1]Tissue Data'!$F:$F)</f>
        <v>Swallowtail Shiner</v>
      </c>
      <c r="E2577" t="str">
        <f>_xlfn.XLOOKUP(A2577,'[1]Tissue Data'!$A:$A,'[1]Tissue Data'!$H:$H)</f>
        <v>Notropis</v>
      </c>
      <c r="F2577" t="str">
        <f>_xlfn.XLOOKUP(A2577,'[1]Tissue Data'!$A:$A,'[1]Tissue Data'!$I:$I)</f>
        <v>procne</v>
      </c>
      <c r="G2577" t="str">
        <f>_xlfn.XLOOKUP(A2577,'[1]Tissue Data'!$A:$A,'[1]Tissue Data'!J:J)</f>
        <v>U</v>
      </c>
      <c r="H2577" t="str">
        <f>_xlfn.XLOOKUP(A2577,'[1]Tissue Data'!$A:$A,'[1]Tissue Data'!K:K)</f>
        <v>Whole Body</v>
      </c>
      <c r="I2577">
        <f>_xlfn.XLOOKUP(A2577,'[1]Tissue Data'!$A:$A,'[1]Tissue Data'!L:L)</f>
        <v>5.5</v>
      </c>
      <c r="J2577">
        <f>_xlfn.XLOOKUP(A2577,'[1]Tissue Data'!$A:$A,'[1]Tissue Data'!M:M)</f>
        <v>2.25</v>
      </c>
      <c r="K2577" t="s">
        <v>37</v>
      </c>
      <c r="L2577" t="str">
        <f>_xlfn.XLOOKUP(K2577,[2]analyte_order!$B:$B,[2]analyte_order!$C:$C)</f>
        <v>754-91-6</v>
      </c>
      <c r="M2577">
        <f>_xlfn.XLOOKUP(L2577,[2]analyte_order!$C:$C,[2]analyte_order!$E:$E)</f>
        <v>28</v>
      </c>
      <c r="N2577">
        <v>21.6</v>
      </c>
    </row>
    <row r="2578" spans="1:14">
      <c r="A2578" t="s">
        <v>190</v>
      </c>
      <c r="B2578" t="str">
        <f>_xlfn.XLOOKUP(A2578,'[1]Tissue Data'!$A:$A,'[1]Tissue Data'!$C:$C)</f>
        <v>Spill</v>
      </c>
      <c r="C2578" s="2">
        <f>_xlfn.XLOOKUP(A2578,'[1]Tissue Data'!$A:$A,'[1]Tissue Data'!$D:$D)</f>
        <v>44314</v>
      </c>
      <c r="D2578" s="2" t="str">
        <f>_xlfn.XLOOKUP(A2578,'[1]Tissue Data'!$A:$A,'[1]Tissue Data'!$F:$F)</f>
        <v>Swallowtail Shiner</v>
      </c>
      <c r="E2578" t="str">
        <f>_xlfn.XLOOKUP(A2578,'[1]Tissue Data'!$A:$A,'[1]Tissue Data'!$H:$H)</f>
        <v>Notropis</v>
      </c>
      <c r="F2578" t="str">
        <f>_xlfn.XLOOKUP(A2578,'[1]Tissue Data'!$A:$A,'[1]Tissue Data'!$I:$I)</f>
        <v>procne</v>
      </c>
      <c r="G2578" t="str">
        <f>_xlfn.XLOOKUP(A2578,'[1]Tissue Data'!$A:$A,'[1]Tissue Data'!J:J)</f>
        <v>U</v>
      </c>
      <c r="H2578" t="str">
        <f>_xlfn.XLOOKUP(A2578,'[1]Tissue Data'!$A:$A,'[1]Tissue Data'!K:K)</f>
        <v>Whole Body</v>
      </c>
      <c r="I2578">
        <f>_xlfn.XLOOKUP(A2578,'[1]Tissue Data'!$A:$A,'[1]Tissue Data'!L:L)</f>
        <v>5.5</v>
      </c>
      <c r="J2578">
        <f>_xlfn.XLOOKUP(A2578,'[1]Tissue Data'!$A:$A,'[1]Tissue Data'!M:M)</f>
        <v>2.25</v>
      </c>
      <c r="K2578" t="s">
        <v>38</v>
      </c>
      <c r="L2578" t="str">
        <f>_xlfn.XLOOKUP(K2578,[2]analyte_order!$B:$B,[2]analyte_order!$C:$C)</f>
        <v>31506-32-8</v>
      </c>
      <c r="M2578">
        <f>_xlfn.XLOOKUP(L2578,[2]analyte_order!$C:$C,[2]analyte_order!$E:$E)</f>
        <v>30</v>
      </c>
      <c r="N2578">
        <v>5.6000000000000001E-2</v>
      </c>
    </row>
    <row r="2579" spans="1:14">
      <c r="A2579" t="s">
        <v>190</v>
      </c>
      <c r="B2579" t="str">
        <f>_xlfn.XLOOKUP(A2579,'[1]Tissue Data'!$A:$A,'[1]Tissue Data'!$C:$C)</f>
        <v>Spill</v>
      </c>
      <c r="C2579" s="2">
        <f>_xlfn.XLOOKUP(A2579,'[1]Tissue Data'!$A:$A,'[1]Tissue Data'!$D:$D)</f>
        <v>44314</v>
      </c>
      <c r="D2579" s="2" t="str">
        <f>_xlfn.XLOOKUP(A2579,'[1]Tissue Data'!$A:$A,'[1]Tissue Data'!$F:$F)</f>
        <v>Swallowtail Shiner</v>
      </c>
      <c r="E2579" t="str">
        <f>_xlfn.XLOOKUP(A2579,'[1]Tissue Data'!$A:$A,'[1]Tissue Data'!$H:$H)</f>
        <v>Notropis</v>
      </c>
      <c r="F2579" t="str">
        <f>_xlfn.XLOOKUP(A2579,'[1]Tissue Data'!$A:$A,'[1]Tissue Data'!$I:$I)</f>
        <v>procne</v>
      </c>
      <c r="G2579" t="str">
        <f>_xlfn.XLOOKUP(A2579,'[1]Tissue Data'!$A:$A,'[1]Tissue Data'!J:J)</f>
        <v>U</v>
      </c>
      <c r="H2579" t="str">
        <f>_xlfn.XLOOKUP(A2579,'[1]Tissue Data'!$A:$A,'[1]Tissue Data'!K:K)</f>
        <v>Whole Body</v>
      </c>
      <c r="I2579">
        <f>_xlfn.XLOOKUP(A2579,'[1]Tissue Data'!$A:$A,'[1]Tissue Data'!L:L)</f>
        <v>5.5</v>
      </c>
      <c r="J2579">
        <f>_xlfn.XLOOKUP(A2579,'[1]Tissue Data'!$A:$A,'[1]Tissue Data'!M:M)</f>
        <v>2.25</v>
      </c>
      <c r="K2579" t="s">
        <v>39</v>
      </c>
      <c r="L2579" t="str">
        <f>_xlfn.XLOOKUP(K2579,[2]analyte_order!$B:$B,[2]analyte_order!$C:$C)</f>
        <v>4151-50-2</v>
      </c>
      <c r="M2579">
        <f>_xlfn.XLOOKUP(L2579,[2]analyte_order!$C:$C,[2]analyte_order!$E:$E)</f>
        <v>31</v>
      </c>
      <c r="N2579">
        <v>8.5000000000000006E-2</v>
      </c>
    </row>
    <row r="2580" spans="1:14">
      <c r="A2580" t="s">
        <v>190</v>
      </c>
      <c r="B2580" t="str">
        <f>_xlfn.XLOOKUP(A2580,'[1]Tissue Data'!$A:$A,'[1]Tissue Data'!$C:$C)</f>
        <v>Spill</v>
      </c>
      <c r="C2580" s="2">
        <f>_xlfn.XLOOKUP(A2580,'[1]Tissue Data'!$A:$A,'[1]Tissue Data'!$D:$D)</f>
        <v>44314</v>
      </c>
      <c r="D2580" s="2" t="str">
        <f>_xlfn.XLOOKUP(A2580,'[1]Tissue Data'!$A:$A,'[1]Tissue Data'!$F:$F)</f>
        <v>Swallowtail Shiner</v>
      </c>
      <c r="E2580" t="str">
        <f>_xlfn.XLOOKUP(A2580,'[1]Tissue Data'!$A:$A,'[1]Tissue Data'!$H:$H)</f>
        <v>Notropis</v>
      </c>
      <c r="F2580" t="str">
        <f>_xlfn.XLOOKUP(A2580,'[1]Tissue Data'!$A:$A,'[1]Tissue Data'!$I:$I)</f>
        <v>procne</v>
      </c>
      <c r="G2580" t="str">
        <f>_xlfn.XLOOKUP(A2580,'[1]Tissue Data'!$A:$A,'[1]Tissue Data'!J:J)</f>
        <v>U</v>
      </c>
      <c r="H2580" t="str">
        <f>_xlfn.XLOOKUP(A2580,'[1]Tissue Data'!$A:$A,'[1]Tissue Data'!K:K)</f>
        <v>Whole Body</v>
      </c>
      <c r="I2580">
        <f>_xlfn.XLOOKUP(A2580,'[1]Tissue Data'!$A:$A,'[1]Tissue Data'!L:L)</f>
        <v>5.5</v>
      </c>
      <c r="J2580">
        <f>_xlfn.XLOOKUP(A2580,'[1]Tissue Data'!$A:$A,'[1]Tissue Data'!M:M)</f>
        <v>2.25</v>
      </c>
      <c r="K2580" t="s">
        <v>40</v>
      </c>
      <c r="L2580" t="str">
        <f>_xlfn.XLOOKUP(K2580,[2]analyte_order!$B:$B,[2]analyte_order!$C:$C)</f>
        <v>2806-24-8</v>
      </c>
      <c r="M2580">
        <f>_xlfn.XLOOKUP(L2580,[2]analyte_order!$C:$C,[2]analyte_order!$E:$E)</f>
        <v>29</v>
      </c>
      <c r="N2580">
        <v>5.7500000000000002E-2</v>
      </c>
    </row>
    <row r="2581" spans="1:14">
      <c r="A2581" t="s">
        <v>190</v>
      </c>
      <c r="B2581" t="str">
        <f>_xlfn.XLOOKUP(A2581,'[1]Tissue Data'!$A:$A,'[1]Tissue Data'!$C:$C)</f>
        <v>Spill</v>
      </c>
      <c r="C2581" s="2">
        <f>_xlfn.XLOOKUP(A2581,'[1]Tissue Data'!$A:$A,'[1]Tissue Data'!$D:$D)</f>
        <v>44314</v>
      </c>
      <c r="D2581" s="2" t="str">
        <f>_xlfn.XLOOKUP(A2581,'[1]Tissue Data'!$A:$A,'[1]Tissue Data'!$F:$F)</f>
        <v>Swallowtail Shiner</v>
      </c>
      <c r="E2581" t="str">
        <f>_xlfn.XLOOKUP(A2581,'[1]Tissue Data'!$A:$A,'[1]Tissue Data'!$H:$H)</f>
        <v>Notropis</v>
      </c>
      <c r="F2581" t="str">
        <f>_xlfn.XLOOKUP(A2581,'[1]Tissue Data'!$A:$A,'[1]Tissue Data'!$I:$I)</f>
        <v>procne</v>
      </c>
      <c r="G2581" t="str">
        <f>_xlfn.XLOOKUP(A2581,'[1]Tissue Data'!$A:$A,'[1]Tissue Data'!J:J)</f>
        <v>U</v>
      </c>
      <c r="H2581" t="str">
        <f>_xlfn.XLOOKUP(A2581,'[1]Tissue Data'!$A:$A,'[1]Tissue Data'!K:K)</f>
        <v>Whole Body</v>
      </c>
      <c r="I2581">
        <f>_xlfn.XLOOKUP(A2581,'[1]Tissue Data'!$A:$A,'[1]Tissue Data'!L:L)</f>
        <v>5.5</v>
      </c>
      <c r="J2581">
        <f>_xlfn.XLOOKUP(A2581,'[1]Tissue Data'!$A:$A,'[1]Tissue Data'!M:M)</f>
        <v>2.25</v>
      </c>
      <c r="K2581" t="s">
        <v>41</v>
      </c>
      <c r="L2581" t="str">
        <f>_xlfn.XLOOKUP(K2581,[2]analyte_order!$B:$B,[2]analyte_order!$C:$C)</f>
        <v>2355-31-9</v>
      </c>
      <c r="M2581">
        <f>_xlfn.XLOOKUP(L2581,[2]analyte_order!$C:$C,[2]analyte_order!$E:$E)</f>
        <v>26</v>
      </c>
      <c r="N2581">
        <v>1.2</v>
      </c>
    </row>
    <row r="2582" spans="1:14">
      <c r="A2582" t="s">
        <v>190</v>
      </c>
      <c r="B2582" t="str">
        <f>_xlfn.XLOOKUP(A2582,'[1]Tissue Data'!$A:$A,'[1]Tissue Data'!$C:$C)</f>
        <v>Spill</v>
      </c>
      <c r="C2582" s="2">
        <f>_xlfn.XLOOKUP(A2582,'[1]Tissue Data'!$A:$A,'[1]Tissue Data'!$D:$D)</f>
        <v>44314</v>
      </c>
      <c r="D2582" s="2" t="str">
        <f>_xlfn.XLOOKUP(A2582,'[1]Tissue Data'!$A:$A,'[1]Tissue Data'!$F:$F)</f>
        <v>Swallowtail Shiner</v>
      </c>
      <c r="E2582" t="str">
        <f>_xlfn.XLOOKUP(A2582,'[1]Tissue Data'!$A:$A,'[1]Tissue Data'!$H:$H)</f>
        <v>Notropis</v>
      </c>
      <c r="F2582" t="str">
        <f>_xlfn.XLOOKUP(A2582,'[1]Tissue Data'!$A:$A,'[1]Tissue Data'!$I:$I)</f>
        <v>procne</v>
      </c>
      <c r="G2582" t="str">
        <f>_xlfn.XLOOKUP(A2582,'[1]Tissue Data'!$A:$A,'[1]Tissue Data'!J:J)</f>
        <v>U</v>
      </c>
      <c r="H2582" t="str">
        <f>_xlfn.XLOOKUP(A2582,'[1]Tissue Data'!$A:$A,'[1]Tissue Data'!K:K)</f>
        <v>Whole Body</v>
      </c>
      <c r="I2582">
        <f>_xlfn.XLOOKUP(A2582,'[1]Tissue Data'!$A:$A,'[1]Tissue Data'!L:L)</f>
        <v>5.5</v>
      </c>
      <c r="J2582">
        <f>_xlfn.XLOOKUP(A2582,'[1]Tissue Data'!$A:$A,'[1]Tissue Data'!M:M)</f>
        <v>2.25</v>
      </c>
      <c r="K2582" t="s">
        <v>42</v>
      </c>
      <c r="L2582" t="str">
        <f>_xlfn.XLOOKUP(K2582,[2]analyte_order!$B:$B,[2]analyte_order!$C:$C)</f>
        <v>2991-50-6</v>
      </c>
      <c r="M2582">
        <f>_xlfn.XLOOKUP(L2582,[2]analyte_order!$C:$C,[2]analyte_order!$E:$E)</f>
        <v>27</v>
      </c>
      <c r="N2582">
        <v>6.3E-2</v>
      </c>
    </row>
    <row r="2583" spans="1:14">
      <c r="A2583" t="s">
        <v>190</v>
      </c>
      <c r="B2583" t="str">
        <f>_xlfn.XLOOKUP(A2583,'[1]Tissue Data'!$A:$A,'[1]Tissue Data'!$C:$C)</f>
        <v>Spill</v>
      </c>
      <c r="C2583" s="2">
        <f>_xlfn.XLOOKUP(A2583,'[1]Tissue Data'!$A:$A,'[1]Tissue Data'!$D:$D)</f>
        <v>44314</v>
      </c>
      <c r="D2583" s="2" t="str">
        <f>_xlfn.XLOOKUP(A2583,'[1]Tissue Data'!$A:$A,'[1]Tissue Data'!$F:$F)</f>
        <v>Swallowtail Shiner</v>
      </c>
      <c r="E2583" t="str">
        <f>_xlfn.XLOOKUP(A2583,'[1]Tissue Data'!$A:$A,'[1]Tissue Data'!$H:$H)</f>
        <v>Notropis</v>
      </c>
      <c r="F2583" t="str">
        <f>_xlfn.XLOOKUP(A2583,'[1]Tissue Data'!$A:$A,'[1]Tissue Data'!$I:$I)</f>
        <v>procne</v>
      </c>
      <c r="G2583" t="str">
        <f>_xlfn.XLOOKUP(A2583,'[1]Tissue Data'!$A:$A,'[1]Tissue Data'!J:J)</f>
        <v>U</v>
      </c>
      <c r="H2583" t="str">
        <f>_xlfn.XLOOKUP(A2583,'[1]Tissue Data'!$A:$A,'[1]Tissue Data'!K:K)</f>
        <v>Whole Body</v>
      </c>
      <c r="I2583">
        <f>_xlfn.XLOOKUP(A2583,'[1]Tissue Data'!$A:$A,'[1]Tissue Data'!L:L)</f>
        <v>5.5</v>
      </c>
      <c r="J2583">
        <f>_xlfn.XLOOKUP(A2583,'[1]Tissue Data'!$A:$A,'[1]Tissue Data'!M:M)</f>
        <v>2.25</v>
      </c>
      <c r="K2583" t="s">
        <v>43</v>
      </c>
      <c r="L2583" t="str">
        <f>_xlfn.XLOOKUP(K2583,[2]analyte_order!$B:$B,[2]analyte_order!$C:$C)</f>
        <v>757124-72-4</v>
      </c>
      <c r="M2583">
        <f>_xlfn.XLOOKUP(L2583,[2]analyte_order!$C:$C,[2]analyte_order!$E:$E)</f>
        <v>22</v>
      </c>
      <c r="N2583">
        <v>0.06</v>
      </c>
    </row>
    <row r="2584" spans="1:14">
      <c r="A2584" t="s">
        <v>190</v>
      </c>
      <c r="B2584" t="str">
        <f>_xlfn.XLOOKUP(A2584,'[1]Tissue Data'!$A:$A,'[1]Tissue Data'!$C:$C)</f>
        <v>Spill</v>
      </c>
      <c r="C2584" s="2">
        <f>_xlfn.XLOOKUP(A2584,'[1]Tissue Data'!$A:$A,'[1]Tissue Data'!$D:$D)</f>
        <v>44314</v>
      </c>
      <c r="D2584" s="2" t="str">
        <f>_xlfn.XLOOKUP(A2584,'[1]Tissue Data'!$A:$A,'[1]Tissue Data'!$F:$F)</f>
        <v>Swallowtail Shiner</v>
      </c>
      <c r="E2584" t="str">
        <f>_xlfn.XLOOKUP(A2584,'[1]Tissue Data'!$A:$A,'[1]Tissue Data'!$H:$H)</f>
        <v>Notropis</v>
      </c>
      <c r="F2584" t="str">
        <f>_xlfn.XLOOKUP(A2584,'[1]Tissue Data'!$A:$A,'[1]Tissue Data'!$I:$I)</f>
        <v>procne</v>
      </c>
      <c r="G2584" t="str">
        <f>_xlfn.XLOOKUP(A2584,'[1]Tissue Data'!$A:$A,'[1]Tissue Data'!J:J)</f>
        <v>U</v>
      </c>
      <c r="H2584" t="str">
        <f>_xlfn.XLOOKUP(A2584,'[1]Tissue Data'!$A:$A,'[1]Tissue Data'!K:K)</f>
        <v>Whole Body</v>
      </c>
      <c r="I2584">
        <f>_xlfn.XLOOKUP(A2584,'[1]Tissue Data'!$A:$A,'[1]Tissue Data'!L:L)</f>
        <v>5.5</v>
      </c>
      <c r="J2584">
        <f>_xlfn.XLOOKUP(A2584,'[1]Tissue Data'!$A:$A,'[1]Tissue Data'!M:M)</f>
        <v>2.25</v>
      </c>
      <c r="K2584" t="s">
        <v>44</v>
      </c>
      <c r="L2584" t="str">
        <f>_xlfn.XLOOKUP(K2584,[2]analyte_order!$B:$B,[2]analyte_order!$C:$C)</f>
        <v>27619-97-2</v>
      </c>
      <c r="M2584">
        <f>_xlfn.XLOOKUP(L2584,[2]analyte_order!$C:$C,[2]analyte_order!$E:$E)</f>
        <v>23</v>
      </c>
      <c r="N2584">
        <v>0.46200000000000002</v>
      </c>
    </row>
    <row r="2585" spans="1:14">
      <c r="A2585" t="s">
        <v>190</v>
      </c>
      <c r="B2585" t="str">
        <f>_xlfn.XLOOKUP(A2585,'[1]Tissue Data'!$A:$A,'[1]Tissue Data'!$C:$C)</f>
        <v>Spill</v>
      </c>
      <c r="C2585" s="2">
        <f>_xlfn.XLOOKUP(A2585,'[1]Tissue Data'!$A:$A,'[1]Tissue Data'!$D:$D)</f>
        <v>44314</v>
      </c>
      <c r="D2585" s="2" t="str">
        <f>_xlfn.XLOOKUP(A2585,'[1]Tissue Data'!$A:$A,'[1]Tissue Data'!$F:$F)</f>
        <v>Swallowtail Shiner</v>
      </c>
      <c r="E2585" t="str">
        <f>_xlfn.XLOOKUP(A2585,'[1]Tissue Data'!$A:$A,'[1]Tissue Data'!$H:$H)</f>
        <v>Notropis</v>
      </c>
      <c r="F2585" t="str">
        <f>_xlfn.XLOOKUP(A2585,'[1]Tissue Data'!$A:$A,'[1]Tissue Data'!$I:$I)</f>
        <v>procne</v>
      </c>
      <c r="G2585" t="str">
        <f>_xlfn.XLOOKUP(A2585,'[1]Tissue Data'!$A:$A,'[1]Tissue Data'!J:J)</f>
        <v>U</v>
      </c>
      <c r="H2585" t="str">
        <f>_xlfn.XLOOKUP(A2585,'[1]Tissue Data'!$A:$A,'[1]Tissue Data'!K:K)</f>
        <v>Whole Body</v>
      </c>
      <c r="I2585">
        <f>_xlfn.XLOOKUP(A2585,'[1]Tissue Data'!$A:$A,'[1]Tissue Data'!L:L)</f>
        <v>5.5</v>
      </c>
      <c r="J2585">
        <f>_xlfn.XLOOKUP(A2585,'[1]Tissue Data'!$A:$A,'[1]Tissue Data'!M:M)</f>
        <v>2.25</v>
      </c>
      <c r="K2585" t="s">
        <v>45</v>
      </c>
      <c r="L2585" t="str">
        <f>_xlfn.XLOOKUP(K2585,[2]analyte_order!$B:$B,[2]analyte_order!$C:$C)</f>
        <v>39108-34-4</v>
      </c>
      <c r="M2585">
        <f>_xlfn.XLOOKUP(L2585,[2]analyte_order!$C:$C,[2]analyte_order!$E:$E)</f>
        <v>24</v>
      </c>
      <c r="N2585">
        <v>21.7</v>
      </c>
    </row>
    <row r="2586" spans="1:14">
      <c r="A2586" t="s">
        <v>190</v>
      </c>
      <c r="B2586" t="str">
        <f>_xlfn.XLOOKUP(A2586,'[1]Tissue Data'!$A:$A,'[1]Tissue Data'!$C:$C)</f>
        <v>Spill</v>
      </c>
      <c r="C2586" s="2">
        <f>_xlfn.XLOOKUP(A2586,'[1]Tissue Data'!$A:$A,'[1]Tissue Data'!$D:$D)</f>
        <v>44314</v>
      </c>
      <c r="D2586" s="2" t="str">
        <f>_xlfn.XLOOKUP(A2586,'[1]Tissue Data'!$A:$A,'[1]Tissue Data'!$F:$F)</f>
        <v>Swallowtail Shiner</v>
      </c>
      <c r="E2586" t="str">
        <f>_xlfn.XLOOKUP(A2586,'[1]Tissue Data'!$A:$A,'[1]Tissue Data'!$H:$H)</f>
        <v>Notropis</v>
      </c>
      <c r="F2586" t="str">
        <f>_xlfn.XLOOKUP(A2586,'[1]Tissue Data'!$A:$A,'[1]Tissue Data'!$I:$I)</f>
        <v>procne</v>
      </c>
      <c r="G2586" t="str">
        <f>_xlfn.XLOOKUP(A2586,'[1]Tissue Data'!$A:$A,'[1]Tissue Data'!J:J)</f>
        <v>U</v>
      </c>
      <c r="H2586" t="str">
        <f>_xlfn.XLOOKUP(A2586,'[1]Tissue Data'!$A:$A,'[1]Tissue Data'!K:K)</f>
        <v>Whole Body</v>
      </c>
      <c r="I2586">
        <f>_xlfn.XLOOKUP(A2586,'[1]Tissue Data'!$A:$A,'[1]Tissue Data'!L:L)</f>
        <v>5.5</v>
      </c>
      <c r="J2586">
        <f>_xlfn.XLOOKUP(A2586,'[1]Tissue Data'!$A:$A,'[1]Tissue Data'!M:M)</f>
        <v>2.25</v>
      </c>
      <c r="K2586" t="s">
        <v>46</v>
      </c>
      <c r="L2586" t="str">
        <f>_xlfn.XLOOKUP(K2586,[2]analyte_order!$B:$B,[2]analyte_order!$C:$C)</f>
        <v>120226-60-0</v>
      </c>
      <c r="M2586">
        <f>_xlfn.XLOOKUP(L2586,[2]analyte_order!$C:$C,[2]analyte_order!$E:$E)</f>
        <v>25</v>
      </c>
      <c r="N2586">
        <v>0.76600000000000001</v>
      </c>
    </row>
    <row r="2587" spans="1:14">
      <c r="A2587" t="s">
        <v>190</v>
      </c>
      <c r="B2587" t="str">
        <f>_xlfn.XLOOKUP(A2587,'[1]Tissue Data'!$A:$A,'[1]Tissue Data'!$C:$C)</f>
        <v>Spill</v>
      </c>
      <c r="C2587" s="2">
        <f>_xlfn.XLOOKUP(A2587,'[1]Tissue Data'!$A:$A,'[1]Tissue Data'!$D:$D)</f>
        <v>44314</v>
      </c>
      <c r="D2587" s="2" t="str">
        <f>_xlfn.XLOOKUP(A2587,'[1]Tissue Data'!$A:$A,'[1]Tissue Data'!$F:$F)</f>
        <v>Swallowtail Shiner</v>
      </c>
      <c r="E2587" t="str">
        <f>_xlfn.XLOOKUP(A2587,'[1]Tissue Data'!$A:$A,'[1]Tissue Data'!$H:$H)</f>
        <v>Notropis</v>
      </c>
      <c r="F2587" t="str">
        <f>_xlfn.XLOOKUP(A2587,'[1]Tissue Data'!$A:$A,'[1]Tissue Data'!$I:$I)</f>
        <v>procne</v>
      </c>
      <c r="G2587" t="str">
        <f>_xlfn.XLOOKUP(A2587,'[1]Tissue Data'!$A:$A,'[1]Tissue Data'!J:J)</f>
        <v>U</v>
      </c>
      <c r="H2587" t="str">
        <f>_xlfn.XLOOKUP(A2587,'[1]Tissue Data'!$A:$A,'[1]Tissue Data'!K:K)</f>
        <v>Whole Body</v>
      </c>
      <c r="I2587">
        <f>_xlfn.XLOOKUP(A2587,'[1]Tissue Data'!$A:$A,'[1]Tissue Data'!L:L)</f>
        <v>5.5</v>
      </c>
      <c r="J2587">
        <f>_xlfn.XLOOKUP(A2587,'[1]Tissue Data'!$A:$A,'[1]Tissue Data'!M:M)</f>
        <v>2.25</v>
      </c>
      <c r="K2587" t="s">
        <v>47</v>
      </c>
      <c r="L2587" t="str">
        <f>_xlfn.XLOOKUP(K2587,[2]analyte_order!$B:$B,[2]analyte_order!$C:$C)</f>
        <v>356-02-5</v>
      </c>
      <c r="M2587">
        <f>_xlfn.XLOOKUP(L2587,[2]analyte_order!$C:$C,[2]analyte_order!$E:$E)</f>
        <v>38</v>
      </c>
      <c r="N2587">
        <v>8.4000000000000005E-2</v>
      </c>
    </row>
    <row r="2588" spans="1:14">
      <c r="A2588" t="s">
        <v>190</v>
      </c>
      <c r="B2588" t="str">
        <f>_xlfn.XLOOKUP(A2588,'[1]Tissue Data'!$A:$A,'[1]Tissue Data'!$C:$C)</f>
        <v>Spill</v>
      </c>
      <c r="C2588" s="2">
        <f>_xlfn.XLOOKUP(A2588,'[1]Tissue Data'!$A:$A,'[1]Tissue Data'!$D:$D)</f>
        <v>44314</v>
      </c>
      <c r="D2588" s="2" t="str">
        <f>_xlfn.XLOOKUP(A2588,'[1]Tissue Data'!$A:$A,'[1]Tissue Data'!$F:$F)</f>
        <v>Swallowtail Shiner</v>
      </c>
      <c r="E2588" t="str">
        <f>_xlfn.XLOOKUP(A2588,'[1]Tissue Data'!$A:$A,'[1]Tissue Data'!$H:$H)</f>
        <v>Notropis</v>
      </c>
      <c r="F2588" t="str">
        <f>_xlfn.XLOOKUP(A2588,'[1]Tissue Data'!$A:$A,'[1]Tissue Data'!$I:$I)</f>
        <v>procne</v>
      </c>
      <c r="G2588" t="str">
        <f>_xlfn.XLOOKUP(A2588,'[1]Tissue Data'!$A:$A,'[1]Tissue Data'!J:J)</f>
        <v>U</v>
      </c>
      <c r="H2588" t="str">
        <f>_xlfn.XLOOKUP(A2588,'[1]Tissue Data'!$A:$A,'[1]Tissue Data'!K:K)</f>
        <v>Whole Body</v>
      </c>
      <c r="I2588">
        <f>_xlfn.XLOOKUP(A2588,'[1]Tissue Data'!$A:$A,'[1]Tissue Data'!L:L)</f>
        <v>5.5</v>
      </c>
      <c r="J2588">
        <f>_xlfn.XLOOKUP(A2588,'[1]Tissue Data'!$A:$A,'[1]Tissue Data'!M:M)</f>
        <v>2.25</v>
      </c>
      <c r="K2588" t="s">
        <v>48</v>
      </c>
      <c r="L2588" t="str">
        <f>_xlfn.XLOOKUP(K2588,[2]analyte_order!$B:$B,[2]analyte_order!$C:$C)</f>
        <v>914637-49-3</v>
      </c>
      <c r="M2588">
        <f>_xlfn.XLOOKUP(L2588,[2]analyte_order!$C:$C,[2]analyte_order!$E:$E)</f>
        <v>39</v>
      </c>
      <c r="N2588">
        <v>2.1</v>
      </c>
    </row>
    <row r="2589" spans="1:14">
      <c r="A2589" t="s">
        <v>190</v>
      </c>
      <c r="B2589" t="str">
        <f>_xlfn.XLOOKUP(A2589,'[1]Tissue Data'!$A:$A,'[1]Tissue Data'!$C:$C)</f>
        <v>Spill</v>
      </c>
      <c r="C2589" s="2">
        <f>_xlfn.XLOOKUP(A2589,'[1]Tissue Data'!$A:$A,'[1]Tissue Data'!$D:$D)</f>
        <v>44314</v>
      </c>
      <c r="D2589" s="2" t="str">
        <f>_xlfn.XLOOKUP(A2589,'[1]Tissue Data'!$A:$A,'[1]Tissue Data'!$F:$F)</f>
        <v>Swallowtail Shiner</v>
      </c>
      <c r="E2589" t="str">
        <f>_xlfn.XLOOKUP(A2589,'[1]Tissue Data'!$A:$A,'[1]Tissue Data'!$H:$H)</f>
        <v>Notropis</v>
      </c>
      <c r="F2589" t="str">
        <f>_xlfn.XLOOKUP(A2589,'[1]Tissue Data'!$A:$A,'[1]Tissue Data'!$I:$I)</f>
        <v>procne</v>
      </c>
      <c r="G2589" t="str">
        <f>_xlfn.XLOOKUP(A2589,'[1]Tissue Data'!$A:$A,'[1]Tissue Data'!J:J)</f>
        <v>U</v>
      </c>
      <c r="H2589" t="str">
        <f>_xlfn.XLOOKUP(A2589,'[1]Tissue Data'!$A:$A,'[1]Tissue Data'!K:K)</f>
        <v>Whole Body</v>
      </c>
      <c r="I2589">
        <f>_xlfn.XLOOKUP(A2589,'[1]Tissue Data'!$A:$A,'[1]Tissue Data'!L:L)</f>
        <v>5.5</v>
      </c>
      <c r="J2589">
        <f>_xlfn.XLOOKUP(A2589,'[1]Tissue Data'!$A:$A,'[1]Tissue Data'!M:M)</f>
        <v>2.25</v>
      </c>
      <c r="K2589" t="s">
        <v>49</v>
      </c>
      <c r="L2589" t="str">
        <f>_xlfn.XLOOKUP(K2589,[2]analyte_order!$B:$B,[2]analyte_order!$C:$C)</f>
        <v>812-70-4</v>
      </c>
      <c r="M2589">
        <f>_xlfn.XLOOKUP(L2589,[2]analyte_order!$C:$C,[2]analyte_order!$E:$E)</f>
        <v>40</v>
      </c>
      <c r="N2589">
        <v>5.99</v>
      </c>
    </row>
    <row r="2590" spans="1:14">
      <c r="A2590" t="s">
        <v>190</v>
      </c>
      <c r="B2590" t="str">
        <f>_xlfn.XLOOKUP(A2590,'[1]Tissue Data'!$A:$A,'[1]Tissue Data'!$C:$C)</f>
        <v>Spill</v>
      </c>
      <c r="C2590" s="2">
        <f>_xlfn.XLOOKUP(A2590,'[1]Tissue Data'!$A:$A,'[1]Tissue Data'!$D:$D)</f>
        <v>44314</v>
      </c>
      <c r="D2590" s="2" t="str">
        <f>_xlfn.XLOOKUP(A2590,'[1]Tissue Data'!$A:$A,'[1]Tissue Data'!$F:$F)</f>
        <v>Swallowtail Shiner</v>
      </c>
      <c r="E2590" t="str">
        <f>_xlfn.XLOOKUP(A2590,'[1]Tissue Data'!$A:$A,'[1]Tissue Data'!$H:$H)</f>
        <v>Notropis</v>
      </c>
      <c r="F2590" t="str">
        <f>_xlfn.XLOOKUP(A2590,'[1]Tissue Data'!$A:$A,'[1]Tissue Data'!$I:$I)</f>
        <v>procne</v>
      </c>
      <c r="G2590" t="str">
        <f>_xlfn.XLOOKUP(A2590,'[1]Tissue Data'!$A:$A,'[1]Tissue Data'!J:J)</f>
        <v>U</v>
      </c>
      <c r="H2590" t="str">
        <f>_xlfn.XLOOKUP(A2590,'[1]Tissue Data'!$A:$A,'[1]Tissue Data'!K:K)</f>
        <v>Whole Body</v>
      </c>
      <c r="I2590">
        <f>_xlfn.XLOOKUP(A2590,'[1]Tissue Data'!$A:$A,'[1]Tissue Data'!L:L)</f>
        <v>5.5</v>
      </c>
      <c r="J2590">
        <f>_xlfn.XLOOKUP(A2590,'[1]Tissue Data'!$A:$A,'[1]Tissue Data'!M:M)</f>
        <v>2.25</v>
      </c>
      <c r="K2590" t="s">
        <v>50</v>
      </c>
      <c r="L2590" t="str">
        <f>_xlfn.XLOOKUP(K2590,[2]analyte_order!$B:$B,[2]analyte_order!$C:$C)</f>
        <v>53826-12-3</v>
      </c>
      <c r="M2590">
        <f>_xlfn.XLOOKUP(L2590,[2]analyte_order!$C:$C,[2]analyte_order!$E:$E)</f>
        <v>41</v>
      </c>
      <c r="N2590">
        <v>4.6800000000000001E-2</v>
      </c>
    </row>
    <row r="2591" spans="1:14">
      <c r="A2591" t="s">
        <v>190</v>
      </c>
      <c r="B2591" t="str">
        <f>_xlfn.XLOOKUP(A2591,'[1]Tissue Data'!$A:$A,'[1]Tissue Data'!$C:$C)</f>
        <v>Spill</v>
      </c>
      <c r="C2591" s="2">
        <f>_xlfn.XLOOKUP(A2591,'[1]Tissue Data'!$A:$A,'[1]Tissue Data'!$D:$D)</f>
        <v>44314</v>
      </c>
      <c r="D2591" s="2" t="str">
        <f>_xlfn.XLOOKUP(A2591,'[1]Tissue Data'!$A:$A,'[1]Tissue Data'!$F:$F)</f>
        <v>Swallowtail Shiner</v>
      </c>
      <c r="E2591" t="str">
        <f>_xlfn.XLOOKUP(A2591,'[1]Tissue Data'!$A:$A,'[1]Tissue Data'!$H:$H)</f>
        <v>Notropis</v>
      </c>
      <c r="F2591" t="str">
        <f>_xlfn.XLOOKUP(A2591,'[1]Tissue Data'!$A:$A,'[1]Tissue Data'!$I:$I)</f>
        <v>procne</v>
      </c>
      <c r="G2591" t="str">
        <f>_xlfn.XLOOKUP(A2591,'[1]Tissue Data'!$A:$A,'[1]Tissue Data'!J:J)</f>
        <v>U</v>
      </c>
      <c r="H2591" t="str">
        <f>_xlfn.XLOOKUP(A2591,'[1]Tissue Data'!$A:$A,'[1]Tissue Data'!K:K)</f>
        <v>Whole Body</v>
      </c>
      <c r="I2591">
        <f>_xlfn.XLOOKUP(A2591,'[1]Tissue Data'!$A:$A,'[1]Tissue Data'!L:L)</f>
        <v>5.5</v>
      </c>
      <c r="J2591">
        <f>_xlfn.XLOOKUP(A2591,'[1]Tissue Data'!$A:$A,'[1]Tissue Data'!M:M)</f>
        <v>2.25</v>
      </c>
      <c r="K2591" t="s">
        <v>51</v>
      </c>
      <c r="L2591" t="str">
        <f>_xlfn.XLOOKUP(K2591,[2]analyte_order!$B:$B,[2]analyte_order!$C:$C)</f>
        <v>27854-31-5</v>
      </c>
      <c r="M2591">
        <f>_xlfn.XLOOKUP(L2591,[2]analyte_order!$C:$C,[2]analyte_order!$E:$E)</f>
        <v>42</v>
      </c>
      <c r="N2591">
        <v>2.9100000000000001E-2</v>
      </c>
    </row>
    <row r="2592" spans="1:14">
      <c r="A2592" t="s">
        <v>190</v>
      </c>
      <c r="B2592" t="str">
        <f>_xlfn.XLOOKUP(A2592,'[1]Tissue Data'!$A:$A,'[1]Tissue Data'!$C:$C)</f>
        <v>Spill</v>
      </c>
      <c r="C2592" s="2">
        <f>_xlfn.XLOOKUP(A2592,'[1]Tissue Data'!$A:$A,'[1]Tissue Data'!$D:$D)</f>
        <v>44314</v>
      </c>
      <c r="D2592" s="2" t="str">
        <f>_xlfn.XLOOKUP(A2592,'[1]Tissue Data'!$A:$A,'[1]Tissue Data'!$F:$F)</f>
        <v>Swallowtail Shiner</v>
      </c>
      <c r="E2592" t="str">
        <f>_xlfn.XLOOKUP(A2592,'[1]Tissue Data'!$A:$A,'[1]Tissue Data'!$H:$H)</f>
        <v>Notropis</v>
      </c>
      <c r="F2592" t="str">
        <f>_xlfn.XLOOKUP(A2592,'[1]Tissue Data'!$A:$A,'[1]Tissue Data'!$I:$I)</f>
        <v>procne</v>
      </c>
      <c r="G2592" t="str">
        <f>_xlfn.XLOOKUP(A2592,'[1]Tissue Data'!$A:$A,'[1]Tissue Data'!J:J)</f>
        <v>U</v>
      </c>
      <c r="H2592" t="str">
        <f>_xlfn.XLOOKUP(A2592,'[1]Tissue Data'!$A:$A,'[1]Tissue Data'!K:K)</f>
        <v>Whole Body</v>
      </c>
      <c r="I2592">
        <f>_xlfn.XLOOKUP(A2592,'[1]Tissue Data'!$A:$A,'[1]Tissue Data'!L:L)</f>
        <v>5.5</v>
      </c>
      <c r="J2592">
        <f>_xlfn.XLOOKUP(A2592,'[1]Tissue Data'!$A:$A,'[1]Tissue Data'!M:M)</f>
        <v>2.25</v>
      </c>
      <c r="K2592" t="s">
        <v>52</v>
      </c>
      <c r="L2592" t="str">
        <f>_xlfn.XLOOKUP(K2592,[2]analyte_order!$B:$B,[2]analyte_order!$C:$C)</f>
        <v>53826-13-4</v>
      </c>
      <c r="M2592">
        <f>_xlfn.XLOOKUP(L2592,[2]analyte_order!$C:$C,[2]analyte_order!$E:$E)</f>
        <v>43</v>
      </c>
      <c r="N2592">
        <v>0.109</v>
      </c>
    </row>
    <row r="2593" spans="1:14">
      <c r="A2593" t="s">
        <v>190</v>
      </c>
      <c r="B2593" t="str">
        <f>_xlfn.XLOOKUP(A2593,'[1]Tissue Data'!$A:$A,'[1]Tissue Data'!$C:$C)</f>
        <v>Spill</v>
      </c>
      <c r="C2593" s="2">
        <f>_xlfn.XLOOKUP(A2593,'[1]Tissue Data'!$A:$A,'[1]Tissue Data'!$D:$D)</f>
        <v>44314</v>
      </c>
      <c r="D2593" s="2" t="str">
        <f>_xlfn.XLOOKUP(A2593,'[1]Tissue Data'!$A:$A,'[1]Tissue Data'!$F:$F)</f>
        <v>Swallowtail Shiner</v>
      </c>
      <c r="E2593" t="str">
        <f>_xlfn.XLOOKUP(A2593,'[1]Tissue Data'!$A:$A,'[1]Tissue Data'!$H:$H)</f>
        <v>Notropis</v>
      </c>
      <c r="F2593" t="str">
        <f>_xlfn.XLOOKUP(A2593,'[1]Tissue Data'!$A:$A,'[1]Tissue Data'!$I:$I)</f>
        <v>procne</v>
      </c>
      <c r="G2593" t="str">
        <f>_xlfn.XLOOKUP(A2593,'[1]Tissue Data'!$A:$A,'[1]Tissue Data'!J:J)</f>
        <v>U</v>
      </c>
      <c r="H2593" t="str">
        <f>_xlfn.XLOOKUP(A2593,'[1]Tissue Data'!$A:$A,'[1]Tissue Data'!K:K)</f>
        <v>Whole Body</v>
      </c>
      <c r="I2593">
        <f>_xlfn.XLOOKUP(A2593,'[1]Tissue Data'!$A:$A,'[1]Tissue Data'!L:L)</f>
        <v>5.5</v>
      </c>
      <c r="J2593">
        <f>_xlfn.XLOOKUP(A2593,'[1]Tissue Data'!$A:$A,'[1]Tissue Data'!M:M)</f>
        <v>2.25</v>
      </c>
      <c r="K2593" t="s">
        <v>53</v>
      </c>
      <c r="L2593" t="str">
        <f>_xlfn.XLOOKUP(K2593,[2]analyte_order!$B:$B,[2]analyte_order!$C:$C)</f>
        <v>161094-75-3</v>
      </c>
      <c r="M2593">
        <f>_xlfn.XLOOKUP(L2593,[2]analyte_order!$C:$C,[2]analyte_order!$E:$E)</f>
        <v>44</v>
      </c>
      <c r="N2593">
        <v>5.7500000000000002E-2</v>
      </c>
    </row>
    <row r="2594" spans="1:14">
      <c r="A2594" t="s">
        <v>190</v>
      </c>
      <c r="B2594" t="str">
        <f>_xlfn.XLOOKUP(A2594,'[1]Tissue Data'!$A:$A,'[1]Tissue Data'!$C:$C)</f>
        <v>Spill</v>
      </c>
      <c r="C2594" s="2">
        <f>_xlfn.XLOOKUP(A2594,'[1]Tissue Data'!$A:$A,'[1]Tissue Data'!$D:$D)</f>
        <v>44314</v>
      </c>
      <c r="D2594" s="2" t="str">
        <f>_xlfn.XLOOKUP(A2594,'[1]Tissue Data'!$A:$A,'[1]Tissue Data'!$F:$F)</f>
        <v>Swallowtail Shiner</v>
      </c>
      <c r="E2594" t="str">
        <f>_xlfn.XLOOKUP(A2594,'[1]Tissue Data'!$A:$A,'[1]Tissue Data'!$H:$H)</f>
        <v>Notropis</v>
      </c>
      <c r="F2594" t="str">
        <f>_xlfn.XLOOKUP(A2594,'[1]Tissue Data'!$A:$A,'[1]Tissue Data'!$I:$I)</f>
        <v>procne</v>
      </c>
      <c r="G2594" t="str">
        <f>_xlfn.XLOOKUP(A2594,'[1]Tissue Data'!$A:$A,'[1]Tissue Data'!J:J)</f>
        <v>U</v>
      </c>
      <c r="H2594" t="str">
        <f>_xlfn.XLOOKUP(A2594,'[1]Tissue Data'!$A:$A,'[1]Tissue Data'!K:K)</f>
        <v>Whole Body</v>
      </c>
      <c r="I2594">
        <f>_xlfn.XLOOKUP(A2594,'[1]Tissue Data'!$A:$A,'[1]Tissue Data'!L:L)</f>
        <v>5.5</v>
      </c>
      <c r="J2594">
        <f>_xlfn.XLOOKUP(A2594,'[1]Tissue Data'!$A:$A,'[1]Tissue Data'!M:M)</f>
        <v>2.25</v>
      </c>
      <c r="K2594" t="s">
        <v>54</v>
      </c>
      <c r="L2594" t="str">
        <f>_xlfn.XLOOKUP(K2594,[2]analyte_order!$B:$B,[2]analyte_order!$C:$C)</f>
        <v>70887-84-2</v>
      </c>
      <c r="M2594">
        <f>_xlfn.XLOOKUP(L2594,[2]analyte_order!$C:$C,[2]analyte_order!$E:$E)</f>
        <v>45</v>
      </c>
      <c r="N2594">
        <v>4.41E-2</v>
      </c>
    </row>
    <row r="2595" spans="1:14">
      <c r="A2595" t="s">
        <v>190</v>
      </c>
      <c r="B2595" t="str">
        <f>_xlfn.XLOOKUP(A2595,'[1]Tissue Data'!$A:$A,'[1]Tissue Data'!$C:$C)</f>
        <v>Spill</v>
      </c>
      <c r="C2595" s="2">
        <f>_xlfn.XLOOKUP(A2595,'[1]Tissue Data'!$A:$A,'[1]Tissue Data'!$D:$D)</f>
        <v>44314</v>
      </c>
      <c r="D2595" s="2" t="str">
        <f>_xlfn.XLOOKUP(A2595,'[1]Tissue Data'!$A:$A,'[1]Tissue Data'!$F:$F)</f>
        <v>Swallowtail Shiner</v>
      </c>
      <c r="E2595" t="str">
        <f>_xlfn.XLOOKUP(A2595,'[1]Tissue Data'!$A:$A,'[1]Tissue Data'!$H:$H)</f>
        <v>Notropis</v>
      </c>
      <c r="F2595" t="str">
        <f>_xlfn.XLOOKUP(A2595,'[1]Tissue Data'!$A:$A,'[1]Tissue Data'!$I:$I)</f>
        <v>procne</v>
      </c>
      <c r="G2595" t="str">
        <f>_xlfn.XLOOKUP(A2595,'[1]Tissue Data'!$A:$A,'[1]Tissue Data'!J:J)</f>
        <v>U</v>
      </c>
      <c r="H2595" t="str">
        <f>_xlfn.XLOOKUP(A2595,'[1]Tissue Data'!$A:$A,'[1]Tissue Data'!K:K)</f>
        <v>Whole Body</v>
      </c>
      <c r="I2595">
        <f>_xlfn.XLOOKUP(A2595,'[1]Tissue Data'!$A:$A,'[1]Tissue Data'!L:L)</f>
        <v>5.5</v>
      </c>
      <c r="J2595">
        <f>_xlfn.XLOOKUP(A2595,'[1]Tissue Data'!$A:$A,'[1]Tissue Data'!M:M)</f>
        <v>2.25</v>
      </c>
      <c r="K2595" t="s">
        <v>55</v>
      </c>
      <c r="L2595" t="str">
        <f>_xlfn.XLOOKUP(K2595,[2]analyte_order!$B:$B,[2]analyte_order!$C:$C)</f>
        <v>919005-14-4</v>
      </c>
      <c r="M2595">
        <f>_xlfn.XLOOKUP(L2595,[2]analyte_order!$C:$C,[2]analyte_order!$E:$E)</f>
        <v>35</v>
      </c>
      <c r="N2595">
        <v>7.2999999999999995E-2</v>
      </c>
    </row>
    <row r="2596" spans="1:14">
      <c r="A2596" t="s">
        <v>190</v>
      </c>
      <c r="B2596" t="str">
        <f>_xlfn.XLOOKUP(A2596,'[1]Tissue Data'!$A:$A,'[1]Tissue Data'!$C:$C)</f>
        <v>Spill</v>
      </c>
      <c r="C2596" s="2">
        <f>_xlfn.XLOOKUP(A2596,'[1]Tissue Data'!$A:$A,'[1]Tissue Data'!$D:$D)</f>
        <v>44314</v>
      </c>
      <c r="D2596" s="2" t="str">
        <f>_xlfn.XLOOKUP(A2596,'[1]Tissue Data'!$A:$A,'[1]Tissue Data'!$F:$F)</f>
        <v>Swallowtail Shiner</v>
      </c>
      <c r="E2596" t="str">
        <f>_xlfn.XLOOKUP(A2596,'[1]Tissue Data'!$A:$A,'[1]Tissue Data'!$H:$H)</f>
        <v>Notropis</v>
      </c>
      <c r="F2596" t="str">
        <f>_xlfn.XLOOKUP(A2596,'[1]Tissue Data'!$A:$A,'[1]Tissue Data'!$I:$I)</f>
        <v>procne</v>
      </c>
      <c r="G2596" t="str">
        <f>_xlfn.XLOOKUP(A2596,'[1]Tissue Data'!$A:$A,'[1]Tissue Data'!J:J)</f>
        <v>U</v>
      </c>
      <c r="H2596" t="str">
        <f>_xlfn.XLOOKUP(A2596,'[1]Tissue Data'!$A:$A,'[1]Tissue Data'!K:K)</f>
        <v>Whole Body</v>
      </c>
      <c r="I2596">
        <f>_xlfn.XLOOKUP(A2596,'[1]Tissue Data'!$A:$A,'[1]Tissue Data'!L:L)</f>
        <v>5.5</v>
      </c>
      <c r="J2596">
        <f>_xlfn.XLOOKUP(A2596,'[1]Tissue Data'!$A:$A,'[1]Tissue Data'!M:M)</f>
        <v>2.25</v>
      </c>
      <c r="K2596" t="s">
        <v>56</v>
      </c>
      <c r="L2596" t="str">
        <f>_xlfn.XLOOKUP(K2596,[2]analyte_order!$B:$B,[2]analyte_order!$C:$C)</f>
        <v>756426-58-1</v>
      </c>
      <c r="M2596">
        <f>_xlfn.XLOOKUP(L2596,[2]analyte_order!$C:$C,[2]analyte_order!$E:$E)</f>
        <v>36</v>
      </c>
      <c r="N2596">
        <v>5.0500000000000003E-2</v>
      </c>
    </row>
    <row r="2597" spans="1:14">
      <c r="A2597" t="s">
        <v>190</v>
      </c>
      <c r="B2597" t="str">
        <f>_xlfn.XLOOKUP(A2597,'[1]Tissue Data'!$A:$A,'[1]Tissue Data'!$C:$C)</f>
        <v>Spill</v>
      </c>
      <c r="C2597" s="2">
        <f>_xlfn.XLOOKUP(A2597,'[1]Tissue Data'!$A:$A,'[1]Tissue Data'!$D:$D)</f>
        <v>44314</v>
      </c>
      <c r="D2597" s="2" t="str">
        <f>_xlfn.XLOOKUP(A2597,'[1]Tissue Data'!$A:$A,'[1]Tissue Data'!$F:$F)</f>
        <v>Swallowtail Shiner</v>
      </c>
      <c r="E2597" t="str">
        <f>_xlfn.XLOOKUP(A2597,'[1]Tissue Data'!$A:$A,'[1]Tissue Data'!$H:$H)</f>
        <v>Notropis</v>
      </c>
      <c r="F2597" t="str">
        <f>_xlfn.XLOOKUP(A2597,'[1]Tissue Data'!$A:$A,'[1]Tissue Data'!$I:$I)</f>
        <v>procne</v>
      </c>
      <c r="G2597" t="str">
        <f>_xlfn.XLOOKUP(A2597,'[1]Tissue Data'!$A:$A,'[1]Tissue Data'!J:J)</f>
        <v>U</v>
      </c>
      <c r="H2597" t="str">
        <f>_xlfn.XLOOKUP(A2597,'[1]Tissue Data'!$A:$A,'[1]Tissue Data'!K:K)</f>
        <v>Whole Body</v>
      </c>
      <c r="I2597">
        <f>_xlfn.XLOOKUP(A2597,'[1]Tissue Data'!$A:$A,'[1]Tissue Data'!L:L)</f>
        <v>5.5</v>
      </c>
      <c r="J2597">
        <f>_xlfn.XLOOKUP(A2597,'[1]Tissue Data'!$A:$A,'[1]Tissue Data'!M:M)</f>
        <v>2.25</v>
      </c>
      <c r="K2597" t="s">
        <v>57</v>
      </c>
      <c r="L2597" t="str">
        <f>_xlfn.XLOOKUP(K2597,[2]analyte_order!$B:$B,[2]analyte_order!$C:$C)</f>
        <v>763051-92-9</v>
      </c>
      <c r="M2597">
        <f>_xlfn.XLOOKUP(L2597,[2]analyte_order!$C:$C,[2]analyte_order!$E:$E)</f>
        <v>37</v>
      </c>
      <c r="N2597">
        <v>5.7500000000000002E-2</v>
      </c>
    </row>
    <row r="2598" spans="1:14">
      <c r="A2598" t="s">
        <v>190</v>
      </c>
      <c r="B2598" t="str">
        <f>_xlfn.XLOOKUP(A2598,'[1]Tissue Data'!$A:$A,'[1]Tissue Data'!$C:$C)</f>
        <v>Spill</v>
      </c>
      <c r="C2598" s="2">
        <f>_xlfn.XLOOKUP(A2598,'[1]Tissue Data'!$A:$A,'[1]Tissue Data'!$D:$D)</f>
        <v>44314</v>
      </c>
      <c r="D2598" s="2" t="str">
        <f>_xlfn.XLOOKUP(A2598,'[1]Tissue Data'!$A:$A,'[1]Tissue Data'!$F:$F)</f>
        <v>Swallowtail Shiner</v>
      </c>
      <c r="E2598" t="str">
        <f>_xlfn.XLOOKUP(A2598,'[1]Tissue Data'!$A:$A,'[1]Tissue Data'!$H:$H)</f>
        <v>Notropis</v>
      </c>
      <c r="F2598" t="str">
        <f>_xlfn.XLOOKUP(A2598,'[1]Tissue Data'!$A:$A,'[1]Tissue Data'!$I:$I)</f>
        <v>procne</v>
      </c>
      <c r="G2598" t="str">
        <f>_xlfn.XLOOKUP(A2598,'[1]Tissue Data'!$A:$A,'[1]Tissue Data'!J:J)</f>
        <v>U</v>
      </c>
      <c r="H2598" t="str">
        <f>_xlfn.XLOOKUP(A2598,'[1]Tissue Data'!$A:$A,'[1]Tissue Data'!K:K)</f>
        <v>Whole Body</v>
      </c>
      <c r="I2598">
        <f>_xlfn.XLOOKUP(A2598,'[1]Tissue Data'!$A:$A,'[1]Tissue Data'!L:L)</f>
        <v>5.5</v>
      </c>
      <c r="J2598">
        <f>_xlfn.XLOOKUP(A2598,'[1]Tissue Data'!$A:$A,'[1]Tissue Data'!M:M)</f>
        <v>2.25</v>
      </c>
      <c r="K2598" t="s">
        <v>58</v>
      </c>
      <c r="L2598" t="str">
        <f>_xlfn.XLOOKUP(K2598,[2]analyte_order!$B:$B,[2]analyte_order!$C:$C)</f>
        <v>13252-13-6</v>
      </c>
      <c r="M2598">
        <f>_xlfn.XLOOKUP(L2598,[2]analyte_order!$C:$C,[2]analyte_order!$E:$E)</f>
        <v>34</v>
      </c>
      <c r="N2598">
        <v>0.1045</v>
      </c>
    </row>
    <row r="2599" spans="1:14">
      <c r="A2599" t="s">
        <v>190</v>
      </c>
      <c r="B2599" t="str">
        <f>_xlfn.XLOOKUP(A2599,'[1]Tissue Data'!$A:$A,'[1]Tissue Data'!$C:$C)</f>
        <v>Spill</v>
      </c>
      <c r="C2599" s="2">
        <f>_xlfn.XLOOKUP(A2599,'[1]Tissue Data'!$A:$A,'[1]Tissue Data'!$D:$D)</f>
        <v>44314</v>
      </c>
      <c r="D2599" s="2" t="str">
        <f>_xlfn.XLOOKUP(A2599,'[1]Tissue Data'!$A:$A,'[1]Tissue Data'!$F:$F)</f>
        <v>Swallowtail Shiner</v>
      </c>
      <c r="E2599" t="str">
        <f>_xlfn.XLOOKUP(A2599,'[1]Tissue Data'!$A:$A,'[1]Tissue Data'!$H:$H)</f>
        <v>Notropis</v>
      </c>
      <c r="F2599" t="str">
        <f>_xlfn.XLOOKUP(A2599,'[1]Tissue Data'!$A:$A,'[1]Tissue Data'!$I:$I)</f>
        <v>procne</v>
      </c>
      <c r="G2599" t="str">
        <f>_xlfn.XLOOKUP(A2599,'[1]Tissue Data'!$A:$A,'[1]Tissue Data'!J:J)</f>
        <v>U</v>
      </c>
      <c r="H2599" t="str">
        <f>_xlfn.XLOOKUP(A2599,'[1]Tissue Data'!$A:$A,'[1]Tissue Data'!K:K)</f>
        <v>Whole Body</v>
      </c>
      <c r="I2599">
        <f>_xlfn.XLOOKUP(A2599,'[1]Tissue Data'!$A:$A,'[1]Tissue Data'!L:L)</f>
        <v>5.5</v>
      </c>
      <c r="J2599">
        <f>_xlfn.XLOOKUP(A2599,'[1]Tissue Data'!$A:$A,'[1]Tissue Data'!M:M)</f>
        <v>2.25</v>
      </c>
      <c r="K2599" t="s">
        <v>59</v>
      </c>
      <c r="L2599" t="str">
        <f>_xlfn.XLOOKUP(K2599,[2]analyte_order!$B:$B,[2]analyte_order!$C:$C)</f>
        <v>57677-95-9</v>
      </c>
      <c r="M2599">
        <f>_xlfn.XLOOKUP(L2599,[2]analyte_order!$C:$C,[2]analyte_order!$E:$E)</f>
        <v>46</v>
      </c>
      <c r="N2599">
        <v>7.7499999999999999E-2</v>
      </c>
    </row>
    <row r="2600" spans="1:14">
      <c r="A2600" t="s">
        <v>190</v>
      </c>
      <c r="B2600" t="str">
        <f>_xlfn.XLOOKUP(A2600,'[1]Tissue Data'!$A:$A,'[1]Tissue Data'!$C:$C)</f>
        <v>Spill</v>
      </c>
      <c r="C2600" s="2">
        <f>_xlfn.XLOOKUP(A2600,'[1]Tissue Data'!$A:$A,'[1]Tissue Data'!$D:$D)</f>
        <v>44314</v>
      </c>
      <c r="D2600" s="2" t="str">
        <f>_xlfn.XLOOKUP(A2600,'[1]Tissue Data'!$A:$A,'[1]Tissue Data'!$F:$F)</f>
        <v>Swallowtail Shiner</v>
      </c>
      <c r="E2600" t="str">
        <f>_xlfn.XLOOKUP(A2600,'[1]Tissue Data'!$A:$A,'[1]Tissue Data'!$H:$H)</f>
        <v>Notropis</v>
      </c>
      <c r="F2600" t="str">
        <f>_xlfn.XLOOKUP(A2600,'[1]Tissue Data'!$A:$A,'[1]Tissue Data'!$I:$I)</f>
        <v>procne</v>
      </c>
      <c r="G2600" t="str">
        <f>_xlfn.XLOOKUP(A2600,'[1]Tissue Data'!$A:$A,'[1]Tissue Data'!J:J)</f>
        <v>U</v>
      </c>
      <c r="H2600" t="str">
        <f>_xlfn.XLOOKUP(A2600,'[1]Tissue Data'!$A:$A,'[1]Tissue Data'!K:K)</f>
        <v>Whole Body</v>
      </c>
      <c r="I2600">
        <f>_xlfn.XLOOKUP(A2600,'[1]Tissue Data'!$A:$A,'[1]Tissue Data'!L:L)</f>
        <v>5.5</v>
      </c>
      <c r="J2600">
        <f>_xlfn.XLOOKUP(A2600,'[1]Tissue Data'!$A:$A,'[1]Tissue Data'!M:M)</f>
        <v>2.25</v>
      </c>
      <c r="K2600" t="s">
        <v>60</v>
      </c>
      <c r="L2600" t="str">
        <f>_xlfn.XLOOKUP(K2600,[2]analyte_order!$B:$B,[2]analyte_order!$C:$C)</f>
        <v>678-41-1</v>
      </c>
      <c r="M2600">
        <f>_xlfn.XLOOKUP(L2600,[2]analyte_order!$C:$C,[2]analyte_order!$E:$E)</f>
        <v>56</v>
      </c>
      <c r="N2600">
        <v>9.6500000000000002E-2</v>
      </c>
    </row>
    <row r="2601" spans="1:14">
      <c r="A2601" t="s">
        <v>190</v>
      </c>
      <c r="B2601" t="str">
        <f>_xlfn.XLOOKUP(A2601,'[1]Tissue Data'!$A:$A,'[1]Tissue Data'!$C:$C)</f>
        <v>Spill</v>
      </c>
      <c r="C2601" s="2">
        <f>_xlfn.XLOOKUP(A2601,'[1]Tissue Data'!$A:$A,'[1]Tissue Data'!$D:$D)</f>
        <v>44314</v>
      </c>
      <c r="D2601" s="2" t="str">
        <f>_xlfn.XLOOKUP(A2601,'[1]Tissue Data'!$A:$A,'[1]Tissue Data'!$F:$F)</f>
        <v>Swallowtail Shiner</v>
      </c>
      <c r="E2601" t="str">
        <f>_xlfn.XLOOKUP(A2601,'[1]Tissue Data'!$A:$A,'[1]Tissue Data'!$H:$H)</f>
        <v>Notropis</v>
      </c>
      <c r="F2601" t="str">
        <f>_xlfn.XLOOKUP(A2601,'[1]Tissue Data'!$A:$A,'[1]Tissue Data'!$I:$I)</f>
        <v>procne</v>
      </c>
      <c r="G2601" t="str">
        <f>_xlfn.XLOOKUP(A2601,'[1]Tissue Data'!$A:$A,'[1]Tissue Data'!J:J)</f>
        <v>U</v>
      </c>
      <c r="H2601" t="str">
        <f>_xlfn.XLOOKUP(A2601,'[1]Tissue Data'!$A:$A,'[1]Tissue Data'!K:K)</f>
        <v>Whole Body</v>
      </c>
      <c r="I2601">
        <f>_xlfn.XLOOKUP(A2601,'[1]Tissue Data'!$A:$A,'[1]Tissue Data'!L:L)</f>
        <v>5.5</v>
      </c>
      <c r="J2601">
        <f>_xlfn.XLOOKUP(A2601,'[1]Tissue Data'!$A:$A,'[1]Tissue Data'!M:M)</f>
        <v>2.25</v>
      </c>
      <c r="K2601" t="s">
        <v>61</v>
      </c>
      <c r="L2601" t="str">
        <f>_xlfn.XLOOKUP(K2601,[2]analyte_order!$B:$B,[2]analyte_order!$C:$C)</f>
        <v>2965-52-8</v>
      </c>
      <c r="M2601">
        <f>_xlfn.XLOOKUP(L2601,[2]analyte_order!$C:$C,[2]analyte_order!$E:$E)</f>
        <v>57</v>
      </c>
      <c r="N2601">
        <v>0.128</v>
      </c>
    </row>
    <row r="2602" spans="1:14">
      <c r="A2602" t="s">
        <v>191</v>
      </c>
      <c r="B2602" t="str">
        <f>_xlfn.XLOOKUP(A2602,'[1]Tissue Data'!$A:$A,'[1]Tissue Data'!$C:$C)</f>
        <v>Spill</v>
      </c>
      <c r="C2602" s="2">
        <f>_xlfn.XLOOKUP(A2602,'[1]Tissue Data'!$A:$A,'[1]Tissue Data'!$D:$D)</f>
        <v>44314</v>
      </c>
      <c r="D2602" s="2" t="str">
        <f>_xlfn.XLOOKUP(A2602,'[1]Tissue Data'!$A:$A,'[1]Tissue Data'!$F:$F)</f>
        <v>Swallowtail Shiner</v>
      </c>
      <c r="E2602" t="str">
        <f>_xlfn.XLOOKUP(A2602,'[1]Tissue Data'!$A:$A,'[1]Tissue Data'!$H:$H)</f>
        <v>Notropis</v>
      </c>
      <c r="F2602" t="str">
        <f>_xlfn.XLOOKUP(A2602,'[1]Tissue Data'!$A:$A,'[1]Tissue Data'!$I:$I)</f>
        <v>procne</v>
      </c>
      <c r="G2602" t="str">
        <f>_xlfn.XLOOKUP(A2602,'[1]Tissue Data'!$A:$A,'[1]Tissue Data'!J:J)</f>
        <v>U</v>
      </c>
      <c r="H2602" t="str">
        <f>_xlfn.XLOOKUP(A2602,'[1]Tissue Data'!$A:$A,'[1]Tissue Data'!K:K)</f>
        <v>Whole Body</v>
      </c>
      <c r="I2602">
        <f>_xlfn.XLOOKUP(A2602,'[1]Tissue Data'!$A:$A,'[1]Tissue Data'!L:L)</f>
        <v>5.5</v>
      </c>
      <c r="J2602">
        <f>_xlfn.XLOOKUP(A2602,'[1]Tissue Data'!$A:$A,'[1]Tissue Data'!M:M)</f>
        <v>2.1</v>
      </c>
      <c r="K2602" t="s">
        <v>12</v>
      </c>
      <c r="L2602" t="str">
        <f>_xlfn.XLOOKUP(K2602,[2]analyte_order!$B:$B,[2]analyte_order!$C:$C)</f>
        <v>375-22-4</v>
      </c>
      <c r="M2602">
        <f>_xlfn.XLOOKUP(L2602,[2]analyte_order!$C:$C,[2]analyte_order!$E:$E)</f>
        <v>1</v>
      </c>
      <c r="N2602">
        <v>3.0300000000000001E-2</v>
      </c>
    </row>
    <row r="2603" spans="1:14">
      <c r="A2603" t="s">
        <v>191</v>
      </c>
      <c r="B2603" t="str">
        <f>_xlfn.XLOOKUP(A2603,'[1]Tissue Data'!$A:$A,'[1]Tissue Data'!$C:$C)</f>
        <v>Spill</v>
      </c>
      <c r="C2603" s="2">
        <f>_xlfn.XLOOKUP(A2603,'[1]Tissue Data'!$A:$A,'[1]Tissue Data'!$D:$D)</f>
        <v>44314</v>
      </c>
      <c r="D2603" s="2" t="str">
        <f>_xlfn.XLOOKUP(A2603,'[1]Tissue Data'!$A:$A,'[1]Tissue Data'!$F:$F)</f>
        <v>Swallowtail Shiner</v>
      </c>
      <c r="E2603" t="str">
        <f>_xlfn.XLOOKUP(A2603,'[1]Tissue Data'!$A:$A,'[1]Tissue Data'!$H:$H)</f>
        <v>Notropis</v>
      </c>
      <c r="F2603" t="str">
        <f>_xlfn.XLOOKUP(A2603,'[1]Tissue Data'!$A:$A,'[1]Tissue Data'!$I:$I)</f>
        <v>procne</v>
      </c>
      <c r="G2603" t="str">
        <f>_xlfn.XLOOKUP(A2603,'[1]Tissue Data'!$A:$A,'[1]Tissue Data'!J:J)</f>
        <v>U</v>
      </c>
      <c r="H2603" t="str">
        <f>_xlfn.XLOOKUP(A2603,'[1]Tissue Data'!$A:$A,'[1]Tissue Data'!K:K)</f>
        <v>Whole Body</v>
      </c>
      <c r="I2603">
        <f>_xlfn.XLOOKUP(A2603,'[1]Tissue Data'!$A:$A,'[1]Tissue Data'!L:L)</f>
        <v>5.5</v>
      </c>
      <c r="J2603">
        <f>_xlfn.XLOOKUP(A2603,'[1]Tissue Data'!$A:$A,'[1]Tissue Data'!M:M)</f>
        <v>2.1</v>
      </c>
      <c r="K2603" t="s">
        <v>13</v>
      </c>
      <c r="L2603" t="str">
        <f>_xlfn.XLOOKUP(K2603,[2]analyte_order!$B:$B,[2]analyte_order!$C:$C)</f>
        <v>2706-90-3</v>
      </c>
      <c r="M2603">
        <f>_xlfn.XLOOKUP(L2603,[2]analyte_order!$C:$C,[2]analyte_order!$E:$E)</f>
        <v>2</v>
      </c>
      <c r="N2603">
        <v>5.3499999999999999E-2</v>
      </c>
    </row>
    <row r="2604" spans="1:14">
      <c r="A2604" t="s">
        <v>191</v>
      </c>
      <c r="B2604" t="str">
        <f>_xlfn.XLOOKUP(A2604,'[1]Tissue Data'!$A:$A,'[1]Tissue Data'!$C:$C)</f>
        <v>Spill</v>
      </c>
      <c r="C2604" s="2">
        <f>_xlfn.XLOOKUP(A2604,'[1]Tissue Data'!$A:$A,'[1]Tissue Data'!$D:$D)</f>
        <v>44314</v>
      </c>
      <c r="D2604" s="2" t="str">
        <f>_xlfn.XLOOKUP(A2604,'[1]Tissue Data'!$A:$A,'[1]Tissue Data'!$F:$F)</f>
        <v>Swallowtail Shiner</v>
      </c>
      <c r="E2604" t="str">
        <f>_xlfn.XLOOKUP(A2604,'[1]Tissue Data'!$A:$A,'[1]Tissue Data'!$H:$H)</f>
        <v>Notropis</v>
      </c>
      <c r="F2604" t="str">
        <f>_xlfn.XLOOKUP(A2604,'[1]Tissue Data'!$A:$A,'[1]Tissue Data'!$I:$I)</f>
        <v>procne</v>
      </c>
      <c r="G2604" t="str">
        <f>_xlfn.XLOOKUP(A2604,'[1]Tissue Data'!$A:$A,'[1]Tissue Data'!J:J)</f>
        <v>U</v>
      </c>
      <c r="H2604" t="str">
        <f>_xlfn.XLOOKUP(A2604,'[1]Tissue Data'!$A:$A,'[1]Tissue Data'!K:K)</f>
        <v>Whole Body</v>
      </c>
      <c r="I2604">
        <f>_xlfn.XLOOKUP(A2604,'[1]Tissue Data'!$A:$A,'[1]Tissue Data'!L:L)</f>
        <v>5.5</v>
      </c>
      <c r="J2604">
        <f>_xlfn.XLOOKUP(A2604,'[1]Tissue Data'!$A:$A,'[1]Tissue Data'!M:M)</f>
        <v>2.1</v>
      </c>
      <c r="K2604" t="s">
        <v>14</v>
      </c>
      <c r="L2604" t="str">
        <f>_xlfn.XLOOKUP(K2604,[2]analyte_order!$B:$B,[2]analyte_order!$C:$C)</f>
        <v>307-24-4</v>
      </c>
      <c r="M2604">
        <f>_xlfn.XLOOKUP(L2604,[2]analyte_order!$C:$C,[2]analyte_order!$E:$E)</f>
        <v>3</v>
      </c>
      <c r="N2604">
        <v>0.13450000000000001</v>
      </c>
    </row>
    <row r="2605" spans="1:14">
      <c r="A2605" t="s">
        <v>191</v>
      </c>
      <c r="B2605" t="str">
        <f>_xlfn.XLOOKUP(A2605,'[1]Tissue Data'!$A:$A,'[1]Tissue Data'!$C:$C)</f>
        <v>Spill</v>
      </c>
      <c r="C2605" s="2">
        <f>_xlfn.XLOOKUP(A2605,'[1]Tissue Data'!$A:$A,'[1]Tissue Data'!$D:$D)</f>
        <v>44314</v>
      </c>
      <c r="D2605" s="2" t="str">
        <f>_xlfn.XLOOKUP(A2605,'[1]Tissue Data'!$A:$A,'[1]Tissue Data'!$F:$F)</f>
        <v>Swallowtail Shiner</v>
      </c>
      <c r="E2605" t="str">
        <f>_xlfn.XLOOKUP(A2605,'[1]Tissue Data'!$A:$A,'[1]Tissue Data'!$H:$H)</f>
        <v>Notropis</v>
      </c>
      <c r="F2605" t="str">
        <f>_xlfn.XLOOKUP(A2605,'[1]Tissue Data'!$A:$A,'[1]Tissue Data'!$I:$I)</f>
        <v>procne</v>
      </c>
      <c r="G2605" t="str">
        <f>_xlfn.XLOOKUP(A2605,'[1]Tissue Data'!$A:$A,'[1]Tissue Data'!J:J)</f>
        <v>U</v>
      </c>
      <c r="H2605" t="str">
        <f>_xlfn.XLOOKUP(A2605,'[1]Tissue Data'!$A:$A,'[1]Tissue Data'!K:K)</f>
        <v>Whole Body</v>
      </c>
      <c r="I2605">
        <f>_xlfn.XLOOKUP(A2605,'[1]Tissue Data'!$A:$A,'[1]Tissue Data'!L:L)</f>
        <v>5.5</v>
      </c>
      <c r="J2605">
        <f>_xlfn.XLOOKUP(A2605,'[1]Tissue Data'!$A:$A,'[1]Tissue Data'!M:M)</f>
        <v>2.1</v>
      </c>
      <c r="K2605" t="s">
        <v>15</v>
      </c>
      <c r="L2605" t="str">
        <f>_xlfn.XLOOKUP(K2605,[2]analyte_order!$B:$B,[2]analyte_order!$C:$C)</f>
        <v>375-85-9</v>
      </c>
      <c r="M2605">
        <f>_xlfn.XLOOKUP(L2605,[2]analyte_order!$C:$C,[2]analyte_order!$E:$E)</f>
        <v>4</v>
      </c>
      <c r="N2605">
        <v>0.1</v>
      </c>
    </row>
    <row r="2606" spans="1:14">
      <c r="A2606" t="s">
        <v>191</v>
      </c>
      <c r="B2606" t="str">
        <f>_xlfn.XLOOKUP(A2606,'[1]Tissue Data'!$A:$A,'[1]Tissue Data'!$C:$C)</f>
        <v>Spill</v>
      </c>
      <c r="C2606" s="2">
        <f>_xlfn.XLOOKUP(A2606,'[1]Tissue Data'!$A:$A,'[1]Tissue Data'!$D:$D)</f>
        <v>44314</v>
      </c>
      <c r="D2606" s="2" t="str">
        <f>_xlfn.XLOOKUP(A2606,'[1]Tissue Data'!$A:$A,'[1]Tissue Data'!$F:$F)</f>
        <v>Swallowtail Shiner</v>
      </c>
      <c r="E2606" t="str">
        <f>_xlfn.XLOOKUP(A2606,'[1]Tissue Data'!$A:$A,'[1]Tissue Data'!$H:$H)</f>
        <v>Notropis</v>
      </c>
      <c r="F2606" t="str">
        <f>_xlfn.XLOOKUP(A2606,'[1]Tissue Data'!$A:$A,'[1]Tissue Data'!$I:$I)</f>
        <v>procne</v>
      </c>
      <c r="G2606" t="str">
        <f>_xlfn.XLOOKUP(A2606,'[1]Tissue Data'!$A:$A,'[1]Tissue Data'!J:J)</f>
        <v>U</v>
      </c>
      <c r="H2606" t="str">
        <f>_xlfn.XLOOKUP(A2606,'[1]Tissue Data'!$A:$A,'[1]Tissue Data'!K:K)</f>
        <v>Whole Body</v>
      </c>
      <c r="I2606">
        <f>_xlfn.XLOOKUP(A2606,'[1]Tissue Data'!$A:$A,'[1]Tissue Data'!L:L)</f>
        <v>5.5</v>
      </c>
      <c r="J2606">
        <f>_xlfn.XLOOKUP(A2606,'[1]Tissue Data'!$A:$A,'[1]Tissue Data'!M:M)</f>
        <v>2.1</v>
      </c>
      <c r="K2606" t="s">
        <v>16</v>
      </c>
      <c r="L2606" t="str">
        <f>_xlfn.XLOOKUP(K2606,[2]analyte_order!$B:$B,[2]analyte_order!$C:$C)</f>
        <v>335-67-1</v>
      </c>
      <c r="M2606">
        <f>_xlfn.XLOOKUP(L2606,[2]analyte_order!$C:$C,[2]analyte_order!$E:$E)</f>
        <v>5</v>
      </c>
      <c r="N2606">
        <v>1.97</v>
      </c>
    </row>
    <row r="2607" spans="1:14">
      <c r="A2607" t="s">
        <v>191</v>
      </c>
      <c r="B2607" t="str">
        <f>_xlfn.XLOOKUP(A2607,'[1]Tissue Data'!$A:$A,'[1]Tissue Data'!$C:$C)</f>
        <v>Spill</v>
      </c>
      <c r="C2607" s="2">
        <f>_xlfn.XLOOKUP(A2607,'[1]Tissue Data'!$A:$A,'[1]Tissue Data'!$D:$D)</f>
        <v>44314</v>
      </c>
      <c r="D2607" s="2" t="str">
        <f>_xlfn.XLOOKUP(A2607,'[1]Tissue Data'!$A:$A,'[1]Tissue Data'!$F:$F)</f>
        <v>Swallowtail Shiner</v>
      </c>
      <c r="E2607" t="str">
        <f>_xlfn.XLOOKUP(A2607,'[1]Tissue Data'!$A:$A,'[1]Tissue Data'!$H:$H)</f>
        <v>Notropis</v>
      </c>
      <c r="F2607" t="str">
        <f>_xlfn.XLOOKUP(A2607,'[1]Tissue Data'!$A:$A,'[1]Tissue Data'!$I:$I)</f>
        <v>procne</v>
      </c>
      <c r="G2607" t="str">
        <f>_xlfn.XLOOKUP(A2607,'[1]Tissue Data'!$A:$A,'[1]Tissue Data'!J:J)</f>
        <v>U</v>
      </c>
      <c r="H2607" t="str">
        <f>_xlfn.XLOOKUP(A2607,'[1]Tissue Data'!$A:$A,'[1]Tissue Data'!K:K)</f>
        <v>Whole Body</v>
      </c>
      <c r="I2607">
        <f>_xlfn.XLOOKUP(A2607,'[1]Tissue Data'!$A:$A,'[1]Tissue Data'!L:L)</f>
        <v>5.5</v>
      </c>
      <c r="J2607">
        <f>_xlfn.XLOOKUP(A2607,'[1]Tissue Data'!$A:$A,'[1]Tissue Data'!M:M)</f>
        <v>2.1</v>
      </c>
      <c r="K2607" t="s">
        <v>17</v>
      </c>
      <c r="L2607" t="str">
        <f>_xlfn.XLOOKUP(K2607,[2]analyte_order!$B:$B,[2]analyte_order!$C:$C)</f>
        <v>375-95-1</v>
      </c>
      <c r="M2607">
        <f>_xlfn.XLOOKUP(L2607,[2]analyte_order!$C:$C,[2]analyte_order!$E:$E)</f>
        <v>6</v>
      </c>
      <c r="N2607">
        <v>3.26</v>
      </c>
    </row>
    <row r="2608" spans="1:14">
      <c r="A2608" t="s">
        <v>191</v>
      </c>
      <c r="B2608" t="str">
        <f>_xlfn.XLOOKUP(A2608,'[1]Tissue Data'!$A:$A,'[1]Tissue Data'!$C:$C)</f>
        <v>Spill</v>
      </c>
      <c r="C2608" s="2">
        <f>_xlfn.XLOOKUP(A2608,'[1]Tissue Data'!$A:$A,'[1]Tissue Data'!$D:$D)</f>
        <v>44314</v>
      </c>
      <c r="D2608" s="2" t="str">
        <f>_xlfn.XLOOKUP(A2608,'[1]Tissue Data'!$A:$A,'[1]Tissue Data'!$F:$F)</f>
        <v>Swallowtail Shiner</v>
      </c>
      <c r="E2608" t="str">
        <f>_xlfn.XLOOKUP(A2608,'[1]Tissue Data'!$A:$A,'[1]Tissue Data'!$H:$H)</f>
        <v>Notropis</v>
      </c>
      <c r="F2608" t="str">
        <f>_xlfn.XLOOKUP(A2608,'[1]Tissue Data'!$A:$A,'[1]Tissue Data'!$I:$I)</f>
        <v>procne</v>
      </c>
      <c r="G2608" t="str">
        <f>_xlfn.XLOOKUP(A2608,'[1]Tissue Data'!$A:$A,'[1]Tissue Data'!J:J)</f>
        <v>U</v>
      </c>
      <c r="H2608" t="str">
        <f>_xlfn.XLOOKUP(A2608,'[1]Tissue Data'!$A:$A,'[1]Tissue Data'!K:K)</f>
        <v>Whole Body</v>
      </c>
      <c r="I2608">
        <f>_xlfn.XLOOKUP(A2608,'[1]Tissue Data'!$A:$A,'[1]Tissue Data'!L:L)</f>
        <v>5.5</v>
      </c>
      <c r="J2608">
        <f>_xlfn.XLOOKUP(A2608,'[1]Tissue Data'!$A:$A,'[1]Tissue Data'!M:M)</f>
        <v>2.1</v>
      </c>
      <c r="K2608" t="s">
        <v>18</v>
      </c>
      <c r="L2608" t="str">
        <f>_xlfn.XLOOKUP(K2608,[2]analyte_order!$B:$B,[2]analyte_order!$C:$C)</f>
        <v>335-76-2</v>
      </c>
      <c r="M2608">
        <f>_xlfn.XLOOKUP(L2608,[2]analyte_order!$C:$C,[2]analyte_order!$E:$E)</f>
        <v>7</v>
      </c>
      <c r="N2608">
        <v>12.1</v>
      </c>
    </row>
    <row r="2609" spans="1:14">
      <c r="A2609" t="s">
        <v>191</v>
      </c>
      <c r="B2609" t="str">
        <f>_xlfn.XLOOKUP(A2609,'[1]Tissue Data'!$A:$A,'[1]Tissue Data'!$C:$C)</f>
        <v>Spill</v>
      </c>
      <c r="C2609" s="2">
        <f>_xlfn.XLOOKUP(A2609,'[1]Tissue Data'!$A:$A,'[1]Tissue Data'!$D:$D)</f>
        <v>44314</v>
      </c>
      <c r="D2609" s="2" t="str">
        <f>_xlfn.XLOOKUP(A2609,'[1]Tissue Data'!$A:$A,'[1]Tissue Data'!$F:$F)</f>
        <v>Swallowtail Shiner</v>
      </c>
      <c r="E2609" t="str">
        <f>_xlfn.XLOOKUP(A2609,'[1]Tissue Data'!$A:$A,'[1]Tissue Data'!$H:$H)</f>
        <v>Notropis</v>
      </c>
      <c r="F2609" t="str">
        <f>_xlfn.XLOOKUP(A2609,'[1]Tissue Data'!$A:$A,'[1]Tissue Data'!$I:$I)</f>
        <v>procne</v>
      </c>
      <c r="G2609" t="str">
        <f>_xlfn.XLOOKUP(A2609,'[1]Tissue Data'!$A:$A,'[1]Tissue Data'!J:J)</f>
        <v>U</v>
      </c>
      <c r="H2609" t="str">
        <f>_xlfn.XLOOKUP(A2609,'[1]Tissue Data'!$A:$A,'[1]Tissue Data'!K:K)</f>
        <v>Whole Body</v>
      </c>
      <c r="I2609">
        <f>_xlfn.XLOOKUP(A2609,'[1]Tissue Data'!$A:$A,'[1]Tissue Data'!L:L)</f>
        <v>5.5</v>
      </c>
      <c r="J2609">
        <f>_xlfn.XLOOKUP(A2609,'[1]Tissue Data'!$A:$A,'[1]Tissue Data'!M:M)</f>
        <v>2.1</v>
      </c>
      <c r="K2609" t="s">
        <v>19</v>
      </c>
      <c r="L2609" t="str">
        <f>_xlfn.XLOOKUP(K2609,[2]analyte_order!$B:$B,[2]analyte_order!$C:$C)</f>
        <v>2058-94-8</v>
      </c>
      <c r="M2609">
        <f>_xlfn.XLOOKUP(L2609,[2]analyte_order!$C:$C,[2]analyte_order!$E:$E)</f>
        <v>8</v>
      </c>
      <c r="N2609">
        <v>22.3</v>
      </c>
    </row>
    <row r="2610" spans="1:14">
      <c r="A2610" t="s">
        <v>191</v>
      </c>
      <c r="B2610" t="str">
        <f>_xlfn.XLOOKUP(A2610,'[1]Tissue Data'!$A:$A,'[1]Tissue Data'!$C:$C)</f>
        <v>Spill</v>
      </c>
      <c r="C2610" s="2">
        <f>_xlfn.XLOOKUP(A2610,'[1]Tissue Data'!$A:$A,'[1]Tissue Data'!$D:$D)</f>
        <v>44314</v>
      </c>
      <c r="D2610" s="2" t="str">
        <f>_xlfn.XLOOKUP(A2610,'[1]Tissue Data'!$A:$A,'[1]Tissue Data'!$F:$F)</f>
        <v>Swallowtail Shiner</v>
      </c>
      <c r="E2610" t="str">
        <f>_xlfn.XLOOKUP(A2610,'[1]Tissue Data'!$A:$A,'[1]Tissue Data'!$H:$H)</f>
        <v>Notropis</v>
      </c>
      <c r="F2610" t="str">
        <f>_xlfn.XLOOKUP(A2610,'[1]Tissue Data'!$A:$A,'[1]Tissue Data'!$I:$I)</f>
        <v>procne</v>
      </c>
      <c r="G2610" t="str">
        <f>_xlfn.XLOOKUP(A2610,'[1]Tissue Data'!$A:$A,'[1]Tissue Data'!J:J)</f>
        <v>U</v>
      </c>
      <c r="H2610" t="str">
        <f>_xlfn.XLOOKUP(A2610,'[1]Tissue Data'!$A:$A,'[1]Tissue Data'!K:K)</f>
        <v>Whole Body</v>
      </c>
      <c r="I2610">
        <f>_xlfn.XLOOKUP(A2610,'[1]Tissue Data'!$A:$A,'[1]Tissue Data'!L:L)</f>
        <v>5.5</v>
      </c>
      <c r="J2610">
        <f>_xlfn.XLOOKUP(A2610,'[1]Tissue Data'!$A:$A,'[1]Tissue Data'!M:M)</f>
        <v>2.1</v>
      </c>
      <c r="K2610" t="s">
        <v>20</v>
      </c>
      <c r="L2610" t="str">
        <f>_xlfn.XLOOKUP(K2610,[2]analyte_order!$B:$B,[2]analyte_order!$C:$C)</f>
        <v>307-55-1</v>
      </c>
      <c r="M2610">
        <f>_xlfn.XLOOKUP(L2610,[2]analyte_order!$C:$C,[2]analyte_order!$E:$E)</f>
        <v>9</v>
      </c>
      <c r="N2610">
        <v>21.6</v>
      </c>
    </row>
    <row r="2611" spans="1:14">
      <c r="A2611" t="s">
        <v>191</v>
      </c>
      <c r="B2611" t="str">
        <f>_xlfn.XLOOKUP(A2611,'[1]Tissue Data'!$A:$A,'[1]Tissue Data'!$C:$C)</f>
        <v>Spill</v>
      </c>
      <c r="C2611" s="2">
        <f>_xlfn.XLOOKUP(A2611,'[1]Tissue Data'!$A:$A,'[1]Tissue Data'!$D:$D)</f>
        <v>44314</v>
      </c>
      <c r="D2611" s="2" t="str">
        <f>_xlfn.XLOOKUP(A2611,'[1]Tissue Data'!$A:$A,'[1]Tissue Data'!$F:$F)</f>
        <v>Swallowtail Shiner</v>
      </c>
      <c r="E2611" t="str">
        <f>_xlfn.XLOOKUP(A2611,'[1]Tissue Data'!$A:$A,'[1]Tissue Data'!$H:$H)</f>
        <v>Notropis</v>
      </c>
      <c r="F2611" t="str">
        <f>_xlfn.XLOOKUP(A2611,'[1]Tissue Data'!$A:$A,'[1]Tissue Data'!$I:$I)</f>
        <v>procne</v>
      </c>
      <c r="G2611" t="str">
        <f>_xlfn.XLOOKUP(A2611,'[1]Tissue Data'!$A:$A,'[1]Tissue Data'!J:J)</f>
        <v>U</v>
      </c>
      <c r="H2611" t="str">
        <f>_xlfn.XLOOKUP(A2611,'[1]Tissue Data'!$A:$A,'[1]Tissue Data'!K:K)</f>
        <v>Whole Body</v>
      </c>
      <c r="I2611">
        <f>_xlfn.XLOOKUP(A2611,'[1]Tissue Data'!$A:$A,'[1]Tissue Data'!L:L)</f>
        <v>5.5</v>
      </c>
      <c r="J2611">
        <f>_xlfn.XLOOKUP(A2611,'[1]Tissue Data'!$A:$A,'[1]Tissue Data'!M:M)</f>
        <v>2.1</v>
      </c>
      <c r="K2611" t="s">
        <v>21</v>
      </c>
      <c r="L2611" t="str">
        <f>_xlfn.XLOOKUP(K2611,[2]analyte_order!$B:$B,[2]analyte_order!$C:$C)</f>
        <v>72629-94-8</v>
      </c>
      <c r="M2611">
        <f>_xlfn.XLOOKUP(L2611,[2]analyte_order!$C:$C,[2]analyte_order!$E:$E)</f>
        <v>10</v>
      </c>
      <c r="N2611">
        <v>10.9</v>
      </c>
    </row>
    <row r="2612" spans="1:14">
      <c r="A2612" t="s">
        <v>191</v>
      </c>
      <c r="B2612" t="str">
        <f>_xlfn.XLOOKUP(A2612,'[1]Tissue Data'!$A:$A,'[1]Tissue Data'!$C:$C)</f>
        <v>Spill</v>
      </c>
      <c r="C2612" s="2">
        <f>_xlfn.XLOOKUP(A2612,'[1]Tissue Data'!$A:$A,'[1]Tissue Data'!$D:$D)</f>
        <v>44314</v>
      </c>
      <c r="D2612" s="2" t="str">
        <f>_xlfn.XLOOKUP(A2612,'[1]Tissue Data'!$A:$A,'[1]Tissue Data'!$F:$F)</f>
        <v>Swallowtail Shiner</v>
      </c>
      <c r="E2612" t="str">
        <f>_xlfn.XLOOKUP(A2612,'[1]Tissue Data'!$A:$A,'[1]Tissue Data'!$H:$H)</f>
        <v>Notropis</v>
      </c>
      <c r="F2612" t="str">
        <f>_xlfn.XLOOKUP(A2612,'[1]Tissue Data'!$A:$A,'[1]Tissue Data'!$I:$I)</f>
        <v>procne</v>
      </c>
      <c r="G2612" t="str">
        <f>_xlfn.XLOOKUP(A2612,'[1]Tissue Data'!$A:$A,'[1]Tissue Data'!J:J)</f>
        <v>U</v>
      </c>
      <c r="H2612" t="str">
        <f>_xlfn.XLOOKUP(A2612,'[1]Tissue Data'!$A:$A,'[1]Tissue Data'!K:K)</f>
        <v>Whole Body</v>
      </c>
      <c r="I2612">
        <f>_xlfn.XLOOKUP(A2612,'[1]Tissue Data'!$A:$A,'[1]Tissue Data'!L:L)</f>
        <v>5.5</v>
      </c>
      <c r="J2612">
        <f>_xlfn.XLOOKUP(A2612,'[1]Tissue Data'!$A:$A,'[1]Tissue Data'!M:M)</f>
        <v>2.1</v>
      </c>
      <c r="K2612" t="s">
        <v>22</v>
      </c>
      <c r="L2612" t="str">
        <f>_xlfn.XLOOKUP(K2612,[2]analyte_order!$B:$B,[2]analyte_order!$C:$C)</f>
        <v>376-06-7</v>
      </c>
      <c r="M2612">
        <f>_xlfn.XLOOKUP(L2612,[2]analyte_order!$C:$C,[2]analyte_order!$E:$E)</f>
        <v>11</v>
      </c>
      <c r="N2612">
        <v>9.75</v>
      </c>
    </row>
    <row r="2613" spans="1:14">
      <c r="A2613" t="s">
        <v>191</v>
      </c>
      <c r="B2613" t="str">
        <f>_xlfn.XLOOKUP(A2613,'[1]Tissue Data'!$A:$A,'[1]Tissue Data'!$C:$C)</f>
        <v>Spill</v>
      </c>
      <c r="C2613" s="2">
        <f>_xlfn.XLOOKUP(A2613,'[1]Tissue Data'!$A:$A,'[1]Tissue Data'!$D:$D)</f>
        <v>44314</v>
      </c>
      <c r="D2613" s="2" t="str">
        <f>_xlfn.XLOOKUP(A2613,'[1]Tissue Data'!$A:$A,'[1]Tissue Data'!$F:$F)</f>
        <v>Swallowtail Shiner</v>
      </c>
      <c r="E2613" t="str">
        <f>_xlfn.XLOOKUP(A2613,'[1]Tissue Data'!$A:$A,'[1]Tissue Data'!$H:$H)</f>
        <v>Notropis</v>
      </c>
      <c r="F2613" t="str">
        <f>_xlfn.XLOOKUP(A2613,'[1]Tissue Data'!$A:$A,'[1]Tissue Data'!$I:$I)</f>
        <v>procne</v>
      </c>
      <c r="G2613" t="str">
        <f>_xlfn.XLOOKUP(A2613,'[1]Tissue Data'!$A:$A,'[1]Tissue Data'!J:J)</f>
        <v>U</v>
      </c>
      <c r="H2613" t="str">
        <f>_xlfn.XLOOKUP(A2613,'[1]Tissue Data'!$A:$A,'[1]Tissue Data'!K:K)</f>
        <v>Whole Body</v>
      </c>
      <c r="I2613">
        <f>_xlfn.XLOOKUP(A2613,'[1]Tissue Data'!$A:$A,'[1]Tissue Data'!L:L)</f>
        <v>5.5</v>
      </c>
      <c r="J2613">
        <f>_xlfn.XLOOKUP(A2613,'[1]Tissue Data'!$A:$A,'[1]Tissue Data'!M:M)</f>
        <v>2.1</v>
      </c>
      <c r="K2613" t="s">
        <v>23</v>
      </c>
      <c r="L2613" t="str">
        <f>_xlfn.XLOOKUP(K2613,[2]analyte_order!$B:$B,[2]analyte_order!$C:$C)</f>
        <v>67905-19-5</v>
      </c>
      <c r="M2613">
        <f>_xlfn.XLOOKUP(L2613,[2]analyte_order!$C:$C,[2]analyte_order!$E:$E)</f>
        <v>12</v>
      </c>
      <c r="N2613">
        <v>0.09</v>
      </c>
    </row>
    <row r="2614" spans="1:14">
      <c r="A2614" t="s">
        <v>191</v>
      </c>
      <c r="B2614" t="str">
        <f>_xlfn.XLOOKUP(A2614,'[1]Tissue Data'!$A:$A,'[1]Tissue Data'!$C:$C)</f>
        <v>Spill</v>
      </c>
      <c r="C2614" s="2">
        <f>_xlfn.XLOOKUP(A2614,'[1]Tissue Data'!$A:$A,'[1]Tissue Data'!$D:$D)</f>
        <v>44314</v>
      </c>
      <c r="D2614" s="2" t="str">
        <f>_xlfn.XLOOKUP(A2614,'[1]Tissue Data'!$A:$A,'[1]Tissue Data'!$F:$F)</f>
        <v>Swallowtail Shiner</v>
      </c>
      <c r="E2614" t="str">
        <f>_xlfn.XLOOKUP(A2614,'[1]Tissue Data'!$A:$A,'[1]Tissue Data'!$H:$H)</f>
        <v>Notropis</v>
      </c>
      <c r="F2614" t="str">
        <f>_xlfn.XLOOKUP(A2614,'[1]Tissue Data'!$A:$A,'[1]Tissue Data'!$I:$I)</f>
        <v>procne</v>
      </c>
      <c r="G2614" t="str">
        <f>_xlfn.XLOOKUP(A2614,'[1]Tissue Data'!$A:$A,'[1]Tissue Data'!J:J)</f>
        <v>U</v>
      </c>
      <c r="H2614" t="str">
        <f>_xlfn.XLOOKUP(A2614,'[1]Tissue Data'!$A:$A,'[1]Tissue Data'!K:K)</f>
        <v>Whole Body</v>
      </c>
      <c r="I2614">
        <f>_xlfn.XLOOKUP(A2614,'[1]Tissue Data'!$A:$A,'[1]Tissue Data'!L:L)</f>
        <v>5.5</v>
      </c>
      <c r="J2614">
        <f>_xlfn.XLOOKUP(A2614,'[1]Tissue Data'!$A:$A,'[1]Tissue Data'!M:M)</f>
        <v>2.1</v>
      </c>
      <c r="K2614" t="s">
        <v>24</v>
      </c>
      <c r="L2614" t="str">
        <f>_xlfn.XLOOKUP(K2614,[2]analyte_order!$B:$B,[2]analyte_order!$C:$C)</f>
        <v>423-41-6</v>
      </c>
      <c r="M2614">
        <f>_xlfn.XLOOKUP(L2614,[2]analyte_order!$C:$C,[2]analyte_order!$E:$E)</f>
        <v>53</v>
      </c>
      <c r="N2614">
        <v>5.7500000000000002E-2</v>
      </c>
    </row>
    <row r="2615" spans="1:14">
      <c r="A2615" t="s">
        <v>191</v>
      </c>
      <c r="B2615" t="str">
        <f>_xlfn.XLOOKUP(A2615,'[1]Tissue Data'!$A:$A,'[1]Tissue Data'!$C:$C)</f>
        <v>Spill</v>
      </c>
      <c r="C2615" s="2">
        <f>_xlfn.XLOOKUP(A2615,'[1]Tissue Data'!$A:$A,'[1]Tissue Data'!$D:$D)</f>
        <v>44314</v>
      </c>
      <c r="D2615" s="2" t="str">
        <f>_xlfn.XLOOKUP(A2615,'[1]Tissue Data'!$A:$A,'[1]Tissue Data'!$F:$F)</f>
        <v>Swallowtail Shiner</v>
      </c>
      <c r="E2615" t="str">
        <f>_xlfn.XLOOKUP(A2615,'[1]Tissue Data'!$A:$A,'[1]Tissue Data'!$H:$H)</f>
        <v>Notropis</v>
      </c>
      <c r="F2615" t="str">
        <f>_xlfn.XLOOKUP(A2615,'[1]Tissue Data'!$A:$A,'[1]Tissue Data'!$I:$I)</f>
        <v>procne</v>
      </c>
      <c r="G2615" t="str">
        <f>_xlfn.XLOOKUP(A2615,'[1]Tissue Data'!$A:$A,'[1]Tissue Data'!J:J)</f>
        <v>U</v>
      </c>
      <c r="H2615" t="str">
        <f>_xlfn.XLOOKUP(A2615,'[1]Tissue Data'!$A:$A,'[1]Tissue Data'!K:K)</f>
        <v>Whole Body</v>
      </c>
      <c r="I2615">
        <f>_xlfn.XLOOKUP(A2615,'[1]Tissue Data'!$A:$A,'[1]Tissue Data'!L:L)</f>
        <v>5.5</v>
      </c>
      <c r="J2615">
        <f>_xlfn.XLOOKUP(A2615,'[1]Tissue Data'!$A:$A,'[1]Tissue Data'!M:M)</f>
        <v>2.1</v>
      </c>
      <c r="K2615" t="s">
        <v>25</v>
      </c>
      <c r="L2615" t="str">
        <f>_xlfn.XLOOKUP(K2615,[2]analyte_order!$B:$B,[2]analyte_order!$C:$C)</f>
        <v>375-73-5</v>
      </c>
      <c r="M2615">
        <f>_xlfn.XLOOKUP(L2615,[2]analyte_order!$C:$C,[2]analyte_order!$E:$E)</f>
        <v>14</v>
      </c>
      <c r="N2615">
        <v>0.17</v>
      </c>
    </row>
    <row r="2616" spans="1:14">
      <c r="A2616" t="s">
        <v>191</v>
      </c>
      <c r="B2616" t="str">
        <f>_xlfn.XLOOKUP(A2616,'[1]Tissue Data'!$A:$A,'[1]Tissue Data'!$C:$C)</f>
        <v>Spill</v>
      </c>
      <c r="C2616" s="2">
        <f>_xlfn.XLOOKUP(A2616,'[1]Tissue Data'!$A:$A,'[1]Tissue Data'!$D:$D)</f>
        <v>44314</v>
      </c>
      <c r="D2616" s="2" t="str">
        <f>_xlfn.XLOOKUP(A2616,'[1]Tissue Data'!$A:$A,'[1]Tissue Data'!$F:$F)</f>
        <v>Swallowtail Shiner</v>
      </c>
      <c r="E2616" t="str">
        <f>_xlfn.XLOOKUP(A2616,'[1]Tissue Data'!$A:$A,'[1]Tissue Data'!$H:$H)</f>
        <v>Notropis</v>
      </c>
      <c r="F2616" t="str">
        <f>_xlfn.XLOOKUP(A2616,'[1]Tissue Data'!$A:$A,'[1]Tissue Data'!$I:$I)</f>
        <v>procne</v>
      </c>
      <c r="G2616" t="str">
        <f>_xlfn.XLOOKUP(A2616,'[1]Tissue Data'!$A:$A,'[1]Tissue Data'!J:J)</f>
        <v>U</v>
      </c>
      <c r="H2616" t="str">
        <f>_xlfn.XLOOKUP(A2616,'[1]Tissue Data'!$A:$A,'[1]Tissue Data'!K:K)</f>
        <v>Whole Body</v>
      </c>
      <c r="I2616">
        <f>_xlfn.XLOOKUP(A2616,'[1]Tissue Data'!$A:$A,'[1]Tissue Data'!L:L)</f>
        <v>5.5</v>
      </c>
      <c r="J2616">
        <f>_xlfn.XLOOKUP(A2616,'[1]Tissue Data'!$A:$A,'[1]Tissue Data'!M:M)</f>
        <v>2.1</v>
      </c>
      <c r="K2616" t="s">
        <v>26</v>
      </c>
      <c r="L2616" t="str">
        <f>_xlfn.XLOOKUP(K2616,[2]analyte_order!$B:$B,[2]analyte_order!$C:$C)</f>
        <v>2706-91-4</v>
      </c>
      <c r="M2616">
        <f>_xlfn.XLOOKUP(L2616,[2]analyte_order!$C:$C,[2]analyte_order!$E:$E)</f>
        <v>15</v>
      </c>
      <c r="N2616">
        <v>0.90700000000000003</v>
      </c>
    </row>
    <row r="2617" spans="1:14">
      <c r="A2617" t="s">
        <v>191</v>
      </c>
      <c r="B2617" t="str">
        <f>_xlfn.XLOOKUP(A2617,'[1]Tissue Data'!$A:$A,'[1]Tissue Data'!$C:$C)</f>
        <v>Spill</v>
      </c>
      <c r="C2617" s="2">
        <f>_xlfn.XLOOKUP(A2617,'[1]Tissue Data'!$A:$A,'[1]Tissue Data'!$D:$D)</f>
        <v>44314</v>
      </c>
      <c r="D2617" s="2" t="str">
        <f>_xlfn.XLOOKUP(A2617,'[1]Tissue Data'!$A:$A,'[1]Tissue Data'!$F:$F)</f>
        <v>Swallowtail Shiner</v>
      </c>
      <c r="E2617" t="str">
        <f>_xlfn.XLOOKUP(A2617,'[1]Tissue Data'!$A:$A,'[1]Tissue Data'!$H:$H)</f>
        <v>Notropis</v>
      </c>
      <c r="F2617" t="str">
        <f>_xlfn.XLOOKUP(A2617,'[1]Tissue Data'!$A:$A,'[1]Tissue Data'!$I:$I)</f>
        <v>procne</v>
      </c>
      <c r="G2617" t="str">
        <f>_xlfn.XLOOKUP(A2617,'[1]Tissue Data'!$A:$A,'[1]Tissue Data'!J:J)</f>
        <v>U</v>
      </c>
      <c r="H2617" t="str">
        <f>_xlfn.XLOOKUP(A2617,'[1]Tissue Data'!$A:$A,'[1]Tissue Data'!K:K)</f>
        <v>Whole Body</v>
      </c>
      <c r="I2617">
        <f>_xlfn.XLOOKUP(A2617,'[1]Tissue Data'!$A:$A,'[1]Tissue Data'!L:L)</f>
        <v>5.5</v>
      </c>
      <c r="J2617">
        <f>_xlfn.XLOOKUP(A2617,'[1]Tissue Data'!$A:$A,'[1]Tissue Data'!M:M)</f>
        <v>2.1</v>
      </c>
      <c r="K2617" t="s">
        <v>27</v>
      </c>
      <c r="L2617" t="str">
        <f>_xlfn.XLOOKUP(K2617,[2]analyte_order!$B:$B,[2]analyte_order!$C:$C)</f>
        <v>355-46-4</v>
      </c>
      <c r="M2617">
        <f>_xlfn.XLOOKUP(L2617,[2]analyte_order!$C:$C,[2]analyte_order!$E:$E)</f>
        <v>16</v>
      </c>
      <c r="N2617">
        <v>36.4</v>
      </c>
    </row>
    <row r="2618" spans="1:14">
      <c r="A2618" t="s">
        <v>191</v>
      </c>
      <c r="B2618" t="str">
        <f>_xlfn.XLOOKUP(A2618,'[1]Tissue Data'!$A:$A,'[1]Tissue Data'!$C:$C)</f>
        <v>Spill</v>
      </c>
      <c r="C2618" s="2">
        <f>_xlfn.XLOOKUP(A2618,'[1]Tissue Data'!$A:$A,'[1]Tissue Data'!$D:$D)</f>
        <v>44314</v>
      </c>
      <c r="D2618" s="2" t="str">
        <f>_xlfn.XLOOKUP(A2618,'[1]Tissue Data'!$A:$A,'[1]Tissue Data'!$F:$F)</f>
        <v>Swallowtail Shiner</v>
      </c>
      <c r="E2618" t="str">
        <f>_xlfn.XLOOKUP(A2618,'[1]Tissue Data'!$A:$A,'[1]Tissue Data'!$H:$H)</f>
        <v>Notropis</v>
      </c>
      <c r="F2618" t="str">
        <f>_xlfn.XLOOKUP(A2618,'[1]Tissue Data'!$A:$A,'[1]Tissue Data'!$I:$I)</f>
        <v>procne</v>
      </c>
      <c r="G2618" t="str">
        <f>_xlfn.XLOOKUP(A2618,'[1]Tissue Data'!$A:$A,'[1]Tissue Data'!J:J)</f>
        <v>U</v>
      </c>
      <c r="H2618" t="str">
        <f>_xlfn.XLOOKUP(A2618,'[1]Tissue Data'!$A:$A,'[1]Tissue Data'!K:K)</f>
        <v>Whole Body</v>
      </c>
      <c r="I2618">
        <f>_xlfn.XLOOKUP(A2618,'[1]Tissue Data'!$A:$A,'[1]Tissue Data'!L:L)</f>
        <v>5.5</v>
      </c>
      <c r="J2618">
        <f>_xlfn.XLOOKUP(A2618,'[1]Tissue Data'!$A:$A,'[1]Tissue Data'!M:M)</f>
        <v>2.1</v>
      </c>
      <c r="K2618" t="s">
        <v>28</v>
      </c>
      <c r="L2618" t="str">
        <f>_xlfn.XLOOKUP(K2618,[2]analyte_order!$B:$B,[2]analyte_order!$C:$C)</f>
        <v>375-92-8</v>
      </c>
      <c r="M2618">
        <f>_xlfn.XLOOKUP(L2618,[2]analyte_order!$C:$C,[2]analyte_order!$E:$E)</f>
        <v>17</v>
      </c>
      <c r="N2618">
        <v>6.21</v>
      </c>
    </row>
    <row r="2619" spans="1:14">
      <c r="A2619" t="s">
        <v>191</v>
      </c>
      <c r="B2619" t="str">
        <f>_xlfn.XLOOKUP(A2619,'[1]Tissue Data'!$A:$A,'[1]Tissue Data'!$C:$C)</f>
        <v>Spill</v>
      </c>
      <c r="C2619" s="2">
        <f>_xlfn.XLOOKUP(A2619,'[1]Tissue Data'!$A:$A,'[1]Tissue Data'!$D:$D)</f>
        <v>44314</v>
      </c>
      <c r="D2619" s="2" t="str">
        <f>_xlfn.XLOOKUP(A2619,'[1]Tissue Data'!$A:$A,'[1]Tissue Data'!$F:$F)</f>
        <v>Swallowtail Shiner</v>
      </c>
      <c r="E2619" t="str">
        <f>_xlfn.XLOOKUP(A2619,'[1]Tissue Data'!$A:$A,'[1]Tissue Data'!$H:$H)</f>
        <v>Notropis</v>
      </c>
      <c r="F2619" t="str">
        <f>_xlfn.XLOOKUP(A2619,'[1]Tissue Data'!$A:$A,'[1]Tissue Data'!$I:$I)</f>
        <v>procne</v>
      </c>
      <c r="G2619" t="str">
        <f>_xlfn.XLOOKUP(A2619,'[1]Tissue Data'!$A:$A,'[1]Tissue Data'!J:J)</f>
        <v>U</v>
      </c>
      <c r="H2619" t="str">
        <f>_xlfn.XLOOKUP(A2619,'[1]Tissue Data'!$A:$A,'[1]Tissue Data'!K:K)</f>
        <v>Whole Body</v>
      </c>
      <c r="I2619">
        <f>_xlfn.XLOOKUP(A2619,'[1]Tissue Data'!$A:$A,'[1]Tissue Data'!L:L)</f>
        <v>5.5</v>
      </c>
      <c r="J2619">
        <f>_xlfn.XLOOKUP(A2619,'[1]Tissue Data'!$A:$A,'[1]Tissue Data'!M:M)</f>
        <v>2.1</v>
      </c>
      <c r="K2619" t="s">
        <v>29</v>
      </c>
      <c r="L2619" t="str">
        <f>_xlfn.XLOOKUP(K2619,[2]analyte_order!$B:$B,[2]analyte_order!$C:$C)</f>
        <v>1763-23-1</v>
      </c>
      <c r="M2619">
        <f>_xlfn.XLOOKUP(L2619,[2]analyte_order!$C:$C,[2]analyte_order!$E:$E)</f>
        <v>18</v>
      </c>
      <c r="N2619">
        <v>1180</v>
      </c>
    </row>
    <row r="2620" spans="1:14">
      <c r="A2620" t="s">
        <v>191</v>
      </c>
      <c r="B2620" t="str">
        <f>_xlfn.XLOOKUP(A2620,'[1]Tissue Data'!$A:$A,'[1]Tissue Data'!$C:$C)</f>
        <v>Spill</v>
      </c>
      <c r="C2620" s="2">
        <f>_xlfn.XLOOKUP(A2620,'[1]Tissue Data'!$A:$A,'[1]Tissue Data'!$D:$D)</f>
        <v>44314</v>
      </c>
      <c r="D2620" s="2" t="str">
        <f>_xlfn.XLOOKUP(A2620,'[1]Tissue Data'!$A:$A,'[1]Tissue Data'!$F:$F)</f>
        <v>Swallowtail Shiner</v>
      </c>
      <c r="E2620" t="str">
        <f>_xlfn.XLOOKUP(A2620,'[1]Tissue Data'!$A:$A,'[1]Tissue Data'!$H:$H)</f>
        <v>Notropis</v>
      </c>
      <c r="F2620" t="str">
        <f>_xlfn.XLOOKUP(A2620,'[1]Tissue Data'!$A:$A,'[1]Tissue Data'!$I:$I)</f>
        <v>procne</v>
      </c>
      <c r="G2620" t="str">
        <f>_xlfn.XLOOKUP(A2620,'[1]Tissue Data'!$A:$A,'[1]Tissue Data'!J:J)</f>
        <v>U</v>
      </c>
      <c r="H2620" t="str">
        <f>_xlfn.XLOOKUP(A2620,'[1]Tissue Data'!$A:$A,'[1]Tissue Data'!K:K)</f>
        <v>Whole Body</v>
      </c>
      <c r="I2620">
        <f>_xlfn.XLOOKUP(A2620,'[1]Tissue Data'!$A:$A,'[1]Tissue Data'!L:L)</f>
        <v>5.5</v>
      </c>
      <c r="J2620">
        <f>_xlfn.XLOOKUP(A2620,'[1]Tissue Data'!$A:$A,'[1]Tissue Data'!M:M)</f>
        <v>2.1</v>
      </c>
      <c r="K2620" t="s">
        <v>30</v>
      </c>
      <c r="L2620" t="str">
        <f>_xlfn.XLOOKUP(K2620,[2]analyte_order!$B:$B,[2]analyte_order!$C:$C)</f>
        <v>68259-12-1</v>
      </c>
      <c r="M2620">
        <f>_xlfn.XLOOKUP(L2620,[2]analyte_order!$C:$C,[2]analyte_order!$E:$E)</f>
        <v>19</v>
      </c>
      <c r="N2620">
        <v>0.876</v>
      </c>
    </row>
    <row r="2621" spans="1:14">
      <c r="A2621" t="s">
        <v>191</v>
      </c>
      <c r="B2621" t="str">
        <f>_xlfn.XLOOKUP(A2621,'[1]Tissue Data'!$A:$A,'[1]Tissue Data'!$C:$C)</f>
        <v>Spill</v>
      </c>
      <c r="C2621" s="2">
        <f>_xlfn.XLOOKUP(A2621,'[1]Tissue Data'!$A:$A,'[1]Tissue Data'!$D:$D)</f>
        <v>44314</v>
      </c>
      <c r="D2621" s="2" t="str">
        <f>_xlfn.XLOOKUP(A2621,'[1]Tissue Data'!$A:$A,'[1]Tissue Data'!$F:$F)</f>
        <v>Swallowtail Shiner</v>
      </c>
      <c r="E2621" t="str">
        <f>_xlfn.XLOOKUP(A2621,'[1]Tissue Data'!$A:$A,'[1]Tissue Data'!$H:$H)</f>
        <v>Notropis</v>
      </c>
      <c r="F2621" t="str">
        <f>_xlfn.XLOOKUP(A2621,'[1]Tissue Data'!$A:$A,'[1]Tissue Data'!$I:$I)</f>
        <v>procne</v>
      </c>
      <c r="G2621" t="str">
        <f>_xlfn.XLOOKUP(A2621,'[1]Tissue Data'!$A:$A,'[1]Tissue Data'!J:J)</f>
        <v>U</v>
      </c>
      <c r="H2621" t="str">
        <f>_xlfn.XLOOKUP(A2621,'[1]Tissue Data'!$A:$A,'[1]Tissue Data'!K:K)</f>
        <v>Whole Body</v>
      </c>
      <c r="I2621">
        <f>_xlfn.XLOOKUP(A2621,'[1]Tissue Data'!$A:$A,'[1]Tissue Data'!L:L)</f>
        <v>5.5</v>
      </c>
      <c r="J2621">
        <f>_xlfn.XLOOKUP(A2621,'[1]Tissue Data'!$A:$A,'[1]Tissue Data'!M:M)</f>
        <v>2.1</v>
      </c>
      <c r="K2621" t="s">
        <v>31</v>
      </c>
      <c r="L2621" t="str">
        <f>_xlfn.XLOOKUP(K2621,[2]analyte_order!$B:$B,[2]analyte_order!$C:$C)</f>
        <v>335-77-3</v>
      </c>
      <c r="M2621">
        <f>_xlfn.XLOOKUP(L2621,[2]analyte_order!$C:$C,[2]analyte_order!$E:$E)</f>
        <v>20</v>
      </c>
      <c r="N2621">
        <v>8.85</v>
      </c>
    </row>
    <row r="2622" spans="1:14">
      <c r="A2622" t="s">
        <v>191</v>
      </c>
      <c r="B2622" t="str">
        <f>_xlfn.XLOOKUP(A2622,'[1]Tissue Data'!$A:$A,'[1]Tissue Data'!$C:$C)</f>
        <v>Spill</v>
      </c>
      <c r="C2622" s="2">
        <f>_xlfn.XLOOKUP(A2622,'[1]Tissue Data'!$A:$A,'[1]Tissue Data'!$D:$D)</f>
        <v>44314</v>
      </c>
      <c r="D2622" s="2" t="str">
        <f>_xlfn.XLOOKUP(A2622,'[1]Tissue Data'!$A:$A,'[1]Tissue Data'!$F:$F)</f>
        <v>Swallowtail Shiner</v>
      </c>
      <c r="E2622" t="str">
        <f>_xlfn.XLOOKUP(A2622,'[1]Tissue Data'!$A:$A,'[1]Tissue Data'!$H:$H)</f>
        <v>Notropis</v>
      </c>
      <c r="F2622" t="str">
        <f>_xlfn.XLOOKUP(A2622,'[1]Tissue Data'!$A:$A,'[1]Tissue Data'!$I:$I)</f>
        <v>procne</v>
      </c>
      <c r="G2622" t="str">
        <f>_xlfn.XLOOKUP(A2622,'[1]Tissue Data'!$A:$A,'[1]Tissue Data'!J:J)</f>
        <v>U</v>
      </c>
      <c r="H2622" t="str">
        <f>_xlfn.XLOOKUP(A2622,'[1]Tissue Data'!$A:$A,'[1]Tissue Data'!K:K)</f>
        <v>Whole Body</v>
      </c>
      <c r="I2622">
        <f>_xlfn.XLOOKUP(A2622,'[1]Tissue Data'!$A:$A,'[1]Tissue Data'!L:L)</f>
        <v>5.5</v>
      </c>
      <c r="J2622">
        <f>_xlfn.XLOOKUP(A2622,'[1]Tissue Data'!$A:$A,'[1]Tissue Data'!M:M)</f>
        <v>2.1</v>
      </c>
      <c r="K2622" t="s">
        <v>32</v>
      </c>
      <c r="L2622" t="str">
        <f>_xlfn.XLOOKUP(K2622,[2]analyte_order!$B:$B,[2]analyte_order!$C:$C)</f>
        <v>79780-39-5</v>
      </c>
      <c r="M2622">
        <f>_xlfn.XLOOKUP(L2622,[2]analyte_order!$C:$C,[2]analyte_order!$E:$E)</f>
        <v>21</v>
      </c>
      <c r="N2622">
        <v>1.3</v>
      </c>
    </row>
    <row r="2623" spans="1:14">
      <c r="A2623" t="s">
        <v>191</v>
      </c>
      <c r="B2623" t="str">
        <f>_xlfn.XLOOKUP(A2623,'[1]Tissue Data'!$A:$A,'[1]Tissue Data'!$C:$C)</f>
        <v>Spill</v>
      </c>
      <c r="C2623" s="2">
        <f>_xlfn.XLOOKUP(A2623,'[1]Tissue Data'!$A:$A,'[1]Tissue Data'!$D:$D)</f>
        <v>44314</v>
      </c>
      <c r="D2623" s="2" t="str">
        <f>_xlfn.XLOOKUP(A2623,'[1]Tissue Data'!$A:$A,'[1]Tissue Data'!$F:$F)</f>
        <v>Swallowtail Shiner</v>
      </c>
      <c r="E2623" t="str">
        <f>_xlfn.XLOOKUP(A2623,'[1]Tissue Data'!$A:$A,'[1]Tissue Data'!$H:$H)</f>
        <v>Notropis</v>
      </c>
      <c r="F2623" t="str">
        <f>_xlfn.XLOOKUP(A2623,'[1]Tissue Data'!$A:$A,'[1]Tissue Data'!$I:$I)</f>
        <v>procne</v>
      </c>
      <c r="G2623" t="str">
        <f>_xlfn.XLOOKUP(A2623,'[1]Tissue Data'!$A:$A,'[1]Tissue Data'!J:J)</f>
        <v>U</v>
      </c>
      <c r="H2623" t="str">
        <f>_xlfn.XLOOKUP(A2623,'[1]Tissue Data'!$A:$A,'[1]Tissue Data'!K:K)</f>
        <v>Whole Body</v>
      </c>
      <c r="I2623">
        <f>_xlfn.XLOOKUP(A2623,'[1]Tissue Data'!$A:$A,'[1]Tissue Data'!L:L)</f>
        <v>5.5</v>
      </c>
      <c r="J2623">
        <f>_xlfn.XLOOKUP(A2623,'[1]Tissue Data'!$A:$A,'[1]Tissue Data'!M:M)</f>
        <v>2.1</v>
      </c>
      <c r="K2623" t="s">
        <v>33</v>
      </c>
      <c r="L2623" t="str">
        <f>_xlfn.XLOOKUP(K2623,[2]analyte_order!$B:$B,[2]analyte_order!$C:$C)</f>
        <v>777011-38-8</v>
      </c>
      <c r="M2623">
        <f>_xlfn.XLOOKUP(L2623,[2]analyte_order!$C:$C,[2]analyte_order!$E:$E)</f>
        <v>54</v>
      </c>
      <c r="N2623">
        <v>0.434</v>
      </c>
    </row>
    <row r="2624" spans="1:14">
      <c r="A2624" t="s">
        <v>191</v>
      </c>
      <c r="B2624" t="str">
        <f>_xlfn.XLOOKUP(A2624,'[1]Tissue Data'!$A:$A,'[1]Tissue Data'!$C:$C)</f>
        <v>Spill</v>
      </c>
      <c r="C2624" s="2">
        <f>_xlfn.XLOOKUP(A2624,'[1]Tissue Data'!$A:$A,'[1]Tissue Data'!$D:$D)</f>
        <v>44314</v>
      </c>
      <c r="D2624" s="2" t="str">
        <f>_xlfn.XLOOKUP(A2624,'[1]Tissue Data'!$A:$A,'[1]Tissue Data'!$F:$F)</f>
        <v>Swallowtail Shiner</v>
      </c>
      <c r="E2624" t="str">
        <f>_xlfn.XLOOKUP(A2624,'[1]Tissue Data'!$A:$A,'[1]Tissue Data'!$H:$H)</f>
        <v>Notropis</v>
      </c>
      <c r="F2624" t="str">
        <f>_xlfn.XLOOKUP(A2624,'[1]Tissue Data'!$A:$A,'[1]Tissue Data'!$I:$I)</f>
        <v>procne</v>
      </c>
      <c r="G2624" t="str">
        <f>_xlfn.XLOOKUP(A2624,'[1]Tissue Data'!$A:$A,'[1]Tissue Data'!J:J)</f>
        <v>U</v>
      </c>
      <c r="H2624" t="str">
        <f>_xlfn.XLOOKUP(A2624,'[1]Tissue Data'!$A:$A,'[1]Tissue Data'!K:K)</f>
        <v>Whole Body</v>
      </c>
      <c r="I2624">
        <f>_xlfn.XLOOKUP(A2624,'[1]Tissue Data'!$A:$A,'[1]Tissue Data'!L:L)</f>
        <v>5.5</v>
      </c>
      <c r="J2624">
        <f>_xlfn.XLOOKUP(A2624,'[1]Tissue Data'!$A:$A,'[1]Tissue Data'!M:M)</f>
        <v>2.1</v>
      </c>
      <c r="K2624" t="s">
        <v>34</v>
      </c>
      <c r="L2624" t="str">
        <f>_xlfn.XLOOKUP(K2624,[2]analyte_order!$B:$B,[2]analyte_order!$C:$C)</f>
        <v>646-83-3</v>
      </c>
      <c r="M2624">
        <f>_xlfn.XLOOKUP(L2624,[2]analyte_order!$C:$C,[2]analyte_order!$E:$E)</f>
        <v>55</v>
      </c>
      <c r="N2624">
        <v>0.21099999999999999</v>
      </c>
    </row>
    <row r="2625" spans="1:14">
      <c r="A2625" t="s">
        <v>191</v>
      </c>
      <c r="B2625" t="str">
        <f>_xlfn.XLOOKUP(A2625,'[1]Tissue Data'!$A:$A,'[1]Tissue Data'!$C:$C)</f>
        <v>Spill</v>
      </c>
      <c r="C2625" s="2">
        <f>_xlfn.XLOOKUP(A2625,'[1]Tissue Data'!$A:$A,'[1]Tissue Data'!$D:$D)</f>
        <v>44314</v>
      </c>
      <c r="D2625" s="2" t="str">
        <f>_xlfn.XLOOKUP(A2625,'[1]Tissue Data'!$A:$A,'[1]Tissue Data'!$F:$F)</f>
        <v>Swallowtail Shiner</v>
      </c>
      <c r="E2625" t="str">
        <f>_xlfn.XLOOKUP(A2625,'[1]Tissue Data'!$A:$A,'[1]Tissue Data'!$H:$H)</f>
        <v>Notropis</v>
      </c>
      <c r="F2625" t="str">
        <f>_xlfn.XLOOKUP(A2625,'[1]Tissue Data'!$A:$A,'[1]Tissue Data'!$I:$I)</f>
        <v>procne</v>
      </c>
      <c r="G2625" t="str">
        <f>_xlfn.XLOOKUP(A2625,'[1]Tissue Data'!$A:$A,'[1]Tissue Data'!J:J)</f>
        <v>U</v>
      </c>
      <c r="H2625" t="str">
        <f>_xlfn.XLOOKUP(A2625,'[1]Tissue Data'!$A:$A,'[1]Tissue Data'!K:K)</f>
        <v>Whole Body</v>
      </c>
      <c r="I2625">
        <f>_xlfn.XLOOKUP(A2625,'[1]Tissue Data'!$A:$A,'[1]Tissue Data'!L:L)</f>
        <v>5.5</v>
      </c>
      <c r="J2625">
        <f>_xlfn.XLOOKUP(A2625,'[1]Tissue Data'!$A:$A,'[1]Tissue Data'!M:M)</f>
        <v>2.1</v>
      </c>
      <c r="K2625" t="s">
        <v>35</v>
      </c>
      <c r="L2625" t="str">
        <f>_xlfn.XLOOKUP(K2625,[2]analyte_order!$B:$B,[2]analyte_order!$C:$C)</f>
        <v>30334-69-1</v>
      </c>
      <c r="M2625">
        <f>_xlfn.XLOOKUP(L2625,[2]analyte_order!$C:$C,[2]analyte_order!$E:$E)</f>
        <v>51</v>
      </c>
      <c r="N2625">
        <v>168</v>
      </c>
    </row>
    <row r="2626" spans="1:14">
      <c r="A2626" t="s">
        <v>191</v>
      </c>
      <c r="B2626" t="str">
        <f>_xlfn.XLOOKUP(A2626,'[1]Tissue Data'!$A:$A,'[1]Tissue Data'!$C:$C)</f>
        <v>Spill</v>
      </c>
      <c r="C2626" s="2">
        <f>_xlfn.XLOOKUP(A2626,'[1]Tissue Data'!$A:$A,'[1]Tissue Data'!$D:$D)</f>
        <v>44314</v>
      </c>
      <c r="D2626" s="2" t="str">
        <f>_xlfn.XLOOKUP(A2626,'[1]Tissue Data'!$A:$A,'[1]Tissue Data'!$F:$F)</f>
        <v>Swallowtail Shiner</v>
      </c>
      <c r="E2626" t="str">
        <f>_xlfn.XLOOKUP(A2626,'[1]Tissue Data'!$A:$A,'[1]Tissue Data'!$H:$H)</f>
        <v>Notropis</v>
      </c>
      <c r="F2626" t="str">
        <f>_xlfn.XLOOKUP(A2626,'[1]Tissue Data'!$A:$A,'[1]Tissue Data'!$I:$I)</f>
        <v>procne</v>
      </c>
      <c r="G2626" t="str">
        <f>_xlfn.XLOOKUP(A2626,'[1]Tissue Data'!$A:$A,'[1]Tissue Data'!J:J)</f>
        <v>U</v>
      </c>
      <c r="H2626" t="str">
        <f>_xlfn.XLOOKUP(A2626,'[1]Tissue Data'!$A:$A,'[1]Tissue Data'!K:K)</f>
        <v>Whole Body</v>
      </c>
      <c r="I2626">
        <f>_xlfn.XLOOKUP(A2626,'[1]Tissue Data'!$A:$A,'[1]Tissue Data'!L:L)</f>
        <v>5.5</v>
      </c>
      <c r="J2626">
        <f>_xlfn.XLOOKUP(A2626,'[1]Tissue Data'!$A:$A,'[1]Tissue Data'!M:M)</f>
        <v>2.1</v>
      </c>
      <c r="K2626" t="s">
        <v>36</v>
      </c>
      <c r="L2626" t="str">
        <f>_xlfn.XLOOKUP(K2626,[2]analyte_order!$B:$B,[2]analyte_order!$C:$C)</f>
        <v>41997-13-1</v>
      </c>
      <c r="M2626">
        <f>_xlfn.XLOOKUP(L2626,[2]analyte_order!$C:$C,[2]analyte_order!$E:$E)</f>
        <v>52</v>
      </c>
      <c r="N2626">
        <v>438</v>
      </c>
    </row>
    <row r="2627" spans="1:14">
      <c r="A2627" t="s">
        <v>191</v>
      </c>
      <c r="B2627" t="str">
        <f>_xlfn.XLOOKUP(A2627,'[1]Tissue Data'!$A:$A,'[1]Tissue Data'!$C:$C)</f>
        <v>Spill</v>
      </c>
      <c r="C2627" s="2">
        <f>_xlfn.XLOOKUP(A2627,'[1]Tissue Data'!$A:$A,'[1]Tissue Data'!$D:$D)</f>
        <v>44314</v>
      </c>
      <c r="D2627" s="2" t="str">
        <f>_xlfn.XLOOKUP(A2627,'[1]Tissue Data'!$A:$A,'[1]Tissue Data'!$F:$F)</f>
        <v>Swallowtail Shiner</v>
      </c>
      <c r="E2627" t="str">
        <f>_xlfn.XLOOKUP(A2627,'[1]Tissue Data'!$A:$A,'[1]Tissue Data'!$H:$H)</f>
        <v>Notropis</v>
      </c>
      <c r="F2627" t="str">
        <f>_xlfn.XLOOKUP(A2627,'[1]Tissue Data'!$A:$A,'[1]Tissue Data'!$I:$I)</f>
        <v>procne</v>
      </c>
      <c r="G2627" t="str">
        <f>_xlfn.XLOOKUP(A2627,'[1]Tissue Data'!$A:$A,'[1]Tissue Data'!J:J)</f>
        <v>U</v>
      </c>
      <c r="H2627" t="str">
        <f>_xlfn.XLOOKUP(A2627,'[1]Tissue Data'!$A:$A,'[1]Tissue Data'!K:K)</f>
        <v>Whole Body</v>
      </c>
      <c r="I2627">
        <f>_xlfn.XLOOKUP(A2627,'[1]Tissue Data'!$A:$A,'[1]Tissue Data'!L:L)</f>
        <v>5.5</v>
      </c>
      <c r="J2627">
        <f>_xlfn.XLOOKUP(A2627,'[1]Tissue Data'!$A:$A,'[1]Tissue Data'!M:M)</f>
        <v>2.1</v>
      </c>
      <c r="K2627" t="s">
        <v>37</v>
      </c>
      <c r="L2627" t="str">
        <f>_xlfn.XLOOKUP(K2627,[2]analyte_order!$B:$B,[2]analyte_order!$C:$C)</f>
        <v>754-91-6</v>
      </c>
      <c r="M2627">
        <f>_xlfn.XLOOKUP(L2627,[2]analyte_order!$C:$C,[2]analyte_order!$E:$E)</f>
        <v>28</v>
      </c>
      <c r="N2627">
        <v>25.7</v>
      </c>
    </row>
    <row r="2628" spans="1:14">
      <c r="A2628" t="s">
        <v>191</v>
      </c>
      <c r="B2628" t="str">
        <f>_xlfn.XLOOKUP(A2628,'[1]Tissue Data'!$A:$A,'[1]Tissue Data'!$C:$C)</f>
        <v>Spill</v>
      </c>
      <c r="C2628" s="2">
        <f>_xlfn.XLOOKUP(A2628,'[1]Tissue Data'!$A:$A,'[1]Tissue Data'!$D:$D)</f>
        <v>44314</v>
      </c>
      <c r="D2628" s="2" t="str">
        <f>_xlfn.XLOOKUP(A2628,'[1]Tissue Data'!$A:$A,'[1]Tissue Data'!$F:$F)</f>
        <v>Swallowtail Shiner</v>
      </c>
      <c r="E2628" t="str">
        <f>_xlfn.XLOOKUP(A2628,'[1]Tissue Data'!$A:$A,'[1]Tissue Data'!$H:$H)</f>
        <v>Notropis</v>
      </c>
      <c r="F2628" t="str">
        <f>_xlfn.XLOOKUP(A2628,'[1]Tissue Data'!$A:$A,'[1]Tissue Data'!$I:$I)</f>
        <v>procne</v>
      </c>
      <c r="G2628" t="str">
        <f>_xlfn.XLOOKUP(A2628,'[1]Tissue Data'!$A:$A,'[1]Tissue Data'!J:J)</f>
        <v>U</v>
      </c>
      <c r="H2628" t="str">
        <f>_xlfn.XLOOKUP(A2628,'[1]Tissue Data'!$A:$A,'[1]Tissue Data'!K:K)</f>
        <v>Whole Body</v>
      </c>
      <c r="I2628">
        <f>_xlfn.XLOOKUP(A2628,'[1]Tissue Data'!$A:$A,'[1]Tissue Data'!L:L)</f>
        <v>5.5</v>
      </c>
      <c r="J2628">
        <f>_xlfn.XLOOKUP(A2628,'[1]Tissue Data'!$A:$A,'[1]Tissue Data'!M:M)</f>
        <v>2.1</v>
      </c>
      <c r="K2628" t="s">
        <v>38</v>
      </c>
      <c r="L2628" t="str">
        <f>_xlfn.XLOOKUP(K2628,[2]analyte_order!$B:$B,[2]analyte_order!$C:$C)</f>
        <v>31506-32-8</v>
      </c>
      <c r="M2628">
        <f>_xlfn.XLOOKUP(L2628,[2]analyte_order!$C:$C,[2]analyte_order!$E:$E)</f>
        <v>30</v>
      </c>
      <c r="N2628">
        <v>5.8000000000000003E-2</v>
      </c>
    </row>
    <row r="2629" spans="1:14">
      <c r="A2629" t="s">
        <v>191</v>
      </c>
      <c r="B2629" t="str">
        <f>_xlfn.XLOOKUP(A2629,'[1]Tissue Data'!$A:$A,'[1]Tissue Data'!$C:$C)</f>
        <v>Spill</v>
      </c>
      <c r="C2629" s="2">
        <f>_xlfn.XLOOKUP(A2629,'[1]Tissue Data'!$A:$A,'[1]Tissue Data'!$D:$D)</f>
        <v>44314</v>
      </c>
      <c r="D2629" s="2" t="str">
        <f>_xlfn.XLOOKUP(A2629,'[1]Tissue Data'!$A:$A,'[1]Tissue Data'!$F:$F)</f>
        <v>Swallowtail Shiner</v>
      </c>
      <c r="E2629" t="str">
        <f>_xlfn.XLOOKUP(A2629,'[1]Tissue Data'!$A:$A,'[1]Tissue Data'!$H:$H)</f>
        <v>Notropis</v>
      </c>
      <c r="F2629" t="str">
        <f>_xlfn.XLOOKUP(A2629,'[1]Tissue Data'!$A:$A,'[1]Tissue Data'!$I:$I)</f>
        <v>procne</v>
      </c>
      <c r="G2629" t="str">
        <f>_xlfn.XLOOKUP(A2629,'[1]Tissue Data'!$A:$A,'[1]Tissue Data'!J:J)</f>
        <v>U</v>
      </c>
      <c r="H2629" t="str">
        <f>_xlfn.XLOOKUP(A2629,'[1]Tissue Data'!$A:$A,'[1]Tissue Data'!K:K)</f>
        <v>Whole Body</v>
      </c>
      <c r="I2629">
        <f>_xlfn.XLOOKUP(A2629,'[1]Tissue Data'!$A:$A,'[1]Tissue Data'!L:L)</f>
        <v>5.5</v>
      </c>
      <c r="J2629">
        <f>_xlfn.XLOOKUP(A2629,'[1]Tissue Data'!$A:$A,'[1]Tissue Data'!M:M)</f>
        <v>2.1</v>
      </c>
      <c r="K2629" t="s">
        <v>39</v>
      </c>
      <c r="L2629" t="str">
        <f>_xlfn.XLOOKUP(K2629,[2]analyte_order!$B:$B,[2]analyte_order!$C:$C)</f>
        <v>4151-50-2</v>
      </c>
      <c r="M2629">
        <f>_xlfn.XLOOKUP(L2629,[2]analyte_order!$C:$C,[2]analyte_order!$E:$E)</f>
        <v>31</v>
      </c>
      <c r="N2629">
        <v>8.7999999999999995E-2</v>
      </c>
    </row>
    <row r="2630" spans="1:14">
      <c r="A2630" t="s">
        <v>191</v>
      </c>
      <c r="B2630" t="str">
        <f>_xlfn.XLOOKUP(A2630,'[1]Tissue Data'!$A:$A,'[1]Tissue Data'!$C:$C)</f>
        <v>Spill</v>
      </c>
      <c r="C2630" s="2">
        <f>_xlfn.XLOOKUP(A2630,'[1]Tissue Data'!$A:$A,'[1]Tissue Data'!$D:$D)</f>
        <v>44314</v>
      </c>
      <c r="D2630" s="2" t="str">
        <f>_xlfn.XLOOKUP(A2630,'[1]Tissue Data'!$A:$A,'[1]Tissue Data'!$F:$F)</f>
        <v>Swallowtail Shiner</v>
      </c>
      <c r="E2630" t="str">
        <f>_xlfn.XLOOKUP(A2630,'[1]Tissue Data'!$A:$A,'[1]Tissue Data'!$H:$H)</f>
        <v>Notropis</v>
      </c>
      <c r="F2630" t="str">
        <f>_xlfn.XLOOKUP(A2630,'[1]Tissue Data'!$A:$A,'[1]Tissue Data'!$I:$I)</f>
        <v>procne</v>
      </c>
      <c r="G2630" t="str">
        <f>_xlfn.XLOOKUP(A2630,'[1]Tissue Data'!$A:$A,'[1]Tissue Data'!J:J)</f>
        <v>U</v>
      </c>
      <c r="H2630" t="str">
        <f>_xlfn.XLOOKUP(A2630,'[1]Tissue Data'!$A:$A,'[1]Tissue Data'!K:K)</f>
        <v>Whole Body</v>
      </c>
      <c r="I2630">
        <f>_xlfn.XLOOKUP(A2630,'[1]Tissue Data'!$A:$A,'[1]Tissue Data'!L:L)</f>
        <v>5.5</v>
      </c>
      <c r="J2630">
        <f>_xlfn.XLOOKUP(A2630,'[1]Tissue Data'!$A:$A,'[1]Tissue Data'!M:M)</f>
        <v>2.1</v>
      </c>
      <c r="K2630" t="s">
        <v>40</v>
      </c>
      <c r="L2630" t="str">
        <f>_xlfn.XLOOKUP(K2630,[2]analyte_order!$B:$B,[2]analyte_order!$C:$C)</f>
        <v>2806-24-8</v>
      </c>
      <c r="M2630">
        <f>_xlfn.XLOOKUP(L2630,[2]analyte_order!$C:$C,[2]analyte_order!$E:$E)</f>
        <v>29</v>
      </c>
      <c r="N2630">
        <v>5.9499999999999997E-2</v>
      </c>
    </row>
    <row r="2631" spans="1:14">
      <c r="A2631" t="s">
        <v>191</v>
      </c>
      <c r="B2631" t="str">
        <f>_xlfn.XLOOKUP(A2631,'[1]Tissue Data'!$A:$A,'[1]Tissue Data'!$C:$C)</f>
        <v>Spill</v>
      </c>
      <c r="C2631" s="2">
        <f>_xlfn.XLOOKUP(A2631,'[1]Tissue Data'!$A:$A,'[1]Tissue Data'!$D:$D)</f>
        <v>44314</v>
      </c>
      <c r="D2631" s="2" t="str">
        <f>_xlfn.XLOOKUP(A2631,'[1]Tissue Data'!$A:$A,'[1]Tissue Data'!$F:$F)</f>
        <v>Swallowtail Shiner</v>
      </c>
      <c r="E2631" t="str">
        <f>_xlfn.XLOOKUP(A2631,'[1]Tissue Data'!$A:$A,'[1]Tissue Data'!$H:$H)</f>
        <v>Notropis</v>
      </c>
      <c r="F2631" t="str">
        <f>_xlfn.XLOOKUP(A2631,'[1]Tissue Data'!$A:$A,'[1]Tissue Data'!$I:$I)</f>
        <v>procne</v>
      </c>
      <c r="G2631" t="str">
        <f>_xlfn.XLOOKUP(A2631,'[1]Tissue Data'!$A:$A,'[1]Tissue Data'!J:J)</f>
        <v>U</v>
      </c>
      <c r="H2631" t="str">
        <f>_xlfn.XLOOKUP(A2631,'[1]Tissue Data'!$A:$A,'[1]Tissue Data'!K:K)</f>
        <v>Whole Body</v>
      </c>
      <c r="I2631">
        <f>_xlfn.XLOOKUP(A2631,'[1]Tissue Data'!$A:$A,'[1]Tissue Data'!L:L)</f>
        <v>5.5</v>
      </c>
      <c r="J2631">
        <f>_xlfn.XLOOKUP(A2631,'[1]Tissue Data'!$A:$A,'[1]Tissue Data'!M:M)</f>
        <v>2.1</v>
      </c>
      <c r="K2631" t="s">
        <v>41</v>
      </c>
      <c r="L2631" t="str">
        <f>_xlfn.XLOOKUP(K2631,[2]analyte_order!$B:$B,[2]analyte_order!$C:$C)</f>
        <v>2355-31-9</v>
      </c>
      <c r="M2631">
        <f>_xlfn.XLOOKUP(L2631,[2]analyte_order!$C:$C,[2]analyte_order!$E:$E)</f>
        <v>26</v>
      </c>
      <c r="N2631">
        <v>1.31</v>
      </c>
    </row>
    <row r="2632" spans="1:14">
      <c r="A2632" t="s">
        <v>191</v>
      </c>
      <c r="B2632" t="str">
        <f>_xlfn.XLOOKUP(A2632,'[1]Tissue Data'!$A:$A,'[1]Tissue Data'!$C:$C)</f>
        <v>Spill</v>
      </c>
      <c r="C2632" s="2">
        <f>_xlfn.XLOOKUP(A2632,'[1]Tissue Data'!$A:$A,'[1]Tissue Data'!$D:$D)</f>
        <v>44314</v>
      </c>
      <c r="D2632" s="2" t="str">
        <f>_xlfn.XLOOKUP(A2632,'[1]Tissue Data'!$A:$A,'[1]Tissue Data'!$F:$F)</f>
        <v>Swallowtail Shiner</v>
      </c>
      <c r="E2632" t="str">
        <f>_xlfn.XLOOKUP(A2632,'[1]Tissue Data'!$A:$A,'[1]Tissue Data'!$H:$H)</f>
        <v>Notropis</v>
      </c>
      <c r="F2632" t="str">
        <f>_xlfn.XLOOKUP(A2632,'[1]Tissue Data'!$A:$A,'[1]Tissue Data'!$I:$I)</f>
        <v>procne</v>
      </c>
      <c r="G2632" t="str">
        <f>_xlfn.XLOOKUP(A2632,'[1]Tissue Data'!$A:$A,'[1]Tissue Data'!J:J)</f>
        <v>U</v>
      </c>
      <c r="H2632" t="str">
        <f>_xlfn.XLOOKUP(A2632,'[1]Tissue Data'!$A:$A,'[1]Tissue Data'!K:K)</f>
        <v>Whole Body</v>
      </c>
      <c r="I2632">
        <f>_xlfn.XLOOKUP(A2632,'[1]Tissue Data'!$A:$A,'[1]Tissue Data'!L:L)</f>
        <v>5.5</v>
      </c>
      <c r="J2632">
        <f>_xlfn.XLOOKUP(A2632,'[1]Tissue Data'!$A:$A,'[1]Tissue Data'!M:M)</f>
        <v>2.1</v>
      </c>
      <c r="K2632" t="s">
        <v>42</v>
      </c>
      <c r="L2632" t="str">
        <f>_xlfn.XLOOKUP(K2632,[2]analyte_order!$B:$B,[2]analyte_order!$C:$C)</f>
        <v>2991-50-6</v>
      </c>
      <c r="M2632">
        <f>_xlfn.XLOOKUP(L2632,[2]analyte_order!$C:$C,[2]analyte_order!$E:$E)</f>
        <v>27</v>
      </c>
      <c r="N2632">
        <v>6.5500000000000003E-2</v>
      </c>
    </row>
    <row r="2633" spans="1:14">
      <c r="A2633" t="s">
        <v>191</v>
      </c>
      <c r="B2633" t="str">
        <f>_xlfn.XLOOKUP(A2633,'[1]Tissue Data'!$A:$A,'[1]Tissue Data'!$C:$C)</f>
        <v>Spill</v>
      </c>
      <c r="C2633" s="2">
        <f>_xlfn.XLOOKUP(A2633,'[1]Tissue Data'!$A:$A,'[1]Tissue Data'!$D:$D)</f>
        <v>44314</v>
      </c>
      <c r="D2633" s="2" t="str">
        <f>_xlfn.XLOOKUP(A2633,'[1]Tissue Data'!$A:$A,'[1]Tissue Data'!$F:$F)</f>
        <v>Swallowtail Shiner</v>
      </c>
      <c r="E2633" t="str">
        <f>_xlfn.XLOOKUP(A2633,'[1]Tissue Data'!$A:$A,'[1]Tissue Data'!$H:$H)</f>
        <v>Notropis</v>
      </c>
      <c r="F2633" t="str">
        <f>_xlfn.XLOOKUP(A2633,'[1]Tissue Data'!$A:$A,'[1]Tissue Data'!$I:$I)</f>
        <v>procne</v>
      </c>
      <c r="G2633" t="str">
        <f>_xlfn.XLOOKUP(A2633,'[1]Tissue Data'!$A:$A,'[1]Tissue Data'!J:J)</f>
        <v>U</v>
      </c>
      <c r="H2633" t="str">
        <f>_xlfn.XLOOKUP(A2633,'[1]Tissue Data'!$A:$A,'[1]Tissue Data'!K:K)</f>
        <v>Whole Body</v>
      </c>
      <c r="I2633">
        <f>_xlfn.XLOOKUP(A2633,'[1]Tissue Data'!$A:$A,'[1]Tissue Data'!L:L)</f>
        <v>5.5</v>
      </c>
      <c r="J2633">
        <f>_xlfn.XLOOKUP(A2633,'[1]Tissue Data'!$A:$A,'[1]Tissue Data'!M:M)</f>
        <v>2.1</v>
      </c>
      <c r="K2633" t="s">
        <v>43</v>
      </c>
      <c r="L2633" t="str">
        <f>_xlfn.XLOOKUP(K2633,[2]analyte_order!$B:$B,[2]analyte_order!$C:$C)</f>
        <v>757124-72-4</v>
      </c>
      <c r="M2633">
        <f>_xlfn.XLOOKUP(L2633,[2]analyte_order!$C:$C,[2]analyte_order!$E:$E)</f>
        <v>22</v>
      </c>
      <c r="N2633">
        <v>6.2E-2</v>
      </c>
    </row>
    <row r="2634" spans="1:14">
      <c r="A2634" t="s">
        <v>191</v>
      </c>
      <c r="B2634" t="str">
        <f>_xlfn.XLOOKUP(A2634,'[1]Tissue Data'!$A:$A,'[1]Tissue Data'!$C:$C)</f>
        <v>Spill</v>
      </c>
      <c r="C2634" s="2">
        <f>_xlfn.XLOOKUP(A2634,'[1]Tissue Data'!$A:$A,'[1]Tissue Data'!$D:$D)</f>
        <v>44314</v>
      </c>
      <c r="D2634" s="2" t="str">
        <f>_xlfn.XLOOKUP(A2634,'[1]Tissue Data'!$A:$A,'[1]Tissue Data'!$F:$F)</f>
        <v>Swallowtail Shiner</v>
      </c>
      <c r="E2634" t="str">
        <f>_xlfn.XLOOKUP(A2634,'[1]Tissue Data'!$A:$A,'[1]Tissue Data'!$H:$H)</f>
        <v>Notropis</v>
      </c>
      <c r="F2634" t="str">
        <f>_xlfn.XLOOKUP(A2634,'[1]Tissue Data'!$A:$A,'[1]Tissue Data'!$I:$I)</f>
        <v>procne</v>
      </c>
      <c r="G2634" t="str">
        <f>_xlfn.XLOOKUP(A2634,'[1]Tissue Data'!$A:$A,'[1]Tissue Data'!J:J)</f>
        <v>U</v>
      </c>
      <c r="H2634" t="str">
        <f>_xlfn.XLOOKUP(A2634,'[1]Tissue Data'!$A:$A,'[1]Tissue Data'!K:K)</f>
        <v>Whole Body</v>
      </c>
      <c r="I2634">
        <f>_xlfn.XLOOKUP(A2634,'[1]Tissue Data'!$A:$A,'[1]Tissue Data'!L:L)</f>
        <v>5.5</v>
      </c>
      <c r="J2634">
        <f>_xlfn.XLOOKUP(A2634,'[1]Tissue Data'!$A:$A,'[1]Tissue Data'!M:M)</f>
        <v>2.1</v>
      </c>
      <c r="K2634" t="s">
        <v>44</v>
      </c>
      <c r="L2634" t="str">
        <f>_xlfn.XLOOKUP(K2634,[2]analyte_order!$B:$B,[2]analyte_order!$C:$C)</f>
        <v>27619-97-2</v>
      </c>
      <c r="M2634">
        <f>_xlfn.XLOOKUP(L2634,[2]analyte_order!$C:$C,[2]analyte_order!$E:$E)</f>
        <v>23</v>
      </c>
      <c r="N2634">
        <v>0.74</v>
      </c>
    </row>
    <row r="2635" spans="1:14">
      <c r="A2635" t="s">
        <v>191</v>
      </c>
      <c r="B2635" t="str">
        <f>_xlfn.XLOOKUP(A2635,'[1]Tissue Data'!$A:$A,'[1]Tissue Data'!$C:$C)</f>
        <v>Spill</v>
      </c>
      <c r="C2635" s="2">
        <f>_xlfn.XLOOKUP(A2635,'[1]Tissue Data'!$A:$A,'[1]Tissue Data'!$D:$D)</f>
        <v>44314</v>
      </c>
      <c r="D2635" s="2" t="str">
        <f>_xlfn.XLOOKUP(A2635,'[1]Tissue Data'!$A:$A,'[1]Tissue Data'!$F:$F)</f>
        <v>Swallowtail Shiner</v>
      </c>
      <c r="E2635" t="str">
        <f>_xlfn.XLOOKUP(A2635,'[1]Tissue Data'!$A:$A,'[1]Tissue Data'!$H:$H)</f>
        <v>Notropis</v>
      </c>
      <c r="F2635" t="str">
        <f>_xlfn.XLOOKUP(A2635,'[1]Tissue Data'!$A:$A,'[1]Tissue Data'!$I:$I)</f>
        <v>procne</v>
      </c>
      <c r="G2635" t="str">
        <f>_xlfn.XLOOKUP(A2635,'[1]Tissue Data'!$A:$A,'[1]Tissue Data'!J:J)</f>
        <v>U</v>
      </c>
      <c r="H2635" t="str">
        <f>_xlfn.XLOOKUP(A2635,'[1]Tissue Data'!$A:$A,'[1]Tissue Data'!K:K)</f>
        <v>Whole Body</v>
      </c>
      <c r="I2635">
        <f>_xlfn.XLOOKUP(A2635,'[1]Tissue Data'!$A:$A,'[1]Tissue Data'!L:L)</f>
        <v>5.5</v>
      </c>
      <c r="J2635">
        <f>_xlfn.XLOOKUP(A2635,'[1]Tissue Data'!$A:$A,'[1]Tissue Data'!M:M)</f>
        <v>2.1</v>
      </c>
      <c r="K2635" t="s">
        <v>45</v>
      </c>
      <c r="L2635" t="str">
        <f>_xlfn.XLOOKUP(K2635,[2]analyte_order!$B:$B,[2]analyte_order!$C:$C)</f>
        <v>39108-34-4</v>
      </c>
      <c r="M2635">
        <f>_xlfn.XLOOKUP(L2635,[2]analyte_order!$C:$C,[2]analyte_order!$E:$E)</f>
        <v>24</v>
      </c>
      <c r="N2635">
        <v>21.1</v>
      </c>
    </row>
    <row r="2636" spans="1:14">
      <c r="A2636" t="s">
        <v>191</v>
      </c>
      <c r="B2636" t="str">
        <f>_xlfn.XLOOKUP(A2636,'[1]Tissue Data'!$A:$A,'[1]Tissue Data'!$C:$C)</f>
        <v>Spill</v>
      </c>
      <c r="C2636" s="2">
        <f>_xlfn.XLOOKUP(A2636,'[1]Tissue Data'!$A:$A,'[1]Tissue Data'!$D:$D)</f>
        <v>44314</v>
      </c>
      <c r="D2636" s="2" t="str">
        <f>_xlfn.XLOOKUP(A2636,'[1]Tissue Data'!$A:$A,'[1]Tissue Data'!$F:$F)</f>
        <v>Swallowtail Shiner</v>
      </c>
      <c r="E2636" t="str">
        <f>_xlfn.XLOOKUP(A2636,'[1]Tissue Data'!$A:$A,'[1]Tissue Data'!$H:$H)</f>
        <v>Notropis</v>
      </c>
      <c r="F2636" t="str">
        <f>_xlfn.XLOOKUP(A2636,'[1]Tissue Data'!$A:$A,'[1]Tissue Data'!$I:$I)</f>
        <v>procne</v>
      </c>
      <c r="G2636" t="str">
        <f>_xlfn.XLOOKUP(A2636,'[1]Tissue Data'!$A:$A,'[1]Tissue Data'!J:J)</f>
        <v>U</v>
      </c>
      <c r="H2636" t="str">
        <f>_xlfn.XLOOKUP(A2636,'[1]Tissue Data'!$A:$A,'[1]Tissue Data'!K:K)</f>
        <v>Whole Body</v>
      </c>
      <c r="I2636">
        <f>_xlfn.XLOOKUP(A2636,'[1]Tissue Data'!$A:$A,'[1]Tissue Data'!L:L)</f>
        <v>5.5</v>
      </c>
      <c r="J2636">
        <f>_xlfn.XLOOKUP(A2636,'[1]Tissue Data'!$A:$A,'[1]Tissue Data'!M:M)</f>
        <v>2.1</v>
      </c>
      <c r="K2636" t="s">
        <v>46</v>
      </c>
      <c r="L2636" t="str">
        <f>_xlfn.XLOOKUP(K2636,[2]analyte_order!$B:$B,[2]analyte_order!$C:$C)</f>
        <v>120226-60-0</v>
      </c>
      <c r="M2636">
        <f>_xlfn.XLOOKUP(L2636,[2]analyte_order!$C:$C,[2]analyte_order!$E:$E)</f>
        <v>25</v>
      </c>
      <c r="N2636">
        <v>8.5999999999999993E-2</v>
      </c>
    </row>
    <row r="2637" spans="1:14">
      <c r="A2637" t="s">
        <v>191</v>
      </c>
      <c r="B2637" t="str">
        <f>_xlfn.XLOOKUP(A2637,'[1]Tissue Data'!$A:$A,'[1]Tissue Data'!$C:$C)</f>
        <v>Spill</v>
      </c>
      <c r="C2637" s="2">
        <f>_xlfn.XLOOKUP(A2637,'[1]Tissue Data'!$A:$A,'[1]Tissue Data'!$D:$D)</f>
        <v>44314</v>
      </c>
      <c r="D2637" s="2" t="str">
        <f>_xlfn.XLOOKUP(A2637,'[1]Tissue Data'!$A:$A,'[1]Tissue Data'!$F:$F)</f>
        <v>Swallowtail Shiner</v>
      </c>
      <c r="E2637" t="str">
        <f>_xlfn.XLOOKUP(A2637,'[1]Tissue Data'!$A:$A,'[1]Tissue Data'!$H:$H)</f>
        <v>Notropis</v>
      </c>
      <c r="F2637" t="str">
        <f>_xlfn.XLOOKUP(A2637,'[1]Tissue Data'!$A:$A,'[1]Tissue Data'!$I:$I)</f>
        <v>procne</v>
      </c>
      <c r="G2637" t="str">
        <f>_xlfn.XLOOKUP(A2637,'[1]Tissue Data'!$A:$A,'[1]Tissue Data'!J:J)</f>
        <v>U</v>
      </c>
      <c r="H2637" t="str">
        <f>_xlfn.XLOOKUP(A2637,'[1]Tissue Data'!$A:$A,'[1]Tissue Data'!K:K)</f>
        <v>Whole Body</v>
      </c>
      <c r="I2637">
        <f>_xlfn.XLOOKUP(A2637,'[1]Tissue Data'!$A:$A,'[1]Tissue Data'!L:L)</f>
        <v>5.5</v>
      </c>
      <c r="J2637">
        <f>_xlfn.XLOOKUP(A2637,'[1]Tissue Data'!$A:$A,'[1]Tissue Data'!M:M)</f>
        <v>2.1</v>
      </c>
      <c r="K2637" t="s">
        <v>47</v>
      </c>
      <c r="L2637" t="str">
        <f>_xlfn.XLOOKUP(K2637,[2]analyte_order!$B:$B,[2]analyte_order!$C:$C)</f>
        <v>356-02-5</v>
      </c>
      <c r="M2637">
        <f>_xlfn.XLOOKUP(L2637,[2]analyte_order!$C:$C,[2]analyte_order!$E:$E)</f>
        <v>38</v>
      </c>
      <c r="N2637">
        <v>8.6999999999999994E-2</v>
      </c>
    </row>
    <row r="2638" spans="1:14">
      <c r="A2638" t="s">
        <v>191</v>
      </c>
      <c r="B2638" t="str">
        <f>_xlfn.XLOOKUP(A2638,'[1]Tissue Data'!$A:$A,'[1]Tissue Data'!$C:$C)</f>
        <v>Spill</v>
      </c>
      <c r="C2638" s="2">
        <f>_xlfn.XLOOKUP(A2638,'[1]Tissue Data'!$A:$A,'[1]Tissue Data'!$D:$D)</f>
        <v>44314</v>
      </c>
      <c r="D2638" s="2" t="str">
        <f>_xlfn.XLOOKUP(A2638,'[1]Tissue Data'!$A:$A,'[1]Tissue Data'!$F:$F)</f>
        <v>Swallowtail Shiner</v>
      </c>
      <c r="E2638" t="str">
        <f>_xlfn.XLOOKUP(A2638,'[1]Tissue Data'!$A:$A,'[1]Tissue Data'!$H:$H)</f>
        <v>Notropis</v>
      </c>
      <c r="F2638" t="str">
        <f>_xlfn.XLOOKUP(A2638,'[1]Tissue Data'!$A:$A,'[1]Tissue Data'!$I:$I)</f>
        <v>procne</v>
      </c>
      <c r="G2638" t="str">
        <f>_xlfn.XLOOKUP(A2638,'[1]Tissue Data'!$A:$A,'[1]Tissue Data'!J:J)</f>
        <v>U</v>
      </c>
      <c r="H2638" t="str">
        <f>_xlfn.XLOOKUP(A2638,'[1]Tissue Data'!$A:$A,'[1]Tissue Data'!K:K)</f>
        <v>Whole Body</v>
      </c>
      <c r="I2638">
        <f>_xlfn.XLOOKUP(A2638,'[1]Tissue Data'!$A:$A,'[1]Tissue Data'!L:L)</f>
        <v>5.5</v>
      </c>
      <c r="J2638">
        <f>_xlfn.XLOOKUP(A2638,'[1]Tissue Data'!$A:$A,'[1]Tissue Data'!M:M)</f>
        <v>2.1</v>
      </c>
      <c r="K2638" t="s">
        <v>48</v>
      </c>
      <c r="L2638" t="str">
        <f>_xlfn.XLOOKUP(K2638,[2]analyte_order!$B:$B,[2]analyte_order!$C:$C)</f>
        <v>914637-49-3</v>
      </c>
      <c r="M2638">
        <f>_xlfn.XLOOKUP(L2638,[2]analyte_order!$C:$C,[2]analyte_order!$E:$E)</f>
        <v>39</v>
      </c>
      <c r="N2638">
        <v>1.83</v>
      </c>
    </row>
    <row r="2639" spans="1:14">
      <c r="A2639" t="s">
        <v>191</v>
      </c>
      <c r="B2639" t="str">
        <f>_xlfn.XLOOKUP(A2639,'[1]Tissue Data'!$A:$A,'[1]Tissue Data'!$C:$C)</f>
        <v>Spill</v>
      </c>
      <c r="C2639" s="2">
        <f>_xlfn.XLOOKUP(A2639,'[1]Tissue Data'!$A:$A,'[1]Tissue Data'!$D:$D)</f>
        <v>44314</v>
      </c>
      <c r="D2639" s="2" t="str">
        <f>_xlfn.XLOOKUP(A2639,'[1]Tissue Data'!$A:$A,'[1]Tissue Data'!$F:$F)</f>
        <v>Swallowtail Shiner</v>
      </c>
      <c r="E2639" t="str">
        <f>_xlfn.XLOOKUP(A2639,'[1]Tissue Data'!$A:$A,'[1]Tissue Data'!$H:$H)</f>
        <v>Notropis</v>
      </c>
      <c r="F2639" t="str">
        <f>_xlfn.XLOOKUP(A2639,'[1]Tissue Data'!$A:$A,'[1]Tissue Data'!$I:$I)</f>
        <v>procne</v>
      </c>
      <c r="G2639" t="str">
        <f>_xlfn.XLOOKUP(A2639,'[1]Tissue Data'!$A:$A,'[1]Tissue Data'!J:J)</f>
        <v>U</v>
      </c>
      <c r="H2639" t="str">
        <f>_xlfn.XLOOKUP(A2639,'[1]Tissue Data'!$A:$A,'[1]Tissue Data'!K:K)</f>
        <v>Whole Body</v>
      </c>
      <c r="I2639">
        <f>_xlfn.XLOOKUP(A2639,'[1]Tissue Data'!$A:$A,'[1]Tissue Data'!L:L)</f>
        <v>5.5</v>
      </c>
      <c r="J2639">
        <f>_xlfn.XLOOKUP(A2639,'[1]Tissue Data'!$A:$A,'[1]Tissue Data'!M:M)</f>
        <v>2.1</v>
      </c>
      <c r="K2639" t="s">
        <v>49</v>
      </c>
      <c r="L2639" t="str">
        <f>_xlfn.XLOOKUP(K2639,[2]analyte_order!$B:$B,[2]analyte_order!$C:$C)</f>
        <v>812-70-4</v>
      </c>
      <c r="M2639">
        <f>_xlfn.XLOOKUP(L2639,[2]analyte_order!$C:$C,[2]analyte_order!$E:$E)</f>
        <v>40</v>
      </c>
      <c r="N2639">
        <v>2.7</v>
      </c>
    </row>
    <row r="2640" spans="1:14">
      <c r="A2640" t="s">
        <v>191</v>
      </c>
      <c r="B2640" t="str">
        <f>_xlfn.XLOOKUP(A2640,'[1]Tissue Data'!$A:$A,'[1]Tissue Data'!$C:$C)</f>
        <v>Spill</v>
      </c>
      <c r="C2640" s="2">
        <f>_xlfn.XLOOKUP(A2640,'[1]Tissue Data'!$A:$A,'[1]Tissue Data'!$D:$D)</f>
        <v>44314</v>
      </c>
      <c r="D2640" s="2" t="str">
        <f>_xlfn.XLOOKUP(A2640,'[1]Tissue Data'!$A:$A,'[1]Tissue Data'!$F:$F)</f>
        <v>Swallowtail Shiner</v>
      </c>
      <c r="E2640" t="str">
        <f>_xlfn.XLOOKUP(A2640,'[1]Tissue Data'!$A:$A,'[1]Tissue Data'!$H:$H)</f>
        <v>Notropis</v>
      </c>
      <c r="F2640" t="str">
        <f>_xlfn.XLOOKUP(A2640,'[1]Tissue Data'!$A:$A,'[1]Tissue Data'!$I:$I)</f>
        <v>procne</v>
      </c>
      <c r="G2640" t="str">
        <f>_xlfn.XLOOKUP(A2640,'[1]Tissue Data'!$A:$A,'[1]Tissue Data'!J:J)</f>
        <v>U</v>
      </c>
      <c r="H2640" t="str">
        <f>_xlfn.XLOOKUP(A2640,'[1]Tissue Data'!$A:$A,'[1]Tissue Data'!K:K)</f>
        <v>Whole Body</v>
      </c>
      <c r="I2640">
        <f>_xlfn.XLOOKUP(A2640,'[1]Tissue Data'!$A:$A,'[1]Tissue Data'!L:L)</f>
        <v>5.5</v>
      </c>
      <c r="J2640">
        <f>_xlfn.XLOOKUP(A2640,'[1]Tissue Data'!$A:$A,'[1]Tissue Data'!M:M)</f>
        <v>2.1</v>
      </c>
      <c r="K2640" t="s">
        <v>50</v>
      </c>
      <c r="L2640" t="str">
        <f>_xlfn.XLOOKUP(K2640,[2]analyte_order!$B:$B,[2]analyte_order!$C:$C)</f>
        <v>53826-12-3</v>
      </c>
      <c r="M2640">
        <f>_xlfn.XLOOKUP(L2640,[2]analyte_order!$C:$C,[2]analyte_order!$E:$E)</f>
        <v>41</v>
      </c>
      <c r="N2640">
        <v>4.8500000000000001E-2</v>
      </c>
    </row>
    <row r="2641" spans="1:14">
      <c r="A2641" t="s">
        <v>191</v>
      </c>
      <c r="B2641" t="str">
        <f>_xlfn.XLOOKUP(A2641,'[1]Tissue Data'!$A:$A,'[1]Tissue Data'!$C:$C)</f>
        <v>Spill</v>
      </c>
      <c r="C2641" s="2">
        <f>_xlfn.XLOOKUP(A2641,'[1]Tissue Data'!$A:$A,'[1]Tissue Data'!$D:$D)</f>
        <v>44314</v>
      </c>
      <c r="D2641" s="2" t="str">
        <f>_xlfn.XLOOKUP(A2641,'[1]Tissue Data'!$A:$A,'[1]Tissue Data'!$F:$F)</f>
        <v>Swallowtail Shiner</v>
      </c>
      <c r="E2641" t="str">
        <f>_xlfn.XLOOKUP(A2641,'[1]Tissue Data'!$A:$A,'[1]Tissue Data'!$H:$H)</f>
        <v>Notropis</v>
      </c>
      <c r="F2641" t="str">
        <f>_xlfn.XLOOKUP(A2641,'[1]Tissue Data'!$A:$A,'[1]Tissue Data'!$I:$I)</f>
        <v>procne</v>
      </c>
      <c r="G2641" t="str">
        <f>_xlfn.XLOOKUP(A2641,'[1]Tissue Data'!$A:$A,'[1]Tissue Data'!J:J)</f>
        <v>U</v>
      </c>
      <c r="H2641" t="str">
        <f>_xlfn.XLOOKUP(A2641,'[1]Tissue Data'!$A:$A,'[1]Tissue Data'!K:K)</f>
        <v>Whole Body</v>
      </c>
      <c r="I2641">
        <f>_xlfn.XLOOKUP(A2641,'[1]Tissue Data'!$A:$A,'[1]Tissue Data'!L:L)</f>
        <v>5.5</v>
      </c>
      <c r="J2641">
        <f>_xlfn.XLOOKUP(A2641,'[1]Tissue Data'!$A:$A,'[1]Tissue Data'!M:M)</f>
        <v>2.1</v>
      </c>
      <c r="K2641" t="s">
        <v>51</v>
      </c>
      <c r="L2641" t="str">
        <f>_xlfn.XLOOKUP(K2641,[2]analyte_order!$B:$B,[2]analyte_order!$C:$C)</f>
        <v>27854-31-5</v>
      </c>
      <c r="M2641">
        <f>_xlfn.XLOOKUP(L2641,[2]analyte_order!$C:$C,[2]analyte_order!$E:$E)</f>
        <v>42</v>
      </c>
      <c r="N2641">
        <v>3.0300000000000001E-2</v>
      </c>
    </row>
    <row r="2642" spans="1:14">
      <c r="A2642" t="s">
        <v>191</v>
      </c>
      <c r="B2642" t="str">
        <f>_xlfn.XLOOKUP(A2642,'[1]Tissue Data'!$A:$A,'[1]Tissue Data'!$C:$C)</f>
        <v>Spill</v>
      </c>
      <c r="C2642" s="2">
        <f>_xlfn.XLOOKUP(A2642,'[1]Tissue Data'!$A:$A,'[1]Tissue Data'!$D:$D)</f>
        <v>44314</v>
      </c>
      <c r="D2642" s="2" t="str">
        <f>_xlfn.XLOOKUP(A2642,'[1]Tissue Data'!$A:$A,'[1]Tissue Data'!$F:$F)</f>
        <v>Swallowtail Shiner</v>
      </c>
      <c r="E2642" t="str">
        <f>_xlfn.XLOOKUP(A2642,'[1]Tissue Data'!$A:$A,'[1]Tissue Data'!$H:$H)</f>
        <v>Notropis</v>
      </c>
      <c r="F2642" t="str">
        <f>_xlfn.XLOOKUP(A2642,'[1]Tissue Data'!$A:$A,'[1]Tissue Data'!$I:$I)</f>
        <v>procne</v>
      </c>
      <c r="G2642" t="str">
        <f>_xlfn.XLOOKUP(A2642,'[1]Tissue Data'!$A:$A,'[1]Tissue Data'!J:J)</f>
        <v>U</v>
      </c>
      <c r="H2642" t="str">
        <f>_xlfn.XLOOKUP(A2642,'[1]Tissue Data'!$A:$A,'[1]Tissue Data'!K:K)</f>
        <v>Whole Body</v>
      </c>
      <c r="I2642">
        <f>_xlfn.XLOOKUP(A2642,'[1]Tissue Data'!$A:$A,'[1]Tissue Data'!L:L)</f>
        <v>5.5</v>
      </c>
      <c r="J2642">
        <f>_xlfn.XLOOKUP(A2642,'[1]Tissue Data'!$A:$A,'[1]Tissue Data'!M:M)</f>
        <v>2.1</v>
      </c>
      <c r="K2642" t="s">
        <v>52</v>
      </c>
      <c r="L2642" t="str">
        <f>_xlfn.XLOOKUP(K2642,[2]analyte_order!$B:$B,[2]analyte_order!$C:$C)</f>
        <v>53826-13-4</v>
      </c>
      <c r="M2642">
        <f>_xlfn.XLOOKUP(L2642,[2]analyte_order!$C:$C,[2]analyte_order!$E:$E)</f>
        <v>43</v>
      </c>
      <c r="N2642">
        <v>0.1125</v>
      </c>
    </row>
    <row r="2643" spans="1:14">
      <c r="A2643" t="s">
        <v>191</v>
      </c>
      <c r="B2643" t="str">
        <f>_xlfn.XLOOKUP(A2643,'[1]Tissue Data'!$A:$A,'[1]Tissue Data'!$C:$C)</f>
        <v>Spill</v>
      </c>
      <c r="C2643" s="2">
        <f>_xlfn.XLOOKUP(A2643,'[1]Tissue Data'!$A:$A,'[1]Tissue Data'!$D:$D)</f>
        <v>44314</v>
      </c>
      <c r="D2643" s="2" t="str">
        <f>_xlfn.XLOOKUP(A2643,'[1]Tissue Data'!$A:$A,'[1]Tissue Data'!$F:$F)</f>
        <v>Swallowtail Shiner</v>
      </c>
      <c r="E2643" t="str">
        <f>_xlfn.XLOOKUP(A2643,'[1]Tissue Data'!$A:$A,'[1]Tissue Data'!$H:$H)</f>
        <v>Notropis</v>
      </c>
      <c r="F2643" t="str">
        <f>_xlfn.XLOOKUP(A2643,'[1]Tissue Data'!$A:$A,'[1]Tissue Data'!$I:$I)</f>
        <v>procne</v>
      </c>
      <c r="G2643" t="str">
        <f>_xlfn.XLOOKUP(A2643,'[1]Tissue Data'!$A:$A,'[1]Tissue Data'!J:J)</f>
        <v>U</v>
      </c>
      <c r="H2643" t="str">
        <f>_xlfn.XLOOKUP(A2643,'[1]Tissue Data'!$A:$A,'[1]Tissue Data'!K:K)</f>
        <v>Whole Body</v>
      </c>
      <c r="I2643">
        <f>_xlfn.XLOOKUP(A2643,'[1]Tissue Data'!$A:$A,'[1]Tissue Data'!L:L)</f>
        <v>5.5</v>
      </c>
      <c r="J2643">
        <f>_xlfn.XLOOKUP(A2643,'[1]Tissue Data'!$A:$A,'[1]Tissue Data'!M:M)</f>
        <v>2.1</v>
      </c>
      <c r="K2643" t="s">
        <v>53</v>
      </c>
      <c r="L2643" t="str">
        <f>_xlfn.XLOOKUP(K2643,[2]analyte_order!$B:$B,[2]analyte_order!$C:$C)</f>
        <v>161094-75-3</v>
      </c>
      <c r="M2643">
        <f>_xlfn.XLOOKUP(L2643,[2]analyte_order!$C:$C,[2]analyte_order!$E:$E)</f>
        <v>44</v>
      </c>
      <c r="N2643">
        <v>5.9499999999999997E-2</v>
      </c>
    </row>
    <row r="2644" spans="1:14">
      <c r="A2644" t="s">
        <v>191</v>
      </c>
      <c r="B2644" t="str">
        <f>_xlfn.XLOOKUP(A2644,'[1]Tissue Data'!$A:$A,'[1]Tissue Data'!$C:$C)</f>
        <v>Spill</v>
      </c>
      <c r="C2644" s="2">
        <f>_xlfn.XLOOKUP(A2644,'[1]Tissue Data'!$A:$A,'[1]Tissue Data'!$D:$D)</f>
        <v>44314</v>
      </c>
      <c r="D2644" s="2" t="str">
        <f>_xlfn.XLOOKUP(A2644,'[1]Tissue Data'!$A:$A,'[1]Tissue Data'!$F:$F)</f>
        <v>Swallowtail Shiner</v>
      </c>
      <c r="E2644" t="str">
        <f>_xlfn.XLOOKUP(A2644,'[1]Tissue Data'!$A:$A,'[1]Tissue Data'!$H:$H)</f>
        <v>Notropis</v>
      </c>
      <c r="F2644" t="str">
        <f>_xlfn.XLOOKUP(A2644,'[1]Tissue Data'!$A:$A,'[1]Tissue Data'!$I:$I)</f>
        <v>procne</v>
      </c>
      <c r="G2644" t="str">
        <f>_xlfn.XLOOKUP(A2644,'[1]Tissue Data'!$A:$A,'[1]Tissue Data'!J:J)</f>
        <v>U</v>
      </c>
      <c r="H2644" t="str">
        <f>_xlfn.XLOOKUP(A2644,'[1]Tissue Data'!$A:$A,'[1]Tissue Data'!K:K)</f>
        <v>Whole Body</v>
      </c>
      <c r="I2644">
        <f>_xlfn.XLOOKUP(A2644,'[1]Tissue Data'!$A:$A,'[1]Tissue Data'!L:L)</f>
        <v>5.5</v>
      </c>
      <c r="J2644">
        <f>_xlfn.XLOOKUP(A2644,'[1]Tissue Data'!$A:$A,'[1]Tissue Data'!M:M)</f>
        <v>2.1</v>
      </c>
      <c r="K2644" t="s">
        <v>54</v>
      </c>
      <c r="L2644" t="str">
        <f>_xlfn.XLOOKUP(K2644,[2]analyte_order!$B:$B,[2]analyte_order!$C:$C)</f>
        <v>70887-84-2</v>
      </c>
      <c r="M2644">
        <f>_xlfn.XLOOKUP(L2644,[2]analyte_order!$C:$C,[2]analyte_order!$E:$E)</f>
        <v>45</v>
      </c>
      <c r="N2644">
        <v>4.5600000000000002E-2</v>
      </c>
    </row>
    <row r="2645" spans="1:14">
      <c r="A2645" t="s">
        <v>191</v>
      </c>
      <c r="B2645" t="str">
        <f>_xlfn.XLOOKUP(A2645,'[1]Tissue Data'!$A:$A,'[1]Tissue Data'!$C:$C)</f>
        <v>Spill</v>
      </c>
      <c r="C2645" s="2">
        <f>_xlfn.XLOOKUP(A2645,'[1]Tissue Data'!$A:$A,'[1]Tissue Data'!$D:$D)</f>
        <v>44314</v>
      </c>
      <c r="D2645" s="2" t="str">
        <f>_xlfn.XLOOKUP(A2645,'[1]Tissue Data'!$A:$A,'[1]Tissue Data'!$F:$F)</f>
        <v>Swallowtail Shiner</v>
      </c>
      <c r="E2645" t="str">
        <f>_xlfn.XLOOKUP(A2645,'[1]Tissue Data'!$A:$A,'[1]Tissue Data'!$H:$H)</f>
        <v>Notropis</v>
      </c>
      <c r="F2645" t="str">
        <f>_xlfn.XLOOKUP(A2645,'[1]Tissue Data'!$A:$A,'[1]Tissue Data'!$I:$I)</f>
        <v>procne</v>
      </c>
      <c r="G2645" t="str">
        <f>_xlfn.XLOOKUP(A2645,'[1]Tissue Data'!$A:$A,'[1]Tissue Data'!J:J)</f>
        <v>U</v>
      </c>
      <c r="H2645" t="str">
        <f>_xlfn.XLOOKUP(A2645,'[1]Tissue Data'!$A:$A,'[1]Tissue Data'!K:K)</f>
        <v>Whole Body</v>
      </c>
      <c r="I2645">
        <f>_xlfn.XLOOKUP(A2645,'[1]Tissue Data'!$A:$A,'[1]Tissue Data'!L:L)</f>
        <v>5.5</v>
      </c>
      <c r="J2645">
        <f>_xlfn.XLOOKUP(A2645,'[1]Tissue Data'!$A:$A,'[1]Tissue Data'!M:M)</f>
        <v>2.1</v>
      </c>
      <c r="K2645" t="s">
        <v>55</v>
      </c>
      <c r="L2645" t="str">
        <f>_xlfn.XLOOKUP(K2645,[2]analyte_order!$B:$B,[2]analyte_order!$C:$C)</f>
        <v>919005-14-4</v>
      </c>
      <c r="M2645">
        <f>_xlfn.XLOOKUP(L2645,[2]analyte_order!$C:$C,[2]analyte_order!$E:$E)</f>
        <v>35</v>
      </c>
      <c r="N2645">
        <v>7.5499999999999998E-2</v>
      </c>
    </row>
    <row r="2646" spans="1:14">
      <c r="A2646" t="s">
        <v>191</v>
      </c>
      <c r="B2646" t="str">
        <f>_xlfn.XLOOKUP(A2646,'[1]Tissue Data'!$A:$A,'[1]Tissue Data'!$C:$C)</f>
        <v>Spill</v>
      </c>
      <c r="C2646" s="2">
        <f>_xlfn.XLOOKUP(A2646,'[1]Tissue Data'!$A:$A,'[1]Tissue Data'!$D:$D)</f>
        <v>44314</v>
      </c>
      <c r="D2646" s="2" t="str">
        <f>_xlfn.XLOOKUP(A2646,'[1]Tissue Data'!$A:$A,'[1]Tissue Data'!$F:$F)</f>
        <v>Swallowtail Shiner</v>
      </c>
      <c r="E2646" t="str">
        <f>_xlfn.XLOOKUP(A2646,'[1]Tissue Data'!$A:$A,'[1]Tissue Data'!$H:$H)</f>
        <v>Notropis</v>
      </c>
      <c r="F2646" t="str">
        <f>_xlfn.XLOOKUP(A2646,'[1]Tissue Data'!$A:$A,'[1]Tissue Data'!$I:$I)</f>
        <v>procne</v>
      </c>
      <c r="G2646" t="str">
        <f>_xlfn.XLOOKUP(A2646,'[1]Tissue Data'!$A:$A,'[1]Tissue Data'!J:J)</f>
        <v>U</v>
      </c>
      <c r="H2646" t="str">
        <f>_xlfn.XLOOKUP(A2646,'[1]Tissue Data'!$A:$A,'[1]Tissue Data'!K:K)</f>
        <v>Whole Body</v>
      </c>
      <c r="I2646">
        <f>_xlfn.XLOOKUP(A2646,'[1]Tissue Data'!$A:$A,'[1]Tissue Data'!L:L)</f>
        <v>5.5</v>
      </c>
      <c r="J2646">
        <f>_xlfn.XLOOKUP(A2646,'[1]Tissue Data'!$A:$A,'[1]Tissue Data'!M:M)</f>
        <v>2.1</v>
      </c>
      <c r="K2646" t="s">
        <v>56</v>
      </c>
      <c r="L2646" t="str">
        <f>_xlfn.XLOOKUP(K2646,[2]analyte_order!$B:$B,[2]analyte_order!$C:$C)</f>
        <v>756426-58-1</v>
      </c>
      <c r="M2646">
        <f>_xlfn.XLOOKUP(L2646,[2]analyte_order!$C:$C,[2]analyte_order!$E:$E)</f>
        <v>36</v>
      </c>
      <c r="N2646">
        <v>5.2499999999999998E-2</v>
      </c>
    </row>
    <row r="2647" spans="1:14">
      <c r="A2647" t="s">
        <v>191</v>
      </c>
      <c r="B2647" t="str">
        <f>_xlfn.XLOOKUP(A2647,'[1]Tissue Data'!$A:$A,'[1]Tissue Data'!$C:$C)</f>
        <v>Spill</v>
      </c>
      <c r="C2647" s="2">
        <f>_xlfn.XLOOKUP(A2647,'[1]Tissue Data'!$A:$A,'[1]Tissue Data'!$D:$D)</f>
        <v>44314</v>
      </c>
      <c r="D2647" s="2" t="str">
        <f>_xlfn.XLOOKUP(A2647,'[1]Tissue Data'!$A:$A,'[1]Tissue Data'!$F:$F)</f>
        <v>Swallowtail Shiner</v>
      </c>
      <c r="E2647" t="str">
        <f>_xlfn.XLOOKUP(A2647,'[1]Tissue Data'!$A:$A,'[1]Tissue Data'!$H:$H)</f>
        <v>Notropis</v>
      </c>
      <c r="F2647" t="str">
        <f>_xlfn.XLOOKUP(A2647,'[1]Tissue Data'!$A:$A,'[1]Tissue Data'!$I:$I)</f>
        <v>procne</v>
      </c>
      <c r="G2647" t="str">
        <f>_xlfn.XLOOKUP(A2647,'[1]Tissue Data'!$A:$A,'[1]Tissue Data'!J:J)</f>
        <v>U</v>
      </c>
      <c r="H2647" t="str">
        <f>_xlfn.XLOOKUP(A2647,'[1]Tissue Data'!$A:$A,'[1]Tissue Data'!K:K)</f>
        <v>Whole Body</v>
      </c>
      <c r="I2647">
        <f>_xlfn.XLOOKUP(A2647,'[1]Tissue Data'!$A:$A,'[1]Tissue Data'!L:L)</f>
        <v>5.5</v>
      </c>
      <c r="J2647">
        <f>_xlfn.XLOOKUP(A2647,'[1]Tissue Data'!$A:$A,'[1]Tissue Data'!M:M)</f>
        <v>2.1</v>
      </c>
      <c r="K2647" t="s">
        <v>57</v>
      </c>
      <c r="L2647" t="str">
        <f>_xlfn.XLOOKUP(K2647,[2]analyte_order!$B:$B,[2]analyte_order!$C:$C)</f>
        <v>763051-92-9</v>
      </c>
      <c r="M2647">
        <f>_xlfn.XLOOKUP(L2647,[2]analyte_order!$C:$C,[2]analyte_order!$E:$E)</f>
        <v>37</v>
      </c>
      <c r="N2647">
        <v>5.9499999999999997E-2</v>
      </c>
    </row>
    <row r="2648" spans="1:14">
      <c r="A2648" t="s">
        <v>191</v>
      </c>
      <c r="B2648" t="str">
        <f>_xlfn.XLOOKUP(A2648,'[1]Tissue Data'!$A:$A,'[1]Tissue Data'!$C:$C)</f>
        <v>Spill</v>
      </c>
      <c r="C2648" s="2">
        <f>_xlfn.XLOOKUP(A2648,'[1]Tissue Data'!$A:$A,'[1]Tissue Data'!$D:$D)</f>
        <v>44314</v>
      </c>
      <c r="D2648" s="2" t="str">
        <f>_xlfn.XLOOKUP(A2648,'[1]Tissue Data'!$A:$A,'[1]Tissue Data'!$F:$F)</f>
        <v>Swallowtail Shiner</v>
      </c>
      <c r="E2648" t="str">
        <f>_xlfn.XLOOKUP(A2648,'[1]Tissue Data'!$A:$A,'[1]Tissue Data'!$H:$H)</f>
        <v>Notropis</v>
      </c>
      <c r="F2648" t="str">
        <f>_xlfn.XLOOKUP(A2648,'[1]Tissue Data'!$A:$A,'[1]Tissue Data'!$I:$I)</f>
        <v>procne</v>
      </c>
      <c r="G2648" t="str">
        <f>_xlfn.XLOOKUP(A2648,'[1]Tissue Data'!$A:$A,'[1]Tissue Data'!J:J)</f>
        <v>U</v>
      </c>
      <c r="H2648" t="str">
        <f>_xlfn.XLOOKUP(A2648,'[1]Tissue Data'!$A:$A,'[1]Tissue Data'!K:K)</f>
        <v>Whole Body</v>
      </c>
      <c r="I2648">
        <f>_xlfn.XLOOKUP(A2648,'[1]Tissue Data'!$A:$A,'[1]Tissue Data'!L:L)</f>
        <v>5.5</v>
      </c>
      <c r="J2648">
        <f>_xlfn.XLOOKUP(A2648,'[1]Tissue Data'!$A:$A,'[1]Tissue Data'!M:M)</f>
        <v>2.1</v>
      </c>
      <c r="K2648" t="s">
        <v>58</v>
      </c>
      <c r="L2648" t="str">
        <f>_xlfn.XLOOKUP(K2648,[2]analyte_order!$B:$B,[2]analyte_order!$C:$C)</f>
        <v>13252-13-6</v>
      </c>
      <c r="M2648">
        <f>_xlfn.XLOOKUP(L2648,[2]analyte_order!$C:$C,[2]analyte_order!$E:$E)</f>
        <v>34</v>
      </c>
      <c r="N2648">
        <v>0.1085</v>
      </c>
    </row>
    <row r="2649" spans="1:14">
      <c r="A2649" t="s">
        <v>191</v>
      </c>
      <c r="B2649" t="str">
        <f>_xlfn.XLOOKUP(A2649,'[1]Tissue Data'!$A:$A,'[1]Tissue Data'!$C:$C)</f>
        <v>Spill</v>
      </c>
      <c r="C2649" s="2">
        <f>_xlfn.XLOOKUP(A2649,'[1]Tissue Data'!$A:$A,'[1]Tissue Data'!$D:$D)</f>
        <v>44314</v>
      </c>
      <c r="D2649" s="2" t="str">
        <f>_xlfn.XLOOKUP(A2649,'[1]Tissue Data'!$A:$A,'[1]Tissue Data'!$F:$F)</f>
        <v>Swallowtail Shiner</v>
      </c>
      <c r="E2649" t="str">
        <f>_xlfn.XLOOKUP(A2649,'[1]Tissue Data'!$A:$A,'[1]Tissue Data'!$H:$H)</f>
        <v>Notropis</v>
      </c>
      <c r="F2649" t="str">
        <f>_xlfn.XLOOKUP(A2649,'[1]Tissue Data'!$A:$A,'[1]Tissue Data'!$I:$I)</f>
        <v>procne</v>
      </c>
      <c r="G2649" t="str">
        <f>_xlfn.XLOOKUP(A2649,'[1]Tissue Data'!$A:$A,'[1]Tissue Data'!J:J)</f>
        <v>U</v>
      </c>
      <c r="H2649" t="str">
        <f>_xlfn.XLOOKUP(A2649,'[1]Tissue Data'!$A:$A,'[1]Tissue Data'!K:K)</f>
        <v>Whole Body</v>
      </c>
      <c r="I2649">
        <f>_xlfn.XLOOKUP(A2649,'[1]Tissue Data'!$A:$A,'[1]Tissue Data'!L:L)</f>
        <v>5.5</v>
      </c>
      <c r="J2649">
        <f>_xlfn.XLOOKUP(A2649,'[1]Tissue Data'!$A:$A,'[1]Tissue Data'!M:M)</f>
        <v>2.1</v>
      </c>
      <c r="K2649" t="s">
        <v>59</v>
      </c>
      <c r="L2649" t="str">
        <f>_xlfn.XLOOKUP(K2649,[2]analyte_order!$B:$B,[2]analyte_order!$C:$C)</f>
        <v>57677-95-9</v>
      </c>
      <c r="M2649">
        <f>_xlfn.XLOOKUP(L2649,[2]analyte_order!$C:$C,[2]analyte_order!$E:$E)</f>
        <v>46</v>
      </c>
      <c r="N2649">
        <v>8.0500000000000002E-2</v>
      </c>
    </row>
    <row r="2650" spans="1:14">
      <c r="A2650" t="s">
        <v>191</v>
      </c>
      <c r="B2650" t="str">
        <f>_xlfn.XLOOKUP(A2650,'[1]Tissue Data'!$A:$A,'[1]Tissue Data'!$C:$C)</f>
        <v>Spill</v>
      </c>
      <c r="C2650" s="2">
        <f>_xlfn.XLOOKUP(A2650,'[1]Tissue Data'!$A:$A,'[1]Tissue Data'!$D:$D)</f>
        <v>44314</v>
      </c>
      <c r="D2650" s="2" t="str">
        <f>_xlfn.XLOOKUP(A2650,'[1]Tissue Data'!$A:$A,'[1]Tissue Data'!$F:$F)</f>
        <v>Swallowtail Shiner</v>
      </c>
      <c r="E2650" t="str">
        <f>_xlfn.XLOOKUP(A2650,'[1]Tissue Data'!$A:$A,'[1]Tissue Data'!$H:$H)</f>
        <v>Notropis</v>
      </c>
      <c r="F2650" t="str">
        <f>_xlfn.XLOOKUP(A2650,'[1]Tissue Data'!$A:$A,'[1]Tissue Data'!$I:$I)</f>
        <v>procne</v>
      </c>
      <c r="G2650" t="str">
        <f>_xlfn.XLOOKUP(A2650,'[1]Tissue Data'!$A:$A,'[1]Tissue Data'!J:J)</f>
        <v>U</v>
      </c>
      <c r="H2650" t="str">
        <f>_xlfn.XLOOKUP(A2650,'[1]Tissue Data'!$A:$A,'[1]Tissue Data'!K:K)</f>
        <v>Whole Body</v>
      </c>
      <c r="I2650">
        <f>_xlfn.XLOOKUP(A2650,'[1]Tissue Data'!$A:$A,'[1]Tissue Data'!L:L)</f>
        <v>5.5</v>
      </c>
      <c r="J2650">
        <f>_xlfn.XLOOKUP(A2650,'[1]Tissue Data'!$A:$A,'[1]Tissue Data'!M:M)</f>
        <v>2.1</v>
      </c>
      <c r="K2650" t="s">
        <v>60</v>
      </c>
      <c r="L2650" t="str">
        <f>_xlfn.XLOOKUP(K2650,[2]analyte_order!$B:$B,[2]analyte_order!$C:$C)</f>
        <v>678-41-1</v>
      </c>
      <c r="M2650">
        <f>_xlfn.XLOOKUP(L2650,[2]analyte_order!$C:$C,[2]analyte_order!$E:$E)</f>
        <v>56</v>
      </c>
      <c r="N2650">
        <v>0.1</v>
      </c>
    </row>
    <row r="2651" spans="1:14">
      <c r="A2651" t="s">
        <v>191</v>
      </c>
      <c r="B2651" t="str">
        <f>_xlfn.XLOOKUP(A2651,'[1]Tissue Data'!$A:$A,'[1]Tissue Data'!$C:$C)</f>
        <v>Spill</v>
      </c>
      <c r="C2651" s="2">
        <f>_xlfn.XLOOKUP(A2651,'[1]Tissue Data'!$A:$A,'[1]Tissue Data'!$D:$D)</f>
        <v>44314</v>
      </c>
      <c r="D2651" s="2" t="str">
        <f>_xlfn.XLOOKUP(A2651,'[1]Tissue Data'!$A:$A,'[1]Tissue Data'!$F:$F)</f>
        <v>Swallowtail Shiner</v>
      </c>
      <c r="E2651" t="str">
        <f>_xlfn.XLOOKUP(A2651,'[1]Tissue Data'!$A:$A,'[1]Tissue Data'!$H:$H)</f>
        <v>Notropis</v>
      </c>
      <c r="F2651" t="str">
        <f>_xlfn.XLOOKUP(A2651,'[1]Tissue Data'!$A:$A,'[1]Tissue Data'!$I:$I)</f>
        <v>procne</v>
      </c>
      <c r="G2651" t="str">
        <f>_xlfn.XLOOKUP(A2651,'[1]Tissue Data'!$A:$A,'[1]Tissue Data'!J:J)</f>
        <v>U</v>
      </c>
      <c r="H2651" t="str">
        <f>_xlfn.XLOOKUP(A2651,'[1]Tissue Data'!$A:$A,'[1]Tissue Data'!K:K)</f>
        <v>Whole Body</v>
      </c>
      <c r="I2651">
        <f>_xlfn.XLOOKUP(A2651,'[1]Tissue Data'!$A:$A,'[1]Tissue Data'!L:L)</f>
        <v>5.5</v>
      </c>
      <c r="J2651">
        <f>_xlfn.XLOOKUP(A2651,'[1]Tissue Data'!$A:$A,'[1]Tissue Data'!M:M)</f>
        <v>2.1</v>
      </c>
      <c r="K2651" t="s">
        <v>61</v>
      </c>
      <c r="L2651" t="str">
        <f>_xlfn.XLOOKUP(K2651,[2]analyte_order!$B:$B,[2]analyte_order!$C:$C)</f>
        <v>2965-52-8</v>
      </c>
      <c r="M2651">
        <f>_xlfn.XLOOKUP(L2651,[2]analyte_order!$C:$C,[2]analyte_order!$E:$E)</f>
        <v>57</v>
      </c>
      <c r="N2651">
        <v>0.13300000000000001</v>
      </c>
    </row>
    <row r="2652" spans="1:14">
      <c r="A2652" t="s">
        <v>192</v>
      </c>
      <c r="B2652" t="str">
        <f>_xlfn.XLOOKUP(A2652,'[1]Tissue Data'!$A:$A,'[1]Tissue Data'!$C:$C)</f>
        <v>Spill</v>
      </c>
      <c r="C2652" s="2">
        <f>_xlfn.XLOOKUP(A2652,'[1]Tissue Data'!$A:$A,'[1]Tissue Data'!$D:$D)</f>
        <v>44314</v>
      </c>
      <c r="D2652" s="2" t="str">
        <f>_xlfn.XLOOKUP(A2652,'[1]Tissue Data'!$A:$A,'[1]Tissue Data'!$F:$F)</f>
        <v>Swallowtail Shiner</v>
      </c>
      <c r="E2652" t="str">
        <f>_xlfn.XLOOKUP(A2652,'[1]Tissue Data'!$A:$A,'[1]Tissue Data'!$H:$H)</f>
        <v>Notropis</v>
      </c>
      <c r="F2652" t="str">
        <f>_xlfn.XLOOKUP(A2652,'[1]Tissue Data'!$A:$A,'[1]Tissue Data'!$I:$I)</f>
        <v>procne</v>
      </c>
      <c r="G2652" t="str">
        <f>_xlfn.XLOOKUP(A2652,'[1]Tissue Data'!$A:$A,'[1]Tissue Data'!J:J)</f>
        <v>U</v>
      </c>
      <c r="H2652" t="str">
        <f>_xlfn.XLOOKUP(A2652,'[1]Tissue Data'!$A:$A,'[1]Tissue Data'!K:K)</f>
        <v>Whole Body</v>
      </c>
      <c r="I2652">
        <f>_xlfn.XLOOKUP(A2652,'[1]Tissue Data'!$A:$A,'[1]Tissue Data'!L:L)</f>
        <v>5</v>
      </c>
      <c r="J2652">
        <f>_xlfn.XLOOKUP(A2652,'[1]Tissue Data'!$A:$A,'[1]Tissue Data'!M:M)</f>
        <v>1.9</v>
      </c>
      <c r="K2652" t="s">
        <v>12</v>
      </c>
      <c r="L2652" t="str">
        <f>_xlfn.XLOOKUP(K2652,[2]analyte_order!$B:$B,[2]analyte_order!$C:$C)</f>
        <v>375-22-4</v>
      </c>
      <c r="M2652">
        <f>_xlfn.XLOOKUP(L2652,[2]analyte_order!$C:$C,[2]analyte_order!$E:$E)</f>
        <v>1</v>
      </c>
      <c r="N2652">
        <v>2.76E-2</v>
      </c>
    </row>
    <row r="2653" spans="1:14">
      <c r="A2653" t="s">
        <v>192</v>
      </c>
      <c r="B2653" t="str">
        <f>_xlfn.XLOOKUP(A2653,'[1]Tissue Data'!$A:$A,'[1]Tissue Data'!$C:$C)</f>
        <v>Spill</v>
      </c>
      <c r="C2653" s="2">
        <f>_xlfn.XLOOKUP(A2653,'[1]Tissue Data'!$A:$A,'[1]Tissue Data'!$D:$D)</f>
        <v>44314</v>
      </c>
      <c r="D2653" s="2" t="str">
        <f>_xlfn.XLOOKUP(A2653,'[1]Tissue Data'!$A:$A,'[1]Tissue Data'!$F:$F)</f>
        <v>Swallowtail Shiner</v>
      </c>
      <c r="E2653" t="str">
        <f>_xlfn.XLOOKUP(A2653,'[1]Tissue Data'!$A:$A,'[1]Tissue Data'!$H:$H)</f>
        <v>Notropis</v>
      </c>
      <c r="F2653" t="str">
        <f>_xlfn.XLOOKUP(A2653,'[1]Tissue Data'!$A:$A,'[1]Tissue Data'!$I:$I)</f>
        <v>procne</v>
      </c>
      <c r="G2653" t="str">
        <f>_xlfn.XLOOKUP(A2653,'[1]Tissue Data'!$A:$A,'[1]Tissue Data'!J:J)</f>
        <v>U</v>
      </c>
      <c r="H2653" t="str">
        <f>_xlfn.XLOOKUP(A2653,'[1]Tissue Data'!$A:$A,'[1]Tissue Data'!K:K)</f>
        <v>Whole Body</v>
      </c>
      <c r="I2653">
        <f>_xlfn.XLOOKUP(A2653,'[1]Tissue Data'!$A:$A,'[1]Tissue Data'!L:L)</f>
        <v>5</v>
      </c>
      <c r="J2653">
        <f>_xlfn.XLOOKUP(A2653,'[1]Tissue Data'!$A:$A,'[1]Tissue Data'!M:M)</f>
        <v>1.9</v>
      </c>
      <c r="K2653" t="s">
        <v>13</v>
      </c>
      <c r="L2653" t="str">
        <f>_xlfn.XLOOKUP(K2653,[2]analyte_order!$B:$B,[2]analyte_order!$C:$C)</f>
        <v>2706-90-3</v>
      </c>
      <c r="M2653">
        <f>_xlfn.XLOOKUP(L2653,[2]analyte_order!$C:$C,[2]analyte_order!$E:$E)</f>
        <v>2</v>
      </c>
      <c r="N2653">
        <v>4.8649999999999999E-2</v>
      </c>
    </row>
    <row r="2654" spans="1:14">
      <c r="A2654" t="s">
        <v>192</v>
      </c>
      <c r="B2654" t="str">
        <f>_xlfn.XLOOKUP(A2654,'[1]Tissue Data'!$A:$A,'[1]Tissue Data'!$C:$C)</f>
        <v>Spill</v>
      </c>
      <c r="C2654" s="2">
        <f>_xlfn.XLOOKUP(A2654,'[1]Tissue Data'!$A:$A,'[1]Tissue Data'!$D:$D)</f>
        <v>44314</v>
      </c>
      <c r="D2654" s="2" t="str">
        <f>_xlfn.XLOOKUP(A2654,'[1]Tissue Data'!$A:$A,'[1]Tissue Data'!$F:$F)</f>
        <v>Swallowtail Shiner</v>
      </c>
      <c r="E2654" t="str">
        <f>_xlfn.XLOOKUP(A2654,'[1]Tissue Data'!$A:$A,'[1]Tissue Data'!$H:$H)</f>
        <v>Notropis</v>
      </c>
      <c r="F2654" t="str">
        <f>_xlfn.XLOOKUP(A2654,'[1]Tissue Data'!$A:$A,'[1]Tissue Data'!$I:$I)</f>
        <v>procne</v>
      </c>
      <c r="G2654" t="str">
        <f>_xlfn.XLOOKUP(A2654,'[1]Tissue Data'!$A:$A,'[1]Tissue Data'!J:J)</f>
        <v>U</v>
      </c>
      <c r="H2654" t="str">
        <f>_xlfn.XLOOKUP(A2654,'[1]Tissue Data'!$A:$A,'[1]Tissue Data'!K:K)</f>
        <v>Whole Body</v>
      </c>
      <c r="I2654">
        <f>_xlfn.XLOOKUP(A2654,'[1]Tissue Data'!$A:$A,'[1]Tissue Data'!L:L)</f>
        <v>5</v>
      </c>
      <c r="J2654">
        <f>_xlfn.XLOOKUP(A2654,'[1]Tissue Data'!$A:$A,'[1]Tissue Data'!M:M)</f>
        <v>1.9</v>
      </c>
      <c r="K2654" t="s">
        <v>14</v>
      </c>
      <c r="L2654" t="str">
        <f>_xlfn.XLOOKUP(K2654,[2]analyte_order!$B:$B,[2]analyte_order!$C:$C)</f>
        <v>307-24-4</v>
      </c>
      <c r="M2654">
        <f>_xlfn.XLOOKUP(L2654,[2]analyte_order!$C:$C,[2]analyte_order!$E:$E)</f>
        <v>3</v>
      </c>
      <c r="N2654">
        <v>0.1225</v>
      </c>
    </row>
    <row r="2655" spans="1:14">
      <c r="A2655" t="s">
        <v>192</v>
      </c>
      <c r="B2655" t="str">
        <f>_xlfn.XLOOKUP(A2655,'[1]Tissue Data'!$A:$A,'[1]Tissue Data'!$C:$C)</f>
        <v>Spill</v>
      </c>
      <c r="C2655" s="2">
        <f>_xlfn.XLOOKUP(A2655,'[1]Tissue Data'!$A:$A,'[1]Tissue Data'!$D:$D)</f>
        <v>44314</v>
      </c>
      <c r="D2655" s="2" t="str">
        <f>_xlfn.XLOOKUP(A2655,'[1]Tissue Data'!$A:$A,'[1]Tissue Data'!$F:$F)</f>
        <v>Swallowtail Shiner</v>
      </c>
      <c r="E2655" t="str">
        <f>_xlfn.XLOOKUP(A2655,'[1]Tissue Data'!$A:$A,'[1]Tissue Data'!$H:$H)</f>
        <v>Notropis</v>
      </c>
      <c r="F2655" t="str">
        <f>_xlfn.XLOOKUP(A2655,'[1]Tissue Data'!$A:$A,'[1]Tissue Data'!$I:$I)</f>
        <v>procne</v>
      </c>
      <c r="G2655" t="str">
        <f>_xlfn.XLOOKUP(A2655,'[1]Tissue Data'!$A:$A,'[1]Tissue Data'!J:J)</f>
        <v>U</v>
      </c>
      <c r="H2655" t="str">
        <f>_xlfn.XLOOKUP(A2655,'[1]Tissue Data'!$A:$A,'[1]Tissue Data'!K:K)</f>
        <v>Whole Body</v>
      </c>
      <c r="I2655">
        <f>_xlfn.XLOOKUP(A2655,'[1]Tissue Data'!$A:$A,'[1]Tissue Data'!L:L)</f>
        <v>5</v>
      </c>
      <c r="J2655">
        <f>_xlfn.XLOOKUP(A2655,'[1]Tissue Data'!$A:$A,'[1]Tissue Data'!M:M)</f>
        <v>1.9</v>
      </c>
      <c r="K2655" t="s">
        <v>15</v>
      </c>
      <c r="L2655" t="str">
        <f>_xlfn.XLOOKUP(K2655,[2]analyte_order!$B:$B,[2]analyte_order!$C:$C)</f>
        <v>375-85-9</v>
      </c>
      <c r="M2655">
        <f>_xlfn.XLOOKUP(L2655,[2]analyte_order!$C:$C,[2]analyte_order!$E:$E)</f>
        <v>4</v>
      </c>
      <c r="N2655">
        <v>2.76E-2</v>
      </c>
    </row>
    <row r="2656" spans="1:14">
      <c r="A2656" t="s">
        <v>192</v>
      </c>
      <c r="B2656" t="str">
        <f>_xlfn.XLOOKUP(A2656,'[1]Tissue Data'!$A:$A,'[1]Tissue Data'!$C:$C)</f>
        <v>Spill</v>
      </c>
      <c r="C2656" s="2">
        <f>_xlfn.XLOOKUP(A2656,'[1]Tissue Data'!$A:$A,'[1]Tissue Data'!$D:$D)</f>
        <v>44314</v>
      </c>
      <c r="D2656" s="2" t="str">
        <f>_xlfn.XLOOKUP(A2656,'[1]Tissue Data'!$A:$A,'[1]Tissue Data'!$F:$F)</f>
        <v>Swallowtail Shiner</v>
      </c>
      <c r="E2656" t="str">
        <f>_xlfn.XLOOKUP(A2656,'[1]Tissue Data'!$A:$A,'[1]Tissue Data'!$H:$H)</f>
        <v>Notropis</v>
      </c>
      <c r="F2656" t="str">
        <f>_xlfn.XLOOKUP(A2656,'[1]Tissue Data'!$A:$A,'[1]Tissue Data'!$I:$I)</f>
        <v>procne</v>
      </c>
      <c r="G2656" t="str">
        <f>_xlfn.XLOOKUP(A2656,'[1]Tissue Data'!$A:$A,'[1]Tissue Data'!J:J)</f>
        <v>U</v>
      </c>
      <c r="H2656" t="str">
        <f>_xlfn.XLOOKUP(A2656,'[1]Tissue Data'!$A:$A,'[1]Tissue Data'!K:K)</f>
        <v>Whole Body</v>
      </c>
      <c r="I2656">
        <f>_xlfn.XLOOKUP(A2656,'[1]Tissue Data'!$A:$A,'[1]Tissue Data'!L:L)</f>
        <v>5</v>
      </c>
      <c r="J2656">
        <f>_xlfn.XLOOKUP(A2656,'[1]Tissue Data'!$A:$A,'[1]Tissue Data'!M:M)</f>
        <v>1.9</v>
      </c>
      <c r="K2656" t="s">
        <v>16</v>
      </c>
      <c r="L2656" t="str">
        <f>_xlfn.XLOOKUP(K2656,[2]analyte_order!$B:$B,[2]analyte_order!$C:$C)</f>
        <v>335-67-1</v>
      </c>
      <c r="M2656">
        <f>_xlfn.XLOOKUP(L2656,[2]analyte_order!$C:$C,[2]analyte_order!$E:$E)</f>
        <v>5</v>
      </c>
      <c r="N2656">
        <v>1.91</v>
      </c>
    </row>
    <row r="2657" spans="1:14">
      <c r="A2657" t="s">
        <v>192</v>
      </c>
      <c r="B2657" t="str">
        <f>_xlfn.XLOOKUP(A2657,'[1]Tissue Data'!$A:$A,'[1]Tissue Data'!$C:$C)</f>
        <v>Spill</v>
      </c>
      <c r="C2657" s="2">
        <f>_xlfn.XLOOKUP(A2657,'[1]Tissue Data'!$A:$A,'[1]Tissue Data'!$D:$D)</f>
        <v>44314</v>
      </c>
      <c r="D2657" s="2" t="str">
        <f>_xlfn.XLOOKUP(A2657,'[1]Tissue Data'!$A:$A,'[1]Tissue Data'!$F:$F)</f>
        <v>Swallowtail Shiner</v>
      </c>
      <c r="E2657" t="str">
        <f>_xlfn.XLOOKUP(A2657,'[1]Tissue Data'!$A:$A,'[1]Tissue Data'!$H:$H)</f>
        <v>Notropis</v>
      </c>
      <c r="F2657" t="str">
        <f>_xlfn.XLOOKUP(A2657,'[1]Tissue Data'!$A:$A,'[1]Tissue Data'!$I:$I)</f>
        <v>procne</v>
      </c>
      <c r="G2657" t="str">
        <f>_xlfn.XLOOKUP(A2657,'[1]Tissue Data'!$A:$A,'[1]Tissue Data'!J:J)</f>
        <v>U</v>
      </c>
      <c r="H2657" t="str">
        <f>_xlfn.XLOOKUP(A2657,'[1]Tissue Data'!$A:$A,'[1]Tissue Data'!K:K)</f>
        <v>Whole Body</v>
      </c>
      <c r="I2657">
        <f>_xlfn.XLOOKUP(A2657,'[1]Tissue Data'!$A:$A,'[1]Tissue Data'!L:L)</f>
        <v>5</v>
      </c>
      <c r="J2657">
        <f>_xlfn.XLOOKUP(A2657,'[1]Tissue Data'!$A:$A,'[1]Tissue Data'!M:M)</f>
        <v>1.9</v>
      </c>
      <c r="K2657" t="s">
        <v>17</v>
      </c>
      <c r="L2657" t="str">
        <f>_xlfn.XLOOKUP(K2657,[2]analyte_order!$B:$B,[2]analyte_order!$C:$C)</f>
        <v>375-95-1</v>
      </c>
      <c r="M2657">
        <f>_xlfn.XLOOKUP(L2657,[2]analyte_order!$C:$C,[2]analyte_order!$E:$E)</f>
        <v>6</v>
      </c>
      <c r="N2657">
        <v>5.81</v>
      </c>
    </row>
    <row r="2658" spans="1:14">
      <c r="A2658" t="s">
        <v>192</v>
      </c>
      <c r="B2658" t="str">
        <f>_xlfn.XLOOKUP(A2658,'[1]Tissue Data'!$A:$A,'[1]Tissue Data'!$C:$C)</f>
        <v>Spill</v>
      </c>
      <c r="C2658" s="2">
        <f>_xlfn.XLOOKUP(A2658,'[1]Tissue Data'!$A:$A,'[1]Tissue Data'!$D:$D)</f>
        <v>44314</v>
      </c>
      <c r="D2658" s="2" t="str">
        <f>_xlfn.XLOOKUP(A2658,'[1]Tissue Data'!$A:$A,'[1]Tissue Data'!$F:$F)</f>
        <v>Swallowtail Shiner</v>
      </c>
      <c r="E2658" t="str">
        <f>_xlfn.XLOOKUP(A2658,'[1]Tissue Data'!$A:$A,'[1]Tissue Data'!$H:$H)</f>
        <v>Notropis</v>
      </c>
      <c r="F2658" t="str">
        <f>_xlfn.XLOOKUP(A2658,'[1]Tissue Data'!$A:$A,'[1]Tissue Data'!$I:$I)</f>
        <v>procne</v>
      </c>
      <c r="G2658" t="str">
        <f>_xlfn.XLOOKUP(A2658,'[1]Tissue Data'!$A:$A,'[1]Tissue Data'!J:J)</f>
        <v>U</v>
      </c>
      <c r="H2658" t="str">
        <f>_xlfn.XLOOKUP(A2658,'[1]Tissue Data'!$A:$A,'[1]Tissue Data'!K:K)</f>
        <v>Whole Body</v>
      </c>
      <c r="I2658">
        <f>_xlfn.XLOOKUP(A2658,'[1]Tissue Data'!$A:$A,'[1]Tissue Data'!L:L)</f>
        <v>5</v>
      </c>
      <c r="J2658">
        <f>_xlfn.XLOOKUP(A2658,'[1]Tissue Data'!$A:$A,'[1]Tissue Data'!M:M)</f>
        <v>1.9</v>
      </c>
      <c r="K2658" t="s">
        <v>18</v>
      </c>
      <c r="L2658" t="str">
        <f>_xlfn.XLOOKUP(K2658,[2]analyte_order!$B:$B,[2]analyte_order!$C:$C)</f>
        <v>335-76-2</v>
      </c>
      <c r="M2658">
        <f>_xlfn.XLOOKUP(L2658,[2]analyte_order!$C:$C,[2]analyte_order!$E:$E)</f>
        <v>7</v>
      </c>
      <c r="N2658">
        <v>13.4</v>
      </c>
    </row>
    <row r="2659" spans="1:14">
      <c r="A2659" t="s">
        <v>192</v>
      </c>
      <c r="B2659" t="str">
        <f>_xlfn.XLOOKUP(A2659,'[1]Tissue Data'!$A:$A,'[1]Tissue Data'!$C:$C)</f>
        <v>Spill</v>
      </c>
      <c r="C2659" s="2">
        <f>_xlfn.XLOOKUP(A2659,'[1]Tissue Data'!$A:$A,'[1]Tissue Data'!$D:$D)</f>
        <v>44314</v>
      </c>
      <c r="D2659" s="2" t="str">
        <f>_xlfn.XLOOKUP(A2659,'[1]Tissue Data'!$A:$A,'[1]Tissue Data'!$F:$F)</f>
        <v>Swallowtail Shiner</v>
      </c>
      <c r="E2659" t="str">
        <f>_xlfn.XLOOKUP(A2659,'[1]Tissue Data'!$A:$A,'[1]Tissue Data'!$H:$H)</f>
        <v>Notropis</v>
      </c>
      <c r="F2659" t="str">
        <f>_xlfn.XLOOKUP(A2659,'[1]Tissue Data'!$A:$A,'[1]Tissue Data'!$I:$I)</f>
        <v>procne</v>
      </c>
      <c r="G2659" t="str">
        <f>_xlfn.XLOOKUP(A2659,'[1]Tissue Data'!$A:$A,'[1]Tissue Data'!J:J)</f>
        <v>U</v>
      </c>
      <c r="H2659" t="str">
        <f>_xlfn.XLOOKUP(A2659,'[1]Tissue Data'!$A:$A,'[1]Tissue Data'!K:K)</f>
        <v>Whole Body</v>
      </c>
      <c r="I2659">
        <f>_xlfn.XLOOKUP(A2659,'[1]Tissue Data'!$A:$A,'[1]Tissue Data'!L:L)</f>
        <v>5</v>
      </c>
      <c r="J2659">
        <f>_xlfn.XLOOKUP(A2659,'[1]Tissue Data'!$A:$A,'[1]Tissue Data'!M:M)</f>
        <v>1.9</v>
      </c>
      <c r="K2659" t="s">
        <v>19</v>
      </c>
      <c r="L2659" t="str">
        <f>_xlfn.XLOOKUP(K2659,[2]analyte_order!$B:$B,[2]analyte_order!$C:$C)</f>
        <v>2058-94-8</v>
      </c>
      <c r="M2659">
        <f>_xlfn.XLOOKUP(L2659,[2]analyte_order!$C:$C,[2]analyte_order!$E:$E)</f>
        <v>8</v>
      </c>
      <c r="N2659">
        <v>30.2</v>
      </c>
    </row>
    <row r="2660" spans="1:14">
      <c r="A2660" t="s">
        <v>192</v>
      </c>
      <c r="B2660" t="str">
        <f>_xlfn.XLOOKUP(A2660,'[1]Tissue Data'!$A:$A,'[1]Tissue Data'!$C:$C)</f>
        <v>Spill</v>
      </c>
      <c r="C2660" s="2">
        <f>_xlfn.XLOOKUP(A2660,'[1]Tissue Data'!$A:$A,'[1]Tissue Data'!$D:$D)</f>
        <v>44314</v>
      </c>
      <c r="D2660" s="2" t="str">
        <f>_xlfn.XLOOKUP(A2660,'[1]Tissue Data'!$A:$A,'[1]Tissue Data'!$F:$F)</f>
        <v>Swallowtail Shiner</v>
      </c>
      <c r="E2660" t="str">
        <f>_xlfn.XLOOKUP(A2660,'[1]Tissue Data'!$A:$A,'[1]Tissue Data'!$H:$H)</f>
        <v>Notropis</v>
      </c>
      <c r="F2660" t="str">
        <f>_xlfn.XLOOKUP(A2660,'[1]Tissue Data'!$A:$A,'[1]Tissue Data'!$I:$I)</f>
        <v>procne</v>
      </c>
      <c r="G2660" t="str">
        <f>_xlfn.XLOOKUP(A2660,'[1]Tissue Data'!$A:$A,'[1]Tissue Data'!J:J)</f>
        <v>U</v>
      </c>
      <c r="H2660" t="str">
        <f>_xlfn.XLOOKUP(A2660,'[1]Tissue Data'!$A:$A,'[1]Tissue Data'!K:K)</f>
        <v>Whole Body</v>
      </c>
      <c r="I2660">
        <f>_xlfn.XLOOKUP(A2660,'[1]Tissue Data'!$A:$A,'[1]Tissue Data'!L:L)</f>
        <v>5</v>
      </c>
      <c r="J2660">
        <f>_xlfn.XLOOKUP(A2660,'[1]Tissue Data'!$A:$A,'[1]Tissue Data'!M:M)</f>
        <v>1.9</v>
      </c>
      <c r="K2660" t="s">
        <v>20</v>
      </c>
      <c r="L2660" t="str">
        <f>_xlfn.XLOOKUP(K2660,[2]analyte_order!$B:$B,[2]analyte_order!$C:$C)</f>
        <v>307-55-1</v>
      </c>
      <c r="M2660">
        <f>_xlfn.XLOOKUP(L2660,[2]analyte_order!$C:$C,[2]analyte_order!$E:$E)</f>
        <v>9</v>
      </c>
      <c r="N2660">
        <v>27.9</v>
      </c>
    </row>
    <row r="2661" spans="1:14">
      <c r="A2661" t="s">
        <v>192</v>
      </c>
      <c r="B2661" t="str">
        <f>_xlfn.XLOOKUP(A2661,'[1]Tissue Data'!$A:$A,'[1]Tissue Data'!$C:$C)</f>
        <v>Spill</v>
      </c>
      <c r="C2661" s="2">
        <f>_xlfn.XLOOKUP(A2661,'[1]Tissue Data'!$A:$A,'[1]Tissue Data'!$D:$D)</f>
        <v>44314</v>
      </c>
      <c r="D2661" s="2" t="str">
        <f>_xlfn.XLOOKUP(A2661,'[1]Tissue Data'!$A:$A,'[1]Tissue Data'!$F:$F)</f>
        <v>Swallowtail Shiner</v>
      </c>
      <c r="E2661" t="str">
        <f>_xlfn.XLOOKUP(A2661,'[1]Tissue Data'!$A:$A,'[1]Tissue Data'!$H:$H)</f>
        <v>Notropis</v>
      </c>
      <c r="F2661" t="str">
        <f>_xlfn.XLOOKUP(A2661,'[1]Tissue Data'!$A:$A,'[1]Tissue Data'!$I:$I)</f>
        <v>procne</v>
      </c>
      <c r="G2661" t="str">
        <f>_xlfn.XLOOKUP(A2661,'[1]Tissue Data'!$A:$A,'[1]Tissue Data'!J:J)</f>
        <v>U</v>
      </c>
      <c r="H2661" t="str">
        <f>_xlfn.XLOOKUP(A2661,'[1]Tissue Data'!$A:$A,'[1]Tissue Data'!K:K)</f>
        <v>Whole Body</v>
      </c>
      <c r="I2661">
        <f>_xlfn.XLOOKUP(A2661,'[1]Tissue Data'!$A:$A,'[1]Tissue Data'!L:L)</f>
        <v>5</v>
      </c>
      <c r="J2661">
        <f>_xlfn.XLOOKUP(A2661,'[1]Tissue Data'!$A:$A,'[1]Tissue Data'!M:M)</f>
        <v>1.9</v>
      </c>
      <c r="K2661" t="s">
        <v>21</v>
      </c>
      <c r="L2661" t="str">
        <f>_xlfn.XLOOKUP(K2661,[2]analyte_order!$B:$B,[2]analyte_order!$C:$C)</f>
        <v>72629-94-8</v>
      </c>
      <c r="M2661">
        <f>_xlfn.XLOOKUP(L2661,[2]analyte_order!$C:$C,[2]analyte_order!$E:$E)</f>
        <v>10</v>
      </c>
      <c r="N2661">
        <v>7.43</v>
      </c>
    </row>
    <row r="2662" spans="1:14">
      <c r="A2662" t="s">
        <v>192</v>
      </c>
      <c r="B2662" t="str">
        <f>_xlfn.XLOOKUP(A2662,'[1]Tissue Data'!$A:$A,'[1]Tissue Data'!$C:$C)</f>
        <v>Spill</v>
      </c>
      <c r="C2662" s="2">
        <f>_xlfn.XLOOKUP(A2662,'[1]Tissue Data'!$A:$A,'[1]Tissue Data'!$D:$D)</f>
        <v>44314</v>
      </c>
      <c r="D2662" s="2" t="str">
        <f>_xlfn.XLOOKUP(A2662,'[1]Tissue Data'!$A:$A,'[1]Tissue Data'!$F:$F)</f>
        <v>Swallowtail Shiner</v>
      </c>
      <c r="E2662" t="str">
        <f>_xlfn.XLOOKUP(A2662,'[1]Tissue Data'!$A:$A,'[1]Tissue Data'!$H:$H)</f>
        <v>Notropis</v>
      </c>
      <c r="F2662" t="str">
        <f>_xlfn.XLOOKUP(A2662,'[1]Tissue Data'!$A:$A,'[1]Tissue Data'!$I:$I)</f>
        <v>procne</v>
      </c>
      <c r="G2662" t="str">
        <f>_xlfn.XLOOKUP(A2662,'[1]Tissue Data'!$A:$A,'[1]Tissue Data'!J:J)</f>
        <v>U</v>
      </c>
      <c r="H2662" t="str">
        <f>_xlfn.XLOOKUP(A2662,'[1]Tissue Data'!$A:$A,'[1]Tissue Data'!K:K)</f>
        <v>Whole Body</v>
      </c>
      <c r="I2662">
        <f>_xlfn.XLOOKUP(A2662,'[1]Tissue Data'!$A:$A,'[1]Tissue Data'!L:L)</f>
        <v>5</v>
      </c>
      <c r="J2662">
        <f>_xlfn.XLOOKUP(A2662,'[1]Tissue Data'!$A:$A,'[1]Tissue Data'!M:M)</f>
        <v>1.9</v>
      </c>
      <c r="K2662" t="s">
        <v>22</v>
      </c>
      <c r="L2662" t="str">
        <f>_xlfn.XLOOKUP(K2662,[2]analyte_order!$B:$B,[2]analyte_order!$C:$C)</f>
        <v>376-06-7</v>
      </c>
      <c r="M2662">
        <f>_xlfn.XLOOKUP(L2662,[2]analyte_order!$C:$C,[2]analyte_order!$E:$E)</f>
        <v>11</v>
      </c>
      <c r="N2662">
        <v>11.4</v>
      </c>
    </row>
    <row r="2663" spans="1:14">
      <c r="A2663" t="s">
        <v>192</v>
      </c>
      <c r="B2663" t="str">
        <f>_xlfn.XLOOKUP(A2663,'[1]Tissue Data'!$A:$A,'[1]Tissue Data'!$C:$C)</f>
        <v>Spill</v>
      </c>
      <c r="C2663" s="2">
        <f>_xlfn.XLOOKUP(A2663,'[1]Tissue Data'!$A:$A,'[1]Tissue Data'!$D:$D)</f>
        <v>44314</v>
      </c>
      <c r="D2663" s="2" t="str">
        <f>_xlfn.XLOOKUP(A2663,'[1]Tissue Data'!$A:$A,'[1]Tissue Data'!$F:$F)</f>
        <v>Swallowtail Shiner</v>
      </c>
      <c r="E2663" t="str">
        <f>_xlfn.XLOOKUP(A2663,'[1]Tissue Data'!$A:$A,'[1]Tissue Data'!$H:$H)</f>
        <v>Notropis</v>
      </c>
      <c r="F2663" t="str">
        <f>_xlfn.XLOOKUP(A2663,'[1]Tissue Data'!$A:$A,'[1]Tissue Data'!$I:$I)</f>
        <v>procne</v>
      </c>
      <c r="G2663" t="str">
        <f>_xlfn.XLOOKUP(A2663,'[1]Tissue Data'!$A:$A,'[1]Tissue Data'!J:J)</f>
        <v>U</v>
      </c>
      <c r="H2663" t="str">
        <f>_xlfn.XLOOKUP(A2663,'[1]Tissue Data'!$A:$A,'[1]Tissue Data'!K:K)</f>
        <v>Whole Body</v>
      </c>
      <c r="I2663">
        <f>_xlfn.XLOOKUP(A2663,'[1]Tissue Data'!$A:$A,'[1]Tissue Data'!L:L)</f>
        <v>5</v>
      </c>
      <c r="J2663">
        <f>_xlfn.XLOOKUP(A2663,'[1]Tissue Data'!$A:$A,'[1]Tissue Data'!M:M)</f>
        <v>1.9</v>
      </c>
      <c r="K2663" t="s">
        <v>23</v>
      </c>
      <c r="L2663" t="str">
        <f>_xlfn.XLOOKUP(K2663,[2]analyte_order!$B:$B,[2]analyte_order!$C:$C)</f>
        <v>67905-19-5</v>
      </c>
      <c r="M2663">
        <f>_xlfn.XLOOKUP(L2663,[2]analyte_order!$C:$C,[2]analyte_order!$E:$E)</f>
        <v>12</v>
      </c>
      <c r="N2663">
        <v>8.2000000000000003E-2</v>
      </c>
    </row>
    <row r="2664" spans="1:14">
      <c r="A2664" t="s">
        <v>192</v>
      </c>
      <c r="B2664" t="str">
        <f>_xlfn.XLOOKUP(A2664,'[1]Tissue Data'!$A:$A,'[1]Tissue Data'!$C:$C)</f>
        <v>Spill</v>
      </c>
      <c r="C2664" s="2">
        <f>_xlfn.XLOOKUP(A2664,'[1]Tissue Data'!$A:$A,'[1]Tissue Data'!$D:$D)</f>
        <v>44314</v>
      </c>
      <c r="D2664" s="2" t="str">
        <f>_xlfn.XLOOKUP(A2664,'[1]Tissue Data'!$A:$A,'[1]Tissue Data'!$F:$F)</f>
        <v>Swallowtail Shiner</v>
      </c>
      <c r="E2664" t="str">
        <f>_xlfn.XLOOKUP(A2664,'[1]Tissue Data'!$A:$A,'[1]Tissue Data'!$H:$H)</f>
        <v>Notropis</v>
      </c>
      <c r="F2664" t="str">
        <f>_xlfn.XLOOKUP(A2664,'[1]Tissue Data'!$A:$A,'[1]Tissue Data'!$I:$I)</f>
        <v>procne</v>
      </c>
      <c r="G2664" t="str">
        <f>_xlfn.XLOOKUP(A2664,'[1]Tissue Data'!$A:$A,'[1]Tissue Data'!J:J)</f>
        <v>U</v>
      </c>
      <c r="H2664" t="str">
        <f>_xlfn.XLOOKUP(A2664,'[1]Tissue Data'!$A:$A,'[1]Tissue Data'!K:K)</f>
        <v>Whole Body</v>
      </c>
      <c r="I2664">
        <f>_xlfn.XLOOKUP(A2664,'[1]Tissue Data'!$A:$A,'[1]Tissue Data'!L:L)</f>
        <v>5</v>
      </c>
      <c r="J2664">
        <f>_xlfn.XLOOKUP(A2664,'[1]Tissue Data'!$A:$A,'[1]Tissue Data'!M:M)</f>
        <v>1.9</v>
      </c>
      <c r="K2664" t="s">
        <v>24</v>
      </c>
      <c r="L2664" t="str">
        <f>_xlfn.XLOOKUP(K2664,[2]analyte_order!$B:$B,[2]analyte_order!$C:$C)</f>
        <v>423-41-6</v>
      </c>
      <c r="M2664">
        <f>_xlfn.XLOOKUP(L2664,[2]analyte_order!$C:$C,[2]analyte_order!$E:$E)</f>
        <v>53</v>
      </c>
      <c r="N2664">
        <v>5.2499999999999998E-2</v>
      </c>
    </row>
    <row r="2665" spans="1:14">
      <c r="A2665" t="s">
        <v>192</v>
      </c>
      <c r="B2665" t="str">
        <f>_xlfn.XLOOKUP(A2665,'[1]Tissue Data'!$A:$A,'[1]Tissue Data'!$C:$C)</f>
        <v>Spill</v>
      </c>
      <c r="C2665" s="2">
        <f>_xlfn.XLOOKUP(A2665,'[1]Tissue Data'!$A:$A,'[1]Tissue Data'!$D:$D)</f>
        <v>44314</v>
      </c>
      <c r="D2665" s="2" t="str">
        <f>_xlfn.XLOOKUP(A2665,'[1]Tissue Data'!$A:$A,'[1]Tissue Data'!$F:$F)</f>
        <v>Swallowtail Shiner</v>
      </c>
      <c r="E2665" t="str">
        <f>_xlfn.XLOOKUP(A2665,'[1]Tissue Data'!$A:$A,'[1]Tissue Data'!$H:$H)</f>
        <v>Notropis</v>
      </c>
      <c r="F2665" t="str">
        <f>_xlfn.XLOOKUP(A2665,'[1]Tissue Data'!$A:$A,'[1]Tissue Data'!$I:$I)</f>
        <v>procne</v>
      </c>
      <c r="G2665" t="str">
        <f>_xlfn.XLOOKUP(A2665,'[1]Tissue Data'!$A:$A,'[1]Tissue Data'!J:J)</f>
        <v>U</v>
      </c>
      <c r="H2665" t="str">
        <f>_xlfn.XLOOKUP(A2665,'[1]Tissue Data'!$A:$A,'[1]Tissue Data'!K:K)</f>
        <v>Whole Body</v>
      </c>
      <c r="I2665">
        <f>_xlfn.XLOOKUP(A2665,'[1]Tissue Data'!$A:$A,'[1]Tissue Data'!L:L)</f>
        <v>5</v>
      </c>
      <c r="J2665">
        <f>_xlfn.XLOOKUP(A2665,'[1]Tissue Data'!$A:$A,'[1]Tissue Data'!M:M)</f>
        <v>1.9</v>
      </c>
      <c r="K2665" t="s">
        <v>25</v>
      </c>
      <c r="L2665" t="str">
        <f>_xlfn.XLOOKUP(K2665,[2]analyte_order!$B:$B,[2]analyte_order!$C:$C)</f>
        <v>375-73-5</v>
      </c>
      <c r="M2665">
        <f>_xlfn.XLOOKUP(L2665,[2]analyte_order!$C:$C,[2]analyte_order!$E:$E)</f>
        <v>14</v>
      </c>
      <c r="N2665">
        <v>0.155</v>
      </c>
    </row>
    <row r="2666" spans="1:14">
      <c r="A2666" t="s">
        <v>192</v>
      </c>
      <c r="B2666" t="str">
        <f>_xlfn.XLOOKUP(A2666,'[1]Tissue Data'!$A:$A,'[1]Tissue Data'!$C:$C)</f>
        <v>Spill</v>
      </c>
      <c r="C2666" s="2">
        <f>_xlfn.XLOOKUP(A2666,'[1]Tissue Data'!$A:$A,'[1]Tissue Data'!$D:$D)</f>
        <v>44314</v>
      </c>
      <c r="D2666" s="2" t="str">
        <f>_xlfn.XLOOKUP(A2666,'[1]Tissue Data'!$A:$A,'[1]Tissue Data'!$F:$F)</f>
        <v>Swallowtail Shiner</v>
      </c>
      <c r="E2666" t="str">
        <f>_xlfn.XLOOKUP(A2666,'[1]Tissue Data'!$A:$A,'[1]Tissue Data'!$H:$H)</f>
        <v>Notropis</v>
      </c>
      <c r="F2666" t="str">
        <f>_xlfn.XLOOKUP(A2666,'[1]Tissue Data'!$A:$A,'[1]Tissue Data'!$I:$I)</f>
        <v>procne</v>
      </c>
      <c r="G2666" t="str">
        <f>_xlfn.XLOOKUP(A2666,'[1]Tissue Data'!$A:$A,'[1]Tissue Data'!J:J)</f>
        <v>U</v>
      </c>
      <c r="H2666" t="str">
        <f>_xlfn.XLOOKUP(A2666,'[1]Tissue Data'!$A:$A,'[1]Tissue Data'!K:K)</f>
        <v>Whole Body</v>
      </c>
      <c r="I2666">
        <f>_xlfn.XLOOKUP(A2666,'[1]Tissue Data'!$A:$A,'[1]Tissue Data'!L:L)</f>
        <v>5</v>
      </c>
      <c r="J2666">
        <f>_xlfn.XLOOKUP(A2666,'[1]Tissue Data'!$A:$A,'[1]Tissue Data'!M:M)</f>
        <v>1.9</v>
      </c>
      <c r="K2666" t="s">
        <v>26</v>
      </c>
      <c r="L2666" t="str">
        <f>_xlfn.XLOOKUP(K2666,[2]analyte_order!$B:$B,[2]analyte_order!$C:$C)</f>
        <v>2706-91-4</v>
      </c>
      <c r="M2666">
        <f>_xlfn.XLOOKUP(L2666,[2]analyte_order!$C:$C,[2]analyte_order!$E:$E)</f>
        <v>15</v>
      </c>
      <c r="N2666">
        <v>0.36799999999999999</v>
      </c>
    </row>
    <row r="2667" spans="1:14">
      <c r="A2667" t="s">
        <v>192</v>
      </c>
      <c r="B2667" t="str">
        <f>_xlfn.XLOOKUP(A2667,'[1]Tissue Data'!$A:$A,'[1]Tissue Data'!$C:$C)</f>
        <v>Spill</v>
      </c>
      <c r="C2667" s="2">
        <f>_xlfn.XLOOKUP(A2667,'[1]Tissue Data'!$A:$A,'[1]Tissue Data'!$D:$D)</f>
        <v>44314</v>
      </c>
      <c r="D2667" s="2" t="str">
        <f>_xlfn.XLOOKUP(A2667,'[1]Tissue Data'!$A:$A,'[1]Tissue Data'!$F:$F)</f>
        <v>Swallowtail Shiner</v>
      </c>
      <c r="E2667" t="str">
        <f>_xlfn.XLOOKUP(A2667,'[1]Tissue Data'!$A:$A,'[1]Tissue Data'!$H:$H)</f>
        <v>Notropis</v>
      </c>
      <c r="F2667" t="str">
        <f>_xlfn.XLOOKUP(A2667,'[1]Tissue Data'!$A:$A,'[1]Tissue Data'!$I:$I)</f>
        <v>procne</v>
      </c>
      <c r="G2667" t="str">
        <f>_xlfn.XLOOKUP(A2667,'[1]Tissue Data'!$A:$A,'[1]Tissue Data'!J:J)</f>
        <v>U</v>
      </c>
      <c r="H2667" t="str">
        <f>_xlfn.XLOOKUP(A2667,'[1]Tissue Data'!$A:$A,'[1]Tissue Data'!K:K)</f>
        <v>Whole Body</v>
      </c>
      <c r="I2667">
        <f>_xlfn.XLOOKUP(A2667,'[1]Tissue Data'!$A:$A,'[1]Tissue Data'!L:L)</f>
        <v>5</v>
      </c>
      <c r="J2667">
        <f>_xlfn.XLOOKUP(A2667,'[1]Tissue Data'!$A:$A,'[1]Tissue Data'!M:M)</f>
        <v>1.9</v>
      </c>
      <c r="K2667" t="s">
        <v>27</v>
      </c>
      <c r="L2667" t="str">
        <f>_xlfn.XLOOKUP(K2667,[2]analyte_order!$B:$B,[2]analyte_order!$C:$C)</f>
        <v>355-46-4</v>
      </c>
      <c r="M2667">
        <f>_xlfn.XLOOKUP(L2667,[2]analyte_order!$C:$C,[2]analyte_order!$E:$E)</f>
        <v>16</v>
      </c>
      <c r="N2667">
        <v>50.7</v>
      </c>
    </row>
    <row r="2668" spans="1:14">
      <c r="A2668" t="s">
        <v>192</v>
      </c>
      <c r="B2668" t="str">
        <f>_xlfn.XLOOKUP(A2668,'[1]Tissue Data'!$A:$A,'[1]Tissue Data'!$C:$C)</f>
        <v>Spill</v>
      </c>
      <c r="C2668" s="2">
        <f>_xlfn.XLOOKUP(A2668,'[1]Tissue Data'!$A:$A,'[1]Tissue Data'!$D:$D)</f>
        <v>44314</v>
      </c>
      <c r="D2668" s="2" t="str">
        <f>_xlfn.XLOOKUP(A2668,'[1]Tissue Data'!$A:$A,'[1]Tissue Data'!$F:$F)</f>
        <v>Swallowtail Shiner</v>
      </c>
      <c r="E2668" t="str">
        <f>_xlfn.XLOOKUP(A2668,'[1]Tissue Data'!$A:$A,'[1]Tissue Data'!$H:$H)</f>
        <v>Notropis</v>
      </c>
      <c r="F2668" t="str">
        <f>_xlfn.XLOOKUP(A2668,'[1]Tissue Data'!$A:$A,'[1]Tissue Data'!$I:$I)</f>
        <v>procne</v>
      </c>
      <c r="G2668" t="str">
        <f>_xlfn.XLOOKUP(A2668,'[1]Tissue Data'!$A:$A,'[1]Tissue Data'!J:J)</f>
        <v>U</v>
      </c>
      <c r="H2668" t="str">
        <f>_xlfn.XLOOKUP(A2668,'[1]Tissue Data'!$A:$A,'[1]Tissue Data'!K:K)</f>
        <v>Whole Body</v>
      </c>
      <c r="I2668">
        <f>_xlfn.XLOOKUP(A2668,'[1]Tissue Data'!$A:$A,'[1]Tissue Data'!L:L)</f>
        <v>5</v>
      </c>
      <c r="J2668">
        <f>_xlfn.XLOOKUP(A2668,'[1]Tissue Data'!$A:$A,'[1]Tissue Data'!M:M)</f>
        <v>1.9</v>
      </c>
      <c r="K2668" t="s">
        <v>28</v>
      </c>
      <c r="L2668" t="str">
        <f>_xlfn.XLOOKUP(K2668,[2]analyte_order!$B:$B,[2]analyte_order!$C:$C)</f>
        <v>375-92-8</v>
      </c>
      <c r="M2668">
        <f>_xlfn.XLOOKUP(L2668,[2]analyte_order!$C:$C,[2]analyte_order!$E:$E)</f>
        <v>17</v>
      </c>
      <c r="N2668">
        <v>5.42</v>
      </c>
    </row>
    <row r="2669" spans="1:14">
      <c r="A2669" t="s">
        <v>192</v>
      </c>
      <c r="B2669" t="str">
        <f>_xlfn.XLOOKUP(A2669,'[1]Tissue Data'!$A:$A,'[1]Tissue Data'!$C:$C)</f>
        <v>Spill</v>
      </c>
      <c r="C2669" s="2">
        <f>_xlfn.XLOOKUP(A2669,'[1]Tissue Data'!$A:$A,'[1]Tissue Data'!$D:$D)</f>
        <v>44314</v>
      </c>
      <c r="D2669" s="2" t="str">
        <f>_xlfn.XLOOKUP(A2669,'[1]Tissue Data'!$A:$A,'[1]Tissue Data'!$F:$F)</f>
        <v>Swallowtail Shiner</v>
      </c>
      <c r="E2669" t="str">
        <f>_xlfn.XLOOKUP(A2669,'[1]Tissue Data'!$A:$A,'[1]Tissue Data'!$H:$H)</f>
        <v>Notropis</v>
      </c>
      <c r="F2669" t="str">
        <f>_xlfn.XLOOKUP(A2669,'[1]Tissue Data'!$A:$A,'[1]Tissue Data'!$I:$I)</f>
        <v>procne</v>
      </c>
      <c r="G2669" t="str">
        <f>_xlfn.XLOOKUP(A2669,'[1]Tissue Data'!$A:$A,'[1]Tissue Data'!J:J)</f>
        <v>U</v>
      </c>
      <c r="H2669" t="str">
        <f>_xlfn.XLOOKUP(A2669,'[1]Tissue Data'!$A:$A,'[1]Tissue Data'!K:K)</f>
        <v>Whole Body</v>
      </c>
      <c r="I2669">
        <f>_xlfn.XLOOKUP(A2669,'[1]Tissue Data'!$A:$A,'[1]Tissue Data'!L:L)</f>
        <v>5</v>
      </c>
      <c r="J2669">
        <f>_xlfn.XLOOKUP(A2669,'[1]Tissue Data'!$A:$A,'[1]Tissue Data'!M:M)</f>
        <v>1.9</v>
      </c>
      <c r="K2669" t="s">
        <v>29</v>
      </c>
      <c r="L2669" t="str">
        <f>_xlfn.XLOOKUP(K2669,[2]analyte_order!$B:$B,[2]analyte_order!$C:$C)</f>
        <v>1763-23-1</v>
      </c>
      <c r="M2669">
        <f>_xlfn.XLOOKUP(L2669,[2]analyte_order!$C:$C,[2]analyte_order!$E:$E)</f>
        <v>18</v>
      </c>
      <c r="N2669">
        <v>1050</v>
      </c>
    </row>
    <row r="2670" spans="1:14">
      <c r="A2670" t="s">
        <v>192</v>
      </c>
      <c r="B2670" t="str">
        <f>_xlfn.XLOOKUP(A2670,'[1]Tissue Data'!$A:$A,'[1]Tissue Data'!$C:$C)</f>
        <v>Spill</v>
      </c>
      <c r="C2670" s="2">
        <f>_xlfn.XLOOKUP(A2670,'[1]Tissue Data'!$A:$A,'[1]Tissue Data'!$D:$D)</f>
        <v>44314</v>
      </c>
      <c r="D2670" s="2" t="str">
        <f>_xlfn.XLOOKUP(A2670,'[1]Tissue Data'!$A:$A,'[1]Tissue Data'!$F:$F)</f>
        <v>Swallowtail Shiner</v>
      </c>
      <c r="E2670" t="str">
        <f>_xlfn.XLOOKUP(A2670,'[1]Tissue Data'!$A:$A,'[1]Tissue Data'!$H:$H)</f>
        <v>Notropis</v>
      </c>
      <c r="F2670" t="str">
        <f>_xlfn.XLOOKUP(A2670,'[1]Tissue Data'!$A:$A,'[1]Tissue Data'!$I:$I)</f>
        <v>procne</v>
      </c>
      <c r="G2670" t="str">
        <f>_xlfn.XLOOKUP(A2670,'[1]Tissue Data'!$A:$A,'[1]Tissue Data'!J:J)</f>
        <v>U</v>
      </c>
      <c r="H2670" t="str">
        <f>_xlfn.XLOOKUP(A2670,'[1]Tissue Data'!$A:$A,'[1]Tissue Data'!K:K)</f>
        <v>Whole Body</v>
      </c>
      <c r="I2670">
        <f>_xlfn.XLOOKUP(A2670,'[1]Tissue Data'!$A:$A,'[1]Tissue Data'!L:L)</f>
        <v>5</v>
      </c>
      <c r="J2670">
        <f>_xlfn.XLOOKUP(A2670,'[1]Tissue Data'!$A:$A,'[1]Tissue Data'!M:M)</f>
        <v>1.9</v>
      </c>
      <c r="K2670" t="s">
        <v>30</v>
      </c>
      <c r="L2670" t="str">
        <f>_xlfn.XLOOKUP(K2670,[2]analyte_order!$B:$B,[2]analyte_order!$C:$C)</f>
        <v>68259-12-1</v>
      </c>
      <c r="M2670">
        <f>_xlfn.XLOOKUP(L2670,[2]analyte_order!$C:$C,[2]analyte_order!$E:$E)</f>
        <v>19</v>
      </c>
      <c r="N2670">
        <v>0.47099999999999997</v>
      </c>
    </row>
    <row r="2671" spans="1:14">
      <c r="A2671" t="s">
        <v>192</v>
      </c>
      <c r="B2671" t="str">
        <f>_xlfn.XLOOKUP(A2671,'[1]Tissue Data'!$A:$A,'[1]Tissue Data'!$C:$C)</f>
        <v>Spill</v>
      </c>
      <c r="C2671" s="2">
        <f>_xlfn.XLOOKUP(A2671,'[1]Tissue Data'!$A:$A,'[1]Tissue Data'!$D:$D)</f>
        <v>44314</v>
      </c>
      <c r="D2671" s="2" t="str">
        <f>_xlfn.XLOOKUP(A2671,'[1]Tissue Data'!$A:$A,'[1]Tissue Data'!$F:$F)</f>
        <v>Swallowtail Shiner</v>
      </c>
      <c r="E2671" t="str">
        <f>_xlfn.XLOOKUP(A2671,'[1]Tissue Data'!$A:$A,'[1]Tissue Data'!$H:$H)</f>
        <v>Notropis</v>
      </c>
      <c r="F2671" t="str">
        <f>_xlfn.XLOOKUP(A2671,'[1]Tissue Data'!$A:$A,'[1]Tissue Data'!$I:$I)</f>
        <v>procne</v>
      </c>
      <c r="G2671" t="str">
        <f>_xlfn.XLOOKUP(A2671,'[1]Tissue Data'!$A:$A,'[1]Tissue Data'!J:J)</f>
        <v>U</v>
      </c>
      <c r="H2671" t="str">
        <f>_xlfn.XLOOKUP(A2671,'[1]Tissue Data'!$A:$A,'[1]Tissue Data'!K:K)</f>
        <v>Whole Body</v>
      </c>
      <c r="I2671">
        <f>_xlfn.XLOOKUP(A2671,'[1]Tissue Data'!$A:$A,'[1]Tissue Data'!L:L)</f>
        <v>5</v>
      </c>
      <c r="J2671">
        <f>_xlfn.XLOOKUP(A2671,'[1]Tissue Data'!$A:$A,'[1]Tissue Data'!M:M)</f>
        <v>1.9</v>
      </c>
      <c r="K2671" t="s">
        <v>31</v>
      </c>
      <c r="L2671" t="str">
        <f>_xlfn.XLOOKUP(K2671,[2]analyte_order!$B:$B,[2]analyte_order!$C:$C)</f>
        <v>335-77-3</v>
      </c>
      <c r="M2671">
        <f>_xlfn.XLOOKUP(L2671,[2]analyte_order!$C:$C,[2]analyte_order!$E:$E)</f>
        <v>20</v>
      </c>
      <c r="N2671">
        <v>3.15</v>
      </c>
    </row>
    <row r="2672" spans="1:14">
      <c r="A2672" t="s">
        <v>192</v>
      </c>
      <c r="B2672" t="str">
        <f>_xlfn.XLOOKUP(A2672,'[1]Tissue Data'!$A:$A,'[1]Tissue Data'!$C:$C)</f>
        <v>Spill</v>
      </c>
      <c r="C2672" s="2">
        <f>_xlfn.XLOOKUP(A2672,'[1]Tissue Data'!$A:$A,'[1]Tissue Data'!$D:$D)</f>
        <v>44314</v>
      </c>
      <c r="D2672" s="2" t="str">
        <f>_xlfn.XLOOKUP(A2672,'[1]Tissue Data'!$A:$A,'[1]Tissue Data'!$F:$F)</f>
        <v>Swallowtail Shiner</v>
      </c>
      <c r="E2672" t="str">
        <f>_xlfn.XLOOKUP(A2672,'[1]Tissue Data'!$A:$A,'[1]Tissue Data'!$H:$H)</f>
        <v>Notropis</v>
      </c>
      <c r="F2672" t="str">
        <f>_xlfn.XLOOKUP(A2672,'[1]Tissue Data'!$A:$A,'[1]Tissue Data'!$I:$I)</f>
        <v>procne</v>
      </c>
      <c r="G2672" t="str">
        <f>_xlfn.XLOOKUP(A2672,'[1]Tissue Data'!$A:$A,'[1]Tissue Data'!J:J)</f>
        <v>U</v>
      </c>
      <c r="H2672" t="str">
        <f>_xlfn.XLOOKUP(A2672,'[1]Tissue Data'!$A:$A,'[1]Tissue Data'!K:K)</f>
        <v>Whole Body</v>
      </c>
      <c r="I2672">
        <f>_xlfn.XLOOKUP(A2672,'[1]Tissue Data'!$A:$A,'[1]Tissue Data'!L:L)</f>
        <v>5</v>
      </c>
      <c r="J2672">
        <f>_xlfn.XLOOKUP(A2672,'[1]Tissue Data'!$A:$A,'[1]Tissue Data'!M:M)</f>
        <v>1.9</v>
      </c>
      <c r="K2672" t="s">
        <v>32</v>
      </c>
      <c r="L2672" t="str">
        <f>_xlfn.XLOOKUP(K2672,[2]analyte_order!$B:$B,[2]analyte_order!$C:$C)</f>
        <v>79780-39-5</v>
      </c>
      <c r="M2672">
        <f>_xlfn.XLOOKUP(L2672,[2]analyte_order!$C:$C,[2]analyte_order!$E:$E)</f>
        <v>21</v>
      </c>
      <c r="N2672">
        <v>0.24299999999999999</v>
      </c>
    </row>
    <row r="2673" spans="1:14">
      <c r="A2673" t="s">
        <v>192</v>
      </c>
      <c r="B2673" t="str">
        <f>_xlfn.XLOOKUP(A2673,'[1]Tissue Data'!$A:$A,'[1]Tissue Data'!$C:$C)</f>
        <v>Spill</v>
      </c>
      <c r="C2673" s="2">
        <f>_xlfn.XLOOKUP(A2673,'[1]Tissue Data'!$A:$A,'[1]Tissue Data'!$D:$D)</f>
        <v>44314</v>
      </c>
      <c r="D2673" s="2" t="str">
        <f>_xlfn.XLOOKUP(A2673,'[1]Tissue Data'!$A:$A,'[1]Tissue Data'!$F:$F)</f>
        <v>Swallowtail Shiner</v>
      </c>
      <c r="E2673" t="str">
        <f>_xlfn.XLOOKUP(A2673,'[1]Tissue Data'!$A:$A,'[1]Tissue Data'!$H:$H)</f>
        <v>Notropis</v>
      </c>
      <c r="F2673" t="str">
        <f>_xlfn.XLOOKUP(A2673,'[1]Tissue Data'!$A:$A,'[1]Tissue Data'!$I:$I)</f>
        <v>procne</v>
      </c>
      <c r="G2673" t="str">
        <f>_xlfn.XLOOKUP(A2673,'[1]Tissue Data'!$A:$A,'[1]Tissue Data'!J:J)</f>
        <v>U</v>
      </c>
      <c r="H2673" t="str">
        <f>_xlfn.XLOOKUP(A2673,'[1]Tissue Data'!$A:$A,'[1]Tissue Data'!K:K)</f>
        <v>Whole Body</v>
      </c>
      <c r="I2673">
        <f>_xlfn.XLOOKUP(A2673,'[1]Tissue Data'!$A:$A,'[1]Tissue Data'!L:L)</f>
        <v>5</v>
      </c>
      <c r="J2673">
        <f>_xlfn.XLOOKUP(A2673,'[1]Tissue Data'!$A:$A,'[1]Tissue Data'!M:M)</f>
        <v>1.9</v>
      </c>
      <c r="K2673" t="s">
        <v>33</v>
      </c>
      <c r="L2673" t="str">
        <f>_xlfn.XLOOKUP(K2673,[2]analyte_order!$B:$B,[2]analyte_order!$C:$C)</f>
        <v>777011-38-8</v>
      </c>
      <c r="M2673">
        <f>_xlfn.XLOOKUP(L2673,[2]analyte_order!$C:$C,[2]analyte_order!$E:$E)</f>
        <v>54</v>
      </c>
      <c r="N2673">
        <v>0.13800000000000001</v>
      </c>
    </row>
    <row r="2674" spans="1:14">
      <c r="A2674" t="s">
        <v>192</v>
      </c>
      <c r="B2674" t="str">
        <f>_xlfn.XLOOKUP(A2674,'[1]Tissue Data'!$A:$A,'[1]Tissue Data'!$C:$C)</f>
        <v>Spill</v>
      </c>
      <c r="C2674" s="2">
        <f>_xlfn.XLOOKUP(A2674,'[1]Tissue Data'!$A:$A,'[1]Tissue Data'!$D:$D)</f>
        <v>44314</v>
      </c>
      <c r="D2674" s="2" t="str">
        <f>_xlfn.XLOOKUP(A2674,'[1]Tissue Data'!$A:$A,'[1]Tissue Data'!$F:$F)</f>
        <v>Swallowtail Shiner</v>
      </c>
      <c r="E2674" t="str">
        <f>_xlfn.XLOOKUP(A2674,'[1]Tissue Data'!$A:$A,'[1]Tissue Data'!$H:$H)</f>
        <v>Notropis</v>
      </c>
      <c r="F2674" t="str">
        <f>_xlfn.XLOOKUP(A2674,'[1]Tissue Data'!$A:$A,'[1]Tissue Data'!$I:$I)</f>
        <v>procne</v>
      </c>
      <c r="G2674" t="str">
        <f>_xlfn.XLOOKUP(A2674,'[1]Tissue Data'!$A:$A,'[1]Tissue Data'!J:J)</f>
        <v>U</v>
      </c>
      <c r="H2674" t="str">
        <f>_xlfn.XLOOKUP(A2674,'[1]Tissue Data'!$A:$A,'[1]Tissue Data'!K:K)</f>
        <v>Whole Body</v>
      </c>
      <c r="I2674">
        <f>_xlfn.XLOOKUP(A2674,'[1]Tissue Data'!$A:$A,'[1]Tissue Data'!L:L)</f>
        <v>5</v>
      </c>
      <c r="J2674">
        <f>_xlfn.XLOOKUP(A2674,'[1]Tissue Data'!$A:$A,'[1]Tissue Data'!M:M)</f>
        <v>1.9</v>
      </c>
      <c r="K2674" t="s">
        <v>34</v>
      </c>
      <c r="L2674" t="str">
        <f>_xlfn.XLOOKUP(K2674,[2]analyte_order!$B:$B,[2]analyte_order!$C:$C)</f>
        <v>646-83-3</v>
      </c>
      <c r="M2674">
        <f>_xlfn.XLOOKUP(L2674,[2]analyte_order!$C:$C,[2]analyte_order!$E:$E)</f>
        <v>55</v>
      </c>
      <c r="N2674">
        <v>0.19700000000000001</v>
      </c>
    </row>
    <row r="2675" spans="1:14">
      <c r="A2675" t="s">
        <v>192</v>
      </c>
      <c r="B2675" t="str">
        <f>_xlfn.XLOOKUP(A2675,'[1]Tissue Data'!$A:$A,'[1]Tissue Data'!$C:$C)</f>
        <v>Spill</v>
      </c>
      <c r="C2675" s="2">
        <f>_xlfn.XLOOKUP(A2675,'[1]Tissue Data'!$A:$A,'[1]Tissue Data'!$D:$D)</f>
        <v>44314</v>
      </c>
      <c r="D2675" s="2" t="str">
        <f>_xlfn.XLOOKUP(A2675,'[1]Tissue Data'!$A:$A,'[1]Tissue Data'!$F:$F)</f>
        <v>Swallowtail Shiner</v>
      </c>
      <c r="E2675" t="str">
        <f>_xlfn.XLOOKUP(A2675,'[1]Tissue Data'!$A:$A,'[1]Tissue Data'!$H:$H)</f>
        <v>Notropis</v>
      </c>
      <c r="F2675" t="str">
        <f>_xlfn.XLOOKUP(A2675,'[1]Tissue Data'!$A:$A,'[1]Tissue Data'!$I:$I)</f>
        <v>procne</v>
      </c>
      <c r="G2675" t="str">
        <f>_xlfn.XLOOKUP(A2675,'[1]Tissue Data'!$A:$A,'[1]Tissue Data'!J:J)</f>
        <v>U</v>
      </c>
      <c r="H2675" t="str">
        <f>_xlfn.XLOOKUP(A2675,'[1]Tissue Data'!$A:$A,'[1]Tissue Data'!K:K)</f>
        <v>Whole Body</v>
      </c>
      <c r="I2675">
        <f>_xlfn.XLOOKUP(A2675,'[1]Tissue Data'!$A:$A,'[1]Tissue Data'!L:L)</f>
        <v>5</v>
      </c>
      <c r="J2675">
        <f>_xlfn.XLOOKUP(A2675,'[1]Tissue Data'!$A:$A,'[1]Tissue Data'!M:M)</f>
        <v>1.9</v>
      </c>
      <c r="K2675" t="s">
        <v>35</v>
      </c>
      <c r="L2675" t="str">
        <f>_xlfn.XLOOKUP(K2675,[2]analyte_order!$B:$B,[2]analyte_order!$C:$C)</f>
        <v>30334-69-1</v>
      </c>
      <c r="M2675">
        <f>_xlfn.XLOOKUP(L2675,[2]analyte_order!$C:$C,[2]analyte_order!$E:$E)</f>
        <v>51</v>
      </c>
      <c r="N2675">
        <v>39.6</v>
      </c>
    </row>
    <row r="2676" spans="1:14">
      <c r="A2676" t="s">
        <v>192</v>
      </c>
      <c r="B2676" t="str">
        <f>_xlfn.XLOOKUP(A2676,'[1]Tissue Data'!$A:$A,'[1]Tissue Data'!$C:$C)</f>
        <v>Spill</v>
      </c>
      <c r="C2676" s="2">
        <f>_xlfn.XLOOKUP(A2676,'[1]Tissue Data'!$A:$A,'[1]Tissue Data'!$D:$D)</f>
        <v>44314</v>
      </c>
      <c r="D2676" s="2" t="str">
        <f>_xlfn.XLOOKUP(A2676,'[1]Tissue Data'!$A:$A,'[1]Tissue Data'!$F:$F)</f>
        <v>Swallowtail Shiner</v>
      </c>
      <c r="E2676" t="str">
        <f>_xlfn.XLOOKUP(A2676,'[1]Tissue Data'!$A:$A,'[1]Tissue Data'!$H:$H)</f>
        <v>Notropis</v>
      </c>
      <c r="F2676" t="str">
        <f>_xlfn.XLOOKUP(A2676,'[1]Tissue Data'!$A:$A,'[1]Tissue Data'!$I:$I)</f>
        <v>procne</v>
      </c>
      <c r="G2676" t="str">
        <f>_xlfn.XLOOKUP(A2676,'[1]Tissue Data'!$A:$A,'[1]Tissue Data'!J:J)</f>
        <v>U</v>
      </c>
      <c r="H2676" t="str">
        <f>_xlfn.XLOOKUP(A2676,'[1]Tissue Data'!$A:$A,'[1]Tissue Data'!K:K)</f>
        <v>Whole Body</v>
      </c>
      <c r="I2676">
        <f>_xlfn.XLOOKUP(A2676,'[1]Tissue Data'!$A:$A,'[1]Tissue Data'!L:L)</f>
        <v>5</v>
      </c>
      <c r="J2676">
        <f>_xlfn.XLOOKUP(A2676,'[1]Tissue Data'!$A:$A,'[1]Tissue Data'!M:M)</f>
        <v>1.9</v>
      </c>
      <c r="K2676" t="s">
        <v>36</v>
      </c>
      <c r="L2676" t="str">
        <f>_xlfn.XLOOKUP(K2676,[2]analyte_order!$B:$B,[2]analyte_order!$C:$C)</f>
        <v>41997-13-1</v>
      </c>
      <c r="M2676">
        <f>_xlfn.XLOOKUP(L2676,[2]analyte_order!$C:$C,[2]analyte_order!$E:$E)</f>
        <v>52</v>
      </c>
      <c r="N2676">
        <v>171</v>
      </c>
    </row>
    <row r="2677" spans="1:14">
      <c r="A2677" t="s">
        <v>192</v>
      </c>
      <c r="B2677" t="str">
        <f>_xlfn.XLOOKUP(A2677,'[1]Tissue Data'!$A:$A,'[1]Tissue Data'!$C:$C)</f>
        <v>Spill</v>
      </c>
      <c r="C2677" s="2">
        <f>_xlfn.XLOOKUP(A2677,'[1]Tissue Data'!$A:$A,'[1]Tissue Data'!$D:$D)</f>
        <v>44314</v>
      </c>
      <c r="D2677" s="2" t="str">
        <f>_xlfn.XLOOKUP(A2677,'[1]Tissue Data'!$A:$A,'[1]Tissue Data'!$F:$F)</f>
        <v>Swallowtail Shiner</v>
      </c>
      <c r="E2677" t="str">
        <f>_xlfn.XLOOKUP(A2677,'[1]Tissue Data'!$A:$A,'[1]Tissue Data'!$H:$H)</f>
        <v>Notropis</v>
      </c>
      <c r="F2677" t="str">
        <f>_xlfn.XLOOKUP(A2677,'[1]Tissue Data'!$A:$A,'[1]Tissue Data'!$I:$I)</f>
        <v>procne</v>
      </c>
      <c r="G2677" t="str">
        <f>_xlfn.XLOOKUP(A2677,'[1]Tissue Data'!$A:$A,'[1]Tissue Data'!J:J)</f>
        <v>U</v>
      </c>
      <c r="H2677" t="str">
        <f>_xlfn.XLOOKUP(A2677,'[1]Tissue Data'!$A:$A,'[1]Tissue Data'!K:K)</f>
        <v>Whole Body</v>
      </c>
      <c r="I2677">
        <f>_xlfn.XLOOKUP(A2677,'[1]Tissue Data'!$A:$A,'[1]Tissue Data'!L:L)</f>
        <v>5</v>
      </c>
      <c r="J2677">
        <f>_xlfn.XLOOKUP(A2677,'[1]Tissue Data'!$A:$A,'[1]Tissue Data'!M:M)</f>
        <v>1.9</v>
      </c>
      <c r="K2677" t="s">
        <v>37</v>
      </c>
      <c r="L2677" t="str">
        <f>_xlfn.XLOOKUP(K2677,[2]analyte_order!$B:$B,[2]analyte_order!$C:$C)</f>
        <v>754-91-6</v>
      </c>
      <c r="M2677">
        <f>_xlfn.XLOOKUP(L2677,[2]analyte_order!$C:$C,[2]analyte_order!$E:$E)</f>
        <v>28</v>
      </c>
      <c r="N2677">
        <v>18.5</v>
      </c>
    </row>
    <row r="2678" spans="1:14">
      <c r="A2678" t="s">
        <v>192</v>
      </c>
      <c r="B2678" t="str">
        <f>_xlfn.XLOOKUP(A2678,'[1]Tissue Data'!$A:$A,'[1]Tissue Data'!$C:$C)</f>
        <v>Spill</v>
      </c>
      <c r="C2678" s="2">
        <f>_xlfn.XLOOKUP(A2678,'[1]Tissue Data'!$A:$A,'[1]Tissue Data'!$D:$D)</f>
        <v>44314</v>
      </c>
      <c r="D2678" s="2" t="str">
        <f>_xlfn.XLOOKUP(A2678,'[1]Tissue Data'!$A:$A,'[1]Tissue Data'!$F:$F)</f>
        <v>Swallowtail Shiner</v>
      </c>
      <c r="E2678" t="str">
        <f>_xlfn.XLOOKUP(A2678,'[1]Tissue Data'!$A:$A,'[1]Tissue Data'!$H:$H)</f>
        <v>Notropis</v>
      </c>
      <c r="F2678" t="str">
        <f>_xlfn.XLOOKUP(A2678,'[1]Tissue Data'!$A:$A,'[1]Tissue Data'!$I:$I)</f>
        <v>procne</v>
      </c>
      <c r="G2678" t="str">
        <f>_xlfn.XLOOKUP(A2678,'[1]Tissue Data'!$A:$A,'[1]Tissue Data'!J:J)</f>
        <v>U</v>
      </c>
      <c r="H2678" t="str">
        <f>_xlfn.XLOOKUP(A2678,'[1]Tissue Data'!$A:$A,'[1]Tissue Data'!K:K)</f>
        <v>Whole Body</v>
      </c>
      <c r="I2678">
        <f>_xlfn.XLOOKUP(A2678,'[1]Tissue Data'!$A:$A,'[1]Tissue Data'!L:L)</f>
        <v>5</v>
      </c>
      <c r="J2678">
        <f>_xlfn.XLOOKUP(A2678,'[1]Tissue Data'!$A:$A,'[1]Tissue Data'!M:M)</f>
        <v>1.9</v>
      </c>
      <c r="K2678" t="s">
        <v>38</v>
      </c>
      <c r="L2678" t="str">
        <f>_xlfn.XLOOKUP(K2678,[2]analyte_order!$B:$B,[2]analyte_order!$C:$C)</f>
        <v>31506-32-8</v>
      </c>
      <c r="M2678">
        <f>_xlfn.XLOOKUP(L2678,[2]analyte_order!$C:$C,[2]analyte_order!$E:$E)</f>
        <v>30</v>
      </c>
      <c r="N2678">
        <v>5.2999999999999999E-2</v>
      </c>
    </row>
    <row r="2679" spans="1:14">
      <c r="A2679" t="s">
        <v>192</v>
      </c>
      <c r="B2679" t="str">
        <f>_xlfn.XLOOKUP(A2679,'[1]Tissue Data'!$A:$A,'[1]Tissue Data'!$C:$C)</f>
        <v>Spill</v>
      </c>
      <c r="C2679" s="2">
        <f>_xlfn.XLOOKUP(A2679,'[1]Tissue Data'!$A:$A,'[1]Tissue Data'!$D:$D)</f>
        <v>44314</v>
      </c>
      <c r="D2679" s="2" t="str">
        <f>_xlfn.XLOOKUP(A2679,'[1]Tissue Data'!$A:$A,'[1]Tissue Data'!$F:$F)</f>
        <v>Swallowtail Shiner</v>
      </c>
      <c r="E2679" t="str">
        <f>_xlfn.XLOOKUP(A2679,'[1]Tissue Data'!$A:$A,'[1]Tissue Data'!$H:$H)</f>
        <v>Notropis</v>
      </c>
      <c r="F2679" t="str">
        <f>_xlfn.XLOOKUP(A2679,'[1]Tissue Data'!$A:$A,'[1]Tissue Data'!$I:$I)</f>
        <v>procne</v>
      </c>
      <c r="G2679" t="str">
        <f>_xlfn.XLOOKUP(A2679,'[1]Tissue Data'!$A:$A,'[1]Tissue Data'!J:J)</f>
        <v>U</v>
      </c>
      <c r="H2679" t="str">
        <f>_xlfn.XLOOKUP(A2679,'[1]Tissue Data'!$A:$A,'[1]Tissue Data'!K:K)</f>
        <v>Whole Body</v>
      </c>
      <c r="I2679">
        <f>_xlfn.XLOOKUP(A2679,'[1]Tissue Data'!$A:$A,'[1]Tissue Data'!L:L)</f>
        <v>5</v>
      </c>
      <c r="J2679">
        <f>_xlfn.XLOOKUP(A2679,'[1]Tissue Data'!$A:$A,'[1]Tissue Data'!M:M)</f>
        <v>1.9</v>
      </c>
      <c r="K2679" t="s">
        <v>39</v>
      </c>
      <c r="L2679" t="str">
        <f>_xlfn.XLOOKUP(K2679,[2]analyte_order!$B:$B,[2]analyte_order!$C:$C)</f>
        <v>4151-50-2</v>
      </c>
      <c r="M2679">
        <f>_xlfn.XLOOKUP(L2679,[2]analyte_order!$C:$C,[2]analyte_order!$E:$E)</f>
        <v>31</v>
      </c>
      <c r="N2679">
        <v>8.0500000000000002E-2</v>
      </c>
    </row>
    <row r="2680" spans="1:14">
      <c r="A2680" t="s">
        <v>192</v>
      </c>
      <c r="B2680" t="str">
        <f>_xlfn.XLOOKUP(A2680,'[1]Tissue Data'!$A:$A,'[1]Tissue Data'!$C:$C)</f>
        <v>Spill</v>
      </c>
      <c r="C2680" s="2">
        <f>_xlfn.XLOOKUP(A2680,'[1]Tissue Data'!$A:$A,'[1]Tissue Data'!$D:$D)</f>
        <v>44314</v>
      </c>
      <c r="D2680" s="2" t="str">
        <f>_xlfn.XLOOKUP(A2680,'[1]Tissue Data'!$A:$A,'[1]Tissue Data'!$F:$F)</f>
        <v>Swallowtail Shiner</v>
      </c>
      <c r="E2680" t="str">
        <f>_xlfn.XLOOKUP(A2680,'[1]Tissue Data'!$A:$A,'[1]Tissue Data'!$H:$H)</f>
        <v>Notropis</v>
      </c>
      <c r="F2680" t="str">
        <f>_xlfn.XLOOKUP(A2680,'[1]Tissue Data'!$A:$A,'[1]Tissue Data'!$I:$I)</f>
        <v>procne</v>
      </c>
      <c r="G2680" t="str">
        <f>_xlfn.XLOOKUP(A2680,'[1]Tissue Data'!$A:$A,'[1]Tissue Data'!J:J)</f>
        <v>U</v>
      </c>
      <c r="H2680" t="str">
        <f>_xlfn.XLOOKUP(A2680,'[1]Tissue Data'!$A:$A,'[1]Tissue Data'!K:K)</f>
        <v>Whole Body</v>
      </c>
      <c r="I2680">
        <f>_xlfn.XLOOKUP(A2680,'[1]Tissue Data'!$A:$A,'[1]Tissue Data'!L:L)</f>
        <v>5</v>
      </c>
      <c r="J2680">
        <f>_xlfn.XLOOKUP(A2680,'[1]Tissue Data'!$A:$A,'[1]Tissue Data'!M:M)</f>
        <v>1.9</v>
      </c>
      <c r="K2680" t="s">
        <v>40</v>
      </c>
      <c r="L2680" t="str">
        <f>_xlfn.XLOOKUP(K2680,[2]analyte_order!$B:$B,[2]analyte_order!$C:$C)</f>
        <v>2806-24-8</v>
      </c>
      <c r="M2680">
        <f>_xlfn.XLOOKUP(L2680,[2]analyte_order!$C:$C,[2]analyte_order!$E:$E)</f>
        <v>29</v>
      </c>
      <c r="N2680">
        <v>5.45E-2</v>
      </c>
    </row>
    <row r="2681" spans="1:14">
      <c r="A2681" t="s">
        <v>192</v>
      </c>
      <c r="B2681" t="str">
        <f>_xlfn.XLOOKUP(A2681,'[1]Tissue Data'!$A:$A,'[1]Tissue Data'!$C:$C)</f>
        <v>Spill</v>
      </c>
      <c r="C2681" s="2">
        <f>_xlfn.XLOOKUP(A2681,'[1]Tissue Data'!$A:$A,'[1]Tissue Data'!$D:$D)</f>
        <v>44314</v>
      </c>
      <c r="D2681" s="2" t="str">
        <f>_xlfn.XLOOKUP(A2681,'[1]Tissue Data'!$A:$A,'[1]Tissue Data'!$F:$F)</f>
        <v>Swallowtail Shiner</v>
      </c>
      <c r="E2681" t="str">
        <f>_xlfn.XLOOKUP(A2681,'[1]Tissue Data'!$A:$A,'[1]Tissue Data'!$H:$H)</f>
        <v>Notropis</v>
      </c>
      <c r="F2681" t="str">
        <f>_xlfn.XLOOKUP(A2681,'[1]Tissue Data'!$A:$A,'[1]Tissue Data'!$I:$I)</f>
        <v>procne</v>
      </c>
      <c r="G2681" t="str">
        <f>_xlfn.XLOOKUP(A2681,'[1]Tissue Data'!$A:$A,'[1]Tissue Data'!J:J)</f>
        <v>U</v>
      </c>
      <c r="H2681" t="str">
        <f>_xlfn.XLOOKUP(A2681,'[1]Tissue Data'!$A:$A,'[1]Tissue Data'!K:K)</f>
        <v>Whole Body</v>
      </c>
      <c r="I2681">
        <f>_xlfn.XLOOKUP(A2681,'[1]Tissue Data'!$A:$A,'[1]Tissue Data'!L:L)</f>
        <v>5</v>
      </c>
      <c r="J2681">
        <f>_xlfn.XLOOKUP(A2681,'[1]Tissue Data'!$A:$A,'[1]Tissue Data'!M:M)</f>
        <v>1.9</v>
      </c>
      <c r="K2681" t="s">
        <v>41</v>
      </c>
      <c r="L2681" t="str">
        <f>_xlfn.XLOOKUP(K2681,[2]analyte_order!$B:$B,[2]analyte_order!$C:$C)</f>
        <v>2355-31-9</v>
      </c>
      <c r="M2681">
        <f>_xlfn.XLOOKUP(L2681,[2]analyte_order!$C:$C,[2]analyte_order!$E:$E)</f>
        <v>26</v>
      </c>
      <c r="N2681">
        <v>0.22900000000000001</v>
      </c>
    </row>
    <row r="2682" spans="1:14">
      <c r="A2682" t="s">
        <v>192</v>
      </c>
      <c r="B2682" t="str">
        <f>_xlfn.XLOOKUP(A2682,'[1]Tissue Data'!$A:$A,'[1]Tissue Data'!$C:$C)</f>
        <v>Spill</v>
      </c>
      <c r="C2682" s="2">
        <f>_xlfn.XLOOKUP(A2682,'[1]Tissue Data'!$A:$A,'[1]Tissue Data'!$D:$D)</f>
        <v>44314</v>
      </c>
      <c r="D2682" s="2" t="str">
        <f>_xlfn.XLOOKUP(A2682,'[1]Tissue Data'!$A:$A,'[1]Tissue Data'!$F:$F)</f>
        <v>Swallowtail Shiner</v>
      </c>
      <c r="E2682" t="str">
        <f>_xlfn.XLOOKUP(A2682,'[1]Tissue Data'!$A:$A,'[1]Tissue Data'!$H:$H)</f>
        <v>Notropis</v>
      </c>
      <c r="F2682" t="str">
        <f>_xlfn.XLOOKUP(A2682,'[1]Tissue Data'!$A:$A,'[1]Tissue Data'!$I:$I)</f>
        <v>procne</v>
      </c>
      <c r="G2682" t="str">
        <f>_xlfn.XLOOKUP(A2682,'[1]Tissue Data'!$A:$A,'[1]Tissue Data'!J:J)</f>
        <v>U</v>
      </c>
      <c r="H2682" t="str">
        <f>_xlfn.XLOOKUP(A2682,'[1]Tissue Data'!$A:$A,'[1]Tissue Data'!K:K)</f>
        <v>Whole Body</v>
      </c>
      <c r="I2682">
        <f>_xlfn.XLOOKUP(A2682,'[1]Tissue Data'!$A:$A,'[1]Tissue Data'!L:L)</f>
        <v>5</v>
      </c>
      <c r="J2682">
        <f>_xlfn.XLOOKUP(A2682,'[1]Tissue Data'!$A:$A,'[1]Tissue Data'!M:M)</f>
        <v>1.9</v>
      </c>
      <c r="K2682" t="s">
        <v>42</v>
      </c>
      <c r="L2682" t="str">
        <f>_xlfn.XLOOKUP(K2682,[2]analyte_order!$B:$B,[2]analyte_order!$C:$C)</f>
        <v>2991-50-6</v>
      </c>
      <c r="M2682">
        <f>_xlfn.XLOOKUP(L2682,[2]analyte_order!$C:$C,[2]analyte_order!$E:$E)</f>
        <v>27</v>
      </c>
      <c r="N2682">
        <v>0.06</v>
      </c>
    </row>
    <row r="2683" spans="1:14">
      <c r="A2683" t="s">
        <v>192</v>
      </c>
      <c r="B2683" t="str">
        <f>_xlfn.XLOOKUP(A2683,'[1]Tissue Data'!$A:$A,'[1]Tissue Data'!$C:$C)</f>
        <v>Spill</v>
      </c>
      <c r="C2683" s="2">
        <f>_xlfn.XLOOKUP(A2683,'[1]Tissue Data'!$A:$A,'[1]Tissue Data'!$D:$D)</f>
        <v>44314</v>
      </c>
      <c r="D2683" s="2" t="str">
        <f>_xlfn.XLOOKUP(A2683,'[1]Tissue Data'!$A:$A,'[1]Tissue Data'!$F:$F)</f>
        <v>Swallowtail Shiner</v>
      </c>
      <c r="E2683" t="str">
        <f>_xlfn.XLOOKUP(A2683,'[1]Tissue Data'!$A:$A,'[1]Tissue Data'!$H:$H)</f>
        <v>Notropis</v>
      </c>
      <c r="F2683" t="str">
        <f>_xlfn.XLOOKUP(A2683,'[1]Tissue Data'!$A:$A,'[1]Tissue Data'!$I:$I)</f>
        <v>procne</v>
      </c>
      <c r="G2683" t="str">
        <f>_xlfn.XLOOKUP(A2683,'[1]Tissue Data'!$A:$A,'[1]Tissue Data'!J:J)</f>
        <v>U</v>
      </c>
      <c r="H2683" t="str">
        <f>_xlfn.XLOOKUP(A2683,'[1]Tissue Data'!$A:$A,'[1]Tissue Data'!K:K)</f>
        <v>Whole Body</v>
      </c>
      <c r="I2683">
        <f>_xlfn.XLOOKUP(A2683,'[1]Tissue Data'!$A:$A,'[1]Tissue Data'!L:L)</f>
        <v>5</v>
      </c>
      <c r="J2683">
        <f>_xlfn.XLOOKUP(A2683,'[1]Tissue Data'!$A:$A,'[1]Tissue Data'!M:M)</f>
        <v>1.9</v>
      </c>
      <c r="K2683" t="s">
        <v>43</v>
      </c>
      <c r="L2683" t="str">
        <f>_xlfn.XLOOKUP(K2683,[2]analyte_order!$B:$B,[2]analyte_order!$C:$C)</f>
        <v>757124-72-4</v>
      </c>
      <c r="M2683">
        <f>_xlfn.XLOOKUP(L2683,[2]analyte_order!$C:$C,[2]analyte_order!$E:$E)</f>
        <v>22</v>
      </c>
      <c r="N2683">
        <v>5.6500000000000002E-2</v>
      </c>
    </row>
    <row r="2684" spans="1:14">
      <c r="A2684" t="s">
        <v>192</v>
      </c>
      <c r="B2684" t="str">
        <f>_xlfn.XLOOKUP(A2684,'[1]Tissue Data'!$A:$A,'[1]Tissue Data'!$C:$C)</f>
        <v>Spill</v>
      </c>
      <c r="C2684" s="2">
        <f>_xlfn.XLOOKUP(A2684,'[1]Tissue Data'!$A:$A,'[1]Tissue Data'!$D:$D)</f>
        <v>44314</v>
      </c>
      <c r="D2684" s="2" t="str">
        <f>_xlfn.XLOOKUP(A2684,'[1]Tissue Data'!$A:$A,'[1]Tissue Data'!$F:$F)</f>
        <v>Swallowtail Shiner</v>
      </c>
      <c r="E2684" t="str">
        <f>_xlfn.XLOOKUP(A2684,'[1]Tissue Data'!$A:$A,'[1]Tissue Data'!$H:$H)</f>
        <v>Notropis</v>
      </c>
      <c r="F2684" t="str">
        <f>_xlfn.XLOOKUP(A2684,'[1]Tissue Data'!$A:$A,'[1]Tissue Data'!$I:$I)</f>
        <v>procne</v>
      </c>
      <c r="G2684" t="str">
        <f>_xlfn.XLOOKUP(A2684,'[1]Tissue Data'!$A:$A,'[1]Tissue Data'!J:J)</f>
        <v>U</v>
      </c>
      <c r="H2684" t="str">
        <f>_xlfn.XLOOKUP(A2684,'[1]Tissue Data'!$A:$A,'[1]Tissue Data'!K:K)</f>
        <v>Whole Body</v>
      </c>
      <c r="I2684">
        <f>_xlfn.XLOOKUP(A2684,'[1]Tissue Data'!$A:$A,'[1]Tissue Data'!L:L)</f>
        <v>5</v>
      </c>
      <c r="J2684">
        <f>_xlfn.XLOOKUP(A2684,'[1]Tissue Data'!$A:$A,'[1]Tissue Data'!M:M)</f>
        <v>1.9</v>
      </c>
      <c r="K2684" t="s">
        <v>44</v>
      </c>
      <c r="L2684" t="str">
        <f>_xlfn.XLOOKUP(K2684,[2]analyte_order!$B:$B,[2]analyte_order!$C:$C)</f>
        <v>27619-97-2</v>
      </c>
      <c r="M2684">
        <f>_xlfn.XLOOKUP(L2684,[2]analyte_order!$C:$C,[2]analyte_order!$E:$E)</f>
        <v>23</v>
      </c>
      <c r="N2684">
        <v>0.81799999999999995</v>
      </c>
    </row>
    <row r="2685" spans="1:14">
      <c r="A2685" t="s">
        <v>192</v>
      </c>
      <c r="B2685" t="str">
        <f>_xlfn.XLOOKUP(A2685,'[1]Tissue Data'!$A:$A,'[1]Tissue Data'!$C:$C)</f>
        <v>Spill</v>
      </c>
      <c r="C2685" s="2">
        <f>_xlfn.XLOOKUP(A2685,'[1]Tissue Data'!$A:$A,'[1]Tissue Data'!$D:$D)</f>
        <v>44314</v>
      </c>
      <c r="D2685" s="2" t="str">
        <f>_xlfn.XLOOKUP(A2685,'[1]Tissue Data'!$A:$A,'[1]Tissue Data'!$F:$F)</f>
        <v>Swallowtail Shiner</v>
      </c>
      <c r="E2685" t="str">
        <f>_xlfn.XLOOKUP(A2685,'[1]Tissue Data'!$A:$A,'[1]Tissue Data'!$H:$H)</f>
        <v>Notropis</v>
      </c>
      <c r="F2685" t="str">
        <f>_xlfn.XLOOKUP(A2685,'[1]Tissue Data'!$A:$A,'[1]Tissue Data'!$I:$I)</f>
        <v>procne</v>
      </c>
      <c r="G2685" t="str">
        <f>_xlfn.XLOOKUP(A2685,'[1]Tissue Data'!$A:$A,'[1]Tissue Data'!J:J)</f>
        <v>U</v>
      </c>
      <c r="H2685" t="str">
        <f>_xlfn.XLOOKUP(A2685,'[1]Tissue Data'!$A:$A,'[1]Tissue Data'!K:K)</f>
        <v>Whole Body</v>
      </c>
      <c r="I2685">
        <f>_xlfn.XLOOKUP(A2685,'[1]Tissue Data'!$A:$A,'[1]Tissue Data'!L:L)</f>
        <v>5</v>
      </c>
      <c r="J2685">
        <f>_xlfn.XLOOKUP(A2685,'[1]Tissue Data'!$A:$A,'[1]Tissue Data'!M:M)</f>
        <v>1.9</v>
      </c>
      <c r="K2685" t="s">
        <v>45</v>
      </c>
      <c r="L2685" t="str">
        <f>_xlfn.XLOOKUP(K2685,[2]analyte_order!$B:$B,[2]analyte_order!$C:$C)</f>
        <v>39108-34-4</v>
      </c>
      <c r="M2685">
        <f>_xlfn.XLOOKUP(L2685,[2]analyte_order!$C:$C,[2]analyte_order!$E:$E)</f>
        <v>24</v>
      </c>
      <c r="N2685">
        <v>24.4</v>
      </c>
    </row>
    <row r="2686" spans="1:14">
      <c r="A2686" t="s">
        <v>192</v>
      </c>
      <c r="B2686" t="str">
        <f>_xlfn.XLOOKUP(A2686,'[1]Tissue Data'!$A:$A,'[1]Tissue Data'!$C:$C)</f>
        <v>Spill</v>
      </c>
      <c r="C2686" s="2">
        <f>_xlfn.XLOOKUP(A2686,'[1]Tissue Data'!$A:$A,'[1]Tissue Data'!$D:$D)</f>
        <v>44314</v>
      </c>
      <c r="D2686" s="2" t="str">
        <f>_xlfn.XLOOKUP(A2686,'[1]Tissue Data'!$A:$A,'[1]Tissue Data'!$F:$F)</f>
        <v>Swallowtail Shiner</v>
      </c>
      <c r="E2686" t="str">
        <f>_xlfn.XLOOKUP(A2686,'[1]Tissue Data'!$A:$A,'[1]Tissue Data'!$H:$H)</f>
        <v>Notropis</v>
      </c>
      <c r="F2686" t="str">
        <f>_xlfn.XLOOKUP(A2686,'[1]Tissue Data'!$A:$A,'[1]Tissue Data'!$I:$I)</f>
        <v>procne</v>
      </c>
      <c r="G2686" t="str">
        <f>_xlfn.XLOOKUP(A2686,'[1]Tissue Data'!$A:$A,'[1]Tissue Data'!J:J)</f>
        <v>U</v>
      </c>
      <c r="H2686" t="str">
        <f>_xlfn.XLOOKUP(A2686,'[1]Tissue Data'!$A:$A,'[1]Tissue Data'!K:K)</f>
        <v>Whole Body</v>
      </c>
      <c r="I2686">
        <f>_xlfn.XLOOKUP(A2686,'[1]Tissue Data'!$A:$A,'[1]Tissue Data'!L:L)</f>
        <v>5</v>
      </c>
      <c r="J2686">
        <f>_xlfn.XLOOKUP(A2686,'[1]Tissue Data'!$A:$A,'[1]Tissue Data'!M:M)</f>
        <v>1.9</v>
      </c>
      <c r="K2686" t="s">
        <v>46</v>
      </c>
      <c r="L2686" t="str">
        <f>_xlfn.XLOOKUP(K2686,[2]analyte_order!$B:$B,[2]analyte_order!$C:$C)</f>
        <v>120226-60-0</v>
      </c>
      <c r="M2686">
        <f>_xlfn.XLOOKUP(L2686,[2]analyte_order!$C:$C,[2]analyte_order!$E:$E)</f>
        <v>25</v>
      </c>
      <c r="N2686">
        <v>7.8E-2</v>
      </c>
    </row>
    <row r="2687" spans="1:14">
      <c r="A2687" t="s">
        <v>192</v>
      </c>
      <c r="B2687" t="str">
        <f>_xlfn.XLOOKUP(A2687,'[1]Tissue Data'!$A:$A,'[1]Tissue Data'!$C:$C)</f>
        <v>Spill</v>
      </c>
      <c r="C2687" s="2">
        <f>_xlfn.XLOOKUP(A2687,'[1]Tissue Data'!$A:$A,'[1]Tissue Data'!$D:$D)</f>
        <v>44314</v>
      </c>
      <c r="D2687" s="2" t="str">
        <f>_xlfn.XLOOKUP(A2687,'[1]Tissue Data'!$A:$A,'[1]Tissue Data'!$F:$F)</f>
        <v>Swallowtail Shiner</v>
      </c>
      <c r="E2687" t="str">
        <f>_xlfn.XLOOKUP(A2687,'[1]Tissue Data'!$A:$A,'[1]Tissue Data'!$H:$H)</f>
        <v>Notropis</v>
      </c>
      <c r="F2687" t="str">
        <f>_xlfn.XLOOKUP(A2687,'[1]Tissue Data'!$A:$A,'[1]Tissue Data'!$I:$I)</f>
        <v>procne</v>
      </c>
      <c r="G2687" t="str">
        <f>_xlfn.XLOOKUP(A2687,'[1]Tissue Data'!$A:$A,'[1]Tissue Data'!J:J)</f>
        <v>U</v>
      </c>
      <c r="H2687" t="str">
        <f>_xlfn.XLOOKUP(A2687,'[1]Tissue Data'!$A:$A,'[1]Tissue Data'!K:K)</f>
        <v>Whole Body</v>
      </c>
      <c r="I2687">
        <f>_xlfn.XLOOKUP(A2687,'[1]Tissue Data'!$A:$A,'[1]Tissue Data'!L:L)</f>
        <v>5</v>
      </c>
      <c r="J2687">
        <f>_xlfn.XLOOKUP(A2687,'[1]Tissue Data'!$A:$A,'[1]Tissue Data'!M:M)</f>
        <v>1.9</v>
      </c>
      <c r="K2687" t="s">
        <v>47</v>
      </c>
      <c r="L2687" t="str">
        <f>_xlfn.XLOOKUP(K2687,[2]analyte_order!$B:$B,[2]analyte_order!$C:$C)</f>
        <v>356-02-5</v>
      </c>
      <c r="M2687">
        <f>_xlfn.XLOOKUP(L2687,[2]analyte_order!$C:$C,[2]analyte_order!$E:$E)</f>
        <v>38</v>
      </c>
      <c r="N2687">
        <v>7.9500000000000001E-2</v>
      </c>
    </row>
    <row r="2688" spans="1:14">
      <c r="A2688" t="s">
        <v>192</v>
      </c>
      <c r="B2688" t="str">
        <f>_xlfn.XLOOKUP(A2688,'[1]Tissue Data'!$A:$A,'[1]Tissue Data'!$C:$C)</f>
        <v>Spill</v>
      </c>
      <c r="C2688" s="2">
        <f>_xlfn.XLOOKUP(A2688,'[1]Tissue Data'!$A:$A,'[1]Tissue Data'!$D:$D)</f>
        <v>44314</v>
      </c>
      <c r="D2688" s="2" t="str">
        <f>_xlfn.XLOOKUP(A2688,'[1]Tissue Data'!$A:$A,'[1]Tissue Data'!$F:$F)</f>
        <v>Swallowtail Shiner</v>
      </c>
      <c r="E2688" t="str">
        <f>_xlfn.XLOOKUP(A2688,'[1]Tissue Data'!$A:$A,'[1]Tissue Data'!$H:$H)</f>
        <v>Notropis</v>
      </c>
      <c r="F2688" t="str">
        <f>_xlfn.XLOOKUP(A2688,'[1]Tissue Data'!$A:$A,'[1]Tissue Data'!$I:$I)</f>
        <v>procne</v>
      </c>
      <c r="G2688" t="str">
        <f>_xlfn.XLOOKUP(A2688,'[1]Tissue Data'!$A:$A,'[1]Tissue Data'!J:J)</f>
        <v>U</v>
      </c>
      <c r="H2688" t="str">
        <f>_xlfn.XLOOKUP(A2688,'[1]Tissue Data'!$A:$A,'[1]Tissue Data'!K:K)</f>
        <v>Whole Body</v>
      </c>
      <c r="I2688">
        <f>_xlfn.XLOOKUP(A2688,'[1]Tissue Data'!$A:$A,'[1]Tissue Data'!L:L)</f>
        <v>5</v>
      </c>
      <c r="J2688">
        <f>_xlfn.XLOOKUP(A2688,'[1]Tissue Data'!$A:$A,'[1]Tissue Data'!M:M)</f>
        <v>1.9</v>
      </c>
      <c r="K2688" t="s">
        <v>48</v>
      </c>
      <c r="L2688" t="str">
        <f>_xlfn.XLOOKUP(K2688,[2]analyte_order!$B:$B,[2]analyte_order!$C:$C)</f>
        <v>914637-49-3</v>
      </c>
      <c r="M2688">
        <f>_xlfn.XLOOKUP(L2688,[2]analyte_order!$C:$C,[2]analyte_order!$E:$E)</f>
        <v>39</v>
      </c>
      <c r="N2688">
        <v>5.1999999999999998E-2</v>
      </c>
    </row>
    <row r="2689" spans="1:14">
      <c r="A2689" t="s">
        <v>192</v>
      </c>
      <c r="B2689" t="str">
        <f>_xlfn.XLOOKUP(A2689,'[1]Tissue Data'!$A:$A,'[1]Tissue Data'!$C:$C)</f>
        <v>Spill</v>
      </c>
      <c r="C2689" s="2">
        <f>_xlfn.XLOOKUP(A2689,'[1]Tissue Data'!$A:$A,'[1]Tissue Data'!$D:$D)</f>
        <v>44314</v>
      </c>
      <c r="D2689" s="2" t="str">
        <f>_xlfn.XLOOKUP(A2689,'[1]Tissue Data'!$A:$A,'[1]Tissue Data'!$F:$F)</f>
        <v>Swallowtail Shiner</v>
      </c>
      <c r="E2689" t="str">
        <f>_xlfn.XLOOKUP(A2689,'[1]Tissue Data'!$A:$A,'[1]Tissue Data'!$H:$H)</f>
        <v>Notropis</v>
      </c>
      <c r="F2689" t="str">
        <f>_xlfn.XLOOKUP(A2689,'[1]Tissue Data'!$A:$A,'[1]Tissue Data'!$I:$I)</f>
        <v>procne</v>
      </c>
      <c r="G2689" t="str">
        <f>_xlfn.XLOOKUP(A2689,'[1]Tissue Data'!$A:$A,'[1]Tissue Data'!J:J)</f>
        <v>U</v>
      </c>
      <c r="H2689" t="str">
        <f>_xlfn.XLOOKUP(A2689,'[1]Tissue Data'!$A:$A,'[1]Tissue Data'!K:K)</f>
        <v>Whole Body</v>
      </c>
      <c r="I2689">
        <f>_xlfn.XLOOKUP(A2689,'[1]Tissue Data'!$A:$A,'[1]Tissue Data'!L:L)</f>
        <v>5</v>
      </c>
      <c r="J2689">
        <f>_xlfn.XLOOKUP(A2689,'[1]Tissue Data'!$A:$A,'[1]Tissue Data'!M:M)</f>
        <v>1.9</v>
      </c>
      <c r="K2689" t="s">
        <v>49</v>
      </c>
      <c r="L2689" t="str">
        <f>_xlfn.XLOOKUP(K2689,[2]analyte_order!$B:$B,[2]analyte_order!$C:$C)</f>
        <v>812-70-4</v>
      </c>
      <c r="M2689">
        <f>_xlfn.XLOOKUP(L2689,[2]analyte_order!$C:$C,[2]analyte_order!$E:$E)</f>
        <v>40</v>
      </c>
      <c r="N2689">
        <v>13.1</v>
      </c>
    </row>
    <row r="2690" spans="1:14">
      <c r="A2690" t="s">
        <v>192</v>
      </c>
      <c r="B2690" t="str">
        <f>_xlfn.XLOOKUP(A2690,'[1]Tissue Data'!$A:$A,'[1]Tissue Data'!$C:$C)</f>
        <v>Spill</v>
      </c>
      <c r="C2690" s="2">
        <f>_xlfn.XLOOKUP(A2690,'[1]Tissue Data'!$A:$A,'[1]Tissue Data'!$D:$D)</f>
        <v>44314</v>
      </c>
      <c r="D2690" s="2" t="str">
        <f>_xlfn.XLOOKUP(A2690,'[1]Tissue Data'!$A:$A,'[1]Tissue Data'!$F:$F)</f>
        <v>Swallowtail Shiner</v>
      </c>
      <c r="E2690" t="str">
        <f>_xlfn.XLOOKUP(A2690,'[1]Tissue Data'!$A:$A,'[1]Tissue Data'!$H:$H)</f>
        <v>Notropis</v>
      </c>
      <c r="F2690" t="str">
        <f>_xlfn.XLOOKUP(A2690,'[1]Tissue Data'!$A:$A,'[1]Tissue Data'!$I:$I)</f>
        <v>procne</v>
      </c>
      <c r="G2690" t="str">
        <f>_xlfn.XLOOKUP(A2690,'[1]Tissue Data'!$A:$A,'[1]Tissue Data'!J:J)</f>
        <v>U</v>
      </c>
      <c r="H2690" t="str">
        <f>_xlfn.XLOOKUP(A2690,'[1]Tissue Data'!$A:$A,'[1]Tissue Data'!K:K)</f>
        <v>Whole Body</v>
      </c>
      <c r="I2690">
        <f>_xlfn.XLOOKUP(A2690,'[1]Tissue Data'!$A:$A,'[1]Tissue Data'!L:L)</f>
        <v>5</v>
      </c>
      <c r="J2690">
        <f>_xlfn.XLOOKUP(A2690,'[1]Tissue Data'!$A:$A,'[1]Tissue Data'!M:M)</f>
        <v>1.9</v>
      </c>
      <c r="K2690" t="s">
        <v>50</v>
      </c>
      <c r="L2690" t="str">
        <f>_xlfn.XLOOKUP(K2690,[2]analyte_order!$B:$B,[2]analyte_order!$C:$C)</f>
        <v>53826-12-3</v>
      </c>
      <c r="M2690">
        <f>_xlfn.XLOOKUP(L2690,[2]analyte_order!$C:$C,[2]analyte_order!$E:$E)</f>
        <v>41</v>
      </c>
      <c r="N2690">
        <v>4.4249999999999998E-2</v>
      </c>
    </row>
    <row r="2691" spans="1:14">
      <c r="A2691" t="s">
        <v>192</v>
      </c>
      <c r="B2691" t="str">
        <f>_xlfn.XLOOKUP(A2691,'[1]Tissue Data'!$A:$A,'[1]Tissue Data'!$C:$C)</f>
        <v>Spill</v>
      </c>
      <c r="C2691" s="2">
        <f>_xlfn.XLOOKUP(A2691,'[1]Tissue Data'!$A:$A,'[1]Tissue Data'!$D:$D)</f>
        <v>44314</v>
      </c>
      <c r="D2691" s="2" t="str">
        <f>_xlfn.XLOOKUP(A2691,'[1]Tissue Data'!$A:$A,'[1]Tissue Data'!$F:$F)</f>
        <v>Swallowtail Shiner</v>
      </c>
      <c r="E2691" t="str">
        <f>_xlfn.XLOOKUP(A2691,'[1]Tissue Data'!$A:$A,'[1]Tissue Data'!$H:$H)</f>
        <v>Notropis</v>
      </c>
      <c r="F2691" t="str">
        <f>_xlfn.XLOOKUP(A2691,'[1]Tissue Data'!$A:$A,'[1]Tissue Data'!$I:$I)</f>
        <v>procne</v>
      </c>
      <c r="G2691" t="str">
        <f>_xlfn.XLOOKUP(A2691,'[1]Tissue Data'!$A:$A,'[1]Tissue Data'!J:J)</f>
        <v>U</v>
      </c>
      <c r="H2691" t="str">
        <f>_xlfn.XLOOKUP(A2691,'[1]Tissue Data'!$A:$A,'[1]Tissue Data'!K:K)</f>
        <v>Whole Body</v>
      </c>
      <c r="I2691">
        <f>_xlfn.XLOOKUP(A2691,'[1]Tissue Data'!$A:$A,'[1]Tissue Data'!L:L)</f>
        <v>5</v>
      </c>
      <c r="J2691">
        <f>_xlfn.XLOOKUP(A2691,'[1]Tissue Data'!$A:$A,'[1]Tissue Data'!M:M)</f>
        <v>1.9</v>
      </c>
      <c r="K2691" t="s">
        <v>51</v>
      </c>
      <c r="L2691" t="str">
        <f>_xlfn.XLOOKUP(K2691,[2]analyte_order!$B:$B,[2]analyte_order!$C:$C)</f>
        <v>27854-31-5</v>
      </c>
      <c r="M2691">
        <f>_xlfn.XLOOKUP(L2691,[2]analyte_order!$C:$C,[2]analyte_order!$E:$E)</f>
        <v>42</v>
      </c>
      <c r="N2691">
        <v>2.76E-2</v>
      </c>
    </row>
    <row r="2692" spans="1:14">
      <c r="A2692" t="s">
        <v>192</v>
      </c>
      <c r="B2692" t="str">
        <f>_xlfn.XLOOKUP(A2692,'[1]Tissue Data'!$A:$A,'[1]Tissue Data'!$C:$C)</f>
        <v>Spill</v>
      </c>
      <c r="C2692" s="2">
        <f>_xlfn.XLOOKUP(A2692,'[1]Tissue Data'!$A:$A,'[1]Tissue Data'!$D:$D)</f>
        <v>44314</v>
      </c>
      <c r="D2692" s="2" t="str">
        <f>_xlfn.XLOOKUP(A2692,'[1]Tissue Data'!$A:$A,'[1]Tissue Data'!$F:$F)</f>
        <v>Swallowtail Shiner</v>
      </c>
      <c r="E2692" t="str">
        <f>_xlfn.XLOOKUP(A2692,'[1]Tissue Data'!$A:$A,'[1]Tissue Data'!$H:$H)</f>
        <v>Notropis</v>
      </c>
      <c r="F2692" t="str">
        <f>_xlfn.XLOOKUP(A2692,'[1]Tissue Data'!$A:$A,'[1]Tissue Data'!$I:$I)</f>
        <v>procne</v>
      </c>
      <c r="G2692" t="str">
        <f>_xlfn.XLOOKUP(A2692,'[1]Tissue Data'!$A:$A,'[1]Tissue Data'!J:J)</f>
        <v>U</v>
      </c>
      <c r="H2692" t="str">
        <f>_xlfn.XLOOKUP(A2692,'[1]Tissue Data'!$A:$A,'[1]Tissue Data'!K:K)</f>
        <v>Whole Body</v>
      </c>
      <c r="I2692">
        <f>_xlfn.XLOOKUP(A2692,'[1]Tissue Data'!$A:$A,'[1]Tissue Data'!L:L)</f>
        <v>5</v>
      </c>
      <c r="J2692">
        <f>_xlfn.XLOOKUP(A2692,'[1]Tissue Data'!$A:$A,'[1]Tissue Data'!M:M)</f>
        <v>1.9</v>
      </c>
      <c r="K2692" t="s">
        <v>52</v>
      </c>
      <c r="L2692" t="str">
        <f>_xlfn.XLOOKUP(K2692,[2]analyte_order!$B:$B,[2]analyte_order!$C:$C)</f>
        <v>53826-13-4</v>
      </c>
      <c r="M2692">
        <f>_xlfn.XLOOKUP(L2692,[2]analyte_order!$C:$C,[2]analyte_order!$E:$E)</f>
        <v>43</v>
      </c>
      <c r="N2692">
        <v>0.10299999999999999</v>
      </c>
    </row>
    <row r="2693" spans="1:14">
      <c r="A2693" t="s">
        <v>192</v>
      </c>
      <c r="B2693" t="str">
        <f>_xlfn.XLOOKUP(A2693,'[1]Tissue Data'!$A:$A,'[1]Tissue Data'!$C:$C)</f>
        <v>Spill</v>
      </c>
      <c r="C2693" s="2">
        <f>_xlfn.XLOOKUP(A2693,'[1]Tissue Data'!$A:$A,'[1]Tissue Data'!$D:$D)</f>
        <v>44314</v>
      </c>
      <c r="D2693" s="2" t="str">
        <f>_xlfn.XLOOKUP(A2693,'[1]Tissue Data'!$A:$A,'[1]Tissue Data'!$F:$F)</f>
        <v>Swallowtail Shiner</v>
      </c>
      <c r="E2693" t="str">
        <f>_xlfn.XLOOKUP(A2693,'[1]Tissue Data'!$A:$A,'[1]Tissue Data'!$H:$H)</f>
        <v>Notropis</v>
      </c>
      <c r="F2693" t="str">
        <f>_xlfn.XLOOKUP(A2693,'[1]Tissue Data'!$A:$A,'[1]Tissue Data'!$I:$I)</f>
        <v>procne</v>
      </c>
      <c r="G2693" t="str">
        <f>_xlfn.XLOOKUP(A2693,'[1]Tissue Data'!$A:$A,'[1]Tissue Data'!J:J)</f>
        <v>U</v>
      </c>
      <c r="H2693" t="str">
        <f>_xlfn.XLOOKUP(A2693,'[1]Tissue Data'!$A:$A,'[1]Tissue Data'!K:K)</f>
        <v>Whole Body</v>
      </c>
      <c r="I2693">
        <f>_xlfn.XLOOKUP(A2693,'[1]Tissue Data'!$A:$A,'[1]Tissue Data'!L:L)</f>
        <v>5</v>
      </c>
      <c r="J2693">
        <f>_xlfn.XLOOKUP(A2693,'[1]Tissue Data'!$A:$A,'[1]Tissue Data'!M:M)</f>
        <v>1.9</v>
      </c>
      <c r="K2693" t="s">
        <v>53</v>
      </c>
      <c r="L2693" t="str">
        <f>_xlfn.XLOOKUP(K2693,[2]analyte_order!$B:$B,[2]analyte_order!$C:$C)</f>
        <v>161094-75-3</v>
      </c>
      <c r="M2693">
        <f>_xlfn.XLOOKUP(L2693,[2]analyte_order!$C:$C,[2]analyte_order!$E:$E)</f>
        <v>44</v>
      </c>
      <c r="N2693">
        <v>5.3999999999999999E-2</v>
      </c>
    </row>
    <row r="2694" spans="1:14">
      <c r="A2694" t="s">
        <v>192</v>
      </c>
      <c r="B2694" t="str">
        <f>_xlfn.XLOOKUP(A2694,'[1]Tissue Data'!$A:$A,'[1]Tissue Data'!$C:$C)</f>
        <v>Spill</v>
      </c>
      <c r="C2694" s="2">
        <f>_xlfn.XLOOKUP(A2694,'[1]Tissue Data'!$A:$A,'[1]Tissue Data'!$D:$D)</f>
        <v>44314</v>
      </c>
      <c r="D2694" s="2" t="str">
        <f>_xlfn.XLOOKUP(A2694,'[1]Tissue Data'!$A:$A,'[1]Tissue Data'!$F:$F)</f>
        <v>Swallowtail Shiner</v>
      </c>
      <c r="E2694" t="str">
        <f>_xlfn.XLOOKUP(A2694,'[1]Tissue Data'!$A:$A,'[1]Tissue Data'!$H:$H)</f>
        <v>Notropis</v>
      </c>
      <c r="F2694" t="str">
        <f>_xlfn.XLOOKUP(A2694,'[1]Tissue Data'!$A:$A,'[1]Tissue Data'!$I:$I)</f>
        <v>procne</v>
      </c>
      <c r="G2694" t="str">
        <f>_xlfn.XLOOKUP(A2694,'[1]Tissue Data'!$A:$A,'[1]Tissue Data'!J:J)</f>
        <v>U</v>
      </c>
      <c r="H2694" t="str">
        <f>_xlfn.XLOOKUP(A2694,'[1]Tissue Data'!$A:$A,'[1]Tissue Data'!K:K)</f>
        <v>Whole Body</v>
      </c>
      <c r="I2694">
        <f>_xlfn.XLOOKUP(A2694,'[1]Tissue Data'!$A:$A,'[1]Tissue Data'!L:L)</f>
        <v>5</v>
      </c>
      <c r="J2694">
        <f>_xlfn.XLOOKUP(A2694,'[1]Tissue Data'!$A:$A,'[1]Tissue Data'!M:M)</f>
        <v>1.9</v>
      </c>
      <c r="K2694" t="s">
        <v>54</v>
      </c>
      <c r="L2694" t="str">
        <f>_xlfn.XLOOKUP(K2694,[2]analyte_order!$B:$B,[2]analyte_order!$C:$C)</f>
        <v>70887-84-2</v>
      </c>
      <c r="M2694">
        <f>_xlfn.XLOOKUP(L2694,[2]analyte_order!$C:$C,[2]analyte_order!$E:$E)</f>
        <v>45</v>
      </c>
      <c r="N2694">
        <v>4.165E-2</v>
      </c>
    </row>
    <row r="2695" spans="1:14">
      <c r="A2695" t="s">
        <v>192</v>
      </c>
      <c r="B2695" t="str">
        <f>_xlfn.XLOOKUP(A2695,'[1]Tissue Data'!$A:$A,'[1]Tissue Data'!$C:$C)</f>
        <v>Spill</v>
      </c>
      <c r="C2695" s="2">
        <f>_xlfn.XLOOKUP(A2695,'[1]Tissue Data'!$A:$A,'[1]Tissue Data'!$D:$D)</f>
        <v>44314</v>
      </c>
      <c r="D2695" s="2" t="str">
        <f>_xlfn.XLOOKUP(A2695,'[1]Tissue Data'!$A:$A,'[1]Tissue Data'!$F:$F)</f>
        <v>Swallowtail Shiner</v>
      </c>
      <c r="E2695" t="str">
        <f>_xlfn.XLOOKUP(A2695,'[1]Tissue Data'!$A:$A,'[1]Tissue Data'!$H:$H)</f>
        <v>Notropis</v>
      </c>
      <c r="F2695" t="str">
        <f>_xlfn.XLOOKUP(A2695,'[1]Tissue Data'!$A:$A,'[1]Tissue Data'!$I:$I)</f>
        <v>procne</v>
      </c>
      <c r="G2695" t="str">
        <f>_xlfn.XLOOKUP(A2695,'[1]Tissue Data'!$A:$A,'[1]Tissue Data'!J:J)</f>
        <v>U</v>
      </c>
      <c r="H2695" t="str">
        <f>_xlfn.XLOOKUP(A2695,'[1]Tissue Data'!$A:$A,'[1]Tissue Data'!K:K)</f>
        <v>Whole Body</v>
      </c>
      <c r="I2695">
        <f>_xlfn.XLOOKUP(A2695,'[1]Tissue Data'!$A:$A,'[1]Tissue Data'!L:L)</f>
        <v>5</v>
      </c>
      <c r="J2695">
        <f>_xlfn.XLOOKUP(A2695,'[1]Tissue Data'!$A:$A,'[1]Tissue Data'!M:M)</f>
        <v>1.9</v>
      </c>
      <c r="K2695" t="s">
        <v>55</v>
      </c>
      <c r="L2695" t="str">
        <f>_xlfn.XLOOKUP(K2695,[2]analyte_order!$B:$B,[2]analyte_order!$C:$C)</f>
        <v>919005-14-4</v>
      </c>
      <c r="M2695">
        <f>_xlfn.XLOOKUP(L2695,[2]analyte_order!$C:$C,[2]analyte_order!$E:$E)</f>
        <v>35</v>
      </c>
      <c r="N2695">
        <v>6.9000000000000006E-2</v>
      </c>
    </row>
    <row r="2696" spans="1:14">
      <c r="A2696" t="s">
        <v>192</v>
      </c>
      <c r="B2696" t="str">
        <f>_xlfn.XLOOKUP(A2696,'[1]Tissue Data'!$A:$A,'[1]Tissue Data'!$C:$C)</f>
        <v>Spill</v>
      </c>
      <c r="C2696" s="2">
        <f>_xlfn.XLOOKUP(A2696,'[1]Tissue Data'!$A:$A,'[1]Tissue Data'!$D:$D)</f>
        <v>44314</v>
      </c>
      <c r="D2696" s="2" t="str">
        <f>_xlfn.XLOOKUP(A2696,'[1]Tissue Data'!$A:$A,'[1]Tissue Data'!$F:$F)</f>
        <v>Swallowtail Shiner</v>
      </c>
      <c r="E2696" t="str">
        <f>_xlfn.XLOOKUP(A2696,'[1]Tissue Data'!$A:$A,'[1]Tissue Data'!$H:$H)</f>
        <v>Notropis</v>
      </c>
      <c r="F2696" t="str">
        <f>_xlfn.XLOOKUP(A2696,'[1]Tissue Data'!$A:$A,'[1]Tissue Data'!$I:$I)</f>
        <v>procne</v>
      </c>
      <c r="G2696" t="str">
        <f>_xlfn.XLOOKUP(A2696,'[1]Tissue Data'!$A:$A,'[1]Tissue Data'!J:J)</f>
        <v>U</v>
      </c>
      <c r="H2696" t="str">
        <f>_xlfn.XLOOKUP(A2696,'[1]Tissue Data'!$A:$A,'[1]Tissue Data'!K:K)</f>
        <v>Whole Body</v>
      </c>
      <c r="I2696">
        <f>_xlfn.XLOOKUP(A2696,'[1]Tissue Data'!$A:$A,'[1]Tissue Data'!L:L)</f>
        <v>5</v>
      </c>
      <c r="J2696">
        <f>_xlfn.XLOOKUP(A2696,'[1]Tissue Data'!$A:$A,'[1]Tissue Data'!M:M)</f>
        <v>1.9</v>
      </c>
      <c r="K2696" t="s">
        <v>56</v>
      </c>
      <c r="L2696" t="str">
        <f>_xlfn.XLOOKUP(K2696,[2]analyte_order!$B:$B,[2]analyte_order!$C:$C)</f>
        <v>756426-58-1</v>
      </c>
      <c r="M2696">
        <f>_xlfn.XLOOKUP(L2696,[2]analyte_order!$C:$C,[2]analyte_order!$E:$E)</f>
        <v>36</v>
      </c>
      <c r="N2696">
        <v>4.7899999999999998E-2</v>
      </c>
    </row>
    <row r="2697" spans="1:14">
      <c r="A2697" t="s">
        <v>192</v>
      </c>
      <c r="B2697" t="str">
        <f>_xlfn.XLOOKUP(A2697,'[1]Tissue Data'!$A:$A,'[1]Tissue Data'!$C:$C)</f>
        <v>Spill</v>
      </c>
      <c r="C2697" s="2">
        <f>_xlfn.XLOOKUP(A2697,'[1]Tissue Data'!$A:$A,'[1]Tissue Data'!$D:$D)</f>
        <v>44314</v>
      </c>
      <c r="D2697" s="2" t="str">
        <f>_xlfn.XLOOKUP(A2697,'[1]Tissue Data'!$A:$A,'[1]Tissue Data'!$F:$F)</f>
        <v>Swallowtail Shiner</v>
      </c>
      <c r="E2697" t="str">
        <f>_xlfn.XLOOKUP(A2697,'[1]Tissue Data'!$A:$A,'[1]Tissue Data'!$H:$H)</f>
        <v>Notropis</v>
      </c>
      <c r="F2697" t="str">
        <f>_xlfn.XLOOKUP(A2697,'[1]Tissue Data'!$A:$A,'[1]Tissue Data'!$I:$I)</f>
        <v>procne</v>
      </c>
      <c r="G2697" t="str">
        <f>_xlfn.XLOOKUP(A2697,'[1]Tissue Data'!$A:$A,'[1]Tissue Data'!J:J)</f>
        <v>U</v>
      </c>
      <c r="H2697" t="str">
        <f>_xlfn.XLOOKUP(A2697,'[1]Tissue Data'!$A:$A,'[1]Tissue Data'!K:K)</f>
        <v>Whole Body</v>
      </c>
      <c r="I2697">
        <f>_xlfn.XLOOKUP(A2697,'[1]Tissue Data'!$A:$A,'[1]Tissue Data'!L:L)</f>
        <v>5</v>
      </c>
      <c r="J2697">
        <f>_xlfn.XLOOKUP(A2697,'[1]Tissue Data'!$A:$A,'[1]Tissue Data'!M:M)</f>
        <v>1.9</v>
      </c>
      <c r="K2697" t="s">
        <v>57</v>
      </c>
      <c r="L2697" t="str">
        <f>_xlfn.XLOOKUP(K2697,[2]analyte_order!$B:$B,[2]analyte_order!$C:$C)</f>
        <v>763051-92-9</v>
      </c>
      <c r="M2697">
        <f>_xlfn.XLOOKUP(L2697,[2]analyte_order!$C:$C,[2]analyte_order!$E:$E)</f>
        <v>37</v>
      </c>
      <c r="N2697">
        <v>5.3999999999999999E-2</v>
      </c>
    </row>
    <row r="2698" spans="1:14">
      <c r="A2698" t="s">
        <v>192</v>
      </c>
      <c r="B2698" t="str">
        <f>_xlfn.XLOOKUP(A2698,'[1]Tissue Data'!$A:$A,'[1]Tissue Data'!$C:$C)</f>
        <v>Spill</v>
      </c>
      <c r="C2698" s="2">
        <f>_xlfn.XLOOKUP(A2698,'[1]Tissue Data'!$A:$A,'[1]Tissue Data'!$D:$D)</f>
        <v>44314</v>
      </c>
      <c r="D2698" s="2" t="str">
        <f>_xlfn.XLOOKUP(A2698,'[1]Tissue Data'!$A:$A,'[1]Tissue Data'!$F:$F)</f>
        <v>Swallowtail Shiner</v>
      </c>
      <c r="E2698" t="str">
        <f>_xlfn.XLOOKUP(A2698,'[1]Tissue Data'!$A:$A,'[1]Tissue Data'!$H:$H)</f>
        <v>Notropis</v>
      </c>
      <c r="F2698" t="str">
        <f>_xlfn.XLOOKUP(A2698,'[1]Tissue Data'!$A:$A,'[1]Tissue Data'!$I:$I)</f>
        <v>procne</v>
      </c>
      <c r="G2698" t="str">
        <f>_xlfn.XLOOKUP(A2698,'[1]Tissue Data'!$A:$A,'[1]Tissue Data'!J:J)</f>
        <v>U</v>
      </c>
      <c r="H2698" t="str">
        <f>_xlfn.XLOOKUP(A2698,'[1]Tissue Data'!$A:$A,'[1]Tissue Data'!K:K)</f>
        <v>Whole Body</v>
      </c>
      <c r="I2698">
        <f>_xlfn.XLOOKUP(A2698,'[1]Tissue Data'!$A:$A,'[1]Tissue Data'!L:L)</f>
        <v>5</v>
      </c>
      <c r="J2698">
        <f>_xlfn.XLOOKUP(A2698,'[1]Tissue Data'!$A:$A,'[1]Tissue Data'!M:M)</f>
        <v>1.9</v>
      </c>
      <c r="K2698" t="s">
        <v>58</v>
      </c>
      <c r="L2698" t="str">
        <f>_xlfn.XLOOKUP(K2698,[2]analyte_order!$B:$B,[2]analyte_order!$C:$C)</f>
        <v>13252-13-6</v>
      </c>
      <c r="M2698">
        <f>_xlfn.XLOOKUP(L2698,[2]analyte_order!$C:$C,[2]analyte_order!$E:$E)</f>
        <v>34</v>
      </c>
      <c r="N2698">
        <v>9.9000000000000005E-2</v>
      </c>
    </row>
    <row r="2699" spans="1:14">
      <c r="A2699" t="s">
        <v>192</v>
      </c>
      <c r="B2699" t="str">
        <f>_xlfn.XLOOKUP(A2699,'[1]Tissue Data'!$A:$A,'[1]Tissue Data'!$C:$C)</f>
        <v>Spill</v>
      </c>
      <c r="C2699" s="2">
        <f>_xlfn.XLOOKUP(A2699,'[1]Tissue Data'!$A:$A,'[1]Tissue Data'!$D:$D)</f>
        <v>44314</v>
      </c>
      <c r="D2699" s="2" t="str">
        <f>_xlfn.XLOOKUP(A2699,'[1]Tissue Data'!$A:$A,'[1]Tissue Data'!$F:$F)</f>
        <v>Swallowtail Shiner</v>
      </c>
      <c r="E2699" t="str">
        <f>_xlfn.XLOOKUP(A2699,'[1]Tissue Data'!$A:$A,'[1]Tissue Data'!$H:$H)</f>
        <v>Notropis</v>
      </c>
      <c r="F2699" t="str">
        <f>_xlfn.XLOOKUP(A2699,'[1]Tissue Data'!$A:$A,'[1]Tissue Data'!$I:$I)</f>
        <v>procne</v>
      </c>
      <c r="G2699" t="str">
        <f>_xlfn.XLOOKUP(A2699,'[1]Tissue Data'!$A:$A,'[1]Tissue Data'!J:J)</f>
        <v>U</v>
      </c>
      <c r="H2699" t="str">
        <f>_xlfn.XLOOKUP(A2699,'[1]Tissue Data'!$A:$A,'[1]Tissue Data'!K:K)</f>
        <v>Whole Body</v>
      </c>
      <c r="I2699">
        <f>_xlfn.XLOOKUP(A2699,'[1]Tissue Data'!$A:$A,'[1]Tissue Data'!L:L)</f>
        <v>5</v>
      </c>
      <c r="J2699">
        <f>_xlfn.XLOOKUP(A2699,'[1]Tissue Data'!$A:$A,'[1]Tissue Data'!M:M)</f>
        <v>1.9</v>
      </c>
      <c r="K2699" t="s">
        <v>59</v>
      </c>
      <c r="L2699" t="str">
        <f>_xlfn.XLOOKUP(K2699,[2]analyte_order!$B:$B,[2]analyte_order!$C:$C)</f>
        <v>57677-95-9</v>
      </c>
      <c r="M2699">
        <f>_xlfn.XLOOKUP(L2699,[2]analyte_order!$C:$C,[2]analyte_order!$E:$E)</f>
        <v>46</v>
      </c>
      <c r="N2699">
        <v>7.3499999999999996E-2</v>
      </c>
    </row>
    <row r="2700" spans="1:14">
      <c r="A2700" t="s">
        <v>192</v>
      </c>
      <c r="B2700" t="str">
        <f>_xlfn.XLOOKUP(A2700,'[1]Tissue Data'!$A:$A,'[1]Tissue Data'!$C:$C)</f>
        <v>Spill</v>
      </c>
      <c r="C2700" s="2">
        <f>_xlfn.XLOOKUP(A2700,'[1]Tissue Data'!$A:$A,'[1]Tissue Data'!$D:$D)</f>
        <v>44314</v>
      </c>
      <c r="D2700" s="2" t="str">
        <f>_xlfn.XLOOKUP(A2700,'[1]Tissue Data'!$A:$A,'[1]Tissue Data'!$F:$F)</f>
        <v>Swallowtail Shiner</v>
      </c>
      <c r="E2700" t="str">
        <f>_xlfn.XLOOKUP(A2700,'[1]Tissue Data'!$A:$A,'[1]Tissue Data'!$H:$H)</f>
        <v>Notropis</v>
      </c>
      <c r="F2700" t="str">
        <f>_xlfn.XLOOKUP(A2700,'[1]Tissue Data'!$A:$A,'[1]Tissue Data'!$I:$I)</f>
        <v>procne</v>
      </c>
      <c r="G2700" t="str">
        <f>_xlfn.XLOOKUP(A2700,'[1]Tissue Data'!$A:$A,'[1]Tissue Data'!J:J)</f>
        <v>U</v>
      </c>
      <c r="H2700" t="str">
        <f>_xlfn.XLOOKUP(A2700,'[1]Tissue Data'!$A:$A,'[1]Tissue Data'!K:K)</f>
        <v>Whole Body</v>
      </c>
      <c r="I2700">
        <f>_xlfn.XLOOKUP(A2700,'[1]Tissue Data'!$A:$A,'[1]Tissue Data'!L:L)</f>
        <v>5</v>
      </c>
      <c r="J2700">
        <f>_xlfn.XLOOKUP(A2700,'[1]Tissue Data'!$A:$A,'[1]Tissue Data'!M:M)</f>
        <v>1.9</v>
      </c>
      <c r="K2700" t="s">
        <v>60</v>
      </c>
      <c r="L2700" t="str">
        <f>_xlfn.XLOOKUP(K2700,[2]analyte_order!$B:$B,[2]analyte_order!$C:$C)</f>
        <v>678-41-1</v>
      </c>
      <c r="M2700">
        <f>_xlfn.XLOOKUP(L2700,[2]analyte_order!$C:$C,[2]analyte_order!$E:$E)</f>
        <v>56</v>
      </c>
      <c r="N2700">
        <v>9.1499999999999998E-2</v>
      </c>
    </row>
    <row r="2701" spans="1:14">
      <c r="A2701" t="s">
        <v>192</v>
      </c>
      <c r="B2701" t="str">
        <f>_xlfn.XLOOKUP(A2701,'[1]Tissue Data'!$A:$A,'[1]Tissue Data'!$C:$C)</f>
        <v>Spill</v>
      </c>
      <c r="C2701" s="2">
        <f>_xlfn.XLOOKUP(A2701,'[1]Tissue Data'!$A:$A,'[1]Tissue Data'!$D:$D)</f>
        <v>44314</v>
      </c>
      <c r="D2701" s="2" t="str">
        <f>_xlfn.XLOOKUP(A2701,'[1]Tissue Data'!$A:$A,'[1]Tissue Data'!$F:$F)</f>
        <v>Swallowtail Shiner</v>
      </c>
      <c r="E2701" t="str">
        <f>_xlfn.XLOOKUP(A2701,'[1]Tissue Data'!$A:$A,'[1]Tissue Data'!$H:$H)</f>
        <v>Notropis</v>
      </c>
      <c r="F2701" t="str">
        <f>_xlfn.XLOOKUP(A2701,'[1]Tissue Data'!$A:$A,'[1]Tissue Data'!$I:$I)</f>
        <v>procne</v>
      </c>
      <c r="G2701" t="str">
        <f>_xlfn.XLOOKUP(A2701,'[1]Tissue Data'!$A:$A,'[1]Tissue Data'!J:J)</f>
        <v>U</v>
      </c>
      <c r="H2701" t="str">
        <f>_xlfn.XLOOKUP(A2701,'[1]Tissue Data'!$A:$A,'[1]Tissue Data'!K:K)</f>
        <v>Whole Body</v>
      </c>
      <c r="I2701">
        <f>_xlfn.XLOOKUP(A2701,'[1]Tissue Data'!$A:$A,'[1]Tissue Data'!L:L)</f>
        <v>5</v>
      </c>
      <c r="J2701">
        <f>_xlfn.XLOOKUP(A2701,'[1]Tissue Data'!$A:$A,'[1]Tissue Data'!M:M)</f>
        <v>1.9</v>
      </c>
      <c r="K2701" t="s">
        <v>61</v>
      </c>
      <c r="L2701" t="str">
        <f>_xlfn.XLOOKUP(K2701,[2]analyte_order!$B:$B,[2]analyte_order!$C:$C)</f>
        <v>2965-52-8</v>
      </c>
      <c r="M2701">
        <f>_xlfn.XLOOKUP(L2701,[2]analyte_order!$C:$C,[2]analyte_order!$E:$E)</f>
        <v>57</v>
      </c>
      <c r="N2701">
        <v>0.121</v>
      </c>
    </row>
    <row r="2702" spans="1:14">
      <c r="A2702" t="s">
        <v>193</v>
      </c>
      <c r="B2702" t="str">
        <f>_xlfn.XLOOKUP(A2702,'[1]Tissue Data'!$A:$A,'[1]Tissue Data'!$C:$C)</f>
        <v>Spill</v>
      </c>
      <c r="C2702" s="2">
        <f>_xlfn.XLOOKUP(A2702,'[1]Tissue Data'!$A:$A,'[1]Tissue Data'!$D:$D)</f>
        <v>44314</v>
      </c>
      <c r="D2702" s="2" t="str">
        <f>_xlfn.XLOOKUP(A2702,'[1]Tissue Data'!$A:$A,'[1]Tissue Data'!$F:$F)</f>
        <v>Swallowtail Shiner</v>
      </c>
      <c r="E2702" t="str">
        <f>_xlfn.XLOOKUP(A2702,'[1]Tissue Data'!$A:$A,'[1]Tissue Data'!$H:$H)</f>
        <v>Notropis</v>
      </c>
      <c r="F2702" t="str">
        <f>_xlfn.XLOOKUP(A2702,'[1]Tissue Data'!$A:$A,'[1]Tissue Data'!$I:$I)</f>
        <v>procne</v>
      </c>
      <c r="G2702" t="str">
        <f>_xlfn.XLOOKUP(A2702,'[1]Tissue Data'!$A:$A,'[1]Tissue Data'!J:J)</f>
        <v>U</v>
      </c>
      <c r="H2702" t="str">
        <f>_xlfn.XLOOKUP(A2702,'[1]Tissue Data'!$A:$A,'[1]Tissue Data'!K:K)</f>
        <v>Whole Body</v>
      </c>
      <c r="I2702">
        <f>_xlfn.XLOOKUP(A2702,'[1]Tissue Data'!$A:$A,'[1]Tissue Data'!L:L)</f>
        <v>5.25</v>
      </c>
      <c r="J2702">
        <f>_xlfn.XLOOKUP(A2702,'[1]Tissue Data'!$A:$A,'[1]Tissue Data'!M:M)</f>
        <v>2.4500000000000002</v>
      </c>
      <c r="K2702" t="s">
        <v>12</v>
      </c>
      <c r="L2702" t="str">
        <f>_xlfn.XLOOKUP(K2702,[2]analyte_order!$B:$B,[2]analyte_order!$C:$C)</f>
        <v>375-22-4</v>
      </c>
      <c r="M2702">
        <f>_xlfn.XLOOKUP(L2702,[2]analyte_order!$C:$C,[2]analyte_order!$E:$E)</f>
        <v>1</v>
      </c>
      <c r="N2702">
        <v>2.7099999999999999E-2</v>
      </c>
    </row>
    <row r="2703" spans="1:14">
      <c r="A2703" t="s">
        <v>193</v>
      </c>
      <c r="B2703" t="str">
        <f>_xlfn.XLOOKUP(A2703,'[1]Tissue Data'!$A:$A,'[1]Tissue Data'!$C:$C)</f>
        <v>Spill</v>
      </c>
      <c r="C2703" s="2">
        <f>_xlfn.XLOOKUP(A2703,'[1]Tissue Data'!$A:$A,'[1]Tissue Data'!$D:$D)</f>
        <v>44314</v>
      </c>
      <c r="D2703" s="2" t="str">
        <f>_xlfn.XLOOKUP(A2703,'[1]Tissue Data'!$A:$A,'[1]Tissue Data'!$F:$F)</f>
        <v>Swallowtail Shiner</v>
      </c>
      <c r="E2703" t="str">
        <f>_xlfn.XLOOKUP(A2703,'[1]Tissue Data'!$A:$A,'[1]Tissue Data'!$H:$H)</f>
        <v>Notropis</v>
      </c>
      <c r="F2703" t="str">
        <f>_xlfn.XLOOKUP(A2703,'[1]Tissue Data'!$A:$A,'[1]Tissue Data'!$I:$I)</f>
        <v>procne</v>
      </c>
      <c r="G2703" t="str">
        <f>_xlfn.XLOOKUP(A2703,'[1]Tissue Data'!$A:$A,'[1]Tissue Data'!J:J)</f>
        <v>U</v>
      </c>
      <c r="H2703" t="str">
        <f>_xlfn.XLOOKUP(A2703,'[1]Tissue Data'!$A:$A,'[1]Tissue Data'!K:K)</f>
        <v>Whole Body</v>
      </c>
      <c r="I2703">
        <f>_xlfn.XLOOKUP(A2703,'[1]Tissue Data'!$A:$A,'[1]Tissue Data'!L:L)</f>
        <v>5.25</v>
      </c>
      <c r="J2703">
        <f>_xlfn.XLOOKUP(A2703,'[1]Tissue Data'!$A:$A,'[1]Tissue Data'!M:M)</f>
        <v>2.4500000000000002</v>
      </c>
      <c r="K2703" t="s">
        <v>13</v>
      </c>
      <c r="L2703" t="str">
        <f>_xlfn.XLOOKUP(K2703,[2]analyte_order!$B:$B,[2]analyte_order!$C:$C)</f>
        <v>2706-90-3</v>
      </c>
      <c r="M2703">
        <f>_xlfn.XLOOKUP(L2703,[2]analyte_order!$C:$C,[2]analyte_order!$E:$E)</f>
        <v>2</v>
      </c>
      <c r="N2703">
        <v>4.8050000000000002E-2</v>
      </c>
    </row>
    <row r="2704" spans="1:14">
      <c r="A2704" t="s">
        <v>193</v>
      </c>
      <c r="B2704" t="str">
        <f>_xlfn.XLOOKUP(A2704,'[1]Tissue Data'!$A:$A,'[1]Tissue Data'!$C:$C)</f>
        <v>Spill</v>
      </c>
      <c r="C2704" s="2">
        <f>_xlfn.XLOOKUP(A2704,'[1]Tissue Data'!$A:$A,'[1]Tissue Data'!$D:$D)</f>
        <v>44314</v>
      </c>
      <c r="D2704" s="2" t="str">
        <f>_xlfn.XLOOKUP(A2704,'[1]Tissue Data'!$A:$A,'[1]Tissue Data'!$F:$F)</f>
        <v>Swallowtail Shiner</v>
      </c>
      <c r="E2704" t="str">
        <f>_xlfn.XLOOKUP(A2704,'[1]Tissue Data'!$A:$A,'[1]Tissue Data'!$H:$H)</f>
        <v>Notropis</v>
      </c>
      <c r="F2704" t="str">
        <f>_xlfn.XLOOKUP(A2704,'[1]Tissue Data'!$A:$A,'[1]Tissue Data'!$I:$I)</f>
        <v>procne</v>
      </c>
      <c r="G2704" t="str">
        <f>_xlfn.XLOOKUP(A2704,'[1]Tissue Data'!$A:$A,'[1]Tissue Data'!J:J)</f>
        <v>U</v>
      </c>
      <c r="H2704" t="str">
        <f>_xlfn.XLOOKUP(A2704,'[1]Tissue Data'!$A:$A,'[1]Tissue Data'!K:K)</f>
        <v>Whole Body</v>
      </c>
      <c r="I2704">
        <f>_xlfn.XLOOKUP(A2704,'[1]Tissue Data'!$A:$A,'[1]Tissue Data'!L:L)</f>
        <v>5.25</v>
      </c>
      <c r="J2704">
        <f>_xlfn.XLOOKUP(A2704,'[1]Tissue Data'!$A:$A,'[1]Tissue Data'!M:M)</f>
        <v>2.4500000000000002</v>
      </c>
      <c r="K2704" t="s">
        <v>14</v>
      </c>
      <c r="L2704" t="str">
        <f>_xlfn.XLOOKUP(K2704,[2]analyte_order!$B:$B,[2]analyte_order!$C:$C)</f>
        <v>307-24-4</v>
      </c>
      <c r="M2704">
        <f>_xlfn.XLOOKUP(L2704,[2]analyte_order!$C:$C,[2]analyte_order!$E:$E)</f>
        <v>3</v>
      </c>
      <c r="N2704">
        <v>0.121</v>
      </c>
    </row>
    <row r="2705" spans="1:14">
      <c r="A2705" t="s">
        <v>193</v>
      </c>
      <c r="B2705" t="str">
        <f>_xlfn.XLOOKUP(A2705,'[1]Tissue Data'!$A:$A,'[1]Tissue Data'!$C:$C)</f>
        <v>Spill</v>
      </c>
      <c r="C2705" s="2">
        <f>_xlfn.XLOOKUP(A2705,'[1]Tissue Data'!$A:$A,'[1]Tissue Data'!$D:$D)</f>
        <v>44314</v>
      </c>
      <c r="D2705" s="2" t="str">
        <f>_xlfn.XLOOKUP(A2705,'[1]Tissue Data'!$A:$A,'[1]Tissue Data'!$F:$F)</f>
        <v>Swallowtail Shiner</v>
      </c>
      <c r="E2705" t="str">
        <f>_xlfn.XLOOKUP(A2705,'[1]Tissue Data'!$A:$A,'[1]Tissue Data'!$H:$H)</f>
        <v>Notropis</v>
      </c>
      <c r="F2705" t="str">
        <f>_xlfn.XLOOKUP(A2705,'[1]Tissue Data'!$A:$A,'[1]Tissue Data'!$I:$I)</f>
        <v>procne</v>
      </c>
      <c r="G2705" t="str">
        <f>_xlfn.XLOOKUP(A2705,'[1]Tissue Data'!$A:$A,'[1]Tissue Data'!J:J)</f>
        <v>U</v>
      </c>
      <c r="H2705" t="str">
        <f>_xlfn.XLOOKUP(A2705,'[1]Tissue Data'!$A:$A,'[1]Tissue Data'!K:K)</f>
        <v>Whole Body</v>
      </c>
      <c r="I2705">
        <f>_xlfn.XLOOKUP(A2705,'[1]Tissue Data'!$A:$A,'[1]Tissue Data'!L:L)</f>
        <v>5.25</v>
      </c>
      <c r="J2705">
        <f>_xlfn.XLOOKUP(A2705,'[1]Tissue Data'!$A:$A,'[1]Tissue Data'!M:M)</f>
        <v>2.4500000000000002</v>
      </c>
      <c r="K2705" t="s">
        <v>15</v>
      </c>
      <c r="L2705" t="str">
        <f>_xlfn.XLOOKUP(K2705,[2]analyte_order!$B:$B,[2]analyte_order!$C:$C)</f>
        <v>375-85-9</v>
      </c>
      <c r="M2705">
        <f>_xlfn.XLOOKUP(L2705,[2]analyte_order!$C:$C,[2]analyte_order!$E:$E)</f>
        <v>4</v>
      </c>
      <c r="N2705">
        <v>8.9499999999999996E-2</v>
      </c>
    </row>
    <row r="2706" spans="1:14">
      <c r="A2706" t="s">
        <v>193</v>
      </c>
      <c r="B2706" t="str">
        <f>_xlfn.XLOOKUP(A2706,'[1]Tissue Data'!$A:$A,'[1]Tissue Data'!$C:$C)</f>
        <v>Spill</v>
      </c>
      <c r="C2706" s="2">
        <f>_xlfn.XLOOKUP(A2706,'[1]Tissue Data'!$A:$A,'[1]Tissue Data'!$D:$D)</f>
        <v>44314</v>
      </c>
      <c r="D2706" s="2" t="str">
        <f>_xlfn.XLOOKUP(A2706,'[1]Tissue Data'!$A:$A,'[1]Tissue Data'!$F:$F)</f>
        <v>Swallowtail Shiner</v>
      </c>
      <c r="E2706" t="str">
        <f>_xlfn.XLOOKUP(A2706,'[1]Tissue Data'!$A:$A,'[1]Tissue Data'!$H:$H)</f>
        <v>Notropis</v>
      </c>
      <c r="F2706" t="str">
        <f>_xlfn.XLOOKUP(A2706,'[1]Tissue Data'!$A:$A,'[1]Tissue Data'!$I:$I)</f>
        <v>procne</v>
      </c>
      <c r="G2706" t="str">
        <f>_xlfn.XLOOKUP(A2706,'[1]Tissue Data'!$A:$A,'[1]Tissue Data'!J:J)</f>
        <v>U</v>
      </c>
      <c r="H2706" t="str">
        <f>_xlfn.XLOOKUP(A2706,'[1]Tissue Data'!$A:$A,'[1]Tissue Data'!K:K)</f>
        <v>Whole Body</v>
      </c>
      <c r="I2706">
        <f>_xlfn.XLOOKUP(A2706,'[1]Tissue Data'!$A:$A,'[1]Tissue Data'!L:L)</f>
        <v>5.25</v>
      </c>
      <c r="J2706">
        <f>_xlfn.XLOOKUP(A2706,'[1]Tissue Data'!$A:$A,'[1]Tissue Data'!M:M)</f>
        <v>2.4500000000000002</v>
      </c>
      <c r="K2706" t="s">
        <v>16</v>
      </c>
      <c r="L2706" t="str">
        <f>_xlfn.XLOOKUP(K2706,[2]analyte_order!$B:$B,[2]analyte_order!$C:$C)</f>
        <v>335-67-1</v>
      </c>
      <c r="M2706">
        <f>_xlfn.XLOOKUP(L2706,[2]analyte_order!$C:$C,[2]analyte_order!$E:$E)</f>
        <v>5</v>
      </c>
      <c r="N2706">
        <v>5.32</v>
      </c>
    </row>
    <row r="2707" spans="1:14">
      <c r="A2707" t="s">
        <v>193</v>
      </c>
      <c r="B2707" t="str">
        <f>_xlfn.XLOOKUP(A2707,'[1]Tissue Data'!$A:$A,'[1]Tissue Data'!$C:$C)</f>
        <v>Spill</v>
      </c>
      <c r="C2707" s="2">
        <f>_xlfn.XLOOKUP(A2707,'[1]Tissue Data'!$A:$A,'[1]Tissue Data'!$D:$D)</f>
        <v>44314</v>
      </c>
      <c r="D2707" s="2" t="str">
        <f>_xlfn.XLOOKUP(A2707,'[1]Tissue Data'!$A:$A,'[1]Tissue Data'!$F:$F)</f>
        <v>Swallowtail Shiner</v>
      </c>
      <c r="E2707" t="str">
        <f>_xlfn.XLOOKUP(A2707,'[1]Tissue Data'!$A:$A,'[1]Tissue Data'!$H:$H)</f>
        <v>Notropis</v>
      </c>
      <c r="F2707" t="str">
        <f>_xlfn.XLOOKUP(A2707,'[1]Tissue Data'!$A:$A,'[1]Tissue Data'!$I:$I)</f>
        <v>procne</v>
      </c>
      <c r="G2707" t="str">
        <f>_xlfn.XLOOKUP(A2707,'[1]Tissue Data'!$A:$A,'[1]Tissue Data'!J:J)</f>
        <v>U</v>
      </c>
      <c r="H2707" t="str">
        <f>_xlfn.XLOOKUP(A2707,'[1]Tissue Data'!$A:$A,'[1]Tissue Data'!K:K)</f>
        <v>Whole Body</v>
      </c>
      <c r="I2707">
        <f>_xlfn.XLOOKUP(A2707,'[1]Tissue Data'!$A:$A,'[1]Tissue Data'!L:L)</f>
        <v>5.25</v>
      </c>
      <c r="J2707">
        <f>_xlfn.XLOOKUP(A2707,'[1]Tissue Data'!$A:$A,'[1]Tissue Data'!M:M)</f>
        <v>2.4500000000000002</v>
      </c>
      <c r="K2707" t="s">
        <v>17</v>
      </c>
      <c r="L2707" t="str">
        <f>_xlfn.XLOOKUP(K2707,[2]analyte_order!$B:$B,[2]analyte_order!$C:$C)</f>
        <v>375-95-1</v>
      </c>
      <c r="M2707">
        <f>_xlfn.XLOOKUP(L2707,[2]analyte_order!$C:$C,[2]analyte_order!$E:$E)</f>
        <v>6</v>
      </c>
      <c r="N2707">
        <v>10</v>
      </c>
    </row>
    <row r="2708" spans="1:14">
      <c r="A2708" t="s">
        <v>193</v>
      </c>
      <c r="B2708" t="str">
        <f>_xlfn.XLOOKUP(A2708,'[1]Tissue Data'!$A:$A,'[1]Tissue Data'!$C:$C)</f>
        <v>Spill</v>
      </c>
      <c r="C2708" s="2">
        <f>_xlfn.XLOOKUP(A2708,'[1]Tissue Data'!$A:$A,'[1]Tissue Data'!$D:$D)</f>
        <v>44314</v>
      </c>
      <c r="D2708" s="2" t="str">
        <f>_xlfn.XLOOKUP(A2708,'[1]Tissue Data'!$A:$A,'[1]Tissue Data'!$F:$F)</f>
        <v>Swallowtail Shiner</v>
      </c>
      <c r="E2708" t="str">
        <f>_xlfn.XLOOKUP(A2708,'[1]Tissue Data'!$A:$A,'[1]Tissue Data'!$H:$H)</f>
        <v>Notropis</v>
      </c>
      <c r="F2708" t="str">
        <f>_xlfn.XLOOKUP(A2708,'[1]Tissue Data'!$A:$A,'[1]Tissue Data'!$I:$I)</f>
        <v>procne</v>
      </c>
      <c r="G2708" t="str">
        <f>_xlfn.XLOOKUP(A2708,'[1]Tissue Data'!$A:$A,'[1]Tissue Data'!J:J)</f>
        <v>U</v>
      </c>
      <c r="H2708" t="str">
        <f>_xlfn.XLOOKUP(A2708,'[1]Tissue Data'!$A:$A,'[1]Tissue Data'!K:K)</f>
        <v>Whole Body</v>
      </c>
      <c r="I2708">
        <f>_xlfn.XLOOKUP(A2708,'[1]Tissue Data'!$A:$A,'[1]Tissue Data'!L:L)</f>
        <v>5.25</v>
      </c>
      <c r="J2708">
        <f>_xlfn.XLOOKUP(A2708,'[1]Tissue Data'!$A:$A,'[1]Tissue Data'!M:M)</f>
        <v>2.4500000000000002</v>
      </c>
      <c r="K2708" t="s">
        <v>18</v>
      </c>
      <c r="L2708" t="str">
        <f>_xlfn.XLOOKUP(K2708,[2]analyte_order!$B:$B,[2]analyte_order!$C:$C)</f>
        <v>335-76-2</v>
      </c>
      <c r="M2708">
        <f>_xlfn.XLOOKUP(L2708,[2]analyte_order!$C:$C,[2]analyte_order!$E:$E)</f>
        <v>7</v>
      </c>
      <c r="N2708">
        <v>12.2</v>
      </c>
    </row>
    <row r="2709" spans="1:14">
      <c r="A2709" t="s">
        <v>193</v>
      </c>
      <c r="B2709" t="str">
        <f>_xlfn.XLOOKUP(A2709,'[1]Tissue Data'!$A:$A,'[1]Tissue Data'!$C:$C)</f>
        <v>Spill</v>
      </c>
      <c r="C2709" s="2">
        <f>_xlfn.XLOOKUP(A2709,'[1]Tissue Data'!$A:$A,'[1]Tissue Data'!$D:$D)</f>
        <v>44314</v>
      </c>
      <c r="D2709" s="2" t="str">
        <f>_xlfn.XLOOKUP(A2709,'[1]Tissue Data'!$A:$A,'[1]Tissue Data'!$F:$F)</f>
        <v>Swallowtail Shiner</v>
      </c>
      <c r="E2709" t="str">
        <f>_xlfn.XLOOKUP(A2709,'[1]Tissue Data'!$A:$A,'[1]Tissue Data'!$H:$H)</f>
        <v>Notropis</v>
      </c>
      <c r="F2709" t="str">
        <f>_xlfn.XLOOKUP(A2709,'[1]Tissue Data'!$A:$A,'[1]Tissue Data'!$I:$I)</f>
        <v>procne</v>
      </c>
      <c r="G2709" t="str">
        <f>_xlfn.XLOOKUP(A2709,'[1]Tissue Data'!$A:$A,'[1]Tissue Data'!J:J)</f>
        <v>U</v>
      </c>
      <c r="H2709" t="str">
        <f>_xlfn.XLOOKUP(A2709,'[1]Tissue Data'!$A:$A,'[1]Tissue Data'!K:K)</f>
        <v>Whole Body</v>
      </c>
      <c r="I2709">
        <f>_xlfn.XLOOKUP(A2709,'[1]Tissue Data'!$A:$A,'[1]Tissue Data'!L:L)</f>
        <v>5.25</v>
      </c>
      <c r="J2709">
        <f>_xlfn.XLOOKUP(A2709,'[1]Tissue Data'!$A:$A,'[1]Tissue Data'!M:M)</f>
        <v>2.4500000000000002</v>
      </c>
      <c r="K2709" t="s">
        <v>19</v>
      </c>
      <c r="L2709" t="str">
        <f>_xlfn.XLOOKUP(K2709,[2]analyte_order!$B:$B,[2]analyte_order!$C:$C)</f>
        <v>2058-94-8</v>
      </c>
      <c r="M2709">
        <f>_xlfn.XLOOKUP(L2709,[2]analyte_order!$C:$C,[2]analyte_order!$E:$E)</f>
        <v>8</v>
      </c>
      <c r="N2709">
        <v>14.4</v>
      </c>
    </row>
    <row r="2710" spans="1:14">
      <c r="A2710" t="s">
        <v>193</v>
      </c>
      <c r="B2710" t="str">
        <f>_xlfn.XLOOKUP(A2710,'[1]Tissue Data'!$A:$A,'[1]Tissue Data'!$C:$C)</f>
        <v>Spill</v>
      </c>
      <c r="C2710" s="2">
        <f>_xlfn.XLOOKUP(A2710,'[1]Tissue Data'!$A:$A,'[1]Tissue Data'!$D:$D)</f>
        <v>44314</v>
      </c>
      <c r="D2710" s="2" t="str">
        <f>_xlfn.XLOOKUP(A2710,'[1]Tissue Data'!$A:$A,'[1]Tissue Data'!$F:$F)</f>
        <v>Swallowtail Shiner</v>
      </c>
      <c r="E2710" t="str">
        <f>_xlfn.XLOOKUP(A2710,'[1]Tissue Data'!$A:$A,'[1]Tissue Data'!$H:$H)</f>
        <v>Notropis</v>
      </c>
      <c r="F2710" t="str">
        <f>_xlfn.XLOOKUP(A2710,'[1]Tissue Data'!$A:$A,'[1]Tissue Data'!$I:$I)</f>
        <v>procne</v>
      </c>
      <c r="G2710" t="str">
        <f>_xlfn.XLOOKUP(A2710,'[1]Tissue Data'!$A:$A,'[1]Tissue Data'!J:J)</f>
        <v>U</v>
      </c>
      <c r="H2710" t="str">
        <f>_xlfn.XLOOKUP(A2710,'[1]Tissue Data'!$A:$A,'[1]Tissue Data'!K:K)</f>
        <v>Whole Body</v>
      </c>
      <c r="I2710">
        <f>_xlfn.XLOOKUP(A2710,'[1]Tissue Data'!$A:$A,'[1]Tissue Data'!L:L)</f>
        <v>5.25</v>
      </c>
      <c r="J2710">
        <f>_xlfn.XLOOKUP(A2710,'[1]Tissue Data'!$A:$A,'[1]Tissue Data'!M:M)</f>
        <v>2.4500000000000002</v>
      </c>
      <c r="K2710" t="s">
        <v>20</v>
      </c>
      <c r="L2710" t="str">
        <f>_xlfn.XLOOKUP(K2710,[2]analyte_order!$B:$B,[2]analyte_order!$C:$C)</f>
        <v>307-55-1</v>
      </c>
      <c r="M2710">
        <f>_xlfn.XLOOKUP(L2710,[2]analyte_order!$C:$C,[2]analyte_order!$E:$E)</f>
        <v>9</v>
      </c>
      <c r="N2710">
        <v>19.7</v>
      </c>
    </row>
    <row r="2711" spans="1:14">
      <c r="A2711" t="s">
        <v>193</v>
      </c>
      <c r="B2711" t="str">
        <f>_xlfn.XLOOKUP(A2711,'[1]Tissue Data'!$A:$A,'[1]Tissue Data'!$C:$C)</f>
        <v>Spill</v>
      </c>
      <c r="C2711" s="2">
        <f>_xlfn.XLOOKUP(A2711,'[1]Tissue Data'!$A:$A,'[1]Tissue Data'!$D:$D)</f>
        <v>44314</v>
      </c>
      <c r="D2711" s="2" t="str">
        <f>_xlfn.XLOOKUP(A2711,'[1]Tissue Data'!$A:$A,'[1]Tissue Data'!$F:$F)</f>
        <v>Swallowtail Shiner</v>
      </c>
      <c r="E2711" t="str">
        <f>_xlfn.XLOOKUP(A2711,'[1]Tissue Data'!$A:$A,'[1]Tissue Data'!$H:$H)</f>
        <v>Notropis</v>
      </c>
      <c r="F2711" t="str">
        <f>_xlfn.XLOOKUP(A2711,'[1]Tissue Data'!$A:$A,'[1]Tissue Data'!$I:$I)</f>
        <v>procne</v>
      </c>
      <c r="G2711" t="str">
        <f>_xlfn.XLOOKUP(A2711,'[1]Tissue Data'!$A:$A,'[1]Tissue Data'!J:J)</f>
        <v>U</v>
      </c>
      <c r="H2711" t="str">
        <f>_xlfn.XLOOKUP(A2711,'[1]Tissue Data'!$A:$A,'[1]Tissue Data'!K:K)</f>
        <v>Whole Body</v>
      </c>
      <c r="I2711">
        <f>_xlfn.XLOOKUP(A2711,'[1]Tissue Data'!$A:$A,'[1]Tissue Data'!L:L)</f>
        <v>5.25</v>
      </c>
      <c r="J2711">
        <f>_xlfn.XLOOKUP(A2711,'[1]Tissue Data'!$A:$A,'[1]Tissue Data'!M:M)</f>
        <v>2.4500000000000002</v>
      </c>
      <c r="K2711" t="s">
        <v>21</v>
      </c>
      <c r="L2711" t="str">
        <f>_xlfn.XLOOKUP(K2711,[2]analyte_order!$B:$B,[2]analyte_order!$C:$C)</f>
        <v>72629-94-8</v>
      </c>
      <c r="M2711">
        <f>_xlfn.XLOOKUP(L2711,[2]analyte_order!$C:$C,[2]analyte_order!$E:$E)</f>
        <v>10</v>
      </c>
      <c r="N2711">
        <v>9.83</v>
      </c>
    </row>
    <row r="2712" spans="1:14">
      <c r="A2712" t="s">
        <v>193</v>
      </c>
      <c r="B2712" t="str">
        <f>_xlfn.XLOOKUP(A2712,'[1]Tissue Data'!$A:$A,'[1]Tissue Data'!$C:$C)</f>
        <v>Spill</v>
      </c>
      <c r="C2712" s="2">
        <f>_xlfn.XLOOKUP(A2712,'[1]Tissue Data'!$A:$A,'[1]Tissue Data'!$D:$D)</f>
        <v>44314</v>
      </c>
      <c r="D2712" s="2" t="str">
        <f>_xlfn.XLOOKUP(A2712,'[1]Tissue Data'!$A:$A,'[1]Tissue Data'!$F:$F)</f>
        <v>Swallowtail Shiner</v>
      </c>
      <c r="E2712" t="str">
        <f>_xlfn.XLOOKUP(A2712,'[1]Tissue Data'!$A:$A,'[1]Tissue Data'!$H:$H)</f>
        <v>Notropis</v>
      </c>
      <c r="F2712" t="str">
        <f>_xlfn.XLOOKUP(A2712,'[1]Tissue Data'!$A:$A,'[1]Tissue Data'!$I:$I)</f>
        <v>procne</v>
      </c>
      <c r="G2712" t="str">
        <f>_xlfn.XLOOKUP(A2712,'[1]Tissue Data'!$A:$A,'[1]Tissue Data'!J:J)</f>
        <v>U</v>
      </c>
      <c r="H2712" t="str">
        <f>_xlfn.XLOOKUP(A2712,'[1]Tissue Data'!$A:$A,'[1]Tissue Data'!K:K)</f>
        <v>Whole Body</v>
      </c>
      <c r="I2712">
        <f>_xlfn.XLOOKUP(A2712,'[1]Tissue Data'!$A:$A,'[1]Tissue Data'!L:L)</f>
        <v>5.25</v>
      </c>
      <c r="J2712">
        <f>_xlfn.XLOOKUP(A2712,'[1]Tissue Data'!$A:$A,'[1]Tissue Data'!M:M)</f>
        <v>2.4500000000000002</v>
      </c>
      <c r="K2712" t="s">
        <v>22</v>
      </c>
      <c r="L2712" t="str">
        <f>_xlfn.XLOOKUP(K2712,[2]analyte_order!$B:$B,[2]analyte_order!$C:$C)</f>
        <v>376-06-7</v>
      </c>
      <c r="M2712">
        <f>_xlfn.XLOOKUP(L2712,[2]analyte_order!$C:$C,[2]analyte_order!$E:$E)</f>
        <v>11</v>
      </c>
      <c r="N2712">
        <v>9.0399999999999991</v>
      </c>
    </row>
    <row r="2713" spans="1:14">
      <c r="A2713" t="s">
        <v>193</v>
      </c>
      <c r="B2713" t="str">
        <f>_xlfn.XLOOKUP(A2713,'[1]Tissue Data'!$A:$A,'[1]Tissue Data'!$C:$C)</f>
        <v>Spill</v>
      </c>
      <c r="C2713" s="2">
        <f>_xlfn.XLOOKUP(A2713,'[1]Tissue Data'!$A:$A,'[1]Tissue Data'!$D:$D)</f>
        <v>44314</v>
      </c>
      <c r="D2713" s="2" t="str">
        <f>_xlfn.XLOOKUP(A2713,'[1]Tissue Data'!$A:$A,'[1]Tissue Data'!$F:$F)</f>
        <v>Swallowtail Shiner</v>
      </c>
      <c r="E2713" t="str">
        <f>_xlfn.XLOOKUP(A2713,'[1]Tissue Data'!$A:$A,'[1]Tissue Data'!$H:$H)</f>
        <v>Notropis</v>
      </c>
      <c r="F2713" t="str">
        <f>_xlfn.XLOOKUP(A2713,'[1]Tissue Data'!$A:$A,'[1]Tissue Data'!$I:$I)</f>
        <v>procne</v>
      </c>
      <c r="G2713" t="str">
        <f>_xlfn.XLOOKUP(A2713,'[1]Tissue Data'!$A:$A,'[1]Tissue Data'!J:J)</f>
        <v>U</v>
      </c>
      <c r="H2713" t="str">
        <f>_xlfn.XLOOKUP(A2713,'[1]Tissue Data'!$A:$A,'[1]Tissue Data'!K:K)</f>
        <v>Whole Body</v>
      </c>
      <c r="I2713">
        <f>_xlfn.XLOOKUP(A2713,'[1]Tissue Data'!$A:$A,'[1]Tissue Data'!L:L)</f>
        <v>5.25</v>
      </c>
      <c r="J2713">
        <f>_xlfn.XLOOKUP(A2713,'[1]Tissue Data'!$A:$A,'[1]Tissue Data'!M:M)</f>
        <v>2.4500000000000002</v>
      </c>
      <c r="K2713" t="s">
        <v>23</v>
      </c>
      <c r="L2713" t="str">
        <f>_xlfn.XLOOKUP(K2713,[2]analyte_order!$B:$B,[2]analyte_order!$C:$C)</f>
        <v>67905-19-5</v>
      </c>
      <c r="M2713">
        <f>_xlfn.XLOOKUP(L2713,[2]analyte_order!$C:$C,[2]analyte_order!$E:$E)</f>
        <v>12</v>
      </c>
      <c r="N2713">
        <v>8.1000000000000003E-2</v>
      </c>
    </row>
    <row r="2714" spans="1:14">
      <c r="A2714" t="s">
        <v>193</v>
      </c>
      <c r="B2714" t="str">
        <f>_xlfn.XLOOKUP(A2714,'[1]Tissue Data'!$A:$A,'[1]Tissue Data'!$C:$C)</f>
        <v>Spill</v>
      </c>
      <c r="C2714" s="2">
        <f>_xlfn.XLOOKUP(A2714,'[1]Tissue Data'!$A:$A,'[1]Tissue Data'!$D:$D)</f>
        <v>44314</v>
      </c>
      <c r="D2714" s="2" t="str">
        <f>_xlfn.XLOOKUP(A2714,'[1]Tissue Data'!$A:$A,'[1]Tissue Data'!$F:$F)</f>
        <v>Swallowtail Shiner</v>
      </c>
      <c r="E2714" t="str">
        <f>_xlfn.XLOOKUP(A2714,'[1]Tissue Data'!$A:$A,'[1]Tissue Data'!$H:$H)</f>
        <v>Notropis</v>
      </c>
      <c r="F2714" t="str">
        <f>_xlfn.XLOOKUP(A2714,'[1]Tissue Data'!$A:$A,'[1]Tissue Data'!$I:$I)</f>
        <v>procne</v>
      </c>
      <c r="G2714" t="str">
        <f>_xlfn.XLOOKUP(A2714,'[1]Tissue Data'!$A:$A,'[1]Tissue Data'!J:J)</f>
        <v>U</v>
      </c>
      <c r="H2714" t="str">
        <f>_xlfn.XLOOKUP(A2714,'[1]Tissue Data'!$A:$A,'[1]Tissue Data'!K:K)</f>
        <v>Whole Body</v>
      </c>
      <c r="I2714">
        <f>_xlfn.XLOOKUP(A2714,'[1]Tissue Data'!$A:$A,'[1]Tissue Data'!L:L)</f>
        <v>5.25</v>
      </c>
      <c r="J2714">
        <f>_xlfn.XLOOKUP(A2714,'[1]Tissue Data'!$A:$A,'[1]Tissue Data'!M:M)</f>
        <v>2.4500000000000002</v>
      </c>
      <c r="K2714" t="s">
        <v>24</v>
      </c>
      <c r="L2714" t="str">
        <f>_xlfn.XLOOKUP(K2714,[2]analyte_order!$B:$B,[2]analyte_order!$C:$C)</f>
        <v>423-41-6</v>
      </c>
      <c r="M2714">
        <f>_xlfn.XLOOKUP(L2714,[2]analyte_order!$C:$C,[2]analyte_order!$E:$E)</f>
        <v>53</v>
      </c>
      <c r="N2714">
        <v>5.1999999999999998E-2</v>
      </c>
    </row>
    <row r="2715" spans="1:14">
      <c r="A2715" t="s">
        <v>193</v>
      </c>
      <c r="B2715" t="str">
        <f>_xlfn.XLOOKUP(A2715,'[1]Tissue Data'!$A:$A,'[1]Tissue Data'!$C:$C)</f>
        <v>Spill</v>
      </c>
      <c r="C2715" s="2">
        <f>_xlfn.XLOOKUP(A2715,'[1]Tissue Data'!$A:$A,'[1]Tissue Data'!$D:$D)</f>
        <v>44314</v>
      </c>
      <c r="D2715" s="2" t="str">
        <f>_xlfn.XLOOKUP(A2715,'[1]Tissue Data'!$A:$A,'[1]Tissue Data'!$F:$F)</f>
        <v>Swallowtail Shiner</v>
      </c>
      <c r="E2715" t="str">
        <f>_xlfn.XLOOKUP(A2715,'[1]Tissue Data'!$A:$A,'[1]Tissue Data'!$H:$H)</f>
        <v>Notropis</v>
      </c>
      <c r="F2715" t="str">
        <f>_xlfn.XLOOKUP(A2715,'[1]Tissue Data'!$A:$A,'[1]Tissue Data'!$I:$I)</f>
        <v>procne</v>
      </c>
      <c r="G2715" t="str">
        <f>_xlfn.XLOOKUP(A2715,'[1]Tissue Data'!$A:$A,'[1]Tissue Data'!J:J)</f>
        <v>U</v>
      </c>
      <c r="H2715" t="str">
        <f>_xlfn.XLOOKUP(A2715,'[1]Tissue Data'!$A:$A,'[1]Tissue Data'!K:K)</f>
        <v>Whole Body</v>
      </c>
      <c r="I2715">
        <f>_xlfn.XLOOKUP(A2715,'[1]Tissue Data'!$A:$A,'[1]Tissue Data'!L:L)</f>
        <v>5.25</v>
      </c>
      <c r="J2715">
        <f>_xlfn.XLOOKUP(A2715,'[1]Tissue Data'!$A:$A,'[1]Tissue Data'!M:M)</f>
        <v>2.4500000000000002</v>
      </c>
      <c r="K2715" t="s">
        <v>25</v>
      </c>
      <c r="L2715" t="str">
        <f>_xlfn.XLOOKUP(K2715,[2]analyte_order!$B:$B,[2]analyte_order!$C:$C)</f>
        <v>375-73-5</v>
      </c>
      <c r="M2715">
        <f>_xlfn.XLOOKUP(L2715,[2]analyte_order!$C:$C,[2]analyte_order!$E:$E)</f>
        <v>14</v>
      </c>
      <c r="N2715">
        <v>0.1525</v>
      </c>
    </row>
    <row r="2716" spans="1:14">
      <c r="A2716" t="s">
        <v>193</v>
      </c>
      <c r="B2716" t="str">
        <f>_xlfn.XLOOKUP(A2716,'[1]Tissue Data'!$A:$A,'[1]Tissue Data'!$C:$C)</f>
        <v>Spill</v>
      </c>
      <c r="C2716" s="2">
        <f>_xlfn.XLOOKUP(A2716,'[1]Tissue Data'!$A:$A,'[1]Tissue Data'!$D:$D)</f>
        <v>44314</v>
      </c>
      <c r="D2716" s="2" t="str">
        <f>_xlfn.XLOOKUP(A2716,'[1]Tissue Data'!$A:$A,'[1]Tissue Data'!$F:$F)</f>
        <v>Swallowtail Shiner</v>
      </c>
      <c r="E2716" t="str">
        <f>_xlfn.XLOOKUP(A2716,'[1]Tissue Data'!$A:$A,'[1]Tissue Data'!$H:$H)</f>
        <v>Notropis</v>
      </c>
      <c r="F2716" t="str">
        <f>_xlfn.XLOOKUP(A2716,'[1]Tissue Data'!$A:$A,'[1]Tissue Data'!$I:$I)</f>
        <v>procne</v>
      </c>
      <c r="G2716" t="str">
        <f>_xlfn.XLOOKUP(A2716,'[1]Tissue Data'!$A:$A,'[1]Tissue Data'!J:J)</f>
        <v>U</v>
      </c>
      <c r="H2716" t="str">
        <f>_xlfn.XLOOKUP(A2716,'[1]Tissue Data'!$A:$A,'[1]Tissue Data'!K:K)</f>
        <v>Whole Body</v>
      </c>
      <c r="I2716">
        <f>_xlfn.XLOOKUP(A2716,'[1]Tissue Data'!$A:$A,'[1]Tissue Data'!L:L)</f>
        <v>5.25</v>
      </c>
      <c r="J2716">
        <f>_xlfn.XLOOKUP(A2716,'[1]Tissue Data'!$A:$A,'[1]Tissue Data'!M:M)</f>
        <v>2.4500000000000002</v>
      </c>
      <c r="K2716" t="s">
        <v>26</v>
      </c>
      <c r="L2716" t="str">
        <f>_xlfn.XLOOKUP(K2716,[2]analyte_order!$B:$B,[2]analyte_order!$C:$C)</f>
        <v>2706-91-4</v>
      </c>
      <c r="M2716">
        <f>_xlfn.XLOOKUP(L2716,[2]analyte_order!$C:$C,[2]analyte_order!$E:$E)</f>
        <v>15</v>
      </c>
      <c r="N2716">
        <v>0.628</v>
      </c>
    </row>
    <row r="2717" spans="1:14">
      <c r="A2717" t="s">
        <v>193</v>
      </c>
      <c r="B2717" t="str">
        <f>_xlfn.XLOOKUP(A2717,'[1]Tissue Data'!$A:$A,'[1]Tissue Data'!$C:$C)</f>
        <v>Spill</v>
      </c>
      <c r="C2717" s="2">
        <f>_xlfn.XLOOKUP(A2717,'[1]Tissue Data'!$A:$A,'[1]Tissue Data'!$D:$D)</f>
        <v>44314</v>
      </c>
      <c r="D2717" s="2" t="str">
        <f>_xlfn.XLOOKUP(A2717,'[1]Tissue Data'!$A:$A,'[1]Tissue Data'!$F:$F)</f>
        <v>Swallowtail Shiner</v>
      </c>
      <c r="E2717" t="str">
        <f>_xlfn.XLOOKUP(A2717,'[1]Tissue Data'!$A:$A,'[1]Tissue Data'!$H:$H)</f>
        <v>Notropis</v>
      </c>
      <c r="F2717" t="str">
        <f>_xlfn.XLOOKUP(A2717,'[1]Tissue Data'!$A:$A,'[1]Tissue Data'!$I:$I)</f>
        <v>procne</v>
      </c>
      <c r="G2717" t="str">
        <f>_xlfn.XLOOKUP(A2717,'[1]Tissue Data'!$A:$A,'[1]Tissue Data'!J:J)</f>
        <v>U</v>
      </c>
      <c r="H2717" t="str">
        <f>_xlfn.XLOOKUP(A2717,'[1]Tissue Data'!$A:$A,'[1]Tissue Data'!K:K)</f>
        <v>Whole Body</v>
      </c>
      <c r="I2717">
        <f>_xlfn.XLOOKUP(A2717,'[1]Tissue Data'!$A:$A,'[1]Tissue Data'!L:L)</f>
        <v>5.25</v>
      </c>
      <c r="J2717">
        <f>_xlfn.XLOOKUP(A2717,'[1]Tissue Data'!$A:$A,'[1]Tissue Data'!M:M)</f>
        <v>2.4500000000000002</v>
      </c>
      <c r="K2717" t="s">
        <v>27</v>
      </c>
      <c r="L2717" t="str">
        <f>_xlfn.XLOOKUP(K2717,[2]analyte_order!$B:$B,[2]analyte_order!$C:$C)</f>
        <v>355-46-4</v>
      </c>
      <c r="M2717">
        <f>_xlfn.XLOOKUP(L2717,[2]analyte_order!$C:$C,[2]analyte_order!$E:$E)</f>
        <v>16</v>
      </c>
      <c r="N2717">
        <v>69.8</v>
      </c>
    </row>
    <row r="2718" spans="1:14">
      <c r="A2718" t="s">
        <v>193</v>
      </c>
      <c r="B2718" t="str">
        <f>_xlfn.XLOOKUP(A2718,'[1]Tissue Data'!$A:$A,'[1]Tissue Data'!$C:$C)</f>
        <v>Spill</v>
      </c>
      <c r="C2718" s="2">
        <f>_xlfn.XLOOKUP(A2718,'[1]Tissue Data'!$A:$A,'[1]Tissue Data'!$D:$D)</f>
        <v>44314</v>
      </c>
      <c r="D2718" s="2" t="str">
        <f>_xlfn.XLOOKUP(A2718,'[1]Tissue Data'!$A:$A,'[1]Tissue Data'!$F:$F)</f>
        <v>Swallowtail Shiner</v>
      </c>
      <c r="E2718" t="str">
        <f>_xlfn.XLOOKUP(A2718,'[1]Tissue Data'!$A:$A,'[1]Tissue Data'!$H:$H)</f>
        <v>Notropis</v>
      </c>
      <c r="F2718" t="str">
        <f>_xlfn.XLOOKUP(A2718,'[1]Tissue Data'!$A:$A,'[1]Tissue Data'!$I:$I)</f>
        <v>procne</v>
      </c>
      <c r="G2718" t="str">
        <f>_xlfn.XLOOKUP(A2718,'[1]Tissue Data'!$A:$A,'[1]Tissue Data'!J:J)</f>
        <v>U</v>
      </c>
      <c r="H2718" t="str">
        <f>_xlfn.XLOOKUP(A2718,'[1]Tissue Data'!$A:$A,'[1]Tissue Data'!K:K)</f>
        <v>Whole Body</v>
      </c>
      <c r="I2718">
        <f>_xlfn.XLOOKUP(A2718,'[1]Tissue Data'!$A:$A,'[1]Tissue Data'!L:L)</f>
        <v>5.25</v>
      </c>
      <c r="J2718">
        <f>_xlfn.XLOOKUP(A2718,'[1]Tissue Data'!$A:$A,'[1]Tissue Data'!M:M)</f>
        <v>2.4500000000000002</v>
      </c>
      <c r="K2718" t="s">
        <v>28</v>
      </c>
      <c r="L2718" t="str">
        <f>_xlfn.XLOOKUP(K2718,[2]analyte_order!$B:$B,[2]analyte_order!$C:$C)</f>
        <v>375-92-8</v>
      </c>
      <c r="M2718">
        <f>_xlfn.XLOOKUP(L2718,[2]analyte_order!$C:$C,[2]analyte_order!$E:$E)</f>
        <v>17</v>
      </c>
      <c r="N2718">
        <v>4.45</v>
      </c>
    </row>
    <row r="2719" spans="1:14">
      <c r="A2719" t="s">
        <v>193</v>
      </c>
      <c r="B2719" t="str">
        <f>_xlfn.XLOOKUP(A2719,'[1]Tissue Data'!$A:$A,'[1]Tissue Data'!$C:$C)</f>
        <v>Spill</v>
      </c>
      <c r="C2719" s="2">
        <f>_xlfn.XLOOKUP(A2719,'[1]Tissue Data'!$A:$A,'[1]Tissue Data'!$D:$D)</f>
        <v>44314</v>
      </c>
      <c r="D2719" s="2" t="str">
        <f>_xlfn.XLOOKUP(A2719,'[1]Tissue Data'!$A:$A,'[1]Tissue Data'!$F:$F)</f>
        <v>Swallowtail Shiner</v>
      </c>
      <c r="E2719" t="str">
        <f>_xlfn.XLOOKUP(A2719,'[1]Tissue Data'!$A:$A,'[1]Tissue Data'!$H:$H)</f>
        <v>Notropis</v>
      </c>
      <c r="F2719" t="str">
        <f>_xlfn.XLOOKUP(A2719,'[1]Tissue Data'!$A:$A,'[1]Tissue Data'!$I:$I)</f>
        <v>procne</v>
      </c>
      <c r="G2719" t="str">
        <f>_xlfn.XLOOKUP(A2719,'[1]Tissue Data'!$A:$A,'[1]Tissue Data'!J:J)</f>
        <v>U</v>
      </c>
      <c r="H2719" t="str">
        <f>_xlfn.XLOOKUP(A2719,'[1]Tissue Data'!$A:$A,'[1]Tissue Data'!K:K)</f>
        <v>Whole Body</v>
      </c>
      <c r="I2719">
        <f>_xlfn.XLOOKUP(A2719,'[1]Tissue Data'!$A:$A,'[1]Tissue Data'!L:L)</f>
        <v>5.25</v>
      </c>
      <c r="J2719">
        <f>_xlfn.XLOOKUP(A2719,'[1]Tissue Data'!$A:$A,'[1]Tissue Data'!M:M)</f>
        <v>2.4500000000000002</v>
      </c>
      <c r="K2719" t="s">
        <v>29</v>
      </c>
      <c r="L2719" t="str">
        <f>_xlfn.XLOOKUP(K2719,[2]analyte_order!$B:$B,[2]analyte_order!$C:$C)</f>
        <v>1763-23-1</v>
      </c>
      <c r="M2719">
        <f>_xlfn.XLOOKUP(L2719,[2]analyte_order!$C:$C,[2]analyte_order!$E:$E)</f>
        <v>18</v>
      </c>
      <c r="N2719">
        <v>1110</v>
      </c>
    </row>
    <row r="2720" spans="1:14">
      <c r="A2720" t="s">
        <v>193</v>
      </c>
      <c r="B2720" t="str">
        <f>_xlfn.XLOOKUP(A2720,'[1]Tissue Data'!$A:$A,'[1]Tissue Data'!$C:$C)</f>
        <v>Spill</v>
      </c>
      <c r="C2720" s="2">
        <f>_xlfn.XLOOKUP(A2720,'[1]Tissue Data'!$A:$A,'[1]Tissue Data'!$D:$D)</f>
        <v>44314</v>
      </c>
      <c r="D2720" s="2" t="str">
        <f>_xlfn.XLOOKUP(A2720,'[1]Tissue Data'!$A:$A,'[1]Tissue Data'!$F:$F)</f>
        <v>Swallowtail Shiner</v>
      </c>
      <c r="E2720" t="str">
        <f>_xlfn.XLOOKUP(A2720,'[1]Tissue Data'!$A:$A,'[1]Tissue Data'!$H:$H)</f>
        <v>Notropis</v>
      </c>
      <c r="F2720" t="str">
        <f>_xlfn.XLOOKUP(A2720,'[1]Tissue Data'!$A:$A,'[1]Tissue Data'!$I:$I)</f>
        <v>procne</v>
      </c>
      <c r="G2720" t="str">
        <f>_xlfn.XLOOKUP(A2720,'[1]Tissue Data'!$A:$A,'[1]Tissue Data'!J:J)</f>
        <v>U</v>
      </c>
      <c r="H2720" t="str">
        <f>_xlfn.XLOOKUP(A2720,'[1]Tissue Data'!$A:$A,'[1]Tissue Data'!K:K)</f>
        <v>Whole Body</v>
      </c>
      <c r="I2720">
        <f>_xlfn.XLOOKUP(A2720,'[1]Tissue Data'!$A:$A,'[1]Tissue Data'!L:L)</f>
        <v>5.25</v>
      </c>
      <c r="J2720">
        <f>_xlfn.XLOOKUP(A2720,'[1]Tissue Data'!$A:$A,'[1]Tissue Data'!M:M)</f>
        <v>2.4500000000000002</v>
      </c>
      <c r="K2720" t="s">
        <v>30</v>
      </c>
      <c r="L2720" t="str">
        <f>_xlfn.XLOOKUP(K2720,[2]analyte_order!$B:$B,[2]analyte_order!$C:$C)</f>
        <v>68259-12-1</v>
      </c>
      <c r="M2720">
        <f>_xlfn.XLOOKUP(L2720,[2]analyte_order!$C:$C,[2]analyte_order!$E:$E)</f>
        <v>19</v>
      </c>
      <c r="N2720">
        <v>1.41</v>
      </c>
    </row>
    <row r="2721" spans="1:14">
      <c r="A2721" t="s">
        <v>193</v>
      </c>
      <c r="B2721" t="str">
        <f>_xlfn.XLOOKUP(A2721,'[1]Tissue Data'!$A:$A,'[1]Tissue Data'!$C:$C)</f>
        <v>Spill</v>
      </c>
      <c r="C2721" s="2">
        <f>_xlfn.XLOOKUP(A2721,'[1]Tissue Data'!$A:$A,'[1]Tissue Data'!$D:$D)</f>
        <v>44314</v>
      </c>
      <c r="D2721" s="2" t="str">
        <f>_xlfn.XLOOKUP(A2721,'[1]Tissue Data'!$A:$A,'[1]Tissue Data'!$F:$F)</f>
        <v>Swallowtail Shiner</v>
      </c>
      <c r="E2721" t="str">
        <f>_xlfn.XLOOKUP(A2721,'[1]Tissue Data'!$A:$A,'[1]Tissue Data'!$H:$H)</f>
        <v>Notropis</v>
      </c>
      <c r="F2721" t="str">
        <f>_xlfn.XLOOKUP(A2721,'[1]Tissue Data'!$A:$A,'[1]Tissue Data'!$I:$I)</f>
        <v>procne</v>
      </c>
      <c r="G2721" t="str">
        <f>_xlfn.XLOOKUP(A2721,'[1]Tissue Data'!$A:$A,'[1]Tissue Data'!J:J)</f>
        <v>U</v>
      </c>
      <c r="H2721" t="str">
        <f>_xlfn.XLOOKUP(A2721,'[1]Tissue Data'!$A:$A,'[1]Tissue Data'!K:K)</f>
        <v>Whole Body</v>
      </c>
      <c r="I2721">
        <f>_xlfn.XLOOKUP(A2721,'[1]Tissue Data'!$A:$A,'[1]Tissue Data'!L:L)</f>
        <v>5.25</v>
      </c>
      <c r="J2721">
        <f>_xlfn.XLOOKUP(A2721,'[1]Tissue Data'!$A:$A,'[1]Tissue Data'!M:M)</f>
        <v>2.4500000000000002</v>
      </c>
      <c r="K2721" t="s">
        <v>31</v>
      </c>
      <c r="L2721" t="str">
        <f>_xlfn.XLOOKUP(K2721,[2]analyte_order!$B:$B,[2]analyte_order!$C:$C)</f>
        <v>335-77-3</v>
      </c>
      <c r="M2721">
        <f>_xlfn.XLOOKUP(L2721,[2]analyte_order!$C:$C,[2]analyte_order!$E:$E)</f>
        <v>20</v>
      </c>
      <c r="N2721">
        <v>11</v>
      </c>
    </row>
    <row r="2722" spans="1:14">
      <c r="A2722" t="s">
        <v>193</v>
      </c>
      <c r="B2722" t="str">
        <f>_xlfn.XLOOKUP(A2722,'[1]Tissue Data'!$A:$A,'[1]Tissue Data'!$C:$C)</f>
        <v>Spill</v>
      </c>
      <c r="C2722" s="2">
        <f>_xlfn.XLOOKUP(A2722,'[1]Tissue Data'!$A:$A,'[1]Tissue Data'!$D:$D)</f>
        <v>44314</v>
      </c>
      <c r="D2722" s="2" t="str">
        <f>_xlfn.XLOOKUP(A2722,'[1]Tissue Data'!$A:$A,'[1]Tissue Data'!$F:$F)</f>
        <v>Swallowtail Shiner</v>
      </c>
      <c r="E2722" t="str">
        <f>_xlfn.XLOOKUP(A2722,'[1]Tissue Data'!$A:$A,'[1]Tissue Data'!$H:$H)</f>
        <v>Notropis</v>
      </c>
      <c r="F2722" t="str">
        <f>_xlfn.XLOOKUP(A2722,'[1]Tissue Data'!$A:$A,'[1]Tissue Data'!$I:$I)</f>
        <v>procne</v>
      </c>
      <c r="G2722" t="str">
        <f>_xlfn.XLOOKUP(A2722,'[1]Tissue Data'!$A:$A,'[1]Tissue Data'!J:J)</f>
        <v>U</v>
      </c>
      <c r="H2722" t="str">
        <f>_xlfn.XLOOKUP(A2722,'[1]Tissue Data'!$A:$A,'[1]Tissue Data'!K:K)</f>
        <v>Whole Body</v>
      </c>
      <c r="I2722">
        <f>_xlfn.XLOOKUP(A2722,'[1]Tissue Data'!$A:$A,'[1]Tissue Data'!L:L)</f>
        <v>5.25</v>
      </c>
      <c r="J2722">
        <f>_xlfn.XLOOKUP(A2722,'[1]Tissue Data'!$A:$A,'[1]Tissue Data'!M:M)</f>
        <v>2.4500000000000002</v>
      </c>
      <c r="K2722" t="s">
        <v>32</v>
      </c>
      <c r="L2722" t="str">
        <f>_xlfn.XLOOKUP(K2722,[2]analyte_order!$B:$B,[2]analyte_order!$C:$C)</f>
        <v>79780-39-5</v>
      </c>
      <c r="M2722">
        <f>_xlfn.XLOOKUP(L2722,[2]analyte_order!$C:$C,[2]analyte_order!$E:$E)</f>
        <v>21</v>
      </c>
      <c r="N2722">
        <v>0.81799999999999995</v>
      </c>
    </row>
    <row r="2723" spans="1:14">
      <c r="A2723" t="s">
        <v>193</v>
      </c>
      <c r="B2723" t="str">
        <f>_xlfn.XLOOKUP(A2723,'[1]Tissue Data'!$A:$A,'[1]Tissue Data'!$C:$C)</f>
        <v>Spill</v>
      </c>
      <c r="C2723" s="2">
        <f>_xlfn.XLOOKUP(A2723,'[1]Tissue Data'!$A:$A,'[1]Tissue Data'!$D:$D)</f>
        <v>44314</v>
      </c>
      <c r="D2723" s="2" t="str">
        <f>_xlfn.XLOOKUP(A2723,'[1]Tissue Data'!$A:$A,'[1]Tissue Data'!$F:$F)</f>
        <v>Swallowtail Shiner</v>
      </c>
      <c r="E2723" t="str">
        <f>_xlfn.XLOOKUP(A2723,'[1]Tissue Data'!$A:$A,'[1]Tissue Data'!$H:$H)</f>
        <v>Notropis</v>
      </c>
      <c r="F2723" t="str">
        <f>_xlfn.XLOOKUP(A2723,'[1]Tissue Data'!$A:$A,'[1]Tissue Data'!$I:$I)</f>
        <v>procne</v>
      </c>
      <c r="G2723" t="str">
        <f>_xlfn.XLOOKUP(A2723,'[1]Tissue Data'!$A:$A,'[1]Tissue Data'!J:J)</f>
        <v>U</v>
      </c>
      <c r="H2723" t="str">
        <f>_xlfn.XLOOKUP(A2723,'[1]Tissue Data'!$A:$A,'[1]Tissue Data'!K:K)</f>
        <v>Whole Body</v>
      </c>
      <c r="I2723">
        <f>_xlfn.XLOOKUP(A2723,'[1]Tissue Data'!$A:$A,'[1]Tissue Data'!L:L)</f>
        <v>5.25</v>
      </c>
      <c r="J2723">
        <f>_xlfn.XLOOKUP(A2723,'[1]Tissue Data'!$A:$A,'[1]Tissue Data'!M:M)</f>
        <v>2.4500000000000002</v>
      </c>
      <c r="K2723" t="s">
        <v>33</v>
      </c>
      <c r="L2723" t="str">
        <f>_xlfn.XLOOKUP(K2723,[2]analyte_order!$B:$B,[2]analyte_order!$C:$C)</f>
        <v>777011-38-8</v>
      </c>
      <c r="M2723">
        <f>_xlfn.XLOOKUP(L2723,[2]analyte_order!$C:$C,[2]analyte_order!$E:$E)</f>
        <v>54</v>
      </c>
      <c r="N2723">
        <v>0.13650000000000001</v>
      </c>
    </row>
    <row r="2724" spans="1:14">
      <c r="A2724" t="s">
        <v>193</v>
      </c>
      <c r="B2724" t="str">
        <f>_xlfn.XLOOKUP(A2724,'[1]Tissue Data'!$A:$A,'[1]Tissue Data'!$C:$C)</f>
        <v>Spill</v>
      </c>
      <c r="C2724" s="2">
        <f>_xlfn.XLOOKUP(A2724,'[1]Tissue Data'!$A:$A,'[1]Tissue Data'!$D:$D)</f>
        <v>44314</v>
      </c>
      <c r="D2724" s="2" t="str">
        <f>_xlfn.XLOOKUP(A2724,'[1]Tissue Data'!$A:$A,'[1]Tissue Data'!$F:$F)</f>
        <v>Swallowtail Shiner</v>
      </c>
      <c r="E2724" t="str">
        <f>_xlfn.XLOOKUP(A2724,'[1]Tissue Data'!$A:$A,'[1]Tissue Data'!$H:$H)</f>
        <v>Notropis</v>
      </c>
      <c r="F2724" t="str">
        <f>_xlfn.XLOOKUP(A2724,'[1]Tissue Data'!$A:$A,'[1]Tissue Data'!$I:$I)</f>
        <v>procne</v>
      </c>
      <c r="G2724" t="str">
        <f>_xlfn.XLOOKUP(A2724,'[1]Tissue Data'!$A:$A,'[1]Tissue Data'!J:J)</f>
        <v>U</v>
      </c>
      <c r="H2724" t="str">
        <f>_xlfn.XLOOKUP(A2724,'[1]Tissue Data'!$A:$A,'[1]Tissue Data'!K:K)</f>
        <v>Whole Body</v>
      </c>
      <c r="I2724">
        <f>_xlfn.XLOOKUP(A2724,'[1]Tissue Data'!$A:$A,'[1]Tissue Data'!L:L)</f>
        <v>5.25</v>
      </c>
      <c r="J2724">
        <f>_xlfn.XLOOKUP(A2724,'[1]Tissue Data'!$A:$A,'[1]Tissue Data'!M:M)</f>
        <v>2.4500000000000002</v>
      </c>
      <c r="K2724" t="s">
        <v>34</v>
      </c>
      <c r="L2724" t="str">
        <f>_xlfn.XLOOKUP(K2724,[2]analyte_order!$B:$B,[2]analyte_order!$C:$C)</f>
        <v>646-83-3</v>
      </c>
      <c r="M2724">
        <f>_xlfn.XLOOKUP(L2724,[2]analyte_order!$C:$C,[2]analyte_order!$E:$E)</f>
        <v>55</v>
      </c>
      <c r="N2724">
        <v>0.21099999999999999</v>
      </c>
    </row>
    <row r="2725" spans="1:14">
      <c r="A2725" t="s">
        <v>193</v>
      </c>
      <c r="B2725" t="str">
        <f>_xlfn.XLOOKUP(A2725,'[1]Tissue Data'!$A:$A,'[1]Tissue Data'!$C:$C)</f>
        <v>Spill</v>
      </c>
      <c r="C2725" s="2">
        <f>_xlfn.XLOOKUP(A2725,'[1]Tissue Data'!$A:$A,'[1]Tissue Data'!$D:$D)</f>
        <v>44314</v>
      </c>
      <c r="D2725" s="2" t="str">
        <f>_xlfn.XLOOKUP(A2725,'[1]Tissue Data'!$A:$A,'[1]Tissue Data'!$F:$F)</f>
        <v>Swallowtail Shiner</v>
      </c>
      <c r="E2725" t="str">
        <f>_xlfn.XLOOKUP(A2725,'[1]Tissue Data'!$A:$A,'[1]Tissue Data'!$H:$H)</f>
        <v>Notropis</v>
      </c>
      <c r="F2725" t="str">
        <f>_xlfn.XLOOKUP(A2725,'[1]Tissue Data'!$A:$A,'[1]Tissue Data'!$I:$I)</f>
        <v>procne</v>
      </c>
      <c r="G2725" t="str">
        <f>_xlfn.XLOOKUP(A2725,'[1]Tissue Data'!$A:$A,'[1]Tissue Data'!J:J)</f>
        <v>U</v>
      </c>
      <c r="H2725" t="str">
        <f>_xlfn.XLOOKUP(A2725,'[1]Tissue Data'!$A:$A,'[1]Tissue Data'!K:K)</f>
        <v>Whole Body</v>
      </c>
      <c r="I2725">
        <f>_xlfn.XLOOKUP(A2725,'[1]Tissue Data'!$A:$A,'[1]Tissue Data'!L:L)</f>
        <v>5.25</v>
      </c>
      <c r="J2725">
        <f>_xlfn.XLOOKUP(A2725,'[1]Tissue Data'!$A:$A,'[1]Tissue Data'!M:M)</f>
        <v>2.4500000000000002</v>
      </c>
      <c r="K2725" t="s">
        <v>35</v>
      </c>
      <c r="L2725" t="str">
        <f>_xlfn.XLOOKUP(K2725,[2]analyte_order!$B:$B,[2]analyte_order!$C:$C)</f>
        <v>30334-69-1</v>
      </c>
      <c r="M2725">
        <f>_xlfn.XLOOKUP(L2725,[2]analyte_order!$C:$C,[2]analyte_order!$E:$E)</f>
        <v>51</v>
      </c>
      <c r="N2725">
        <v>77</v>
      </c>
    </row>
    <row r="2726" spans="1:14">
      <c r="A2726" t="s">
        <v>193</v>
      </c>
      <c r="B2726" t="str">
        <f>_xlfn.XLOOKUP(A2726,'[1]Tissue Data'!$A:$A,'[1]Tissue Data'!$C:$C)</f>
        <v>Spill</v>
      </c>
      <c r="C2726" s="2">
        <f>_xlfn.XLOOKUP(A2726,'[1]Tissue Data'!$A:$A,'[1]Tissue Data'!$D:$D)</f>
        <v>44314</v>
      </c>
      <c r="D2726" s="2" t="str">
        <f>_xlfn.XLOOKUP(A2726,'[1]Tissue Data'!$A:$A,'[1]Tissue Data'!$F:$F)</f>
        <v>Swallowtail Shiner</v>
      </c>
      <c r="E2726" t="str">
        <f>_xlfn.XLOOKUP(A2726,'[1]Tissue Data'!$A:$A,'[1]Tissue Data'!$H:$H)</f>
        <v>Notropis</v>
      </c>
      <c r="F2726" t="str">
        <f>_xlfn.XLOOKUP(A2726,'[1]Tissue Data'!$A:$A,'[1]Tissue Data'!$I:$I)</f>
        <v>procne</v>
      </c>
      <c r="G2726" t="str">
        <f>_xlfn.XLOOKUP(A2726,'[1]Tissue Data'!$A:$A,'[1]Tissue Data'!J:J)</f>
        <v>U</v>
      </c>
      <c r="H2726" t="str">
        <f>_xlfn.XLOOKUP(A2726,'[1]Tissue Data'!$A:$A,'[1]Tissue Data'!K:K)</f>
        <v>Whole Body</v>
      </c>
      <c r="I2726">
        <f>_xlfn.XLOOKUP(A2726,'[1]Tissue Data'!$A:$A,'[1]Tissue Data'!L:L)</f>
        <v>5.25</v>
      </c>
      <c r="J2726">
        <f>_xlfn.XLOOKUP(A2726,'[1]Tissue Data'!$A:$A,'[1]Tissue Data'!M:M)</f>
        <v>2.4500000000000002</v>
      </c>
      <c r="K2726" t="s">
        <v>36</v>
      </c>
      <c r="L2726" t="str">
        <f>_xlfn.XLOOKUP(K2726,[2]analyte_order!$B:$B,[2]analyte_order!$C:$C)</f>
        <v>41997-13-1</v>
      </c>
      <c r="M2726">
        <f>_xlfn.XLOOKUP(L2726,[2]analyte_order!$C:$C,[2]analyte_order!$E:$E)</f>
        <v>52</v>
      </c>
      <c r="N2726">
        <v>206</v>
      </c>
    </row>
    <row r="2727" spans="1:14">
      <c r="A2727" t="s">
        <v>193</v>
      </c>
      <c r="B2727" t="str">
        <f>_xlfn.XLOOKUP(A2727,'[1]Tissue Data'!$A:$A,'[1]Tissue Data'!$C:$C)</f>
        <v>Spill</v>
      </c>
      <c r="C2727" s="2">
        <f>_xlfn.XLOOKUP(A2727,'[1]Tissue Data'!$A:$A,'[1]Tissue Data'!$D:$D)</f>
        <v>44314</v>
      </c>
      <c r="D2727" s="2" t="str">
        <f>_xlfn.XLOOKUP(A2727,'[1]Tissue Data'!$A:$A,'[1]Tissue Data'!$F:$F)</f>
        <v>Swallowtail Shiner</v>
      </c>
      <c r="E2727" t="str">
        <f>_xlfn.XLOOKUP(A2727,'[1]Tissue Data'!$A:$A,'[1]Tissue Data'!$H:$H)</f>
        <v>Notropis</v>
      </c>
      <c r="F2727" t="str">
        <f>_xlfn.XLOOKUP(A2727,'[1]Tissue Data'!$A:$A,'[1]Tissue Data'!$I:$I)</f>
        <v>procne</v>
      </c>
      <c r="G2727" t="str">
        <f>_xlfn.XLOOKUP(A2727,'[1]Tissue Data'!$A:$A,'[1]Tissue Data'!J:J)</f>
        <v>U</v>
      </c>
      <c r="H2727" t="str">
        <f>_xlfn.XLOOKUP(A2727,'[1]Tissue Data'!$A:$A,'[1]Tissue Data'!K:K)</f>
        <v>Whole Body</v>
      </c>
      <c r="I2727">
        <f>_xlfn.XLOOKUP(A2727,'[1]Tissue Data'!$A:$A,'[1]Tissue Data'!L:L)</f>
        <v>5.25</v>
      </c>
      <c r="J2727">
        <f>_xlfn.XLOOKUP(A2727,'[1]Tissue Data'!$A:$A,'[1]Tissue Data'!M:M)</f>
        <v>2.4500000000000002</v>
      </c>
      <c r="K2727" t="s">
        <v>37</v>
      </c>
      <c r="L2727" t="str">
        <f>_xlfn.XLOOKUP(K2727,[2]analyte_order!$B:$B,[2]analyte_order!$C:$C)</f>
        <v>754-91-6</v>
      </c>
      <c r="M2727">
        <f>_xlfn.XLOOKUP(L2727,[2]analyte_order!$C:$C,[2]analyte_order!$E:$E)</f>
        <v>28</v>
      </c>
      <c r="N2727">
        <v>15.5</v>
      </c>
    </row>
    <row r="2728" spans="1:14">
      <c r="A2728" t="s">
        <v>193</v>
      </c>
      <c r="B2728" t="str">
        <f>_xlfn.XLOOKUP(A2728,'[1]Tissue Data'!$A:$A,'[1]Tissue Data'!$C:$C)</f>
        <v>Spill</v>
      </c>
      <c r="C2728" s="2">
        <f>_xlfn.XLOOKUP(A2728,'[1]Tissue Data'!$A:$A,'[1]Tissue Data'!$D:$D)</f>
        <v>44314</v>
      </c>
      <c r="D2728" s="2" t="str">
        <f>_xlfn.XLOOKUP(A2728,'[1]Tissue Data'!$A:$A,'[1]Tissue Data'!$F:$F)</f>
        <v>Swallowtail Shiner</v>
      </c>
      <c r="E2728" t="str">
        <f>_xlfn.XLOOKUP(A2728,'[1]Tissue Data'!$A:$A,'[1]Tissue Data'!$H:$H)</f>
        <v>Notropis</v>
      </c>
      <c r="F2728" t="str">
        <f>_xlfn.XLOOKUP(A2728,'[1]Tissue Data'!$A:$A,'[1]Tissue Data'!$I:$I)</f>
        <v>procne</v>
      </c>
      <c r="G2728" t="str">
        <f>_xlfn.XLOOKUP(A2728,'[1]Tissue Data'!$A:$A,'[1]Tissue Data'!J:J)</f>
        <v>U</v>
      </c>
      <c r="H2728" t="str">
        <f>_xlfn.XLOOKUP(A2728,'[1]Tissue Data'!$A:$A,'[1]Tissue Data'!K:K)</f>
        <v>Whole Body</v>
      </c>
      <c r="I2728">
        <f>_xlfn.XLOOKUP(A2728,'[1]Tissue Data'!$A:$A,'[1]Tissue Data'!L:L)</f>
        <v>5.25</v>
      </c>
      <c r="J2728">
        <f>_xlfn.XLOOKUP(A2728,'[1]Tissue Data'!$A:$A,'[1]Tissue Data'!M:M)</f>
        <v>2.4500000000000002</v>
      </c>
      <c r="K2728" t="s">
        <v>38</v>
      </c>
      <c r="L2728" t="str">
        <f>_xlfn.XLOOKUP(K2728,[2]analyte_order!$B:$B,[2]analyte_order!$C:$C)</f>
        <v>31506-32-8</v>
      </c>
      <c r="M2728">
        <f>_xlfn.XLOOKUP(L2728,[2]analyte_order!$C:$C,[2]analyte_order!$E:$E)</f>
        <v>30</v>
      </c>
      <c r="N2728">
        <v>5.2499999999999998E-2</v>
      </c>
    </row>
    <row r="2729" spans="1:14">
      <c r="A2729" t="s">
        <v>193</v>
      </c>
      <c r="B2729" t="str">
        <f>_xlfn.XLOOKUP(A2729,'[1]Tissue Data'!$A:$A,'[1]Tissue Data'!$C:$C)</f>
        <v>Spill</v>
      </c>
      <c r="C2729" s="2">
        <f>_xlfn.XLOOKUP(A2729,'[1]Tissue Data'!$A:$A,'[1]Tissue Data'!$D:$D)</f>
        <v>44314</v>
      </c>
      <c r="D2729" s="2" t="str">
        <f>_xlfn.XLOOKUP(A2729,'[1]Tissue Data'!$A:$A,'[1]Tissue Data'!$F:$F)</f>
        <v>Swallowtail Shiner</v>
      </c>
      <c r="E2729" t="str">
        <f>_xlfn.XLOOKUP(A2729,'[1]Tissue Data'!$A:$A,'[1]Tissue Data'!$H:$H)</f>
        <v>Notropis</v>
      </c>
      <c r="F2729" t="str">
        <f>_xlfn.XLOOKUP(A2729,'[1]Tissue Data'!$A:$A,'[1]Tissue Data'!$I:$I)</f>
        <v>procne</v>
      </c>
      <c r="G2729" t="str">
        <f>_xlfn.XLOOKUP(A2729,'[1]Tissue Data'!$A:$A,'[1]Tissue Data'!J:J)</f>
        <v>U</v>
      </c>
      <c r="H2729" t="str">
        <f>_xlfn.XLOOKUP(A2729,'[1]Tissue Data'!$A:$A,'[1]Tissue Data'!K:K)</f>
        <v>Whole Body</v>
      </c>
      <c r="I2729">
        <f>_xlfn.XLOOKUP(A2729,'[1]Tissue Data'!$A:$A,'[1]Tissue Data'!L:L)</f>
        <v>5.25</v>
      </c>
      <c r="J2729">
        <f>_xlfn.XLOOKUP(A2729,'[1]Tissue Data'!$A:$A,'[1]Tissue Data'!M:M)</f>
        <v>2.4500000000000002</v>
      </c>
      <c r="K2729" t="s">
        <v>39</v>
      </c>
      <c r="L2729" t="str">
        <f>_xlfn.XLOOKUP(K2729,[2]analyte_order!$B:$B,[2]analyte_order!$C:$C)</f>
        <v>4151-50-2</v>
      </c>
      <c r="M2729">
        <f>_xlfn.XLOOKUP(L2729,[2]analyte_order!$C:$C,[2]analyte_order!$E:$E)</f>
        <v>31</v>
      </c>
      <c r="N2729">
        <v>7.9500000000000001E-2</v>
      </c>
    </row>
    <row r="2730" spans="1:14">
      <c r="A2730" t="s">
        <v>193</v>
      </c>
      <c r="B2730" t="str">
        <f>_xlfn.XLOOKUP(A2730,'[1]Tissue Data'!$A:$A,'[1]Tissue Data'!$C:$C)</f>
        <v>Spill</v>
      </c>
      <c r="C2730" s="2">
        <f>_xlfn.XLOOKUP(A2730,'[1]Tissue Data'!$A:$A,'[1]Tissue Data'!$D:$D)</f>
        <v>44314</v>
      </c>
      <c r="D2730" s="2" t="str">
        <f>_xlfn.XLOOKUP(A2730,'[1]Tissue Data'!$A:$A,'[1]Tissue Data'!$F:$F)</f>
        <v>Swallowtail Shiner</v>
      </c>
      <c r="E2730" t="str">
        <f>_xlfn.XLOOKUP(A2730,'[1]Tissue Data'!$A:$A,'[1]Tissue Data'!$H:$H)</f>
        <v>Notropis</v>
      </c>
      <c r="F2730" t="str">
        <f>_xlfn.XLOOKUP(A2730,'[1]Tissue Data'!$A:$A,'[1]Tissue Data'!$I:$I)</f>
        <v>procne</v>
      </c>
      <c r="G2730" t="str">
        <f>_xlfn.XLOOKUP(A2730,'[1]Tissue Data'!$A:$A,'[1]Tissue Data'!J:J)</f>
        <v>U</v>
      </c>
      <c r="H2730" t="str">
        <f>_xlfn.XLOOKUP(A2730,'[1]Tissue Data'!$A:$A,'[1]Tissue Data'!K:K)</f>
        <v>Whole Body</v>
      </c>
      <c r="I2730">
        <f>_xlfn.XLOOKUP(A2730,'[1]Tissue Data'!$A:$A,'[1]Tissue Data'!L:L)</f>
        <v>5.25</v>
      </c>
      <c r="J2730">
        <f>_xlfn.XLOOKUP(A2730,'[1]Tissue Data'!$A:$A,'[1]Tissue Data'!M:M)</f>
        <v>2.4500000000000002</v>
      </c>
      <c r="K2730" t="s">
        <v>40</v>
      </c>
      <c r="L2730" t="str">
        <f>_xlfn.XLOOKUP(K2730,[2]analyte_order!$B:$B,[2]analyte_order!$C:$C)</f>
        <v>2806-24-8</v>
      </c>
      <c r="M2730">
        <f>_xlfn.XLOOKUP(L2730,[2]analyte_order!$C:$C,[2]analyte_order!$E:$E)</f>
        <v>29</v>
      </c>
      <c r="N2730">
        <v>0.45</v>
      </c>
    </row>
    <row r="2731" spans="1:14">
      <c r="A2731" t="s">
        <v>193</v>
      </c>
      <c r="B2731" t="str">
        <f>_xlfn.XLOOKUP(A2731,'[1]Tissue Data'!$A:$A,'[1]Tissue Data'!$C:$C)</f>
        <v>Spill</v>
      </c>
      <c r="C2731" s="2">
        <f>_xlfn.XLOOKUP(A2731,'[1]Tissue Data'!$A:$A,'[1]Tissue Data'!$D:$D)</f>
        <v>44314</v>
      </c>
      <c r="D2731" s="2" t="str">
        <f>_xlfn.XLOOKUP(A2731,'[1]Tissue Data'!$A:$A,'[1]Tissue Data'!$F:$F)</f>
        <v>Swallowtail Shiner</v>
      </c>
      <c r="E2731" t="str">
        <f>_xlfn.XLOOKUP(A2731,'[1]Tissue Data'!$A:$A,'[1]Tissue Data'!$H:$H)</f>
        <v>Notropis</v>
      </c>
      <c r="F2731" t="str">
        <f>_xlfn.XLOOKUP(A2731,'[1]Tissue Data'!$A:$A,'[1]Tissue Data'!$I:$I)</f>
        <v>procne</v>
      </c>
      <c r="G2731" t="str">
        <f>_xlfn.XLOOKUP(A2731,'[1]Tissue Data'!$A:$A,'[1]Tissue Data'!J:J)</f>
        <v>U</v>
      </c>
      <c r="H2731" t="str">
        <f>_xlfn.XLOOKUP(A2731,'[1]Tissue Data'!$A:$A,'[1]Tissue Data'!K:K)</f>
        <v>Whole Body</v>
      </c>
      <c r="I2731">
        <f>_xlfn.XLOOKUP(A2731,'[1]Tissue Data'!$A:$A,'[1]Tissue Data'!L:L)</f>
        <v>5.25</v>
      </c>
      <c r="J2731">
        <f>_xlfn.XLOOKUP(A2731,'[1]Tissue Data'!$A:$A,'[1]Tissue Data'!M:M)</f>
        <v>2.4500000000000002</v>
      </c>
      <c r="K2731" t="s">
        <v>41</v>
      </c>
      <c r="L2731" t="str">
        <f>_xlfn.XLOOKUP(K2731,[2]analyte_order!$B:$B,[2]analyte_order!$C:$C)</f>
        <v>2355-31-9</v>
      </c>
      <c r="M2731">
        <f>_xlfn.XLOOKUP(L2731,[2]analyte_order!$C:$C,[2]analyte_order!$E:$E)</f>
        <v>26</v>
      </c>
      <c r="N2731">
        <v>1.5</v>
      </c>
    </row>
    <row r="2732" spans="1:14">
      <c r="A2732" t="s">
        <v>193</v>
      </c>
      <c r="B2732" t="str">
        <f>_xlfn.XLOOKUP(A2732,'[1]Tissue Data'!$A:$A,'[1]Tissue Data'!$C:$C)</f>
        <v>Spill</v>
      </c>
      <c r="C2732" s="2">
        <f>_xlfn.XLOOKUP(A2732,'[1]Tissue Data'!$A:$A,'[1]Tissue Data'!$D:$D)</f>
        <v>44314</v>
      </c>
      <c r="D2732" s="2" t="str">
        <f>_xlfn.XLOOKUP(A2732,'[1]Tissue Data'!$A:$A,'[1]Tissue Data'!$F:$F)</f>
        <v>Swallowtail Shiner</v>
      </c>
      <c r="E2732" t="str">
        <f>_xlfn.XLOOKUP(A2732,'[1]Tissue Data'!$A:$A,'[1]Tissue Data'!$H:$H)</f>
        <v>Notropis</v>
      </c>
      <c r="F2732" t="str">
        <f>_xlfn.XLOOKUP(A2732,'[1]Tissue Data'!$A:$A,'[1]Tissue Data'!$I:$I)</f>
        <v>procne</v>
      </c>
      <c r="G2732" t="str">
        <f>_xlfn.XLOOKUP(A2732,'[1]Tissue Data'!$A:$A,'[1]Tissue Data'!J:J)</f>
        <v>U</v>
      </c>
      <c r="H2732" t="str">
        <f>_xlfn.XLOOKUP(A2732,'[1]Tissue Data'!$A:$A,'[1]Tissue Data'!K:K)</f>
        <v>Whole Body</v>
      </c>
      <c r="I2732">
        <f>_xlfn.XLOOKUP(A2732,'[1]Tissue Data'!$A:$A,'[1]Tissue Data'!L:L)</f>
        <v>5.25</v>
      </c>
      <c r="J2732">
        <f>_xlfn.XLOOKUP(A2732,'[1]Tissue Data'!$A:$A,'[1]Tissue Data'!M:M)</f>
        <v>2.4500000000000002</v>
      </c>
      <c r="K2732" t="s">
        <v>42</v>
      </c>
      <c r="L2732" t="str">
        <f>_xlfn.XLOOKUP(K2732,[2]analyte_order!$B:$B,[2]analyte_order!$C:$C)</f>
        <v>2991-50-6</v>
      </c>
      <c r="M2732">
        <f>_xlfn.XLOOKUP(L2732,[2]analyte_order!$C:$C,[2]analyte_order!$E:$E)</f>
        <v>27</v>
      </c>
      <c r="N2732">
        <v>5.8999999999999997E-2</v>
      </c>
    </row>
    <row r="2733" spans="1:14">
      <c r="A2733" t="s">
        <v>193</v>
      </c>
      <c r="B2733" t="str">
        <f>_xlfn.XLOOKUP(A2733,'[1]Tissue Data'!$A:$A,'[1]Tissue Data'!$C:$C)</f>
        <v>Spill</v>
      </c>
      <c r="C2733" s="2">
        <f>_xlfn.XLOOKUP(A2733,'[1]Tissue Data'!$A:$A,'[1]Tissue Data'!$D:$D)</f>
        <v>44314</v>
      </c>
      <c r="D2733" s="2" t="str">
        <f>_xlfn.XLOOKUP(A2733,'[1]Tissue Data'!$A:$A,'[1]Tissue Data'!$F:$F)</f>
        <v>Swallowtail Shiner</v>
      </c>
      <c r="E2733" t="str">
        <f>_xlfn.XLOOKUP(A2733,'[1]Tissue Data'!$A:$A,'[1]Tissue Data'!$H:$H)</f>
        <v>Notropis</v>
      </c>
      <c r="F2733" t="str">
        <f>_xlfn.XLOOKUP(A2733,'[1]Tissue Data'!$A:$A,'[1]Tissue Data'!$I:$I)</f>
        <v>procne</v>
      </c>
      <c r="G2733" t="str">
        <f>_xlfn.XLOOKUP(A2733,'[1]Tissue Data'!$A:$A,'[1]Tissue Data'!J:J)</f>
        <v>U</v>
      </c>
      <c r="H2733" t="str">
        <f>_xlfn.XLOOKUP(A2733,'[1]Tissue Data'!$A:$A,'[1]Tissue Data'!K:K)</f>
        <v>Whole Body</v>
      </c>
      <c r="I2733">
        <f>_xlfn.XLOOKUP(A2733,'[1]Tissue Data'!$A:$A,'[1]Tissue Data'!L:L)</f>
        <v>5.25</v>
      </c>
      <c r="J2733">
        <f>_xlfn.XLOOKUP(A2733,'[1]Tissue Data'!$A:$A,'[1]Tissue Data'!M:M)</f>
        <v>2.4500000000000002</v>
      </c>
      <c r="K2733" t="s">
        <v>43</v>
      </c>
      <c r="L2733" t="str">
        <f>_xlfn.XLOOKUP(K2733,[2]analyte_order!$B:$B,[2]analyte_order!$C:$C)</f>
        <v>757124-72-4</v>
      </c>
      <c r="M2733">
        <f>_xlfn.XLOOKUP(L2733,[2]analyte_order!$C:$C,[2]analyte_order!$E:$E)</f>
        <v>22</v>
      </c>
      <c r="N2733">
        <v>5.6000000000000001E-2</v>
      </c>
    </row>
    <row r="2734" spans="1:14">
      <c r="A2734" t="s">
        <v>193</v>
      </c>
      <c r="B2734" t="str">
        <f>_xlfn.XLOOKUP(A2734,'[1]Tissue Data'!$A:$A,'[1]Tissue Data'!$C:$C)</f>
        <v>Spill</v>
      </c>
      <c r="C2734" s="2">
        <f>_xlfn.XLOOKUP(A2734,'[1]Tissue Data'!$A:$A,'[1]Tissue Data'!$D:$D)</f>
        <v>44314</v>
      </c>
      <c r="D2734" s="2" t="str">
        <f>_xlfn.XLOOKUP(A2734,'[1]Tissue Data'!$A:$A,'[1]Tissue Data'!$F:$F)</f>
        <v>Swallowtail Shiner</v>
      </c>
      <c r="E2734" t="str">
        <f>_xlfn.XLOOKUP(A2734,'[1]Tissue Data'!$A:$A,'[1]Tissue Data'!$H:$H)</f>
        <v>Notropis</v>
      </c>
      <c r="F2734" t="str">
        <f>_xlfn.XLOOKUP(A2734,'[1]Tissue Data'!$A:$A,'[1]Tissue Data'!$I:$I)</f>
        <v>procne</v>
      </c>
      <c r="G2734" t="str">
        <f>_xlfn.XLOOKUP(A2734,'[1]Tissue Data'!$A:$A,'[1]Tissue Data'!J:J)</f>
        <v>U</v>
      </c>
      <c r="H2734" t="str">
        <f>_xlfn.XLOOKUP(A2734,'[1]Tissue Data'!$A:$A,'[1]Tissue Data'!K:K)</f>
        <v>Whole Body</v>
      </c>
      <c r="I2734">
        <f>_xlfn.XLOOKUP(A2734,'[1]Tissue Data'!$A:$A,'[1]Tissue Data'!L:L)</f>
        <v>5.25</v>
      </c>
      <c r="J2734">
        <f>_xlfn.XLOOKUP(A2734,'[1]Tissue Data'!$A:$A,'[1]Tissue Data'!M:M)</f>
        <v>2.4500000000000002</v>
      </c>
      <c r="K2734" t="s">
        <v>44</v>
      </c>
      <c r="L2734" t="str">
        <f>_xlfn.XLOOKUP(K2734,[2]analyte_order!$B:$B,[2]analyte_order!$C:$C)</f>
        <v>27619-97-2</v>
      </c>
      <c r="M2734">
        <f>_xlfn.XLOOKUP(L2734,[2]analyte_order!$C:$C,[2]analyte_order!$E:$E)</f>
        <v>23</v>
      </c>
      <c r="N2734">
        <v>0.44900000000000001</v>
      </c>
    </row>
    <row r="2735" spans="1:14">
      <c r="A2735" t="s">
        <v>193</v>
      </c>
      <c r="B2735" t="str">
        <f>_xlfn.XLOOKUP(A2735,'[1]Tissue Data'!$A:$A,'[1]Tissue Data'!$C:$C)</f>
        <v>Spill</v>
      </c>
      <c r="C2735" s="2">
        <f>_xlfn.XLOOKUP(A2735,'[1]Tissue Data'!$A:$A,'[1]Tissue Data'!$D:$D)</f>
        <v>44314</v>
      </c>
      <c r="D2735" s="2" t="str">
        <f>_xlfn.XLOOKUP(A2735,'[1]Tissue Data'!$A:$A,'[1]Tissue Data'!$F:$F)</f>
        <v>Swallowtail Shiner</v>
      </c>
      <c r="E2735" t="str">
        <f>_xlfn.XLOOKUP(A2735,'[1]Tissue Data'!$A:$A,'[1]Tissue Data'!$H:$H)</f>
        <v>Notropis</v>
      </c>
      <c r="F2735" t="str">
        <f>_xlfn.XLOOKUP(A2735,'[1]Tissue Data'!$A:$A,'[1]Tissue Data'!$I:$I)</f>
        <v>procne</v>
      </c>
      <c r="G2735" t="str">
        <f>_xlfn.XLOOKUP(A2735,'[1]Tissue Data'!$A:$A,'[1]Tissue Data'!J:J)</f>
        <v>U</v>
      </c>
      <c r="H2735" t="str">
        <f>_xlfn.XLOOKUP(A2735,'[1]Tissue Data'!$A:$A,'[1]Tissue Data'!K:K)</f>
        <v>Whole Body</v>
      </c>
      <c r="I2735">
        <f>_xlfn.XLOOKUP(A2735,'[1]Tissue Data'!$A:$A,'[1]Tissue Data'!L:L)</f>
        <v>5.25</v>
      </c>
      <c r="J2735">
        <f>_xlfn.XLOOKUP(A2735,'[1]Tissue Data'!$A:$A,'[1]Tissue Data'!M:M)</f>
        <v>2.4500000000000002</v>
      </c>
      <c r="K2735" t="s">
        <v>45</v>
      </c>
      <c r="L2735" t="str">
        <f>_xlfn.XLOOKUP(K2735,[2]analyte_order!$B:$B,[2]analyte_order!$C:$C)</f>
        <v>39108-34-4</v>
      </c>
      <c r="M2735">
        <f>_xlfn.XLOOKUP(L2735,[2]analyte_order!$C:$C,[2]analyte_order!$E:$E)</f>
        <v>24</v>
      </c>
      <c r="N2735">
        <v>21.3</v>
      </c>
    </row>
    <row r="2736" spans="1:14">
      <c r="A2736" t="s">
        <v>193</v>
      </c>
      <c r="B2736" t="str">
        <f>_xlfn.XLOOKUP(A2736,'[1]Tissue Data'!$A:$A,'[1]Tissue Data'!$C:$C)</f>
        <v>Spill</v>
      </c>
      <c r="C2736" s="2">
        <f>_xlfn.XLOOKUP(A2736,'[1]Tissue Data'!$A:$A,'[1]Tissue Data'!$D:$D)</f>
        <v>44314</v>
      </c>
      <c r="D2736" s="2" t="str">
        <f>_xlfn.XLOOKUP(A2736,'[1]Tissue Data'!$A:$A,'[1]Tissue Data'!$F:$F)</f>
        <v>Swallowtail Shiner</v>
      </c>
      <c r="E2736" t="str">
        <f>_xlfn.XLOOKUP(A2736,'[1]Tissue Data'!$A:$A,'[1]Tissue Data'!$H:$H)</f>
        <v>Notropis</v>
      </c>
      <c r="F2736" t="str">
        <f>_xlfn.XLOOKUP(A2736,'[1]Tissue Data'!$A:$A,'[1]Tissue Data'!$I:$I)</f>
        <v>procne</v>
      </c>
      <c r="G2736" t="str">
        <f>_xlfn.XLOOKUP(A2736,'[1]Tissue Data'!$A:$A,'[1]Tissue Data'!J:J)</f>
        <v>U</v>
      </c>
      <c r="H2736" t="str">
        <f>_xlfn.XLOOKUP(A2736,'[1]Tissue Data'!$A:$A,'[1]Tissue Data'!K:K)</f>
        <v>Whole Body</v>
      </c>
      <c r="I2736">
        <f>_xlfn.XLOOKUP(A2736,'[1]Tissue Data'!$A:$A,'[1]Tissue Data'!L:L)</f>
        <v>5.25</v>
      </c>
      <c r="J2736">
        <f>_xlfn.XLOOKUP(A2736,'[1]Tissue Data'!$A:$A,'[1]Tissue Data'!M:M)</f>
        <v>2.4500000000000002</v>
      </c>
      <c r="K2736" t="s">
        <v>46</v>
      </c>
      <c r="L2736" t="str">
        <f>_xlfn.XLOOKUP(K2736,[2]analyte_order!$B:$B,[2]analyte_order!$C:$C)</f>
        <v>120226-60-0</v>
      </c>
      <c r="M2736">
        <f>_xlfn.XLOOKUP(L2736,[2]analyte_order!$C:$C,[2]analyte_order!$E:$E)</f>
        <v>25</v>
      </c>
      <c r="N2736">
        <v>0.255</v>
      </c>
    </row>
    <row r="2737" spans="1:14">
      <c r="A2737" t="s">
        <v>193</v>
      </c>
      <c r="B2737" t="str">
        <f>_xlfn.XLOOKUP(A2737,'[1]Tissue Data'!$A:$A,'[1]Tissue Data'!$C:$C)</f>
        <v>Spill</v>
      </c>
      <c r="C2737" s="2">
        <f>_xlfn.XLOOKUP(A2737,'[1]Tissue Data'!$A:$A,'[1]Tissue Data'!$D:$D)</f>
        <v>44314</v>
      </c>
      <c r="D2737" s="2" t="str">
        <f>_xlfn.XLOOKUP(A2737,'[1]Tissue Data'!$A:$A,'[1]Tissue Data'!$F:$F)</f>
        <v>Swallowtail Shiner</v>
      </c>
      <c r="E2737" t="str">
        <f>_xlfn.XLOOKUP(A2737,'[1]Tissue Data'!$A:$A,'[1]Tissue Data'!$H:$H)</f>
        <v>Notropis</v>
      </c>
      <c r="F2737" t="str">
        <f>_xlfn.XLOOKUP(A2737,'[1]Tissue Data'!$A:$A,'[1]Tissue Data'!$I:$I)</f>
        <v>procne</v>
      </c>
      <c r="G2737" t="str">
        <f>_xlfn.XLOOKUP(A2737,'[1]Tissue Data'!$A:$A,'[1]Tissue Data'!J:J)</f>
        <v>U</v>
      </c>
      <c r="H2737" t="str">
        <f>_xlfn.XLOOKUP(A2737,'[1]Tissue Data'!$A:$A,'[1]Tissue Data'!K:K)</f>
        <v>Whole Body</v>
      </c>
      <c r="I2737">
        <f>_xlfn.XLOOKUP(A2737,'[1]Tissue Data'!$A:$A,'[1]Tissue Data'!L:L)</f>
        <v>5.25</v>
      </c>
      <c r="J2737">
        <f>_xlfn.XLOOKUP(A2737,'[1]Tissue Data'!$A:$A,'[1]Tissue Data'!M:M)</f>
        <v>2.4500000000000002</v>
      </c>
      <c r="K2737" t="s">
        <v>47</v>
      </c>
      <c r="L2737" t="str">
        <f>_xlfn.XLOOKUP(K2737,[2]analyte_order!$B:$B,[2]analyte_order!$C:$C)</f>
        <v>356-02-5</v>
      </c>
      <c r="M2737">
        <f>_xlfn.XLOOKUP(L2737,[2]analyte_order!$C:$C,[2]analyte_order!$E:$E)</f>
        <v>38</v>
      </c>
      <c r="N2737">
        <v>7.85E-2</v>
      </c>
    </row>
    <row r="2738" spans="1:14">
      <c r="A2738" t="s">
        <v>193</v>
      </c>
      <c r="B2738" t="str">
        <f>_xlfn.XLOOKUP(A2738,'[1]Tissue Data'!$A:$A,'[1]Tissue Data'!$C:$C)</f>
        <v>Spill</v>
      </c>
      <c r="C2738" s="2">
        <f>_xlfn.XLOOKUP(A2738,'[1]Tissue Data'!$A:$A,'[1]Tissue Data'!$D:$D)</f>
        <v>44314</v>
      </c>
      <c r="D2738" s="2" t="str">
        <f>_xlfn.XLOOKUP(A2738,'[1]Tissue Data'!$A:$A,'[1]Tissue Data'!$F:$F)</f>
        <v>Swallowtail Shiner</v>
      </c>
      <c r="E2738" t="str">
        <f>_xlfn.XLOOKUP(A2738,'[1]Tissue Data'!$A:$A,'[1]Tissue Data'!$H:$H)</f>
        <v>Notropis</v>
      </c>
      <c r="F2738" t="str">
        <f>_xlfn.XLOOKUP(A2738,'[1]Tissue Data'!$A:$A,'[1]Tissue Data'!$I:$I)</f>
        <v>procne</v>
      </c>
      <c r="G2738" t="str">
        <f>_xlfn.XLOOKUP(A2738,'[1]Tissue Data'!$A:$A,'[1]Tissue Data'!J:J)</f>
        <v>U</v>
      </c>
      <c r="H2738" t="str">
        <f>_xlfn.XLOOKUP(A2738,'[1]Tissue Data'!$A:$A,'[1]Tissue Data'!K:K)</f>
        <v>Whole Body</v>
      </c>
      <c r="I2738">
        <f>_xlfn.XLOOKUP(A2738,'[1]Tissue Data'!$A:$A,'[1]Tissue Data'!L:L)</f>
        <v>5.25</v>
      </c>
      <c r="J2738">
        <f>_xlfn.XLOOKUP(A2738,'[1]Tissue Data'!$A:$A,'[1]Tissue Data'!M:M)</f>
        <v>2.4500000000000002</v>
      </c>
      <c r="K2738" t="s">
        <v>48</v>
      </c>
      <c r="L2738" t="str">
        <f>_xlfn.XLOOKUP(K2738,[2]analyte_order!$B:$B,[2]analyte_order!$C:$C)</f>
        <v>914637-49-3</v>
      </c>
      <c r="M2738">
        <f>_xlfn.XLOOKUP(L2738,[2]analyte_order!$C:$C,[2]analyte_order!$E:$E)</f>
        <v>39</v>
      </c>
      <c r="N2738">
        <v>1.7</v>
      </c>
    </row>
    <row r="2739" spans="1:14">
      <c r="A2739" t="s">
        <v>193</v>
      </c>
      <c r="B2739" t="str">
        <f>_xlfn.XLOOKUP(A2739,'[1]Tissue Data'!$A:$A,'[1]Tissue Data'!$C:$C)</f>
        <v>Spill</v>
      </c>
      <c r="C2739" s="2">
        <f>_xlfn.XLOOKUP(A2739,'[1]Tissue Data'!$A:$A,'[1]Tissue Data'!$D:$D)</f>
        <v>44314</v>
      </c>
      <c r="D2739" s="2" t="str">
        <f>_xlfn.XLOOKUP(A2739,'[1]Tissue Data'!$A:$A,'[1]Tissue Data'!$F:$F)</f>
        <v>Swallowtail Shiner</v>
      </c>
      <c r="E2739" t="str">
        <f>_xlfn.XLOOKUP(A2739,'[1]Tissue Data'!$A:$A,'[1]Tissue Data'!$H:$H)</f>
        <v>Notropis</v>
      </c>
      <c r="F2739" t="str">
        <f>_xlfn.XLOOKUP(A2739,'[1]Tissue Data'!$A:$A,'[1]Tissue Data'!$I:$I)</f>
        <v>procne</v>
      </c>
      <c r="G2739" t="str">
        <f>_xlfn.XLOOKUP(A2739,'[1]Tissue Data'!$A:$A,'[1]Tissue Data'!J:J)</f>
        <v>U</v>
      </c>
      <c r="H2739" t="str">
        <f>_xlfn.XLOOKUP(A2739,'[1]Tissue Data'!$A:$A,'[1]Tissue Data'!K:K)</f>
        <v>Whole Body</v>
      </c>
      <c r="I2739">
        <f>_xlfn.XLOOKUP(A2739,'[1]Tissue Data'!$A:$A,'[1]Tissue Data'!L:L)</f>
        <v>5.25</v>
      </c>
      <c r="J2739">
        <f>_xlfn.XLOOKUP(A2739,'[1]Tissue Data'!$A:$A,'[1]Tissue Data'!M:M)</f>
        <v>2.4500000000000002</v>
      </c>
      <c r="K2739" t="s">
        <v>49</v>
      </c>
      <c r="L2739" t="str">
        <f>_xlfn.XLOOKUP(K2739,[2]analyte_order!$B:$B,[2]analyte_order!$C:$C)</f>
        <v>812-70-4</v>
      </c>
      <c r="M2739">
        <f>_xlfn.XLOOKUP(L2739,[2]analyte_order!$C:$C,[2]analyte_order!$E:$E)</f>
        <v>40</v>
      </c>
      <c r="N2739">
        <v>11.6</v>
      </c>
    </row>
    <row r="2740" spans="1:14">
      <c r="A2740" t="s">
        <v>193</v>
      </c>
      <c r="B2740" t="str">
        <f>_xlfn.XLOOKUP(A2740,'[1]Tissue Data'!$A:$A,'[1]Tissue Data'!$C:$C)</f>
        <v>Spill</v>
      </c>
      <c r="C2740" s="2">
        <f>_xlfn.XLOOKUP(A2740,'[1]Tissue Data'!$A:$A,'[1]Tissue Data'!$D:$D)</f>
        <v>44314</v>
      </c>
      <c r="D2740" s="2" t="str">
        <f>_xlfn.XLOOKUP(A2740,'[1]Tissue Data'!$A:$A,'[1]Tissue Data'!$F:$F)</f>
        <v>Swallowtail Shiner</v>
      </c>
      <c r="E2740" t="str">
        <f>_xlfn.XLOOKUP(A2740,'[1]Tissue Data'!$A:$A,'[1]Tissue Data'!$H:$H)</f>
        <v>Notropis</v>
      </c>
      <c r="F2740" t="str">
        <f>_xlfn.XLOOKUP(A2740,'[1]Tissue Data'!$A:$A,'[1]Tissue Data'!$I:$I)</f>
        <v>procne</v>
      </c>
      <c r="G2740" t="str">
        <f>_xlfn.XLOOKUP(A2740,'[1]Tissue Data'!$A:$A,'[1]Tissue Data'!J:J)</f>
        <v>U</v>
      </c>
      <c r="H2740" t="str">
        <f>_xlfn.XLOOKUP(A2740,'[1]Tissue Data'!$A:$A,'[1]Tissue Data'!K:K)</f>
        <v>Whole Body</v>
      </c>
      <c r="I2740">
        <f>_xlfn.XLOOKUP(A2740,'[1]Tissue Data'!$A:$A,'[1]Tissue Data'!L:L)</f>
        <v>5.25</v>
      </c>
      <c r="J2740">
        <f>_xlfn.XLOOKUP(A2740,'[1]Tissue Data'!$A:$A,'[1]Tissue Data'!M:M)</f>
        <v>2.4500000000000002</v>
      </c>
      <c r="K2740" t="s">
        <v>50</v>
      </c>
      <c r="L2740" t="str">
        <f>_xlfn.XLOOKUP(K2740,[2]analyte_order!$B:$B,[2]analyte_order!$C:$C)</f>
        <v>53826-12-3</v>
      </c>
      <c r="M2740">
        <f>_xlfn.XLOOKUP(L2740,[2]analyte_order!$C:$C,[2]analyte_order!$E:$E)</f>
        <v>41</v>
      </c>
      <c r="N2740">
        <v>4.3650000000000001E-2</v>
      </c>
    </row>
    <row r="2741" spans="1:14">
      <c r="A2741" t="s">
        <v>193</v>
      </c>
      <c r="B2741" t="str">
        <f>_xlfn.XLOOKUP(A2741,'[1]Tissue Data'!$A:$A,'[1]Tissue Data'!$C:$C)</f>
        <v>Spill</v>
      </c>
      <c r="C2741" s="2">
        <f>_xlfn.XLOOKUP(A2741,'[1]Tissue Data'!$A:$A,'[1]Tissue Data'!$D:$D)</f>
        <v>44314</v>
      </c>
      <c r="D2741" s="2" t="str">
        <f>_xlfn.XLOOKUP(A2741,'[1]Tissue Data'!$A:$A,'[1]Tissue Data'!$F:$F)</f>
        <v>Swallowtail Shiner</v>
      </c>
      <c r="E2741" t="str">
        <f>_xlfn.XLOOKUP(A2741,'[1]Tissue Data'!$A:$A,'[1]Tissue Data'!$H:$H)</f>
        <v>Notropis</v>
      </c>
      <c r="F2741" t="str">
        <f>_xlfn.XLOOKUP(A2741,'[1]Tissue Data'!$A:$A,'[1]Tissue Data'!$I:$I)</f>
        <v>procne</v>
      </c>
      <c r="G2741" t="str">
        <f>_xlfn.XLOOKUP(A2741,'[1]Tissue Data'!$A:$A,'[1]Tissue Data'!J:J)</f>
        <v>U</v>
      </c>
      <c r="H2741" t="str">
        <f>_xlfn.XLOOKUP(A2741,'[1]Tissue Data'!$A:$A,'[1]Tissue Data'!K:K)</f>
        <v>Whole Body</v>
      </c>
      <c r="I2741">
        <f>_xlfn.XLOOKUP(A2741,'[1]Tissue Data'!$A:$A,'[1]Tissue Data'!L:L)</f>
        <v>5.25</v>
      </c>
      <c r="J2741">
        <f>_xlfn.XLOOKUP(A2741,'[1]Tissue Data'!$A:$A,'[1]Tissue Data'!M:M)</f>
        <v>2.4500000000000002</v>
      </c>
      <c r="K2741" t="s">
        <v>51</v>
      </c>
      <c r="L2741" t="str">
        <f>_xlfn.XLOOKUP(K2741,[2]analyte_order!$B:$B,[2]analyte_order!$C:$C)</f>
        <v>27854-31-5</v>
      </c>
      <c r="M2741">
        <f>_xlfn.XLOOKUP(L2741,[2]analyte_order!$C:$C,[2]analyte_order!$E:$E)</f>
        <v>42</v>
      </c>
      <c r="N2741">
        <v>2.7099999999999999E-2</v>
      </c>
    </row>
    <row r="2742" spans="1:14">
      <c r="A2742" t="s">
        <v>193</v>
      </c>
      <c r="B2742" t="str">
        <f>_xlfn.XLOOKUP(A2742,'[1]Tissue Data'!$A:$A,'[1]Tissue Data'!$C:$C)</f>
        <v>Spill</v>
      </c>
      <c r="C2742" s="2">
        <f>_xlfn.XLOOKUP(A2742,'[1]Tissue Data'!$A:$A,'[1]Tissue Data'!$D:$D)</f>
        <v>44314</v>
      </c>
      <c r="D2742" s="2" t="str">
        <f>_xlfn.XLOOKUP(A2742,'[1]Tissue Data'!$A:$A,'[1]Tissue Data'!$F:$F)</f>
        <v>Swallowtail Shiner</v>
      </c>
      <c r="E2742" t="str">
        <f>_xlfn.XLOOKUP(A2742,'[1]Tissue Data'!$A:$A,'[1]Tissue Data'!$H:$H)</f>
        <v>Notropis</v>
      </c>
      <c r="F2742" t="str">
        <f>_xlfn.XLOOKUP(A2742,'[1]Tissue Data'!$A:$A,'[1]Tissue Data'!$I:$I)</f>
        <v>procne</v>
      </c>
      <c r="G2742" t="str">
        <f>_xlfn.XLOOKUP(A2742,'[1]Tissue Data'!$A:$A,'[1]Tissue Data'!J:J)</f>
        <v>U</v>
      </c>
      <c r="H2742" t="str">
        <f>_xlfn.XLOOKUP(A2742,'[1]Tissue Data'!$A:$A,'[1]Tissue Data'!K:K)</f>
        <v>Whole Body</v>
      </c>
      <c r="I2742">
        <f>_xlfn.XLOOKUP(A2742,'[1]Tissue Data'!$A:$A,'[1]Tissue Data'!L:L)</f>
        <v>5.25</v>
      </c>
      <c r="J2742">
        <f>_xlfn.XLOOKUP(A2742,'[1]Tissue Data'!$A:$A,'[1]Tissue Data'!M:M)</f>
        <v>2.4500000000000002</v>
      </c>
      <c r="K2742" t="s">
        <v>52</v>
      </c>
      <c r="L2742" t="str">
        <f>_xlfn.XLOOKUP(K2742,[2]analyte_order!$B:$B,[2]analyte_order!$C:$C)</f>
        <v>53826-13-4</v>
      </c>
      <c r="M2742">
        <f>_xlfn.XLOOKUP(L2742,[2]analyte_order!$C:$C,[2]analyte_order!$E:$E)</f>
        <v>43</v>
      </c>
      <c r="N2742">
        <v>0.10150000000000001</v>
      </c>
    </row>
    <row r="2743" spans="1:14">
      <c r="A2743" t="s">
        <v>193</v>
      </c>
      <c r="B2743" t="str">
        <f>_xlfn.XLOOKUP(A2743,'[1]Tissue Data'!$A:$A,'[1]Tissue Data'!$C:$C)</f>
        <v>Spill</v>
      </c>
      <c r="C2743" s="2">
        <f>_xlfn.XLOOKUP(A2743,'[1]Tissue Data'!$A:$A,'[1]Tissue Data'!$D:$D)</f>
        <v>44314</v>
      </c>
      <c r="D2743" s="2" t="str">
        <f>_xlfn.XLOOKUP(A2743,'[1]Tissue Data'!$A:$A,'[1]Tissue Data'!$F:$F)</f>
        <v>Swallowtail Shiner</v>
      </c>
      <c r="E2743" t="str">
        <f>_xlfn.XLOOKUP(A2743,'[1]Tissue Data'!$A:$A,'[1]Tissue Data'!$H:$H)</f>
        <v>Notropis</v>
      </c>
      <c r="F2743" t="str">
        <f>_xlfn.XLOOKUP(A2743,'[1]Tissue Data'!$A:$A,'[1]Tissue Data'!$I:$I)</f>
        <v>procne</v>
      </c>
      <c r="G2743" t="str">
        <f>_xlfn.XLOOKUP(A2743,'[1]Tissue Data'!$A:$A,'[1]Tissue Data'!J:J)</f>
        <v>U</v>
      </c>
      <c r="H2743" t="str">
        <f>_xlfn.XLOOKUP(A2743,'[1]Tissue Data'!$A:$A,'[1]Tissue Data'!K:K)</f>
        <v>Whole Body</v>
      </c>
      <c r="I2743">
        <f>_xlfn.XLOOKUP(A2743,'[1]Tissue Data'!$A:$A,'[1]Tissue Data'!L:L)</f>
        <v>5.25</v>
      </c>
      <c r="J2743">
        <f>_xlfn.XLOOKUP(A2743,'[1]Tissue Data'!$A:$A,'[1]Tissue Data'!M:M)</f>
        <v>2.4500000000000002</v>
      </c>
      <c r="K2743" t="s">
        <v>53</v>
      </c>
      <c r="L2743" t="str">
        <f>_xlfn.XLOOKUP(K2743,[2]analyte_order!$B:$B,[2]analyte_order!$C:$C)</f>
        <v>161094-75-3</v>
      </c>
      <c r="M2743">
        <f>_xlfn.XLOOKUP(L2743,[2]analyte_order!$C:$C,[2]analyte_order!$E:$E)</f>
        <v>44</v>
      </c>
      <c r="N2743">
        <v>5.3499999999999999E-2</v>
      </c>
    </row>
    <row r="2744" spans="1:14">
      <c r="A2744" t="s">
        <v>193</v>
      </c>
      <c r="B2744" t="str">
        <f>_xlfn.XLOOKUP(A2744,'[1]Tissue Data'!$A:$A,'[1]Tissue Data'!$C:$C)</f>
        <v>Spill</v>
      </c>
      <c r="C2744" s="2">
        <f>_xlfn.XLOOKUP(A2744,'[1]Tissue Data'!$A:$A,'[1]Tissue Data'!$D:$D)</f>
        <v>44314</v>
      </c>
      <c r="D2744" s="2" t="str">
        <f>_xlfn.XLOOKUP(A2744,'[1]Tissue Data'!$A:$A,'[1]Tissue Data'!$F:$F)</f>
        <v>Swallowtail Shiner</v>
      </c>
      <c r="E2744" t="str">
        <f>_xlfn.XLOOKUP(A2744,'[1]Tissue Data'!$A:$A,'[1]Tissue Data'!$H:$H)</f>
        <v>Notropis</v>
      </c>
      <c r="F2744" t="str">
        <f>_xlfn.XLOOKUP(A2744,'[1]Tissue Data'!$A:$A,'[1]Tissue Data'!$I:$I)</f>
        <v>procne</v>
      </c>
      <c r="G2744" t="str">
        <f>_xlfn.XLOOKUP(A2744,'[1]Tissue Data'!$A:$A,'[1]Tissue Data'!J:J)</f>
        <v>U</v>
      </c>
      <c r="H2744" t="str">
        <f>_xlfn.XLOOKUP(A2744,'[1]Tissue Data'!$A:$A,'[1]Tissue Data'!K:K)</f>
        <v>Whole Body</v>
      </c>
      <c r="I2744">
        <f>_xlfn.XLOOKUP(A2744,'[1]Tissue Data'!$A:$A,'[1]Tissue Data'!L:L)</f>
        <v>5.25</v>
      </c>
      <c r="J2744">
        <f>_xlfn.XLOOKUP(A2744,'[1]Tissue Data'!$A:$A,'[1]Tissue Data'!M:M)</f>
        <v>2.4500000000000002</v>
      </c>
      <c r="K2744" t="s">
        <v>54</v>
      </c>
      <c r="L2744" t="str">
        <f>_xlfn.XLOOKUP(K2744,[2]analyte_order!$B:$B,[2]analyte_order!$C:$C)</f>
        <v>70887-84-2</v>
      </c>
      <c r="M2744">
        <f>_xlfn.XLOOKUP(L2744,[2]analyte_order!$C:$C,[2]analyte_order!$E:$E)</f>
        <v>45</v>
      </c>
      <c r="N2744">
        <v>4.1050000000000003E-2</v>
      </c>
    </row>
    <row r="2745" spans="1:14">
      <c r="A2745" t="s">
        <v>193</v>
      </c>
      <c r="B2745" t="str">
        <f>_xlfn.XLOOKUP(A2745,'[1]Tissue Data'!$A:$A,'[1]Tissue Data'!$C:$C)</f>
        <v>Spill</v>
      </c>
      <c r="C2745" s="2">
        <f>_xlfn.XLOOKUP(A2745,'[1]Tissue Data'!$A:$A,'[1]Tissue Data'!$D:$D)</f>
        <v>44314</v>
      </c>
      <c r="D2745" s="2" t="str">
        <f>_xlfn.XLOOKUP(A2745,'[1]Tissue Data'!$A:$A,'[1]Tissue Data'!$F:$F)</f>
        <v>Swallowtail Shiner</v>
      </c>
      <c r="E2745" t="str">
        <f>_xlfn.XLOOKUP(A2745,'[1]Tissue Data'!$A:$A,'[1]Tissue Data'!$H:$H)</f>
        <v>Notropis</v>
      </c>
      <c r="F2745" t="str">
        <f>_xlfn.XLOOKUP(A2745,'[1]Tissue Data'!$A:$A,'[1]Tissue Data'!$I:$I)</f>
        <v>procne</v>
      </c>
      <c r="G2745" t="str">
        <f>_xlfn.XLOOKUP(A2745,'[1]Tissue Data'!$A:$A,'[1]Tissue Data'!J:J)</f>
        <v>U</v>
      </c>
      <c r="H2745" t="str">
        <f>_xlfn.XLOOKUP(A2745,'[1]Tissue Data'!$A:$A,'[1]Tissue Data'!K:K)</f>
        <v>Whole Body</v>
      </c>
      <c r="I2745">
        <f>_xlfn.XLOOKUP(A2745,'[1]Tissue Data'!$A:$A,'[1]Tissue Data'!L:L)</f>
        <v>5.25</v>
      </c>
      <c r="J2745">
        <f>_xlfn.XLOOKUP(A2745,'[1]Tissue Data'!$A:$A,'[1]Tissue Data'!M:M)</f>
        <v>2.4500000000000002</v>
      </c>
      <c r="K2745" t="s">
        <v>55</v>
      </c>
      <c r="L2745" t="str">
        <f>_xlfn.XLOOKUP(K2745,[2]analyte_order!$B:$B,[2]analyte_order!$C:$C)</f>
        <v>919005-14-4</v>
      </c>
      <c r="M2745">
        <f>_xlfn.XLOOKUP(L2745,[2]analyte_order!$C:$C,[2]analyte_order!$E:$E)</f>
        <v>35</v>
      </c>
      <c r="N2745">
        <v>6.8000000000000005E-2</v>
      </c>
    </row>
    <row r="2746" spans="1:14">
      <c r="A2746" t="s">
        <v>193</v>
      </c>
      <c r="B2746" t="str">
        <f>_xlfn.XLOOKUP(A2746,'[1]Tissue Data'!$A:$A,'[1]Tissue Data'!$C:$C)</f>
        <v>Spill</v>
      </c>
      <c r="C2746" s="2">
        <f>_xlfn.XLOOKUP(A2746,'[1]Tissue Data'!$A:$A,'[1]Tissue Data'!$D:$D)</f>
        <v>44314</v>
      </c>
      <c r="D2746" s="2" t="str">
        <f>_xlfn.XLOOKUP(A2746,'[1]Tissue Data'!$A:$A,'[1]Tissue Data'!$F:$F)</f>
        <v>Swallowtail Shiner</v>
      </c>
      <c r="E2746" t="str">
        <f>_xlfn.XLOOKUP(A2746,'[1]Tissue Data'!$A:$A,'[1]Tissue Data'!$H:$H)</f>
        <v>Notropis</v>
      </c>
      <c r="F2746" t="str">
        <f>_xlfn.XLOOKUP(A2746,'[1]Tissue Data'!$A:$A,'[1]Tissue Data'!$I:$I)</f>
        <v>procne</v>
      </c>
      <c r="G2746" t="str">
        <f>_xlfn.XLOOKUP(A2746,'[1]Tissue Data'!$A:$A,'[1]Tissue Data'!J:J)</f>
        <v>U</v>
      </c>
      <c r="H2746" t="str">
        <f>_xlfn.XLOOKUP(A2746,'[1]Tissue Data'!$A:$A,'[1]Tissue Data'!K:K)</f>
        <v>Whole Body</v>
      </c>
      <c r="I2746">
        <f>_xlfn.XLOOKUP(A2746,'[1]Tissue Data'!$A:$A,'[1]Tissue Data'!L:L)</f>
        <v>5.25</v>
      </c>
      <c r="J2746">
        <f>_xlfn.XLOOKUP(A2746,'[1]Tissue Data'!$A:$A,'[1]Tissue Data'!M:M)</f>
        <v>2.4500000000000002</v>
      </c>
      <c r="K2746" t="s">
        <v>56</v>
      </c>
      <c r="L2746" t="str">
        <f>_xlfn.XLOOKUP(K2746,[2]analyte_order!$B:$B,[2]analyte_order!$C:$C)</f>
        <v>756426-58-1</v>
      </c>
      <c r="M2746">
        <f>_xlfn.XLOOKUP(L2746,[2]analyte_order!$C:$C,[2]analyte_order!$E:$E)</f>
        <v>36</v>
      </c>
      <c r="N2746">
        <v>4.7100000000000003E-2</v>
      </c>
    </row>
    <row r="2747" spans="1:14">
      <c r="A2747" t="s">
        <v>193</v>
      </c>
      <c r="B2747" t="str">
        <f>_xlfn.XLOOKUP(A2747,'[1]Tissue Data'!$A:$A,'[1]Tissue Data'!$C:$C)</f>
        <v>Spill</v>
      </c>
      <c r="C2747" s="2">
        <f>_xlfn.XLOOKUP(A2747,'[1]Tissue Data'!$A:$A,'[1]Tissue Data'!$D:$D)</f>
        <v>44314</v>
      </c>
      <c r="D2747" s="2" t="str">
        <f>_xlfn.XLOOKUP(A2747,'[1]Tissue Data'!$A:$A,'[1]Tissue Data'!$F:$F)</f>
        <v>Swallowtail Shiner</v>
      </c>
      <c r="E2747" t="str">
        <f>_xlfn.XLOOKUP(A2747,'[1]Tissue Data'!$A:$A,'[1]Tissue Data'!$H:$H)</f>
        <v>Notropis</v>
      </c>
      <c r="F2747" t="str">
        <f>_xlfn.XLOOKUP(A2747,'[1]Tissue Data'!$A:$A,'[1]Tissue Data'!$I:$I)</f>
        <v>procne</v>
      </c>
      <c r="G2747" t="str">
        <f>_xlfn.XLOOKUP(A2747,'[1]Tissue Data'!$A:$A,'[1]Tissue Data'!J:J)</f>
        <v>U</v>
      </c>
      <c r="H2747" t="str">
        <f>_xlfn.XLOOKUP(A2747,'[1]Tissue Data'!$A:$A,'[1]Tissue Data'!K:K)</f>
        <v>Whole Body</v>
      </c>
      <c r="I2747">
        <f>_xlfn.XLOOKUP(A2747,'[1]Tissue Data'!$A:$A,'[1]Tissue Data'!L:L)</f>
        <v>5.25</v>
      </c>
      <c r="J2747">
        <f>_xlfn.XLOOKUP(A2747,'[1]Tissue Data'!$A:$A,'[1]Tissue Data'!M:M)</f>
        <v>2.4500000000000002</v>
      </c>
      <c r="K2747" t="s">
        <v>57</v>
      </c>
      <c r="L2747" t="str">
        <f>_xlfn.XLOOKUP(K2747,[2]analyte_order!$B:$B,[2]analyte_order!$C:$C)</f>
        <v>763051-92-9</v>
      </c>
      <c r="M2747">
        <f>_xlfn.XLOOKUP(L2747,[2]analyte_order!$C:$C,[2]analyte_order!$E:$E)</f>
        <v>37</v>
      </c>
      <c r="N2747">
        <v>5.3499999999999999E-2</v>
      </c>
    </row>
    <row r="2748" spans="1:14">
      <c r="A2748" t="s">
        <v>193</v>
      </c>
      <c r="B2748" t="str">
        <f>_xlfn.XLOOKUP(A2748,'[1]Tissue Data'!$A:$A,'[1]Tissue Data'!$C:$C)</f>
        <v>Spill</v>
      </c>
      <c r="C2748" s="2">
        <f>_xlfn.XLOOKUP(A2748,'[1]Tissue Data'!$A:$A,'[1]Tissue Data'!$D:$D)</f>
        <v>44314</v>
      </c>
      <c r="D2748" s="2" t="str">
        <f>_xlfn.XLOOKUP(A2748,'[1]Tissue Data'!$A:$A,'[1]Tissue Data'!$F:$F)</f>
        <v>Swallowtail Shiner</v>
      </c>
      <c r="E2748" t="str">
        <f>_xlfn.XLOOKUP(A2748,'[1]Tissue Data'!$A:$A,'[1]Tissue Data'!$H:$H)</f>
        <v>Notropis</v>
      </c>
      <c r="F2748" t="str">
        <f>_xlfn.XLOOKUP(A2748,'[1]Tissue Data'!$A:$A,'[1]Tissue Data'!$I:$I)</f>
        <v>procne</v>
      </c>
      <c r="G2748" t="str">
        <f>_xlfn.XLOOKUP(A2748,'[1]Tissue Data'!$A:$A,'[1]Tissue Data'!J:J)</f>
        <v>U</v>
      </c>
      <c r="H2748" t="str">
        <f>_xlfn.XLOOKUP(A2748,'[1]Tissue Data'!$A:$A,'[1]Tissue Data'!K:K)</f>
        <v>Whole Body</v>
      </c>
      <c r="I2748">
        <f>_xlfn.XLOOKUP(A2748,'[1]Tissue Data'!$A:$A,'[1]Tissue Data'!L:L)</f>
        <v>5.25</v>
      </c>
      <c r="J2748">
        <f>_xlfn.XLOOKUP(A2748,'[1]Tissue Data'!$A:$A,'[1]Tissue Data'!M:M)</f>
        <v>2.4500000000000002</v>
      </c>
      <c r="K2748" t="s">
        <v>58</v>
      </c>
      <c r="L2748" t="str">
        <f>_xlfn.XLOOKUP(K2748,[2]analyte_order!$B:$B,[2]analyte_order!$C:$C)</f>
        <v>13252-13-6</v>
      </c>
      <c r="M2748">
        <f>_xlfn.XLOOKUP(L2748,[2]analyte_order!$C:$C,[2]analyte_order!$E:$E)</f>
        <v>34</v>
      </c>
      <c r="N2748">
        <v>9.7500000000000003E-2</v>
      </c>
    </row>
    <row r="2749" spans="1:14">
      <c r="A2749" t="s">
        <v>193</v>
      </c>
      <c r="B2749" t="str">
        <f>_xlfn.XLOOKUP(A2749,'[1]Tissue Data'!$A:$A,'[1]Tissue Data'!$C:$C)</f>
        <v>Spill</v>
      </c>
      <c r="C2749" s="2">
        <f>_xlfn.XLOOKUP(A2749,'[1]Tissue Data'!$A:$A,'[1]Tissue Data'!$D:$D)</f>
        <v>44314</v>
      </c>
      <c r="D2749" s="2" t="str">
        <f>_xlfn.XLOOKUP(A2749,'[1]Tissue Data'!$A:$A,'[1]Tissue Data'!$F:$F)</f>
        <v>Swallowtail Shiner</v>
      </c>
      <c r="E2749" t="str">
        <f>_xlfn.XLOOKUP(A2749,'[1]Tissue Data'!$A:$A,'[1]Tissue Data'!$H:$H)</f>
        <v>Notropis</v>
      </c>
      <c r="F2749" t="str">
        <f>_xlfn.XLOOKUP(A2749,'[1]Tissue Data'!$A:$A,'[1]Tissue Data'!$I:$I)</f>
        <v>procne</v>
      </c>
      <c r="G2749" t="str">
        <f>_xlfn.XLOOKUP(A2749,'[1]Tissue Data'!$A:$A,'[1]Tissue Data'!J:J)</f>
        <v>U</v>
      </c>
      <c r="H2749" t="str">
        <f>_xlfn.XLOOKUP(A2749,'[1]Tissue Data'!$A:$A,'[1]Tissue Data'!K:K)</f>
        <v>Whole Body</v>
      </c>
      <c r="I2749">
        <f>_xlfn.XLOOKUP(A2749,'[1]Tissue Data'!$A:$A,'[1]Tissue Data'!L:L)</f>
        <v>5.25</v>
      </c>
      <c r="J2749">
        <f>_xlfn.XLOOKUP(A2749,'[1]Tissue Data'!$A:$A,'[1]Tissue Data'!M:M)</f>
        <v>2.4500000000000002</v>
      </c>
      <c r="K2749" t="s">
        <v>59</v>
      </c>
      <c r="L2749" t="str">
        <f>_xlfn.XLOOKUP(K2749,[2]analyte_order!$B:$B,[2]analyte_order!$C:$C)</f>
        <v>57677-95-9</v>
      </c>
      <c r="M2749">
        <f>_xlfn.XLOOKUP(L2749,[2]analyte_order!$C:$C,[2]analyte_order!$E:$E)</f>
        <v>46</v>
      </c>
      <c r="N2749">
        <v>7.2499999999999995E-2</v>
      </c>
    </row>
    <row r="2750" spans="1:14">
      <c r="A2750" t="s">
        <v>193</v>
      </c>
      <c r="B2750" t="str">
        <f>_xlfn.XLOOKUP(A2750,'[1]Tissue Data'!$A:$A,'[1]Tissue Data'!$C:$C)</f>
        <v>Spill</v>
      </c>
      <c r="C2750" s="2">
        <f>_xlfn.XLOOKUP(A2750,'[1]Tissue Data'!$A:$A,'[1]Tissue Data'!$D:$D)</f>
        <v>44314</v>
      </c>
      <c r="D2750" s="2" t="str">
        <f>_xlfn.XLOOKUP(A2750,'[1]Tissue Data'!$A:$A,'[1]Tissue Data'!$F:$F)</f>
        <v>Swallowtail Shiner</v>
      </c>
      <c r="E2750" t="str">
        <f>_xlfn.XLOOKUP(A2750,'[1]Tissue Data'!$A:$A,'[1]Tissue Data'!$H:$H)</f>
        <v>Notropis</v>
      </c>
      <c r="F2750" t="str">
        <f>_xlfn.XLOOKUP(A2750,'[1]Tissue Data'!$A:$A,'[1]Tissue Data'!$I:$I)</f>
        <v>procne</v>
      </c>
      <c r="G2750" t="str">
        <f>_xlfn.XLOOKUP(A2750,'[1]Tissue Data'!$A:$A,'[1]Tissue Data'!J:J)</f>
        <v>U</v>
      </c>
      <c r="H2750" t="str">
        <f>_xlfn.XLOOKUP(A2750,'[1]Tissue Data'!$A:$A,'[1]Tissue Data'!K:K)</f>
        <v>Whole Body</v>
      </c>
      <c r="I2750">
        <f>_xlfn.XLOOKUP(A2750,'[1]Tissue Data'!$A:$A,'[1]Tissue Data'!L:L)</f>
        <v>5.25</v>
      </c>
      <c r="J2750">
        <f>_xlfn.XLOOKUP(A2750,'[1]Tissue Data'!$A:$A,'[1]Tissue Data'!M:M)</f>
        <v>2.4500000000000002</v>
      </c>
      <c r="K2750" t="s">
        <v>60</v>
      </c>
      <c r="L2750" t="str">
        <f>_xlfn.XLOOKUP(K2750,[2]analyte_order!$B:$B,[2]analyte_order!$C:$C)</f>
        <v>678-41-1</v>
      </c>
      <c r="M2750">
        <f>_xlfn.XLOOKUP(L2750,[2]analyte_order!$C:$C,[2]analyte_order!$E:$E)</f>
        <v>56</v>
      </c>
      <c r="N2750">
        <v>0.09</v>
      </c>
    </row>
    <row r="2751" spans="1:14">
      <c r="A2751" t="s">
        <v>193</v>
      </c>
      <c r="B2751" t="str">
        <f>_xlfn.XLOOKUP(A2751,'[1]Tissue Data'!$A:$A,'[1]Tissue Data'!$C:$C)</f>
        <v>Spill</v>
      </c>
      <c r="C2751" s="2">
        <f>_xlfn.XLOOKUP(A2751,'[1]Tissue Data'!$A:$A,'[1]Tissue Data'!$D:$D)</f>
        <v>44314</v>
      </c>
      <c r="D2751" s="2" t="str">
        <f>_xlfn.XLOOKUP(A2751,'[1]Tissue Data'!$A:$A,'[1]Tissue Data'!$F:$F)</f>
        <v>Swallowtail Shiner</v>
      </c>
      <c r="E2751" t="str">
        <f>_xlfn.XLOOKUP(A2751,'[1]Tissue Data'!$A:$A,'[1]Tissue Data'!$H:$H)</f>
        <v>Notropis</v>
      </c>
      <c r="F2751" t="str">
        <f>_xlfn.XLOOKUP(A2751,'[1]Tissue Data'!$A:$A,'[1]Tissue Data'!$I:$I)</f>
        <v>procne</v>
      </c>
      <c r="G2751" t="str">
        <f>_xlfn.XLOOKUP(A2751,'[1]Tissue Data'!$A:$A,'[1]Tissue Data'!J:J)</f>
        <v>U</v>
      </c>
      <c r="H2751" t="str">
        <f>_xlfn.XLOOKUP(A2751,'[1]Tissue Data'!$A:$A,'[1]Tissue Data'!K:K)</f>
        <v>Whole Body</v>
      </c>
      <c r="I2751">
        <f>_xlfn.XLOOKUP(A2751,'[1]Tissue Data'!$A:$A,'[1]Tissue Data'!L:L)</f>
        <v>5.25</v>
      </c>
      <c r="J2751">
        <f>_xlfn.XLOOKUP(A2751,'[1]Tissue Data'!$A:$A,'[1]Tissue Data'!M:M)</f>
        <v>2.4500000000000002</v>
      </c>
      <c r="K2751" t="s">
        <v>61</v>
      </c>
      <c r="L2751" t="str">
        <f>_xlfn.XLOOKUP(K2751,[2]analyte_order!$B:$B,[2]analyte_order!$C:$C)</f>
        <v>2965-52-8</v>
      </c>
      <c r="M2751">
        <f>_xlfn.XLOOKUP(L2751,[2]analyte_order!$C:$C,[2]analyte_order!$E:$E)</f>
        <v>57</v>
      </c>
      <c r="N2751">
        <v>0.1195</v>
      </c>
    </row>
    <row r="2752" spans="1:14">
      <c r="A2752" t="s">
        <v>194</v>
      </c>
      <c r="B2752" t="str">
        <f>_xlfn.XLOOKUP(A2752,'[1]Tissue Data'!$A:$A,'[1]Tissue Data'!$C:$C)</f>
        <v>Spill</v>
      </c>
      <c r="C2752" s="2">
        <f>_xlfn.XLOOKUP(A2752,'[1]Tissue Data'!$A:$A,'[1]Tissue Data'!$D:$D)</f>
        <v>44314</v>
      </c>
      <c r="D2752" s="2" t="str">
        <f>_xlfn.XLOOKUP(A2752,'[1]Tissue Data'!$A:$A,'[1]Tissue Data'!$F:$F)</f>
        <v>Swallowtail Shiner</v>
      </c>
      <c r="E2752" t="str">
        <f>_xlfn.XLOOKUP(A2752,'[1]Tissue Data'!$A:$A,'[1]Tissue Data'!$H:$H)</f>
        <v>Notropis</v>
      </c>
      <c r="F2752" t="str">
        <f>_xlfn.XLOOKUP(A2752,'[1]Tissue Data'!$A:$A,'[1]Tissue Data'!$I:$I)</f>
        <v>procne</v>
      </c>
      <c r="G2752" t="str">
        <f>_xlfn.XLOOKUP(A2752,'[1]Tissue Data'!$A:$A,'[1]Tissue Data'!J:J)</f>
        <v>U</v>
      </c>
      <c r="H2752" t="str">
        <f>_xlfn.XLOOKUP(A2752,'[1]Tissue Data'!$A:$A,'[1]Tissue Data'!K:K)</f>
        <v>Whole Body</v>
      </c>
      <c r="I2752">
        <f>_xlfn.XLOOKUP(A2752,'[1]Tissue Data'!$A:$A,'[1]Tissue Data'!L:L)</f>
        <v>5.5</v>
      </c>
      <c r="J2752">
        <f>_xlfn.XLOOKUP(A2752,'[1]Tissue Data'!$A:$A,'[1]Tissue Data'!M:M)</f>
        <v>2.4</v>
      </c>
      <c r="K2752" t="s">
        <v>12</v>
      </c>
      <c r="L2752" t="str">
        <f>_xlfn.XLOOKUP(K2752,[2]analyte_order!$B:$B,[2]analyte_order!$C:$C)</f>
        <v>375-22-4</v>
      </c>
      <c r="M2752">
        <f>_xlfn.XLOOKUP(L2752,[2]analyte_order!$C:$C,[2]analyte_order!$E:$E)</f>
        <v>1</v>
      </c>
      <c r="N2752">
        <v>2.8649999999999998E-2</v>
      </c>
    </row>
    <row r="2753" spans="1:14">
      <c r="A2753" t="s">
        <v>194</v>
      </c>
      <c r="B2753" t="str">
        <f>_xlfn.XLOOKUP(A2753,'[1]Tissue Data'!$A:$A,'[1]Tissue Data'!$C:$C)</f>
        <v>Spill</v>
      </c>
      <c r="C2753" s="2">
        <f>_xlfn.XLOOKUP(A2753,'[1]Tissue Data'!$A:$A,'[1]Tissue Data'!$D:$D)</f>
        <v>44314</v>
      </c>
      <c r="D2753" s="2" t="str">
        <f>_xlfn.XLOOKUP(A2753,'[1]Tissue Data'!$A:$A,'[1]Tissue Data'!$F:$F)</f>
        <v>Swallowtail Shiner</v>
      </c>
      <c r="E2753" t="str">
        <f>_xlfn.XLOOKUP(A2753,'[1]Tissue Data'!$A:$A,'[1]Tissue Data'!$H:$H)</f>
        <v>Notropis</v>
      </c>
      <c r="F2753" t="str">
        <f>_xlfn.XLOOKUP(A2753,'[1]Tissue Data'!$A:$A,'[1]Tissue Data'!$I:$I)</f>
        <v>procne</v>
      </c>
      <c r="G2753" t="str">
        <f>_xlfn.XLOOKUP(A2753,'[1]Tissue Data'!$A:$A,'[1]Tissue Data'!J:J)</f>
        <v>U</v>
      </c>
      <c r="H2753" t="str">
        <f>_xlfn.XLOOKUP(A2753,'[1]Tissue Data'!$A:$A,'[1]Tissue Data'!K:K)</f>
        <v>Whole Body</v>
      </c>
      <c r="I2753">
        <f>_xlfn.XLOOKUP(A2753,'[1]Tissue Data'!$A:$A,'[1]Tissue Data'!L:L)</f>
        <v>5.5</v>
      </c>
      <c r="J2753">
        <f>_xlfn.XLOOKUP(A2753,'[1]Tissue Data'!$A:$A,'[1]Tissue Data'!M:M)</f>
        <v>2.4</v>
      </c>
      <c r="K2753" t="s">
        <v>13</v>
      </c>
      <c r="L2753" t="str">
        <f>_xlfn.XLOOKUP(K2753,[2]analyte_order!$B:$B,[2]analyte_order!$C:$C)</f>
        <v>2706-90-3</v>
      </c>
      <c r="M2753">
        <f>_xlfn.XLOOKUP(L2753,[2]analyte_order!$C:$C,[2]analyte_order!$E:$E)</f>
        <v>2</v>
      </c>
      <c r="N2753">
        <v>5.0500000000000003E-2</v>
      </c>
    </row>
    <row r="2754" spans="1:14">
      <c r="A2754" t="s">
        <v>194</v>
      </c>
      <c r="B2754" t="str">
        <f>_xlfn.XLOOKUP(A2754,'[1]Tissue Data'!$A:$A,'[1]Tissue Data'!$C:$C)</f>
        <v>Spill</v>
      </c>
      <c r="C2754" s="2">
        <f>_xlfn.XLOOKUP(A2754,'[1]Tissue Data'!$A:$A,'[1]Tissue Data'!$D:$D)</f>
        <v>44314</v>
      </c>
      <c r="D2754" s="2" t="str">
        <f>_xlfn.XLOOKUP(A2754,'[1]Tissue Data'!$A:$A,'[1]Tissue Data'!$F:$F)</f>
        <v>Swallowtail Shiner</v>
      </c>
      <c r="E2754" t="str">
        <f>_xlfn.XLOOKUP(A2754,'[1]Tissue Data'!$A:$A,'[1]Tissue Data'!$H:$H)</f>
        <v>Notropis</v>
      </c>
      <c r="F2754" t="str">
        <f>_xlfn.XLOOKUP(A2754,'[1]Tissue Data'!$A:$A,'[1]Tissue Data'!$I:$I)</f>
        <v>procne</v>
      </c>
      <c r="G2754" t="str">
        <f>_xlfn.XLOOKUP(A2754,'[1]Tissue Data'!$A:$A,'[1]Tissue Data'!J:J)</f>
        <v>U</v>
      </c>
      <c r="H2754" t="str">
        <f>_xlfn.XLOOKUP(A2754,'[1]Tissue Data'!$A:$A,'[1]Tissue Data'!K:K)</f>
        <v>Whole Body</v>
      </c>
      <c r="I2754">
        <f>_xlfn.XLOOKUP(A2754,'[1]Tissue Data'!$A:$A,'[1]Tissue Data'!L:L)</f>
        <v>5.5</v>
      </c>
      <c r="J2754">
        <f>_xlfn.XLOOKUP(A2754,'[1]Tissue Data'!$A:$A,'[1]Tissue Data'!M:M)</f>
        <v>2.4</v>
      </c>
      <c r="K2754" t="s">
        <v>14</v>
      </c>
      <c r="L2754" t="str">
        <f>_xlfn.XLOOKUP(K2754,[2]analyte_order!$B:$B,[2]analyte_order!$C:$C)</f>
        <v>307-24-4</v>
      </c>
      <c r="M2754">
        <f>_xlfn.XLOOKUP(L2754,[2]analyte_order!$C:$C,[2]analyte_order!$E:$E)</f>
        <v>3</v>
      </c>
      <c r="N2754">
        <v>3.8649999999999997E-2</v>
      </c>
    </row>
    <row r="2755" spans="1:14">
      <c r="A2755" t="s">
        <v>194</v>
      </c>
      <c r="B2755" t="str">
        <f>_xlfn.XLOOKUP(A2755,'[1]Tissue Data'!$A:$A,'[1]Tissue Data'!$C:$C)</f>
        <v>Spill</v>
      </c>
      <c r="C2755" s="2">
        <f>_xlfn.XLOOKUP(A2755,'[1]Tissue Data'!$A:$A,'[1]Tissue Data'!$D:$D)</f>
        <v>44314</v>
      </c>
      <c r="D2755" s="2" t="str">
        <f>_xlfn.XLOOKUP(A2755,'[1]Tissue Data'!$A:$A,'[1]Tissue Data'!$F:$F)</f>
        <v>Swallowtail Shiner</v>
      </c>
      <c r="E2755" t="str">
        <f>_xlfn.XLOOKUP(A2755,'[1]Tissue Data'!$A:$A,'[1]Tissue Data'!$H:$H)</f>
        <v>Notropis</v>
      </c>
      <c r="F2755" t="str">
        <f>_xlfn.XLOOKUP(A2755,'[1]Tissue Data'!$A:$A,'[1]Tissue Data'!$I:$I)</f>
        <v>procne</v>
      </c>
      <c r="G2755" t="str">
        <f>_xlfn.XLOOKUP(A2755,'[1]Tissue Data'!$A:$A,'[1]Tissue Data'!J:J)</f>
        <v>U</v>
      </c>
      <c r="H2755" t="str">
        <f>_xlfn.XLOOKUP(A2755,'[1]Tissue Data'!$A:$A,'[1]Tissue Data'!K:K)</f>
        <v>Whole Body</v>
      </c>
      <c r="I2755">
        <f>_xlfn.XLOOKUP(A2755,'[1]Tissue Data'!$A:$A,'[1]Tissue Data'!L:L)</f>
        <v>5.5</v>
      </c>
      <c r="J2755">
        <f>_xlfn.XLOOKUP(A2755,'[1]Tissue Data'!$A:$A,'[1]Tissue Data'!M:M)</f>
        <v>2.4</v>
      </c>
      <c r="K2755" t="s">
        <v>15</v>
      </c>
      <c r="L2755" t="str">
        <f>_xlfn.XLOOKUP(K2755,[2]analyte_order!$B:$B,[2]analyte_order!$C:$C)</f>
        <v>375-85-9</v>
      </c>
      <c r="M2755">
        <f>_xlfn.XLOOKUP(L2755,[2]analyte_order!$C:$C,[2]analyte_order!$E:$E)</f>
        <v>4</v>
      </c>
      <c r="N2755">
        <v>2.8649999999999998E-2</v>
      </c>
    </row>
    <row r="2756" spans="1:14">
      <c r="A2756" t="s">
        <v>194</v>
      </c>
      <c r="B2756" t="str">
        <f>_xlfn.XLOOKUP(A2756,'[1]Tissue Data'!$A:$A,'[1]Tissue Data'!$C:$C)</f>
        <v>Spill</v>
      </c>
      <c r="C2756" s="2">
        <f>_xlfn.XLOOKUP(A2756,'[1]Tissue Data'!$A:$A,'[1]Tissue Data'!$D:$D)</f>
        <v>44314</v>
      </c>
      <c r="D2756" s="2" t="str">
        <f>_xlfn.XLOOKUP(A2756,'[1]Tissue Data'!$A:$A,'[1]Tissue Data'!$F:$F)</f>
        <v>Swallowtail Shiner</v>
      </c>
      <c r="E2756" t="str">
        <f>_xlfn.XLOOKUP(A2756,'[1]Tissue Data'!$A:$A,'[1]Tissue Data'!$H:$H)</f>
        <v>Notropis</v>
      </c>
      <c r="F2756" t="str">
        <f>_xlfn.XLOOKUP(A2756,'[1]Tissue Data'!$A:$A,'[1]Tissue Data'!$I:$I)</f>
        <v>procne</v>
      </c>
      <c r="G2756" t="str">
        <f>_xlfn.XLOOKUP(A2756,'[1]Tissue Data'!$A:$A,'[1]Tissue Data'!J:J)</f>
        <v>U</v>
      </c>
      <c r="H2756" t="str">
        <f>_xlfn.XLOOKUP(A2756,'[1]Tissue Data'!$A:$A,'[1]Tissue Data'!K:K)</f>
        <v>Whole Body</v>
      </c>
      <c r="I2756">
        <f>_xlfn.XLOOKUP(A2756,'[1]Tissue Data'!$A:$A,'[1]Tissue Data'!L:L)</f>
        <v>5.5</v>
      </c>
      <c r="J2756">
        <f>_xlfn.XLOOKUP(A2756,'[1]Tissue Data'!$A:$A,'[1]Tissue Data'!M:M)</f>
        <v>2.4</v>
      </c>
      <c r="K2756" t="s">
        <v>16</v>
      </c>
      <c r="L2756" t="str">
        <f>_xlfn.XLOOKUP(K2756,[2]analyte_order!$B:$B,[2]analyte_order!$C:$C)</f>
        <v>335-67-1</v>
      </c>
      <c r="M2756">
        <f>_xlfn.XLOOKUP(L2756,[2]analyte_order!$C:$C,[2]analyte_order!$E:$E)</f>
        <v>5</v>
      </c>
      <c r="N2756">
        <v>2.7</v>
      </c>
    </row>
    <row r="2757" spans="1:14">
      <c r="A2757" t="s">
        <v>194</v>
      </c>
      <c r="B2757" t="str">
        <f>_xlfn.XLOOKUP(A2757,'[1]Tissue Data'!$A:$A,'[1]Tissue Data'!$C:$C)</f>
        <v>Spill</v>
      </c>
      <c r="C2757" s="2">
        <f>_xlfn.XLOOKUP(A2757,'[1]Tissue Data'!$A:$A,'[1]Tissue Data'!$D:$D)</f>
        <v>44314</v>
      </c>
      <c r="D2757" s="2" t="str">
        <f>_xlfn.XLOOKUP(A2757,'[1]Tissue Data'!$A:$A,'[1]Tissue Data'!$F:$F)</f>
        <v>Swallowtail Shiner</v>
      </c>
      <c r="E2757" t="str">
        <f>_xlfn.XLOOKUP(A2757,'[1]Tissue Data'!$A:$A,'[1]Tissue Data'!$H:$H)</f>
        <v>Notropis</v>
      </c>
      <c r="F2757" t="str">
        <f>_xlfn.XLOOKUP(A2757,'[1]Tissue Data'!$A:$A,'[1]Tissue Data'!$I:$I)</f>
        <v>procne</v>
      </c>
      <c r="G2757" t="str">
        <f>_xlfn.XLOOKUP(A2757,'[1]Tissue Data'!$A:$A,'[1]Tissue Data'!J:J)</f>
        <v>U</v>
      </c>
      <c r="H2757" t="str">
        <f>_xlfn.XLOOKUP(A2757,'[1]Tissue Data'!$A:$A,'[1]Tissue Data'!K:K)</f>
        <v>Whole Body</v>
      </c>
      <c r="I2757">
        <f>_xlfn.XLOOKUP(A2757,'[1]Tissue Data'!$A:$A,'[1]Tissue Data'!L:L)</f>
        <v>5.5</v>
      </c>
      <c r="J2757">
        <f>_xlfn.XLOOKUP(A2757,'[1]Tissue Data'!$A:$A,'[1]Tissue Data'!M:M)</f>
        <v>2.4</v>
      </c>
      <c r="K2757" t="s">
        <v>17</v>
      </c>
      <c r="L2757" t="str">
        <f>_xlfn.XLOOKUP(K2757,[2]analyte_order!$B:$B,[2]analyte_order!$C:$C)</f>
        <v>375-95-1</v>
      </c>
      <c r="M2757">
        <f>_xlfn.XLOOKUP(L2757,[2]analyte_order!$C:$C,[2]analyte_order!$E:$E)</f>
        <v>6</v>
      </c>
      <c r="N2757">
        <v>5.69</v>
      </c>
    </row>
    <row r="2758" spans="1:14">
      <c r="A2758" t="s">
        <v>194</v>
      </c>
      <c r="B2758" t="str">
        <f>_xlfn.XLOOKUP(A2758,'[1]Tissue Data'!$A:$A,'[1]Tissue Data'!$C:$C)</f>
        <v>Spill</v>
      </c>
      <c r="C2758" s="2">
        <f>_xlfn.XLOOKUP(A2758,'[1]Tissue Data'!$A:$A,'[1]Tissue Data'!$D:$D)</f>
        <v>44314</v>
      </c>
      <c r="D2758" s="2" t="str">
        <f>_xlfn.XLOOKUP(A2758,'[1]Tissue Data'!$A:$A,'[1]Tissue Data'!$F:$F)</f>
        <v>Swallowtail Shiner</v>
      </c>
      <c r="E2758" t="str">
        <f>_xlfn.XLOOKUP(A2758,'[1]Tissue Data'!$A:$A,'[1]Tissue Data'!$H:$H)</f>
        <v>Notropis</v>
      </c>
      <c r="F2758" t="str">
        <f>_xlfn.XLOOKUP(A2758,'[1]Tissue Data'!$A:$A,'[1]Tissue Data'!$I:$I)</f>
        <v>procne</v>
      </c>
      <c r="G2758" t="str">
        <f>_xlfn.XLOOKUP(A2758,'[1]Tissue Data'!$A:$A,'[1]Tissue Data'!J:J)</f>
        <v>U</v>
      </c>
      <c r="H2758" t="str">
        <f>_xlfn.XLOOKUP(A2758,'[1]Tissue Data'!$A:$A,'[1]Tissue Data'!K:K)</f>
        <v>Whole Body</v>
      </c>
      <c r="I2758">
        <f>_xlfn.XLOOKUP(A2758,'[1]Tissue Data'!$A:$A,'[1]Tissue Data'!L:L)</f>
        <v>5.5</v>
      </c>
      <c r="J2758">
        <f>_xlfn.XLOOKUP(A2758,'[1]Tissue Data'!$A:$A,'[1]Tissue Data'!M:M)</f>
        <v>2.4</v>
      </c>
      <c r="K2758" t="s">
        <v>18</v>
      </c>
      <c r="L2758" t="str">
        <f>_xlfn.XLOOKUP(K2758,[2]analyte_order!$B:$B,[2]analyte_order!$C:$C)</f>
        <v>335-76-2</v>
      </c>
      <c r="M2758">
        <f>_xlfn.XLOOKUP(L2758,[2]analyte_order!$C:$C,[2]analyte_order!$E:$E)</f>
        <v>7</v>
      </c>
      <c r="N2758">
        <v>15.1</v>
      </c>
    </row>
    <row r="2759" spans="1:14">
      <c r="A2759" t="s">
        <v>194</v>
      </c>
      <c r="B2759" t="str">
        <f>_xlfn.XLOOKUP(A2759,'[1]Tissue Data'!$A:$A,'[1]Tissue Data'!$C:$C)</f>
        <v>Spill</v>
      </c>
      <c r="C2759" s="2">
        <f>_xlfn.XLOOKUP(A2759,'[1]Tissue Data'!$A:$A,'[1]Tissue Data'!$D:$D)</f>
        <v>44314</v>
      </c>
      <c r="D2759" s="2" t="str">
        <f>_xlfn.XLOOKUP(A2759,'[1]Tissue Data'!$A:$A,'[1]Tissue Data'!$F:$F)</f>
        <v>Swallowtail Shiner</v>
      </c>
      <c r="E2759" t="str">
        <f>_xlfn.XLOOKUP(A2759,'[1]Tissue Data'!$A:$A,'[1]Tissue Data'!$H:$H)</f>
        <v>Notropis</v>
      </c>
      <c r="F2759" t="str">
        <f>_xlfn.XLOOKUP(A2759,'[1]Tissue Data'!$A:$A,'[1]Tissue Data'!$I:$I)</f>
        <v>procne</v>
      </c>
      <c r="G2759" t="str">
        <f>_xlfn.XLOOKUP(A2759,'[1]Tissue Data'!$A:$A,'[1]Tissue Data'!J:J)</f>
        <v>U</v>
      </c>
      <c r="H2759" t="str">
        <f>_xlfn.XLOOKUP(A2759,'[1]Tissue Data'!$A:$A,'[1]Tissue Data'!K:K)</f>
        <v>Whole Body</v>
      </c>
      <c r="I2759">
        <f>_xlfn.XLOOKUP(A2759,'[1]Tissue Data'!$A:$A,'[1]Tissue Data'!L:L)</f>
        <v>5.5</v>
      </c>
      <c r="J2759">
        <f>_xlfn.XLOOKUP(A2759,'[1]Tissue Data'!$A:$A,'[1]Tissue Data'!M:M)</f>
        <v>2.4</v>
      </c>
      <c r="K2759" t="s">
        <v>19</v>
      </c>
      <c r="L2759" t="str">
        <f>_xlfn.XLOOKUP(K2759,[2]analyte_order!$B:$B,[2]analyte_order!$C:$C)</f>
        <v>2058-94-8</v>
      </c>
      <c r="M2759">
        <f>_xlfn.XLOOKUP(L2759,[2]analyte_order!$C:$C,[2]analyte_order!$E:$E)</f>
        <v>8</v>
      </c>
      <c r="N2759">
        <v>24.3</v>
      </c>
    </row>
    <row r="2760" spans="1:14">
      <c r="A2760" t="s">
        <v>194</v>
      </c>
      <c r="B2760" t="str">
        <f>_xlfn.XLOOKUP(A2760,'[1]Tissue Data'!$A:$A,'[1]Tissue Data'!$C:$C)</f>
        <v>Spill</v>
      </c>
      <c r="C2760" s="2">
        <f>_xlfn.XLOOKUP(A2760,'[1]Tissue Data'!$A:$A,'[1]Tissue Data'!$D:$D)</f>
        <v>44314</v>
      </c>
      <c r="D2760" s="2" t="str">
        <f>_xlfn.XLOOKUP(A2760,'[1]Tissue Data'!$A:$A,'[1]Tissue Data'!$F:$F)</f>
        <v>Swallowtail Shiner</v>
      </c>
      <c r="E2760" t="str">
        <f>_xlfn.XLOOKUP(A2760,'[1]Tissue Data'!$A:$A,'[1]Tissue Data'!$H:$H)</f>
        <v>Notropis</v>
      </c>
      <c r="F2760" t="str">
        <f>_xlfn.XLOOKUP(A2760,'[1]Tissue Data'!$A:$A,'[1]Tissue Data'!$I:$I)</f>
        <v>procne</v>
      </c>
      <c r="G2760" t="str">
        <f>_xlfn.XLOOKUP(A2760,'[1]Tissue Data'!$A:$A,'[1]Tissue Data'!J:J)</f>
        <v>U</v>
      </c>
      <c r="H2760" t="str">
        <f>_xlfn.XLOOKUP(A2760,'[1]Tissue Data'!$A:$A,'[1]Tissue Data'!K:K)</f>
        <v>Whole Body</v>
      </c>
      <c r="I2760">
        <f>_xlfn.XLOOKUP(A2760,'[1]Tissue Data'!$A:$A,'[1]Tissue Data'!L:L)</f>
        <v>5.5</v>
      </c>
      <c r="J2760">
        <f>_xlfn.XLOOKUP(A2760,'[1]Tissue Data'!$A:$A,'[1]Tissue Data'!M:M)</f>
        <v>2.4</v>
      </c>
      <c r="K2760" t="s">
        <v>20</v>
      </c>
      <c r="L2760" t="str">
        <f>_xlfn.XLOOKUP(K2760,[2]analyte_order!$B:$B,[2]analyte_order!$C:$C)</f>
        <v>307-55-1</v>
      </c>
      <c r="M2760">
        <f>_xlfn.XLOOKUP(L2760,[2]analyte_order!$C:$C,[2]analyte_order!$E:$E)</f>
        <v>9</v>
      </c>
      <c r="N2760">
        <v>24.4</v>
      </c>
    </row>
    <row r="2761" spans="1:14">
      <c r="A2761" t="s">
        <v>194</v>
      </c>
      <c r="B2761" t="str">
        <f>_xlfn.XLOOKUP(A2761,'[1]Tissue Data'!$A:$A,'[1]Tissue Data'!$C:$C)</f>
        <v>Spill</v>
      </c>
      <c r="C2761" s="2">
        <f>_xlfn.XLOOKUP(A2761,'[1]Tissue Data'!$A:$A,'[1]Tissue Data'!$D:$D)</f>
        <v>44314</v>
      </c>
      <c r="D2761" s="2" t="str">
        <f>_xlfn.XLOOKUP(A2761,'[1]Tissue Data'!$A:$A,'[1]Tissue Data'!$F:$F)</f>
        <v>Swallowtail Shiner</v>
      </c>
      <c r="E2761" t="str">
        <f>_xlfn.XLOOKUP(A2761,'[1]Tissue Data'!$A:$A,'[1]Tissue Data'!$H:$H)</f>
        <v>Notropis</v>
      </c>
      <c r="F2761" t="str">
        <f>_xlfn.XLOOKUP(A2761,'[1]Tissue Data'!$A:$A,'[1]Tissue Data'!$I:$I)</f>
        <v>procne</v>
      </c>
      <c r="G2761" t="str">
        <f>_xlfn.XLOOKUP(A2761,'[1]Tissue Data'!$A:$A,'[1]Tissue Data'!J:J)</f>
        <v>U</v>
      </c>
      <c r="H2761" t="str">
        <f>_xlfn.XLOOKUP(A2761,'[1]Tissue Data'!$A:$A,'[1]Tissue Data'!K:K)</f>
        <v>Whole Body</v>
      </c>
      <c r="I2761">
        <f>_xlfn.XLOOKUP(A2761,'[1]Tissue Data'!$A:$A,'[1]Tissue Data'!L:L)</f>
        <v>5.5</v>
      </c>
      <c r="J2761">
        <f>_xlfn.XLOOKUP(A2761,'[1]Tissue Data'!$A:$A,'[1]Tissue Data'!M:M)</f>
        <v>2.4</v>
      </c>
      <c r="K2761" t="s">
        <v>21</v>
      </c>
      <c r="L2761" t="str">
        <f>_xlfn.XLOOKUP(K2761,[2]analyte_order!$B:$B,[2]analyte_order!$C:$C)</f>
        <v>72629-94-8</v>
      </c>
      <c r="M2761">
        <f>_xlfn.XLOOKUP(L2761,[2]analyte_order!$C:$C,[2]analyte_order!$E:$E)</f>
        <v>10</v>
      </c>
      <c r="N2761">
        <v>7.91</v>
      </c>
    </row>
    <row r="2762" spans="1:14">
      <c r="A2762" t="s">
        <v>194</v>
      </c>
      <c r="B2762" t="str">
        <f>_xlfn.XLOOKUP(A2762,'[1]Tissue Data'!$A:$A,'[1]Tissue Data'!$C:$C)</f>
        <v>Spill</v>
      </c>
      <c r="C2762" s="2">
        <f>_xlfn.XLOOKUP(A2762,'[1]Tissue Data'!$A:$A,'[1]Tissue Data'!$D:$D)</f>
        <v>44314</v>
      </c>
      <c r="D2762" s="2" t="str">
        <f>_xlfn.XLOOKUP(A2762,'[1]Tissue Data'!$A:$A,'[1]Tissue Data'!$F:$F)</f>
        <v>Swallowtail Shiner</v>
      </c>
      <c r="E2762" t="str">
        <f>_xlfn.XLOOKUP(A2762,'[1]Tissue Data'!$A:$A,'[1]Tissue Data'!$H:$H)</f>
        <v>Notropis</v>
      </c>
      <c r="F2762" t="str">
        <f>_xlfn.XLOOKUP(A2762,'[1]Tissue Data'!$A:$A,'[1]Tissue Data'!$I:$I)</f>
        <v>procne</v>
      </c>
      <c r="G2762" t="str">
        <f>_xlfn.XLOOKUP(A2762,'[1]Tissue Data'!$A:$A,'[1]Tissue Data'!J:J)</f>
        <v>U</v>
      </c>
      <c r="H2762" t="str">
        <f>_xlfn.XLOOKUP(A2762,'[1]Tissue Data'!$A:$A,'[1]Tissue Data'!K:K)</f>
        <v>Whole Body</v>
      </c>
      <c r="I2762">
        <f>_xlfn.XLOOKUP(A2762,'[1]Tissue Data'!$A:$A,'[1]Tissue Data'!L:L)</f>
        <v>5.5</v>
      </c>
      <c r="J2762">
        <f>_xlfn.XLOOKUP(A2762,'[1]Tissue Data'!$A:$A,'[1]Tissue Data'!M:M)</f>
        <v>2.4</v>
      </c>
      <c r="K2762" t="s">
        <v>22</v>
      </c>
      <c r="L2762" t="str">
        <f>_xlfn.XLOOKUP(K2762,[2]analyte_order!$B:$B,[2]analyte_order!$C:$C)</f>
        <v>376-06-7</v>
      </c>
      <c r="M2762">
        <f>_xlfn.XLOOKUP(L2762,[2]analyte_order!$C:$C,[2]analyte_order!$E:$E)</f>
        <v>11</v>
      </c>
      <c r="N2762">
        <v>9.73</v>
      </c>
    </row>
    <row r="2763" spans="1:14">
      <c r="A2763" t="s">
        <v>194</v>
      </c>
      <c r="B2763" t="str">
        <f>_xlfn.XLOOKUP(A2763,'[1]Tissue Data'!$A:$A,'[1]Tissue Data'!$C:$C)</f>
        <v>Spill</v>
      </c>
      <c r="C2763" s="2">
        <f>_xlfn.XLOOKUP(A2763,'[1]Tissue Data'!$A:$A,'[1]Tissue Data'!$D:$D)</f>
        <v>44314</v>
      </c>
      <c r="D2763" s="2" t="str">
        <f>_xlfn.XLOOKUP(A2763,'[1]Tissue Data'!$A:$A,'[1]Tissue Data'!$F:$F)</f>
        <v>Swallowtail Shiner</v>
      </c>
      <c r="E2763" t="str">
        <f>_xlfn.XLOOKUP(A2763,'[1]Tissue Data'!$A:$A,'[1]Tissue Data'!$H:$H)</f>
        <v>Notropis</v>
      </c>
      <c r="F2763" t="str">
        <f>_xlfn.XLOOKUP(A2763,'[1]Tissue Data'!$A:$A,'[1]Tissue Data'!$I:$I)</f>
        <v>procne</v>
      </c>
      <c r="G2763" t="str">
        <f>_xlfn.XLOOKUP(A2763,'[1]Tissue Data'!$A:$A,'[1]Tissue Data'!J:J)</f>
        <v>U</v>
      </c>
      <c r="H2763" t="str">
        <f>_xlfn.XLOOKUP(A2763,'[1]Tissue Data'!$A:$A,'[1]Tissue Data'!K:K)</f>
        <v>Whole Body</v>
      </c>
      <c r="I2763">
        <f>_xlfn.XLOOKUP(A2763,'[1]Tissue Data'!$A:$A,'[1]Tissue Data'!L:L)</f>
        <v>5.5</v>
      </c>
      <c r="J2763">
        <f>_xlfn.XLOOKUP(A2763,'[1]Tissue Data'!$A:$A,'[1]Tissue Data'!M:M)</f>
        <v>2.4</v>
      </c>
      <c r="K2763" t="s">
        <v>23</v>
      </c>
      <c r="L2763" t="str">
        <f>_xlfn.XLOOKUP(K2763,[2]analyte_order!$B:$B,[2]analyte_order!$C:$C)</f>
        <v>67905-19-5</v>
      </c>
      <c r="M2763">
        <f>_xlfn.XLOOKUP(L2763,[2]analyte_order!$C:$C,[2]analyte_order!$E:$E)</f>
        <v>12</v>
      </c>
      <c r="N2763">
        <v>8.5500000000000007E-2</v>
      </c>
    </row>
    <row r="2764" spans="1:14">
      <c r="A2764" t="s">
        <v>194</v>
      </c>
      <c r="B2764" t="str">
        <f>_xlfn.XLOOKUP(A2764,'[1]Tissue Data'!$A:$A,'[1]Tissue Data'!$C:$C)</f>
        <v>Spill</v>
      </c>
      <c r="C2764" s="2">
        <f>_xlfn.XLOOKUP(A2764,'[1]Tissue Data'!$A:$A,'[1]Tissue Data'!$D:$D)</f>
        <v>44314</v>
      </c>
      <c r="D2764" s="2" t="str">
        <f>_xlfn.XLOOKUP(A2764,'[1]Tissue Data'!$A:$A,'[1]Tissue Data'!$F:$F)</f>
        <v>Swallowtail Shiner</v>
      </c>
      <c r="E2764" t="str">
        <f>_xlfn.XLOOKUP(A2764,'[1]Tissue Data'!$A:$A,'[1]Tissue Data'!$H:$H)</f>
        <v>Notropis</v>
      </c>
      <c r="F2764" t="str">
        <f>_xlfn.XLOOKUP(A2764,'[1]Tissue Data'!$A:$A,'[1]Tissue Data'!$I:$I)</f>
        <v>procne</v>
      </c>
      <c r="G2764" t="str">
        <f>_xlfn.XLOOKUP(A2764,'[1]Tissue Data'!$A:$A,'[1]Tissue Data'!J:J)</f>
        <v>U</v>
      </c>
      <c r="H2764" t="str">
        <f>_xlfn.XLOOKUP(A2764,'[1]Tissue Data'!$A:$A,'[1]Tissue Data'!K:K)</f>
        <v>Whole Body</v>
      </c>
      <c r="I2764">
        <f>_xlfn.XLOOKUP(A2764,'[1]Tissue Data'!$A:$A,'[1]Tissue Data'!L:L)</f>
        <v>5.5</v>
      </c>
      <c r="J2764">
        <f>_xlfn.XLOOKUP(A2764,'[1]Tissue Data'!$A:$A,'[1]Tissue Data'!M:M)</f>
        <v>2.4</v>
      </c>
      <c r="K2764" t="s">
        <v>24</v>
      </c>
      <c r="L2764" t="str">
        <f>_xlfn.XLOOKUP(K2764,[2]analyte_order!$B:$B,[2]analyte_order!$C:$C)</f>
        <v>423-41-6</v>
      </c>
      <c r="M2764">
        <f>_xlfn.XLOOKUP(L2764,[2]analyte_order!$C:$C,[2]analyte_order!$E:$E)</f>
        <v>53</v>
      </c>
      <c r="N2764">
        <v>5.45E-2</v>
      </c>
    </row>
    <row r="2765" spans="1:14">
      <c r="A2765" t="s">
        <v>194</v>
      </c>
      <c r="B2765" t="str">
        <f>_xlfn.XLOOKUP(A2765,'[1]Tissue Data'!$A:$A,'[1]Tissue Data'!$C:$C)</f>
        <v>Spill</v>
      </c>
      <c r="C2765" s="2">
        <f>_xlfn.XLOOKUP(A2765,'[1]Tissue Data'!$A:$A,'[1]Tissue Data'!$D:$D)</f>
        <v>44314</v>
      </c>
      <c r="D2765" s="2" t="str">
        <f>_xlfn.XLOOKUP(A2765,'[1]Tissue Data'!$A:$A,'[1]Tissue Data'!$F:$F)</f>
        <v>Swallowtail Shiner</v>
      </c>
      <c r="E2765" t="str">
        <f>_xlfn.XLOOKUP(A2765,'[1]Tissue Data'!$A:$A,'[1]Tissue Data'!$H:$H)</f>
        <v>Notropis</v>
      </c>
      <c r="F2765" t="str">
        <f>_xlfn.XLOOKUP(A2765,'[1]Tissue Data'!$A:$A,'[1]Tissue Data'!$I:$I)</f>
        <v>procne</v>
      </c>
      <c r="G2765" t="str">
        <f>_xlfn.XLOOKUP(A2765,'[1]Tissue Data'!$A:$A,'[1]Tissue Data'!J:J)</f>
        <v>U</v>
      </c>
      <c r="H2765" t="str">
        <f>_xlfn.XLOOKUP(A2765,'[1]Tissue Data'!$A:$A,'[1]Tissue Data'!K:K)</f>
        <v>Whole Body</v>
      </c>
      <c r="I2765">
        <f>_xlfn.XLOOKUP(A2765,'[1]Tissue Data'!$A:$A,'[1]Tissue Data'!L:L)</f>
        <v>5.5</v>
      </c>
      <c r="J2765">
        <f>_xlfn.XLOOKUP(A2765,'[1]Tissue Data'!$A:$A,'[1]Tissue Data'!M:M)</f>
        <v>2.4</v>
      </c>
      <c r="K2765" t="s">
        <v>25</v>
      </c>
      <c r="L2765" t="str">
        <f>_xlfn.XLOOKUP(K2765,[2]analyte_order!$B:$B,[2]analyte_order!$C:$C)</f>
        <v>375-73-5</v>
      </c>
      <c r="M2765">
        <f>_xlfn.XLOOKUP(L2765,[2]analyte_order!$C:$C,[2]analyte_order!$E:$E)</f>
        <v>14</v>
      </c>
      <c r="N2765">
        <v>0.73499999999999999</v>
      </c>
    </row>
    <row r="2766" spans="1:14">
      <c r="A2766" t="s">
        <v>194</v>
      </c>
      <c r="B2766" t="str">
        <f>_xlfn.XLOOKUP(A2766,'[1]Tissue Data'!$A:$A,'[1]Tissue Data'!$C:$C)</f>
        <v>Spill</v>
      </c>
      <c r="C2766" s="2">
        <f>_xlfn.XLOOKUP(A2766,'[1]Tissue Data'!$A:$A,'[1]Tissue Data'!$D:$D)</f>
        <v>44314</v>
      </c>
      <c r="D2766" s="2" t="str">
        <f>_xlfn.XLOOKUP(A2766,'[1]Tissue Data'!$A:$A,'[1]Tissue Data'!$F:$F)</f>
        <v>Swallowtail Shiner</v>
      </c>
      <c r="E2766" t="str">
        <f>_xlfn.XLOOKUP(A2766,'[1]Tissue Data'!$A:$A,'[1]Tissue Data'!$H:$H)</f>
        <v>Notropis</v>
      </c>
      <c r="F2766" t="str">
        <f>_xlfn.XLOOKUP(A2766,'[1]Tissue Data'!$A:$A,'[1]Tissue Data'!$I:$I)</f>
        <v>procne</v>
      </c>
      <c r="G2766" t="str">
        <f>_xlfn.XLOOKUP(A2766,'[1]Tissue Data'!$A:$A,'[1]Tissue Data'!J:J)</f>
        <v>U</v>
      </c>
      <c r="H2766" t="str">
        <f>_xlfn.XLOOKUP(A2766,'[1]Tissue Data'!$A:$A,'[1]Tissue Data'!K:K)</f>
        <v>Whole Body</v>
      </c>
      <c r="I2766">
        <f>_xlfn.XLOOKUP(A2766,'[1]Tissue Data'!$A:$A,'[1]Tissue Data'!L:L)</f>
        <v>5.5</v>
      </c>
      <c r="J2766">
        <f>_xlfn.XLOOKUP(A2766,'[1]Tissue Data'!$A:$A,'[1]Tissue Data'!M:M)</f>
        <v>2.4</v>
      </c>
      <c r="K2766" t="s">
        <v>26</v>
      </c>
      <c r="L2766" t="str">
        <f>_xlfn.XLOOKUP(K2766,[2]analyte_order!$B:$B,[2]analyte_order!$C:$C)</f>
        <v>2706-91-4</v>
      </c>
      <c r="M2766">
        <f>_xlfn.XLOOKUP(L2766,[2]analyte_order!$C:$C,[2]analyte_order!$E:$E)</f>
        <v>15</v>
      </c>
      <c r="N2766">
        <v>0.46600000000000003</v>
      </c>
    </row>
    <row r="2767" spans="1:14">
      <c r="A2767" t="s">
        <v>194</v>
      </c>
      <c r="B2767" t="str">
        <f>_xlfn.XLOOKUP(A2767,'[1]Tissue Data'!$A:$A,'[1]Tissue Data'!$C:$C)</f>
        <v>Spill</v>
      </c>
      <c r="C2767" s="2">
        <f>_xlfn.XLOOKUP(A2767,'[1]Tissue Data'!$A:$A,'[1]Tissue Data'!$D:$D)</f>
        <v>44314</v>
      </c>
      <c r="D2767" s="2" t="str">
        <f>_xlfn.XLOOKUP(A2767,'[1]Tissue Data'!$A:$A,'[1]Tissue Data'!$F:$F)</f>
        <v>Swallowtail Shiner</v>
      </c>
      <c r="E2767" t="str">
        <f>_xlfn.XLOOKUP(A2767,'[1]Tissue Data'!$A:$A,'[1]Tissue Data'!$H:$H)</f>
        <v>Notropis</v>
      </c>
      <c r="F2767" t="str">
        <f>_xlfn.XLOOKUP(A2767,'[1]Tissue Data'!$A:$A,'[1]Tissue Data'!$I:$I)</f>
        <v>procne</v>
      </c>
      <c r="G2767" t="str">
        <f>_xlfn.XLOOKUP(A2767,'[1]Tissue Data'!$A:$A,'[1]Tissue Data'!J:J)</f>
        <v>U</v>
      </c>
      <c r="H2767" t="str">
        <f>_xlfn.XLOOKUP(A2767,'[1]Tissue Data'!$A:$A,'[1]Tissue Data'!K:K)</f>
        <v>Whole Body</v>
      </c>
      <c r="I2767">
        <f>_xlfn.XLOOKUP(A2767,'[1]Tissue Data'!$A:$A,'[1]Tissue Data'!L:L)</f>
        <v>5.5</v>
      </c>
      <c r="J2767">
        <f>_xlfn.XLOOKUP(A2767,'[1]Tissue Data'!$A:$A,'[1]Tissue Data'!M:M)</f>
        <v>2.4</v>
      </c>
      <c r="K2767" t="s">
        <v>27</v>
      </c>
      <c r="L2767" t="str">
        <f>_xlfn.XLOOKUP(K2767,[2]analyte_order!$B:$B,[2]analyte_order!$C:$C)</f>
        <v>355-46-4</v>
      </c>
      <c r="M2767">
        <f>_xlfn.XLOOKUP(L2767,[2]analyte_order!$C:$C,[2]analyte_order!$E:$E)</f>
        <v>16</v>
      </c>
      <c r="N2767">
        <v>62.6</v>
      </c>
    </row>
    <row r="2768" spans="1:14">
      <c r="A2768" t="s">
        <v>194</v>
      </c>
      <c r="B2768" t="str">
        <f>_xlfn.XLOOKUP(A2768,'[1]Tissue Data'!$A:$A,'[1]Tissue Data'!$C:$C)</f>
        <v>Spill</v>
      </c>
      <c r="C2768" s="2">
        <f>_xlfn.XLOOKUP(A2768,'[1]Tissue Data'!$A:$A,'[1]Tissue Data'!$D:$D)</f>
        <v>44314</v>
      </c>
      <c r="D2768" s="2" t="str">
        <f>_xlfn.XLOOKUP(A2768,'[1]Tissue Data'!$A:$A,'[1]Tissue Data'!$F:$F)</f>
        <v>Swallowtail Shiner</v>
      </c>
      <c r="E2768" t="str">
        <f>_xlfn.XLOOKUP(A2768,'[1]Tissue Data'!$A:$A,'[1]Tissue Data'!$H:$H)</f>
        <v>Notropis</v>
      </c>
      <c r="F2768" t="str">
        <f>_xlfn.XLOOKUP(A2768,'[1]Tissue Data'!$A:$A,'[1]Tissue Data'!$I:$I)</f>
        <v>procne</v>
      </c>
      <c r="G2768" t="str">
        <f>_xlfn.XLOOKUP(A2768,'[1]Tissue Data'!$A:$A,'[1]Tissue Data'!J:J)</f>
        <v>U</v>
      </c>
      <c r="H2768" t="str">
        <f>_xlfn.XLOOKUP(A2768,'[1]Tissue Data'!$A:$A,'[1]Tissue Data'!K:K)</f>
        <v>Whole Body</v>
      </c>
      <c r="I2768">
        <f>_xlfn.XLOOKUP(A2768,'[1]Tissue Data'!$A:$A,'[1]Tissue Data'!L:L)</f>
        <v>5.5</v>
      </c>
      <c r="J2768">
        <f>_xlfn.XLOOKUP(A2768,'[1]Tissue Data'!$A:$A,'[1]Tissue Data'!M:M)</f>
        <v>2.4</v>
      </c>
      <c r="K2768" t="s">
        <v>28</v>
      </c>
      <c r="L2768" t="str">
        <f>_xlfn.XLOOKUP(K2768,[2]analyte_order!$B:$B,[2]analyte_order!$C:$C)</f>
        <v>375-92-8</v>
      </c>
      <c r="M2768">
        <f>_xlfn.XLOOKUP(L2768,[2]analyte_order!$C:$C,[2]analyte_order!$E:$E)</f>
        <v>17</v>
      </c>
      <c r="N2768">
        <v>4.92</v>
      </c>
    </row>
    <row r="2769" spans="1:14">
      <c r="A2769" t="s">
        <v>194</v>
      </c>
      <c r="B2769" t="str">
        <f>_xlfn.XLOOKUP(A2769,'[1]Tissue Data'!$A:$A,'[1]Tissue Data'!$C:$C)</f>
        <v>Spill</v>
      </c>
      <c r="C2769" s="2">
        <f>_xlfn.XLOOKUP(A2769,'[1]Tissue Data'!$A:$A,'[1]Tissue Data'!$D:$D)</f>
        <v>44314</v>
      </c>
      <c r="D2769" s="2" t="str">
        <f>_xlfn.XLOOKUP(A2769,'[1]Tissue Data'!$A:$A,'[1]Tissue Data'!$F:$F)</f>
        <v>Swallowtail Shiner</v>
      </c>
      <c r="E2769" t="str">
        <f>_xlfn.XLOOKUP(A2769,'[1]Tissue Data'!$A:$A,'[1]Tissue Data'!$H:$H)</f>
        <v>Notropis</v>
      </c>
      <c r="F2769" t="str">
        <f>_xlfn.XLOOKUP(A2769,'[1]Tissue Data'!$A:$A,'[1]Tissue Data'!$I:$I)</f>
        <v>procne</v>
      </c>
      <c r="G2769" t="str">
        <f>_xlfn.XLOOKUP(A2769,'[1]Tissue Data'!$A:$A,'[1]Tissue Data'!J:J)</f>
        <v>U</v>
      </c>
      <c r="H2769" t="str">
        <f>_xlfn.XLOOKUP(A2769,'[1]Tissue Data'!$A:$A,'[1]Tissue Data'!K:K)</f>
        <v>Whole Body</v>
      </c>
      <c r="I2769">
        <f>_xlfn.XLOOKUP(A2769,'[1]Tissue Data'!$A:$A,'[1]Tissue Data'!L:L)</f>
        <v>5.5</v>
      </c>
      <c r="J2769">
        <f>_xlfn.XLOOKUP(A2769,'[1]Tissue Data'!$A:$A,'[1]Tissue Data'!M:M)</f>
        <v>2.4</v>
      </c>
      <c r="K2769" t="s">
        <v>29</v>
      </c>
      <c r="L2769" t="str">
        <f>_xlfn.XLOOKUP(K2769,[2]analyte_order!$B:$B,[2]analyte_order!$C:$C)</f>
        <v>1763-23-1</v>
      </c>
      <c r="M2769">
        <f>_xlfn.XLOOKUP(L2769,[2]analyte_order!$C:$C,[2]analyte_order!$E:$E)</f>
        <v>18</v>
      </c>
      <c r="N2769">
        <v>1160</v>
      </c>
    </row>
    <row r="2770" spans="1:14">
      <c r="A2770" t="s">
        <v>194</v>
      </c>
      <c r="B2770" t="str">
        <f>_xlfn.XLOOKUP(A2770,'[1]Tissue Data'!$A:$A,'[1]Tissue Data'!$C:$C)</f>
        <v>Spill</v>
      </c>
      <c r="C2770" s="2">
        <f>_xlfn.XLOOKUP(A2770,'[1]Tissue Data'!$A:$A,'[1]Tissue Data'!$D:$D)</f>
        <v>44314</v>
      </c>
      <c r="D2770" s="2" t="str">
        <f>_xlfn.XLOOKUP(A2770,'[1]Tissue Data'!$A:$A,'[1]Tissue Data'!$F:$F)</f>
        <v>Swallowtail Shiner</v>
      </c>
      <c r="E2770" t="str">
        <f>_xlfn.XLOOKUP(A2770,'[1]Tissue Data'!$A:$A,'[1]Tissue Data'!$H:$H)</f>
        <v>Notropis</v>
      </c>
      <c r="F2770" t="str">
        <f>_xlfn.XLOOKUP(A2770,'[1]Tissue Data'!$A:$A,'[1]Tissue Data'!$I:$I)</f>
        <v>procne</v>
      </c>
      <c r="G2770" t="str">
        <f>_xlfn.XLOOKUP(A2770,'[1]Tissue Data'!$A:$A,'[1]Tissue Data'!J:J)</f>
        <v>U</v>
      </c>
      <c r="H2770" t="str">
        <f>_xlfn.XLOOKUP(A2770,'[1]Tissue Data'!$A:$A,'[1]Tissue Data'!K:K)</f>
        <v>Whole Body</v>
      </c>
      <c r="I2770">
        <f>_xlfn.XLOOKUP(A2770,'[1]Tissue Data'!$A:$A,'[1]Tissue Data'!L:L)</f>
        <v>5.5</v>
      </c>
      <c r="J2770">
        <f>_xlfn.XLOOKUP(A2770,'[1]Tissue Data'!$A:$A,'[1]Tissue Data'!M:M)</f>
        <v>2.4</v>
      </c>
      <c r="K2770" t="s">
        <v>30</v>
      </c>
      <c r="L2770" t="str">
        <f>_xlfn.XLOOKUP(K2770,[2]analyte_order!$B:$B,[2]analyte_order!$C:$C)</f>
        <v>68259-12-1</v>
      </c>
      <c r="M2770">
        <f>_xlfn.XLOOKUP(L2770,[2]analyte_order!$C:$C,[2]analyte_order!$E:$E)</f>
        <v>19</v>
      </c>
      <c r="N2770">
        <v>0.70299999999999996</v>
      </c>
    </row>
    <row r="2771" spans="1:14">
      <c r="A2771" t="s">
        <v>194</v>
      </c>
      <c r="B2771" t="str">
        <f>_xlfn.XLOOKUP(A2771,'[1]Tissue Data'!$A:$A,'[1]Tissue Data'!$C:$C)</f>
        <v>Spill</v>
      </c>
      <c r="C2771" s="2">
        <f>_xlfn.XLOOKUP(A2771,'[1]Tissue Data'!$A:$A,'[1]Tissue Data'!$D:$D)</f>
        <v>44314</v>
      </c>
      <c r="D2771" s="2" t="str">
        <f>_xlfn.XLOOKUP(A2771,'[1]Tissue Data'!$A:$A,'[1]Tissue Data'!$F:$F)</f>
        <v>Swallowtail Shiner</v>
      </c>
      <c r="E2771" t="str">
        <f>_xlfn.XLOOKUP(A2771,'[1]Tissue Data'!$A:$A,'[1]Tissue Data'!$H:$H)</f>
        <v>Notropis</v>
      </c>
      <c r="F2771" t="str">
        <f>_xlfn.XLOOKUP(A2771,'[1]Tissue Data'!$A:$A,'[1]Tissue Data'!$I:$I)</f>
        <v>procne</v>
      </c>
      <c r="G2771" t="str">
        <f>_xlfn.XLOOKUP(A2771,'[1]Tissue Data'!$A:$A,'[1]Tissue Data'!J:J)</f>
        <v>U</v>
      </c>
      <c r="H2771" t="str">
        <f>_xlfn.XLOOKUP(A2771,'[1]Tissue Data'!$A:$A,'[1]Tissue Data'!K:K)</f>
        <v>Whole Body</v>
      </c>
      <c r="I2771">
        <f>_xlfn.XLOOKUP(A2771,'[1]Tissue Data'!$A:$A,'[1]Tissue Data'!L:L)</f>
        <v>5.5</v>
      </c>
      <c r="J2771">
        <f>_xlfn.XLOOKUP(A2771,'[1]Tissue Data'!$A:$A,'[1]Tissue Data'!M:M)</f>
        <v>2.4</v>
      </c>
      <c r="K2771" t="s">
        <v>31</v>
      </c>
      <c r="L2771" t="str">
        <f>_xlfn.XLOOKUP(K2771,[2]analyte_order!$B:$B,[2]analyte_order!$C:$C)</f>
        <v>335-77-3</v>
      </c>
      <c r="M2771">
        <f>_xlfn.XLOOKUP(L2771,[2]analyte_order!$C:$C,[2]analyte_order!$E:$E)</f>
        <v>20</v>
      </c>
      <c r="N2771">
        <v>12.8</v>
      </c>
    </row>
    <row r="2772" spans="1:14">
      <c r="A2772" t="s">
        <v>194</v>
      </c>
      <c r="B2772" t="str">
        <f>_xlfn.XLOOKUP(A2772,'[1]Tissue Data'!$A:$A,'[1]Tissue Data'!$C:$C)</f>
        <v>Spill</v>
      </c>
      <c r="C2772" s="2">
        <f>_xlfn.XLOOKUP(A2772,'[1]Tissue Data'!$A:$A,'[1]Tissue Data'!$D:$D)</f>
        <v>44314</v>
      </c>
      <c r="D2772" s="2" t="str">
        <f>_xlfn.XLOOKUP(A2772,'[1]Tissue Data'!$A:$A,'[1]Tissue Data'!$F:$F)</f>
        <v>Swallowtail Shiner</v>
      </c>
      <c r="E2772" t="str">
        <f>_xlfn.XLOOKUP(A2772,'[1]Tissue Data'!$A:$A,'[1]Tissue Data'!$H:$H)</f>
        <v>Notropis</v>
      </c>
      <c r="F2772" t="str">
        <f>_xlfn.XLOOKUP(A2772,'[1]Tissue Data'!$A:$A,'[1]Tissue Data'!$I:$I)</f>
        <v>procne</v>
      </c>
      <c r="G2772" t="str">
        <f>_xlfn.XLOOKUP(A2772,'[1]Tissue Data'!$A:$A,'[1]Tissue Data'!J:J)</f>
        <v>U</v>
      </c>
      <c r="H2772" t="str">
        <f>_xlfn.XLOOKUP(A2772,'[1]Tissue Data'!$A:$A,'[1]Tissue Data'!K:K)</f>
        <v>Whole Body</v>
      </c>
      <c r="I2772">
        <f>_xlfn.XLOOKUP(A2772,'[1]Tissue Data'!$A:$A,'[1]Tissue Data'!L:L)</f>
        <v>5.5</v>
      </c>
      <c r="J2772">
        <f>_xlfn.XLOOKUP(A2772,'[1]Tissue Data'!$A:$A,'[1]Tissue Data'!M:M)</f>
        <v>2.4</v>
      </c>
      <c r="K2772" t="s">
        <v>32</v>
      </c>
      <c r="L2772" t="str">
        <f>_xlfn.XLOOKUP(K2772,[2]analyte_order!$B:$B,[2]analyte_order!$C:$C)</f>
        <v>79780-39-5</v>
      </c>
      <c r="M2772">
        <f>_xlfn.XLOOKUP(L2772,[2]analyte_order!$C:$C,[2]analyte_order!$E:$E)</f>
        <v>21</v>
      </c>
      <c r="N2772">
        <v>0.73299999999999998</v>
      </c>
    </row>
    <row r="2773" spans="1:14">
      <c r="A2773" t="s">
        <v>194</v>
      </c>
      <c r="B2773" t="str">
        <f>_xlfn.XLOOKUP(A2773,'[1]Tissue Data'!$A:$A,'[1]Tissue Data'!$C:$C)</f>
        <v>Spill</v>
      </c>
      <c r="C2773" s="2">
        <f>_xlfn.XLOOKUP(A2773,'[1]Tissue Data'!$A:$A,'[1]Tissue Data'!$D:$D)</f>
        <v>44314</v>
      </c>
      <c r="D2773" s="2" t="str">
        <f>_xlfn.XLOOKUP(A2773,'[1]Tissue Data'!$A:$A,'[1]Tissue Data'!$F:$F)</f>
        <v>Swallowtail Shiner</v>
      </c>
      <c r="E2773" t="str">
        <f>_xlfn.XLOOKUP(A2773,'[1]Tissue Data'!$A:$A,'[1]Tissue Data'!$H:$H)</f>
        <v>Notropis</v>
      </c>
      <c r="F2773" t="str">
        <f>_xlfn.XLOOKUP(A2773,'[1]Tissue Data'!$A:$A,'[1]Tissue Data'!$I:$I)</f>
        <v>procne</v>
      </c>
      <c r="G2773" t="str">
        <f>_xlfn.XLOOKUP(A2773,'[1]Tissue Data'!$A:$A,'[1]Tissue Data'!J:J)</f>
        <v>U</v>
      </c>
      <c r="H2773" t="str">
        <f>_xlfn.XLOOKUP(A2773,'[1]Tissue Data'!$A:$A,'[1]Tissue Data'!K:K)</f>
        <v>Whole Body</v>
      </c>
      <c r="I2773">
        <f>_xlfn.XLOOKUP(A2773,'[1]Tissue Data'!$A:$A,'[1]Tissue Data'!L:L)</f>
        <v>5.5</v>
      </c>
      <c r="J2773">
        <f>_xlfn.XLOOKUP(A2773,'[1]Tissue Data'!$A:$A,'[1]Tissue Data'!M:M)</f>
        <v>2.4</v>
      </c>
      <c r="K2773" t="s">
        <v>33</v>
      </c>
      <c r="L2773" t="str">
        <f>_xlfn.XLOOKUP(K2773,[2]analyte_order!$B:$B,[2]analyte_order!$C:$C)</f>
        <v>777011-38-8</v>
      </c>
      <c r="M2773">
        <f>_xlfn.XLOOKUP(L2773,[2]analyte_order!$C:$C,[2]analyte_order!$E:$E)</f>
        <v>54</v>
      </c>
      <c r="N2773">
        <v>0.33600000000000002</v>
      </c>
    </row>
    <row r="2774" spans="1:14">
      <c r="A2774" t="s">
        <v>194</v>
      </c>
      <c r="B2774" t="str">
        <f>_xlfn.XLOOKUP(A2774,'[1]Tissue Data'!$A:$A,'[1]Tissue Data'!$C:$C)</f>
        <v>Spill</v>
      </c>
      <c r="C2774" s="2">
        <f>_xlfn.XLOOKUP(A2774,'[1]Tissue Data'!$A:$A,'[1]Tissue Data'!$D:$D)</f>
        <v>44314</v>
      </c>
      <c r="D2774" s="2" t="str">
        <f>_xlfn.XLOOKUP(A2774,'[1]Tissue Data'!$A:$A,'[1]Tissue Data'!$F:$F)</f>
        <v>Swallowtail Shiner</v>
      </c>
      <c r="E2774" t="str">
        <f>_xlfn.XLOOKUP(A2774,'[1]Tissue Data'!$A:$A,'[1]Tissue Data'!$H:$H)</f>
        <v>Notropis</v>
      </c>
      <c r="F2774" t="str">
        <f>_xlfn.XLOOKUP(A2774,'[1]Tissue Data'!$A:$A,'[1]Tissue Data'!$I:$I)</f>
        <v>procne</v>
      </c>
      <c r="G2774" t="str">
        <f>_xlfn.XLOOKUP(A2774,'[1]Tissue Data'!$A:$A,'[1]Tissue Data'!J:J)</f>
        <v>U</v>
      </c>
      <c r="H2774" t="str">
        <f>_xlfn.XLOOKUP(A2774,'[1]Tissue Data'!$A:$A,'[1]Tissue Data'!K:K)</f>
        <v>Whole Body</v>
      </c>
      <c r="I2774">
        <f>_xlfn.XLOOKUP(A2774,'[1]Tissue Data'!$A:$A,'[1]Tissue Data'!L:L)</f>
        <v>5.5</v>
      </c>
      <c r="J2774">
        <f>_xlfn.XLOOKUP(A2774,'[1]Tissue Data'!$A:$A,'[1]Tissue Data'!M:M)</f>
        <v>2.4</v>
      </c>
      <c r="K2774" t="s">
        <v>34</v>
      </c>
      <c r="L2774" t="str">
        <f>_xlfn.XLOOKUP(K2774,[2]analyte_order!$B:$B,[2]analyte_order!$C:$C)</f>
        <v>646-83-3</v>
      </c>
      <c r="M2774">
        <f>_xlfn.XLOOKUP(L2774,[2]analyte_order!$C:$C,[2]analyte_order!$E:$E)</f>
        <v>55</v>
      </c>
      <c r="N2774">
        <v>0.20200000000000001</v>
      </c>
    </row>
    <row r="2775" spans="1:14">
      <c r="A2775" t="s">
        <v>194</v>
      </c>
      <c r="B2775" t="str">
        <f>_xlfn.XLOOKUP(A2775,'[1]Tissue Data'!$A:$A,'[1]Tissue Data'!$C:$C)</f>
        <v>Spill</v>
      </c>
      <c r="C2775" s="2">
        <f>_xlfn.XLOOKUP(A2775,'[1]Tissue Data'!$A:$A,'[1]Tissue Data'!$D:$D)</f>
        <v>44314</v>
      </c>
      <c r="D2775" s="2" t="str">
        <f>_xlfn.XLOOKUP(A2775,'[1]Tissue Data'!$A:$A,'[1]Tissue Data'!$F:$F)</f>
        <v>Swallowtail Shiner</v>
      </c>
      <c r="E2775" t="str">
        <f>_xlfn.XLOOKUP(A2775,'[1]Tissue Data'!$A:$A,'[1]Tissue Data'!$H:$H)</f>
        <v>Notropis</v>
      </c>
      <c r="F2775" t="str">
        <f>_xlfn.XLOOKUP(A2775,'[1]Tissue Data'!$A:$A,'[1]Tissue Data'!$I:$I)</f>
        <v>procne</v>
      </c>
      <c r="G2775" t="str">
        <f>_xlfn.XLOOKUP(A2775,'[1]Tissue Data'!$A:$A,'[1]Tissue Data'!J:J)</f>
        <v>U</v>
      </c>
      <c r="H2775" t="str">
        <f>_xlfn.XLOOKUP(A2775,'[1]Tissue Data'!$A:$A,'[1]Tissue Data'!K:K)</f>
        <v>Whole Body</v>
      </c>
      <c r="I2775">
        <f>_xlfn.XLOOKUP(A2775,'[1]Tissue Data'!$A:$A,'[1]Tissue Data'!L:L)</f>
        <v>5.5</v>
      </c>
      <c r="J2775">
        <f>_xlfn.XLOOKUP(A2775,'[1]Tissue Data'!$A:$A,'[1]Tissue Data'!M:M)</f>
        <v>2.4</v>
      </c>
      <c r="K2775" t="s">
        <v>35</v>
      </c>
      <c r="L2775" t="str">
        <f>_xlfn.XLOOKUP(K2775,[2]analyte_order!$B:$B,[2]analyte_order!$C:$C)</f>
        <v>30334-69-1</v>
      </c>
      <c r="M2775">
        <f>_xlfn.XLOOKUP(L2775,[2]analyte_order!$C:$C,[2]analyte_order!$E:$E)</f>
        <v>51</v>
      </c>
      <c r="N2775">
        <v>45.8</v>
      </c>
    </row>
    <row r="2776" spans="1:14">
      <c r="A2776" t="s">
        <v>194</v>
      </c>
      <c r="B2776" t="str">
        <f>_xlfn.XLOOKUP(A2776,'[1]Tissue Data'!$A:$A,'[1]Tissue Data'!$C:$C)</f>
        <v>Spill</v>
      </c>
      <c r="C2776" s="2">
        <f>_xlfn.XLOOKUP(A2776,'[1]Tissue Data'!$A:$A,'[1]Tissue Data'!$D:$D)</f>
        <v>44314</v>
      </c>
      <c r="D2776" s="2" t="str">
        <f>_xlfn.XLOOKUP(A2776,'[1]Tissue Data'!$A:$A,'[1]Tissue Data'!$F:$F)</f>
        <v>Swallowtail Shiner</v>
      </c>
      <c r="E2776" t="str">
        <f>_xlfn.XLOOKUP(A2776,'[1]Tissue Data'!$A:$A,'[1]Tissue Data'!$H:$H)</f>
        <v>Notropis</v>
      </c>
      <c r="F2776" t="str">
        <f>_xlfn.XLOOKUP(A2776,'[1]Tissue Data'!$A:$A,'[1]Tissue Data'!$I:$I)</f>
        <v>procne</v>
      </c>
      <c r="G2776" t="str">
        <f>_xlfn.XLOOKUP(A2776,'[1]Tissue Data'!$A:$A,'[1]Tissue Data'!J:J)</f>
        <v>U</v>
      </c>
      <c r="H2776" t="str">
        <f>_xlfn.XLOOKUP(A2776,'[1]Tissue Data'!$A:$A,'[1]Tissue Data'!K:K)</f>
        <v>Whole Body</v>
      </c>
      <c r="I2776">
        <f>_xlfn.XLOOKUP(A2776,'[1]Tissue Data'!$A:$A,'[1]Tissue Data'!L:L)</f>
        <v>5.5</v>
      </c>
      <c r="J2776">
        <f>_xlfn.XLOOKUP(A2776,'[1]Tissue Data'!$A:$A,'[1]Tissue Data'!M:M)</f>
        <v>2.4</v>
      </c>
      <c r="K2776" t="s">
        <v>36</v>
      </c>
      <c r="L2776" t="str">
        <f>_xlfn.XLOOKUP(K2776,[2]analyte_order!$B:$B,[2]analyte_order!$C:$C)</f>
        <v>41997-13-1</v>
      </c>
      <c r="M2776">
        <f>_xlfn.XLOOKUP(L2776,[2]analyte_order!$C:$C,[2]analyte_order!$E:$E)</f>
        <v>52</v>
      </c>
      <c r="N2776">
        <v>295</v>
      </c>
    </row>
    <row r="2777" spans="1:14">
      <c r="A2777" t="s">
        <v>194</v>
      </c>
      <c r="B2777" t="str">
        <f>_xlfn.XLOOKUP(A2777,'[1]Tissue Data'!$A:$A,'[1]Tissue Data'!$C:$C)</f>
        <v>Spill</v>
      </c>
      <c r="C2777" s="2">
        <f>_xlfn.XLOOKUP(A2777,'[1]Tissue Data'!$A:$A,'[1]Tissue Data'!$D:$D)</f>
        <v>44314</v>
      </c>
      <c r="D2777" s="2" t="str">
        <f>_xlfn.XLOOKUP(A2777,'[1]Tissue Data'!$A:$A,'[1]Tissue Data'!$F:$F)</f>
        <v>Swallowtail Shiner</v>
      </c>
      <c r="E2777" t="str">
        <f>_xlfn.XLOOKUP(A2777,'[1]Tissue Data'!$A:$A,'[1]Tissue Data'!$H:$H)</f>
        <v>Notropis</v>
      </c>
      <c r="F2777" t="str">
        <f>_xlfn.XLOOKUP(A2777,'[1]Tissue Data'!$A:$A,'[1]Tissue Data'!$I:$I)</f>
        <v>procne</v>
      </c>
      <c r="G2777" t="str">
        <f>_xlfn.XLOOKUP(A2777,'[1]Tissue Data'!$A:$A,'[1]Tissue Data'!J:J)</f>
        <v>U</v>
      </c>
      <c r="H2777" t="str">
        <f>_xlfn.XLOOKUP(A2777,'[1]Tissue Data'!$A:$A,'[1]Tissue Data'!K:K)</f>
        <v>Whole Body</v>
      </c>
      <c r="I2777">
        <f>_xlfn.XLOOKUP(A2777,'[1]Tissue Data'!$A:$A,'[1]Tissue Data'!L:L)</f>
        <v>5.5</v>
      </c>
      <c r="J2777">
        <f>_xlfn.XLOOKUP(A2777,'[1]Tissue Data'!$A:$A,'[1]Tissue Data'!M:M)</f>
        <v>2.4</v>
      </c>
      <c r="K2777" t="s">
        <v>37</v>
      </c>
      <c r="L2777" t="str">
        <f>_xlfn.XLOOKUP(K2777,[2]analyte_order!$B:$B,[2]analyte_order!$C:$C)</f>
        <v>754-91-6</v>
      </c>
      <c r="M2777">
        <f>_xlfn.XLOOKUP(L2777,[2]analyte_order!$C:$C,[2]analyte_order!$E:$E)</f>
        <v>28</v>
      </c>
      <c r="N2777">
        <v>21.1</v>
      </c>
    </row>
    <row r="2778" spans="1:14">
      <c r="A2778" t="s">
        <v>194</v>
      </c>
      <c r="B2778" t="str">
        <f>_xlfn.XLOOKUP(A2778,'[1]Tissue Data'!$A:$A,'[1]Tissue Data'!$C:$C)</f>
        <v>Spill</v>
      </c>
      <c r="C2778" s="2">
        <f>_xlfn.XLOOKUP(A2778,'[1]Tissue Data'!$A:$A,'[1]Tissue Data'!$D:$D)</f>
        <v>44314</v>
      </c>
      <c r="D2778" s="2" t="str">
        <f>_xlfn.XLOOKUP(A2778,'[1]Tissue Data'!$A:$A,'[1]Tissue Data'!$F:$F)</f>
        <v>Swallowtail Shiner</v>
      </c>
      <c r="E2778" t="str">
        <f>_xlfn.XLOOKUP(A2778,'[1]Tissue Data'!$A:$A,'[1]Tissue Data'!$H:$H)</f>
        <v>Notropis</v>
      </c>
      <c r="F2778" t="str">
        <f>_xlfn.XLOOKUP(A2778,'[1]Tissue Data'!$A:$A,'[1]Tissue Data'!$I:$I)</f>
        <v>procne</v>
      </c>
      <c r="G2778" t="str">
        <f>_xlfn.XLOOKUP(A2778,'[1]Tissue Data'!$A:$A,'[1]Tissue Data'!J:J)</f>
        <v>U</v>
      </c>
      <c r="H2778" t="str">
        <f>_xlfn.XLOOKUP(A2778,'[1]Tissue Data'!$A:$A,'[1]Tissue Data'!K:K)</f>
        <v>Whole Body</v>
      </c>
      <c r="I2778">
        <f>_xlfn.XLOOKUP(A2778,'[1]Tissue Data'!$A:$A,'[1]Tissue Data'!L:L)</f>
        <v>5.5</v>
      </c>
      <c r="J2778">
        <f>_xlfn.XLOOKUP(A2778,'[1]Tissue Data'!$A:$A,'[1]Tissue Data'!M:M)</f>
        <v>2.4</v>
      </c>
      <c r="K2778" t="s">
        <v>38</v>
      </c>
      <c r="L2778" t="str">
        <f>_xlfn.XLOOKUP(K2778,[2]analyte_order!$B:$B,[2]analyte_order!$C:$C)</f>
        <v>31506-32-8</v>
      </c>
      <c r="M2778">
        <f>_xlfn.XLOOKUP(L2778,[2]analyte_order!$C:$C,[2]analyte_order!$E:$E)</f>
        <v>30</v>
      </c>
      <c r="N2778">
        <v>5.5E-2</v>
      </c>
    </row>
    <row r="2779" spans="1:14">
      <c r="A2779" t="s">
        <v>194</v>
      </c>
      <c r="B2779" t="str">
        <f>_xlfn.XLOOKUP(A2779,'[1]Tissue Data'!$A:$A,'[1]Tissue Data'!$C:$C)</f>
        <v>Spill</v>
      </c>
      <c r="C2779" s="2">
        <f>_xlfn.XLOOKUP(A2779,'[1]Tissue Data'!$A:$A,'[1]Tissue Data'!$D:$D)</f>
        <v>44314</v>
      </c>
      <c r="D2779" s="2" t="str">
        <f>_xlfn.XLOOKUP(A2779,'[1]Tissue Data'!$A:$A,'[1]Tissue Data'!$F:$F)</f>
        <v>Swallowtail Shiner</v>
      </c>
      <c r="E2779" t="str">
        <f>_xlfn.XLOOKUP(A2779,'[1]Tissue Data'!$A:$A,'[1]Tissue Data'!$H:$H)</f>
        <v>Notropis</v>
      </c>
      <c r="F2779" t="str">
        <f>_xlfn.XLOOKUP(A2779,'[1]Tissue Data'!$A:$A,'[1]Tissue Data'!$I:$I)</f>
        <v>procne</v>
      </c>
      <c r="G2779" t="str">
        <f>_xlfn.XLOOKUP(A2779,'[1]Tissue Data'!$A:$A,'[1]Tissue Data'!J:J)</f>
        <v>U</v>
      </c>
      <c r="H2779" t="str">
        <f>_xlfn.XLOOKUP(A2779,'[1]Tissue Data'!$A:$A,'[1]Tissue Data'!K:K)</f>
        <v>Whole Body</v>
      </c>
      <c r="I2779">
        <f>_xlfn.XLOOKUP(A2779,'[1]Tissue Data'!$A:$A,'[1]Tissue Data'!L:L)</f>
        <v>5.5</v>
      </c>
      <c r="J2779">
        <f>_xlfn.XLOOKUP(A2779,'[1]Tissue Data'!$A:$A,'[1]Tissue Data'!M:M)</f>
        <v>2.4</v>
      </c>
      <c r="K2779" t="s">
        <v>39</v>
      </c>
      <c r="L2779" t="str">
        <f>_xlfn.XLOOKUP(K2779,[2]analyte_order!$B:$B,[2]analyte_order!$C:$C)</f>
        <v>4151-50-2</v>
      </c>
      <c r="M2779">
        <f>_xlfn.XLOOKUP(L2779,[2]analyte_order!$C:$C,[2]analyte_order!$E:$E)</f>
        <v>31</v>
      </c>
      <c r="N2779">
        <v>8.3500000000000005E-2</v>
      </c>
    </row>
    <row r="2780" spans="1:14">
      <c r="A2780" t="s">
        <v>194</v>
      </c>
      <c r="B2780" t="str">
        <f>_xlfn.XLOOKUP(A2780,'[1]Tissue Data'!$A:$A,'[1]Tissue Data'!$C:$C)</f>
        <v>Spill</v>
      </c>
      <c r="C2780" s="2">
        <f>_xlfn.XLOOKUP(A2780,'[1]Tissue Data'!$A:$A,'[1]Tissue Data'!$D:$D)</f>
        <v>44314</v>
      </c>
      <c r="D2780" s="2" t="str">
        <f>_xlfn.XLOOKUP(A2780,'[1]Tissue Data'!$A:$A,'[1]Tissue Data'!$F:$F)</f>
        <v>Swallowtail Shiner</v>
      </c>
      <c r="E2780" t="str">
        <f>_xlfn.XLOOKUP(A2780,'[1]Tissue Data'!$A:$A,'[1]Tissue Data'!$H:$H)</f>
        <v>Notropis</v>
      </c>
      <c r="F2780" t="str">
        <f>_xlfn.XLOOKUP(A2780,'[1]Tissue Data'!$A:$A,'[1]Tissue Data'!$I:$I)</f>
        <v>procne</v>
      </c>
      <c r="G2780" t="str">
        <f>_xlfn.XLOOKUP(A2780,'[1]Tissue Data'!$A:$A,'[1]Tissue Data'!J:J)</f>
        <v>U</v>
      </c>
      <c r="H2780" t="str">
        <f>_xlfn.XLOOKUP(A2780,'[1]Tissue Data'!$A:$A,'[1]Tissue Data'!K:K)</f>
        <v>Whole Body</v>
      </c>
      <c r="I2780">
        <f>_xlfn.XLOOKUP(A2780,'[1]Tissue Data'!$A:$A,'[1]Tissue Data'!L:L)</f>
        <v>5.5</v>
      </c>
      <c r="J2780">
        <f>_xlfn.XLOOKUP(A2780,'[1]Tissue Data'!$A:$A,'[1]Tissue Data'!M:M)</f>
        <v>2.4</v>
      </c>
      <c r="K2780" t="s">
        <v>40</v>
      </c>
      <c r="L2780" t="str">
        <f>_xlfn.XLOOKUP(K2780,[2]analyte_order!$B:$B,[2]analyte_order!$C:$C)</f>
        <v>2806-24-8</v>
      </c>
      <c r="M2780">
        <f>_xlfn.XLOOKUP(L2780,[2]analyte_order!$C:$C,[2]analyte_order!$E:$E)</f>
        <v>29</v>
      </c>
      <c r="N2780">
        <v>5.6500000000000002E-2</v>
      </c>
    </row>
    <row r="2781" spans="1:14">
      <c r="A2781" t="s">
        <v>194</v>
      </c>
      <c r="B2781" t="str">
        <f>_xlfn.XLOOKUP(A2781,'[1]Tissue Data'!$A:$A,'[1]Tissue Data'!$C:$C)</f>
        <v>Spill</v>
      </c>
      <c r="C2781" s="2">
        <f>_xlfn.XLOOKUP(A2781,'[1]Tissue Data'!$A:$A,'[1]Tissue Data'!$D:$D)</f>
        <v>44314</v>
      </c>
      <c r="D2781" s="2" t="str">
        <f>_xlfn.XLOOKUP(A2781,'[1]Tissue Data'!$A:$A,'[1]Tissue Data'!$F:$F)</f>
        <v>Swallowtail Shiner</v>
      </c>
      <c r="E2781" t="str">
        <f>_xlfn.XLOOKUP(A2781,'[1]Tissue Data'!$A:$A,'[1]Tissue Data'!$H:$H)</f>
        <v>Notropis</v>
      </c>
      <c r="F2781" t="str">
        <f>_xlfn.XLOOKUP(A2781,'[1]Tissue Data'!$A:$A,'[1]Tissue Data'!$I:$I)</f>
        <v>procne</v>
      </c>
      <c r="G2781" t="str">
        <f>_xlfn.XLOOKUP(A2781,'[1]Tissue Data'!$A:$A,'[1]Tissue Data'!J:J)</f>
        <v>U</v>
      </c>
      <c r="H2781" t="str">
        <f>_xlfn.XLOOKUP(A2781,'[1]Tissue Data'!$A:$A,'[1]Tissue Data'!K:K)</f>
        <v>Whole Body</v>
      </c>
      <c r="I2781">
        <f>_xlfn.XLOOKUP(A2781,'[1]Tissue Data'!$A:$A,'[1]Tissue Data'!L:L)</f>
        <v>5.5</v>
      </c>
      <c r="J2781">
        <f>_xlfn.XLOOKUP(A2781,'[1]Tissue Data'!$A:$A,'[1]Tissue Data'!M:M)</f>
        <v>2.4</v>
      </c>
      <c r="K2781" t="s">
        <v>41</v>
      </c>
      <c r="L2781" t="str">
        <f>_xlfn.XLOOKUP(K2781,[2]analyte_order!$B:$B,[2]analyte_order!$C:$C)</f>
        <v>2355-31-9</v>
      </c>
      <c r="M2781">
        <f>_xlfn.XLOOKUP(L2781,[2]analyte_order!$C:$C,[2]analyte_order!$E:$E)</f>
        <v>26</v>
      </c>
      <c r="N2781">
        <v>0.63900000000000001</v>
      </c>
    </row>
    <row r="2782" spans="1:14">
      <c r="A2782" t="s">
        <v>194</v>
      </c>
      <c r="B2782" t="str">
        <f>_xlfn.XLOOKUP(A2782,'[1]Tissue Data'!$A:$A,'[1]Tissue Data'!$C:$C)</f>
        <v>Spill</v>
      </c>
      <c r="C2782" s="2">
        <f>_xlfn.XLOOKUP(A2782,'[1]Tissue Data'!$A:$A,'[1]Tissue Data'!$D:$D)</f>
        <v>44314</v>
      </c>
      <c r="D2782" s="2" t="str">
        <f>_xlfn.XLOOKUP(A2782,'[1]Tissue Data'!$A:$A,'[1]Tissue Data'!$F:$F)</f>
        <v>Swallowtail Shiner</v>
      </c>
      <c r="E2782" t="str">
        <f>_xlfn.XLOOKUP(A2782,'[1]Tissue Data'!$A:$A,'[1]Tissue Data'!$H:$H)</f>
        <v>Notropis</v>
      </c>
      <c r="F2782" t="str">
        <f>_xlfn.XLOOKUP(A2782,'[1]Tissue Data'!$A:$A,'[1]Tissue Data'!$I:$I)</f>
        <v>procne</v>
      </c>
      <c r="G2782" t="str">
        <f>_xlfn.XLOOKUP(A2782,'[1]Tissue Data'!$A:$A,'[1]Tissue Data'!J:J)</f>
        <v>U</v>
      </c>
      <c r="H2782" t="str">
        <f>_xlfn.XLOOKUP(A2782,'[1]Tissue Data'!$A:$A,'[1]Tissue Data'!K:K)</f>
        <v>Whole Body</v>
      </c>
      <c r="I2782">
        <f>_xlfn.XLOOKUP(A2782,'[1]Tissue Data'!$A:$A,'[1]Tissue Data'!L:L)</f>
        <v>5.5</v>
      </c>
      <c r="J2782">
        <f>_xlfn.XLOOKUP(A2782,'[1]Tissue Data'!$A:$A,'[1]Tissue Data'!M:M)</f>
        <v>2.4</v>
      </c>
      <c r="K2782" t="s">
        <v>42</v>
      </c>
      <c r="L2782" t="str">
        <f>_xlfn.XLOOKUP(K2782,[2]analyte_order!$B:$B,[2]analyte_order!$C:$C)</f>
        <v>2991-50-6</v>
      </c>
      <c r="M2782">
        <f>_xlfn.XLOOKUP(L2782,[2]analyte_order!$C:$C,[2]analyte_order!$E:$E)</f>
        <v>27</v>
      </c>
      <c r="N2782">
        <v>6.2E-2</v>
      </c>
    </row>
    <row r="2783" spans="1:14">
      <c r="A2783" t="s">
        <v>194</v>
      </c>
      <c r="B2783" t="str">
        <f>_xlfn.XLOOKUP(A2783,'[1]Tissue Data'!$A:$A,'[1]Tissue Data'!$C:$C)</f>
        <v>Spill</v>
      </c>
      <c r="C2783" s="2">
        <f>_xlfn.XLOOKUP(A2783,'[1]Tissue Data'!$A:$A,'[1]Tissue Data'!$D:$D)</f>
        <v>44314</v>
      </c>
      <c r="D2783" s="2" t="str">
        <f>_xlfn.XLOOKUP(A2783,'[1]Tissue Data'!$A:$A,'[1]Tissue Data'!$F:$F)</f>
        <v>Swallowtail Shiner</v>
      </c>
      <c r="E2783" t="str">
        <f>_xlfn.XLOOKUP(A2783,'[1]Tissue Data'!$A:$A,'[1]Tissue Data'!$H:$H)</f>
        <v>Notropis</v>
      </c>
      <c r="F2783" t="str">
        <f>_xlfn.XLOOKUP(A2783,'[1]Tissue Data'!$A:$A,'[1]Tissue Data'!$I:$I)</f>
        <v>procne</v>
      </c>
      <c r="G2783" t="str">
        <f>_xlfn.XLOOKUP(A2783,'[1]Tissue Data'!$A:$A,'[1]Tissue Data'!J:J)</f>
        <v>U</v>
      </c>
      <c r="H2783" t="str">
        <f>_xlfn.XLOOKUP(A2783,'[1]Tissue Data'!$A:$A,'[1]Tissue Data'!K:K)</f>
        <v>Whole Body</v>
      </c>
      <c r="I2783">
        <f>_xlfn.XLOOKUP(A2783,'[1]Tissue Data'!$A:$A,'[1]Tissue Data'!L:L)</f>
        <v>5.5</v>
      </c>
      <c r="J2783">
        <f>_xlfn.XLOOKUP(A2783,'[1]Tissue Data'!$A:$A,'[1]Tissue Data'!M:M)</f>
        <v>2.4</v>
      </c>
      <c r="K2783" t="s">
        <v>43</v>
      </c>
      <c r="L2783" t="str">
        <f>_xlfn.XLOOKUP(K2783,[2]analyte_order!$B:$B,[2]analyte_order!$C:$C)</f>
        <v>757124-72-4</v>
      </c>
      <c r="M2783">
        <f>_xlfn.XLOOKUP(L2783,[2]analyte_order!$C:$C,[2]analyte_order!$E:$E)</f>
        <v>22</v>
      </c>
      <c r="N2783">
        <v>5.8999999999999997E-2</v>
      </c>
    </row>
    <row r="2784" spans="1:14">
      <c r="A2784" t="s">
        <v>194</v>
      </c>
      <c r="B2784" t="str">
        <f>_xlfn.XLOOKUP(A2784,'[1]Tissue Data'!$A:$A,'[1]Tissue Data'!$C:$C)</f>
        <v>Spill</v>
      </c>
      <c r="C2784" s="2">
        <f>_xlfn.XLOOKUP(A2784,'[1]Tissue Data'!$A:$A,'[1]Tissue Data'!$D:$D)</f>
        <v>44314</v>
      </c>
      <c r="D2784" s="2" t="str">
        <f>_xlfn.XLOOKUP(A2784,'[1]Tissue Data'!$A:$A,'[1]Tissue Data'!$F:$F)</f>
        <v>Swallowtail Shiner</v>
      </c>
      <c r="E2784" t="str">
        <f>_xlfn.XLOOKUP(A2784,'[1]Tissue Data'!$A:$A,'[1]Tissue Data'!$H:$H)</f>
        <v>Notropis</v>
      </c>
      <c r="F2784" t="str">
        <f>_xlfn.XLOOKUP(A2784,'[1]Tissue Data'!$A:$A,'[1]Tissue Data'!$I:$I)</f>
        <v>procne</v>
      </c>
      <c r="G2784" t="str">
        <f>_xlfn.XLOOKUP(A2784,'[1]Tissue Data'!$A:$A,'[1]Tissue Data'!J:J)</f>
        <v>U</v>
      </c>
      <c r="H2784" t="str">
        <f>_xlfn.XLOOKUP(A2784,'[1]Tissue Data'!$A:$A,'[1]Tissue Data'!K:K)</f>
        <v>Whole Body</v>
      </c>
      <c r="I2784">
        <f>_xlfn.XLOOKUP(A2784,'[1]Tissue Data'!$A:$A,'[1]Tissue Data'!L:L)</f>
        <v>5.5</v>
      </c>
      <c r="J2784">
        <f>_xlfn.XLOOKUP(A2784,'[1]Tissue Data'!$A:$A,'[1]Tissue Data'!M:M)</f>
        <v>2.4</v>
      </c>
      <c r="K2784" t="s">
        <v>44</v>
      </c>
      <c r="L2784" t="str">
        <f>_xlfn.XLOOKUP(K2784,[2]analyte_order!$B:$B,[2]analyte_order!$C:$C)</f>
        <v>27619-97-2</v>
      </c>
      <c r="M2784">
        <f>_xlfn.XLOOKUP(L2784,[2]analyte_order!$C:$C,[2]analyte_order!$E:$E)</f>
        <v>23</v>
      </c>
      <c r="N2784">
        <v>0.42099999999999999</v>
      </c>
    </row>
    <row r="2785" spans="1:14">
      <c r="A2785" t="s">
        <v>194</v>
      </c>
      <c r="B2785" t="str">
        <f>_xlfn.XLOOKUP(A2785,'[1]Tissue Data'!$A:$A,'[1]Tissue Data'!$C:$C)</f>
        <v>Spill</v>
      </c>
      <c r="C2785" s="2">
        <f>_xlfn.XLOOKUP(A2785,'[1]Tissue Data'!$A:$A,'[1]Tissue Data'!$D:$D)</f>
        <v>44314</v>
      </c>
      <c r="D2785" s="2" t="str">
        <f>_xlfn.XLOOKUP(A2785,'[1]Tissue Data'!$A:$A,'[1]Tissue Data'!$F:$F)</f>
        <v>Swallowtail Shiner</v>
      </c>
      <c r="E2785" t="str">
        <f>_xlfn.XLOOKUP(A2785,'[1]Tissue Data'!$A:$A,'[1]Tissue Data'!$H:$H)</f>
        <v>Notropis</v>
      </c>
      <c r="F2785" t="str">
        <f>_xlfn.XLOOKUP(A2785,'[1]Tissue Data'!$A:$A,'[1]Tissue Data'!$I:$I)</f>
        <v>procne</v>
      </c>
      <c r="G2785" t="str">
        <f>_xlfn.XLOOKUP(A2785,'[1]Tissue Data'!$A:$A,'[1]Tissue Data'!J:J)</f>
        <v>U</v>
      </c>
      <c r="H2785" t="str">
        <f>_xlfn.XLOOKUP(A2785,'[1]Tissue Data'!$A:$A,'[1]Tissue Data'!K:K)</f>
        <v>Whole Body</v>
      </c>
      <c r="I2785">
        <f>_xlfn.XLOOKUP(A2785,'[1]Tissue Data'!$A:$A,'[1]Tissue Data'!L:L)</f>
        <v>5.5</v>
      </c>
      <c r="J2785">
        <f>_xlfn.XLOOKUP(A2785,'[1]Tissue Data'!$A:$A,'[1]Tissue Data'!M:M)</f>
        <v>2.4</v>
      </c>
      <c r="K2785" t="s">
        <v>45</v>
      </c>
      <c r="L2785" t="str">
        <f>_xlfn.XLOOKUP(K2785,[2]analyte_order!$B:$B,[2]analyte_order!$C:$C)</f>
        <v>39108-34-4</v>
      </c>
      <c r="M2785">
        <f>_xlfn.XLOOKUP(L2785,[2]analyte_order!$C:$C,[2]analyte_order!$E:$E)</f>
        <v>24</v>
      </c>
      <c r="N2785">
        <v>20.3</v>
      </c>
    </row>
    <row r="2786" spans="1:14">
      <c r="A2786" t="s">
        <v>194</v>
      </c>
      <c r="B2786" t="str">
        <f>_xlfn.XLOOKUP(A2786,'[1]Tissue Data'!$A:$A,'[1]Tissue Data'!$C:$C)</f>
        <v>Spill</v>
      </c>
      <c r="C2786" s="2">
        <f>_xlfn.XLOOKUP(A2786,'[1]Tissue Data'!$A:$A,'[1]Tissue Data'!$D:$D)</f>
        <v>44314</v>
      </c>
      <c r="D2786" s="2" t="str">
        <f>_xlfn.XLOOKUP(A2786,'[1]Tissue Data'!$A:$A,'[1]Tissue Data'!$F:$F)</f>
        <v>Swallowtail Shiner</v>
      </c>
      <c r="E2786" t="str">
        <f>_xlfn.XLOOKUP(A2786,'[1]Tissue Data'!$A:$A,'[1]Tissue Data'!$H:$H)</f>
        <v>Notropis</v>
      </c>
      <c r="F2786" t="str">
        <f>_xlfn.XLOOKUP(A2786,'[1]Tissue Data'!$A:$A,'[1]Tissue Data'!$I:$I)</f>
        <v>procne</v>
      </c>
      <c r="G2786" t="str">
        <f>_xlfn.XLOOKUP(A2786,'[1]Tissue Data'!$A:$A,'[1]Tissue Data'!J:J)</f>
        <v>U</v>
      </c>
      <c r="H2786" t="str">
        <f>_xlfn.XLOOKUP(A2786,'[1]Tissue Data'!$A:$A,'[1]Tissue Data'!K:K)</f>
        <v>Whole Body</v>
      </c>
      <c r="I2786">
        <f>_xlfn.XLOOKUP(A2786,'[1]Tissue Data'!$A:$A,'[1]Tissue Data'!L:L)</f>
        <v>5.5</v>
      </c>
      <c r="J2786">
        <f>_xlfn.XLOOKUP(A2786,'[1]Tissue Data'!$A:$A,'[1]Tissue Data'!M:M)</f>
        <v>2.4</v>
      </c>
      <c r="K2786" t="s">
        <v>46</v>
      </c>
      <c r="L2786" t="str">
        <f>_xlfn.XLOOKUP(K2786,[2]analyte_order!$B:$B,[2]analyte_order!$C:$C)</f>
        <v>120226-60-0</v>
      </c>
      <c r="M2786">
        <f>_xlfn.XLOOKUP(L2786,[2]analyte_order!$C:$C,[2]analyte_order!$E:$E)</f>
        <v>25</v>
      </c>
      <c r="N2786">
        <v>8.1500000000000003E-2</v>
      </c>
    </row>
    <row r="2787" spans="1:14">
      <c r="A2787" t="s">
        <v>194</v>
      </c>
      <c r="B2787" t="str">
        <f>_xlfn.XLOOKUP(A2787,'[1]Tissue Data'!$A:$A,'[1]Tissue Data'!$C:$C)</f>
        <v>Spill</v>
      </c>
      <c r="C2787" s="2">
        <f>_xlfn.XLOOKUP(A2787,'[1]Tissue Data'!$A:$A,'[1]Tissue Data'!$D:$D)</f>
        <v>44314</v>
      </c>
      <c r="D2787" s="2" t="str">
        <f>_xlfn.XLOOKUP(A2787,'[1]Tissue Data'!$A:$A,'[1]Tissue Data'!$F:$F)</f>
        <v>Swallowtail Shiner</v>
      </c>
      <c r="E2787" t="str">
        <f>_xlfn.XLOOKUP(A2787,'[1]Tissue Data'!$A:$A,'[1]Tissue Data'!$H:$H)</f>
        <v>Notropis</v>
      </c>
      <c r="F2787" t="str">
        <f>_xlfn.XLOOKUP(A2787,'[1]Tissue Data'!$A:$A,'[1]Tissue Data'!$I:$I)</f>
        <v>procne</v>
      </c>
      <c r="G2787" t="str">
        <f>_xlfn.XLOOKUP(A2787,'[1]Tissue Data'!$A:$A,'[1]Tissue Data'!J:J)</f>
        <v>U</v>
      </c>
      <c r="H2787" t="str">
        <f>_xlfn.XLOOKUP(A2787,'[1]Tissue Data'!$A:$A,'[1]Tissue Data'!K:K)</f>
        <v>Whole Body</v>
      </c>
      <c r="I2787">
        <f>_xlfn.XLOOKUP(A2787,'[1]Tissue Data'!$A:$A,'[1]Tissue Data'!L:L)</f>
        <v>5.5</v>
      </c>
      <c r="J2787">
        <f>_xlfn.XLOOKUP(A2787,'[1]Tissue Data'!$A:$A,'[1]Tissue Data'!M:M)</f>
        <v>2.4</v>
      </c>
      <c r="K2787" t="s">
        <v>47</v>
      </c>
      <c r="L2787" t="str">
        <f>_xlfn.XLOOKUP(K2787,[2]analyte_order!$B:$B,[2]analyte_order!$C:$C)</f>
        <v>356-02-5</v>
      </c>
      <c r="M2787">
        <f>_xlfn.XLOOKUP(L2787,[2]analyte_order!$C:$C,[2]analyte_order!$E:$E)</f>
        <v>38</v>
      </c>
      <c r="N2787">
        <v>8.2500000000000004E-2</v>
      </c>
    </row>
    <row r="2788" spans="1:14">
      <c r="A2788" t="s">
        <v>194</v>
      </c>
      <c r="B2788" t="str">
        <f>_xlfn.XLOOKUP(A2788,'[1]Tissue Data'!$A:$A,'[1]Tissue Data'!$C:$C)</f>
        <v>Spill</v>
      </c>
      <c r="C2788" s="2">
        <f>_xlfn.XLOOKUP(A2788,'[1]Tissue Data'!$A:$A,'[1]Tissue Data'!$D:$D)</f>
        <v>44314</v>
      </c>
      <c r="D2788" s="2" t="str">
        <f>_xlfn.XLOOKUP(A2788,'[1]Tissue Data'!$A:$A,'[1]Tissue Data'!$F:$F)</f>
        <v>Swallowtail Shiner</v>
      </c>
      <c r="E2788" t="str">
        <f>_xlfn.XLOOKUP(A2788,'[1]Tissue Data'!$A:$A,'[1]Tissue Data'!$H:$H)</f>
        <v>Notropis</v>
      </c>
      <c r="F2788" t="str">
        <f>_xlfn.XLOOKUP(A2788,'[1]Tissue Data'!$A:$A,'[1]Tissue Data'!$I:$I)</f>
        <v>procne</v>
      </c>
      <c r="G2788" t="str">
        <f>_xlfn.XLOOKUP(A2788,'[1]Tissue Data'!$A:$A,'[1]Tissue Data'!J:J)</f>
        <v>U</v>
      </c>
      <c r="H2788" t="str">
        <f>_xlfn.XLOOKUP(A2788,'[1]Tissue Data'!$A:$A,'[1]Tissue Data'!K:K)</f>
        <v>Whole Body</v>
      </c>
      <c r="I2788">
        <f>_xlfn.XLOOKUP(A2788,'[1]Tissue Data'!$A:$A,'[1]Tissue Data'!L:L)</f>
        <v>5.5</v>
      </c>
      <c r="J2788">
        <f>_xlfn.XLOOKUP(A2788,'[1]Tissue Data'!$A:$A,'[1]Tissue Data'!M:M)</f>
        <v>2.4</v>
      </c>
      <c r="K2788" t="s">
        <v>48</v>
      </c>
      <c r="L2788" t="str">
        <f>_xlfn.XLOOKUP(K2788,[2]analyte_order!$B:$B,[2]analyte_order!$C:$C)</f>
        <v>914637-49-3</v>
      </c>
      <c r="M2788">
        <f>_xlfn.XLOOKUP(L2788,[2]analyte_order!$C:$C,[2]analyte_order!$E:$E)</f>
        <v>39</v>
      </c>
      <c r="N2788">
        <v>2.57</v>
      </c>
    </row>
    <row r="2789" spans="1:14">
      <c r="A2789" t="s">
        <v>194</v>
      </c>
      <c r="B2789" t="str">
        <f>_xlfn.XLOOKUP(A2789,'[1]Tissue Data'!$A:$A,'[1]Tissue Data'!$C:$C)</f>
        <v>Spill</v>
      </c>
      <c r="C2789" s="2">
        <f>_xlfn.XLOOKUP(A2789,'[1]Tissue Data'!$A:$A,'[1]Tissue Data'!$D:$D)</f>
        <v>44314</v>
      </c>
      <c r="D2789" s="2" t="str">
        <f>_xlfn.XLOOKUP(A2789,'[1]Tissue Data'!$A:$A,'[1]Tissue Data'!$F:$F)</f>
        <v>Swallowtail Shiner</v>
      </c>
      <c r="E2789" t="str">
        <f>_xlfn.XLOOKUP(A2789,'[1]Tissue Data'!$A:$A,'[1]Tissue Data'!$H:$H)</f>
        <v>Notropis</v>
      </c>
      <c r="F2789" t="str">
        <f>_xlfn.XLOOKUP(A2789,'[1]Tissue Data'!$A:$A,'[1]Tissue Data'!$I:$I)</f>
        <v>procne</v>
      </c>
      <c r="G2789" t="str">
        <f>_xlfn.XLOOKUP(A2789,'[1]Tissue Data'!$A:$A,'[1]Tissue Data'!J:J)</f>
        <v>U</v>
      </c>
      <c r="H2789" t="str">
        <f>_xlfn.XLOOKUP(A2789,'[1]Tissue Data'!$A:$A,'[1]Tissue Data'!K:K)</f>
        <v>Whole Body</v>
      </c>
      <c r="I2789">
        <f>_xlfn.XLOOKUP(A2789,'[1]Tissue Data'!$A:$A,'[1]Tissue Data'!L:L)</f>
        <v>5.5</v>
      </c>
      <c r="J2789">
        <f>_xlfn.XLOOKUP(A2789,'[1]Tissue Data'!$A:$A,'[1]Tissue Data'!M:M)</f>
        <v>2.4</v>
      </c>
      <c r="K2789" t="s">
        <v>49</v>
      </c>
      <c r="L2789" t="str">
        <f>_xlfn.XLOOKUP(K2789,[2]analyte_order!$B:$B,[2]analyte_order!$C:$C)</f>
        <v>812-70-4</v>
      </c>
      <c r="M2789">
        <f>_xlfn.XLOOKUP(L2789,[2]analyte_order!$C:$C,[2]analyte_order!$E:$E)</f>
        <v>40</v>
      </c>
      <c r="N2789">
        <v>5.7500000000000002E-2</v>
      </c>
    </row>
    <row r="2790" spans="1:14">
      <c r="A2790" t="s">
        <v>194</v>
      </c>
      <c r="B2790" t="str">
        <f>_xlfn.XLOOKUP(A2790,'[1]Tissue Data'!$A:$A,'[1]Tissue Data'!$C:$C)</f>
        <v>Spill</v>
      </c>
      <c r="C2790" s="2">
        <f>_xlfn.XLOOKUP(A2790,'[1]Tissue Data'!$A:$A,'[1]Tissue Data'!$D:$D)</f>
        <v>44314</v>
      </c>
      <c r="D2790" s="2" t="str">
        <f>_xlfn.XLOOKUP(A2790,'[1]Tissue Data'!$A:$A,'[1]Tissue Data'!$F:$F)</f>
        <v>Swallowtail Shiner</v>
      </c>
      <c r="E2790" t="str">
        <f>_xlfn.XLOOKUP(A2790,'[1]Tissue Data'!$A:$A,'[1]Tissue Data'!$H:$H)</f>
        <v>Notropis</v>
      </c>
      <c r="F2790" t="str">
        <f>_xlfn.XLOOKUP(A2790,'[1]Tissue Data'!$A:$A,'[1]Tissue Data'!$I:$I)</f>
        <v>procne</v>
      </c>
      <c r="G2790" t="str">
        <f>_xlfn.XLOOKUP(A2790,'[1]Tissue Data'!$A:$A,'[1]Tissue Data'!J:J)</f>
        <v>U</v>
      </c>
      <c r="H2790" t="str">
        <f>_xlfn.XLOOKUP(A2790,'[1]Tissue Data'!$A:$A,'[1]Tissue Data'!K:K)</f>
        <v>Whole Body</v>
      </c>
      <c r="I2790">
        <f>_xlfn.XLOOKUP(A2790,'[1]Tissue Data'!$A:$A,'[1]Tissue Data'!L:L)</f>
        <v>5.5</v>
      </c>
      <c r="J2790">
        <f>_xlfn.XLOOKUP(A2790,'[1]Tissue Data'!$A:$A,'[1]Tissue Data'!M:M)</f>
        <v>2.4</v>
      </c>
      <c r="K2790" t="s">
        <v>50</v>
      </c>
      <c r="L2790" t="str">
        <f>_xlfn.XLOOKUP(K2790,[2]analyte_order!$B:$B,[2]analyte_order!$C:$C)</f>
        <v>53826-12-3</v>
      </c>
      <c r="M2790">
        <f>_xlfn.XLOOKUP(L2790,[2]analyte_order!$C:$C,[2]analyte_order!$E:$E)</f>
        <v>41</v>
      </c>
      <c r="N2790">
        <v>4.5900000000000003E-2</v>
      </c>
    </row>
    <row r="2791" spans="1:14">
      <c r="A2791" t="s">
        <v>194</v>
      </c>
      <c r="B2791" t="str">
        <f>_xlfn.XLOOKUP(A2791,'[1]Tissue Data'!$A:$A,'[1]Tissue Data'!$C:$C)</f>
        <v>Spill</v>
      </c>
      <c r="C2791" s="2">
        <f>_xlfn.XLOOKUP(A2791,'[1]Tissue Data'!$A:$A,'[1]Tissue Data'!$D:$D)</f>
        <v>44314</v>
      </c>
      <c r="D2791" s="2" t="str">
        <f>_xlfn.XLOOKUP(A2791,'[1]Tissue Data'!$A:$A,'[1]Tissue Data'!$F:$F)</f>
        <v>Swallowtail Shiner</v>
      </c>
      <c r="E2791" t="str">
        <f>_xlfn.XLOOKUP(A2791,'[1]Tissue Data'!$A:$A,'[1]Tissue Data'!$H:$H)</f>
        <v>Notropis</v>
      </c>
      <c r="F2791" t="str">
        <f>_xlfn.XLOOKUP(A2791,'[1]Tissue Data'!$A:$A,'[1]Tissue Data'!$I:$I)</f>
        <v>procne</v>
      </c>
      <c r="G2791" t="str">
        <f>_xlfn.XLOOKUP(A2791,'[1]Tissue Data'!$A:$A,'[1]Tissue Data'!J:J)</f>
        <v>U</v>
      </c>
      <c r="H2791" t="str">
        <f>_xlfn.XLOOKUP(A2791,'[1]Tissue Data'!$A:$A,'[1]Tissue Data'!K:K)</f>
        <v>Whole Body</v>
      </c>
      <c r="I2791">
        <f>_xlfn.XLOOKUP(A2791,'[1]Tissue Data'!$A:$A,'[1]Tissue Data'!L:L)</f>
        <v>5.5</v>
      </c>
      <c r="J2791">
        <f>_xlfn.XLOOKUP(A2791,'[1]Tissue Data'!$A:$A,'[1]Tissue Data'!M:M)</f>
        <v>2.4</v>
      </c>
      <c r="K2791" t="s">
        <v>51</v>
      </c>
      <c r="L2791" t="str">
        <f>_xlfn.XLOOKUP(K2791,[2]analyte_order!$B:$B,[2]analyte_order!$C:$C)</f>
        <v>27854-31-5</v>
      </c>
      <c r="M2791">
        <f>_xlfn.XLOOKUP(L2791,[2]analyte_order!$C:$C,[2]analyte_order!$E:$E)</f>
        <v>42</v>
      </c>
      <c r="N2791">
        <v>2.8649999999999998E-2</v>
      </c>
    </row>
    <row r="2792" spans="1:14">
      <c r="A2792" t="s">
        <v>194</v>
      </c>
      <c r="B2792" t="str">
        <f>_xlfn.XLOOKUP(A2792,'[1]Tissue Data'!$A:$A,'[1]Tissue Data'!$C:$C)</f>
        <v>Spill</v>
      </c>
      <c r="C2792" s="2">
        <f>_xlfn.XLOOKUP(A2792,'[1]Tissue Data'!$A:$A,'[1]Tissue Data'!$D:$D)</f>
        <v>44314</v>
      </c>
      <c r="D2792" s="2" t="str">
        <f>_xlfn.XLOOKUP(A2792,'[1]Tissue Data'!$A:$A,'[1]Tissue Data'!$F:$F)</f>
        <v>Swallowtail Shiner</v>
      </c>
      <c r="E2792" t="str">
        <f>_xlfn.XLOOKUP(A2792,'[1]Tissue Data'!$A:$A,'[1]Tissue Data'!$H:$H)</f>
        <v>Notropis</v>
      </c>
      <c r="F2792" t="str">
        <f>_xlfn.XLOOKUP(A2792,'[1]Tissue Data'!$A:$A,'[1]Tissue Data'!$I:$I)</f>
        <v>procne</v>
      </c>
      <c r="G2792" t="str">
        <f>_xlfn.XLOOKUP(A2792,'[1]Tissue Data'!$A:$A,'[1]Tissue Data'!J:J)</f>
        <v>U</v>
      </c>
      <c r="H2792" t="str">
        <f>_xlfn.XLOOKUP(A2792,'[1]Tissue Data'!$A:$A,'[1]Tissue Data'!K:K)</f>
        <v>Whole Body</v>
      </c>
      <c r="I2792">
        <f>_xlfn.XLOOKUP(A2792,'[1]Tissue Data'!$A:$A,'[1]Tissue Data'!L:L)</f>
        <v>5.5</v>
      </c>
      <c r="J2792">
        <f>_xlfn.XLOOKUP(A2792,'[1]Tissue Data'!$A:$A,'[1]Tissue Data'!M:M)</f>
        <v>2.4</v>
      </c>
      <c r="K2792" t="s">
        <v>52</v>
      </c>
      <c r="L2792" t="str">
        <f>_xlfn.XLOOKUP(K2792,[2]analyte_order!$B:$B,[2]analyte_order!$C:$C)</f>
        <v>53826-13-4</v>
      </c>
      <c r="M2792">
        <f>_xlfn.XLOOKUP(L2792,[2]analyte_order!$C:$C,[2]analyte_order!$E:$E)</f>
        <v>43</v>
      </c>
      <c r="N2792">
        <v>0.107</v>
      </c>
    </row>
    <row r="2793" spans="1:14">
      <c r="A2793" t="s">
        <v>194</v>
      </c>
      <c r="B2793" t="str">
        <f>_xlfn.XLOOKUP(A2793,'[1]Tissue Data'!$A:$A,'[1]Tissue Data'!$C:$C)</f>
        <v>Spill</v>
      </c>
      <c r="C2793" s="2">
        <f>_xlfn.XLOOKUP(A2793,'[1]Tissue Data'!$A:$A,'[1]Tissue Data'!$D:$D)</f>
        <v>44314</v>
      </c>
      <c r="D2793" s="2" t="str">
        <f>_xlfn.XLOOKUP(A2793,'[1]Tissue Data'!$A:$A,'[1]Tissue Data'!$F:$F)</f>
        <v>Swallowtail Shiner</v>
      </c>
      <c r="E2793" t="str">
        <f>_xlfn.XLOOKUP(A2793,'[1]Tissue Data'!$A:$A,'[1]Tissue Data'!$H:$H)</f>
        <v>Notropis</v>
      </c>
      <c r="F2793" t="str">
        <f>_xlfn.XLOOKUP(A2793,'[1]Tissue Data'!$A:$A,'[1]Tissue Data'!$I:$I)</f>
        <v>procne</v>
      </c>
      <c r="G2793" t="str">
        <f>_xlfn.XLOOKUP(A2793,'[1]Tissue Data'!$A:$A,'[1]Tissue Data'!J:J)</f>
        <v>U</v>
      </c>
      <c r="H2793" t="str">
        <f>_xlfn.XLOOKUP(A2793,'[1]Tissue Data'!$A:$A,'[1]Tissue Data'!K:K)</f>
        <v>Whole Body</v>
      </c>
      <c r="I2793">
        <f>_xlfn.XLOOKUP(A2793,'[1]Tissue Data'!$A:$A,'[1]Tissue Data'!L:L)</f>
        <v>5.5</v>
      </c>
      <c r="J2793">
        <f>_xlfn.XLOOKUP(A2793,'[1]Tissue Data'!$A:$A,'[1]Tissue Data'!M:M)</f>
        <v>2.4</v>
      </c>
      <c r="K2793" t="s">
        <v>53</v>
      </c>
      <c r="L2793" t="str">
        <f>_xlfn.XLOOKUP(K2793,[2]analyte_order!$B:$B,[2]analyte_order!$C:$C)</f>
        <v>161094-75-3</v>
      </c>
      <c r="M2793">
        <f>_xlfn.XLOOKUP(L2793,[2]analyte_order!$C:$C,[2]analyte_order!$E:$E)</f>
        <v>44</v>
      </c>
      <c r="N2793">
        <v>5.6000000000000001E-2</v>
      </c>
    </row>
    <row r="2794" spans="1:14">
      <c r="A2794" t="s">
        <v>194</v>
      </c>
      <c r="B2794" t="str">
        <f>_xlfn.XLOOKUP(A2794,'[1]Tissue Data'!$A:$A,'[1]Tissue Data'!$C:$C)</f>
        <v>Spill</v>
      </c>
      <c r="C2794" s="2">
        <f>_xlfn.XLOOKUP(A2794,'[1]Tissue Data'!$A:$A,'[1]Tissue Data'!$D:$D)</f>
        <v>44314</v>
      </c>
      <c r="D2794" s="2" t="str">
        <f>_xlfn.XLOOKUP(A2794,'[1]Tissue Data'!$A:$A,'[1]Tissue Data'!$F:$F)</f>
        <v>Swallowtail Shiner</v>
      </c>
      <c r="E2794" t="str">
        <f>_xlfn.XLOOKUP(A2794,'[1]Tissue Data'!$A:$A,'[1]Tissue Data'!$H:$H)</f>
        <v>Notropis</v>
      </c>
      <c r="F2794" t="str">
        <f>_xlfn.XLOOKUP(A2794,'[1]Tissue Data'!$A:$A,'[1]Tissue Data'!$I:$I)</f>
        <v>procne</v>
      </c>
      <c r="G2794" t="str">
        <f>_xlfn.XLOOKUP(A2794,'[1]Tissue Data'!$A:$A,'[1]Tissue Data'!J:J)</f>
        <v>U</v>
      </c>
      <c r="H2794" t="str">
        <f>_xlfn.XLOOKUP(A2794,'[1]Tissue Data'!$A:$A,'[1]Tissue Data'!K:K)</f>
        <v>Whole Body</v>
      </c>
      <c r="I2794">
        <f>_xlfn.XLOOKUP(A2794,'[1]Tissue Data'!$A:$A,'[1]Tissue Data'!L:L)</f>
        <v>5.5</v>
      </c>
      <c r="J2794">
        <f>_xlfn.XLOOKUP(A2794,'[1]Tissue Data'!$A:$A,'[1]Tissue Data'!M:M)</f>
        <v>2.4</v>
      </c>
      <c r="K2794" t="s">
        <v>54</v>
      </c>
      <c r="L2794" t="str">
        <f>_xlfn.XLOOKUP(K2794,[2]analyte_order!$B:$B,[2]analyte_order!$C:$C)</f>
        <v>70887-84-2</v>
      </c>
      <c r="M2794">
        <f>_xlfn.XLOOKUP(L2794,[2]analyte_order!$C:$C,[2]analyte_order!$E:$E)</f>
        <v>45</v>
      </c>
      <c r="N2794">
        <v>4.335E-2</v>
      </c>
    </row>
    <row r="2795" spans="1:14">
      <c r="A2795" t="s">
        <v>194</v>
      </c>
      <c r="B2795" t="str">
        <f>_xlfn.XLOOKUP(A2795,'[1]Tissue Data'!$A:$A,'[1]Tissue Data'!$C:$C)</f>
        <v>Spill</v>
      </c>
      <c r="C2795" s="2">
        <f>_xlfn.XLOOKUP(A2795,'[1]Tissue Data'!$A:$A,'[1]Tissue Data'!$D:$D)</f>
        <v>44314</v>
      </c>
      <c r="D2795" s="2" t="str">
        <f>_xlfn.XLOOKUP(A2795,'[1]Tissue Data'!$A:$A,'[1]Tissue Data'!$F:$F)</f>
        <v>Swallowtail Shiner</v>
      </c>
      <c r="E2795" t="str">
        <f>_xlfn.XLOOKUP(A2795,'[1]Tissue Data'!$A:$A,'[1]Tissue Data'!$H:$H)</f>
        <v>Notropis</v>
      </c>
      <c r="F2795" t="str">
        <f>_xlfn.XLOOKUP(A2795,'[1]Tissue Data'!$A:$A,'[1]Tissue Data'!$I:$I)</f>
        <v>procne</v>
      </c>
      <c r="G2795" t="str">
        <f>_xlfn.XLOOKUP(A2795,'[1]Tissue Data'!$A:$A,'[1]Tissue Data'!J:J)</f>
        <v>U</v>
      </c>
      <c r="H2795" t="str">
        <f>_xlfn.XLOOKUP(A2795,'[1]Tissue Data'!$A:$A,'[1]Tissue Data'!K:K)</f>
        <v>Whole Body</v>
      </c>
      <c r="I2795">
        <f>_xlfn.XLOOKUP(A2795,'[1]Tissue Data'!$A:$A,'[1]Tissue Data'!L:L)</f>
        <v>5.5</v>
      </c>
      <c r="J2795">
        <f>_xlfn.XLOOKUP(A2795,'[1]Tissue Data'!$A:$A,'[1]Tissue Data'!M:M)</f>
        <v>2.4</v>
      </c>
      <c r="K2795" t="s">
        <v>55</v>
      </c>
      <c r="L2795" t="str">
        <f>_xlfn.XLOOKUP(K2795,[2]analyte_order!$B:$B,[2]analyte_order!$C:$C)</f>
        <v>919005-14-4</v>
      </c>
      <c r="M2795">
        <f>_xlfn.XLOOKUP(L2795,[2]analyte_order!$C:$C,[2]analyte_order!$E:$E)</f>
        <v>35</v>
      </c>
      <c r="N2795">
        <v>7.1499999999999994E-2</v>
      </c>
    </row>
    <row r="2796" spans="1:14">
      <c r="A2796" t="s">
        <v>194</v>
      </c>
      <c r="B2796" t="str">
        <f>_xlfn.XLOOKUP(A2796,'[1]Tissue Data'!$A:$A,'[1]Tissue Data'!$C:$C)</f>
        <v>Spill</v>
      </c>
      <c r="C2796" s="2">
        <f>_xlfn.XLOOKUP(A2796,'[1]Tissue Data'!$A:$A,'[1]Tissue Data'!$D:$D)</f>
        <v>44314</v>
      </c>
      <c r="D2796" s="2" t="str">
        <f>_xlfn.XLOOKUP(A2796,'[1]Tissue Data'!$A:$A,'[1]Tissue Data'!$F:$F)</f>
        <v>Swallowtail Shiner</v>
      </c>
      <c r="E2796" t="str">
        <f>_xlfn.XLOOKUP(A2796,'[1]Tissue Data'!$A:$A,'[1]Tissue Data'!$H:$H)</f>
        <v>Notropis</v>
      </c>
      <c r="F2796" t="str">
        <f>_xlfn.XLOOKUP(A2796,'[1]Tissue Data'!$A:$A,'[1]Tissue Data'!$I:$I)</f>
        <v>procne</v>
      </c>
      <c r="G2796" t="str">
        <f>_xlfn.XLOOKUP(A2796,'[1]Tissue Data'!$A:$A,'[1]Tissue Data'!J:J)</f>
        <v>U</v>
      </c>
      <c r="H2796" t="str">
        <f>_xlfn.XLOOKUP(A2796,'[1]Tissue Data'!$A:$A,'[1]Tissue Data'!K:K)</f>
        <v>Whole Body</v>
      </c>
      <c r="I2796">
        <f>_xlfn.XLOOKUP(A2796,'[1]Tissue Data'!$A:$A,'[1]Tissue Data'!L:L)</f>
        <v>5.5</v>
      </c>
      <c r="J2796">
        <f>_xlfn.XLOOKUP(A2796,'[1]Tissue Data'!$A:$A,'[1]Tissue Data'!M:M)</f>
        <v>2.4</v>
      </c>
      <c r="K2796" t="s">
        <v>56</v>
      </c>
      <c r="L2796" t="str">
        <f>_xlfn.XLOOKUP(K2796,[2]analyte_order!$B:$B,[2]analyte_order!$C:$C)</f>
        <v>756426-58-1</v>
      </c>
      <c r="M2796">
        <f>_xlfn.XLOOKUP(L2796,[2]analyte_order!$C:$C,[2]analyte_order!$E:$E)</f>
        <v>36</v>
      </c>
      <c r="N2796">
        <v>4.9700000000000001E-2</v>
      </c>
    </row>
    <row r="2797" spans="1:14">
      <c r="A2797" t="s">
        <v>194</v>
      </c>
      <c r="B2797" t="str">
        <f>_xlfn.XLOOKUP(A2797,'[1]Tissue Data'!$A:$A,'[1]Tissue Data'!$C:$C)</f>
        <v>Spill</v>
      </c>
      <c r="C2797" s="2">
        <f>_xlfn.XLOOKUP(A2797,'[1]Tissue Data'!$A:$A,'[1]Tissue Data'!$D:$D)</f>
        <v>44314</v>
      </c>
      <c r="D2797" s="2" t="str">
        <f>_xlfn.XLOOKUP(A2797,'[1]Tissue Data'!$A:$A,'[1]Tissue Data'!$F:$F)</f>
        <v>Swallowtail Shiner</v>
      </c>
      <c r="E2797" t="str">
        <f>_xlfn.XLOOKUP(A2797,'[1]Tissue Data'!$A:$A,'[1]Tissue Data'!$H:$H)</f>
        <v>Notropis</v>
      </c>
      <c r="F2797" t="str">
        <f>_xlfn.XLOOKUP(A2797,'[1]Tissue Data'!$A:$A,'[1]Tissue Data'!$I:$I)</f>
        <v>procne</v>
      </c>
      <c r="G2797" t="str">
        <f>_xlfn.XLOOKUP(A2797,'[1]Tissue Data'!$A:$A,'[1]Tissue Data'!J:J)</f>
        <v>U</v>
      </c>
      <c r="H2797" t="str">
        <f>_xlfn.XLOOKUP(A2797,'[1]Tissue Data'!$A:$A,'[1]Tissue Data'!K:K)</f>
        <v>Whole Body</v>
      </c>
      <c r="I2797">
        <f>_xlfn.XLOOKUP(A2797,'[1]Tissue Data'!$A:$A,'[1]Tissue Data'!L:L)</f>
        <v>5.5</v>
      </c>
      <c r="J2797">
        <f>_xlfn.XLOOKUP(A2797,'[1]Tissue Data'!$A:$A,'[1]Tissue Data'!M:M)</f>
        <v>2.4</v>
      </c>
      <c r="K2797" t="s">
        <v>57</v>
      </c>
      <c r="L2797" t="str">
        <f>_xlfn.XLOOKUP(K2797,[2]analyte_order!$B:$B,[2]analyte_order!$C:$C)</f>
        <v>763051-92-9</v>
      </c>
      <c r="M2797">
        <f>_xlfn.XLOOKUP(L2797,[2]analyte_order!$C:$C,[2]analyte_order!$E:$E)</f>
        <v>37</v>
      </c>
      <c r="N2797">
        <v>5.6500000000000002E-2</v>
      </c>
    </row>
    <row r="2798" spans="1:14">
      <c r="A2798" t="s">
        <v>194</v>
      </c>
      <c r="B2798" t="str">
        <f>_xlfn.XLOOKUP(A2798,'[1]Tissue Data'!$A:$A,'[1]Tissue Data'!$C:$C)</f>
        <v>Spill</v>
      </c>
      <c r="C2798" s="2">
        <f>_xlfn.XLOOKUP(A2798,'[1]Tissue Data'!$A:$A,'[1]Tissue Data'!$D:$D)</f>
        <v>44314</v>
      </c>
      <c r="D2798" s="2" t="str">
        <f>_xlfn.XLOOKUP(A2798,'[1]Tissue Data'!$A:$A,'[1]Tissue Data'!$F:$F)</f>
        <v>Swallowtail Shiner</v>
      </c>
      <c r="E2798" t="str">
        <f>_xlfn.XLOOKUP(A2798,'[1]Tissue Data'!$A:$A,'[1]Tissue Data'!$H:$H)</f>
        <v>Notropis</v>
      </c>
      <c r="F2798" t="str">
        <f>_xlfn.XLOOKUP(A2798,'[1]Tissue Data'!$A:$A,'[1]Tissue Data'!$I:$I)</f>
        <v>procne</v>
      </c>
      <c r="G2798" t="str">
        <f>_xlfn.XLOOKUP(A2798,'[1]Tissue Data'!$A:$A,'[1]Tissue Data'!J:J)</f>
        <v>U</v>
      </c>
      <c r="H2798" t="str">
        <f>_xlfn.XLOOKUP(A2798,'[1]Tissue Data'!$A:$A,'[1]Tissue Data'!K:K)</f>
        <v>Whole Body</v>
      </c>
      <c r="I2798">
        <f>_xlfn.XLOOKUP(A2798,'[1]Tissue Data'!$A:$A,'[1]Tissue Data'!L:L)</f>
        <v>5.5</v>
      </c>
      <c r="J2798">
        <f>_xlfn.XLOOKUP(A2798,'[1]Tissue Data'!$A:$A,'[1]Tissue Data'!M:M)</f>
        <v>2.4</v>
      </c>
      <c r="K2798" t="s">
        <v>58</v>
      </c>
      <c r="L2798" t="str">
        <f>_xlfn.XLOOKUP(K2798,[2]analyte_order!$B:$B,[2]analyte_order!$C:$C)</f>
        <v>13252-13-6</v>
      </c>
      <c r="M2798">
        <f>_xlfn.XLOOKUP(L2798,[2]analyte_order!$C:$C,[2]analyte_order!$E:$E)</f>
        <v>34</v>
      </c>
      <c r="N2798">
        <v>0.10249999999999999</v>
      </c>
    </row>
    <row r="2799" spans="1:14">
      <c r="A2799" t="s">
        <v>194</v>
      </c>
      <c r="B2799" t="str">
        <f>_xlfn.XLOOKUP(A2799,'[1]Tissue Data'!$A:$A,'[1]Tissue Data'!$C:$C)</f>
        <v>Spill</v>
      </c>
      <c r="C2799" s="2">
        <f>_xlfn.XLOOKUP(A2799,'[1]Tissue Data'!$A:$A,'[1]Tissue Data'!$D:$D)</f>
        <v>44314</v>
      </c>
      <c r="D2799" s="2" t="str">
        <f>_xlfn.XLOOKUP(A2799,'[1]Tissue Data'!$A:$A,'[1]Tissue Data'!$F:$F)</f>
        <v>Swallowtail Shiner</v>
      </c>
      <c r="E2799" t="str">
        <f>_xlfn.XLOOKUP(A2799,'[1]Tissue Data'!$A:$A,'[1]Tissue Data'!$H:$H)</f>
        <v>Notropis</v>
      </c>
      <c r="F2799" t="str">
        <f>_xlfn.XLOOKUP(A2799,'[1]Tissue Data'!$A:$A,'[1]Tissue Data'!$I:$I)</f>
        <v>procne</v>
      </c>
      <c r="G2799" t="str">
        <f>_xlfn.XLOOKUP(A2799,'[1]Tissue Data'!$A:$A,'[1]Tissue Data'!J:J)</f>
        <v>U</v>
      </c>
      <c r="H2799" t="str">
        <f>_xlfn.XLOOKUP(A2799,'[1]Tissue Data'!$A:$A,'[1]Tissue Data'!K:K)</f>
        <v>Whole Body</v>
      </c>
      <c r="I2799">
        <f>_xlfn.XLOOKUP(A2799,'[1]Tissue Data'!$A:$A,'[1]Tissue Data'!L:L)</f>
        <v>5.5</v>
      </c>
      <c r="J2799">
        <f>_xlfn.XLOOKUP(A2799,'[1]Tissue Data'!$A:$A,'[1]Tissue Data'!M:M)</f>
        <v>2.4</v>
      </c>
      <c r="K2799" t="s">
        <v>59</v>
      </c>
      <c r="L2799" t="str">
        <f>_xlfn.XLOOKUP(K2799,[2]analyte_order!$B:$B,[2]analyte_order!$C:$C)</f>
        <v>57677-95-9</v>
      </c>
      <c r="M2799">
        <f>_xlfn.XLOOKUP(L2799,[2]analyte_order!$C:$C,[2]analyte_order!$E:$E)</f>
        <v>46</v>
      </c>
      <c r="N2799">
        <v>7.5999999999999998E-2</v>
      </c>
    </row>
    <row r="2800" spans="1:14">
      <c r="A2800" t="s">
        <v>194</v>
      </c>
      <c r="B2800" t="str">
        <f>_xlfn.XLOOKUP(A2800,'[1]Tissue Data'!$A:$A,'[1]Tissue Data'!$C:$C)</f>
        <v>Spill</v>
      </c>
      <c r="C2800" s="2">
        <f>_xlfn.XLOOKUP(A2800,'[1]Tissue Data'!$A:$A,'[1]Tissue Data'!$D:$D)</f>
        <v>44314</v>
      </c>
      <c r="D2800" s="2" t="str">
        <f>_xlfn.XLOOKUP(A2800,'[1]Tissue Data'!$A:$A,'[1]Tissue Data'!$F:$F)</f>
        <v>Swallowtail Shiner</v>
      </c>
      <c r="E2800" t="str">
        <f>_xlfn.XLOOKUP(A2800,'[1]Tissue Data'!$A:$A,'[1]Tissue Data'!$H:$H)</f>
        <v>Notropis</v>
      </c>
      <c r="F2800" t="str">
        <f>_xlfn.XLOOKUP(A2800,'[1]Tissue Data'!$A:$A,'[1]Tissue Data'!$I:$I)</f>
        <v>procne</v>
      </c>
      <c r="G2800" t="str">
        <f>_xlfn.XLOOKUP(A2800,'[1]Tissue Data'!$A:$A,'[1]Tissue Data'!J:J)</f>
        <v>U</v>
      </c>
      <c r="H2800" t="str">
        <f>_xlfn.XLOOKUP(A2800,'[1]Tissue Data'!$A:$A,'[1]Tissue Data'!K:K)</f>
        <v>Whole Body</v>
      </c>
      <c r="I2800">
        <f>_xlfn.XLOOKUP(A2800,'[1]Tissue Data'!$A:$A,'[1]Tissue Data'!L:L)</f>
        <v>5.5</v>
      </c>
      <c r="J2800">
        <f>_xlfn.XLOOKUP(A2800,'[1]Tissue Data'!$A:$A,'[1]Tissue Data'!M:M)</f>
        <v>2.4</v>
      </c>
      <c r="K2800" t="s">
        <v>60</v>
      </c>
      <c r="L2800" t="str">
        <f>_xlfn.XLOOKUP(K2800,[2]analyte_order!$B:$B,[2]analyte_order!$C:$C)</f>
        <v>678-41-1</v>
      </c>
      <c r="M2800">
        <f>_xlfn.XLOOKUP(L2800,[2]analyte_order!$C:$C,[2]analyte_order!$E:$E)</f>
        <v>56</v>
      </c>
      <c r="N2800">
        <v>9.5000000000000001E-2</v>
      </c>
    </row>
    <row r="2801" spans="1:14">
      <c r="A2801" t="s">
        <v>194</v>
      </c>
      <c r="B2801" t="str">
        <f>_xlfn.XLOOKUP(A2801,'[1]Tissue Data'!$A:$A,'[1]Tissue Data'!$C:$C)</f>
        <v>Spill</v>
      </c>
      <c r="C2801" s="2">
        <f>_xlfn.XLOOKUP(A2801,'[1]Tissue Data'!$A:$A,'[1]Tissue Data'!$D:$D)</f>
        <v>44314</v>
      </c>
      <c r="D2801" s="2" t="str">
        <f>_xlfn.XLOOKUP(A2801,'[1]Tissue Data'!$A:$A,'[1]Tissue Data'!$F:$F)</f>
        <v>Swallowtail Shiner</v>
      </c>
      <c r="E2801" t="str">
        <f>_xlfn.XLOOKUP(A2801,'[1]Tissue Data'!$A:$A,'[1]Tissue Data'!$H:$H)</f>
        <v>Notropis</v>
      </c>
      <c r="F2801" t="str">
        <f>_xlfn.XLOOKUP(A2801,'[1]Tissue Data'!$A:$A,'[1]Tissue Data'!$I:$I)</f>
        <v>procne</v>
      </c>
      <c r="G2801" t="str">
        <f>_xlfn.XLOOKUP(A2801,'[1]Tissue Data'!$A:$A,'[1]Tissue Data'!J:J)</f>
        <v>U</v>
      </c>
      <c r="H2801" t="str">
        <f>_xlfn.XLOOKUP(A2801,'[1]Tissue Data'!$A:$A,'[1]Tissue Data'!K:K)</f>
        <v>Whole Body</v>
      </c>
      <c r="I2801">
        <f>_xlfn.XLOOKUP(A2801,'[1]Tissue Data'!$A:$A,'[1]Tissue Data'!L:L)</f>
        <v>5.5</v>
      </c>
      <c r="J2801">
        <f>_xlfn.XLOOKUP(A2801,'[1]Tissue Data'!$A:$A,'[1]Tissue Data'!M:M)</f>
        <v>2.4</v>
      </c>
      <c r="K2801" t="s">
        <v>61</v>
      </c>
      <c r="L2801" t="str">
        <f>_xlfn.XLOOKUP(K2801,[2]analyte_order!$B:$B,[2]analyte_order!$C:$C)</f>
        <v>2965-52-8</v>
      </c>
      <c r="M2801">
        <f>_xlfn.XLOOKUP(L2801,[2]analyte_order!$C:$C,[2]analyte_order!$E:$E)</f>
        <v>57</v>
      </c>
      <c r="N2801">
        <v>0.126</v>
      </c>
    </row>
    <row r="2802" spans="1:14">
      <c r="A2802" t="s">
        <v>195</v>
      </c>
      <c r="B2802" t="str">
        <f>_xlfn.XLOOKUP(A2802,'[1]Tissue Data'!$A:$A,'[1]Tissue Data'!$C:$C)</f>
        <v>Spill</v>
      </c>
      <c r="C2802" s="2">
        <f>_xlfn.XLOOKUP(A2802,'[1]Tissue Data'!$A:$A,'[1]Tissue Data'!$D:$D)</f>
        <v>44314</v>
      </c>
      <c r="D2802" s="2" t="str">
        <f>_xlfn.XLOOKUP(A2802,'[1]Tissue Data'!$A:$A,'[1]Tissue Data'!$F:$F)</f>
        <v>Swallowtail Shiner</v>
      </c>
      <c r="E2802" t="str">
        <f>_xlfn.XLOOKUP(A2802,'[1]Tissue Data'!$A:$A,'[1]Tissue Data'!$H:$H)</f>
        <v>Notropis</v>
      </c>
      <c r="F2802" t="str">
        <f>_xlfn.XLOOKUP(A2802,'[1]Tissue Data'!$A:$A,'[1]Tissue Data'!$I:$I)</f>
        <v>procne</v>
      </c>
      <c r="G2802" t="str">
        <f>_xlfn.XLOOKUP(A2802,'[1]Tissue Data'!$A:$A,'[1]Tissue Data'!J:J)</f>
        <v>U</v>
      </c>
      <c r="H2802" t="str">
        <f>_xlfn.XLOOKUP(A2802,'[1]Tissue Data'!$A:$A,'[1]Tissue Data'!K:K)</f>
        <v>Whole Body</v>
      </c>
      <c r="I2802">
        <f>_xlfn.XLOOKUP(A2802,'[1]Tissue Data'!$A:$A,'[1]Tissue Data'!L:L)</f>
        <v>5.5</v>
      </c>
      <c r="J2802">
        <f>_xlfn.XLOOKUP(A2802,'[1]Tissue Data'!$A:$A,'[1]Tissue Data'!M:M)</f>
        <v>2.2999999999999998</v>
      </c>
      <c r="K2802" t="s">
        <v>12</v>
      </c>
      <c r="L2802" t="str">
        <f>_xlfn.XLOOKUP(K2802,[2]analyte_order!$B:$B,[2]analyte_order!$C:$C)</f>
        <v>375-22-4</v>
      </c>
      <c r="M2802">
        <f>_xlfn.XLOOKUP(L2802,[2]analyte_order!$C:$C,[2]analyte_order!$E:$E)</f>
        <v>1</v>
      </c>
      <c r="N2802">
        <v>2.7900000000000001E-2</v>
      </c>
    </row>
    <row r="2803" spans="1:14">
      <c r="A2803" t="s">
        <v>195</v>
      </c>
      <c r="B2803" t="str">
        <f>_xlfn.XLOOKUP(A2803,'[1]Tissue Data'!$A:$A,'[1]Tissue Data'!$C:$C)</f>
        <v>Spill</v>
      </c>
      <c r="C2803" s="2">
        <f>_xlfn.XLOOKUP(A2803,'[1]Tissue Data'!$A:$A,'[1]Tissue Data'!$D:$D)</f>
        <v>44314</v>
      </c>
      <c r="D2803" s="2" t="str">
        <f>_xlfn.XLOOKUP(A2803,'[1]Tissue Data'!$A:$A,'[1]Tissue Data'!$F:$F)</f>
        <v>Swallowtail Shiner</v>
      </c>
      <c r="E2803" t="str">
        <f>_xlfn.XLOOKUP(A2803,'[1]Tissue Data'!$A:$A,'[1]Tissue Data'!$H:$H)</f>
        <v>Notropis</v>
      </c>
      <c r="F2803" t="str">
        <f>_xlfn.XLOOKUP(A2803,'[1]Tissue Data'!$A:$A,'[1]Tissue Data'!$I:$I)</f>
        <v>procne</v>
      </c>
      <c r="G2803" t="str">
        <f>_xlfn.XLOOKUP(A2803,'[1]Tissue Data'!$A:$A,'[1]Tissue Data'!J:J)</f>
        <v>U</v>
      </c>
      <c r="H2803" t="str">
        <f>_xlfn.XLOOKUP(A2803,'[1]Tissue Data'!$A:$A,'[1]Tissue Data'!K:K)</f>
        <v>Whole Body</v>
      </c>
      <c r="I2803">
        <f>_xlfn.XLOOKUP(A2803,'[1]Tissue Data'!$A:$A,'[1]Tissue Data'!L:L)</f>
        <v>5.5</v>
      </c>
      <c r="J2803">
        <f>_xlfn.XLOOKUP(A2803,'[1]Tissue Data'!$A:$A,'[1]Tissue Data'!M:M)</f>
        <v>2.2999999999999998</v>
      </c>
      <c r="K2803" t="s">
        <v>13</v>
      </c>
      <c r="L2803" t="str">
        <f>_xlfn.XLOOKUP(K2803,[2]analyte_order!$B:$B,[2]analyte_order!$C:$C)</f>
        <v>2706-90-3</v>
      </c>
      <c r="M2803">
        <f>_xlfn.XLOOKUP(L2803,[2]analyte_order!$C:$C,[2]analyte_order!$E:$E)</f>
        <v>2</v>
      </c>
      <c r="N2803">
        <v>4.9399999999999999E-2</v>
      </c>
    </row>
    <row r="2804" spans="1:14">
      <c r="A2804" t="s">
        <v>195</v>
      </c>
      <c r="B2804" t="str">
        <f>_xlfn.XLOOKUP(A2804,'[1]Tissue Data'!$A:$A,'[1]Tissue Data'!$C:$C)</f>
        <v>Spill</v>
      </c>
      <c r="C2804" s="2">
        <f>_xlfn.XLOOKUP(A2804,'[1]Tissue Data'!$A:$A,'[1]Tissue Data'!$D:$D)</f>
        <v>44314</v>
      </c>
      <c r="D2804" s="2" t="str">
        <f>_xlfn.XLOOKUP(A2804,'[1]Tissue Data'!$A:$A,'[1]Tissue Data'!$F:$F)</f>
        <v>Swallowtail Shiner</v>
      </c>
      <c r="E2804" t="str">
        <f>_xlfn.XLOOKUP(A2804,'[1]Tissue Data'!$A:$A,'[1]Tissue Data'!$H:$H)</f>
        <v>Notropis</v>
      </c>
      <c r="F2804" t="str">
        <f>_xlfn.XLOOKUP(A2804,'[1]Tissue Data'!$A:$A,'[1]Tissue Data'!$I:$I)</f>
        <v>procne</v>
      </c>
      <c r="G2804" t="str">
        <f>_xlfn.XLOOKUP(A2804,'[1]Tissue Data'!$A:$A,'[1]Tissue Data'!J:J)</f>
        <v>U</v>
      </c>
      <c r="H2804" t="str">
        <f>_xlfn.XLOOKUP(A2804,'[1]Tissue Data'!$A:$A,'[1]Tissue Data'!K:K)</f>
        <v>Whole Body</v>
      </c>
      <c r="I2804">
        <f>_xlfn.XLOOKUP(A2804,'[1]Tissue Data'!$A:$A,'[1]Tissue Data'!L:L)</f>
        <v>5.5</v>
      </c>
      <c r="J2804">
        <f>_xlfn.XLOOKUP(A2804,'[1]Tissue Data'!$A:$A,'[1]Tissue Data'!M:M)</f>
        <v>2.2999999999999998</v>
      </c>
      <c r="K2804" t="s">
        <v>14</v>
      </c>
      <c r="L2804" t="str">
        <f>_xlfn.XLOOKUP(K2804,[2]analyte_order!$B:$B,[2]analyte_order!$C:$C)</f>
        <v>307-24-4</v>
      </c>
      <c r="M2804">
        <f>_xlfn.XLOOKUP(L2804,[2]analyte_order!$C:$C,[2]analyte_order!$E:$E)</f>
        <v>3</v>
      </c>
      <c r="N2804">
        <v>0.1245</v>
      </c>
    </row>
    <row r="2805" spans="1:14">
      <c r="A2805" t="s">
        <v>195</v>
      </c>
      <c r="B2805" t="str">
        <f>_xlfn.XLOOKUP(A2805,'[1]Tissue Data'!$A:$A,'[1]Tissue Data'!$C:$C)</f>
        <v>Spill</v>
      </c>
      <c r="C2805" s="2">
        <f>_xlfn.XLOOKUP(A2805,'[1]Tissue Data'!$A:$A,'[1]Tissue Data'!$D:$D)</f>
        <v>44314</v>
      </c>
      <c r="D2805" s="2" t="str">
        <f>_xlfn.XLOOKUP(A2805,'[1]Tissue Data'!$A:$A,'[1]Tissue Data'!$F:$F)</f>
        <v>Swallowtail Shiner</v>
      </c>
      <c r="E2805" t="str">
        <f>_xlfn.XLOOKUP(A2805,'[1]Tissue Data'!$A:$A,'[1]Tissue Data'!$H:$H)</f>
        <v>Notropis</v>
      </c>
      <c r="F2805" t="str">
        <f>_xlfn.XLOOKUP(A2805,'[1]Tissue Data'!$A:$A,'[1]Tissue Data'!$I:$I)</f>
        <v>procne</v>
      </c>
      <c r="G2805" t="str">
        <f>_xlfn.XLOOKUP(A2805,'[1]Tissue Data'!$A:$A,'[1]Tissue Data'!J:J)</f>
        <v>U</v>
      </c>
      <c r="H2805" t="str">
        <f>_xlfn.XLOOKUP(A2805,'[1]Tissue Data'!$A:$A,'[1]Tissue Data'!K:K)</f>
        <v>Whole Body</v>
      </c>
      <c r="I2805">
        <f>_xlfn.XLOOKUP(A2805,'[1]Tissue Data'!$A:$A,'[1]Tissue Data'!L:L)</f>
        <v>5.5</v>
      </c>
      <c r="J2805">
        <f>_xlfn.XLOOKUP(A2805,'[1]Tissue Data'!$A:$A,'[1]Tissue Data'!M:M)</f>
        <v>2.2999999999999998</v>
      </c>
      <c r="K2805" t="s">
        <v>15</v>
      </c>
      <c r="L2805" t="str">
        <f>_xlfn.XLOOKUP(K2805,[2]analyte_order!$B:$B,[2]analyte_order!$C:$C)</f>
        <v>375-85-9</v>
      </c>
      <c r="M2805">
        <f>_xlfn.XLOOKUP(L2805,[2]analyte_order!$C:$C,[2]analyte_order!$E:$E)</f>
        <v>4</v>
      </c>
      <c r="N2805">
        <v>2.7900000000000001E-2</v>
      </c>
    </row>
    <row r="2806" spans="1:14">
      <c r="A2806" t="s">
        <v>195</v>
      </c>
      <c r="B2806" t="str">
        <f>_xlfn.XLOOKUP(A2806,'[1]Tissue Data'!$A:$A,'[1]Tissue Data'!$C:$C)</f>
        <v>Spill</v>
      </c>
      <c r="C2806" s="2">
        <f>_xlfn.XLOOKUP(A2806,'[1]Tissue Data'!$A:$A,'[1]Tissue Data'!$D:$D)</f>
        <v>44314</v>
      </c>
      <c r="D2806" s="2" t="str">
        <f>_xlfn.XLOOKUP(A2806,'[1]Tissue Data'!$A:$A,'[1]Tissue Data'!$F:$F)</f>
        <v>Swallowtail Shiner</v>
      </c>
      <c r="E2806" t="str">
        <f>_xlfn.XLOOKUP(A2806,'[1]Tissue Data'!$A:$A,'[1]Tissue Data'!$H:$H)</f>
        <v>Notropis</v>
      </c>
      <c r="F2806" t="str">
        <f>_xlfn.XLOOKUP(A2806,'[1]Tissue Data'!$A:$A,'[1]Tissue Data'!$I:$I)</f>
        <v>procne</v>
      </c>
      <c r="G2806" t="str">
        <f>_xlfn.XLOOKUP(A2806,'[1]Tissue Data'!$A:$A,'[1]Tissue Data'!J:J)</f>
        <v>U</v>
      </c>
      <c r="H2806" t="str">
        <f>_xlfn.XLOOKUP(A2806,'[1]Tissue Data'!$A:$A,'[1]Tissue Data'!K:K)</f>
        <v>Whole Body</v>
      </c>
      <c r="I2806">
        <f>_xlfn.XLOOKUP(A2806,'[1]Tissue Data'!$A:$A,'[1]Tissue Data'!L:L)</f>
        <v>5.5</v>
      </c>
      <c r="J2806">
        <f>_xlfn.XLOOKUP(A2806,'[1]Tissue Data'!$A:$A,'[1]Tissue Data'!M:M)</f>
        <v>2.2999999999999998</v>
      </c>
      <c r="K2806" t="s">
        <v>16</v>
      </c>
      <c r="L2806" t="str">
        <f>_xlfn.XLOOKUP(K2806,[2]analyte_order!$B:$B,[2]analyte_order!$C:$C)</f>
        <v>335-67-1</v>
      </c>
      <c r="M2806">
        <f>_xlfn.XLOOKUP(L2806,[2]analyte_order!$C:$C,[2]analyte_order!$E:$E)</f>
        <v>5</v>
      </c>
      <c r="N2806">
        <v>2.82</v>
      </c>
    </row>
    <row r="2807" spans="1:14">
      <c r="A2807" t="s">
        <v>195</v>
      </c>
      <c r="B2807" t="str">
        <f>_xlfn.XLOOKUP(A2807,'[1]Tissue Data'!$A:$A,'[1]Tissue Data'!$C:$C)</f>
        <v>Spill</v>
      </c>
      <c r="C2807" s="2">
        <f>_xlfn.XLOOKUP(A2807,'[1]Tissue Data'!$A:$A,'[1]Tissue Data'!$D:$D)</f>
        <v>44314</v>
      </c>
      <c r="D2807" s="2" t="str">
        <f>_xlfn.XLOOKUP(A2807,'[1]Tissue Data'!$A:$A,'[1]Tissue Data'!$F:$F)</f>
        <v>Swallowtail Shiner</v>
      </c>
      <c r="E2807" t="str">
        <f>_xlfn.XLOOKUP(A2807,'[1]Tissue Data'!$A:$A,'[1]Tissue Data'!$H:$H)</f>
        <v>Notropis</v>
      </c>
      <c r="F2807" t="str">
        <f>_xlfn.XLOOKUP(A2807,'[1]Tissue Data'!$A:$A,'[1]Tissue Data'!$I:$I)</f>
        <v>procne</v>
      </c>
      <c r="G2807" t="str">
        <f>_xlfn.XLOOKUP(A2807,'[1]Tissue Data'!$A:$A,'[1]Tissue Data'!J:J)</f>
        <v>U</v>
      </c>
      <c r="H2807" t="str">
        <f>_xlfn.XLOOKUP(A2807,'[1]Tissue Data'!$A:$A,'[1]Tissue Data'!K:K)</f>
        <v>Whole Body</v>
      </c>
      <c r="I2807">
        <f>_xlfn.XLOOKUP(A2807,'[1]Tissue Data'!$A:$A,'[1]Tissue Data'!L:L)</f>
        <v>5.5</v>
      </c>
      <c r="J2807">
        <f>_xlfn.XLOOKUP(A2807,'[1]Tissue Data'!$A:$A,'[1]Tissue Data'!M:M)</f>
        <v>2.2999999999999998</v>
      </c>
      <c r="K2807" t="s">
        <v>17</v>
      </c>
      <c r="L2807" t="str">
        <f>_xlfn.XLOOKUP(K2807,[2]analyte_order!$B:$B,[2]analyte_order!$C:$C)</f>
        <v>375-95-1</v>
      </c>
      <c r="M2807">
        <f>_xlfn.XLOOKUP(L2807,[2]analyte_order!$C:$C,[2]analyte_order!$E:$E)</f>
        <v>6</v>
      </c>
      <c r="N2807">
        <v>9.09</v>
      </c>
    </row>
    <row r="2808" spans="1:14">
      <c r="A2808" t="s">
        <v>195</v>
      </c>
      <c r="B2808" t="str">
        <f>_xlfn.XLOOKUP(A2808,'[1]Tissue Data'!$A:$A,'[1]Tissue Data'!$C:$C)</f>
        <v>Spill</v>
      </c>
      <c r="C2808" s="2">
        <f>_xlfn.XLOOKUP(A2808,'[1]Tissue Data'!$A:$A,'[1]Tissue Data'!$D:$D)</f>
        <v>44314</v>
      </c>
      <c r="D2808" s="2" t="str">
        <f>_xlfn.XLOOKUP(A2808,'[1]Tissue Data'!$A:$A,'[1]Tissue Data'!$F:$F)</f>
        <v>Swallowtail Shiner</v>
      </c>
      <c r="E2808" t="str">
        <f>_xlfn.XLOOKUP(A2808,'[1]Tissue Data'!$A:$A,'[1]Tissue Data'!$H:$H)</f>
        <v>Notropis</v>
      </c>
      <c r="F2808" t="str">
        <f>_xlfn.XLOOKUP(A2808,'[1]Tissue Data'!$A:$A,'[1]Tissue Data'!$I:$I)</f>
        <v>procne</v>
      </c>
      <c r="G2808" t="str">
        <f>_xlfn.XLOOKUP(A2808,'[1]Tissue Data'!$A:$A,'[1]Tissue Data'!J:J)</f>
        <v>U</v>
      </c>
      <c r="H2808" t="str">
        <f>_xlfn.XLOOKUP(A2808,'[1]Tissue Data'!$A:$A,'[1]Tissue Data'!K:K)</f>
        <v>Whole Body</v>
      </c>
      <c r="I2808">
        <f>_xlfn.XLOOKUP(A2808,'[1]Tissue Data'!$A:$A,'[1]Tissue Data'!L:L)</f>
        <v>5.5</v>
      </c>
      <c r="J2808">
        <f>_xlfn.XLOOKUP(A2808,'[1]Tissue Data'!$A:$A,'[1]Tissue Data'!M:M)</f>
        <v>2.2999999999999998</v>
      </c>
      <c r="K2808" t="s">
        <v>18</v>
      </c>
      <c r="L2808" t="str">
        <f>_xlfn.XLOOKUP(K2808,[2]analyte_order!$B:$B,[2]analyte_order!$C:$C)</f>
        <v>335-76-2</v>
      </c>
      <c r="M2808">
        <f>_xlfn.XLOOKUP(L2808,[2]analyte_order!$C:$C,[2]analyte_order!$E:$E)</f>
        <v>7</v>
      </c>
      <c r="N2808">
        <v>16.100000000000001</v>
      </c>
    </row>
    <row r="2809" spans="1:14">
      <c r="A2809" t="s">
        <v>195</v>
      </c>
      <c r="B2809" t="str">
        <f>_xlfn.XLOOKUP(A2809,'[1]Tissue Data'!$A:$A,'[1]Tissue Data'!$C:$C)</f>
        <v>Spill</v>
      </c>
      <c r="C2809" s="2">
        <f>_xlfn.XLOOKUP(A2809,'[1]Tissue Data'!$A:$A,'[1]Tissue Data'!$D:$D)</f>
        <v>44314</v>
      </c>
      <c r="D2809" s="2" t="str">
        <f>_xlfn.XLOOKUP(A2809,'[1]Tissue Data'!$A:$A,'[1]Tissue Data'!$F:$F)</f>
        <v>Swallowtail Shiner</v>
      </c>
      <c r="E2809" t="str">
        <f>_xlfn.XLOOKUP(A2809,'[1]Tissue Data'!$A:$A,'[1]Tissue Data'!$H:$H)</f>
        <v>Notropis</v>
      </c>
      <c r="F2809" t="str">
        <f>_xlfn.XLOOKUP(A2809,'[1]Tissue Data'!$A:$A,'[1]Tissue Data'!$I:$I)</f>
        <v>procne</v>
      </c>
      <c r="G2809" t="str">
        <f>_xlfn.XLOOKUP(A2809,'[1]Tissue Data'!$A:$A,'[1]Tissue Data'!J:J)</f>
        <v>U</v>
      </c>
      <c r="H2809" t="str">
        <f>_xlfn.XLOOKUP(A2809,'[1]Tissue Data'!$A:$A,'[1]Tissue Data'!K:K)</f>
        <v>Whole Body</v>
      </c>
      <c r="I2809">
        <f>_xlfn.XLOOKUP(A2809,'[1]Tissue Data'!$A:$A,'[1]Tissue Data'!L:L)</f>
        <v>5.5</v>
      </c>
      <c r="J2809">
        <f>_xlfn.XLOOKUP(A2809,'[1]Tissue Data'!$A:$A,'[1]Tissue Data'!M:M)</f>
        <v>2.2999999999999998</v>
      </c>
      <c r="K2809" t="s">
        <v>19</v>
      </c>
      <c r="L2809" t="str">
        <f>_xlfn.XLOOKUP(K2809,[2]analyte_order!$B:$B,[2]analyte_order!$C:$C)</f>
        <v>2058-94-8</v>
      </c>
      <c r="M2809">
        <f>_xlfn.XLOOKUP(L2809,[2]analyte_order!$C:$C,[2]analyte_order!$E:$E)</f>
        <v>8</v>
      </c>
      <c r="N2809">
        <v>24.7</v>
      </c>
    </row>
    <row r="2810" spans="1:14">
      <c r="A2810" t="s">
        <v>195</v>
      </c>
      <c r="B2810" t="str">
        <f>_xlfn.XLOOKUP(A2810,'[1]Tissue Data'!$A:$A,'[1]Tissue Data'!$C:$C)</f>
        <v>Spill</v>
      </c>
      <c r="C2810" s="2">
        <f>_xlfn.XLOOKUP(A2810,'[1]Tissue Data'!$A:$A,'[1]Tissue Data'!$D:$D)</f>
        <v>44314</v>
      </c>
      <c r="D2810" s="2" t="str">
        <f>_xlfn.XLOOKUP(A2810,'[1]Tissue Data'!$A:$A,'[1]Tissue Data'!$F:$F)</f>
        <v>Swallowtail Shiner</v>
      </c>
      <c r="E2810" t="str">
        <f>_xlfn.XLOOKUP(A2810,'[1]Tissue Data'!$A:$A,'[1]Tissue Data'!$H:$H)</f>
        <v>Notropis</v>
      </c>
      <c r="F2810" t="str">
        <f>_xlfn.XLOOKUP(A2810,'[1]Tissue Data'!$A:$A,'[1]Tissue Data'!$I:$I)</f>
        <v>procne</v>
      </c>
      <c r="G2810" t="str">
        <f>_xlfn.XLOOKUP(A2810,'[1]Tissue Data'!$A:$A,'[1]Tissue Data'!J:J)</f>
        <v>U</v>
      </c>
      <c r="H2810" t="str">
        <f>_xlfn.XLOOKUP(A2810,'[1]Tissue Data'!$A:$A,'[1]Tissue Data'!K:K)</f>
        <v>Whole Body</v>
      </c>
      <c r="I2810">
        <f>_xlfn.XLOOKUP(A2810,'[1]Tissue Data'!$A:$A,'[1]Tissue Data'!L:L)</f>
        <v>5.5</v>
      </c>
      <c r="J2810">
        <f>_xlfn.XLOOKUP(A2810,'[1]Tissue Data'!$A:$A,'[1]Tissue Data'!M:M)</f>
        <v>2.2999999999999998</v>
      </c>
      <c r="K2810" t="s">
        <v>20</v>
      </c>
      <c r="L2810" t="str">
        <f>_xlfn.XLOOKUP(K2810,[2]analyte_order!$B:$B,[2]analyte_order!$C:$C)</f>
        <v>307-55-1</v>
      </c>
      <c r="M2810">
        <f>_xlfn.XLOOKUP(L2810,[2]analyte_order!$C:$C,[2]analyte_order!$E:$E)</f>
        <v>9</v>
      </c>
      <c r="N2810">
        <v>28.5</v>
      </c>
    </row>
    <row r="2811" spans="1:14">
      <c r="A2811" t="s">
        <v>195</v>
      </c>
      <c r="B2811" t="str">
        <f>_xlfn.XLOOKUP(A2811,'[1]Tissue Data'!$A:$A,'[1]Tissue Data'!$C:$C)</f>
        <v>Spill</v>
      </c>
      <c r="C2811" s="2">
        <f>_xlfn.XLOOKUP(A2811,'[1]Tissue Data'!$A:$A,'[1]Tissue Data'!$D:$D)</f>
        <v>44314</v>
      </c>
      <c r="D2811" s="2" t="str">
        <f>_xlfn.XLOOKUP(A2811,'[1]Tissue Data'!$A:$A,'[1]Tissue Data'!$F:$F)</f>
        <v>Swallowtail Shiner</v>
      </c>
      <c r="E2811" t="str">
        <f>_xlfn.XLOOKUP(A2811,'[1]Tissue Data'!$A:$A,'[1]Tissue Data'!$H:$H)</f>
        <v>Notropis</v>
      </c>
      <c r="F2811" t="str">
        <f>_xlfn.XLOOKUP(A2811,'[1]Tissue Data'!$A:$A,'[1]Tissue Data'!$I:$I)</f>
        <v>procne</v>
      </c>
      <c r="G2811" t="str">
        <f>_xlfn.XLOOKUP(A2811,'[1]Tissue Data'!$A:$A,'[1]Tissue Data'!J:J)</f>
        <v>U</v>
      </c>
      <c r="H2811" t="str">
        <f>_xlfn.XLOOKUP(A2811,'[1]Tissue Data'!$A:$A,'[1]Tissue Data'!K:K)</f>
        <v>Whole Body</v>
      </c>
      <c r="I2811">
        <f>_xlfn.XLOOKUP(A2811,'[1]Tissue Data'!$A:$A,'[1]Tissue Data'!L:L)</f>
        <v>5.5</v>
      </c>
      <c r="J2811">
        <f>_xlfn.XLOOKUP(A2811,'[1]Tissue Data'!$A:$A,'[1]Tissue Data'!M:M)</f>
        <v>2.2999999999999998</v>
      </c>
      <c r="K2811" t="s">
        <v>21</v>
      </c>
      <c r="L2811" t="str">
        <f>_xlfn.XLOOKUP(K2811,[2]analyte_order!$B:$B,[2]analyte_order!$C:$C)</f>
        <v>72629-94-8</v>
      </c>
      <c r="M2811">
        <f>_xlfn.XLOOKUP(L2811,[2]analyte_order!$C:$C,[2]analyte_order!$E:$E)</f>
        <v>10</v>
      </c>
      <c r="N2811">
        <v>7.56</v>
      </c>
    </row>
    <row r="2812" spans="1:14">
      <c r="A2812" t="s">
        <v>195</v>
      </c>
      <c r="B2812" t="str">
        <f>_xlfn.XLOOKUP(A2812,'[1]Tissue Data'!$A:$A,'[1]Tissue Data'!$C:$C)</f>
        <v>Spill</v>
      </c>
      <c r="C2812" s="2">
        <f>_xlfn.XLOOKUP(A2812,'[1]Tissue Data'!$A:$A,'[1]Tissue Data'!$D:$D)</f>
        <v>44314</v>
      </c>
      <c r="D2812" s="2" t="str">
        <f>_xlfn.XLOOKUP(A2812,'[1]Tissue Data'!$A:$A,'[1]Tissue Data'!$F:$F)</f>
        <v>Swallowtail Shiner</v>
      </c>
      <c r="E2812" t="str">
        <f>_xlfn.XLOOKUP(A2812,'[1]Tissue Data'!$A:$A,'[1]Tissue Data'!$H:$H)</f>
        <v>Notropis</v>
      </c>
      <c r="F2812" t="str">
        <f>_xlfn.XLOOKUP(A2812,'[1]Tissue Data'!$A:$A,'[1]Tissue Data'!$I:$I)</f>
        <v>procne</v>
      </c>
      <c r="G2812" t="str">
        <f>_xlfn.XLOOKUP(A2812,'[1]Tissue Data'!$A:$A,'[1]Tissue Data'!J:J)</f>
        <v>U</v>
      </c>
      <c r="H2812" t="str">
        <f>_xlfn.XLOOKUP(A2812,'[1]Tissue Data'!$A:$A,'[1]Tissue Data'!K:K)</f>
        <v>Whole Body</v>
      </c>
      <c r="I2812">
        <f>_xlfn.XLOOKUP(A2812,'[1]Tissue Data'!$A:$A,'[1]Tissue Data'!L:L)</f>
        <v>5.5</v>
      </c>
      <c r="J2812">
        <f>_xlfn.XLOOKUP(A2812,'[1]Tissue Data'!$A:$A,'[1]Tissue Data'!M:M)</f>
        <v>2.2999999999999998</v>
      </c>
      <c r="K2812" t="s">
        <v>22</v>
      </c>
      <c r="L2812" t="str">
        <f>_xlfn.XLOOKUP(K2812,[2]analyte_order!$B:$B,[2]analyte_order!$C:$C)</f>
        <v>376-06-7</v>
      </c>
      <c r="M2812">
        <f>_xlfn.XLOOKUP(L2812,[2]analyte_order!$C:$C,[2]analyte_order!$E:$E)</f>
        <v>11</v>
      </c>
      <c r="N2812">
        <v>10.5</v>
      </c>
    </row>
    <row r="2813" spans="1:14">
      <c r="A2813" t="s">
        <v>195</v>
      </c>
      <c r="B2813" t="str">
        <f>_xlfn.XLOOKUP(A2813,'[1]Tissue Data'!$A:$A,'[1]Tissue Data'!$C:$C)</f>
        <v>Spill</v>
      </c>
      <c r="C2813" s="2">
        <f>_xlfn.XLOOKUP(A2813,'[1]Tissue Data'!$A:$A,'[1]Tissue Data'!$D:$D)</f>
        <v>44314</v>
      </c>
      <c r="D2813" s="2" t="str">
        <f>_xlfn.XLOOKUP(A2813,'[1]Tissue Data'!$A:$A,'[1]Tissue Data'!$F:$F)</f>
        <v>Swallowtail Shiner</v>
      </c>
      <c r="E2813" t="str">
        <f>_xlfn.XLOOKUP(A2813,'[1]Tissue Data'!$A:$A,'[1]Tissue Data'!$H:$H)</f>
        <v>Notropis</v>
      </c>
      <c r="F2813" t="str">
        <f>_xlfn.XLOOKUP(A2813,'[1]Tissue Data'!$A:$A,'[1]Tissue Data'!$I:$I)</f>
        <v>procne</v>
      </c>
      <c r="G2813" t="str">
        <f>_xlfn.XLOOKUP(A2813,'[1]Tissue Data'!$A:$A,'[1]Tissue Data'!J:J)</f>
        <v>U</v>
      </c>
      <c r="H2813" t="str">
        <f>_xlfn.XLOOKUP(A2813,'[1]Tissue Data'!$A:$A,'[1]Tissue Data'!K:K)</f>
        <v>Whole Body</v>
      </c>
      <c r="I2813">
        <f>_xlfn.XLOOKUP(A2813,'[1]Tissue Data'!$A:$A,'[1]Tissue Data'!L:L)</f>
        <v>5.5</v>
      </c>
      <c r="J2813">
        <f>_xlfn.XLOOKUP(A2813,'[1]Tissue Data'!$A:$A,'[1]Tissue Data'!M:M)</f>
        <v>2.2999999999999998</v>
      </c>
      <c r="K2813" t="s">
        <v>23</v>
      </c>
      <c r="L2813" t="str">
        <f>_xlfn.XLOOKUP(K2813,[2]analyte_order!$B:$B,[2]analyte_order!$C:$C)</f>
        <v>67905-19-5</v>
      </c>
      <c r="M2813">
        <f>_xlfn.XLOOKUP(L2813,[2]analyte_order!$C:$C,[2]analyte_order!$E:$E)</f>
        <v>12</v>
      </c>
      <c r="N2813">
        <v>8.3000000000000004E-2</v>
      </c>
    </row>
    <row r="2814" spans="1:14">
      <c r="A2814" t="s">
        <v>195</v>
      </c>
      <c r="B2814" t="str">
        <f>_xlfn.XLOOKUP(A2814,'[1]Tissue Data'!$A:$A,'[1]Tissue Data'!$C:$C)</f>
        <v>Spill</v>
      </c>
      <c r="C2814" s="2">
        <f>_xlfn.XLOOKUP(A2814,'[1]Tissue Data'!$A:$A,'[1]Tissue Data'!$D:$D)</f>
        <v>44314</v>
      </c>
      <c r="D2814" s="2" t="str">
        <f>_xlfn.XLOOKUP(A2814,'[1]Tissue Data'!$A:$A,'[1]Tissue Data'!$F:$F)</f>
        <v>Swallowtail Shiner</v>
      </c>
      <c r="E2814" t="str">
        <f>_xlfn.XLOOKUP(A2814,'[1]Tissue Data'!$A:$A,'[1]Tissue Data'!$H:$H)</f>
        <v>Notropis</v>
      </c>
      <c r="F2814" t="str">
        <f>_xlfn.XLOOKUP(A2814,'[1]Tissue Data'!$A:$A,'[1]Tissue Data'!$I:$I)</f>
        <v>procne</v>
      </c>
      <c r="G2814" t="str">
        <f>_xlfn.XLOOKUP(A2814,'[1]Tissue Data'!$A:$A,'[1]Tissue Data'!J:J)</f>
        <v>U</v>
      </c>
      <c r="H2814" t="str">
        <f>_xlfn.XLOOKUP(A2814,'[1]Tissue Data'!$A:$A,'[1]Tissue Data'!K:K)</f>
        <v>Whole Body</v>
      </c>
      <c r="I2814">
        <f>_xlfn.XLOOKUP(A2814,'[1]Tissue Data'!$A:$A,'[1]Tissue Data'!L:L)</f>
        <v>5.5</v>
      </c>
      <c r="J2814">
        <f>_xlfn.XLOOKUP(A2814,'[1]Tissue Data'!$A:$A,'[1]Tissue Data'!M:M)</f>
        <v>2.2999999999999998</v>
      </c>
      <c r="K2814" t="s">
        <v>24</v>
      </c>
      <c r="L2814" t="str">
        <f>_xlfn.XLOOKUP(K2814,[2]analyte_order!$B:$B,[2]analyte_order!$C:$C)</f>
        <v>423-41-6</v>
      </c>
      <c r="M2814">
        <f>_xlfn.XLOOKUP(L2814,[2]analyte_order!$C:$C,[2]analyte_order!$E:$E)</f>
        <v>53</v>
      </c>
      <c r="N2814">
        <v>5.3499999999999999E-2</v>
      </c>
    </row>
    <row r="2815" spans="1:14">
      <c r="A2815" t="s">
        <v>195</v>
      </c>
      <c r="B2815" t="str">
        <f>_xlfn.XLOOKUP(A2815,'[1]Tissue Data'!$A:$A,'[1]Tissue Data'!$C:$C)</f>
        <v>Spill</v>
      </c>
      <c r="C2815" s="2">
        <f>_xlfn.XLOOKUP(A2815,'[1]Tissue Data'!$A:$A,'[1]Tissue Data'!$D:$D)</f>
        <v>44314</v>
      </c>
      <c r="D2815" s="2" t="str">
        <f>_xlfn.XLOOKUP(A2815,'[1]Tissue Data'!$A:$A,'[1]Tissue Data'!$F:$F)</f>
        <v>Swallowtail Shiner</v>
      </c>
      <c r="E2815" t="str">
        <f>_xlfn.XLOOKUP(A2815,'[1]Tissue Data'!$A:$A,'[1]Tissue Data'!$H:$H)</f>
        <v>Notropis</v>
      </c>
      <c r="F2815" t="str">
        <f>_xlfn.XLOOKUP(A2815,'[1]Tissue Data'!$A:$A,'[1]Tissue Data'!$I:$I)</f>
        <v>procne</v>
      </c>
      <c r="G2815" t="str">
        <f>_xlfn.XLOOKUP(A2815,'[1]Tissue Data'!$A:$A,'[1]Tissue Data'!J:J)</f>
        <v>U</v>
      </c>
      <c r="H2815" t="str">
        <f>_xlfn.XLOOKUP(A2815,'[1]Tissue Data'!$A:$A,'[1]Tissue Data'!K:K)</f>
        <v>Whole Body</v>
      </c>
      <c r="I2815">
        <f>_xlfn.XLOOKUP(A2815,'[1]Tissue Data'!$A:$A,'[1]Tissue Data'!L:L)</f>
        <v>5.5</v>
      </c>
      <c r="J2815">
        <f>_xlfn.XLOOKUP(A2815,'[1]Tissue Data'!$A:$A,'[1]Tissue Data'!M:M)</f>
        <v>2.2999999999999998</v>
      </c>
      <c r="K2815" t="s">
        <v>25</v>
      </c>
      <c r="L2815" t="str">
        <f>_xlfn.XLOOKUP(K2815,[2]analyte_order!$B:$B,[2]analyte_order!$C:$C)</f>
        <v>375-73-5</v>
      </c>
      <c r="M2815">
        <f>_xlfn.XLOOKUP(L2815,[2]analyte_order!$C:$C,[2]analyte_order!$E:$E)</f>
        <v>14</v>
      </c>
      <c r="N2815">
        <v>4.7600000000000003E-2</v>
      </c>
    </row>
    <row r="2816" spans="1:14">
      <c r="A2816" t="s">
        <v>195</v>
      </c>
      <c r="B2816" t="str">
        <f>_xlfn.XLOOKUP(A2816,'[1]Tissue Data'!$A:$A,'[1]Tissue Data'!$C:$C)</f>
        <v>Spill</v>
      </c>
      <c r="C2816" s="2">
        <f>_xlfn.XLOOKUP(A2816,'[1]Tissue Data'!$A:$A,'[1]Tissue Data'!$D:$D)</f>
        <v>44314</v>
      </c>
      <c r="D2816" s="2" t="str">
        <f>_xlfn.XLOOKUP(A2816,'[1]Tissue Data'!$A:$A,'[1]Tissue Data'!$F:$F)</f>
        <v>Swallowtail Shiner</v>
      </c>
      <c r="E2816" t="str">
        <f>_xlfn.XLOOKUP(A2816,'[1]Tissue Data'!$A:$A,'[1]Tissue Data'!$H:$H)</f>
        <v>Notropis</v>
      </c>
      <c r="F2816" t="str">
        <f>_xlfn.XLOOKUP(A2816,'[1]Tissue Data'!$A:$A,'[1]Tissue Data'!$I:$I)</f>
        <v>procne</v>
      </c>
      <c r="G2816" t="str">
        <f>_xlfn.XLOOKUP(A2816,'[1]Tissue Data'!$A:$A,'[1]Tissue Data'!J:J)</f>
        <v>U</v>
      </c>
      <c r="H2816" t="str">
        <f>_xlfn.XLOOKUP(A2816,'[1]Tissue Data'!$A:$A,'[1]Tissue Data'!K:K)</f>
        <v>Whole Body</v>
      </c>
      <c r="I2816">
        <f>_xlfn.XLOOKUP(A2816,'[1]Tissue Data'!$A:$A,'[1]Tissue Data'!L:L)</f>
        <v>5.5</v>
      </c>
      <c r="J2816">
        <f>_xlfn.XLOOKUP(A2816,'[1]Tissue Data'!$A:$A,'[1]Tissue Data'!M:M)</f>
        <v>2.2999999999999998</v>
      </c>
      <c r="K2816" t="s">
        <v>26</v>
      </c>
      <c r="L2816" t="str">
        <f>_xlfn.XLOOKUP(K2816,[2]analyte_order!$B:$B,[2]analyte_order!$C:$C)</f>
        <v>2706-91-4</v>
      </c>
      <c r="M2816">
        <f>_xlfn.XLOOKUP(L2816,[2]analyte_order!$C:$C,[2]analyte_order!$E:$E)</f>
        <v>15</v>
      </c>
      <c r="N2816">
        <v>0.76600000000000001</v>
      </c>
    </row>
    <row r="2817" spans="1:14">
      <c r="A2817" t="s">
        <v>195</v>
      </c>
      <c r="B2817" t="str">
        <f>_xlfn.XLOOKUP(A2817,'[1]Tissue Data'!$A:$A,'[1]Tissue Data'!$C:$C)</f>
        <v>Spill</v>
      </c>
      <c r="C2817" s="2">
        <f>_xlfn.XLOOKUP(A2817,'[1]Tissue Data'!$A:$A,'[1]Tissue Data'!$D:$D)</f>
        <v>44314</v>
      </c>
      <c r="D2817" s="2" t="str">
        <f>_xlfn.XLOOKUP(A2817,'[1]Tissue Data'!$A:$A,'[1]Tissue Data'!$F:$F)</f>
        <v>Swallowtail Shiner</v>
      </c>
      <c r="E2817" t="str">
        <f>_xlfn.XLOOKUP(A2817,'[1]Tissue Data'!$A:$A,'[1]Tissue Data'!$H:$H)</f>
        <v>Notropis</v>
      </c>
      <c r="F2817" t="str">
        <f>_xlfn.XLOOKUP(A2817,'[1]Tissue Data'!$A:$A,'[1]Tissue Data'!$I:$I)</f>
        <v>procne</v>
      </c>
      <c r="G2817" t="str">
        <f>_xlfn.XLOOKUP(A2817,'[1]Tissue Data'!$A:$A,'[1]Tissue Data'!J:J)</f>
        <v>U</v>
      </c>
      <c r="H2817" t="str">
        <f>_xlfn.XLOOKUP(A2817,'[1]Tissue Data'!$A:$A,'[1]Tissue Data'!K:K)</f>
        <v>Whole Body</v>
      </c>
      <c r="I2817">
        <f>_xlfn.XLOOKUP(A2817,'[1]Tissue Data'!$A:$A,'[1]Tissue Data'!L:L)</f>
        <v>5.5</v>
      </c>
      <c r="J2817">
        <f>_xlfn.XLOOKUP(A2817,'[1]Tissue Data'!$A:$A,'[1]Tissue Data'!M:M)</f>
        <v>2.2999999999999998</v>
      </c>
      <c r="K2817" t="s">
        <v>27</v>
      </c>
      <c r="L2817" t="str">
        <f>_xlfn.XLOOKUP(K2817,[2]analyte_order!$B:$B,[2]analyte_order!$C:$C)</f>
        <v>355-46-4</v>
      </c>
      <c r="M2817">
        <f>_xlfn.XLOOKUP(L2817,[2]analyte_order!$C:$C,[2]analyte_order!$E:$E)</f>
        <v>16</v>
      </c>
      <c r="N2817">
        <v>53.2</v>
      </c>
    </row>
    <row r="2818" spans="1:14">
      <c r="A2818" t="s">
        <v>195</v>
      </c>
      <c r="B2818" t="str">
        <f>_xlfn.XLOOKUP(A2818,'[1]Tissue Data'!$A:$A,'[1]Tissue Data'!$C:$C)</f>
        <v>Spill</v>
      </c>
      <c r="C2818" s="2">
        <f>_xlfn.XLOOKUP(A2818,'[1]Tissue Data'!$A:$A,'[1]Tissue Data'!$D:$D)</f>
        <v>44314</v>
      </c>
      <c r="D2818" s="2" t="str">
        <f>_xlfn.XLOOKUP(A2818,'[1]Tissue Data'!$A:$A,'[1]Tissue Data'!$F:$F)</f>
        <v>Swallowtail Shiner</v>
      </c>
      <c r="E2818" t="str">
        <f>_xlfn.XLOOKUP(A2818,'[1]Tissue Data'!$A:$A,'[1]Tissue Data'!$H:$H)</f>
        <v>Notropis</v>
      </c>
      <c r="F2818" t="str">
        <f>_xlfn.XLOOKUP(A2818,'[1]Tissue Data'!$A:$A,'[1]Tissue Data'!$I:$I)</f>
        <v>procne</v>
      </c>
      <c r="G2818" t="str">
        <f>_xlfn.XLOOKUP(A2818,'[1]Tissue Data'!$A:$A,'[1]Tissue Data'!J:J)</f>
        <v>U</v>
      </c>
      <c r="H2818" t="str">
        <f>_xlfn.XLOOKUP(A2818,'[1]Tissue Data'!$A:$A,'[1]Tissue Data'!K:K)</f>
        <v>Whole Body</v>
      </c>
      <c r="I2818">
        <f>_xlfn.XLOOKUP(A2818,'[1]Tissue Data'!$A:$A,'[1]Tissue Data'!L:L)</f>
        <v>5.5</v>
      </c>
      <c r="J2818">
        <f>_xlfn.XLOOKUP(A2818,'[1]Tissue Data'!$A:$A,'[1]Tissue Data'!M:M)</f>
        <v>2.2999999999999998</v>
      </c>
      <c r="K2818" t="s">
        <v>28</v>
      </c>
      <c r="L2818" t="str">
        <f>_xlfn.XLOOKUP(K2818,[2]analyte_order!$B:$B,[2]analyte_order!$C:$C)</f>
        <v>375-92-8</v>
      </c>
      <c r="M2818">
        <f>_xlfn.XLOOKUP(L2818,[2]analyte_order!$C:$C,[2]analyte_order!$E:$E)</f>
        <v>17</v>
      </c>
      <c r="N2818">
        <v>9.8000000000000007</v>
      </c>
    </row>
    <row r="2819" spans="1:14">
      <c r="A2819" t="s">
        <v>195</v>
      </c>
      <c r="B2819" t="str">
        <f>_xlfn.XLOOKUP(A2819,'[1]Tissue Data'!$A:$A,'[1]Tissue Data'!$C:$C)</f>
        <v>Spill</v>
      </c>
      <c r="C2819" s="2">
        <f>_xlfn.XLOOKUP(A2819,'[1]Tissue Data'!$A:$A,'[1]Tissue Data'!$D:$D)</f>
        <v>44314</v>
      </c>
      <c r="D2819" s="2" t="str">
        <f>_xlfn.XLOOKUP(A2819,'[1]Tissue Data'!$A:$A,'[1]Tissue Data'!$F:$F)</f>
        <v>Swallowtail Shiner</v>
      </c>
      <c r="E2819" t="str">
        <f>_xlfn.XLOOKUP(A2819,'[1]Tissue Data'!$A:$A,'[1]Tissue Data'!$H:$H)</f>
        <v>Notropis</v>
      </c>
      <c r="F2819" t="str">
        <f>_xlfn.XLOOKUP(A2819,'[1]Tissue Data'!$A:$A,'[1]Tissue Data'!$I:$I)</f>
        <v>procne</v>
      </c>
      <c r="G2819" t="str">
        <f>_xlfn.XLOOKUP(A2819,'[1]Tissue Data'!$A:$A,'[1]Tissue Data'!J:J)</f>
        <v>U</v>
      </c>
      <c r="H2819" t="str">
        <f>_xlfn.XLOOKUP(A2819,'[1]Tissue Data'!$A:$A,'[1]Tissue Data'!K:K)</f>
        <v>Whole Body</v>
      </c>
      <c r="I2819">
        <f>_xlfn.XLOOKUP(A2819,'[1]Tissue Data'!$A:$A,'[1]Tissue Data'!L:L)</f>
        <v>5.5</v>
      </c>
      <c r="J2819">
        <f>_xlfn.XLOOKUP(A2819,'[1]Tissue Data'!$A:$A,'[1]Tissue Data'!M:M)</f>
        <v>2.2999999999999998</v>
      </c>
      <c r="K2819" t="s">
        <v>29</v>
      </c>
      <c r="L2819" t="str">
        <f>_xlfn.XLOOKUP(K2819,[2]analyte_order!$B:$B,[2]analyte_order!$C:$C)</f>
        <v>1763-23-1</v>
      </c>
      <c r="M2819">
        <f>_xlfn.XLOOKUP(L2819,[2]analyte_order!$C:$C,[2]analyte_order!$E:$E)</f>
        <v>18</v>
      </c>
      <c r="N2819">
        <v>1700</v>
      </c>
    </row>
    <row r="2820" spans="1:14">
      <c r="A2820" t="s">
        <v>195</v>
      </c>
      <c r="B2820" t="str">
        <f>_xlfn.XLOOKUP(A2820,'[1]Tissue Data'!$A:$A,'[1]Tissue Data'!$C:$C)</f>
        <v>Spill</v>
      </c>
      <c r="C2820" s="2">
        <f>_xlfn.XLOOKUP(A2820,'[1]Tissue Data'!$A:$A,'[1]Tissue Data'!$D:$D)</f>
        <v>44314</v>
      </c>
      <c r="D2820" s="2" t="str">
        <f>_xlfn.XLOOKUP(A2820,'[1]Tissue Data'!$A:$A,'[1]Tissue Data'!$F:$F)</f>
        <v>Swallowtail Shiner</v>
      </c>
      <c r="E2820" t="str">
        <f>_xlfn.XLOOKUP(A2820,'[1]Tissue Data'!$A:$A,'[1]Tissue Data'!$H:$H)</f>
        <v>Notropis</v>
      </c>
      <c r="F2820" t="str">
        <f>_xlfn.XLOOKUP(A2820,'[1]Tissue Data'!$A:$A,'[1]Tissue Data'!$I:$I)</f>
        <v>procne</v>
      </c>
      <c r="G2820" t="str">
        <f>_xlfn.XLOOKUP(A2820,'[1]Tissue Data'!$A:$A,'[1]Tissue Data'!J:J)</f>
        <v>U</v>
      </c>
      <c r="H2820" t="str">
        <f>_xlfn.XLOOKUP(A2820,'[1]Tissue Data'!$A:$A,'[1]Tissue Data'!K:K)</f>
        <v>Whole Body</v>
      </c>
      <c r="I2820">
        <f>_xlfn.XLOOKUP(A2820,'[1]Tissue Data'!$A:$A,'[1]Tissue Data'!L:L)</f>
        <v>5.5</v>
      </c>
      <c r="J2820">
        <f>_xlfn.XLOOKUP(A2820,'[1]Tissue Data'!$A:$A,'[1]Tissue Data'!M:M)</f>
        <v>2.2999999999999998</v>
      </c>
      <c r="K2820" t="s">
        <v>30</v>
      </c>
      <c r="L2820" t="str">
        <f>_xlfn.XLOOKUP(K2820,[2]analyte_order!$B:$B,[2]analyte_order!$C:$C)</f>
        <v>68259-12-1</v>
      </c>
      <c r="M2820">
        <f>_xlfn.XLOOKUP(L2820,[2]analyte_order!$C:$C,[2]analyte_order!$E:$E)</f>
        <v>19</v>
      </c>
      <c r="N2820">
        <v>1.02</v>
      </c>
    </row>
    <row r="2821" spans="1:14">
      <c r="A2821" t="s">
        <v>195</v>
      </c>
      <c r="B2821" t="str">
        <f>_xlfn.XLOOKUP(A2821,'[1]Tissue Data'!$A:$A,'[1]Tissue Data'!$C:$C)</f>
        <v>Spill</v>
      </c>
      <c r="C2821" s="2">
        <f>_xlfn.XLOOKUP(A2821,'[1]Tissue Data'!$A:$A,'[1]Tissue Data'!$D:$D)</f>
        <v>44314</v>
      </c>
      <c r="D2821" s="2" t="str">
        <f>_xlfn.XLOOKUP(A2821,'[1]Tissue Data'!$A:$A,'[1]Tissue Data'!$F:$F)</f>
        <v>Swallowtail Shiner</v>
      </c>
      <c r="E2821" t="str">
        <f>_xlfn.XLOOKUP(A2821,'[1]Tissue Data'!$A:$A,'[1]Tissue Data'!$H:$H)</f>
        <v>Notropis</v>
      </c>
      <c r="F2821" t="str">
        <f>_xlfn.XLOOKUP(A2821,'[1]Tissue Data'!$A:$A,'[1]Tissue Data'!$I:$I)</f>
        <v>procne</v>
      </c>
      <c r="G2821" t="str">
        <f>_xlfn.XLOOKUP(A2821,'[1]Tissue Data'!$A:$A,'[1]Tissue Data'!J:J)</f>
        <v>U</v>
      </c>
      <c r="H2821" t="str">
        <f>_xlfn.XLOOKUP(A2821,'[1]Tissue Data'!$A:$A,'[1]Tissue Data'!K:K)</f>
        <v>Whole Body</v>
      </c>
      <c r="I2821">
        <f>_xlfn.XLOOKUP(A2821,'[1]Tissue Data'!$A:$A,'[1]Tissue Data'!L:L)</f>
        <v>5.5</v>
      </c>
      <c r="J2821">
        <f>_xlfn.XLOOKUP(A2821,'[1]Tissue Data'!$A:$A,'[1]Tissue Data'!M:M)</f>
        <v>2.2999999999999998</v>
      </c>
      <c r="K2821" t="s">
        <v>31</v>
      </c>
      <c r="L2821" t="str">
        <f>_xlfn.XLOOKUP(K2821,[2]analyte_order!$B:$B,[2]analyte_order!$C:$C)</f>
        <v>335-77-3</v>
      </c>
      <c r="M2821">
        <f>_xlfn.XLOOKUP(L2821,[2]analyte_order!$C:$C,[2]analyte_order!$E:$E)</f>
        <v>20</v>
      </c>
      <c r="N2821">
        <v>10.8</v>
      </c>
    </row>
    <row r="2822" spans="1:14">
      <c r="A2822" t="s">
        <v>195</v>
      </c>
      <c r="B2822" t="str">
        <f>_xlfn.XLOOKUP(A2822,'[1]Tissue Data'!$A:$A,'[1]Tissue Data'!$C:$C)</f>
        <v>Spill</v>
      </c>
      <c r="C2822" s="2">
        <f>_xlfn.XLOOKUP(A2822,'[1]Tissue Data'!$A:$A,'[1]Tissue Data'!$D:$D)</f>
        <v>44314</v>
      </c>
      <c r="D2822" s="2" t="str">
        <f>_xlfn.XLOOKUP(A2822,'[1]Tissue Data'!$A:$A,'[1]Tissue Data'!$F:$F)</f>
        <v>Swallowtail Shiner</v>
      </c>
      <c r="E2822" t="str">
        <f>_xlfn.XLOOKUP(A2822,'[1]Tissue Data'!$A:$A,'[1]Tissue Data'!$H:$H)</f>
        <v>Notropis</v>
      </c>
      <c r="F2822" t="str">
        <f>_xlfn.XLOOKUP(A2822,'[1]Tissue Data'!$A:$A,'[1]Tissue Data'!$I:$I)</f>
        <v>procne</v>
      </c>
      <c r="G2822" t="str">
        <f>_xlfn.XLOOKUP(A2822,'[1]Tissue Data'!$A:$A,'[1]Tissue Data'!J:J)</f>
        <v>U</v>
      </c>
      <c r="H2822" t="str">
        <f>_xlfn.XLOOKUP(A2822,'[1]Tissue Data'!$A:$A,'[1]Tissue Data'!K:K)</f>
        <v>Whole Body</v>
      </c>
      <c r="I2822">
        <f>_xlfn.XLOOKUP(A2822,'[1]Tissue Data'!$A:$A,'[1]Tissue Data'!L:L)</f>
        <v>5.5</v>
      </c>
      <c r="J2822">
        <f>_xlfn.XLOOKUP(A2822,'[1]Tissue Data'!$A:$A,'[1]Tissue Data'!M:M)</f>
        <v>2.2999999999999998</v>
      </c>
      <c r="K2822" t="s">
        <v>32</v>
      </c>
      <c r="L2822" t="str">
        <f>_xlfn.XLOOKUP(K2822,[2]analyte_order!$B:$B,[2]analyte_order!$C:$C)</f>
        <v>79780-39-5</v>
      </c>
      <c r="M2822">
        <f>_xlfn.XLOOKUP(L2822,[2]analyte_order!$C:$C,[2]analyte_order!$E:$E)</f>
        <v>21</v>
      </c>
      <c r="N2822">
        <v>0.98299999999999998</v>
      </c>
    </row>
    <row r="2823" spans="1:14">
      <c r="A2823" t="s">
        <v>195</v>
      </c>
      <c r="B2823" t="str">
        <f>_xlfn.XLOOKUP(A2823,'[1]Tissue Data'!$A:$A,'[1]Tissue Data'!$C:$C)</f>
        <v>Spill</v>
      </c>
      <c r="C2823" s="2">
        <f>_xlfn.XLOOKUP(A2823,'[1]Tissue Data'!$A:$A,'[1]Tissue Data'!$D:$D)</f>
        <v>44314</v>
      </c>
      <c r="D2823" s="2" t="str">
        <f>_xlfn.XLOOKUP(A2823,'[1]Tissue Data'!$A:$A,'[1]Tissue Data'!$F:$F)</f>
        <v>Swallowtail Shiner</v>
      </c>
      <c r="E2823" t="str">
        <f>_xlfn.XLOOKUP(A2823,'[1]Tissue Data'!$A:$A,'[1]Tissue Data'!$H:$H)</f>
        <v>Notropis</v>
      </c>
      <c r="F2823" t="str">
        <f>_xlfn.XLOOKUP(A2823,'[1]Tissue Data'!$A:$A,'[1]Tissue Data'!$I:$I)</f>
        <v>procne</v>
      </c>
      <c r="G2823" t="str">
        <f>_xlfn.XLOOKUP(A2823,'[1]Tissue Data'!$A:$A,'[1]Tissue Data'!J:J)</f>
        <v>U</v>
      </c>
      <c r="H2823" t="str">
        <f>_xlfn.XLOOKUP(A2823,'[1]Tissue Data'!$A:$A,'[1]Tissue Data'!K:K)</f>
        <v>Whole Body</v>
      </c>
      <c r="I2823">
        <f>_xlfn.XLOOKUP(A2823,'[1]Tissue Data'!$A:$A,'[1]Tissue Data'!L:L)</f>
        <v>5.5</v>
      </c>
      <c r="J2823">
        <f>_xlfn.XLOOKUP(A2823,'[1]Tissue Data'!$A:$A,'[1]Tissue Data'!M:M)</f>
        <v>2.2999999999999998</v>
      </c>
      <c r="K2823" t="s">
        <v>33</v>
      </c>
      <c r="L2823" t="str">
        <f>_xlfn.XLOOKUP(K2823,[2]analyte_order!$B:$B,[2]analyte_order!$C:$C)</f>
        <v>777011-38-8</v>
      </c>
      <c r="M2823">
        <f>_xlfn.XLOOKUP(L2823,[2]analyte_order!$C:$C,[2]analyte_order!$E:$E)</f>
        <v>54</v>
      </c>
      <c r="N2823">
        <v>0.45500000000000002</v>
      </c>
    </row>
    <row r="2824" spans="1:14">
      <c r="A2824" t="s">
        <v>195</v>
      </c>
      <c r="B2824" t="str">
        <f>_xlfn.XLOOKUP(A2824,'[1]Tissue Data'!$A:$A,'[1]Tissue Data'!$C:$C)</f>
        <v>Spill</v>
      </c>
      <c r="C2824" s="2">
        <f>_xlfn.XLOOKUP(A2824,'[1]Tissue Data'!$A:$A,'[1]Tissue Data'!$D:$D)</f>
        <v>44314</v>
      </c>
      <c r="D2824" s="2" t="str">
        <f>_xlfn.XLOOKUP(A2824,'[1]Tissue Data'!$A:$A,'[1]Tissue Data'!$F:$F)</f>
        <v>Swallowtail Shiner</v>
      </c>
      <c r="E2824" t="str">
        <f>_xlfn.XLOOKUP(A2824,'[1]Tissue Data'!$A:$A,'[1]Tissue Data'!$H:$H)</f>
        <v>Notropis</v>
      </c>
      <c r="F2824" t="str">
        <f>_xlfn.XLOOKUP(A2824,'[1]Tissue Data'!$A:$A,'[1]Tissue Data'!$I:$I)</f>
        <v>procne</v>
      </c>
      <c r="G2824" t="str">
        <f>_xlfn.XLOOKUP(A2824,'[1]Tissue Data'!$A:$A,'[1]Tissue Data'!J:J)</f>
        <v>U</v>
      </c>
      <c r="H2824" t="str">
        <f>_xlfn.XLOOKUP(A2824,'[1]Tissue Data'!$A:$A,'[1]Tissue Data'!K:K)</f>
        <v>Whole Body</v>
      </c>
      <c r="I2824">
        <f>_xlfn.XLOOKUP(A2824,'[1]Tissue Data'!$A:$A,'[1]Tissue Data'!L:L)</f>
        <v>5.5</v>
      </c>
      <c r="J2824">
        <f>_xlfn.XLOOKUP(A2824,'[1]Tissue Data'!$A:$A,'[1]Tissue Data'!M:M)</f>
        <v>2.2999999999999998</v>
      </c>
      <c r="K2824" t="s">
        <v>34</v>
      </c>
      <c r="L2824" t="str">
        <f>_xlfn.XLOOKUP(K2824,[2]analyte_order!$B:$B,[2]analyte_order!$C:$C)</f>
        <v>646-83-3</v>
      </c>
      <c r="M2824">
        <f>_xlfn.XLOOKUP(L2824,[2]analyte_order!$C:$C,[2]analyte_order!$E:$E)</f>
        <v>55</v>
      </c>
      <c r="N2824">
        <v>0.29799999999999999</v>
      </c>
    </row>
    <row r="2825" spans="1:14">
      <c r="A2825" t="s">
        <v>195</v>
      </c>
      <c r="B2825" t="str">
        <f>_xlfn.XLOOKUP(A2825,'[1]Tissue Data'!$A:$A,'[1]Tissue Data'!$C:$C)</f>
        <v>Spill</v>
      </c>
      <c r="C2825" s="2">
        <f>_xlfn.XLOOKUP(A2825,'[1]Tissue Data'!$A:$A,'[1]Tissue Data'!$D:$D)</f>
        <v>44314</v>
      </c>
      <c r="D2825" s="2" t="str">
        <f>_xlfn.XLOOKUP(A2825,'[1]Tissue Data'!$A:$A,'[1]Tissue Data'!$F:$F)</f>
        <v>Swallowtail Shiner</v>
      </c>
      <c r="E2825" t="str">
        <f>_xlfn.XLOOKUP(A2825,'[1]Tissue Data'!$A:$A,'[1]Tissue Data'!$H:$H)</f>
        <v>Notropis</v>
      </c>
      <c r="F2825" t="str">
        <f>_xlfn.XLOOKUP(A2825,'[1]Tissue Data'!$A:$A,'[1]Tissue Data'!$I:$I)</f>
        <v>procne</v>
      </c>
      <c r="G2825" t="str">
        <f>_xlfn.XLOOKUP(A2825,'[1]Tissue Data'!$A:$A,'[1]Tissue Data'!J:J)</f>
        <v>U</v>
      </c>
      <c r="H2825" t="str">
        <f>_xlfn.XLOOKUP(A2825,'[1]Tissue Data'!$A:$A,'[1]Tissue Data'!K:K)</f>
        <v>Whole Body</v>
      </c>
      <c r="I2825">
        <f>_xlfn.XLOOKUP(A2825,'[1]Tissue Data'!$A:$A,'[1]Tissue Data'!L:L)</f>
        <v>5.5</v>
      </c>
      <c r="J2825">
        <f>_xlfn.XLOOKUP(A2825,'[1]Tissue Data'!$A:$A,'[1]Tissue Data'!M:M)</f>
        <v>2.2999999999999998</v>
      </c>
      <c r="K2825" t="s">
        <v>35</v>
      </c>
      <c r="L2825" t="str">
        <f>_xlfn.XLOOKUP(K2825,[2]analyte_order!$B:$B,[2]analyte_order!$C:$C)</f>
        <v>30334-69-1</v>
      </c>
      <c r="M2825">
        <f>_xlfn.XLOOKUP(L2825,[2]analyte_order!$C:$C,[2]analyte_order!$E:$E)</f>
        <v>51</v>
      </c>
      <c r="N2825">
        <v>214</v>
      </c>
    </row>
    <row r="2826" spans="1:14">
      <c r="A2826" t="s">
        <v>195</v>
      </c>
      <c r="B2826" t="str">
        <f>_xlfn.XLOOKUP(A2826,'[1]Tissue Data'!$A:$A,'[1]Tissue Data'!$C:$C)</f>
        <v>Spill</v>
      </c>
      <c r="C2826" s="2">
        <f>_xlfn.XLOOKUP(A2826,'[1]Tissue Data'!$A:$A,'[1]Tissue Data'!$D:$D)</f>
        <v>44314</v>
      </c>
      <c r="D2826" s="2" t="str">
        <f>_xlfn.XLOOKUP(A2826,'[1]Tissue Data'!$A:$A,'[1]Tissue Data'!$F:$F)</f>
        <v>Swallowtail Shiner</v>
      </c>
      <c r="E2826" t="str">
        <f>_xlfn.XLOOKUP(A2826,'[1]Tissue Data'!$A:$A,'[1]Tissue Data'!$H:$H)</f>
        <v>Notropis</v>
      </c>
      <c r="F2826" t="str">
        <f>_xlfn.XLOOKUP(A2826,'[1]Tissue Data'!$A:$A,'[1]Tissue Data'!$I:$I)</f>
        <v>procne</v>
      </c>
      <c r="G2826" t="str">
        <f>_xlfn.XLOOKUP(A2826,'[1]Tissue Data'!$A:$A,'[1]Tissue Data'!J:J)</f>
        <v>U</v>
      </c>
      <c r="H2826" t="str">
        <f>_xlfn.XLOOKUP(A2826,'[1]Tissue Data'!$A:$A,'[1]Tissue Data'!K:K)</f>
        <v>Whole Body</v>
      </c>
      <c r="I2826">
        <f>_xlfn.XLOOKUP(A2826,'[1]Tissue Data'!$A:$A,'[1]Tissue Data'!L:L)</f>
        <v>5.5</v>
      </c>
      <c r="J2826">
        <f>_xlfn.XLOOKUP(A2826,'[1]Tissue Data'!$A:$A,'[1]Tissue Data'!M:M)</f>
        <v>2.2999999999999998</v>
      </c>
      <c r="K2826" t="s">
        <v>36</v>
      </c>
      <c r="L2826" t="str">
        <f>_xlfn.XLOOKUP(K2826,[2]analyte_order!$B:$B,[2]analyte_order!$C:$C)</f>
        <v>41997-13-1</v>
      </c>
      <c r="M2826">
        <f>_xlfn.XLOOKUP(L2826,[2]analyte_order!$C:$C,[2]analyte_order!$E:$E)</f>
        <v>52</v>
      </c>
      <c r="N2826">
        <v>593</v>
      </c>
    </row>
    <row r="2827" spans="1:14">
      <c r="A2827" t="s">
        <v>195</v>
      </c>
      <c r="B2827" t="str">
        <f>_xlfn.XLOOKUP(A2827,'[1]Tissue Data'!$A:$A,'[1]Tissue Data'!$C:$C)</f>
        <v>Spill</v>
      </c>
      <c r="C2827" s="2">
        <f>_xlfn.XLOOKUP(A2827,'[1]Tissue Data'!$A:$A,'[1]Tissue Data'!$D:$D)</f>
        <v>44314</v>
      </c>
      <c r="D2827" s="2" t="str">
        <f>_xlfn.XLOOKUP(A2827,'[1]Tissue Data'!$A:$A,'[1]Tissue Data'!$F:$F)</f>
        <v>Swallowtail Shiner</v>
      </c>
      <c r="E2827" t="str">
        <f>_xlfn.XLOOKUP(A2827,'[1]Tissue Data'!$A:$A,'[1]Tissue Data'!$H:$H)</f>
        <v>Notropis</v>
      </c>
      <c r="F2827" t="str">
        <f>_xlfn.XLOOKUP(A2827,'[1]Tissue Data'!$A:$A,'[1]Tissue Data'!$I:$I)</f>
        <v>procne</v>
      </c>
      <c r="G2827" t="str">
        <f>_xlfn.XLOOKUP(A2827,'[1]Tissue Data'!$A:$A,'[1]Tissue Data'!J:J)</f>
        <v>U</v>
      </c>
      <c r="H2827" t="str">
        <f>_xlfn.XLOOKUP(A2827,'[1]Tissue Data'!$A:$A,'[1]Tissue Data'!K:K)</f>
        <v>Whole Body</v>
      </c>
      <c r="I2827">
        <f>_xlfn.XLOOKUP(A2827,'[1]Tissue Data'!$A:$A,'[1]Tissue Data'!L:L)</f>
        <v>5.5</v>
      </c>
      <c r="J2827">
        <f>_xlfn.XLOOKUP(A2827,'[1]Tissue Data'!$A:$A,'[1]Tissue Data'!M:M)</f>
        <v>2.2999999999999998</v>
      </c>
      <c r="K2827" t="s">
        <v>37</v>
      </c>
      <c r="L2827" t="str">
        <f>_xlfn.XLOOKUP(K2827,[2]analyte_order!$B:$B,[2]analyte_order!$C:$C)</f>
        <v>754-91-6</v>
      </c>
      <c r="M2827">
        <f>_xlfn.XLOOKUP(L2827,[2]analyte_order!$C:$C,[2]analyte_order!$E:$E)</f>
        <v>28</v>
      </c>
      <c r="N2827">
        <v>24.5</v>
      </c>
    </row>
    <row r="2828" spans="1:14">
      <c r="A2828" t="s">
        <v>195</v>
      </c>
      <c r="B2828" t="str">
        <f>_xlfn.XLOOKUP(A2828,'[1]Tissue Data'!$A:$A,'[1]Tissue Data'!$C:$C)</f>
        <v>Spill</v>
      </c>
      <c r="C2828" s="2">
        <f>_xlfn.XLOOKUP(A2828,'[1]Tissue Data'!$A:$A,'[1]Tissue Data'!$D:$D)</f>
        <v>44314</v>
      </c>
      <c r="D2828" s="2" t="str">
        <f>_xlfn.XLOOKUP(A2828,'[1]Tissue Data'!$A:$A,'[1]Tissue Data'!$F:$F)</f>
        <v>Swallowtail Shiner</v>
      </c>
      <c r="E2828" t="str">
        <f>_xlfn.XLOOKUP(A2828,'[1]Tissue Data'!$A:$A,'[1]Tissue Data'!$H:$H)</f>
        <v>Notropis</v>
      </c>
      <c r="F2828" t="str">
        <f>_xlfn.XLOOKUP(A2828,'[1]Tissue Data'!$A:$A,'[1]Tissue Data'!$I:$I)</f>
        <v>procne</v>
      </c>
      <c r="G2828" t="str">
        <f>_xlfn.XLOOKUP(A2828,'[1]Tissue Data'!$A:$A,'[1]Tissue Data'!J:J)</f>
        <v>U</v>
      </c>
      <c r="H2828" t="str">
        <f>_xlfn.XLOOKUP(A2828,'[1]Tissue Data'!$A:$A,'[1]Tissue Data'!K:K)</f>
        <v>Whole Body</v>
      </c>
      <c r="I2828">
        <f>_xlfn.XLOOKUP(A2828,'[1]Tissue Data'!$A:$A,'[1]Tissue Data'!L:L)</f>
        <v>5.5</v>
      </c>
      <c r="J2828">
        <f>_xlfn.XLOOKUP(A2828,'[1]Tissue Data'!$A:$A,'[1]Tissue Data'!M:M)</f>
        <v>2.2999999999999998</v>
      </c>
      <c r="K2828" t="s">
        <v>38</v>
      </c>
      <c r="L2828" t="str">
        <f>_xlfn.XLOOKUP(K2828,[2]analyte_order!$B:$B,[2]analyte_order!$C:$C)</f>
        <v>31506-32-8</v>
      </c>
      <c r="M2828">
        <f>_xlfn.XLOOKUP(L2828,[2]analyte_order!$C:$C,[2]analyte_order!$E:$E)</f>
        <v>30</v>
      </c>
      <c r="N2828">
        <v>5.3999999999999999E-2</v>
      </c>
    </row>
    <row r="2829" spans="1:14">
      <c r="A2829" t="s">
        <v>195</v>
      </c>
      <c r="B2829" t="str">
        <f>_xlfn.XLOOKUP(A2829,'[1]Tissue Data'!$A:$A,'[1]Tissue Data'!$C:$C)</f>
        <v>Spill</v>
      </c>
      <c r="C2829" s="2">
        <f>_xlfn.XLOOKUP(A2829,'[1]Tissue Data'!$A:$A,'[1]Tissue Data'!$D:$D)</f>
        <v>44314</v>
      </c>
      <c r="D2829" s="2" t="str">
        <f>_xlfn.XLOOKUP(A2829,'[1]Tissue Data'!$A:$A,'[1]Tissue Data'!$F:$F)</f>
        <v>Swallowtail Shiner</v>
      </c>
      <c r="E2829" t="str">
        <f>_xlfn.XLOOKUP(A2829,'[1]Tissue Data'!$A:$A,'[1]Tissue Data'!$H:$H)</f>
        <v>Notropis</v>
      </c>
      <c r="F2829" t="str">
        <f>_xlfn.XLOOKUP(A2829,'[1]Tissue Data'!$A:$A,'[1]Tissue Data'!$I:$I)</f>
        <v>procne</v>
      </c>
      <c r="G2829" t="str">
        <f>_xlfn.XLOOKUP(A2829,'[1]Tissue Data'!$A:$A,'[1]Tissue Data'!J:J)</f>
        <v>U</v>
      </c>
      <c r="H2829" t="str">
        <f>_xlfn.XLOOKUP(A2829,'[1]Tissue Data'!$A:$A,'[1]Tissue Data'!K:K)</f>
        <v>Whole Body</v>
      </c>
      <c r="I2829">
        <f>_xlfn.XLOOKUP(A2829,'[1]Tissue Data'!$A:$A,'[1]Tissue Data'!L:L)</f>
        <v>5.5</v>
      </c>
      <c r="J2829">
        <f>_xlfn.XLOOKUP(A2829,'[1]Tissue Data'!$A:$A,'[1]Tissue Data'!M:M)</f>
        <v>2.2999999999999998</v>
      </c>
      <c r="K2829" t="s">
        <v>39</v>
      </c>
      <c r="L2829" t="str">
        <f>_xlfn.XLOOKUP(K2829,[2]analyte_order!$B:$B,[2]analyte_order!$C:$C)</f>
        <v>4151-50-2</v>
      </c>
      <c r="M2829">
        <f>_xlfn.XLOOKUP(L2829,[2]analyte_order!$C:$C,[2]analyte_order!$E:$E)</f>
        <v>31</v>
      </c>
      <c r="N2829">
        <v>8.1500000000000003E-2</v>
      </c>
    </row>
    <row r="2830" spans="1:14">
      <c r="A2830" t="s">
        <v>195</v>
      </c>
      <c r="B2830" t="str">
        <f>_xlfn.XLOOKUP(A2830,'[1]Tissue Data'!$A:$A,'[1]Tissue Data'!$C:$C)</f>
        <v>Spill</v>
      </c>
      <c r="C2830" s="2">
        <f>_xlfn.XLOOKUP(A2830,'[1]Tissue Data'!$A:$A,'[1]Tissue Data'!$D:$D)</f>
        <v>44314</v>
      </c>
      <c r="D2830" s="2" t="str">
        <f>_xlfn.XLOOKUP(A2830,'[1]Tissue Data'!$A:$A,'[1]Tissue Data'!$F:$F)</f>
        <v>Swallowtail Shiner</v>
      </c>
      <c r="E2830" t="str">
        <f>_xlfn.XLOOKUP(A2830,'[1]Tissue Data'!$A:$A,'[1]Tissue Data'!$H:$H)</f>
        <v>Notropis</v>
      </c>
      <c r="F2830" t="str">
        <f>_xlfn.XLOOKUP(A2830,'[1]Tissue Data'!$A:$A,'[1]Tissue Data'!$I:$I)</f>
        <v>procne</v>
      </c>
      <c r="G2830" t="str">
        <f>_xlfn.XLOOKUP(A2830,'[1]Tissue Data'!$A:$A,'[1]Tissue Data'!J:J)</f>
        <v>U</v>
      </c>
      <c r="H2830" t="str">
        <f>_xlfn.XLOOKUP(A2830,'[1]Tissue Data'!$A:$A,'[1]Tissue Data'!K:K)</f>
        <v>Whole Body</v>
      </c>
      <c r="I2830">
        <f>_xlfn.XLOOKUP(A2830,'[1]Tissue Data'!$A:$A,'[1]Tissue Data'!L:L)</f>
        <v>5.5</v>
      </c>
      <c r="J2830">
        <f>_xlfn.XLOOKUP(A2830,'[1]Tissue Data'!$A:$A,'[1]Tissue Data'!M:M)</f>
        <v>2.2999999999999998</v>
      </c>
      <c r="K2830" t="s">
        <v>40</v>
      </c>
      <c r="L2830" t="str">
        <f>_xlfn.XLOOKUP(K2830,[2]analyte_order!$B:$B,[2]analyte_order!$C:$C)</f>
        <v>2806-24-8</v>
      </c>
      <c r="M2830">
        <f>_xlfn.XLOOKUP(L2830,[2]analyte_order!$C:$C,[2]analyte_order!$E:$E)</f>
        <v>29</v>
      </c>
      <c r="N2830">
        <v>5.5E-2</v>
      </c>
    </row>
    <row r="2831" spans="1:14">
      <c r="A2831" t="s">
        <v>195</v>
      </c>
      <c r="B2831" t="str">
        <f>_xlfn.XLOOKUP(A2831,'[1]Tissue Data'!$A:$A,'[1]Tissue Data'!$C:$C)</f>
        <v>Spill</v>
      </c>
      <c r="C2831" s="2">
        <f>_xlfn.XLOOKUP(A2831,'[1]Tissue Data'!$A:$A,'[1]Tissue Data'!$D:$D)</f>
        <v>44314</v>
      </c>
      <c r="D2831" s="2" t="str">
        <f>_xlfn.XLOOKUP(A2831,'[1]Tissue Data'!$A:$A,'[1]Tissue Data'!$F:$F)</f>
        <v>Swallowtail Shiner</v>
      </c>
      <c r="E2831" t="str">
        <f>_xlfn.XLOOKUP(A2831,'[1]Tissue Data'!$A:$A,'[1]Tissue Data'!$H:$H)</f>
        <v>Notropis</v>
      </c>
      <c r="F2831" t="str">
        <f>_xlfn.XLOOKUP(A2831,'[1]Tissue Data'!$A:$A,'[1]Tissue Data'!$I:$I)</f>
        <v>procne</v>
      </c>
      <c r="G2831" t="str">
        <f>_xlfn.XLOOKUP(A2831,'[1]Tissue Data'!$A:$A,'[1]Tissue Data'!J:J)</f>
        <v>U</v>
      </c>
      <c r="H2831" t="str">
        <f>_xlfn.XLOOKUP(A2831,'[1]Tissue Data'!$A:$A,'[1]Tissue Data'!K:K)</f>
        <v>Whole Body</v>
      </c>
      <c r="I2831">
        <f>_xlfn.XLOOKUP(A2831,'[1]Tissue Data'!$A:$A,'[1]Tissue Data'!L:L)</f>
        <v>5.5</v>
      </c>
      <c r="J2831">
        <f>_xlfn.XLOOKUP(A2831,'[1]Tissue Data'!$A:$A,'[1]Tissue Data'!M:M)</f>
        <v>2.2999999999999998</v>
      </c>
      <c r="K2831" t="s">
        <v>41</v>
      </c>
      <c r="L2831" t="str">
        <f>_xlfn.XLOOKUP(K2831,[2]analyte_order!$B:$B,[2]analyte_order!$C:$C)</f>
        <v>2355-31-9</v>
      </c>
      <c r="M2831">
        <f>_xlfn.XLOOKUP(L2831,[2]analyte_order!$C:$C,[2]analyte_order!$E:$E)</f>
        <v>26</v>
      </c>
      <c r="N2831">
        <v>1.6</v>
      </c>
    </row>
    <row r="2832" spans="1:14">
      <c r="A2832" t="s">
        <v>195</v>
      </c>
      <c r="B2832" t="str">
        <f>_xlfn.XLOOKUP(A2832,'[1]Tissue Data'!$A:$A,'[1]Tissue Data'!$C:$C)</f>
        <v>Spill</v>
      </c>
      <c r="C2832" s="2">
        <f>_xlfn.XLOOKUP(A2832,'[1]Tissue Data'!$A:$A,'[1]Tissue Data'!$D:$D)</f>
        <v>44314</v>
      </c>
      <c r="D2832" s="2" t="str">
        <f>_xlfn.XLOOKUP(A2832,'[1]Tissue Data'!$A:$A,'[1]Tissue Data'!$F:$F)</f>
        <v>Swallowtail Shiner</v>
      </c>
      <c r="E2832" t="str">
        <f>_xlfn.XLOOKUP(A2832,'[1]Tissue Data'!$A:$A,'[1]Tissue Data'!$H:$H)</f>
        <v>Notropis</v>
      </c>
      <c r="F2832" t="str">
        <f>_xlfn.XLOOKUP(A2832,'[1]Tissue Data'!$A:$A,'[1]Tissue Data'!$I:$I)</f>
        <v>procne</v>
      </c>
      <c r="G2832" t="str">
        <f>_xlfn.XLOOKUP(A2832,'[1]Tissue Data'!$A:$A,'[1]Tissue Data'!J:J)</f>
        <v>U</v>
      </c>
      <c r="H2832" t="str">
        <f>_xlfn.XLOOKUP(A2832,'[1]Tissue Data'!$A:$A,'[1]Tissue Data'!K:K)</f>
        <v>Whole Body</v>
      </c>
      <c r="I2832">
        <f>_xlfn.XLOOKUP(A2832,'[1]Tissue Data'!$A:$A,'[1]Tissue Data'!L:L)</f>
        <v>5.5</v>
      </c>
      <c r="J2832">
        <f>_xlfn.XLOOKUP(A2832,'[1]Tissue Data'!$A:$A,'[1]Tissue Data'!M:M)</f>
        <v>2.2999999999999998</v>
      </c>
      <c r="K2832" t="s">
        <v>42</v>
      </c>
      <c r="L2832" t="str">
        <f>_xlfn.XLOOKUP(K2832,[2]analyte_order!$B:$B,[2]analyte_order!$C:$C)</f>
        <v>2991-50-6</v>
      </c>
      <c r="M2832">
        <f>_xlfn.XLOOKUP(L2832,[2]analyte_order!$C:$C,[2]analyte_order!$E:$E)</f>
        <v>27</v>
      </c>
      <c r="N2832">
        <v>6.0499999999999998E-2</v>
      </c>
    </row>
    <row r="2833" spans="1:14">
      <c r="A2833" t="s">
        <v>195</v>
      </c>
      <c r="B2833" t="str">
        <f>_xlfn.XLOOKUP(A2833,'[1]Tissue Data'!$A:$A,'[1]Tissue Data'!$C:$C)</f>
        <v>Spill</v>
      </c>
      <c r="C2833" s="2">
        <f>_xlfn.XLOOKUP(A2833,'[1]Tissue Data'!$A:$A,'[1]Tissue Data'!$D:$D)</f>
        <v>44314</v>
      </c>
      <c r="D2833" s="2" t="str">
        <f>_xlfn.XLOOKUP(A2833,'[1]Tissue Data'!$A:$A,'[1]Tissue Data'!$F:$F)</f>
        <v>Swallowtail Shiner</v>
      </c>
      <c r="E2833" t="str">
        <f>_xlfn.XLOOKUP(A2833,'[1]Tissue Data'!$A:$A,'[1]Tissue Data'!$H:$H)</f>
        <v>Notropis</v>
      </c>
      <c r="F2833" t="str">
        <f>_xlfn.XLOOKUP(A2833,'[1]Tissue Data'!$A:$A,'[1]Tissue Data'!$I:$I)</f>
        <v>procne</v>
      </c>
      <c r="G2833" t="str">
        <f>_xlfn.XLOOKUP(A2833,'[1]Tissue Data'!$A:$A,'[1]Tissue Data'!J:J)</f>
        <v>U</v>
      </c>
      <c r="H2833" t="str">
        <f>_xlfn.XLOOKUP(A2833,'[1]Tissue Data'!$A:$A,'[1]Tissue Data'!K:K)</f>
        <v>Whole Body</v>
      </c>
      <c r="I2833">
        <f>_xlfn.XLOOKUP(A2833,'[1]Tissue Data'!$A:$A,'[1]Tissue Data'!L:L)</f>
        <v>5.5</v>
      </c>
      <c r="J2833">
        <f>_xlfn.XLOOKUP(A2833,'[1]Tissue Data'!$A:$A,'[1]Tissue Data'!M:M)</f>
        <v>2.2999999999999998</v>
      </c>
      <c r="K2833" t="s">
        <v>43</v>
      </c>
      <c r="L2833" t="str">
        <f>_xlfn.XLOOKUP(K2833,[2]analyte_order!$B:$B,[2]analyte_order!$C:$C)</f>
        <v>757124-72-4</v>
      </c>
      <c r="M2833">
        <f>_xlfn.XLOOKUP(L2833,[2]analyte_order!$C:$C,[2]analyte_order!$E:$E)</f>
        <v>22</v>
      </c>
      <c r="N2833">
        <v>5.7500000000000002E-2</v>
      </c>
    </row>
    <row r="2834" spans="1:14">
      <c r="A2834" t="s">
        <v>195</v>
      </c>
      <c r="B2834" t="str">
        <f>_xlfn.XLOOKUP(A2834,'[1]Tissue Data'!$A:$A,'[1]Tissue Data'!$C:$C)</f>
        <v>Spill</v>
      </c>
      <c r="C2834" s="2">
        <f>_xlfn.XLOOKUP(A2834,'[1]Tissue Data'!$A:$A,'[1]Tissue Data'!$D:$D)</f>
        <v>44314</v>
      </c>
      <c r="D2834" s="2" t="str">
        <f>_xlfn.XLOOKUP(A2834,'[1]Tissue Data'!$A:$A,'[1]Tissue Data'!$F:$F)</f>
        <v>Swallowtail Shiner</v>
      </c>
      <c r="E2834" t="str">
        <f>_xlfn.XLOOKUP(A2834,'[1]Tissue Data'!$A:$A,'[1]Tissue Data'!$H:$H)</f>
        <v>Notropis</v>
      </c>
      <c r="F2834" t="str">
        <f>_xlfn.XLOOKUP(A2834,'[1]Tissue Data'!$A:$A,'[1]Tissue Data'!$I:$I)</f>
        <v>procne</v>
      </c>
      <c r="G2834" t="str">
        <f>_xlfn.XLOOKUP(A2834,'[1]Tissue Data'!$A:$A,'[1]Tissue Data'!J:J)</f>
        <v>U</v>
      </c>
      <c r="H2834" t="str">
        <f>_xlfn.XLOOKUP(A2834,'[1]Tissue Data'!$A:$A,'[1]Tissue Data'!K:K)</f>
        <v>Whole Body</v>
      </c>
      <c r="I2834">
        <f>_xlfn.XLOOKUP(A2834,'[1]Tissue Data'!$A:$A,'[1]Tissue Data'!L:L)</f>
        <v>5.5</v>
      </c>
      <c r="J2834">
        <f>_xlfn.XLOOKUP(A2834,'[1]Tissue Data'!$A:$A,'[1]Tissue Data'!M:M)</f>
        <v>2.2999999999999998</v>
      </c>
      <c r="K2834" t="s">
        <v>44</v>
      </c>
      <c r="L2834" t="str">
        <f>_xlfn.XLOOKUP(K2834,[2]analyte_order!$B:$B,[2]analyte_order!$C:$C)</f>
        <v>27619-97-2</v>
      </c>
      <c r="M2834">
        <f>_xlfn.XLOOKUP(L2834,[2]analyte_order!$C:$C,[2]analyte_order!$E:$E)</f>
        <v>23</v>
      </c>
      <c r="N2834">
        <v>0.13900000000000001</v>
      </c>
    </row>
    <row r="2835" spans="1:14">
      <c r="A2835" t="s">
        <v>195</v>
      </c>
      <c r="B2835" t="str">
        <f>_xlfn.XLOOKUP(A2835,'[1]Tissue Data'!$A:$A,'[1]Tissue Data'!$C:$C)</f>
        <v>Spill</v>
      </c>
      <c r="C2835" s="2">
        <f>_xlfn.XLOOKUP(A2835,'[1]Tissue Data'!$A:$A,'[1]Tissue Data'!$D:$D)</f>
        <v>44314</v>
      </c>
      <c r="D2835" s="2" t="str">
        <f>_xlfn.XLOOKUP(A2835,'[1]Tissue Data'!$A:$A,'[1]Tissue Data'!$F:$F)</f>
        <v>Swallowtail Shiner</v>
      </c>
      <c r="E2835" t="str">
        <f>_xlfn.XLOOKUP(A2835,'[1]Tissue Data'!$A:$A,'[1]Tissue Data'!$H:$H)</f>
        <v>Notropis</v>
      </c>
      <c r="F2835" t="str">
        <f>_xlfn.XLOOKUP(A2835,'[1]Tissue Data'!$A:$A,'[1]Tissue Data'!$I:$I)</f>
        <v>procne</v>
      </c>
      <c r="G2835" t="str">
        <f>_xlfn.XLOOKUP(A2835,'[1]Tissue Data'!$A:$A,'[1]Tissue Data'!J:J)</f>
        <v>U</v>
      </c>
      <c r="H2835" t="str">
        <f>_xlfn.XLOOKUP(A2835,'[1]Tissue Data'!$A:$A,'[1]Tissue Data'!K:K)</f>
        <v>Whole Body</v>
      </c>
      <c r="I2835">
        <f>_xlfn.XLOOKUP(A2835,'[1]Tissue Data'!$A:$A,'[1]Tissue Data'!L:L)</f>
        <v>5.5</v>
      </c>
      <c r="J2835">
        <f>_xlfn.XLOOKUP(A2835,'[1]Tissue Data'!$A:$A,'[1]Tissue Data'!M:M)</f>
        <v>2.2999999999999998</v>
      </c>
      <c r="K2835" t="s">
        <v>45</v>
      </c>
      <c r="L2835" t="str">
        <f>_xlfn.XLOOKUP(K2835,[2]analyte_order!$B:$B,[2]analyte_order!$C:$C)</f>
        <v>39108-34-4</v>
      </c>
      <c r="M2835">
        <f>_xlfn.XLOOKUP(L2835,[2]analyte_order!$C:$C,[2]analyte_order!$E:$E)</f>
        <v>24</v>
      </c>
      <c r="N2835">
        <v>23.6</v>
      </c>
    </row>
    <row r="2836" spans="1:14">
      <c r="A2836" t="s">
        <v>195</v>
      </c>
      <c r="B2836" t="str">
        <f>_xlfn.XLOOKUP(A2836,'[1]Tissue Data'!$A:$A,'[1]Tissue Data'!$C:$C)</f>
        <v>Spill</v>
      </c>
      <c r="C2836" s="2">
        <f>_xlfn.XLOOKUP(A2836,'[1]Tissue Data'!$A:$A,'[1]Tissue Data'!$D:$D)</f>
        <v>44314</v>
      </c>
      <c r="D2836" s="2" t="str">
        <f>_xlfn.XLOOKUP(A2836,'[1]Tissue Data'!$A:$A,'[1]Tissue Data'!$F:$F)</f>
        <v>Swallowtail Shiner</v>
      </c>
      <c r="E2836" t="str">
        <f>_xlfn.XLOOKUP(A2836,'[1]Tissue Data'!$A:$A,'[1]Tissue Data'!$H:$H)</f>
        <v>Notropis</v>
      </c>
      <c r="F2836" t="str">
        <f>_xlfn.XLOOKUP(A2836,'[1]Tissue Data'!$A:$A,'[1]Tissue Data'!$I:$I)</f>
        <v>procne</v>
      </c>
      <c r="G2836" t="str">
        <f>_xlfn.XLOOKUP(A2836,'[1]Tissue Data'!$A:$A,'[1]Tissue Data'!J:J)</f>
        <v>U</v>
      </c>
      <c r="H2836" t="str">
        <f>_xlfn.XLOOKUP(A2836,'[1]Tissue Data'!$A:$A,'[1]Tissue Data'!K:K)</f>
        <v>Whole Body</v>
      </c>
      <c r="I2836">
        <f>_xlfn.XLOOKUP(A2836,'[1]Tissue Data'!$A:$A,'[1]Tissue Data'!L:L)</f>
        <v>5.5</v>
      </c>
      <c r="J2836">
        <f>_xlfn.XLOOKUP(A2836,'[1]Tissue Data'!$A:$A,'[1]Tissue Data'!M:M)</f>
        <v>2.2999999999999998</v>
      </c>
      <c r="K2836" t="s">
        <v>46</v>
      </c>
      <c r="L2836" t="str">
        <f>_xlfn.XLOOKUP(K2836,[2]analyte_order!$B:$B,[2]analyte_order!$C:$C)</f>
        <v>120226-60-0</v>
      </c>
      <c r="M2836">
        <f>_xlfn.XLOOKUP(L2836,[2]analyte_order!$C:$C,[2]analyte_order!$E:$E)</f>
        <v>25</v>
      </c>
      <c r="N2836">
        <v>7.9500000000000001E-2</v>
      </c>
    </row>
    <row r="2837" spans="1:14">
      <c r="A2837" t="s">
        <v>195</v>
      </c>
      <c r="B2837" t="str">
        <f>_xlfn.XLOOKUP(A2837,'[1]Tissue Data'!$A:$A,'[1]Tissue Data'!$C:$C)</f>
        <v>Spill</v>
      </c>
      <c r="C2837" s="2">
        <f>_xlfn.XLOOKUP(A2837,'[1]Tissue Data'!$A:$A,'[1]Tissue Data'!$D:$D)</f>
        <v>44314</v>
      </c>
      <c r="D2837" s="2" t="str">
        <f>_xlfn.XLOOKUP(A2837,'[1]Tissue Data'!$A:$A,'[1]Tissue Data'!$F:$F)</f>
        <v>Swallowtail Shiner</v>
      </c>
      <c r="E2837" t="str">
        <f>_xlfn.XLOOKUP(A2837,'[1]Tissue Data'!$A:$A,'[1]Tissue Data'!$H:$H)</f>
        <v>Notropis</v>
      </c>
      <c r="F2837" t="str">
        <f>_xlfn.XLOOKUP(A2837,'[1]Tissue Data'!$A:$A,'[1]Tissue Data'!$I:$I)</f>
        <v>procne</v>
      </c>
      <c r="G2837" t="str">
        <f>_xlfn.XLOOKUP(A2837,'[1]Tissue Data'!$A:$A,'[1]Tissue Data'!J:J)</f>
        <v>U</v>
      </c>
      <c r="H2837" t="str">
        <f>_xlfn.XLOOKUP(A2837,'[1]Tissue Data'!$A:$A,'[1]Tissue Data'!K:K)</f>
        <v>Whole Body</v>
      </c>
      <c r="I2837">
        <f>_xlfn.XLOOKUP(A2837,'[1]Tissue Data'!$A:$A,'[1]Tissue Data'!L:L)</f>
        <v>5.5</v>
      </c>
      <c r="J2837">
        <f>_xlfn.XLOOKUP(A2837,'[1]Tissue Data'!$A:$A,'[1]Tissue Data'!M:M)</f>
        <v>2.2999999999999998</v>
      </c>
      <c r="K2837" t="s">
        <v>47</v>
      </c>
      <c r="L2837" t="str">
        <f>_xlfn.XLOOKUP(K2837,[2]analyte_order!$B:$B,[2]analyte_order!$C:$C)</f>
        <v>356-02-5</v>
      </c>
      <c r="M2837">
        <f>_xlfn.XLOOKUP(L2837,[2]analyte_order!$C:$C,[2]analyte_order!$E:$E)</f>
        <v>38</v>
      </c>
      <c r="N2837">
        <v>8.0500000000000002E-2</v>
      </c>
    </row>
    <row r="2838" spans="1:14">
      <c r="A2838" t="s">
        <v>195</v>
      </c>
      <c r="B2838" t="str">
        <f>_xlfn.XLOOKUP(A2838,'[1]Tissue Data'!$A:$A,'[1]Tissue Data'!$C:$C)</f>
        <v>Spill</v>
      </c>
      <c r="C2838" s="2">
        <f>_xlfn.XLOOKUP(A2838,'[1]Tissue Data'!$A:$A,'[1]Tissue Data'!$D:$D)</f>
        <v>44314</v>
      </c>
      <c r="D2838" s="2" t="str">
        <f>_xlfn.XLOOKUP(A2838,'[1]Tissue Data'!$A:$A,'[1]Tissue Data'!$F:$F)</f>
        <v>Swallowtail Shiner</v>
      </c>
      <c r="E2838" t="str">
        <f>_xlfn.XLOOKUP(A2838,'[1]Tissue Data'!$A:$A,'[1]Tissue Data'!$H:$H)</f>
        <v>Notropis</v>
      </c>
      <c r="F2838" t="str">
        <f>_xlfn.XLOOKUP(A2838,'[1]Tissue Data'!$A:$A,'[1]Tissue Data'!$I:$I)</f>
        <v>procne</v>
      </c>
      <c r="G2838" t="str">
        <f>_xlfn.XLOOKUP(A2838,'[1]Tissue Data'!$A:$A,'[1]Tissue Data'!J:J)</f>
        <v>U</v>
      </c>
      <c r="H2838" t="str">
        <f>_xlfn.XLOOKUP(A2838,'[1]Tissue Data'!$A:$A,'[1]Tissue Data'!K:K)</f>
        <v>Whole Body</v>
      </c>
      <c r="I2838">
        <f>_xlfn.XLOOKUP(A2838,'[1]Tissue Data'!$A:$A,'[1]Tissue Data'!L:L)</f>
        <v>5.5</v>
      </c>
      <c r="J2838">
        <f>_xlfn.XLOOKUP(A2838,'[1]Tissue Data'!$A:$A,'[1]Tissue Data'!M:M)</f>
        <v>2.2999999999999998</v>
      </c>
      <c r="K2838" t="s">
        <v>48</v>
      </c>
      <c r="L2838" t="str">
        <f>_xlfn.XLOOKUP(K2838,[2]analyte_order!$B:$B,[2]analyte_order!$C:$C)</f>
        <v>914637-49-3</v>
      </c>
      <c r="M2838">
        <f>_xlfn.XLOOKUP(L2838,[2]analyte_order!$C:$C,[2]analyte_order!$E:$E)</f>
        <v>39</v>
      </c>
      <c r="N2838">
        <v>0.61399999999999999</v>
      </c>
    </row>
    <row r="2839" spans="1:14">
      <c r="A2839" t="s">
        <v>195</v>
      </c>
      <c r="B2839" t="str">
        <f>_xlfn.XLOOKUP(A2839,'[1]Tissue Data'!$A:$A,'[1]Tissue Data'!$C:$C)</f>
        <v>Spill</v>
      </c>
      <c r="C2839" s="2">
        <f>_xlfn.XLOOKUP(A2839,'[1]Tissue Data'!$A:$A,'[1]Tissue Data'!$D:$D)</f>
        <v>44314</v>
      </c>
      <c r="D2839" s="2" t="str">
        <f>_xlfn.XLOOKUP(A2839,'[1]Tissue Data'!$A:$A,'[1]Tissue Data'!$F:$F)</f>
        <v>Swallowtail Shiner</v>
      </c>
      <c r="E2839" t="str">
        <f>_xlfn.XLOOKUP(A2839,'[1]Tissue Data'!$A:$A,'[1]Tissue Data'!$H:$H)</f>
        <v>Notropis</v>
      </c>
      <c r="F2839" t="str">
        <f>_xlfn.XLOOKUP(A2839,'[1]Tissue Data'!$A:$A,'[1]Tissue Data'!$I:$I)</f>
        <v>procne</v>
      </c>
      <c r="G2839" t="str">
        <f>_xlfn.XLOOKUP(A2839,'[1]Tissue Data'!$A:$A,'[1]Tissue Data'!J:J)</f>
        <v>U</v>
      </c>
      <c r="H2839" t="str">
        <f>_xlfn.XLOOKUP(A2839,'[1]Tissue Data'!$A:$A,'[1]Tissue Data'!K:K)</f>
        <v>Whole Body</v>
      </c>
      <c r="I2839">
        <f>_xlfn.XLOOKUP(A2839,'[1]Tissue Data'!$A:$A,'[1]Tissue Data'!L:L)</f>
        <v>5.5</v>
      </c>
      <c r="J2839">
        <f>_xlfn.XLOOKUP(A2839,'[1]Tissue Data'!$A:$A,'[1]Tissue Data'!M:M)</f>
        <v>2.2999999999999998</v>
      </c>
      <c r="K2839" t="s">
        <v>49</v>
      </c>
      <c r="L2839" t="str">
        <f>_xlfn.XLOOKUP(K2839,[2]analyte_order!$B:$B,[2]analyte_order!$C:$C)</f>
        <v>812-70-4</v>
      </c>
      <c r="M2839">
        <f>_xlfn.XLOOKUP(L2839,[2]analyte_order!$C:$C,[2]analyte_order!$E:$E)</f>
        <v>40</v>
      </c>
      <c r="N2839">
        <v>9.51</v>
      </c>
    </row>
    <row r="2840" spans="1:14">
      <c r="A2840" t="s">
        <v>195</v>
      </c>
      <c r="B2840" t="str">
        <f>_xlfn.XLOOKUP(A2840,'[1]Tissue Data'!$A:$A,'[1]Tissue Data'!$C:$C)</f>
        <v>Spill</v>
      </c>
      <c r="C2840" s="2">
        <f>_xlfn.XLOOKUP(A2840,'[1]Tissue Data'!$A:$A,'[1]Tissue Data'!$D:$D)</f>
        <v>44314</v>
      </c>
      <c r="D2840" s="2" t="str">
        <f>_xlfn.XLOOKUP(A2840,'[1]Tissue Data'!$A:$A,'[1]Tissue Data'!$F:$F)</f>
        <v>Swallowtail Shiner</v>
      </c>
      <c r="E2840" t="str">
        <f>_xlfn.XLOOKUP(A2840,'[1]Tissue Data'!$A:$A,'[1]Tissue Data'!$H:$H)</f>
        <v>Notropis</v>
      </c>
      <c r="F2840" t="str">
        <f>_xlfn.XLOOKUP(A2840,'[1]Tissue Data'!$A:$A,'[1]Tissue Data'!$I:$I)</f>
        <v>procne</v>
      </c>
      <c r="G2840" t="str">
        <f>_xlfn.XLOOKUP(A2840,'[1]Tissue Data'!$A:$A,'[1]Tissue Data'!J:J)</f>
        <v>U</v>
      </c>
      <c r="H2840" t="str">
        <f>_xlfn.XLOOKUP(A2840,'[1]Tissue Data'!$A:$A,'[1]Tissue Data'!K:K)</f>
        <v>Whole Body</v>
      </c>
      <c r="I2840">
        <f>_xlfn.XLOOKUP(A2840,'[1]Tissue Data'!$A:$A,'[1]Tissue Data'!L:L)</f>
        <v>5.5</v>
      </c>
      <c r="J2840">
        <f>_xlfn.XLOOKUP(A2840,'[1]Tissue Data'!$A:$A,'[1]Tissue Data'!M:M)</f>
        <v>2.2999999999999998</v>
      </c>
      <c r="K2840" t="s">
        <v>50</v>
      </c>
      <c r="L2840" t="str">
        <f>_xlfn.XLOOKUP(K2840,[2]analyte_order!$B:$B,[2]analyte_order!$C:$C)</f>
        <v>53826-12-3</v>
      </c>
      <c r="M2840">
        <f>_xlfn.XLOOKUP(L2840,[2]analyte_order!$C:$C,[2]analyte_order!$E:$E)</f>
        <v>41</v>
      </c>
      <c r="N2840">
        <v>4.4850000000000001E-2</v>
      </c>
    </row>
    <row r="2841" spans="1:14">
      <c r="A2841" t="s">
        <v>195</v>
      </c>
      <c r="B2841" t="str">
        <f>_xlfn.XLOOKUP(A2841,'[1]Tissue Data'!$A:$A,'[1]Tissue Data'!$C:$C)</f>
        <v>Spill</v>
      </c>
      <c r="C2841" s="2">
        <f>_xlfn.XLOOKUP(A2841,'[1]Tissue Data'!$A:$A,'[1]Tissue Data'!$D:$D)</f>
        <v>44314</v>
      </c>
      <c r="D2841" s="2" t="str">
        <f>_xlfn.XLOOKUP(A2841,'[1]Tissue Data'!$A:$A,'[1]Tissue Data'!$F:$F)</f>
        <v>Swallowtail Shiner</v>
      </c>
      <c r="E2841" t="str">
        <f>_xlfn.XLOOKUP(A2841,'[1]Tissue Data'!$A:$A,'[1]Tissue Data'!$H:$H)</f>
        <v>Notropis</v>
      </c>
      <c r="F2841" t="str">
        <f>_xlfn.XLOOKUP(A2841,'[1]Tissue Data'!$A:$A,'[1]Tissue Data'!$I:$I)</f>
        <v>procne</v>
      </c>
      <c r="G2841" t="str">
        <f>_xlfn.XLOOKUP(A2841,'[1]Tissue Data'!$A:$A,'[1]Tissue Data'!J:J)</f>
        <v>U</v>
      </c>
      <c r="H2841" t="str">
        <f>_xlfn.XLOOKUP(A2841,'[1]Tissue Data'!$A:$A,'[1]Tissue Data'!K:K)</f>
        <v>Whole Body</v>
      </c>
      <c r="I2841">
        <f>_xlfn.XLOOKUP(A2841,'[1]Tissue Data'!$A:$A,'[1]Tissue Data'!L:L)</f>
        <v>5.5</v>
      </c>
      <c r="J2841">
        <f>_xlfn.XLOOKUP(A2841,'[1]Tissue Data'!$A:$A,'[1]Tissue Data'!M:M)</f>
        <v>2.2999999999999998</v>
      </c>
      <c r="K2841" t="s">
        <v>51</v>
      </c>
      <c r="L2841" t="str">
        <f>_xlfn.XLOOKUP(K2841,[2]analyte_order!$B:$B,[2]analyte_order!$C:$C)</f>
        <v>27854-31-5</v>
      </c>
      <c r="M2841">
        <f>_xlfn.XLOOKUP(L2841,[2]analyte_order!$C:$C,[2]analyte_order!$E:$E)</f>
        <v>42</v>
      </c>
      <c r="N2841">
        <v>2.7900000000000001E-2</v>
      </c>
    </row>
    <row r="2842" spans="1:14">
      <c r="A2842" t="s">
        <v>195</v>
      </c>
      <c r="B2842" t="str">
        <f>_xlfn.XLOOKUP(A2842,'[1]Tissue Data'!$A:$A,'[1]Tissue Data'!$C:$C)</f>
        <v>Spill</v>
      </c>
      <c r="C2842" s="2">
        <f>_xlfn.XLOOKUP(A2842,'[1]Tissue Data'!$A:$A,'[1]Tissue Data'!$D:$D)</f>
        <v>44314</v>
      </c>
      <c r="D2842" s="2" t="str">
        <f>_xlfn.XLOOKUP(A2842,'[1]Tissue Data'!$A:$A,'[1]Tissue Data'!$F:$F)</f>
        <v>Swallowtail Shiner</v>
      </c>
      <c r="E2842" t="str">
        <f>_xlfn.XLOOKUP(A2842,'[1]Tissue Data'!$A:$A,'[1]Tissue Data'!$H:$H)</f>
        <v>Notropis</v>
      </c>
      <c r="F2842" t="str">
        <f>_xlfn.XLOOKUP(A2842,'[1]Tissue Data'!$A:$A,'[1]Tissue Data'!$I:$I)</f>
        <v>procne</v>
      </c>
      <c r="G2842" t="str">
        <f>_xlfn.XLOOKUP(A2842,'[1]Tissue Data'!$A:$A,'[1]Tissue Data'!J:J)</f>
        <v>U</v>
      </c>
      <c r="H2842" t="str">
        <f>_xlfn.XLOOKUP(A2842,'[1]Tissue Data'!$A:$A,'[1]Tissue Data'!K:K)</f>
        <v>Whole Body</v>
      </c>
      <c r="I2842">
        <f>_xlfn.XLOOKUP(A2842,'[1]Tissue Data'!$A:$A,'[1]Tissue Data'!L:L)</f>
        <v>5.5</v>
      </c>
      <c r="J2842">
        <f>_xlfn.XLOOKUP(A2842,'[1]Tissue Data'!$A:$A,'[1]Tissue Data'!M:M)</f>
        <v>2.2999999999999998</v>
      </c>
      <c r="K2842" t="s">
        <v>52</v>
      </c>
      <c r="L2842" t="str">
        <f>_xlfn.XLOOKUP(K2842,[2]analyte_order!$B:$B,[2]analyte_order!$C:$C)</f>
        <v>53826-13-4</v>
      </c>
      <c r="M2842">
        <f>_xlfn.XLOOKUP(L2842,[2]analyte_order!$C:$C,[2]analyte_order!$E:$E)</f>
        <v>43</v>
      </c>
      <c r="N2842">
        <v>0.104</v>
      </c>
    </row>
    <row r="2843" spans="1:14">
      <c r="A2843" t="s">
        <v>195</v>
      </c>
      <c r="B2843" t="str">
        <f>_xlfn.XLOOKUP(A2843,'[1]Tissue Data'!$A:$A,'[1]Tissue Data'!$C:$C)</f>
        <v>Spill</v>
      </c>
      <c r="C2843" s="2">
        <f>_xlfn.XLOOKUP(A2843,'[1]Tissue Data'!$A:$A,'[1]Tissue Data'!$D:$D)</f>
        <v>44314</v>
      </c>
      <c r="D2843" s="2" t="str">
        <f>_xlfn.XLOOKUP(A2843,'[1]Tissue Data'!$A:$A,'[1]Tissue Data'!$F:$F)</f>
        <v>Swallowtail Shiner</v>
      </c>
      <c r="E2843" t="str">
        <f>_xlfn.XLOOKUP(A2843,'[1]Tissue Data'!$A:$A,'[1]Tissue Data'!$H:$H)</f>
        <v>Notropis</v>
      </c>
      <c r="F2843" t="str">
        <f>_xlfn.XLOOKUP(A2843,'[1]Tissue Data'!$A:$A,'[1]Tissue Data'!$I:$I)</f>
        <v>procne</v>
      </c>
      <c r="G2843" t="str">
        <f>_xlfn.XLOOKUP(A2843,'[1]Tissue Data'!$A:$A,'[1]Tissue Data'!J:J)</f>
        <v>U</v>
      </c>
      <c r="H2843" t="str">
        <f>_xlfn.XLOOKUP(A2843,'[1]Tissue Data'!$A:$A,'[1]Tissue Data'!K:K)</f>
        <v>Whole Body</v>
      </c>
      <c r="I2843">
        <f>_xlfn.XLOOKUP(A2843,'[1]Tissue Data'!$A:$A,'[1]Tissue Data'!L:L)</f>
        <v>5.5</v>
      </c>
      <c r="J2843">
        <f>_xlfn.XLOOKUP(A2843,'[1]Tissue Data'!$A:$A,'[1]Tissue Data'!M:M)</f>
        <v>2.2999999999999998</v>
      </c>
      <c r="K2843" t="s">
        <v>53</v>
      </c>
      <c r="L2843" t="str">
        <f>_xlfn.XLOOKUP(K2843,[2]analyte_order!$B:$B,[2]analyte_order!$C:$C)</f>
        <v>161094-75-3</v>
      </c>
      <c r="M2843">
        <f>_xlfn.XLOOKUP(L2843,[2]analyte_order!$C:$C,[2]analyte_order!$E:$E)</f>
        <v>44</v>
      </c>
      <c r="N2843">
        <v>5.5E-2</v>
      </c>
    </row>
    <row r="2844" spans="1:14">
      <c r="A2844" t="s">
        <v>195</v>
      </c>
      <c r="B2844" t="str">
        <f>_xlfn.XLOOKUP(A2844,'[1]Tissue Data'!$A:$A,'[1]Tissue Data'!$C:$C)</f>
        <v>Spill</v>
      </c>
      <c r="C2844" s="2">
        <f>_xlfn.XLOOKUP(A2844,'[1]Tissue Data'!$A:$A,'[1]Tissue Data'!$D:$D)</f>
        <v>44314</v>
      </c>
      <c r="D2844" s="2" t="str">
        <f>_xlfn.XLOOKUP(A2844,'[1]Tissue Data'!$A:$A,'[1]Tissue Data'!$F:$F)</f>
        <v>Swallowtail Shiner</v>
      </c>
      <c r="E2844" t="str">
        <f>_xlfn.XLOOKUP(A2844,'[1]Tissue Data'!$A:$A,'[1]Tissue Data'!$H:$H)</f>
        <v>Notropis</v>
      </c>
      <c r="F2844" t="str">
        <f>_xlfn.XLOOKUP(A2844,'[1]Tissue Data'!$A:$A,'[1]Tissue Data'!$I:$I)</f>
        <v>procne</v>
      </c>
      <c r="G2844" t="str">
        <f>_xlfn.XLOOKUP(A2844,'[1]Tissue Data'!$A:$A,'[1]Tissue Data'!J:J)</f>
        <v>U</v>
      </c>
      <c r="H2844" t="str">
        <f>_xlfn.XLOOKUP(A2844,'[1]Tissue Data'!$A:$A,'[1]Tissue Data'!K:K)</f>
        <v>Whole Body</v>
      </c>
      <c r="I2844">
        <f>_xlfn.XLOOKUP(A2844,'[1]Tissue Data'!$A:$A,'[1]Tissue Data'!L:L)</f>
        <v>5.5</v>
      </c>
      <c r="J2844">
        <f>_xlfn.XLOOKUP(A2844,'[1]Tissue Data'!$A:$A,'[1]Tissue Data'!M:M)</f>
        <v>2.2999999999999998</v>
      </c>
      <c r="K2844" t="s">
        <v>54</v>
      </c>
      <c r="L2844" t="str">
        <f>_xlfn.XLOOKUP(K2844,[2]analyte_order!$B:$B,[2]analyte_order!$C:$C)</f>
        <v>70887-84-2</v>
      </c>
      <c r="M2844">
        <f>_xlfn.XLOOKUP(L2844,[2]analyte_order!$C:$C,[2]analyte_order!$E:$E)</f>
        <v>45</v>
      </c>
      <c r="N2844">
        <v>4.2250000000000003E-2</v>
      </c>
    </row>
    <row r="2845" spans="1:14">
      <c r="A2845" t="s">
        <v>195</v>
      </c>
      <c r="B2845" t="str">
        <f>_xlfn.XLOOKUP(A2845,'[1]Tissue Data'!$A:$A,'[1]Tissue Data'!$C:$C)</f>
        <v>Spill</v>
      </c>
      <c r="C2845" s="2">
        <f>_xlfn.XLOOKUP(A2845,'[1]Tissue Data'!$A:$A,'[1]Tissue Data'!$D:$D)</f>
        <v>44314</v>
      </c>
      <c r="D2845" s="2" t="str">
        <f>_xlfn.XLOOKUP(A2845,'[1]Tissue Data'!$A:$A,'[1]Tissue Data'!$F:$F)</f>
        <v>Swallowtail Shiner</v>
      </c>
      <c r="E2845" t="str">
        <f>_xlfn.XLOOKUP(A2845,'[1]Tissue Data'!$A:$A,'[1]Tissue Data'!$H:$H)</f>
        <v>Notropis</v>
      </c>
      <c r="F2845" t="str">
        <f>_xlfn.XLOOKUP(A2845,'[1]Tissue Data'!$A:$A,'[1]Tissue Data'!$I:$I)</f>
        <v>procne</v>
      </c>
      <c r="G2845" t="str">
        <f>_xlfn.XLOOKUP(A2845,'[1]Tissue Data'!$A:$A,'[1]Tissue Data'!J:J)</f>
        <v>U</v>
      </c>
      <c r="H2845" t="str">
        <f>_xlfn.XLOOKUP(A2845,'[1]Tissue Data'!$A:$A,'[1]Tissue Data'!K:K)</f>
        <v>Whole Body</v>
      </c>
      <c r="I2845">
        <f>_xlfn.XLOOKUP(A2845,'[1]Tissue Data'!$A:$A,'[1]Tissue Data'!L:L)</f>
        <v>5.5</v>
      </c>
      <c r="J2845">
        <f>_xlfn.XLOOKUP(A2845,'[1]Tissue Data'!$A:$A,'[1]Tissue Data'!M:M)</f>
        <v>2.2999999999999998</v>
      </c>
      <c r="K2845" t="s">
        <v>55</v>
      </c>
      <c r="L2845" t="str">
        <f>_xlfn.XLOOKUP(K2845,[2]analyte_order!$B:$B,[2]analyte_order!$C:$C)</f>
        <v>919005-14-4</v>
      </c>
      <c r="M2845">
        <f>_xlfn.XLOOKUP(L2845,[2]analyte_order!$C:$C,[2]analyte_order!$E:$E)</f>
        <v>35</v>
      </c>
      <c r="N2845">
        <v>0.23050000000000001</v>
      </c>
    </row>
    <row r="2846" spans="1:14">
      <c r="A2846" t="s">
        <v>195</v>
      </c>
      <c r="B2846" t="str">
        <f>_xlfn.XLOOKUP(A2846,'[1]Tissue Data'!$A:$A,'[1]Tissue Data'!$C:$C)</f>
        <v>Spill</v>
      </c>
      <c r="C2846" s="2">
        <f>_xlfn.XLOOKUP(A2846,'[1]Tissue Data'!$A:$A,'[1]Tissue Data'!$D:$D)</f>
        <v>44314</v>
      </c>
      <c r="D2846" s="2" t="str">
        <f>_xlfn.XLOOKUP(A2846,'[1]Tissue Data'!$A:$A,'[1]Tissue Data'!$F:$F)</f>
        <v>Swallowtail Shiner</v>
      </c>
      <c r="E2846" t="str">
        <f>_xlfn.XLOOKUP(A2846,'[1]Tissue Data'!$A:$A,'[1]Tissue Data'!$H:$H)</f>
        <v>Notropis</v>
      </c>
      <c r="F2846" t="str">
        <f>_xlfn.XLOOKUP(A2846,'[1]Tissue Data'!$A:$A,'[1]Tissue Data'!$I:$I)</f>
        <v>procne</v>
      </c>
      <c r="G2846" t="str">
        <f>_xlfn.XLOOKUP(A2846,'[1]Tissue Data'!$A:$A,'[1]Tissue Data'!J:J)</f>
        <v>U</v>
      </c>
      <c r="H2846" t="str">
        <f>_xlfn.XLOOKUP(A2846,'[1]Tissue Data'!$A:$A,'[1]Tissue Data'!K:K)</f>
        <v>Whole Body</v>
      </c>
      <c r="I2846">
        <f>_xlfn.XLOOKUP(A2846,'[1]Tissue Data'!$A:$A,'[1]Tissue Data'!L:L)</f>
        <v>5.5</v>
      </c>
      <c r="J2846">
        <f>_xlfn.XLOOKUP(A2846,'[1]Tissue Data'!$A:$A,'[1]Tissue Data'!M:M)</f>
        <v>2.2999999999999998</v>
      </c>
      <c r="K2846" t="s">
        <v>56</v>
      </c>
      <c r="L2846" t="str">
        <f>_xlfn.XLOOKUP(K2846,[2]analyte_order!$B:$B,[2]analyte_order!$C:$C)</f>
        <v>756426-58-1</v>
      </c>
      <c r="M2846">
        <f>_xlfn.XLOOKUP(L2846,[2]analyte_order!$C:$C,[2]analyte_order!$E:$E)</f>
        <v>36</v>
      </c>
      <c r="N2846">
        <v>4.8500000000000001E-2</v>
      </c>
    </row>
    <row r="2847" spans="1:14">
      <c r="A2847" t="s">
        <v>195</v>
      </c>
      <c r="B2847" t="str">
        <f>_xlfn.XLOOKUP(A2847,'[1]Tissue Data'!$A:$A,'[1]Tissue Data'!$C:$C)</f>
        <v>Spill</v>
      </c>
      <c r="C2847" s="2">
        <f>_xlfn.XLOOKUP(A2847,'[1]Tissue Data'!$A:$A,'[1]Tissue Data'!$D:$D)</f>
        <v>44314</v>
      </c>
      <c r="D2847" s="2" t="str">
        <f>_xlfn.XLOOKUP(A2847,'[1]Tissue Data'!$A:$A,'[1]Tissue Data'!$F:$F)</f>
        <v>Swallowtail Shiner</v>
      </c>
      <c r="E2847" t="str">
        <f>_xlfn.XLOOKUP(A2847,'[1]Tissue Data'!$A:$A,'[1]Tissue Data'!$H:$H)</f>
        <v>Notropis</v>
      </c>
      <c r="F2847" t="str">
        <f>_xlfn.XLOOKUP(A2847,'[1]Tissue Data'!$A:$A,'[1]Tissue Data'!$I:$I)</f>
        <v>procne</v>
      </c>
      <c r="G2847" t="str">
        <f>_xlfn.XLOOKUP(A2847,'[1]Tissue Data'!$A:$A,'[1]Tissue Data'!J:J)</f>
        <v>U</v>
      </c>
      <c r="H2847" t="str">
        <f>_xlfn.XLOOKUP(A2847,'[1]Tissue Data'!$A:$A,'[1]Tissue Data'!K:K)</f>
        <v>Whole Body</v>
      </c>
      <c r="I2847">
        <f>_xlfn.XLOOKUP(A2847,'[1]Tissue Data'!$A:$A,'[1]Tissue Data'!L:L)</f>
        <v>5.5</v>
      </c>
      <c r="J2847">
        <f>_xlfn.XLOOKUP(A2847,'[1]Tissue Data'!$A:$A,'[1]Tissue Data'!M:M)</f>
        <v>2.2999999999999998</v>
      </c>
      <c r="K2847" t="s">
        <v>57</v>
      </c>
      <c r="L2847" t="str">
        <f>_xlfn.XLOOKUP(K2847,[2]analyte_order!$B:$B,[2]analyte_order!$C:$C)</f>
        <v>763051-92-9</v>
      </c>
      <c r="M2847">
        <f>_xlfn.XLOOKUP(L2847,[2]analyte_order!$C:$C,[2]analyte_order!$E:$E)</f>
        <v>37</v>
      </c>
      <c r="N2847">
        <v>5.5E-2</v>
      </c>
    </row>
    <row r="2848" spans="1:14">
      <c r="A2848" t="s">
        <v>195</v>
      </c>
      <c r="B2848" t="str">
        <f>_xlfn.XLOOKUP(A2848,'[1]Tissue Data'!$A:$A,'[1]Tissue Data'!$C:$C)</f>
        <v>Spill</v>
      </c>
      <c r="C2848" s="2">
        <f>_xlfn.XLOOKUP(A2848,'[1]Tissue Data'!$A:$A,'[1]Tissue Data'!$D:$D)</f>
        <v>44314</v>
      </c>
      <c r="D2848" s="2" t="str">
        <f>_xlfn.XLOOKUP(A2848,'[1]Tissue Data'!$A:$A,'[1]Tissue Data'!$F:$F)</f>
        <v>Swallowtail Shiner</v>
      </c>
      <c r="E2848" t="str">
        <f>_xlfn.XLOOKUP(A2848,'[1]Tissue Data'!$A:$A,'[1]Tissue Data'!$H:$H)</f>
        <v>Notropis</v>
      </c>
      <c r="F2848" t="str">
        <f>_xlfn.XLOOKUP(A2848,'[1]Tissue Data'!$A:$A,'[1]Tissue Data'!$I:$I)</f>
        <v>procne</v>
      </c>
      <c r="G2848" t="str">
        <f>_xlfn.XLOOKUP(A2848,'[1]Tissue Data'!$A:$A,'[1]Tissue Data'!J:J)</f>
        <v>U</v>
      </c>
      <c r="H2848" t="str">
        <f>_xlfn.XLOOKUP(A2848,'[1]Tissue Data'!$A:$A,'[1]Tissue Data'!K:K)</f>
        <v>Whole Body</v>
      </c>
      <c r="I2848">
        <f>_xlfn.XLOOKUP(A2848,'[1]Tissue Data'!$A:$A,'[1]Tissue Data'!L:L)</f>
        <v>5.5</v>
      </c>
      <c r="J2848">
        <f>_xlfn.XLOOKUP(A2848,'[1]Tissue Data'!$A:$A,'[1]Tissue Data'!M:M)</f>
        <v>2.2999999999999998</v>
      </c>
      <c r="K2848" t="s">
        <v>58</v>
      </c>
      <c r="L2848" t="str">
        <f>_xlfn.XLOOKUP(K2848,[2]analyte_order!$B:$B,[2]analyte_order!$C:$C)</f>
        <v>13252-13-6</v>
      </c>
      <c r="M2848">
        <f>_xlfn.XLOOKUP(L2848,[2]analyte_order!$C:$C,[2]analyte_order!$E:$E)</f>
        <v>34</v>
      </c>
      <c r="N2848">
        <v>0.10050000000000001</v>
      </c>
    </row>
    <row r="2849" spans="1:14">
      <c r="A2849" t="s">
        <v>195</v>
      </c>
      <c r="B2849" t="str">
        <f>_xlfn.XLOOKUP(A2849,'[1]Tissue Data'!$A:$A,'[1]Tissue Data'!$C:$C)</f>
        <v>Spill</v>
      </c>
      <c r="C2849" s="2">
        <f>_xlfn.XLOOKUP(A2849,'[1]Tissue Data'!$A:$A,'[1]Tissue Data'!$D:$D)</f>
        <v>44314</v>
      </c>
      <c r="D2849" s="2" t="str">
        <f>_xlfn.XLOOKUP(A2849,'[1]Tissue Data'!$A:$A,'[1]Tissue Data'!$F:$F)</f>
        <v>Swallowtail Shiner</v>
      </c>
      <c r="E2849" t="str">
        <f>_xlfn.XLOOKUP(A2849,'[1]Tissue Data'!$A:$A,'[1]Tissue Data'!$H:$H)</f>
        <v>Notropis</v>
      </c>
      <c r="F2849" t="str">
        <f>_xlfn.XLOOKUP(A2849,'[1]Tissue Data'!$A:$A,'[1]Tissue Data'!$I:$I)</f>
        <v>procne</v>
      </c>
      <c r="G2849" t="str">
        <f>_xlfn.XLOOKUP(A2849,'[1]Tissue Data'!$A:$A,'[1]Tissue Data'!J:J)</f>
        <v>U</v>
      </c>
      <c r="H2849" t="str">
        <f>_xlfn.XLOOKUP(A2849,'[1]Tissue Data'!$A:$A,'[1]Tissue Data'!K:K)</f>
        <v>Whole Body</v>
      </c>
      <c r="I2849">
        <f>_xlfn.XLOOKUP(A2849,'[1]Tissue Data'!$A:$A,'[1]Tissue Data'!L:L)</f>
        <v>5.5</v>
      </c>
      <c r="J2849">
        <f>_xlfn.XLOOKUP(A2849,'[1]Tissue Data'!$A:$A,'[1]Tissue Data'!M:M)</f>
        <v>2.2999999999999998</v>
      </c>
      <c r="K2849" t="s">
        <v>59</v>
      </c>
      <c r="L2849" t="str">
        <f>_xlfn.XLOOKUP(K2849,[2]analyte_order!$B:$B,[2]analyte_order!$C:$C)</f>
        <v>57677-95-9</v>
      </c>
      <c r="M2849">
        <f>_xlfn.XLOOKUP(L2849,[2]analyte_order!$C:$C,[2]analyte_order!$E:$E)</f>
        <v>46</v>
      </c>
      <c r="N2849">
        <v>7.4499999999999997E-2</v>
      </c>
    </row>
    <row r="2850" spans="1:14">
      <c r="A2850" t="s">
        <v>195</v>
      </c>
      <c r="B2850" t="str">
        <f>_xlfn.XLOOKUP(A2850,'[1]Tissue Data'!$A:$A,'[1]Tissue Data'!$C:$C)</f>
        <v>Spill</v>
      </c>
      <c r="C2850" s="2">
        <f>_xlfn.XLOOKUP(A2850,'[1]Tissue Data'!$A:$A,'[1]Tissue Data'!$D:$D)</f>
        <v>44314</v>
      </c>
      <c r="D2850" s="2" t="str">
        <f>_xlfn.XLOOKUP(A2850,'[1]Tissue Data'!$A:$A,'[1]Tissue Data'!$F:$F)</f>
        <v>Swallowtail Shiner</v>
      </c>
      <c r="E2850" t="str">
        <f>_xlfn.XLOOKUP(A2850,'[1]Tissue Data'!$A:$A,'[1]Tissue Data'!$H:$H)</f>
        <v>Notropis</v>
      </c>
      <c r="F2850" t="str">
        <f>_xlfn.XLOOKUP(A2850,'[1]Tissue Data'!$A:$A,'[1]Tissue Data'!$I:$I)</f>
        <v>procne</v>
      </c>
      <c r="G2850" t="str">
        <f>_xlfn.XLOOKUP(A2850,'[1]Tissue Data'!$A:$A,'[1]Tissue Data'!J:J)</f>
        <v>U</v>
      </c>
      <c r="H2850" t="str">
        <f>_xlfn.XLOOKUP(A2850,'[1]Tissue Data'!$A:$A,'[1]Tissue Data'!K:K)</f>
        <v>Whole Body</v>
      </c>
      <c r="I2850">
        <f>_xlfn.XLOOKUP(A2850,'[1]Tissue Data'!$A:$A,'[1]Tissue Data'!L:L)</f>
        <v>5.5</v>
      </c>
      <c r="J2850">
        <f>_xlfn.XLOOKUP(A2850,'[1]Tissue Data'!$A:$A,'[1]Tissue Data'!M:M)</f>
        <v>2.2999999999999998</v>
      </c>
      <c r="K2850" t="s">
        <v>60</v>
      </c>
      <c r="L2850" t="str">
        <f>_xlfn.XLOOKUP(K2850,[2]analyte_order!$B:$B,[2]analyte_order!$C:$C)</f>
        <v>678-41-1</v>
      </c>
      <c r="M2850">
        <f>_xlfn.XLOOKUP(L2850,[2]analyte_order!$C:$C,[2]analyte_order!$E:$E)</f>
        <v>56</v>
      </c>
      <c r="N2850">
        <v>9.2499999999999999E-2</v>
      </c>
    </row>
    <row r="2851" spans="1:14">
      <c r="A2851" t="s">
        <v>195</v>
      </c>
      <c r="B2851" t="str">
        <f>_xlfn.XLOOKUP(A2851,'[1]Tissue Data'!$A:$A,'[1]Tissue Data'!$C:$C)</f>
        <v>Spill</v>
      </c>
      <c r="C2851" s="2">
        <f>_xlfn.XLOOKUP(A2851,'[1]Tissue Data'!$A:$A,'[1]Tissue Data'!$D:$D)</f>
        <v>44314</v>
      </c>
      <c r="D2851" s="2" t="str">
        <f>_xlfn.XLOOKUP(A2851,'[1]Tissue Data'!$A:$A,'[1]Tissue Data'!$F:$F)</f>
        <v>Swallowtail Shiner</v>
      </c>
      <c r="E2851" t="str">
        <f>_xlfn.XLOOKUP(A2851,'[1]Tissue Data'!$A:$A,'[1]Tissue Data'!$H:$H)</f>
        <v>Notropis</v>
      </c>
      <c r="F2851" t="str">
        <f>_xlfn.XLOOKUP(A2851,'[1]Tissue Data'!$A:$A,'[1]Tissue Data'!$I:$I)</f>
        <v>procne</v>
      </c>
      <c r="G2851" t="str">
        <f>_xlfn.XLOOKUP(A2851,'[1]Tissue Data'!$A:$A,'[1]Tissue Data'!J:J)</f>
        <v>U</v>
      </c>
      <c r="H2851" t="str">
        <f>_xlfn.XLOOKUP(A2851,'[1]Tissue Data'!$A:$A,'[1]Tissue Data'!K:K)</f>
        <v>Whole Body</v>
      </c>
      <c r="I2851">
        <f>_xlfn.XLOOKUP(A2851,'[1]Tissue Data'!$A:$A,'[1]Tissue Data'!L:L)</f>
        <v>5.5</v>
      </c>
      <c r="J2851">
        <f>_xlfn.XLOOKUP(A2851,'[1]Tissue Data'!$A:$A,'[1]Tissue Data'!M:M)</f>
        <v>2.2999999999999998</v>
      </c>
      <c r="K2851" t="s">
        <v>61</v>
      </c>
      <c r="L2851" t="str">
        <f>_xlfn.XLOOKUP(K2851,[2]analyte_order!$B:$B,[2]analyte_order!$C:$C)</f>
        <v>2965-52-8</v>
      </c>
      <c r="M2851">
        <f>_xlfn.XLOOKUP(L2851,[2]analyte_order!$C:$C,[2]analyte_order!$E:$E)</f>
        <v>57</v>
      </c>
      <c r="N2851">
        <v>0.123</v>
      </c>
    </row>
    <row r="2852" spans="1:14">
      <c r="A2852" t="s">
        <v>196</v>
      </c>
      <c r="B2852" t="str">
        <f>_xlfn.XLOOKUP(A2852,'[1]Tissue Data'!$A:$A,'[1]Tissue Data'!$C:$C)</f>
        <v>Spill</v>
      </c>
      <c r="C2852" s="2">
        <f>_xlfn.XLOOKUP(A2852,'[1]Tissue Data'!$A:$A,'[1]Tissue Data'!$D:$D)</f>
        <v>44314</v>
      </c>
      <c r="D2852" s="2" t="str">
        <f>_xlfn.XLOOKUP(A2852,'[1]Tissue Data'!$A:$A,'[1]Tissue Data'!$F:$F)</f>
        <v>Swallowtail Shiner</v>
      </c>
      <c r="E2852" t="str">
        <f>_xlfn.XLOOKUP(A2852,'[1]Tissue Data'!$A:$A,'[1]Tissue Data'!$H:$H)</f>
        <v>Notropis</v>
      </c>
      <c r="F2852" t="str">
        <f>_xlfn.XLOOKUP(A2852,'[1]Tissue Data'!$A:$A,'[1]Tissue Data'!$I:$I)</f>
        <v>procne</v>
      </c>
      <c r="G2852" t="str">
        <f>_xlfn.XLOOKUP(A2852,'[1]Tissue Data'!$A:$A,'[1]Tissue Data'!J:J)</f>
        <v>U</v>
      </c>
      <c r="H2852" t="str">
        <f>_xlfn.XLOOKUP(A2852,'[1]Tissue Data'!$A:$A,'[1]Tissue Data'!K:K)</f>
        <v>Whole Body</v>
      </c>
      <c r="I2852">
        <f>_xlfn.XLOOKUP(A2852,'[1]Tissue Data'!$A:$A,'[1]Tissue Data'!L:L)</f>
        <v>5</v>
      </c>
      <c r="J2852">
        <f>_xlfn.XLOOKUP(A2852,'[1]Tissue Data'!$A:$A,'[1]Tissue Data'!M:M)</f>
        <v>1.6</v>
      </c>
      <c r="K2852" t="s">
        <v>12</v>
      </c>
      <c r="L2852" t="str">
        <f>_xlfn.XLOOKUP(K2852,[2]analyte_order!$B:$B,[2]analyte_order!$C:$C)</f>
        <v>375-22-4</v>
      </c>
      <c r="M2852">
        <f>_xlfn.XLOOKUP(L2852,[2]analyte_order!$C:$C,[2]analyte_order!$E:$E)</f>
        <v>1</v>
      </c>
      <c r="N2852">
        <v>2.8799999999999999E-2</v>
      </c>
    </row>
    <row r="2853" spans="1:14">
      <c r="A2853" t="s">
        <v>196</v>
      </c>
      <c r="B2853" t="str">
        <f>_xlfn.XLOOKUP(A2853,'[1]Tissue Data'!$A:$A,'[1]Tissue Data'!$C:$C)</f>
        <v>Spill</v>
      </c>
      <c r="C2853" s="2">
        <f>_xlfn.XLOOKUP(A2853,'[1]Tissue Data'!$A:$A,'[1]Tissue Data'!$D:$D)</f>
        <v>44314</v>
      </c>
      <c r="D2853" s="2" t="str">
        <f>_xlfn.XLOOKUP(A2853,'[1]Tissue Data'!$A:$A,'[1]Tissue Data'!$F:$F)</f>
        <v>Swallowtail Shiner</v>
      </c>
      <c r="E2853" t="str">
        <f>_xlfn.XLOOKUP(A2853,'[1]Tissue Data'!$A:$A,'[1]Tissue Data'!$H:$H)</f>
        <v>Notropis</v>
      </c>
      <c r="F2853" t="str">
        <f>_xlfn.XLOOKUP(A2853,'[1]Tissue Data'!$A:$A,'[1]Tissue Data'!$I:$I)</f>
        <v>procne</v>
      </c>
      <c r="G2853" t="str">
        <f>_xlfn.XLOOKUP(A2853,'[1]Tissue Data'!$A:$A,'[1]Tissue Data'!J:J)</f>
        <v>U</v>
      </c>
      <c r="H2853" t="str">
        <f>_xlfn.XLOOKUP(A2853,'[1]Tissue Data'!$A:$A,'[1]Tissue Data'!K:K)</f>
        <v>Whole Body</v>
      </c>
      <c r="I2853">
        <f>_xlfn.XLOOKUP(A2853,'[1]Tissue Data'!$A:$A,'[1]Tissue Data'!L:L)</f>
        <v>5</v>
      </c>
      <c r="J2853">
        <f>_xlfn.XLOOKUP(A2853,'[1]Tissue Data'!$A:$A,'[1]Tissue Data'!M:M)</f>
        <v>1.6</v>
      </c>
      <c r="K2853" t="s">
        <v>13</v>
      </c>
      <c r="L2853" t="str">
        <f>_xlfn.XLOOKUP(K2853,[2]analyte_order!$B:$B,[2]analyte_order!$C:$C)</f>
        <v>2706-90-3</v>
      </c>
      <c r="M2853">
        <f>_xlfn.XLOOKUP(L2853,[2]analyte_order!$C:$C,[2]analyte_order!$E:$E)</f>
        <v>2</v>
      </c>
      <c r="N2853">
        <v>5.0999999999999997E-2</v>
      </c>
    </row>
    <row r="2854" spans="1:14">
      <c r="A2854" t="s">
        <v>196</v>
      </c>
      <c r="B2854" t="str">
        <f>_xlfn.XLOOKUP(A2854,'[1]Tissue Data'!$A:$A,'[1]Tissue Data'!$C:$C)</f>
        <v>Spill</v>
      </c>
      <c r="C2854" s="2">
        <f>_xlfn.XLOOKUP(A2854,'[1]Tissue Data'!$A:$A,'[1]Tissue Data'!$D:$D)</f>
        <v>44314</v>
      </c>
      <c r="D2854" s="2" t="str">
        <f>_xlfn.XLOOKUP(A2854,'[1]Tissue Data'!$A:$A,'[1]Tissue Data'!$F:$F)</f>
        <v>Swallowtail Shiner</v>
      </c>
      <c r="E2854" t="str">
        <f>_xlfn.XLOOKUP(A2854,'[1]Tissue Data'!$A:$A,'[1]Tissue Data'!$H:$H)</f>
        <v>Notropis</v>
      </c>
      <c r="F2854" t="str">
        <f>_xlfn.XLOOKUP(A2854,'[1]Tissue Data'!$A:$A,'[1]Tissue Data'!$I:$I)</f>
        <v>procne</v>
      </c>
      <c r="G2854" t="str">
        <f>_xlfn.XLOOKUP(A2854,'[1]Tissue Data'!$A:$A,'[1]Tissue Data'!J:J)</f>
        <v>U</v>
      </c>
      <c r="H2854" t="str">
        <f>_xlfn.XLOOKUP(A2854,'[1]Tissue Data'!$A:$A,'[1]Tissue Data'!K:K)</f>
        <v>Whole Body</v>
      </c>
      <c r="I2854">
        <f>_xlfn.XLOOKUP(A2854,'[1]Tissue Data'!$A:$A,'[1]Tissue Data'!L:L)</f>
        <v>5</v>
      </c>
      <c r="J2854">
        <f>_xlfn.XLOOKUP(A2854,'[1]Tissue Data'!$A:$A,'[1]Tissue Data'!M:M)</f>
        <v>1.6</v>
      </c>
      <c r="K2854" t="s">
        <v>14</v>
      </c>
      <c r="L2854" t="str">
        <f>_xlfn.XLOOKUP(K2854,[2]analyte_order!$B:$B,[2]analyte_order!$C:$C)</f>
        <v>307-24-4</v>
      </c>
      <c r="M2854">
        <f>_xlfn.XLOOKUP(L2854,[2]analyte_order!$C:$C,[2]analyte_order!$E:$E)</f>
        <v>3</v>
      </c>
      <c r="N2854">
        <v>0.128</v>
      </c>
    </row>
    <row r="2855" spans="1:14">
      <c r="A2855" t="s">
        <v>196</v>
      </c>
      <c r="B2855" t="str">
        <f>_xlfn.XLOOKUP(A2855,'[1]Tissue Data'!$A:$A,'[1]Tissue Data'!$C:$C)</f>
        <v>Spill</v>
      </c>
      <c r="C2855" s="2">
        <f>_xlfn.XLOOKUP(A2855,'[1]Tissue Data'!$A:$A,'[1]Tissue Data'!$D:$D)</f>
        <v>44314</v>
      </c>
      <c r="D2855" s="2" t="str">
        <f>_xlfn.XLOOKUP(A2855,'[1]Tissue Data'!$A:$A,'[1]Tissue Data'!$F:$F)</f>
        <v>Swallowtail Shiner</v>
      </c>
      <c r="E2855" t="str">
        <f>_xlfn.XLOOKUP(A2855,'[1]Tissue Data'!$A:$A,'[1]Tissue Data'!$H:$H)</f>
        <v>Notropis</v>
      </c>
      <c r="F2855" t="str">
        <f>_xlfn.XLOOKUP(A2855,'[1]Tissue Data'!$A:$A,'[1]Tissue Data'!$I:$I)</f>
        <v>procne</v>
      </c>
      <c r="G2855" t="str">
        <f>_xlfn.XLOOKUP(A2855,'[1]Tissue Data'!$A:$A,'[1]Tissue Data'!J:J)</f>
        <v>U</v>
      </c>
      <c r="H2855" t="str">
        <f>_xlfn.XLOOKUP(A2855,'[1]Tissue Data'!$A:$A,'[1]Tissue Data'!K:K)</f>
        <v>Whole Body</v>
      </c>
      <c r="I2855">
        <f>_xlfn.XLOOKUP(A2855,'[1]Tissue Data'!$A:$A,'[1]Tissue Data'!L:L)</f>
        <v>5</v>
      </c>
      <c r="J2855">
        <f>_xlfn.XLOOKUP(A2855,'[1]Tissue Data'!$A:$A,'[1]Tissue Data'!M:M)</f>
        <v>1.6</v>
      </c>
      <c r="K2855" t="s">
        <v>15</v>
      </c>
      <c r="L2855" t="str">
        <f>_xlfn.XLOOKUP(K2855,[2]analyte_order!$B:$B,[2]analyte_order!$C:$C)</f>
        <v>375-85-9</v>
      </c>
      <c r="M2855">
        <f>_xlfn.XLOOKUP(L2855,[2]analyte_order!$C:$C,[2]analyte_order!$E:$E)</f>
        <v>4</v>
      </c>
      <c r="N2855">
        <v>2.8799999999999999E-2</v>
      </c>
    </row>
    <row r="2856" spans="1:14">
      <c r="A2856" t="s">
        <v>196</v>
      </c>
      <c r="B2856" t="str">
        <f>_xlfn.XLOOKUP(A2856,'[1]Tissue Data'!$A:$A,'[1]Tissue Data'!$C:$C)</f>
        <v>Spill</v>
      </c>
      <c r="C2856" s="2">
        <f>_xlfn.XLOOKUP(A2856,'[1]Tissue Data'!$A:$A,'[1]Tissue Data'!$D:$D)</f>
        <v>44314</v>
      </c>
      <c r="D2856" s="2" t="str">
        <f>_xlfn.XLOOKUP(A2856,'[1]Tissue Data'!$A:$A,'[1]Tissue Data'!$F:$F)</f>
        <v>Swallowtail Shiner</v>
      </c>
      <c r="E2856" t="str">
        <f>_xlfn.XLOOKUP(A2856,'[1]Tissue Data'!$A:$A,'[1]Tissue Data'!$H:$H)</f>
        <v>Notropis</v>
      </c>
      <c r="F2856" t="str">
        <f>_xlfn.XLOOKUP(A2856,'[1]Tissue Data'!$A:$A,'[1]Tissue Data'!$I:$I)</f>
        <v>procne</v>
      </c>
      <c r="G2856" t="str">
        <f>_xlfn.XLOOKUP(A2856,'[1]Tissue Data'!$A:$A,'[1]Tissue Data'!J:J)</f>
        <v>U</v>
      </c>
      <c r="H2856" t="str">
        <f>_xlfn.XLOOKUP(A2856,'[1]Tissue Data'!$A:$A,'[1]Tissue Data'!K:K)</f>
        <v>Whole Body</v>
      </c>
      <c r="I2856">
        <f>_xlfn.XLOOKUP(A2856,'[1]Tissue Data'!$A:$A,'[1]Tissue Data'!L:L)</f>
        <v>5</v>
      </c>
      <c r="J2856">
        <f>_xlfn.XLOOKUP(A2856,'[1]Tissue Data'!$A:$A,'[1]Tissue Data'!M:M)</f>
        <v>1.6</v>
      </c>
      <c r="K2856" t="s">
        <v>16</v>
      </c>
      <c r="L2856" t="str">
        <f>_xlfn.XLOOKUP(K2856,[2]analyte_order!$B:$B,[2]analyte_order!$C:$C)</f>
        <v>335-67-1</v>
      </c>
      <c r="M2856">
        <f>_xlfn.XLOOKUP(L2856,[2]analyte_order!$C:$C,[2]analyte_order!$E:$E)</f>
        <v>5</v>
      </c>
      <c r="N2856">
        <v>3.39</v>
      </c>
    </row>
    <row r="2857" spans="1:14">
      <c r="A2857" t="s">
        <v>196</v>
      </c>
      <c r="B2857" t="str">
        <f>_xlfn.XLOOKUP(A2857,'[1]Tissue Data'!$A:$A,'[1]Tissue Data'!$C:$C)</f>
        <v>Spill</v>
      </c>
      <c r="C2857" s="2">
        <f>_xlfn.XLOOKUP(A2857,'[1]Tissue Data'!$A:$A,'[1]Tissue Data'!$D:$D)</f>
        <v>44314</v>
      </c>
      <c r="D2857" s="2" t="str">
        <f>_xlfn.XLOOKUP(A2857,'[1]Tissue Data'!$A:$A,'[1]Tissue Data'!$F:$F)</f>
        <v>Swallowtail Shiner</v>
      </c>
      <c r="E2857" t="str">
        <f>_xlfn.XLOOKUP(A2857,'[1]Tissue Data'!$A:$A,'[1]Tissue Data'!$H:$H)</f>
        <v>Notropis</v>
      </c>
      <c r="F2857" t="str">
        <f>_xlfn.XLOOKUP(A2857,'[1]Tissue Data'!$A:$A,'[1]Tissue Data'!$I:$I)</f>
        <v>procne</v>
      </c>
      <c r="G2857" t="str">
        <f>_xlfn.XLOOKUP(A2857,'[1]Tissue Data'!$A:$A,'[1]Tissue Data'!J:J)</f>
        <v>U</v>
      </c>
      <c r="H2857" t="str">
        <f>_xlfn.XLOOKUP(A2857,'[1]Tissue Data'!$A:$A,'[1]Tissue Data'!K:K)</f>
        <v>Whole Body</v>
      </c>
      <c r="I2857">
        <f>_xlfn.XLOOKUP(A2857,'[1]Tissue Data'!$A:$A,'[1]Tissue Data'!L:L)</f>
        <v>5</v>
      </c>
      <c r="J2857">
        <f>_xlfn.XLOOKUP(A2857,'[1]Tissue Data'!$A:$A,'[1]Tissue Data'!M:M)</f>
        <v>1.6</v>
      </c>
      <c r="K2857" t="s">
        <v>17</v>
      </c>
      <c r="L2857" t="str">
        <f>_xlfn.XLOOKUP(K2857,[2]analyte_order!$B:$B,[2]analyte_order!$C:$C)</f>
        <v>375-95-1</v>
      </c>
      <c r="M2857">
        <f>_xlfn.XLOOKUP(L2857,[2]analyte_order!$C:$C,[2]analyte_order!$E:$E)</f>
        <v>6</v>
      </c>
      <c r="N2857">
        <v>5.63</v>
      </c>
    </row>
    <row r="2858" spans="1:14">
      <c r="A2858" t="s">
        <v>196</v>
      </c>
      <c r="B2858" t="str">
        <f>_xlfn.XLOOKUP(A2858,'[1]Tissue Data'!$A:$A,'[1]Tissue Data'!$C:$C)</f>
        <v>Spill</v>
      </c>
      <c r="C2858" s="2">
        <f>_xlfn.XLOOKUP(A2858,'[1]Tissue Data'!$A:$A,'[1]Tissue Data'!$D:$D)</f>
        <v>44314</v>
      </c>
      <c r="D2858" s="2" t="str">
        <f>_xlfn.XLOOKUP(A2858,'[1]Tissue Data'!$A:$A,'[1]Tissue Data'!$F:$F)</f>
        <v>Swallowtail Shiner</v>
      </c>
      <c r="E2858" t="str">
        <f>_xlfn.XLOOKUP(A2858,'[1]Tissue Data'!$A:$A,'[1]Tissue Data'!$H:$H)</f>
        <v>Notropis</v>
      </c>
      <c r="F2858" t="str">
        <f>_xlfn.XLOOKUP(A2858,'[1]Tissue Data'!$A:$A,'[1]Tissue Data'!$I:$I)</f>
        <v>procne</v>
      </c>
      <c r="G2858" t="str">
        <f>_xlfn.XLOOKUP(A2858,'[1]Tissue Data'!$A:$A,'[1]Tissue Data'!J:J)</f>
        <v>U</v>
      </c>
      <c r="H2858" t="str">
        <f>_xlfn.XLOOKUP(A2858,'[1]Tissue Data'!$A:$A,'[1]Tissue Data'!K:K)</f>
        <v>Whole Body</v>
      </c>
      <c r="I2858">
        <f>_xlfn.XLOOKUP(A2858,'[1]Tissue Data'!$A:$A,'[1]Tissue Data'!L:L)</f>
        <v>5</v>
      </c>
      <c r="J2858">
        <f>_xlfn.XLOOKUP(A2858,'[1]Tissue Data'!$A:$A,'[1]Tissue Data'!M:M)</f>
        <v>1.6</v>
      </c>
      <c r="K2858" t="s">
        <v>18</v>
      </c>
      <c r="L2858" t="str">
        <f>_xlfn.XLOOKUP(K2858,[2]analyte_order!$B:$B,[2]analyte_order!$C:$C)</f>
        <v>335-76-2</v>
      </c>
      <c r="M2858">
        <f>_xlfn.XLOOKUP(L2858,[2]analyte_order!$C:$C,[2]analyte_order!$E:$E)</f>
        <v>7</v>
      </c>
      <c r="N2858">
        <v>12.3</v>
      </c>
    </row>
    <row r="2859" spans="1:14">
      <c r="A2859" t="s">
        <v>196</v>
      </c>
      <c r="B2859" t="str">
        <f>_xlfn.XLOOKUP(A2859,'[1]Tissue Data'!$A:$A,'[1]Tissue Data'!$C:$C)</f>
        <v>Spill</v>
      </c>
      <c r="C2859" s="2">
        <f>_xlfn.XLOOKUP(A2859,'[1]Tissue Data'!$A:$A,'[1]Tissue Data'!$D:$D)</f>
        <v>44314</v>
      </c>
      <c r="D2859" s="2" t="str">
        <f>_xlfn.XLOOKUP(A2859,'[1]Tissue Data'!$A:$A,'[1]Tissue Data'!$F:$F)</f>
        <v>Swallowtail Shiner</v>
      </c>
      <c r="E2859" t="str">
        <f>_xlfn.XLOOKUP(A2859,'[1]Tissue Data'!$A:$A,'[1]Tissue Data'!$H:$H)</f>
        <v>Notropis</v>
      </c>
      <c r="F2859" t="str">
        <f>_xlfn.XLOOKUP(A2859,'[1]Tissue Data'!$A:$A,'[1]Tissue Data'!$I:$I)</f>
        <v>procne</v>
      </c>
      <c r="G2859" t="str">
        <f>_xlfn.XLOOKUP(A2859,'[1]Tissue Data'!$A:$A,'[1]Tissue Data'!J:J)</f>
        <v>U</v>
      </c>
      <c r="H2859" t="str">
        <f>_xlfn.XLOOKUP(A2859,'[1]Tissue Data'!$A:$A,'[1]Tissue Data'!K:K)</f>
        <v>Whole Body</v>
      </c>
      <c r="I2859">
        <f>_xlfn.XLOOKUP(A2859,'[1]Tissue Data'!$A:$A,'[1]Tissue Data'!L:L)</f>
        <v>5</v>
      </c>
      <c r="J2859">
        <f>_xlfn.XLOOKUP(A2859,'[1]Tissue Data'!$A:$A,'[1]Tissue Data'!M:M)</f>
        <v>1.6</v>
      </c>
      <c r="K2859" t="s">
        <v>19</v>
      </c>
      <c r="L2859" t="str">
        <f>_xlfn.XLOOKUP(K2859,[2]analyte_order!$B:$B,[2]analyte_order!$C:$C)</f>
        <v>2058-94-8</v>
      </c>
      <c r="M2859">
        <f>_xlfn.XLOOKUP(L2859,[2]analyte_order!$C:$C,[2]analyte_order!$E:$E)</f>
        <v>8</v>
      </c>
      <c r="N2859">
        <v>15.3</v>
      </c>
    </row>
    <row r="2860" spans="1:14">
      <c r="A2860" t="s">
        <v>196</v>
      </c>
      <c r="B2860" t="str">
        <f>_xlfn.XLOOKUP(A2860,'[1]Tissue Data'!$A:$A,'[1]Tissue Data'!$C:$C)</f>
        <v>Spill</v>
      </c>
      <c r="C2860" s="2">
        <f>_xlfn.XLOOKUP(A2860,'[1]Tissue Data'!$A:$A,'[1]Tissue Data'!$D:$D)</f>
        <v>44314</v>
      </c>
      <c r="D2860" s="2" t="str">
        <f>_xlfn.XLOOKUP(A2860,'[1]Tissue Data'!$A:$A,'[1]Tissue Data'!$F:$F)</f>
        <v>Swallowtail Shiner</v>
      </c>
      <c r="E2860" t="str">
        <f>_xlfn.XLOOKUP(A2860,'[1]Tissue Data'!$A:$A,'[1]Tissue Data'!$H:$H)</f>
        <v>Notropis</v>
      </c>
      <c r="F2860" t="str">
        <f>_xlfn.XLOOKUP(A2860,'[1]Tissue Data'!$A:$A,'[1]Tissue Data'!$I:$I)</f>
        <v>procne</v>
      </c>
      <c r="G2860" t="str">
        <f>_xlfn.XLOOKUP(A2860,'[1]Tissue Data'!$A:$A,'[1]Tissue Data'!J:J)</f>
        <v>U</v>
      </c>
      <c r="H2860" t="str">
        <f>_xlfn.XLOOKUP(A2860,'[1]Tissue Data'!$A:$A,'[1]Tissue Data'!K:K)</f>
        <v>Whole Body</v>
      </c>
      <c r="I2860">
        <f>_xlfn.XLOOKUP(A2860,'[1]Tissue Data'!$A:$A,'[1]Tissue Data'!L:L)</f>
        <v>5</v>
      </c>
      <c r="J2860">
        <f>_xlfn.XLOOKUP(A2860,'[1]Tissue Data'!$A:$A,'[1]Tissue Data'!M:M)</f>
        <v>1.6</v>
      </c>
      <c r="K2860" t="s">
        <v>20</v>
      </c>
      <c r="L2860" t="str">
        <f>_xlfn.XLOOKUP(K2860,[2]analyte_order!$B:$B,[2]analyte_order!$C:$C)</f>
        <v>307-55-1</v>
      </c>
      <c r="M2860">
        <f>_xlfn.XLOOKUP(L2860,[2]analyte_order!$C:$C,[2]analyte_order!$E:$E)</f>
        <v>9</v>
      </c>
      <c r="N2860">
        <v>22.7</v>
      </c>
    </row>
    <row r="2861" spans="1:14">
      <c r="A2861" t="s">
        <v>196</v>
      </c>
      <c r="B2861" t="str">
        <f>_xlfn.XLOOKUP(A2861,'[1]Tissue Data'!$A:$A,'[1]Tissue Data'!$C:$C)</f>
        <v>Spill</v>
      </c>
      <c r="C2861" s="2">
        <f>_xlfn.XLOOKUP(A2861,'[1]Tissue Data'!$A:$A,'[1]Tissue Data'!$D:$D)</f>
        <v>44314</v>
      </c>
      <c r="D2861" s="2" t="str">
        <f>_xlfn.XLOOKUP(A2861,'[1]Tissue Data'!$A:$A,'[1]Tissue Data'!$F:$F)</f>
        <v>Swallowtail Shiner</v>
      </c>
      <c r="E2861" t="str">
        <f>_xlfn.XLOOKUP(A2861,'[1]Tissue Data'!$A:$A,'[1]Tissue Data'!$H:$H)</f>
        <v>Notropis</v>
      </c>
      <c r="F2861" t="str">
        <f>_xlfn.XLOOKUP(A2861,'[1]Tissue Data'!$A:$A,'[1]Tissue Data'!$I:$I)</f>
        <v>procne</v>
      </c>
      <c r="G2861" t="str">
        <f>_xlfn.XLOOKUP(A2861,'[1]Tissue Data'!$A:$A,'[1]Tissue Data'!J:J)</f>
        <v>U</v>
      </c>
      <c r="H2861" t="str">
        <f>_xlfn.XLOOKUP(A2861,'[1]Tissue Data'!$A:$A,'[1]Tissue Data'!K:K)</f>
        <v>Whole Body</v>
      </c>
      <c r="I2861">
        <f>_xlfn.XLOOKUP(A2861,'[1]Tissue Data'!$A:$A,'[1]Tissue Data'!L:L)</f>
        <v>5</v>
      </c>
      <c r="J2861">
        <f>_xlfn.XLOOKUP(A2861,'[1]Tissue Data'!$A:$A,'[1]Tissue Data'!M:M)</f>
        <v>1.6</v>
      </c>
      <c r="K2861" t="s">
        <v>21</v>
      </c>
      <c r="L2861" t="str">
        <f>_xlfn.XLOOKUP(K2861,[2]analyte_order!$B:$B,[2]analyte_order!$C:$C)</f>
        <v>72629-94-8</v>
      </c>
      <c r="M2861">
        <f>_xlfn.XLOOKUP(L2861,[2]analyte_order!$C:$C,[2]analyte_order!$E:$E)</f>
        <v>10</v>
      </c>
      <c r="N2861">
        <v>7.92</v>
      </c>
    </row>
    <row r="2862" spans="1:14">
      <c r="A2862" t="s">
        <v>196</v>
      </c>
      <c r="B2862" t="str">
        <f>_xlfn.XLOOKUP(A2862,'[1]Tissue Data'!$A:$A,'[1]Tissue Data'!$C:$C)</f>
        <v>Spill</v>
      </c>
      <c r="C2862" s="2">
        <f>_xlfn.XLOOKUP(A2862,'[1]Tissue Data'!$A:$A,'[1]Tissue Data'!$D:$D)</f>
        <v>44314</v>
      </c>
      <c r="D2862" s="2" t="str">
        <f>_xlfn.XLOOKUP(A2862,'[1]Tissue Data'!$A:$A,'[1]Tissue Data'!$F:$F)</f>
        <v>Swallowtail Shiner</v>
      </c>
      <c r="E2862" t="str">
        <f>_xlfn.XLOOKUP(A2862,'[1]Tissue Data'!$A:$A,'[1]Tissue Data'!$H:$H)</f>
        <v>Notropis</v>
      </c>
      <c r="F2862" t="str">
        <f>_xlfn.XLOOKUP(A2862,'[1]Tissue Data'!$A:$A,'[1]Tissue Data'!$I:$I)</f>
        <v>procne</v>
      </c>
      <c r="G2862" t="str">
        <f>_xlfn.XLOOKUP(A2862,'[1]Tissue Data'!$A:$A,'[1]Tissue Data'!J:J)</f>
        <v>U</v>
      </c>
      <c r="H2862" t="str">
        <f>_xlfn.XLOOKUP(A2862,'[1]Tissue Data'!$A:$A,'[1]Tissue Data'!K:K)</f>
        <v>Whole Body</v>
      </c>
      <c r="I2862">
        <f>_xlfn.XLOOKUP(A2862,'[1]Tissue Data'!$A:$A,'[1]Tissue Data'!L:L)</f>
        <v>5</v>
      </c>
      <c r="J2862">
        <f>_xlfn.XLOOKUP(A2862,'[1]Tissue Data'!$A:$A,'[1]Tissue Data'!M:M)</f>
        <v>1.6</v>
      </c>
      <c r="K2862" t="s">
        <v>22</v>
      </c>
      <c r="L2862" t="str">
        <f>_xlfn.XLOOKUP(K2862,[2]analyte_order!$B:$B,[2]analyte_order!$C:$C)</f>
        <v>376-06-7</v>
      </c>
      <c r="M2862">
        <f>_xlfn.XLOOKUP(L2862,[2]analyte_order!$C:$C,[2]analyte_order!$E:$E)</f>
        <v>11</v>
      </c>
      <c r="N2862">
        <v>7.61</v>
      </c>
    </row>
    <row r="2863" spans="1:14">
      <c r="A2863" t="s">
        <v>196</v>
      </c>
      <c r="B2863" t="str">
        <f>_xlfn.XLOOKUP(A2863,'[1]Tissue Data'!$A:$A,'[1]Tissue Data'!$C:$C)</f>
        <v>Spill</v>
      </c>
      <c r="C2863" s="2">
        <f>_xlfn.XLOOKUP(A2863,'[1]Tissue Data'!$A:$A,'[1]Tissue Data'!$D:$D)</f>
        <v>44314</v>
      </c>
      <c r="D2863" s="2" t="str">
        <f>_xlfn.XLOOKUP(A2863,'[1]Tissue Data'!$A:$A,'[1]Tissue Data'!$F:$F)</f>
        <v>Swallowtail Shiner</v>
      </c>
      <c r="E2863" t="str">
        <f>_xlfn.XLOOKUP(A2863,'[1]Tissue Data'!$A:$A,'[1]Tissue Data'!$H:$H)</f>
        <v>Notropis</v>
      </c>
      <c r="F2863" t="str">
        <f>_xlfn.XLOOKUP(A2863,'[1]Tissue Data'!$A:$A,'[1]Tissue Data'!$I:$I)</f>
        <v>procne</v>
      </c>
      <c r="G2863" t="str">
        <f>_xlfn.XLOOKUP(A2863,'[1]Tissue Data'!$A:$A,'[1]Tissue Data'!J:J)</f>
        <v>U</v>
      </c>
      <c r="H2863" t="str">
        <f>_xlfn.XLOOKUP(A2863,'[1]Tissue Data'!$A:$A,'[1]Tissue Data'!K:K)</f>
        <v>Whole Body</v>
      </c>
      <c r="I2863">
        <f>_xlfn.XLOOKUP(A2863,'[1]Tissue Data'!$A:$A,'[1]Tissue Data'!L:L)</f>
        <v>5</v>
      </c>
      <c r="J2863">
        <f>_xlfn.XLOOKUP(A2863,'[1]Tissue Data'!$A:$A,'[1]Tissue Data'!M:M)</f>
        <v>1.6</v>
      </c>
      <c r="K2863" t="s">
        <v>23</v>
      </c>
      <c r="L2863" t="str">
        <f>_xlfn.XLOOKUP(K2863,[2]analyte_order!$B:$B,[2]analyte_order!$C:$C)</f>
        <v>67905-19-5</v>
      </c>
      <c r="M2863">
        <f>_xlfn.XLOOKUP(L2863,[2]analyte_order!$C:$C,[2]analyte_order!$E:$E)</f>
        <v>12</v>
      </c>
      <c r="N2863">
        <v>8.5999999999999993E-2</v>
      </c>
    </row>
    <row r="2864" spans="1:14">
      <c r="A2864" t="s">
        <v>196</v>
      </c>
      <c r="B2864" t="str">
        <f>_xlfn.XLOOKUP(A2864,'[1]Tissue Data'!$A:$A,'[1]Tissue Data'!$C:$C)</f>
        <v>Spill</v>
      </c>
      <c r="C2864" s="2">
        <f>_xlfn.XLOOKUP(A2864,'[1]Tissue Data'!$A:$A,'[1]Tissue Data'!$D:$D)</f>
        <v>44314</v>
      </c>
      <c r="D2864" s="2" t="str">
        <f>_xlfn.XLOOKUP(A2864,'[1]Tissue Data'!$A:$A,'[1]Tissue Data'!$F:$F)</f>
        <v>Swallowtail Shiner</v>
      </c>
      <c r="E2864" t="str">
        <f>_xlfn.XLOOKUP(A2864,'[1]Tissue Data'!$A:$A,'[1]Tissue Data'!$H:$H)</f>
        <v>Notropis</v>
      </c>
      <c r="F2864" t="str">
        <f>_xlfn.XLOOKUP(A2864,'[1]Tissue Data'!$A:$A,'[1]Tissue Data'!$I:$I)</f>
        <v>procne</v>
      </c>
      <c r="G2864" t="str">
        <f>_xlfn.XLOOKUP(A2864,'[1]Tissue Data'!$A:$A,'[1]Tissue Data'!J:J)</f>
        <v>U</v>
      </c>
      <c r="H2864" t="str">
        <f>_xlfn.XLOOKUP(A2864,'[1]Tissue Data'!$A:$A,'[1]Tissue Data'!K:K)</f>
        <v>Whole Body</v>
      </c>
      <c r="I2864">
        <f>_xlfn.XLOOKUP(A2864,'[1]Tissue Data'!$A:$A,'[1]Tissue Data'!L:L)</f>
        <v>5</v>
      </c>
      <c r="J2864">
        <f>_xlfn.XLOOKUP(A2864,'[1]Tissue Data'!$A:$A,'[1]Tissue Data'!M:M)</f>
        <v>1.6</v>
      </c>
      <c r="K2864" t="s">
        <v>24</v>
      </c>
      <c r="L2864" t="str">
        <f>_xlfn.XLOOKUP(K2864,[2]analyte_order!$B:$B,[2]analyte_order!$C:$C)</f>
        <v>423-41-6</v>
      </c>
      <c r="M2864">
        <f>_xlfn.XLOOKUP(L2864,[2]analyte_order!$C:$C,[2]analyte_order!$E:$E)</f>
        <v>53</v>
      </c>
      <c r="N2864">
        <v>5.5E-2</v>
      </c>
    </row>
    <row r="2865" spans="1:14">
      <c r="A2865" t="s">
        <v>196</v>
      </c>
      <c r="B2865" t="str">
        <f>_xlfn.XLOOKUP(A2865,'[1]Tissue Data'!$A:$A,'[1]Tissue Data'!$C:$C)</f>
        <v>Spill</v>
      </c>
      <c r="C2865" s="2">
        <f>_xlfn.XLOOKUP(A2865,'[1]Tissue Data'!$A:$A,'[1]Tissue Data'!$D:$D)</f>
        <v>44314</v>
      </c>
      <c r="D2865" s="2" t="str">
        <f>_xlfn.XLOOKUP(A2865,'[1]Tissue Data'!$A:$A,'[1]Tissue Data'!$F:$F)</f>
        <v>Swallowtail Shiner</v>
      </c>
      <c r="E2865" t="str">
        <f>_xlfn.XLOOKUP(A2865,'[1]Tissue Data'!$A:$A,'[1]Tissue Data'!$H:$H)</f>
        <v>Notropis</v>
      </c>
      <c r="F2865" t="str">
        <f>_xlfn.XLOOKUP(A2865,'[1]Tissue Data'!$A:$A,'[1]Tissue Data'!$I:$I)</f>
        <v>procne</v>
      </c>
      <c r="G2865" t="str">
        <f>_xlfn.XLOOKUP(A2865,'[1]Tissue Data'!$A:$A,'[1]Tissue Data'!J:J)</f>
        <v>U</v>
      </c>
      <c r="H2865" t="str">
        <f>_xlfn.XLOOKUP(A2865,'[1]Tissue Data'!$A:$A,'[1]Tissue Data'!K:K)</f>
        <v>Whole Body</v>
      </c>
      <c r="I2865">
        <f>_xlfn.XLOOKUP(A2865,'[1]Tissue Data'!$A:$A,'[1]Tissue Data'!L:L)</f>
        <v>5</v>
      </c>
      <c r="J2865">
        <f>_xlfn.XLOOKUP(A2865,'[1]Tissue Data'!$A:$A,'[1]Tissue Data'!M:M)</f>
        <v>1.6</v>
      </c>
      <c r="K2865" t="s">
        <v>25</v>
      </c>
      <c r="L2865" t="str">
        <f>_xlfn.XLOOKUP(K2865,[2]analyte_order!$B:$B,[2]analyte_order!$C:$C)</f>
        <v>375-73-5</v>
      </c>
      <c r="M2865">
        <f>_xlfn.XLOOKUP(L2865,[2]analyte_order!$C:$C,[2]analyte_order!$E:$E)</f>
        <v>14</v>
      </c>
      <c r="N2865">
        <v>0.1615</v>
      </c>
    </row>
    <row r="2866" spans="1:14">
      <c r="A2866" t="s">
        <v>196</v>
      </c>
      <c r="B2866" t="str">
        <f>_xlfn.XLOOKUP(A2866,'[1]Tissue Data'!$A:$A,'[1]Tissue Data'!$C:$C)</f>
        <v>Spill</v>
      </c>
      <c r="C2866" s="2">
        <f>_xlfn.XLOOKUP(A2866,'[1]Tissue Data'!$A:$A,'[1]Tissue Data'!$D:$D)</f>
        <v>44314</v>
      </c>
      <c r="D2866" s="2" t="str">
        <f>_xlfn.XLOOKUP(A2866,'[1]Tissue Data'!$A:$A,'[1]Tissue Data'!$F:$F)</f>
        <v>Swallowtail Shiner</v>
      </c>
      <c r="E2866" t="str">
        <f>_xlfn.XLOOKUP(A2866,'[1]Tissue Data'!$A:$A,'[1]Tissue Data'!$H:$H)</f>
        <v>Notropis</v>
      </c>
      <c r="F2866" t="str">
        <f>_xlfn.XLOOKUP(A2866,'[1]Tissue Data'!$A:$A,'[1]Tissue Data'!$I:$I)</f>
        <v>procne</v>
      </c>
      <c r="G2866" t="str">
        <f>_xlfn.XLOOKUP(A2866,'[1]Tissue Data'!$A:$A,'[1]Tissue Data'!J:J)</f>
        <v>U</v>
      </c>
      <c r="H2866" t="str">
        <f>_xlfn.XLOOKUP(A2866,'[1]Tissue Data'!$A:$A,'[1]Tissue Data'!K:K)</f>
        <v>Whole Body</v>
      </c>
      <c r="I2866">
        <f>_xlfn.XLOOKUP(A2866,'[1]Tissue Data'!$A:$A,'[1]Tissue Data'!L:L)</f>
        <v>5</v>
      </c>
      <c r="J2866">
        <f>_xlfn.XLOOKUP(A2866,'[1]Tissue Data'!$A:$A,'[1]Tissue Data'!M:M)</f>
        <v>1.6</v>
      </c>
      <c r="K2866" t="s">
        <v>26</v>
      </c>
      <c r="L2866" t="str">
        <f>_xlfn.XLOOKUP(K2866,[2]analyte_order!$B:$B,[2]analyte_order!$C:$C)</f>
        <v>2706-91-4</v>
      </c>
      <c r="M2866">
        <f>_xlfn.XLOOKUP(L2866,[2]analyte_order!$C:$C,[2]analyte_order!$E:$E)</f>
        <v>15</v>
      </c>
      <c r="N2866">
        <v>1.56</v>
      </c>
    </row>
    <row r="2867" spans="1:14">
      <c r="A2867" t="s">
        <v>196</v>
      </c>
      <c r="B2867" t="str">
        <f>_xlfn.XLOOKUP(A2867,'[1]Tissue Data'!$A:$A,'[1]Tissue Data'!$C:$C)</f>
        <v>Spill</v>
      </c>
      <c r="C2867" s="2">
        <f>_xlfn.XLOOKUP(A2867,'[1]Tissue Data'!$A:$A,'[1]Tissue Data'!$D:$D)</f>
        <v>44314</v>
      </c>
      <c r="D2867" s="2" t="str">
        <f>_xlfn.XLOOKUP(A2867,'[1]Tissue Data'!$A:$A,'[1]Tissue Data'!$F:$F)</f>
        <v>Swallowtail Shiner</v>
      </c>
      <c r="E2867" t="str">
        <f>_xlfn.XLOOKUP(A2867,'[1]Tissue Data'!$A:$A,'[1]Tissue Data'!$H:$H)</f>
        <v>Notropis</v>
      </c>
      <c r="F2867" t="str">
        <f>_xlfn.XLOOKUP(A2867,'[1]Tissue Data'!$A:$A,'[1]Tissue Data'!$I:$I)</f>
        <v>procne</v>
      </c>
      <c r="G2867" t="str">
        <f>_xlfn.XLOOKUP(A2867,'[1]Tissue Data'!$A:$A,'[1]Tissue Data'!J:J)</f>
        <v>U</v>
      </c>
      <c r="H2867" t="str">
        <f>_xlfn.XLOOKUP(A2867,'[1]Tissue Data'!$A:$A,'[1]Tissue Data'!K:K)</f>
        <v>Whole Body</v>
      </c>
      <c r="I2867">
        <f>_xlfn.XLOOKUP(A2867,'[1]Tissue Data'!$A:$A,'[1]Tissue Data'!L:L)</f>
        <v>5</v>
      </c>
      <c r="J2867">
        <f>_xlfn.XLOOKUP(A2867,'[1]Tissue Data'!$A:$A,'[1]Tissue Data'!M:M)</f>
        <v>1.6</v>
      </c>
      <c r="K2867" t="s">
        <v>27</v>
      </c>
      <c r="L2867" t="str">
        <f>_xlfn.XLOOKUP(K2867,[2]analyte_order!$B:$B,[2]analyte_order!$C:$C)</f>
        <v>355-46-4</v>
      </c>
      <c r="M2867">
        <f>_xlfn.XLOOKUP(L2867,[2]analyte_order!$C:$C,[2]analyte_order!$E:$E)</f>
        <v>16</v>
      </c>
      <c r="N2867">
        <v>62.6</v>
      </c>
    </row>
    <row r="2868" spans="1:14">
      <c r="A2868" t="s">
        <v>196</v>
      </c>
      <c r="B2868" t="str">
        <f>_xlfn.XLOOKUP(A2868,'[1]Tissue Data'!$A:$A,'[1]Tissue Data'!$C:$C)</f>
        <v>Spill</v>
      </c>
      <c r="C2868" s="2">
        <f>_xlfn.XLOOKUP(A2868,'[1]Tissue Data'!$A:$A,'[1]Tissue Data'!$D:$D)</f>
        <v>44314</v>
      </c>
      <c r="D2868" s="2" t="str">
        <f>_xlfn.XLOOKUP(A2868,'[1]Tissue Data'!$A:$A,'[1]Tissue Data'!$F:$F)</f>
        <v>Swallowtail Shiner</v>
      </c>
      <c r="E2868" t="str">
        <f>_xlfn.XLOOKUP(A2868,'[1]Tissue Data'!$A:$A,'[1]Tissue Data'!$H:$H)</f>
        <v>Notropis</v>
      </c>
      <c r="F2868" t="str">
        <f>_xlfn.XLOOKUP(A2868,'[1]Tissue Data'!$A:$A,'[1]Tissue Data'!$I:$I)</f>
        <v>procne</v>
      </c>
      <c r="G2868" t="str">
        <f>_xlfn.XLOOKUP(A2868,'[1]Tissue Data'!$A:$A,'[1]Tissue Data'!J:J)</f>
        <v>U</v>
      </c>
      <c r="H2868" t="str">
        <f>_xlfn.XLOOKUP(A2868,'[1]Tissue Data'!$A:$A,'[1]Tissue Data'!K:K)</f>
        <v>Whole Body</v>
      </c>
      <c r="I2868">
        <f>_xlfn.XLOOKUP(A2868,'[1]Tissue Data'!$A:$A,'[1]Tissue Data'!L:L)</f>
        <v>5</v>
      </c>
      <c r="J2868">
        <f>_xlfn.XLOOKUP(A2868,'[1]Tissue Data'!$A:$A,'[1]Tissue Data'!M:M)</f>
        <v>1.6</v>
      </c>
      <c r="K2868" t="s">
        <v>28</v>
      </c>
      <c r="L2868" t="str">
        <f>_xlfn.XLOOKUP(K2868,[2]analyte_order!$B:$B,[2]analyte_order!$C:$C)</f>
        <v>375-92-8</v>
      </c>
      <c r="M2868">
        <f>_xlfn.XLOOKUP(L2868,[2]analyte_order!$C:$C,[2]analyte_order!$E:$E)</f>
        <v>17</v>
      </c>
      <c r="N2868">
        <v>9.42</v>
      </c>
    </row>
    <row r="2869" spans="1:14">
      <c r="A2869" t="s">
        <v>196</v>
      </c>
      <c r="B2869" t="str">
        <f>_xlfn.XLOOKUP(A2869,'[1]Tissue Data'!$A:$A,'[1]Tissue Data'!$C:$C)</f>
        <v>Spill</v>
      </c>
      <c r="C2869" s="2">
        <f>_xlfn.XLOOKUP(A2869,'[1]Tissue Data'!$A:$A,'[1]Tissue Data'!$D:$D)</f>
        <v>44314</v>
      </c>
      <c r="D2869" s="2" t="str">
        <f>_xlfn.XLOOKUP(A2869,'[1]Tissue Data'!$A:$A,'[1]Tissue Data'!$F:$F)</f>
        <v>Swallowtail Shiner</v>
      </c>
      <c r="E2869" t="str">
        <f>_xlfn.XLOOKUP(A2869,'[1]Tissue Data'!$A:$A,'[1]Tissue Data'!$H:$H)</f>
        <v>Notropis</v>
      </c>
      <c r="F2869" t="str">
        <f>_xlfn.XLOOKUP(A2869,'[1]Tissue Data'!$A:$A,'[1]Tissue Data'!$I:$I)</f>
        <v>procne</v>
      </c>
      <c r="G2869" t="str">
        <f>_xlfn.XLOOKUP(A2869,'[1]Tissue Data'!$A:$A,'[1]Tissue Data'!J:J)</f>
        <v>U</v>
      </c>
      <c r="H2869" t="str">
        <f>_xlfn.XLOOKUP(A2869,'[1]Tissue Data'!$A:$A,'[1]Tissue Data'!K:K)</f>
        <v>Whole Body</v>
      </c>
      <c r="I2869">
        <f>_xlfn.XLOOKUP(A2869,'[1]Tissue Data'!$A:$A,'[1]Tissue Data'!L:L)</f>
        <v>5</v>
      </c>
      <c r="J2869">
        <f>_xlfn.XLOOKUP(A2869,'[1]Tissue Data'!$A:$A,'[1]Tissue Data'!M:M)</f>
        <v>1.6</v>
      </c>
      <c r="K2869" t="s">
        <v>29</v>
      </c>
      <c r="L2869" t="str">
        <f>_xlfn.XLOOKUP(K2869,[2]analyte_order!$B:$B,[2]analyte_order!$C:$C)</f>
        <v>1763-23-1</v>
      </c>
      <c r="M2869">
        <f>_xlfn.XLOOKUP(L2869,[2]analyte_order!$C:$C,[2]analyte_order!$E:$E)</f>
        <v>18</v>
      </c>
      <c r="N2869">
        <v>1100</v>
      </c>
    </row>
    <row r="2870" spans="1:14">
      <c r="A2870" t="s">
        <v>196</v>
      </c>
      <c r="B2870" t="str">
        <f>_xlfn.XLOOKUP(A2870,'[1]Tissue Data'!$A:$A,'[1]Tissue Data'!$C:$C)</f>
        <v>Spill</v>
      </c>
      <c r="C2870" s="2">
        <f>_xlfn.XLOOKUP(A2870,'[1]Tissue Data'!$A:$A,'[1]Tissue Data'!$D:$D)</f>
        <v>44314</v>
      </c>
      <c r="D2870" s="2" t="str">
        <f>_xlfn.XLOOKUP(A2870,'[1]Tissue Data'!$A:$A,'[1]Tissue Data'!$F:$F)</f>
        <v>Swallowtail Shiner</v>
      </c>
      <c r="E2870" t="str">
        <f>_xlfn.XLOOKUP(A2870,'[1]Tissue Data'!$A:$A,'[1]Tissue Data'!$H:$H)</f>
        <v>Notropis</v>
      </c>
      <c r="F2870" t="str">
        <f>_xlfn.XLOOKUP(A2870,'[1]Tissue Data'!$A:$A,'[1]Tissue Data'!$I:$I)</f>
        <v>procne</v>
      </c>
      <c r="G2870" t="str">
        <f>_xlfn.XLOOKUP(A2870,'[1]Tissue Data'!$A:$A,'[1]Tissue Data'!J:J)</f>
        <v>U</v>
      </c>
      <c r="H2870" t="str">
        <f>_xlfn.XLOOKUP(A2870,'[1]Tissue Data'!$A:$A,'[1]Tissue Data'!K:K)</f>
        <v>Whole Body</v>
      </c>
      <c r="I2870">
        <f>_xlfn.XLOOKUP(A2870,'[1]Tissue Data'!$A:$A,'[1]Tissue Data'!L:L)</f>
        <v>5</v>
      </c>
      <c r="J2870">
        <f>_xlfn.XLOOKUP(A2870,'[1]Tissue Data'!$A:$A,'[1]Tissue Data'!M:M)</f>
        <v>1.6</v>
      </c>
      <c r="K2870" t="s">
        <v>30</v>
      </c>
      <c r="L2870" t="str">
        <f>_xlfn.XLOOKUP(K2870,[2]analyte_order!$B:$B,[2]analyte_order!$C:$C)</f>
        <v>68259-12-1</v>
      </c>
      <c r="M2870">
        <f>_xlfn.XLOOKUP(L2870,[2]analyte_order!$C:$C,[2]analyte_order!$E:$E)</f>
        <v>19</v>
      </c>
      <c r="N2870">
        <v>1.93</v>
      </c>
    </row>
    <row r="2871" spans="1:14">
      <c r="A2871" t="s">
        <v>196</v>
      </c>
      <c r="B2871" t="str">
        <f>_xlfn.XLOOKUP(A2871,'[1]Tissue Data'!$A:$A,'[1]Tissue Data'!$C:$C)</f>
        <v>Spill</v>
      </c>
      <c r="C2871" s="2">
        <f>_xlfn.XLOOKUP(A2871,'[1]Tissue Data'!$A:$A,'[1]Tissue Data'!$D:$D)</f>
        <v>44314</v>
      </c>
      <c r="D2871" s="2" t="str">
        <f>_xlfn.XLOOKUP(A2871,'[1]Tissue Data'!$A:$A,'[1]Tissue Data'!$F:$F)</f>
        <v>Swallowtail Shiner</v>
      </c>
      <c r="E2871" t="str">
        <f>_xlfn.XLOOKUP(A2871,'[1]Tissue Data'!$A:$A,'[1]Tissue Data'!$H:$H)</f>
        <v>Notropis</v>
      </c>
      <c r="F2871" t="str">
        <f>_xlfn.XLOOKUP(A2871,'[1]Tissue Data'!$A:$A,'[1]Tissue Data'!$I:$I)</f>
        <v>procne</v>
      </c>
      <c r="G2871" t="str">
        <f>_xlfn.XLOOKUP(A2871,'[1]Tissue Data'!$A:$A,'[1]Tissue Data'!J:J)</f>
        <v>U</v>
      </c>
      <c r="H2871" t="str">
        <f>_xlfn.XLOOKUP(A2871,'[1]Tissue Data'!$A:$A,'[1]Tissue Data'!K:K)</f>
        <v>Whole Body</v>
      </c>
      <c r="I2871">
        <f>_xlfn.XLOOKUP(A2871,'[1]Tissue Data'!$A:$A,'[1]Tissue Data'!L:L)</f>
        <v>5</v>
      </c>
      <c r="J2871">
        <f>_xlfn.XLOOKUP(A2871,'[1]Tissue Data'!$A:$A,'[1]Tissue Data'!M:M)</f>
        <v>1.6</v>
      </c>
      <c r="K2871" t="s">
        <v>31</v>
      </c>
      <c r="L2871" t="str">
        <f>_xlfn.XLOOKUP(K2871,[2]analyte_order!$B:$B,[2]analyte_order!$C:$C)</f>
        <v>335-77-3</v>
      </c>
      <c r="M2871">
        <f>_xlfn.XLOOKUP(L2871,[2]analyte_order!$C:$C,[2]analyte_order!$E:$E)</f>
        <v>20</v>
      </c>
      <c r="N2871">
        <v>4.9000000000000004</v>
      </c>
    </row>
    <row r="2872" spans="1:14">
      <c r="A2872" t="s">
        <v>196</v>
      </c>
      <c r="B2872" t="str">
        <f>_xlfn.XLOOKUP(A2872,'[1]Tissue Data'!$A:$A,'[1]Tissue Data'!$C:$C)</f>
        <v>Spill</v>
      </c>
      <c r="C2872" s="2">
        <f>_xlfn.XLOOKUP(A2872,'[1]Tissue Data'!$A:$A,'[1]Tissue Data'!$D:$D)</f>
        <v>44314</v>
      </c>
      <c r="D2872" s="2" t="str">
        <f>_xlfn.XLOOKUP(A2872,'[1]Tissue Data'!$A:$A,'[1]Tissue Data'!$F:$F)</f>
        <v>Swallowtail Shiner</v>
      </c>
      <c r="E2872" t="str">
        <f>_xlfn.XLOOKUP(A2872,'[1]Tissue Data'!$A:$A,'[1]Tissue Data'!$H:$H)</f>
        <v>Notropis</v>
      </c>
      <c r="F2872" t="str">
        <f>_xlfn.XLOOKUP(A2872,'[1]Tissue Data'!$A:$A,'[1]Tissue Data'!$I:$I)</f>
        <v>procne</v>
      </c>
      <c r="G2872" t="str">
        <f>_xlfn.XLOOKUP(A2872,'[1]Tissue Data'!$A:$A,'[1]Tissue Data'!J:J)</f>
        <v>U</v>
      </c>
      <c r="H2872" t="str">
        <f>_xlfn.XLOOKUP(A2872,'[1]Tissue Data'!$A:$A,'[1]Tissue Data'!K:K)</f>
        <v>Whole Body</v>
      </c>
      <c r="I2872">
        <f>_xlfn.XLOOKUP(A2872,'[1]Tissue Data'!$A:$A,'[1]Tissue Data'!L:L)</f>
        <v>5</v>
      </c>
      <c r="J2872">
        <f>_xlfn.XLOOKUP(A2872,'[1]Tissue Data'!$A:$A,'[1]Tissue Data'!M:M)</f>
        <v>1.6</v>
      </c>
      <c r="K2872" t="s">
        <v>32</v>
      </c>
      <c r="L2872" t="str">
        <f>_xlfn.XLOOKUP(K2872,[2]analyte_order!$B:$B,[2]analyte_order!$C:$C)</f>
        <v>79780-39-5</v>
      </c>
      <c r="M2872">
        <f>_xlfn.XLOOKUP(L2872,[2]analyte_order!$C:$C,[2]analyte_order!$E:$E)</f>
        <v>21</v>
      </c>
      <c r="N2872">
        <v>0.755</v>
      </c>
    </row>
    <row r="2873" spans="1:14">
      <c r="A2873" t="s">
        <v>196</v>
      </c>
      <c r="B2873" t="str">
        <f>_xlfn.XLOOKUP(A2873,'[1]Tissue Data'!$A:$A,'[1]Tissue Data'!$C:$C)</f>
        <v>Spill</v>
      </c>
      <c r="C2873" s="2">
        <f>_xlfn.XLOOKUP(A2873,'[1]Tissue Data'!$A:$A,'[1]Tissue Data'!$D:$D)</f>
        <v>44314</v>
      </c>
      <c r="D2873" s="2" t="str">
        <f>_xlfn.XLOOKUP(A2873,'[1]Tissue Data'!$A:$A,'[1]Tissue Data'!$F:$F)</f>
        <v>Swallowtail Shiner</v>
      </c>
      <c r="E2873" t="str">
        <f>_xlfn.XLOOKUP(A2873,'[1]Tissue Data'!$A:$A,'[1]Tissue Data'!$H:$H)</f>
        <v>Notropis</v>
      </c>
      <c r="F2873" t="str">
        <f>_xlfn.XLOOKUP(A2873,'[1]Tissue Data'!$A:$A,'[1]Tissue Data'!$I:$I)</f>
        <v>procne</v>
      </c>
      <c r="G2873" t="str">
        <f>_xlfn.XLOOKUP(A2873,'[1]Tissue Data'!$A:$A,'[1]Tissue Data'!J:J)</f>
        <v>U</v>
      </c>
      <c r="H2873" t="str">
        <f>_xlfn.XLOOKUP(A2873,'[1]Tissue Data'!$A:$A,'[1]Tissue Data'!K:K)</f>
        <v>Whole Body</v>
      </c>
      <c r="I2873">
        <f>_xlfn.XLOOKUP(A2873,'[1]Tissue Data'!$A:$A,'[1]Tissue Data'!L:L)</f>
        <v>5</v>
      </c>
      <c r="J2873">
        <f>_xlfn.XLOOKUP(A2873,'[1]Tissue Data'!$A:$A,'[1]Tissue Data'!M:M)</f>
        <v>1.6</v>
      </c>
      <c r="K2873" t="s">
        <v>33</v>
      </c>
      <c r="L2873" t="str">
        <f>_xlfn.XLOOKUP(K2873,[2]analyte_order!$B:$B,[2]analyte_order!$C:$C)</f>
        <v>777011-38-8</v>
      </c>
      <c r="M2873">
        <f>_xlfn.XLOOKUP(L2873,[2]analyte_order!$C:$C,[2]analyte_order!$E:$E)</f>
        <v>54</v>
      </c>
      <c r="N2873">
        <v>0.40500000000000003</v>
      </c>
    </row>
    <row r="2874" spans="1:14">
      <c r="A2874" t="s">
        <v>196</v>
      </c>
      <c r="B2874" t="str">
        <f>_xlfn.XLOOKUP(A2874,'[1]Tissue Data'!$A:$A,'[1]Tissue Data'!$C:$C)</f>
        <v>Spill</v>
      </c>
      <c r="C2874" s="2">
        <f>_xlfn.XLOOKUP(A2874,'[1]Tissue Data'!$A:$A,'[1]Tissue Data'!$D:$D)</f>
        <v>44314</v>
      </c>
      <c r="D2874" s="2" t="str">
        <f>_xlfn.XLOOKUP(A2874,'[1]Tissue Data'!$A:$A,'[1]Tissue Data'!$F:$F)</f>
        <v>Swallowtail Shiner</v>
      </c>
      <c r="E2874" t="str">
        <f>_xlfn.XLOOKUP(A2874,'[1]Tissue Data'!$A:$A,'[1]Tissue Data'!$H:$H)</f>
        <v>Notropis</v>
      </c>
      <c r="F2874" t="str">
        <f>_xlfn.XLOOKUP(A2874,'[1]Tissue Data'!$A:$A,'[1]Tissue Data'!$I:$I)</f>
        <v>procne</v>
      </c>
      <c r="G2874" t="str">
        <f>_xlfn.XLOOKUP(A2874,'[1]Tissue Data'!$A:$A,'[1]Tissue Data'!J:J)</f>
        <v>U</v>
      </c>
      <c r="H2874" t="str">
        <f>_xlfn.XLOOKUP(A2874,'[1]Tissue Data'!$A:$A,'[1]Tissue Data'!K:K)</f>
        <v>Whole Body</v>
      </c>
      <c r="I2874">
        <f>_xlfn.XLOOKUP(A2874,'[1]Tissue Data'!$A:$A,'[1]Tissue Data'!L:L)</f>
        <v>5</v>
      </c>
      <c r="J2874">
        <f>_xlfn.XLOOKUP(A2874,'[1]Tissue Data'!$A:$A,'[1]Tissue Data'!M:M)</f>
        <v>1.6</v>
      </c>
      <c r="K2874" t="s">
        <v>34</v>
      </c>
      <c r="L2874" t="str">
        <f>_xlfn.XLOOKUP(K2874,[2]analyte_order!$B:$B,[2]analyte_order!$C:$C)</f>
        <v>646-83-3</v>
      </c>
      <c r="M2874">
        <f>_xlfn.XLOOKUP(L2874,[2]analyte_order!$C:$C,[2]analyte_order!$E:$E)</f>
        <v>55</v>
      </c>
      <c r="N2874">
        <v>0.192</v>
      </c>
    </row>
    <row r="2875" spans="1:14">
      <c r="A2875" t="s">
        <v>196</v>
      </c>
      <c r="B2875" t="str">
        <f>_xlfn.XLOOKUP(A2875,'[1]Tissue Data'!$A:$A,'[1]Tissue Data'!$C:$C)</f>
        <v>Spill</v>
      </c>
      <c r="C2875" s="2">
        <f>_xlfn.XLOOKUP(A2875,'[1]Tissue Data'!$A:$A,'[1]Tissue Data'!$D:$D)</f>
        <v>44314</v>
      </c>
      <c r="D2875" s="2" t="str">
        <f>_xlfn.XLOOKUP(A2875,'[1]Tissue Data'!$A:$A,'[1]Tissue Data'!$F:$F)</f>
        <v>Swallowtail Shiner</v>
      </c>
      <c r="E2875" t="str">
        <f>_xlfn.XLOOKUP(A2875,'[1]Tissue Data'!$A:$A,'[1]Tissue Data'!$H:$H)</f>
        <v>Notropis</v>
      </c>
      <c r="F2875" t="str">
        <f>_xlfn.XLOOKUP(A2875,'[1]Tissue Data'!$A:$A,'[1]Tissue Data'!$I:$I)</f>
        <v>procne</v>
      </c>
      <c r="G2875" t="str">
        <f>_xlfn.XLOOKUP(A2875,'[1]Tissue Data'!$A:$A,'[1]Tissue Data'!J:J)</f>
        <v>U</v>
      </c>
      <c r="H2875" t="str">
        <f>_xlfn.XLOOKUP(A2875,'[1]Tissue Data'!$A:$A,'[1]Tissue Data'!K:K)</f>
        <v>Whole Body</v>
      </c>
      <c r="I2875">
        <f>_xlfn.XLOOKUP(A2875,'[1]Tissue Data'!$A:$A,'[1]Tissue Data'!L:L)</f>
        <v>5</v>
      </c>
      <c r="J2875">
        <f>_xlfn.XLOOKUP(A2875,'[1]Tissue Data'!$A:$A,'[1]Tissue Data'!M:M)</f>
        <v>1.6</v>
      </c>
      <c r="K2875" t="s">
        <v>35</v>
      </c>
      <c r="L2875" t="str">
        <f>_xlfn.XLOOKUP(K2875,[2]analyte_order!$B:$B,[2]analyte_order!$C:$C)</f>
        <v>30334-69-1</v>
      </c>
      <c r="M2875">
        <f>_xlfn.XLOOKUP(L2875,[2]analyte_order!$C:$C,[2]analyte_order!$E:$E)</f>
        <v>51</v>
      </c>
      <c r="N2875">
        <v>101</v>
      </c>
    </row>
    <row r="2876" spans="1:14">
      <c r="A2876" t="s">
        <v>196</v>
      </c>
      <c r="B2876" t="str">
        <f>_xlfn.XLOOKUP(A2876,'[1]Tissue Data'!$A:$A,'[1]Tissue Data'!$C:$C)</f>
        <v>Spill</v>
      </c>
      <c r="C2876" s="2">
        <f>_xlfn.XLOOKUP(A2876,'[1]Tissue Data'!$A:$A,'[1]Tissue Data'!$D:$D)</f>
        <v>44314</v>
      </c>
      <c r="D2876" s="2" t="str">
        <f>_xlfn.XLOOKUP(A2876,'[1]Tissue Data'!$A:$A,'[1]Tissue Data'!$F:$F)</f>
        <v>Swallowtail Shiner</v>
      </c>
      <c r="E2876" t="str">
        <f>_xlfn.XLOOKUP(A2876,'[1]Tissue Data'!$A:$A,'[1]Tissue Data'!$H:$H)</f>
        <v>Notropis</v>
      </c>
      <c r="F2876" t="str">
        <f>_xlfn.XLOOKUP(A2876,'[1]Tissue Data'!$A:$A,'[1]Tissue Data'!$I:$I)</f>
        <v>procne</v>
      </c>
      <c r="G2876" t="str">
        <f>_xlfn.XLOOKUP(A2876,'[1]Tissue Data'!$A:$A,'[1]Tissue Data'!J:J)</f>
        <v>U</v>
      </c>
      <c r="H2876" t="str">
        <f>_xlfn.XLOOKUP(A2876,'[1]Tissue Data'!$A:$A,'[1]Tissue Data'!K:K)</f>
        <v>Whole Body</v>
      </c>
      <c r="I2876">
        <f>_xlfn.XLOOKUP(A2876,'[1]Tissue Data'!$A:$A,'[1]Tissue Data'!L:L)</f>
        <v>5</v>
      </c>
      <c r="J2876">
        <f>_xlfn.XLOOKUP(A2876,'[1]Tissue Data'!$A:$A,'[1]Tissue Data'!M:M)</f>
        <v>1.6</v>
      </c>
      <c r="K2876" t="s">
        <v>36</v>
      </c>
      <c r="L2876" t="str">
        <f>_xlfn.XLOOKUP(K2876,[2]analyte_order!$B:$B,[2]analyte_order!$C:$C)</f>
        <v>41997-13-1</v>
      </c>
      <c r="M2876">
        <f>_xlfn.XLOOKUP(L2876,[2]analyte_order!$C:$C,[2]analyte_order!$E:$E)</f>
        <v>52</v>
      </c>
      <c r="N2876">
        <v>293</v>
      </c>
    </row>
    <row r="2877" spans="1:14">
      <c r="A2877" t="s">
        <v>196</v>
      </c>
      <c r="B2877" t="str">
        <f>_xlfn.XLOOKUP(A2877,'[1]Tissue Data'!$A:$A,'[1]Tissue Data'!$C:$C)</f>
        <v>Spill</v>
      </c>
      <c r="C2877" s="2">
        <f>_xlfn.XLOOKUP(A2877,'[1]Tissue Data'!$A:$A,'[1]Tissue Data'!$D:$D)</f>
        <v>44314</v>
      </c>
      <c r="D2877" s="2" t="str">
        <f>_xlfn.XLOOKUP(A2877,'[1]Tissue Data'!$A:$A,'[1]Tissue Data'!$F:$F)</f>
        <v>Swallowtail Shiner</v>
      </c>
      <c r="E2877" t="str">
        <f>_xlfn.XLOOKUP(A2877,'[1]Tissue Data'!$A:$A,'[1]Tissue Data'!$H:$H)</f>
        <v>Notropis</v>
      </c>
      <c r="F2877" t="str">
        <f>_xlfn.XLOOKUP(A2877,'[1]Tissue Data'!$A:$A,'[1]Tissue Data'!$I:$I)</f>
        <v>procne</v>
      </c>
      <c r="G2877" t="str">
        <f>_xlfn.XLOOKUP(A2877,'[1]Tissue Data'!$A:$A,'[1]Tissue Data'!J:J)</f>
        <v>U</v>
      </c>
      <c r="H2877" t="str">
        <f>_xlfn.XLOOKUP(A2877,'[1]Tissue Data'!$A:$A,'[1]Tissue Data'!K:K)</f>
        <v>Whole Body</v>
      </c>
      <c r="I2877">
        <f>_xlfn.XLOOKUP(A2877,'[1]Tissue Data'!$A:$A,'[1]Tissue Data'!L:L)</f>
        <v>5</v>
      </c>
      <c r="J2877">
        <f>_xlfn.XLOOKUP(A2877,'[1]Tissue Data'!$A:$A,'[1]Tissue Data'!M:M)</f>
        <v>1.6</v>
      </c>
      <c r="K2877" t="s">
        <v>37</v>
      </c>
      <c r="L2877" t="str">
        <f>_xlfn.XLOOKUP(K2877,[2]analyte_order!$B:$B,[2]analyte_order!$C:$C)</f>
        <v>754-91-6</v>
      </c>
      <c r="M2877">
        <f>_xlfn.XLOOKUP(L2877,[2]analyte_order!$C:$C,[2]analyte_order!$E:$E)</f>
        <v>28</v>
      </c>
      <c r="N2877">
        <v>15.9</v>
      </c>
    </row>
    <row r="2878" spans="1:14">
      <c r="A2878" t="s">
        <v>196</v>
      </c>
      <c r="B2878" t="str">
        <f>_xlfn.XLOOKUP(A2878,'[1]Tissue Data'!$A:$A,'[1]Tissue Data'!$C:$C)</f>
        <v>Spill</v>
      </c>
      <c r="C2878" s="2">
        <f>_xlfn.XLOOKUP(A2878,'[1]Tissue Data'!$A:$A,'[1]Tissue Data'!$D:$D)</f>
        <v>44314</v>
      </c>
      <c r="D2878" s="2" t="str">
        <f>_xlfn.XLOOKUP(A2878,'[1]Tissue Data'!$A:$A,'[1]Tissue Data'!$F:$F)</f>
        <v>Swallowtail Shiner</v>
      </c>
      <c r="E2878" t="str">
        <f>_xlfn.XLOOKUP(A2878,'[1]Tissue Data'!$A:$A,'[1]Tissue Data'!$H:$H)</f>
        <v>Notropis</v>
      </c>
      <c r="F2878" t="str">
        <f>_xlfn.XLOOKUP(A2878,'[1]Tissue Data'!$A:$A,'[1]Tissue Data'!$I:$I)</f>
        <v>procne</v>
      </c>
      <c r="G2878" t="str">
        <f>_xlfn.XLOOKUP(A2878,'[1]Tissue Data'!$A:$A,'[1]Tissue Data'!J:J)</f>
        <v>U</v>
      </c>
      <c r="H2878" t="str">
        <f>_xlfn.XLOOKUP(A2878,'[1]Tissue Data'!$A:$A,'[1]Tissue Data'!K:K)</f>
        <v>Whole Body</v>
      </c>
      <c r="I2878">
        <f>_xlfn.XLOOKUP(A2878,'[1]Tissue Data'!$A:$A,'[1]Tissue Data'!L:L)</f>
        <v>5</v>
      </c>
      <c r="J2878">
        <f>_xlfn.XLOOKUP(A2878,'[1]Tissue Data'!$A:$A,'[1]Tissue Data'!M:M)</f>
        <v>1.6</v>
      </c>
      <c r="K2878" t="s">
        <v>38</v>
      </c>
      <c r="L2878" t="str">
        <f>_xlfn.XLOOKUP(K2878,[2]analyte_order!$B:$B,[2]analyte_order!$C:$C)</f>
        <v>31506-32-8</v>
      </c>
      <c r="M2878">
        <f>_xlfn.XLOOKUP(L2878,[2]analyte_order!$C:$C,[2]analyte_order!$E:$E)</f>
        <v>30</v>
      </c>
      <c r="N2878">
        <v>5.5500000000000001E-2</v>
      </c>
    </row>
    <row r="2879" spans="1:14">
      <c r="A2879" t="s">
        <v>196</v>
      </c>
      <c r="B2879" t="str">
        <f>_xlfn.XLOOKUP(A2879,'[1]Tissue Data'!$A:$A,'[1]Tissue Data'!$C:$C)</f>
        <v>Spill</v>
      </c>
      <c r="C2879" s="2">
        <f>_xlfn.XLOOKUP(A2879,'[1]Tissue Data'!$A:$A,'[1]Tissue Data'!$D:$D)</f>
        <v>44314</v>
      </c>
      <c r="D2879" s="2" t="str">
        <f>_xlfn.XLOOKUP(A2879,'[1]Tissue Data'!$A:$A,'[1]Tissue Data'!$F:$F)</f>
        <v>Swallowtail Shiner</v>
      </c>
      <c r="E2879" t="str">
        <f>_xlfn.XLOOKUP(A2879,'[1]Tissue Data'!$A:$A,'[1]Tissue Data'!$H:$H)</f>
        <v>Notropis</v>
      </c>
      <c r="F2879" t="str">
        <f>_xlfn.XLOOKUP(A2879,'[1]Tissue Data'!$A:$A,'[1]Tissue Data'!$I:$I)</f>
        <v>procne</v>
      </c>
      <c r="G2879" t="str">
        <f>_xlfn.XLOOKUP(A2879,'[1]Tissue Data'!$A:$A,'[1]Tissue Data'!J:J)</f>
        <v>U</v>
      </c>
      <c r="H2879" t="str">
        <f>_xlfn.XLOOKUP(A2879,'[1]Tissue Data'!$A:$A,'[1]Tissue Data'!K:K)</f>
        <v>Whole Body</v>
      </c>
      <c r="I2879">
        <f>_xlfn.XLOOKUP(A2879,'[1]Tissue Data'!$A:$A,'[1]Tissue Data'!L:L)</f>
        <v>5</v>
      </c>
      <c r="J2879">
        <f>_xlfn.XLOOKUP(A2879,'[1]Tissue Data'!$A:$A,'[1]Tissue Data'!M:M)</f>
        <v>1.6</v>
      </c>
      <c r="K2879" t="s">
        <v>39</v>
      </c>
      <c r="L2879" t="str">
        <f>_xlfn.XLOOKUP(K2879,[2]analyte_order!$B:$B,[2]analyte_order!$C:$C)</f>
        <v>4151-50-2</v>
      </c>
      <c r="M2879">
        <f>_xlfn.XLOOKUP(L2879,[2]analyte_order!$C:$C,[2]analyte_order!$E:$E)</f>
        <v>31</v>
      </c>
      <c r="N2879">
        <v>8.4000000000000005E-2</v>
      </c>
    </row>
    <row r="2880" spans="1:14">
      <c r="A2880" t="s">
        <v>196</v>
      </c>
      <c r="B2880" t="str">
        <f>_xlfn.XLOOKUP(A2880,'[1]Tissue Data'!$A:$A,'[1]Tissue Data'!$C:$C)</f>
        <v>Spill</v>
      </c>
      <c r="C2880" s="2">
        <f>_xlfn.XLOOKUP(A2880,'[1]Tissue Data'!$A:$A,'[1]Tissue Data'!$D:$D)</f>
        <v>44314</v>
      </c>
      <c r="D2880" s="2" t="str">
        <f>_xlfn.XLOOKUP(A2880,'[1]Tissue Data'!$A:$A,'[1]Tissue Data'!$F:$F)</f>
        <v>Swallowtail Shiner</v>
      </c>
      <c r="E2880" t="str">
        <f>_xlfn.XLOOKUP(A2880,'[1]Tissue Data'!$A:$A,'[1]Tissue Data'!$H:$H)</f>
        <v>Notropis</v>
      </c>
      <c r="F2880" t="str">
        <f>_xlfn.XLOOKUP(A2880,'[1]Tissue Data'!$A:$A,'[1]Tissue Data'!$I:$I)</f>
        <v>procne</v>
      </c>
      <c r="G2880" t="str">
        <f>_xlfn.XLOOKUP(A2880,'[1]Tissue Data'!$A:$A,'[1]Tissue Data'!J:J)</f>
        <v>U</v>
      </c>
      <c r="H2880" t="str">
        <f>_xlfn.XLOOKUP(A2880,'[1]Tissue Data'!$A:$A,'[1]Tissue Data'!K:K)</f>
        <v>Whole Body</v>
      </c>
      <c r="I2880">
        <f>_xlfn.XLOOKUP(A2880,'[1]Tissue Data'!$A:$A,'[1]Tissue Data'!L:L)</f>
        <v>5</v>
      </c>
      <c r="J2880">
        <f>_xlfn.XLOOKUP(A2880,'[1]Tissue Data'!$A:$A,'[1]Tissue Data'!M:M)</f>
        <v>1.6</v>
      </c>
      <c r="K2880" t="s">
        <v>40</v>
      </c>
      <c r="L2880" t="str">
        <f>_xlfn.XLOOKUP(K2880,[2]analyte_order!$B:$B,[2]analyte_order!$C:$C)</f>
        <v>2806-24-8</v>
      </c>
      <c r="M2880">
        <f>_xlfn.XLOOKUP(L2880,[2]analyte_order!$C:$C,[2]analyte_order!$E:$E)</f>
        <v>29</v>
      </c>
      <c r="N2880">
        <v>5.6500000000000002E-2</v>
      </c>
    </row>
    <row r="2881" spans="1:14">
      <c r="A2881" t="s">
        <v>196</v>
      </c>
      <c r="B2881" t="str">
        <f>_xlfn.XLOOKUP(A2881,'[1]Tissue Data'!$A:$A,'[1]Tissue Data'!$C:$C)</f>
        <v>Spill</v>
      </c>
      <c r="C2881" s="2">
        <f>_xlfn.XLOOKUP(A2881,'[1]Tissue Data'!$A:$A,'[1]Tissue Data'!$D:$D)</f>
        <v>44314</v>
      </c>
      <c r="D2881" s="2" t="str">
        <f>_xlfn.XLOOKUP(A2881,'[1]Tissue Data'!$A:$A,'[1]Tissue Data'!$F:$F)</f>
        <v>Swallowtail Shiner</v>
      </c>
      <c r="E2881" t="str">
        <f>_xlfn.XLOOKUP(A2881,'[1]Tissue Data'!$A:$A,'[1]Tissue Data'!$H:$H)</f>
        <v>Notropis</v>
      </c>
      <c r="F2881" t="str">
        <f>_xlfn.XLOOKUP(A2881,'[1]Tissue Data'!$A:$A,'[1]Tissue Data'!$I:$I)</f>
        <v>procne</v>
      </c>
      <c r="G2881" t="str">
        <f>_xlfn.XLOOKUP(A2881,'[1]Tissue Data'!$A:$A,'[1]Tissue Data'!J:J)</f>
        <v>U</v>
      </c>
      <c r="H2881" t="str">
        <f>_xlfn.XLOOKUP(A2881,'[1]Tissue Data'!$A:$A,'[1]Tissue Data'!K:K)</f>
        <v>Whole Body</v>
      </c>
      <c r="I2881">
        <f>_xlfn.XLOOKUP(A2881,'[1]Tissue Data'!$A:$A,'[1]Tissue Data'!L:L)</f>
        <v>5</v>
      </c>
      <c r="J2881">
        <f>_xlfn.XLOOKUP(A2881,'[1]Tissue Data'!$A:$A,'[1]Tissue Data'!M:M)</f>
        <v>1.6</v>
      </c>
      <c r="K2881" t="s">
        <v>41</v>
      </c>
      <c r="L2881" t="str">
        <f>_xlfn.XLOOKUP(K2881,[2]analyte_order!$B:$B,[2]analyte_order!$C:$C)</f>
        <v>2355-31-9</v>
      </c>
      <c r="M2881">
        <f>_xlfn.XLOOKUP(L2881,[2]analyte_order!$C:$C,[2]analyte_order!$E:$E)</f>
        <v>26</v>
      </c>
      <c r="N2881">
        <v>1.67</v>
      </c>
    </row>
    <row r="2882" spans="1:14">
      <c r="A2882" t="s">
        <v>196</v>
      </c>
      <c r="B2882" t="str">
        <f>_xlfn.XLOOKUP(A2882,'[1]Tissue Data'!$A:$A,'[1]Tissue Data'!$C:$C)</f>
        <v>Spill</v>
      </c>
      <c r="C2882" s="2">
        <f>_xlfn.XLOOKUP(A2882,'[1]Tissue Data'!$A:$A,'[1]Tissue Data'!$D:$D)</f>
        <v>44314</v>
      </c>
      <c r="D2882" s="2" t="str">
        <f>_xlfn.XLOOKUP(A2882,'[1]Tissue Data'!$A:$A,'[1]Tissue Data'!$F:$F)</f>
        <v>Swallowtail Shiner</v>
      </c>
      <c r="E2882" t="str">
        <f>_xlfn.XLOOKUP(A2882,'[1]Tissue Data'!$A:$A,'[1]Tissue Data'!$H:$H)</f>
        <v>Notropis</v>
      </c>
      <c r="F2882" t="str">
        <f>_xlfn.XLOOKUP(A2882,'[1]Tissue Data'!$A:$A,'[1]Tissue Data'!$I:$I)</f>
        <v>procne</v>
      </c>
      <c r="G2882" t="str">
        <f>_xlfn.XLOOKUP(A2882,'[1]Tissue Data'!$A:$A,'[1]Tissue Data'!J:J)</f>
        <v>U</v>
      </c>
      <c r="H2882" t="str">
        <f>_xlfn.XLOOKUP(A2882,'[1]Tissue Data'!$A:$A,'[1]Tissue Data'!K:K)</f>
        <v>Whole Body</v>
      </c>
      <c r="I2882">
        <f>_xlfn.XLOOKUP(A2882,'[1]Tissue Data'!$A:$A,'[1]Tissue Data'!L:L)</f>
        <v>5</v>
      </c>
      <c r="J2882">
        <f>_xlfn.XLOOKUP(A2882,'[1]Tissue Data'!$A:$A,'[1]Tissue Data'!M:M)</f>
        <v>1.6</v>
      </c>
      <c r="K2882" t="s">
        <v>42</v>
      </c>
      <c r="L2882" t="str">
        <f>_xlfn.XLOOKUP(K2882,[2]analyte_order!$B:$B,[2]analyte_order!$C:$C)</f>
        <v>2991-50-6</v>
      </c>
      <c r="M2882">
        <f>_xlfn.XLOOKUP(L2882,[2]analyte_order!$C:$C,[2]analyte_order!$E:$E)</f>
        <v>27</v>
      </c>
      <c r="N2882">
        <v>6.25E-2</v>
      </c>
    </row>
    <row r="2883" spans="1:14">
      <c r="A2883" t="s">
        <v>196</v>
      </c>
      <c r="B2883" t="str">
        <f>_xlfn.XLOOKUP(A2883,'[1]Tissue Data'!$A:$A,'[1]Tissue Data'!$C:$C)</f>
        <v>Spill</v>
      </c>
      <c r="C2883" s="2">
        <f>_xlfn.XLOOKUP(A2883,'[1]Tissue Data'!$A:$A,'[1]Tissue Data'!$D:$D)</f>
        <v>44314</v>
      </c>
      <c r="D2883" s="2" t="str">
        <f>_xlfn.XLOOKUP(A2883,'[1]Tissue Data'!$A:$A,'[1]Tissue Data'!$F:$F)</f>
        <v>Swallowtail Shiner</v>
      </c>
      <c r="E2883" t="str">
        <f>_xlfn.XLOOKUP(A2883,'[1]Tissue Data'!$A:$A,'[1]Tissue Data'!$H:$H)</f>
        <v>Notropis</v>
      </c>
      <c r="F2883" t="str">
        <f>_xlfn.XLOOKUP(A2883,'[1]Tissue Data'!$A:$A,'[1]Tissue Data'!$I:$I)</f>
        <v>procne</v>
      </c>
      <c r="G2883" t="str">
        <f>_xlfn.XLOOKUP(A2883,'[1]Tissue Data'!$A:$A,'[1]Tissue Data'!J:J)</f>
        <v>U</v>
      </c>
      <c r="H2883" t="str">
        <f>_xlfn.XLOOKUP(A2883,'[1]Tissue Data'!$A:$A,'[1]Tissue Data'!K:K)</f>
        <v>Whole Body</v>
      </c>
      <c r="I2883">
        <f>_xlfn.XLOOKUP(A2883,'[1]Tissue Data'!$A:$A,'[1]Tissue Data'!L:L)</f>
        <v>5</v>
      </c>
      <c r="J2883">
        <f>_xlfn.XLOOKUP(A2883,'[1]Tissue Data'!$A:$A,'[1]Tissue Data'!M:M)</f>
        <v>1.6</v>
      </c>
      <c r="K2883" t="s">
        <v>43</v>
      </c>
      <c r="L2883" t="str">
        <f>_xlfn.XLOOKUP(K2883,[2]analyte_order!$B:$B,[2]analyte_order!$C:$C)</f>
        <v>757124-72-4</v>
      </c>
      <c r="M2883">
        <f>_xlfn.XLOOKUP(L2883,[2]analyte_order!$C:$C,[2]analyte_order!$E:$E)</f>
        <v>22</v>
      </c>
      <c r="N2883">
        <v>5.8999999999999997E-2</v>
      </c>
    </row>
    <row r="2884" spans="1:14">
      <c r="A2884" t="s">
        <v>196</v>
      </c>
      <c r="B2884" t="str">
        <f>_xlfn.XLOOKUP(A2884,'[1]Tissue Data'!$A:$A,'[1]Tissue Data'!$C:$C)</f>
        <v>Spill</v>
      </c>
      <c r="C2884" s="2">
        <f>_xlfn.XLOOKUP(A2884,'[1]Tissue Data'!$A:$A,'[1]Tissue Data'!$D:$D)</f>
        <v>44314</v>
      </c>
      <c r="D2884" s="2" t="str">
        <f>_xlfn.XLOOKUP(A2884,'[1]Tissue Data'!$A:$A,'[1]Tissue Data'!$F:$F)</f>
        <v>Swallowtail Shiner</v>
      </c>
      <c r="E2884" t="str">
        <f>_xlfn.XLOOKUP(A2884,'[1]Tissue Data'!$A:$A,'[1]Tissue Data'!$H:$H)</f>
        <v>Notropis</v>
      </c>
      <c r="F2884" t="str">
        <f>_xlfn.XLOOKUP(A2884,'[1]Tissue Data'!$A:$A,'[1]Tissue Data'!$I:$I)</f>
        <v>procne</v>
      </c>
      <c r="G2884" t="str">
        <f>_xlfn.XLOOKUP(A2884,'[1]Tissue Data'!$A:$A,'[1]Tissue Data'!J:J)</f>
        <v>U</v>
      </c>
      <c r="H2884" t="str">
        <f>_xlfn.XLOOKUP(A2884,'[1]Tissue Data'!$A:$A,'[1]Tissue Data'!K:K)</f>
        <v>Whole Body</v>
      </c>
      <c r="I2884">
        <f>_xlfn.XLOOKUP(A2884,'[1]Tissue Data'!$A:$A,'[1]Tissue Data'!L:L)</f>
        <v>5</v>
      </c>
      <c r="J2884">
        <f>_xlfn.XLOOKUP(A2884,'[1]Tissue Data'!$A:$A,'[1]Tissue Data'!M:M)</f>
        <v>1.6</v>
      </c>
      <c r="K2884" t="s">
        <v>44</v>
      </c>
      <c r="L2884" t="str">
        <f>_xlfn.XLOOKUP(K2884,[2]analyte_order!$B:$B,[2]analyte_order!$C:$C)</f>
        <v>27619-97-2</v>
      </c>
      <c r="M2884">
        <f>_xlfn.XLOOKUP(L2884,[2]analyte_order!$C:$C,[2]analyte_order!$E:$E)</f>
        <v>23</v>
      </c>
      <c r="N2884">
        <v>4.3499999999999997E-2</v>
      </c>
    </row>
    <row r="2885" spans="1:14">
      <c r="A2885" t="s">
        <v>196</v>
      </c>
      <c r="B2885" t="str">
        <f>_xlfn.XLOOKUP(A2885,'[1]Tissue Data'!$A:$A,'[1]Tissue Data'!$C:$C)</f>
        <v>Spill</v>
      </c>
      <c r="C2885" s="2">
        <f>_xlfn.XLOOKUP(A2885,'[1]Tissue Data'!$A:$A,'[1]Tissue Data'!$D:$D)</f>
        <v>44314</v>
      </c>
      <c r="D2885" s="2" t="str">
        <f>_xlfn.XLOOKUP(A2885,'[1]Tissue Data'!$A:$A,'[1]Tissue Data'!$F:$F)</f>
        <v>Swallowtail Shiner</v>
      </c>
      <c r="E2885" t="str">
        <f>_xlfn.XLOOKUP(A2885,'[1]Tissue Data'!$A:$A,'[1]Tissue Data'!$H:$H)</f>
        <v>Notropis</v>
      </c>
      <c r="F2885" t="str">
        <f>_xlfn.XLOOKUP(A2885,'[1]Tissue Data'!$A:$A,'[1]Tissue Data'!$I:$I)</f>
        <v>procne</v>
      </c>
      <c r="G2885" t="str">
        <f>_xlfn.XLOOKUP(A2885,'[1]Tissue Data'!$A:$A,'[1]Tissue Data'!J:J)</f>
        <v>U</v>
      </c>
      <c r="H2885" t="str">
        <f>_xlfn.XLOOKUP(A2885,'[1]Tissue Data'!$A:$A,'[1]Tissue Data'!K:K)</f>
        <v>Whole Body</v>
      </c>
      <c r="I2885">
        <f>_xlfn.XLOOKUP(A2885,'[1]Tissue Data'!$A:$A,'[1]Tissue Data'!L:L)</f>
        <v>5</v>
      </c>
      <c r="J2885">
        <f>_xlfn.XLOOKUP(A2885,'[1]Tissue Data'!$A:$A,'[1]Tissue Data'!M:M)</f>
        <v>1.6</v>
      </c>
      <c r="K2885" t="s">
        <v>45</v>
      </c>
      <c r="L2885" t="str">
        <f>_xlfn.XLOOKUP(K2885,[2]analyte_order!$B:$B,[2]analyte_order!$C:$C)</f>
        <v>39108-34-4</v>
      </c>
      <c r="M2885">
        <f>_xlfn.XLOOKUP(L2885,[2]analyte_order!$C:$C,[2]analyte_order!$E:$E)</f>
        <v>24</v>
      </c>
      <c r="N2885">
        <v>23.3</v>
      </c>
    </row>
    <row r="2886" spans="1:14">
      <c r="A2886" t="s">
        <v>196</v>
      </c>
      <c r="B2886" t="str">
        <f>_xlfn.XLOOKUP(A2886,'[1]Tissue Data'!$A:$A,'[1]Tissue Data'!$C:$C)</f>
        <v>Spill</v>
      </c>
      <c r="C2886" s="2">
        <f>_xlfn.XLOOKUP(A2886,'[1]Tissue Data'!$A:$A,'[1]Tissue Data'!$D:$D)</f>
        <v>44314</v>
      </c>
      <c r="D2886" s="2" t="str">
        <f>_xlfn.XLOOKUP(A2886,'[1]Tissue Data'!$A:$A,'[1]Tissue Data'!$F:$F)</f>
        <v>Swallowtail Shiner</v>
      </c>
      <c r="E2886" t="str">
        <f>_xlfn.XLOOKUP(A2886,'[1]Tissue Data'!$A:$A,'[1]Tissue Data'!$H:$H)</f>
        <v>Notropis</v>
      </c>
      <c r="F2886" t="str">
        <f>_xlfn.XLOOKUP(A2886,'[1]Tissue Data'!$A:$A,'[1]Tissue Data'!$I:$I)</f>
        <v>procne</v>
      </c>
      <c r="G2886" t="str">
        <f>_xlfn.XLOOKUP(A2886,'[1]Tissue Data'!$A:$A,'[1]Tissue Data'!J:J)</f>
        <v>U</v>
      </c>
      <c r="H2886" t="str">
        <f>_xlfn.XLOOKUP(A2886,'[1]Tissue Data'!$A:$A,'[1]Tissue Data'!K:K)</f>
        <v>Whole Body</v>
      </c>
      <c r="I2886">
        <f>_xlfn.XLOOKUP(A2886,'[1]Tissue Data'!$A:$A,'[1]Tissue Data'!L:L)</f>
        <v>5</v>
      </c>
      <c r="J2886">
        <f>_xlfn.XLOOKUP(A2886,'[1]Tissue Data'!$A:$A,'[1]Tissue Data'!M:M)</f>
        <v>1.6</v>
      </c>
      <c r="K2886" t="s">
        <v>46</v>
      </c>
      <c r="L2886" t="str">
        <f>_xlfn.XLOOKUP(K2886,[2]analyte_order!$B:$B,[2]analyte_order!$C:$C)</f>
        <v>120226-60-0</v>
      </c>
      <c r="M2886">
        <f>_xlfn.XLOOKUP(L2886,[2]analyte_order!$C:$C,[2]analyte_order!$E:$E)</f>
        <v>25</v>
      </c>
      <c r="N2886">
        <v>0.56599999999999995</v>
      </c>
    </row>
    <row r="2887" spans="1:14">
      <c r="A2887" t="s">
        <v>196</v>
      </c>
      <c r="B2887" t="str">
        <f>_xlfn.XLOOKUP(A2887,'[1]Tissue Data'!$A:$A,'[1]Tissue Data'!$C:$C)</f>
        <v>Spill</v>
      </c>
      <c r="C2887" s="2">
        <f>_xlfn.XLOOKUP(A2887,'[1]Tissue Data'!$A:$A,'[1]Tissue Data'!$D:$D)</f>
        <v>44314</v>
      </c>
      <c r="D2887" s="2" t="str">
        <f>_xlfn.XLOOKUP(A2887,'[1]Tissue Data'!$A:$A,'[1]Tissue Data'!$F:$F)</f>
        <v>Swallowtail Shiner</v>
      </c>
      <c r="E2887" t="str">
        <f>_xlfn.XLOOKUP(A2887,'[1]Tissue Data'!$A:$A,'[1]Tissue Data'!$H:$H)</f>
        <v>Notropis</v>
      </c>
      <c r="F2887" t="str">
        <f>_xlfn.XLOOKUP(A2887,'[1]Tissue Data'!$A:$A,'[1]Tissue Data'!$I:$I)</f>
        <v>procne</v>
      </c>
      <c r="G2887" t="str">
        <f>_xlfn.XLOOKUP(A2887,'[1]Tissue Data'!$A:$A,'[1]Tissue Data'!J:J)</f>
        <v>U</v>
      </c>
      <c r="H2887" t="str">
        <f>_xlfn.XLOOKUP(A2887,'[1]Tissue Data'!$A:$A,'[1]Tissue Data'!K:K)</f>
        <v>Whole Body</v>
      </c>
      <c r="I2887">
        <f>_xlfn.XLOOKUP(A2887,'[1]Tissue Data'!$A:$A,'[1]Tissue Data'!L:L)</f>
        <v>5</v>
      </c>
      <c r="J2887">
        <f>_xlfn.XLOOKUP(A2887,'[1]Tissue Data'!$A:$A,'[1]Tissue Data'!M:M)</f>
        <v>1.6</v>
      </c>
      <c r="K2887" t="s">
        <v>47</v>
      </c>
      <c r="L2887" t="str">
        <f>_xlfn.XLOOKUP(K2887,[2]analyte_order!$B:$B,[2]analyte_order!$C:$C)</f>
        <v>356-02-5</v>
      </c>
      <c r="M2887">
        <f>_xlfn.XLOOKUP(L2887,[2]analyte_order!$C:$C,[2]analyte_order!$E:$E)</f>
        <v>38</v>
      </c>
      <c r="N2887">
        <v>8.3000000000000004E-2</v>
      </c>
    </row>
    <row r="2888" spans="1:14">
      <c r="A2888" t="s">
        <v>196</v>
      </c>
      <c r="B2888" t="str">
        <f>_xlfn.XLOOKUP(A2888,'[1]Tissue Data'!$A:$A,'[1]Tissue Data'!$C:$C)</f>
        <v>Spill</v>
      </c>
      <c r="C2888" s="2">
        <f>_xlfn.XLOOKUP(A2888,'[1]Tissue Data'!$A:$A,'[1]Tissue Data'!$D:$D)</f>
        <v>44314</v>
      </c>
      <c r="D2888" s="2" t="str">
        <f>_xlfn.XLOOKUP(A2888,'[1]Tissue Data'!$A:$A,'[1]Tissue Data'!$F:$F)</f>
        <v>Swallowtail Shiner</v>
      </c>
      <c r="E2888" t="str">
        <f>_xlfn.XLOOKUP(A2888,'[1]Tissue Data'!$A:$A,'[1]Tissue Data'!$H:$H)</f>
        <v>Notropis</v>
      </c>
      <c r="F2888" t="str">
        <f>_xlfn.XLOOKUP(A2888,'[1]Tissue Data'!$A:$A,'[1]Tissue Data'!$I:$I)</f>
        <v>procne</v>
      </c>
      <c r="G2888" t="str">
        <f>_xlfn.XLOOKUP(A2888,'[1]Tissue Data'!$A:$A,'[1]Tissue Data'!J:J)</f>
        <v>U</v>
      </c>
      <c r="H2888" t="str">
        <f>_xlfn.XLOOKUP(A2888,'[1]Tissue Data'!$A:$A,'[1]Tissue Data'!K:K)</f>
        <v>Whole Body</v>
      </c>
      <c r="I2888">
        <f>_xlfn.XLOOKUP(A2888,'[1]Tissue Data'!$A:$A,'[1]Tissue Data'!L:L)</f>
        <v>5</v>
      </c>
      <c r="J2888">
        <f>_xlfn.XLOOKUP(A2888,'[1]Tissue Data'!$A:$A,'[1]Tissue Data'!M:M)</f>
        <v>1.6</v>
      </c>
      <c r="K2888" t="s">
        <v>48</v>
      </c>
      <c r="L2888" t="str">
        <f>_xlfn.XLOOKUP(K2888,[2]analyte_order!$B:$B,[2]analyte_order!$C:$C)</f>
        <v>914637-49-3</v>
      </c>
      <c r="M2888">
        <f>_xlfn.XLOOKUP(L2888,[2]analyte_order!$C:$C,[2]analyte_order!$E:$E)</f>
        <v>39</v>
      </c>
      <c r="N2888">
        <v>5.3999999999999999E-2</v>
      </c>
    </row>
    <row r="2889" spans="1:14">
      <c r="A2889" t="s">
        <v>196</v>
      </c>
      <c r="B2889" t="str">
        <f>_xlfn.XLOOKUP(A2889,'[1]Tissue Data'!$A:$A,'[1]Tissue Data'!$C:$C)</f>
        <v>Spill</v>
      </c>
      <c r="C2889" s="2">
        <f>_xlfn.XLOOKUP(A2889,'[1]Tissue Data'!$A:$A,'[1]Tissue Data'!$D:$D)</f>
        <v>44314</v>
      </c>
      <c r="D2889" s="2" t="str">
        <f>_xlfn.XLOOKUP(A2889,'[1]Tissue Data'!$A:$A,'[1]Tissue Data'!$F:$F)</f>
        <v>Swallowtail Shiner</v>
      </c>
      <c r="E2889" t="str">
        <f>_xlfn.XLOOKUP(A2889,'[1]Tissue Data'!$A:$A,'[1]Tissue Data'!$H:$H)</f>
        <v>Notropis</v>
      </c>
      <c r="F2889" t="str">
        <f>_xlfn.XLOOKUP(A2889,'[1]Tissue Data'!$A:$A,'[1]Tissue Data'!$I:$I)</f>
        <v>procne</v>
      </c>
      <c r="G2889" t="str">
        <f>_xlfn.XLOOKUP(A2889,'[1]Tissue Data'!$A:$A,'[1]Tissue Data'!J:J)</f>
        <v>U</v>
      </c>
      <c r="H2889" t="str">
        <f>_xlfn.XLOOKUP(A2889,'[1]Tissue Data'!$A:$A,'[1]Tissue Data'!K:K)</f>
        <v>Whole Body</v>
      </c>
      <c r="I2889">
        <f>_xlfn.XLOOKUP(A2889,'[1]Tissue Data'!$A:$A,'[1]Tissue Data'!L:L)</f>
        <v>5</v>
      </c>
      <c r="J2889">
        <f>_xlfn.XLOOKUP(A2889,'[1]Tissue Data'!$A:$A,'[1]Tissue Data'!M:M)</f>
        <v>1.6</v>
      </c>
      <c r="K2889" t="s">
        <v>49</v>
      </c>
      <c r="L2889" t="str">
        <f>_xlfn.XLOOKUP(K2889,[2]analyte_order!$B:$B,[2]analyte_order!$C:$C)</f>
        <v>812-70-4</v>
      </c>
      <c r="M2889">
        <f>_xlfn.XLOOKUP(L2889,[2]analyte_order!$C:$C,[2]analyte_order!$E:$E)</f>
        <v>40</v>
      </c>
      <c r="N2889">
        <v>32.700000000000003</v>
      </c>
    </row>
    <row r="2890" spans="1:14">
      <c r="A2890" t="s">
        <v>196</v>
      </c>
      <c r="B2890" t="str">
        <f>_xlfn.XLOOKUP(A2890,'[1]Tissue Data'!$A:$A,'[1]Tissue Data'!$C:$C)</f>
        <v>Spill</v>
      </c>
      <c r="C2890" s="2">
        <f>_xlfn.XLOOKUP(A2890,'[1]Tissue Data'!$A:$A,'[1]Tissue Data'!$D:$D)</f>
        <v>44314</v>
      </c>
      <c r="D2890" s="2" t="str">
        <f>_xlfn.XLOOKUP(A2890,'[1]Tissue Data'!$A:$A,'[1]Tissue Data'!$F:$F)</f>
        <v>Swallowtail Shiner</v>
      </c>
      <c r="E2890" t="str">
        <f>_xlfn.XLOOKUP(A2890,'[1]Tissue Data'!$A:$A,'[1]Tissue Data'!$H:$H)</f>
        <v>Notropis</v>
      </c>
      <c r="F2890" t="str">
        <f>_xlfn.XLOOKUP(A2890,'[1]Tissue Data'!$A:$A,'[1]Tissue Data'!$I:$I)</f>
        <v>procne</v>
      </c>
      <c r="G2890" t="str">
        <f>_xlfn.XLOOKUP(A2890,'[1]Tissue Data'!$A:$A,'[1]Tissue Data'!J:J)</f>
        <v>U</v>
      </c>
      <c r="H2890" t="str">
        <f>_xlfn.XLOOKUP(A2890,'[1]Tissue Data'!$A:$A,'[1]Tissue Data'!K:K)</f>
        <v>Whole Body</v>
      </c>
      <c r="I2890">
        <f>_xlfn.XLOOKUP(A2890,'[1]Tissue Data'!$A:$A,'[1]Tissue Data'!L:L)</f>
        <v>5</v>
      </c>
      <c r="J2890">
        <f>_xlfn.XLOOKUP(A2890,'[1]Tissue Data'!$A:$A,'[1]Tissue Data'!M:M)</f>
        <v>1.6</v>
      </c>
      <c r="K2890" t="s">
        <v>50</v>
      </c>
      <c r="L2890" t="str">
        <f>_xlfn.XLOOKUP(K2890,[2]analyte_order!$B:$B,[2]analyte_order!$C:$C)</f>
        <v>53826-12-3</v>
      </c>
      <c r="M2890">
        <f>_xlfn.XLOOKUP(L2890,[2]analyte_order!$C:$C,[2]analyte_order!$E:$E)</f>
        <v>41</v>
      </c>
      <c r="N2890">
        <v>4.6199999999999998E-2</v>
      </c>
    </row>
    <row r="2891" spans="1:14">
      <c r="A2891" t="s">
        <v>196</v>
      </c>
      <c r="B2891" t="str">
        <f>_xlfn.XLOOKUP(A2891,'[1]Tissue Data'!$A:$A,'[1]Tissue Data'!$C:$C)</f>
        <v>Spill</v>
      </c>
      <c r="C2891" s="2">
        <f>_xlfn.XLOOKUP(A2891,'[1]Tissue Data'!$A:$A,'[1]Tissue Data'!$D:$D)</f>
        <v>44314</v>
      </c>
      <c r="D2891" s="2" t="str">
        <f>_xlfn.XLOOKUP(A2891,'[1]Tissue Data'!$A:$A,'[1]Tissue Data'!$F:$F)</f>
        <v>Swallowtail Shiner</v>
      </c>
      <c r="E2891" t="str">
        <f>_xlfn.XLOOKUP(A2891,'[1]Tissue Data'!$A:$A,'[1]Tissue Data'!$H:$H)</f>
        <v>Notropis</v>
      </c>
      <c r="F2891" t="str">
        <f>_xlfn.XLOOKUP(A2891,'[1]Tissue Data'!$A:$A,'[1]Tissue Data'!$I:$I)</f>
        <v>procne</v>
      </c>
      <c r="G2891" t="str">
        <f>_xlfn.XLOOKUP(A2891,'[1]Tissue Data'!$A:$A,'[1]Tissue Data'!J:J)</f>
        <v>U</v>
      </c>
      <c r="H2891" t="str">
        <f>_xlfn.XLOOKUP(A2891,'[1]Tissue Data'!$A:$A,'[1]Tissue Data'!K:K)</f>
        <v>Whole Body</v>
      </c>
      <c r="I2891">
        <f>_xlfn.XLOOKUP(A2891,'[1]Tissue Data'!$A:$A,'[1]Tissue Data'!L:L)</f>
        <v>5</v>
      </c>
      <c r="J2891">
        <f>_xlfn.XLOOKUP(A2891,'[1]Tissue Data'!$A:$A,'[1]Tissue Data'!M:M)</f>
        <v>1.6</v>
      </c>
      <c r="K2891" t="s">
        <v>51</v>
      </c>
      <c r="L2891" t="str">
        <f>_xlfn.XLOOKUP(K2891,[2]analyte_order!$B:$B,[2]analyte_order!$C:$C)</f>
        <v>27854-31-5</v>
      </c>
      <c r="M2891">
        <f>_xlfn.XLOOKUP(L2891,[2]analyte_order!$C:$C,[2]analyte_order!$E:$E)</f>
        <v>42</v>
      </c>
      <c r="N2891">
        <v>2.8799999999999999E-2</v>
      </c>
    </row>
    <row r="2892" spans="1:14">
      <c r="A2892" t="s">
        <v>196</v>
      </c>
      <c r="B2892" t="str">
        <f>_xlfn.XLOOKUP(A2892,'[1]Tissue Data'!$A:$A,'[1]Tissue Data'!$C:$C)</f>
        <v>Spill</v>
      </c>
      <c r="C2892" s="2">
        <f>_xlfn.XLOOKUP(A2892,'[1]Tissue Data'!$A:$A,'[1]Tissue Data'!$D:$D)</f>
        <v>44314</v>
      </c>
      <c r="D2892" s="2" t="str">
        <f>_xlfn.XLOOKUP(A2892,'[1]Tissue Data'!$A:$A,'[1]Tissue Data'!$F:$F)</f>
        <v>Swallowtail Shiner</v>
      </c>
      <c r="E2892" t="str">
        <f>_xlfn.XLOOKUP(A2892,'[1]Tissue Data'!$A:$A,'[1]Tissue Data'!$H:$H)</f>
        <v>Notropis</v>
      </c>
      <c r="F2892" t="str">
        <f>_xlfn.XLOOKUP(A2892,'[1]Tissue Data'!$A:$A,'[1]Tissue Data'!$I:$I)</f>
        <v>procne</v>
      </c>
      <c r="G2892" t="str">
        <f>_xlfn.XLOOKUP(A2892,'[1]Tissue Data'!$A:$A,'[1]Tissue Data'!J:J)</f>
        <v>U</v>
      </c>
      <c r="H2892" t="str">
        <f>_xlfn.XLOOKUP(A2892,'[1]Tissue Data'!$A:$A,'[1]Tissue Data'!K:K)</f>
        <v>Whole Body</v>
      </c>
      <c r="I2892">
        <f>_xlfn.XLOOKUP(A2892,'[1]Tissue Data'!$A:$A,'[1]Tissue Data'!L:L)</f>
        <v>5</v>
      </c>
      <c r="J2892">
        <f>_xlfn.XLOOKUP(A2892,'[1]Tissue Data'!$A:$A,'[1]Tissue Data'!M:M)</f>
        <v>1.6</v>
      </c>
      <c r="K2892" t="s">
        <v>52</v>
      </c>
      <c r="L2892" t="str">
        <f>_xlfn.XLOOKUP(K2892,[2]analyte_order!$B:$B,[2]analyte_order!$C:$C)</f>
        <v>53826-13-4</v>
      </c>
      <c r="M2892">
        <f>_xlfn.XLOOKUP(L2892,[2]analyte_order!$C:$C,[2]analyte_order!$E:$E)</f>
        <v>43</v>
      </c>
      <c r="N2892">
        <v>0.1075</v>
      </c>
    </row>
    <row r="2893" spans="1:14">
      <c r="A2893" t="s">
        <v>196</v>
      </c>
      <c r="B2893" t="str">
        <f>_xlfn.XLOOKUP(A2893,'[1]Tissue Data'!$A:$A,'[1]Tissue Data'!$C:$C)</f>
        <v>Spill</v>
      </c>
      <c r="C2893" s="2">
        <f>_xlfn.XLOOKUP(A2893,'[1]Tissue Data'!$A:$A,'[1]Tissue Data'!$D:$D)</f>
        <v>44314</v>
      </c>
      <c r="D2893" s="2" t="str">
        <f>_xlfn.XLOOKUP(A2893,'[1]Tissue Data'!$A:$A,'[1]Tissue Data'!$F:$F)</f>
        <v>Swallowtail Shiner</v>
      </c>
      <c r="E2893" t="str">
        <f>_xlfn.XLOOKUP(A2893,'[1]Tissue Data'!$A:$A,'[1]Tissue Data'!$H:$H)</f>
        <v>Notropis</v>
      </c>
      <c r="F2893" t="str">
        <f>_xlfn.XLOOKUP(A2893,'[1]Tissue Data'!$A:$A,'[1]Tissue Data'!$I:$I)</f>
        <v>procne</v>
      </c>
      <c r="G2893" t="str">
        <f>_xlfn.XLOOKUP(A2893,'[1]Tissue Data'!$A:$A,'[1]Tissue Data'!J:J)</f>
        <v>U</v>
      </c>
      <c r="H2893" t="str">
        <f>_xlfn.XLOOKUP(A2893,'[1]Tissue Data'!$A:$A,'[1]Tissue Data'!K:K)</f>
        <v>Whole Body</v>
      </c>
      <c r="I2893">
        <f>_xlfn.XLOOKUP(A2893,'[1]Tissue Data'!$A:$A,'[1]Tissue Data'!L:L)</f>
        <v>5</v>
      </c>
      <c r="J2893">
        <f>_xlfn.XLOOKUP(A2893,'[1]Tissue Data'!$A:$A,'[1]Tissue Data'!M:M)</f>
        <v>1.6</v>
      </c>
      <c r="K2893" t="s">
        <v>53</v>
      </c>
      <c r="L2893" t="str">
        <f>_xlfn.XLOOKUP(K2893,[2]analyte_order!$B:$B,[2]analyte_order!$C:$C)</f>
        <v>161094-75-3</v>
      </c>
      <c r="M2893">
        <f>_xlfn.XLOOKUP(L2893,[2]analyte_order!$C:$C,[2]analyte_order!$E:$E)</f>
        <v>44</v>
      </c>
      <c r="N2893">
        <v>5.6500000000000002E-2</v>
      </c>
    </row>
    <row r="2894" spans="1:14">
      <c r="A2894" t="s">
        <v>196</v>
      </c>
      <c r="B2894" t="str">
        <f>_xlfn.XLOOKUP(A2894,'[1]Tissue Data'!$A:$A,'[1]Tissue Data'!$C:$C)</f>
        <v>Spill</v>
      </c>
      <c r="C2894" s="2">
        <f>_xlfn.XLOOKUP(A2894,'[1]Tissue Data'!$A:$A,'[1]Tissue Data'!$D:$D)</f>
        <v>44314</v>
      </c>
      <c r="D2894" s="2" t="str">
        <f>_xlfn.XLOOKUP(A2894,'[1]Tissue Data'!$A:$A,'[1]Tissue Data'!$F:$F)</f>
        <v>Swallowtail Shiner</v>
      </c>
      <c r="E2894" t="str">
        <f>_xlfn.XLOOKUP(A2894,'[1]Tissue Data'!$A:$A,'[1]Tissue Data'!$H:$H)</f>
        <v>Notropis</v>
      </c>
      <c r="F2894" t="str">
        <f>_xlfn.XLOOKUP(A2894,'[1]Tissue Data'!$A:$A,'[1]Tissue Data'!$I:$I)</f>
        <v>procne</v>
      </c>
      <c r="G2894" t="str">
        <f>_xlfn.XLOOKUP(A2894,'[1]Tissue Data'!$A:$A,'[1]Tissue Data'!J:J)</f>
        <v>U</v>
      </c>
      <c r="H2894" t="str">
        <f>_xlfn.XLOOKUP(A2894,'[1]Tissue Data'!$A:$A,'[1]Tissue Data'!K:K)</f>
        <v>Whole Body</v>
      </c>
      <c r="I2894">
        <f>_xlfn.XLOOKUP(A2894,'[1]Tissue Data'!$A:$A,'[1]Tissue Data'!L:L)</f>
        <v>5</v>
      </c>
      <c r="J2894">
        <f>_xlfn.XLOOKUP(A2894,'[1]Tissue Data'!$A:$A,'[1]Tissue Data'!M:M)</f>
        <v>1.6</v>
      </c>
      <c r="K2894" t="s">
        <v>54</v>
      </c>
      <c r="L2894" t="str">
        <f>_xlfn.XLOOKUP(K2894,[2]analyte_order!$B:$B,[2]analyte_order!$C:$C)</f>
        <v>70887-84-2</v>
      </c>
      <c r="M2894">
        <f>_xlfn.XLOOKUP(L2894,[2]analyte_order!$C:$C,[2]analyte_order!$E:$E)</f>
        <v>45</v>
      </c>
      <c r="N2894">
        <v>4.3499999999999997E-2</v>
      </c>
    </row>
    <row r="2895" spans="1:14">
      <c r="A2895" t="s">
        <v>196</v>
      </c>
      <c r="B2895" t="str">
        <f>_xlfn.XLOOKUP(A2895,'[1]Tissue Data'!$A:$A,'[1]Tissue Data'!$C:$C)</f>
        <v>Spill</v>
      </c>
      <c r="C2895" s="2">
        <f>_xlfn.XLOOKUP(A2895,'[1]Tissue Data'!$A:$A,'[1]Tissue Data'!$D:$D)</f>
        <v>44314</v>
      </c>
      <c r="D2895" s="2" t="str">
        <f>_xlfn.XLOOKUP(A2895,'[1]Tissue Data'!$A:$A,'[1]Tissue Data'!$F:$F)</f>
        <v>Swallowtail Shiner</v>
      </c>
      <c r="E2895" t="str">
        <f>_xlfn.XLOOKUP(A2895,'[1]Tissue Data'!$A:$A,'[1]Tissue Data'!$H:$H)</f>
        <v>Notropis</v>
      </c>
      <c r="F2895" t="str">
        <f>_xlfn.XLOOKUP(A2895,'[1]Tissue Data'!$A:$A,'[1]Tissue Data'!$I:$I)</f>
        <v>procne</v>
      </c>
      <c r="G2895" t="str">
        <f>_xlfn.XLOOKUP(A2895,'[1]Tissue Data'!$A:$A,'[1]Tissue Data'!J:J)</f>
        <v>U</v>
      </c>
      <c r="H2895" t="str">
        <f>_xlfn.XLOOKUP(A2895,'[1]Tissue Data'!$A:$A,'[1]Tissue Data'!K:K)</f>
        <v>Whole Body</v>
      </c>
      <c r="I2895">
        <f>_xlfn.XLOOKUP(A2895,'[1]Tissue Data'!$A:$A,'[1]Tissue Data'!L:L)</f>
        <v>5</v>
      </c>
      <c r="J2895">
        <f>_xlfn.XLOOKUP(A2895,'[1]Tissue Data'!$A:$A,'[1]Tissue Data'!M:M)</f>
        <v>1.6</v>
      </c>
      <c r="K2895" t="s">
        <v>55</v>
      </c>
      <c r="L2895" t="str">
        <f>_xlfn.XLOOKUP(K2895,[2]analyte_order!$B:$B,[2]analyte_order!$C:$C)</f>
        <v>919005-14-4</v>
      </c>
      <c r="M2895">
        <f>_xlfn.XLOOKUP(L2895,[2]analyte_order!$C:$C,[2]analyte_order!$E:$E)</f>
        <v>35</v>
      </c>
      <c r="N2895">
        <v>7.1999999999999995E-2</v>
      </c>
    </row>
    <row r="2896" spans="1:14">
      <c r="A2896" t="s">
        <v>196</v>
      </c>
      <c r="B2896" t="str">
        <f>_xlfn.XLOOKUP(A2896,'[1]Tissue Data'!$A:$A,'[1]Tissue Data'!$C:$C)</f>
        <v>Spill</v>
      </c>
      <c r="C2896" s="2">
        <f>_xlfn.XLOOKUP(A2896,'[1]Tissue Data'!$A:$A,'[1]Tissue Data'!$D:$D)</f>
        <v>44314</v>
      </c>
      <c r="D2896" s="2" t="str">
        <f>_xlfn.XLOOKUP(A2896,'[1]Tissue Data'!$A:$A,'[1]Tissue Data'!$F:$F)</f>
        <v>Swallowtail Shiner</v>
      </c>
      <c r="E2896" t="str">
        <f>_xlfn.XLOOKUP(A2896,'[1]Tissue Data'!$A:$A,'[1]Tissue Data'!$H:$H)</f>
        <v>Notropis</v>
      </c>
      <c r="F2896" t="str">
        <f>_xlfn.XLOOKUP(A2896,'[1]Tissue Data'!$A:$A,'[1]Tissue Data'!$I:$I)</f>
        <v>procne</v>
      </c>
      <c r="G2896" t="str">
        <f>_xlfn.XLOOKUP(A2896,'[1]Tissue Data'!$A:$A,'[1]Tissue Data'!J:J)</f>
        <v>U</v>
      </c>
      <c r="H2896" t="str">
        <f>_xlfn.XLOOKUP(A2896,'[1]Tissue Data'!$A:$A,'[1]Tissue Data'!K:K)</f>
        <v>Whole Body</v>
      </c>
      <c r="I2896">
        <f>_xlfn.XLOOKUP(A2896,'[1]Tissue Data'!$A:$A,'[1]Tissue Data'!L:L)</f>
        <v>5</v>
      </c>
      <c r="J2896">
        <f>_xlfn.XLOOKUP(A2896,'[1]Tissue Data'!$A:$A,'[1]Tissue Data'!M:M)</f>
        <v>1.6</v>
      </c>
      <c r="K2896" t="s">
        <v>56</v>
      </c>
      <c r="L2896" t="str">
        <f>_xlfn.XLOOKUP(K2896,[2]analyte_order!$B:$B,[2]analyte_order!$C:$C)</f>
        <v>756426-58-1</v>
      </c>
      <c r="M2896">
        <f>_xlfn.XLOOKUP(L2896,[2]analyte_order!$C:$C,[2]analyte_order!$E:$E)</f>
        <v>36</v>
      </c>
      <c r="N2896">
        <v>4.9849999999999998E-2</v>
      </c>
    </row>
    <row r="2897" spans="1:14">
      <c r="A2897" t="s">
        <v>196</v>
      </c>
      <c r="B2897" t="str">
        <f>_xlfn.XLOOKUP(A2897,'[1]Tissue Data'!$A:$A,'[1]Tissue Data'!$C:$C)</f>
        <v>Spill</v>
      </c>
      <c r="C2897" s="2">
        <f>_xlfn.XLOOKUP(A2897,'[1]Tissue Data'!$A:$A,'[1]Tissue Data'!$D:$D)</f>
        <v>44314</v>
      </c>
      <c r="D2897" s="2" t="str">
        <f>_xlfn.XLOOKUP(A2897,'[1]Tissue Data'!$A:$A,'[1]Tissue Data'!$F:$F)</f>
        <v>Swallowtail Shiner</v>
      </c>
      <c r="E2897" t="str">
        <f>_xlfn.XLOOKUP(A2897,'[1]Tissue Data'!$A:$A,'[1]Tissue Data'!$H:$H)</f>
        <v>Notropis</v>
      </c>
      <c r="F2897" t="str">
        <f>_xlfn.XLOOKUP(A2897,'[1]Tissue Data'!$A:$A,'[1]Tissue Data'!$I:$I)</f>
        <v>procne</v>
      </c>
      <c r="G2897" t="str">
        <f>_xlfn.XLOOKUP(A2897,'[1]Tissue Data'!$A:$A,'[1]Tissue Data'!J:J)</f>
        <v>U</v>
      </c>
      <c r="H2897" t="str">
        <f>_xlfn.XLOOKUP(A2897,'[1]Tissue Data'!$A:$A,'[1]Tissue Data'!K:K)</f>
        <v>Whole Body</v>
      </c>
      <c r="I2897">
        <f>_xlfn.XLOOKUP(A2897,'[1]Tissue Data'!$A:$A,'[1]Tissue Data'!L:L)</f>
        <v>5</v>
      </c>
      <c r="J2897">
        <f>_xlfn.XLOOKUP(A2897,'[1]Tissue Data'!$A:$A,'[1]Tissue Data'!M:M)</f>
        <v>1.6</v>
      </c>
      <c r="K2897" t="s">
        <v>57</v>
      </c>
      <c r="L2897" t="str">
        <f>_xlfn.XLOOKUP(K2897,[2]analyte_order!$B:$B,[2]analyte_order!$C:$C)</f>
        <v>763051-92-9</v>
      </c>
      <c r="M2897">
        <f>_xlfn.XLOOKUP(L2897,[2]analyte_order!$C:$C,[2]analyte_order!$E:$E)</f>
        <v>37</v>
      </c>
      <c r="N2897">
        <v>5.6500000000000002E-2</v>
      </c>
    </row>
    <row r="2898" spans="1:14">
      <c r="A2898" t="s">
        <v>196</v>
      </c>
      <c r="B2898" t="str">
        <f>_xlfn.XLOOKUP(A2898,'[1]Tissue Data'!$A:$A,'[1]Tissue Data'!$C:$C)</f>
        <v>Spill</v>
      </c>
      <c r="C2898" s="2">
        <f>_xlfn.XLOOKUP(A2898,'[1]Tissue Data'!$A:$A,'[1]Tissue Data'!$D:$D)</f>
        <v>44314</v>
      </c>
      <c r="D2898" s="2" t="str">
        <f>_xlfn.XLOOKUP(A2898,'[1]Tissue Data'!$A:$A,'[1]Tissue Data'!$F:$F)</f>
        <v>Swallowtail Shiner</v>
      </c>
      <c r="E2898" t="str">
        <f>_xlfn.XLOOKUP(A2898,'[1]Tissue Data'!$A:$A,'[1]Tissue Data'!$H:$H)</f>
        <v>Notropis</v>
      </c>
      <c r="F2898" t="str">
        <f>_xlfn.XLOOKUP(A2898,'[1]Tissue Data'!$A:$A,'[1]Tissue Data'!$I:$I)</f>
        <v>procne</v>
      </c>
      <c r="G2898" t="str">
        <f>_xlfn.XLOOKUP(A2898,'[1]Tissue Data'!$A:$A,'[1]Tissue Data'!J:J)</f>
        <v>U</v>
      </c>
      <c r="H2898" t="str">
        <f>_xlfn.XLOOKUP(A2898,'[1]Tissue Data'!$A:$A,'[1]Tissue Data'!K:K)</f>
        <v>Whole Body</v>
      </c>
      <c r="I2898">
        <f>_xlfn.XLOOKUP(A2898,'[1]Tissue Data'!$A:$A,'[1]Tissue Data'!L:L)</f>
        <v>5</v>
      </c>
      <c r="J2898">
        <f>_xlfn.XLOOKUP(A2898,'[1]Tissue Data'!$A:$A,'[1]Tissue Data'!M:M)</f>
        <v>1.6</v>
      </c>
      <c r="K2898" t="s">
        <v>58</v>
      </c>
      <c r="L2898" t="str">
        <f>_xlfn.XLOOKUP(K2898,[2]analyte_order!$B:$B,[2]analyte_order!$C:$C)</f>
        <v>13252-13-6</v>
      </c>
      <c r="M2898">
        <f>_xlfn.XLOOKUP(L2898,[2]analyte_order!$C:$C,[2]analyte_order!$E:$E)</f>
        <v>34</v>
      </c>
      <c r="N2898">
        <v>0.10299999999999999</v>
      </c>
    </row>
    <row r="2899" spans="1:14">
      <c r="A2899" t="s">
        <v>196</v>
      </c>
      <c r="B2899" t="str">
        <f>_xlfn.XLOOKUP(A2899,'[1]Tissue Data'!$A:$A,'[1]Tissue Data'!$C:$C)</f>
        <v>Spill</v>
      </c>
      <c r="C2899" s="2">
        <f>_xlfn.XLOOKUP(A2899,'[1]Tissue Data'!$A:$A,'[1]Tissue Data'!$D:$D)</f>
        <v>44314</v>
      </c>
      <c r="D2899" s="2" t="str">
        <f>_xlfn.XLOOKUP(A2899,'[1]Tissue Data'!$A:$A,'[1]Tissue Data'!$F:$F)</f>
        <v>Swallowtail Shiner</v>
      </c>
      <c r="E2899" t="str">
        <f>_xlfn.XLOOKUP(A2899,'[1]Tissue Data'!$A:$A,'[1]Tissue Data'!$H:$H)</f>
        <v>Notropis</v>
      </c>
      <c r="F2899" t="str">
        <f>_xlfn.XLOOKUP(A2899,'[1]Tissue Data'!$A:$A,'[1]Tissue Data'!$I:$I)</f>
        <v>procne</v>
      </c>
      <c r="G2899" t="str">
        <f>_xlfn.XLOOKUP(A2899,'[1]Tissue Data'!$A:$A,'[1]Tissue Data'!J:J)</f>
        <v>U</v>
      </c>
      <c r="H2899" t="str">
        <f>_xlfn.XLOOKUP(A2899,'[1]Tissue Data'!$A:$A,'[1]Tissue Data'!K:K)</f>
        <v>Whole Body</v>
      </c>
      <c r="I2899">
        <f>_xlfn.XLOOKUP(A2899,'[1]Tissue Data'!$A:$A,'[1]Tissue Data'!L:L)</f>
        <v>5</v>
      </c>
      <c r="J2899">
        <f>_xlfn.XLOOKUP(A2899,'[1]Tissue Data'!$A:$A,'[1]Tissue Data'!M:M)</f>
        <v>1.6</v>
      </c>
      <c r="K2899" t="s">
        <v>59</v>
      </c>
      <c r="L2899" t="str">
        <f>_xlfn.XLOOKUP(K2899,[2]analyte_order!$B:$B,[2]analyte_order!$C:$C)</f>
        <v>57677-95-9</v>
      </c>
      <c r="M2899">
        <f>_xlfn.XLOOKUP(L2899,[2]analyte_order!$C:$C,[2]analyte_order!$E:$E)</f>
        <v>46</v>
      </c>
      <c r="N2899">
        <v>7.6499999999999999E-2</v>
      </c>
    </row>
    <row r="2900" spans="1:14">
      <c r="A2900" t="s">
        <v>196</v>
      </c>
      <c r="B2900" t="str">
        <f>_xlfn.XLOOKUP(A2900,'[1]Tissue Data'!$A:$A,'[1]Tissue Data'!$C:$C)</f>
        <v>Spill</v>
      </c>
      <c r="C2900" s="2">
        <f>_xlfn.XLOOKUP(A2900,'[1]Tissue Data'!$A:$A,'[1]Tissue Data'!$D:$D)</f>
        <v>44314</v>
      </c>
      <c r="D2900" s="2" t="str">
        <f>_xlfn.XLOOKUP(A2900,'[1]Tissue Data'!$A:$A,'[1]Tissue Data'!$F:$F)</f>
        <v>Swallowtail Shiner</v>
      </c>
      <c r="E2900" t="str">
        <f>_xlfn.XLOOKUP(A2900,'[1]Tissue Data'!$A:$A,'[1]Tissue Data'!$H:$H)</f>
        <v>Notropis</v>
      </c>
      <c r="F2900" t="str">
        <f>_xlfn.XLOOKUP(A2900,'[1]Tissue Data'!$A:$A,'[1]Tissue Data'!$I:$I)</f>
        <v>procne</v>
      </c>
      <c r="G2900" t="str">
        <f>_xlfn.XLOOKUP(A2900,'[1]Tissue Data'!$A:$A,'[1]Tissue Data'!J:J)</f>
        <v>U</v>
      </c>
      <c r="H2900" t="str">
        <f>_xlfn.XLOOKUP(A2900,'[1]Tissue Data'!$A:$A,'[1]Tissue Data'!K:K)</f>
        <v>Whole Body</v>
      </c>
      <c r="I2900">
        <f>_xlfn.XLOOKUP(A2900,'[1]Tissue Data'!$A:$A,'[1]Tissue Data'!L:L)</f>
        <v>5</v>
      </c>
      <c r="J2900">
        <f>_xlfn.XLOOKUP(A2900,'[1]Tissue Data'!$A:$A,'[1]Tissue Data'!M:M)</f>
        <v>1.6</v>
      </c>
      <c r="K2900" t="s">
        <v>60</v>
      </c>
      <c r="L2900" t="str">
        <f>_xlfn.XLOOKUP(K2900,[2]analyte_order!$B:$B,[2]analyte_order!$C:$C)</f>
        <v>678-41-1</v>
      </c>
      <c r="M2900">
        <f>_xlfn.XLOOKUP(L2900,[2]analyte_order!$C:$C,[2]analyte_order!$E:$E)</f>
        <v>56</v>
      </c>
      <c r="N2900">
        <v>9.5500000000000002E-2</v>
      </c>
    </row>
    <row r="2901" spans="1:14">
      <c r="A2901" t="s">
        <v>196</v>
      </c>
      <c r="B2901" t="str">
        <f>_xlfn.XLOOKUP(A2901,'[1]Tissue Data'!$A:$A,'[1]Tissue Data'!$C:$C)</f>
        <v>Spill</v>
      </c>
      <c r="C2901" s="2">
        <f>_xlfn.XLOOKUP(A2901,'[1]Tissue Data'!$A:$A,'[1]Tissue Data'!$D:$D)</f>
        <v>44314</v>
      </c>
      <c r="D2901" s="2" t="str">
        <f>_xlfn.XLOOKUP(A2901,'[1]Tissue Data'!$A:$A,'[1]Tissue Data'!$F:$F)</f>
        <v>Swallowtail Shiner</v>
      </c>
      <c r="E2901" t="str">
        <f>_xlfn.XLOOKUP(A2901,'[1]Tissue Data'!$A:$A,'[1]Tissue Data'!$H:$H)</f>
        <v>Notropis</v>
      </c>
      <c r="F2901" t="str">
        <f>_xlfn.XLOOKUP(A2901,'[1]Tissue Data'!$A:$A,'[1]Tissue Data'!$I:$I)</f>
        <v>procne</v>
      </c>
      <c r="G2901" t="str">
        <f>_xlfn.XLOOKUP(A2901,'[1]Tissue Data'!$A:$A,'[1]Tissue Data'!J:J)</f>
        <v>U</v>
      </c>
      <c r="H2901" t="str">
        <f>_xlfn.XLOOKUP(A2901,'[1]Tissue Data'!$A:$A,'[1]Tissue Data'!K:K)</f>
        <v>Whole Body</v>
      </c>
      <c r="I2901">
        <f>_xlfn.XLOOKUP(A2901,'[1]Tissue Data'!$A:$A,'[1]Tissue Data'!L:L)</f>
        <v>5</v>
      </c>
      <c r="J2901">
        <f>_xlfn.XLOOKUP(A2901,'[1]Tissue Data'!$A:$A,'[1]Tissue Data'!M:M)</f>
        <v>1.6</v>
      </c>
      <c r="K2901" t="s">
        <v>61</v>
      </c>
      <c r="L2901" t="str">
        <f>_xlfn.XLOOKUP(K2901,[2]analyte_order!$B:$B,[2]analyte_order!$C:$C)</f>
        <v>2965-52-8</v>
      </c>
      <c r="M2901">
        <f>_xlfn.XLOOKUP(L2901,[2]analyte_order!$C:$C,[2]analyte_order!$E:$E)</f>
        <v>57</v>
      </c>
      <c r="N2901">
        <v>0.1265</v>
      </c>
    </row>
    <row r="2902" spans="1:14">
      <c r="A2902" t="s">
        <v>197</v>
      </c>
      <c r="B2902" t="str">
        <f>_xlfn.XLOOKUP(A2902,'[1]Tissue Data'!$A:$A,'[1]Tissue Data'!$C:$C)</f>
        <v>Spill</v>
      </c>
      <c r="C2902" s="2">
        <f>_xlfn.XLOOKUP(A2902,'[1]Tissue Data'!$A:$A,'[1]Tissue Data'!$D:$D)</f>
        <v>44314</v>
      </c>
      <c r="D2902" s="2" t="str">
        <f>_xlfn.XLOOKUP(A2902,'[1]Tissue Data'!$A:$A,'[1]Tissue Data'!$F:$F)</f>
        <v>Swallowtail Shiner</v>
      </c>
      <c r="E2902" t="str">
        <f>_xlfn.XLOOKUP(A2902,'[1]Tissue Data'!$A:$A,'[1]Tissue Data'!$H:$H)</f>
        <v>Notropis</v>
      </c>
      <c r="F2902" t="str">
        <f>_xlfn.XLOOKUP(A2902,'[1]Tissue Data'!$A:$A,'[1]Tissue Data'!$I:$I)</f>
        <v>procne</v>
      </c>
      <c r="G2902" t="str">
        <f>_xlfn.XLOOKUP(A2902,'[1]Tissue Data'!$A:$A,'[1]Tissue Data'!J:J)</f>
        <v>U</v>
      </c>
      <c r="H2902" t="str">
        <f>_xlfn.XLOOKUP(A2902,'[1]Tissue Data'!$A:$A,'[1]Tissue Data'!K:K)</f>
        <v>Whole Body</v>
      </c>
      <c r="I2902">
        <f>_xlfn.XLOOKUP(A2902,'[1]Tissue Data'!$A:$A,'[1]Tissue Data'!L:L)</f>
        <v>5.5</v>
      </c>
      <c r="J2902">
        <f>_xlfn.XLOOKUP(A2902,'[1]Tissue Data'!$A:$A,'[1]Tissue Data'!M:M)</f>
        <v>2.15</v>
      </c>
      <c r="K2902" t="s">
        <v>12</v>
      </c>
      <c r="L2902" t="str">
        <f>_xlfn.XLOOKUP(K2902,[2]analyte_order!$B:$B,[2]analyte_order!$C:$C)</f>
        <v>375-22-4</v>
      </c>
      <c r="M2902">
        <f>_xlfn.XLOOKUP(L2902,[2]analyte_order!$C:$C,[2]analyte_order!$E:$E)</f>
        <v>1</v>
      </c>
      <c r="N2902">
        <v>2.665E-2</v>
      </c>
    </row>
    <row r="2903" spans="1:14">
      <c r="A2903" t="s">
        <v>197</v>
      </c>
      <c r="B2903" t="str">
        <f>_xlfn.XLOOKUP(A2903,'[1]Tissue Data'!$A:$A,'[1]Tissue Data'!$C:$C)</f>
        <v>Spill</v>
      </c>
      <c r="C2903" s="2">
        <f>_xlfn.XLOOKUP(A2903,'[1]Tissue Data'!$A:$A,'[1]Tissue Data'!$D:$D)</f>
        <v>44314</v>
      </c>
      <c r="D2903" s="2" t="str">
        <f>_xlfn.XLOOKUP(A2903,'[1]Tissue Data'!$A:$A,'[1]Tissue Data'!$F:$F)</f>
        <v>Swallowtail Shiner</v>
      </c>
      <c r="E2903" t="str">
        <f>_xlfn.XLOOKUP(A2903,'[1]Tissue Data'!$A:$A,'[1]Tissue Data'!$H:$H)</f>
        <v>Notropis</v>
      </c>
      <c r="F2903" t="str">
        <f>_xlfn.XLOOKUP(A2903,'[1]Tissue Data'!$A:$A,'[1]Tissue Data'!$I:$I)</f>
        <v>procne</v>
      </c>
      <c r="G2903" t="str">
        <f>_xlfn.XLOOKUP(A2903,'[1]Tissue Data'!$A:$A,'[1]Tissue Data'!J:J)</f>
        <v>U</v>
      </c>
      <c r="H2903" t="str">
        <f>_xlfn.XLOOKUP(A2903,'[1]Tissue Data'!$A:$A,'[1]Tissue Data'!K:K)</f>
        <v>Whole Body</v>
      </c>
      <c r="I2903">
        <f>_xlfn.XLOOKUP(A2903,'[1]Tissue Data'!$A:$A,'[1]Tissue Data'!L:L)</f>
        <v>5.5</v>
      </c>
      <c r="J2903">
        <f>_xlfn.XLOOKUP(A2903,'[1]Tissue Data'!$A:$A,'[1]Tissue Data'!M:M)</f>
        <v>2.15</v>
      </c>
      <c r="K2903" t="s">
        <v>13</v>
      </c>
      <c r="L2903" t="str">
        <f>_xlfn.XLOOKUP(K2903,[2]analyte_order!$B:$B,[2]analyte_order!$C:$C)</f>
        <v>2706-90-3</v>
      </c>
      <c r="M2903">
        <f>_xlfn.XLOOKUP(L2903,[2]analyte_order!$C:$C,[2]analyte_order!$E:$E)</f>
        <v>2</v>
      </c>
      <c r="N2903">
        <v>4.7100000000000003E-2</v>
      </c>
    </row>
    <row r="2904" spans="1:14">
      <c r="A2904" t="s">
        <v>197</v>
      </c>
      <c r="B2904" t="str">
        <f>_xlfn.XLOOKUP(A2904,'[1]Tissue Data'!$A:$A,'[1]Tissue Data'!$C:$C)</f>
        <v>Spill</v>
      </c>
      <c r="C2904" s="2">
        <f>_xlfn.XLOOKUP(A2904,'[1]Tissue Data'!$A:$A,'[1]Tissue Data'!$D:$D)</f>
        <v>44314</v>
      </c>
      <c r="D2904" s="2" t="str">
        <f>_xlfn.XLOOKUP(A2904,'[1]Tissue Data'!$A:$A,'[1]Tissue Data'!$F:$F)</f>
        <v>Swallowtail Shiner</v>
      </c>
      <c r="E2904" t="str">
        <f>_xlfn.XLOOKUP(A2904,'[1]Tissue Data'!$A:$A,'[1]Tissue Data'!$H:$H)</f>
        <v>Notropis</v>
      </c>
      <c r="F2904" t="str">
        <f>_xlfn.XLOOKUP(A2904,'[1]Tissue Data'!$A:$A,'[1]Tissue Data'!$I:$I)</f>
        <v>procne</v>
      </c>
      <c r="G2904" t="str">
        <f>_xlfn.XLOOKUP(A2904,'[1]Tissue Data'!$A:$A,'[1]Tissue Data'!J:J)</f>
        <v>U</v>
      </c>
      <c r="H2904" t="str">
        <f>_xlfn.XLOOKUP(A2904,'[1]Tissue Data'!$A:$A,'[1]Tissue Data'!K:K)</f>
        <v>Whole Body</v>
      </c>
      <c r="I2904">
        <f>_xlfn.XLOOKUP(A2904,'[1]Tissue Data'!$A:$A,'[1]Tissue Data'!L:L)</f>
        <v>5.5</v>
      </c>
      <c r="J2904">
        <f>_xlfn.XLOOKUP(A2904,'[1]Tissue Data'!$A:$A,'[1]Tissue Data'!M:M)</f>
        <v>2.15</v>
      </c>
      <c r="K2904" t="s">
        <v>14</v>
      </c>
      <c r="L2904" t="str">
        <f>_xlfn.XLOOKUP(K2904,[2]analyte_order!$B:$B,[2]analyte_order!$C:$C)</f>
        <v>307-24-4</v>
      </c>
      <c r="M2904">
        <f>_xlfn.XLOOKUP(L2904,[2]analyte_order!$C:$C,[2]analyte_order!$E:$E)</f>
        <v>3</v>
      </c>
      <c r="N2904">
        <v>3.6049999999999999E-2</v>
      </c>
    </row>
    <row r="2905" spans="1:14">
      <c r="A2905" t="s">
        <v>197</v>
      </c>
      <c r="B2905" t="str">
        <f>_xlfn.XLOOKUP(A2905,'[1]Tissue Data'!$A:$A,'[1]Tissue Data'!$C:$C)</f>
        <v>Spill</v>
      </c>
      <c r="C2905" s="2">
        <f>_xlfn.XLOOKUP(A2905,'[1]Tissue Data'!$A:$A,'[1]Tissue Data'!$D:$D)</f>
        <v>44314</v>
      </c>
      <c r="D2905" s="2" t="str">
        <f>_xlfn.XLOOKUP(A2905,'[1]Tissue Data'!$A:$A,'[1]Tissue Data'!$F:$F)</f>
        <v>Swallowtail Shiner</v>
      </c>
      <c r="E2905" t="str">
        <f>_xlfn.XLOOKUP(A2905,'[1]Tissue Data'!$A:$A,'[1]Tissue Data'!$H:$H)</f>
        <v>Notropis</v>
      </c>
      <c r="F2905" t="str">
        <f>_xlfn.XLOOKUP(A2905,'[1]Tissue Data'!$A:$A,'[1]Tissue Data'!$I:$I)</f>
        <v>procne</v>
      </c>
      <c r="G2905" t="str">
        <f>_xlfn.XLOOKUP(A2905,'[1]Tissue Data'!$A:$A,'[1]Tissue Data'!J:J)</f>
        <v>U</v>
      </c>
      <c r="H2905" t="str">
        <f>_xlfn.XLOOKUP(A2905,'[1]Tissue Data'!$A:$A,'[1]Tissue Data'!K:K)</f>
        <v>Whole Body</v>
      </c>
      <c r="I2905">
        <f>_xlfn.XLOOKUP(A2905,'[1]Tissue Data'!$A:$A,'[1]Tissue Data'!L:L)</f>
        <v>5.5</v>
      </c>
      <c r="J2905">
        <f>_xlfn.XLOOKUP(A2905,'[1]Tissue Data'!$A:$A,'[1]Tissue Data'!M:M)</f>
        <v>2.15</v>
      </c>
      <c r="K2905" t="s">
        <v>15</v>
      </c>
      <c r="L2905" t="str">
        <f>_xlfn.XLOOKUP(K2905,[2]analyte_order!$B:$B,[2]analyte_order!$C:$C)</f>
        <v>375-85-9</v>
      </c>
      <c r="M2905">
        <f>_xlfn.XLOOKUP(L2905,[2]analyte_order!$C:$C,[2]analyte_order!$E:$E)</f>
        <v>4</v>
      </c>
      <c r="N2905">
        <v>8.7999999999999995E-2</v>
      </c>
    </row>
    <row r="2906" spans="1:14">
      <c r="A2906" t="s">
        <v>197</v>
      </c>
      <c r="B2906" t="str">
        <f>_xlfn.XLOOKUP(A2906,'[1]Tissue Data'!$A:$A,'[1]Tissue Data'!$C:$C)</f>
        <v>Spill</v>
      </c>
      <c r="C2906" s="2">
        <f>_xlfn.XLOOKUP(A2906,'[1]Tissue Data'!$A:$A,'[1]Tissue Data'!$D:$D)</f>
        <v>44314</v>
      </c>
      <c r="D2906" s="2" t="str">
        <f>_xlfn.XLOOKUP(A2906,'[1]Tissue Data'!$A:$A,'[1]Tissue Data'!$F:$F)</f>
        <v>Swallowtail Shiner</v>
      </c>
      <c r="E2906" t="str">
        <f>_xlfn.XLOOKUP(A2906,'[1]Tissue Data'!$A:$A,'[1]Tissue Data'!$H:$H)</f>
        <v>Notropis</v>
      </c>
      <c r="F2906" t="str">
        <f>_xlfn.XLOOKUP(A2906,'[1]Tissue Data'!$A:$A,'[1]Tissue Data'!$I:$I)</f>
        <v>procne</v>
      </c>
      <c r="G2906" t="str">
        <f>_xlfn.XLOOKUP(A2906,'[1]Tissue Data'!$A:$A,'[1]Tissue Data'!J:J)</f>
        <v>U</v>
      </c>
      <c r="H2906" t="str">
        <f>_xlfn.XLOOKUP(A2906,'[1]Tissue Data'!$A:$A,'[1]Tissue Data'!K:K)</f>
        <v>Whole Body</v>
      </c>
      <c r="I2906">
        <f>_xlfn.XLOOKUP(A2906,'[1]Tissue Data'!$A:$A,'[1]Tissue Data'!L:L)</f>
        <v>5.5</v>
      </c>
      <c r="J2906">
        <f>_xlfn.XLOOKUP(A2906,'[1]Tissue Data'!$A:$A,'[1]Tissue Data'!M:M)</f>
        <v>2.15</v>
      </c>
      <c r="K2906" t="s">
        <v>16</v>
      </c>
      <c r="L2906" t="str">
        <f>_xlfn.XLOOKUP(K2906,[2]analyte_order!$B:$B,[2]analyte_order!$C:$C)</f>
        <v>335-67-1</v>
      </c>
      <c r="M2906">
        <f>_xlfn.XLOOKUP(L2906,[2]analyte_order!$C:$C,[2]analyte_order!$E:$E)</f>
        <v>5</v>
      </c>
      <c r="N2906">
        <v>1.95</v>
      </c>
    </row>
    <row r="2907" spans="1:14">
      <c r="A2907" t="s">
        <v>197</v>
      </c>
      <c r="B2907" t="str">
        <f>_xlfn.XLOOKUP(A2907,'[1]Tissue Data'!$A:$A,'[1]Tissue Data'!$C:$C)</f>
        <v>Spill</v>
      </c>
      <c r="C2907" s="2">
        <f>_xlfn.XLOOKUP(A2907,'[1]Tissue Data'!$A:$A,'[1]Tissue Data'!$D:$D)</f>
        <v>44314</v>
      </c>
      <c r="D2907" s="2" t="str">
        <f>_xlfn.XLOOKUP(A2907,'[1]Tissue Data'!$A:$A,'[1]Tissue Data'!$F:$F)</f>
        <v>Swallowtail Shiner</v>
      </c>
      <c r="E2907" t="str">
        <f>_xlfn.XLOOKUP(A2907,'[1]Tissue Data'!$A:$A,'[1]Tissue Data'!$H:$H)</f>
        <v>Notropis</v>
      </c>
      <c r="F2907" t="str">
        <f>_xlfn.XLOOKUP(A2907,'[1]Tissue Data'!$A:$A,'[1]Tissue Data'!$I:$I)</f>
        <v>procne</v>
      </c>
      <c r="G2907" t="str">
        <f>_xlfn.XLOOKUP(A2907,'[1]Tissue Data'!$A:$A,'[1]Tissue Data'!J:J)</f>
        <v>U</v>
      </c>
      <c r="H2907" t="str">
        <f>_xlfn.XLOOKUP(A2907,'[1]Tissue Data'!$A:$A,'[1]Tissue Data'!K:K)</f>
        <v>Whole Body</v>
      </c>
      <c r="I2907">
        <f>_xlfn.XLOOKUP(A2907,'[1]Tissue Data'!$A:$A,'[1]Tissue Data'!L:L)</f>
        <v>5.5</v>
      </c>
      <c r="J2907">
        <f>_xlfn.XLOOKUP(A2907,'[1]Tissue Data'!$A:$A,'[1]Tissue Data'!M:M)</f>
        <v>2.15</v>
      </c>
      <c r="K2907" t="s">
        <v>17</v>
      </c>
      <c r="L2907" t="str">
        <f>_xlfn.XLOOKUP(K2907,[2]analyte_order!$B:$B,[2]analyte_order!$C:$C)</f>
        <v>375-95-1</v>
      </c>
      <c r="M2907">
        <f>_xlfn.XLOOKUP(L2907,[2]analyte_order!$C:$C,[2]analyte_order!$E:$E)</f>
        <v>6</v>
      </c>
      <c r="N2907">
        <v>10.7</v>
      </c>
    </row>
    <row r="2908" spans="1:14">
      <c r="A2908" t="s">
        <v>197</v>
      </c>
      <c r="B2908" t="str">
        <f>_xlfn.XLOOKUP(A2908,'[1]Tissue Data'!$A:$A,'[1]Tissue Data'!$C:$C)</f>
        <v>Spill</v>
      </c>
      <c r="C2908" s="2">
        <f>_xlfn.XLOOKUP(A2908,'[1]Tissue Data'!$A:$A,'[1]Tissue Data'!$D:$D)</f>
        <v>44314</v>
      </c>
      <c r="D2908" s="2" t="str">
        <f>_xlfn.XLOOKUP(A2908,'[1]Tissue Data'!$A:$A,'[1]Tissue Data'!$F:$F)</f>
        <v>Swallowtail Shiner</v>
      </c>
      <c r="E2908" t="str">
        <f>_xlfn.XLOOKUP(A2908,'[1]Tissue Data'!$A:$A,'[1]Tissue Data'!$H:$H)</f>
        <v>Notropis</v>
      </c>
      <c r="F2908" t="str">
        <f>_xlfn.XLOOKUP(A2908,'[1]Tissue Data'!$A:$A,'[1]Tissue Data'!$I:$I)</f>
        <v>procne</v>
      </c>
      <c r="G2908" t="str">
        <f>_xlfn.XLOOKUP(A2908,'[1]Tissue Data'!$A:$A,'[1]Tissue Data'!J:J)</f>
        <v>U</v>
      </c>
      <c r="H2908" t="str">
        <f>_xlfn.XLOOKUP(A2908,'[1]Tissue Data'!$A:$A,'[1]Tissue Data'!K:K)</f>
        <v>Whole Body</v>
      </c>
      <c r="I2908">
        <f>_xlfn.XLOOKUP(A2908,'[1]Tissue Data'!$A:$A,'[1]Tissue Data'!L:L)</f>
        <v>5.5</v>
      </c>
      <c r="J2908">
        <f>_xlfn.XLOOKUP(A2908,'[1]Tissue Data'!$A:$A,'[1]Tissue Data'!M:M)</f>
        <v>2.15</v>
      </c>
      <c r="K2908" t="s">
        <v>18</v>
      </c>
      <c r="L2908" t="str">
        <f>_xlfn.XLOOKUP(K2908,[2]analyte_order!$B:$B,[2]analyte_order!$C:$C)</f>
        <v>335-76-2</v>
      </c>
      <c r="M2908">
        <f>_xlfn.XLOOKUP(L2908,[2]analyte_order!$C:$C,[2]analyte_order!$E:$E)</f>
        <v>7</v>
      </c>
      <c r="N2908">
        <v>13.9</v>
      </c>
    </row>
    <row r="2909" spans="1:14">
      <c r="A2909" t="s">
        <v>197</v>
      </c>
      <c r="B2909" t="str">
        <f>_xlfn.XLOOKUP(A2909,'[1]Tissue Data'!$A:$A,'[1]Tissue Data'!$C:$C)</f>
        <v>Spill</v>
      </c>
      <c r="C2909" s="2">
        <f>_xlfn.XLOOKUP(A2909,'[1]Tissue Data'!$A:$A,'[1]Tissue Data'!$D:$D)</f>
        <v>44314</v>
      </c>
      <c r="D2909" s="2" t="str">
        <f>_xlfn.XLOOKUP(A2909,'[1]Tissue Data'!$A:$A,'[1]Tissue Data'!$F:$F)</f>
        <v>Swallowtail Shiner</v>
      </c>
      <c r="E2909" t="str">
        <f>_xlfn.XLOOKUP(A2909,'[1]Tissue Data'!$A:$A,'[1]Tissue Data'!$H:$H)</f>
        <v>Notropis</v>
      </c>
      <c r="F2909" t="str">
        <f>_xlfn.XLOOKUP(A2909,'[1]Tissue Data'!$A:$A,'[1]Tissue Data'!$I:$I)</f>
        <v>procne</v>
      </c>
      <c r="G2909" t="str">
        <f>_xlfn.XLOOKUP(A2909,'[1]Tissue Data'!$A:$A,'[1]Tissue Data'!J:J)</f>
        <v>U</v>
      </c>
      <c r="H2909" t="str">
        <f>_xlfn.XLOOKUP(A2909,'[1]Tissue Data'!$A:$A,'[1]Tissue Data'!K:K)</f>
        <v>Whole Body</v>
      </c>
      <c r="I2909">
        <f>_xlfn.XLOOKUP(A2909,'[1]Tissue Data'!$A:$A,'[1]Tissue Data'!L:L)</f>
        <v>5.5</v>
      </c>
      <c r="J2909">
        <f>_xlfn.XLOOKUP(A2909,'[1]Tissue Data'!$A:$A,'[1]Tissue Data'!M:M)</f>
        <v>2.15</v>
      </c>
      <c r="K2909" t="s">
        <v>19</v>
      </c>
      <c r="L2909" t="str">
        <f>_xlfn.XLOOKUP(K2909,[2]analyte_order!$B:$B,[2]analyte_order!$C:$C)</f>
        <v>2058-94-8</v>
      </c>
      <c r="M2909">
        <f>_xlfn.XLOOKUP(L2909,[2]analyte_order!$C:$C,[2]analyte_order!$E:$E)</f>
        <v>8</v>
      </c>
      <c r="N2909">
        <v>34.700000000000003</v>
      </c>
    </row>
    <row r="2910" spans="1:14">
      <c r="A2910" t="s">
        <v>197</v>
      </c>
      <c r="B2910" t="str">
        <f>_xlfn.XLOOKUP(A2910,'[1]Tissue Data'!$A:$A,'[1]Tissue Data'!$C:$C)</f>
        <v>Spill</v>
      </c>
      <c r="C2910" s="2">
        <f>_xlfn.XLOOKUP(A2910,'[1]Tissue Data'!$A:$A,'[1]Tissue Data'!$D:$D)</f>
        <v>44314</v>
      </c>
      <c r="D2910" s="2" t="str">
        <f>_xlfn.XLOOKUP(A2910,'[1]Tissue Data'!$A:$A,'[1]Tissue Data'!$F:$F)</f>
        <v>Swallowtail Shiner</v>
      </c>
      <c r="E2910" t="str">
        <f>_xlfn.XLOOKUP(A2910,'[1]Tissue Data'!$A:$A,'[1]Tissue Data'!$H:$H)</f>
        <v>Notropis</v>
      </c>
      <c r="F2910" t="str">
        <f>_xlfn.XLOOKUP(A2910,'[1]Tissue Data'!$A:$A,'[1]Tissue Data'!$I:$I)</f>
        <v>procne</v>
      </c>
      <c r="G2910" t="str">
        <f>_xlfn.XLOOKUP(A2910,'[1]Tissue Data'!$A:$A,'[1]Tissue Data'!J:J)</f>
        <v>U</v>
      </c>
      <c r="H2910" t="str">
        <f>_xlfn.XLOOKUP(A2910,'[1]Tissue Data'!$A:$A,'[1]Tissue Data'!K:K)</f>
        <v>Whole Body</v>
      </c>
      <c r="I2910">
        <f>_xlfn.XLOOKUP(A2910,'[1]Tissue Data'!$A:$A,'[1]Tissue Data'!L:L)</f>
        <v>5.5</v>
      </c>
      <c r="J2910">
        <f>_xlfn.XLOOKUP(A2910,'[1]Tissue Data'!$A:$A,'[1]Tissue Data'!M:M)</f>
        <v>2.15</v>
      </c>
      <c r="K2910" t="s">
        <v>20</v>
      </c>
      <c r="L2910" t="str">
        <f>_xlfn.XLOOKUP(K2910,[2]analyte_order!$B:$B,[2]analyte_order!$C:$C)</f>
        <v>307-55-1</v>
      </c>
      <c r="M2910">
        <f>_xlfn.XLOOKUP(L2910,[2]analyte_order!$C:$C,[2]analyte_order!$E:$E)</f>
        <v>9</v>
      </c>
      <c r="N2910">
        <v>22.3</v>
      </c>
    </row>
    <row r="2911" spans="1:14">
      <c r="A2911" t="s">
        <v>197</v>
      </c>
      <c r="B2911" t="str">
        <f>_xlfn.XLOOKUP(A2911,'[1]Tissue Data'!$A:$A,'[1]Tissue Data'!$C:$C)</f>
        <v>Spill</v>
      </c>
      <c r="C2911" s="2">
        <f>_xlfn.XLOOKUP(A2911,'[1]Tissue Data'!$A:$A,'[1]Tissue Data'!$D:$D)</f>
        <v>44314</v>
      </c>
      <c r="D2911" s="2" t="str">
        <f>_xlfn.XLOOKUP(A2911,'[1]Tissue Data'!$A:$A,'[1]Tissue Data'!$F:$F)</f>
        <v>Swallowtail Shiner</v>
      </c>
      <c r="E2911" t="str">
        <f>_xlfn.XLOOKUP(A2911,'[1]Tissue Data'!$A:$A,'[1]Tissue Data'!$H:$H)</f>
        <v>Notropis</v>
      </c>
      <c r="F2911" t="str">
        <f>_xlfn.XLOOKUP(A2911,'[1]Tissue Data'!$A:$A,'[1]Tissue Data'!$I:$I)</f>
        <v>procne</v>
      </c>
      <c r="G2911" t="str">
        <f>_xlfn.XLOOKUP(A2911,'[1]Tissue Data'!$A:$A,'[1]Tissue Data'!J:J)</f>
        <v>U</v>
      </c>
      <c r="H2911" t="str">
        <f>_xlfn.XLOOKUP(A2911,'[1]Tissue Data'!$A:$A,'[1]Tissue Data'!K:K)</f>
        <v>Whole Body</v>
      </c>
      <c r="I2911">
        <f>_xlfn.XLOOKUP(A2911,'[1]Tissue Data'!$A:$A,'[1]Tissue Data'!L:L)</f>
        <v>5.5</v>
      </c>
      <c r="J2911">
        <f>_xlfn.XLOOKUP(A2911,'[1]Tissue Data'!$A:$A,'[1]Tissue Data'!M:M)</f>
        <v>2.15</v>
      </c>
      <c r="K2911" t="s">
        <v>21</v>
      </c>
      <c r="L2911" t="str">
        <f>_xlfn.XLOOKUP(K2911,[2]analyte_order!$B:$B,[2]analyte_order!$C:$C)</f>
        <v>72629-94-8</v>
      </c>
      <c r="M2911">
        <f>_xlfn.XLOOKUP(L2911,[2]analyte_order!$C:$C,[2]analyte_order!$E:$E)</f>
        <v>10</v>
      </c>
      <c r="N2911">
        <v>14.8</v>
      </c>
    </row>
    <row r="2912" spans="1:14">
      <c r="A2912" t="s">
        <v>197</v>
      </c>
      <c r="B2912" t="str">
        <f>_xlfn.XLOOKUP(A2912,'[1]Tissue Data'!$A:$A,'[1]Tissue Data'!$C:$C)</f>
        <v>Spill</v>
      </c>
      <c r="C2912" s="2">
        <f>_xlfn.XLOOKUP(A2912,'[1]Tissue Data'!$A:$A,'[1]Tissue Data'!$D:$D)</f>
        <v>44314</v>
      </c>
      <c r="D2912" s="2" t="str">
        <f>_xlfn.XLOOKUP(A2912,'[1]Tissue Data'!$A:$A,'[1]Tissue Data'!$F:$F)</f>
        <v>Swallowtail Shiner</v>
      </c>
      <c r="E2912" t="str">
        <f>_xlfn.XLOOKUP(A2912,'[1]Tissue Data'!$A:$A,'[1]Tissue Data'!$H:$H)</f>
        <v>Notropis</v>
      </c>
      <c r="F2912" t="str">
        <f>_xlfn.XLOOKUP(A2912,'[1]Tissue Data'!$A:$A,'[1]Tissue Data'!$I:$I)</f>
        <v>procne</v>
      </c>
      <c r="G2912" t="str">
        <f>_xlfn.XLOOKUP(A2912,'[1]Tissue Data'!$A:$A,'[1]Tissue Data'!J:J)</f>
        <v>U</v>
      </c>
      <c r="H2912" t="str">
        <f>_xlfn.XLOOKUP(A2912,'[1]Tissue Data'!$A:$A,'[1]Tissue Data'!K:K)</f>
        <v>Whole Body</v>
      </c>
      <c r="I2912">
        <f>_xlfn.XLOOKUP(A2912,'[1]Tissue Data'!$A:$A,'[1]Tissue Data'!L:L)</f>
        <v>5.5</v>
      </c>
      <c r="J2912">
        <f>_xlfn.XLOOKUP(A2912,'[1]Tissue Data'!$A:$A,'[1]Tissue Data'!M:M)</f>
        <v>2.15</v>
      </c>
      <c r="K2912" t="s">
        <v>22</v>
      </c>
      <c r="L2912" t="str">
        <f>_xlfn.XLOOKUP(K2912,[2]analyte_order!$B:$B,[2]analyte_order!$C:$C)</f>
        <v>376-06-7</v>
      </c>
      <c r="M2912">
        <f>_xlfn.XLOOKUP(L2912,[2]analyte_order!$C:$C,[2]analyte_order!$E:$E)</f>
        <v>11</v>
      </c>
      <c r="N2912">
        <v>11</v>
      </c>
    </row>
    <row r="2913" spans="1:14">
      <c r="A2913" t="s">
        <v>197</v>
      </c>
      <c r="B2913" t="str">
        <f>_xlfn.XLOOKUP(A2913,'[1]Tissue Data'!$A:$A,'[1]Tissue Data'!$C:$C)</f>
        <v>Spill</v>
      </c>
      <c r="C2913" s="2">
        <f>_xlfn.XLOOKUP(A2913,'[1]Tissue Data'!$A:$A,'[1]Tissue Data'!$D:$D)</f>
        <v>44314</v>
      </c>
      <c r="D2913" s="2" t="str">
        <f>_xlfn.XLOOKUP(A2913,'[1]Tissue Data'!$A:$A,'[1]Tissue Data'!$F:$F)</f>
        <v>Swallowtail Shiner</v>
      </c>
      <c r="E2913" t="str">
        <f>_xlfn.XLOOKUP(A2913,'[1]Tissue Data'!$A:$A,'[1]Tissue Data'!$H:$H)</f>
        <v>Notropis</v>
      </c>
      <c r="F2913" t="str">
        <f>_xlfn.XLOOKUP(A2913,'[1]Tissue Data'!$A:$A,'[1]Tissue Data'!$I:$I)</f>
        <v>procne</v>
      </c>
      <c r="G2913" t="str">
        <f>_xlfn.XLOOKUP(A2913,'[1]Tissue Data'!$A:$A,'[1]Tissue Data'!J:J)</f>
        <v>U</v>
      </c>
      <c r="H2913" t="str">
        <f>_xlfn.XLOOKUP(A2913,'[1]Tissue Data'!$A:$A,'[1]Tissue Data'!K:K)</f>
        <v>Whole Body</v>
      </c>
      <c r="I2913">
        <f>_xlfn.XLOOKUP(A2913,'[1]Tissue Data'!$A:$A,'[1]Tissue Data'!L:L)</f>
        <v>5.5</v>
      </c>
      <c r="J2913">
        <f>_xlfn.XLOOKUP(A2913,'[1]Tissue Data'!$A:$A,'[1]Tissue Data'!M:M)</f>
        <v>2.15</v>
      </c>
      <c r="K2913" t="s">
        <v>23</v>
      </c>
      <c r="L2913" t="str">
        <f>_xlfn.XLOOKUP(K2913,[2]analyte_order!$B:$B,[2]analyte_order!$C:$C)</f>
        <v>67905-19-5</v>
      </c>
      <c r="M2913">
        <f>_xlfn.XLOOKUP(L2913,[2]analyte_order!$C:$C,[2]analyte_order!$E:$E)</f>
        <v>12</v>
      </c>
      <c r="N2913">
        <v>7.9500000000000001E-2</v>
      </c>
    </row>
    <row r="2914" spans="1:14">
      <c r="A2914" t="s">
        <v>197</v>
      </c>
      <c r="B2914" t="str">
        <f>_xlfn.XLOOKUP(A2914,'[1]Tissue Data'!$A:$A,'[1]Tissue Data'!$C:$C)</f>
        <v>Spill</v>
      </c>
      <c r="C2914" s="2">
        <f>_xlfn.XLOOKUP(A2914,'[1]Tissue Data'!$A:$A,'[1]Tissue Data'!$D:$D)</f>
        <v>44314</v>
      </c>
      <c r="D2914" s="2" t="str">
        <f>_xlfn.XLOOKUP(A2914,'[1]Tissue Data'!$A:$A,'[1]Tissue Data'!$F:$F)</f>
        <v>Swallowtail Shiner</v>
      </c>
      <c r="E2914" t="str">
        <f>_xlfn.XLOOKUP(A2914,'[1]Tissue Data'!$A:$A,'[1]Tissue Data'!$H:$H)</f>
        <v>Notropis</v>
      </c>
      <c r="F2914" t="str">
        <f>_xlfn.XLOOKUP(A2914,'[1]Tissue Data'!$A:$A,'[1]Tissue Data'!$I:$I)</f>
        <v>procne</v>
      </c>
      <c r="G2914" t="str">
        <f>_xlfn.XLOOKUP(A2914,'[1]Tissue Data'!$A:$A,'[1]Tissue Data'!J:J)</f>
        <v>U</v>
      </c>
      <c r="H2914" t="str">
        <f>_xlfn.XLOOKUP(A2914,'[1]Tissue Data'!$A:$A,'[1]Tissue Data'!K:K)</f>
        <v>Whole Body</v>
      </c>
      <c r="I2914">
        <f>_xlfn.XLOOKUP(A2914,'[1]Tissue Data'!$A:$A,'[1]Tissue Data'!L:L)</f>
        <v>5.5</v>
      </c>
      <c r="J2914">
        <f>_xlfn.XLOOKUP(A2914,'[1]Tissue Data'!$A:$A,'[1]Tissue Data'!M:M)</f>
        <v>2.15</v>
      </c>
      <c r="K2914" t="s">
        <v>24</v>
      </c>
      <c r="L2914" t="str">
        <f>_xlfn.XLOOKUP(K2914,[2]analyte_order!$B:$B,[2]analyte_order!$C:$C)</f>
        <v>423-41-6</v>
      </c>
      <c r="M2914">
        <f>_xlfn.XLOOKUP(L2914,[2]analyte_order!$C:$C,[2]analyte_order!$E:$E)</f>
        <v>53</v>
      </c>
      <c r="N2914">
        <v>5.0999999999999997E-2</v>
      </c>
    </row>
    <row r="2915" spans="1:14">
      <c r="A2915" t="s">
        <v>197</v>
      </c>
      <c r="B2915" t="str">
        <f>_xlfn.XLOOKUP(A2915,'[1]Tissue Data'!$A:$A,'[1]Tissue Data'!$C:$C)</f>
        <v>Spill</v>
      </c>
      <c r="C2915" s="2">
        <f>_xlfn.XLOOKUP(A2915,'[1]Tissue Data'!$A:$A,'[1]Tissue Data'!$D:$D)</f>
        <v>44314</v>
      </c>
      <c r="D2915" s="2" t="str">
        <f>_xlfn.XLOOKUP(A2915,'[1]Tissue Data'!$A:$A,'[1]Tissue Data'!$F:$F)</f>
        <v>Swallowtail Shiner</v>
      </c>
      <c r="E2915" t="str">
        <f>_xlfn.XLOOKUP(A2915,'[1]Tissue Data'!$A:$A,'[1]Tissue Data'!$H:$H)</f>
        <v>Notropis</v>
      </c>
      <c r="F2915" t="str">
        <f>_xlfn.XLOOKUP(A2915,'[1]Tissue Data'!$A:$A,'[1]Tissue Data'!$I:$I)</f>
        <v>procne</v>
      </c>
      <c r="G2915" t="str">
        <f>_xlfn.XLOOKUP(A2915,'[1]Tissue Data'!$A:$A,'[1]Tissue Data'!J:J)</f>
        <v>U</v>
      </c>
      <c r="H2915" t="str">
        <f>_xlfn.XLOOKUP(A2915,'[1]Tissue Data'!$A:$A,'[1]Tissue Data'!K:K)</f>
        <v>Whole Body</v>
      </c>
      <c r="I2915">
        <f>_xlfn.XLOOKUP(A2915,'[1]Tissue Data'!$A:$A,'[1]Tissue Data'!L:L)</f>
        <v>5.5</v>
      </c>
      <c r="J2915">
        <f>_xlfn.XLOOKUP(A2915,'[1]Tissue Data'!$A:$A,'[1]Tissue Data'!M:M)</f>
        <v>2.15</v>
      </c>
      <c r="K2915" t="s">
        <v>25</v>
      </c>
      <c r="L2915" t="str">
        <f>_xlfn.XLOOKUP(K2915,[2]analyte_order!$B:$B,[2]analyte_order!$C:$C)</f>
        <v>375-73-5</v>
      </c>
      <c r="M2915">
        <f>_xlfn.XLOOKUP(L2915,[2]analyte_order!$C:$C,[2]analyte_order!$E:$E)</f>
        <v>14</v>
      </c>
      <c r="N2915">
        <v>0.15</v>
      </c>
    </row>
    <row r="2916" spans="1:14">
      <c r="A2916" t="s">
        <v>197</v>
      </c>
      <c r="B2916" t="str">
        <f>_xlfn.XLOOKUP(A2916,'[1]Tissue Data'!$A:$A,'[1]Tissue Data'!$C:$C)</f>
        <v>Spill</v>
      </c>
      <c r="C2916" s="2">
        <f>_xlfn.XLOOKUP(A2916,'[1]Tissue Data'!$A:$A,'[1]Tissue Data'!$D:$D)</f>
        <v>44314</v>
      </c>
      <c r="D2916" s="2" t="str">
        <f>_xlfn.XLOOKUP(A2916,'[1]Tissue Data'!$A:$A,'[1]Tissue Data'!$F:$F)</f>
        <v>Swallowtail Shiner</v>
      </c>
      <c r="E2916" t="str">
        <f>_xlfn.XLOOKUP(A2916,'[1]Tissue Data'!$A:$A,'[1]Tissue Data'!$H:$H)</f>
        <v>Notropis</v>
      </c>
      <c r="F2916" t="str">
        <f>_xlfn.XLOOKUP(A2916,'[1]Tissue Data'!$A:$A,'[1]Tissue Data'!$I:$I)</f>
        <v>procne</v>
      </c>
      <c r="G2916" t="str">
        <f>_xlfn.XLOOKUP(A2916,'[1]Tissue Data'!$A:$A,'[1]Tissue Data'!J:J)</f>
        <v>U</v>
      </c>
      <c r="H2916" t="str">
        <f>_xlfn.XLOOKUP(A2916,'[1]Tissue Data'!$A:$A,'[1]Tissue Data'!K:K)</f>
        <v>Whole Body</v>
      </c>
      <c r="I2916">
        <f>_xlfn.XLOOKUP(A2916,'[1]Tissue Data'!$A:$A,'[1]Tissue Data'!L:L)</f>
        <v>5.5</v>
      </c>
      <c r="J2916">
        <f>_xlfn.XLOOKUP(A2916,'[1]Tissue Data'!$A:$A,'[1]Tissue Data'!M:M)</f>
        <v>2.15</v>
      </c>
      <c r="K2916" t="s">
        <v>26</v>
      </c>
      <c r="L2916" t="str">
        <f>_xlfn.XLOOKUP(K2916,[2]analyte_order!$B:$B,[2]analyte_order!$C:$C)</f>
        <v>2706-91-4</v>
      </c>
      <c r="M2916">
        <f>_xlfn.XLOOKUP(L2916,[2]analyte_order!$C:$C,[2]analyte_order!$E:$E)</f>
        <v>15</v>
      </c>
      <c r="N2916">
        <v>0.47099999999999997</v>
      </c>
    </row>
    <row r="2917" spans="1:14">
      <c r="A2917" t="s">
        <v>197</v>
      </c>
      <c r="B2917" t="str">
        <f>_xlfn.XLOOKUP(A2917,'[1]Tissue Data'!$A:$A,'[1]Tissue Data'!$C:$C)</f>
        <v>Spill</v>
      </c>
      <c r="C2917" s="2">
        <f>_xlfn.XLOOKUP(A2917,'[1]Tissue Data'!$A:$A,'[1]Tissue Data'!$D:$D)</f>
        <v>44314</v>
      </c>
      <c r="D2917" s="2" t="str">
        <f>_xlfn.XLOOKUP(A2917,'[1]Tissue Data'!$A:$A,'[1]Tissue Data'!$F:$F)</f>
        <v>Swallowtail Shiner</v>
      </c>
      <c r="E2917" t="str">
        <f>_xlfn.XLOOKUP(A2917,'[1]Tissue Data'!$A:$A,'[1]Tissue Data'!$H:$H)</f>
        <v>Notropis</v>
      </c>
      <c r="F2917" t="str">
        <f>_xlfn.XLOOKUP(A2917,'[1]Tissue Data'!$A:$A,'[1]Tissue Data'!$I:$I)</f>
        <v>procne</v>
      </c>
      <c r="G2917" t="str">
        <f>_xlfn.XLOOKUP(A2917,'[1]Tissue Data'!$A:$A,'[1]Tissue Data'!J:J)</f>
        <v>U</v>
      </c>
      <c r="H2917" t="str">
        <f>_xlfn.XLOOKUP(A2917,'[1]Tissue Data'!$A:$A,'[1]Tissue Data'!K:K)</f>
        <v>Whole Body</v>
      </c>
      <c r="I2917">
        <f>_xlfn.XLOOKUP(A2917,'[1]Tissue Data'!$A:$A,'[1]Tissue Data'!L:L)</f>
        <v>5.5</v>
      </c>
      <c r="J2917">
        <f>_xlfn.XLOOKUP(A2917,'[1]Tissue Data'!$A:$A,'[1]Tissue Data'!M:M)</f>
        <v>2.15</v>
      </c>
      <c r="K2917" t="s">
        <v>27</v>
      </c>
      <c r="L2917" t="str">
        <f>_xlfn.XLOOKUP(K2917,[2]analyte_order!$B:$B,[2]analyte_order!$C:$C)</f>
        <v>355-46-4</v>
      </c>
      <c r="M2917">
        <f>_xlfn.XLOOKUP(L2917,[2]analyte_order!$C:$C,[2]analyte_order!$E:$E)</f>
        <v>16</v>
      </c>
      <c r="N2917">
        <v>52.1</v>
      </c>
    </row>
    <row r="2918" spans="1:14">
      <c r="A2918" t="s">
        <v>197</v>
      </c>
      <c r="B2918" t="str">
        <f>_xlfn.XLOOKUP(A2918,'[1]Tissue Data'!$A:$A,'[1]Tissue Data'!$C:$C)</f>
        <v>Spill</v>
      </c>
      <c r="C2918" s="2">
        <f>_xlfn.XLOOKUP(A2918,'[1]Tissue Data'!$A:$A,'[1]Tissue Data'!$D:$D)</f>
        <v>44314</v>
      </c>
      <c r="D2918" s="2" t="str">
        <f>_xlfn.XLOOKUP(A2918,'[1]Tissue Data'!$A:$A,'[1]Tissue Data'!$F:$F)</f>
        <v>Swallowtail Shiner</v>
      </c>
      <c r="E2918" t="str">
        <f>_xlfn.XLOOKUP(A2918,'[1]Tissue Data'!$A:$A,'[1]Tissue Data'!$H:$H)</f>
        <v>Notropis</v>
      </c>
      <c r="F2918" t="str">
        <f>_xlfn.XLOOKUP(A2918,'[1]Tissue Data'!$A:$A,'[1]Tissue Data'!$I:$I)</f>
        <v>procne</v>
      </c>
      <c r="G2918" t="str">
        <f>_xlfn.XLOOKUP(A2918,'[1]Tissue Data'!$A:$A,'[1]Tissue Data'!J:J)</f>
        <v>U</v>
      </c>
      <c r="H2918" t="str">
        <f>_xlfn.XLOOKUP(A2918,'[1]Tissue Data'!$A:$A,'[1]Tissue Data'!K:K)</f>
        <v>Whole Body</v>
      </c>
      <c r="I2918">
        <f>_xlfn.XLOOKUP(A2918,'[1]Tissue Data'!$A:$A,'[1]Tissue Data'!L:L)</f>
        <v>5.5</v>
      </c>
      <c r="J2918">
        <f>_xlfn.XLOOKUP(A2918,'[1]Tissue Data'!$A:$A,'[1]Tissue Data'!M:M)</f>
        <v>2.15</v>
      </c>
      <c r="K2918" t="s">
        <v>28</v>
      </c>
      <c r="L2918" t="str">
        <f>_xlfn.XLOOKUP(K2918,[2]analyte_order!$B:$B,[2]analyte_order!$C:$C)</f>
        <v>375-92-8</v>
      </c>
      <c r="M2918">
        <f>_xlfn.XLOOKUP(L2918,[2]analyte_order!$C:$C,[2]analyte_order!$E:$E)</f>
        <v>17</v>
      </c>
      <c r="N2918">
        <v>7.79</v>
      </c>
    </row>
    <row r="2919" spans="1:14">
      <c r="A2919" t="s">
        <v>197</v>
      </c>
      <c r="B2919" t="str">
        <f>_xlfn.XLOOKUP(A2919,'[1]Tissue Data'!$A:$A,'[1]Tissue Data'!$C:$C)</f>
        <v>Spill</v>
      </c>
      <c r="C2919" s="2">
        <f>_xlfn.XLOOKUP(A2919,'[1]Tissue Data'!$A:$A,'[1]Tissue Data'!$D:$D)</f>
        <v>44314</v>
      </c>
      <c r="D2919" s="2" t="str">
        <f>_xlfn.XLOOKUP(A2919,'[1]Tissue Data'!$A:$A,'[1]Tissue Data'!$F:$F)</f>
        <v>Swallowtail Shiner</v>
      </c>
      <c r="E2919" t="str">
        <f>_xlfn.XLOOKUP(A2919,'[1]Tissue Data'!$A:$A,'[1]Tissue Data'!$H:$H)</f>
        <v>Notropis</v>
      </c>
      <c r="F2919" t="str">
        <f>_xlfn.XLOOKUP(A2919,'[1]Tissue Data'!$A:$A,'[1]Tissue Data'!$I:$I)</f>
        <v>procne</v>
      </c>
      <c r="G2919" t="str">
        <f>_xlfn.XLOOKUP(A2919,'[1]Tissue Data'!$A:$A,'[1]Tissue Data'!J:J)</f>
        <v>U</v>
      </c>
      <c r="H2919" t="str">
        <f>_xlfn.XLOOKUP(A2919,'[1]Tissue Data'!$A:$A,'[1]Tissue Data'!K:K)</f>
        <v>Whole Body</v>
      </c>
      <c r="I2919">
        <f>_xlfn.XLOOKUP(A2919,'[1]Tissue Data'!$A:$A,'[1]Tissue Data'!L:L)</f>
        <v>5.5</v>
      </c>
      <c r="J2919">
        <f>_xlfn.XLOOKUP(A2919,'[1]Tissue Data'!$A:$A,'[1]Tissue Data'!M:M)</f>
        <v>2.15</v>
      </c>
      <c r="K2919" t="s">
        <v>29</v>
      </c>
      <c r="L2919" t="str">
        <f>_xlfn.XLOOKUP(K2919,[2]analyte_order!$B:$B,[2]analyte_order!$C:$C)</f>
        <v>1763-23-1</v>
      </c>
      <c r="M2919">
        <f>_xlfn.XLOOKUP(L2919,[2]analyte_order!$C:$C,[2]analyte_order!$E:$E)</f>
        <v>18</v>
      </c>
      <c r="N2919">
        <v>1380</v>
      </c>
    </row>
    <row r="2920" spans="1:14">
      <c r="A2920" t="s">
        <v>197</v>
      </c>
      <c r="B2920" t="str">
        <f>_xlfn.XLOOKUP(A2920,'[1]Tissue Data'!$A:$A,'[1]Tissue Data'!$C:$C)</f>
        <v>Spill</v>
      </c>
      <c r="C2920" s="2">
        <f>_xlfn.XLOOKUP(A2920,'[1]Tissue Data'!$A:$A,'[1]Tissue Data'!$D:$D)</f>
        <v>44314</v>
      </c>
      <c r="D2920" s="2" t="str">
        <f>_xlfn.XLOOKUP(A2920,'[1]Tissue Data'!$A:$A,'[1]Tissue Data'!$F:$F)</f>
        <v>Swallowtail Shiner</v>
      </c>
      <c r="E2920" t="str">
        <f>_xlfn.XLOOKUP(A2920,'[1]Tissue Data'!$A:$A,'[1]Tissue Data'!$H:$H)</f>
        <v>Notropis</v>
      </c>
      <c r="F2920" t="str">
        <f>_xlfn.XLOOKUP(A2920,'[1]Tissue Data'!$A:$A,'[1]Tissue Data'!$I:$I)</f>
        <v>procne</v>
      </c>
      <c r="G2920" t="str">
        <f>_xlfn.XLOOKUP(A2920,'[1]Tissue Data'!$A:$A,'[1]Tissue Data'!J:J)</f>
        <v>U</v>
      </c>
      <c r="H2920" t="str">
        <f>_xlfn.XLOOKUP(A2920,'[1]Tissue Data'!$A:$A,'[1]Tissue Data'!K:K)</f>
        <v>Whole Body</v>
      </c>
      <c r="I2920">
        <f>_xlfn.XLOOKUP(A2920,'[1]Tissue Data'!$A:$A,'[1]Tissue Data'!L:L)</f>
        <v>5.5</v>
      </c>
      <c r="J2920">
        <f>_xlfn.XLOOKUP(A2920,'[1]Tissue Data'!$A:$A,'[1]Tissue Data'!M:M)</f>
        <v>2.15</v>
      </c>
      <c r="K2920" t="s">
        <v>30</v>
      </c>
      <c r="L2920" t="str">
        <f>_xlfn.XLOOKUP(K2920,[2]analyte_order!$B:$B,[2]analyte_order!$C:$C)</f>
        <v>68259-12-1</v>
      </c>
      <c r="M2920">
        <f>_xlfn.XLOOKUP(L2920,[2]analyte_order!$C:$C,[2]analyte_order!$E:$E)</f>
        <v>19</v>
      </c>
      <c r="N2920">
        <v>1.92</v>
      </c>
    </row>
    <row r="2921" spans="1:14">
      <c r="A2921" t="s">
        <v>197</v>
      </c>
      <c r="B2921" t="str">
        <f>_xlfn.XLOOKUP(A2921,'[1]Tissue Data'!$A:$A,'[1]Tissue Data'!$C:$C)</f>
        <v>Spill</v>
      </c>
      <c r="C2921" s="2">
        <f>_xlfn.XLOOKUP(A2921,'[1]Tissue Data'!$A:$A,'[1]Tissue Data'!$D:$D)</f>
        <v>44314</v>
      </c>
      <c r="D2921" s="2" t="str">
        <f>_xlfn.XLOOKUP(A2921,'[1]Tissue Data'!$A:$A,'[1]Tissue Data'!$F:$F)</f>
        <v>Swallowtail Shiner</v>
      </c>
      <c r="E2921" t="str">
        <f>_xlfn.XLOOKUP(A2921,'[1]Tissue Data'!$A:$A,'[1]Tissue Data'!$H:$H)</f>
        <v>Notropis</v>
      </c>
      <c r="F2921" t="str">
        <f>_xlfn.XLOOKUP(A2921,'[1]Tissue Data'!$A:$A,'[1]Tissue Data'!$I:$I)</f>
        <v>procne</v>
      </c>
      <c r="G2921" t="str">
        <f>_xlfn.XLOOKUP(A2921,'[1]Tissue Data'!$A:$A,'[1]Tissue Data'!J:J)</f>
        <v>U</v>
      </c>
      <c r="H2921" t="str">
        <f>_xlfn.XLOOKUP(A2921,'[1]Tissue Data'!$A:$A,'[1]Tissue Data'!K:K)</f>
        <v>Whole Body</v>
      </c>
      <c r="I2921">
        <f>_xlfn.XLOOKUP(A2921,'[1]Tissue Data'!$A:$A,'[1]Tissue Data'!L:L)</f>
        <v>5.5</v>
      </c>
      <c r="J2921">
        <f>_xlfn.XLOOKUP(A2921,'[1]Tissue Data'!$A:$A,'[1]Tissue Data'!M:M)</f>
        <v>2.15</v>
      </c>
      <c r="K2921" t="s">
        <v>31</v>
      </c>
      <c r="L2921" t="str">
        <f>_xlfn.XLOOKUP(K2921,[2]analyte_order!$B:$B,[2]analyte_order!$C:$C)</f>
        <v>335-77-3</v>
      </c>
      <c r="M2921">
        <f>_xlfn.XLOOKUP(L2921,[2]analyte_order!$C:$C,[2]analyte_order!$E:$E)</f>
        <v>20</v>
      </c>
      <c r="N2921">
        <v>9.6999999999999993</v>
      </c>
    </row>
    <row r="2922" spans="1:14">
      <c r="A2922" t="s">
        <v>197</v>
      </c>
      <c r="B2922" t="str">
        <f>_xlfn.XLOOKUP(A2922,'[1]Tissue Data'!$A:$A,'[1]Tissue Data'!$C:$C)</f>
        <v>Spill</v>
      </c>
      <c r="C2922" s="2">
        <f>_xlfn.XLOOKUP(A2922,'[1]Tissue Data'!$A:$A,'[1]Tissue Data'!$D:$D)</f>
        <v>44314</v>
      </c>
      <c r="D2922" s="2" t="str">
        <f>_xlfn.XLOOKUP(A2922,'[1]Tissue Data'!$A:$A,'[1]Tissue Data'!$F:$F)</f>
        <v>Swallowtail Shiner</v>
      </c>
      <c r="E2922" t="str">
        <f>_xlfn.XLOOKUP(A2922,'[1]Tissue Data'!$A:$A,'[1]Tissue Data'!$H:$H)</f>
        <v>Notropis</v>
      </c>
      <c r="F2922" t="str">
        <f>_xlfn.XLOOKUP(A2922,'[1]Tissue Data'!$A:$A,'[1]Tissue Data'!$I:$I)</f>
        <v>procne</v>
      </c>
      <c r="G2922" t="str">
        <f>_xlfn.XLOOKUP(A2922,'[1]Tissue Data'!$A:$A,'[1]Tissue Data'!J:J)</f>
        <v>U</v>
      </c>
      <c r="H2922" t="str">
        <f>_xlfn.XLOOKUP(A2922,'[1]Tissue Data'!$A:$A,'[1]Tissue Data'!K:K)</f>
        <v>Whole Body</v>
      </c>
      <c r="I2922">
        <f>_xlfn.XLOOKUP(A2922,'[1]Tissue Data'!$A:$A,'[1]Tissue Data'!L:L)</f>
        <v>5.5</v>
      </c>
      <c r="J2922">
        <f>_xlfn.XLOOKUP(A2922,'[1]Tissue Data'!$A:$A,'[1]Tissue Data'!M:M)</f>
        <v>2.15</v>
      </c>
      <c r="K2922" t="s">
        <v>32</v>
      </c>
      <c r="L2922" t="str">
        <f>_xlfn.XLOOKUP(K2922,[2]analyte_order!$B:$B,[2]analyte_order!$C:$C)</f>
        <v>79780-39-5</v>
      </c>
      <c r="M2922">
        <f>_xlfn.XLOOKUP(L2922,[2]analyte_order!$C:$C,[2]analyte_order!$E:$E)</f>
        <v>21</v>
      </c>
      <c r="N2922">
        <v>1.21</v>
      </c>
    </row>
    <row r="2923" spans="1:14">
      <c r="A2923" t="s">
        <v>197</v>
      </c>
      <c r="B2923" t="str">
        <f>_xlfn.XLOOKUP(A2923,'[1]Tissue Data'!$A:$A,'[1]Tissue Data'!$C:$C)</f>
        <v>Spill</v>
      </c>
      <c r="C2923" s="2">
        <f>_xlfn.XLOOKUP(A2923,'[1]Tissue Data'!$A:$A,'[1]Tissue Data'!$D:$D)</f>
        <v>44314</v>
      </c>
      <c r="D2923" s="2" t="str">
        <f>_xlfn.XLOOKUP(A2923,'[1]Tissue Data'!$A:$A,'[1]Tissue Data'!$F:$F)</f>
        <v>Swallowtail Shiner</v>
      </c>
      <c r="E2923" t="str">
        <f>_xlfn.XLOOKUP(A2923,'[1]Tissue Data'!$A:$A,'[1]Tissue Data'!$H:$H)</f>
        <v>Notropis</v>
      </c>
      <c r="F2923" t="str">
        <f>_xlfn.XLOOKUP(A2923,'[1]Tissue Data'!$A:$A,'[1]Tissue Data'!$I:$I)</f>
        <v>procne</v>
      </c>
      <c r="G2923" t="str">
        <f>_xlfn.XLOOKUP(A2923,'[1]Tissue Data'!$A:$A,'[1]Tissue Data'!J:J)</f>
        <v>U</v>
      </c>
      <c r="H2923" t="str">
        <f>_xlfn.XLOOKUP(A2923,'[1]Tissue Data'!$A:$A,'[1]Tissue Data'!K:K)</f>
        <v>Whole Body</v>
      </c>
      <c r="I2923">
        <f>_xlfn.XLOOKUP(A2923,'[1]Tissue Data'!$A:$A,'[1]Tissue Data'!L:L)</f>
        <v>5.5</v>
      </c>
      <c r="J2923">
        <f>_xlfn.XLOOKUP(A2923,'[1]Tissue Data'!$A:$A,'[1]Tissue Data'!M:M)</f>
        <v>2.15</v>
      </c>
      <c r="K2923" t="s">
        <v>33</v>
      </c>
      <c r="L2923" t="str">
        <f>_xlfn.XLOOKUP(K2923,[2]analyte_order!$B:$B,[2]analyte_order!$C:$C)</f>
        <v>777011-38-8</v>
      </c>
      <c r="M2923">
        <f>_xlfn.XLOOKUP(L2923,[2]analyte_order!$C:$C,[2]analyte_order!$E:$E)</f>
        <v>54</v>
      </c>
      <c r="N2923">
        <v>0.13400000000000001</v>
      </c>
    </row>
    <row r="2924" spans="1:14">
      <c r="A2924" t="s">
        <v>197</v>
      </c>
      <c r="B2924" t="str">
        <f>_xlfn.XLOOKUP(A2924,'[1]Tissue Data'!$A:$A,'[1]Tissue Data'!$C:$C)</f>
        <v>Spill</v>
      </c>
      <c r="C2924" s="2">
        <f>_xlfn.XLOOKUP(A2924,'[1]Tissue Data'!$A:$A,'[1]Tissue Data'!$D:$D)</f>
        <v>44314</v>
      </c>
      <c r="D2924" s="2" t="str">
        <f>_xlfn.XLOOKUP(A2924,'[1]Tissue Data'!$A:$A,'[1]Tissue Data'!$F:$F)</f>
        <v>Swallowtail Shiner</v>
      </c>
      <c r="E2924" t="str">
        <f>_xlfn.XLOOKUP(A2924,'[1]Tissue Data'!$A:$A,'[1]Tissue Data'!$H:$H)</f>
        <v>Notropis</v>
      </c>
      <c r="F2924" t="str">
        <f>_xlfn.XLOOKUP(A2924,'[1]Tissue Data'!$A:$A,'[1]Tissue Data'!$I:$I)</f>
        <v>procne</v>
      </c>
      <c r="G2924" t="str">
        <f>_xlfn.XLOOKUP(A2924,'[1]Tissue Data'!$A:$A,'[1]Tissue Data'!J:J)</f>
        <v>U</v>
      </c>
      <c r="H2924" t="str">
        <f>_xlfn.XLOOKUP(A2924,'[1]Tissue Data'!$A:$A,'[1]Tissue Data'!K:K)</f>
        <v>Whole Body</v>
      </c>
      <c r="I2924">
        <f>_xlfn.XLOOKUP(A2924,'[1]Tissue Data'!$A:$A,'[1]Tissue Data'!L:L)</f>
        <v>5.5</v>
      </c>
      <c r="J2924">
        <f>_xlfn.XLOOKUP(A2924,'[1]Tissue Data'!$A:$A,'[1]Tissue Data'!M:M)</f>
        <v>2.15</v>
      </c>
      <c r="K2924" t="s">
        <v>34</v>
      </c>
      <c r="L2924" t="str">
        <f>_xlfn.XLOOKUP(K2924,[2]analyte_order!$B:$B,[2]analyte_order!$C:$C)</f>
        <v>646-83-3</v>
      </c>
      <c r="M2924">
        <f>_xlfn.XLOOKUP(L2924,[2]analyte_order!$C:$C,[2]analyte_order!$E:$E)</f>
        <v>55</v>
      </c>
      <c r="N2924">
        <v>0.28899999999999998</v>
      </c>
    </row>
    <row r="2925" spans="1:14">
      <c r="A2925" t="s">
        <v>197</v>
      </c>
      <c r="B2925" t="str">
        <f>_xlfn.XLOOKUP(A2925,'[1]Tissue Data'!$A:$A,'[1]Tissue Data'!$C:$C)</f>
        <v>Spill</v>
      </c>
      <c r="C2925" s="2">
        <f>_xlfn.XLOOKUP(A2925,'[1]Tissue Data'!$A:$A,'[1]Tissue Data'!$D:$D)</f>
        <v>44314</v>
      </c>
      <c r="D2925" s="2" t="str">
        <f>_xlfn.XLOOKUP(A2925,'[1]Tissue Data'!$A:$A,'[1]Tissue Data'!$F:$F)</f>
        <v>Swallowtail Shiner</v>
      </c>
      <c r="E2925" t="str">
        <f>_xlfn.XLOOKUP(A2925,'[1]Tissue Data'!$A:$A,'[1]Tissue Data'!$H:$H)</f>
        <v>Notropis</v>
      </c>
      <c r="F2925" t="str">
        <f>_xlfn.XLOOKUP(A2925,'[1]Tissue Data'!$A:$A,'[1]Tissue Data'!$I:$I)</f>
        <v>procne</v>
      </c>
      <c r="G2925" t="str">
        <f>_xlfn.XLOOKUP(A2925,'[1]Tissue Data'!$A:$A,'[1]Tissue Data'!J:J)</f>
        <v>U</v>
      </c>
      <c r="H2925" t="str">
        <f>_xlfn.XLOOKUP(A2925,'[1]Tissue Data'!$A:$A,'[1]Tissue Data'!K:K)</f>
        <v>Whole Body</v>
      </c>
      <c r="I2925">
        <f>_xlfn.XLOOKUP(A2925,'[1]Tissue Data'!$A:$A,'[1]Tissue Data'!L:L)</f>
        <v>5.5</v>
      </c>
      <c r="J2925">
        <f>_xlfn.XLOOKUP(A2925,'[1]Tissue Data'!$A:$A,'[1]Tissue Data'!M:M)</f>
        <v>2.15</v>
      </c>
      <c r="K2925" t="s">
        <v>35</v>
      </c>
      <c r="L2925" t="str">
        <f>_xlfn.XLOOKUP(K2925,[2]analyte_order!$B:$B,[2]analyte_order!$C:$C)</f>
        <v>30334-69-1</v>
      </c>
      <c r="M2925">
        <f>_xlfn.XLOOKUP(L2925,[2]analyte_order!$C:$C,[2]analyte_order!$E:$E)</f>
        <v>51</v>
      </c>
      <c r="N2925">
        <v>78.3</v>
      </c>
    </row>
    <row r="2926" spans="1:14">
      <c r="A2926" t="s">
        <v>197</v>
      </c>
      <c r="B2926" t="str">
        <f>_xlfn.XLOOKUP(A2926,'[1]Tissue Data'!$A:$A,'[1]Tissue Data'!$C:$C)</f>
        <v>Spill</v>
      </c>
      <c r="C2926" s="2">
        <f>_xlfn.XLOOKUP(A2926,'[1]Tissue Data'!$A:$A,'[1]Tissue Data'!$D:$D)</f>
        <v>44314</v>
      </c>
      <c r="D2926" s="2" t="str">
        <f>_xlfn.XLOOKUP(A2926,'[1]Tissue Data'!$A:$A,'[1]Tissue Data'!$F:$F)</f>
        <v>Swallowtail Shiner</v>
      </c>
      <c r="E2926" t="str">
        <f>_xlfn.XLOOKUP(A2926,'[1]Tissue Data'!$A:$A,'[1]Tissue Data'!$H:$H)</f>
        <v>Notropis</v>
      </c>
      <c r="F2926" t="str">
        <f>_xlfn.XLOOKUP(A2926,'[1]Tissue Data'!$A:$A,'[1]Tissue Data'!$I:$I)</f>
        <v>procne</v>
      </c>
      <c r="G2926" t="str">
        <f>_xlfn.XLOOKUP(A2926,'[1]Tissue Data'!$A:$A,'[1]Tissue Data'!J:J)</f>
        <v>U</v>
      </c>
      <c r="H2926" t="str">
        <f>_xlfn.XLOOKUP(A2926,'[1]Tissue Data'!$A:$A,'[1]Tissue Data'!K:K)</f>
        <v>Whole Body</v>
      </c>
      <c r="I2926">
        <f>_xlfn.XLOOKUP(A2926,'[1]Tissue Data'!$A:$A,'[1]Tissue Data'!L:L)</f>
        <v>5.5</v>
      </c>
      <c r="J2926">
        <f>_xlfn.XLOOKUP(A2926,'[1]Tissue Data'!$A:$A,'[1]Tissue Data'!M:M)</f>
        <v>2.15</v>
      </c>
      <c r="K2926" t="s">
        <v>36</v>
      </c>
      <c r="L2926" t="str">
        <f>_xlfn.XLOOKUP(K2926,[2]analyte_order!$B:$B,[2]analyte_order!$C:$C)</f>
        <v>41997-13-1</v>
      </c>
      <c r="M2926">
        <f>_xlfn.XLOOKUP(L2926,[2]analyte_order!$C:$C,[2]analyte_order!$E:$E)</f>
        <v>52</v>
      </c>
      <c r="N2926">
        <v>442</v>
      </c>
    </row>
    <row r="2927" spans="1:14">
      <c r="A2927" t="s">
        <v>197</v>
      </c>
      <c r="B2927" t="str">
        <f>_xlfn.XLOOKUP(A2927,'[1]Tissue Data'!$A:$A,'[1]Tissue Data'!$C:$C)</f>
        <v>Spill</v>
      </c>
      <c r="C2927" s="2">
        <f>_xlfn.XLOOKUP(A2927,'[1]Tissue Data'!$A:$A,'[1]Tissue Data'!$D:$D)</f>
        <v>44314</v>
      </c>
      <c r="D2927" s="2" t="str">
        <f>_xlfn.XLOOKUP(A2927,'[1]Tissue Data'!$A:$A,'[1]Tissue Data'!$F:$F)</f>
        <v>Swallowtail Shiner</v>
      </c>
      <c r="E2927" t="str">
        <f>_xlfn.XLOOKUP(A2927,'[1]Tissue Data'!$A:$A,'[1]Tissue Data'!$H:$H)</f>
        <v>Notropis</v>
      </c>
      <c r="F2927" t="str">
        <f>_xlfn.XLOOKUP(A2927,'[1]Tissue Data'!$A:$A,'[1]Tissue Data'!$I:$I)</f>
        <v>procne</v>
      </c>
      <c r="G2927" t="str">
        <f>_xlfn.XLOOKUP(A2927,'[1]Tissue Data'!$A:$A,'[1]Tissue Data'!J:J)</f>
        <v>U</v>
      </c>
      <c r="H2927" t="str">
        <f>_xlfn.XLOOKUP(A2927,'[1]Tissue Data'!$A:$A,'[1]Tissue Data'!K:K)</f>
        <v>Whole Body</v>
      </c>
      <c r="I2927">
        <f>_xlfn.XLOOKUP(A2927,'[1]Tissue Data'!$A:$A,'[1]Tissue Data'!L:L)</f>
        <v>5.5</v>
      </c>
      <c r="J2927">
        <f>_xlfn.XLOOKUP(A2927,'[1]Tissue Data'!$A:$A,'[1]Tissue Data'!M:M)</f>
        <v>2.15</v>
      </c>
      <c r="K2927" t="s">
        <v>37</v>
      </c>
      <c r="L2927" t="str">
        <f>_xlfn.XLOOKUP(K2927,[2]analyte_order!$B:$B,[2]analyte_order!$C:$C)</f>
        <v>754-91-6</v>
      </c>
      <c r="M2927">
        <f>_xlfn.XLOOKUP(L2927,[2]analyte_order!$C:$C,[2]analyte_order!$E:$E)</f>
        <v>28</v>
      </c>
      <c r="N2927">
        <v>28.2</v>
      </c>
    </row>
    <row r="2928" spans="1:14">
      <c r="A2928" t="s">
        <v>197</v>
      </c>
      <c r="B2928" t="str">
        <f>_xlfn.XLOOKUP(A2928,'[1]Tissue Data'!$A:$A,'[1]Tissue Data'!$C:$C)</f>
        <v>Spill</v>
      </c>
      <c r="C2928" s="2">
        <f>_xlfn.XLOOKUP(A2928,'[1]Tissue Data'!$A:$A,'[1]Tissue Data'!$D:$D)</f>
        <v>44314</v>
      </c>
      <c r="D2928" s="2" t="str">
        <f>_xlfn.XLOOKUP(A2928,'[1]Tissue Data'!$A:$A,'[1]Tissue Data'!$F:$F)</f>
        <v>Swallowtail Shiner</v>
      </c>
      <c r="E2928" t="str">
        <f>_xlfn.XLOOKUP(A2928,'[1]Tissue Data'!$A:$A,'[1]Tissue Data'!$H:$H)</f>
        <v>Notropis</v>
      </c>
      <c r="F2928" t="str">
        <f>_xlfn.XLOOKUP(A2928,'[1]Tissue Data'!$A:$A,'[1]Tissue Data'!$I:$I)</f>
        <v>procne</v>
      </c>
      <c r="G2928" t="str">
        <f>_xlfn.XLOOKUP(A2928,'[1]Tissue Data'!$A:$A,'[1]Tissue Data'!J:J)</f>
        <v>U</v>
      </c>
      <c r="H2928" t="str">
        <f>_xlfn.XLOOKUP(A2928,'[1]Tissue Data'!$A:$A,'[1]Tissue Data'!K:K)</f>
        <v>Whole Body</v>
      </c>
      <c r="I2928">
        <f>_xlfn.XLOOKUP(A2928,'[1]Tissue Data'!$A:$A,'[1]Tissue Data'!L:L)</f>
        <v>5.5</v>
      </c>
      <c r="J2928">
        <f>_xlfn.XLOOKUP(A2928,'[1]Tissue Data'!$A:$A,'[1]Tissue Data'!M:M)</f>
        <v>2.15</v>
      </c>
      <c r="K2928" t="s">
        <v>38</v>
      </c>
      <c r="L2928" t="str">
        <f>_xlfn.XLOOKUP(K2928,[2]analyte_order!$B:$B,[2]analyte_order!$C:$C)</f>
        <v>31506-32-8</v>
      </c>
      <c r="M2928">
        <f>_xlfn.XLOOKUP(L2928,[2]analyte_order!$C:$C,[2]analyte_order!$E:$E)</f>
        <v>30</v>
      </c>
      <c r="N2928">
        <v>5.1499999999999997E-2</v>
      </c>
    </row>
    <row r="2929" spans="1:14">
      <c r="A2929" t="s">
        <v>197</v>
      </c>
      <c r="B2929" t="str">
        <f>_xlfn.XLOOKUP(A2929,'[1]Tissue Data'!$A:$A,'[1]Tissue Data'!$C:$C)</f>
        <v>Spill</v>
      </c>
      <c r="C2929" s="2">
        <f>_xlfn.XLOOKUP(A2929,'[1]Tissue Data'!$A:$A,'[1]Tissue Data'!$D:$D)</f>
        <v>44314</v>
      </c>
      <c r="D2929" s="2" t="str">
        <f>_xlfn.XLOOKUP(A2929,'[1]Tissue Data'!$A:$A,'[1]Tissue Data'!$F:$F)</f>
        <v>Swallowtail Shiner</v>
      </c>
      <c r="E2929" t="str">
        <f>_xlfn.XLOOKUP(A2929,'[1]Tissue Data'!$A:$A,'[1]Tissue Data'!$H:$H)</f>
        <v>Notropis</v>
      </c>
      <c r="F2929" t="str">
        <f>_xlfn.XLOOKUP(A2929,'[1]Tissue Data'!$A:$A,'[1]Tissue Data'!$I:$I)</f>
        <v>procne</v>
      </c>
      <c r="G2929" t="str">
        <f>_xlfn.XLOOKUP(A2929,'[1]Tissue Data'!$A:$A,'[1]Tissue Data'!J:J)</f>
        <v>U</v>
      </c>
      <c r="H2929" t="str">
        <f>_xlfn.XLOOKUP(A2929,'[1]Tissue Data'!$A:$A,'[1]Tissue Data'!K:K)</f>
        <v>Whole Body</v>
      </c>
      <c r="I2929">
        <f>_xlfn.XLOOKUP(A2929,'[1]Tissue Data'!$A:$A,'[1]Tissue Data'!L:L)</f>
        <v>5.5</v>
      </c>
      <c r="J2929">
        <f>_xlfn.XLOOKUP(A2929,'[1]Tissue Data'!$A:$A,'[1]Tissue Data'!M:M)</f>
        <v>2.15</v>
      </c>
      <c r="K2929" t="s">
        <v>39</v>
      </c>
      <c r="L2929" t="str">
        <f>_xlfn.XLOOKUP(K2929,[2]analyte_order!$B:$B,[2]analyte_order!$C:$C)</f>
        <v>4151-50-2</v>
      </c>
      <c r="M2929">
        <f>_xlfn.XLOOKUP(L2929,[2]analyte_order!$C:$C,[2]analyte_order!$E:$E)</f>
        <v>31</v>
      </c>
      <c r="N2929">
        <v>7.8E-2</v>
      </c>
    </row>
    <row r="2930" spans="1:14">
      <c r="A2930" t="s">
        <v>197</v>
      </c>
      <c r="B2930" t="str">
        <f>_xlfn.XLOOKUP(A2930,'[1]Tissue Data'!$A:$A,'[1]Tissue Data'!$C:$C)</f>
        <v>Spill</v>
      </c>
      <c r="C2930" s="2">
        <f>_xlfn.XLOOKUP(A2930,'[1]Tissue Data'!$A:$A,'[1]Tissue Data'!$D:$D)</f>
        <v>44314</v>
      </c>
      <c r="D2930" s="2" t="str">
        <f>_xlfn.XLOOKUP(A2930,'[1]Tissue Data'!$A:$A,'[1]Tissue Data'!$F:$F)</f>
        <v>Swallowtail Shiner</v>
      </c>
      <c r="E2930" t="str">
        <f>_xlfn.XLOOKUP(A2930,'[1]Tissue Data'!$A:$A,'[1]Tissue Data'!$H:$H)</f>
        <v>Notropis</v>
      </c>
      <c r="F2930" t="str">
        <f>_xlfn.XLOOKUP(A2930,'[1]Tissue Data'!$A:$A,'[1]Tissue Data'!$I:$I)</f>
        <v>procne</v>
      </c>
      <c r="G2930" t="str">
        <f>_xlfn.XLOOKUP(A2930,'[1]Tissue Data'!$A:$A,'[1]Tissue Data'!J:J)</f>
        <v>U</v>
      </c>
      <c r="H2930" t="str">
        <f>_xlfn.XLOOKUP(A2930,'[1]Tissue Data'!$A:$A,'[1]Tissue Data'!K:K)</f>
        <v>Whole Body</v>
      </c>
      <c r="I2930">
        <f>_xlfn.XLOOKUP(A2930,'[1]Tissue Data'!$A:$A,'[1]Tissue Data'!L:L)</f>
        <v>5.5</v>
      </c>
      <c r="J2930">
        <f>_xlfn.XLOOKUP(A2930,'[1]Tissue Data'!$A:$A,'[1]Tissue Data'!M:M)</f>
        <v>2.15</v>
      </c>
      <c r="K2930" t="s">
        <v>40</v>
      </c>
      <c r="L2930" t="str">
        <f>_xlfn.XLOOKUP(K2930,[2]analyte_order!$B:$B,[2]analyte_order!$C:$C)</f>
        <v>2806-24-8</v>
      </c>
      <c r="M2930">
        <f>_xlfn.XLOOKUP(L2930,[2]analyte_order!$C:$C,[2]analyte_order!$E:$E)</f>
        <v>29</v>
      </c>
      <c r="N2930">
        <v>5.2499999999999998E-2</v>
      </c>
    </row>
    <row r="2931" spans="1:14">
      <c r="A2931" t="s">
        <v>197</v>
      </c>
      <c r="B2931" t="str">
        <f>_xlfn.XLOOKUP(A2931,'[1]Tissue Data'!$A:$A,'[1]Tissue Data'!$C:$C)</f>
        <v>Spill</v>
      </c>
      <c r="C2931" s="2">
        <f>_xlfn.XLOOKUP(A2931,'[1]Tissue Data'!$A:$A,'[1]Tissue Data'!$D:$D)</f>
        <v>44314</v>
      </c>
      <c r="D2931" s="2" t="str">
        <f>_xlfn.XLOOKUP(A2931,'[1]Tissue Data'!$A:$A,'[1]Tissue Data'!$F:$F)</f>
        <v>Swallowtail Shiner</v>
      </c>
      <c r="E2931" t="str">
        <f>_xlfn.XLOOKUP(A2931,'[1]Tissue Data'!$A:$A,'[1]Tissue Data'!$H:$H)</f>
        <v>Notropis</v>
      </c>
      <c r="F2931" t="str">
        <f>_xlfn.XLOOKUP(A2931,'[1]Tissue Data'!$A:$A,'[1]Tissue Data'!$I:$I)</f>
        <v>procne</v>
      </c>
      <c r="G2931" t="str">
        <f>_xlfn.XLOOKUP(A2931,'[1]Tissue Data'!$A:$A,'[1]Tissue Data'!J:J)</f>
        <v>U</v>
      </c>
      <c r="H2931" t="str">
        <f>_xlfn.XLOOKUP(A2931,'[1]Tissue Data'!$A:$A,'[1]Tissue Data'!K:K)</f>
        <v>Whole Body</v>
      </c>
      <c r="I2931">
        <f>_xlfn.XLOOKUP(A2931,'[1]Tissue Data'!$A:$A,'[1]Tissue Data'!L:L)</f>
        <v>5.5</v>
      </c>
      <c r="J2931">
        <f>_xlfn.XLOOKUP(A2931,'[1]Tissue Data'!$A:$A,'[1]Tissue Data'!M:M)</f>
        <v>2.15</v>
      </c>
      <c r="K2931" t="s">
        <v>41</v>
      </c>
      <c r="L2931" t="str">
        <f>_xlfn.XLOOKUP(K2931,[2]analyte_order!$B:$B,[2]analyte_order!$C:$C)</f>
        <v>2355-31-9</v>
      </c>
      <c r="M2931">
        <f>_xlfn.XLOOKUP(L2931,[2]analyte_order!$C:$C,[2]analyte_order!$E:$E)</f>
        <v>26</v>
      </c>
      <c r="N2931">
        <v>0.2215</v>
      </c>
    </row>
    <row r="2932" spans="1:14">
      <c r="A2932" t="s">
        <v>197</v>
      </c>
      <c r="B2932" t="str">
        <f>_xlfn.XLOOKUP(A2932,'[1]Tissue Data'!$A:$A,'[1]Tissue Data'!$C:$C)</f>
        <v>Spill</v>
      </c>
      <c r="C2932" s="2">
        <f>_xlfn.XLOOKUP(A2932,'[1]Tissue Data'!$A:$A,'[1]Tissue Data'!$D:$D)</f>
        <v>44314</v>
      </c>
      <c r="D2932" s="2" t="str">
        <f>_xlfn.XLOOKUP(A2932,'[1]Tissue Data'!$A:$A,'[1]Tissue Data'!$F:$F)</f>
        <v>Swallowtail Shiner</v>
      </c>
      <c r="E2932" t="str">
        <f>_xlfn.XLOOKUP(A2932,'[1]Tissue Data'!$A:$A,'[1]Tissue Data'!$H:$H)</f>
        <v>Notropis</v>
      </c>
      <c r="F2932" t="str">
        <f>_xlfn.XLOOKUP(A2932,'[1]Tissue Data'!$A:$A,'[1]Tissue Data'!$I:$I)</f>
        <v>procne</v>
      </c>
      <c r="G2932" t="str">
        <f>_xlfn.XLOOKUP(A2932,'[1]Tissue Data'!$A:$A,'[1]Tissue Data'!J:J)</f>
        <v>U</v>
      </c>
      <c r="H2932" t="str">
        <f>_xlfn.XLOOKUP(A2932,'[1]Tissue Data'!$A:$A,'[1]Tissue Data'!K:K)</f>
        <v>Whole Body</v>
      </c>
      <c r="I2932">
        <f>_xlfn.XLOOKUP(A2932,'[1]Tissue Data'!$A:$A,'[1]Tissue Data'!L:L)</f>
        <v>5.5</v>
      </c>
      <c r="J2932">
        <f>_xlfn.XLOOKUP(A2932,'[1]Tissue Data'!$A:$A,'[1]Tissue Data'!M:M)</f>
        <v>2.15</v>
      </c>
      <c r="K2932" t="s">
        <v>42</v>
      </c>
      <c r="L2932" t="str">
        <f>_xlfn.XLOOKUP(K2932,[2]analyte_order!$B:$B,[2]analyte_order!$C:$C)</f>
        <v>2991-50-6</v>
      </c>
      <c r="M2932">
        <f>_xlfn.XLOOKUP(L2932,[2]analyte_order!$C:$C,[2]analyte_order!$E:$E)</f>
        <v>27</v>
      </c>
      <c r="N2932">
        <v>5.8000000000000003E-2</v>
      </c>
    </row>
    <row r="2933" spans="1:14">
      <c r="A2933" t="s">
        <v>197</v>
      </c>
      <c r="B2933" t="str">
        <f>_xlfn.XLOOKUP(A2933,'[1]Tissue Data'!$A:$A,'[1]Tissue Data'!$C:$C)</f>
        <v>Spill</v>
      </c>
      <c r="C2933" s="2">
        <f>_xlfn.XLOOKUP(A2933,'[1]Tissue Data'!$A:$A,'[1]Tissue Data'!$D:$D)</f>
        <v>44314</v>
      </c>
      <c r="D2933" s="2" t="str">
        <f>_xlfn.XLOOKUP(A2933,'[1]Tissue Data'!$A:$A,'[1]Tissue Data'!$F:$F)</f>
        <v>Swallowtail Shiner</v>
      </c>
      <c r="E2933" t="str">
        <f>_xlfn.XLOOKUP(A2933,'[1]Tissue Data'!$A:$A,'[1]Tissue Data'!$H:$H)</f>
        <v>Notropis</v>
      </c>
      <c r="F2933" t="str">
        <f>_xlfn.XLOOKUP(A2933,'[1]Tissue Data'!$A:$A,'[1]Tissue Data'!$I:$I)</f>
        <v>procne</v>
      </c>
      <c r="G2933" t="str">
        <f>_xlfn.XLOOKUP(A2933,'[1]Tissue Data'!$A:$A,'[1]Tissue Data'!J:J)</f>
        <v>U</v>
      </c>
      <c r="H2933" t="str">
        <f>_xlfn.XLOOKUP(A2933,'[1]Tissue Data'!$A:$A,'[1]Tissue Data'!K:K)</f>
        <v>Whole Body</v>
      </c>
      <c r="I2933">
        <f>_xlfn.XLOOKUP(A2933,'[1]Tissue Data'!$A:$A,'[1]Tissue Data'!L:L)</f>
        <v>5.5</v>
      </c>
      <c r="J2933">
        <f>_xlfn.XLOOKUP(A2933,'[1]Tissue Data'!$A:$A,'[1]Tissue Data'!M:M)</f>
        <v>2.15</v>
      </c>
      <c r="K2933" t="s">
        <v>43</v>
      </c>
      <c r="L2933" t="str">
        <f>_xlfn.XLOOKUP(K2933,[2]analyte_order!$B:$B,[2]analyte_order!$C:$C)</f>
        <v>757124-72-4</v>
      </c>
      <c r="M2933">
        <f>_xlfn.XLOOKUP(L2933,[2]analyte_order!$C:$C,[2]analyte_order!$E:$E)</f>
        <v>22</v>
      </c>
      <c r="N2933">
        <v>5.5E-2</v>
      </c>
    </row>
    <row r="2934" spans="1:14">
      <c r="A2934" t="s">
        <v>197</v>
      </c>
      <c r="B2934" t="str">
        <f>_xlfn.XLOOKUP(A2934,'[1]Tissue Data'!$A:$A,'[1]Tissue Data'!$C:$C)</f>
        <v>Spill</v>
      </c>
      <c r="C2934" s="2">
        <f>_xlfn.XLOOKUP(A2934,'[1]Tissue Data'!$A:$A,'[1]Tissue Data'!$D:$D)</f>
        <v>44314</v>
      </c>
      <c r="D2934" s="2" t="str">
        <f>_xlfn.XLOOKUP(A2934,'[1]Tissue Data'!$A:$A,'[1]Tissue Data'!$F:$F)</f>
        <v>Swallowtail Shiner</v>
      </c>
      <c r="E2934" t="str">
        <f>_xlfn.XLOOKUP(A2934,'[1]Tissue Data'!$A:$A,'[1]Tissue Data'!$H:$H)</f>
        <v>Notropis</v>
      </c>
      <c r="F2934" t="str">
        <f>_xlfn.XLOOKUP(A2934,'[1]Tissue Data'!$A:$A,'[1]Tissue Data'!$I:$I)</f>
        <v>procne</v>
      </c>
      <c r="G2934" t="str">
        <f>_xlfn.XLOOKUP(A2934,'[1]Tissue Data'!$A:$A,'[1]Tissue Data'!J:J)</f>
        <v>U</v>
      </c>
      <c r="H2934" t="str">
        <f>_xlfn.XLOOKUP(A2934,'[1]Tissue Data'!$A:$A,'[1]Tissue Data'!K:K)</f>
        <v>Whole Body</v>
      </c>
      <c r="I2934">
        <f>_xlfn.XLOOKUP(A2934,'[1]Tissue Data'!$A:$A,'[1]Tissue Data'!L:L)</f>
        <v>5.5</v>
      </c>
      <c r="J2934">
        <f>_xlfn.XLOOKUP(A2934,'[1]Tissue Data'!$A:$A,'[1]Tissue Data'!M:M)</f>
        <v>2.15</v>
      </c>
      <c r="K2934" t="s">
        <v>44</v>
      </c>
      <c r="L2934" t="str">
        <f>_xlfn.XLOOKUP(K2934,[2]analyte_order!$B:$B,[2]analyte_order!$C:$C)</f>
        <v>27619-97-2</v>
      </c>
      <c r="M2934">
        <f>_xlfn.XLOOKUP(L2934,[2]analyte_order!$C:$C,[2]analyte_order!$E:$E)</f>
        <v>23</v>
      </c>
      <c r="N2934">
        <v>0.74</v>
      </c>
    </row>
    <row r="2935" spans="1:14">
      <c r="A2935" t="s">
        <v>197</v>
      </c>
      <c r="B2935" t="str">
        <f>_xlfn.XLOOKUP(A2935,'[1]Tissue Data'!$A:$A,'[1]Tissue Data'!$C:$C)</f>
        <v>Spill</v>
      </c>
      <c r="C2935" s="2">
        <f>_xlfn.XLOOKUP(A2935,'[1]Tissue Data'!$A:$A,'[1]Tissue Data'!$D:$D)</f>
        <v>44314</v>
      </c>
      <c r="D2935" s="2" t="str">
        <f>_xlfn.XLOOKUP(A2935,'[1]Tissue Data'!$A:$A,'[1]Tissue Data'!$F:$F)</f>
        <v>Swallowtail Shiner</v>
      </c>
      <c r="E2935" t="str">
        <f>_xlfn.XLOOKUP(A2935,'[1]Tissue Data'!$A:$A,'[1]Tissue Data'!$H:$H)</f>
        <v>Notropis</v>
      </c>
      <c r="F2935" t="str">
        <f>_xlfn.XLOOKUP(A2935,'[1]Tissue Data'!$A:$A,'[1]Tissue Data'!$I:$I)</f>
        <v>procne</v>
      </c>
      <c r="G2935" t="str">
        <f>_xlfn.XLOOKUP(A2935,'[1]Tissue Data'!$A:$A,'[1]Tissue Data'!J:J)</f>
        <v>U</v>
      </c>
      <c r="H2935" t="str">
        <f>_xlfn.XLOOKUP(A2935,'[1]Tissue Data'!$A:$A,'[1]Tissue Data'!K:K)</f>
        <v>Whole Body</v>
      </c>
      <c r="I2935">
        <f>_xlfn.XLOOKUP(A2935,'[1]Tissue Data'!$A:$A,'[1]Tissue Data'!L:L)</f>
        <v>5.5</v>
      </c>
      <c r="J2935">
        <f>_xlfn.XLOOKUP(A2935,'[1]Tissue Data'!$A:$A,'[1]Tissue Data'!M:M)</f>
        <v>2.15</v>
      </c>
      <c r="K2935" t="s">
        <v>45</v>
      </c>
      <c r="L2935" t="str">
        <f>_xlfn.XLOOKUP(K2935,[2]analyte_order!$B:$B,[2]analyte_order!$C:$C)</f>
        <v>39108-34-4</v>
      </c>
      <c r="M2935">
        <f>_xlfn.XLOOKUP(L2935,[2]analyte_order!$C:$C,[2]analyte_order!$E:$E)</f>
        <v>24</v>
      </c>
      <c r="N2935">
        <v>20.7</v>
      </c>
    </row>
    <row r="2936" spans="1:14">
      <c r="A2936" t="s">
        <v>197</v>
      </c>
      <c r="B2936" t="str">
        <f>_xlfn.XLOOKUP(A2936,'[1]Tissue Data'!$A:$A,'[1]Tissue Data'!$C:$C)</f>
        <v>Spill</v>
      </c>
      <c r="C2936" s="2">
        <f>_xlfn.XLOOKUP(A2936,'[1]Tissue Data'!$A:$A,'[1]Tissue Data'!$D:$D)</f>
        <v>44314</v>
      </c>
      <c r="D2936" s="2" t="str">
        <f>_xlfn.XLOOKUP(A2936,'[1]Tissue Data'!$A:$A,'[1]Tissue Data'!$F:$F)</f>
        <v>Swallowtail Shiner</v>
      </c>
      <c r="E2936" t="str">
        <f>_xlfn.XLOOKUP(A2936,'[1]Tissue Data'!$A:$A,'[1]Tissue Data'!$H:$H)</f>
        <v>Notropis</v>
      </c>
      <c r="F2936" t="str">
        <f>_xlfn.XLOOKUP(A2936,'[1]Tissue Data'!$A:$A,'[1]Tissue Data'!$I:$I)</f>
        <v>procne</v>
      </c>
      <c r="G2936" t="str">
        <f>_xlfn.XLOOKUP(A2936,'[1]Tissue Data'!$A:$A,'[1]Tissue Data'!J:J)</f>
        <v>U</v>
      </c>
      <c r="H2936" t="str">
        <f>_xlfn.XLOOKUP(A2936,'[1]Tissue Data'!$A:$A,'[1]Tissue Data'!K:K)</f>
        <v>Whole Body</v>
      </c>
      <c r="I2936">
        <f>_xlfn.XLOOKUP(A2936,'[1]Tissue Data'!$A:$A,'[1]Tissue Data'!L:L)</f>
        <v>5.5</v>
      </c>
      <c r="J2936">
        <f>_xlfn.XLOOKUP(A2936,'[1]Tissue Data'!$A:$A,'[1]Tissue Data'!M:M)</f>
        <v>2.15</v>
      </c>
      <c r="K2936" t="s">
        <v>46</v>
      </c>
      <c r="L2936" t="str">
        <f>_xlfn.XLOOKUP(K2936,[2]analyte_order!$B:$B,[2]analyte_order!$C:$C)</f>
        <v>120226-60-0</v>
      </c>
      <c r="M2936">
        <f>_xlfn.XLOOKUP(L2936,[2]analyte_order!$C:$C,[2]analyte_order!$E:$E)</f>
        <v>25</v>
      </c>
      <c r="N2936">
        <v>0.25</v>
      </c>
    </row>
    <row r="2937" spans="1:14">
      <c r="A2937" t="s">
        <v>197</v>
      </c>
      <c r="B2937" t="str">
        <f>_xlfn.XLOOKUP(A2937,'[1]Tissue Data'!$A:$A,'[1]Tissue Data'!$C:$C)</f>
        <v>Spill</v>
      </c>
      <c r="C2937" s="2">
        <f>_xlfn.XLOOKUP(A2937,'[1]Tissue Data'!$A:$A,'[1]Tissue Data'!$D:$D)</f>
        <v>44314</v>
      </c>
      <c r="D2937" s="2" t="str">
        <f>_xlfn.XLOOKUP(A2937,'[1]Tissue Data'!$A:$A,'[1]Tissue Data'!$F:$F)</f>
        <v>Swallowtail Shiner</v>
      </c>
      <c r="E2937" t="str">
        <f>_xlfn.XLOOKUP(A2937,'[1]Tissue Data'!$A:$A,'[1]Tissue Data'!$H:$H)</f>
        <v>Notropis</v>
      </c>
      <c r="F2937" t="str">
        <f>_xlfn.XLOOKUP(A2937,'[1]Tissue Data'!$A:$A,'[1]Tissue Data'!$I:$I)</f>
        <v>procne</v>
      </c>
      <c r="G2937" t="str">
        <f>_xlfn.XLOOKUP(A2937,'[1]Tissue Data'!$A:$A,'[1]Tissue Data'!J:J)</f>
        <v>U</v>
      </c>
      <c r="H2937" t="str">
        <f>_xlfn.XLOOKUP(A2937,'[1]Tissue Data'!$A:$A,'[1]Tissue Data'!K:K)</f>
        <v>Whole Body</v>
      </c>
      <c r="I2937">
        <f>_xlfn.XLOOKUP(A2937,'[1]Tissue Data'!$A:$A,'[1]Tissue Data'!L:L)</f>
        <v>5.5</v>
      </c>
      <c r="J2937">
        <f>_xlfn.XLOOKUP(A2937,'[1]Tissue Data'!$A:$A,'[1]Tissue Data'!M:M)</f>
        <v>2.15</v>
      </c>
      <c r="K2937" t="s">
        <v>47</v>
      </c>
      <c r="L2937" t="str">
        <f>_xlfn.XLOOKUP(K2937,[2]analyte_order!$B:$B,[2]analyte_order!$C:$C)</f>
        <v>356-02-5</v>
      </c>
      <c r="M2937">
        <f>_xlfn.XLOOKUP(L2937,[2]analyte_order!$C:$C,[2]analyte_order!$E:$E)</f>
        <v>38</v>
      </c>
      <c r="N2937">
        <v>7.6999999999999999E-2</v>
      </c>
    </row>
    <row r="2938" spans="1:14">
      <c r="A2938" t="s">
        <v>197</v>
      </c>
      <c r="B2938" t="str">
        <f>_xlfn.XLOOKUP(A2938,'[1]Tissue Data'!$A:$A,'[1]Tissue Data'!$C:$C)</f>
        <v>Spill</v>
      </c>
      <c r="C2938" s="2">
        <f>_xlfn.XLOOKUP(A2938,'[1]Tissue Data'!$A:$A,'[1]Tissue Data'!$D:$D)</f>
        <v>44314</v>
      </c>
      <c r="D2938" s="2" t="str">
        <f>_xlfn.XLOOKUP(A2938,'[1]Tissue Data'!$A:$A,'[1]Tissue Data'!$F:$F)</f>
        <v>Swallowtail Shiner</v>
      </c>
      <c r="E2938" t="str">
        <f>_xlfn.XLOOKUP(A2938,'[1]Tissue Data'!$A:$A,'[1]Tissue Data'!$H:$H)</f>
        <v>Notropis</v>
      </c>
      <c r="F2938" t="str">
        <f>_xlfn.XLOOKUP(A2938,'[1]Tissue Data'!$A:$A,'[1]Tissue Data'!$I:$I)</f>
        <v>procne</v>
      </c>
      <c r="G2938" t="str">
        <f>_xlfn.XLOOKUP(A2938,'[1]Tissue Data'!$A:$A,'[1]Tissue Data'!J:J)</f>
        <v>U</v>
      </c>
      <c r="H2938" t="str">
        <f>_xlfn.XLOOKUP(A2938,'[1]Tissue Data'!$A:$A,'[1]Tissue Data'!K:K)</f>
        <v>Whole Body</v>
      </c>
      <c r="I2938">
        <f>_xlfn.XLOOKUP(A2938,'[1]Tissue Data'!$A:$A,'[1]Tissue Data'!L:L)</f>
        <v>5.5</v>
      </c>
      <c r="J2938">
        <f>_xlfn.XLOOKUP(A2938,'[1]Tissue Data'!$A:$A,'[1]Tissue Data'!M:M)</f>
        <v>2.15</v>
      </c>
      <c r="K2938" t="s">
        <v>48</v>
      </c>
      <c r="L2938" t="str">
        <f>_xlfn.XLOOKUP(K2938,[2]analyte_order!$B:$B,[2]analyte_order!$C:$C)</f>
        <v>914637-49-3</v>
      </c>
      <c r="M2938">
        <f>_xlfn.XLOOKUP(L2938,[2]analyte_order!$C:$C,[2]analyte_order!$E:$E)</f>
        <v>39</v>
      </c>
      <c r="N2938">
        <v>5.0500000000000003E-2</v>
      </c>
    </row>
    <row r="2939" spans="1:14">
      <c r="A2939" t="s">
        <v>197</v>
      </c>
      <c r="B2939" t="str">
        <f>_xlfn.XLOOKUP(A2939,'[1]Tissue Data'!$A:$A,'[1]Tissue Data'!$C:$C)</f>
        <v>Spill</v>
      </c>
      <c r="C2939" s="2">
        <f>_xlfn.XLOOKUP(A2939,'[1]Tissue Data'!$A:$A,'[1]Tissue Data'!$D:$D)</f>
        <v>44314</v>
      </c>
      <c r="D2939" s="2" t="str">
        <f>_xlfn.XLOOKUP(A2939,'[1]Tissue Data'!$A:$A,'[1]Tissue Data'!$F:$F)</f>
        <v>Swallowtail Shiner</v>
      </c>
      <c r="E2939" t="str">
        <f>_xlfn.XLOOKUP(A2939,'[1]Tissue Data'!$A:$A,'[1]Tissue Data'!$H:$H)</f>
        <v>Notropis</v>
      </c>
      <c r="F2939" t="str">
        <f>_xlfn.XLOOKUP(A2939,'[1]Tissue Data'!$A:$A,'[1]Tissue Data'!$I:$I)</f>
        <v>procne</v>
      </c>
      <c r="G2939" t="str">
        <f>_xlfn.XLOOKUP(A2939,'[1]Tissue Data'!$A:$A,'[1]Tissue Data'!J:J)</f>
        <v>U</v>
      </c>
      <c r="H2939" t="str">
        <f>_xlfn.XLOOKUP(A2939,'[1]Tissue Data'!$A:$A,'[1]Tissue Data'!K:K)</f>
        <v>Whole Body</v>
      </c>
      <c r="I2939">
        <f>_xlfn.XLOOKUP(A2939,'[1]Tissue Data'!$A:$A,'[1]Tissue Data'!L:L)</f>
        <v>5.5</v>
      </c>
      <c r="J2939">
        <f>_xlfn.XLOOKUP(A2939,'[1]Tissue Data'!$A:$A,'[1]Tissue Data'!M:M)</f>
        <v>2.15</v>
      </c>
      <c r="K2939" t="s">
        <v>49</v>
      </c>
      <c r="L2939" t="str">
        <f>_xlfn.XLOOKUP(K2939,[2]analyte_order!$B:$B,[2]analyte_order!$C:$C)</f>
        <v>812-70-4</v>
      </c>
      <c r="M2939">
        <f>_xlfn.XLOOKUP(L2939,[2]analyte_order!$C:$C,[2]analyte_order!$E:$E)</f>
        <v>40</v>
      </c>
      <c r="N2939">
        <v>4.93</v>
      </c>
    </row>
    <row r="2940" spans="1:14">
      <c r="A2940" t="s">
        <v>197</v>
      </c>
      <c r="B2940" t="str">
        <f>_xlfn.XLOOKUP(A2940,'[1]Tissue Data'!$A:$A,'[1]Tissue Data'!$C:$C)</f>
        <v>Spill</v>
      </c>
      <c r="C2940" s="2">
        <f>_xlfn.XLOOKUP(A2940,'[1]Tissue Data'!$A:$A,'[1]Tissue Data'!$D:$D)</f>
        <v>44314</v>
      </c>
      <c r="D2940" s="2" t="str">
        <f>_xlfn.XLOOKUP(A2940,'[1]Tissue Data'!$A:$A,'[1]Tissue Data'!$F:$F)</f>
        <v>Swallowtail Shiner</v>
      </c>
      <c r="E2940" t="str">
        <f>_xlfn.XLOOKUP(A2940,'[1]Tissue Data'!$A:$A,'[1]Tissue Data'!$H:$H)</f>
        <v>Notropis</v>
      </c>
      <c r="F2940" t="str">
        <f>_xlfn.XLOOKUP(A2940,'[1]Tissue Data'!$A:$A,'[1]Tissue Data'!$I:$I)</f>
        <v>procne</v>
      </c>
      <c r="G2940" t="str">
        <f>_xlfn.XLOOKUP(A2940,'[1]Tissue Data'!$A:$A,'[1]Tissue Data'!J:J)</f>
        <v>U</v>
      </c>
      <c r="H2940" t="str">
        <f>_xlfn.XLOOKUP(A2940,'[1]Tissue Data'!$A:$A,'[1]Tissue Data'!K:K)</f>
        <v>Whole Body</v>
      </c>
      <c r="I2940">
        <f>_xlfn.XLOOKUP(A2940,'[1]Tissue Data'!$A:$A,'[1]Tissue Data'!L:L)</f>
        <v>5.5</v>
      </c>
      <c r="J2940">
        <f>_xlfn.XLOOKUP(A2940,'[1]Tissue Data'!$A:$A,'[1]Tissue Data'!M:M)</f>
        <v>2.15</v>
      </c>
      <c r="K2940" t="s">
        <v>50</v>
      </c>
      <c r="L2940" t="str">
        <f>_xlfn.XLOOKUP(K2940,[2]analyte_order!$B:$B,[2]analyte_order!$C:$C)</f>
        <v>53826-12-3</v>
      </c>
      <c r="M2940">
        <f>_xlfn.XLOOKUP(L2940,[2]analyte_order!$C:$C,[2]analyte_order!$E:$E)</f>
        <v>41</v>
      </c>
      <c r="N2940">
        <v>4.2900000000000001E-2</v>
      </c>
    </row>
    <row r="2941" spans="1:14">
      <c r="A2941" t="s">
        <v>197</v>
      </c>
      <c r="B2941" t="str">
        <f>_xlfn.XLOOKUP(A2941,'[1]Tissue Data'!$A:$A,'[1]Tissue Data'!$C:$C)</f>
        <v>Spill</v>
      </c>
      <c r="C2941" s="2">
        <f>_xlfn.XLOOKUP(A2941,'[1]Tissue Data'!$A:$A,'[1]Tissue Data'!$D:$D)</f>
        <v>44314</v>
      </c>
      <c r="D2941" s="2" t="str">
        <f>_xlfn.XLOOKUP(A2941,'[1]Tissue Data'!$A:$A,'[1]Tissue Data'!$F:$F)</f>
        <v>Swallowtail Shiner</v>
      </c>
      <c r="E2941" t="str">
        <f>_xlfn.XLOOKUP(A2941,'[1]Tissue Data'!$A:$A,'[1]Tissue Data'!$H:$H)</f>
        <v>Notropis</v>
      </c>
      <c r="F2941" t="str">
        <f>_xlfn.XLOOKUP(A2941,'[1]Tissue Data'!$A:$A,'[1]Tissue Data'!$I:$I)</f>
        <v>procne</v>
      </c>
      <c r="G2941" t="str">
        <f>_xlfn.XLOOKUP(A2941,'[1]Tissue Data'!$A:$A,'[1]Tissue Data'!J:J)</f>
        <v>U</v>
      </c>
      <c r="H2941" t="str">
        <f>_xlfn.XLOOKUP(A2941,'[1]Tissue Data'!$A:$A,'[1]Tissue Data'!K:K)</f>
        <v>Whole Body</v>
      </c>
      <c r="I2941">
        <f>_xlfn.XLOOKUP(A2941,'[1]Tissue Data'!$A:$A,'[1]Tissue Data'!L:L)</f>
        <v>5.5</v>
      </c>
      <c r="J2941">
        <f>_xlfn.XLOOKUP(A2941,'[1]Tissue Data'!$A:$A,'[1]Tissue Data'!M:M)</f>
        <v>2.15</v>
      </c>
      <c r="K2941" t="s">
        <v>51</v>
      </c>
      <c r="L2941" t="str">
        <f>_xlfn.XLOOKUP(K2941,[2]analyte_order!$B:$B,[2]analyte_order!$C:$C)</f>
        <v>27854-31-5</v>
      </c>
      <c r="M2941">
        <f>_xlfn.XLOOKUP(L2941,[2]analyte_order!$C:$C,[2]analyte_order!$E:$E)</f>
        <v>42</v>
      </c>
      <c r="N2941">
        <v>2.665E-2</v>
      </c>
    </row>
    <row r="2942" spans="1:14">
      <c r="A2942" t="s">
        <v>197</v>
      </c>
      <c r="B2942" t="str">
        <f>_xlfn.XLOOKUP(A2942,'[1]Tissue Data'!$A:$A,'[1]Tissue Data'!$C:$C)</f>
        <v>Spill</v>
      </c>
      <c r="C2942" s="2">
        <f>_xlfn.XLOOKUP(A2942,'[1]Tissue Data'!$A:$A,'[1]Tissue Data'!$D:$D)</f>
        <v>44314</v>
      </c>
      <c r="D2942" s="2" t="str">
        <f>_xlfn.XLOOKUP(A2942,'[1]Tissue Data'!$A:$A,'[1]Tissue Data'!$F:$F)</f>
        <v>Swallowtail Shiner</v>
      </c>
      <c r="E2942" t="str">
        <f>_xlfn.XLOOKUP(A2942,'[1]Tissue Data'!$A:$A,'[1]Tissue Data'!$H:$H)</f>
        <v>Notropis</v>
      </c>
      <c r="F2942" t="str">
        <f>_xlfn.XLOOKUP(A2942,'[1]Tissue Data'!$A:$A,'[1]Tissue Data'!$I:$I)</f>
        <v>procne</v>
      </c>
      <c r="G2942" t="str">
        <f>_xlfn.XLOOKUP(A2942,'[1]Tissue Data'!$A:$A,'[1]Tissue Data'!J:J)</f>
        <v>U</v>
      </c>
      <c r="H2942" t="str">
        <f>_xlfn.XLOOKUP(A2942,'[1]Tissue Data'!$A:$A,'[1]Tissue Data'!K:K)</f>
        <v>Whole Body</v>
      </c>
      <c r="I2942">
        <f>_xlfn.XLOOKUP(A2942,'[1]Tissue Data'!$A:$A,'[1]Tissue Data'!L:L)</f>
        <v>5.5</v>
      </c>
      <c r="J2942">
        <f>_xlfn.XLOOKUP(A2942,'[1]Tissue Data'!$A:$A,'[1]Tissue Data'!M:M)</f>
        <v>2.15</v>
      </c>
      <c r="K2942" t="s">
        <v>52</v>
      </c>
      <c r="L2942" t="str">
        <f>_xlfn.XLOOKUP(K2942,[2]analyte_order!$B:$B,[2]analyte_order!$C:$C)</f>
        <v>53826-13-4</v>
      </c>
      <c r="M2942">
        <f>_xlfn.XLOOKUP(L2942,[2]analyte_order!$C:$C,[2]analyte_order!$E:$E)</f>
        <v>43</v>
      </c>
      <c r="N2942">
        <v>9.9500000000000005E-2</v>
      </c>
    </row>
    <row r="2943" spans="1:14">
      <c r="A2943" t="s">
        <v>197</v>
      </c>
      <c r="B2943" t="str">
        <f>_xlfn.XLOOKUP(A2943,'[1]Tissue Data'!$A:$A,'[1]Tissue Data'!$C:$C)</f>
        <v>Spill</v>
      </c>
      <c r="C2943" s="2">
        <f>_xlfn.XLOOKUP(A2943,'[1]Tissue Data'!$A:$A,'[1]Tissue Data'!$D:$D)</f>
        <v>44314</v>
      </c>
      <c r="D2943" s="2" t="str">
        <f>_xlfn.XLOOKUP(A2943,'[1]Tissue Data'!$A:$A,'[1]Tissue Data'!$F:$F)</f>
        <v>Swallowtail Shiner</v>
      </c>
      <c r="E2943" t="str">
        <f>_xlfn.XLOOKUP(A2943,'[1]Tissue Data'!$A:$A,'[1]Tissue Data'!$H:$H)</f>
        <v>Notropis</v>
      </c>
      <c r="F2943" t="str">
        <f>_xlfn.XLOOKUP(A2943,'[1]Tissue Data'!$A:$A,'[1]Tissue Data'!$I:$I)</f>
        <v>procne</v>
      </c>
      <c r="G2943" t="str">
        <f>_xlfn.XLOOKUP(A2943,'[1]Tissue Data'!$A:$A,'[1]Tissue Data'!J:J)</f>
        <v>U</v>
      </c>
      <c r="H2943" t="str">
        <f>_xlfn.XLOOKUP(A2943,'[1]Tissue Data'!$A:$A,'[1]Tissue Data'!K:K)</f>
        <v>Whole Body</v>
      </c>
      <c r="I2943">
        <f>_xlfn.XLOOKUP(A2943,'[1]Tissue Data'!$A:$A,'[1]Tissue Data'!L:L)</f>
        <v>5.5</v>
      </c>
      <c r="J2943">
        <f>_xlfn.XLOOKUP(A2943,'[1]Tissue Data'!$A:$A,'[1]Tissue Data'!M:M)</f>
        <v>2.15</v>
      </c>
      <c r="K2943" t="s">
        <v>53</v>
      </c>
      <c r="L2943" t="str">
        <f>_xlfn.XLOOKUP(K2943,[2]analyte_order!$B:$B,[2]analyte_order!$C:$C)</f>
        <v>161094-75-3</v>
      </c>
      <c r="M2943">
        <f>_xlfn.XLOOKUP(L2943,[2]analyte_order!$C:$C,[2]analyte_order!$E:$E)</f>
        <v>44</v>
      </c>
      <c r="N2943">
        <v>5.2499999999999998E-2</v>
      </c>
    </row>
    <row r="2944" spans="1:14">
      <c r="A2944" t="s">
        <v>197</v>
      </c>
      <c r="B2944" t="str">
        <f>_xlfn.XLOOKUP(A2944,'[1]Tissue Data'!$A:$A,'[1]Tissue Data'!$C:$C)</f>
        <v>Spill</v>
      </c>
      <c r="C2944" s="2">
        <f>_xlfn.XLOOKUP(A2944,'[1]Tissue Data'!$A:$A,'[1]Tissue Data'!$D:$D)</f>
        <v>44314</v>
      </c>
      <c r="D2944" s="2" t="str">
        <f>_xlfn.XLOOKUP(A2944,'[1]Tissue Data'!$A:$A,'[1]Tissue Data'!$F:$F)</f>
        <v>Swallowtail Shiner</v>
      </c>
      <c r="E2944" t="str">
        <f>_xlfn.XLOOKUP(A2944,'[1]Tissue Data'!$A:$A,'[1]Tissue Data'!$H:$H)</f>
        <v>Notropis</v>
      </c>
      <c r="F2944" t="str">
        <f>_xlfn.XLOOKUP(A2944,'[1]Tissue Data'!$A:$A,'[1]Tissue Data'!$I:$I)</f>
        <v>procne</v>
      </c>
      <c r="G2944" t="str">
        <f>_xlfn.XLOOKUP(A2944,'[1]Tissue Data'!$A:$A,'[1]Tissue Data'!J:J)</f>
        <v>U</v>
      </c>
      <c r="H2944" t="str">
        <f>_xlfn.XLOOKUP(A2944,'[1]Tissue Data'!$A:$A,'[1]Tissue Data'!K:K)</f>
        <v>Whole Body</v>
      </c>
      <c r="I2944">
        <f>_xlfn.XLOOKUP(A2944,'[1]Tissue Data'!$A:$A,'[1]Tissue Data'!L:L)</f>
        <v>5.5</v>
      </c>
      <c r="J2944">
        <f>_xlfn.XLOOKUP(A2944,'[1]Tissue Data'!$A:$A,'[1]Tissue Data'!M:M)</f>
        <v>2.15</v>
      </c>
      <c r="K2944" t="s">
        <v>54</v>
      </c>
      <c r="L2944" t="str">
        <f>_xlfn.XLOOKUP(K2944,[2]analyte_order!$B:$B,[2]analyte_order!$C:$C)</f>
        <v>70887-84-2</v>
      </c>
      <c r="M2944">
        <f>_xlfn.XLOOKUP(L2944,[2]analyte_order!$C:$C,[2]analyte_order!$E:$E)</f>
        <v>45</v>
      </c>
      <c r="N2944">
        <v>4.0300000000000002E-2</v>
      </c>
    </row>
    <row r="2945" spans="1:14">
      <c r="A2945" t="s">
        <v>197</v>
      </c>
      <c r="B2945" t="str">
        <f>_xlfn.XLOOKUP(A2945,'[1]Tissue Data'!$A:$A,'[1]Tissue Data'!$C:$C)</f>
        <v>Spill</v>
      </c>
      <c r="C2945" s="2">
        <f>_xlfn.XLOOKUP(A2945,'[1]Tissue Data'!$A:$A,'[1]Tissue Data'!$D:$D)</f>
        <v>44314</v>
      </c>
      <c r="D2945" s="2" t="str">
        <f>_xlfn.XLOOKUP(A2945,'[1]Tissue Data'!$A:$A,'[1]Tissue Data'!$F:$F)</f>
        <v>Swallowtail Shiner</v>
      </c>
      <c r="E2945" t="str">
        <f>_xlfn.XLOOKUP(A2945,'[1]Tissue Data'!$A:$A,'[1]Tissue Data'!$H:$H)</f>
        <v>Notropis</v>
      </c>
      <c r="F2945" t="str">
        <f>_xlfn.XLOOKUP(A2945,'[1]Tissue Data'!$A:$A,'[1]Tissue Data'!$I:$I)</f>
        <v>procne</v>
      </c>
      <c r="G2945" t="str">
        <f>_xlfn.XLOOKUP(A2945,'[1]Tissue Data'!$A:$A,'[1]Tissue Data'!J:J)</f>
        <v>U</v>
      </c>
      <c r="H2945" t="str">
        <f>_xlfn.XLOOKUP(A2945,'[1]Tissue Data'!$A:$A,'[1]Tissue Data'!K:K)</f>
        <v>Whole Body</v>
      </c>
      <c r="I2945">
        <f>_xlfn.XLOOKUP(A2945,'[1]Tissue Data'!$A:$A,'[1]Tissue Data'!L:L)</f>
        <v>5.5</v>
      </c>
      <c r="J2945">
        <f>_xlfn.XLOOKUP(A2945,'[1]Tissue Data'!$A:$A,'[1]Tissue Data'!M:M)</f>
        <v>2.15</v>
      </c>
      <c r="K2945" t="s">
        <v>55</v>
      </c>
      <c r="L2945" t="str">
        <f>_xlfn.XLOOKUP(K2945,[2]analyte_order!$B:$B,[2]analyte_order!$C:$C)</f>
        <v>919005-14-4</v>
      </c>
      <c r="M2945">
        <f>_xlfn.XLOOKUP(L2945,[2]analyte_order!$C:$C,[2]analyte_order!$E:$E)</f>
        <v>35</v>
      </c>
      <c r="N2945">
        <v>6.6500000000000004E-2</v>
      </c>
    </row>
    <row r="2946" spans="1:14">
      <c r="A2946" t="s">
        <v>197</v>
      </c>
      <c r="B2946" t="str">
        <f>_xlfn.XLOOKUP(A2946,'[1]Tissue Data'!$A:$A,'[1]Tissue Data'!$C:$C)</f>
        <v>Spill</v>
      </c>
      <c r="C2946" s="2">
        <f>_xlfn.XLOOKUP(A2946,'[1]Tissue Data'!$A:$A,'[1]Tissue Data'!$D:$D)</f>
        <v>44314</v>
      </c>
      <c r="D2946" s="2" t="str">
        <f>_xlfn.XLOOKUP(A2946,'[1]Tissue Data'!$A:$A,'[1]Tissue Data'!$F:$F)</f>
        <v>Swallowtail Shiner</v>
      </c>
      <c r="E2946" t="str">
        <f>_xlfn.XLOOKUP(A2946,'[1]Tissue Data'!$A:$A,'[1]Tissue Data'!$H:$H)</f>
        <v>Notropis</v>
      </c>
      <c r="F2946" t="str">
        <f>_xlfn.XLOOKUP(A2946,'[1]Tissue Data'!$A:$A,'[1]Tissue Data'!$I:$I)</f>
        <v>procne</v>
      </c>
      <c r="G2946" t="str">
        <f>_xlfn.XLOOKUP(A2946,'[1]Tissue Data'!$A:$A,'[1]Tissue Data'!J:J)</f>
        <v>U</v>
      </c>
      <c r="H2946" t="str">
        <f>_xlfn.XLOOKUP(A2946,'[1]Tissue Data'!$A:$A,'[1]Tissue Data'!K:K)</f>
        <v>Whole Body</v>
      </c>
      <c r="I2946">
        <f>_xlfn.XLOOKUP(A2946,'[1]Tissue Data'!$A:$A,'[1]Tissue Data'!L:L)</f>
        <v>5.5</v>
      </c>
      <c r="J2946">
        <f>_xlfn.XLOOKUP(A2946,'[1]Tissue Data'!$A:$A,'[1]Tissue Data'!M:M)</f>
        <v>2.15</v>
      </c>
      <c r="K2946" t="s">
        <v>56</v>
      </c>
      <c r="L2946" t="str">
        <f>_xlfn.XLOOKUP(K2946,[2]analyte_order!$B:$B,[2]analyte_order!$C:$C)</f>
        <v>756426-58-1</v>
      </c>
      <c r="M2946">
        <f>_xlfn.XLOOKUP(L2946,[2]analyte_order!$C:$C,[2]analyte_order!$E:$E)</f>
        <v>36</v>
      </c>
      <c r="N2946">
        <v>4.6350000000000002E-2</v>
      </c>
    </row>
    <row r="2947" spans="1:14">
      <c r="A2947" t="s">
        <v>197</v>
      </c>
      <c r="B2947" t="str">
        <f>_xlfn.XLOOKUP(A2947,'[1]Tissue Data'!$A:$A,'[1]Tissue Data'!$C:$C)</f>
        <v>Spill</v>
      </c>
      <c r="C2947" s="2">
        <f>_xlfn.XLOOKUP(A2947,'[1]Tissue Data'!$A:$A,'[1]Tissue Data'!$D:$D)</f>
        <v>44314</v>
      </c>
      <c r="D2947" s="2" t="str">
        <f>_xlfn.XLOOKUP(A2947,'[1]Tissue Data'!$A:$A,'[1]Tissue Data'!$F:$F)</f>
        <v>Swallowtail Shiner</v>
      </c>
      <c r="E2947" t="str">
        <f>_xlfn.XLOOKUP(A2947,'[1]Tissue Data'!$A:$A,'[1]Tissue Data'!$H:$H)</f>
        <v>Notropis</v>
      </c>
      <c r="F2947" t="str">
        <f>_xlfn.XLOOKUP(A2947,'[1]Tissue Data'!$A:$A,'[1]Tissue Data'!$I:$I)</f>
        <v>procne</v>
      </c>
      <c r="G2947" t="str">
        <f>_xlfn.XLOOKUP(A2947,'[1]Tissue Data'!$A:$A,'[1]Tissue Data'!J:J)</f>
        <v>U</v>
      </c>
      <c r="H2947" t="str">
        <f>_xlfn.XLOOKUP(A2947,'[1]Tissue Data'!$A:$A,'[1]Tissue Data'!K:K)</f>
        <v>Whole Body</v>
      </c>
      <c r="I2947">
        <f>_xlfn.XLOOKUP(A2947,'[1]Tissue Data'!$A:$A,'[1]Tissue Data'!L:L)</f>
        <v>5.5</v>
      </c>
      <c r="J2947">
        <f>_xlfn.XLOOKUP(A2947,'[1]Tissue Data'!$A:$A,'[1]Tissue Data'!M:M)</f>
        <v>2.15</v>
      </c>
      <c r="K2947" t="s">
        <v>57</v>
      </c>
      <c r="L2947" t="str">
        <f>_xlfn.XLOOKUP(K2947,[2]analyte_order!$B:$B,[2]analyte_order!$C:$C)</f>
        <v>763051-92-9</v>
      </c>
      <c r="M2947">
        <f>_xlfn.XLOOKUP(L2947,[2]analyte_order!$C:$C,[2]analyte_order!$E:$E)</f>
        <v>37</v>
      </c>
      <c r="N2947">
        <v>5.2499999999999998E-2</v>
      </c>
    </row>
    <row r="2948" spans="1:14">
      <c r="A2948" t="s">
        <v>197</v>
      </c>
      <c r="B2948" t="str">
        <f>_xlfn.XLOOKUP(A2948,'[1]Tissue Data'!$A:$A,'[1]Tissue Data'!$C:$C)</f>
        <v>Spill</v>
      </c>
      <c r="C2948" s="2">
        <f>_xlfn.XLOOKUP(A2948,'[1]Tissue Data'!$A:$A,'[1]Tissue Data'!$D:$D)</f>
        <v>44314</v>
      </c>
      <c r="D2948" s="2" t="str">
        <f>_xlfn.XLOOKUP(A2948,'[1]Tissue Data'!$A:$A,'[1]Tissue Data'!$F:$F)</f>
        <v>Swallowtail Shiner</v>
      </c>
      <c r="E2948" t="str">
        <f>_xlfn.XLOOKUP(A2948,'[1]Tissue Data'!$A:$A,'[1]Tissue Data'!$H:$H)</f>
        <v>Notropis</v>
      </c>
      <c r="F2948" t="str">
        <f>_xlfn.XLOOKUP(A2948,'[1]Tissue Data'!$A:$A,'[1]Tissue Data'!$I:$I)</f>
        <v>procne</v>
      </c>
      <c r="G2948" t="str">
        <f>_xlfn.XLOOKUP(A2948,'[1]Tissue Data'!$A:$A,'[1]Tissue Data'!J:J)</f>
        <v>U</v>
      </c>
      <c r="H2948" t="str">
        <f>_xlfn.XLOOKUP(A2948,'[1]Tissue Data'!$A:$A,'[1]Tissue Data'!K:K)</f>
        <v>Whole Body</v>
      </c>
      <c r="I2948">
        <f>_xlfn.XLOOKUP(A2948,'[1]Tissue Data'!$A:$A,'[1]Tissue Data'!L:L)</f>
        <v>5.5</v>
      </c>
      <c r="J2948">
        <f>_xlfn.XLOOKUP(A2948,'[1]Tissue Data'!$A:$A,'[1]Tissue Data'!M:M)</f>
        <v>2.15</v>
      </c>
      <c r="K2948" t="s">
        <v>58</v>
      </c>
      <c r="L2948" t="str">
        <f>_xlfn.XLOOKUP(K2948,[2]analyte_order!$B:$B,[2]analyte_order!$C:$C)</f>
        <v>13252-13-6</v>
      </c>
      <c r="M2948">
        <f>_xlfn.XLOOKUP(L2948,[2]analyte_order!$C:$C,[2]analyte_order!$E:$E)</f>
        <v>34</v>
      </c>
      <c r="N2948">
        <v>9.6000000000000002E-2</v>
      </c>
    </row>
    <row r="2949" spans="1:14">
      <c r="A2949" t="s">
        <v>197</v>
      </c>
      <c r="B2949" t="str">
        <f>_xlfn.XLOOKUP(A2949,'[1]Tissue Data'!$A:$A,'[1]Tissue Data'!$C:$C)</f>
        <v>Spill</v>
      </c>
      <c r="C2949" s="2">
        <f>_xlfn.XLOOKUP(A2949,'[1]Tissue Data'!$A:$A,'[1]Tissue Data'!$D:$D)</f>
        <v>44314</v>
      </c>
      <c r="D2949" s="2" t="str">
        <f>_xlfn.XLOOKUP(A2949,'[1]Tissue Data'!$A:$A,'[1]Tissue Data'!$F:$F)</f>
        <v>Swallowtail Shiner</v>
      </c>
      <c r="E2949" t="str">
        <f>_xlfn.XLOOKUP(A2949,'[1]Tissue Data'!$A:$A,'[1]Tissue Data'!$H:$H)</f>
        <v>Notropis</v>
      </c>
      <c r="F2949" t="str">
        <f>_xlfn.XLOOKUP(A2949,'[1]Tissue Data'!$A:$A,'[1]Tissue Data'!$I:$I)</f>
        <v>procne</v>
      </c>
      <c r="G2949" t="str">
        <f>_xlfn.XLOOKUP(A2949,'[1]Tissue Data'!$A:$A,'[1]Tissue Data'!J:J)</f>
        <v>U</v>
      </c>
      <c r="H2949" t="str">
        <f>_xlfn.XLOOKUP(A2949,'[1]Tissue Data'!$A:$A,'[1]Tissue Data'!K:K)</f>
        <v>Whole Body</v>
      </c>
      <c r="I2949">
        <f>_xlfn.XLOOKUP(A2949,'[1]Tissue Data'!$A:$A,'[1]Tissue Data'!L:L)</f>
        <v>5.5</v>
      </c>
      <c r="J2949">
        <f>_xlfn.XLOOKUP(A2949,'[1]Tissue Data'!$A:$A,'[1]Tissue Data'!M:M)</f>
        <v>2.15</v>
      </c>
      <c r="K2949" t="s">
        <v>59</v>
      </c>
      <c r="L2949" t="str">
        <f>_xlfn.XLOOKUP(K2949,[2]analyte_order!$B:$B,[2]analyte_order!$C:$C)</f>
        <v>57677-95-9</v>
      </c>
      <c r="M2949">
        <f>_xlfn.XLOOKUP(L2949,[2]analyte_order!$C:$C,[2]analyte_order!$E:$E)</f>
        <v>46</v>
      </c>
      <c r="N2949">
        <v>7.0999999999999994E-2</v>
      </c>
    </row>
    <row r="2950" spans="1:14">
      <c r="A2950" t="s">
        <v>197</v>
      </c>
      <c r="B2950" t="str">
        <f>_xlfn.XLOOKUP(A2950,'[1]Tissue Data'!$A:$A,'[1]Tissue Data'!$C:$C)</f>
        <v>Spill</v>
      </c>
      <c r="C2950" s="2">
        <f>_xlfn.XLOOKUP(A2950,'[1]Tissue Data'!$A:$A,'[1]Tissue Data'!$D:$D)</f>
        <v>44314</v>
      </c>
      <c r="D2950" s="2" t="str">
        <f>_xlfn.XLOOKUP(A2950,'[1]Tissue Data'!$A:$A,'[1]Tissue Data'!$F:$F)</f>
        <v>Swallowtail Shiner</v>
      </c>
      <c r="E2950" t="str">
        <f>_xlfn.XLOOKUP(A2950,'[1]Tissue Data'!$A:$A,'[1]Tissue Data'!$H:$H)</f>
        <v>Notropis</v>
      </c>
      <c r="F2950" t="str">
        <f>_xlfn.XLOOKUP(A2950,'[1]Tissue Data'!$A:$A,'[1]Tissue Data'!$I:$I)</f>
        <v>procne</v>
      </c>
      <c r="G2950" t="str">
        <f>_xlfn.XLOOKUP(A2950,'[1]Tissue Data'!$A:$A,'[1]Tissue Data'!J:J)</f>
        <v>U</v>
      </c>
      <c r="H2950" t="str">
        <f>_xlfn.XLOOKUP(A2950,'[1]Tissue Data'!$A:$A,'[1]Tissue Data'!K:K)</f>
        <v>Whole Body</v>
      </c>
      <c r="I2950">
        <f>_xlfn.XLOOKUP(A2950,'[1]Tissue Data'!$A:$A,'[1]Tissue Data'!L:L)</f>
        <v>5.5</v>
      </c>
      <c r="J2950">
        <f>_xlfn.XLOOKUP(A2950,'[1]Tissue Data'!$A:$A,'[1]Tissue Data'!M:M)</f>
        <v>2.15</v>
      </c>
      <c r="K2950" t="s">
        <v>60</v>
      </c>
      <c r="L2950" t="str">
        <f>_xlfn.XLOOKUP(K2950,[2]analyte_order!$B:$B,[2]analyte_order!$C:$C)</f>
        <v>678-41-1</v>
      </c>
      <c r="M2950">
        <f>_xlfn.XLOOKUP(L2950,[2]analyte_order!$C:$C,[2]analyte_order!$E:$E)</f>
        <v>56</v>
      </c>
      <c r="N2950">
        <v>8.8499999999999995E-2</v>
      </c>
    </row>
    <row r="2951" spans="1:14">
      <c r="A2951" t="s">
        <v>197</v>
      </c>
      <c r="B2951" t="str">
        <f>_xlfn.XLOOKUP(A2951,'[1]Tissue Data'!$A:$A,'[1]Tissue Data'!$C:$C)</f>
        <v>Spill</v>
      </c>
      <c r="C2951" s="2">
        <f>_xlfn.XLOOKUP(A2951,'[1]Tissue Data'!$A:$A,'[1]Tissue Data'!$D:$D)</f>
        <v>44314</v>
      </c>
      <c r="D2951" s="2" t="str">
        <f>_xlfn.XLOOKUP(A2951,'[1]Tissue Data'!$A:$A,'[1]Tissue Data'!$F:$F)</f>
        <v>Swallowtail Shiner</v>
      </c>
      <c r="E2951" t="str">
        <f>_xlfn.XLOOKUP(A2951,'[1]Tissue Data'!$A:$A,'[1]Tissue Data'!$H:$H)</f>
        <v>Notropis</v>
      </c>
      <c r="F2951" t="str">
        <f>_xlfn.XLOOKUP(A2951,'[1]Tissue Data'!$A:$A,'[1]Tissue Data'!$I:$I)</f>
        <v>procne</v>
      </c>
      <c r="G2951" t="str">
        <f>_xlfn.XLOOKUP(A2951,'[1]Tissue Data'!$A:$A,'[1]Tissue Data'!J:J)</f>
        <v>U</v>
      </c>
      <c r="H2951" t="str">
        <f>_xlfn.XLOOKUP(A2951,'[1]Tissue Data'!$A:$A,'[1]Tissue Data'!K:K)</f>
        <v>Whole Body</v>
      </c>
      <c r="I2951">
        <f>_xlfn.XLOOKUP(A2951,'[1]Tissue Data'!$A:$A,'[1]Tissue Data'!L:L)</f>
        <v>5.5</v>
      </c>
      <c r="J2951">
        <f>_xlfn.XLOOKUP(A2951,'[1]Tissue Data'!$A:$A,'[1]Tissue Data'!M:M)</f>
        <v>2.15</v>
      </c>
      <c r="K2951" t="s">
        <v>61</v>
      </c>
      <c r="L2951" t="str">
        <f>_xlfn.XLOOKUP(K2951,[2]analyte_order!$B:$B,[2]analyte_order!$C:$C)</f>
        <v>2965-52-8</v>
      </c>
      <c r="M2951">
        <f>_xlfn.XLOOKUP(L2951,[2]analyte_order!$C:$C,[2]analyte_order!$E:$E)</f>
        <v>57</v>
      </c>
      <c r="N2951">
        <v>0.11749999999999999</v>
      </c>
    </row>
    <row r="2952" spans="1:14">
      <c r="A2952" t="s">
        <v>198</v>
      </c>
      <c r="B2952" t="str">
        <f>_xlfn.XLOOKUP(A2952,'[1]Tissue Data'!$A:$A,'[1]Tissue Data'!$C:$C)</f>
        <v>Spill</v>
      </c>
      <c r="C2952" s="2">
        <f>_xlfn.XLOOKUP(A2952,'[1]Tissue Data'!$A:$A,'[1]Tissue Data'!$D:$D)</f>
        <v>44314</v>
      </c>
      <c r="D2952" s="2" t="str">
        <f>_xlfn.XLOOKUP(A2952,'[1]Tissue Data'!$A:$A,'[1]Tissue Data'!$F:$F)</f>
        <v>Swallowtail Shiner</v>
      </c>
      <c r="E2952" t="str">
        <f>_xlfn.XLOOKUP(A2952,'[1]Tissue Data'!$A:$A,'[1]Tissue Data'!$H:$H)</f>
        <v>Notropis</v>
      </c>
      <c r="F2952" t="str">
        <f>_xlfn.XLOOKUP(A2952,'[1]Tissue Data'!$A:$A,'[1]Tissue Data'!$I:$I)</f>
        <v>procne</v>
      </c>
      <c r="G2952" t="str">
        <f>_xlfn.XLOOKUP(A2952,'[1]Tissue Data'!$A:$A,'[1]Tissue Data'!J:J)</f>
        <v>U</v>
      </c>
      <c r="H2952" t="str">
        <f>_xlfn.XLOOKUP(A2952,'[1]Tissue Data'!$A:$A,'[1]Tissue Data'!K:K)</f>
        <v>Whole Body</v>
      </c>
      <c r="I2952">
        <f>_xlfn.XLOOKUP(A2952,'[1]Tissue Data'!$A:$A,'[1]Tissue Data'!L:L)</f>
        <v>5</v>
      </c>
      <c r="J2952">
        <f>_xlfn.XLOOKUP(A2952,'[1]Tissue Data'!$A:$A,'[1]Tissue Data'!M:M)</f>
        <v>2.25</v>
      </c>
      <c r="K2952" t="s">
        <v>12</v>
      </c>
      <c r="L2952" t="str">
        <f>_xlfn.XLOOKUP(K2952,[2]analyte_order!$B:$B,[2]analyte_order!$C:$C)</f>
        <v>375-22-4</v>
      </c>
      <c r="M2952">
        <f>_xlfn.XLOOKUP(L2952,[2]analyte_order!$C:$C,[2]analyte_order!$E:$E)</f>
        <v>1</v>
      </c>
      <c r="N2952">
        <v>2.7400000000000001E-2</v>
      </c>
    </row>
    <row r="2953" spans="1:14">
      <c r="A2953" t="s">
        <v>198</v>
      </c>
      <c r="B2953" t="str">
        <f>_xlfn.XLOOKUP(A2953,'[1]Tissue Data'!$A:$A,'[1]Tissue Data'!$C:$C)</f>
        <v>Spill</v>
      </c>
      <c r="C2953" s="2">
        <f>_xlfn.XLOOKUP(A2953,'[1]Tissue Data'!$A:$A,'[1]Tissue Data'!$D:$D)</f>
        <v>44314</v>
      </c>
      <c r="D2953" s="2" t="str">
        <f>_xlfn.XLOOKUP(A2953,'[1]Tissue Data'!$A:$A,'[1]Tissue Data'!$F:$F)</f>
        <v>Swallowtail Shiner</v>
      </c>
      <c r="E2953" t="str">
        <f>_xlfn.XLOOKUP(A2953,'[1]Tissue Data'!$A:$A,'[1]Tissue Data'!$H:$H)</f>
        <v>Notropis</v>
      </c>
      <c r="F2953" t="str">
        <f>_xlfn.XLOOKUP(A2953,'[1]Tissue Data'!$A:$A,'[1]Tissue Data'!$I:$I)</f>
        <v>procne</v>
      </c>
      <c r="G2953" t="str">
        <f>_xlfn.XLOOKUP(A2953,'[1]Tissue Data'!$A:$A,'[1]Tissue Data'!J:J)</f>
        <v>U</v>
      </c>
      <c r="H2953" t="str">
        <f>_xlfn.XLOOKUP(A2953,'[1]Tissue Data'!$A:$A,'[1]Tissue Data'!K:K)</f>
        <v>Whole Body</v>
      </c>
      <c r="I2953">
        <f>_xlfn.XLOOKUP(A2953,'[1]Tissue Data'!$A:$A,'[1]Tissue Data'!L:L)</f>
        <v>5</v>
      </c>
      <c r="J2953">
        <f>_xlfn.XLOOKUP(A2953,'[1]Tissue Data'!$A:$A,'[1]Tissue Data'!M:M)</f>
        <v>2.25</v>
      </c>
      <c r="K2953" t="s">
        <v>13</v>
      </c>
      <c r="L2953" t="str">
        <f>_xlfn.XLOOKUP(K2953,[2]analyte_order!$B:$B,[2]analyte_order!$C:$C)</f>
        <v>2706-90-3</v>
      </c>
      <c r="M2953">
        <f>_xlfn.XLOOKUP(L2953,[2]analyte_order!$C:$C,[2]analyte_order!$E:$E)</f>
        <v>2</v>
      </c>
      <c r="N2953">
        <v>4.8349999999999997E-2</v>
      </c>
    </row>
    <row r="2954" spans="1:14">
      <c r="A2954" t="s">
        <v>198</v>
      </c>
      <c r="B2954" t="str">
        <f>_xlfn.XLOOKUP(A2954,'[1]Tissue Data'!$A:$A,'[1]Tissue Data'!$C:$C)</f>
        <v>Spill</v>
      </c>
      <c r="C2954" s="2">
        <f>_xlfn.XLOOKUP(A2954,'[1]Tissue Data'!$A:$A,'[1]Tissue Data'!$D:$D)</f>
        <v>44314</v>
      </c>
      <c r="D2954" s="2" t="str">
        <f>_xlfn.XLOOKUP(A2954,'[1]Tissue Data'!$A:$A,'[1]Tissue Data'!$F:$F)</f>
        <v>Swallowtail Shiner</v>
      </c>
      <c r="E2954" t="str">
        <f>_xlfn.XLOOKUP(A2954,'[1]Tissue Data'!$A:$A,'[1]Tissue Data'!$H:$H)</f>
        <v>Notropis</v>
      </c>
      <c r="F2954" t="str">
        <f>_xlfn.XLOOKUP(A2954,'[1]Tissue Data'!$A:$A,'[1]Tissue Data'!$I:$I)</f>
        <v>procne</v>
      </c>
      <c r="G2954" t="str">
        <f>_xlfn.XLOOKUP(A2954,'[1]Tissue Data'!$A:$A,'[1]Tissue Data'!J:J)</f>
        <v>U</v>
      </c>
      <c r="H2954" t="str">
        <f>_xlfn.XLOOKUP(A2954,'[1]Tissue Data'!$A:$A,'[1]Tissue Data'!K:K)</f>
        <v>Whole Body</v>
      </c>
      <c r="I2954">
        <f>_xlfn.XLOOKUP(A2954,'[1]Tissue Data'!$A:$A,'[1]Tissue Data'!L:L)</f>
        <v>5</v>
      </c>
      <c r="J2954">
        <f>_xlfn.XLOOKUP(A2954,'[1]Tissue Data'!$A:$A,'[1]Tissue Data'!M:M)</f>
        <v>2.25</v>
      </c>
      <c r="K2954" t="s">
        <v>14</v>
      </c>
      <c r="L2954" t="str">
        <f>_xlfn.XLOOKUP(K2954,[2]analyte_order!$B:$B,[2]analyte_order!$C:$C)</f>
        <v>307-24-4</v>
      </c>
      <c r="M2954">
        <f>_xlfn.XLOOKUP(L2954,[2]analyte_order!$C:$C,[2]analyte_order!$E:$E)</f>
        <v>3</v>
      </c>
      <c r="N2954">
        <v>3.6949999999999997E-2</v>
      </c>
    </row>
    <row r="2955" spans="1:14">
      <c r="A2955" t="s">
        <v>198</v>
      </c>
      <c r="B2955" t="str">
        <f>_xlfn.XLOOKUP(A2955,'[1]Tissue Data'!$A:$A,'[1]Tissue Data'!$C:$C)</f>
        <v>Spill</v>
      </c>
      <c r="C2955" s="2">
        <f>_xlfn.XLOOKUP(A2955,'[1]Tissue Data'!$A:$A,'[1]Tissue Data'!$D:$D)</f>
        <v>44314</v>
      </c>
      <c r="D2955" s="2" t="str">
        <f>_xlfn.XLOOKUP(A2955,'[1]Tissue Data'!$A:$A,'[1]Tissue Data'!$F:$F)</f>
        <v>Swallowtail Shiner</v>
      </c>
      <c r="E2955" t="str">
        <f>_xlfn.XLOOKUP(A2955,'[1]Tissue Data'!$A:$A,'[1]Tissue Data'!$H:$H)</f>
        <v>Notropis</v>
      </c>
      <c r="F2955" t="str">
        <f>_xlfn.XLOOKUP(A2955,'[1]Tissue Data'!$A:$A,'[1]Tissue Data'!$I:$I)</f>
        <v>procne</v>
      </c>
      <c r="G2955" t="str">
        <f>_xlfn.XLOOKUP(A2955,'[1]Tissue Data'!$A:$A,'[1]Tissue Data'!J:J)</f>
        <v>U</v>
      </c>
      <c r="H2955" t="str">
        <f>_xlfn.XLOOKUP(A2955,'[1]Tissue Data'!$A:$A,'[1]Tissue Data'!K:K)</f>
        <v>Whole Body</v>
      </c>
      <c r="I2955">
        <f>_xlfn.XLOOKUP(A2955,'[1]Tissue Data'!$A:$A,'[1]Tissue Data'!L:L)</f>
        <v>5</v>
      </c>
      <c r="J2955">
        <f>_xlfn.XLOOKUP(A2955,'[1]Tissue Data'!$A:$A,'[1]Tissue Data'!M:M)</f>
        <v>2.25</v>
      </c>
      <c r="K2955" t="s">
        <v>15</v>
      </c>
      <c r="L2955" t="str">
        <f>_xlfn.XLOOKUP(K2955,[2]analyte_order!$B:$B,[2]analyte_order!$C:$C)</f>
        <v>375-85-9</v>
      </c>
      <c r="M2955">
        <f>_xlfn.XLOOKUP(L2955,[2]analyte_order!$C:$C,[2]analyte_order!$E:$E)</f>
        <v>4</v>
      </c>
      <c r="N2955">
        <v>2.7400000000000001E-2</v>
      </c>
    </row>
    <row r="2956" spans="1:14">
      <c r="A2956" t="s">
        <v>198</v>
      </c>
      <c r="B2956" t="str">
        <f>_xlfn.XLOOKUP(A2956,'[1]Tissue Data'!$A:$A,'[1]Tissue Data'!$C:$C)</f>
        <v>Spill</v>
      </c>
      <c r="C2956" s="2">
        <f>_xlfn.XLOOKUP(A2956,'[1]Tissue Data'!$A:$A,'[1]Tissue Data'!$D:$D)</f>
        <v>44314</v>
      </c>
      <c r="D2956" s="2" t="str">
        <f>_xlfn.XLOOKUP(A2956,'[1]Tissue Data'!$A:$A,'[1]Tissue Data'!$F:$F)</f>
        <v>Swallowtail Shiner</v>
      </c>
      <c r="E2956" t="str">
        <f>_xlfn.XLOOKUP(A2956,'[1]Tissue Data'!$A:$A,'[1]Tissue Data'!$H:$H)</f>
        <v>Notropis</v>
      </c>
      <c r="F2956" t="str">
        <f>_xlfn.XLOOKUP(A2956,'[1]Tissue Data'!$A:$A,'[1]Tissue Data'!$I:$I)</f>
        <v>procne</v>
      </c>
      <c r="G2956" t="str">
        <f>_xlfn.XLOOKUP(A2956,'[1]Tissue Data'!$A:$A,'[1]Tissue Data'!J:J)</f>
        <v>U</v>
      </c>
      <c r="H2956" t="str">
        <f>_xlfn.XLOOKUP(A2956,'[1]Tissue Data'!$A:$A,'[1]Tissue Data'!K:K)</f>
        <v>Whole Body</v>
      </c>
      <c r="I2956">
        <f>_xlfn.XLOOKUP(A2956,'[1]Tissue Data'!$A:$A,'[1]Tissue Data'!L:L)</f>
        <v>5</v>
      </c>
      <c r="J2956">
        <f>_xlfn.XLOOKUP(A2956,'[1]Tissue Data'!$A:$A,'[1]Tissue Data'!M:M)</f>
        <v>2.25</v>
      </c>
      <c r="K2956" t="s">
        <v>16</v>
      </c>
      <c r="L2956" t="str">
        <f>_xlfn.XLOOKUP(K2956,[2]analyte_order!$B:$B,[2]analyte_order!$C:$C)</f>
        <v>335-67-1</v>
      </c>
      <c r="M2956">
        <f>_xlfn.XLOOKUP(L2956,[2]analyte_order!$C:$C,[2]analyte_order!$E:$E)</f>
        <v>5</v>
      </c>
      <c r="N2956">
        <v>3.28</v>
      </c>
    </row>
    <row r="2957" spans="1:14">
      <c r="A2957" t="s">
        <v>198</v>
      </c>
      <c r="B2957" t="str">
        <f>_xlfn.XLOOKUP(A2957,'[1]Tissue Data'!$A:$A,'[1]Tissue Data'!$C:$C)</f>
        <v>Spill</v>
      </c>
      <c r="C2957" s="2">
        <f>_xlfn.XLOOKUP(A2957,'[1]Tissue Data'!$A:$A,'[1]Tissue Data'!$D:$D)</f>
        <v>44314</v>
      </c>
      <c r="D2957" s="2" t="str">
        <f>_xlfn.XLOOKUP(A2957,'[1]Tissue Data'!$A:$A,'[1]Tissue Data'!$F:$F)</f>
        <v>Swallowtail Shiner</v>
      </c>
      <c r="E2957" t="str">
        <f>_xlfn.XLOOKUP(A2957,'[1]Tissue Data'!$A:$A,'[1]Tissue Data'!$H:$H)</f>
        <v>Notropis</v>
      </c>
      <c r="F2957" t="str">
        <f>_xlfn.XLOOKUP(A2957,'[1]Tissue Data'!$A:$A,'[1]Tissue Data'!$I:$I)</f>
        <v>procne</v>
      </c>
      <c r="G2957" t="str">
        <f>_xlfn.XLOOKUP(A2957,'[1]Tissue Data'!$A:$A,'[1]Tissue Data'!J:J)</f>
        <v>U</v>
      </c>
      <c r="H2957" t="str">
        <f>_xlfn.XLOOKUP(A2957,'[1]Tissue Data'!$A:$A,'[1]Tissue Data'!K:K)</f>
        <v>Whole Body</v>
      </c>
      <c r="I2957">
        <f>_xlfn.XLOOKUP(A2957,'[1]Tissue Data'!$A:$A,'[1]Tissue Data'!L:L)</f>
        <v>5</v>
      </c>
      <c r="J2957">
        <f>_xlfn.XLOOKUP(A2957,'[1]Tissue Data'!$A:$A,'[1]Tissue Data'!M:M)</f>
        <v>2.25</v>
      </c>
      <c r="K2957" t="s">
        <v>17</v>
      </c>
      <c r="L2957" t="str">
        <f>_xlfn.XLOOKUP(K2957,[2]analyte_order!$B:$B,[2]analyte_order!$C:$C)</f>
        <v>375-95-1</v>
      </c>
      <c r="M2957">
        <f>_xlfn.XLOOKUP(L2957,[2]analyte_order!$C:$C,[2]analyte_order!$E:$E)</f>
        <v>6</v>
      </c>
      <c r="N2957">
        <v>4.6500000000000004</v>
      </c>
    </row>
    <row r="2958" spans="1:14">
      <c r="A2958" t="s">
        <v>198</v>
      </c>
      <c r="B2958" t="str">
        <f>_xlfn.XLOOKUP(A2958,'[1]Tissue Data'!$A:$A,'[1]Tissue Data'!$C:$C)</f>
        <v>Spill</v>
      </c>
      <c r="C2958" s="2">
        <f>_xlfn.XLOOKUP(A2958,'[1]Tissue Data'!$A:$A,'[1]Tissue Data'!$D:$D)</f>
        <v>44314</v>
      </c>
      <c r="D2958" s="2" t="str">
        <f>_xlfn.XLOOKUP(A2958,'[1]Tissue Data'!$A:$A,'[1]Tissue Data'!$F:$F)</f>
        <v>Swallowtail Shiner</v>
      </c>
      <c r="E2958" t="str">
        <f>_xlfn.XLOOKUP(A2958,'[1]Tissue Data'!$A:$A,'[1]Tissue Data'!$H:$H)</f>
        <v>Notropis</v>
      </c>
      <c r="F2958" t="str">
        <f>_xlfn.XLOOKUP(A2958,'[1]Tissue Data'!$A:$A,'[1]Tissue Data'!$I:$I)</f>
        <v>procne</v>
      </c>
      <c r="G2958" t="str">
        <f>_xlfn.XLOOKUP(A2958,'[1]Tissue Data'!$A:$A,'[1]Tissue Data'!J:J)</f>
        <v>U</v>
      </c>
      <c r="H2958" t="str">
        <f>_xlfn.XLOOKUP(A2958,'[1]Tissue Data'!$A:$A,'[1]Tissue Data'!K:K)</f>
        <v>Whole Body</v>
      </c>
      <c r="I2958">
        <f>_xlfn.XLOOKUP(A2958,'[1]Tissue Data'!$A:$A,'[1]Tissue Data'!L:L)</f>
        <v>5</v>
      </c>
      <c r="J2958">
        <f>_xlfn.XLOOKUP(A2958,'[1]Tissue Data'!$A:$A,'[1]Tissue Data'!M:M)</f>
        <v>2.25</v>
      </c>
      <c r="K2958" t="s">
        <v>18</v>
      </c>
      <c r="L2958" t="str">
        <f>_xlfn.XLOOKUP(K2958,[2]analyte_order!$B:$B,[2]analyte_order!$C:$C)</f>
        <v>335-76-2</v>
      </c>
      <c r="M2958">
        <f>_xlfn.XLOOKUP(L2958,[2]analyte_order!$C:$C,[2]analyte_order!$E:$E)</f>
        <v>7</v>
      </c>
      <c r="N2958">
        <v>12.9</v>
      </c>
    </row>
    <row r="2959" spans="1:14">
      <c r="A2959" t="s">
        <v>198</v>
      </c>
      <c r="B2959" t="str">
        <f>_xlfn.XLOOKUP(A2959,'[1]Tissue Data'!$A:$A,'[1]Tissue Data'!$C:$C)</f>
        <v>Spill</v>
      </c>
      <c r="C2959" s="2">
        <f>_xlfn.XLOOKUP(A2959,'[1]Tissue Data'!$A:$A,'[1]Tissue Data'!$D:$D)</f>
        <v>44314</v>
      </c>
      <c r="D2959" s="2" t="str">
        <f>_xlfn.XLOOKUP(A2959,'[1]Tissue Data'!$A:$A,'[1]Tissue Data'!$F:$F)</f>
        <v>Swallowtail Shiner</v>
      </c>
      <c r="E2959" t="str">
        <f>_xlfn.XLOOKUP(A2959,'[1]Tissue Data'!$A:$A,'[1]Tissue Data'!$H:$H)</f>
        <v>Notropis</v>
      </c>
      <c r="F2959" t="str">
        <f>_xlfn.XLOOKUP(A2959,'[1]Tissue Data'!$A:$A,'[1]Tissue Data'!$I:$I)</f>
        <v>procne</v>
      </c>
      <c r="G2959" t="str">
        <f>_xlfn.XLOOKUP(A2959,'[1]Tissue Data'!$A:$A,'[1]Tissue Data'!J:J)</f>
        <v>U</v>
      </c>
      <c r="H2959" t="str">
        <f>_xlfn.XLOOKUP(A2959,'[1]Tissue Data'!$A:$A,'[1]Tissue Data'!K:K)</f>
        <v>Whole Body</v>
      </c>
      <c r="I2959">
        <f>_xlfn.XLOOKUP(A2959,'[1]Tissue Data'!$A:$A,'[1]Tissue Data'!L:L)</f>
        <v>5</v>
      </c>
      <c r="J2959">
        <f>_xlfn.XLOOKUP(A2959,'[1]Tissue Data'!$A:$A,'[1]Tissue Data'!M:M)</f>
        <v>2.25</v>
      </c>
      <c r="K2959" t="s">
        <v>19</v>
      </c>
      <c r="L2959" t="str">
        <f>_xlfn.XLOOKUP(K2959,[2]analyte_order!$B:$B,[2]analyte_order!$C:$C)</f>
        <v>2058-94-8</v>
      </c>
      <c r="M2959">
        <f>_xlfn.XLOOKUP(L2959,[2]analyte_order!$C:$C,[2]analyte_order!$E:$E)</f>
        <v>8</v>
      </c>
      <c r="N2959">
        <v>19.5</v>
      </c>
    </row>
    <row r="2960" spans="1:14">
      <c r="A2960" t="s">
        <v>198</v>
      </c>
      <c r="B2960" t="str">
        <f>_xlfn.XLOOKUP(A2960,'[1]Tissue Data'!$A:$A,'[1]Tissue Data'!$C:$C)</f>
        <v>Spill</v>
      </c>
      <c r="C2960" s="2">
        <f>_xlfn.XLOOKUP(A2960,'[1]Tissue Data'!$A:$A,'[1]Tissue Data'!$D:$D)</f>
        <v>44314</v>
      </c>
      <c r="D2960" s="2" t="str">
        <f>_xlfn.XLOOKUP(A2960,'[1]Tissue Data'!$A:$A,'[1]Tissue Data'!$F:$F)</f>
        <v>Swallowtail Shiner</v>
      </c>
      <c r="E2960" t="str">
        <f>_xlfn.XLOOKUP(A2960,'[1]Tissue Data'!$A:$A,'[1]Tissue Data'!$H:$H)</f>
        <v>Notropis</v>
      </c>
      <c r="F2960" t="str">
        <f>_xlfn.XLOOKUP(A2960,'[1]Tissue Data'!$A:$A,'[1]Tissue Data'!$I:$I)</f>
        <v>procne</v>
      </c>
      <c r="G2960" t="str">
        <f>_xlfn.XLOOKUP(A2960,'[1]Tissue Data'!$A:$A,'[1]Tissue Data'!J:J)</f>
        <v>U</v>
      </c>
      <c r="H2960" t="str">
        <f>_xlfn.XLOOKUP(A2960,'[1]Tissue Data'!$A:$A,'[1]Tissue Data'!K:K)</f>
        <v>Whole Body</v>
      </c>
      <c r="I2960">
        <f>_xlfn.XLOOKUP(A2960,'[1]Tissue Data'!$A:$A,'[1]Tissue Data'!L:L)</f>
        <v>5</v>
      </c>
      <c r="J2960">
        <f>_xlfn.XLOOKUP(A2960,'[1]Tissue Data'!$A:$A,'[1]Tissue Data'!M:M)</f>
        <v>2.25</v>
      </c>
      <c r="K2960" t="s">
        <v>20</v>
      </c>
      <c r="L2960" t="str">
        <f>_xlfn.XLOOKUP(K2960,[2]analyte_order!$B:$B,[2]analyte_order!$C:$C)</f>
        <v>307-55-1</v>
      </c>
      <c r="M2960">
        <f>_xlfn.XLOOKUP(L2960,[2]analyte_order!$C:$C,[2]analyte_order!$E:$E)</f>
        <v>9</v>
      </c>
      <c r="N2960">
        <v>21.2</v>
      </c>
    </row>
    <row r="2961" spans="1:14">
      <c r="A2961" t="s">
        <v>198</v>
      </c>
      <c r="B2961" t="str">
        <f>_xlfn.XLOOKUP(A2961,'[1]Tissue Data'!$A:$A,'[1]Tissue Data'!$C:$C)</f>
        <v>Spill</v>
      </c>
      <c r="C2961" s="2">
        <f>_xlfn.XLOOKUP(A2961,'[1]Tissue Data'!$A:$A,'[1]Tissue Data'!$D:$D)</f>
        <v>44314</v>
      </c>
      <c r="D2961" s="2" t="str">
        <f>_xlfn.XLOOKUP(A2961,'[1]Tissue Data'!$A:$A,'[1]Tissue Data'!$F:$F)</f>
        <v>Swallowtail Shiner</v>
      </c>
      <c r="E2961" t="str">
        <f>_xlfn.XLOOKUP(A2961,'[1]Tissue Data'!$A:$A,'[1]Tissue Data'!$H:$H)</f>
        <v>Notropis</v>
      </c>
      <c r="F2961" t="str">
        <f>_xlfn.XLOOKUP(A2961,'[1]Tissue Data'!$A:$A,'[1]Tissue Data'!$I:$I)</f>
        <v>procne</v>
      </c>
      <c r="G2961" t="str">
        <f>_xlfn.XLOOKUP(A2961,'[1]Tissue Data'!$A:$A,'[1]Tissue Data'!J:J)</f>
        <v>U</v>
      </c>
      <c r="H2961" t="str">
        <f>_xlfn.XLOOKUP(A2961,'[1]Tissue Data'!$A:$A,'[1]Tissue Data'!K:K)</f>
        <v>Whole Body</v>
      </c>
      <c r="I2961">
        <f>_xlfn.XLOOKUP(A2961,'[1]Tissue Data'!$A:$A,'[1]Tissue Data'!L:L)</f>
        <v>5</v>
      </c>
      <c r="J2961">
        <f>_xlfn.XLOOKUP(A2961,'[1]Tissue Data'!$A:$A,'[1]Tissue Data'!M:M)</f>
        <v>2.25</v>
      </c>
      <c r="K2961" t="s">
        <v>21</v>
      </c>
      <c r="L2961" t="str">
        <f>_xlfn.XLOOKUP(K2961,[2]analyte_order!$B:$B,[2]analyte_order!$C:$C)</f>
        <v>72629-94-8</v>
      </c>
      <c r="M2961">
        <f>_xlfn.XLOOKUP(L2961,[2]analyte_order!$C:$C,[2]analyte_order!$E:$E)</f>
        <v>10</v>
      </c>
      <c r="N2961">
        <v>8.27</v>
      </c>
    </row>
    <row r="2962" spans="1:14">
      <c r="A2962" t="s">
        <v>198</v>
      </c>
      <c r="B2962" t="str">
        <f>_xlfn.XLOOKUP(A2962,'[1]Tissue Data'!$A:$A,'[1]Tissue Data'!$C:$C)</f>
        <v>Spill</v>
      </c>
      <c r="C2962" s="2">
        <f>_xlfn.XLOOKUP(A2962,'[1]Tissue Data'!$A:$A,'[1]Tissue Data'!$D:$D)</f>
        <v>44314</v>
      </c>
      <c r="D2962" s="2" t="str">
        <f>_xlfn.XLOOKUP(A2962,'[1]Tissue Data'!$A:$A,'[1]Tissue Data'!$F:$F)</f>
        <v>Swallowtail Shiner</v>
      </c>
      <c r="E2962" t="str">
        <f>_xlfn.XLOOKUP(A2962,'[1]Tissue Data'!$A:$A,'[1]Tissue Data'!$H:$H)</f>
        <v>Notropis</v>
      </c>
      <c r="F2962" t="str">
        <f>_xlfn.XLOOKUP(A2962,'[1]Tissue Data'!$A:$A,'[1]Tissue Data'!$I:$I)</f>
        <v>procne</v>
      </c>
      <c r="G2962" t="str">
        <f>_xlfn.XLOOKUP(A2962,'[1]Tissue Data'!$A:$A,'[1]Tissue Data'!J:J)</f>
        <v>U</v>
      </c>
      <c r="H2962" t="str">
        <f>_xlfn.XLOOKUP(A2962,'[1]Tissue Data'!$A:$A,'[1]Tissue Data'!K:K)</f>
        <v>Whole Body</v>
      </c>
      <c r="I2962">
        <f>_xlfn.XLOOKUP(A2962,'[1]Tissue Data'!$A:$A,'[1]Tissue Data'!L:L)</f>
        <v>5</v>
      </c>
      <c r="J2962">
        <f>_xlfn.XLOOKUP(A2962,'[1]Tissue Data'!$A:$A,'[1]Tissue Data'!M:M)</f>
        <v>2.25</v>
      </c>
      <c r="K2962" t="s">
        <v>22</v>
      </c>
      <c r="L2962" t="str">
        <f>_xlfn.XLOOKUP(K2962,[2]analyte_order!$B:$B,[2]analyte_order!$C:$C)</f>
        <v>376-06-7</v>
      </c>
      <c r="M2962">
        <f>_xlfn.XLOOKUP(L2962,[2]analyte_order!$C:$C,[2]analyte_order!$E:$E)</f>
        <v>11</v>
      </c>
      <c r="N2962">
        <v>8.35</v>
      </c>
    </row>
    <row r="2963" spans="1:14">
      <c r="A2963" t="s">
        <v>198</v>
      </c>
      <c r="B2963" t="str">
        <f>_xlfn.XLOOKUP(A2963,'[1]Tissue Data'!$A:$A,'[1]Tissue Data'!$C:$C)</f>
        <v>Spill</v>
      </c>
      <c r="C2963" s="2">
        <f>_xlfn.XLOOKUP(A2963,'[1]Tissue Data'!$A:$A,'[1]Tissue Data'!$D:$D)</f>
        <v>44314</v>
      </c>
      <c r="D2963" s="2" t="str">
        <f>_xlfn.XLOOKUP(A2963,'[1]Tissue Data'!$A:$A,'[1]Tissue Data'!$F:$F)</f>
        <v>Swallowtail Shiner</v>
      </c>
      <c r="E2963" t="str">
        <f>_xlfn.XLOOKUP(A2963,'[1]Tissue Data'!$A:$A,'[1]Tissue Data'!$H:$H)</f>
        <v>Notropis</v>
      </c>
      <c r="F2963" t="str">
        <f>_xlfn.XLOOKUP(A2963,'[1]Tissue Data'!$A:$A,'[1]Tissue Data'!$I:$I)</f>
        <v>procne</v>
      </c>
      <c r="G2963" t="str">
        <f>_xlfn.XLOOKUP(A2963,'[1]Tissue Data'!$A:$A,'[1]Tissue Data'!J:J)</f>
        <v>U</v>
      </c>
      <c r="H2963" t="str">
        <f>_xlfn.XLOOKUP(A2963,'[1]Tissue Data'!$A:$A,'[1]Tissue Data'!K:K)</f>
        <v>Whole Body</v>
      </c>
      <c r="I2963">
        <f>_xlfn.XLOOKUP(A2963,'[1]Tissue Data'!$A:$A,'[1]Tissue Data'!L:L)</f>
        <v>5</v>
      </c>
      <c r="J2963">
        <f>_xlfn.XLOOKUP(A2963,'[1]Tissue Data'!$A:$A,'[1]Tissue Data'!M:M)</f>
        <v>2.25</v>
      </c>
      <c r="K2963" t="s">
        <v>23</v>
      </c>
      <c r="L2963" t="str">
        <f>_xlfn.XLOOKUP(K2963,[2]analyte_order!$B:$B,[2]analyte_order!$C:$C)</f>
        <v>67905-19-5</v>
      </c>
      <c r="M2963">
        <f>_xlfn.XLOOKUP(L2963,[2]analyte_order!$C:$C,[2]analyte_order!$E:$E)</f>
        <v>12</v>
      </c>
      <c r="N2963">
        <v>8.1500000000000003E-2</v>
      </c>
    </row>
    <row r="2964" spans="1:14">
      <c r="A2964" t="s">
        <v>198</v>
      </c>
      <c r="B2964" t="str">
        <f>_xlfn.XLOOKUP(A2964,'[1]Tissue Data'!$A:$A,'[1]Tissue Data'!$C:$C)</f>
        <v>Spill</v>
      </c>
      <c r="C2964" s="2">
        <f>_xlfn.XLOOKUP(A2964,'[1]Tissue Data'!$A:$A,'[1]Tissue Data'!$D:$D)</f>
        <v>44314</v>
      </c>
      <c r="D2964" s="2" t="str">
        <f>_xlfn.XLOOKUP(A2964,'[1]Tissue Data'!$A:$A,'[1]Tissue Data'!$F:$F)</f>
        <v>Swallowtail Shiner</v>
      </c>
      <c r="E2964" t="str">
        <f>_xlfn.XLOOKUP(A2964,'[1]Tissue Data'!$A:$A,'[1]Tissue Data'!$H:$H)</f>
        <v>Notropis</v>
      </c>
      <c r="F2964" t="str">
        <f>_xlfn.XLOOKUP(A2964,'[1]Tissue Data'!$A:$A,'[1]Tissue Data'!$I:$I)</f>
        <v>procne</v>
      </c>
      <c r="G2964" t="str">
        <f>_xlfn.XLOOKUP(A2964,'[1]Tissue Data'!$A:$A,'[1]Tissue Data'!J:J)</f>
        <v>U</v>
      </c>
      <c r="H2964" t="str">
        <f>_xlfn.XLOOKUP(A2964,'[1]Tissue Data'!$A:$A,'[1]Tissue Data'!K:K)</f>
        <v>Whole Body</v>
      </c>
      <c r="I2964">
        <f>_xlfn.XLOOKUP(A2964,'[1]Tissue Data'!$A:$A,'[1]Tissue Data'!L:L)</f>
        <v>5</v>
      </c>
      <c r="J2964">
        <f>_xlfn.XLOOKUP(A2964,'[1]Tissue Data'!$A:$A,'[1]Tissue Data'!M:M)</f>
        <v>2.25</v>
      </c>
      <c r="K2964" t="s">
        <v>24</v>
      </c>
      <c r="L2964" t="str">
        <f>_xlfn.XLOOKUP(K2964,[2]analyte_order!$B:$B,[2]analyte_order!$C:$C)</f>
        <v>423-41-6</v>
      </c>
      <c r="M2964">
        <f>_xlfn.XLOOKUP(L2964,[2]analyte_order!$C:$C,[2]analyte_order!$E:$E)</f>
        <v>53</v>
      </c>
      <c r="N2964">
        <v>5.2499999999999998E-2</v>
      </c>
    </row>
    <row r="2965" spans="1:14">
      <c r="A2965" t="s">
        <v>198</v>
      </c>
      <c r="B2965" t="str">
        <f>_xlfn.XLOOKUP(A2965,'[1]Tissue Data'!$A:$A,'[1]Tissue Data'!$C:$C)</f>
        <v>Spill</v>
      </c>
      <c r="C2965" s="2">
        <f>_xlfn.XLOOKUP(A2965,'[1]Tissue Data'!$A:$A,'[1]Tissue Data'!$D:$D)</f>
        <v>44314</v>
      </c>
      <c r="D2965" s="2" t="str">
        <f>_xlfn.XLOOKUP(A2965,'[1]Tissue Data'!$A:$A,'[1]Tissue Data'!$F:$F)</f>
        <v>Swallowtail Shiner</v>
      </c>
      <c r="E2965" t="str">
        <f>_xlfn.XLOOKUP(A2965,'[1]Tissue Data'!$A:$A,'[1]Tissue Data'!$H:$H)</f>
        <v>Notropis</v>
      </c>
      <c r="F2965" t="str">
        <f>_xlfn.XLOOKUP(A2965,'[1]Tissue Data'!$A:$A,'[1]Tissue Data'!$I:$I)</f>
        <v>procne</v>
      </c>
      <c r="G2965" t="str">
        <f>_xlfn.XLOOKUP(A2965,'[1]Tissue Data'!$A:$A,'[1]Tissue Data'!J:J)</f>
        <v>U</v>
      </c>
      <c r="H2965" t="str">
        <f>_xlfn.XLOOKUP(A2965,'[1]Tissue Data'!$A:$A,'[1]Tissue Data'!K:K)</f>
        <v>Whole Body</v>
      </c>
      <c r="I2965">
        <f>_xlfn.XLOOKUP(A2965,'[1]Tissue Data'!$A:$A,'[1]Tissue Data'!L:L)</f>
        <v>5</v>
      </c>
      <c r="J2965">
        <f>_xlfn.XLOOKUP(A2965,'[1]Tissue Data'!$A:$A,'[1]Tissue Data'!M:M)</f>
        <v>2.25</v>
      </c>
      <c r="K2965" t="s">
        <v>25</v>
      </c>
      <c r="L2965" t="str">
        <f>_xlfn.XLOOKUP(K2965,[2]analyte_order!$B:$B,[2]analyte_order!$C:$C)</f>
        <v>375-73-5</v>
      </c>
      <c r="M2965">
        <f>_xlfn.XLOOKUP(L2965,[2]analyte_order!$C:$C,[2]analyte_order!$E:$E)</f>
        <v>14</v>
      </c>
      <c r="N2965">
        <v>4.6649999999999997E-2</v>
      </c>
    </row>
    <row r="2966" spans="1:14">
      <c r="A2966" t="s">
        <v>198</v>
      </c>
      <c r="B2966" t="str">
        <f>_xlfn.XLOOKUP(A2966,'[1]Tissue Data'!$A:$A,'[1]Tissue Data'!$C:$C)</f>
        <v>Spill</v>
      </c>
      <c r="C2966" s="2">
        <f>_xlfn.XLOOKUP(A2966,'[1]Tissue Data'!$A:$A,'[1]Tissue Data'!$D:$D)</f>
        <v>44314</v>
      </c>
      <c r="D2966" s="2" t="str">
        <f>_xlfn.XLOOKUP(A2966,'[1]Tissue Data'!$A:$A,'[1]Tissue Data'!$F:$F)</f>
        <v>Swallowtail Shiner</v>
      </c>
      <c r="E2966" t="str">
        <f>_xlfn.XLOOKUP(A2966,'[1]Tissue Data'!$A:$A,'[1]Tissue Data'!$H:$H)</f>
        <v>Notropis</v>
      </c>
      <c r="F2966" t="str">
        <f>_xlfn.XLOOKUP(A2966,'[1]Tissue Data'!$A:$A,'[1]Tissue Data'!$I:$I)</f>
        <v>procne</v>
      </c>
      <c r="G2966" t="str">
        <f>_xlfn.XLOOKUP(A2966,'[1]Tissue Data'!$A:$A,'[1]Tissue Data'!J:J)</f>
        <v>U</v>
      </c>
      <c r="H2966" t="str">
        <f>_xlfn.XLOOKUP(A2966,'[1]Tissue Data'!$A:$A,'[1]Tissue Data'!K:K)</f>
        <v>Whole Body</v>
      </c>
      <c r="I2966">
        <f>_xlfn.XLOOKUP(A2966,'[1]Tissue Data'!$A:$A,'[1]Tissue Data'!L:L)</f>
        <v>5</v>
      </c>
      <c r="J2966">
        <f>_xlfn.XLOOKUP(A2966,'[1]Tissue Data'!$A:$A,'[1]Tissue Data'!M:M)</f>
        <v>2.25</v>
      </c>
      <c r="K2966" t="s">
        <v>26</v>
      </c>
      <c r="L2966" t="str">
        <f>_xlfn.XLOOKUP(K2966,[2]analyte_order!$B:$B,[2]analyte_order!$C:$C)</f>
        <v>2706-91-4</v>
      </c>
      <c r="M2966">
        <f>_xlfn.XLOOKUP(L2966,[2]analyte_order!$C:$C,[2]analyte_order!$E:$E)</f>
        <v>15</v>
      </c>
      <c r="N2966">
        <v>1.45</v>
      </c>
    </row>
    <row r="2967" spans="1:14">
      <c r="A2967" t="s">
        <v>198</v>
      </c>
      <c r="B2967" t="str">
        <f>_xlfn.XLOOKUP(A2967,'[1]Tissue Data'!$A:$A,'[1]Tissue Data'!$C:$C)</f>
        <v>Spill</v>
      </c>
      <c r="C2967" s="2">
        <f>_xlfn.XLOOKUP(A2967,'[1]Tissue Data'!$A:$A,'[1]Tissue Data'!$D:$D)</f>
        <v>44314</v>
      </c>
      <c r="D2967" s="2" t="str">
        <f>_xlfn.XLOOKUP(A2967,'[1]Tissue Data'!$A:$A,'[1]Tissue Data'!$F:$F)</f>
        <v>Swallowtail Shiner</v>
      </c>
      <c r="E2967" t="str">
        <f>_xlfn.XLOOKUP(A2967,'[1]Tissue Data'!$A:$A,'[1]Tissue Data'!$H:$H)</f>
        <v>Notropis</v>
      </c>
      <c r="F2967" t="str">
        <f>_xlfn.XLOOKUP(A2967,'[1]Tissue Data'!$A:$A,'[1]Tissue Data'!$I:$I)</f>
        <v>procne</v>
      </c>
      <c r="G2967" t="str">
        <f>_xlfn.XLOOKUP(A2967,'[1]Tissue Data'!$A:$A,'[1]Tissue Data'!J:J)</f>
        <v>U</v>
      </c>
      <c r="H2967" t="str">
        <f>_xlfn.XLOOKUP(A2967,'[1]Tissue Data'!$A:$A,'[1]Tissue Data'!K:K)</f>
        <v>Whole Body</v>
      </c>
      <c r="I2967">
        <f>_xlfn.XLOOKUP(A2967,'[1]Tissue Data'!$A:$A,'[1]Tissue Data'!L:L)</f>
        <v>5</v>
      </c>
      <c r="J2967">
        <f>_xlfn.XLOOKUP(A2967,'[1]Tissue Data'!$A:$A,'[1]Tissue Data'!M:M)</f>
        <v>2.25</v>
      </c>
      <c r="K2967" t="s">
        <v>27</v>
      </c>
      <c r="L2967" t="str">
        <f>_xlfn.XLOOKUP(K2967,[2]analyte_order!$B:$B,[2]analyte_order!$C:$C)</f>
        <v>355-46-4</v>
      </c>
      <c r="M2967">
        <f>_xlfn.XLOOKUP(L2967,[2]analyte_order!$C:$C,[2]analyte_order!$E:$E)</f>
        <v>16</v>
      </c>
      <c r="N2967">
        <v>61.2</v>
      </c>
    </row>
    <row r="2968" spans="1:14">
      <c r="A2968" t="s">
        <v>198</v>
      </c>
      <c r="B2968" t="str">
        <f>_xlfn.XLOOKUP(A2968,'[1]Tissue Data'!$A:$A,'[1]Tissue Data'!$C:$C)</f>
        <v>Spill</v>
      </c>
      <c r="C2968" s="2">
        <f>_xlfn.XLOOKUP(A2968,'[1]Tissue Data'!$A:$A,'[1]Tissue Data'!$D:$D)</f>
        <v>44314</v>
      </c>
      <c r="D2968" s="2" t="str">
        <f>_xlfn.XLOOKUP(A2968,'[1]Tissue Data'!$A:$A,'[1]Tissue Data'!$F:$F)</f>
        <v>Swallowtail Shiner</v>
      </c>
      <c r="E2968" t="str">
        <f>_xlfn.XLOOKUP(A2968,'[1]Tissue Data'!$A:$A,'[1]Tissue Data'!$H:$H)</f>
        <v>Notropis</v>
      </c>
      <c r="F2968" t="str">
        <f>_xlfn.XLOOKUP(A2968,'[1]Tissue Data'!$A:$A,'[1]Tissue Data'!$I:$I)</f>
        <v>procne</v>
      </c>
      <c r="G2968" t="str">
        <f>_xlfn.XLOOKUP(A2968,'[1]Tissue Data'!$A:$A,'[1]Tissue Data'!J:J)</f>
        <v>U</v>
      </c>
      <c r="H2968" t="str">
        <f>_xlfn.XLOOKUP(A2968,'[1]Tissue Data'!$A:$A,'[1]Tissue Data'!K:K)</f>
        <v>Whole Body</v>
      </c>
      <c r="I2968">
        <f>_xlfn.XLOOKUP(A2968,'[1]Tissue Data'!$A:$A,'[1]Tissue Data'!L:L)</f>
        <v>5</v>
      </c>
      <c r="J2968">
        <f>_xlfn.XLOOKUP(A2968,'[1]Tissue Data'!$A:$A,'[1]Tissue Data'!M:M)</f>
        <v>2.25</v>
      </c>
      <c r="K2968" t="s">
        <v>28</v>
      </c>
      <c r="L2968" t="str">
        <f>_xlfn.XLOOKUP(K2968,[2]analyte_order!$B:$B,[2]analyte_order!$C:$C)</f>
        <v>375-92-8</v>
      </c>
      <c r="M2968">
        <f>_xlfn.XLOOKUP(L2968,[2]analyte_order!$C:$C,[2]analyte_order!$E:$E)</f>
        <v>17</v>
      </c>
      <c r="N2968">
        <v>14.4</v>
      </c>
    </row>
    <row r="2969" spans="1:14">
      <c r="A2969" t="s">
        <v>198</v>
      </c>
      <c r="B2969" t="str">
        <f>_xlfn.XLOOKUP(A2969,'[1]Tissue Data'!$A:$A,'[1]Tissue Data'!$C:$C)</f>
        <v>Spill</v>
      </c>
      <c r="C2969" s="2">
        <f>_xlfn.XLOOKUP(A2969,'[1]Tissue Data'!$A:$A,'[1]Tissue Data'!$D:$D)</f>
        <v>44314</v>
      </c>
      <c r="D2969" s="2" t="str">
        <f>_xlfn.XLOOKUP(A2969,'[1]Tissue Data'!$A:$A,'[1]Tissue Data'!$F:$F)</f>
        <v>Swallowtail Shiner</v>
      </c>
      <c r="E2969" t="str">
        <f>_xlfn.XLOOKUP(A2969,'[1]Tissue Data'!$A:$A,'[1]Tissue Data'!$H:$H)</f>
        <v>Notropis</v>
      </c>
      <c r="F2969" t="str">
        <f>_xlfn.XLOOKUP(A2969,'[1]Tissue Data'!$A:$A,'[1]Tissue Data'!$I:$I)</f>
        <v>procne</v>
      </c>
      <c r="G2969" t="str">
        <f>_xlfn.XLOOKUP(A2969,'[1]Tissue Data'!$A:$A,'[1]Tissue Data'!J:J)</f>
        <v>U</v>
      </c>
      <c r="H2969" t="str">
        <f>_xlfn.XLOOKUP(A2969,'[1]Tissue Data'!$A:$A,'[1]Tissue Data'!K:K)</f>
        <v>Whole Body</v>
      </c>
      <c r="I2969">
        <f>_xlfn.XLOOKUP(A2969,'[1]Tissue Data'!$A:$A,'[1]Tissue Data'!L:L)</f>
        <v>5</v>
      </c>
      <c r="J2969">
        <f>_xlfn.XLOOKUP(A2969,'[1]Tissue Data'!$A:$A,'[1]Tissue Data'!M:M)</f>
        <v>2.25</v>
      </c>
      <c r="K2969" t="s">
        <v>29</v>
      </c>
      <c r="L2969" t="str">
        <f>_xlfn.XLOOKUP(K2969,[2]analyte_order!$B:$B,[2]analyte_order!$C:$C)</f>
        <v>1763-23-1</v>
      </c>
      <c r="M2969">
        <f>_xlfn.XLOOKUP(L2969,[2]analyte_order!$C:$C,[2]analyte_order!$E:$E)</f>
        <v>18</v>
      </c>
      <c r="N2969">
        <v>1070</v>
      </c>
    </row>
    <row r="2970" spans="1:14">
      <c r="A2970" t="s">
        <v>198</v>
      </c>
      <c r="B2970" t="str">
        <f>_xlfn.XLOOKUP(A2970,'[1]Tissue Data'!$A:$A,'[1]Tissue Data'!$C:$C)</f>
        <v>Spill</v>
      </c>
      <c r="C2970" s="2">
        <f>_xlfn.XLOOKUP(A2970,'[1]Tissue Data'!$A:$A,'[1]Tissue Data'!$D:$D)</f>
        <v>44314</v>
      </c>
      <c r="D2970" s="2" t="str">
        <f>_xlfn.XLOOKUP(A2970,'[1]Tissue Data'!$A:$A,'[1]Tissue Data'!$F:$F)</f>
        <v>Swallowtail Shiner</v>
      </c>
      <c r="E2970" t="str">
        <f>_xlfn.XLOOKUP(A2970,'[1]Tissue Data'!$A:$A,'[1]Tissue Data'!$H:$H)</f>
        <v>Notropis</v>
      </c>
      <c r="F2970" t="str">
        <f>_xlfn.XLOOKUP(A2970,'[1]Tissue Data'!$A:$A,'[1]Tissue Data'!$I:$I)</f>
        <v>procne</v>
      </c>
      <c r="G2970" t="str">
        <f>_xlfn.XLOOKUP(A2970,'[1]Tissue Data'!$A:$A,'[1]Tissue Data'!J:J)</f>
        <v>U</v>
      </c>
      <c r="H2970" t="str">
        <f>_xlfn.XLOOKUP(A2970,'[1]Tissue Data'!$A:$A,'[1]Tissue Data'!K:K)</f>
        <v>Whole Body</v>
      </c>
      <c r="I2970">
        <f>_xlfn.XLOOKUP(A2970,'[1]Tissue Data'!$A:$A,'[1]Tissue Data'!L:L)</f>
        <v>5</v>
      </c>
      <c r="J2970">
        <f>_xlfn.XLOOKUP(A2970,'[1]Tissue Data'!$A:$A,'[1]Tissue Data'!M:M)</f>
        <v>2.25</v>
      </c>
      <c r="K2970" t="s">
        <v>30</v>
      </c>
      <c r="L2970" t="str">
        <f>_xlfn.XLOOKUP(K2970,[2]analyte_order!$B:$B,[2]analyte_order!$C:$C)</f>
        <v>68259-12-1</v>
      </c>
      <c r="M2970">
        <f>_xlfn.XLOOKUP(L2970,[2]analyte_order!$C:$C,[2]analyte_order!$E:$E)</f>
        <v>19</v>
      </c>
      <c r="N2970">
        <v>2.4</v>
      </c>
    </row>
    <row r="2971" spans="1:14">
      <c r="A2971" t="s">
        <v>198</v>
      </c>
      <c r="B2971" t="str">
        <f>_xlfn.XLOOKUP(A2971,'[1]Tissue Data'!$A:$A,'[1]Tissue Data'!$C:$C)</f>
        <v>Spill</v>
      </c>
      <c r="C2971" s="2">
        <f>_xlfn.XLOOKUP(A2971,'[1]Tissue Data'!$A:$A,'[1]Tissue Data'!$D:$D)</f>
        <v>44314</v>
      </c>
      <c r="D2971" s="2" t="str">
        <f>_xlfn.XLOOKUP(A2971,'[1]Tissue Data'!$A:$A,'[1]Tissue Data'!$F:$F)</f>
        <v>Swallowtail Shiner</v>
      </c>
      <c r="E2971" t="str">
        <f>_xlfn.XLOOKUP(A2971,'[1]Tissue Data'!$A:$A,'[1]Tissue Data'!$H:$H)</f>
        <v>Notropis</v>
      </c>
      <c r="F2971" t="str">
        <f>_xlfn.XLOOKUP(A2971,'[1]Tissue Data'!$A:$A,'[1]Tissue Data'!$I:$I)</f>
        <v>procne</v>
      </c>
      <c r="G2971" t="str">
        <f>_xlfn.XLOOKUP(A2971,'[1]Tissue Data'!$A:$A,'[1]Tissue Data'!J:J)</f>
        <v>U</v>
      </c>
      <c r="H2971" t="str">
        <f>_xlfn.XLOOKUP(A2971,'[1]Tissue Data'!$A:$A,'[1]Tissue Data'!K:K)</f>
        <v>Whole Body</v>
      </c>
      <c r="I2971">
        <f>_xlfn.XLOOKUP(A2971,'[1]Tissue Data'!$A:$A,'[1]Tissue Data'!L:L)</f>
        <v>5</v>
      </c>
      <c r="J2971">
        <f>_xlfn.XLOOKUP(A2971,'[1]Tissue Data'!$A:$A,'[1]Tissue Data'!M:M)</f>
        <v>2.25</v>
      </c>
      <c r="K2971" t="s">
        <v>31</v>
      </c>
      <c r="L2971" t="str">
        <f>_xlfn.XLOOKUP(K2971,[2]analyte_order!$B:$B,[2]analyte_order!$C:$C)</f>
        <v>335-77-3</v>
      </c>
      <c r="M2971">
        <f>_xlfn.XLOOKUP(L2971,[2]analyte_order!$C:$C,[2]analyte_order!$E:$E)</f>
        <v>20</v>
      </c>
      <c r="N2971">
        <v>5.49</v>
      </c>
    </row>
    <row r="2972" spans="1:14">
      <c r="A2972" t="s">
        <v>198</v>
      </c>
      <c r="B2972" t="str">
        <f>_xlfn.XLOOKUP(A2972,'[1]Tissue Data'!$A:$A,'[1]Tissue Data'!$C:$C)</f>
        <v>Spill</v>
      </c>
      <c r="C2972" s="2">
        <f>_xlfn.XLOOKUP(A2972,'[1]Tissue Data'!$A:$A,'[1]Tissue Data'!$D:$D)</f>
        <v>44314</v>
      </c>
      <c r="D2972" s="2" t="str">
        <f>_xlfn.XLOOKUP(A2972,'[1]Tissue Data'!$A:$A,'[1]Tissue Data'!$F:$F)</f>
        <v>Swallowtail Shiner</v>
      </c>
      <c r="E2972" t="str">
        <f>_xlfn.XLOOKUP(A2972,'[1]Tissue Data'!$A:$A,'[1]Tissue Data'!$H:$H)</f>
        <v>Notropis</v>
      </c>
      <c r="F2972" t="str">
        <f>_xlfn.XLOOKUP(A2972,'[1]Tissue Data'!$A:$A,'[1]Tissue Data'!$I:$I)</f>
        <v>procne</v>
      </c>
      <c r="G2972" t="str">
        <f>_xlfn.XLOOKUP(A2972,'[1]Tissue Data'!$A:$A,'[1]Tissue Data'!J:J)</f>
        <v>U</v>
      </c>
      <c r="H2972" t="str">
        <f>_xlfn.XLOOKUP(A2972,'[1]Tissue Data'!$A:$A,'[1]Tissue Data'!K:K)</f>
        <v>Whole Body</v>
      </c>
      <c r="I2972">
        <f>_xlfn.XLOOKUP(A2972,'[1]Tissue Data'!$A:$A,'[1]Tissue Data'!L:L)</f>
        <v>5</v>
      </c>
      <c r="J2972">
        <f>_xlfn.XLOOKUP(A2972,'[1]Tissue Data'!$A:$A,'[1]Tissue Data'!M:M)</f>
        <v>2.25</v>
      </c>
      <c r="K2972" t="s">
        <v>32</v>
      </c>
      <c r="L2972" t="str">
        <f>_xlfn.XLOOKUP(K2972,[2]analyte_order!$B:$B,[2]analyte_order!$C:$C)</f>
        <v>79780-39-5</v>
      </c>
      <c r="M2972">
        <f>_xlfn.XLOOKUP(L2972,[2]analyte_order!$C:$C,[2]analyte_order!$E:$E)</f>
        <v>21</v>
      </c>
      <c r="N2972">
        <v>1.9</v>
      </c>
    </row>
    <row r="2973" spans="1:14">
      <c r="A2973" t="s">
        <v>198</v>
      </c>
      <c r="B2973" t="str">
        <f>_xlfn.XLOOKUP(A2973,'[1]Tissue Data'!$A:$A,'[1]Tissue Data'!$C:$C)</f>
        <v>Spill</v>
      </c>
      <c r="C2973" s="2">
        <f>_xlfn.XLOOKUP(A2973,'[1]Tissue Data'!$A:$A,'[1]Tissue Data'!$D:$D)</f>
        <v>44314</v>
      </c>
      <c r="D2973" s="2" t="str">
        <f>_xlfn.XLOOKUP(A2973,'[1]Tissue Data'!$A:$A,'[1]Tissue Data'!$F:$F)</f>
        <v>Swallowtail Shiner</v>
      </c>
      <c r="E2973" t="str">
        <f>_xlfn.XLOOKUP(A2973,'[1]Tissue Data'!$A:$A,'[1]Tissue Data'!$H:$H)</f>
        <v>Notropis</v>
      </c>
      <c r="F2973" t="str">
        <f>_xlfn.XLOOKUP(A2973,'[1]Tissue Data'!$A:$A,'[1]Tissue Data'!$I:$I)</f>
        <v>procne</v>
      </c>
      <c r="G2973" t="str">
        <f>_xlfn.XLOOKUP(A2973,'[1]Tissue Data'!$A:$A,'[1]Tissue Data'!J:J)</f>
        <v>U</v>
      </c>
      <c r="H2973" t="str">
        <f>_xlfn.XLOOKUP(A2973,'[1]Tissue Data'!$A:$A,'[1]Tissue Data'!K:K)</f>
        <v>Whole Body</v>
      </c>
      <c r="I2973">
        <f>_xlfn.XLOOKUP(A2973,'[1]Tissue Data'!$A:$A,'[1]Tissue Data'!L:L)</f>
        <v>5</v>
      </c>
      <c r="J2973">
        <f>_xlfn.XLOOKUP(A2973,'[1]Tissue Data'!$A:$A,'[1]Tissue Data'!M:M)</f>
        <v>2.25</v>
      </c>
      <c r="K2973" t="s">
        <v>33</v>
      </c>
      <c r="L2973" t="str">
        <f>_xlfn.XLOOKUP(K2973,[2]analyte_order!$B:$B,[2]analyte_order!$C:$C)</f>
        <v>777011-38-8</v>
      </c>
      <c r="M2973">
        <f>_xlfn.XLOOKUP(L2973,[2]analyte_order!$C:$C,[2]analyte_order!$E:$E)</f>
        <v>54</v>
      </c>
      <c r="N2973">
        <v>0.68500000000000005</v>
      </c>
    </row>
    <row r="2974" spans="1:14">
      <c r="A2974" t="s">
        <v>198</v>
      </c>
      <c r="B2974" t="str">
        <f>_xlfn.XLOOKUP(A2974,'[1]Tissue Data'!$A:$A,'[1]Tissue Data'!$C:$C)</f>
        <v>Spill</v>
      </c>
      <c r="C2974" s="2">
        <f>_xlfn.XLOOKUP(A2974,'[1]Tissue Data'!$A:$A,'[1]Tissue Data'!$D:$D)</f>
        <v>44314</v>
      </c>
      <c r="D2974" s="2" t="str">
        <f>_xlfn.XLOOKUP(A2974,'[1]Tissue Data'!$A:$A,'[1]Tissue Data'!$F:$F)</f>
        <v>Swallowtail Shiner</v>
      </c>
      <c r="E2974" t="str">
        <f>_xlfn.XLOOKUP(A2974,'[1]Tissue Data'!$A:$A,'[1]Tissue Data'!$H:$H)</f>
        <v>Notropis</v>
      </c>
      <c r="F2974" t="str">
        <f>_xlfn.XLOOKUP(A2974,'[1]Tissue Data'!$A:$A,'[1]Tissue Data'!$I:$I)</f>
        <v>procne</v>
      </c>
      <c r="G2974" t="str">
        <f>_xlfn.XLOOKUP(A2974,'[1]Tissue Data'!$A:$A,'[1]Tissue Data'!J:J)</f>
        <v>U</v>
      </c>
      <c r="H2974" t="str">
        <f>_xlfn.XLOOKUP(A2974,'[1]Tissue Data'!$A:$A,'[1]Tissue Data'!K:K)</f>
        <v>Whole Body</v>
      </c>
      <c r="I2974">
        <f>_xlfn.XLOOKUP(A2974,'[1]Tissue Data'!$A:$A,'[1]Tissue Data'!L:L)</f>
        <v>5</v>
      </c>
      <c r="J2974">
        <f>_xlfn.XLOOKUP(A2974,'[1]Tissue Data'!$A:$A,'[1]Tissue Data'!M:M)</f>
        <v>2.25</v>
      </c>
      <c r="K2974" t="s">
        <v>34</v>
      </c>
      <c r="L2974" t="str">
        <f>_xlfn.XLOOKUP(K2974,[2]analyte_order!$B:$B,[2]analyte_order!$C:$C)</f>
        <v>646-83-3</v>
      </c>
      <c r="M2974">
        <f>_xlfn.XLOOKUP(L2974,[2]analyte_order!$C:$C,[2]analyte_order!$E:$E)</f>
        <v>55</v>
      </c>
      <c r="N2974">
        <v>0.38600000000000001</v>
      </c>
    </row>
    <row r="2975" spans="1:14">
      <c r="A2975" t="s">
        <v>198</v>
      </c>
      <c r="B2975" t="str">
        <f>_xlfn.XLOOKUP(A2975,'[1]Tissue Data'!$A:$A,'[1]Tissue Data'!$C:$C)</f>
        <v>Spill</v>
      </c>
      <c r="C2975" s="2">
        <f>_xlfn.XLOOKUP(A2975,'[1]Tissue Data'!$A:$A,'[1]Tissue Data'!$D:$D)</f>
        <v>44314</v>
      </c>
      <c r="D2975" s="2" t="str">
        <f>_xlfn.XLOOKUP(A2975,'[1]Tissue Data'!$A:$A,'[1]Tissue Data'!$F:$F)</f>
        <v>Swallowtail Shiner</v>
      </c>
      <c r="E2975" t="str">
        <f>_xlfn.XLOOKUP(A2975,'[1]Tissue Data'!$A:$A,'[1]Tissue Data'!$H:$H)</f>
        <v>Notropis</v>
      </c>
      <c r="F2975" t="str">
        <f>_xlfn.XLOOKUP(A2975,'[1]Tissue Data'!$A:$A,'[1]Tissue Data'!$I:$I)</f>
        <v>procne</v>
      </c>
      <c r="G2975" t="str">
        <f>_xlfn.XLOOKUP(A2975,'[1]Tissue Data'!$A:$A,'[1]Tissue Data'!J:J)</f>
        <v>U</v>
      </c>
      <c r="H2975" t="str">
        <f>_xlfn.XLOOKUP(A2975,'[1]Tissue Data'!$A:$A,'[1]Tissue Data'!K:K)</f>
        <v>Whole Body</v>
      </c>
      <c r="I2975">
        <f>_xlfn.XLOOKUP(A2975,'[1]Tissue Data'!$A:$A,'[1]Tissue Data'!L:L)</f>
        <v>5</v>
      </c>
      <c r="J2975">
        <f>_xlfn.XLOOKUP(A2975,'[1]Tissue Data'!$A:$A,'[1]Tissue Data'!M:M)</f>
        <v>2.25</v>
      </c>
      <c r="K2975" t="s">
        <v>35</v>
      </c>
      <c r="L2975" t="str">
        <f>_xlfn.XLOOKUP(K2975,[2]analyte_order!$B:$B,[2]analyte_order!$C:$C)</f>
        <v>30334-69-1</v>
      </c>
      <c r="M2975">
        <f>_xlfn.XLOOKUP(L2975,[2]analyte_order!$C:$C,[2]analyte_order!$E:$E)</f>
        <v>51</v>
      </c>
      <c r="N2975">
        <v>32.5</v>
      </c>
    </row>
    <row r="2976" spans="1:14">
      <c r="A2976" t="s">
        <v>198</v>
      </c>
      <c r="B2976" t="str">
        <f>_xlfn.XLOOKUP(A2976,'[1]Tissue Data'!$A:$A,'[1]Tissue Data'!$C:$C)</f>
        <v>Spill</v>
      </c>
      <c r="C2976" s="2">
        <f>_xlfn.XLOOKUP(A2976,'[1]Tissue Data'!$A:$A,'[1]Tissue Data'!$D:$D)</f>
        <v>44314</v>
      </c>
      <c r="D2976" s="2" t="str">
        <f>_xlfn.XLOOKUP(A2976,'[1]Tissue Data'!$A:$A,'[1]Tissue Data'!$F:$F)</f>
        <v>Swallowtail Shiner</v>
      </c>
      <c r="E2976" t="str">
        <f>_xlfn.XLOOKUP(A2976,'[1]Tissue Data'!$A:$A,'[1]Tissue Data'!$H:$H)</f>
        <v>Notropis</v>
      </c>
      <c r="F2976" t="str">
        <f>_xlfn.XLOOKUP(A2976,'[1]Tissue Data'!$A:$A,'[1]Tissue Data'!$I:$I)</f>
        <v>procne</v>
      </c>
      <c r="G2976" t="str">
        <f>_xlfn.XLOOKUP(A2976,'[1]Tissue Data'!$A:$A,'[1]Tissue Data'!J:J)</f>
        <v>U</v>
      </c>
      <c r="H2976" t="str">
        <f>_xlfn.XLOOKUP(A2976,'[1]Tissue Data'!$A:$A,'[1]Tissue Data'!K:K)</f>
        <v>Whole Body</v>
      </c>
      <c r="I2976">
        <f>_xlfn.XLOOKUP(A2976,'[1]Tissue Data'!$A:$A,'[1]Tissue Data'!L:L)</f>
        <v>5</v>
      </c>
      <c r="J2976">
        <f>_xlfn.XLOOKUP(A2976,'[1]Tissue Data'!$A:$A,'[1]Tissue Data'!M:M)</f>
        <v>2.25</v>
      </c>
      <c r="K2976" t="s">
        <v>36</v>
      </c>
      <c r="L2976" t="str">
        <f>_xlfn.XLOOKUP(K2976,[2]analyte_order!$B:$B,[2]analyte_order!$C:$C)</f>
        <v>41997-13-1</v>
      </c>
      <c r="M2976">
        <f>_xlfn.XLOOKUP(L2976,[2]analyte_order!$C:$C,[2]analyte_order!$E:$E)</f>
        <v>52</v>
      </c>
      <c r="N2976">
        <v>175</v>
      </c>
    </row>
    <row r="2977" spans="1:14">
      <c r="A2977" t="s">
        <v>198</v>
      </c>
      <c r="B2977" t="str">
        <f>_xlfn.XLOOKUP(A2977,'[1]Tissue Data'!$A:$A,'[1]Tissue Data'!$C:$C)</f>
        <v>Spill</v>
      </c>
      <c r="C2977" s="2">
        <f>_xlfn.XLOOKUP(A2977,'[1]Tissue Data'!$A:$A,'[1]Tissue Data'!$D:$D)</f>
        <v>44314</v>
      </c>
      <c r="D2977" s="2" t="str">
        <f>_xlfn.XLOOKUP(A2977,'[1]Tissue Data'!$A:$A,'[1]Tissue Data'!$F:$F)</f>
        <v>Swallowtail Shiner</v>
      </c>
      <c r="E2977" t="str">
        <f>_xlfn.XLOOKUP(A2977,'[1]Tissue Data'!$A:$A,'[1]Tissue Data'!$H:$H)</f>
        <v>Notropis</v>
      </c>
      <c r="F2977" t="str">
        <f>_xlfn.XLOOKUP(A2977,'[1]Tissue Data'!$A:$A,'[1]Tissue Data'!$I:$I)</f>
        <v>procne</v>
      </c>
      <c r="G2977" t="str">
        <f>_xlfn.XLOOKUP(A2977,'[1]Tissue Data'!$A:$A,'[1]Tissue Data'!J:J)</f>
        <v>U</v>
      </c>
      <c r="H2977" t="str">
        <f>_xlfn.XLOOKUP(A2977,'[1]Tissue Data'!$A:$A,'[1]Tissue Data'!K:K)</f>
        <v>Whole Body</v>
      </c>
      <c r="I2977">
        <f>_xlfn.XLOOKUP(A2977,'[1]Tissue Data'!$A:$A,'[1]Tissue Data'!L:L)</f>
        <v>5</v>
      </c>
      <c r="J2977">
        <f>_xlfn.XLOOKUP(A2977,'[1]Tissue Data'!$A:$A,'[1]Tissue Data'!M:M)</f>
        <v>2.25</v>
      </c>
      <c r="K2977" t="s">
        <v>37</v>
      </c>
      <c r="L2977" t="str">
        <f>_xlfn.XLOOKUP(K2977,[2]analyte_order!$B:$B,[2]analyte_order!$C:$C)</f>
        <v>754-91-6</v>
      </c>
      <c r="M2977">
        <f>_xlfn.XLOOKUP(L2977,[2]analyte_order!$C:$C,[2]analyte_order!$E:$E)</f>
        <v>28</v>
      </c>
      <c r="N2977">
        <v>12.8</v>
      </c>
    </row>
    <row r="2978" spans="1:14">
      <c r="A2978" t="s">
        <v>198</v>
      </c>
      <c r="B2978" t="str">
        <f>_xlfn.XLOOKUP(A2978,'[1]Tissue Data'!$A:$A,'[1]Tissue Data'!$C:$C)</f>
        <v>Spill</v>
      </c>
      <c r="C2978" s="2">
        <f>_xlfn.XLOOKUP(A2978,'[1]Tissue Data'!$A:$A,'[1]Tissue Data'!$D:$D)</f>
        <v>44314</v>
      </c>
      <c r="D2978" s="2" t="str">
        <f>_xlfn.XLOOKUP(A2978,'[1]Tissue Data'!$A:$A,'[1]Tissue Data'!$F:$F)</f>
        <v>Swallowtail Shiner</v>
      </c>
      <c r="E2978" t="str">
        <f>_xlfn.XLOOKUP(A2978,'[1]Tissue Data'!$A:$A,'[1]Tissue Data'!$H:$H)</f>
        <v>Notropis</v>
      </c>
      <c r="F2978" t="str">
        <f>_xlfn.XLOOKUP(A2978,'[1]Tissue Data'!$A:$A,'[1]Tissue Data'!$I:$I)</f>
        <v>procne</v>
      </c>
      <c r="G2978" t="str">
        <f>_xlfn.XLOOKUP(A2978,'[1]Tissue Data'!$A:$A,'[1]Tissue Data'!J:J)</f>
        <v>U</v>
      </c>
      <c r="H2978" t="str">
        <f>_xlfn.XLOOKUP(A2978,'[1]Tissue Data'!$A:$A,'[1]Tissue Data'!K:K)</f>
        <v>Whole Body</v>
      </c>
      <c r="I2978">
        <f>_xlfn.XLOOKUP(A2978,'[1]Tissue Data'!$A:$A,'[1]Tissue Data'!L:L)</f>
        <v>5</v>
      </c>
      <c r="J2978">
        <f>_xlfn.XLOOKUP(A2978,'[1]Tissue Data'!$A:$A,'[1]Tissue Data'!M:M)</f>
        <v>2.25</v>
      </c>
      <c r="K2978" t="s">
        <v>38</v>
      </c>
      <c r="L2978" t="str">
        <f>_xlfn.XLOOKUP(K2978,[2]analyte_order!$B:$B,[2]analyte_order!$C:$C)</f>
        <v>31506-32-8</v>
      </c>
      <c r="M2978">
        <f>_xlfn.XLOOKUP(L2978,[2]analyte_order!$C:$C,[2]analyte_order!$E:$E)</f>
        <v>30</v>
      </c>
      <c r="N2978">
        <v>5.2499999999999998E-2</v>
      </c>
    </row>
    <row r="2979" spans="1:14">
      <c r="A2979" t="s">
        <v>198</v>
      </c>
      <c r="B2979" t="str">
        <f>_xlfn.XLOOKUP(A2979,'[1]Tissue Data'!$A:$A,'[1]Tissue Data'!$C:$C)</f>
        <v>Spill</v>
      </c>
      <c r="C2979" s="2">
        <f>_xlfn.XLOOKUP(A2979,'[1]Tissue Data'!$A:$A,'[1]Tissue Data'!$D:$D)</f>
        <v>44314</v>
      </c>
      <c r="D2979" s="2" t="str">
        <f>_xlfn.XLOOKUP(A2979,'[1]Tissue Data'!$A:$A,'[1]Tissue Data'!$F:$F)</f>
        <v>Swallowtail Shiner</v>
      </c>
      <c r="E2979" t="str">
        <f>_xlfn.XLOOKUP(A2979,'[1]Tissue Data'!$A:$A,'[1]Tissue Data'!$H:$H)</f>
        <v>Notropis</v>
      </c>
      <c r="F2979" t="str">
        <f>_xlfn.XLOOKUP(A2979,'[1]Tissue Data'!$A:$A,'[1]Tissue Data'!$I:$I)</f>
        <v>procne</v>
      </c>
      <c r="G2979" t="str">
        <f>_xlfn.XLOOKUP(A2979,'[1]Tissue Data'!$A:$A,'[1]Tissue Data'!J:J)</f>
        <v>U</v>
      </c>
      <c r="H2979" t="str">
        <f>_xlfn.XLOOKUP(A2979,'[1]Tissue Data'!$A:$A,'[1]Tissue Data'!K:K)</f>
        <v>Whole Body</v>
      </c>
      <c r="I2979">
        <f>_xlfn.XLOOKUP(A2979,'[1]Tissue Data'!$A:$A,'[1]Tissue Data'!L:L)</f>
        <v>5</v>
      </c>
      <c r="J2979">
        <f>_xlfn.XLOOKUP(A2979,'[1]Tissue Data'!$A:$A,'[1]Tissue Data'!M:M)</f>
        <v>2.25</v>
      </c>
      <c r="K2979" t="s">
        <v>39</v>
      </c>
      <c r="L2979" t="str">
        <f>_xlfn.XLOOKUP(K2979,[2]analyte_order!$B:$B,[2]analyte_order!$C:$C)</f>
        <v>4151-50-2</v>
      </c>
      <c r="M2979">
        <f>_xlfn.XLOOKUP(L2979,[2]analyte_order!$C:$C,[2]analyte_order!$E:$E)</f>
        <v>31</v>
      </c>
      <c r="N2979">
        <v>0.08</v>
      </c>
    </row>
    <row r="2980" spans="1:14">
      <c r="A2980" t="s">
        <v>198</v>
      </c>
      <c r="B2980" t="str">
        <f>_xlfn.XLOOKUP(A2980,'[1]Tissue Data'!$A:$A,'[1]Tissue Data'!$C:$C)</f>
        <v>Spill</v>
      </c>
      <c r="C2980" s="2">
        <f>_xlfn.XLOOKUP(A2980,'[1]Tissue Data'!$A:$A,'[1]Tissue Data'!$D:$D)</f>
        <v>44314</v>
      </c>
      <c r="D2980" s="2" t="str">
        <f>_xlfn.XLOOKUP(A2980,'[1]Tissue Data'!$A:$A,'[1]Tissue Data'!$F:$F)</f>
        <v>Swallowtail Shiner</v>
      </c>
      <c r="E2980" t="str">
        <f>_xlfn.XLOOKUP(A2980,'[1]Tissue Data'!$A:$A,'[1]Tissue Data'!$H:$H)</f>
        <v>Notropis</v>
      </c>
      <c r="F2980" t="str">
        <f>_xlfn.XLOOKUP(A2980,'[1]Tissue Data'!$A:$A,'[1]Tissue Data'!$I:$I)</f>
        <v>procne</v>
      </c>
      <c r="G2980" t="str">
        <f>_xlfn.XLOOKUP(A2980,'[1]Tissue Data'!$A:$A,'[1]Tissue Data'!J:J)</f>
        <v>U</v>
      </c>
      <c r="H2980" t="str">
        <f>_xlfn.XLOOKUP(A2980,'[1]Tissue Data'!$A:$A,'[1]Tissue Data'!K:K)</f>
        <v>Whole Body</v>
      </c>
      <c r="I2980">
        <f>_xlfn.XLOOKUP(A2980,'[1]Tissue Data'!$A:$A,'[1]Tissue Data'!L:L)</f>
        <v>5</v>
      </c>
      <c r="J2980">
        <f>_xlfn.XLOOKUP(A2980,'[1]Tissue Data'!$A:$A,'[1]Tissue Data'!M:M)</f>
        <v>2.25</v>
      </c>
      <c r="K2980" t="s">
        <v>40</v>
      </c>
      <c r="L2980" t="str">
        <f>_xlfn.XLOOKUP(K2980,[2]analyte_order!$B:$B,[2]analyte_order!$C:$C)</f>
        <v>2806-24-8</v>
      </c>
      <c r="M2980">
        <f>_xlfn.XLOOKUP(L2980,[2]analyte_order!$C:$C,[2]analyte_order!$E:$E)</f>
        <v>29</v>
      </c>
      <c r="N2980">
        <v>5.3999999999999999E-2</v>
      </c>
    </row>
    <row r="2981" spans="1:14">
      <c r="A2981" t="s">
        <v>198</v>
      </c>
      <c r="B2981" t="str">
        <f>_xlfn.XLOOKUP(A2981,'[1]Tissue Data'!$A:$A,'[1]Tissue Data'!$C:$C)</f>
        <v>Spill</v>
      </c>
      <c r="C2981" s="2">
        <f>_xlfn.XLOOKUP(A2981,'[1]Tissue Data'!$A:$A,'[1]Tissue Data'!$D:$D)</f>
        <v>44314</v>
      </c>
      <c r="D2981" s="2" t="str">
        <f>_xlfn.XLOOKUP(A2981,'[1]Tissue Data'!$A:$A,'[1]Tissue Data'!$F:$F)</f>
        <v>Swallowtail Shiner</v>
      </c>
      <c r="E2981" t="str">
        <f>_xlfn.XLOOKUP(A2981,'[1]Tissue Data'!$A:$A,'[1]Tissue Data'!$H:$H)</f>
        <v>Notropis</v>
      </c>
      <c r="F2981" t="str">
        <f>_xlfn.XLOOKUP(A2981,'[1]Tissue Data'!$A:$A,'[1]Tissue Data'!$I:$I)</f>
        <v>procne</v>
      </c>
      <c r="G2981" t="str">
        <f>_xlfn.XLOOKUP(A2981,'[1]Tissue Data'!$A:$A,'[1]Tissue Data'!J:J)</f>
        <v>U</v>
      </c>
      <c r="H2981" t="str">
        <f>_xlfn.XLOOKUP(A2981,'[1]Tissue Data'!$A:$A,'[1]Tissue Data'!K:K)</f>
        <v>Whole Body</v>
      </c>
      <c r="I2981">
        <f>_xlfn.XLOOKUP(A2981,'[1]Tissue Data'!$A:$A,'[1]Tissue Data'!L:L)</f>
        <v>5</v>
      </c>
      <c r="J2981">
        <f>_xlfn.XLOOKUP(A2981,'[1]Tissue Data'!$A:$A,'[1]Tissue Data'!M:M)</f>
        <v>2.25</v>
      </c>
      <c r="K2981" t="s">
        <v>41</v>
      </c>
      <c r="L2981" t="str">
        <f>_xlfn.XLOOKUP(K2981,[2]analyte_order!$B:$B,[2]analyte_order!$C:$C)</f>
        <v>2355-31-9</v>
      </c>
      <c r="M2981">
        <f>_xlfn.XLOOKUP(L2981,[2]analyte_order!$C:$C,[2]analyte_order!$E:$E)</f>
        <v>26</v>
      </c>
      <c r="N2981">
        <v>0.73599999999999999</v>
      </c>
    </row>
    <row r="2982" spans="1:14">
      <c r="A2982" t="s">
        <v>198</v>
      </c>
      <c r="B2982" t="str">
        <f>_xlfn.XLOOKUP(A2982,'[1]Tissue Data'!$A:$A,'[1]Tissue Data'!$C:$C)</f>
        <v>Spill</v>
      </c>
      <c r="C2982" s="2">
        <f>_xlfn.XLOOKUP(A2982,'[1]Tissue Data'!$A:$A,'[1]Tissue Data'!$D:$D)</f>
        <v>44314</v>
      </c>
      <c r="D2982" s="2" t="str">
        <f>_xlfn.XLOOKUP(A2982,'[1]Tissue Data'!$A:$A,'[1]Tissue Data'!$F:$F)</f>
        <v>Swallowtail Shiner</v>
      </c>
      <c r="E2982" t="str">
        <f>_xlfn.XLOOKUP(A2982,'[1]Tissue Data'!$A:$A,'[1]Tissue Data'!$H:$H)</f>
        <v>Notropis</v>
      </c>
      <c r="F2982" t="str">
        <f>_xlfn.XLOOKUP(A2982,'[1]Tissue Data'!$A:$A,'[1]Tissue Data'!$I:$I)</f>
        <v>procne</v>
      </c>
      <c r="G2982" t="str">
        <f>_xlfn.XLOOKUP(A2982,'[1]Tissue Data'!$A:$A,'[1]Tissue Data'!J:J)</f>
        <v>U</v>
      </c>
      <c r="H2982" t="str">
        <f>_xlfn.XLOOKUP(A2982,'[1]Tissue Data'!$A:$A,'[1]Tissue Data'!K:K)</f>
        <v>Whole Body</v>
      </c>
      <c r="I2982">
        <f>_xlfn.XLOOKUP(A2982,'[1]Tissue Data'!$A:$A,'[1]Tissue Data'!L:L)</f>
        <v>5</v>
      </c>
      <c r="J2982">
        <f>_xlfn.XLOOKUP(A2982,'[1]Tissue Data'!$A:$A,'[1]Tissue Data'!M:M)</f>
        <v>2.25</v>
      </c>
      <c r="K2982" t="s">
        <v>42</v>
      </c>
      <c r="L2982" t="str">
        <f>_xlfn.XLOOKUP(K2982,[2]analyte_order!$B:$B,[2]analyte_order!$C:$C)</f>
        <v>2991-50-6</v>
      </c>
      <c r="M2982">
        <f>_xlfn.XLOOKUP(L2982,[2]analyte_order!$C:$C,[2]analyte_order!$E:$E)</f>
        <v>27</v>
      </c>
      <c r="N2982">
        <v>5.9499999999999997E-2</v>
      </c>
    </row>
    <row r="2983" spans="1:14">
      <c r="A2983" t="s">
        <v>198</v>
      </c>
      <c r="B2983" t="str">
        <f>_xlfn.XLOOKUP(A2983,'[1]Tissue Data'!$A:$A,'[1]Tissue Data'!$C:$C)</f>
        <v>Spill</v>
      </c>
      <c r="C2983" s="2">
        <f>_xlfn.XLOOKUP(A2983,'[1]Tissue Data'!$A:$A,'[1]Tissue Data'!$D:$D)</f>
        <v>44314</v>
      </c>
      <c r="D2983" s="2" t="str">
        <f>_xlfn.XLOOKUP(A2983,'[1]Tissue Data'!$A:$A,'[1]Tissue Data'!$F:$F)</f>
        <v>Swallowtail Shiner</v>
      </c>
      <c r="E2983" t="str">
        <f>_xlfn.XLOOKUP(A2983,'[1]Tissue Data'!$A:$A,'[1]Tissue Data'!$H:$H)</f>
        <v>Notropis</v>
      </c>
      <c r="F2983" t="str">
        <f>_xlfn.XLOOKUP(A2983,'[1]Tissue Data'!$A:$A,'[1]Tissue Data'!$I:$I)</f>
        <v>procne</v>
      </c>
      <c r="G2983" t="str">
        <f>_xlfn.XLOOKUP(A2983,'[1]Tissue Data'!$A:$A,'[1]Tissue Data'!J:J)</f>
        <v>U</v>
      </c>
      <c r="H2983" t="str">
        <f>_xlfn.XLOOKUP(A2983,'[1]Tissue Data'!$A:$A,'[1]Tissue Data'!K:K)</f>
        <v>Whole Body</v>
      </c>
      <c r="I2983">
        <f>_xlfn.XLOOKUP(A2983,'[1]Tissue Data'!$A:$A,'[1]Tissue Data'!L:L)</f>
        <v>5</v>
      </c>
      <c r="J2983">
        <f>_xlfn.XLOOKUP(A2983,'[1]Tissue Data'!$A:$A,'[1]Tissue Data'!M:M)</f>
        <v>2.25</v>
      </c>
      <c r="K2983" t="s">
        <v>43</v>
      </c>
      <c r="L2983" t="str">
        <f>_xlfn.XLOOKUP(K2983,[2]analyte_order!$B:$B,[2]analyte_order!$C:$C)</f>
        <v>757124-72-4</v>
      </c>
      <c r="M2983">
        <f>_xlfn.XLOOKUP(L2983,[2]analyte_order!$C:$C,[2]analyte_order!$E:$E)</f>
        <v>22</v>
      </c>
      <c r="N2983">
        <v>5.6000000000000001E-2</v>
      </c>
    </row>
    <row r="2984" spans="1:14">
      <c r="A2984" t="s">
        <v>198</v>
      </c>
      <c r="B2984" t="str">
        <f>_xlfn.XLOOKUP(A2984,'[1]Tissue Data'!$A:$A,'[1]Tissue Data'!$C:$C)</f>
        <v>Spill</v>
      </c>
      <c r="C2984" s="2">
        <f>_xlfn.XLOOKUP(A2984,'[1]Tissue Data'!$A:$A,'[1]Tissue Data'!$D:$D)</f>
        <v>44314</v>
      </c>
      <c r="D2984" s="2" t="str">
        <f>_xlfn.XLOOKUP(A2984,'[1]Tissue Data'!$A:$A,'[1]Tissue Data'!$F:$F)</f>
        <v>Swallowtail Shiner</v>
      </c>
      <c r="E2984" t="str">
        <f>_xlfn.XLOOKUP(A2984,'[1]Tissue Data'!$A:$A,'[1]Tissue Data'!$H:$H)</f>
        <v>Notropis</v>
      </c>
      <c r="F2984" t="str">
        <f>_xlfn.XLOOKUP(A2984,'[1]Tissue Data'!$A:$A,'[1]Tissue Data'!$I:$I)</f>
        <v>procne</v>
      </c>
      <c r="G2984" t="str">
        <f>_xlfn.XLOOKUP(A2984,'[1]Tissue Data'!$A:$A,'[1]Tissue Data'!J:J)</f>
        <v>U</v>
      </c>
      <c r="H2984" t="str">
        <f>_xlfn.XLOOKUP(A2984,'[1]Tissue Data'!$A:$A,'[1]Tissue Data'!K:K)</f>
        <v>Whole Body</v>
      </c>
      <c r="I2984">
        <f>_xlfn.XLOOKUP(A2984,'[1]Tissue Data'!$A:$A,'[1]Tissue Data'!L:L)</f>
        <v>5</v>
      </c>
      <c r="J2984">
        <f>_xlfn.XLOOKUP(A2984,'[1]Tissue Data'!$A:$A,'[1]Tissue Data'!M:M)</f>
        <v>2.25</v>
      </c>
      <c r="K2984" t="s">
        <v>44</v>
      </c>
      <c r="L2984" t="str">
        <f>_xlfn.XLOOKUP(K2984,[2]analyte_order!$B:$B,[2]analyte_order!$C:$C)</f>
        <v>27619-97-2</v>
      </c>
      <c r="M2984">
        <f>_xlfn.XLOOKUP(L2984,[2]analyte_order!$C:$C,[2]analyte_order!$E:$E)</f>
        <v>23</v>
      </c>
      <c r="N2984">
        <v>0.61499999999999999</v>
      </c>
    </row>
    <row r="2985" spans="1:14">
      <c r="A2985" t="s">
        <v>198</v>
      </c>
      <c r="B2985" t="str">
        <f>_xlfn.XLOOKUP(A2985,'[1]Tissue Data'!$A:$A,'[1]Tissue Data'!$C:$C)</f>
        <v>Spill</v>
      </c>
      <c r="C2985" s="2">
        <f>_xlfn.XLOOKUP(A2985,'[1]Tissue Data'!$A:$A,'[1]Tissue Data'!$D:$D)</f>
        <v>44314</v>
      </c>
      <c r="D2985" s="2" t="str">
        <f>_xlfn.XLOOKUP(A2985,'[1]Tissue Data'!$A:$A,'[1]Tissue Data'!$F:$F)</f>
        <v>Swallowtail Shiner</v>
      </c>
      <c r="E2985" t="str">
        <f>_xlfn.XLOOKUP(A2985,'[1]Tissue Data'!$A:$A,'[1]Tissue Data'!$H:$H)</f>
        <v>Notropis</v>
      </c>
      <c r="F2985" t="str">
        <f>_xlfn.XLOOKUP(A2985,'[1]Tissue Data'!$A:$A,'[1]Tissue Data'!$I:$I)</f>
        <v>procne</v>
      </c>
      <c r="G2985" t="str">
        <f>_xlfn.XLOOKUP(A2985,'[1]Tissue Data'!$A:$A,'[1]Tissue Data'!J:J)</f>
        <v>U</v>
      </c>
      <c r="H2985" t="str">
        <f>_xlfn.XLOOKUP(A2985,'[1]Tissue Data'!$A:$A,'[1]Tissue Data'!K:K)</f>
        <v>Whole Body</v>
      </c>
      <c r="I2985">
        <f>_xlfn.XLOOKUP(A2985,'[1]Tissue Data'!$A:$A,'[1]Tissue Data'!L:L)</f>
        <v>5</v>
      </c>
      <c r="J2985">
        <f>_xlfn.XLOOKUP(A2985,'[1]Tissue Data'!$A:$A,'[1]Tissue Data'!M:M)</f>
        <v>2.25</v>
      </c>
      <c r="K2985" t="s">
        <v>45</v>
      </c>
      <c r="L2985" t="str">
        <f>_xlfn.XLOOKUP(K2985,[2]analyte_order!$B:$B,[2]analyte_order!$C:$C)</f>
        <v>39108-34-4</v>
      </c>
      <c r="M2985">
        <f>_xlfn.XLOOKUP(L2985,[2]analyte_order!$C:$C,[2]analyte_order!$E:$E)</f>
        <v>24</v>
      </c>
      <c r="N2985">
        <v>26.6</v>
      </c>
    </row>
    <row r="2986" spans="1:14">
      <c r="A2986" t="s">
        <v>198</v>
      </c>
      <c r="B2986" t="str">
        <f>_xlfn.XLOOKUP(A2986,'[1]Tissue Data'!$A:$A,'[1]Tissue Data'!$C:$C)</f>
        <v>Spill</v>
      </c>
      <c r="C2986" s="2">
        <f>_xlfn.XLOOKUP(A2986,'[1]Tissue Data'!$A:$A,'[1]Tissue Data'!$D:$D)</f>
        <v>44314</v>
      </c>
      <c r="D2986" s="2" t="str">
        <f>_xlfn.XLOOKUP(A2986,'[1]Tissue Data'!$A:$A,'[1]Tissue Data'!$F:$F)</f>
        <v>Swallowtail Shiner</v>
      </c>
      <c r="E2986" t="str">
        <f>_xlfn.XLOOKUP(A2986,'[1]Tissue Data'!$A:$A,'[1]Tissue Data'!$H:$H)</f>
        <v>Notropis</v>
      </c>
      <c r="F2986" t="str">
        <f>_xlfn.XLOOKUP(A2986,'[1]Tissue Data'!$A:$A,'[1]Tissue Data'!$I:$I)</f>
        <v>procne</v>
      </c>
      <c r="G2986" t="str">
        <f>_xlfn.XLOOKUP(A2986,'[1]Tissue Data'!$A:$A,'[1]Tissue Data'!J:J)</f>
        <v>U</v>
      </c>
      <c r="H2986" t="str">
        <f>_xlfn.XLOOKUP(A2986,'[1]Tissue Data'!$A:$A,'[1]Tissue Data'!K:K)</f>
        <v>Whole Body</v>
      </c>
      <c r="I2986">
        <f>_xlfn.XLOOKUP(A2986,'[1]Tissue Data'!$A:$A,'[1]Tissue Data'!L:L)</f>
        <v>5</v>
      </c>
      <c r="J2986">
        <f>_xlfn.XLOOKUP(A2986,'[1]Tissue Data'!$A:$A,'[1]Tissue Data'!M:M)</f>
        <v>2.25</v>
      </c>
      <c r="K2986" t="s">
        <v>46</v>
      </c>
      <c r="L2986" t="str">
        <f>_xlfn.XLOOKUP(K2986,[2]analyte_order!$B:$B,[2]analyte_order!$C:$C)</f>
        <v>120226-60-0</v>
      </c>
      <c r="M2986">
        <f>_xlfn.XLOOKUP(L2986,[2]analyte_order!$C:$C,[2]analyte_order!$E:$E)</f>
        <v>25</v>
      </c>
      <c r="N2986">
        <v>0.64</v>
      </c>
    </row>
    <row r="2987" spans="1:14">
      <c r="A2987" t="s">
        <v>198</v>
      </c>
      <c r="B2987" t="str">
        <f>_xlfn.XLOOKUP(A2987,'[1]Tissue Data'!$A:$A,'[1]Tissue Data'!$C:$C)</f>
        <v>Spill</v>
      </c>
      <c r="C2987" s="2">
        <f>_xlfn.XLOOKUP(A2987,'[1]Tissue Data'!$A:$A,'[1]Tissue Data'!$D:$D)</f>
        <v>44314</v>
      </c>
      <c r="D2987" s="2" t="str">
        <f>_xlfn.XLOOKUP(A2987,'[1]Tissue Data'!$A:$A,'[1]Tissue Data'!$F:$F)</f>
        <v>Swallowtail Shiner</v>
      </c>
      <c r="E2987" t="str">
        <f>_xlfn.XLOOKUP(A2987,'[1]Tissue Data'!$A:$A,'[1]Tissue Data'!$H:$H)</f>
        <v>Notropis</v>
      </c>
      <c r="F2987" t="str">
        <f>_xlfn.XLOOKUP(A2987,'[1]Tissue Data'!$A:$A,'[1]Tissue Data'!$I:$I)</f>
        <v>procne</v>
      </c>
      <c r="G2987" t="str">
        <f>_xlfn.XLOOKUP(A2987,'[1]Tissue Data'!$A:$A,'[1]Tissue Data'!J:J)</f>
        <v>U</v>
      </c>
      <c r="H2987" t="str">
        <f>_xlfn.XLOOKUP(A2987,'[1]Tissue Data'!$A:$A,'[1]Tissue Data'!K:K)</f>
        <v>Whole Body</v>
      </c>
      <c r="I2987">
        <f>_xlfn.XLOOKUP(A2987,'[1]Tissue Data'!$A:$A,'[1]Tissue Data'!L:L)</f>
        <v>5</v>
      </c>
      <c r="J2987">
        <f>_xlfn.XLOOKUP(A2987,'[1]Tissue Data'!$A:$A,'[1]Tissue Data'!M:M)</f>
        <v>2.25</v>
      </c>
      <c r="K2987" t="s">
        <v>47</v>
      </c>
      <c r="L2987" t="str">
        <f>_xlfn.XLOOKUP(K2987,[2]analyte_order!$B:$B,[2]analyte_order!$C:$C)</f>
        <v>356-02-5</v>
      </c>
      <c r="M2987">
        <f>_xlfn.XLOOKUP(L2987,[2]analyte_order!$C:$C,[2]analyte_order!$E:$E)</f>
        <v>38</v>
      </c>
      <c r="N2987">
        <v>7.9000000000000001E-2</v>
      </c>
    </row>
    <row r="2988" spans="1:14">
      <c r="A2988" t="s">
        <v>198</v>
      </c>
      <c r="B2988" t="str">
        <f>_xlfn.XLOOKUP(A2988,'[1]Tissue Data'!$A:$A,'[1]Tissue Data'!$C:$C)</f>
        <v>Spill</v>
      </c>
      <c r="C2988" s="2">
        <f>_xlfn.XLOOKUP(A2988,'[1]Tissue Data'!$A:$A,'[1]Tissue Data'!$D:$D)</f>
        <v>44314</v>
      </c>
      <c r="D2988" s="2" t="str">
        <f>_xlfn.XLOOKUP(A2988,'[1]Tissue Data'!$A:$A,'[1]Tissue Data'!$F:$F)</f>
        <v>Swallowtail Shiner</v>
      </c>
      <c r="E2988" t="str">
        <f>_xlfn.XLOOKUP(A2988,'[1]Tissue Data'!$A:$A,'[1]Tissue Data'!$H:$H)</f>
        <v>Notropis</v>
      </c>
      <c r="F2988" t="str">
        <f>_xlfn.XLOOKUP(A2988,'[1]Tissue Data'!$A:$A,'[1]Tissue Data'!$I:$I)</f>
        <v>procne</v>
      </c>
      <c r="G2988" t="str">
        <f>_xlfn.XLOOKUP(A2988,'[1]Tissue Data'!$A:$A,'[1]Tissue Data'!J:J)</f>
        <v>U</v>
      </c>
      <c r="H2988" t="str">
        <f>_xlfn.XLOOKUP(A2988,'[1]Tissue Data'!$A:$A,'[1]Tissue Data'!K:K)</f>
        <v>Whole Body</v>
      </c>
      <c r="I2988">
        <f>_xlfn.XLOOKUP(A2988,'[1]Tissue Data'!$A:$A,'[1]Tissue Data'!L:L)</f>
        <v>5</v>
      </c>
      <c r="J2988">
        <f>_xlfn.XLOOKUP(A2988,'[1]Tissue Data'!$A:$A,'[1]Tissue Data'!M:M)</f>
        <v>2.25</v>
      </c>
      <c r="K2988" t="s">
        <v>48</v>
      </c>
      <c r="L2988" t="str">
        <f>_xlfn.XLOOKUP(K2988,[2]analyte_order!$B:$B,[2]analyte_order!$C:$C)</f>
        <v>914637-49-3</v>
      </c>
      <c r="M2988">
        <f>_xlfn.XLOOKUP(L2988,[2]analyte_order!$C:$C,[2]analyte_order!$E:$E)</f>
        <v>39</v>
      </c>
      <c r="N2988">
        <v>5.1499999999999997E-2</v>
      </c>
    </row>
    <row r="2989" spans="1:14">
      <c r="A2989" t="s">
        <v>198</v>
      </c>
      <c r="B2989" t="str">
        <f>_xlfn.XLOOKUP(A2989,'[1]Tissue Data'!$A:$A,'[1]Tissue Data'!$C:$C)</f>
        <v>Spill</v>
      </c>
      <c r="C2989" s="2">
        <f>_xlfn.XLOOKUP(A2989,'[1]Tissue Data'!$A:$A,'[1]Tissue Data'!$D:$D)</f>
        <v>44314</v>
      </c>
      <c r="D2989" s="2" t="str">
        <f>_xlfn.XLOOKUP(A2989,'[1]Tissue Data'!$A:$A,'[1]Tissue Data'!$F:$F)</f>
        <v>Swallowtail Shiner</v>
      </c>
      <c r="E2989" t="str">
        <f>_xlfn.XLOOKUP(A2989,'[1]Tissue Data'!$A:$A,'[1]Tissue Data'!$H:$H)</f>
        <v>Notropis</v>
      </c>
      <c r="F2989" t="str">
        <f>_xlfn.XLOOKUP(A2989,'[1]Tissue Data'!$A:$A,'[1]Tissue Data'!$I:$I)</f>
        <v>procne</v>
      </c>
      <c r="G2989" t="str">
        <f>_xlfn.XLOOKUP(A2989,'[1]Tissue Data'!$A:$A,'[1]Tissue Data'!J:J)</f>
        <v>U</v>
      </c>
      <c r="H2989" t="str">
        <f>_xlfn.XLOOKUP(A2989,'[1]Tissue Data'!$A:$A,'[1]Tissue Data'!K:K)</f>
        <v>Whole Body</v>
      </c>
      <c r="I2989">
        <f>_xlfn.XLOOKUP(A2989,'[1]Tissue Data'!$A:$A,'[1]Tissue Data'!L:L)</f>
        <v>5</v>
      </c>
      <c r="J2989">
        <f>_xlfn.XLOOKUP(A2989,'[1]Tissue Data'!$A:$A,'[1]Tissue Data'!M:M)</f>
        <v>2.25</v>
      </c>
      <c r="K2989" t="s">
        <v>49</v>
      </c>
      <c r="L2989" t="str">
        <f>_xlfn.XLOOKUP(K2989,[2]analyte_order!$B:$B,[2]analyte_order!$C:$C)</f>
        <v>812-70-4</v>
      </c>
      <c r="M2989">
        <f>_xlfn.XLOOKUP(L2989,[2]analyte_order!$C:$C,[2]analyte_order!$E:$E)</f>
        <v>40</v>
      </c>
      <c r="N2989">
        <v>6.61</v>
      </c>
    </row>
    <row r="2990" spans="1:14">
      <c r="A2990" t="s">
        <v>198</v>
      </c>
      <c r="B2990" t="str">
        <f>_xlfn.XLOOKUP(A2990,'[1]Tissue Data'!$A:$A,'[1]Tissue Data'!$C:$C)</f>
        <v>Spill</v>
      </c>
      <c r="C2990" s="2">
        <f>_xlfn.XLOOKUP(A2990,'[1]Tissue Data'!$A:$A,'[1]Tissue Data'!$D:$D)</f>
        <v>44314</v>
      </c>
      <c r="D2990" s="2" t="str">
        <f>_xlfn.XLOOKUP(A2990,'[1]Tissue Data'!$A:$A,'[1]Tissue Data'!$F:$F)</f>
        <v>Swallowtail Shiner</v>
      </c>
      <c r="E2990" t="str">
        <f>_xlfn.XLOOKUP(A2990,'[1]Tissue Data'!$A:$A,'[1]Tissue Data'!$H:$H)</f>
        <v>Notropis</v>
      </c>
      <c r="F2990" t="str">
        <f>_xlfn.XLOOKUP(A2990,'[1]Tissue Data'!$A:$A,'[1]Tissue Data'!$I:$I)</f>
        <v>procne</v>
      </c>
      <c r="G2990" t="str">
        <f>_xlfn.XLOOKUP(A2990,'[1]Tissue Data'!$A:$A,'[1]Tissue Data'!J:J)</f>
        <v>U</v>
      </c>
      <c r="H2990" t="str">
        <f>_xlfn.XLOOKUP(A2990,'[1]Tissue Data'!$A:$A,'[1]Tissue Data'!K:K)</f>
        <v>Whole Body</v>
      </c>
      <c r="I2990">
        <f>_xlfn.XLOOKUP(A2990,'[1]Tissue Data'!$A:$A,'[1]Tissue Data'!L:L)</f>
        <v>5</v>
      </c>
      <c r="J2990">
        <f>_xlfn.XLOOKUP(A2990,'[1]Tissue Data'!$A:$A,'[1]Tissue Data'!M:M)</f>
        <v>2.25</v>
      </c>
      <c r="K2990" t="s">
        <v>50</v>
      </c>
      <c r="L2990" t="str">
        <f>_xlfn.XLOOKUP(K2990,[2]analyte_order!$B:$B,[2]analyte_order!$C:$C)</f>
        <v>53826-12-3</v>
      </c>
      <c r="M2990">
        <f>_xlfn.XLOOKUP(L2990,[2]analyte_order!$C:$C,[2]analyte_order!$E:$E)</f>
        <v>41</v>
      </c>
      <c r="N2990">
        <v>4.3950000000000003E-2</v>
      </c>
    </row>
    <row r="2991" spans="1:14">
      <c r="A2991" t="s">
        <v>198</v>
      </c>
      <c r="B2991" t="str">
        <f>_xlfn.XLOOKUP(A2991,'[1]Tissue Data'!$A:$A,'[1]Tissue Data'!$C:$C)</f>
        <v>Spill</v>
      </c>
      <c r="C2991" s="2">
        <f>_xlfn.XLOOKUP(A2991,'[1]Tissue Data'!$A:$A,'[1]Tissue Data'!$D:$D)</f>
        <v>44314</v>
      </c>
      <c r="D2991" s="2" t="str">
        <f>_xlfn.XLOOKUP(A2991,'[1]Tissue Data'!$A:$A,'[1]Tissue Data'!$F:$F)</f>
        <v>Swallowtail Shiner</v>
      </c>
      <c r="E2991" t="str">
        <f>_xlfn.XLOOKUP(A2991,'[1]Tissue Data'!$A:$A,'[1]Tissue Data'!$H:$H)</f>
        <v>Notropis</v>
      </c>
      <c r="F2991" t="str">
        <f>_xlfn.XLOOKUP(A2991,'[1]Tissue Data'!$A:$A,'[1]Tissue Data'!$I:$I)</f>
        <v>procne</v>
      </c>
      <c r="G2991" t="str">
        <f>_xlfn.XLOOKUP(A2991,'[1]Tissue Data'!$A:$A,'[1]Tissue Data'!J:J)</f>
        <v>U</v>
      </c>
      <c r="H2991" t="str">
        <f>_xlfn.XLOOKUP(A2991,'[1]Tissue Data'!$A:$A,'[1]Tissue Data'!K:K)</f>
        <v>Whole Body</v>
      </c>
      <c r="I2991">
        <f>_xlfn.XLOOKUP(A2991,'[1]Tissue Data'!$A:$A,'[1]Tissue Data'!L:L)</f>
        <v>5</v>
      </c>
      <c r="J2991">
        <f>_xlfn.XLOOKUP(A2991,'[1]Tissue Data'!$A:$A,'[1]Tissue Data'!M:M)</f>
        <v>2.25</v>
      </c>
      <c r="K2991" t="s">
        <v>51</v>
      </c>
      <c r="L2991" t="str">
        <f>_xlfn.XLOOKUP(K2991,[2]analyte_order!$B:$B,[2]analyte_order!$C:$C)</f>
        <v>27854-31-5</v>
      </c>
      <c r="M2991">
        <f>_xlfn.XLOOKUP(L2991,[2]analyte_order!$C:$C,[2]analyte_order!$E:$E)</f>
        <v>42</v>
      </c>
      <c r="N2991">
        <v>2.7400000000000001E-2</v>
      </c>
    </row>
    <row r="2992" spans="1:14">
      <c r="A2992" t="s">
        <v>198</v>
      </c>
      <c r="B2992" t="str">
        <f>_xlfn.XLOOKUP(A2992,'[1]Tissue Data'!$A:$A,'[1]Tissue Data'!$C:$C)</f>
        <v>Spill</v>
      </c>
      <c r="C2992" s="2">
        <f>_xlfn.XLOOKUP(A2992,'[1]Tissue Data'!$A:$A,'[1]Tissue Data'!$D:$D)</f>
        <v>44314</v>
      </c>
      <c r="D2992" s="2" t="str">
        <f>_xlfn.XLOOKUP(A2992,'[1]Tissue Data'!$A:$A,'[1]Tissue Data'!$F:$F)</f>
        <v>Swallowtail Shiner</v>
      </c>
      <c r="E2992" t="str">
        <f>_xlfn.XLOOKUP(A2992,'[1]Tissue Data'!$A:$A,'[1]Tissue Data'!$H:$H)</f>
        <v>Notropis</v>
      </c>
      <c r="F2992" t="str">
        <f>_xlfn.XLOOKUP(A2992,'[1]Tissue Data'!$A:$A,'[1]Tissue Data'!$I:$I)</f>
        <v>procne</v>
      </c>
      <c r="G2992" t="str">
        <f>_xlfn.XLOOKUP(A2992,'[1]Tissue Data'!$A:$A,'[1]Tissue Data'!J:J)</f>
        <v>U</v>
      </c>
      <c r="H2992" t="str">
        <f>_xlfn.XLOOKUP(A2992,'[1]Tissue Data'!$A:$A,'[1]Tissue Data'!K:K)</f>
        <v>Whole Body</v>
      </c>
      <c r="I2992">
        <f>_xlfn.XLOOKUP(A2992,'[1]Tissue Data'!$A:$A,'[1]Tissue Data'!L:L)</f>
        <v>5</v>
      </c>
      <c r="J2992">
        <f>_xlfn.XLOOKUP(A2992,'[1]Tissue Data'!$A:$A,'[1]Tissue Data'!M:M)</f>
        <v>2.25</v>
      </c>
      <c r="K2992" t="s">
        <v>52</v>
      </c>
      <c r="L2992" t="str">
        <f>_xlfn.XLOOKUP(K2992,[2]analyte_order!$B:$B,[2]analyte_order!$C:$C)</f>
        <v>53826-13-4</v>
      </c>
      <c r="M2992">
        <f>_xlfn.XLOOKUP(L2992,[2]analyte_order!$C:$C,[2]analyte_order!$E:$E)</f>
        <v>43</v>
      </c>
      <c r="N2992">
        <v>0.10249999999999999</v>
      </c>
    </row>
    <row r="2993" spans="1:14">
      <c r="A2993" t="s">
        <v>198</v>
      </c>
      <c r="B2993" t="str">
        <f>_xlfn.XLOOKUP(A2993,'[1]Tissue Data'!$A:$A,'[1]Tissue Data'!$C:$C)</f>
        <v>Spill</v>
      </c>
      <c r="C2993" s="2">
        <f>_xlfn.XLOOKUP(A2993,'[1]Tissue Data'!$A:$A,'[1]Tissue Data'!$D:$D)</f>
        <v>44314</v>
      </c>
      <c r="D2993" s="2" t="str">
        <f>_xlfn.XLOOKUP(A2993,'[1]Tissue Data'!$A:$A,'[1]Tissue Data'!$F:$F)</f>
        <v>Swallowtail Shiner</v>
      </c>
      <c r="E2993" t="str">
        <f>_xlfn.XLOOKUP(A2993,'[1]Tissue Data'!$A:$A,'[1]Tissue Data'!$H:$H)</f>
        <v>Notropis</v>
      </c>
      <c r="F2993" t="str">
        <f>_xlfn.XLOOKUP(A2993,'[1]Tissue Data'!$A:$A,'[1]Tissue Data'!$I:$I)</f>
        <v>procne</v>
      </c>
      <c r="G2993" t="str">
        <f>_xlfn.XLOOKUP(A2993,'[1]Tissue Data'!$A:$A,'[1]Tissue Data'!J:J)</f>
        <v>U</v>
      </c>
      <c r="H2993" t="str">
        <f>_xlfn.XLOOKUP(A2993,'[1]Tissue Data'!$A:$A,'[1]Tissue Data'!K:K)</f>
        <v>Whole Body</v>
      </c>
      <c r="I2993">
        <f>_xlfn.XLOOKUP(A2993,'[1]Tissue Data'!$A:$A,'[1]Tissue Data'!L:L)</f>
        <v>5</v>
      </c>
      <c r="J2993">
        <f>_xlfn.XLOOKUP(A2993,'[1]Tissue Data'!$A:$A,'[1]Tissue Data'!M:M)</f>
        <v>2.25</v>
      </c>
      <c r="K2993" t="s">
        <v>53</v>
      </c>
      <c r="L2993" t="str">
        <f>_xlfn.XLOOKUP(K2993,[2]analyte_order!$B:$B,[2]analyte_order!$C:$C)</f>
        <v>161094-75-3</v>
      </c>
      <c r="M2993">
        <f>_xlfn.XLOOKUP(L2993,[2]analyte_order!$C:$C,[2]analyte_order!$E:$E)</f>
        <v>44</v>
      </c>
      <c r="N2993">
        <v>5.3999999999999999E-2</v>
      </c>
    </row>
    <row r="2994" spans="1:14">
      <c r="A2994" t="s">
        <v>198</v>
      </c>
      <c r="B2994" t="str">
        <f>_xlfn.XLOOKUP(A2994,'[1]Tissue Data'!$A:$A,'[1]Tissue Data'!$C:$C)</f>
        <v>Spill</v>
      </c>
      <c r="C2994" s="2">
        <f>_xlfn.XLOOKUP(A2994,'[1]Tissue Data'!$A:$A,'[1]Tissue Data'!$D:$D)</f>
        <v>44314</v>
      </c>
      <c r="D2994" s="2" t="str">
        <f>_xlfn.XLOOKUP(A2994,'[1]Tissue Data'!$A:$A,'[1]Tissue Data'!$F:$F)</f>
        <v>Swallowtail Shiner</v>
      </c>
      <c r="E2994" t="str">
        <f>_xlfn.XLOOKUP(A2994,'[1]Tissue Data'!$A:$A,'[1]Tissue Data'!$H:$H)</f>
        <v>Notropis</v>
      </c>
      <c r="F2994" t="str">
        <f>_xlfn.XLOOKUP(A2994,'[1]Tissue Data'!$A:$A,'[1]Tissue Data'!$I:$I)</f>
        <v>procne</v>
      </c>
      <c r="G2994" t="str">
        <f>_xlfn.XLOOKUP(A2994,'[1]Tissue Data'!$A:$A,'[1]Tissue Data'!J:J)</f>
        <v>U</v>
      </c>
      <c r="H2994" t="str">
        <f>_xlfn.XLOOKUP(A2994,'[1]Tissue Data'!$A:$A,'[1]Tissue Data'!K:K)</f>
        <v>Whole Body</v>
      </c>
      <c r="I2994">
        <f>_xlfn.XLOOKUP(A2994,'[1]Tissue Data'!$A:$A,'[1]Tissue Data'!L:L)</f>
        <v>5</v>
      </c>
      <c r="J2994">
        <f>_xlfn.XLOOKUP(A2994,'[1]Tissue Data'!$A:$A,'[1]Tissue Data'!M:M)</f>
        <v>2.25</v>
      </c>
      <c r="K2994" t="s">
        <v>54</v>
      </c>
      <c r="L2994" t="str">
        <f>_xlfn.XLOOKUP(K2994,[2]analyte_order!$B:$B,[2]analyte_order!$C:$C)</f>
        <v>70887-84-2</v>
      </c>
      <c r="M2994">
        <f>_xlfn.XLOOKUP(L2994,[2]analyte_order!$C:$C,[2]analyte_order!$E:$E)</f>
        <v>45</v>
      </c>
      <c r="N2994">
        <v>4.1349999999999998E-2</v>
      </c>
    </row>
    <row r="2995" spans="1:14">
      <c r="A2995" t="s">
        <v>198</v>
      </c>
      <c r="B2995" t="str">
        <f>_xlfn.XLOOKUP(A2995,'[1]Tissue Data'!$A:$A,'[1]Tissue Data'!$C:$C)</f>
        <v>Spill</v>
      </c>
      <c r="C2995" s="2">
        <f>_xlfn.XLOOKUP(A2995,'[1]Tissue Data'!$A:$A,'[1]Tissue Data'!$D:$D)</f>
        <v>44314</v>
      </c>
      <c r="D2995" s="2" t="str">
        <f>_xlfn.XLOOKUP(A2995,'[1]Tissue Data'!$A:$A,'[1]Tissue Data'!$F:$F)</f>
        <v>Swallowtail Shiner</v>
      </c>
      <c r="E2995" t="str">
        <f>_xlfn.XLOOKUP(A2995,'[1]Tissue Data'!$A:$A,'[1]Tissue Data'!$H:$H)</f>
        <v>Notropis</v>
      </c>
      <c r="F2995" t="str">
        <f>_xlfn.XLOOKUP(A2995,'[1]Tissue Data'!$A:$A,'[1]Tissue Data'!$I:$I)</f>
        <v>procne</v>
      </c>
      <c r="G2995" t="str">
        <f>_xlfn.XLOOKUP(A2995,'[1]Tissue Data'!$A:$A,'[1]Tissue Data'!J:J)</f>
        <v>U</v>
      </c>
      <c r="H2995" t="str">
        <f>_xlfn.XLOOKUP(A2995,'[1]Tissue Data'!$A:$A,'[1]Tissue Data'!K:K)</f>
        <v>Whole Body</v>
      </c>
      <c r="I2995">
        <f>_xlfn.XLOOKUP(A2995,'[1]Tissue Data'!$A:$A,'[1]Tissue Data'!L:L)</f>
        <v>5</v>
      </c>
      <c r="J2995">
        <f>_xlfn.XLOOKUP(A2995,'[1]Tissue Data'!$A:$A,'[1]Tissue Data'!M:M)</f>
        <v>2.25</v>
      </c>
      <c r="K2995" t="s">
        <v>55</v>
      </c>
      <c r="L2995" t="str">
        <f>_xlfn.XLOOKUP(K2995,[2]analyte_order!$B:$B,[2]analyte_order!$C:$C)</f>
        <v>919005-14-4</v>
      </c>
      <c r="M2995">
        <f>_xlfn.XLOOKUP(L2995,[2]analyte_order!$C:$C,[2]analyte_order!$E:$E)</f>
        <v>35</v>
      </c>
      <c r="N2995">
        <v>6.8500000000000005E-2</v>
      </c>
    </row>
    <row r="2996" spans="1:14">
      <c r="A2996" t="s">
        <v>198</v>
      </c>
      <c r="B2996" t="str">
        <f>_xlfn.XLOOKUP(A2996,'[1]Tissue Data'!$A:$A,'[1]Tissue Data'!$C:$C)</f>
        <v>Spill</v>
      </c>
      <c r="C2996" s="2">
        <f>_xlfn.XLOOKUP(A2996,'[1]Tissue Data'!$A:$A,'[1]Tissue Data'!$D:$D)</f>
        <v>44314</v>
      </c>
      <c r="D2996" s="2" t="str">
        <f>_xlfn.XLOOKUP(A2996,'[1]Tissue Data'!$A:$A,'[1]Tissue Data'!$F:$F)</f>
        <v>Swallowtail Shiner</v>
      </c>
      <c r="E2996" t="str">
        <f>_xlfn.XLOOKUP(A2996,'[1]Tissue Data'!$A:$A,'[1]Tissue Data'!$H:$H)</f>
        <v>Notropis</v>
      </c>
      <c r="F2996" t="str">
        <f>_xlfn.XLOOKUP(A2996,'[1]Tissue Data'!$A:$A,'[1]Tissue Data'!$I:$I)</f>
        <v>procne</v>
      </c>
      <c r="G2996" t="str">
        <f>_xlfn.XLOOKUP(A2996,'[1]Tissue Data'!$A:$A,'[1]Tissue Data'!J:J)</f>
        <v>U</v>
      </c>
      <c r="H2996" t="str">
        <f>_xlfn.XLOOKUP(A2996,'[1]Tissue Data'!$A:$A,'[1]Tissue Data'!K:K)</f>
        <v>Whole Body</v>
      </c>
      <c r="I2996">
        <f>_xlfn.XLOOKUP(A2996,'[1]Tissue Data'!$A:$A,'[1]Tissue Data'!L:L)</f>
        <v>5</v>
      </c>
      <c r="J2996">
        <f>_xlfn.XLOOKUP(A2996,'[1]Tissue Data'!$A:$A,'[1]Tissue Data'!M:M)</f>
        <v>2.25</v>
      </c>
      <c r="K2996" t="s">
        <v>56</v>
      </c>
      <c r="L2996" t="str">
        <f>_xlfn.XLOOKUP(K2996,[2]analyte_order!$B:$B,[2]analyte_order!$C:$C)</f>
        <v>756426-58-1</v>
      </c>
      <c r="M2996">
        <f>_xlfn.XLOOKUP(L2996,[2]analyte_order!$C:$C,[2]analyte_order!$E:$E)</f>
        <v>36</v>
      </c>
      <c r="N2996">
        <v>4.7600000000000003E-2</v>
      </c>
    </row>
    <row r="2997" spans="1:14">
      <c r="A2997" t="s">
        <v>198</v>
      </c>
      <c r="B2997" t="str">
        <f>_xlfn.XLOOKUP(A2997,'[1]Tissue Data'!$A:$A,'[1]Tissue Data'!$C:$C)</f>
        <v>Spill</v>
      </c>
      <c r="C2997" s="2">
        <f>_xlfn.XLOOKUP(A2997,'[1]Tissue Data'!$A:$A,'[1]Tissue Data'!$D:$D)</f>
        <v>44314</v>
      </c>
      <c r="D2997" s="2" t="str">
        <f>_xlfn.XLOOKUP(A2997,'[1]Tissue Data'!$A:$A,'[1]Tissue Data'!$F:$F)</f>
        <v>Swallowtail Shiner</v>
      </c>
      <c r="E2997" t="str">
        <f>_xlfn.XLOOKUP(A2997,'[1]Tissue Data'!$A:$A,'[1]Tissue Data'!$H:$H)</f>
        <v>Notropis</v>
      </c>
      <c r="F2997" t="str">
        <f>_xlfn.XLOOKUP(A2997,'[1]Tissue Data'!$A:$A,'[1]Tissue Data'!$I:$I)</f>
        <v>procne</v>
      </c>
      <c r="G2997" t="str">
        <f>_xlfn.XLOOKUP(A2997,'[1]Tissue Data'!$A:$A,'[1]Tissue Data'!J:J)</f>
        <v>U</v>
      </c>
      <c r="H2997" t="str">
        <f>_xlfn.XLOOKUP(A2997,'[1]Tissue Data'!$A:$A,'[1]Tissue Data'!K:K)</f>
        <v>Whole Body</v>
      </c>
      <c r="I2997">
        <f>_xlfn.XLOOKUP(A2997,'[1]Tissue Data'!$A:$A,'[1]Tissue Data'!L:L)</f>
        <v>5</v>
      </c>
      <c r="J2997">
        <f>_xlfn.XLOOKUP(A2997,'[1]Tissue Data'!$A:$A,'[1]Tissue Data'!M:M)</f>
        <v>2.25</v>
      </c>
      <c r="K2997" t="s">
        <v>57</v>
      </c>
      <c r="L2997" t="str">
        <f>_xlfn.XLOOKUP(K2997,[2]analyte_order!$B:$B,[2]analyte_order!$C:$C)</f>
        <v>763051-92-9</v>
      </c>
      <c r="M2997">
        <f>_xlfn.XLOOKUP(L2997,[2]analyte_order!$C:$C,[2]analyte_order!$E:$E)</f>
        <v>37</v>
      </c>
      <c r="N2997">
        <v>5.3999999999999999E-2</v>
      </c>
    </row>
    <row r="2998" spans="1:14">
      <c r="A2998" t="s">
        <v>198</v>
      </c>
      <c r="B2998" t="str">
        <f>_xlfn.XLOOKUP(A2998,'[1]Tissue Data'!$A:$A,'[1]Tissue Data'!$C:$C)</f>
        <v>Spill</v>
      </c>
      <c r="C2998" s="2">
        <f>_xlfn.XLOOKUP(A2998,'[1]Tissue Data'!$A:$A,'[1]Tissue Data'!$D:$D)</f>
        <v>44314</v>
      </c>
      <c r="D2998" s="2" t="str">
        <f>_xlfn.XLOOKUP(A2998,'[1]Tissue Data'!$A:$A,'[1]Tissue Data'!$F:$F)</f>
        <v>Swallowtail Shiner</v>
      </c>
      <c r="E2998" t="str">
        <f>_xlfn.XLOOKUP(A2998,'[1]Tissue Data'!$A:$A,'[1]Tissue Data'!$H:$H)</f>
        <v>Notropis</v>
      </c>
      <c r="F2998" t="str">
        <f>_xlfn.XLOOKUP(A2998,'[1]Tissue Data'!$A:$A,'[1]Tissue Data'!$I:$I)</f>
        <v>procne</v>
      </c>
      <c r="G2998" t="str">
        <f>_xlfn.XLOOKUP(A2998,'[1]Tissue Data'!$A:$A,'[1]Tissue Data'!J:J)</f>
        <v>U</v>
      </c>
      <c r="H2998" t="str">
        <f>_xlfn.XLOOKUP(A2998,'[1]Tissue Data'!$A:$A,'[1]Tissue Data'!K:K)</f>
        <v>Whole Body</v>
      </c>
      <c r="I2998">
        <f>_xlfn.XLOOKUP(A2998,'[1]Tissue Data'!$A:$A,'[1]Tissue Data'!L:L)</f>
        <v>5</v>
      </c>
      <c r="J2998">
        <f>_xlfn.XLOOKUP(A2998,'[1]Tissue Data'!$A:$A,'[1]Tissue Data'!M:M)</f>
        <v>2.25</v>
      </c>
      <c r="K2998" t="s">
        <v>58</v>
      </c>
      <c r="L2998" t="str">
        <f>_xlfn.XLOOKUP(K2998,[2]analyte_order!$B:$B,[2]analyte_order!$C:$C)</f>
        <v>13252-13-6</v>
      </c>
      <c r="M2998">
        <f>_xlfn.XLOOKUP(L2998,[2]analyte_order!$C:$C,[2]analyte_order!$E:$E)</f>
        <v>34</v>
      </c>
      <c r="N2998">
        <v>9.8500000000000004E-2</v>
      </c>
    </row>
    <row r="2999" spans="1:14">
      <c r="A2999" t="s">
        <v>198</v>
      </c>
      <c r="B2999" t="str">
        <f>_xlfn.XLOOKUP(A2999,'[1]Tissue Data'!$A:$A,'[1]Tissue Data'!$C:$C)</f>
        <v>Spill</v>
      </c>
      <c r="C2999" s="2">
        <f>_xlfn.XLOOKUP(A2999,'[1]Tissue Data'!$A:$A,'[1]Tissue Data'!$D:$D)</f>
        <v>44314</v>
      </c>
      <c r="D2999" s="2" t="str">
        <f>_xlfn.XLOOKUP(A2999,'[1]Tissue Data'!$A:$A,'[1]Tissue Data'!$F:$F)</f>
        <v>Swallowtail Shiner</v>
      </c>
      <c r="E2999" t="str">
        <f>_xlfn.XLOOKUP(A2999,'[1]Tissue Data'!$A:$A,'[1]Tissue Data'!$H:$H)</f>
        <v>Notropis</v>
      </c>
      <c r="F2999" t="str">
        <f>_xlfn.XLOOKUP(A2999,'[1]Tissue Data'!$A:$A,'[1]Tissue Data'!$I:$I)</f>
        <v>procne</v>
      </c>
      <c r="G2999" t="str">
        <f>_xlfn.XLOOKUP(A2999,'[1]Tissue Data'!$A:$A,'[1]Tissue Data'!J:J)</f>
        <v>U</v>
      </c>
      <c r="H2999" t="str">
        <f>_xlfn.XLOOKUP(A2999,'[1]Tissue Data'!$A:$A,'[1]Tissue Data'!K:K)</f>
        <v>Whole Body</v>
      </c>
      <c r="I2999">
        <f>_xlfn.XLOOKUP(A2999,'[1]Tissue Data'!$A:$A,'[1]Tissue Data'!L:L)</f>
        <v>5</v>
      </c>
      <c r="J2999">
        <f>_xlfn.XLOOKUP(A2999,'[1]Tissue Data'!$A:$A,'[1]Tissue Data'!M:M)</f>
        <v>2.25</v>
      </c>
      <c r="K2999" t="s">
        <v>59</v>
      </c>
      <c r="L2999" t="str">
        <f>_xlfn.XLOOKUP(K2999,[2]analyte_order!$B:$B,[2]analyte_order!$C:$C)</f>
        <v>57677-95-9</v>
      </c>
      <c r="M2999">
        <f>_xlfn.XLOOKUP(L2999,[2]analyte_order!$C:$C,[2]analyte_order!$E:$E)</f>
        <v>46</v>
      </c>
      <c r="N2999">
        <v>7.2999999999999995E-2</v>
      </c>
    </row>
    <row r="3000" spans="1:14">
      <c r="A3000" t="s">
        <v>198</v>
      </c>
      <c r="B3000" t="str">
        <f>_xlfn.XLOOKUP(A3000,'[1]Tissue Data'!$A:$A,'[1]Tissue Data'!$C:$C)</f>
        <v>Spill</v>
      </c>
      <c r="C3000" s="2">
        <f>_xlfn.XLOOKUP(A3000,'[1]Tissue Data'!$A:$A,'[1]Tissue Data'!$D:$D)</f>
        <v>44314</v>
      </c>
      <c r="D3000" s="2" t="str">
        <f>_xlfn.XLOOKUP(A3000,'[1]Tissue Data'!$A:$A,'[1]Tissue Data'!$F:$F)</f>
        <v>Swallowtail Shiner</v>
      </c>
      <c r="E3000" t="str">
        <f>_xlfn.XLOOKUP(A3000,'[1]Tissue Data'!$A:$A,'[1]Tissue Data'!$H:$H)</f>
        <v>Notropis</v>
      </c>
      <c r="F3000" t="str">
        <f>_xlfn.XLOOKUP(A3000,'[1]Tissue Data'!$A:$A,'[1]Tissue Data'!$I:$I)</f>
        <v>procne</v>
      </c>
      <c r="G3000" t="str">
        <f>_xlfn.XLOOKUP(A3000,'[1]Tissue Data'!$A:$A,'[1]Tissue Data'!J:J)</f>
        <v>U</v>
      </c>
      <c r="H3000" t="str">
        <f>_xlfn.XLOOKUP(A3000,'[1]Tissue Data'!$A:$A,'[1]Tissue Data'!K:K)</f>
        <v>Whole Body</v>
      </c>
      <c r="I3000">
        <f>_xlfn.XLOOKUP(A3000,'[1]Tissue Data'!$A:$A,'[1]Tissue Data'!L:L)</f>
        <v>5</v>
      </c>
      <c r="J3000">
        <f>_xlfn.XLOOKUP(A3000,'[1]Tissue Data'!$A:$A,'[1]Tissue Data'!M:M)</f>
        <v>2.25</v>
      </c>
      <c r="K3000" t="s">
        <v>60</v>
      </c>
      <c r="L3000" t="str">
        <f>_xlfn.XLOOKUP(K3000,[2]analyte_order!$B:$B,[2]analyte_order!$C:$C)</f>
        <v>678-41-1</v>
      </c>
      <c r="M3000">
        <f>_xlfn.XLOOKUP(L3000,[2]analyte_order!$C:$C,[2]analyte_order!$E:$E)</f>
        <v>56</v>
      </c>
      <c r="N3000">
        <v>9.0999999999999998E-2</v>
      </c>
    </row>
    <row r="3001" spans="1:14">
      <c r="A3001" t="s">
        <v>198</v>
      </c>
      <c r="B3001" t="str">
        <f>_xlfn.XLOOKUP(A3001,'[1]Tissue Data'!$A:$A,'[1]Tissue Data'!$C:$C)</f>
        <v>Spill</v>
      </c>
      <c r="C3001" s="2">
        <f>_xlfn.XLOOKUP(A3001,'[1]Tissue Data'!$A:$A,'[1]Tissue Data'!$D:$D)</f>
        <v>44314</v>
      </c>
      <c r="D3001" s="2" t="str">
        <f>_xlfn.XLOOKUP(A3001,'[1]Tissue Data'!$A:$A,'[1]Tissue Data'!$F:$F)</f>
        <v>Swallowtail Shiner</v>
      </c>
      <c r="E3001" t="str">
        <f>_xlfn.XLOOKUP(A3001,'[1]Tissue Data'!$A:$A,'[1]Tissue Data'!$H:$H)</f>
        <v>Notropis</v>
      </c>
      <c r="F3001" t="str">
        <f>_xlfn.XLOOKUP(A3001,'[1]Tissue Data'!$A:$A,'[1]Tissue Data'!$I:$I)</f>
        <v>procne</v>
      </c>
      <c r="G3001" t="str">
        <f>_xlfn.XLOOKUP(A3001,'[1]Tissue Data'!$A:$A,'[1]Tissue Data'!J:J)</f>
        <v>U</v>
      </c>
      <c r="H3001" t="str">
        <f>_xlfn.XLOOKUP(A3001,'[1]Tissue Data'!$A:$A,'[1]Tissue Data'!K:K)</f>
        <v>Whole Body</v>
      </c>
      <c r="I3001">
        <f>_xlfn.XLOOKUP(A3001,'[1]Tissue Data'!$A:$A,'[1]Tissue Data'!L:L)</f>
        <v>5</v>
      </c>
      <c r="J3001">
        <f>_xlfn.XLOOKUP(A3001,'[1]Tissue Data'!$A:$A,'[1]Tissue Data'!M:M)</f>
        <v>2.25</v>
      </c>
      <c r="K3001" t="s">
        <v>61</v>
      </c>
      <c r="L3001" t="str">
        <f>_xlfn.XLOOKUP(K3001,[2]analyte_order!$B:$B,[2]analyte_order!$C:$C)</f>
        <v>2965-52-8</v>
      </c>
      <c r="M3001">
        <f>_xlfn.XLOOKUP(L3001,[2]analyte_order!$C:$C,[2]analyte_order!$E:$E)</f>
        <v>57</v>
      </c>
      <c r="N3001">
        <v>0.1205</v>
      </c>
    </row>
    <row r="3002" spans="1:14">
      <c r="A3002" t="s">
        <v>199</v>
      </c>
      <c r="B3002" t="str">
        <f>_xlfn.XLOOKUP(A3002,'[1]Tissue Data'!$A:$A,'[1]Tissue Data'!$C:$C)</f>
        <v>Spill</v>
      </c>
      <c r="C3002" s="2">
        <f>_xlfn.XLOOKUP(A3002,'[1]Tissue Data'!$A:$A,'[1]Tissue Data'!$D:$D)</f>
        <v>44314</v>
      </c>
      <c r="D3002" s="2" t="str">
        <f>_xlfn.XLOOKUP(A3002,'[1]Tissue Data'!$A:$A,'[1]Tissue Data'!$F:$F)</f>
        <v>Swallowtail Shiner</v>
      </c>
      <c r="E3002" t="str">
        <f>_xlfn.XLOOKUP(A3002,'[1]Tissue Data'!$A:$A,'[1]Tissue Data'!$H:$H)</f>
        <v>Notropis</v>
      </c>
      <c r="F3002" t="str">
        <f>_xlfn.XLOOKUP(A3002,'[1]Tissue Data'!$A:$A,'[1]Tissue Data'!$I:$I)</f>
        <v>procne</v>
      </c>
      <c r="G3002" t="str">
        <f>_xlfn.XLOOKUP(A3002,'[1]Tissue Data'!$A:$A,'[1]Tissue Data'!J:J)</f>
        <v>U</v>
      </c>
      <c r="H3002" t="str">
        <f>_xlfn.XLOOKUP(A3002,'[1]Tissue Data'!$A:$A,'[1]Tissue Data'!K:K)</f>
        <v>Whole Body</v>
      </c>
      <c r="I3002">
        <f>_xlfn.XLOOKUP(A3002,'[1]Tissue Data'!$A:$A,'[1]Tissue Data'!L:L)</f>
        <v>6</v>
      </c>
      <c r="J3002">
        <f>_xlfn.XLOOKUP(A3002,'[1]Tissue Data'!$A:$A,'[1]Tissue Data'!M:M)</f>
        <v>2.4500000000000002</v>
      </c>
      <c r="K3002" t="s">
        <v>12</v>
      </c>
      <c r="L3002" t="str">
        <f>_xlfn.XLOOKUP(K3002,[2]analyte_order!$B:$B,[2]analyte_order!$C:$C)</f>
        <v>375-22-4</v>
      </c>
      <c r="M3002">
        <f>_xlfn.XLOOKUP(L3002,[2]analyte_order!$C:$C,[2]analyte_order!$E:$E)</f>
        <v>1</v>
      </c>
      <c r="N3002">
        <v>2.9100000000000001E-2</v>
      </c>
    </row>
    <row r="3003" spans="1:14">
      <c r="A3003" t="s">
        <v>199</v>
      </c>
      <c r="B3003" t="str">
        <f>_xlfn.XLOOKUP(A3003,'[1]Tissue Data'!$A:$A,'[1]Tissue Data'!$C:$C)</f>
        <v>Spill</v>
      </c>
      <c r="C3003" s="2">
        <f>_xlfn.XLOOKUP(A3003,'[1]Tissue Data'!$A:$A,'[1]Tissue Data'!$D:$D)</f>
        <v>44314</v>
      </c>
      <c r="D3003" s="2" t="str">
        <f>_xlfn.XLOOKUP(A3003,'[1]Tissue Data'!$A:$A,'[1]Tissue Data'!$F:$F)</f>
        <v>Swallowtail Shiner</v>
      </c>
      <c r="E3003" t="str">
        <f>_xlfn.XLOOKUP(A3003,'[1]Tissue Data'!$A:$A,'[1]Tissue Data'!$H:$H)</f>
        <v>Notropis</v>
      </c>
      <c r="F3003" t="str">
        <f>_xlfn.XLOOKUP(A3003,'[1]Tissue Data'!$A:$A,'[1]Tissue Data'!$I:$I)</f>
        <v>procne</v>
      </c>
      <c r="G3003" t="str">
        <f>_xlfn.XLOOKUP(A3003,'[1]Tissue Data'!$A:$A,'[1]Tissue Data'!J:J)</f>
        <v>U</v>
      </c>
      <c r="H3003" t="str">
        <f>_xlfn.XLOOKUP(A3003,'[1]Tissue Data'!$A:$A,'[1]Tissue Data'!K:K)</f>
        <v>Whole Body</v>
      </c>
      <c r="I3003">
        <f>_xlfn.XLOOKUP(A3003,'[1]Tissue Data'!$A:$A,'[1]Tissue Data'!L:L)</f>
        <v>6</v>
      </c>
      <c r="J3003">
        <f>_xlfn.XLOOKUP(A3003,'[1]Tissue Data'!$A:$A,'[1]Tissue Data'!M:M)</f>
        <v>2.4500000000000002</v>
      </c>
      <c r="K3003" t="s">
        <v>13</v>
      </c>
      <c r="L3003" t="str">
        <f>_xlfn.XLOOKUP(K3003,[2]analyte_order!$B:$B,[2]analyte_order!$C:$C)</f>
        <v>2706-90-3</v>
      </c>
      <c r="M3003">
        <f>_xlfn.XLOOKUP(L3003,[2]analyte_order!$C:$C,[2]analyte_order!$E:$E)</f>
        <v>2</v>
      </c>
      <c r="N3003">
        <v>5.1499999999999997E-2</v>
      </c>
    </row>
    <row r="3004" spans="1:14">
      <c r="A3004" t="s">
        <v>199</v>
      </c>
      <c r="B3004" t="str">
        <f>_xlfn.XLOOKUP(A3004,'[1]Tissue Data'!$A:$A,'[1]Tissue Data'!$C:$C)</f>
        <v>Spill</v>
      </c>
      <c r="C3004" s="2">
        <f>_xlfn.XLOOKUP(A3004,'[1]Tissue Data'!$A:$A,'[1]Tissue Data'!$D:$D)</f>
        <v>44314</v>
      </c>
      <c r="D3004" s="2" t="str">
        <f>_xlfn.XLOOKUP(A3004,'[1]Tissue Data'!$A:$A,'[1]Tissue Data'!$F:$F)</f>
        <v>Swallowtail Shiner</v>
      </c>
      <c r="E3004" t="str">
        <f>_xlfn.XLOOKUP(A3004,'[1]Tissue Data'!$A:$A,'[1]Tissue Data'!$H:$H)</f>
        <v>Notropis</v>
      </c>
      <c r="F3004" t="str">
        <f>_xlfn.XLOOKUP(A3004,'[1]Tissue Data'!$A:$A,'[1]Tissue Data'!$I:$I)</f>
        <v>procne</v>
      </c>
      <c r="G3004" t="str">
        <f>_xlfn.XLOOKUP(A3004,'[1]Tissue Data'!$A:$A,'[1]Tissue Data'!J:J)</f>
        <v>U</v>
      </c>
      <c r="H3004" t="str">
        <f>_xlfn.XLOOKUP(A3004,'[1]Tissue Data'!$A:$A,'[1]Tissue Data'!K:K)</f>
        <v>Whole Body</v>
      </c>
      <c r="I3004">
        <f>_xlfn.XLOOKUP(A3004,'[1]Tissue Data'!$A:$A,'[1]Tissue Data'!L:L)</f>
        <v>6</v>
      </c>
      <c r="J3004">
        <f>_xlfn.XLOOKUP(A3004,'[1]Tissue Data'!$A:$A,'[1]Tissue Data'!M:M)</f>
        <v>2.4500000000000002</v>
      </c>
      <c r="K3004" t="s">
        <v>14</v>
      </c>
      <c r="L3004" t="str">
        <f>_xlfn.XLOOKUP(K3004,[2]analyte_order!$B:$B,[2]analyte_order!$C:$C)</f>
        <v>307-24-4</v>
      </c>
      <c r="M3004">
        <f>_xlfn.XLOOKUP(L3004,[2]analyte_order!$C:$C,[2]analyte_order!$E:$E)</f>
        <v>3</v>
      </c>
      <c r="N3004">
        <v>0.1295</v>
      </c>
    </row>
    <row r="3005" spans="1:14">
      <c r="A3005" t="s">
        <v>199</v>
      </c>
      <c r="B3005" t="str">
        <f>_xlfn.XLOOKUP(A3005,'[1]Tissue Data'!$A:$A,'[1]Tissue Data'!$C:$C)</f>
        <v>Spill</v>
      </c>
      <c r="C3005" s="2">
        <f>_xlfn.XLOOKUP(A3005,'[1]Tissue Data'!$A:$A,'[1]Tissue Data'!$D:$D)</f>
        <v>44314</v>
      </c>
      <c r="D3005" s="2" t="str">
        <f>_xlfn.XLOOKUP(A3005,'[1]Tissue Data'!$A:$A,'[1]Tissue Data'!$F:$F)</f>
        <v>Swallowtail Shiner</v>
      </c>
      <c r="E3005" t="str">
        <f>_xlfn.XLOOKUP(A3005,'[1]Tissue Data'!$A:$A,'[1]Tissue Data'!$H:$H)</f>
        <v>Notropis</v>
      </c>
      <c r="F3005" t="str">
        <f>_xlfn.XLOOKUP(A3005,'[1]Tissue Data'!$A:$A,'[1]Tissue Data'!$I:$I)</f>
        <v>procne</v>
      </c>
      <c r="G3005" t="str">
        <f>_xlfn.XLOOKUP(A3005,'[1]Tissue Data'!$A:$A,'[1]Tissue Data'!J:J)</f>
        <v>U</v>
      </c>
      <c r="H3005" t="str">
        <f>_xlfn.XLOOKUP(A3005,'[1]Tissue Data'!$A:$A,'[1]Tissue Data'!K:K)</f>
        <v>Whole Body</v>
      </c>
      <c r="I3005">
        <f>_xlfn.XLOOKUP(A3005,'[1]Tissue Data'!$A:$A,'[1]Tissue Data'!L:L)</f>
        <v>6</v>
      </c>
      <c r="J3005">
        <f>_xlfn.XLOOKUP(A3005,'[1]Tissue Data'!$A:$A,'[1]Tissue Data'!M:M)</f>
        <v>2.4500000000000002</v>
      </c>
      <c r="K3005" t="s">
        <v>15</v>
      </c>
      <c r="L3005" t="str">
        <f>_xlfn.XLOOKUP(K3005,[2]analyte_order!$B:$B,[2]analyte_order!$C:$C)</f>
        <v>375-85-9</v>
      </c>
      <c r="M3005">
        <f>_xlfn.XLOOKUP(L3005,[2]analyte_order!$C:$C,[2]analyte_order!$E:$E)</f>
        <v>4</v>
      </c>
      <c r="N3005">
        <v>2.9100000000000001E-2</v>
      </c>
    </row>
    <row r="3006" spans="1:14">
      <c r="A3006" t="s">
        <v>199</v>
      </c>
      <c r="B3006" t="str">
        <f>_xlfn.XLOOKUP(A3006,'[1]Tissue Data'!$A:$A,'[1]Tissue Data'!$C:$C)</f>
        <v>Spill</v>
      </c>
      <c r="C3006" s="2">
        <f>_xlfn.XLOOKUP(A3006,'[1]Tissue Data'!$A:$A,'[1]Tissue Data'!$D:$D)</f>
        <v>44314</v>
      </c>
      <c r="D3006" s="2" t="str">
        <f>_xlfn.XLOOKUP(A3006,'[1]Tissue Data'!$A:$A,'[1]Tissue Data'!$F:$F)</f>
        <v>Swallowtail Shiner</v>
      </c>
      <c r="E3006" t="str">
        <f>_xlfn.XLOOKUP(A3006,'[1]Tissue Data'!$A:$A,'[1]Tissue Data'!$H:$H)</f>
        <v>Notropis</v>
      </c>
      <c r="F3006" t="str">
        <f>_xlfn.XLOOKUP(A3006,'[1]Tissue Data'!$A:$A,'[1]Tissue Data'!$I:$I)</f>
        <v>procne</v>
      </c>
      <c r="G3006" t="str">
        <f>_xlfn.XLOOKUP(A3006,'[1]Tissue Data'!$A:$A,'[1]Tissue Data'!J:J)</f>
        <v>U</v>
      </c>
      <c r="H3006" t="str">
        <f>_xlfn.XLOOKUP(A3006,'[1]Tissue Data'!$A:$A,'[1]Tissue Data'!K:K)</f>
        <v>Whole Body</v>
      </c>
      <c r="I3006">
        <f>_xlfn.XLOOKUP(A3006,'[1]Tissue Data'!$A:$A,'[1]Tissue Data'!L:L)</f>
        <v>6</v>
      </c>
      <c r="J3006">
        <f>_xlfn.XLOOKUP(A3006,'[1]Tissue Data'!$A:$A,'[1]Tissue Data'!M:M)</f>
        <v>2.4500000000000002</v>
      </c>
      <c r="K3006" t="s">
        <v>16</v>
      </c>
      <c r="L3006" t="str">
        <f>_xlfn.XLOOKUP(K3006,[2]analyte_order!$B:$B,[2]analyte_order!$C:$C)</f>
        <v>335-67-1</v>
      </c>
      <c r="M3006">
        <f>_xlfn.XLOOKUP(L3006,[2]analyte_order!$C:$C,[2]analyte_order!$E:$E)</f>
        <v>5</v>
      </c>
      <c r="N3006">
        <v>4.43</v>
      </c>
    </row>
    <row r="3007" spans="1:14">
      <c r="A3007" t="s">
        <v>199</v>
      </c>
      <c r="B3007" t="str">
        <f>_xlfn.XLOOKUP(A3007,'[1]Tissue Data'!$A:$A,'[1]Tissue Data'!$C:$C)</f>
        <v>Spill</v>
      </c>
      <c r="C3007" s="2">
        <f>_xlfn.XLOOKUP(A3007,'[1]Tissue Data'!$A:$A,'[1]Tissue Data'!$D:$D)</f>
        <v>44314</v>
      </c>
      <c r="D3007" s="2" t="str">
        <f>_xlfn.XLOOKUP(A3007,'[1]Tissue Data'!$A:$A,'[1]Tissue Data'!$F:$F)</f>
        <v>Swallowtail Shiner</v>
      </c>
      <c r="E3007" t="str">
        <f>_xlfn.XLOOKUP(A3007,'[1]Tissue Data'!$A:$A,'[1]Tissue Data'!$H:$H)</f>
        <v>Notropis</v>
      </c>
      <c r="F3007" t="str">
        <f>_xlfn.XLOOKUP(A3007,'[1]Tissue Data'!$A:$A,'[1]Tissue Data'!$I:$I)</f>
        <v>procne</v>
      </c>
      <c r="G3007" t="str">
        <f>_xlfn.XLOOKUP(A3007,'[1]Tissue Data'!$A:$A,'[1]Tissue Data'!J:J)</f>
        <v>U</v>
      </c>
      <c r="H3007" t="str">
        <f>_xlfn.XLOOKUP(A3007,'[1]Tissue Data'!$A:$A,'[1]Tissue Data'!K:K)</f>
        <v>Whole Body</v>
      </c>
      <c r="I3007">
        <f>_xlfn.XLOOKUP(A3007,'[1]Tissue Data'!$A:$A,'[1]Tissue Data'!L:L)</f>
        <v>6</v>
      </c>
      <c r="J3007">
        <f>_xlfn.XLOOKUP(A3007,'[1]Tissue Data'!$A:$A,'[1]Tissue Data'!M:M)</f>
        <v>2.4500000000000002</v>
      </c>
      <c r="K3007" t="s">
        <v>17</v>
      </c>
      <c r="L3007" t="str">
        <f>_xlfn.XLOOKUP(K3007,[2]analyte_order!$B:$B,[2]analyte_order!$C:$C)</f>
        <v>375-95-1</v>
      </c>
      <c r="M3007">
        <f>_xlfn.XLOOKUP(L3007,[2]analyte_order!$C:$C,[2]analyte_order!$E:$E)</f>
        <v>6</v>
      </c>
      <c r="N3007">
        <v>11.4</v>
      </c>
    </row>
    <row r="3008" spans="1:14">
      <c r="A3008" t="s">
        <v>199</v>
      </c>
      <c r="B3008" t="str">
        <f>_xlfn.XLOOKUP(A3008,'[1]Tissue Data'!$A:$A,'[1]Tissue Data'!$C:$C)</f>
        <v>Spill</v>
      </c>
      <c r="C3008" s="2">
        <f>_xlfn.XLOOKUP(A3008,'[1]Tissue Data'!$A:$A,'[1]Tissue Data'!$D:$D)</f>
        <v>44314</v>
      </c>
      <c r="D3008" s="2" t="str">
        <f>_xlfn.XLOOKUP(A3008,'[1]Tissue Data'!$A:$A,'[1]Tissue Data'!$F:$F)</f>
        <v>Swallowtail Shiner</v>
      </c>
      <c r="E3008" t="str">
        <f>_xlfn.XLOOKUP(A3008,'[1]Tissue Data'!$A:$A,'[1]Tissue Data'!$H:$H)</f>
        <v>Notropis</v>
      </c>
      <c r="F3008" t="str">
        <f>_xlfn.XLOOKUP(A3008,'[1]Tissue Data'!$A:$A,'[1]Tissue Data'!$I:$I)</f>
        <v>procne</v>
      </c>
      <c r="G3008" t="str">
        <f>_xlfn.XLOOKUP(A3008,'[1]Tissue Data'!$A:$A,'[1]Tissue Data'!J:J)</f>
        <v>U</v>
      </c>
      <c r="H3008" t="str">
        <f>_xlfn.XLOOKUP(A3008,'[1]Tissue Data'!$A:$A,'[1]Tissue Data'!K:K)</f>
        <v>Whole Body</v>
      </c>
      <c r="I3008">
        <f>_xlfn.XLOOKUP(A3008,'[1]Tissue Data'!$A:$A,'[1]Tissue Data'!L:L)</f>
        <v>6</v>
      </c>
      <c r="J3008">
        <f>_xlfn.XLOOKUP(A3008,'[1]Tissue Data'!$A:$A,'[1]Tissue Data'!M:M)</f>
        <v>2.4500000000000002</v>
      </c>
      <c r="K3008" t="s">
        <v>18</v>
      </c>
      <c r="L3008" t="str">
        <f>_xlfn.XLOOKUP(K3008,[2]analyte_order!$B:$B,[2]analyte_order!$C:$C)</f>
        <v>335-76-2</v>
      </c>
      <c r="M3008">
        <f>_xlfn.XLOOKUP(L3008,[2]analyte_order!$C:$C,[2]analyte_order!$E:$E)</f>
        <v>7</v>
      </c>
      <c r="N3008">
        <v>10.5</v>
      </c>
    </row>
    <row r="3009" spans="1:14">
      <c r="A3009" t="s">
        <v>199</v>
      </c>
      <c r="B3009" t="str">
        <f>_xlfn.XLOOKUP(A3009,'[1]Tissue Data'!$A:$A,'[1]Tissue Data'!$C:$C)</f>
        <v>Spill</v>
      </c>
      <c r="C3009" s="2">
        <f>_xlfn.XLOOKUP(A3009,'[1]Tissue Data'!$A:$A,'[1]Tissue Data'!$D:$D)</f>
        <v>44314</v>
      </c>
      <c r="D3009" s="2" t="str">
        <f>_xlfn.XLOOKUP(A3009,'[1]Tissue Data'!$A:$A,'[1]Tissue Data'!$F:$F)</f>
        <v>Swallowtail Shiner</v>
      </c>
      <c r="E3009" t="str">
        <f>_xlfn.XLOOKUP(A3009,'[1]Tissue Data'!$A:$A,'[1]Tissue Data'!$H:$H)</f>
        <v>Notropis</v>
      </c>
      <c r="F3009" t="str">
        <f>_xlfn.XLOOKUP(A3009,'[1]Tissue Data'!$A:$A,'[1]Tissue Data'!$I:$I)</f>
        <v>procne</v>
      </c>
      <c r="G3009" t="str">
        <f>_xlfn.XLOOKUP(A3009,'[1]Tissue Data'!$A:$A,'[1]Tissue Data'!J:J)</f>
        <v>U</v>
      </c>
      <c r="H3009" t="str">
        <f>_xlfn.XLOOKUP(A3009,'[1]Tissue Data'!$A:$A,'[1]Tissue Data'!K:K)</f>
        <v>Whole Body</v>
      </c>
      <c r="I3009">
        <f>_xlfn.XLOOKUP(A3009,'[1]Tissue Data'!$A:$A,'[1]Tissue Data'!L:L)</f>
        <v>6</v>
      </c>
      <c r="J3009">
        <f>_xlfn.XLOOKUP(A3009,'[1]Tissue Data'!$A:$A,'[1]Tissue Data'!M:M)</f>
        <v>2.4500000000000002</v>
      </c>
      <c r="K3009" t="s">
        <v>19</v>
      </c>
      <c r="L3009" t="str">
        <f>_xlfn.XLOOKUP(K3009,[2]analyte_order!$B:$B,[2]analyte_order!$C:$C)</f>
        <v>2058-94-8</v>
      </c>
      <c r="M3009">
        <f>_xlfn.XLOOKUP(L3009,[2]analyte_order!$C:$C,[2]analyte_order!$E:$E)</f>
        <v>8</v>
      </c>
      <c r="N3009">
        <v>22.4</v>
      </c>
    </row>
    <row r="3010" spans="1:14">
      <c r="A3010" t="s">
        <v>199</v>
      </c>
      <c r="B3010" t="str">
        <f>_xlfn.XLOOKUP(A3010,'[1]Tissue Data'!$A:$A,'[1]Tissue Data'!$C:$C)</f>
        <v>Spill</v>
      </c>
      <c r="C3010" s="2">
        <f>_xlfn.XLOOKUP(A3010,'[1]Tissue Data'!$A:$A,'[1]Tissue Data'!$D:$D)</f>
        <v>44314</v>
      </c>
      <c r="D3010" s="2" t="str">
        <f>_xlfn.XLOOKUP(A3010,'[1]Tissue Data'!$A:$A,'[1]Tissue Data'!$F:$F)</f>
        <v>Swallowtail Shiner</v>
      </c>
      <c r="E3010" t="str">
        <f>_xlfn.XLOOKUP(A3010,'[1]Tissue Data'!$A:$A,'[1]Tissue Data'!$H:$H)</f>
        <v>Notropis</v>
      </c>
      <c r="F3010" t="str">
        <f>_xlfn.XLOOKUP(A3010,'[1]Tissue Data'!$A:$A,'[1]Tissue Data'!$I:$I)</f>
        <v>procne</v>
      </c>
      <c r="G3010" t="str">
        <f>_xlfn.XLOOKUP(A3010,'[1]Tissue Data'!$A:$A,'[1]Tissue Data'!J:J)</f>
        <v>U</v>
      </c>
      <c r="H3010" t="str">
        <f>_xlfn.XLOOKUP(A3010,'[1]Tissue Data'!$A:$A,'[1]Tissue Data'!K:K)</f>
        <v>Whole Body</v>
      </c>
      <c r="I3010">
        <f>_xlfn.XLOOKUP(A3010,'[1]Tissue Data'!$A:$A,'[1]Tissue Data'!L:L)</f>
        <v>6</v>
      </c>
      <c r="J3010">
        <f>_xlfn.XLOOKUP(A3010,'[1]Tissue Data'!$A:$A,'[1]Tissue Data'!M:M)</f>
        <v>2.4500000000000002</v>
      </c>
      <c r="K3010" t="s">
        <v>20</v>
      </c>
      <c r="L3010" t="str">
        <f>_xlfn.XLOOKUP(K3010,[2]analyte_order!$B:$B,[2]analyte_order!$C:$C)</f>
        <v>307-55-1</v>
      </c>
      <c r="M3010">
        <f>_xlfn.XLOOKUP(L3010,[2]analyte_order!$C:$C,[2]analyte_order!$E:$E)</f>
        <v>9</v>
      </c>
      <c r="N3010">
        <v>21.6</v>
      </c>
    </row>
    <row r="3011" spans="1:14">
      <c r="A3011" t="s">
        <v>199</v>
      </c>
      <c r="B3011" t="str">
        <f>_xlfn.XLOOKUP(A3011,'[1]Tissue Data'!$A:$A,'[1]Tissue Data'!$C:$C)</f>
        <v>Spill</v>
      </c>
      <c r="C3011" s="2">
        <f>_xlfn.XLOOKUP(A3011,'[1]Tissue Data'!$A:$A,'[1]Tissue Data'!$D:$D)</f>
        <v>44314</v>
      </c>
      <c r="D3011" s="2" t="str">
        <f>_xlfn.XLOOKUP(A3011,'[1]Tissue Data'!$A:$A,'[1]Tissue Data'!$F:$F)</f>
        <v>Swallowtail Shiner</v>
      </c>
      <c r="E3011" t="str">
        <f>_xlfn.XLOOKUP(A3011,'[1]Tissue Data'!$A:$A,'[1]Tissue Data'!$H:$H)</f>
        <v>Notropis</v>
      </c>
      <c r="F3011" t="str">
        <f>_xlfn.XLOOKUP(A3011,'[1]Tissue Data'!$A:$A,'[1]Tissue Data'!$I:$I)</f>
        <v>procne</v>
      </c>
      <c r="G3011" t="str">
        <f>_xlfn.XLOOKUP(A3011,'[1]Tissue Data'!$A:$A,'[1]Tissue Data'!J:J)</f>
        <v>U</v>
      </c>
      <c r="H3011" t="str">
        <f>_xlfn.XLOOKUP(A3011,'[1]Tissue Data'!$A:$A,'[1]Tissue Data'!K:K)</f>
        <v>Whole Body</v>
      </c>
      <c r="I3011">
        <f>_xlfn.XLOOKUP(A3011,'[1]Tissue Data'!$A:$A,'[1]Tissue Data'!L:L)</f>
        <v>6</v>
      </c>
      <c r="J3011">
        <f>_xlfn.XLOOKUP(A3011,'[1]Tissue Data'!$A:$A,'[1]Tissue Data'!M:M)</f>
        <v>2.4500000000000002</v>
      </c>
      <c r="K3011" t="s">
        <v>21</v>
      </c>
      <c r="L3011" t="str">
        <f>_xlfn.XLOOKUP(K3011,[2]analyte_order!$B:$B,[2]analyte_order!$C:$C)</f>
        <v>72629-94-8</v>
      </c>
      <c r="M3011">
        <f>_xlfn.XLOOKUP(L3011,[2]analyte_order!$C:$C,[2]analyte_order!$E:$E)</f>
        <v>10</v>
      </c>
      <c r="N3011">
        <v>10</v>
      </c>
    </row>
    <row r="3012" spans="1:14">
      <c r="A3012" t="s">
        <v>199</v>
      </c>
      <c r="B3012" t="str">
        <f>_xlfn.XLOOKUP(A3012,'[1]Tissue Data'!$A:$A,'[1]Tissue Data'!$C:$C)</f>
        <v>Spill</v>
      </c>
      <c r="C3012" s="2">
        <f>_xlfn.XLOOKUP(A3012,'[1]Tissue Data'!$A:$A,'[1]Tissue Data'!$D:$D)</f>
        <v>44314</v>
      </c>
      <c r="D3012" s="2" t="str">
        <f>_xlfn.XLOOKUP(A3012,'[1]Tissue Data'!$A:$A,'[1]Tissue Data'!$F:$F)</f>
        <v>Swallowtail Shiner</v>
      </c>
      <c r="E3012" t="str">
        <f>_xlfn.XLOOKUP(A3012,'[1]Tissue Data'!$A:$A,'[1]Tissue Data'!$H:$H)</f>
        <v>Notropis</v>
      </c>
      <c r="F3012" t="str">
        <f>_xlfn.XLOOKUP(A3012,'[1]Tissue Data'!$A:$A,'[1]Tissue Data'!$I:$I)</f>
        <v>procne</v>
      </c>
      <c r="G3012" t="str">
        <f>_xlfn.XLOOKUP(A3012,'[1]Tissue Data'!$A:$A,'[1]Tissue Data'!J:J)</f>
        <v>U</v>
      </c>
      <c r="H3012" t="str">
        <f>_xlfn.XLOOKUP(A3012,'[1]Tissue Data'!$A:$A,'[1]Tissue Data'!K:K)</f>
        <v>Whole Body</v>
      </c>
      <c r="I3012">
        <f>_xlfn.XLOOKUP(A3012,'[1]Tissue Data'!$A:$A,'[1]Tissue Data'!L:L)</f>
        <v>6</v>
      </c>
      <c r="J3012">
        <f>_xlfn.XLOOKUP(A3012,'[1]Tissue Data'!$A:$A,'[1]Tissue Data'!M:M)</f>
        <v>2.4500000000000002</v>
      </c>
      <c r="K3012" t="s">
        <v>22</v>
      </c>
      <c r="L3012" t="str">
        <f>_xlfn.XLOOKUP(K3012,[2]analyte_order!$B:$B,[2]analyte_order!$C:$C)</f>
        <v>376-06-7</v>
      </c>
      <c r="M3012">
        <f>_xlfn.XLOOKUP(L3012,[2]analyte_order!$C:$C,[2]analyte_order!$E:$E)</f>
        <v>11</v>
      </c>
      <c r="N3012">
        <v>8.08</v>
      </c>
    </row>
    <row r="3013" spans="1:14">
      <c r="A3013" t="s">
        <v>199</v>
      </c>
      <c r="B3013" t="str">
        <f>_xlfn.XLOOKUP(A3013,'[1]Tissue Data'!$A:$A,'[1]Tissue Data'!$C:$C)</f>
        <v>Spill</v>
      </c>
      <c r="C3013" s="2">
        <f>_xlfn.XLOOKUP(A3013,'[1]Tissue Data'!$A:$A,'[1]Tissue Data'!$D:$D)</f>
        <v>44314</v>
      </c>
      <c r="D3013" s="2" t="str">
        <f>_xlfn.XLOOKUP(A3013,'[1]Tissue Data'!$A:$A,'[1]Tissue Data'!$F:$F)</f>
        <v>Swallowtail Shiner</v>
      </c>
      <c r="E3013" t="str">
        <f>_xlfn.XLOOKUP(A3013,'[1]Tissue Data'!$A:$A,'[1]Tissue Data'!$H:$H)</f>
        <v>Notropis</v>
      </c>
      <c r="F3013" t="str">
        <f>_xlfn.XLOOKUP(A3013,'[1]Tissue Data'!$A:$A,'[1]Tissue Data'!$I:$I)</f>
        <v>procne</v>
      </c>
      <c r="G3013" t="str">
        <f>_xlfn.XLOOKUP(A3013,'[1]Tissue Data'!$A:$A,'[1]Tissue Data'!J:J)</f>
        <v>U</v>
      </c>
      <c r="H3013" t="str">
        <f>_xlfn.XLOOKUP(A3013,'[1]Tissue Data'!$A:$A,'[1]Tissue Data'!K:K)</f>
        <v>Whole Body</v>
      </c>
      <c r="I3013">
        <f>_xlfn.XLOOKUP(A3013,'[1]Tissue Data'!$A:$A,'[1]Tissue Data'!L:L)</f>
        <v>6</v>
      </c>
      <c r="J3013">
        <f>_xlfn.XLOOKUP(A3013,'[1]Tissue Data'!$A:$A,'[1]Tissue Data'!M:M)</f>
        <v>2.4500000000000002</v>
      </c>
      <c r="K3013" t="s">
        <v>23</v>
      </c>
      <c r="L3013" t="str">
        <f>_xlfn.XLOOKUP(K3013,[2]analyte_order!$B:$B,[2]analyte_order!$C:$C)</f>
        <v>67905-19-5</v>
      </c>
      <c r="M3013">
        <f>_xlfn.XLOOKUP(L3013,[2]analyte_order!$C:$C,[2]analyte_order!$E:$E)</f>
        <v>12</v>
      </c>
      <c r="N3013">
        <v>8.6499999999999994E-2</v>
      </c>
    </row>
    <row r="3014" spans="1:14">
      <c r="A3014" t="s">
        <v>199</v>
      </c>
      <c r="B3014" t="str">
        <f>_xlfn.XLOOKUP(A3014,'[1]Tissue Data'!$A:$A,'[1]Tissue Data'!$C:$C)</f>
        <v>Spill</v>
      </c>
      <c r="C3014" s="2">
        <f>_xlfn.XLOOKUP(A3014,'[1]Tissue Data'!$A:$A,'[1]Tissue Data'!$D:$D)</f>
        <v>44314</v>
      </c>
      <c r="D3014" s="2" t="str">
        <f>_xlfn.XLOOKUP(A3014,'[1]Tissue Data'!$A:$A,'[1]Tissue Data'!$F:$F)</f>
        <v>Swallowtail Shiner</v>
      </c>
      <c r="E3014" t="str">
        <f>_xlfn.XLOOKUP(A3014,'[1]Tissue Data'!$A:$A,'[1]Tissue Data'!$H:$H)</f>
        <v>Notropis</v>
      </c>
      <c r="F3014" t="str">
        <f>_xlfn.XLOOKUP(A3014,'[1]Tissue Data'!$A:$A,'[1]Tissue Data'!$I:$I)</f>
        <v>procne</v>
      </c>
      <c r="G3014" t="str">
        <f>_xlfn.XLOOKUP(A3014,'[1]Tissue Data'!$A:$A,'[1]Tissue Data'!J:J)</f>
        <v>U</v>
      </c>
      <c r="H3014" t="str">
        <f>_xlfn.XLOOKUP(A3014,'[1]Tissue Data'!$A:$A,'[1]Tissue Data'!K:K)</f>
        <v>Whole Body</v>
      </c>
      <c r="I3014">
        <f>_xlfn.XLOOKUP(A3014,'[1]Tissue Data'!$A:$A,'[1]Tissue Data'!L:L)</f>
        <v>6</v>
      </c>
      <c r="J3014">
        <f>_xlfn.XLOOKUP(A3014,'[1]Tissue Data'!$A:$A,'[1]Tissue Data'!M:M)</f>
        <v>2.4500000000000002</v>
      </c>
      <c r="K3014" t="s">
        <v>24</v>
      </c>
      <c r="L3014" t="str">
        <f>_xlfn.XLOOKUP(K3014,[2]analyte_order!$B:$B,[2]analyte_order!$C:$C)</f>
        <v>423-41-6</v>
      </c>
      <c r="M3014">
        <f>_xlfn.XLOOKUP(L3014,[2]analyte_order!$C:$C,[2]analyte_order!$E:$E)</f>
        <v>53</v>
      </c>
      <c r="N3014">
        <v>5.5500000000000001E-2</v>
      </c>
    </row>
    <row r="3015" spans="1:14">
      <c r="A3015" t="s">
        <v>199</v>
      </c>
      <c r="B3015" t="str">
        <f>_xlfn.XLOOKUP(A3015,'[1]Tissue Data'!$A:$A,'[1]Tissue Data'!$C:$C)</f>
        <v>Spill</v>
      </c>
      <c r="C3015" s="2">
        <f>_xlfn.XLOOKUP(A3015,'[1]Tissue Data'!$A:$A,'[1]Tissue Data'!$D:$D)</f>
        <v>44314</v>
      </c>
      <c r="D3015" s="2" t="str">
        <f>_xlfn.XLOOKUP(A3015,'[1]Tissue Data'!$A:$A,'[1]Tissue Data'!$F:$F)</f>
        <v>Swallowtail Shiner</v>
      </c>
      <c r="E3015" t="str">
        <f>_xlfn.XLOOKUP(A3015,'[1]Tissue Data'!$A:$A,'[1]Tissue Data'!$H:$H)</f>
        <v>Notropis</v>
      </c>
      <c r="F3015" t="str">
        <f>_xlfn.XLOOKUP(A3015,'[1]Tissue Data'!$A:$A,'[1]Tissue Data'!$I:$I)</f>
        <v>procne</v>
      </c>
      <c r="G3015" t="str">
        <f>_xlfn.XLOOKUP(A3015,'[1]Tissue Data'!$A:$A,'[1]Tissue Data'!J:J)</f>
        <v>U</v>
      </c>
      <c r="H3015" t="str">
        <f>_xlfn.XLOOKUP(A3015,'[1]Tissue Data'!$A:$A,'[1]Tissue Data'!K:K)</f>
        <v>Whole Body</v>
      </c>
      <c r="I3015">
        <f>_xlfn.XLOOKUP(A3015,'[1]Tissue Data'!$A:$A,'[1]Tissue Data'!L:L)</f>
        <v>6</v>
      </c>
      <c r="J3015">
        <f>_xlfn.XLOOKUP(A3015,'[1]Tissue Data'!$A:$A,'[1]Tissue Data'!M:M)</f>
        <v>2.4500000000000002</v>
      </c>
      <c r="K3015" t="s">
        <v>25</v>
      </c>
      <c r="L3015" t="str">
        <f>_xlfn.XLOOKUP(K3015,[2]analyte_order!$B:$B,[2]analyte_order!$C:$C)</f>
        <v>375-73-5</v>
      </c>
      <c r="M3015">
        <f>_xlfn.XLOOKUP(L3015,[2]analyte_order!$C:$C,[2]analyte_order!$E:$E)</f>
        <v>14</v>
      </c>
      <c r="N3015">
        <v>0.16350000000000001</v>
      </c>
    </row>
    <row r="3016" spans="1:14">
      <c r="A3016" t="s">
        <v>199</v>
      </c>
      <c r="B3016" t="str">
        <f>_xlfn.XLOOKUP(A3016,'[1]Tissue Data'!$A:$A,'[1]Tissue Data'!$C:$C)</f>
        <v>Spill</v>
      </c>
      <c r="C3016" s="2">
        <f>_xlfn.XLOOKUP(A3016,'[1]Tissue Data'!$A:$A,'[1]Tissue Data'!$D:$D)</f>
        <v>44314</v>
      </c>
      <c r="D3016" s="2" t="str">
        <f>_xlfn.XLOOKUP(A3016,'[1]Tissue Data'!$A:$A,'[1]Tissue Data'!$F:$F)</f>
        <v>Swallowtail Shiner</v>
      </c>
      <c r="E3016" t="str">
        <f>_xlfn.XLOOKUP(A3016,'[1]Tissue Data'!$A:$A,'[1]Tissue Data'!$H:$H)</f>
        <v>Notropis</v>
      </c>
      <c r="F3016" t="str">
        <f>_xlfn.XLOOKUP(A3016,'[1]Tissue Data'!$A:$A,'[1]Tissue Data'!$I:$I)</f>
        <v>procne</v>
      </c>
      <c r="G3016" t="str">
        <f>_xlfn.XLOOKUP(A3016,'[1]Tissue Data'!$A:$A,'[1]Tissue Data'!J:J)</f>
        <v>U</v>
      </c>
      <c r="H3016" t="str">
        <f>_xlfn.XLOOKUP(A3016,'[1]Tissue Data'!$A:$A,'[1]Tissue Data'!K:K)</f>
        <v>Whole Body</v>
      </c>
      <c r="I3016">
        <f>_xlfn.XLOOKUP(A3016,'[1]Tissue Data'!$A:$A,'[1]Tissue Data'!L:L)</f>
        <v>6</v>
      </c>
      <c r="J3016">
        <f>_xlfn.XLOOKUP(A3016,'[1]Tissue Data'!$A:$A,'[1]Tissue Data'!M:M)</f>
        <v>2.4500000000000002</v>
      </c>
      <c r="K3016" t="s">
        <v>26</v>
      </c>
      <c r="L3016" t="str">
        <f>_xlfn.XLOOKUP(K3016,[2]analyte_order!$B:$B,[2]analyte_order!$C:$C)</f>
        <v>2706-91-4</v>
      </c>
      <c r="M3016">
        <f>_xlfn.XLOOKUP(L3016,[2]analyte_order!$C:$C,[2]analyte_order!$E:$E)</f>
        <v>15</v>
      </c>
      <c r="N3016">
        <v>1.51</v>
      </c>
    </row>
    <row r="3017" spans="1:14">
      <c r="A3017" t="s">
        <v>199</v>
      </c>
      <c r="B3017" t="str">
        <f>_xlfn.XLOOKUP(A3017,'[1]Tissue Data'!$A:$A,'[1]Tissue Data'!$C:$C)</f>
        <v>Spill</v>
      </c>
      <c r="C3017" s="2">
        <f>_xlfn.XLOOKUP(A3017,'[1]Tissue Data'!$A:$A,'[1]Tissue Data'!$D:$D)</f>
        <v>44314</v>
      </c>
      <c r="D3017" s="2" t="str">
        <f>_xlfn.XLOOKUP(A3017,'[1]Tissue Data'!$A:$A,'[1]Tissue Data'!$F:$F)</f>
        <v>Swallowtail Shiner</v>
      </c>
      <c r="E3017" t="str">
        <f>_xlfn.XLOOKUP(A3017,'[1]Tissue Data'!$A:$A,'[1]Tissue Data'!$H:$H)</f>
        <v>Notropis</v>
      </c>
      <c r="F3017" t="str">
        <f>_xlfn.XLOOKUP(A3017,'[1]Tissue Data'!$A:$A,'[1]Tissue Data'!$I:$I)</f>
        <v>procne</v>
      </c>
      <c r="G3017" t="str">
        <f>_xlfn.XLOOKUP(A3017,'[1]Tissue Data'!$A:$A,'[1]Tissue Data'!J:J)</f>
        <v>U</v>
      </c>
      <c r="H3017" t="str">
        <f>_xlfn.XLOOKUP(A3017,'[1]Tissue Data'!$A:$A,'[1]Tissue Data'!K:K)</f>
        <v>Whole Body</v>
      </c>
      <c r="I3017">
        <f>_xlfn.XLOOKUP(A3017,'[1]Tissue Data'!$A:$A,'[1]Tissue Data'!L:L)</f>
        <v>6</v>
      </c>
      <c r="J3017">
        <f>_xlfn.XLOOKUP(A3017,'[1]Tissue Data'!$A:$A,'[1]Tissue Data'!M:M)</f>
        <v>2.4500000000000002</v>
      </c>
      <c r="K3017" t="s">
        <v>27</v>
      </c>
      <c r="L3017" t="str">
        <f>_xlfn.XLOOKUP(K3017,[2]analyte_order!$B:$B,[2]analyte_order!$C:$C)</f>
        <v>355-46-4</v>
      </c>
      <c r="M3017">
        <f>_xlfn.XLOOKUP(L3017,[2]analyte_order!$C:$C,[2]analyte_order!$E:$E)</f>
        <v>16</v>
      </c>
      <c r="N3017">
        <v>77.900000000000006</v>
      </c>
    </row>
    <row r="3018" spans="1:14">
      <c r="A3018" t="s">
        <v>199</v>
      </c>
      <c r="B3018" t="str">
        <f>_xlfn.XLOOKUP(A3018,'[1]Tissue Data'!$A:$A,'[1]Tissue Data'!$C:$C)</f>
        <v>Spill</v>
      </c>
      <c r="C3018" s="2">
        <f>_xlfn.XLOOKUP(A3018,'[1]Tissue Data'!$A:$A,'[1]Tissue Data'!$D:$D)</f>
        <v>44314</v>
      </c>
      <c r="D3018" s="2" t="str">
        <f>_xlfn.XLOOKUP(A3018,'[1]Tissue Data'!$A:$A,'[1]Tissue Data'!$F:$F)</f>
        <v>Swallowtail Shiner</v>
      </c>
      <c r="E3018" t="str">
        <f>_xlfn.XLOOKUP(A3018,'[1]Tissue Data'!$A:$A,'[1]Tissue Data'!$H:$H)</f>
        <v>Notropis</v>
      </c>
      <c r="F3018" t="str">
        <f>_xlfn.XLOOKUP(A3018,'[1]Tissue Data'!$A:$A,'[1]Tissue Data'!$I:$I)</f>
        <v>procne</v>
      </c>
      <c r="G3018" t="str">
        <f>_xlfn.XLOOKUP(A3018,'[1]Tissue Data'!$A:$A,'[1]Tissue Data'!J:J)</f>
        <v>U</v>
      </c>
      <c r="H3018" t="str">
        <f>_xlfn.XLOOKUP(A3018,'[1]Tissue Data'!$A:$A,'[1]Tissue Data'!K:K)</f>
        <v>Whole Body</v>
      </c>
      <c r="I3018">
        <f>_xlfn.XLOOKUP(A3018,'[1]Tissue Data'!$A:$A,'[1]Tissue Data'!L:L)</f>
        <v>6</v>
      </c>
      <c r="J3018">
        <f>_xlfn.XLOOKUP(A3018,'[1]Tissue Data'!$A:$A,'[1]Tissue Data'!M:M)</f>
        <v>2.4500000000000002</v>
      </c>
      <c r="K3018" t="s">
        <v>28</v>
      </c>
      <c r="L3018" t="str">
        <f>_xlfn.XLOOKUP(K3018,[2]analyte_order!$B:$B,[2]analyte_order!$C:$C)</f>
        <v>375-92-8</v>
      </c>
      <c r="M3018">
        <f>_xlfn.XLOOKUP(L3018,[2]analyte_order!$C:$C,[2]analyte_order!$E:$E)</f>
        <v>17</v>
      </c>
      <c r="N3018">
        <v>9.41</v>
      </c>
    </row>
    <row r="3019" spans="1:14">
      <c r="A3019" t="s">
        <v>199</v>
      </c>
      <c r="B3019" t="str">
        <f>_xlfn.XLOOKUP(A3019,'[1]Tissue Data'!$A:$A,'[1]Tissue Data'!$C:$C)</f>
        <v>Spill</v>
      </c>
      <c r="C3019" s="2">
        <f>_xlfn.XLOOKUP(A3019,'[1]Tissue Data'!$A:$A,'[1]Tissue Data'!$D:$D)</f>
        <v>44314</v>
      </c>
      <c r="D3019" s="2" t="str">
        <f>_xlfn.XLOOKUP(A3019,'[1]Tissue Data'!$A:$A,'[1]Tissue Data'!$F:$F)</f>
        <v>Swallowtail Shiner</v>
      </c>
      <c r="E3019" t="str">
        <f>_xlfn.XLOOKUP(A3019,'[1]Tissue Data'!$A:$A,'[1]Tissue Data'!$H:$H)</f>
        <v>Notropis</v>
      </c>
      <c r="F3019" t="str">
        <f>_xlfn.XLOOKUP(A3019,'[1]Tissue Data'!$A:$A,'[1]Tissue Data'!$I:$I)</f>
        <v>procne</v>
      </c>
      <c r="G3019" t="str">
        <f>_xlfn.XLOOKUP(A3019,'[1]Tissue Data'!$A:$A,'[1]Tissue Data'!J:J)</f>
        <v>U</v>
      </c>
      <c r="H3019" t="str">
        <f>_xlfn.XLOOKUP(A3019,'[1]Tissue Data'!$A:$A,'[1]Tissue Data'!K:K)</f>
        <v>Whole Body</v>
      </c>
      <c r="I3019">
        <f>_xlfn.XLOOKUP(A3019,'[1]Tissue Data'!$A:$A,'[1]Tissue Data'!L:L)</f>
        <v>6</v>
      </c>
      <c r="J3019">
        <f>_xlfn.XLOOKUP(A3019,'[1]Tissue Data'!$A:$A,'[1]Tissue Data'!M:M)</f>
        <v>2.4500000000000002</v>
      </c>
      <c r="K3019" t="s">
        <v>29</v>
      </c>
      <c r="L3019" t="str">
        <f>_xlfn.XLOOKUP(K3019,[2]analyte_order!$B:$B,[2]analyte_order!$C:$C)</f>
        <v>1763-23-1</v>
      </c>
      <c r="M3019">
        <f>_xlfn.XLOOKUP(L3019,[2]analyte_order!$C:$C,[2]analyte_order!$E:$E)</f>
        <v>18</v>
      </c>
      <c r="N3019">
        <v>1570</v>
      </c>
    </row>
    <row r="3020" spans="1:14">
      <c r="A3020" t="s">
        <v>199</v>
      </c>
      <c r="B3020" t="str">
        <f>_xlfn.XLOOKUP(A3020,'[1]Tissue Data'!$A:$A,'[1]Tissue Data'!$C:$C)</f>
        <v>Spill</v>
      </c>
      <c r="C3020" s="2">
        <f>_xlfn.XLOOKUP(A3020,'[1]Tissue Data'!$A:$A,'[1]Tissue Data'!$D:$D)</f>
        <v>44314</v>
      </c>
      <c r="D3020" s="2" t="str">
        <f>_xlfn.XLOOKUP(A3020,'[1]Tissue Data'!$A:$A,'[1]Tissue Data'!$F:$F)</f>
        <v>Swallowtail Shiner</v>
      </c>
      <c r="E3020" t="str">
        <f>_xlfn.XLOOKUP(A3020,'[1]Tissue Data'!$A:$A,'[1]Tissue Data'!$H:$H)</f>
        <v>Notropis</v>
      </c>
      <c r="F3020" t="str">
        <f>_xlfn.XLOOKUP(A3020,'[1]Tissue Data'!$A:$A,'[1]Tissue Data'!$I:$I)</f>
        <v>procne</v>
      </c>
      <c r="G3020" t="str">
        <f>_xlfn.XLOOKUP(A3020,'[1]Tissue Data'!$A:$A,'[1]Tissue Data'!J:J)</f>
        <v>U</v>
      </c>
      <c r="H3020" t="str">
        <f>_xlfn.XLOOKUP(A3020,'[1]Tissue Data'!$A:$A,'[1]Tissue Data'!K:K)</f>
        <v>Whole Body</v>
      </c>
      <c r="I3020">
        <f>_xlfn.XLOOKUP(A3020,'[1]Tissue Data'!$A:$A,'[1]Tissue Data'!L:L)</f>
        <v>6</v>
      </c>
      <c r="J3020">
        <f>_xlfn.XLOOKUP(A3020,'[1]Tissue Data'!$A:$A,'[1]Tissue Data'!M:M)</f>
        <v>2.4500000000000002</v>
      </c>
      <c r="K3020" t="s">
        <v>30</v>
      </c>
      <c r="L3020" t="str">
        <f>_xlfn.XLOOKUP(K3020,[2]analyte_order!$B:$B,[2]analyte_order!$C:$C)</f>
        <v>68259-12-1</v>
      </c>
      <c r="M3020">
        <f>_xlfn.XLOOKUP(L3020,[2]analyte_order!$C:$C,[2]analyte_order!$E:$E)</f>
        <v>19</v>
      </c>
      <c r="N3020">
        <v>1.19</v>
      </c>
    </row>
    <row r="3021" spans="1:14">
      <c r="A3021" t="s">
        <v>199</v>
      </c>
      <c r="B3021" t="str">
        <f>_xlfn.XLOOKUP(A3021,'[1]Tissue Data'!$A:$A,'[1]Tissue Data'!$C:$C)</f>
        <v>Spill</v>
      </c>
      <c r="C3021" s="2">
        <f>_xlfn.XLOOKUP(A3021,'[1]Tissue Data'!$A:$A,'[1]Tissue Data'!$D:$D)</f>
        <v>44314</v>
      </c>
      <c r="D3021" s="2" t="str">
        <f>_xlfn.XLOOKUP(A3021,'[1]Tissue Data'!$A:$A,'[1]Tissue Data'!$F:$F)</f>
        <v>Swallowtail Shiner</v>
      </c>
      <c r="E3021" t="str">
        <f>_xlfn.XLOOKUP(A3021,'[1]Tissue Data'!$A:$A,'[1]Tissue Data'!$H:$H)</f>
        <v>Notropis</v>
      </c>
      <c r="F3021" t="str">
        <f>_xlfn.XLOOKUP(A3021,'[1]Tissue Data'!$A:$A,'[1]Tissue Data'!$I:$I)</f>
        <v>procne</v>
      </c>
      <c r="G3021" t="str">
        <f>_xlfn.XLOOKUP(A3021,'[1]Tissue Data'!$A:$A,'[1]Tissue Data'!J:J)</f>
        <v>U</v>
      </c>
      <c r="H3021" t="str">
        <f>_xlfn.XLOOKUP(A3021,'[1]Tissue Data'!$A:$A,'[1]Tissue Data'!K:K)</f>
        <v>Whole Body</v>
      </c>
      <c r="I3021">
        <f>_xlfn.XLOOKUP(A3021,'[1]Tissue Data'!$A:$A,'[1]Tissue Data'!L:L)</f>
        <v>6</v>
      </c>
      <c r="J3021">
        <f>_xlfn.XLOOKUP(A3021,'[1]Tissue Data'!$A:$A,'[1]Tissue Data'!M:M)</f>
        <v>2.4500000000000002</v>
      </c>
      <c r="K3021" t="s">
        <v>31</v>
      </c>
      <c r="L3021" t="str">
        <f>_xlfn.XLOOKUP(K3021,[2]analyte_order!$B:$B,[2]analyte_order!$C:$C)</f>
        <v>335-77-3</v>
      </c>
      <c r="M3021">
        <f>_xlfn.XLOOKUP(L3021,[2]analyte_order!$C:$C,[2]analyte_order!$E:$E)</f>
        <v>20</v>
      </c>
      <c r="N3021">
        <v>8.0500000000000007</v>
      </c>
    </row>
    <row r="3022" spans="1:14">
      <c r="A3022" t="s">
        <v>199</v>
      </c>
      <c r="B3022" t="str">
        <f>_xlfn.XLOOKUP(A3022,'[1]Tissue Data'!$A:$A,'[1]Tissue Data'!$C:$C)</f>
        <v>Spill</v>
      </c>
      <c r="C3022" s="2">
        <f>_xlfn.XLOOKUP(A3022,'[1]Tissue Data'!$A:$A,'[1]Tissue Data'!$D:$D)</f>
        <v>44314</v>
      </c>
      <c r="D3022" s="2" t="str">
        <f>_xlfn.XLOOKUP(A3022,'[1]Tissue Data'!$A:$A,'[1]Tissue Data'!$F:$F)</f>
        <v>Swallowtail Shiner</v>
      </c>
      <c r="E3022" t="str">
        <f>_xlfn.XLOOKUP(A3022,'[1]Tissue Data'!$A:$A,'[1]Tissue Data'!$H:$H)</f>
        <v>Notropis</v>
      </c>
      <c r="F3022" t="str">
        <f>_xlfn.XLOOKUP(A3022,'[1]Tissue Data'!$A:$A,'[1]Tissue Data'!$I:$I)</f>
        <v>procne</v>
      </c>
      <c r="G3022" t="str">
        <f>_xlfn.XLOOKUP(A3022,'[1]Tissue Data'!$A:$A,'[1]Tissue Data'!J:J)</f>
        <v>U</v>
      </c>
      <c r="H3022" t="str">
        <f>_xlfn.XLOOKUP(A3022,'[1]Tissue Data'!$A:$A,'[1]Tissue Data'!K:K)</f>
        <v>Whole Body</v>
      </c>
      <c r="I3022">
        <f>_xlfn.XLOOKUP(A3022,'[1]Tissue Data'!$A:$A,'[1]Tissue Data'!L:L)</f>
        <v>6</v>
      </c>
      <c r="J3022">
        <f>_xlfn.XLOOKUP(A3022,'[1]Tissue Data'!$A:$A,'[1]Tissue Data'!M:M)</f>
        <v>2.4500000000000002</v>
      </c>
      <c r="K3022" t="s">
        <v>32</v>
      </c>
      <c r="L3022" t="str">
        <f>_xlfn.XLOOKUP(K3022,[2]analyte_order!$B:$B,[2]analyte_order!$C:$C)</f>
        <v>79780-39-5</v>
      </c>
      <c r="M3022">
        <f>_xlfn.XLOOKUP(L3022,[2]analyte_order!$C:$C,[2]analyte_order!$E:$E)</f>
        <v>21</v>
      </c>
      <c r="N3022">
        <v>0.69799999999999995</v>
      </c>
    </row>
    <row r="3023" spans="1:14">
      <c r="A3023" t="s">
        <v>199</v>
      </c>
      <c r="B3023" t="str">
        <f>_xlfn.XLOOKUP(A3023,'[1]Tissue Data'!$A:$A,'[1]Tissue Data'!$C:$C)</f>
        <v>Spill</v>
      </c>
      <c r="C3023" s="2">
        <f>_xlfn.XLOOKUP(A3023,'[1]Tissue Data'!$A:$A,'[1]Tissue Data'!$D:$D)</f>
        <v>44314</v>
      </c>
      <c r="D3023" s="2" t="str">
        <f>_xlfn.XLOOKUP(A3023,'[1]Tissue Data'!$A:$A,'[1]Tissue Data'!$F:$F)</f>
        <v>Swallowtail Shiner</v>
      </c>
      <c r="E3023" t="str">
        <f>_xlfn.XLOOKUP(A3023,'[1]Tissue Data'!$A:$A,'[1]Tissue Data'!$H:$H)</f>
        <v>Notropis</v>
      </c>
      <c r="F3023" t="str">
        <f>_xlfn.XLOOKUP(A3023,'[1]Tissue Data'!$A:$A,'[1]Tissue Data'!$I:$I)</f>
        <v>procne</v>
      </c>
      <c r="G3023" t="str">
        <f>_xlfn.XLOOKUP(A3023,'[1]Tissue Data'!$A:$A,'[1]Tissue Data'!J:J)</f>
        <v>U</v>
      </c>
      <c r="H3023" t="str">
        <f>_xlfn.XLOOKUP(A3023,'[1]Tissue Data'!$A:$A,'[1]Tissue Data'!K:K)</f>
        <v>Whole Body</v>
      </c>
      <c r="I3023">
        <f>_xlfn.XLOOKUP(A3023,'[1]Tissue Data'!$A:$A,'[1]Tissue Data'!L:L)</f>
        <v>6</v>
      </c>
      <c r="J3023">
        <f>_xlfn.XLOOKUP(A3023,'[1]Tissue Data'!$A:$A,'[1]Tissue Data'!M:M)</f>
        <v>2.4500000000000002</v>
      </c>
      <c r="K3023" t="s">
        <v>33</v>
      </c>
      <c r="L3023" t="str">
        <f>_xlfn.XLOOKUP(K3023,[2]analyte_order!$B:$B,[2]analyte_order!$C:$C)</f>
        <v>777011-38-8</v>
      </c>
      <c r="M3023">
        <f>_xlfn.XLOOKUP(L3023,[2]analyte_order!$C:$C,[2]analyte_order!$E:$E)</f>
        <v>54</v>
      </c>
      <c r="N3023">
        <v>0.48199999999999998</v>
      </c>
    </row>
    <row r="3024" spans="1:14">
      <c r="A3024" t="s">
        <v>199</v>
      </c>
      <c r="B3024" t="str">
        <f>_xlfn.XLOOKUP(A3024,'[1]Tissue Data'!$A:$A,'[1]Tissue Data'!$C:$C)</f>
        <v>Spill</v>
      </c>
      <c r="C3024" s="2">
        <f>_xlfn.XLOOKUP(A3024,'[1]Tissue Data'!$A:$A,'[1]Tissue Data'!$D:$D)</f>
        <v>44314</v>
      </c>
      <c r="D3024" s="2" t="str">
        <f>_xlfn.XLOOKUP(A3024,'[1]Tissue Data'!$A:$A,'[1]Tissue Data'!$F:$F)</f>
        <v>Swallowtail Shiner</v>
      </c>
      <c r="E3024" t="str">
        <f>_xlfn.XLOOKUP(A3024,'[1]Tissue Data'!$A:$A,'[1]Tissue Data'!$H:$H)</f>
        <v>Notropis</v>
      </c>
      <c r="F3024" t="str">
        <f>_xlfn.XLOOKUP(A3024,'[1]Tissue Data'!$A:$A,'[1]Tissue Data'!$I:$I)</f>
        <v>procne</v>
      </c>
      <c r="G3024" t="str">
        <f>_xlfn.XLOOKUP(A3024,'[1]Tissue Data'!$A:$A,'[1]Tissue Data'!J:J)</f>
        <v>U</v>
      </c>
      <c r="H3024" t="str">
        <f>_xlfn.XLOOKUP(A3024,'[1]Tissue Data'!$A:$A,'[1]Tissue Data'!K:K)</f>
        <v>Whole Body</v>
      </c>
      <c r="I3024">
        <f>_xlfn.XLOOKUP(A3024,'[1]Tissue Data'!$A:$A,'[1]Tissue Data'!L:L)</f>
        <v>6</v>
      </c>
      <c r="J3024">
        <f>_xlfn.XLOOKUP(A3024,'[1]Tissue Data'!$A:$A,'[1]Tissue Data'!M:M)</f>
        <v>2.4500000000000002</v>
      </c>
      <c r="K3024" t="s">
        <v>34</v>
      </c>
      <c r="L3024" t="str">
        <f>_xlfn.XLOOKUP(K3024,[2]analyte_order!$B:$B,[2]analyte_order!$C:$C)</f>
        <v>646-83-3</v>
      </c>
      <c r="M3024">
        <f>_xlfn.XLOOKUP(L3024,[2]analyte_order!$C:$C,[2]analyte_order!$E:$E)</f>
        <v>55</v>
      </c>
      <c r="N3024">
        <v>0.33300000000000002</v>
      </c>
    </row>
    <row r="3025" spans="1:14">
      <c r="A3025" t="s">
        <v>199</v>
      </c>
      <c r="B3025" t="str">
        <f>_xlfn.XLOOKUP(A3025,'[1]Tissue Data'!$A:$A,'[1]Tissue Data'!$C:$C)</f>
        <v>Spill</v>
      </c>
      <c r="C3025" s="2">
        <f>_xlfn.XLOOKUP(A3025,'[1]Tissue Data'!$A:$A,'[1]Tissue Data'!$D:$D)</f>
        <v>44314</v>
      </c>
      <c r="D3025" s="2" t="str">
        <f>_xlfn.XLOOKUP(A3025,'[1]Tissue Data'!$A:$A,'[1]Tissue Data'!$F:$F)</f>
        <v>Swallowtail Shiner</v>
      </c>
      <c r="E3025" t="str">
        <f>_xlfn.XLOOKUP(A3025,'[1]Tissue Data'!$A:$A,'[1]Tissue Data'!$H:$H)</f>
        <v>Notropis</v>
      </c>
      <c r="F3025" t="str">
        <f>_xlfn.XLOOKUP(A3025,'[1]Tissue Data'!$A:$A,'[1]Tissue Data'!$I:$I)</f>
        <v>procne</v>
      </c>
      <c r="G3025" t="str">
        <f>_xlfn.XLOOKUP(A3025,'[1]Tissue Data'!$A:$A,'[1]Tissue Data'!J:J)</f>
        <v>U</v>
      </c>
      <c r="H3025" t="str">
        <f>_xlfn.XLOOKUP(A3025,'[1]Tissue Data'!$A:$A,'[1]Tissue Data'!K:K)</f>
        <v>Whole Body</v>
      </c>
      <c r="I3025">
        <f>_xlfn.XLOOKUP(A3025,'[1]Tissue Data'!$A:$A,'[1]Tissue Data'!L:L)</f>
        <v>6</v>
      </c>
      <c r="J3025">
        <f>_xlfn.XLOOKUP(A3025,'[1]Tissue Data'!$A:$A,'[1]Tissue Data'!M:M)</f>
        <v>2.4500000000000002</v>
      </c>
      <c r="K3025" t="s">
        <v>35</v>
      </c>
      <c r="L3025" t="str">
        <f>_xlfn.XLOOKUP(K3025,[2]analyte_order!$B:$B,[2]analyte_order!$C:$C)</f>
        <v>30334-69-1</v>
      </c>
      <c r="M3025">
        <f>_xlfn.XLOOKUP(L3025,[2]analyte_order!$C:$C,[2]analyte_order!$E:$E)</f>
        <v>51</v>
      </c>
      <c r="N3025">
        <v>56.5</v>
      </c>
    </row>
    <row r="3026" spans="1:14">
      <c r="A3026" t="s">
        <v>199</v>
      </c>
      <c r="B3026" t="str">
        <f>_xlfn.XLOOKUP(A3026,'[1]Tissue Data'!$A:$A,'[1]Tissue Data'!$C:$C)</f>
        <v>Spill</v>
      </c>
      <c r="C3026" s="2">
        <f>_xlfn.XLOOKUP(A3026,'[1]Tissue Data'!$A:$A,'[1]Tissue Data'!$D:$D)</f>
        <v>44314</v>
      </c>
      <c r="D3026" s="2" t="str">
        <f>_xlfn.XLOOKUP(A3026,'[1]Tissue Data'!$A:$A,'[1]Tissue Data'!$F:$F)</f>
        <v>Swallowtail Shiner</v>
      </c>
      <c r="E3026" t="str">
        <f>_xlfn.XLOOKUP(A3026,'[1]Tissue Data'!$A:$A,'[1]Tissue Data'!$H:$H)</f>
        <v>Notropis</v>
      </c>
      <c r="F3026" t="str">
        <f>_xlfn.XLOOKUP(A3026,'[1]Tissue Data'!$A:$A,'[1]Tissue Data'!$I:$I)</f>
        <v>procne</v>
      </c>
      <c r="G3026" t="str">
        <f>_xlfn.XLOOKUP(A3026,'[1]Tissue Data'!$A:$A,'[1]Tissue Data'!J:J)</f>
        <v>U</v>
      </c>
      <c r="H3026" t="str">
        <f>_xlfn.XLOOKUP(A3026,'[1]Tissue Data'!$A:$A,'[1]Tissue Data'!K:K)</f>
        <v>Whole Body</v>
      </c>
      <c r="I3026">
        <f>_xlfn.XLOOKUP(A3026,'[1]Tissue Data'!$A:$A,'[1]Tissue Data'!L:L)</f>
        <v>6</v>
      </c>
      <c r="J3026">
        <f>_xlfn.XLOOKUP(A3026,'[1]Tissue Data'!$A:$A,'[1]Tissue Data'!M:M)</f>
        <v>2.4500000000000002</v>
      </c>
      <c r="K3026" t="s">
        <v>36</v>
      </c>
      <c r="L3026" t="str">
        <f>_xlfn.XLOOKUP(K3026,[2]analyte_order!$B:$B,[2]analyte_order!$C:$C)</f>
        <v>41997-13-1</v>
      </c>
      <c r="M3026">
        <f>_xlfn.XLOOKUP(L3026,[2]analyte_order!$C:$C,[2]analyte_order!$E:$E)</f>
        <v>52</v>
      </c>
      <c r="N3026">
        <v>229</v>
      </c>
    </row>
    <row r="3027" spans="1:14">
      <c r="A3027" t="s">
        <v>199</v>
      </c>
      <c r="B3027" t="str">
        <f>_xlfn.XLOOKUP(A3027,'[1]Tissue Data'!$A:$A,'[1]Tissue Data'!$C:$C)</f>
        <v>Spill</v>
      </c>
      <c r="C3027" s="2">
        <f>_xlfn.XLOOKUP(A3027,'[1]Tissue Data'!$A:$A,'[1]Tissue Data'!$D:$D)</f>
        <v>44314</v>
      </c>
      <c r="D3027" s="2" t="str">
        <f>_xlfn.XLOOKUP(A3027,'[1]Tissue Data'!$A:$A,'[1]Tissue Data'!$F:$F)</f>
        <v>Swallowtail Shiner</v>
      </c>
      <c r="E3027" t="str">
        <f>_xlfn.XLOOKUP(A3027,'[1]Tissue Data'!$A:$A,'[1]Tissue Data'!$H:$H)</f>
        <v>Notropis</v>
      </c>
      <c r="F3027" t="str">
        <f>_xlfn.XLOOKUP(A3027,'[1]Tissue Data'!$A:$A,'[1]Tissue Data'!$I:$I)</f>
        <v>procne</v>
      </c>
      <c r="G3027" t="str">
        <f>_xlfn.XLOOKUP(A3027,'[1]Tissue Data'!$A:$A,'[1]Tissue Data'!J:J)</f>
        <v>U</v>
      </c>
      <c r="H3027" t="str">
        <f>_xlfn.XLOOKUP(A3027,'[1]Tissue Data'!$A:$A,'[1]Tissue Data'!K:K)</f>
        <v>Whole Body</v>
      </c>
      <c r="I3027">
        <f>_xlfn.XLOOKUP(A3027,'[1]Tissue Data'!$A:$A,'[1]Tissue Data'!L:L)</f>
        <v>6</v>
      </c>
      <c r="J3027">
        <f>_xlfn.XLOOKUP(A3027,'[1]Tissue Data'!$A:$A,'[1]Tissue Data'!M:M)</f>
        <v>2.4500000000000002</v>
      </c>
      <c r="K3027" t="s">
        <v>37</v>
      </c>
      <c r="L3027" t="str">
        <f>_xlfn.XLOOKUP(K3027,[2]analyte_order!$B:$B,[2]analyte_order!$C:$C)</f>
        <v>754-91-6</v>
      </c>
      <c r="M3027">
        <f>_xlfn.XLOOKUP(L3027,[2]analyte_order!$C:$C,[2]analyte_order!$E:$E)</f>
        <v>28</v>
      </c>
      <c r="N3027">
        <v>14.2</v>
      </c>
    </row>
    <row r="3028" spans="1:14">
      <c r="A3028" t="s">
        <v>199</v>
      </c>
      <c r="B3028" t="str">
        <f>_xlfn.XLOOKUP(A3028,'[1]Tissue Data'!$A:$A,'[1]Tissue Data'!$C:$C)</f>
        <v>Spill</v>
      </c>
      <c r="C3028" s="2">
        <f>_xlfn.XLOOKUP(A3028,'[1]Tissue Data'!$A:$A,'[1]Tissue Data'!$D:$D)</f>
        <v>44314</v>
      </c>
      <c r="D3028" s="2" t="str">
        <f>_xlfn.XLOOKUP(A3028,'[1]Tissue Data'!$A:$A,'[1]Tissue Data'!$F:$F)</f>
        <v>Swallowtail Shiner</v>
      </c>
      <c r="E3028" t="str">
        <f>_xlfn.XLOOKUP(A3028,'[1]Tissue Data'!$A:$A,'[1]Tissue Data'!$H:$H)</f>
        <v>Notropis</v>
      </c>
      <c r="F3028" t="str">
        <f>_xlfn.XLOOKUP(A3028,'[1]Tissue Data'!$A:$A,'[1]Tissue Data'!$I:$I)</f>
        <v>procne</v>
      </c>
      <c r="G3028" t="str">
        <f>_xlfn.XLOOKUP(A3028,'[1]Tissue Data'!$A:$A,'[1]Tissue Data'!J:J)</f>
        <v>U</v>
      </c>
      <c r="H3028" t="str">
        <f>_xlfn.XLOOKUP(A3028,'[1]Tissue Data'!$A:$A,'[1]Tissue Data'!K:K)</f>
        <v>Whole Body</v>
      </c>
      <c r="I3028">
        <f>_xlfn.XLOOKUP(A3028,'[1]Tissue Data'!$A:$A,'[1]Tissue Data'!L:L)</f>
        <v>6</v>
      </c>
      <c r="J3028">
        <f>_xlfn.XLOOKUP(A3028,'[1]Tissue Data'!$A:$A,'[1]Tissue Data'!M:M)</f>
        <v>2.4500000000000002</v>
      </c>
      <c r="K3028" t="s">
        <v>38</v>
      </c>
      <c r="L3028" t="str">
        <f>_xlfn.XLOOKUP(K3028,[2]analyte_order!$B:$B,[2]analyte_order!$C:$C)</f>
        <v>31506-32-8</v>
      </c>
      <c r="M3028">
        <f>_xlfn.XLOOKUP(L3028,[2]analyte_order!$C:$C,[2]analyte_order!$E:$E)</f>
        <v>30</v>
      </c>
      <c r="N3028">
        <v>5.6000000000000001E-2</v>
      </c>
    </row>
    <row r="3029" spans="1:14">
      <c r="A3029" t="s">
        <v>199</v>
      </c>
      <c r="B3029" t="str">
        <f>_xlfn.XLOOKUP(A3029,'[1]Tissue Data'!$A:$A,'[1]Tissue Data'!$C:$C)</f>
        <v>Spill</v>
      </c>
      <c r="C3029" s="2">
        <f>_xlfn.XLOOKUP(A3029,'[1]Tissue Data'!$A:$A,'[1]Tissue Data'!$D:$D)</f>
        <v>44314</v>
      </c>
      <c r="D3029" s="2" t="str">
        <f>_xlfn.XLOOKUP(A3029,'[1]Tissue Data'!$A:$A,'[1]Tissue Data'!$F:$F)</f>
        <v>Swallowtail Shiner</v>
      </c>
      <c r="E3029" t="str">
        <f>_xlfn.XLOOKUP(A3029,'[1]Tissue Data'!$A:$A,'[1]Tissue Data'!$H:$H)</f>
        <v>Notropis</v>
      </c>
      <c r="F3029" t="str">
        <f>_xlfn.XLOOKUP(A3029,'[1]Tissue Data'!$A:$A,'[1]Tissue Data'!$I:$I)</f>
        <v>procne</v>
      </c>
      <c r="G3029" t="str">
        <f>_xlfn.XLOOKUP(A3029,'[1]Tissue Data'!$A:$A,'[1]Tissue Data'!J:J)</f>
        <v>U</v>
      </c>
      <c r="H3029" t="str">
        <f>_xlfn.XLOOKUP(A3029,'[1]Tissue Data'!$A:$A,'[1]Tissue Data'!K:K)</f>
        <v>Whole Body</v>
      </c>
      <c r="I3029">
        <f>_xlfn.XLOOKUP(A3029,'[1]Tissue Data'!$A:$A,'[1]Tissue Data'!L:L)</f>
        <v>6</v>
      </c>
      <c r="J3029">
        <f>_xlfn.XLOOKUP(A3029,'[1]Tissue Data'!$A:$A,'[1]Tissue Data'!M:M)</f>
        <v>2.4500000000000002</v>
      </c>
      <c r="K3029" t="s">
        <v>39</v>
      </c>
      <c r="L3029" t="str">
        <f>_xlfn.XLOOKUP(K3029,[2]analyte_order!$B:$B,[2]analyte_order!$C:$C)</f>
        <v>4151-50-2</v>
      </c>
      <c r="M3029">
        <f>_xlfn.XLOOKUP(L3029,[2]analyte_order!$C:$C,[2]analyte_order!$E:$E)</f>
        <v>31</v>
      </c>
      <c r="N3029">
        <v>8.5000000000000006E-2</v>
      </c>
    </row>
    <row r="3030" spans="1:14">
      <c r="A3030" t="s">
        <v>199</v>
      </c>
      <c r="B3030" t="str">
        <f>_xlfn.XLOOKUP(A3030,'[1]Tissue Data'!$A:$A,'[1]Tissue Data'!$C:$C)</f>
        <v>Spill</v>
      </c>
      <c r="C3030" s="2">
        <f>_xlfn.XLOOKUP(A3030,'[1]Tissue Data'!$A:$A,'[1]Tissue Data'!$D:$D)</f>
        <v>44314</v>
      </c>
      <c r="D3030" s="2" t="str">
        <f>_xlfn.XLOOKUP(A3030,'[1]Tissue Data'!$A:$A,'[1]Tissue Data'!$F:$F)</f>
        <v>Swallowtail Shiner</v>
      </c>
      <c r="E3030" t="str">
        <f>_xlfn.XLOOKUP(A3030,'[1]Tissue Data'!$A:$A,'[1]Tissue Data'!$H:$H)</f>
        <v>Notropis</v>
      </c>
      <c r="F3030" t="str">
        <f>_xlfn.XLOOKUP(A3030,'[1]Tissue Data'!$A:$A,'[1]Tissue Data'!$I:$I)</f>
        <v>procne</v>
      </c>
      <c r="G3030" t="str">
        <f>_xlfn.XLOOKUP(A3030,'[1]Tissue Data'!$A:$A,'[1]Tissue Data'!J:J)</f>
        <v>U</v>
      </c>
      <c r="H3030" t="str">
        <f>_xlfn.XLOOKUP(A3030,'[1]Tissue Data'!$A:$A,'[1]Tissue Data'!K:K)</f>
        <v>Whole Body</v>
      </c>
      <c r="I3030">
        <f>_xlfn.XLOOKUP(A3030,'[1]Tissue Data'!$A:$A,'[1]Tissue Data'!L:L)</f>
        <v>6</v>
      </c>
      <c r="J3030">
        <f>_xlfn.XLOOKUP(A3030,'[1]Tissue Data'!$A:$A,'[1]Tissue Data'!M:M)</f>
        <v>2.4500000000000002</v>
      </c>
      <c r="K3030" t="s">
        <v>40</v>
      </c>
      <c r="L3030" t="str">
        <f>_xlfn.XLOOKUP(K3030,[2]analyte_order!$B:$B,[2]analyte_order!$C:$C)</f>
        <v>2806-24-8</v>
      </c>
      <c r="M3030">
        <f>_xlfn.XLOOKUP(L3030,[2]analyte_order!$C:$C,[2]analyte_order!$E:$E)</f>
        <v>29</v>
      </c>
      <c r="N3030">
        <v>5.7500000000000002E-2</v>
      </c>
    </row>
    <row r="3031" spans="1:14">
      <c r="A3031" t="s">
        <v>199</v>
      </c>
      <c r="B3031" t="str">
        <f>_xlfn.XLOOKUP(A3031,'[1]Tissue Data'!$A:$A,'[1]Tissue Data'!$C:$C)</f>
        <v>Spill</v>
      </c>
      <c r="C3031" s="2">
        <f>_xlfn.XLOOKUP(A3031,'[1]Tissue Data'!$A:$A,'[1]Tissue Data'!$D:$D)</f>
        <v>44314</v>
      </c>
      <c r="D3031" s="2" t="str">
        <f>_xlfn.XLOOKUP(A3031,'[1]Tissue Data'!$A:$A,'[1]Tissue Data'!$F:$F)</f>
        <v>Swallowtail Shiner</v>
      </c>
      <c r="E3031" t="str">
        <f>_xlfn.XLOOKUP(A3031,'[1]Tissue Data'!$A:$A,'[1]Tissue Data'!$H:$H)</f>
        <v>Notropis</v>
      </c>
      <c r="F3031" t="str">
        <f>_xlfn.XLOOKUP(A3031,'[1]Tissue Data'!$A:$A,'[1]Tissue Data'!$I:$I)</f>
        <v>procne</v>
      </c>
      <c r="G3031" t="str">
        <f>_xlfn.XLOOKUP(A3031,'[1]Tissue Data'!$A:$A,'[1]Tissue Data'!J:J)</f>
        <v>U</v>
      </c>
      <c r="H3031" t="str">
        <f>_xlfn.XLOOKUP(A3031,'[1]Tissue Data'!$A:$A,'[1]Tissue Data'!K:K)</f>
        <v>Whole Body</v>
      </c>
      <c r="I3031">
        <f>_xlfn.XLOOKUP(A3031,'[1]Tissue Data'!$A:$A,'[1]Tissue Data'!L:L)</f>
        <v>6</v>
      </c>
      <c r="J3031">
        <f>_xlfn.XLOOKUP(A3031,'[1]Tissue Data'!$A:$A,'[1]Tissue Data'!M:M)</f>
        <v>2.4500000000000002</v>
      </c>
      <c r="K3031" t="s">
        <v>41</v>
      </c>
      <c r="L3031" t="str">
        <f>_xlfn.XLOOKUP(K3031,[2]analyte_order!$B:$B,[2]analyte_order!$C:$C)</f>
        <v>2355-31-9</v>
      </c>
      <c r="M3031">
        <f>_xlfn.XLOOKUP(L3031,[2]analyte_order!$C:$C,[2]analyte_order!$E:$E)</f>
        <v>26</v>
      </c>
      <c r="N3031">
        <v>0.24149999999999999</v>
      </c>
    </row>
    <row r="3032" spans="1:14">
      <c r="A3032" t="s">
        <v>199</v>
      </c>
      <c r="B3032" t="str">
        <f>_xlfn.XLOOKUP(A3032,'[1]Tissue Data'!$A:$A,'[1]Tissue Data'!$C:$C)</f>
        <v>Spill</v>
      </c>
      <c r="C3032" s="2">
        <f>_xlfn.XLOOKUP(A3032,'[1]Tissue Data'!$A:$A,'[1]Tissue Data'!$D:$D)</f>
        <v>44314</v>
      </c>
      <c r="D3032" s="2" t="str">
        <f>_xlfn.XLOOKUP(A3032,'[1]Tissue Data'!$A:$A,'[1]Tissue Data'!$F:$F)</f>
        <v>Swallowtail Shiner</v>
      </c>
      <c r="E3032" t="str">
        <f>_xlfn.XLOOKUP(A3032,'[1]Tissue Data'!$A:$A,'[1]Tissue Data'!$H:$H)</f>
        <v>Notropis</v>
      </c>
      <c r="F3032" t="str">
        <f>_xlfn.XLOOKUP(A3032,'[1]Tissue Data'!$A:$A,'[1]Tissue Data'!$I:$I)</f>
        <v>procne</v>
      </c>
      <c r="G3032" t="str">
        <f>_xlfn.XLOOKUP(A3032,'[1]Tissue Data'!$A:$A,'[1]Tissue Data'!J:J)</f>
        <v>U</v>
      </c>
      <c r="H3032" t="str">
        <f>_xlfn.XLOOKUP(A3032,'[1]Tissue Data'!$A:$A,'[1]Tissue Data'!K:K)</f>
        <v>Whole Body</v>
      </c>
      <c r="I3032">
        <f>_xlfn.XLOOKUP(A3032,'[1]Tissue Data'!$A:$A,'[1]Tissue Data'!L:L)</f>
        <v>6</v>
      </c>
      <c r="J3032">
        <f>_xlfn.XLOOKUP(A3032,'[1]Tissue Data'!$A:$A,'[1]Tissue Data'!M:M)</f>
        <v>2.4500000000000002</v>
      </c>
      <c r="K3032" t="s">
        <v>42</v>
      </c>
      <c r="L3032" t="str">
        <f>_xlfn.XLOOKUP(K3032,[2]analyte_order!$B:$B,[2]analyte_order!$C:$C)</f>
        <v>2991-50-6</v>
      </c>
      <c r="M3032">
        <f>_xlfn.XLOOKUP(L3032,[2]analyte_order!$C:$C,[2]analyte_order!$E:$E)</f>
        <v>27</v>
      </c>
      <c r="N3032">
        <v>6.3E-2</v>
      </c>
    </row>
    <row r="3033" spans="1:14">
      <c r="A3033" t="s">
        <v>199</v>
      </c>
      <c r="B3033" t="str">
        <f>_xlfn.XLOOKUP(A3033,'[1]Tissue Data'!$A:$A,'[1]Tissue Data'!$C:$C)</f>
        <v>Spill</v>
      </c>
      <c r="C3033" s="2">
        <f>_xlfn.XLOOKUP(A3033,'[1]Tissue Data'!$A:$A,'[1]Tissue Data'!$D:$D)</f>
        <v>44314</v>
      </c>
      <c r="D3033" s="2" t="str">
        <f>_xlfn.XLOOKUP(A3033,'[1]Tissue Data'!$A:$A,'[1]Tissue Data'!$F:$F)</f>
        <v>Swallowtail Shiner</v>
      </c>
      <c r="E3033" t="str">
        <f>_xlfn.XLOOKUP(A3033,'[1]Tissue Data'!$A:$A,'[1]Tissue Data'!$H:$H)</f>
        <v>Notropis</v>
      </c>
      <c r="F3033" t="str">
        <f>_xlfn.XLOOKUP(A3033,'[1]Tissue Data'!$A:$A,'[1]Tissue Data'!$I:$I)</f>
        <v>procne</v>
      </c>
      <c r="G3033" t="str">
        <f>_xlfn.XLOOKUP(A3033,'[1]Tissue Data'!$A:$A,'[1]Tissue Data'!J:J)</f>
        <v>U</v>
      </c>
      <c r="H3033" t="str">
        <f>_xlfn.XLOOKUP(A3033,'[1]Tissue Data'!$A:$A,'[1]Tissue Data'!K:K)</f>
        <v>Whole Body</v>
      </c>
      <c r="I3033">
        <f>_xlfn.XLOOKUP(A3033,'[1]Tissue Data'!$A:$A,'[1]Tissue Data'!L:L)</f>
        <v>6</v>
      </c>
      <c r="J3033">
        <f>_xlfn.XLOOKUP(A3033,'[1]Tissue Data'!$A:$A,'[1]Tissue Data'!M:M)</f>
        <v>2.4500000000000002</v>
      </c>
      <c r="K3033" t="s">
        <v>43</v>
      </c>
      <c r="L3033" t="str">
        <f>_xlfn.XLOOKUP(K3033,[2]analyte_order!$B:$B,[2]analyte_order!$C:$C)</f>
        <v>757124-72-4</v>
      </c>
      <c r="M3033">
        <f>_xlfn.XLOOKUP(L3033,[2]analyte_order!$C:$C,[2]analyte_order!$E:$E)</f>
        <v>22</v>
      </c>
      <c r="N3033">
        <v>5.9499999999999997E-2</v>
      </c>
    </row>
    <row r="3034" spans="1:14">
      <c r="A3034" t="s">
        <v>199</v>
      </c>
      <c r="B3034" t="str">
        <f>_xlfn.XLOOKUP(A3034,'[1]Tissue Data'!$A:$A,'[1]Tissue Data'!$C:$C)</f>
        <v>Spill</v>
      </c>
      <c r="C3034" s="2">
        <f>_xlfn.XLOOKUP(A3034,'[1]Tissue Data'!$A:$A,'[1]Tissue Data'!$D:$D)</f>
        <v>44314</v>
      </c>
      <c r="D3034" s="2" t="str">
        <f>_xlfn.XLOOKUP(A3034,'[1]Tissue Data'!$A:$A,'[1]Tissue Data'!$F:$F)</f>
        <v>Swallowtail Shiner</v>
      </c>
      <c r="E3034" t="str">
        <f>_xlfn.XLOOKUP(A3034,'[1]Tissue Data'!$A:$A,'[1]Tissue Data'!$H:$H)</f>
        <v>Notropis</v>
      </c>
      <c r="F3034" t="str">
        <f>_xlfn.XLOOKUP(A3034,'[1]Tissue Data'!$A:$A,'[1]Tissue Data'!$I:$I)</f>
        <v>procne</v>
      </c>
      <c r="G3034" t="str">
        <f>_xlfn.XLOOKUP(A3034,'[1]Tissue Data'!$A:$A,'[1]Tissue Data'!J:J)</f>
        <v>U</v>
      </c>
      <c r="H3034" t="str">
        <f>_xlfn.XLOOKUP(A3034,'[1]Tissue Data'!$A:$A,'[1]Tissue Data'!K:K)</f>
        <v>Whole Body</v>
      </c>
      <c r="I3034">
        <f>_xlfn.XLOOKUP(A3034,'[1]Tissue Data'!$A:$A,'[1]Tissue Data'!L:L)</f>
        <v>6</v>
      </c>
      <c r="J3034">
        <f>_xlfn.XLOOKUP(A3034,'[1]Tissue Data'!$A:$A,'[1]Tissue Data'!M:M)</f>
        <v>2.4500000000000002</v>
      </c>
      <c r="K3034" t="s">
        <v>44</v>
      </c>
      <c r="L3034" t="str">
        <f>_xlfn.XLOOKUP(K3034,[2]analyte_order!$B:$B,[2]analyte_order!$C:$C)</f>
        <v>27619-97-2</v>
      </c>
      <c r="M3034">
        <f>_xlfn.XLOOKUP(L3034,[2]analyte_order!$C:$C,[2]analyte_order!$E:$E)</f>
        <v>23</v>
      </c>
      <c r="N3034">
        <v>0.64300000000000002</v>
      </c>
    </row>
    <row r="3035" spans="1:14">
      <c r="A3035" t="s">
        <v>199</v>
      </c>
      <c r="B3035" t="str">
        <f>_xlfn.XLOOKUP(A3035,'[1]Tissue Data'!$A:$A,'[1]Tissue Data'!$C:$C)</f>
        <v>Spill</v>
      </c>
      <c r="C3035" s="2">
        <f>_xlfn.XLOOKUP(A3035,'[1]Tissue Data'!$A:$A,'[1]Tissue Data'!$D:$D)</f>
        <v>44314</v>
      </c>
      <c r="D3035" s="2" t="str">
        <f>_xlfn.XLOOKUP(A3035,'[1]Tissue Data'!$A:$A,'[1]Tissue Data'!$F:$F)</f>
        <v>Swallowtail Shiner</v>
      </c>
      <c r="E3035" t="str">
        <f>_xlfn.XLOOKUP(A3035,'[1]Tissue Data'!$A:$A,'[1]Tissue Data'!$H:$H)</f>
        <v>Notropis</v>
      </c>
      <c r="F3035" t="str">
        <f>_xlfn.XLOOKUP(A3035,'[1]Tissue Data'!$A:$A,'[1]Tissue Data'!$I:$I)</f>
        <v>procne</v>
      </c>
      <c r="G3035" t="str">
        <f>_xlfn.XLOOKUP(A3035,'[1]Tissue Data'!$A:$A,'[1]Tissue Data'!J:J)</f>
        <v>U</v>
      </c>
      <c r="H3035" t="str">
        <f>_xlfn.XLOOKUP(A3035,'[1]Tissue Data'!$A:$A,'[1]Tissue Data'!K:K)</f>
        <v>Whole Body</v>
      </c>
      <c r="I3035">
        <f>_xlfn.XLOOKUP(A3035,'[1]Tissue Data'!$A:$A,'[1]Tissue Data'!L:L)</f>
        <v>6</v>
      </c>
      <c r="J3035">
        <f>_xlfn.XLOOKUP(A3035,'[1]Tissue Data'!$A:$A,'[1]Tissue Data'!M:M)</f>
        <v>2.4500000000000002</v>
      </c>
      <c r="K3035" t="s">
        <v>45</v>
      </c>
      <c r="L3035" t="str">
        <f>_xlfn.XLOOKUP(K3035,[2]analyte_order!$B:$B,[2]analyte_order!$C:$C)</f>
        <v>39108-34-4</v>
      </c>
      <c r="M3035">
        <f>_xlfn.XLOOKUP(L3035,[2]analyte_order!$C:$C,[2]analyte_order!$E:$E)</f>
        <v>24</v>
      </c>
      <c r="N3035">
        <v>19.600000000000001</v>
      </c>
    </row>
    <row r="3036" spans="1:14">
      <c r="A3036" t="s">
        <v>199</v>
      </c>
      <c r="B3036" t="str">
        <f>_xlfn.XLOOKUP(A3036,'[1]Tissue Data'!$A:$A,'[1]Tissue Data'!$C:$C)</f>
        <v>Spill</v>
      </c>
      <c r="C3036" s="2">
        <f>_xlfn.XLOOKUP(A3036,'[1]Tissue Data'!$A:$A,'[1]Tissue Data'!$D:$D)</f>
        <v>44314</v>
      </c>
      <c r="D3036" s="2" t="str">
        <f>_xlfn.XLOOKUP(A3036,'[1]Tissue Data'!$A:$A,'[1]Tissue Data'!$F:$F)</f>
        <v>Swallowtail Shiner</v>
      </c>
      <c r="E3036" t="str">
        <f>_xlfn.XLOOKUP(A3036,'[1]Tissue Data'!$A:$A,'[1]Tissue Data'!$H:$H)</f>
        <v>Notropis</v>
      </c>
      <c r="F3036" t="str">
        <f>_xlfn.XLOOKUP(A3036,'[1]Tissue Data'!$A:$A,'[1]Tissue Data'!$I:$I)</f>
        <v>procne</v>
      </c>
      <c r="G3036" t="str">
        <f>_xlfn.XLOOKUP(A3036,'[1]Tissue Data'!$A:$A,'[1]Tissue Data'!J:J)</f>
        <v>U</v>
      </c>
      <c r="H3036" t="str">
        <f>_xlfn.XLOOKUP(A3036,'[1]Tissue Data'!$A:$A,'[1]Tissue Data'!K:K)</f>
        <v>Whole Body</v>
      </c>
      <c r="I3036">
        <f>_xlfn.XLOOKUP(A3036,'[1]Tissue Data'!$A:$A,'[1]Tissue Data'!L:L)</f>
        <v>6</v>
      </c>
      <c r="J3036">
        <f>_xlfn.XLOOKUP(A3036,'[1]Tissue Data'!$A:$A,'[1]Tissue Data'!M:M)</f>
        <v>2.4500000000000002</v>
      </c>
      <c r="K3036" t="s">
        <v>46</v>
      </c>
      <c r="L3036" t="str">
        <f>_xlfn.XLOOKUP(K3036,[2]analyte_order!$B:$B,[2]analyte_order!$C:$C)</f>
        <v>120226-60-0</v>
      </c>
      <c r="M3036">
        <f>_xlfn.XLOOKUP(L3036,[2]analyte_order!$C:$C,[2]analyte_order!$E:$E)</f>
        <v>25</v>
      </c>
      <c r="N3036">
        <v>8.2500000000000004E-2</v>
      </c>
    </row>
    <row r="3037" spans="1:14">
      <c r="A3037" t="s">
        <v>199</v>
      </c>
      <c r="B3037" t="str">
        <f>_xlfn.XLOOKUP(A3037,'[1]Tissue Data'!$A:$A,'[1]Tissue Data'!$C:$C)</f>
        <v>Spill</v>
      </c>
      <c r="C3037" s="2">
        <f>_xlfn.XLOOKUP(A3037,'[1]Tissue Data'!$A:$A,'[1]Tissue Data'!$D:$D)</f>
        <v>44314</v>
      </c>
      <c r="D3037" s="2" t="str">
        <f>_xlfn.XLOOKUP(A3037,'[1]Tissue Data'!$A:$A,'[1]Tissue Data'!$F:$F)</f>
        <v>Swallowtail Shiner</v>
      </c>
      <c r="E3037" t="str">
        <f>_xlfn.XLOOKUP(A3037,'[1]Tissue Data'!$A:$A,'[1]Tissue Data'!$H:$H)</f>
        <v>Notropis</v>
      </c>
      <c r="F3037" t="str">
        <f>_xlfn.XLOOKUP(A3037,'[1]Tissue Data'!$A:$A,'[1]Tissue Data'!$I:$I)</f>
        <v>procne</v>
      </c>
      <c r="G3037" t="str">
        <f>_xlfn.XLOOKUP(A3037,'[1]Tissue Data'!$A:$A,'[1]Tissue Data'!J:J)</f>
        <v>U</v>
      </c>
      <c r="H3037" t="str">
        <f>_xlfn.XLOOKUP(A3037,'[1]Tissue Data'!$A:$A,'[1]Tissue Data'!K:K)</f>
        <v>Whole Body</v>
      </c>
      <c r="I3037">
        <f>_xlfn.XLOOKUP(A3037,'[1]Tissue Data'!$A:$A,'[1]Tissue Data'!L:L)</f>
        <v>6</v>
      </c>
      <c r="J3037">
        <f>_xlfn.XLOOKUP(A3037,'[1]Tissue Data'!$A:$A,'[1]Tissue Data'!M:M)</f>
        <v>2.4500000000000002</v>
      </c>
      <c r="K3037" t="s">
        <v>47</v>
      </c>
      <c r="L3037" t="str">
        <f>_xlfn.XLOOKUP(K3037,[2]analyte_order!$B:$B,[2]analyte_order!$C:$C)</f>
        <v>356-02-5</v>
      </c>
      <c r="M3037">
        <f>_xlfn.XLOOKUP(L3037,[2]analyte_order!$C:$C,[2]analyte_order!$E:$E)</f>
        <v>38</v>
      </c>
      <c r="N3037">
        <v>8.4000000000000005E-2</v>
      </c>
    </row>
    <row r="3038" spans="1:14">
      <c r="A3038" t="s">
        <v>199</v>
      </c>
      <c r="B3038" t="str">
        <f>_xlfn.XLOOKUP(A3038,'[1]Tissue Data'!$A:$A,'[1]Tissue Data'!$C:$C)</f>
        <v>Spill</v>
      </c>
      <c r="C3038" s="2">
        <f>_xlfn.XLOOKUP(A3038,'[1]Tissue Data'!$A:$A,'[1]Tissue Data'!$D:$D)</f>
        <v>44314</v>
      </c>
      <c r="D3038" s="2" t="str">
        <f>_xlfn.XLOOKUP(A3038,'[1]Tissue Data'!$A:$A,'[1]Tissue Data'!$F:$F)</f>
        <v>Swallowtail Shiner</v>
      </c>
      <c r="E3038" t="str">
        <f>_xlfn.XLOOKUP(A3038,'[1]Tissue Data'!$A:$A,'[1]Tissue Data'!$H:$H)</f>
        <v>Notropis</v>
      </c>
      <c r="F3038" t="str">
        <f>_xlfn.XLOOKUP(A3038,'[1]Tissue Data'!$A:$A,'[1]Tissue Data'!$I:$I)</f>
        <v>procne</v>
      </c>
      <c r="G3038" t="str">
        <f>_xlfn.XLOOKUP(A3038,'[1]Tissue Data'!$A:$A,'[1]Tissue Data'!J:J)</f>
        <v>U</v>
      </c>
      <c r="H3038" t="str">
        <f>_xlfn.XLOOKUP(A3038,'[1]Tissue Data'!$A:$A,'[1]Tissue Data'!K:K)</f>
        <v>Whole Body</v>
      </c>
      <c r="I3038">
        <f>_xlfn.XLOOKUP(A3038,'[1]Tissue Data'!$A:$A,'[1]Tissue Data'!L:L)</f>
        <v>6</v>
      </c>
      <c r="J3038">
        <f>_xlfn.XLOOKUP(A3038,'[1]Tissue Data'!$A:$A,'[1]Tissue Data'!M:M)</f>
        <v>2.4500000000000002</v>
      </c>
      <c r="K3038" t="s">
        <v>48</v>
      </c>
      <c r="L3038" t="str">
        <f>_xlfn.XLOOKUP(K3038,[2]analyte_order!$B:$B,[2]analyte_order!$C:$C)</f>
        <v>914637-49-3</v>
      </c>
      <c r="M3038">
        <f>_xlfn.XLOOKUP(L3038,[2]analyte_order!$C:$C,[2]analyte_order!$E:$E)</f>
        <v>39</v>
      </c>
      <c r="N3038">
        <v>1.98</v>
      </c>
    </row>
    <row r="3039" spans="1:14">
      <c r="A3039" t="s">
        <v>199</v>
      </c>
      <c r="B3039" t="str">
        <f>_xlfn.XLOOKUP(A3039,'[1]Tissue Data'!$A:$A,'[1]Tissue Data'!$C:$C)</f>
        <v>Spill</v>
      </c>
      <c r="C3039" s="2">
        <f>_xlfn.XLOOKUP(A3039,'[1]Tissue Data'!$A:$A,'[1]Tissue Data'!$D:$D)</f>
        <v>44314</v>
      </c>
      <c r="D3039" s="2" t="str">
        <f>_xlfn.XLOOKUP(A3039,'[1]Tissue Data'!$A:$A,'[1]Tissue Data'!$F:$F)</f>
        <v>Swallowtail Shiner</v>
      </c>
      <c r="E3039" t="str">
        <f>_xlfn.XLOOKUP(A3039,'[1]Tissue Data'!$A:$A,'[1]Tissue Data'!$H:$H)</f>
        <v>Notropis</v>
      </c>
      <c r="F3039" t="str">
        <f>_xlfn.XLOOKUP(A3039,'[1]Tissue Data'!$A:$A,'[1]Tissue Data'!$I:$I)</f>
        <v>procne</v>
      </c>
      <c r="G3039" t="str">
        <f>_xlfn.XLOOKUP(A3039,'[1]Tissue Data'!$A:$A,'[1]Tissue Data'!J:J)</f>
        <v>U</v>
      </c>
      <c r="H3039" t="str">
        <f>_xlfn.XLOOKUP(A3039,'[1]Tissue Data'!$A:$A,'[1]Tissue Data'!K:K)</f>
        <v>Whole Body</v>
      </c>
      <c r="I3039">
        <f>_xlfn.XLOOKUP(A3039,'[1]Tissue Data'!$A:$A,'[1]Tissue Data'!L:L)</f>
        <v>6</v>
      </c>
      <c r="J3039">
        <f>_xlfn.XLOOKUP(A3039,'[1]Tissue Data'!$A:$A,'[1]Tissue Data'!M:M)</f>
        <v>2.4500000000000002</v>
      </c>
      <c r="K3039" t="s">
        <v>49</v>
      </c>
      <c r="L3039" t="str">
        <f>_xlfn.XLOOKUP(K3039,[2]analyte_order!$B:$B,[2]analyte_order!$C:$C)</f>
        <v>812-70-4</v>
      </c>
      <c r="M3039">
        <f>_xlfn.XLOOKUP(L3039,[2]analyte_order!$C:$C,[2]analyte_order!$E:$E)</f>
        <v>40</v>
      </c>
      <c r="N3039">
        <v>7.85</v>
      </c>
    </row>
    <row r="3040" spans="1:14">
      <c r="A3040" t="s">
        <v>199</v>
      </c>
      <c r="B3040" t="str">
        <f>_xlfn.XLOOKUP(A3040,'[1]Tissue Data'!$A:$A,'[1]Tissue Data'!$C:$C)</f>
        <v>Spill</v>
      </c>
      <c r="C3040" s="2">
        <f>_xlfn.XLOOKUP(A3040,'[1]Tissue Data'!$A:$A,'[1]Tissue Data'!$D:$D)</f>
        <v>44314</v>
      </c>
      <c r="D3040" s="2" t="str">
        <f>_xlfn.XLOOKUP(A3040,'[1]Tissue Data'!$A:$A,'[1]Tissue Data'!$F:$F)</f>
        <v>Swallowtail Shiner</v>
      </c>
      <c r="E3040" t="str">
        <f>_xlfn.XLOOKUP(A3040,'[1]Tissue Data'!$A:$A,'[1]Tissue Data'!$H:$H)</f>
        <v>Notropis</v>
      </c>
      <c r="F3040" t="str">
        <f>_xlfn.XLOOKUP(A3040,'[1]Tissue Data'!$A:$A,'[1]Tissue Data'!$I:$I)</f>
        <v>procne</v>
      </c>
      <c r="G3040" t="str">
        <f>_xlfn.XLOOKUP(A3040,'[1]Tissue Data'!$A:$A,'[1]Tissue Data'!J:J)</f>
        <v>U</v>
      </c>
      <c r="H3040" t="str">
        <f>_xlfn.XLOOKUP(A3040,'[1]Tissue Data'!$A:$A,'[1]Tissue Data'!K:K)</f>
        <v>Whole Body</v>
      </c>
      <c r="I3040">
        <f>_xlfn.XLOOKUP(A3040,'[1]Tissue Data'!$A:$A,'[1]Tissue Data'!L:L)</f>
        <v>6</v>
      </c>
      <c r="J3040">
        <f>_xlfn.XLOOKUP(A3040,'[1]Tissue Data'!$A:$A,'[1]Tissue Data'!M:M)</f>
        <v>2.4500000000000002</v>
      </c>
      <c r="K3040" t="s">
        <v>50</v>
      </c>
      <c r="L3040" t="str">
        <f>_xlfn.XLOOKUP(K3040,[2]analyte_order!$B:$B,[2]analyte_order!$C:$C)</f>
        <v>53826-12-3</v>
      </c>
      <c r="M3040">
        <f>_xlfn.XLOOKUP(L3040,[2]analyte_order!$C:$C,[2]analyte_order!$E:$E)</f>
        <v>41</v>
      </c>
      <c r="N3040">
        <v>4.6649999999999997E-2</v>
      </c>
    </row>
    <row r="3041" spans="1:14">
      <c r="A3041" t="s">
        <v>199</v>
      </c>
      <c r="B3041" t="str">
        <f>_xlfn.XLOOKUP(A3041,'[1]Tissue Data'!$A:$A,'[1]Tissue Data'!$C:$C)</f>
        <v>Spill</v>
      </c>
      <c r="C3041" s="2">
        <f>_xlfn.XLOOKUP(A3041,'[1]Tissue Data'!$A:$A,'[1]Tissue Data'!$D:$D)</f>
        <v>44314</v>
      </c>
      <c r="D3041" s="2" t="str">
        <f>_xlfn.XLOOKUP(A3041,'[1]Tissue Data'!$A:$A,'[1]Tissue Data'!$F:$F)</f>
        <v>Swallowtail Shiner</v>
      </c>
      <c r="E3041" t="str">
        <f>_xlfn.XLOOKUP(A3041,'[1]Tissue Data'!$A:$A,'[1]Tissue Data'!$H:$H)</f>
        <v>Notropis</v>
      </c>
      <c r="F3041" t="str">
        <f>_xlfn.XLOOKUP(A3041,'[1]Tissue Data'!$A:$A,'[1]Tissue Data'!$I:$I)</f>
        <v>procne</v>
      </c>
      <c r="G3041" t="str">
        <f>_xlfn.XLOOKUP(A3041,'[1]Tissue Data'!$A:$A,'[1]Tissue Data'!J:J)</f>
        <v>U</v>
      </c>
      <c r="H3041" t="str">
        <f>_xlfn.XLOOKUP(A3041,'[1]Tissue Data'!$A:$A,'[1]Tissue Data'!K:K)</f>
        <v>Whole Body</v>
      </c>
      <c r="I3041">
        <f>_xlfn.XLOOKUP(A3041,'[1]Tissue Data'!$A:$A,'[1]Tissue Data'!L:L)</f>
        <v>6</v>
      </c>
      <c r="J3041">
        <f>_xlfn.XLOOKUP(A3041,'[1]Tissue Data'!$A:$A,'[1]Tissue Data'!M:M)</f>
        <v>2.4500000000000002</v>
      </c>
      <c r="K3041" t="s">
        <v>51</v>
      </c>
      <c r="L3041" t="str">
        <f>_xlfn.XLOOKUP(K3041,[2]analyte_order!$B:$B,[2]analyte_order!$C:$C)</f>
        <v>27854-31-5</v>
      </c>
      <c r="M3041">
        <f>_xlfn.XLOOKUP(L3041,[2]analyte_order!$C:$C,[2]analyte_order!$E:$E)</f>
        <v>42</v>
      </c>
      <c r="N3041">
        <v>2.9100000000000001E-2</v>
      </c>
    </row>
    <row r="3042" spans="1:14">
      <c r="A3042" t="s">
        <v>199</v>
      </c>
      <c r="B3042" t="str">
        <f>_xlfn.XLOOKUP(A3042,'[1]Tissue Data'!$A:$A,'[1]Tissue Data'!$C:$C)</f>
        <v>Spill</v>
      </c>
      <c r="C3042" s="2">
        <f>_xlfn.XLOOKUP(A3042,'[1]Tissue Data'!$A:$A,'[1]Tissue Data'!$D:$D)</f>
        <v>44314</v>
      </c>
      <c r="D3042" s="2" t="str">
        <f>_xlfn.XLOOKUP(A3042,'[1]Tissue Data'!$A:$A,'[1]Tissue Data'!$F:$F)</f>
        <v>Swallowtail Shiner</v>
      </c>
      <c r="E3042" t="str">
        <f>_xlfn.XLOOKUP(A3042,'[1]Tissue Data'!$A:$A,'[1]Tissue Data'!$H:$H)</f>
        <v>Notropis</v>
      </c>
      <c r="F3042" t="str">
        <f>_xlfn.XLOOKUP(A3042,'[1]Tissue Data'!$A:$A,'[1]Tissue Data'!$I:$I)</f>
        <v>procne</v>
      </c>
      <c r="G3042" t="str">
        <f>_xlfn.XLOOKUP(A3042,'[1]Tissue Data'!$A:$A,'[1]Tissue Data'!J:J)</f>
        <v>U</v>
      </c>
      <c r="H3042" t="str">
        <f>_xlfn.XLOOKUP(A3042,'[1]Tissue Data'!$A:$A,'[1]Tissue Data'!K:K)</f>
        <v>Whole Body</v>
      </c>
      <c r="I3042">
        <f>_xlfn.XLOOKUP(A3042,'[1]Tissue Data'!$A:$A,'[1]Tissue Data'!L:L)</f>
        <v>6</v>
      </c>
      <c r="J3042">
        <f>_xlfn.XLOOKUP(A3042,'[1]Tissue Data'!$A:$A,'[1]Tissue Data'!M:M)</f>
        <v>2.4500000000000002</v>
      </c>
      <c r="K3042" t="s">
        <v>52</v>
      </c>
      <c r="L3042" t="str">
        <f>_xlfn.XLOOKUP(K3042,[2]analyte_order!$B:$B,[2]analyte_order!$C:$C)</f>
        <v>53826-13-4</v>
      </c>
      <c r="M3042">
        <f>_xlfn.XLOOKUP(L3042,[2]analyte_order!$C:$C,[2]analyte_order!$E:$E)</f>
        <v>43</v>
      </c>
      <c r="N3042">
        <v>0.1085</v>
      </c>
    </row>
    <row r="3043" spans="1:14">
      <c r="A3043" t="s">
        <v>199</v>
      </c>
      <c r="B3043" t="str">
        <f>_xlfn.XLOOKUP(A3043,'[1]Tissue Data'!$A:$A,'[1]Tissue Data'!$C:$C)</f>
        <v>Spill</v>
      </c>
      <c r="C3043" s="2">
        <f>_xlfn.XLOOKUP(A3043,'[1]Tissue Data'!$A:$A,'[1]Tissue Data'!$D:$D)</f>
        <v>44314</v>
      </c>
      <c r="D3043" s="2" t="str">
        <f>_xlfn.XLOOKUP(A3043,'[1]Tissue Data'!$A:$A,'[1]Tissue Data'!$F:$F)</f>
        <v>Swallowtail Shiner</v>
      </c>
      <c r="E3043" t="str">
        <f>_xlfn.XLOOKUP(A3043,'[1]Tissue Data'!$A:$A,'[1]Tissue Data'!$H:$H)</f>
        <v>Notropis</v>
      </c>
      <c r="F3043" t="str">
        <f>_xlfn.XLOOKUP(A3043,'[1]Tissue Data'!$A:$A,'[1]Tissue Data'!$I:$I)</f>
        <v>procne</v>
      </c>
      <c r="G3043" t="str">
        <f>_xlfn.XLOOKUP(A3043,'[1]Tissue Data'!$A:$A,'[1]Tissue Data'!J:J)</f>
        <v>U</v>
      </c>
      <c r="H3043" t="str">
        <f>_xlfn.XLOOKUP(A3043,'[1]Tissue Data'!$A:$A,'[1]Tissue Data'!K:K)</f>
        <v>Whole Body</v>
      </c>
      <c r="I3043">
        <f>_xlfn.XLOOKUP(A3043,'[1]Tissue Data'!$A:$A,'[1]Tissue Data'!L:L)</f>
        <v>6</v>
      </c>
      <c r="J3043">
        <f>_xlfn.XLOOKUP(A3043,'[1]Tissue Data'!$A:$A,'[1]Tissue Data'!M:M)</f>
        <v>2.4500000000000002</v>
      </c>
      <c r="K3043" t="s">
        <v>53</v>
      </c>
      <c r="L3043" t="str">
        <f>_xlfn.XLOOKUP(K3043,[2]analyte_order!$B:$B,[2]analyte_order!$C:$C)</f>
        <v>161094-75-3</v>
      </c>
      <c r="M3043">
        <f>_xlfn.XLOOKUP(L3043,[2]analyte_order!$C:$C,[2]analyte_order!$E:$E)</f>
        <v>44</v>
      </c>
      <c r="N3043">
        <v>5.7000000000000002E-2</v>
      </c>
    </row>
    <row r="3044" spans="1:14">
      <c r="A3044" t="s">
        <v>199</v>
      </c>
      <c r="B3044" t="str">
        <f>_xlfn.XLOOKUP(A3044,'[1]Tissue Data'!$A:$A,'[1]Tissue Data'!$C:$C)</f>
        <v>Spill</v>
      </c>
      <c r="C3044" s="2">
        <f>_xlfn.XLOOKUP(A3044,'[1]Tissue Data'!$A:$A,'[1]Tissue Data'!$D:$D)</f>
        <v>44314</v>
      </c>
      <c r="D3044" s="2" t="str">
        <f>_xlfn.XLOOKUP(A3044,'[1]Tissue Data'!$A:$A,'[1]Tissue Data'!$F:$F)</f>
        <v>Swallowtail Shiner</v>
      </c>
      <c r="E3044" t="str">
        <f>_xlfn.XLOOKUP(A3044,'[1]Tissue Data'!$A:$A,'[1]Tissue Data'!$H:$H)</f>
        <v>Notropis</v>
      </c>
      <c r="F3044" t="str">
        <f>_xlfn.XLOOKUP(A3044,'[1]Tissue Data'!$A:$A,'[1]Tissue Data'!$I:$I)</f>
        <v>procne</v>
      </c>
      <c r="G3044" t="str">
        <f>_xlfn.XLOOKUP(A3044,'[1]Tissue Data'!$A:$A,'[1]Tissue Data'!J:J)</f>
        <v>U</v>
      </c>
      <c r="H3044" t="str">
        <f>_xlfn.XLOOKUP(A3044,'[1]Tissue Data'!$A:$A,'[1]Tissue Data'!K:K)</f>
        <v>Whole Body</v>
      </c>
      <c r="I3044">
        <f>_xlfn.XLOOKUP(A3044,'[1]Tissue Data'!$A:$A,'[1]Tissue Data'!L:L)</f>
        <v>6</v>
      </c>
      <c r="J3044">
        <f>_xlfn.XLOOKUP(A3044,'[1]Tissue Data'!$A:$A,'[1]Tissue Data'!M:M)</f>
        <v>2.4500000000000002</v>
      </c>
      <c r="K3044" t="s">
        <v>54</v>
      </c>
      <c r="L3044" t="str">
        <f>_xlfn.XLOOKUP(K3044,[2]analyte_order!$B:$B,[2]analyte_order!$C:$C)</f>
        <v>70887-84-2</v>
      </c>
      <c r="M3044">
        <f>_xlfn.XLOOKUP(L3044,[2]analyte_order!$C:$C,[2]analyte_order!$E:$E)</f>
        <v>45</v>
      </c>
      <c r="N3044">
        <v>4.3950000000000003E-2</v>
      </c>
    </row>
    <row r="3045" spans="1:14">
      <c r="A3045" t="s">
        <v>199</v>
      </c>
      <c r="B3045" t="str">
        <f>_xlfn.XLOOKUP(A3045,'[1]Tissue Data'!$A:$A,'[1]Tissue Data'!$C:$C)</f>
        <v>Spill</v>
      </c>
      <c r="C3045" s="2">
        <f>_xlfn.XLOOKUP(A3045,'[1]Tissue Data'!$A:$A,'[1]Tissue Data'!$D:$D)</f>
        <v>44314</v>
      </c>
      <c r="D3045" s="2" t="str">
        <f>_xlfn.XLOOKUP(A3045,'[1]Tissue Data'!$A:$A,'[1]Tissue Data'!$F:$F)</f>
        <v>Swallowtail Shiner</v>
      </c>
      <c r="E3045" t="str">
        <f>_xlfn.XLOOKUP(A3045,'[1]Tissue Data'!$A:$A,'[1]Tissue Data'!$H:$H)</f>
        <v>Notropis</v>
      </c>
      <c r="F3045" t="str">
        <f>_xlfn.XLOOKUP(A3045,'[1]Tissue Data'!$A:$A,'[1]Tissue Data'!$I:$I)</f>
        <v>procne</v>
      </c>
      <c r="G3045" t="str">
        <f>_xlfn.XLOOKUP(A3045,'[1]Tissue Data'!$A:$A,'[1]Tissue Data'!J:J)</f>
        <v>U</v>
      </c>
      <c r="H3045" t="str">
        <f>_xlfn.XLOOKUP(A3045,'[1]Tissue Data'!$A:$A,'[1]Tissue Data'!K:K)</f>
        <v>Whole Body</v>
      </c>
      <c r="I3045">
        <f>_xlfn.XLOOKUP(A3045,'[1]Tissue Data'!$A:$A,'[1]Tissue Data'!L:L)</f>
        <v>6</v>
      </c>
      <c r="J3045">
        <f>_xlfn.XLOOKUP(A3045,'[1]Tissue Data'!$A:$A,'[1]Tissue Data'!M:M)</f>
        <v>2.4500000000000002</v>
      </c>
      <c r="K3045" t="s">
        <v>55</v>
      </c>
      <c r="L3045" t="str">
        <f>_xlfn.XLOOKUP(K3045,[2]analyte_order!$B:$B,[2]analyte_order!$C:$C)</f>
        <v>919005-14-4</v>
      </c>
      <c r="M3045">
        <f>_xlfn.XLOOKUP(L3045,[2]analyte_order!$C:$C,[2]analyte_order!$E:$E)</f>
        <v>35</v>
      </c>
      <c r="N3045">
        <v>7.2499999999999995E-2</v>
      </c>
    </row>
    <row r="3046" spans="1:14">
      <c r="A3046" t="s">
        <v>199</v>
      </c>
      <c r="B3046" t="str">
        <f>_xlfn.XLOOKUP(A3046,'[1]Tissue Data'!$A:$A,'[1]Tissue Data'!$C:$C)</f>
        <v>Spill</v>
      </c>
      <c r="C3046" s="2">
        <f>_xlfn.XLOOKUP(A3046,'[1]Tissue Data'!$A:$A,'[1]Tissue Data'!$D:$D)</f>
        <v>44314</v>
      </c>
      <c r="D3046" s="2" t="str">
        <f>_xlfn.XLOOKUP(A3046,'[1]Tissue Data'!$A:$A,'[1]Tissue Data'!$F:$F)</f>
        <v>Swallowtail Shiner</v>
      </c>
      <c r="E3046" t="str">
        <f>_xlfn.XLOOKUP(A3046,'[1]Tissue Data'!$A:$A,'[1]Tissue Data'!$H:$H)</f>
        <v>Notropis</v>
      </c>
      <c r="F3046" t="str">
        <f>_xlfn.XLOOKUP(A3046,'[1]Tissue Data'!$A:$A,'[1]Tissue Data'!$I:$I)</f>
        <v>procne</v>
      </c>
      <c r="G3046" t="str">
        <f>_xlfn.XLOOKUP(A3046,'[1]Tissue Data'!$A:$A,'[1]Tissue Data'!J:J)</f>
        <v>U</v>
      </c>
      <c r="H3046" t="str">
        <f>_xlfn.XLOOKUP(A3046,'[1]Tissue Data'!$A:$A,'[1]Tissue Data'!K:K)</f>
        <v>Whole Body</v>
      </c>
      <c r="I3046">
        <f>_xlfn.XLOOKUP(A3046,'[1]Tissue Data'!$A:$A,'[1]Tissue Data'!L:L)</f>
        <v>6</v>
      </c>
      <c r="J3046">
        <f>_xlfn.XLOOKUP(A3046,'[1]Tissue Data'!$A:$A,'[1]Tissue Data'!M:M)</f>
        <v>2.4500000000000002</v>
      </c>
      <c r="K3046" t="s">
        <v>56</v>
      </c>
      <c r="L3046" t="str">
        <f>_xlfn.XLOOKUP(K3046,[2]analyte_order!$B:$B,[2]analyte_order!$C:$C)</f>
        <v>756426-58-1</v>
      </c>
      <c r="M3046">
        <f>_xlfn.XLOOKUP(L3046,[2]analyte_order!$C:$C,[2]analyte_order!$E:$E)</f>
        <v>36</v>
      </c>
      <c r="N3046">
        <v>5.0500000000000003E-2</v>
      </c>
    </row>
    <row r="3047" spans="1:14">
      <c r="A3047" t="s">
        <v>199</v>
      </c>
      <c r="B3047" t="str">
        <f>_xlfn.XLOOKUP(A3047,'[1]Tissue Data'!$A:$A,'[1]Tissue Data'!$C:$C)</f>
        <v>Spill</v>
      </c>
      <c r="C3047" s="2">
        <f>_xlfn.XLOOKUP(A3047,'[1]Tissue Data'!$A:$A,'[1]Tissue Data'!$D:$D)</f>
        <v>44314</v>
      </c>
      <c r="D3047" s="2" t="str">
        <f>_xlfn.XLOOKUP(A3047,'[1]Tissue Data'!$A:$A,'[1]Tissue Data'!$F:$F)</f>
        <v>Swallowtail Shiner</v>
      </c>
      <c r="E3047" t="str">
        <f>_xlfn.XLOOKUP(A3047,'[1]Tissue Data'!$A:$A,'[1]Tissue Data'!$H:$H)</f>
        <v>Notropis</v>
      </c>
      <c r="F3047" t="str">
        <f>_xlfn.XLOOKUP(A3047,'[1]Tissue Data'!$A:$A,'[1]Tissue Data'!$I:$I)</f>
        <v>procne</v>
      </c>
      <c r="G3047" t="str">
        <f>_xlfn.XLOOKUP(A3047,'[1]Tissue Data'!$A:$A,'[1]Tissue Data'!J:J)</f>
        <v>U</v>
      </c>
      <c r="H3047" t="str">
        <f>_xlfn.XLOOKUP(A3047,'[1]Tissue Data'!$A:$A,'[1]Tissue Data'!K:K)</f>
        <v>Whole Body</v>
      </c>
      <c r="I3047">
        <f>_xlfn.XLOOKUP(A3047,'[1]Tissue Data'!$A:$A,'[1]Tissue Data'!L:L)</f>
        <v>6</v>
      </c>
      <c r="J3047">
        <f>_xlfn.XLOOKUP(A3047,'[1]Tissue Data'!$A:$A,'[1]Tissue Data'!M:M)</f>
        <v>2.4500000000000002</v>
      </c>
      <c r="K3047" t="s">
        <v>57</v>
      </c>
      <c r="L3047" t="str">
        <f>_xlfn.XLOOKUP(K3047,[2]analyte_order!$B:$B,[2]analyte_order!$C:$C)</f>
        <v>763051-92-9</v>
      </c>
      <c r="M3047">
        <f>_xlfn.XLOOKUP(L3047,[2]analyte_order!$C:$C,[2]analyte_order!$E:$E)</f>
        <v>37</v>
      </c>
      <c r="N3047">
        <v>5.7500000000000002E-2</v>
      </c>
    </row>
    <row r="3048" spans="1:14">
      <c r="A3048" t="s">
        <v>199</v>
      </c>
      <c r="B3048" t="str">
        <f>_xlfn.XLOOKUP(A3048,'[1]Tissue Data'!$A:$A,'[1]Tissue Data'!$C:$C)</f>
        <v>Spill</v>
      </c>
      <c r="C3048" s="2">
        <f>_xlfn.XLOOKUP(A3048,'[1]Tissue Data'!$A:$A,'[1]Tissue Data'!$D:$D)</f>
        <v>44314</v>
      </c>
      <c r="D3048" s="2" t="str">
        <f>_xlfn.XLOOKUP(A3048,'[1]Tissue Data'!$A:$A,'[1]Tissue Data'!$F:$F)</f>
        <v>Swallowtail Shiner</v>
      </c>
      <c r="E3048" t="str">
        <f>_xlfn.XLOOKUP(A3048,'[1]Tissue Data'!$A:$A,'[1]Tissue Data'!$H:$H)</f>
        <v>Notropis</v>
      </c>
      <c r="F3048" t="str">
        <f>_xlfn.XLOOKUP(A3048,'[1]Tissue Data'!$A:$A,'[1]Tissue Data'!$I:$I)</f>
        <v>procne</v>
      </c>
      <c r="G3048" t="str">
        <f>_xlfn.XLOOKUP(A3048,'[1]Tissue Data'!$A:$A,'[1]Tissue Data'!J:J)</f>
        <v>U</v>
      </c>
      <c r="H3048" t="str">
        <f>_xlfn.XLOOKUP(A3048,'[1]Tissue Data'!$A:$A,'[1]Tissue Data'!K:K)</f>
        <v>Whole Body</v>
      </c>
      <c r="I3048">
        <f>_xlfn.XLOOKUP(A3048,'[1]Tissue Data'!$A:$A,'[1]Tissue Data'!L:L)</f>
        <v>6</v>
      </c>
      <c r="J3048">
        <f>_xlfn.XLOOKUP(A3048,'[1]Tissue Data'!$A:$A,'[1]Tissue Data'!M:M)</f>
        <v>2.4500000000000002</v>
      </c>
      <c r="K3048" t="s">
        <v>58</v>
      </c>
      <c r="L3048" t="str">
        <f>_xlfn.XLOOKUP(K3048,[2]analyte_order!$B:$B,[2]analyte_order!$C:$C)</f>
        <v>13252-13-6</v>
      </c>
      <c r="M3048">
        <f>_xlfn.XLOOKUP(L3048,[2]analyte_order!$C:$C,[2]analyte_order!$E:$E)</f>
        <v>34</v>
      </c>
      <c r="N3048">
        <v>0.1045</v>
      </c>
    </row>
    <row r="3049" spans="1:14">
      <c r="A3049" t="s">
        <v>199</v>
      </c>
      <c r="B3049" t="str">
        <f>_xlfn.XLOOKUP(A3049,'[1]Tissue Data'!$A:$A,'[1]Tissue Data'!$C:$C)</f>
        <v>Spill</v>
      </c>
      <c r="C3049" s="2">
        <f>_xlfn.XLOOKUP(A3049,'[1]Tissue Data'!$A:$A,'[1]Tissue Data'!$D:$D)</f>
        <v>44314</v>
      </c>
      <c r="D3049" s="2" t="str">
        <f>_xlfn.XLOOKUP(A3049,'[1]Tissue Data'!$A:$A,'[1]Tissue Data'!$F:$F)</f>
        <v>Swallowtail Shiner</v>
      </c>
      <c r="E3049" t="str">
        <f>_xlfn.XLOOKUP(A3049,'[1]Tissue Data'!$A:$A,'[1]Tissue Data'!$H:$H)</f>
        <v>Notropis</v>
      </c>
      <c r="F3049" t="str">
        <f>_xlfn.XLOOKUP(A3049,'[1]Tissue Data'!$A:$A,'[1]Tissue Data'!$I:$I)</f>
        <v>procne</v>
      </c>
      <c r="G3049" t="str">
        <f>_xlfn.XLOOKUP(A3049,'[1]Tissue Data'!$A:$A,'[1]Tissue Data'!J:J)</f>
        <v>U</v>
      </c>
      <c r="H3049" t="str">
        <f>_xlfn.XLOOKUP(A3049,'[1]Tissue Data'!$A:$A,'[1]Tissue Data'!K:K)</f>
        <v>Whole Body</v>
      </c>
      <c r="I3049">
        <f>_xlfn.XLOOKUP(A3049,'[1]Tissue Data'!$A:$A,'[1]Tissue Data'!L:L)</f>
        <v>6</v>
      </c>
      <c r="J3049">
        <f>_xlfn.XLOOKUP(A3049,'[1]Tissue Data'!$A:$A,'[1]Tissue Data'!M:M)</f>
        <v>2.4500000000000002</v>
      </c>
      <c r="K3049" t="s">
        <v>59</v>
      </c>
      <c r="L3049" t="str">
        <f>_xlfn.XLOOKUP(K3049,[2]analyte_order!$B:$B,[2]analyte_order!$C:$C)</f>
        <v>57677-95-9</v>
      </c>
      <c r="M3049">
        <f>_xlfn.XLOOKUP(L3049,[2]analyte_order!$C:$C,[2]analyte_order!$E:$E)</f>
        <v>46</v>
      </c>
      <c r="N3049">
        <v>7.7499999999999999E-2</v>
      </c>
    </row>
    <row r="3050" spans="1:14">
      <c r="A3050" t="s">
        <v>199</v>
      </c>
      <c r="B3050" t="str">
        <f>_xlfn.XLOOKUP(A3050,'[1]Tissue Data'!$A:$A,'[1]Tissue Data'!$C:$C)</f>
        <v>Spill</v>
      </c>
      <c r="C3050" s="2">
        <f>_xlfn.XLOOKUP(A3050,'[1]Tissue Data'!$A:$A,'[1]Tissue Data'!$D:$D)</f>
        <v>44314</v>
      </c>
      <c r="D3050" s="2" t="str">
        <f>_xlfn.XLOOKUP(A3050,'[1]Tissue Data'!$A:$A,'[1]Tissue Data'!$F:$F)</f>
        <v>Swallowtail Shiner</v>
      </c>
      <c r="E3050" t="str">
        <f>_xlfn.XLOOKUP(A3050,'[1]Tissue Data'!$A:$A,'[1]Tissue Data'!$H:$H)</f>
        <v>Notropis</v>
      </c>
      <c r="F3050" t="str">
        <f>_xlfn.XLOOKUP(A3050,'[1]Tissue Data'!$A:$A,'[1]Tissue Data'!$I:$I)</f>
        <v>procne</v>
      </c>
      <c r="G3050" t="str">
        <f>_xlfn.XLOOKUP(A3050,'[1]Tissue Data'!$A:$A,'[1]Tissue Data'!J:J)</f>
        <v>U</v>
      </c>
      <c r="H3050" t="str">
        <f>_xlfn.XLOOKUP(A3050,'[1]Tissue Data'!$A:$A,'[1]Tissue Data'!K:K)</f>
        <v>Whole Body</v>
      </c>
      <c r="I3050">
        <f>_xlfn.XLOOKUP(A3050,'[1]Tissue Data'!$A:$A,'[1]Tissue Data'!L:L)</f>
        <v>6</v>
      </c>
      <c r="J3050">
        <f>_xlfn.XLOOKUP(A3050,'[1]Tissue Data'!$A:$A,'[1]Tissue Data'!M:M)</f>
        <v>2.4500000000000002</v>
      </c>
      <c r="K3050" t="s">
        <v>60</v>
      </c>
      <c r="L3050" t="str">
        <f>_xlfn.XLOOKUP(K3050,[2]analyte_order!$B:$B,[2]analyte_order!$C:$C)</f>
        <v>678-41-1</v>
      </c>
      <c r="M3050">
        <f>_xlfn.XLOOKUP(L3050,[2]analyte_order!$C:$C,[2]analyte_order!$E:$E)</f>
        <v>56</v>
      </c>
      <c r="N3050">
        <v>9.6500000000000002E-2</v>
      </c>
    </row>
    <row r="3051" spans="1:14">
      <c r="A3051" t="s">
        <v>199</v>
      </c>
      <c r="B3051" t="str">
        <f>_xlfn.XLOOKUP(A3051,'[1]Tissue Data'!$A:$A,'[1]Tissue Data'!$C:$C)</f>
        <v>Spill</v>
      </c>
      <c r="C3051" s="2">
        <f>_xlfn.XLOOKUP(A3051,'[1]Tissue Data'!$A:$A,'[1]Tissue Data'!$D:$D)</f>
        <v>44314</v>
      </c>
      <c r="D3051" s="2" t="str">
        <f>_xlfn.XLOOKUP(A3051,'[1]Tissue Data'!$A:$A,'[1]Tissue Data'!$F:$F)</f>
        <v>Swallowtail Shiner</v>
      </c>
      <c r="E3051" t="str">
        <f>_xlfn.XLOOKUP(A3051,'[1]Tissue Data'!$A:$A,'[1]Tissue Data'!$H:$H)</f>
        <v>Notropis</v>
      </c>
      <c r="F3051" t="str">
        <f>_xlfn.XLOOKUP(A3051,'[1]Tissue Data'!$A:$A,'[1]Tissue Data'!$I:$I)</f>
        <v>procne</v>
      </c>
      <c r="G3051" t="str">
        <f>_xlfn.XLOOKUP(A3051,'[1]Tissue Data'!$A:$A,'[1]Tissue Data'!J:J)</f>
        <v>U</v>
      </c>
      <c r="H3051" t="str">
        <f>_xlfn.XLOOKUP(A3051,'[1]Tissue Data'!$A:$A,'[1]Tissue Data'!K:K)</f>
        <v>Whole Body</v>
      </c>
      <c r="I3051">
        <f>_xlfn.XLOOKUP(A3051,'[1]Tissue Data'!$A:$A,'[1]Tissue Data'!L:L)</f>
        <v>6</v>
      </c>
      <c r="J3051">
        <f>_xlfn.XLOOKUP(A3051,'[1]Tissue Data'!$A:$A,'[1]Tissue Data'!M:M)</f>
        <v>2.4500000000000002</v>
      </c>
      <c r="K3051" t="s">
        <v>61</v>
      </c>
      <c r="L3051" t="str">
        <f>_xlfn.XLOOKUP(K3051,[2]analyte_order!$B:$B,[2]analyte_order!$C:$C)</f>
        <v>2965-52-8</v>
      </c>
      <c r="M3051">
        <f>_xlfn.XLOOKUP(L3051,[2]analyte_order!$C:$C,[2]analyte_order!$E:$E)</f>
        <v>57</v>
      </c>
      <c r="N3051">
        <v>0.128</v>
      </c>
    </row>
    <row r="3052" spans="1:14">
      <c r="A3052" t="s">
        <v>200</v>
      </c>
      <c r="B3052" t="str">
        <f>_xlfn.XLOOKUP(A3052,'[1]Tissue Data'!$A:$A,'[1]Tissue Data'!$C:$C)</f>
        <v>Spill</v>
      </c>
      <c r="C3052" s="2">
        <f>_xlfn.XLOOKUP(A3052,'[1]Tissue Data'!$A:$A,'[1]Tissue Data'!$D:$D)</f>
        <v>44314</v>
      </c>
      <c r="D3052" s="2" t="str">
        <f>_xlfn.XLOOKUP(A3052,'[1]Tissue Data'!$A:$A,'[1]Tissue Data'!$F:$F)</f>
        <v>Swallowtail Shiner</v>
      </c>
      <c r="E3052" t="str">
        <f>_xlfn.XLOOKUP(A3052,'[1]Tissue Data'!$A:$A,'[1]Tissue Data'!$H:$H)</f>
        <v>Notropis</v>
      </c>
      <c r="F3052" t="str">
        <f>_xlfn.XLOOKUP(A3052,'[1]Tissue Data'!$A:$A,'[1]Tissue Data'!$I:$I)</f>
        <v>procne</v>
      </c>
      <c r="G3052" t="str">
        <f>_xlfn.XLOOKUP(A3052,'[1]Tissue Data'!$A:$A,'[1]Tissue Data'!J:J)</f>
        <v>U</v>
      </c>
      <c r="H3052" t="str">
        <f>_xlfn.XLOOKUP(A3052,'[1]Tissue Data'!$A:$A,'[1]Tissue Data'!K:K)</f>
        <v>Whole Body</v>
      </c>
      <c r="I3052">
        <f>_xlfn.XLOOKUP(A3052,'[1]Tissue Data'!$A:$A,'[1]Tissue Data'!L:L)</f>
        <v>5.5</v>
      </c>
      <c r="J3052">
        <f>_xlfn.XLOOKUP(A3052,'[1]Tissue Data'!$A:$A,'[1]Tissue Data'!M:M)</f>
        <v>2.0499999999999998</v>
      </c>
      <c r="K3052" t="s">
        <v>12</v>
      </c>
      <c r="L3052" t="str">
        <f>_xlfn.XLOOKUP(K3052,[2]analyte_order!$B:$B,[2]analyte_order!$C:$C)</f>
        <v>375-22-4</v>
      </c>
      <c r="M3052">
        <f>_xlfn.XLOOKUP(L3052,[2]analyte_order!$C:$C,[2]analyte_order!$E:$E)</f>
        <v>1</v>
      </c>
      <c r="N3052">
        <v>2.7900000000000001E-2</v>
      </c>
    </row>
    <row r="3053" spans="1:14">
      <c r="A3053" t="s">
        <v>200</v>
      </c>
      <c r="B3053" t="str">
        <f>_xlfn.XLOOKUP(A3053,'[1]Tissue Data'!$A:$A,'[1]Tissue Data'!$C:$C)</f>
        <v>Spill</v>
      </c>
      <c r="C3053" s="2">
        <f>_xlfn.XLOOKUP(A3053,'[1]Tissue Data'!$A:$A,'[1]Tissue Data'!$D:$D)</f>
        <v>44314</v>
      </c>
      <c r="D3053" s="2" t="str">
        <f>_xlfn.XLOOKUP(A3053,'[1]Tissue Data'!$A:$A,'[1]Tissue Data'!$F:$F)</f>
        <v>Swallowtail Shiner</v>
      </c>
      <c r="E3053" t="str">
        <f>_xlfn.XLOOKUP(A3053,'[1]Tissue Data'!$A:$A,'[1]Tissue Data'!$H:$H)</f>
        <v>Notropis</v>
      </c>
      <c r="F3053" t="str">
        <f>_xlfn.XLOOKUP(A3053,'[1]Tissue Data'!$A:$A,'[1]Tissue Data'!$I:$I)</f>
        <v>procne</v>
      </c>
      <c r="G3053" t="str">
        <f>_xlfn.XLOOKUP(A3053,'[1]Tissue Data'!$A:$A,'[1]Tissue Data'!J:J)</f>
        <v>U</v>
      </c>
      <c r="H3053" t="str">
        <f>_xlfn.XLOOKUP(A3053,'[1]Tissue Data'!$A:$A,'[1]Tissue Data'!K:K)</f>
        <v>Whole Body</v>
      </c>
      <c r="I3053">
        <f>_xlfn.XLOOKUP(A3053,'[1]Tissue Data'!$A:$A,'[1]Tissue Data'!L:L)</f>
        <v>5.5</v>
      </c>
      <c r="J3053">
        <f>_xlfn.XLOOKUP(A3053,'[1]Tissue Data'!$A:$A,'[1]Tissue Data'!M:M)</f>
        <v>2.0499999999999998</v>
      </c>
      <c r="K3053" t="s">
        <v>13</v>
      </c>
      <c r="L3053" t="str">
        <f>_xlfn.XLOOKUP(K3053,[2]analyte_order!$B:$B,[2]analyte_order!$C:$C)</f>
        <v>2706-90-3</v>
      </c>
      <c r="M3053">
        <f>_xlfn.XLOOKUP(L3053,[2]analyte_order!$C:$C,[2]analyte_order!$E:$E)</f>
        <v>2</v>
      </c>
      <c r="N3053">
        <v>4.9099999999999998E-2</v>
      </c>
    </row>
    <row r="3054" spans="1:14">
      <c r="A3054" t="s">
        <v>200</v>
      </c>
      <c r="B3054" t="str">
        <f>_xlfn.XLOOKUP(A3054,'[1]Tissue Data'!$A:$A,'[1]Tissue Data'!$C:$C)</f>
        <v>Spill</v>
      </c>
      <c r="C3054" s="2">
        <f>_xlfn.XLOOKUP(A3054,'[1]Tissue Data'!$A:$A,'[1]Tissue Data'!$D:$D)</f>
        <v>44314</v>
      </c>
      <c r="D3054" s="2" t="str">
        <f>_xlfn.XLOOKUP(A3054,'[1]Tissue Data'!$A:$A,'[1]Tissue Data'!$F:$F)</f>
        <v>Swallowtail Shiner</v>
      </c>
      <c r="E3054" t="str">
        <f>_xlfn.XLOOKUP(A3054,'[1]Tissue Data'!$A:$A,'[1]Tissue Data'!$H:$H)</f>
        <v>Notropis</v>
      </c>
      <c r="F3054" t="str">
        <f>_xlfn.XLOOKUP(A3054,'[1]Tissue Data'!$A:$A,'[1]Tissue Data'!$I:$I)</f>
        <v>procne</v>
      </c>
      <c r="G3054" t="str">
        <f>_xlfn.XLOOKUP(A3054,'[1]Tissue Data'!$A:$A,'[1]Tissue Data'!J:J)</f>
        <v>U</v>
      </c>
      <c r="H3054" t="str">
        <f>_xlfn.XLOOKUP(A3054,'[1]Tissue Data'!$A:$A,'[1]Tissue Data'!K:K)</f>
        <v>Whole Body</v>
      </c>
      <c r="I3054">
        <f>_xlfn.XLOOKUP(A3054,'[1]Tissue Data'!$A:$A,'[1]Tissue Data'!L:L)</f>
        <v>5.5</v>
      </c>
      <c r="J3054">
        <f>_xlfn.XLOOKUP(A3054,'[1]Tissue Data'!$A:$A,'[1]Tissue Data'!M:M)</f>
        <v>2.0499999999999998</v>
      </c>
      <c r="K3054" t="s">
        <v>14</v>
      </c>
      <c r="L3054" t="str">
        <f>_xlfn.XLOOKUP(K3054,[2]analyte_order!$B:$B,[2]analyte_order!$C:$C)</f>
        <v>307-24-4</v>
      </c>
      <c r="M3054">
        <f>_xlfn.XLOOKUP(L3054,[2]analyte_order!$C:$C,[2]analyte_order!$E:$E)</f>
        <v>3</v>
      </c>
      <c r="N3054">
        <v>3.7600000000000001E-2</v>
      </c>
    </row>
    <row r="3055" spans="1:14">
      <c r="A3055" t="s">
        <v>200</v>
      </c>
      <c r="B3055" t="str">
        <f>_xlfn.XLOOKUP(A3055,'[1]Tissue Data'!$A:$A,'[1]Tissue Data'!$C:$C)</f>
        <v>Spill</v>
      </c>
      <c r="C3055" s="2">
        <f>_xlfn.XLOOKUP(A3055,'[1]Tissue Data'!$A:$A,'[1]Tissue Data'!$D:$D)</f>
        <v>44314</v>
      </c>
      <c r="D3055" s="2" t="str">
        <f>_xlfn.XLOOKUP(A3055,'[1]Tissue Data'!$A:$A,'[1]Tissue Data'!$F:$F)</f>
        <v>Swallowtail Shiner</v>
      </c>
      <c r="E3055" t="str">
        <f>_xlfn.XLOOKUP(A3055,'[1]Tissue Data'!$A:$A,'[1]Tissue Data'!$H:$H)</f>
        <v>Notropis</v>
      </c>
      <c r="F3055" t="str">
        <f>_xlfn.XLOOKUP(A3055,'[1]Tissue Data'!$A:$A,'[1]Tissue Data'!$I:$I)</f>
        <v>procne</v>
      </c>
      <c r="G3055" t="str">
        <f>_xlfn.XLOOKUP(A3055,'[1]Tissue Data'!$A:$A,'[1]Tissue Data'!J:J)</f>
        <v>U</v>
      </c>
      <c r="H3055" t="str">
        <f>_xlfn.XLOOKUP(A3055,'[1]Tissue Data'!$A:$A,'[1]Tissue Data'!K:K)</f>
        <v>Whole Body</v>
      </c>
      <c r="I3055">
        <f>_xlfn.XLOOKUP(A3055,'[1]Tissue Data'!$A:$A,'[1]Tissue Data'!L:L)</f>
        <v>5.5</v>
      </c>
      <c r="J3055">
        <f>_xlfn.XLOOKUP(A3055,'[1]Tissue Data'!$A:$A,'[1]Tissue Data'!M:M)</f>
        <v>2.0499999999999998</v>
      </c>
      <c r="K3055" t="s">
        <v>15</v>
      </c>
      <c r="L3055" t="str">
        <f>_xlfn.XLOOKUP(K3055,[2]analyte_order!$B:$B,[2]analyte_order!$C:$C)</f>
        <v>375-85-9</v>
      </c>
      <c r="M3055">
        <f>_xlfn.XLOOKUP(L3055,[2]analyte_order!$C:$C,[2]analyte_order!$E:$E)</f>
        <v>4</v>
      </c>
      <c r="N3055">
        <v>2.7900000000000001E-2</v>
      </c>
    </row>
    <row r="3056" spans="1:14">
      <c r="A3056" t="s">
        <v>200</v>
      </c>
      <c r="B3056" t="str">
        <f>_xlfn.XLOOKUP(A3056,'[1]Tissue Data'!$A:$A,'[1]Tissue Data'!$C:$C)</f>
        <v>Spill</v>
      </c>
      <c r="C3056" s="2">
        <f>_xlfn.XLOOKUP(A3056,'[1]Tissue Data'!$A:$A,'[1]Tissue Data'!$D:$D)</f>
        <v>44314</v>
      </c>
      <c r="D3056" s="2" t="str">
        <f>_xlfn.XLOOKUP(A3056,'[1]Tissue Data'!$A:$A,'[1]Tissue Data'!$F:$F)</f>
        <v>Swallowtail Shiner</v>
      </c>
      <c r="E3056" t="str">
        <f>_xlfn.XLOOKUP(A3056,'[1]Tissue Data'!$A:$A,'[1]Tissue Data'!$H:$H)</f>
        <v>Notropis</v>
      </c>
      <c r="F3056" t="str">
        <f>_xlfn.XLOOKUP(A3056,'[1]Tissue Data'!$A:$A,'[1]Tissue Data'!$I:$I)</f>
        <v>procne</v>
      </c>
      <c r="G3056" t="str">
        <f>_xlfn.XLOOKUP(A3056,'[1]Tissue Data'!$A:$A,'[1]Tissue Data'!J:J)</f>
        <v>U</v>
      </c>
      <c r="H3056" t="str">
        <f>_xlfn.XLOOKUP(A3056,'[1]Tissue Data'!$A:$A,'[1]Tissue Data'!K:K)</f>
        <v>Whole Body</v>
      </c>
      <c r="I3056">
        <f>_xlfn.XLOOKUP(A3056,'[1]Tissue Data'!$A:$A,'[1]Tissue Data'!L:L)</f>
        <v>5.5</v>
      </c>
      <c r="J3056">
        <f>_xlfn.XLOOKUP(A3056,'[1]Tissue Data'!$A:$A,'[1]Tissue Data'!M:M)</f>
        <v>2.0499999999999998</v>
      </c>
      <c r="K3056" t="s">
        <v>16</v>
      </c>
      <c r="L3056" t="str">
        <f>_xlfn.XLOOKUP(K3056,[2]analyte_order!$B:$B,[2]analyte_order!$C:$C)</f>
        <v>335-67-1</v>
      </c>
      <c r="M3056">
        <f>_xlfn.XLOOKUP(L3056,[2]analyte_order!$C:$C,[2]analyte_order!$E:$E)</f>
        <v>5</v>
      </c>
      <c r="N3056">
        <v>0.89800000000000002</v>
      </c>
    </row>
    <row r="3057" spans="1:14">
      <c r="A3057" t="s">
        <v>200</v>
      </c>
      <c r="B3057" t="str">
        <f>_xlfn.XLOOKUP(A3057,'[1]Tissue Data'!$A:$A,'[1]Tissue Data'!$C:$C)</f>
        <v>Spill</v>
      </c>
      <c r="C3057" s="2">
        <f>_xlfn.XLOOKUP(A3057,'[1]Tissue Data'!$A:$A,'[1]Tissue Data'!$D:$D)</f>
        <v>44314</v>
      </c>
      <c r="D3057" s="2" t="str">
        <f>_xlfn.XLOOKUP(A3057,'[1]Tissue Data'!$A:$A,'[1]Tissue Data'!$F:$F)</f>
        <v>Swallowtail Shiner</v>
      </c>
      <c r="E3057" t="str">
        <f>_xlfn.XLOOKUP(A3057,'[1]Tissue Data'!$A:$A,'[1]Tissue Data'!$H:$H)</f>
        <v>Notropis</v>
      </c>
      <c r="F3057" t="str">
        <f>_xlfn.XLOOKUP(A3057,'[1]Tissue Data'!$A:$A,'[1]Tissue Data'!$I:$I)</f>
        <v>procne</v>
      </c>
      <c r="G3057" t="str">
        <f>_xlfn.XLOOKUP(A3057,'[1]Tissue Data'!$A:$A,'[1]Tissue Data'!J:J)</f>
        <v>U</v>
      </c>
      <c r="H3057" t="str">
        <f>_xlfn.XLOOKUP(A3057,'[1]Tissue Data'!$A:$A,'[1]Tissue Data'!K:K)</f>
        <v>Whole Body</v>
      </c>
      <c r="I3057">
        <f>_xlfn.XLOOKUP(A3057,'[1]Tissue Data'!$A:$A,'[1]Tissue Data'!L:L)</f>
        <v>5.5</v>
      </c>
      <c r="J3057">
        <f>_xlfn.XLOOKUP(A3057,'[1]Tissue Data'!$A:$A,'[1]Tissue Data'!M:M)</f>
        <v>2.0499999999999998</v>
      </c>
      <c r="K3057" t="s">
        <v>17</v>
      </c>
      <c r="L3057" t="str">
        <f>_xlfn.XLOOKUP(K3057,[2]analyte_order!$B:$B,[2]analyte_order!$C:$C)</f>
        <v>375-95-1</v>
      </c>
      <c r="M3057">
        <f>_xlfn.XLOOKUP(L3057,[2]analyte_order!$C:$C,[2]analyte_order!$E:$E)</f>
        <v>6</v>
      </c>
      <c r="N3057">
        <v>1.04</v>
      </c>
    </row>
    <row r="3058" spans="1:14">
      <c r="A3058" t="s">
        <v>200</v>
      </c>
      <c r="B3058" t="str">
        <f>_xlfn.XLOOKUP(A3058,'[1]Tissue Data'!$A:$A,'[1]Tissue Data'!$C:$C)</f>
        <v>Spill</v>
      </c>
      <c r="C3058" s="2">
        <f>_xlfn.XLOOKUP(A3058,'[1]Tissue Data'!$A:$A,'[1]Tissue Data'!$D:$D)</f>
        <v>44314</v>
      </c>
      <c r="D3058" s="2" t="str">
        <f>_xlfn.XLOOKUP(A3058,'[1]Tissue Data'!$A:$A,'[1]Tissue Data'!$F:$F)</f>
        <v>Swallowtail Shiner</v>
      </c>
      <c r="E3058" t="str">
        <f>_xlfn.XLOOKUP(A3058,'[1]Tissue Data'!$A:$A,'[1]Tissue Data'!$H:$H)</f>
        <v>Notropis</v>
      </c>
      <c r="F3058" t="str">
        <f>_xlfn.XLOOKUP(A3058,'[1]Tissue Data'!$A:$A,'[1]Tissue Data'!$I:$I)</f>
        <v>procne</v>
      </c>
      <c r="G3058" t="str">
        <f>_xlfn.XLOOKUP(A3058,'[1]Tissue Data'!$A:$A,'[1]Tissue Data'!J:J)</f>
        <v>U</v>
      </c>
      <c r="H3058" t="str">
        <f>_xlfn.XLOOKUP(A3058,'[1]Tissue Data'!$A:$A,'[1]Tissue Data'!K:K)</f>
        <v>Whole Body</v>
      </c>
      <c r="I3058">
        <f>_xlfn.XLOOKUP(A3058,'[1]Tissue Data'!$A:$A,'[1]Tissue Data'!L:L)</f>
        <v>5.5</v>
      </c>
      <c r="J3058">
        <f>_xlfn.XLOOKUP(A3058,'[1]Tissue Data'!$A:$A,'[1]Tissue Data'!M:M)</f>
        <v>2.0499999999999998</v>
      </c>
      <c r="K3058" t="s">
        <v>18</v>
      </c>
      <c r="L3058" t="str">
        <f>_xlfn.XLOOKUP(K3058,[2]analyte_order!$B:$B,[2]analyte_order!$C:$C)</f>
        <v>335-76-2</v>
      </c>
      <c r="M3058">
        <f>_xlfn.XLOOKUP(L3058,[2]analyte_order!$C:$C,[2]analyte_order!$E:$E)</f>
        <v>7</v>
      </c>
      <c r="N3058">
        <v>7.9</v>
      </c>
    </row>
    <row r="3059" spans="1:14">
      <c r="A3059" t="s">
        <v>200</v>
      </c>
      <c r="B3059" t="str">
        <f>_xlfn.XLOOKUP(A3059,'[1]Tissue Data'!$A:$A,'[1]Tissue Data'!$C:$C)</f>
        <v>Spill</v>
      </c>
      <c r="C3059" s="2">
        <f>_xlfn.XLOOKUP(A3059,'[1]Tissue Data'!$A:$A,'[1]Tissue Data'!$D:$D)</f>
        <v>44314</v>
      </c>
      <c r="D3059" s="2" t="str">
        <f>_xlfn.XLOOKUP(A3059,'[1]Tissue Data'!$A:$A,'[1]Tissue Data'!$F:$F)</f>
        <v>Swallowtail Shiner</v>
      </c>
      <c r="E3059" t="str">
        <f>_xlfn.XLOOKUP(A3059,'[1]Tissue Data'!$A:$A,'[1]Tissue Data'!$H:$H)</f>
        <v>Notropis</v>
      </c>
      <c r="F3059" t="str">
        <f>_xlfn.XLOOKUP(A3059,'[1]Tissue Data'!$A:$A,'[1]Tissue Data'!$I:$I)</f>
        <v>procne</v>
      </c>
      <c r="G3059" t="str">
        <f>_xlfn.XLOOKUP(A3059,'[1]Tissue Data'!$A:$A,'[1]Tissue Data'!J:J)</f>
        <v>U</v>
      </c>
      <c r="H3059" t="str">
        <f>_xlfn.XLOOKUP(A3059,'[1]Tissue Data'!$A:$A,'[1]Tissue Data'!K:K)</f>
        <v>Whole Body</v>
      </c>
      <c r="I3059">
        <f>_xlfn.XLOOKUP(A3059,'[1]Tissue Data'!$A:$A,'[1]Tissue Data'!L:L)</f>
        <v>5.5</v>
      </c>
      <c r="J3059">
        <f>_xlfn.XLOOKUP(A3059,'[1]Tissue Data'!$A:$A,'[1]Tissue Data'!M:M)</f>
        <v>2.0499999999999998</v>
      </c>
      <c r="K3059" t="s">
        <v>19</v>
      </c>
      <c r="L3059" t="str">
        <f>_xlfn.XLOOKUP(K3059,[2]analyte_order!$B:$B,[2]analyte_order!$C:$C)</f>
        <v>2058-94-8</v>
      </c>
      <c r="M3059">
        <f>_xlfn.XLOOKUP(L3059,[2]analyte_order!$C:$C,[2]analyte_order!$E:$E)</f>
        <v>8</v>
      </c>
      <c r="N3059">
        <v>11.3</v>
      </c>
    </row>
    <row r="3060" spans="1:14">
      <c r="A3060" t="s">
        <v>200</v>
      </c>
      <c r="B3060" t="str">
        <f>_xlfn.XLOOKUP(A3060,'[1]Tissue Data'!$A:$A,'[1]Tissue Data'!$C:$C)</f>
        <v>Spill</v>
      </c>
      <c r="C3060" s="2">
        <f>_xlfn.XLOOKUP(A3060,'[1]Tissue Data'!$A:$A,'[1]Tissue Data'!$D:$D)</f>
        <v>44314</v>
      </c>
      <c r="D3060" s="2" t="str">
        <f>_xlfn.XLOOKUP(A3060,'[1]Tissue Data'!$A:$A,'[1]Tissue Data'!$F:$F)</f>
        <v>Swallowtail Shiner</v>
      </c>
      <c r="E3060" t="str">
        <f>_xlfn.XLOOKUP(A3060,'[1]Tissue Data'!$A:$A,'[1]Tissue Data'!$H:$H)</f>
        <v>Notropis</v>
      </c>
      <c r="F3060" t="str">
        <f>_xlfn.XLOOKUP(A3060,'[1]Tissue Data'!$A:$A,'[1]Tissue Data'!$I:$I)</f>
        <v>procne</v>
      </c>
      <c r="G3060" t="str">
        <f>_xlfn.XLOOKUP(A3060,'[1]Tissue Data'!$A:$A,'[1]Tissue Data'!J:J)</f>
        <v>U</v>
      </c>
      <c r="H3060" t="str">
        <f>_xlfn.XLOOKUP(A3060,'[1]Tissue Data'!$A:$A,'[1]Tissue Data'!K:K)</f>
        <v>Whole Body</v>
      </c>
      <c r="I3060">
        <f>_xlfn.XLOOKUP(A3060,'[1]Tissue Data'!$A:$A,'[1]Tissue Data'!L:L)</f>
        <v>5.5</v>
      </c>
      <c r="J3060">
        <f>_xlfn.XLOOKUP(A3060,'[1]Tissue Data'!$A:$A,'[1]Tissue Data'!M:M)</f>
        <v>2.0499999999999998</v>
      </c>
      <c r="K3060" t="s">
        <v>20</v>
      </c>
      <c r="L3060" t="str">
        <f>_xlfn.XLOOKUP(K3060,[2]analyte_order!$B:$B,[2]analyte_order!$C:$C)</f>
        <v>307-55-1</v>
      </c>
      <c r="M3060">
        <f>_xlfn.XLOOKUP(L3060,[2]analyte_order!$C:$C,[2]analyte_order!$E:$E)</f>
        <v>9</v>
      </c>
      <c r="N3060">
        <v>14</v>
      </c>
    </row>
    <row r="3061" spans="1:14">
      <c r="A3061" t="s">
        <v>200</v>
      </c>
      <c r="B3061" t="str">
        <f>_xlfn.XLOOKUP(A3061,'[1]Tissue Data'!$A:$A,'[1]Tissue Data'!$C:$C)</f>
        <v>Spill</v>
      </c>
      <c r="C3061" s="2">
        <f>_xlfn.XLOOKUP(A3061,'[1]Tissue Data'!$A:$A,'[1]Tissue Data'!$D:$D)</f>
        <v>44314</v>
      </c>
      <c r="D3061" s="2" t="str">
        <f>_xlfn.XLOOKUP(A3061,'[1]Tissue Data'!$A:$A,'[1]Tissue Data'!$F:$F)</f>
        <v>Swallowtail Shiner</v>
      </c>
      <c r="E3061" t="str">
        <f>_xlfn.XLOOKUP(A3061,'[1]Tissue Data'!$A:$A,'[1]Tissue Data'!$H:$H)</f>
        <v>Notropis</v>
      </c>
      <c r="F3061" t="str">
        <f>_xlfn.XLOOKUP(A3061,'[1]Tissue Data'!$A:$A,'[1]Tissue Data'!$I:$I)</f>
        <v>procne</v>
      </c>
      <c r="G3061" t="str">
        <f>_xlfn.XLOOKUP(A3061,'[1]Tissue Data'!$A:$A,'[1]Tissue Data'!J:J)</f>
        <v>U</v>
      </c>
      <c r="H3061" t="str">
        <f>_xlfn.XLOOKUP(A3061,'[1]Tissue Data'!$A:$A,'[1]Tissue Data'!K:K)</f>
        <v>Whole Body</v>
      </c>
      <c r="I3061">
        <f>_xlfn.XLOOKUP(A3061,'[1]Tissue Data'!$A:$A,'[1]Tissue Data'!L:L)</f>
        <v>5.5</v>
      </c>
      <c r="J3061">
        <f>_xlfn.XLOOKUP(A3061,'[1]Tissue Data'!$A:$A,'[1]Tissue Data'!M:M)</f>
        <v>2.0499999999999998</v>
      </c>
      <c r="K3061" t="s">
        <v>21</v>
      </c>
      <c r="L3061" t="str">
        <f>_xlfn.XLOOKUP(K3061,[2]analyte_order!$B:$B,[2]analyte_order!$C:$C)</f>
        <v>72629-94-8</v>
      </c>
      <c r="M3061">
        <f>_xlfn.XLOOKUP(L3061,[2]analyte_order!$C:$C,[2]analyte_order!$E:$E)</f>
        <v>10</v>
      </c>
      <c r="N3061">
        <v>7.19</v>
      </c>
    </row>
    <row r="3062" spans="1:14">
      <c r="A3062" t="s">
        <v>200</v>
      </c>
      <c r="B3062" t="str">
        <f>_xlfn.XLOOKUP(A3062,'[1]Tissue Data'!$A:$A,'[1]Tissue Data'!$C:$C)</f>
        <v>Spill</v>
      </c>
      <c r="C3062" s="2">
        <f>_xlfn.XLOOKUP(A3062,'[1]Tissue Data'!$A:$A,'[1]Tissue Data'!$D:$D)</f>
        <v>44314</v>
      </c>
      <c r="D3062" s="2" t="str">
        <f>_xlfn.XLOOKUP(A3062,'[1]Tissue Data'!$A:$A,'[1]Tissue Data'!$F:$F)</f>
        <v>Swallowtail Shiner</v>
      </c>
      <c r="E3062" t="str">
        <f>_xlfn.XLOOKUP(A3062,'[1]Tissue Data'!$A:$A,'[1]Tissue Data'!$H:$H)</f>
        <v>Notropis</v>
      </c>
      <c r="F3062" t="str">
        <f>_xlfn.XLOOKUP(A3062,'[1]Tissue Data'!$A:$A,'[1]Tissue Data'!$I:$I)</f>
        <v>procne</v>
      </c>
      <c r="G3062" t="str">
        <f>_xlfn.XLOOKUP(A3062,'[1]Tissue Data'!$A:$A,'[1]Tissue Data'!J:J)</f>
        <v>U</v>
      </c>
      <c r="H3062" t="str">
        <f>_xlfn.XLOOKUP(A3062,'[1]Tissue Data'!$A:$A,'[1]Tissue Data'!K:K)</f>
        <v>Whole Body</v>
      </c>
      <c r="I3062">
        <f>_xlfn.XLOOKUP(A3062,'[1]Tissue Data'!$A:$A,'[1]Tissue Data'!L:L)</f>
        <v>5.5</v>
      </c>
      <c r="J3062">
        <f>_xlfn.XLOOKUP(A3062,'[1]Tissue Data'!$A:$A,'[1]Tissue Data'!M:M)</f>
        <v>2.0499999999999998</v>
      </c>
      <c r="K3062" t="s">
        <v>22</v>
      </c>
      <c r="L3062" t="str">
        <f>_xlfn.XLOOKUP(K3062,[2]analyte_order!$B:$B,[2]analyte_order!$C:$C)</f>
        <v>376-06-7</v>
      </c>
      <c r="M3062">
        <f>_xlfn.XLOOKUP(L3062,[2]analyte_order!$C:$C,[2]analyte_order!$E:$E)</f>
        <v>11</v>
      </c>
      <c r="N3062">
        <v>6.03</v>
      </c>
    </row>
    <row r="3063" spans="1:14">
      <c r="A3063" t="s">
        <v>200</v>
      </c>
      <c r="B3063" t="str">
        <f>_xlfn.XLOOKUP(A3063,'[1]Tissue Data'!$A:$A,'[1]Tissue Data'!$C:$C)</f>
        <v>Spill</v>
      </c>
      <c r="C3063" s="2">
        <f>_xlfn.XLOOKUP(A3063,'[1]Tissue Data'!$A:$A,'[1]Tissue Data'!$D:$D)</f>
        <v>44314</v>
      </c>
      <c r="D3063" s="2" t="str">
        <f>_xlfn.XLOOKUP(A3063,'[1]Tissue Data'!$A:$A,'[1]Tissue Data'!$F:$F)</f>
        <v>Swallowtail Shiner</v>
      </c>
      <c r="E3063" t="str">
        <f>_xlfn.XLOOKUP(A3063,'[1]Tissue Data'!$A:$A,'[1]Tissue Data'!$H:$H)</f>
        <v>Notropis</v>
      </c>
      <c r="F3063" t="str">
        <f>_xlfn.XLOOKUP(A3063,'[1]Tissue Data'!$A:$A,'[1]Tissue Data'!$I:$I)</f>
        <v>procne</v>
      </c>
      <c r="G3063" t="str">
        <f>_xlfn.XLOOKUP(A3063,'[1]Tissue Data'!$A:$A,'[1]Tissue Data'!J:J)</f>
        <v>U</v>
      </c>
      <c r="H3063" t="str">
        <f>_xlfn.XLOOKUP(A3063,'[1]Tissue Data'!$A:$A,'[1]Tissue Data'!K:K)</f>
        <v>Whole Body</v>
      </c>
      <c r="I3063">
        <f>_xlfn.XLOOKUP(A3063,'[1]Tissue Data'!$A:$A,'[1]Tissue Data'!L:L)</f>
        <v>5.5</v>
      </c>
      <c r="J3063">
        <f>_xlfn.XLOOKUP(A3063,'[1]Tissue Data'!$A:$A,'[1]Tissue Data'!M:M)</f>
        <v>2.0499999999999998</v>
      </c>
      <c r="K3063" t="s">
        <v>23</v>
      </c>
      <c r="L3063" t="str">
        <f>_xlfn.XLOOKUP(K3063,[2]analyte_order!$B:$B,[2]analyte_order!$C:$C)</f>
        <v>67905-19-5</v>
      </c>
      <c r="M3063">
        <f>_xlfn.XLOOKUP(L3063,[2]analyte_order!$C:$C,[2]analyte_order!$E:$E)</f>
        <v>12</v>
      </c>
      <c r="N3063">
        <v>8.3000000000000004E-2</v>
      </c>
    </row>
    <row r="3064" spans="1:14">
      <c r="A3064" t="s">
        <v>200</v>
      </c>
      <c r="B3064" t="str">
        <f>_xlfn.XLOOKUP(A3064,'[1]Tissue Data'!$A:$A,'[1]Tissue Data'!$C:$C)</f>
        <v>Spill</v>
      </c>
      <c r="C3064" s="2">
        <f>_xlfn.XLOOKUP(A3064,'[1]Tissue Data'!$A:$A,'[1]Tissue Data'!$D:$D)</f>
        <v>44314</v>
      </c>
      <c r="D3064" s="2" t="str">
        <f>_xlfn.XLOOKUP(A3064,'[1]Tissue Data'!$A:$A,'[1]Tissue Data'!$F:$F)</f>
        <v>Swallowtail Shiner</v>
      </c>
      <c r="E3064" t="str">
        <f>_xlfn.XLOOKUP(A3064,'[1]Tissue Data'!$A:$A,'[1]Tissue Data'!$H:$H)</f>
        <v>Notropis</v>
      </c>
      <c r="F3064" t="str">
        <f>_xlfn.XLOOKUP(A3064,'[1]Tissue Data'!$A:$A,'[1]Tissue Data'!$I:$I)</f>
        <v>procne</v>
      </c>
      <c r="G3064" t="str">
        <f>_xlfn.XLOOKUP(A3064,'[1]Tissue Data'!$A:$A,'[1]Tissue Data'!J:J)</f>
        <v>U</v>
      </c>
      <c r="H3064" t="str">
        <f>_xlfn.XLOOKUP(A3064,'[1]Tissue Data'!$A:$A,'[1]Tissue Data'!K:K)</f>
        <v>Whole Body</v>
      </c>
      <c r="I3064">
        <f>_xlfn.XLOOKUP(A3064,'[1]Tissue Data'!$A:$A,'[1]Tissue Data'!L:L)</f>
        <v>5.5</v>
      </c>
      <c r="J3064">
        <f>_xlfn.XLOOKUP(A3064,'[1]Tissue Data'!$A:$A,'[1]Tissue Data'!M:M)</f>
        <v>2.0499999999999998</v>
      </c>
      <c r="K3064" t="s">
        <v>24</v>
      </c>
      <c r="L3064" t="str">
        <f>_xlfn.XLOOKUP(K3064,[2]analyte_order!$B:$B,[2]analyte_order!$C:$C)</f>
        <v>423-41-6</v>
      </c>
      <c r="M3064">
        <f>_xlfn.XLOOKUP(L3064,[2]analyte_order!$C:$C,[2]analyte_order!$E:$E)</f>
        <v>53</v>
      </c>
      <c r="N3064">
        <v>5.2999999999999999E-2</v>
      </c>
    </row>
    <row r="3065" spans="1:14">
      <c r="A3065" t="s">
        <v>200</v>
      </c>
      <c r="B3065" t="str">
        <f>_xlfn.XLOOKUP(A3065,'[1]Tissue Data'!$A:$A,'[1]Tissue Data'!$C:$C)</f>
        <v>Spill</v>
      </c>
      <c r="C3065" s="2">
        <f>_xlfn.XLOOKUP(A3065,'[1]Tissue Data'!$A:$A,'[1]Tissue Data'!$D:$D)</f>
        <v>44314</v>
      </c>
      <c r="D3065" s="2" t="str">
        <f>_xlfn.XLOOKUP(A3065,'[1]Tissue Data'!$A:$A,'[1]Tissue Data'!$F:$F)</f>
        <v>Swallowtail Shiner</v>
      </c>
      <c r="E3065" t="str">
        <f>_xlfn.XLOOKUP(A3065,'[1]Tissue Data'!$A:$A,'[1]Tissue Data'!$H:$H)</f>
        <v>Notropis</v>
      </c>
      <c r="F3065" t="str">
        <f>_xlfn.XLOOKUP(A3065,'[1]Tissue Data'!$A:$A,'[1]Tissue Data'!$I:$I)</f>
        <v>procne</v>
      </c>
      <c r="G3065" t="str">
        <f>_xlfn.XLOOKUP(A3065,'[1]Tissue Data'!$A:$A,'[1]Tissue Data'!J:J)</f>
        <v>U</v>
      </c>
      <c r="H3065" t="str">
        <f>_xlfn.XLOOKUP(A3065,'[1]Tissue Data'!$A:$A,'[1]Tissue Data'!K:K)</f>
        <v>Whole Body</v>
      </c>
      <c r="I3065">
        <f>_xlfn.XLOOKUP(A3065,'[1]Tissue Data'!$A:$A,'[1]Tissue Data'!L:L)</f>
        <v>5.5</v>
      </c>
      <c r="J3065">
        <f>_xlfn.XLOOKUP(A3065,'[1]Tissue Data'!$A:$A,'[1]Tissue Data'!M:M)</f>
        <v>2.0499999999999998</v>
      </c>
      <c r="K3065" t="s">
        <v>25</v>
      </c>
      <c r="L3065" t="str">
        <f>_xlfn.XLOOKUP(K3065,[2]analyte_order!$B:$B,[2]analyte_order!$C:$C)</f>
        <v>375-73-5</v>
      </c>
      <c r="M3065">
        <f>_xlfn.XLOOKUP(L3065,[2]analyte_order!$C:$C,[2]analyte_order!$E:$E)</f>
        <v>14</v>
      </c>
      <c r="N3065">
        <v>0.156</v>
      </c>
    </row>
    <row r="3066" spans="1:14">
      <c r="A3066" t="s">
        <v>200</v>
      </c>
      <c r="B3066" t="str">
        <f>_xlfn.XLOOKUP(A3066,'[1]Tissue Data'!$A:$A,'[1]Tissue Data'!$C:$C)</f>
        <v>Spill</v>
      </c>
      <c r="C3066" s="2">
        <f>_xlfn.XLOOKUP(A3066,'[1]Tissue Data'!$A:$A,'[1]Tissue Data'!$D:$D)</f>
        <v>44314</v>
      </c>
      <c r="D3066" s="2" t="str">
        <f>_xlfn.XLOOKUP(A3066,'[1]Tissue Data'!$A:$A,'[1]Tissue Data'!$F:$F)</f>
        <v>Swallowtail Shiner</v>
      </c>
      <c r="E3066" t="str">
        <f>_xlfn.XLOOKUP(A3066,'[1]Tissue Data'!$A:$A,'[1]Tissue Data'!$H:$H)</f>
        <v>Notropis</v>
      </c>
      <c r="F3066" t="str">
        <f>_xlfn.XLOOKUP(A3066,'[1]Tissue Data'!$A:$A,'[1]Tissue Data'!$I:$I)</f>
        <v>procne</v>
      </c>
      <c r="G3066" t="str">
        <f>_xlfn.XLOOKUP(A3066,'[1]Tissue Data'!$A:$A,'[1]Tissue Data'!J:J)</f>
        <v>U</v>
      </c>
      <c r="H3066" t="str">
        <f>_xlfn.XLOOKUP(A3066,'[1]Tissue Data'!$A:$A,'[1]Tissue Data'!K:K)</f>
        <v>Whole Body</v>
      </c>
      <c r="I3066">
        <f>_xlfn.XLOOKUP(A3066,'[1]Tissue Data'!$A:$A,'[1]Tissue Data'!L:L)</f>
        <v>5.5</v>
      </c>
      <c r="J3066">
        <f>_xlfn.XLOOKUP(A3066,'[1]Tissue Data'!$A:$A,'[1]Tissue Data'!M:M)</f>
        <v>2.0499999999999998</v>
      </c>
      <c r="K3066" t="s">
        <v>26</v>
      </c>
      <c r="L3066" t="str">
        <f>_xlfn.XLOOKUP(K3066,[2]analyte_order!$B:$B,[2]analyte_order!$C:$C)</f>
        <v>2706-91-4</v>
      </c>
      <c r="M3066">
        <f>_xlfn.XLOOKUP(L3066,[2]analyte_order!$C:$C,[2]analyte_order!$E:$E)</f>
        <v>15</v>
      </c>
      <c r="N3066">
        <v>0.61499999999999999</v>
      </c>
    </row>
    <row r="3067" spans="1:14">
      <c r="A3067" t="s">
        <v>200</v>
      </c>
      <c r="B3067" t="str">
        <f>_xlfn.XLOOKUP(A3067,'[1]Tissue Data'!$A:$A,'[1]Tissue Data'!$C:$C)</f>
        <v>Spill</v>
      </c>
      <c r="C3067" s="2">
        <f>_xlfn.XLOOKUP(A3067,'[1]Tissue Data'!$A:$A,'[1]Tissue Data'!$D:$D)</f>
        <v>44314</v>
      </c>
      <c r="D3067" s="2" t="str">
        <f>_xlfn.XLOOKUP(A3067,'[1]Tissue Data'!$A:$A,'[1]Tissue Data'!$F:$F)</f>
        <v>Swallowtail Shiner</v>
      </c>
      <c r="E3067" t="str">
        <f>_xlfn.XLOOKUP(A3067,'[1]Tissue Data'!$A:$A,'[1]Tissue Data'!$H:$H)</f>
        <v>Notropis</v>
      </c>
      <c r="F3067" t="str">
        <f>_xlfn.XLOOKUP(A3067,'[1]Tissue Data'!$A:$A,'[1]Tissue Data'!$I:$I)</f>
        <v>procne</v>
      </c>
      <c r="G3067" t="str">
        <f>_xlfn.XLOOKUP(A3067,'[1]Tissue Data'!$A:$A,'[1]Tissue Data'!J:J)</f>
        <v>U</v>
      </c>
      <c r="H3067" t="str">
        <f>_xlfn.XLOOKUP(A3067,'[1]Tissue Data'!$A:$A,'[1]Tissue Data'!K:K)</f>
        <v>Whole Body</v>
      </c>
      <c r="I3067">
        <f>_xlfn.XLOOKUP(A3067,'[1]Tissue Data'!$A:$A,'[1]Tissue Data'!L:L)</f>
        <v>5.5</v>
      </c>
      <c r="J3067">
        <f>_xlfn.XLOOKUP(A3067,'[1]Tissue Data'!$A:$A,'[1]Tissue Data'!M:M)</f>
        <v>2.0499999999999998</v>
      </c>
      <c r="K3067" t="s">
        <v>27</v>
      </c>
      <c r="L3067" t="str">
        <f>_xlfn.XLOOKUP(K3067,[2]analyte_order!$B:$B,[2]analyte_order!$C:$C)</f>
        <v>355-46-4</v>
      </c>
      <c r="M3067">
        <f>_xlfn.XLOOKUP(L3067,[2]analyte_order!$C:$C,[2]analyte_order!$E:$E)</f>
        <v>16</v>
      </c>
      <c r="N3067">
        <v>30.7</v>
      </c>
    </row>
    <row r="3068" spans="1:14">
      <c r="A3068" t="s">
        <v>200</v>
      </c>
      <c r="B3068" t="str">
        <f>_xlfn.XLOOKUP(A3068,'[1]Tissue Data'!$A:$A,'[1]Tissue Data'!$C:$C)</f>
        <v>Spill</v>
      </c>
      <c r="C3068" s="2">
        <f>_xlfn.XLOOKUP(A3068,'[1]Tissue Data'!$A:$A,'[1]Tissue Data'!$D:$D)</f>
        <v>44314</v>
      </c>
      <c r="D3068" s="2" t="str">
        <f>_xlfn.XLOOKUP(A3068,'[1]Tissue Data'!$A:$A,'[1]Tissue Data'!$F:$F)</f>
        <v>Swallowtail Shiner</v>
      </c>
      <c r="E3068" t="str">
        <f>_xlfn.XLOOKUP(A3068,'[1]Tissue Data'!$A:$A,'[1]Tissue Data'!$H:$H)</f>
        <v>Notropis</v>
      </c>
      <c r="F3068" t="str">
        <f>_xlfn.XLOOKUP(A3068,'[1]Tissue Data'!$A:$A,'[1]Tissue Data'!$I:$I)</f>
        <v>procne</v>
      </c>
      <c r="G3068" t="str">
        <f>_xlfn.XLOOKUP(A3068,'[1]Tissue Data'!$A:$A,'[1]Tissue Data'!J:J)</f>
        <v>U</v>
      </c>
      <c r="H3068" t="str">
        <f>_xlfn.XLOOKUP(A3068,'[1]Tissue Data'!$A:$A,'[1]Tissue Data'!K:K)</f>
        <v>Whole Body</v>
      </c>
      <c r="I3068">
        <f>_xlfn.XLOOKUP(A3068,'[1]Tissue Data'!$A:$A,'[1]Tissue Data'!L:L)</f>
        <v>5.5</v>
      </c>
      <c r="J3068">
        <f>_xlfn.XLOOKUP(A3068,'[1]Tissue Data'!$A:$A,'[1]Tissue Data'!M:M)</f>
        <v>2.0499999999999998</v>
      </c>
      <c r="K3068" t="s">
        <v>28</v>
      </c>
      <c r="L3068" t="str">
        <f>_xlfn.XLOOKUP(K3068,[2]analyte_order!$B:$B,[2]analyte_order!$C:$C)</f>
        <v>375-92-8</v>
      </c>
      <c r="M3068">
        <f>_xlfn.XLOOKUP(L3068,[2]analyte_order!$C:$C,[2]analyte_order!$E:$E)</f>
        <v>17</v>
      </c>
      <c r="N3068">
        <v>3.43</v>
      </c>
    </row>
    <row r="3069" spans="1:14">
      <c r="A3069" t="s">
        <v>200</v>
      </c>
      <c r="B3069" t="str">
        <f>_xlfn.XLOOKUP(A3069,'[1]Tissue Data'!$A:$A,'[1]Tissue Data'!$C:$C)</f>
        <v>Spill</v>
      </c>
      <c r="C3069" s="2">
        <f>_xlfn.XLOOKUP(A3069,'[1]Tissue Data'!$A:$A,'[1]Tissue Data'!$D:$D)</f>
        <v>44314</v>
      </c>
      <c r="D3069" s="2" t="str">
        <f>_xlfn.XLOOKUP(A3069,'[1]Tissue Data'!$A:$A,'[1]Tissue Data'!$F:$F)</f>
        <v>Swallowtail Shiner</v>
      </c>
      <c r="E3069" t="str">
        <f>_xlfn.XLOOKUP(A3069,'[1]Tissue Data'!$A:$A,'[1]Tissue Data'!$H:$H)</f>
        <v>Notropis</v>
      </c>
      <c r="F3069" t="str">
        <f>_xlfn.XLOOKUP(A3069,'[1]Tissue Data'!$A:$A,'[1]Tissue Data'!$I:$I)</f>
        <v>procne</v>
      </c>
      <c r="G3069" t="str">
        <f>_xlfn.XLOOKUP(A3069,'[1]Tissue Data'!$A:$A,'[1]Tissue Data'!J:J)</f>
        <v>U</v>
      </c>
      <c r="H3069" t="str">
        <f>_xlfn.XLOOKUP(A3069,'[1]Tissue Data'!$A:$A,'[1]Tissue Data'!K:K)</f>
        <v>Whole Body</v>
      </c>
      <c r="I3069">
        <f>_xlfn.XLOOKUP(A3069,'[1]Tissue Data'!$A:$A,'[1]Tissue Data'!L:L)</f>
        <v>5.5</v>
      </c>
      <c r="J3069">
        <f>_xlfn.XLOOKUP(A3069,'[1]Tissue Data'!$A:$A,'[1]Tissue Data'!M:M)</f>
        <v>2.0499999999999998</v>
      </c>
      <c r="K3069" t="s">
        <v>29</v>
      </c>
      <c r="L3069" t="str">
        <f>_xlfn.XLOOKUP(K3069,[2]analyte_order!$B:$B,[2]analyte_order!$C:$C)</f>
        <v>1763-23-1</v>
      </c>
      <c r="M3069">
        <f>_xlfn.XLOOKUP(L3069,[2]analyte_order!$C:$C,[2]analyte_order!$E:$E)</f>
        <v>18</v>
      </c>
      <c r="N3069">
        <v>680</v>
      </c>
    </row>
    <row r="3070" spans="1:14">
      <c r="A3070" t="s">
        <v>200</v>
      </c>
      <c r="B3070" t="str">
        <f>_xlfn.XLOOKUP(A3070,'[1]Tissue Data'!$A:$A,'[1]Tissue Data'!$C:$C)</f>
        <v>Spill</v>
      </c>
      <c r="C3070" s="2">
        <f>_xlfn.XLOOKUP(A3070,'[1]Tissue Data'!$A:$A,'[1]Tissue Data'!$D:$D)</f>
        <v>44314</v>
      </c>
      <c r="D3070" s="2" t="str">
        <f>_xlfn.XLOOKUP(A3070,'[1]Tissue Data'!$A:$A,'[1]Tissue Data'!$F:$F)</f>
        <v>Swallowtail Shiner</v>
      </c>
      <c r="E3070" t="str">
        <f>_xlfn.XLOOKUP(A3070,'[1]Tissue Data'!$A:$A,'[1]Tissue Data'!$H:$H)</f>
        <v>Notropis</v>
      </c>
      <c r="F3070" t="str">
        <f>_xlfn.XLOOKUP(A3070,'[1]Tissue Data'!$A:$A,'[1]Tissue Data'!$I:$I)</f>
        <v>procne</v>
      </c>
      <c r="G3070" t="str">
        <f>_xlfn.XLOOKUP(A3070,'[1]Tissue Data'!$A:$A,'[1]Tissue Data'!J:J)</f>
        <v>U</v>
      </c>
      <c r="H3070" t="str">
        <f>_xlfn.XLOOKUP(A3070,'[1]Tissue Data'!$A:$A,'[1]Tissue Data'!K:K)</f>
        <v>Whole Body</v>
      </c>
      <c r="I3070">
        <f>_xlfn.XLOOKUP(A3070,'[1]Tissue Data'!$A:$A,'[1]Tissue Data'!L:L)</f>
        <v>5.5</v>
      </c>
      <c r="J3070">
        <f>_xlfn.XLOOKUP(A3070,'[1]Tissue Data'!$A:$A,'[1]Tissue Data'!M:M)</f>
        <v>2.0499999999999998</v>
      </c>
      <c r="K3070" t="s">
        <v>30</v>
      </c>
      <c r="L3070" t="str">
        <f>_xlfn.XLOOKUP(K3070,[2]analyte_order!$B:$B,[2]analyte_order!$C:$C)</f>
        <v>68259-12-1</v>
      </c>
      <c r="M3070">
        <f>_xlfn.XLOOKUP(L3070,[2]analyte_order!$C:$C,[2]analyte_order!$E:$E)</f>
        <v>19</v>
      </c>
      <c r="N3070">
        <v>0.73599999999999999</v>
      </c>
    </row>
    <row r="3071" spans="1:14">
      <c r="A3071" t="s">
        <v>200</v>
      </c>
      <c r="B3071" t="str">
        <f>_xlfn.XLOOKUP(A3071,'[1]Tissue Data'!$A:$A,'[1]Tissue Data'!$C:$C)</f>
        <v>Spill</v>
      </c>
      <c r="C3071" s="2">
        <f>_xlfn.XLOOKUP(A3071,'[1]Tissue Data'!$A:$A,'[1]Tissue Data'!$D:$D)</f>
        <v>44314</v>
      </c>
      <c r="D3071" s="2" t="str">
        <f>_xlfn.XLOOKUP(A3071,'[1]Tissue Data'!$A:$A,'[1]Tissue Data'!$F:$F)</f>
        <v>Swallowtail Shiner</v>
      </c>
      <c r="E3071" t="str">
        <f>_xlfn.XLOOKUP(A3071,'[1]Tissue Data'!$A:$A,'[1]Tissue Data'!$H:$H)</f>
        <v>Notropis</v>
      </c>
      <c r="F3071" t="str">
        <f>_xlfn.XLOOKUP(A3071,'[1]Tissue Data'!$A:$A,'[1]Tissue Data'!$I:$I)</f>
        <v>procne</v>
      </c>
      <c r="G3071" t="str">
        <f>_xlfn.XLOOKUP(A3071,'[1]Tissue Data'!$A:$A,'[1]Tissue Data'!J:J)</f>
        <v>U</v>
      </c>
      <c r="H3071" t="str">
        <f>_xlfn.XLOOKUP(A3071,'[1]Tissue Data'!$A:$A,'[1]Tissue Data'!K:K)</f>
        <v>Whole Body</v>
      </c>
      <c r="I3071">
        <f>_xlfn.XLOOKUP(A3071,'[1]Tissue Data'!$A:$A,'[1]Tissue Data'!L:L)</f>
        <v>5.5</v>
      </c>
      <c r="J3071">
        <f>_xlfn.XLOOKUP(A3071,'[1]Tissue Data'!$A:$A,'[1]Tissue Data'!M:M)</f>
        <v>2.0499999999999998</v>
      </c>
      <c r="K3071" t="s">
        <v>31</v>
      </c>
      <c r="L3071" t="str">
        <f>_xlfn.XLOOKUP(K3071,[2]analyte_order!$B:$B,[2]analyte_order!$C:$C)</f>
        <v>335-77-3</v>
      </c>
      <c r="M3071">
        <f>_xlfn.XLOOKUP(L3071,[2]analyte_order!$C:$C,[2]analyte_order!$E:$E)</f>
        <v>20</v>
      </c>
      <c r="N3071">
        <v>1.89</v>
      </c>
    </row>
    <row r="3072" spans="1:14">
      <c r="A3072" t="s">
        <v>200</v>
      </c>
      <c r="B3072" t="str">
        <f>_xlfn.XLOOKUP(A3072,'[1]Tissue Data'!$A:$A,'[1]Tissue Data'!$C:$C)</f>
        <v>Spill</v>
      </c>
      <c r="C3072" s="2">
        <f>_xlfn.XLOOKUP(A3072,'[1]Tissue Data'!$A:$A,'[1]Tissue Data'!$D:$D)</f>
        <v>44314</v>
      </c>
      <c r="D3072" s="2" t="str">
        <f>_xlfn.XLOOKUP(A3072,'[1]Tissue Data'!$A:$A,'[1]Tissue Data'!$F:$F)</f>
        <v>Swallowtail Shiner</v>
      </c>
      <c r="E3072" t="str">
        <f>_xlfn.XLOOKUP(A3072,'[1]Tissue Data'!$A:$A,'[1]Tissue Data'!$H:$H)</f>
        <v>Notropis</v>
      </c>
      <c r="F3072" t="str">
        <f>_xlfn.XLOOKUP(A3072,'[1]Tissue Data'!$A:$A,'[1]Tissue Data'!$I:$I)</f>
        <v>procne</v>
      </c>
      <c r="G3072" t="str">
        <f>_xlfn.XLOOKUP(A3072,'[1]Tissue Data'!$A:$A,'[1]Tissue Data'!J:J)</f>
        <v>U</v>
      </c>
      <c r="H3072" t="str">
        <f>_xlfn.XLOOKUP(A3072,'[1]Tissue Data'!$A:$A,'[1]Tissue Data'!K:K)</f>
        <v>Whole Body</v>
      </c>
      <c r="I3072">
        <f>_xlfn.XLOOKUP(A3072,'[1]Tissue Data'!$A:$A,'[1]Tissue Data'!L:L)</f>
        <v>5.5</v>
      </c>
      <c r="J3072">
        <f>_xlfn.XLOOKUP(A3072,'[1]Tissue Data'!$A:$A,'[1]Tissue Data'!M:M)</f>
        <v>2.0499999999999998</v>
      </c>
      <c r="K3072" t="s">
        <v>32</v>
      </c>
      <c r="L3072" t="str">
        <f>_xlfn.XLOOKUP(K3072,[2]analyte_order!$B:$B,[2]analyte_order!$C:$C)</f>
        <v>79780-39-5</v>
      </c>
      <c r="M3072">
        <f>_xlfn.XLOOKUP(L3072,[2]analyte_order!$C:$C,[2]analyte_order!$E:$E)</f>
        <v>21</v>
      </c>
      <c r="N3072">
        <v>0.69499999999999995</v>
      </c>
    </row>
    <row r="3073" spans="1:14">
      <c r="A3073" t="s">
        <v>200</v>
      </c>
      <c r="B3073" t="str">
        <f>_xlfn.XLOOKUP(A3073,'[1]Tissue Data'!$A:$A,'[1]Tissue Data'!$C:$C)</f>
        <v>Spill</v>
      </c>
      <c r="C3073" s="2">
        <f>_xlfn.XLOOKUP(A3073,'[1]Tissue Data'!$A:$A,'[1]Tissue Data'!$D:$D)</f>
        <v>44314</v>
      </c>
      <c r="D3073" s="2" t="str">
        <f>_xlfn.XLOOKUP(A3073,'[1]Tissue Data'!$A:$A,'[1]Tissue Data'!$F:$F)</f>
        <v>Swallowtail Shiner</v>
      </c>
      <c r="E3073" t="str">
        <f>_xlfn.XLOOKUP(A3073,'[1]Tissue Data'!$A:$A,'[1]Tissue Data'!$H:$H)</f>
        <v>Notropis</v>
      </c>
      <c r="F3073" t="str">
        <f>_xlfn.XLOOKUP(A3073,'[1]Tissue Data'!$A:$A,'[1]Tissue Data'!$I:$I)</f>
        <v>procne</v>
      </c>
      <c r="G3073" t="str">
        <f>_xlfn.XLOOKUP(A3073,'[1]Tissue Data'!$A:$A,'[1]Tissue Data'!J:J)</f>
        <v>U</v>
      </c>
      <c r="H3073" t="str">
        <f>_xlfn.XLOOKUP(A3073,'[1]Tissue Data'!$A:$A,'[1]Tissue Data'!K:K)</f>
        <v>Whole Body</v>
      </c>
      <c r="I3073">
        <f>_xlfn.XLOOKUP(A3073,'[1]Tissue Data'!$A:$A,'[1]Tissue Data'!L:L)</f>
        <v>5.5</v>
      </c>
      <c r="J3073">
        <f>_xlfn.XLOOKUP(A3073,'[1]Tissue Data'!$A:$A,'[1]Tissue Data'!M:M)</f>
        <v>2.0499999999999998</v>
      </c>
      <c r="K3073" t="s">
        <v>33</v>
      </c>
      <c r="L3073" t="str">
        <f>_xlfn.XLOOKUP(K3073,[2]analyte_order!$B:$B,[2]analyte_order!$C:$C)</f>
        <v>777011-38-8</v>
      </c>
      <c r="M3073">
        <f>_xlfn.XLOOKUP(L3073,[2]analyte_order!$C:$C,[2]analyte_order!$E:$E)</f>
        <v>54</v>
      </c>
      <c r="N3073">
        <v>0.13950000000000001</v>
      </c>
    </row>
    <row r="3074" spans="1:14">
      <c r="A3074" t="s">
        <v>200</v>
      </c>
      <c r="B3074" t="str">
        <f>_xlfn.XLOOKUP(A3074,'[1]Tissue Data'!$A:$A,'[1]Tissue Data'!$C:$C)</f>
        <v>Spill</v>
      </c>
      <c r="C3074" s="2">
        <f>_xlfn.XLOOKUP(A3074,'[1]Tissue Data'!$A:$A,'[1]Tissue Data'!$D:$D)</f>
        <v>44314</v>
      </c>
      <c r="D3074" s="2" t="str">
        <f>_xlfn.XLOOKUP(A3074,'[1]Tissue Data'!$A:$A,'[1]Tissue Data'!$F:$F)</f>
        <v>Swallowtail Shiner</v>
      </c>
      <c r="E3074" t="str">
        <f>_xlfn.XLOOKUP(A3074,'[1]Tissue Data'!$A:$A,'[1]Tissue Data'!$H:$H)</f>
        <v>Notropis</v>
      </c>
      <c r="F3074" t="str">
        <f>_xlfn.XLOOKUP(A3074,'[1]Tissue Data'!$A:$A,'[1]Tissue Data'!$I:$I)</f>
        <v>procne</v>
      </c>
      <c r="G3074" t="str">
        <f>_xlfn.XLOOKUP(A3074,'[1]Tissue Data'!$A:$A,'[1]Tissue Data'!J:J)</f>
        <v>U</v>
      </c>
      <c r="H3074" t="str">
        <f>_xlfn.XLOOKUP(A3074,'[1]Tissue Data'!$A:$A,'[1]Tissue Data'!K:K)</f>
        <v>Whole Body</v>
      </c>
      <c r="I3074">
        <f>_xlfn.XLOOKUP(A3074,'[1]Tissue Data'!$A:$A,'[1]Tissue Data'!L:L)</f>
        <v>5.5</v>
      </c>
      <c r="J3074">
        <f>_xlfn.XLOOKUP(A3074,'[1]Tissue Data'!$A:$A,'[1]Tissue Data'!M:M)</f>
        <v>2.0499999999999998</v>
      </c>
      <c r="K3074" t="s">
        <v>34</v>
      </c>
      <c r="L3074" t="str">
        <f>_xlfn.XLOOKUP(K3074,[2]analyte_order!$B:$B,[2]analyte_order!$C:$C)</f>
        <v>646-83-3</v>
      </c>
      <c r="M3074">
        <f>_xlfn.XLOOKUP(L3074,[2]analyte_order!$C:$C,[2]analyte_order!$E:$E)</f>
        <v>55</v>
      </c>
      <c r="N3074">
        <v>9.1999999999999998E-2</v>
      </c>
    </row>
    <row r="3075" spans="1:14">
      <c r="A3075" t="s">
        <v>200</v>
      </c>
      <c r="B3075" t="str">
        <f>_xlfn.XLOOKUP(A3075,'[1]Tissue Data'!$A:$A,'[1]Tissue Data'!$C:$C)</f>
        <v>Spill</v>
      </c>
      <c r="C3075" s="2">
        <f>_xlfn.XLOOKUP(A3075,'[1]Tissue Data'!$A:$A,'[1]Tissue Data'!$D:$D)</f>
        <v>44314</v>
      </c>
      <c r="D3075" s="2" t="str">
        <f>_xlfn.XLOOKUP(A3075,'[1]Tissue Data'!$A:$A,'[1]Tissue Data'!$F:$F)</f>
        <v>Swallowtail Shiner</v>
      </c>
      <c r="E3075" t="str">
        <f>_xlfn.XLOOKUP(A3075,'[1]Tissue Data'!$A:$A,'[1]Tissue Data'!$H:$H)</f>
        <v>Notropis</v>
      </c>
      <c r="F3075" t="str">
        <f>_xlfn.XLOOKUP(A3075,'[1]Tissue Data'!$A:$A,'[1]Tissue Data'!$I:$I)</f>
        <v>procne</v>
      </c>
      <c r="G3075" t="str">
        <f>_xlfn.XLOOKUP(A3075,'[1]Tissue Data'!$A:$A,'[1]Tissue Data'!J:J)</f>
        <v>U</v>
      </c>
      <c r="H3075" t="str">
        <f>_xlfn.XLOOKUP(A3075,'[1]Tissue Data'!$A:$A,'[1]Tissue Data'!K:K)</f>
        <v>Whole Body</v>
      </c>
      <c r="I3075">
        <f>_xlfn.XLOOKUP(A3075,'[1]Tissue Data'!$A:$A,'[1]Tissue Data'!L:L)</f>
        <v>5.5</v>
      </c>
      <c r="J3075">
        <f>_xlfn.XLOOKUP(A3075,'[1]Tissue Data'!$A:$A,'[1]Tissue Data'!M:M)</f>
        <v>2.0499999999999998</v>
      </c>
      <c r="K3075" t="s">
        <v>35</v>
      </c>
      <c r="L3075" t="str">
        <f>_xlfn.XLOOKUP(K3075,[2]analyte_order!$B:$B,[2]analyte_order!$C:$C)</f>
        <v>30334-69-1</v>
      </c>
      <c r="M3075">
        <f>_xlfn.XLOOKUP(L3075,[2]analyte_order!$C:$C,[2]analyte_order!$E:$E)</f>
        <v>51</v>
      </c>
      <c r="N3075">
        <v>183</v>
      </c>
    </row>
    <row r="3076" spans="1:14">
      <c r="A3076" t="s">
        <v>200</v>
      </c>
      <c r="B3076" t="str">
        <f>_xlfn.XLOOKUP(A3076,'[1]Tissue Data'!$A:$A,'[1]Tissue Data'!$C:$C)</f>
        <v>Spill</v>
      </c>
      <c r="C3076" s="2">
        <f>_xlfn.XLOOKUP(A3076,'[1]Tissue Data'!$A:$A,'[1]Tissue Data'!$D:$D)</f>
        <v>44314</v>
      </c>
      <c r="D3076" s="2" t="str">
        <f>_xlfn.XLOOKUP(A3076,'[1]Tissue Data'!$A:$A,'[1]Tissue Data'!$F:$F)</f>
        <v>Swallowtail Shiner</v>
      </c>
      <c r="E3076" t="str">
        <f>_xlfn.XLOOKUP(A3076,'[1]Tissue Data'!$A:$A,'[1]Tissue Data'!$H:$H)</f>
        <v>Notropis</v>
      </c>
      <c r="F3076" t="str">
        <f>_xlfn.XLOOKUP(A3076,'[1]Tissue Data'!$A:$A,'[1]Tissue Data'!$I:$I)</f>
        <v>procne</v>
      </c>
      <c r="G3076" t="str">
        <f>_xlfn.XLOOKUP(A3076,'[1]Tissue Data'!$A:$A,'[1]Tissue Data'!J:J)</f>
        <v>U</v>
      </c>
      <c r="H3076" t="str">
        <f>_xlfn.XLOOKUP(A3076,'[1]Tissue Data'!$A:$A,'[1]Tissue Data'!K:K)</f>
        <v>Whole Body</v>
      </c>
      <c r="I3076">
        <f>_xlfn.XLOOKUP(A3076,'[1]Tissue Data'!$A:$A,'[1]Tissue Data'!L:L)</f>
        <v>5.5</v>
      </c>
      <c r="J3076">
        <f>_xlfn.XLOOKUP(A3076,'[1]Tissue Data'!$A:$A,'[1]Tissue Data'!M:M)</f>
        <v>2.0499999999999998</v>
      </c>
      <c r="K3076" t="s">
        <v>36</v>
      </c>
      <c r="L3076" t="str">
        <f>_xlfn.XLOOKUP(K3076,[2]analyte_order!$B:$B,[2]analyte_order!$C:$C)</f>
        <v>41997-13-1</v>
      </c>
      <c r="M3076">
        <f>_xlfn.XLOOKUP(L3076,[2]analyte_order!$C:$C,[2]analyte_order!$E:$E)</f>
        <v>52</v>
      </c>
      <c r="N3076">
        <v>718</v>
      </c>
    </row>
    <row r="3077" spans="1:14">
      <c r="A3077" t="s">
        <v>200</v>
      </c>
      <c r="B3077" t="str">
        <f>_xlfn.XLOOKUP(A3077,'[1]Tissue Data'!$A:$A,'[1]Tissue Data'!$C:$C)</f>
        <v>Spill</v>
      </c>
      <c r="C3077" s="2">
        <f>_xlfn.XLOOKUP(A3077,'[1]Tissue Data'!$A:$A,'[1]Tissue Data'!$D:$D)</f>
        <v>44314</v>
      </c>
      <c r="D3077" s="2" t="str">
        <f>_xlfn.XLOOKUP(A3077,'[1]Tissue Data'!$A:$A,'[1]Tissue Data'!$F:$F)</f>
        <v>Swallowtail Shiner</v>
      </c>
      <c r="E3077" t="str">
        <f>_xlfn.XLOOKUP(A3077,'[1]Tissue Data'!$A:$A,'[1]Tissue Data'!$H:$H)</f>
        <v>Notropis</v>
      </c>
      <c r="F3077" t="str">
        <f>_xlfn.XLOOKUP(A3077,'[1]Tissue Data'!$A:$A,'[1]Tissue Data'!$I:$I)</f>
        <v>procne</v>
      </c>
      <c r="G3077" t="str">
        <f>_xlfn.XLOOKUP(A3077,'[1]Tissue Data'!$A:$A,'[1]Tissue Data'!J:J)</f>
        <v>U</v>
      </c>
      <c r="H3077" t="str">
        <f>_xlfn.XLOOKUP(A3077,'[1]Tissue Data'!$A:$A,'[1]Tissue Data'!K:K)</f>
        <v>Whole Body</v>
      </c>
      <c r="I3077">
        <f>_xlfn.XLOOKUP(A3077,'[1]Tissue Data'!$A:$A,'[1]Tissue Data'!L:L)</f>
        <v>5.5</v>
      </c>
      <c r="J3077">
        <f>_xlfn.XLOOKUP(A3077,'[1]Tissue Data'!$A:$A,'[1]Tissue Data'!M:M)</f>
        <v>2.0499999999999998</v>
      </c>
      <c r="K3077" t="s">
        <v>37</v>
      </c>
      <c r="L3077" t="str">
        <f>_xlfn.XLOOKUP(K3077,[2]analyte_order!$B:$B,[2]analyte_order!$C:$C)</f>
        <v>754-91-6</v>
      </c>
      <c r="M3077">
        <f>_xlfn.XLOOKUP(L3077,[2]analyte_order!$C:$C,[2]analyte_order!$E:$E)</f>
        <v>28</v>
      </c>
      <c r="N3077">
        <v>20.100000000000001</v>
      </c>
    </row>
    <row r="3078" spans="1:14">
      <c r="A3078" t="s">
        <v>200</v>
      </c>
      <c r="B3078" t="str">
        <f>_xlfn.XLOOKUP(A3078,'[1]Tissue Data'!$A:$A,'[1]Tissue Data'!$C:$C)</f>
        <v>Spill</v>
      </c>
      <c r="C3078" s="2">
        <f>_xlfn.XLOOKUP(A3078,'[1]Tissue Data'!$A:$A,'[1]Tissue Data'!$D:$D)</f>
        <v>44314</v>
      </c>
      <c r="D3078" s="2" t="str">
        <f>_xlfn.XLOOKUP(A3078,'[1]Tissue Data'!$A:$A,'[1]Tissue Data'!$F:$F)</f>
        <v>Swallowtail Shiner</v>
      </c>
      <c r="E3078" t="str">
        <f>_xlfn.XLOOKUP(A3078,'[1]Tissue Data'!$A:$A,'[1]Tissue Data'!$H:$H)</f>
        <v>Notropis</v>
      </c>
      <c r="F3078" t="str">
        <f>_xlfn.XLOOKUP(A3078,'[1]Tissue Data'!$A:$A,'[1]Tissue Data'!$I:$I)</f>
        <v>procne</v>
      </c>
      <c r="G3078" t="str">
        <f>_xlfn.XLOOKUP(A3078,'[1]Tissue Data'!$A:$A,'[1]Tissue Data'!J:J)</f>
        <v>U</v>
      </c>
      <c r="H3078" t="str">
        <f>_xlfn.XLOOKUP(A3078,'[1]Tissue Data'!$A:$A,'[1]Tissue Data'!K:K)</f>
        <v>Whole Body</v>
      </c>
      <c r="I3078">
        <f>_xlfn.XLOOKUP(A3078,'[1]Tissue Data'!$A:$A,'[1]Tissue Data'!L:L)</f>
        <v>5.5</v>
      </c>
      <c r="J3078">
        <f>_xlfn.XLOOKUP(A3078,'[1]Tissue Data'!$A:$A,'[1]Tissue Data'!M:M)</f>
        <v>2.0499999999999998</v>
      </c>
      <c r="K3078" t="s">
        <v>38</v>
      </c>
      <c r="L3078" t="str">
        <f>_xlfn.XLOOKUP(K3078,[2]analyte_order!$B:$B,[2]analyte_order!$C:$C)</f>
        <v>31506-32-8</v>
      </c>
      <c r="M3078">
        <f>_xlfn.XLOOKUP(L3078,[2]analyte_order!$C:$C,[2]analyte_order!$E:$E)</f>
        <v>30</v>
      </c>
      <c r="N3078">
        <v>5.3499999999999999E-2</v>
      </c>
    </row>
    <row r="3079" spans="1:14">
      <c r="A3079" t="s">
        <v>200</v>
      </c>
      <c r="B3079" t="str">
        <f>_xlfn.XLOOKUP(A3079,'[1]Tissue Data'!$A:$A,'[1]Tissue Data'!$C:$C)</f>
        <v>Spill</v>
      </c>
      <c r="C3079" s="2">
        <f>_xlfn.XLOOKUP(A3079,'[1]Tissue Data'!$A:$A,'[1]Tissue Data'!$D:$D)</f>
        <v>44314</v>
      </c>
      <c r="D3079" s="2" t="str">
        <f>_xlfn.XLOOKUP(A3079,'[1]Tissue Data'!$A:$A,'[1]Tissue Data'!$F:$F)</f>
        <v>Swallowtail Shiner</v>
      </c>
      <c r="E3079" t="str">
        <f>_xlfn.XLOOKUP(A3079,'[1]Tissue Data'!$A:$A,'[1]Tissue Data'!$H:$H)</f>
        <v>Notropis</v>
      </c>
      <c r="F3079" t="str">
        <f>_xlfn.XLOOKUP(A3079,'[1]Tissue Data'!$A:$A,'[1]Tissue Data'!$I:$I)</f>
        <v>procne</v>
      </c>
      <c r="G3079" t="str">
        <f>_xlfn.XLOOKUP(A3079,'[1]Tissue Data'!$A:$A,'[1]Tissue Data'!J:J)</f>
        <v>U</v>
      </c>
      <c r="H3079" t="str">
        <f>_xlfn.XLOOKUP(A3079,'[1]Tissue Data'!$A:$A,'[1]Tissue Data'!K:K)</f>
        <v>Whole Body</v>
      </c>
      <c r="I3079">
        <f>_xlfn.XLOOKUP(A3079,'[1]Tissue Data'!$A:$A,'[1]Tissue Data'!L:L)</f>
        <v>5.5</v>
      </c>
      <c r="J3079">
        <f>_xlfn.XLOOKUP(A3079,'[1]Tissue Data'!$A:$A,'[1]Tissue Data'!M:M)</f>
        <v>2.0499999999999998</v>
      </c>
      <c r="K3079" t="s">
        <v>39</v>
      </c>
      <c r="L3079" t="str">
        <f>_xlfn.XLOOKUP(K3079,[2]analyte_order!$B:$B,[2]analyte_order!$C:$C)</f>
        <v>4151-50-2</v>
      </c>
      <c r="M3079">
        <f>_xlfn.XLOOKUP(L3079,[2]analyte_order!$C:$C,[2]analyte_order!$E:$E)</f>
        <v>31</v>
      </c>
      <c r="N3079">
        <v>8.1000000000000003E-2</v>
      </c>
    </row>
    <row r="3080" spans="1:14">
      <c r="A3080" t="s">
        <v>200</v>
      </c>
      <c r="B3080" t="str">
        <f>_xlfn.XLOOKUP(A3080,'[1]Tissue Data'!$A:$A,'[1]Tissue Data'!$C:$C)</f>
        <v>Spill</v>
      </c>
      <c r="C3080" s="2">
        <f>_xlfn.XLOOKUP(A3080,'[1]Tissue Data'!$A:$A,'[1]Tissue Data'!$D:$D)</f>
        <v>44314</v>
      </c>
      <c r="D3080" s="2" t="str">
        <f>_xlfn.XLOOKUP(A3080,'[1]Tissue Data'!$A:$A,'[1]Tissue Data'!$F:$F)</f>
        <v>Swallowtail Shiner</v>
      </c>
      <c r="E3080" t="str">
        <f>_xlfn.XLOOKUP(A3080,'[1]Tissue Data'!$A:$A,'[1]Tissue Data'!$H:$H)</f>
        <v>Notropis</v>
      </c>
      <c r="F3080" t="str">
        <f>_xlfn.XLOOKUP(A3080,'[1]Tissue Data'!$A:$A,'[1]Tissue Data'!$I:$I)</f>
        <v>procne</v>
      </c>
      <c r="G3080" t="str">
        <f>_xlfn.XLOOKUP(A3080,'[1]Tissue Data'!$A:$A,'[1]Tissue Data'!J:J)</f>
        <v>U</v>
      </c>
      <c r="H3080" t="str">
        <f>_xlfn.XLOOKUP(A3080,'[1]Tissue Data'!$A:$A,'[1]Tissue Data'!K:K)</f>
        <v>Whole Body</v>
      </c>
      <c r="I3080">
        <f>_xlfn.XLOOKUP(A3080,'[1]Tissue Data'!$A:$A,'[1]Tissue Data'!L:L)</f>
        <v>5.5</v>
      </c>
      <c r="J3080">
        <f>_xlfn.XLOOKUP(A3080,'[1]Tissue Data'!$A:$A,'[1]Tissue Data'!M:M)</f>
        <v>2.0499999999999998</v>
      </c>
      <c r="K3080" t="s">
        <v>40</v>
      </c>
      <c r="L3080" t="str">
        <f>_xlfn.XLOOKUP(K3080,[2]analyte_order!$B:$B,[2]analyte_order!$C:$C)</f>
        <v>2806-24-8</v>
      </c>
      <c r="M3080">
        <f>_xlfn.XLOOKUP(L3080,[2]analyte_order!$C:$C,[2]analyte_order!$E:$E)</f>
        <v>29</v>
      </c>
      <c r="N3080">
        <v>5.5E-2</v>
      </c>
    </row>
    <row r="3081" spans="1:14">
      <c r="A3081" t="s">
        <v>200</v>
      </c>
      <c r="B3081" t="str">
        <f>_xlfn.XLOOKUP(A3081,'[1]Tissue Data'!$A:$A,'[1]Tissue Data'!$C:$C)</f>
        <v>Spill</v>
      </c>
      <c r="C3081" s="2">
        <f>_xlfn.XLOOKUP(A3081,'[1]Tissue Data'!$A:$A,'[1]Tissue Data'!$D:$D)</f>
        <v>44314</v>
      </c>
      <c r="D3081" s="2" t="str">
        <f>_xlfn.XLOOKUP(A3081,'[1]Tissue Data'!$A:$A,'[1]Tissue Data'!$F:$F)</f>
        <v>Swallowtail Shiner</v>
      </c>
      <c r="E3081" t="str">
        <f>_xlfn.XLOOKUP(A3081,'[1]Tissue Data'!$A:$A,'[1]Tissue Data'!$H:$H)</f>
        <v>Notropis</v>
      </c>
      <c r="F3081" t="str">
        <f>_xlfn.XLOOKUP(A3081,'[1]Tissue Data'!$A:$A,'[1]Tissue Data'!$I:$I)</f>
        <v>procne</v>
      </c>
      <c r="G3081" t="str">
        <f>_xlfn.XLOOKUP(A3081,'[1]Tissue Data'!$A:$A,'[1]Tissue Data'!J:J)</f>
        <v>U</v>
      </c>
      <c r="H3081" t="str">
        <f>_xlfn.XLOOKUP(A3081,'[1]Tissue Data'!$A:$A,'[1]Tissue Data'!K:K)</f>
        <v>Whole Body</v>
      </c>
      <c r="I3081">
        <f>_xlfn.XLOOKUP(A3081,'[1]Tissue Data'!$A:$A,'[1]Tissue Data'!L:L)</f>
        <v>5.5</v>
      </c>
      <c r="J3081">
        <f>_xlfn.XLOOKUP(A3081,'[1]Tissue Data'!$A:$A,'[1]Tissue Data'!M:M)</f>
        <v>2.0499999999999998</v>
      </c>
      <c r="K3081" t="s">
        <v>41</v>
      </c>
      <c r="L3081" t="str">
        <f>_xlfn.XLOOKUP(K3081,[2]analyte_order!$B:$B,[2]analyte_order!$C:$C)</f>
        <v>2355-31-9</v>
      </c>
      <c r="M3081">
        <f>_xlfn.XLOOKUP(L3081,[2]analyte_order!$C:$C,[2]analyte_order!$E:$E)</f>
        <v>26</v>
      </c>
      <c r="N3081">
        <v>0.68400000000000005</v>
      </c>
    </row>
    <row r="3082" spans="1:14">
      <c r="A3082" t="s">
        <v>200</v>
      </c>
      <c r="B3082" t="str">
        <f>_xlfn.XLOOKUP(A3082,'[1]Tissue Data'!$A:$A,'[1]Tissue Data'!$C:$C)</f>
        <v>Spill</v>
      </c>
      <c r="C3082" s="2">
        <f>_xlfn.XLOOKUP(A3082,'[1]Tissue Data'!$A:$A,'[1]Tissue Data'!$D:$D)</f>
        <v>44314</v>
      </c>
      <c r="D3082" s="2" t="str">
        <f>_xlfn.XLOOKUP(A3082,'[1]Tissue Data'!$A:$A,'[1]Tissue Data'!$F:$F)</f>
        <v>Swallowtail Shiner</v>
      </c>
      <c r="E3082" t="str">
        <f>_xlfn.XLOOKUP(A3082,'[1]Tissue Data'!$A:$A,'[1]Tissue Data'!$H:$H)</f>
        <v>Notropis</v>
      </c>
      <c r="F3082" t="str">
        <f>_xlfn.XLOOKUP(A3082,'[1]Tissue Data'!$A:$A,'[1]Tissue Data'!$I:$I)</f>
        <v>procne</v>
      </c>
      <c r="G3082" t="str">
        <f>_xlfn.XLOOKUP(A3082,'[1]Tissue Data'!$A:$A,'[1]Tissue Data'!J:J)</f>
        <v>U</v>
      </c>
      <c r="H3082" t="str">
        <f>_xlfn.XLOOKUP(A3082,'[1]Tissue Data'!$A:$A,'[1]Tissue Data'!K:K)</f>
        <v>Whole Body</v>
      </c>
      <c r="I3082">
        <f>_xlfn.XLOOKUP(A3082,'[1]Tissue Data'!$A:$A,'[1]Tissue Data'!L:L)</f>
        <v>5.5</v>
      </c>
      <c r="J3082">
        <f>_xlfn.XLOOKUP(A3082,'[1]Tissue Data'!$A:$A,'[1]Tissue Data'!M:M)</f>
        <v>2.0499999999999998</v>
      </c>
      <c r="K3082" t="s">
        <v>42</v>
      </c>
      <c r="L3082" t="str">
        <f>_xlfn.XLOOKUP(K3082,[2]analyte_order!$B:$B,[2]analyte_order!$C:$C)</f>
        <v>2991-50-6</v>
      </c>
      <c r="M3082">
        <f>_xlfn.XLOOKUP(L3082,[2]analyte_order!$C:$C,[2]analyte_order!$E:$E)</f>
        <v>27</v>
      </c>
      <c r="N3082">
        <v>6.0499999999999998E-2</v>
      </c>
    </row>
    <row r="3083" spans="1:14">
      <c r="A3083" t="s">
        <v>200</v>
      </c>
      <c r="B3083" t="str">
        <f>_xlfn.XLOOKUP(A3083,'[1]Tissue Data'!$A:$A,'[1]Tissue Data'!$C:$C)</f>
        <v>Spill</v>
      </c>
      <c r="C3083" s="2">
        <f>_xlfn.XLOOKUP(A3083,'[1]Tissue Data'!$A:$A,'[1]Tissue Data'!$D:$D)</f>
        <v>44314</v>
      </c>
      <c r="D3083" s="2" t="str">
        <f>_xlfn.XLOOKUP(A3083,'[1]Tissue Data'!$A:$A,'[1]Tissue Data'!$F:$F)</f>
        <v>Swallowtail Shiner</v>
      </c>
      <c r="E3083" t="str">
        <f>_xlfn.XLOOKUP(A3083,'[1]Tissue Data'!$A:$A,'[1]Tissue Data'!$H:$H)</f>
        <v>Notropis</v>
      </c>
      <c r="F3083" t="str">
        <f>_xlfn.XLOOKUP(A3083,'[1]Tissue Data'!$A:$A,'[1]Tissue Data'!$I:$I)</f>
        <v>procne</v>
      </c>
      <c r="G3083" t="str">
        <f>_xlfn.XLOOKUP(A3083,'[1]Tissue Data'!$A:$A,'[1]Tissue Data'!J:J)</f>
        <v>U</v>
      </c>
      <c r="H3083" t="str">
        <f>_xlfn.XLOOKUP(A3083,'[1]Tissue Data'!$A:$A,'[1]Tissue Data'!K:K)</f>
        <v>Whole Body</v>
      </c>
      <c r="I3083">
        <f>_xlfn.XLOOKUP(A3083,'[1]Tissue Data'!$A:$A,'[1]Tissue Data'!L:L)</f>
        <v>5.5</v>
      </c>
      <c r="J3083">
        <f>_xlfn.XLOOKUP(A3083,'[1]Tissue Data'!$A:$A,'[1]Tissue Data'!M:M)</f>
        <v>2.0499999999999998</v>
      </c>
      <c r="K3083" t="s">
        <v>43</v>
      </c>
      <c r="L3083" t="str">
        <f>_xlfn.XLOOKUP(K3083,[2]analyte_order!$B:$B,[2]analyte_order!$C:$C)</f>
        <v>757124-72-4</v>
      </c>
      <c r="M3083">
        <f>_xlfn.XLOOKUP(L3083,[2]analyte_order!$C:$C,[2]analyte_order!$E:$E)</f>
        <v>22</v>
      </c>
      <c r="N3083">
        <v>5.7000000000000002E-2</v>
      </c>
    </row>
    <row r="3084" spans="1:14">
      <c r="A3084" t="s">
        <v>200</v>
      </c>
      <c r="B3084" t="str">
        <f>_xlfn.XLOOKUP(A3084,'[1]Tissue Data'!$A:$A,'[1]Tissue Data'!$C:$C)</f>
        <v>Spill</v>
      </c>
      <c r="C3084" s="2">
        <f>_xlfn.XLOOKUP(A3084,'[1]Tissue Data'!$A:$A,'[1]Tissue Data'!$D:$D)</f>
        <v>44314</v>
      </c>
      <c r="D3084" s="2" t="str">
        <f>_xlfn.XLOOKUP(A3084,'[1]Tissue Data'!$A:$A,'[1]Tissue Data'!$F:$F)</f>
        <v>Swallowtail Shiner</v>
      </c>
      <c r="E3084" t="str">
        <f>_xlfn.XLOOKUP(A3084,'[1]Tissue Data'!$A:$A,'[1]Tissue Data'!$H:$H)</f>
        <v>Notropis</v>
      </c>
      <c r="F3084" t="str">
        <f>_xlfn.XLOOKUP(A3084,'[1]Tissue Data'!$A:$A,'[1]Tissue Data'!$I:$I)</f>
        <v>procne</v>
      </c>
      <c r="G3084" t="str">
        <f>_xlfn.XLOOKUP(A3084,'[1]Tissue Data'!$A:$A,'[1]Tissue Data'!J:J)</f>
        <v>U</v>
      </c>
      <c r="H3084" t="str">
        <f>_xlfn.XLOOKUP(A3084,'[1]Tissue Data'!$A:$A,'[1]Tissue Data'!K:K)</f>
        <v>Whole Body</v>
      </c>
      <c r="I3084">
        <f>_xlfn.XLOOKUP(A3084,'[1]Tissue Data'!$A:$A,'[1]Tissue Data'!L:L)</f>
        <v>5.5</v>
      </c>
      <c r="J3084">
        <f>_xlfn.XLOOKUP(A3084,'[1]Tissue Data'!$A:$A,'[1]Tissue Data'!M:M)</f>
        <v>2.0499999999999998</v>
      </c>
      <c r="K3084" t="s">
        <v>44</v>
      </c>
      <c r="L3084" t="str">
        <f>_xlfn.XLOOKUP(K3084,[2]analyte_order!$B:$B,[2]analyte_order!$C:$C)</f>
        <v>27619-97-2</v>
      </c>
      <c r="M3084">
        <f>_xlfn.XLOOKUP(L3084,[2]analyte_order!$C:$C,[2]analyte_order!$E:$E)</f>
        <v>23</v>
      </c>
      <c r="N3084">
        <v>4.1950000000000001E-2</v>
      </c>
    </row>
    <row r="3085" spans="1:14">
      <c r="A3085" t="s">
        <v>200</v>
      </c>
      <c r="B3085" t="str">
        <f>_xlfn.XLOOKUP(A3085,'[1]Tissue Data'!$A:$A,'[1]Tissue Data'!$C:$C)</f>
        <v>Spill</v>
      </c>
      <c r="C3085" s="2">
        <f>_xlfn.XLOOKUP(A3085,'[1]Tissue Data'!$A:$A,'[1]Tissue Data'!$D:$D)</f>
        <v>44314</v>
      </c>
      <c r="D3085" s="2" t="str">
        <f>_xlfn.XLOOKUP(A3085,'[1]Tissue Data'!$A:$A,'[1]Tissue Data'!$F:$F)</f>
        <v>Swallowtail Shiner</v>
      </c>
      <c r="E3085" t="str">
        <f>_xlfn.XLOOKUP(A3085,'[1]Tissue Data'!$A:$A,'[1]Tissue Data'!$H:$H)</f>
        <v>Notropis</v>
      </c>
      <c r="F3085" t="str">
        <f>_xlfn.XLOOKUP(A3085,'[1]Tissue Data'!$A:$A,'[1]Tissue Data'!$I:$I)</f>
        <v>procne</v>
      </c>
      <c r="G3085" t="str">
        <f>_xlfn.XLOOKUP(A3085,'[1]Tissue Data'!$A:$A,'[1]Tissue Data'!J:J)</f>
        <v>U</v>
      </c>
      <c r="H3085" t="str">
        <f>_xlfn.XLOOKUP(A3085,'[1]Tissue Data'!$A:$A,'[1]Tissue Data'!K:K)</f>
        <v>Whole Body</v>
      </c>
      <c r="I3085">
        <f>_xlfn.XLOOKUP(A3085,'[1]Tissue Data'!$A:$A,'[1]Tissue Data'!L:L)</f>
        <v>5.5</v>
      </c>
      <c r="J3085">
        <f>_xlfn.XLOOKUP(A3085,'[1]Tissue Data'!$A:$A,'[1]Tissue Data'!M:M)</f>
        <v>2.0499999999999998</v>
      </c>
      <c r="K3085" t="s">
        <v>45</v>
      </c>
      <c r="L3085" t="str">
        <f>_xlfn.XLOOKUP(K3085,[2]analyte_order!$B:$B,[2]analyte_order!$C:$C)</f>
        <v>39108-34-4</v>
      </c>
      <c r="M3085">
        <f>_xlfn.XLOOKUP(L3085,[2]analyte_order!$C:$C,[2]analyte_order!$E:$E)</f>
        <v>24</v>
      </c>
      <c r="N3085">
        <v>9.6999999999999993</v>
      </c>
    </row>
    <row r="3086" spans="1:14">
      <c r="A3086" t="s">
        <v>200</v>
      </c>
      <c r="B3086" t="str">
        <f>_xlfn.XLOOKUP(A3086,'[1]Tissue Data'!$A:$A,'[1]Tissue Data'!$C:$C)</f>
        <v>Spill</v>
      </c>
      <c r="C3086" s="2">
        <f>_xlfn.XLOOKUP(A3086,'[1]Tissue Data'!$A:$A,'[1]Tissue Data'!$D:$D)</f>
        <v>44314</v>
      </c>
      <c r="D3086" s="2" t="str">
        <f>_xlfn.XLOOKUP(A3086,'[1]Tissue Data'!$A:$A,'[1]Tissue Data'!$F:$F)</f>
        <v>Swallowtail Shiner</v>
      </c>
      <c r="E3086" t="str">
        <f>_xlfn.XLOOKUP(A3086,'[1]Tissue Data'!$A:$A,'[1]Tissue Data'!$H:$H)</f>
        <v>Notropis</v>
      </c>
      <c r="F3086" t="str">
        <f>_xlfn.XLOOKUP(A3086,'[1]Tissue Data'!$A:$A,'[1]Tissue Data'!$I:$I)</f>
        <v>procne</v>
      </c>
      <c r="G3086" t="str">
        <f>_xlfn.XLOOKUP(A3086,'[1]Tissue Data'!$A:$A,'[1]Tissue Data'!J:J)</f>
        <v>U</v>
      </c>
      <c r="H3086" t="str">
        <f>_xlfn.XLOOKUP(A3086,'[1]Tissue Data'!$A:$A,'[1]Tissue Data'!K:K)</f>
        <v>Whole Body</v>
      </c>
      <c r="I3086">
        <f>_xlfn.XLOOKUP(A3086,'[1]Tissue Data'!$A:$A,'[1]Tissue Data'!L:L)</f>
        <v>5.5</v>
      </c>
      <c r="J3086">
        <f>_xlfn.XLOOKUP(A3086,'[1]Tissue Data'!$A:$A,'[1]Tissue Data'!M:M)</f>
        <v>2.0499999999999998</v>
      </c>
      <c r="K3086" t="s">
        <v>46</v>
      </c>
      <c r="L3086" t="str">
        <f>_xlfn.XLOOKUP(K3086,[2]analyte_order!$B:$B,[2]analyte_order!$C:$C)</f>
        <v>120226-60-0</v>
      </c>
      <c r="M3086">
        <f>_xlfn.XLOOKUP(L3086,[2]analyte_order!$C:$C,[2]analyte_order!$E:$E)</f>
        <v>25</v>
      </c>
      <c r="N3086">
        <v>0.26050000000000001</v>
      </c>
    </row>
    <row r="3087" spans="1:14">
      <c r="A3087" t="s">
        <v>200</v>
      </c>
      <c r="B3087" t="str">
        <f>_xlfn.XLOOKUP(A3087,'[1]Tissue Data'!$A:$A,'[1]Tissue Data'!$C:$C)</f>
        <v>Spill</v>
      </c>
      <c r="C3087" s="2">
        <f>_xlfn.XLOOKUP(A3087,'[1]Tissue Data'!$A:$A,'[1]Tissue Data'!$D:$D)</f>
        <v>44314</v>
      </c>
      <c r="D3087" s="2" t="str">
        <f>_xlfn.XLOOKUP(A3087,'[1]Tissue Data'!$A:$A,'[1]Tissue Data'!$F:$F)</f>
        <v>Swallowtail Shiner</v>
      </c>
      <c r="E3087" t="str">
        <f>_xlfn.XLOOKUP(A3087,'[1]Tissue Data'!$A:$A,'[1]Tissue Data'!$H:$H)</f>
        <v>Notropis</v>
      </c>
      <c r="F3087" t="str">
        <f>_xlfn.XLOOKUP(A3087,'[1]Tissue Data'!$A:$A,'[1]Tissue Data'!$I:$I)</f>
        <v>procne</v>
      </c>
      <c r="G3087" t="str">
        <f>_xlfn.XLOOKUP(A3087,'[1]Tissue Data'!$A:$A,'[1]Tissue Data'!J:J)</f>
        <v>U</v>
      </c>
      <c r="H3087" t="str">
        <f>_xlfn.XLOOKUP(A3087,'[1]Tissue Data'!$A:$A,'[1]Tissue Data'!K:K)</f>
        <v>Whole Body</v>
      </c>
      <c r="I3087">
        <f>_xlfn.XLOOKUP(A3087,'[1]Tissue Data'!$A:$A,'[1]Tissue Data'!L:L)</f>
        <v>5.5</v>
      </c>
      <c r="J3087">
        <f>_xlfn.XLOOKUP(A3087,'[1]Tissue Data'!$A:$A,'[1]Tissue Data'!M:M)</f>
        <v>2.0499999999999998</v>
      </c>
      <c r="K3087" t="s">
        <v>47</v>
      </c>
      <c r="L3087" t="str">
        <f>_xlfn.XLOOKUP(K3087,[2]analyte_order!$B:$B,[2]analyte_order!$C:$C)</f>
        <v>356-02-5</v>
      </c>
      <c r="M3087">
        <f>_xlfn.XLOOKUP(L3087,[2]analyte_order!$C:$C,[2]analyte_order!$E:$E)</f>
        <v>38</v>
      </c>
      <c r="N3087">
        <v>0.08</v>
      </c>
    </row>
    <row r="3088" spans="1:14">
      <c r="A3088" t="s">
        <v>200</v>
      </c>
      <c r="B3088" t="str">
        <f>_xlfn.XLOOKUP(A3088,'[1]Tissue Data'!$A:$A,'[1]Tissue Data'!$C:$C)</f>
        <v>Spill</v>
      </c>
      <c r="C3088" s="2">
        <f>_xlfn.XLOOKUP(A3088,'[1]Tissue Data'!$A:$A,'[1]Tissue Data'!$D:$D)</f>
        <v>44314</v>
      </c>
      <c r="D3088" s="2" t="str">
        <f>_xlfn.XLOOKUP(A3088,'[1]Tissue Data'!$A:$A,'[1]Tissue Data'!$F:$F)</f>
        <v>Swallowtail Shiner</v>
      </c>
      <c r="E3088" t="str">
        <f>_xlfn.XLOOKUP(A3088,'[1]Tissue Data'!$A:$A,'[1]Tissue Data'!$H:$H)</f>
        <v>Notropis</v>
      </c>
      <c r="F3088" t="str">
        <f>_xlfn.XLOOKUP(A3088,'[1]Tissue Data'!$A:$A,'[1]Tissue Data'!$I:$I)</f>
        <v>procne</v>
      </c>
      <c r="G3088" t="str">
        <f>_xlfn.XLOOKUP(A3088,'[1]Tissue Data'!$A:$A,'[1]Tissue Data'!J:J)</f>
        <v>U</v>
      </c>
      <c r="H3088" t="str">
        <f>_xlfn.XLOOKUP(A3088,'[1]Tissue Data'!$A:$A,'[1]Tissue Data'!K:K)</f>
        <v>Whole Body</v>
      </c>
      <c r="I3088">
        <f>_xlfn.XLOOKUP(A3088,'[1]Tissue Data'!$A:$A,'[1]Tissue Data'!L:L)</f>
        <v>5.5</v>
      </c>
      <c r="J3088">
        <f>_xlfn.XLOOKUP(A3088,'[1]Tissue Data'!$A:$A,'[1]Tissue Data'!M:M)</f>
        <v>2.0499999999999998</v>
      </c>
      <c r="K3088" t="s">
        <v>48</v>
      </c>
      <c r="L3088" t="str">
        <f>_xlfn.XLOOKUP(K3088,[2]analyte_order!$B:$B,[2]analyte_order!$C:$C)</f>
        <v>914637-49-3</v>
      </c>
      <c r="M3088">
        <f>_xlfn.XLOOKUP(L3088,[2]analyte_order!$C:$C,[2]analyte_order!$E:$E)</f>
        <v>39</v>
      </c>
      <c r="N3088">
        <v>1.95</v>
      </c>
    </row>
    <row r="3089" spans="1:14">
      <c r="A3089" t="s">
        <v>200</v>
      </c>
      <c r="B3089" t="str">
        <f>_xlfn.XLOOKUP(A3089,'[1]Tissue Data'!$A:$A,'[1]Tissue Data'!$C:$C)</f>
        <v>Spill</v>
      </c>
      <c r="C3089" s="2">
        <f>_xlfn.XLOOKUP(A3089,'[1]Tissue Data'!$A:$A,'[1]Tissue Data'!$D:$D)</f>
        <v>44314</v>
      </c>
      <c r="D3089" s="2" t="str">
        <f>_xlfn.XLOOKUP(A3089,'[1]Tissue Data'!$A:$A,'[1]Tissue Data'!$F:$F)</f>
        <v>Swallowtail Shiner</v>
      </c>
      <c r="E3089" t="str">
        <f>_xlfn.XLOOKUP(A3089,'[1]Tissue Data'!$A:$A,'[1]Tissue Data'!$H:$H)</f>
        <v>Notropis</v>
      </c>
      <c r="F3089" t="str">
        <f>_xlfn.XLOOKUP(A3089,'[1]Tissue Data'!$A:$A,'[1]Tissue Data'!$I:$I)</f>
        <v>procne</v>
      </c>
      <c r="G3089" t="str">
        <f>_xlfn.XLOOKUP(A3089,'[1]Tissue Data'!$A:$A,'[1]Tissue Data'!J:J)</f>
        <v>U</v>
      </c>
      <c r="H3089" t="str">
        <f>_xlfn.XLOOKUP(A3089,'[1]Tissue Data'!$A:$A,'[1]Tissue Data'!K:K)</f>
        <v>Whole Body</v>
      </c>
      <c r="I3089">
        <f>_xlfn.XLOOKUP(A3089,'[1]Tissue Data'!$A:$A,'[1]Tissue Data'!L:L)</f>
        <v>5.5</v>
      </c>
      <c r="J3089">
        <f>_xlfn.XLOOKUP(A3089,'[1]Tissue Data'!$A:$A,'[1]Tissue Data'!M:M)</f>
        <v>2.0499999999999998</v>
      </c>
      <c r="K3089" t="s">
        <v>49</v>
      </c>
      <c r="L3089" t="str">
        <f>_xlfn.XLOOKUP(K3089,[2]analyte_order!$B:$B,[2]analyte_order!$C:$C)</f>
        <v>812-70-4</v>
      </c>
      <c r="M3089">
        <f>_xlfn.XLOOKUP(L3089,[2]analyte_order!$C:$C,[2]analyte_order!$E:$E)</f>
        <v>40</v>
      </c>
      <c r="N3089">
        <v>3.91</v>
      </c>
    </row>
    <row r="3090" spans="1:14">
      <c r="A3090" t="s">
        <v>200</v>
      </c>
      <c r="B3090" t="str">
        <f>_xlfn.XLOOKUP(A3090,'[1]Tissue Data'!$A:$A,'[1]Tissue Data'!$C:$C)</f>
        <v>Spill</v>
      </c>
      <c r="C3090" s="2">
        <f>_xlfn.XLOOKUP(A3090,'[1]Tissue Data'!$A:$A,'[1]Tissue Data'!$D:$D)</f>
        <v>44314</v>
      </c>
      <c r="D3090" s="2" t="str">
        <f>_xlfn.XLOOKUP(A3090,'[1]Tissue Data'!$A:$A,'[1]Tissue Data'!$F:$F)</f>
        <v>Swallowtail Shiner</v>
      </c>
      <c r="E3090" t="str">
        <f>_xlfn.XLOOKUP(A3090,'[1]Tissue Data'!$A:$A,'[1]Tissue Data'!$H:$H)</f>
        <v>Notropis</v>
      </c>
      <c r="F3090" t="str">
        <f>_xlfn.XLOOKUP(A3090,'[1]Tissue Data'!$A:$A,'[1]Tissue Data'!$I:$I)</f>
        <v>procne</v>
      </c>
      <c r="G3090" t="str">
        <f>_xlfn.XLOOKUP(A3090,'[1]Tissue Data'!$A:$A,'[1]Tissue Data'!J:J)</f>
        <v>U</v>
      </c>
      <c r="H3090" t="str">
        <f>_xlfn.XLOOKUP(A3090,'[1]Tissue Data'!$A:$A,'[1]Tissue Data'!K:K)</f>
        <v>Whole Body</v>
      </c>
      <c r="I3090">
        <f>_xlfn.XLOOKUP(A3090,'[1]Tissue Data'!$A:$A,'[1]Tissue Data'!L:L)</f>
        <v>5.5</v>
      </c>
      <c r="J3090">
        <f>_xlfn.XLOOKUP(A3090,'[1]Tissue Data'!$A:$A,'[1]Tissue Data'!M:M)</f>
        <v>2.0499999999999998</v>
      </c>
      <c r="K3090" t="s">
        <v>50</v>
      </c>
      <c r="L3090" t="str">
        <f>_xlfn.XLOOKUP(K3090,[2]analyte_order!$B:$B,[2]analyte_order!$C:$C)</f>
        <v>53826-12-3</v>
      </c>
      <c r="M3090">
        <f>_xlfn.XLOOKUP(L3090,[2]analyte_order!$C:$C,[2]analyte_order!$E:$E)</f>
        <v>41</v>
      </c>
      <c r="N3090">
        <v>4.4549999999999999E-2</v>
      </c>
    </row>
    <row r="3091" spans="1:14">
      <c r="A3091" t="s">
        <v>200</v>
      </c>
      <c r="B3091" t="str">
        <f>_xlfn.XLOOKUP(A3091,'[1]Tissue Data'!$A:$A,'[1]Tissue Data'!$C:$C)</f>
        <v>Spill</v>
      </c>
      <c r="C3091" s="2">
        <f>_xlfn.XLOOKUP(A3091,'[1]Tissue Data'!$A:$A,'[1]Tissue Data'!$D:$D)</f>
        <v>44314</v>
      </c>
      <c r="D3091" s="2" t="str">
        <f>_xlfn.XLOOKUP(A3091,'[1]Tissue Data'!$A:$A,'[1]Tissue Data'!$F:$F)</f>
        <v>Swallowtail Shiner</v>
      </c>
      <c r="E3091" t="str">
        <f>_xlfn.XLOOKUP(A3091,'[1]Tissue Data'!$A:$A,'[1]Tissue Data'!$H:$H)</f>
        <v>Notropis</v>
      </c>
      <c r="F3091" t="str">
        <f>_xlfn.XLOOKUP(A3091,'[1]Tissue Data'!$A:$A,'[1]Tissue Data'!$I:$I)</f>
        <v>procne</v>
      </c>
      <c r="G3091" t="str">
        <f>_xlfn.XLOOKUP(A3091,'[1]Tissue Data'!$A:$A,'[1]Tissue Data'!J:J)</f>
        <v>U</v>
      </c>
      <c r="H3091" t="str">
        <f>_xlfn.XLOOKUP(A3091,'[1]Tissue Data'!$A:$A,'[1]Tissue Data'!K:K)</f>
        <v>Whole Body</v>
      </c>
      <c r="I3091">
        <f>_xlfn.XLOOKUP(A3091,'[1]Tissue Data'!$A:$A,'[1]Tissue Data'!L:L)</f>
        <v>5.5</v>
      </c>
      <c r="J3091">
        <f>_xlfn.XLOOKUP(A3091,'[1]Tissue Data'!$A:$A,'[1]Tissue Data'!M:M)</f>
        <v>2.0499999999999998</v>
      </c>
      <c r="K3091" t="s">
        <v>51</v>
      </c>
      <c r="L3091" t="str">
        <f>_xlfn.XLOOKUP(K3091,[2]analyte_order!$B:$B,[2]analyte_order!$C:$C)</f>
        <v>27854-31-5</v>
      </c>
      <c r="M3091">
        <f>_xlfn.XLOOKUP(L3091,[2]analyte_order!$C:$C,[2]analyte_order!$E:$E)</f>
        <v>42</v>
      </c>
      <c r="N3091">
        <v>2.7900000000000001E-2</v>
      </c>
    </row>
    <row r="3092" spans="1:14">
      <c r="A3092" t="s">
        <v>200</v>
      </c>
      <c r="B3092" t="str">
        <f>_xlfn.XLOOKUP(A3092,'[1]Tissue Data'!$A:$A,'[1]Tissue Data'!$C:$C)</f>
        <v>Spill</v>
      </c>
      <c r="C3092" s="2">
        <f>_xlfn.XLOOKUP(A3092,'[1]Tissue Data'!$A:$A,'[1]Tissue Data'!$D:$D)</f>
        <v>44314</v>
      </c>
      <c r="D3092" s="2" t="str">
        <f>_xlfn.XLOOKUP(A3092,'[1]Tissue Data'!$A:$A,'[1]Tissue Data'!$F:$F)</f>
        <v>Swallowtail Shiner</v>
      </c>
      <c r="E3092" t="str">
        <f>_xlfn.XLOOKUP(A3092,'[1]Tissue Data'!$A:$A,'[1]Tissue Data'!$H:$H)</f>
        <v>Notropis</v>
      </c>
      <c r="F3092" t="str">
        <f>_xlfn.XLOOKUP(A3092,'[1]Tissue Data'!$A:$A,'[1]Tissue Data'!$I:$I)</f>
        <v>procne</v>
      </c>
      <c r="G3092" t="str">
        <f>_xlfn.XLOOKUP(A3092,'[1]Tissue Data'!$A:$A,'[1]Tissue Data'!J:J)</f>
        <v>U</v>
      </c>
      <c r="H3092" t="str">
        <f>_xlfn.XLOOKUP(A3092,'[1]Tissue Data'!$A:$A,'[1]Tissue Data'!K:K)</f>
        <v>Whole Body</v>
      </c>
      <c r="I3092">
        <f>_xlfn.XLOOKUP(A3092,'[1]Tissue Data'!$A:$A,'[1]Tissue Data'!L:L)</f>
        <v>5.5</v>
      </c>
      <c r="J3092">
        <f>_xlfn.XLOOKUP(A3092,'[1]Tissue Data'!$A:$A,'[1]Tissue Data'!M:M)</f>
        <v>2.0499999999999998</v>
      </c>
      <c r="K3092" t="s">
        <v>52</v>
      </c>
      <c r="L3092" t="str">
        <f>_xlfn.XLOOKUP(K3092,[2]analyte_order!$B:$B,[2]analyte_order!$C:$C)</f>
        <v>53826-13-4</v>
      </c>
      <c r="M3092">
        <f>_xlfn.XLOOKUP(L3092,[2]analyte_order!$C:$C,[2]analyte_order!$E:$E)</f>
        <v>43</v>
      </c>
      <c r="N3092">
        <v>0.104</v>
      </c>
    </row>
    <row r="3093" spans="1:14">
      <c r="A3093" t="s">
        <v>200</v>
      </c>
      <c r="B3093" t="str">
        <f>_xlfn.XLOOKUP(A3093,'[1]Tissue Data'!$A:$A,'[1]Tissue Data'!$C:$C)</f>
        <v>Spill</v>
      </c>
      <c r="C3093" s="2">
        <f>_xlfn.XLOOKUP(A3093,'[1]Tissue Data'!$A:$A,'[1]Tissue Data'!$D:$D)</f>
        <v>44314</v>
      </c>
      <c r="D3093" s="2" t="str">
        <f>_xlfn.XLOOKUP(A3093,'[1]Tissue Data'!$A:$A,'[1]Tissue Data'!$F:$F)</f>
        <v>Swallowtail Shiner</v>
      </c>
      <c r="E3093" t="str">
        <f>_xlfn.XLOOKUP(A3093,'[1]Tissue Data'!$A:$A,'[1]Tissue Data'!$H:$H)</f>
        <v>Notropis</v>
      </c>
      <c r="F3093" t="str">
        <f>_xlfn.XLOOKUP(A3093,'[1]Tissue Data'!$A:$A,'[1]Tissue Data'!$I:$I)</f>
        <v>procne</v>
      </c>
      <c r="G3093" t="str">
        <f>_xlfn.XLOOKUP(A3093,'[1]Tissue Data'!$A:$A,'[1]Tissue Data'!J:J)</f>
        <v>U</v>
      </c>
      <c r="H3093" t="str">
        <f>_xlfn.XLOOKUP(A3093,'[1]Tissue Data'!$A:$A,'[1]Tissue Data'!K:K)</f>
        <v>Whole Body</v>
      </c>
      <c r="I3093">
        <f>_xlfn.XLOOKUP(A3093,'[1]Tissue Data'!$A:$A,'[1]Tissue Data'!L:L)</f>
        <v>5.5</v>
      </c>
      <c r="J3093">
        <f>_xlfn.XLOOKUP(A3093,'[1]Tissue Data'!$A:$A,'[1]Tissue Data'!M:M)</f>
        <v>2.0499999999999998</v>
      </c>
      <c r="K3093" t="s">
        <v>53</v>
      </c>
      <c r="L3093" t="str">
        <f>_xlfn.XLOOKUP(K3093,[2]analyte_order!$B:$B,[2]analyte_order!$C:$C)</f>
        <v>161094-75-3</v>
      </c>
      <c r="M3093">
        <f>_xlfn.XLOOKUP(L3093,[2]analyte_order!$C:$C,[2]analyte_order!$E:$E)</f>
        <v>44</v>
      </c>
      <c r="N3093">
        <v>5.45E-2</v>
      </c>
    </row>
    <row r="3094" spans="1:14">
      <c r="A3094" t="s">
        <v>200</v>
      </c>
      <c r="B3094" t="str">
        <f>_xlfn.XLOOKUP(A3094,'[1]Tissue Data'!$A:$A,'[1]Tissue Data'!$C:$C)</f>
        <v>Spill</v>
      </c>
      <c r="C3094" s="2">
        <f>_xlfn.XLOOKUP(A3094,'[1]Tissue Data'!$A:$A,'[1]Tissue Data'!$D:$D)</f>
        <v>44314</v>
      </c>
      <c r="D3094" s="2" t="str">
        <f>_xlfn.XLOOKUP(A3094,'[1]Tissue Data'!$A:$A,'[1]Tissue Data'!$F:$F)</f>
        <v>Swallowtail Shiner</v>
      </c>
      <c r="E3094" t="str">
        <f>_xlfn.XLOOKUP(A3094,'[1]Tissue Data'!$A:$A,'[1]Tissue Data'!$H:$H)</f>
        <v>Notropis</v>
      </c>
      <c r="F3094" t="str">
        <f>_xlfn.XLOOKUP(A3094,'[1]Tissue Data'!$A:$A,'[1]Tissue Data'!$I:$I)</f>
        <v>procne</v>
      </c>
      <c r="G3094" t="str">
        <f>_xlfn.XLOOKUP(A3094,'[1]Tissue Data'!$A:$A,'[1]Tissue Data'!J:J)</f>
        <v>U</v>
      </c>
      <c r="H3094" t="str">
        <f>_xlfn.XLOOKUP(A3094,'[1]Tissue Data'!$A:$A,'[1]Tissue Data'!K:K)</f>
        <v>Whole Body</v>
      </c>
      <c r="I3094">
        <f>_xlfn.XLOOKUP(A3094,'[1]Tissue Data'!$A:$A,'[1]Tissue Data'!L:L)</f>
        <v>5.5</v>
      </c>
      <c r="J3094">
        <f>_xlfn.XLOOKUP(A3094,'[1]Tissue Data'!$A:$A,'[1]Tissue Data'!M:M)</f>
        <v>2.0499999999999998</v>
      </c>
      <c r="K3094" t="s">
        <v>54</v>
      </c>
      <c r="L3094" t="str">
        <f>_xlfn.XLOOKUP(K3094,[2]analyte_order!$B:$B,[2]analyte_order!$C:$C)</f>
        <v>70887-84-2</v>
      </c>
      <c r="M3094">
        <f>_xlfn.XLOOKUP(L3094,[2]analyte_order!$C:$C,[2]analyte_order!$E:$E)</f>
        <v>45</v>
      </c>
      <c r="N3094">
        <v>4.1950000000000001E-2</v>
      </c>
    </row>
    <row r="3095" spans="1:14">
      <c r="A3095" t="s">
        <v>200</v>
      </c>
      <c r="B3095" t="str">
        <f>_xlfn.XLOOKUP(A3095,'[1]Tissue Data'!$A:$A,'[1]Tissue Data'!$C:$C)</f>
        <v>Spill</v>
      </c>
      <c r="C3095" s="2">
        <f>_xlfn.XLOOKUP(A3095,'[1]Tissue Data'!$A:$A,'[1]Tissue Data'!$D:$D)</f>
        <v>44314</v>
      </c>
      <c r="D3095" s="2" t="str">
        <f>_xlfn.XLOOKUP(A3095,'[1]Tissue Data'!$A:$A,'[1]Tissue Data'!$F:$F)</f>
        <v>Swallowtail Shiner</v>
      </c>
      <c r="E3095" t="str">
        <f>_xlfn.XLOOKUP(A3095,'[1]Tissue Data'!$A:$A,'[1]Tissue Data'!$H:$H)</f>
        <v>Notropis</v>
      </c>
      <c r="F3095" t="str">
        <f>_xlfn.XLOOKUP(A3095,'[1]Tissue Data'!$A:$A,'[1]Tissue Data'!$I:$I)</f>
        <v>procne</v>
      </c>
      <c r="G3095" t="str">
        <f>_xlfn.XLOOKUP(A3095,'[1]Tissue Data'!$A:$A,'[1]Tissue Data'!J:J)</f>
        <v>U</v>
      </c>
      <c r="H3095" t="str">
        <f>_xlfn.XLOOKUP(A3095,'[1]Tissue Data'!$A:$A,'[1]Tissue Data'!K:K)</f>
        <v>Whole Body</v>
      </c>
      <c r="I3095">
        <f>_xlfn.XLOOKUP(A3095,'[1]Tissue Data'!$A:$A,'[1]Tissue Data'!L:L)</f>
        <v>5.5</v>
      </c>
      <c r="J3095">
        <f>_xlfn.XLOOKUP(A3095,'[1]Tissue Data'!$A:$A,'[1]Tissue Data'!M:M)</f>
        <v>2.0499999999999998</v>
      </c>
      <c r="K3095" t="s">
        <v>55</v>
      </c>
      <c r="L3095" t="str">
        <f>_xlfn.XLOOKUP(K3095,[2]analyte_order!$B:$B,[2]analyte_order!$C:$C)</f>
        <v>919005-14-4</v>
      </c>
      <c r="M3095">
        <f>_xlfn.XLOOKUP(L3095,[2]analyte_order!$C:$C,[2]analyte_order!$E:$E)</f>
        <v>35</v>
      </c>
      <c r="N3095">
        <v>6.9500000000000006E-2</v>
      </c>
    </row>
    <row r="3096" spans="1:14">
      <c r="A3096" t="s">
        <v>200</v>
      </c>
      <c r="B3096" t="str">
        <f>_xlfn.XLOOKUP(A3096,'[1]Tissue Data'!$A:$A,'[1]Tissue Data'!$C:$C)</f>
        <v>Spill</v>
      </c>
      <c r="C3096" s="2">
        <f>_xlfn.XLOOKUP(A3096,'[1]Tissue Data'!$A:$A,'[1]Tissue Data'!$D:$D)</f>
        <v>44314</v>
      </c>
      <c r="D3096" s="2" t="str">
        <f>_xlfn.XLOOKUP(A3096,'[1]Tissue Data'!$A:$A,'[1]Tissue Data'!$F:$F)</f>
        <v>Swallowtail Shiner</v>
      </c>
      <c r="E3096" t="str">
        <f>_xlfn.XLOOKUP(A3096,'[1]Tissue Data'!$A:$A,'[1]Tissue Data'!$H:$H)</f>
        <v>Notropis</v>
      </c>
      <c r="F3096" t="str">
        <f>_xlfn.XLOOKUP(A3096,'[1]Tissue Data'!$A:$A,'[1]Tissue Data'!$I:$I)</f>
        <v>procne</v>
      </c>
      <c r="G3096" t="str">
        <f>_xlfn.XLOOKUP(A3096,'[1]Tissue Data'!$A:$A,'[1]Tissue Data'!J:J)</f>
        <v>U</v>
      </c>
      <c r="H3096" t="str">
        <f>_xlfn.XLOOKUP(A3096,'[1]Tissue Data'!$A:$A,'[1]Tissue Data'!K:K)</f>
        <v>Whole Body</v>
      </c>
      <c r="I3096">
        <f>_xlfn.XLOOKUP(A3096,'[1]Tissue Data'!$A:$A,'[1]Tissue Data'!L:L)</f>
        <v>5.5</v>
      </c>
      <c r="J3096">
        <f>_xlfn.XLOOKUP(A3096,'[1]Tissue Data'!$A:$A,'[1]Tissue Data'!M:M)</f>
        <v>2.0499999999999998</v>
      </c>
      <c r="K3096" t="s">
        <v>56</v>
      </c>
      <c r="L3096" t="str">
        <f>_xlfn.XLOOKUP(K3096,[2]analyte_order!$B:$B,[2]analyte_order!$C:$C)</f>
        <v>756426-58-1</v>
      </c>
      <c r="M3096">
        <f>_xlfn.XLOOKUP(L3096,[2]analyte_order!$C:$C,[2]analyte_order!$E:$E)</f>
        <v>36</v>
      </c>
      <c r="N3096">
        <v>4.8349999999999997E-2</v>
      </c>
    </row>
    <row r="3097" spans="1:14">
      <c r="A3097" t="s">
        <v>200</v>
      </c>
      <c r="B3097" t="str">
        <f>_xlfn.XLOOKUP(A3097,'[1]Tissue Data'!$A:$A,'[1]Tissue Data'!$C:$C)</f>
        <v>Spill</v>
      </c>
      <c r="C3097" s="2">
        <f>_xlfn.XLOOKUP(A3097,'[1]Tissue Data'!$A:$A,'[1]Tissue Data'!$D:$D)</f>
        <v>44314</v>
      </c>
      <c r="D3097" s="2" t="str">
        <f>_xlfn.XLOOKUP(A3097,'[1]Tissue Data'!$A:$A,'[1]Tissue Data'!$F:$F)</f>
        <v>Swallowtail Shiner</v>
      </c>
      <c r="E3097" t="str">
        <f>_xlfn.XLOOKUP(A3097,'[1]Tissue Data'!$A:$A,'[1]Tissue Data'!$H:$H)</f>
        <v>Notropis</v>
      </c>
      <c r="F3097" t="str">
        <f>_xlfn.XLOOKUP(A3097,'[1]Tissue Data'!$A:$A,'[1]Tissue Data'!$I:$I)</f>
        <v>procne</v>
      </c>
      <c r="G3097" t="str">
        <f>_xlfn.XLOOKUP(A3097,'[1]Tissue Data'!$A:$A,'[1]Tissue Data'!J:J)</f>
        <v>U</v>
      </c>
      <c r="H3097" t="str">
        <f>_xlfn.XLOOKUP(A3097,'[1]Tissue Data'!$A:$A,'[1]Tissue Data'!K:K)</f>
        <v>Whole Body</v>
      </c>
      <c r="I3097">
        <f>_xlfn.XLOOKUP(A3097,'[1]Tissue Data'!$A:$A,'[1]Tissue Data'!L:L)</f>
        <v>5.5</v>
      </c>
      <c r="J3097">
        <f>_xlfn.XLOOKUP(A3097,'[1]Tissue Data'!$A:$A,'[1]Tissue Data'!M:M)</f>
        <v>2.0499999999999998</v>
      </c>
      <c r="K3097" t="s">
        <v>57</v>
      </c>
      <c r="L3097" t="str">
        <f>_xlfn.XLOOKUP(K3097,[2]analyte_order!$B:$B,[2]analyte_order!$C:$C)</f>
        <v>763051-92-9</v>
      </c>
      <c r="M3097">
        <f>_xlfn.XLOOKUP(L3097,[2]analyte_order!$C:$C,[2]analyte_order!$E:$E)</f>
        <v>37</v>
      </c>
      <c r="N3097">
        <v>5.5E-2</v>
      </c>
    </row>
    <row r="3098" spans="1:14">
      <c r="A3098" t="s">
        <v>200</v>
      </c>
      <c r="B3098" t="str">
        <f>_xlfn.XLOOKUP(A3098,'[1]Tissue Data'!$A:$A,'[1]Tissue Data'!$C:$C)</f>
        <v>Spill</v>
      </c>
      <c r="C3098" s="2">
        <f>_xlfn.XLOOKUP(A3098,'[1]Tissue Data'!$A:$A,'[1]Tissue Data'!$D:$D)</f>
        <v>44314</v>
      </c>
      <c r="D3098" s="2" t="str">
        <f>_xlfn.XLOOKUP(A3098,'[1]Tissue Data'!$A:$A,'[1]Tissue Data'!$F:$F)</f>
        <v>Swallowtail Shiner</v>
      </c>
      <c r="E3098" t="str">
        <f>_xlfn.XLOOKUP(A3098,'[1]Tissue Data'!$A:$A,'[1]Tissue Data'!$H:$H)</f>
        <v>Notropis</v>
      </c>
      <c r="F3098" t="str">
        <f>_xlfn.XLOOKUP(A3098,'[1]Tissue Data'!$A:$A,'[1]Tissue Data'!$I:$I)</f>
        <v>procne</v>
      </c>
      <c r="G3098" t="str">
        <f>_xlfn.XLOOKUP(A3098,'[1]Tissue Data'!$A:$A,'[1]Tissue Data'!J:J)</f>
        <v>U</v>
      </c>
      <c r="H3098" t="str">
        <f>_xlfn.XLOOKUP(A3098,'[1]Tissue Data'!$A:$A,'[1]Tissue Data'!K:K)</f>
        <v>Whole Body</v>
      </c>
      <c r="I3098">
        <f>_xlfn.XLOOKUP(A3098,'[1]Tissue Data'!$A:$A,'[1]Tissue Data'!L:L)</f>
        <v>5.5</v>
      </c>
      <c r="J3098">
        <f>_xlfn.XLOOKUP(A3098,'[1]Tissue Data'!$A:$A,'[1]Tissue Data'!M:M)</f>
        <v>2.0499999999999998</v>
      </c>
      <c r="K3098" t="s">
        <v>58</v>
      </c>
      <c r="L3098" t="str">
        <f>_xlfn.XLOOKUP(K3098,[2]analyte_order!$B:$B,[2]analyte_order!$C:$C)</f>
        <v>13252-13-6</v>
      </c>
      <c r="M3098">
        <f>_xlfn.XLOOKUP(L3098,[2]analyte_order!$C:$C,[2]analyte_order!$E:$E)</f>
        <v>34</v>
      </c>
      <c r="N3098">
        <v>0.1</v>
      </c>
    </row>
    <row r="3099" spans="1:14">
      <c r="A3099" t="s">
        <v>200</v>
      </c>
      <c r="B3099" t="str">
        <f>_xlfn.XLOOKUP(A3099,'[1]Tissue Data'!$A:$A,'[1]Tissue Data'!$C:$C)</f>
        <v>Spill</v>
      </c>
      <c r="C3099" s="2">
        <f>_xlfn.XLOOKUP(A3099,'[1]Tissue Data'!$A:$A,'[1]Tissue Data'!$D:$D)</f>
        <v>44314</v>
      </c>
      <c r="D3099" s="2" t="str">
        <f>_xlfn.XLOOKUP(A3099,'[1]Tissue Data'!$A:$A,'[1]Tissue Data'!$F:$F)</f>
        <v>Swallowtail Shiner</v>
      </c>
      <c r="E3099" t="str">
        <f>_xlfn.XLOOKUP(A3099,'[1]Tissue Data'!$A:$A,'[1]Tissue Data'!$H:$H)</f>
        <v>Notropis</v>
      </c>
      <c r="F3099" t="str">
        <f>_xlfn.XLOOKUP(A3099,'[1]Tissue Data'!$A:$A,'[1]Tissue Data'!$I:$I)</f>
        <v>procne</v>
      </c>
      <c r="G3099" t="str">
        <f>_xlfn.XLOOKUP(A3099,'[1]Tissue Data'!$A:$A,'[1]Tissue Data'!J:J)</f>
        <v>U</v>
      </c>
      <c r="H3099" t="str">
        <f>_xlfn.XLOOKUP(A3099,'[1]Tissue Data'!$A:$A,'[1]Tissue Data'!K:K)</f>
        <v>Whole Body</v>
      </c>
      <c r="I3099">
        <f>_xlfn.XLOOKUP(A3099,'[1]Tissue Data'!$A:$A,'[1]Tissue Data'!L:L)</f>
        <v>5.5</v>
      </c>
      <c r="J3099">
        <f>_xlfn.XLOOKUP(A3099,'[1]Tissue Data'!$A:$A,'[1]Tissue Data'!M:M)</f>
        <v>2.0499999999999998</v>
      </c>
      <c r="K3099" t="s">
        <v>59</v>
      </c>
      <c r="L3099" t="str">
        <f>_xlfn.XLOOKUP(K3099,[2]analyte_order!$B:$B,[2]analyte_order!$C:$C)</f>
        <v>57677-95-9</v>
      </c>
      <c r="M3099">
        <f>_xlfn.XLOOKUP(L3099,[2]analyte_order!$C:$C,[2]analyte_order!$E:$E)</f>
        <v>46</v>
      </c>
      <c r="N3099">
        <v>7.3999999999999996E-2</v>
      </c>
    </row>
    <row r="3100" spans="1:14">
      <c r="A3100" t="s">
        <v>200</v>
      </c>
      <c r="B3100" t="str">
        <f>_xlfn.XLOOKUP(A3100,'[1]Tissue Data'!$A:$A,'[1]Tissue Data'!$C:$C)</f>
        <v>Spill</v>
      </c>
      <c r="C3100" s="2">
        <f>_xlfn.XLOOKUP(A3100,'[1]Tissue Data'!$A:$A,'[1]Tissue Data'!$D:$D)</f>
        <v>44314</v>
      </c>
      <c r="D3100" s="2" t="str">
        <f>_xlfn.XLOOKUP(A3100,'[1]Tissue Data'!$A:$A,'[1]Tissue Data'!$F:$F)</f>
        <v>Swallowtail Shiner</v>
      </c>
      <c r="E3100" t="str">
        <f>_xlfn.XLOOKUP(A3100,'[1]Tissue Data'!$A:$A,'[1]Tissue Data'!$H:$H)</f>
        <v>Notropis</v>
      </c>
      <c r="F3100" t="str">
        <f>_xlfn.XLOOKUP(A3100,'[1]Tissue Data'!$A:$A,'[1]Tissue Data'!$I:$I)</f>
        <v>procne</v>
      </c>
      <c r="G3100" t="str">
        <f>_xlfn.XLOOKUP(A3100,'[1]Tissue Data'!$A:$A,'[1]Tissue Data'!J:J)</f>
        <v>U</v>
      </c>
      <c r="H3100" t="str">
        <f>_xlfn.XLOOKUP(A3100,'[1]Tissue Data'!$A:$A,'[1]Tissue Data'!K:K)</f>
        <v>Whole Body</v>
      </c>
      <c r="I3100">
        <f>_xlfn.XLOOKUP(A3100,'[1]Tissue Data'!$A:$A,'[1]Tissue Data'!L:L)</f>
        <v>5.5</v>
      </c>
      <c r="J3100">
        <f>_xlfn.XLOOKUP(A3100,'[1]Tissue Data'!$A:$A,'[1]Tissue Data'!M:M)</f>
        <v>2.0499999999999998</v>
      </c>
      <c r="K3100" t="s">
        <v>60</v>
      </c>
      <c r="L3100" t="str">
        <f>_xlfn.XLOOKUP(K3100,[2]analyte_order!$B:$B,[2]analyte_order!$C:$C)</f>
        <v>678-41-1</v>
      </c>
      <c r="M3100">
        <f>_xlfn.XLOOKUP(L3100,[2]analyte_order!$C:$C,[2]analyte_order!$E:$E)</f>
        <v>56</v>
      </c>
      <c r="N3100">
        <v>9.1999999999999998E-2</v>
      </c>
    </row>
    <row r="3101" spans="1:14">
      <c r="A3101" t="s">
        <v>200</v>
      </c>
      <c r="B3101" t="str">
        <f>_xlfn.XLOOKUP(A3101,'[1]Tissue Data'!$A:$A,'[1]Tissue Data'!$C:$C)</f>
        <v>Spill</v>
      </c>
      <c r="C3101" s="2">
        <f>_xlfn.XLOOKUP(A3101,'[1]Tissue Data'!$A:$A,'[1]Tissue Data'!$D:$D)</f>
        <v>44314</v>
      </c>
      <c r="D3101" s="2" t="str">
        <f>_xlfn.XLOOKUP(A3101,'[1]Tissue Data'!$A:$A,'[1]Tissue Data'!$F:$F)</f>
        <v>Swallowtail Shiner</v>
      </c>
      <c r="E3101" t="str">
        <f>_xlfn.XLOOKUP(A3101,'[1]Tissue Data'!$A:$A,'[1]Tissue Data'!$H:$H)</f>
        <v>Notropis</v>
      </c>
      <c r="F3101" t="str">
        <f>_xlfn.XLOOKUP(A3101,'[1]Tissue Data'!$A:$A,'[1]Tissue Data'!$I:$I)</f>
        <v>procne</v>
      </c>
      <c r="G3101" t="str">
        <f>_xlfn.XLOOKUP(A3101,'[1]Tissue Data'!$A:$A,'[1]Tissue Data'!J:J)</f>
        <v>U</v>
      </c>
      <c r="H3101" t="str">
        <f>_xlfn.XLOOKUP(A3101,'[1]Tissue Data'!$A:$A,'[1]Tissue Data'!K:K)</f>
        <v>Whole Body</v>
      </c>
      <c r="I3101">
        <f>_xlfn.XLOOKUP(A3101,'[1]Tissue Data'!$A:$A,'[1]Tissue Data'!L:L)</f>
        <v>5.5</v>
      </c>
      <c r="J3101">
        <f>_xlfn.XLOOKUP(A3101,'[1]Tissue Data'!$A:$A,'[1]Tissue Data'!M:M)</f>
        <v>2.0499999999999998</v>
      </c>
      <c r="K3101" t="s">
        <v>61</v>
      </c>
      <c r="L3101" t="str">
        <f>_xlfn.XLOOKUP(K3101,[2]analyte_order!$B:$B,[2]analyte_order!$C:$C)</f>
        <v>2965-52-8</v>
      </c>
      <c r="M3101">
        <f>_xlfn.XLOOKUP(L3101,[2]analyte_order!$C:$C,[2]analyte_order!$E:$E)</f>
        <v>57</v>
      </c>
      <c r="N3101">
        <v>0.1225</v>
      </c>
    </row>
    <row r="3102" spans="1:14">
      <c r="A3102" t="s">
        <v>125</v>
      </c>
      <c r="B3102" t="str">
        <f>_xlfn.XLOOKUP(A3102,'[1]Tissue Data'!$A:$A,'[1]Tissue Data'!$C:$C)</f>
        <v>Spill</v>
      </c>
      <c r="C3102" s="2">
        <f>_xlfn.XLOOKUP(A3102,'[1]Tissue Data'!$A:$A,'[1]Tissue Data'!$D:$D)</f>
        <v>44314</v>
      </c>
      <c r="D3102" s="2" t="s">
        <v>122</v>
      </c>
      <c r="E3102" t="str">
        <f>_xlfn.XLOOKUP(A3102,'[1]Tissue Data'!$A:$A,'[1]Tissue Data'!$H:$H)</f>
        <v>Etheostoma</v>
      </c>
      <c r="F3102" t="str">
        <f>_xlfn.XLOOKUP(A3102,'[1]Tissue Data'!$A:$A,'[1]Tissue Data'!$I:$I)</f>
        <v>fusiforme</v>
      </c>
      <c r="G3102" t="str">
        <f>_xlfn.XLOOKUP(A3102,'[1]Tissue Data'!$A:$A,'[1]Tissue Data'!J:J)</f>
        <v>U</v>
      </c>
      <c r="H3102" t="str">
        <f>_xlfn.XLOOKUP(A3102,'[1]Tissue Data'!$A:$A,'[1]Tissue Data'!K:K)</f>
        <v>Whole Body</v>
      </c>
      <c r="I3102">
        <f>_xlfn.XLOOKUP(A3102,'[1]Tissue Data'!$A:$A,'[1]Tissue Data'!L:L)</f>
        <v>8</v>
      </c>
      <c r="J3102">
        <f>_xlfn.XLOOKUP(A3102,'[1]Tissue Data'!$A:$A,'[1]Tissue Data'!M:M)</f>
        <v>5.25</v>
      </c>
      <c r="K3102" t="s">
        <v>12</v>
      </c>
      <c r="L3102" t="str">
        <f>_xlfn.XLOOKUP(K3102,[2]analyte_order!$B:$B,[2]analyte_order!$C:$C)</f>
        <v>375-22-4</v>
      </c>
      <c r="M3102">
        <f>_xlfn.XLOOKUP(L3102,[2]analyte_order!$C:$C,[2]analyte_order!$E:$E)</f>
        <v>1</v>
      </c>
      <c r="N3102">
        <v>2.8199999999999999E-2</v>
      </c>
    </row>
    <row r="3103" spans="1:14">
      <c r="A3103" t="s">
        <v>125</v>
      </c>
      <c r="B3103" t="str">
        <f>_xlfn.XLOOKUP(A3103,'[1]Tissue Data'!$A:$A,'[1]Tissue Data'!$C:$C)</f>
        <v>Spill</v>
      </c>
      <c r="C3103" s="2">
        <f>_xlfn.XLOOKUP(A3103,'[1]Tissue Data'!$A:$A,'[1]Tissue Data'!$D:$D)</f>
        <v>44314</v>
      </c>
      <c r="D3103" s="2" t="s">
        <v>122</v>
      </c>
      <c r="E3103" t="str">
        <f>_xlfn.XLOOKUP(A3103,'[1]Tissue Data'!$A:$A,'[1]Tissue Data'!$H:$H)</f>
        <v>Etheostoma</v>
      </c>
      <c r="F3103" t="str">
        <f>_xlfn.XLOOKUP(A3103,'[1]Tissue Data'!$A:$A,'[1]Tissue Data'!$I:$I)</f>
        <v>fusiforme</v>
      </c>
      <c r="G3103" t="str">
        <f>_xlfn.XLOOKUP(A3103,'[1]Tissue Data'!$A:$A,'[1]Tissue Data'!J:J)</f>
        <v>U</v>
      </c>
      <c r="H3103" t="str">
        <f>_xlfn.XLOOKUP(A3103,'[1]Tissue Data'!$A:$A,'[1]Tissue Data'!K:K)</f>
        <v>Whole Body</v>
      </c>
      <c r="I3103">
        <f>_xlfn.XLOOKUP(A3103,'[1]Tissue Data'!$A:$A,'[1]Tissue Data'!L:L)</f>
        <v>8</v>
      </c>
      <c r="J3103">
        <f>_xlfn.XLOOKUP(A3103,'[1]Tissue Data'!$A:$A,'[1]Tissue Data'!M:M)</f>
        <v>5.25</v>
      </c>
      <c r="K3103" t="s">
        <v>13</v>
      </c>
      <c r="L3103" t="str">
        <f>_xlfn.XLOOKUP(K3103,[2]analyte_order!$B:$B,[2]analyte_order!$C:$C)</f>
        <v>2706-90-3</v>
      </c>
      <c r="M3103">
        <f>_xlfn.XLOOKUP(L3103,[2]analyte_order!$C:$C,[2]analyte_order!$E:$E)</f>
        <v>2</v>
      </c>
      <c r="N3103">
        <v>4.9700000000000001E-2</v>
      </c>
    </row>
    <row r="3104" spans="1:14">
      <c r="A3104" t="s">
        <v>125</v>
      </c>
      <c r="B3104" t="str">
        <f>_xlfn.XLOOKUP(A3104,'[1]Tissue Data'!$A:$A,'[1]Tissue Data'!$C:$C)</f>
        <v>Spill</v>
      </c>
      <c r="C3104" s="2">
        <f>_xlfn.XLOOKUP(A3104,'[1]Tissue Data'!$A:$A,'[1]Tissue Data'!$D:$D)</f>
        <v>44314</v>
      </c>
      <c r="D3104" s="2" t="s">
        <v>122</v>
      </c>
      <c r="E3104" t="str">
        <f>_xlfn.XLOOKUP(A3104,'[1]Tissue Data'!$A:$A,'[1]Tissue Data'!$H:$H)</f>
        <v>Etheostoma</v>
      </c>
      <c r="F3104" t="str">
        <f>_xlfn.XLOOKUP(A3104,'[1]Tissue Data'!$A:$A,'[1]Tissue Data'!$I:$I)</f>
        <v>fusiforme</v>
      </c>
      <c r="G3104" t="str">
        <f>_xlfn.XLOOKUP(A3104,'[1]Tissue Data'!$A:$A,'[1]Tissue Data'!J:J)</f>
        <v>U</v>
      </c>
      <c r="H3104" t="str">
        <f>_xlfn.XLOOKUP(A3104,'[1]Tissue Data'!$A:$A,'[1]Tissue Data'!K:K)</f>
        <v>Whole Body</v>
      </c>
      <c r="I3104">
        <f>_xlfn.XLOOKUP(A3104,'[1]Tissue Data'!$A:$A,'[1]Tissue Data'!L:L)</f>
        <v>8</v>
      </c>
      <c r="J3104">
        <f>_xlfn.XLOOKUP(A3104,'[1]Tissue Data'!$A:$A,'[1]Tissue Data'!M:M)</f>
        <v>5.25</v>
      </c>
      <c r="K3104" t="s">
        <v>14</v>
      </c>
      <c r="L3104" t="str">
        <f>_xlfn.XLOOKUP(K3104,[2]analyte_order!$B:$B,[2]analyte_order!$C:$C)</f>
        <v>307-24-4</v>
      </c>
      <c r="M3104">
        <f>_xlfn.XLOOKUP(L3104,[2]analyte_order!$C:$C,[2]analyte_order!$E:$E)</f>
        <v>3</v>
      </c>
      <c r="N3104">
        <v>0.1255</v>
      </c>
    </row>
    <row r="3105" spans="1:14">
      <c r="A3105" t="s">
        <v>125</v>
      </c>
      <c r="B3105" t="str">
        <f>_xlfn.XLOOKUP(A3105,'[1]Tissue Data'!$A:$A,'[1]Tissue Data'!$C:$C)</f>
        <v>Spill</v>
      </c>
      <c r="C3105" s="2">
        <f>_xlfn.XLOOKUP(A3105,'[1]Tissue Data'!$A:$A,'[1]Tissue Data'!$D:$D)</f>
        <v>44314</v>
      </c>
      <c r="D3105" s="2" t="s">
        <v>122</v>
      </c>
      <c r="E3105" t="str">
        <f>_xlfn.XLOOKUP(A3105,'[1]Tissue Data'!$A:$A,'[1]Tissue Data'!$H:$H)</f>
        <v>Etheostoma</v>
      </c>
      <c r="F3105" t="str">
        <f>_xlfn.XLOOKUP(A3105,'[1]Tissue Data'!$A:$A,'[1]Tissue Data'!$I:$I)</f>
        <v>fusiforme</v>
      </c>
      <c r="G3105" t="str">
        <f>_xlfn.XLOOKUP(A3105,'[1]Tissue Data'!$A:$A,'[1]Tissue Data'!J:J)</f>
        <v>U</v>
      </c>
      <c r="H3105" t="str">
        <f>_xlfn.XLOOKUP(A3105,'[1]Tissue Data'!$A:$A,'[1]Tissue Data'!K:K)</f>
        <v>Whole Body</v>
      </c>
      <c r="I3105">
        <f>_xlfn.XLOOKUP(A3105,'[1]Tissue Data'!$A:$A,'[1]Tissue Data'!L:L)</f>
        <v>8</v>
      </c>
      <c r="J3105">
        <f>_xlfn.XLOOKUP(A3105,'[1]Tissue Data'!$A:$A,'[1]Tissue Data'!M:M)</f>
        <v>5.25</v>
      </c>
      <c r="K3105" t="s">
        <v>15</v>
      </c>
      <c r="L3105" t="str">
        <f>_xlfn.XLOOKUP(K3105,[2]analyte_order!$B:$B,[2]analyte_order!$C:$C)</f>
        <v>375-85-9</v>
      </c>
      <c r="M3105">
        <f>_xlfn.XLOOKUP(L3105,[2]analyte_order!$C:$C,[2]analyte_order!$E:$E)</f>
        <v>4</v>
      </c>
      <c r="N3105">
        <v>2.8199999999999999E-2</v>
      </c>
    </row>
    <row r="3106" spans="1:14">
      <c r="A3106" t="s">
        <v>125</v>
      </c>
      <c r="B3106" t="str">
        <f>_xlfn.XLOOKUP(A3106,'[1]Tissue Data'!$A:$A,'[1]Tissue Data'!$C:$C)</f>
        <v>Spill</v>
      </c>
      <c r="C3106" s="2">
        <f>_xlfn.XLOOKUP(A3106,'[1]Tissue Data'!$A:$A,'[1]Tissue Data'!$D:$D)</f>
        <v>44314</v>
      </c>
      <c r="D3106" s="2" t="s">
        <v>122</v>
      </c>
      <c r="E3106" t="str">
        <f>_xlfn.XLOOKUP(A3106,'[1]Tissue Data'!$A:$A,'[1]Tissue Data'!$H:$H)</f>
        <v>Etheostoma</v>
      </c>
      <c r="F3106" t="str">
        <f>_xlfn.XLOOKUP(A3106,'[1]Tissue Data'!$A:$A,'[1]Tissue Data'!$I:$I)</f>
        <v>fusiforme</v>
      </c>
      <c r="G3106" t="str">
        <f>_xlfn.XLOOKUP(A3106,'[1]Tissue Data'!$A:$A,'[1]Tissue Data'!J:J)</f>
        <v>U</v>
      </c>
      <c r="H3106" t="str">
        <f>_xlfn.XLOOKUP(A3106,'[1]Tissue Data'!$A:$A,'[1]Tissue Data'!K:K)</f>
        <v>Whole Body</v>
      </c>
      <c r="I3106">
        <f>_xlfn.XLOOKUP(A3106,'[1]Tissue Data'!$A:$A,'[1]Tissue Data'!L:L)</f>
        <v>8</v>
      </c>
      <c r="J3106">
        <f>_xlfn.XLOOKUP(A3106,'[1]Tissue Data'!$A:$A,'[1]Tissue Data'!M:M)</f>
        <v>5.25</v>
      </c>
      <c r="K3106" t="s">
        <v>16</v>
      </c>
      <c r="L3106" t="str">
        <f>_xlfn.XLOOKUP(K3106,[2]analyte_order!$B:$B,[2]analyte_order!$C:$C)</f>
        <v>335-67-1</v>
      </c>
      <c r="M3106">
        <f>_xlfn.XLOOKUP(L3106,[2]analyte_order!$C:$C,[2]analyte_order!$E:$E)</f>
        <v>5</v>
      </c>
      <c r="N3106">
        <v>0.65</v>
      </c>
    </row>
    <row r="3107" spans="1:14">
      <c r="A3107" t="s">
        <v>125</v>
      </c>
      <c r="B3107" t="str">
        <f>_xlfn.XLOOKUP(A3107,'[1]Tissue Data'!$A:$A,'[1]Tissue Data'!$C:$C)</f>
        <v>Spill</v>
      </c>
      <c r="C3107" s="2">
        <f>_xlfn.XLOOKUP(A3107,'[1]Tissue Data'!$A:$A,'[1]Tissue Data'!$D:$D)</f>
        <v>44314</v>
      </c>
      <c r="D3107" s="2" t="s">
        <v>122</v>
      </c>
      <c r="E3107" t="str">
        <f>_xlfn.XLOOKUP(A3107,'[1]Tissue Data'!$A:$A,'[1]Tissue Data'!$H:$H)</f>
        <v>Etheostoma</v>
      </c>
      <c r="F3107" t="str">
        <f>_xlfn.XLOOKUP(A3107,'[1]Tissue Data'!$A:$A,'[1]Tissue Data'!$I:$I)</f>
        <v>fusiforme</v>
      </c>
      <c r="G3107" t="str">
        <f>_xlfn.XLOOKUP(A3107,'[1]Tissue Data'!$A:$A,'[1]Tissue Data'!J:J)</f>
        <v>U</v>
      </c>
      <c r="H3107" t="str">
        <f>_xlfn.XLOOKUP(A3107,'[1]Tissue Data'!$A:$A,'[1]Tissue Data'!K:K)</f>
        <v>Whole Body</v>
      </c>
      <c r="I3107">
        <f>_xlfn.XLOOKUP(A3107,'[1]Tissue Data'!$A:$A,'[1]Tissue Data'!L:L)</f>
        <v>8</v>
      </c>
      <c r="J3107">
        <f>_xlfn.XLOOKUP(A3107,'[1]Tissue Data'!$A:$A,'[1]Tissue Data'!M:M)</f>
        <v>5.25</v>
      </c>
      <c r="K3107" t="s">
        <v>17</v>
      </c>
      <c r="L3107" t="str">
        <f>_xlfn.XLOOKUP(K3107,[2]analyte_order!$B:$B,[2]analyte_order!$C:$C)</f>
        <v>375-95-1</v>
      </c>
      <c r="M3107">
        <f>_xlfn.XLOOKUP(L3107,[2]analyte_order!$C:$C,[2]analyte_order!$E:$E)</f>
        <v>6</v>
      </c>
      <c r="N3107">
        <v>0.67200000000000004</v>
      </c>
    </row>
    <row r="3108" spans="1:14">
      <c r="A3108" t="s">
        <v>125</v>
      </c>
      <c r="B3108" t="str">
        <f>_xlfn.XLOOKUP(A3108,'[1]Tissue Data'!$A:$A,'[1]Tissue Data'!$C:$C)</f>
        <v>Spill</v>
      </c>
      <c r="C3108" s="2">
        <f>_xlfn.XLOOKUP(A3108,'[1]Tissue Data'!$A:$A,'[1]Tissue Data'!$D:$D)</f>
        <v>44314</v>
      </c>
      <c r="D3108" s="2" t="s">
        <v>122</v>
      </c>
      <c r="E3108" t="str">
        <f>_xlfn.XLOOKUP(A3108,'[1]Tissue Data'!$A:$A,'[1]Tissue Data'!$H:$H)</f>
        <v>Etheostoma</v>
      </c>
      <c r="F3108" t="str">
        <f>_xlfn.XLOOKUP(A3108,'[1]Tissue Data'!$A:$A,'[1]Tissue Data'!$I:$I)</f>
        <v>fusiforme</v>
      </c>
      <c r="G3108" t="str">
        <f>_xlfn.XLOOKUP(A3108,'[1]Tissue Data'!$A:$A,'[1]Tissue Data'!J:J)</f>
        <v>U</v>
      </c>
      <c r="H3108" t="str">
        <f>_xlfn.XLOOKUP(A3108,'[1]Tissue Data'!$A:$A,'[1]Tissue Data'!K:K)</f>
        <v>Whole Body</v>
      </c>
      <c r="I3108">
        <f>_xlfn.XLOOKUP(A3108,'[1]Tissue Data'!$A:$A,'[1]Tissue Data'!L:L)</f>
        <v>8</v>
      </c>
      <c r="J3108">
        <f>_xlfn.XLOOKUP(A3108,'[1]Tissue Data'!$A:$A,'[1]Tissue Data'!M:M)</f>
        <v>5.25</v>
      </c>
      <c r="K3108" t="s">
        <v>18</v>
      </c>
      <c r="L3108" t="str">
        <f>_xlfn.XLOOKUP(K3108,[2]analyte_order!$B:$B,[2]analyte_order!$C:$C)</f>
        <v>335-76-2</v>
      </c>
      <c r="M3108">
        <f>_xlfn.XLOOKUP(L3108,[2]analyte_order!$C:$C,[2]analyte_order!$E:$E)</f>
        <v>7</v>
      </c>
      <c r="N3108">
        <v>6.92</v>
      </c>
    </row>
    <row r="3109" spans="1:14">
      <c r="A3109" t="s">
        <v>125</v>
      </c>
      <c r="B3109" t="str">
        <f>_xlfn.XLOOKUP(A3109,'[1]Tissue Data'!$A:$A,'[1]Tissue Data'!$C:$C)</f>
        <v>Spill</v>
      </c>
      <c r="C3109" s="2">
        <f>_xlfn.XLOOKUP(A3109,'[1]Tissue Data'!$A:$A,'[1]Tissue Data'!$D:$D)</f>
        <v>44314</v>
      </c>
      <c r="D3109" s="2" t="s">
        <v>122</v>
      </c>
      <c r="E3109" t="str">
        <f>_xlfn.XLOOKUP(A3109,'[1]Tissue Data'!$A:$A,'[1]Tissue Data'!$H:$H)</f>
        <v>Etheostoma</v>
      </c>
      <c r="F3109" t="str">
        <f>_xlfn.XLOOKUP(A3109,'[1]Tissue Data'!$A:$A,'[1]Tissue Data'!$I:$I)</f>
        <v>fusiforme</v>
      </c>
      <c r="G3109" t="str">
        <f>_xlfn.XLOOKUP(A3109,'[1]Tissue Data'!$A:$A,'[1]Tissue Data'!J:J)</f>
        <v>U</v>
      </c>
      <c r="H3109" t="str">
        <f>_xlfn.XLOOKUP(A3109,'[1]Tissue Data'!$A:$A,'[1]Tissue Data'!K:K)</f>
        <v>Whole Body</v>
      </c>
      <c r="I3109">
        <f>_xlfn.XLOOKUP(A3109,'[1]Tissue Data'!$A:$A,'[1]Tissue Data'!L:L)</f>
        <v>8</v>
      </c>
      <c r="J3109">
        <f>_xlfn.XLOOKUP(A3109,'[1]Tissue Data'!$A:$A,'[1]Tissue Data'!M:M)</f>
        <v>5.25</v>
      </c>
      <c r="K3109" t="s">
        <v>19</v>
      </c>
      <c r="L3109" t="str">
        <f>_xlfn.XLOOKUP(K3109,[2]analyte_order!$B:$B,[2]analyte_order!$C:$C)</f>
        <v>2058-94-8</v>
      </c>
      <c r="M3109">
        <f>_xlfn.XLOOKUP(L3109,[2]analyte_order!$C:$C,[2]analyte_order!$E:$E)</f>
        <v>8</v>
      </c>
      <c r="N3109">
        <v>7.31</v>
      </c>
    </row>
    <row r="3110" spans="1:14">
      <c r="A3110" t="s">
        <v>125</v>
      </c>
      <c r="B3110" t="str">
        <f>_xlfn.XLOOKUP(A3110,'[1]Tissue Data'!$A:$A,'[1]Tissue Data'!$C:$C)</f>
        <v>Spill</v>
      </c>
      <c r="C3110" s="2">
        <f>_xlfn.XLOOKUP(A3110,'[1]Tissue Data'!$A:$A,'[1]Tissue Data'!$D:$D)</f>
        <v>44314</v>
      </c>
      <c r="D3110" s="2" t="s">
        <v>122</v>
      </c>
      <c r="E3110" t="str">
        <f>_xlfn.XLOOKUP(A3110,'[1]Tissue Data'!$A:$A,'[1]Tissue Data'!$H:$H)</f>
        <v>Etheostoma</v>
      </c>
      <c r="F3110" t="str">
        <f>_xlfn.XLOOKUP(A3110,'[1]Tissue Data'!$A:$A,'[1]Tissue Data'!$I:$I)</f>
        <v>fusiforme</v>
      </c>
      <c r="G3110" t="str">
        <f>_xlfn.XLOOKUP(A3110,'[1]Tissue Data'!$A:$A,'[1]Tissue Data'!J:J)</f>
        <v>U</v>
      </c>
      <c r="H3110" t="str">
        <f>_xlfn.XLOOKUP(A3110,'[1]Tissue Data'!$A:$A,'[1]Tissue Data'!K:K)</f>
        <v>Whole Body</v>
      </c>
      <c r="I3110">
        <f>_xlfn.XLOOKUP(A3110,'[1]Tissue Data'!$A:$A,'[1]Tissue Data'!L:L)</f>
        <v>8</v>
      </c>
      <c r="J3110">
        <f>_xlfn.XLOOKUP(A3110,'[1]Tissue Data'!$A:$A,'[1]Tissue Data'!M:M)</f>
        <v>5.25</v>
      </c>
      <c r="K3110" t="s">
        <v>20</v>
      </c>
      <c r="L3110" t="str">
        <f>_xlfn.XLOOKUP(K3110,[2]analyte_order!$B:$B,[2]analyte_order!$C:$C)</f>
        <v>307-55-1</v>
      </c>
      <c r="M3110">
        <f>_xlfn.XLOOKUP(L3110,[2]analyte_order!$C:$C,[2]analyte_order!$E:$E)</f>
        <v>9</v>
      </c>
      <c r="N3110">
        <v>10.7</v>
      </c>
    </row>
    <row r="3111" spans="1:14">
      <c r="A3111" t="s">
        <v>125</v>
      </c>
      <c r="B3111" t="str">
        <f>_xlfn.XLOOKUP(A3111,'[1]Tissue Data'!$A:$A,'[1]Tissue Data'!$C:$C)</f>
        <v>Spill</v>
      </c>
      <c r="C3111" s="2">
        <f>_xlfn.XLOOKUP(A3111,'[1]Tissue Data'!$A:$A,'[1]Tissue Data'!$D:$D)</f>
        <v>44314</v>
      </c>
      <c r="D3111" s="2" t="s">
        <v>122</v>
      </c>
      <c r="E3111" t="str">
        <f>_xlfn.XLOOKUP(A3111,'[1]Tissue Data'!$A:$A,'[1]Tissue Data'!$H:$H)</f>
        <v>Etheostoma</v>
      </c>
      <c r="F3111" t="str">
        <f>_xlfn.XLOOKUP(A3111,'[1]Tissue Data'!$A:$A,'[1]Tissue Data'!$I:$I)</f>
        <v>fusiforme</v>
      </c>
      <c r="G3111" t="str">
        <f>_xlfn.XLOOKUP(A3111,'[1]Tissue Data'!$A:$A,'[1]Tissue Data'!J:J)</f>
        <v>U</v>
      </c>
      <c r="H3111" t="str">
        <f>_xlfn.XLOOKUP(A3111,'[1]Tissue Data'!$A:$A,'[1]Tissue Data'!K:K)</f>
        <v>Whole Body</v>
      </c>
      <c r="I3111">
        <f>_xlfn.XLOOKUP(A3111,'[1]Tissue Data'!$A:$A,'[1]Tissue Data'!L:L)</f>
        <v>8</v>
      </c>
      <c r="J3111">
        <f>_xlfn.XLOOKUP(A3111,'[1]Tissue Data'!$A:$A,'[1]Tissue Data'!M:M)</f>
        <v>5.25</v>
      </c>
      <c r="K3111" t="s">
        <v>21</v>
      </c>
      <c r="L3111" t="str">
        <f>_xlfn.XLOOKUP(K3111,[2]analyte_order!$B:$B,[2]analyte_order!$C:$C)</f>
        <v>72629-94-8</v>
      </c>
      <c r="M3111">
        <f>_xlfn.XLOOKUP(L3111,[2]analyte_order!$C:$C,[2]analyte_order!$E:$E)</f>
        <v>10</v>
      </c>
      <c r="N3111">
        <v>4.09</v>
      </c>
    </row>
    <row r="3112" spans="1:14">
      <c r="A3112" t="s">
        <v>125</v>
      </c>
      <c r="B3112" t="str">
        <f>_xlfn.XLOOKUP(A3112,'[1]Tissue Data'!$A:$A,'[1]Tissue Data'!$C:$C)</f>
        <v>Spill</v>
      </c>
      <c r="C3112" s="2">
        <f>_xlfn.XLOOKUP(A3112,'[1]Tissue Data'!$A:$A,'[1]Tissue Data'!$D:$D)</f>
        <v>44314</v>
      </c>
      <c r="D3112" s="2" t="s">
        <v>122</v>
      </c>
      <c r="E3112" t="str">
        <f>_xlfn.XLOOKUP(A3112,'[1]Tissue Data'!$A:$A,'[1]Tissue Data'!$H:$H)</f>
        <v>Etheostoma</v>
      </c>
      <c r="F3112" t="str">
        <f>_xlfn.XLOOKUP(A3112,'[1]Tissue Data'!$A:$A,'[1]Tissue Data'!$I:$I)</f>
        <v>fusiforme</v>
      </c>
      <c r="G3112" t="str">
        <f>_xlfn.XLOOKUP(A3112,'[1]Tissue Data'!$A:$A,'[1]Tissue Data'!J:J)</f>
        <v>U</v>
      </c>
      <c r="H3112" t="str">
        <f>_xlfn.XLOOKUP(A3112,'[1]Tissue Data'!$A:$A,'[1]Tissue Data'!K:K)</f>
        <v>Whole Body</v>
      </c>
      <c r="I3112">
        <f>_xlfn.XLOOKUP(A3112,'[1]Tissue Data'!$A:$A,'[1]Tissue Data'!L:L)</f>
        <v>8</v>
      </c>
      <c r="J3112">
        <f>_xlfn.XLOOKUP(A3112,'[1]Tissue Data'!$A:$A,'[1]Tissue Data'!M:M)</f>
        <v>5.25</v>
      </c>
      <c r="K3112" t="s">
        <v>22</v>
      </c>
      <c r="L3112" t="str">
        <f>_xlfn.XLOOKUP(K3112,[2]analyte_order!$B:$B,[2]analyte_order!$C:$C)</f>
        <v>376-06-7</v>
      </c>
      <c r="M3112">
        <f>_xlfn.XLOOKUP(L3112,[2]analyte_order!$C:$C,[2]analyte_order!$E:$E)</f>
        <v>11</v>
      </c>
      <c r="N3112">
        <v>4.2300000000000004</v>
      </c>
    </row>
    <row r="3113" spans="1:14">
      <c r="A3113" t="s">
        <v>125</v>
      </c>
      <c r="B3113" t="str">
        <f>_xlfn.XLOOKUP(A3113,'[1]Tissue Data'!$A:$A,'[1]Tissue Data'!$C:$C)</f>
        <v>Spill</v>
      </c>
      <c r="C3113" s="2">
        <f>_xlfn.XLOOKUP(A3113,'[1]Tissue Data'!$A:$A,'[1]Tissue Data'!$D:$D)</f>
        <v>44314</v>
      </c>
      <c r="D3113" s="2" t="s">
        <v>122</v>
      </c>
      <c r="E3113" t="str">
        <f>_xlfn.XLOOKUP(A3113,'[1]Tissue Data'!$A:$A,'[1]Tissue Data'!$H:$H)</f>
        <v>Etheostoma</v>
      </c>
      <c r="F3113" t="str">
        <f>_xlfn.XLOOKUP(A3113,'[1]Tissue Data'!$A:$A,'[1]Tissue Data'!$I:$I)</f>
        <v>fusiforme</v>
      </c>
      <c r="G3113" t="str">
        <f>_xlfn.XLOOKUP(A3113,'[1]Tissue Data'!$A:$A,'[1]Tissue Data'!J:J)</f>
        <v>U</v>
      </c>
      <c r="H3113" t="str">
        <f>_xlfn.XLOOKUP(A3113,'[1]Tissue Data'!$A:$A,'[1]Tissue Data'!K:K)</f>
        <v>Whole Body</v>
      </c>
      <c r="I3113">
        <f>_xlfn.XLOOKUP(A3113,'[1]Tissue Data'!$A:$A,'[1]Tissue Data'!L:L)</f>
        <v>8</v>
      </c>
      <c r="J3113">
        <f>_xlfn.XLOOKUP(A3113,'[1]Tissue Data'!$A:$A,'[1]Tissue Data'!M:M)</f>
        <v>5.25</v>
      </c>
      <c r="K3113" t="s">
        <v>23</v>
      </c>
      <c r="L3113" t="str">
        <f>_xlfn.XLOOKUP(K3113,[2]analyte_order!$B:$B,[2]analyte_order!$C:$C)</f>
        <v>67905-19-5</v>
      </c>
      <c r="M3113">
        <f>_xlfn.XLOOKUP(L3113,[2]analyte_order!$C:$C,[2]analyte_order!$E:$E)</f>
        <v>12</v>
      </c>
      <c r="N3113">
        <v>8.4000000000000005E-2</v>
      </c>
    </row>
    <row r="3114" spans="1:14">
      <c r="A3114" t="s">
        <v>125</v>
      </c>
      <c r="B3114" t="str">
        <f>_xlfn.XLOOKUP(A3114,'[1]Tissue Data'!$A:$A,'[1]Tissue Data'!$C:$C)</f>
        <v>Spill</v>
      </c>
      <c r="C3114" s="2">
        <f>_xlfn.XLOOKUP(A3114,'[1]Tissue Data'!$A:$A,'[1]Tissue Data'!$D:$D)</f>
        <v>44314</v>
      </c>
      <c r="D3114" s="2" t="s">
        <v>122</v>
      </c>
      <c r="E3114" t="str">
        <f>_xlfn.XLOOKUP(A3114,'[1]Tissue Data'!$A:$A,'[1]Tissue Data'!$H:$H)</f>
        <v>Etheostoma</v>
      </c>
      <c r="F3114" t="str">
        <f>_xlfn.XLOOKUP(A3114,'[1]Tissue Data'!$A:$A,'[1]Tissue Data'!$I:$I)</f>
        <v>fusiforme</v>
      </c>
      <c r="G3114" t="str">
        <f>_xlfn.XLOOKUP(A3114,'[1]Tissue Data'!$A:$A,'[1]Tissue Data'!J:J)</f>
        <v>U</v>
      </c>
      <c r="H3114" t="str">
        <f>_xlfn.XLOOKUP(A3114,'[1]Tissue Data'!$A:$A,'[1]Tissue Data'!K:K)</f>
        <v>Whole Body</v>
      </c>
      <c r="I3114">
        <f>_xlfn.XLOOKUP(A3114,'[1]Tissue Data'!$A:$A,'[1]Tissue Data'!L:L)</f>
        <v>8</v>
      </c>
      <c r="J3114">
        <f>_xlfn.XLOOKUP(A3114,'[1]Tissue Data'!$A:$A,'[1]Tissue Data'!M:M)</f>
        <v>5.25</v>
      </c>
      <c r="K3114" t="s">
        <v>24</v>
      </c>
      <c r="L3114" t="str">
        <f>_xlfn.XLOOKUP(K3114,[2]analyte_order!$B:$B,[2]analyte_order!$C:$C)</f>
        <v>423-41-6</v>
      </c>
      <c r="M3114">
        <f>_xlfn.XLOOKUP(L3114,[2]analyte_order!$C:$C,[2]analyte_order!$E:$E)</f>
        <v>53</v>
      </c>
      <c r="N3114">
        <v>5.3499999999999999E-2</v>
      </c>
    </row>
    <row r="3115" spans="1:14">
      <c r="A3115" t="s">
        <v>125</v>
      </c>
      <c r="B3115" t="str">
        <f>_xlfn.XLOOKUP(A3115,'[1]Tissue Data'!$A:$A,'[1]Tissue Data'!$C:$C)</f>
        <v>Spill</v>
      </c>
      <c r="C3115" s="2">
        <f>_xlfn.XLOOKUP(A3115,'[1]Tissue Data'!$A:$A,'[1]Tissue Data'!$D:$D)</f>
        <v>44314</v>
      </c>
      <c r="D3115" s="2" t="s">
        <v>122</v>
      </c>
      <c r="E3115" t="str">
        <f>_xlfn.XLOOKUP(A3115,'[1]Tissue Data'!$A:$A,'[1]Tissue Data'!$H:$H)</f>
        <v>Etheostoma</v>
      </c>
      <c r="F3115" t="str">
        <f>_xlfn.XLOOKUP(A3115,'[1]Tissue Data'!$A:$A,'[1]Tissue Data'!$I:$I)</f>
        <v>fusiforme</v>
      </c>
      <c r="G3115" t="str">
        <f>_xlfn.XLOOKUP(A3115,'[1]Tissue Data'!$A:$A,'[1]Tissue Data'!J:J)</f>
        <v>U</v>
      </c>
      <c r="H3115" t="str">
        <f>_xlfn.XLOOKUP(A3115,'[1]Tissue Data'!$A:$A,'[1]Tissue Data'!K:K)</f>
        <v>Whole Body</v>
      </c>
      <c r="I3115">
        <f>_xlfn.XLOOKUP(A3115,'[1]Tissue Data'!$A:$A,'[1]Tissue Data'!L:L)</f>
        <v>8</v>
      </c>
      <c r="J3115">
        <f>_xlfn.XLOOKUP(A3115,'[1]Tissue Data'!$A:$A,'[1]Tissue Data'!M:M)</f>
        <v>5.25</v>
      </c>
      <c r="K3115" t="s">
        <v>25</v>
      </c>
      <c r="L3115" t="str">
        <f>_xlfn.XLOOKUP(K3115,[2]analyte_order!$B:$B,[2]analyte_order!$C:$C)</f>
        <v>375-73-5</v>
      </c>
      <c r="M3115">
        <f>_xlfn.XLOOKUP(L3115,[2]analyte_order!$C:$C,[2]analyte_order!$E:$E)</f>
        <v>14</v>
      </c>
      <c r="N3115">
        <v>0.158</v>
      </c>
    </row>
    <row r="3116" spans="1:14">
      <c r="A3116" t="s">
        <v>125</v>
      </c>
      <c r="B3116" t="str">
        <f>_xlfn.XLOOKUP(A3116,'[1]Tissue Data'!$A:$A,'[1]Tissue Data'!$C:$C)</f>
        <v>Spill</v>
      </c>
      <c r="C3116" s="2">
        <f>_xlfn.XLOOKUP(A3116,'[1]Tissue Data'!$A:$A,'[1]Tissue Data'!$D:$D)</f>
        <v>44314</v>
      </c>
      <c r="D3116" s="2" t="s">
        <v>122</v>
      </c>
      <c r="E3116" t="str">
        <f>_xlfn.XLOOKUP(A3116,'[1]Tissue Data'!$A:$A,'[1]Tissue Data'!$H:$H)</f>
        <v>Etheostoma</v>
      </c>
      <c r="F3116" t="str">
        <f>_xlfn.XLOOKUP(A3116,'[1]Tissue Data'!$A:$A,'[1]Tissue Data'!$I:$I)</f>
        <v>fusiforme</v>
      </c>
      <c r="G3116" t="str">
        <f>_xlfn.XLOOKUP(A3116,'[1]Tissue Data'!$A:$A,'[1]Tissue Data'!J:J)</f>
        <v>U</v>
      </c>
      <c r="H3116" t="str">
        <f>_xlfn.XLOOKUP(A3116,'[1]Tissue Data'!$A:$A,'[1]Tissue Data'!K:K)</f>
        <v>Whole Body</v>
      </c>
      <c r="I3116">
        <f>_xlfn.XLOOKUP(A3116,'[1]Tissue Data'!$A:$A,'[1]Tissue Data'!L:L)</f>
        <v>8</v>
      </c>
      <c r="J3116">
        <f>_xlfn.XLOOKUP(A3116,'[1]Tissue Data'!$A:$A,'[1]Tissue Data'!M:M)</f>
        <v>5.25</v>
      </c>
      <c r="K3116" t="s">
        <v>26</v>
      </c>
      <c r="L3116" t="str">
        <f>_xlfn.XLOOKUP(K3116,[2]analyte_order!$B:$B,[2]analyte_order!$C:$C)</f>
        <v>2706-91-4</v>
      </c>
      <c r="M3116">
        <f>_xlfn.XLOOKUP(L3116,[2]analyte_order!$C:$C,[2]analyte_order!$E:$E)</f>
        <v>15</v>
      </c>
      <c r="N3116">
        <v>0.123</v>
      </c>
    </row>
    <row r="3117" spans="1:14">
      <c r="A3117" t="s">
        <v>125</v>
      </c>
      <c r="B3117" t="str">
        <f>_xlfn.XLOOKUP(A3117,'[1]Tissue Data'!$A:$A,'[1]Tissue Data'!$C:$C)</f>
        <v>Spill</v>
      </c>
      <c r="C3117" s="2">
        <f>_xlfn.XLOOKUP(A3117,'[1]Tissue Data'!$A:$A,'[1]Tissue Data'!$D:$D)</f>
        <v>44314</v>
      </c>
      <c r="D3117" s="2" t="s">
        <v>122</v>
      </c>
      <c r="E3117" t="str">
        <f>_xlfn.XLOOKUP(A3117,'[1]Tissue Data'!$A:$A,'[1]Tissue Data'!$H:$H)</f>
        <v>Etheostoma</v>
      </c>
      <c r="F3117" t="str">
        <f>_xlfn.XLOOKUP(A3117,'[1]Tissue Data'!$A:$A,'[1]Tissue Data'!$I:$I)</f>
        <v>fusiforme</v>
      </c>
      <c r="G3117" t="str">
        <f>_xlfn.XLOOKUP(A3117,'[1]Tissue Data'!$A:$A,'[1]Tissue Data'!J:J)</f>
        <v>U</v>
      </c>
      <c r="H3117" t="str">
        <f>_xlfn.XLOOKUP(A3117,'[1]Tissue Data'!$A:$A,'[1]Tissue Data'!K:K)</f>
        <v>Whole Body</v>
      </c>
      <c r="I3117">
        <f>_xlfn.XLOOKUP(A3117,'[1]Tissue Data'!$A:$A,'[1]Tissue Data'!L:L)</f>
        <v>8</v>
      </c>
      <c r="J3117">
        <f>_xlfn.XLOOKUP(A3117,'[1]Tissue Data'!$A:$A,'[1]Tissue Data'!M:M)</f>
        <v>5.25</v>
      </c>
      <c r="K3117" t="s">
        <v>27</v>
      </c>
      <c r="L3117" t="str">
        <f>_xlfn.XLOOKUP(K3117,[2]analyte_order!$B:$B,[2]analyte_order!$C:$C)</f>
        <v>355-46-4</v>
      </c>
      <c r="M3117">
        <f>_xlfn.XLOOKUP(L3117,[2]analyte_order!$C:$C,[2]analyte_order!$E:$E)</f>
        <v>16</v>
      </c>
      <c r="N3117">
        <v>17.600000000000001</v>
      </c>
    </row>
    <row r="3118" spans="1:14">
      <c r="A3118" t="s">
        <v>125</v>
      </c>
      <c r="B3118" t="str">
        <f>_xlfn.XLOOKUP(A3118,'[1]Tissue Data'!$A:$A,'[1]Tissue Data'!$C:$C)</f>
        <v>Spill</v>
      </c>
      <c r="C3118" s="2">
        <f>_xlfn.XLOOKUP(A3118,'[1]Tissue Data'!$A:$A,'[1]Tissue Data'!$D:$D)</f>
        <v>44314</v>
      </c>
      <c r="D3118" s="2" t="s">
        <v>122</v>
      </c>
      <c r="E3118" t="str">
        <f>_xlfn.XLOOKUP(A3118,'[1]Tissue Data'!$A:$A,'[1]Tissue Data'!$H:$H)</f>
        <v>Etheostoma</v>
      </c>
      <c r="F3118" t="str">
        <f>_xlfn.XLOOKUP(A3118,'[1]Tissue Data'!$A:$A,'[1]Tissue Data'!$I:$I)</f>
        <v>fusiforme</v>
      </c>
      <c r="G3118" t="str">
        <f>_xlfn.XLOOKUP(A3118,'[1]Tissue Data'!$A:$A,'[1]Tissue Data'!J:J)</f>
        <v>U</v>
      </c>
      <c r="H3118" t="str">
        <f>_xlfn.XLOOKUP(A3118,'[1]Tissue Data'!$A:$A,'[1]Tissue Data'!K:K)</f>
        <v>Whole Body</v>
      </c>
      <c r="I3118">
        <f>_xlfn.XLOOKUP(A3118,'[1]Tissue Data'!$A:$A,'[1]Tissue Data'!L:L)</f>
        <v>8</v>
      </c>
      <c r="J3118">
        <f>_xlfn.XLOOKUP(A3118,'[1]Tissue Data'!$A:$A,'[1]Tissue Data'!M:M)</f>
        <v>5.25</v>
      </c>
      <c r="K3118" t="s">
        <v>28</v>
      </c>
      <c r="L3118" t="str">
        <f>_xlfn.XLOOKUP(K3118,[2]analyte_order!$B:$B,[2]analyte_order!$C:$C)</f>
        <v>375-92-8</v>
      </c>
      <c r="M3118">
        <f>_xlfn.XLOOKUP(L3118,[2]analyte_order!$C:$C,[2]analyte_order!$E:$E)</f>
        <v>17</v>
      </c>
      <c r="N3118">
        <v>4.1900000000000004</v>
      </c>
    </row>
    <row r="3119" spans="1:14">
      <c r="A3119" t="s">
        <v>125</v>
      </c>
      <c r="B3119" t="str">
        <f>_xlfn.XLOOKUP(A3119,'[1]Tissue Data'!$A:$A,'[1]Tissue Data'!$C:$C)</f>
        <v>Spill</v>
      </c>
      <c r="C3119" s="2">
        <f>_xlfn.XLOOKUP(A3119,'[1]Tissue Data'!$A:$A,'[1]Tissue Data'!$D:$D)</f>
        <v>44314</v>
      </c>
      <c r="D3119" s="2" t="s">
        <v>122</v>
      </c>
      <c r="E3119" t="str">
        <f>_xlfn.XLOOKUP(A3119,'[1]Tissue Data'!$A:$A,'[1]Tissue Data'!$H:$H)</f>
        <v>Etheostoma</v>
      </c>
      <c r="F3119" t="str">
        <f>_xlfn.XLOOKUP(A3119,'[1]Tissue Data'!$A:$A,'[1]Tissue Data'!$I:$I)</f>
        <v>fusiforme</v>
      </c>
      <c r="G3119" t="str">
        <f>_xlfn.XLOOKUP(A3119,'[1]Tissue Data'!$A:$A,'[1]Tissue Data'!J:J)</f>
        <v>U</v>
      </c>
      <c r="H3119" t="str">
        <f>_xlfn.XLOOKUP(A3119,'[1]Tissue Data'!$A:$A,'[1]Tissue Data'!K:K)</f>
        <v>Whole Body</v>
      </c>
      <c r="I3119">
        <f>_xlfn.XLOOKUP(A3119,'[1]Tissue Data'!$A:$A,'[1]Tissue Data'!L:L)</f>
        <v>8</v>
      </c>
      <c r="J3119">
        <f>_xlfn.XLOOKUP(A3119,'[1]Tissue Data'!$A:$A,'[1]Tissue Data'!M:M)</f>
        <v>5.25</v>
      </c>
      <c r="K3119" t="s">
        <v>29</v>
      </c>
      <c r="L3119" t="str">
        <f>_xlfn.XLOOKUP(K3119,[2]analyte_order!$B:$B,[2]analyte_order!$C:$C)</f>
        <v>1763-23-1</v>
      </c>
      <c r="M3119">
        <f>_xlfn.XLOOKUP(L3119,[2]analyte_order!$C:$C,[2]analyte_order!$E:$E)</f>
        <v>18</v>
      </c>
      <c r="N3119">
        <v>1050</v>
      </c>
    </row>
    <row r="3120" spans="1:14">
      <c r="A3120" t="s">
        <v>125</v>
      </c>
      <c r="B3120" t="str">
        <f>_xlfn.XLOOKUP(A3120,'[1]Tissue Data'!$A:$A,'[1]Tissue Data'!$C:$C)</f>
        <v>Spill</v>
      </c>
      <c r="C3120" s="2">
        <f>_xlfn.XLOOKUP(A3120,'[1]Tissue Data'!$A:$A,'[1]Tissue Data'!$D:$D)</f>
        <v>44314</v>
      </c>
      <c r="D3120" s="2" t="s">
        <v>122</v>
      </c>
      <c r="E3120" t="str">
        <f>_xlfn.XLOOKUP(A3120,'[1]Tissue Data'!$A:$A,'[1]Tissue Data'!$H:$H)</f>
        <v>Etheostoma</v>
      </c>
      <c r="F3120" t="str">
        <f>_xlfn.XLOOKUP(A3120,'[1]Tissue Data'!$A:$A,'[1]Tissue Data'!$I:$I)</f>
        <v>fusiforme</v>
      </c>
      <c r="G3120" t="str">
        <f>_xlfn.XLOOKUP(A3120,'[1]Tissue Data'!$A:$A,'[1]Tissue Data'!J:J)</f>
        <v>U</v>
      </c>
      <c r="H3120" t="str">
        <f>_xlfn.XLOOKUP(A3120,'[1]Tissue Data'!$A:$A,'[1]Tissue Data'!K:K)</f>
        <v>Whole Body</v>
      </c>
      <c r="I3120">
        <f>_xlfn.XLOOKUP(A3120,'[1]Tissue Data'!$A:$A,'[1]Tissue Data'!L:L)</f>
        <v>8</v>
      </c>
      <c r="J3120">
        <f>_xlfn.XLOOKUP(A3120,'[1]Tissue Data'!$A:$A,'[1]Tissue Data'!M:M)</f>
        <v>5.25</v>
      </c>
      <c r="K3120" t="s">
        <v>30</v>
      </c>
      <c r="L3120" t="str">
        <f>_xlfn.XLOOKUP(K3120,[2]analyte_order!$B:$B,[2]analyte_order!$C:$C)</f>
        <v>68259-12-1</v>
      </c>
      <c r="M3120">
        <f>_xlfn.XLOOKUP(L3120,[2]analyte_order!$C:$C,[2]analyte_order!$E:$E)</f>
        <v>19</v>
      </c>
      <c r="N3120">
        <v>1.25</v>
      </c>
    </row>
    <row r="3121" spans="1:14">
      <c r="A3121" t="s">
        <v>125</v>
      </c>
      <c r="B3121" t="str">
        <f>_xlfn.XLOOKUP(A3121,'[1]Tissue Data'!$A:$A,'[1]Tissue Data'!$C:$C)</f>
        <v>Spill</v>
      </c>
      <c r="C3121" s="2">
        <f>_xlfn.XLOOKUP(A3121,'[1]Tissue Data'!$A:$A,'[1]Tissue Data'!$D:$D)</f>
        <v>44314</v>
      </c>
      <c r="D3121" s="2" t="s">
        <v>122</v>
      </c>
      <c r="E3121" t="str">
        <f>_xlfn.XLOOKUP(A3121,'[1]Tissue Data'!$A:$A,'[1]Tissue Data'!$H:$H)</f>
        <v>Etheostoma</v>
      </c>
      <c r="F3121" t="str">
        <f>_xlfn.XLOOKUP(A3121,'[1]Tissue Data'!$A:$A,'[1]Tissue Data'!$I:$I)</f>
        <v>fusiforme</v>
      </c>
      <c r="G3121" t="str">
        <f>_xlfn.XLOOKUP(A3121,'[1]Tissue Data'!$A:$A,'[1]Tissue Data'!J:J)</f>
        <v>U</v>
      </c>
      <c r="H3121" t="str">
        <f>_xlfn.XLOOKUP(A3121,'[1]Tissue Data'!$A:$A,'[1]Tissue Data'!K:K)</f>
        <v>Whole Body</v>
      </c>
      <c r="I3121">
        <f>_xlfn.XLOOKUP(A3121,'[1]Tissue Data'!$A:$A,'[1]Tissue Data'!L:L)</f>
        <v>8</v>
      </c>
      <c r="J3121">
        <f>_xlfn.XLOOKUP(A3121,'[1]Tissue Data'!$A:$A,'[1]Tissue Data'!M:M)</f>
        <v>5.25</v>
      </c>
      <c r="K3121" t="s">
        <v>31</v>
      </c>
      <c r="L3121" t="str">
        <f>_xlfn.XLOOKUP(K3121,[2]analyte_order!$B:$B,[2]analyte_order!$C:$C)</f>
        <v>335-77-3</v>
      </c>
      <c r="M3121">
        <f>_xlfn.XLOOKUP(L3121,[2]analyte_order!$C:$C,[2]analyte_order!$E:$E)</f>
        <v>20</v>
      </c>
      <c r="N3121">
        <v>7.88</v>
      </c>
    </row>
    <row r="3122" spans="1:14">
      <c r="A3122" t="s">
        <v>125</v>
      </c>
      <c r="B3122" t="str">
        <f>_xlfn.XLOOKUP(A3122,'[1]Tissue Data'!$A:$A,'[1]Tissue Data'!$C:$C)</f>
        <v>Spill</v>
      </c>
      <c r="C3122" s="2">
        <f>_xlfn.XLOOKUP(A3122,'[1]Tissue Data'!$A:$A,'[1]Tissue Data'!$D:$D)</f>
        <v>44314</v>
      </c>
      <c r="D3122" s="2" t="s">
        <v>122</v>
      </c>
      <c r="E3122" t="str">
        <f>_xlfn.XLOOKUP(A3122,'[1]Tissue Data'!$A:$A,'[1]Tissue Data'!$H:$H)</f>
        <v>Etheostoma</v>
      </c>
      <c r="F3122" t="str">
        <f>_xlfn.XLOOKUP(A3122,'[1]Tissue Data'!$A:$A,'[1]Tissue Data'!$I:$I)</f>
        <v>fusiforme</v>
      </c>
      <c r="G3122" t="str">
        <f>_xlfn.XLOOKUP(A3122,'[1]Tissue Data'!$A:$A,'[1]Tissue Data'!J:J)</f>
        <v>U</v>
      </c>
      <c r="H3122" t="str">
        <f>_xlfn.XLOOKUP(A3122,'[1]Tissue Data'!$A:$A,'[1]Tissue Data'!K:K)</f>
        <v>Whole Body</v>
      </c>
      <c r="I3122">
        <f>_xlfn.XLOOKUP(A3122,'[1]Tissue Data'!$A:$A,'[1]Tissue Data'!L:L)</f>
        <v>8</v>
      </c>
      <c r="J3122">
        <f>_xlfn.XLOOKUP(A3122,'[1]Tissue Data'!$A:$A,'[1]Tissue Data'!M:M)</f>
        <v>5.25</v>
      </c>
      <c r="K3122" t="s">
        <v>32</v>
      </c>
      <c r="L3122" t="str">
        <f>_xlfn.XLOOKUP(K3122,[2]analyte_order!$B:$B,[2]analyte_order!$C:$C)</f>
        <v>79780-39-5</v>
      </c>
      <c r="M3122">
        <f>_xlfn.XLOOKUP(L3122,[2]analyte_order!$C:$C,[2]analyte_order!$E:$E)</f>
        <v>21</v>
      </c>
      <c r="N3122">
        <v>0.2485</v>
      </c>
    </row>
    <row r="3123" spans="1:14">
      <c r="A3123" t="s">
        <v>125</v>
      </c>
      <c r="B3123" t="str">
        <f>_xlfn.XLOOKUP(A3123,'[1]Tissue Data'!$A:$A,'[1]Tissue Data'!$C:$C)</f>
        <v>Spill</v>
      </c>
      <c r="C3123" s="2">
        <f>_xlfn.XLOOKUP(A3123,'[1]Tissue Data'!$A:$A,'[1]Tissue Data'!$D:$D)</f>
        <v>44314</v>
      </c>
      <c r="D3123" s="2" t="s">
        <v>122</v>
      </c>
      <c r="E3123" t="str">
        <f>_xlfn.XLOOKUP(A3123,'[1]Tissue Data'!$A:$A,'[1]Tissue Data'!$H:$H)</f>
        <v>Etheostoma</v>
      </c>
      <c r="F3123" t="str">
        <f>_xlfn.XLOOKUP(A3123,'[1]Tissue Data'!$A:$A,'[1]Tissue Data'!$I:$I)</f>
        <v>fusiforme</v>
      </c>
      <c r="G3123" t="str">
        <f>_xlfn.XLOOKUP(A3123,'[1]Tissue Data'!$A:$A,'[1]Tissue Data'!J:J)</f>
        <v>U</v>
      </c>
      <c r="H3123" t="str">
        <f>_xlfn.XLOOKUP(A3123,'[1]Tissue Data'!$A:$A,'[1]Tissue Data'!K:K)</f>
        <v>Whole Body</v>
      </c>
      <c r="I3123">
        <f>_xlfn.XLOOKUP(A3123,'[1]Tissue Data'!$A:$A,'[1]Tissue Data'!L:L)</f>
        <v>8</v>
      </c>
      <c r="J3123">
        <f>_xlfn.XLOOKUP(A3123,'[1]Tissue Data'!$A:$A,'[1]Tissue Data'!M:M)</f>
        <v>5.25</v>
      </c>
      <c r="K3123" t="s">
        <v>33</v>
      </c>
      <c r="L3123" t="str">
        <f>_xlfn.XLOOKUP(K3123,[2]analyte_order!$B:$B,[2]analyte_order!$C:$C)</f>
        <v>777011-38-8</v>
      </c>
      <c r="M3123">
        <f>_xlfn.XLOOKUP(L3123,[2]analyte_order!$C:$C,[2]analyte_order!$E:$E)</f>
        <v>54</v>
      </c>
      <c r="N3123">
        <v>0.14099999999999999</v>
      </c>
    </row>
    <row r="3124" spans="1:14">
      <c r="A3124" t="s">
        <v>125</v>
      </c>
      <c r="B3124" t="str">
        <f>_xlfn.XLOOKUP(A3124,'[1]Tissue Data'!$A:$A,'[1]Tissue Data'!$C:$C)</f>
        <v>Spill</v>
      </c>
      <c r="C3124" s="2">
        <f>_xlfn.XLOOKUP(A3124,'[1]Tissue Data'!$A:$A,'[1]Tissue Data'!$D:$D)</f>
        <v>44314</v>
      </c>
      <c r="D3124" s="2" t="s">
        <v>122</v>
      </c>
      <c r="E3124" t="str">
        <f>_xlfn.XLOOKUP(A3124,'[1]Tissue Data'!$A:$A,'[1]Tissue Data'!$H:$H)</f>
        <v>Etheostoma</v>
      </c>
      <c r="F3124" t="str">
        <f>_xlfn.XLOOKUP(A3124,'[1]Tissue Data'!$A:$A,'[1]Tissue Data'!$I:$I)</f>
        <v>fusiforme</v>
      </c>
      <c r="G3124" t="str">
        <f>_xlfn.XLOOKUP(A3124,'[1]Tissue Data'!$A:$A,'[1]Tissue Data'!J:J)</f>
        <v>U</v>
      </c>
      <c r="H3124" t="str">
        <f>_xlfn.XLOOKUP(A3124,'[1]Tissue Data'!$A:$A,'[1]Tissue Data'!K:K)</f>
        <v>Whole Body</v>
      </c>
      <c r="I3124">
        <f>_xlfn.XLOOKUP(A3124,'[1]Tissue Data'!$A:$A,'[1]Tissue Data'!L:L)</f>
        <v>8</v>
      </c>
      <c r="J3124">
        <f>_xlfn.XLOOKUP(A3124,'[1]Tissue Data'!$A:$A,'[1]Tissue Data'!M:M)</f>
        <v>5.25</v>
      </c>
      <c r="K3124" t="s">
        <v>34</v>
      </c>
      <c r="L3124" t="str">
        <f>_xlfn.XLOOKUP(K3124,[2]analyte_order!$B:$B,[2]analyte_order!$C:$C)</f>
        <v>646-83-3</v>
      </c>
      <c r="M3124">
        <f>_xlfn.XLOOKUP(L3124,[2]analyte_order!$C:$C,[2]analyte_order!$E:$E)</f>
        <v>55</v>
      </c>
      <c r="N3124">
        <v>0.373</v>
      </c>
    </row>
    <row r="3125" spans="1:14">
      <c r="A3125" t="s">
        <v>125</v>
      </c>
      <c r="B3125" t="str">
        <f>_xlfn.XLOOKUP(A3125,'[1]Tissue Data'!$A:$A,'[1]Tissue Data'!$C:$C)</f>
        <v>Spill</v>
      </c>
      <c r="C3125" s="2">
        <f>_xlfn.XLOOKUP(A3125,'[1]Tissue Data'!$A:$A,'[1]Tissue Data'!$D:$D)</f>
        <v>44314</v>
      </c>
      <c r="D3125" s="2" t="s">
        <v>122</v>
      </c>
      <c r="E3125" t="str">
        <f>_xlfn.XLOOKUP(A3125,'[1]Tissue Data'!$A:$A,'[1]Tissue Data'!$H:$H)</f>
        <v>Etheostoma</v>
      </c>
      <c r="F3125" t="str">
        <f>_xlfn.XLOOKUP(A3125,'[1]Tissue Data'!$A:$A,'[1]Tissue Data'!$I:$I)</f>
        <v>fusiforme</v>
      </c>
      <c r="G3125" t="str">
        <f>_xlfn.XLOOKUP(A3125,'[1]Tissue Data'!$A:$A,'[1]Tissue Data'!J:J)</f>
        <v>U</v>
      </c>
      <c r="H3125" t="str">
        <f>_xlfn.XLOOKUP(A3125,'[1]Tissue Data'!$A:$A,'[1]Tissue Data'!K:K)</f>
        <v>Whole Body</v>
      </c>
      <c r="I3125">
        <f>_xlfn.XLOOKUP(A3125,'[1]Tissue Data'!$A:$A,'[1]Tissue Data'!L:L)</f>
        <v>8</v>
      </c>
      <c r="J3125">
        <f>_xlfn.XLOOKUP(A3125,'[1]Tissue Data'!$A:$A,'[1]Tissue Data'!M:M)</f>
        <v>5.25</v>
      </c>
      <c r="K3125" t="s">
        <v>35</v>
      </c>
      <c r="L3125" t="str">
        <f>_xlfn.XLOOKUP(K3125,[2]analyte_order!$B:$B,[2]analyte_order!$C:$C)</f>
        <v>30334-69-1</v>
      </c>
      <c r="M3125">
        <f>_xlfn.XLOOKUP(L3125,[2]analyte_order!$C:$C,[2]analyte_order!$E:$E)</f>
        <v>51</v>
      </c>
      <c r="N3125">
        <v>24.1</v>
      </c>
    </row>
    <row r="3126" spans="1:14">
      <c r="A3126" t="s">
        <v>125</v>
      </c>
      <c r="B3126" t="str">
        <f>_xlfn.XLOOKUP(A3126,'[1]Tissue Data'!$A:$A,'[1]Tissue Data'!$C:$C)</f>
        <v>Spill</v>
      </c>
      <c r="C3126" s="2">
        <f>_xlfn.XLOOKUP(A3126,'[1]Tissue Data'!$A:$A,'[1]Tissue Data'!$D:$D)</f>
        <v>44314</v>
      </c>
      <c r="D3126" s="2" t="s">
        <v>122</v>
      </c>
      <c r="E3126" t="str">
        <f>_xlfn.XLOOKUP(A3126,'[1]Tissue Data'!$A:$A,'[1]Tissue Data'!$H:$H)</f>
        <v>Etheostoma</v>
      </c>
      <c r="F3126" t="str">
        <f>_xlfn.XLOOKUP(A3126,'[1]Tissue Data'!$A:$A,'[1]Tissue Data'!$I:$I)</f>
        <v>fusiforme</v>
      </c>
      <c r="G3126" t="str">
        <f>_xlfn.XLOOKUP(A3126,'[1]Tissue Data'!$A:$A,'[1]Tissue Data'!J:J)</f>
        <v>U</v>
      </c>
      <c r="H3126" t="str">
        <f>_xlfn.XLOOKUP(A3126,'[1]Tissue Data'!$A:$A,'[1]Tissue Data'!K:K)</f>
        <v>Whole Body</v>
      </c>
      <c r="I3126">
        <f>_xlfn.XLOOKUP(A3126,'[1]Tissue Data'!$A:$A,'[1]Tissue Data'!L:L)</f>
        <v>8</v>
      </c>
      <c r="J3126">
        <f>_xlfn.XLOOKUP(A3126,'[1]Tissue Data'!$A:$A,'[1]Tissue Data'!M:M)</f>
        <v>5.25</v>
      </c>
      <c r="K3126" t="s">
        <v>36</v>
      </c>
      <c r="L3126" t="str">
        <f>_xlfn.XLOOKUP(K3126,[2]analyte_order!$B:$B,[2]analyte_order!$C:$C)</f>
        <v>41997-13-1</v>
      </c>
      <c r="M3126">
        <f>_xlfn.XLOOKUP(L3126,[2]analyte_order!$C:$C,[2]analyte_order!$E:$E)</f>
        <v>52</v>
      </c>
      <c r="N3126">
        <v>91</v>
      </c>
    </row>
    <row r="3127" spans="1:14">
      <c r="A3127" t="s">
        <v>125</v>
      </c>
      <c r="B3127" t="str">
        <f>_xlfn.XLOOKUP(A3127,'[1]Tissue Data'!$A:$A,'[1]Tissue Data'!$C:$C)</f>
        <v>Spill</v>
      </c>
      <c r="C3127" s="2">
        <f>_xlfn.XLOOKUP(A3127,'[1]Tissue Data'!$A:$A,'[1]Tissue Data'!$D:$D)</f>
        <v>44314</v>
      </c>
      <c r="D3127" s="2" t="s">
        <v>122</v>
      </c>
      <c r="E3127" t="str">
        <f>_xlfn.XLOOKUP(A3127,'[1]Tissue Data'!$A:$A,'[1]Tissue Data'!$H:$H)</f>
        <v>Etheostoma</v>
      </c>
      <c r="F3127" t="str">
        <f>_xlfn.XLOOKUP(A3127,'[1]Tissue Data'!$A:$A,'[1]Tissue Data'!$I:$I)</f>
        <v>fusiforme</v>
      </c>
      <c r="G3127" t="str">
        <f>_xlfn.XLOOKUP(A3127,'[1]Tissue Data'!$A:$A,'[1]Tissue Data'!J:J)</f>
        <v>U</v>
      </c>
      <c r="H3127" t="str">
        <f>_xlfn.XLOOKUP(A3127,'[1]Tissue Data'!$A:$A,'[1]Tissue Data'!K:K)</f>
        <v>Whole Body</v>
      </c>
      <c r="I3127">
        <f>_xlfn.XLOOKUP(A3127,'[1]Tissue Data'!$A:$A,'[1]Tissue Data'!L:L)</f>
        <v>8</v>
      </c>
      <c r="J3127">
        <f>_xlfn.XLOOKUP(A3127,'[1]Tissue Data'!$A:$A,'[1]Tissue Data'!M:M)</f>
        <v>5.25</v>
      </c>
      <c r="K3127" t="s">
        <v>37</v>
      </c>
      <c r="L3127" t="str">
        <f>_xlfn.XLOOKUP(K3127,[2]analyte_order!$B:$B,[2]analyte_order!$C:$C)</f>
        <v>754-91-6</v>
      </c>
      <c r="M3127">
        <f>_xlfn.XLOOKUP(L3127,[2]analyte_order!$C:$C,[2]analyte_order!$E:$E)</f>
        <v>28</v>
      </c>
      <c r="N3127">
        <v>38.299999999999997</v>
      </c>
    </row>
    <row r="3128" spans="1:14">
      <c r="A3128" t="s">
        <v>125</v>
      </c>
      <c r="B3128" t="str">
        <f>_xlfn.XLOOKUP(A3128,'[1]Tissue Data'!$A:$A,'[1]Tissue Data'!$C:$C)</f>
        <v>Spill</v>
      </c>
      <c r="C3128" s="2">
        <f>_xlfn.XLOOKUP(A3128,'[1]Tissue Data'!$A:$A,'[1]Tissue Data'!$D:$D)</f>
        <v>44314</v>
      </c>
      <c r="D3128" s="2" t="s">
        <v>122</v>
      </c>
      <c r="E3128" t="str">
        <f>_xlfn.XLOOKUP(A3128,'[1]Tissue Data'!$A:$A,'[1]Tissue Data'!$H:$H)</f>
        <v>Etheostoma</v>
      </c>
      <c r="F3128" t="str">
        <f>_xlfn.XLOOKUP(A3128,'[1]Tissue Data'!$A:$A,'[1]Tissue Data'!$I:$I)</f>
        <v>fusiforme</v>
      </c>
      <c r="G3128" t="str">
        <f>_xlfn.XLOOKUP(A3128,'[1]Tissue Data'!$A:$A,'[1]Tissue Data'!J:J)</f>
        <v>U</v>
      </c>
      <c r="H3128" t="str">
        <f>_xlfn.XLOOKUP(A3128,'[1]Tissue Data'!$A:$A,'[1]Tissue Data'!K:K)</f>
        <v>Whole Body</v>
      </c>
      <c r="I3128">
        <f>_xlfn.XLOOKUP(A3128,'[1]Tissue Data'!$A:$A,'[1]Tissue Data'!L:L)</f>
        <v>8</v>
      </c>
      <c r="J3128">
        <f>_xlfn.XLOOKUP(A3128,'[1]Tissue Data'!$A:$A,'[1]Tissue Data'!M:M)</f>
        <v>5.25</v>
      </c>
      <c r="K3128" t="s">
        <v>38</v>
      </c>
      <c r="L3128" t="str">
        <f>_xlfn.XLOOKUP(K3128,[2]analyte_order!$B:$B,[2]analyte_order!$C:$C)</f>
        <v>31506-32-8</v>
      </c>
      <c r="M3128">
        <f>_xlfn.XLOOKUP(L3128,[2]analyte_order!$C:$C,[2]analyte_order!$E:$E)</f>
        <v>30</v>
      </c>
      <c r="N3128">
        <v>5.3999999999999999E-2</v>
      </c>
    </row>
    <row r="3129" spans="1:14">
      <c r="A3129" t="s">
        <v>125</v>
      </c>
      <c r="B3129" t="str">
        <f>_xlfn.XLOOKUP(A3129,'[1]Tissue Data'!$A:$A,'[1]Tissue Data'!$C:$C)</f>
        <v>Spill</v>
      </c>
      <c r="C3129" s="2">
        <f>_xlfn.XLOOKUP(A3129,'[1]Tissue Data'!$A:$A,'[1]Tissue Data'!$D:$D)</f>
        <v>44314</v>
      </c>
      <c r="D3129" s="2" t="s">
        <v>122</v>
      </c>
      <c r="E3129" t="str">
        <f>_xlfn.XLOOKUP(A3129,'[1]Tissue Data'!$A:$A,'[1]Tissue Data'!$H:$H)</f>
        <v>Etheostoma</v>
      </c>
      <c r="F3129" t="str">
        <f>_xlfn.XLOOKUP(A3129,'[1]Tissue Data'!$A:$A,'[1]Tissue Data'!$I:$I)</f>
        <v>fusiforme</v>
      </c>
      <c r="G3129" t="str">
        <f>_xlfn.XLOOKUP(A3129,'[1]Tissue Data'!$A:$A,'[1]Tissue Data'!J:J)</f>
        <v>U</v>
      </c>
      <c r="H3129" t="str">
        <f>_xlfn.XLOOKUP(A3129,'[1]Tissue Data'!$A:$A,'[1]Tissue Data'!K:K)</f>
        <v>Whole Body</v>
      </c>
      <c r="I3129">
        <f>_xlfn.XLOOKUP(A3129,'[1]Tissue Data'!$A:$A,'[1]Tissue Data'!L:L)</f>
        <v>8</v>
      </c>
      <c r="J3129">
        <f>_xlfn.XLOOKUP(A3129,'[1]Tissue Data'!$A:$A,'[1]Tissue Data'!M:M)</f>
        <v>5.25</v>
      </c>
      <c r="K3129" t="s">
        <v>39</v>
      </c>
      <c r="L3129" t="str">
        <f>_xlfn.XLOOKUP(K3129,[2]analyte_order!$B:$B,[2]analyte_order!$C:$C)</f>
        <v>4151-50-2</v>
      </c>
      <c r="M3129">
        <f>_xlfn.XLOOKUP(L3129,[2]analyte_order!$C:$C,[2]analyte_order!$E:$E)</f>
        <v>31</v>
      </c>
      <c r="N3129">
        <v>8.2000000000000003E-2</v>
      </c>
    </row>
    <row r="3130" spans="1:14">
      <c r="A3130" t="s">
        <v>125</v>
      </c>
      <c r="B3130" t="str">
        <f>_xlfn.XLOOKUP(A3130,'[1]Tissue Data'!$A:$A,'[1]Tissue Data'!$C:$C)</f>
        <v>Spill</v>
      </c>
      <c r="C3130" s="2">
        <f>_xlfn.XLOOKUP(A3130,'[1]Tissue Data'!$A:$A,'[1]Tissue Data'!$D:$D)</f>
        <v>44314</v>
      </c>
      <c r="D3130" s="2" t="s">
        <v>122</v>
      </c>
      <c r="E3130" t="str">
        <f>_xlfn.XLOOKUP(A3130,'[1]Tissue Data'!$A:$A,'[1]Tissue Data'!$H:$H)</f>
        <v>Etheostoma</v>
      </c>
      <c r="F3130" t="str">
        <f>_xlfn.XLOOKUP(A3130,'[1]Tissue Data'!$A:$A,'[1]Tissue Data'!$I:$I)</f>
        <v>fusiforme</v>
      </c>
      <c r="G3130" t="str">
        <f>_xlfn.XLOOKUP(A3130,'[1]Tissue Data'!$A:$A,'[1]Tissue Data'!J:J)</f>
        <v>U</v>
      </c>
      <c r="H3130" t="str">
        <f>_xlfn.XLOOKUP(A3130,'[1]Tissue Data'!$A:$A,'[1]Tissue Data'!K:K)</f>
        <v>Whole Body</v>
      </c>
      <c r="I3130">
        <f>_xlfn.XLOOKUP(A3130,'[1]Tissue Data'!$A:$A,'[1]Tissue Data'!L:L)</f>
        <v>8</v>
      </c>
      <c r="J3130">
        <f>_xlfn.XLOOKUP(A3130,'[1]Tissue Data'!$A:$A,'[1]Tissue Data'!M:M)</f>
        <v>5.25</v>
      </c>
      <c r="K3130" t="s">
        <v>40</v>
      </c>
      <c r="L3130" t="str">
        <f>_xlfn.XLOOKUP(K3130,[2]analyte_order!$B:$B,[2]analyte_order!$C:$C)</f>
        <v>2806-24-8</v>
      </c>
      <c r="M3130">
        <f>_xlfn.XLOOKUP(L3130,[2]analyte_order!$C:$C,[2]analyte_order!$E:$E)</f>
        <v>29</v>
      </c>
      <c r="N3130">
        <v>5.5500000000000001E-2</v>
      </c>
    </row>
    <row r="3131" spans="1:14">
      <c r="A3131" t="s">
        <v>125</v>
      </c>
      <c r="B3131" t="str">
        <f>_xlfn.XLOOKUP(A3131,'[1]Tissue Data'!$A:$A,'[1]Tissue Data'!$C:$C)</f>
        <v>Spill</v>
      </c>
      <c r="C3131" s="2">
        <f>_xlfn.XLOOKUP(A3131,'[1]Tissue Data'!$A:$A,'[1]Tissue Data'!$D:$D)</f>
        <v>44314</v>
      </c>
      <c r="D3131" s="2" t="s">
        <v>122</v>
      </c>
      <c r="E3131" t="str">
        <f>_xlfn.XLOOKUP(A3131,'[1]Tissue Data'!$A:$A,'[1]Tissue Data'!$H:$H)</f>
        <v>Etheostoma</v>
      </c>
      <c r="F3131" t="str">
        <f>_xlfn.XLOOKUP(A3131,'[1]Tissue Data'!$A:$A,'[1]Tissue Data'!$I:$I)</f>
        <v>fusiforme</v>
      </c>
      <c r="G3131" t="str">
        <f>_xlfn.XLOOKUP(A3131,'[1]Tissue Data'!$A:$A,'[1]Tissue Data'!J:J)</f>
        <v>U</v>
      </c>
      <c r="H3131" t="str">
        <f>_xlfn.XLOOKUP(A3131,'[1]Tissue Data'!$A:$A,'[1]Tissue Data'!K:K)</f>
        <v>Whole Body</v>
      </c>
      <c r="I3131">
        <f>_xlfn.XLOOKUP(A3131,'[1]Tissue Data'!$A:$A,'[1]Tissue Data'!L:L)</f>
        <v>8</v>
      </c>
      <c r="J3131">
        <f>_xlfn.XLOOKUP(A3131,'[1]Tissue Data'!$A:$A,'[1]Tissue Data'!M:M)</f>
        <v>5.25</v>
      </c>
      <c r="K3131" t="s">
        <v>41</v>
      </c>
      <c r="L3131" t="str">
        <f>_xlfn.XLOOKUP(K3131,[2]analyte_order!$B:$B,[2]analyte_order!$C:$C)</f>
        <v>2355-31-9</v>
      </c>
      <c r="M3131">
        <f>_xlfn.XLOOKUP(L3131,[2]analyte_order!$C:$C,[2]analyte_order!$E:$E)</f>
        <v>26</v>
      </c>
      <c r="N3131">
        <v>0.23350000000000001</v>
      </c>
    </row>
    <row r="3132" spans="1:14">
      <c r="A3132" t="s">
        <v>125</v>
      </c>
      <c r="B3132" t="str">
        <f>_xlfn.XLOOKUP(A3132,'[1]Tissue Data'!$A:$A,'[1]Tissue Data'!$C:$C)</f>
        <v>Spill</v>
      </c>
      <c r="C3132" s="2">
        <f>_xlfn.XLOOKUP(A3132,'[1]Tissue Data'!$A:$A,'[1]Tissue Data'!$D:$D)</f>
        <v>44314</v>
      </c>
      <c r="D3132" s="2" t="s">
        <v>122</v>
      </c>
      <c r="E3132" t="str">
        <f>_xlfn.XLOOKUP(A3132,'[1]Tissue Data'!$A:$A,'[1]Tissue Data'!$H:$H)</f>
        <v>Etheostoma</v>
      </c>
      <c r="F3132" t="str">
        <f>_xlfn.XLOOKUP(A3132,'[1]Tissue Data'!$A:$A,'[1]Tissue Data'!$I:$I)</f>
        <v>fusiforme</v>
      </c>
      <c r="G3132" t="str">
        <f>_xlfn.XLOOKUP(A3132,'[1]Tissue Data'!$A:$A,'[1]Tissue Data'!J:J)</f>
        <v>U</v>
      </c>
      <c r="H3132" t="str">
        <f>_xlfn.XLOOKUP(A3132,'[1]Tissue Data'!$A:$A,'[1]Tissue Data'!K:K)</f>
        <v>Whole Body</v>
      </c>
      <c r="I3132">
        <f>_xlfn.XLOOKUP(A3132,'[1]Tissue Data'!$A:$A,'[1]Tissue Data'!L:L)</f>
        <v>8</v>
      </c>
      <c r="J3132">
        <f>_xlfn.XLOOKUP(A3132,'[1]Tissue Data'!$A:$A,'[1]Tissue Data'!M:M)</f>
        <v>5.25</v>
      </c>
      <c r="K3132" t="s">
        <v>42</v>
      </c>
      <c r="L3132" t="str">
        <f>_xlfn.XLOOKUP(K3132,[2]analyte_order!$B:$B,[2]analyte_order!$C:$C)</f>
        <v>2991-50-6</v>
      </c>
      <c r="M3132">
        <f>_xlfn.XLOOKUP(L3132,[2]analyte_order!$C:$C,[2]analyte_order!$E:$E)</f>
        <v>27</v>
      </c>
      <c r="N3132">
        <v>6.0999999999999999E-2</v>
      </c>
    </row>
    <row r="3133" spans="1:14">
      <c r="A3133" t="s">
        <v>125</v>
      </c>
      <c r="B3133" t="str">
        <f>_xlfn.XLOOKUP(A3133,'[1]Tissue Data'!$A:$A,'[1]Tissue Data'!$C:$C)</f>
        <v>Spill</v>
      </c>
      <c r="C3133" s="2">
        <f>_xlfn.XLOOKUP(A3133,'[1]Tissue Data'!$A:$A,'[1]Tissue Data'!$D:$D)</f>
        <v>44314</v>
      </c>
      <c r="D3133" s="2" t="s">
        <v>122</v>
      </c>
      <c r="E3133" t="str">
        <f>_xlfn.XLOOKUP(A3133,'[1]Tissue Data'!$A:$A,'[1]Tissue Data'!$H:$H)</f>
        <v>Etheostoma</v>
      </c>
      <c r="F3133" t="str">
        <f>_xlfn.XLOOKUP(A3133,'[1]Tissue Data'!$A:$A,'[1]Tissue Data'!$I:$I)</f>
        <v>fusiforme</v>
      </c>
      <c r="G3133" t="str">
        <f>_xlfn.XLOOKUP(A3133,'[1]Tissue Data'!$A:$A,'[1]Tissue Data'!J:J)</f>
        <v>U</v>
      </c>
      <c r="H3133" t="str">
        <f>_xlfn.XLOOKUP(A3133,'[1]Tissue Data'!$A:$A,'[1]Tissue Data'!K:K)</f>
        <v>Whole Body</v>
      </c>
      <c r="I3133">
        <f>_xlfn.XLOOKUP(A3133,'[1]Tissue Data'!$A:$A,'[1]Tissue Data'!L:L)</f>
        <v>8</v>
      </c>
      <c r="J3133">
        <f>_xlfn.XLOOKUP(A3133,'[1]Tissue Data'!$A:$A,'[1]Tissue Data'!M:M)</f>
        <v>5.25</v>
      </c>
      <c r="K3133" t="s">
        <v>43</v>
      </c>
      <c r="L3133" t="str">
        <f>_xlfn.XLOOKUP(K3133,[2]analyte_order!$B:$B,[2]analyte_order!$C:$C)</f>
        <v>757124-72-4</v>
      </c>
      <c r="M3133">
        <f>_xlfn.XLOOKUP(L3133,[2]analyte_order!$C:$C,[2]analyte_order!$E:$E)</f>
        <v>22</v>
      </c>
      <c r="N3133">
        <v>5.7500000000000002E-2</v>
      </c>
    </row>
    <row r="3134" spans="1:14">
      <c r="A3134" t="s">
        <v>125</v>
      </c>
      <c r="B3134" t="str">
        <f>_xlfn.XLOOKUP(A3134,'[1]Tissue Data'!$A:$A,'[1]Tissue Data'!$C:$C)</f>
        <v>Spill</v>
      </c>
      <c r="C3134" s="2">
        <f>_xlfn.XLOOKUP(A3134,'[1]Tissue Data'!$A:$A,'[1]Tissue Data'!$D:$D)</f>
        <v>44314</v>
      </c>
      <c r="D3134" s="2" t="s">
        <v>122</v>
      </c>
      <c r="E3134" t="str">
        <f>_xlfn.XLOOKUP(A3134,'[1]Tissue Data'!$A:$A,'[1]Tissue Data'!$H:$H)</f>
        <v>Etheostoma</v>
      </c>
      <c r="F3134" t="str">
        <f>_xlfn.XLOOKUP(A3134,'[1]Tissue Data'!$A:$A,'[1]Tissue Data'!$I:$I)</f>
        <v>fusiforme</v>
      </c>
      <c r="G3134" t="str">
        <f>_xlfn.XLOOKUP(A3134,'[1]Tissue Data'!$A:$A,'[1]Tissue Data'!J:J)</f>
        <v>U</v>
      </c>
      <c r="H3134" t="str">
        <f>_xlfn.XLOOKUP(A3134,'[1]Tissue Data'!$A:$A,'[1]Tissue Data'!K:K)</f>
        <v>Whole Body</v>
      </c>
      <c r="I3134">
        <f>_xlfn.XLOOKUP(A3134,'[1]Tissue Data'!$A:$A,'[1]Tissue Data'!L:L)</f>
        <v>8</v>
      </c>
      <c r="J3134">
        <f>_xlfn.XLOOKUP(A3134,'[1]Tissue Data'!$A:$A,'[1]Tissue Data'!M:M)</f>
        <v>5.25</v>
      </c>
      <c r="K3134" t="s">
        <v>44</v>
      </c>
      <c r="L3134" t="str">
        <f>_xlfn.XLOOKUP(K3134,[2]analyte_order!$B:$B,[2]analyte_order!$C:$C)</f>
        <v>27619-97-2</v>
      </c>
      <c r="M3134">
        <f>_xlfn.XLOOKUP(L3134,[2]analyte_order!$C:$C,[2]analyte_order!$E:$E)</f>
        <v>23</v>
      </c>
      <c r="N3134">
        <v>0.41</v>
      </c>
    </row>
    <row r="3135" spans="1:14">
      <c r="A3135" t="s">
        <v>125</v>
      </c>
      <c r="B3135" t="str">
        <f>_xlfn.XLOOKUP(A3135,'[1]Tissue Data'!$A:$A,'[1]Tissue Data'!$C:$C)</f>
        <v>Spill</v>
      </c>
      <c r="C3135" s="2">
        <f>_xlfn.XLOOKUP(A3135,'[1]Tissue Data'!$A:$A,'[1]Tissue Data'!$D:$D)</f>
        <v>44314</v>
      </c>
      <c r="D3135" s="2" t="s">
        <v>122</v>
      </c>
      <c r="E3135" t="str">
        <f>_xlfn.XLOOKUP(A3135,'[1]Tissue Data'!$A:$A,'[1]Tissue Data'!$H:$H)</f>
        <v>Etheostoma</v>
      </c>
      <c r="F3135" t="str">
        <f>_xlfn.XLOOKUP(A3135,'[1]Tissue Data'!$A:$A,'[1]Tissue Data'!$I:$I)</f>
        <v>fusiforme</v>
      </c>
      <c r="G3135" t="str">
        <f>_xlfn.XLOOKUP(A3135,'[1]Tissue Data'!$A:$A,'[1]Tissue Data'!J:J)</f>
        <v>U</v>
      </c>
      <c r="H3135" t="str">
        <f>_xlfn.XLOOKUP(A3135,'[1]Tissue Data'!$A:$A,'[1]Tissue Data'!K:K)</f>
        <v>Whole Body</v>
      </c>
      <c r="I3135">
        <f>_xlfn.XLOOKUP(A3135,'[1]Tissue Data'!$A:$A,'[1]Tissue Data'!L:L)</f>
        <v>8</v>
      </c>
      <c r="J3135">
        <f>_xlfn.XLOOKUP(A3135,'[1]Tissue Data'!$A:$A,'[1]Tissue Data'!M:M)</f>
        <v>5.25</v>
      </c>
      <c r="K3135" t="s">
        <v>45</v>
      </c>
      <c r="L3135" t="str">
        <f>_xlfn.XLOOKUP(K3135,[2]analyte_order!$B:$B,[2]analyte_order!$C:$C)</f>
        <v>39108-34-4</v>
      </c>
      <c r="M3135">
        <f>_xlfn.XLOOKUP(L3135,[2]analyte_order!$C:$C,[2]analyte_order!$E:$E)</f>
        <v>24</v>
      </c>
      <c r="N3135">
        <v>3.64</v>
      </c>
    </row>
    <row r="3136" spans="1:14">
      <c r="A3136" t="s">
        <v>125</v>
      </c>
      <c r="B3136" t="str">
        <f>_xlfn.XLOOKUP(A3136,'[1]Tissue Data'!$A:$A,'[1]Tissue Data'!$C:$C)</f>
        <v>Spill</v>
      </c>
      <c r="C3136" s="2">
        <f>_xlfn.XLOOKUP(A3136,'[1]Tissue Data'!$A:$A,'[1]Tissue Data'!$D:$D)</f>
        <v>44314</v>
      </c>
      <c r="D3136" s="2" t="s">
        <v>122</v>
      </c>
      <c r="E3136" t="str">
        <f>_xlfn.XLOOKUP(A3136,'[1]Tissue Data'!$A:$A,'[1]Tissue Data'!$H:$H)</f>
        <v>Etheostoma</v>
      </c>
      <c r="F3136" t="str">
        <f>_xlfn.XLOOKUP(A3136,'[1]Tissue Data'!$A:$A,'[1]Tissue Data'!$I:$I)</f>
        <v>fusiforme</v>
      </c>
      <c r="G3136" t="str">
        <f>_xlfn.XLOOKUP(A3136,'[1]Tissue Data'!$A:$A,'[1]Tissue Data'!J:J)</f>
        <v>U</v>
      </c>
      <c r="H3136" t="str">
        <f>_xlfn.XLOOKUP(A3136,'[1]Tissue Data'!$A:$A,'[1]Tissue Data'!K:K)</f>
        <v>Whole Body</v>
      </c>
      <c r="I3136">
        <f>_xlfn.XLOOKUP(A3136,'[1]Tissue Data'!$A:$A,'[1]Tissue Data'!L:L)</f>
        <v>8</v>
      </c>
      <c r="J3136">
        <f>_xlfn.XLOOKUP(A3136,'[1]Tissue Data'!$A:$A,'[1]Tissue Data'!M:M)</f>
        <v>5.25</v>
      </c>
      <c r="K3136" t="s">
        <v>46</v>
      </c>
      <c r="L3136" t="str">
        <f>_xlfn.XLOOKUP(K3136,[2]analyte_order!$B:$B,[2]analyte_order!$C:$C)</f>
        <v>120226-60-0</v>
      </c>
      <c r="M3136">
        <f>_xlfn.XLOOKUP(L3136,[2]analyte_order!$C:$C,[2]analyte_order!$E:$E)</f>
        <v>25</v>
      </c>
      <c r="N3136">
        <v>0.08</v>
      </c>
    </row>
    <row r="3137" spans="1:14">
      <c r="A3137" t="s">
        <v>125</v>
      </c>
      <c r="B3137" t="str">
        <f>_xlfn.XLOOKUP(A3137,'[1]Tissue Data'!$A:$A,'[1]Tissue Data'!$C:$C)</f>
        <v>Spill</v>
      </c>
      <c r="C3137" s="2">
        <f>_xlfn.XLOOKUP(A3137,'[1]Tissue Data'!$A:$A,'[1]Tissue Data'!$D:$D)</f>
        <v>44314</v>
      </c>
      <c r="D3137" s="2" t="s">
        <v>122</v>
      </c>
      <c r="E3137" t="str">
        <f>_xlfn.XLOOKUP(A3137,'[1]Tissue Data'!$A:$A,'[1]Tissue Data'!$H:$H)</f>
        <v>Etheostoma</v>
      </c>
      <c r="F3137" t="str">
        <f>_xlfn.XLOOKUP(A3137,'[1]Tissue Data'!$A:$A,'[1]Tissue Data'!$I:$I)</f>
        <v>fusiforme</v>
      </c>
      <c r="G3137" t="str">
        <f>_xlfn.XLOOKUP(A3137,'[1]Tissue Data'!$A:$A,'[1]Tissue Data'!J:J)</f>
        <v>U</v>
      </c>
      <c r="H3137" t="str">
        <f>_xlfn.XLOOKUP(A3137,'[1]Tissue Data'!$A:$A,'[1]Tissue Data'!K:K)</f>
        <v>Whole Body</v>
      </c>
      <c r="I3137">
        <f>_xlfn.XLOOKUP(A3137,'[1]Tissue Data'!$A:$A,'[1]Tissue Data'!L:L)</f>
        <v>8</v>
      </c>
      <c r="J3137">
        <f>_xlfn.XLOOKUP(A3137,'[1]Tissue Data'!$A:$A,'[1]Tissue Data'!M:M)</f>
        <v>5.25</v>
      </c>
      <c r="K3137" t="s">
        <v>47</v>
      </c>
      <c r="L3137" t="str">
        <f>_xlfn.XLOOKUP(K3137,[2]analyte_order!$B:$B,[2]analyte_order!$C:$C)</f>
        <v>356-02-5</v>
      </c>
      <c r="M3137">
        <f>_xlfn.XLOOKUP(L3137,[2]analyte_order!$C:$C,[2]analyte_order!$E:$E)</f>
        <v>38</v>
      </c>
      <c r="N3137">
        <v>8.1000000000000003E-2</v>
      </c>
    </row>
    <row r="3138" spans="1:14">
      <c r="A3138" t="s">
        <v>125</v>
      </c>
      <c r="B3138" t="str">
        <f>_xlfn.XLOOKUP(A3138,'[1]Tissue Data'!$A:$A,'[1]Tissue Data'!$C:$C)</f>
        <v>Spill</v>
      </c>
      <c r="C3138" s="2">
        <f>_xlfn.XLOOKUP(A3138,'[1]Tissue Data'!$A:$A,'[1]Tissue Data'!$D:$D)</f>
        <v>44314</v>
      </c>
      <c r="D3138" s="2" t="s">
        <v>122</v>
      </c>
      <c r="E3138" t="str">
        <f>_xlfn.XLOOKUP(A3138,'[1]Tissue Data'!$A:$A,'[1]Tissue Data'!$H:$H)</f>
        <v>Etheostoma</v>
      </c>
      <c r="F3138" t="str">
        <f>_xlfn.XLOOKUP(A3138,'[1]Tissue Data'!$A:$A,'[1]Tissue Data'!$I:$I)</f>
        <v>fusiforme</v>
      </c>
      <c r="G3138" t="str">
        <f>_xlfn.XLOOKUP(A3138,'[1]Tissue Data'!$A:$A,'[1]Tissue Data'!J:J)</f>
        <v>U</v>
      </c>
      <c r="H3138" t="str">
        <f>_xlfn.XLOOKUP(A3138,'[1]Tissue Data'!$A:$A,'[1]Tissue Data'!K:K)</f>
        <v>Whole Body</v>
      </c>
      <c r="I3138">
        <f>_xlfn.XLOOKUP(A3138,'[1]Tissue Data'!$A:$A,'[1]Tissue Data'!L:L)</f>
        <v>8</v>
      </c>
      <c r="J3138">
        <f>_xlfn.XLOOKUP(A3138,'[1]Tissue Data'!$A:$A,'[1]Tissue Data'!M:M)</f>
        <v>5.25</v>
      </c>
      <c r="K3138" t="s">
        <v>48</v>
      </c>
      <c r="L3138" t="str">
        <f>_xlfn.XLOOKUP(K3138,[2]analyte_order!$B:$B,[2]analyte_order!$C:$C)</f>
        <v>914637-49-3</v>
      </c>
      <c r="M3138">
        <f>_xlfn.XLOOKUP(L3138,[2]analyte_order!$C:$C,[2]analyte_order!$E:$E)</f>
        <v>39</v>
      </c>
      <c r="N3138">
        <v>1.44</v>
      </c>
    </row>
    <row r="3139" spans="1:14">
      <c r="A3139" t="s">
        <v>125</v>
      </c>
      <c r="B3139" t="str">
        <f>_xlfn.XLOOKUP(A3139,'[1]Tissue Data'!$A:$A,'[1]Tissue Data'!$C:$C)</f>
        <v>Spill</v>
      </c>
      <c r="C3139" s="2">
        <f>_xlfn.XLOOKUP(A3139,'[1]Tissue Data'!$A:$A,'[1]Tissue Data'!$D:$D)</f>
        <v>44314</v>
      </c>
      <c r="D3139" s="2" t="s">
        <v>122</v>
      </c>
      <c r="E3139" t="str">
        <f>_xlfn.XLOOKUP(A3139,'[1]Tissue Data'!$A:$A,'[1]Tissue Data'!$H:$H)</f>
        <v>Etheostoma</v>
      </c>
      <c r="F3139" t="str">
        <f>_xlfn.XLOOKUP(A3139,'[1]Tissue Data'!$A:$A,'[1]Tissue Data'!$I:$I)</f>
        <v>fusiforme</v>
      </c>
      <c r="G3139" t="str">
        <f>_xlfn.XLOOKUP(A3139,'[1]Tissue Data'!$A:$A,'[1]Tissue Data'!J:J)</f>
        <v>U</v>
      </c>
      <c r="H3139" t="str">
        <f>_xlfn.XLOOKUP(A3139,'[1]Tissue Data'!$A:$A,'[1]Tissue Data'!K:K)</f>
        <v>Whole Body</v>
      </c>
      <c r="I3139">
        <f>_xlfn.XLOOKUP(A3139,'[1]Tissue Data'!$A:$A,'[1]Tissue Data'!L:L)</f>
        <v>8</v>
      </c>
      <c r="J3139">
        <f>_xlfn.XLOOKUP(A3139,'[1]Tissue Data'!$A:$A,'[1]Tissue Data'!M:M)</f>
        <v>5.25</v>
      </c>
      <c r="K3139" t="s">
        <v>49</v>
      </c>
      <c r="L3139" t="str">
        <f>_xlfn.XLOOKUP(K3139,[2]analyte_order!$B:$B,[2]analyte_order!$C:$C)</f>
        <v>812-70-4</v>
      </c>
      <c r="M3139">
        <f>_xlfn.XLOOKUP(L3139,[2]analyte_order!$C:$C,[2]analyte_order!$E:$E)</f>
        <v>40</v>
      </c>
      <c r="N3139">
        <v>18</v>
      </c>
    </row>
    <row r="3140" spans="1:14">
      <c r="A3140" t="s">
        <v>125</v>
      </c>
      <c r="B3140" t="str">
        <f>_xlfn.XLOOKUP(A3140,'[1]Tissue Data'!$A:$A,'[1]Tissue Data'!$C:$C)</f>
        <v>Spill</v>
      </c>
      <c r="C3140" s="2">
        <f>_xlfn.XLOOKUP(A3140,'[1]Tissue Data'!$A:$A,'[1]Tissue Data'!$D:$D)</f>
        <v>44314</v>
      </c>
      <c r="D3140" s="2" t="s">
        <v>122</v>
      </c>
      <c r="E3140" t="str">
        <f>_xlfn.XLOOKUP(A3140,'[1]Tissue Data'!$A:$A,'[1]Tissue Data'!$H:$H)</f>
        <v>Etheostoma</v>
      </c>
      <c r="F3140" t="str">
        <f>_xlfn.XLOOKUP(A3140,'[1]Tissue Data'!$A:$A,'[1]Tissue Data'!$I:$I)</f>
        <v>fusiforme</v>
      </c>
      <c r="G3140" t="str">
        <f>_xlfn.XLOOKUP(A3140,'[1]Tissue Data'!$A:$A,'[1]Tissue Data'!J:J)</f>
        <v>U</v>
      </c>
      <c r="H3140" t="str">
        <f>_xlfn.XLOOKUP(A3140,'[1]Tissue Data'!$A:$A,'[1]Tissue Data'!K:K)</f>
        <v>Whole Body</v>
      </c>
      <c r="I3140">
        <f>_xlfn.XLOOKUP(A3140,'[1]Tissue Data'!$A:$A,'[1]Tissue Data'!L:L)</f>
        <v>8</v>
      </c>
      <c r="J3140">
        <f>_xlfn.XLOOKUP(A3140,'[1]Tissue Data'!$A:$A,'[1]Tissue Data'!M:M)</f>
        <v>5.25</v>
      </c>
      <c r="K3140" t="s">
        <v>50</v>
      </c>
      <c r="L3140" t="str">
        <f>_xlfn.XLOOKUP(K3140,[2]analyte_order!$B:$B,[2]analyte_order!$C:$C)</f>
        <v>53826-12-3</v>
      </c>
      <c r="M3140">
        <f>_xlfn.XLOOKUP(L3140,[2]analyte_order!$C:$C,[2]analyte_order!$E:$E)</f>
        <v>41</v>
      </c>
      <c r="N3140">
        <v>4.5150000000000003E-2</v>
      </c>
    </row>
    <row r="3141" spans="1:14">
      <c r="A3141" t="s">
        <v>125</v>
      </c>
      <c r="B3141" t="str">
        <f>_xlfn.XLOOKUP(A3141,'[1]Tissue Data'!$A:$A,'[1]Tissue Data'!$C:$C)</f>
        <v>Spill</v>
      </c>
      <c r="C3141" s="2">
        <f>_xlfn.XLOOKUP(A3141,'[1]Tissue Data'!$A:$A,'[1]Tissue Data'!$D:$D)</f>
        <v>44314</v>
      </c>
      <c r="D3141" s="2" t="s">
        <v>122</v>
      </c>
      <c r="E3141" t="str">
        <f>_xlfn.XLOOKUP(A3141,'[1]Tissue Data'!$A:$A,'[1]Tissue Data'!$H:$H)</f>
        <v>Etheostoma</v>
      </c>
      <c r="F3141" t="str">
        <f>_xlfn.XLOOKUP(A3141,'[1]Tissue Data'!$A:$A,'[1]Tissue Data'!$I:$I)</f>
        <v>fusiforme</v>
      </c>
      <c r="G3141" t="str">
        <f>_xlfn.XLOOKUP(A3141,'[1]Tissue Data'!$A:$A,'[1]Tissue Data'!J:J)</f>
        <v>U</v>
      </c>
      <c r="H3141" t="str">
        <f>_xlfn.XLOOKUP(A3141,'[1]Tissue Data'!$A:$A,'[1]Tissue Data'!K:K)</f>
        <v>Whole Body</v>
      </c>
      <c r="I3141">
        <f>_xlfn.XLOOKUP(A3141,'[1]Tissue Data'!$A:$A,'[1]Tissue Data'!L:L)</f>
        <v>8</v>
      </c>
      <c r="J3141">
        <f>_xlfn.XLOOKUP(A3141,'[1]Tissue Data'!$A:$A,'[1]Tissue Data'!M:M)</f>
        <v>5.25</v>
      </c>
      <c r="K3141" t="s">
        <v>51</v>
      </c>
      <c r="L3141" t="str">
        <f>_xlfn.XLOOKUP(K3141,[2]analyte_order!$B:$B,[2]analyte_order!$C:$C)</f>
        <v>27854-31-5</v>
      </c>
      <c r="M3141">
        <f>_xlfn.XLOOKUP(L3141,[2]analyte_order!$C:$C,[2]analyte_order!$E:$E)</f>
        <v>42</v>
      </c>
      <c r="N3141">
        <v>2.8199999999999999E-2</v>
      </c>
    </row>
    <row r="3142" spans="1:14">
      <c r="A3142" t="s">
        <v>125</v>
      </c>
      <c r="B3142" t="str">
        <f>_xlfn.XLOOKUP(A3142,'[1]Tissue Data'!$A:$A,'[1]Tissue Data'!$C:$C)</f>
        <v>Spill</v>
      </c>
      <c r="C3142" s="2">
        <f>_xlfn.XLOOKUP(A3142,'[1]Tissue Data'!$A:$A,'[1]Tissue Data'!$D:$D)</f>
        <v>44314</v>
      </c>
      <c r="D3142" s="2" t="s">
        <v>122</v>
      </c>
      <c r="E3142" t="str">
        <f>_xlfn.XLOOKUP(A3142,'[1]Tissue Data'!$A:$A,'[1]Tissue Data'!$H:$H)</f>
        <v>Etheostoma</v>
      </c>
      <c r="F3142" t="str">
        <f>_xlfn.XLOOKUP(A3142,'[1]Tissue Data'!$A:$A,'[1]Tissue Data'!$I:$I)</f>
        <v>fusiforme</v>
      </c>
      <c r="G3142" t="str">
        <f>_xlfn.XLOOKUP(A3142,'[1]Tissue Data'!$A:$A,'[1]Tissue Data'!J:J)</f>
        <v>U</v>
      </c>
      <c r="H3142" t="str">
        <f>_xlfn.XLOOKUP(A3142,'[1]Tissue Data'!$A:$A,'[1]Tissue Data'!K:K)</f>
        <v>Whole Body</v>
      </c>
      <c r="I3142">
        <f>_xlfn.XLOOKUP(A3142,'[1]Tissue Data'!$A:$A,'[1]Tissue Data'!L:L)</f>
        <v>8</v>
      </c>
      <c r="J3142">
        <f>_xlfn.XLOOKUP(A3142,'[1]Tissue Data'!$A:$A,'[1]Tissue Data'!M:M)</f>
        <v>5.25</v>
      </c>
      <c r="K3142" t="s">
        <v>52</v>
      </c>
      <c r="L3142" t="str">
        <f>_xlfn.XLOOKUP(K3142,[2]analyte_order!$B:$B,[2]analyte_order!$C:$C)</f>
        <v>53826-13-4</v>
      </c>
      <c r="M3142">
        <f>_xlfn.XLOOKUP(L3142,[2]analyte_order!$C:$C,[2]analyte_order!$E:$E)</f>
        <v>43</v>
      </c>
      <c r="N3142">
        <v>0.105</v>
      </c>
    </row>
    <row r="3143" spans="1:14">
      <c r="A3143" t="s">
        <v>125</v>
      </c>
      <c r="B3143" t="str">
        <f>_xlfn.XLOOKUP(A3143,'[1]Tissue Data'!$A:$A,'[1]Tissue Data'!$C:$C)</f>
        <v>Spill</v>
      </c>
      <c r="C3143" s="2">
        <f>_xlfn.XLOOKUP(A3143,'[1]Tissue Data'!$A:$A,'[1]Tissue Data'!$D:$D)</f>
        <v>44314</v>
      </c>
      <c r="D3143" s="2" t="s">
        <v>122</v>
      </c>
      <c r="E3143" t="str">
        <f>_xlfn.XLOOKUP(A3143,'[1]Tissue Data'!$A:$A,'[1]Tissue Data'!$H:$H)</f>
        <v>Etheostoma</v>
      </c>
      <c r="F3143" t="str">
        <f>_xlfn.XLOOKUP(A3143,'[1]Tissue Data'!$A:$A,'[1]Tissue Data'!$I:$I)</f>
        <v>fusiforme</v>
      </c>
      <c r="G3143" t="str">
        <f>_xlfn.XLOOKUP(A3143,'[1]Tissue Data'!$A:$A,'[1]Tissue Data'!J:J)</f>
        <v>U</v>
      </c>
      <c r="H3143" t="str">
        <f>_xlfn.XLOOKUP(A3143,'[1]Tissue Data'!$A:$A,'[1]Tissue Data'!K:K)</f>
        <v>Whole Body</v>
      </c>
      <c r="I3143">
        <f>_xlfn.XLOOKUP(A3143,'[1]Tissue Data'!$A:$A,'[1]Tissue Data'!L:L)</f>
        <v>8</v>
      </c>
      <c r="J3143">
        <f>_xlfn.XLOOKUP(A3143,'[1]Tissue Data'!$A:$A,'[1]Tissue Data'!M:M)</f>
        <v>5.25</v>
      </c>
      <c r="K3143" t="s">
        <v>53</v>
      </c>
      <c r="L3143" t="str">
        <f>_xlfn.XLOOKUP(K3143,[2]analyte_order!$B:$B,[2]analyte_order!$C:$C)</f>
        <v>161094-75-3</v>
      </c>
      <c r="M3143">
        <f>_xlfn.XLOOKUP(L3143,[2]analyte_order!$C:$C,[2]analyte_order!$E:$E)</f>
        <v>44</v>
      </c>
      <c r="N3143">
        <v>5.5500000000000001E-2</v>
      </c>
    </row>
    <row r="3144" spans="1:14">
      <c r="A3144" t="s">
        <v>125</v>
      </c>
      <c r="B3144" t="str">
        <f>_xlfn.XLOOKUP(A3144,'[1]Tissue Data'!$A:$A,'[1]Tissue Data'!$C:$C)</f>
        <v>Spill</v>
      </c>
      <c r="C3144" s="2">
        <f>_xlfn.XLOOKUP(A3144,'[1]Tissue Data'!$A:$A,'[1]Tissue Data'!$D:$D)</f>
        <v>44314</v>
      </c>
      <c r="D3144" s="2" t="s">
        <v>122</v>
      </c>
      <c r="E3144" t="str">
        <f>_xlfn.XLOOKUP(A3144,'[1]Tissue Data'!$A:$A,'[1]Tissue Data'!$H:$H)</f>
        <v>Etheostoma</v>
      </c>
      <c r="F3144" t="str">
        <f>_xlfn.XLOOKUP(A3144,'[1]Tissue Data'!$A:$A,'[1]Tissue Data'!$I:$I)</f>
        <v>fusiforme</v>
      </c>
      <c r="G3144" t="str">
        <f>_xlfn.XLOOKUP(A3144,'[1]Tissue Data'!$A:$A,'[1]Tissue Data'!J:J)</f>
        <v>U</v>
      </c>
      <c r="H3144" t="str">
        <f>_xlfn.XLOOKUP(A3144,'[1]Tissue Data'!$A:$A,'[1]Tissue Data'!K:K)</f>
        <v>Whole Body</v>
      </c>
      <c r="I3144">
        <f>_xlfn.XLOOKUP(A3144,'[1]Tissue Data'!$A:$A,'[1]Tissue Data'!L:L)</f>
        <v>8</v>
      </c>
      <c r="J3144">
        <f>_xlfn.XLOOKUP(A3144,'[1]Tissue Data'!$A:$A,'[1]Tissue Data'!M:M)</f>
        <v>5.25</v>
      </c>
      <c r="K3144" t="s">
        <v>54</v>
      </c>
      <c r="L3144" t="str">
        <f>_xlfn.XLOOKUP(K3144,[2]analyte_order!$B:$B,[2]analyte_order!$C:$C)</f>
        <v>70887-84-2</v>
      </c>
      <c r="M3144">
        <f>_xlfn.XLOOKUP(L3144,[2]analyte_order!$C:$C,[2]analyte_order!$E:$E)</f>
        <v>45</v>
      </c>
      <c r="N3144">
        <v>4.2599999999999999E-2</v>
      </c>
    </row>
    <row r="3145" spans="1:14">
      <c r="A3145" t="s">
        <v>125</v>
      </c>
      <c r="B3145" t="str">
        <f>_xlfn.XLOOKUP(A3145,'[1]Tissue Data'!$A:$A,'[1]Tissue Data'!$C:$C)</f>
        <v>Spill</v>
      </c>
      <c r="C3145" s="2">
        <f>_xlfn.XLOOKUP(A3145,'[1]Tissue Data'!$A:$A,'[1]Tissue Data'!$D:$D)</f>
        <v>44314</v>
      </c>
      <c r="D3145" s="2" t="s">
        <v>122</v>
      </c>
      <c r="E3145" t="str">
        <f>_xlfn.XLOOKUP(A3145,'[1]Tissue Data'!$A:$A,'[1]Tissue Data'!$H:$H)</f>
        <v>Etheostoma</v>
      </c>
      <c r="F3145" t="str">
        <f>_xlfn.XLOOKUP(A3145,'[1]Tissue Data'!$A:$A,'[1]Tissue Data'!$I:$I)</f>
        <v>fusiforme</v>
      </c>
      <c r="G3145" t="str">
        <f>_xlfn.XLOOKUP(A3145,'[1]Tissue Data'!$A:$A,'[1]Tissue Data'!J:J)</f>
        <v>U</v>
      </c>
      <c r="H3145" t="str">
        <f>_xlfn.XLOOKUP(A3145,'[1]Tissue Data'!$A:$A,'[1]Tissue Data'!K:K)</f>
        <v>Whole Body</v>
      </c>
      <c r="I3145">
        <f>_xlfn.XLOOKUP(A3145,'[1]Tissue Data'!$A:$A,'[1]Tissue Data'!L:L)</f>
        <v>8</v>
      </c>
      <c r="J3145">
        <f>_xlfn.XLOOKUP(A3145,'[1]Tissue Data'!$A:$A,'[1]Tissue Data'!M:M)</f>
        <v>5.25</v>
      </c>
      <c r="K3145" t="s">
        <v>55</v>
      </c>
      <c r="L3145" t="str">
        <f>_xlfn.XLOOKUP(K3145,[2]analyte_order!$B:$B,[2]analyte_order!$C:$C)</f>
        <v>919005-14-4</v>
      </c>
      <c r="M3145">
        <f>_xlfn.XLOOKUP(L3145,[2]analyte_order!$C:$C,[2]analyte_order!$E:$E)</f>
        <v>35</v>
      </c>
      <c r="N3145">
        <v>7.0499999999999993E-2</v>
      </c>
    </row>
    <row r="3146" spans="1:14">
      <c r="A3146" t="s">
        <v>125</v>
      </c>
      <c r="B3146" t="str">
        <f>_xlfn.XLOOKUP(A3146,'[1]Tissue Data'!$A:$A,'[1]Tissue Data'!$C:$C)</f>
        <v>Spill</v>
      </c>
      <c r="C3146" s="2">
        <f>_xlfn.XLOOKUP(A3146,'[1]Tissue Data'!$A:$A,'[1]Tissue Data'!$D:$D)</f>
        <v>44314</v>
      </c>
      <c r="D3146" s="2" t="s">
        <v>122</v>
      </c>
      <c r="E3146" t="str">
        <f>_xlfn.XLOOKUP(A3146,'[1]Tissue Data'!$A:$A,'[1]Tissue Data'!$H:$H)</f>
        <v>Etheostoma</v>
      </c>
      <c r="F3146" t="str">
        <f>_xlfn.XLOOKUP(A3146,'[1]Tissue Data'!$A:$A,'[1]Tissue Data'!$I:$I)</f>
        <v>fusiforme</v>
      </c>
      <c r="G3146" t="str">
        <f>_xlfn.XLOOKUP(A3146,'[1]Tissue Data'!$A:$A,'[1]Tissue Data'!J:J)</f>
        <v>U</v>
      </c>
      <c r="H3146" t="str">
        <f>_xlfn.XLOOKUP(A3146,'[1]Tissue Data'!$A:$A,'[1]Tissue Data'!K:K)</f>
        <v>Whole Body</v>
      </c>
      <c r="I3146">
        <f>_xlfn.XLOOKUP(A3146,'[1]Tissue Data'!$A:$A,'[1]Tissue Data'!L:L)</f>
        <v>8</v>
      </c>
      <c r="J3146">
        <f>_xlfn.XLOOKUP(A3146,'[1]Tissue Data'!$A:$A,'[1]Tissue Data'!M:M)</f>
        <v>5.25</v>
      </c>
      <c r="K3146" t="s">
        <v>56</v>
      </c>
      <c r="L3146" t="str">
        <f>_xlfn.XLOOKUP(K3146,[2]analyte_order!$B:$B,[2]analyte_order!$C:$C)</f>
        <v>756426-58-1</v>
      </c>
      <c r="M3146">
        <f>_xlfn.XLOOKUP(L3146,[2]analyte_order!$C:$C,[2]analyte_order!$E:$E)</f>
        <v>36</v>
      </c>
      <c r="N3146">
        <v>4.8800000000000003E-2</v>
      </c>
    </row>
    <row r="3147" spans="1:14">
      <c r="A3147" t="s">
        <v>125</v>
      </c>
      <c r="B3147" t="str">
        <f>_xlfn.XLOOKUP(A3147,'[1]Tissue Data'!$A:$A,'[1]Tissue Data'!$C:$C)</f>
        <v>Spill</v>
      </c>
      <c r="C3147" s="2">
        <f>_xlfn.XLOOKUP(A3147,'[1]Tissue Data'!$A:$A,'[1]Tissue Data'!$D:$D)</f>
        <v>44314</v>
      </c>
      <c r="D3147" s="2" t="s">
        <v>122</v>
      </c>
      <c r="E3147" t="str">
        <f>_xlfn.XLOOKUP(A3147,'[1]Tissue Data'!$A:$A,'[1]Tissue Data'!$H:$H)</f>
        <v>Etheostoma</v>
      </c>
      <c r="F3147" t="str">
        <f>_xlfn.XLOOKUP(A3147,'[1]Tissue Data'!$A:$A,'[1]Tissue Data'!$I:$I)</f>
        <v>fusiforme</v>
      </c>
      <c r="G3147" t="str">
        <f>_xlfn.XLOOKUP(A3147,'[1]Tissue Data'!$A:$A,'[1]Tissue Data'!J:J)</f>
        <v>U</v>
      </c>
      <c r="H3147" t="str">
        <f>_xlfn.XLOOKUP(A3147,'[1]Tissue Data'!$A:$A,'[1]Tissue Data'!K:K)</f>
        <v>Whole Body</v>
      </c>
      <c r="I3147">
        <f>_xlfn.XLOOKUP(A3147,'[1]Tissue Data'!$A:$A,'[1]Tissue Data'!L:L)</f>
        <v>8</v>
      </c>
      <c r="J3147">
        <f>_xlfn.XLOOKUP(A3147,'[1]Tissue Data'!$A:$A,'[1]Tissue Data'!M:M)</f>
        <v>5.25</v>
      </c>
      <c r="K3147" t="s">
        <v>57</v>
      </c>
      <c r="L3147" t="str">
        <f>_xlfn.XLOOKUP(K3147,[2]analyte_order!$B:$B,[2]analyte_order!$C:$C)</f>
        <v>763051-92-9</v>
      </c>
      <c r="M3147">
        <f>_xlfn.XLOOKUP(L3147,[2]analyte_order!$C:$C,[2]analyte_order!$E:$E)</f>
        <v>37</v>
      </c>
      <c r="N3147">
        <v>5.5500000000000001E-2</v>
      </c>
    </row>
    <row r="3148" spans="1:14">
      <c r="A3148" t="s">
        <v>125</v>
      </c>
      <c r="B3148" t="str">
        <f>_xlfn.XLOOKUP(A3148,'[1]Tissue Data'!$A:$A,'[1]Tissue Data'!$C:$C)</f>
        <v>Spill</v>
      </c>
      <c r="C3148" s="2">
        <f>_xlfn.XLOOKUP(A3148,'[1]Tissue Data'!$A:$A,'[1]Tissue Data'!$D:$D)</f>
        <v>44314</v>
      </c>
      <c r="D3148" s="2" t="s">
        <v>122</v>
      </c>
      <c r="E3148" t="str">
        <f>_xlfn.XLOOKUP(A3148,'[1]Tissue Data'!$A:$A,'[1]Tissue Data'!$H:$H)</f>
        <v>Etheostoma</v>
      </c>
      <c r="F3148" t="str">
        <f>_xlfn.XLOOKUP(A3148,'[1]Tissue Data'!$A:$A,'[1]Tissue Data'!$I:$I)</f>
        <v>fusiforme</v>
      </c>
      <c r="G3148" t="str">
        <f>_xlfn.XLOOKUP(A3148,'[1]Tissue Data'!$A:$A,'[1]Tissue Data'!J:J)</f>
        <v>U</v>
      </c>
      <c r="H3148" t="str">
        <f>_xlfn.XLOOKUP(A3148,'[1]Tissue Data'!$A:$A,'[1]Tissue Data'!K:K)</f>
        <v>Whole Body</v>
      </c>
      <c r="I3148">
        <f>_xlfn.XLOOKUP(A3148,'[1]Tissue Data'!$A:$A,'[1]Tissue Data'!L:L)</f>
        <v>8</v>
      </c>
      <c r="J3148">
        <f>_xlfn.XLOOKUP(A3148,'[1]Tissue Data'!$A:$A,'[1]Tissue Data'!M:M)</f>
        <v>5.25</v>
      </c>
      <c r="K3148" t="s">
        <v>58</v>
      </c>
      <c r="L3148" t="str">
        <f>_xlfn.XLOOKUP(K3148,[2]analyte_order!$B:$B,[2]analyte_order!$C:$C)</f>
        <v>13252-13-6</v>
      </c>
      <c r="M3148">
        <f>_xlfn.XLOOKUP(L3148,[2]analyte_order!$C:$C,[2]analyte_order!$E:$E)</f>
        <v>34</v>
      </c>
      <c r="N3148">
        <v>0.10100000000000001</v>
      </c>
    </row>
    <row r="3149" spans="1:14">
      <c r="A3149" t="s">
        <v>125</v>
      </c>
      <c r="B3149" t="str">
        <f>_xlfn.XLOOKUP(A3149,'[1]Tissue Data'!$A:$A,'[1]Tissue Data'!$C:$C)</f>
        <v>Spill</v>
      </c>
      <c r="C3149" s="2">
        <f>_xlfn.XLOOKUP(A3149,'[1]Tissue Data'!$A:$A,'[1]Tissue Data'!$D:$D)</f>
        <v>44314</v>
      </c>
      <c r="D3149" s="2" t="s">
        <v>122</v>
      </c>
      <c r="E3149" t="str">
        <f>_xlfn.XLOOKUP(A3149,'[1]Tissue Data'!$A:$A,'[1]Tissue Data'!$H:$H)</f>
        <v>Etheostoma</v>
      </c>
      <c r="F3149" t="str">
        <f>_xlfn.XLOOKUP(A3149,'[1]Tissue Data'!$A:$A,'[1]Tissue Data'!$I:$I)</f>
        <v>fusiforme</v>
      </c>
      <c r="G3149" t="str">
        <f>_xlfn.XLOOKUP(A3149,'[1]Tissue Data'!$A:$A,'[1]Tissue Data'!J:J)</f>
        <v>U</v>
      </c>
      <c r="H3149" t="str">
        <f>_xlfn.XLOOKUP(A3149,'[1]Tissue Data'!$A:$A,'[1]Tissue Data'!K:K)</f>
        <v>Whole Body</v>
      </c>
      <c r="I3149">
        <f>_xlfn.XLOOKUP(A3149,'[1]Tissue Data'!$A:$A,'[1]Tissue Data'!L:L)</f>
        <v>8</v>
      </c>
      <c r="J3149">
        <f>_xlfn.XLOOKUP(A3149,'[1]Tissue Data'!$A:$A,'[1]Tissue Data'!M:M)</f>
        <v>5.25</v>
      </c>
      <c r="K3149" t="s">
        <v>59</v>
      </c>
      <c r="L3149" t="str">
        <f>_xlfn.XLOOKUP(K3149,[2]analyte_order!$B:$B,[2]analyte_order!$C:$C)</f>
        <v>57677-95-9</v>
      </c>
      <c r="M3149">
        <f>_xlfn.XLOOKUP(L3149,[2]analyte_order!$C:$C,[2]analyte_order!$E:$E)</f>
        <v>46</v>
      </c>
      <c r="N3149">
        <v>7.4999999999999997E-2</v>
      </c>
    </row>
    <row r="3150" spans="1:14">
      <c r="A3150" t="s">
        <v>125</v>
      </c>
      <c r="B3150" t="str">
        <f>_xlfn.XLOOKUP(A3150,'[1]Tissue Data'!$A:$A,'[1]Tissue Data'!$C:$C)</f>
        <v>Spill</v>
      </c>
      <c r="C3150" s="2">
        <f>_xlfn.XLOOKUP(A3150,'[1]Tissue Data'!$A:$A,'[1]Tissue Data'!$D:$D)</f>
        <v>44314</v>
      </c>
      <c r="D3150" s="2" t="s">
        <v>122</v>
      </c>
      <c r="E3150" t="str">
        <f>_xlfn.XLOOKUP(A3150,'[1]Tissue Data'!$A:$A,'[1]Tissue Data'!$H:$H)</f>
        <v>Etheostoma</v>
      </c>
      <c r="F3150" t="str">
        <f>_xlfn.XLOOKUP(A3150,'[1]Tissue Data'!$A:$A,'[1]Tissue Data'!$I:$I)</f>
        <v>fusiforme</v>
      </c>
      <c r="G3150" t="str">
        <f>_xlfn.XLOOKUP(A3150,'[1]Tissue Data'!$A:$A,'[1]Tissue Data'!J:J)</f>
        <v>U</v>
      </c>
      <c r="H3150" t="str">
        <f>_xlfn.XLOOKUP(A3150,'[1]Tissue Data'!$A:$A,'[1]Tissue Data'!K:K)</f>
        <v>Whole Body</v>
      </c>
      <c r="I3150">
        <f>_xlfn.XLOOKUP(A3150,'[1]Tissue Data'!$A:$A,'[1]Tissue Data'!L:L)</f>
        <v>8</v>
      </c>
      <c r="J3150">
        <f>_xlfn.XLOOKUP(A3150,'[1]Tissue Data'!$A:$A,'[1]Tissue Data'!M:M)</f>
        <v>5.25</v>
      </c>
      <c r="K3150" t="s">
        <v>60</v>
      </c>
      <c r="L3150" t="str">
        <f>_xlfn.XLOOKUP(K3150,[2]analyte_order!$B:$B,[2]analyte_order!$C:$C)</f>
        <v>678-41-1</v>
      </c>
      <c r="M3150">
        <f>_xlfn.XLOOKUP(L3150,[2]analyte_order!$C:$C,[2]analyte_order!$E:$E)</f>
        <v>56</v>
      </c>
      <c r="N3150">
        <v>9.35E-2</v>
      </c>
    </row>
    <row r="3151" spans="1:14">
      <c r="A3151" t="s">
        <v>125</v>
      </c>
      <c r="B3151" t="str">
        <f>_xlfn.XLOOKUP(A3151,'[1]Tissue Data'!$A:$A,'[1]Tissue Data'!$C:$C)</f>
        <v>Spill</v>
      </c>
      <c r="C3151" s="2">
        <f>_xlfn.XLOOKUP(A3151,'[1]Tissue Data'!$A:$A,'[1]Tissue Data'!$D:$D)</f>
        <v>44314</v>
      </c>
      <c r="D3151" s="2" t="s">
        <v>122</v>
      </c>
      <c r="E3151" t="str">
        <f>_xlfn.XLOOKUP(A3151,'[1]Tissue Data'!$A:$A,'[1]Tissue Data'!$H:$H)</f>
        <v>Etheostoma</v>
      </c>
      <c r="F3151" t="str">
        <f>_xlfn.XLOOKUP(A3151,'[1]Tissue Data'!$A:$A,'[1]Tissue Data'!$I:$I)</f>
        <v>fusiforme</v>
      </c>
      <c r="G3151" t="str">
        <f>_xlfn.XLOOKUP(A3151,'[1]Tissue Data'!$A:$A,'[1]Tissue Data'!J:J)</f>
        <v>U</v>
      </c>
      <c r="H3151" t="str">
        <f>_xlfn.XLOOKUP(A3151,'[1]Tissue Data'!$A:$A,'[1]Tissue Data'!K:K)</f>
        <v>Whole Body</v>
      </c>
      <c r="I3151">
        <f>_xlfn.XLOOKUP(A3151,'[1]Tissue Data'!$A:$A,'[1]Tissue Data'!L:L)</f>
        <v>8</v>
      </c>
      <c r="J3151">
        <f>_xlfn.XLOOKUP(A3151,'[1]Tissue Data'!$A:$A,'[1]Tissue Data'!M:M)</f>
        <v>5.25</v>
      </c>
      <c r="K3151" t="s">
        <v>61</v>
      </c>
      <c r="L3151" t="str">
        <f>_xlfn.XLOOKUP(K3151,[2]analyte_order!$B:$B,[2]analyte_order!$C:$C)</f>
        <v>2965-52-8</v>
      </c>
      <c r="M3151">
        <f>_xlfn.XLOOKUP(L3151,[2]analyte_order!$C:$C,[2]analyte_order!$E:$E)</f>
        <v>57</v>
      </c>
      <c r="N3151">
        <v>0.124</v>
      </c>
    </row>
    <row r="3152" spans="1:14">
      <c r="A3152" t="s">
        <v>126</v>
      </c>
      <c r="B3152" t="str">
        <f>_xlfn.XLOOKUP(A3152,'[1]Tissue Data'!$A:$A,'[1]Tissue Data'!$C:$C)</f>
        <v>Spill</v>
      </c>
      <c r="C3152" s="2">
        <f>_xlfn.XLOOKUP(A3152,'[1]Tissue Data'!$A:$A,'[1]Tissue Data'!$D:$D)</f>
        <v>44314</v>
      </c>
      <c r="D3152" s="2" t="s">
        <v>122</v>
      </c>
      <c r="E3152" t="str">
        <f>_xlfn.XLOOKUP(A3152,'[1]Tissue Data'!$A:$A,'[1]Tissue Data'!$H:$H)</f>
        <v>Etheostoma</v>
      </c>
      <c r="F3152" t="str">
        <f>_xlfn.XLOOKUP(A3152,'[1]Tissue Data'!$A:$A,'[1]Tissue Data'!$I:$I)</f>
        <v>fusiforme</v>
      </c>
      <c r="G3152" t="str">
        <f>_xlfn.XLOOKUP(A3152,'[1]Tissue Data'!$A:$A,'[1]Tissue Data'!J:J)</f>
        <v>U</v>
      </c>
      <c r="H3152" t="str">
        <f>_xlfn.XLOOKUP(A3152,'[1]Tissue Data'!$A:$A,'[1]Tissue Data'!K:K)</f>
        <v>Whole Body</v>
      </c>
      <c r="I3152">
        <f>_xlfn.XLOOKUP(A3152,'[1]Tissue Data'!$A:$A,'[1]Tissue Data'!L:L)</f>
        <v>7.5</v>
      </c>
      <c r="J3152">
        <f>_xlfn.XLOOKUP(A3152,'[1]Tissue Data'!$A:$A,'[1]Tissue Data'!M:M)</f>
        <v>4.95</v>
      </c>
      <c r="K3152" t="s">
        <v>12</v>
      </c>
      <c r="L3152" t="str">
        <f>_xlfn.XLOOKUP(K3152,[2]analyte_order!$B:$B,[2]analyte_order!$C:$C)</f>
        <v>375-22-4</v>
      </c>
      <c r="M3152">
        <f>_xlfn.XLOOKUP(L3152,[2]analyte_order!$C:$C,[2]analyte_order!$E:$E)</f>
        <v>1</v>
      </c>
      <c r="N3152">
        <v>2.6800000000000001E-2</v>
      </c>
    </row>
    <row r="3153" spans="1:14">
      <c r="A3153" t="s">
        <v>126</v>
      </c>
      <c r="B3153" t="str">
        <f>_xlfn.XLOOKUP(A3153,'[1]Tissue Data'!$A:$A,'[1]Tissue Data'!$C:$C)</f>
        <v>Spill</v>
      </c>
      <c r="C3153" s="2">
        <f>_xlfn.XLOOKUP(A3153,'[1]Tissue Data'!$A:$A,'[1]Tissue Data'!$D:$D)</f>
        <v>44314</v>
      </c>
      <c r="D3153" s="2" t="s">
        <v>122</v>
      </c>
      <c r="E3153" t="str">
        <f>_xlfn.XLOOKUP(A3153,'[1]Tissue Data'!$A:$A,'[1]Tissue Data'!$H:$H)</f>
        <v>Etheostoma</v>
      </c>
      <c r="F3153" t="str">
        <f>_xlfn.XLOOKUP(A3153,'[1]Tissue Data'!$A:$A,'[1]Tissue Data'!$I:$I)</f>
        <v>fusiforme</v>
      </c>
      <c r="G3153" t="str">
        <f>_xlfn.XLOOKUP(A3153,'[1]Tissue Data'!$A:$A,'[1]Tissue Data'!J:J)</f>
        <v>U</v>
      </c>
      <c r="H3153" t="str">
        <f>_xlfn.XLOOKUP(A3153,'[1]Tissue Data'!$A:$A,'[1]Tissue Data'!K:K)</f>
        <v>Whole Body</v>
      </c>
      <c r="I3153">
        <f>_xlfn.XLOOKUP(A3153,'[1]Tissue Data'!$A:$A,'[1]Tissue Data'!L:L)</f>
        <v>7.5</v>
      </c>
      <c r="J3153">
        <f>_xlfn.XLOOKUP(A3153,'[1]Tissue Data'!$A:$A,'[1]Tissue Data'!M:M)</f>
        <v>4.95</v>
      </c>
      <c r="K3153" t="s">
        <v>13</v>
      </c>
      <c r="L3153" t="str">
        <f>_xlfn.XLOOKUP(K3153,[2]analyte_order!$B:$B,[2]analyte_order!$C:$C)</f>
        <v>2706-90-3</v>
      </c>
      <c r="M3153">
        <f>_xlfn.XLOOKUP(L3153,[2]analyte_order!$C:$C,[2]analyte_order!$E:$E)</f>
        <v>2</v>
      </c>
      <c r="N3153">
        <v>4.7399999999999998E-2</v>
      </c>
    </row>
    <row r="3154" spans="1:14">
      <c r="A3154" t="s">
        <v>126</v>
      </c>
      <c r="B3154" t="str">
        <f>_xlfn.XLOOKUP(A3154,'[1]Tissue Data'!$A:$A,'[1]Tissue Data'!$C:$C)</f>
        <v>Spill</v>
      </c>
      <c r="C3154" s="2">
        <f>_xlfn.XLOOKUP(A3154,'[1]Tissue Data'!$A:$A,'[1]Tissue Data'!$D:$D)</f>
        <v>44314</v>
      </c>
      <c r="D3154" s="2" t="s">
        <v>122</v>
      </c>
      <c r="E3154" t="str">
        <f>_xlfn.XLOOKUP(A3154,'[1]Tissue Data'!$A:$A,'[1]Tissue Data'!$H:$H)</f>
        <v>Etheostoma</v>
      </c>
      <c r="F3154" t="str">
        <f>_xlfn.XLOOKUP(A3154,'[1]Tissue Data'!$A:$A,'[1]Tissue Data'!$I:$I)</f>
        <v>fusiforme</v>
      </c>
      <c r="G3154" t="str">
        <f>_xlfn.XLOOKUP(A3154,'[1]Tissue Data'!$A:$A,'[1]Tissue Data'!J:J)</f>
        <v>U</v>
      </c>
      <c r="H3154" t="str">
        <f>_xlfn.XLOOKUP(A3154,'[1]Tissue Data'!$A:$A,'[1]Tissue Data'!K:K)</f>
        <v>Whole Body</v>
      </c>
      <c r="I3154">
        <f>_xlfn.XLOOKUP(A3154,'[1]Tissue Data'!$A:$A,'[1]Tissue Data'!L:L)</f>
        <v>7.5</v>
      </c>
      <c r="J3154">
        <f>_xlfn.XLOOKUP(A3154,'[1]Tissue Data'!$A:$A,'[1]Tissue Data'!M:M)</f>
        <v>4.95</v>
      </c>
      <c r="K3154" t="s">
        <v>14</v>
      </c>
      <c r="L3154" t="str">
        <f>_xlfn.XLOOKUP(K3154,[2]analyte_order!$B:$B,[2]analyte_order!$C:$C)</f>
        <v>307-24-4</v>
      </c>
      <c r="M3154">
        <f>_xlfn.XLOOKUP(L3154,[2]analyte_order!$C:$C,[2]analyte_order!$E:$E)</f>
        <v>3</v>
      </c>
      <c r="N3154">
        <v>0.1195</v>
      </c>
    </row>
    <row r="3155" spans="1:14">
      <c r="A3155" t="s">
        <v>126</v>
      </c>
      <c r="B3155" t="str">
        <f>_xlfn.XLOOKUP(A3155,'[1]Tissue Data'!$A:$A,'[1]Tissue Data'!$C:$C)</f>
        <v>Spill</v>
      </c>
      <c r="C3155" s="2">
        <f>_xlfn.XLOOKUP(A3155,'[1]Tissue Data'!$A:$A,'[1]Tissue Data'!$D:$D)</f>
        <v>44314</v>
      </c>
      <c r="D3155" s="2" t="s">
        <v>122</v>
      </c>
      <c r="E3155" t="str">
        <f>_xlfn.XLOOKUP(A3155,'[1]Tissue Data'!$A:$A,'[1]Tissue Data'!$H:$H)</f>
        <v>Etheostoma</v>
      </c>
      <c r="F3155" t="str">
        <f>_xlfn.XLOOKUP(A3155,'[1]Tissue Data'!$A:$A,'[1]Tissue Data'!$I:$I)</f>
        <v>fusiforme</v>
      </c>
      <c r="G3155" t="str">
        <f>_xlfn.XLOOKUP(A3155,'[1]Tissue Data'!$A:$A,'[1]Tissue Data'!J:J)</f>
        <v>U</v>
      </c>
      <c r="H3155" t="str">
        <f>_xlfn.XLOOKUP(A3155,'[1]Tissue Data'!$A:$A,'[1]Tissue Data'!K:K)</f>
        <v>Whole Body</v>
      </c>
      <c r="I3155">
        <f>_xlfn.XLOOKUP(A3155,'[1]Tissue Data'!$A:$A,'[1]Tissue Data'!L:L)</f>
        <v>7.5</v>
      </c>
      <c r="J3155">
        <f>_xlfn.XLOOKUP(A3155,'[1]Tissue Data'!$A:$A,'[1]Tissue Data'!M:M)</f>
        <v>4.95</v>
      </c>
      <c r="K3155" t="s">
        <v>15</v>
      </c>
      <c r="L3155" t="str">
        <f>_xlfn.XLOOKUP(K3155,[2]analyte_order!$B:$B,[2]analyte_order!$C:$C)</f>
        <v>375-85-9</v>
      </c>
      <c r="M3155">
        <f>_xlfn.XLOOKUP(L3155,[2]analyte_order!$C:$C,[2]analyte_order!$E:$E)</f>
        <v>4</v>
      </c>
      <c r="N3155">
        <v>2.6800000000000001E-2</v>
      </c>
    </row>
    <row r="3156" spans="1:14">
      <c r="A3156" t="s">
        <v>126</v>
      </c>
      <c r="B3156" t="str">
        <f>_xlfn.XLOOKUP(A3156,'[1]Tissue Data'!$A:$A,'[1]Tissue Data'!$C:$C)</f>
        <v>Spill</v>
      </c>
      <c r="C3156" s="2">
        <f>_xlfn.XLOOKUP(A3156,'[1]Tissue Data'!$A:$A,'[1]Tissue Data'!$D:$D)</f>
        <v>44314</v>
      </c>
      <c r="D3156" s="2" t="s">
        <v>122</v>
      </c>
      <c r="E3156" t="str">
        <f>_xlfn.XLOOKUP(A3156,'[1]Tissue Data'!$A:$A,'[1]Tissue Data'!$H:$H)</f>
        <v>Etheostoma</v>
      </c>
      <c r="F3156" t="str">
        <f>_xlfn.XLOOKUP(A3156,'[1]Tissue Data'!$A:$A,'[1]Tissue Data'!$I:$I)</f>
        <v>fusiforme</v>
      </c>
      <c r="G3156" t="str">
        <f>_xlfn.XLOOKUP(A3156,'[1]Tissue Data'!$A:$A,'[1]Tissue Data'!J:J)</f>
        <v>U</v>
      </c>
      <c r="H3156" t="str">
        <f>_xlfn.XLOOKUP(A3156,'[1]Tissue Data'!$A:$A,'[1]Tissue Data'!K:K)</f>
        <v>Whole Body</v>
      </c>
      <c r="I3156">
        <f>_xlfn.XLOOKUP(A3156,'[1]Tissue Data'!$A:$A,'[1]Tissue Data'!L:L)</f>
        <v>7.5</v>
      </c>
      <c r="J3156">
        <f>_xlfn.XLOOKUP(A3156,'[1]Tissue Data'!$A:$A,'[1]Tissue Data'!M:M)</f>
        <v>4.95</v>
      </c>
      <c r="K3156" t="s">
        <v>16</v>
      </c>
      <c r="L3156" t="str">
        <f>_xlfn.XLOOKUP(K3156,[2]analyte_order!$B:$B,[2]analyte_order!$C:$C)</f>
        <v>335-67-1</v>
      </c>
      <c r="M3156">
        <f>_xlfn.XLOOKUP(L3156,[2]analyte_order!$C:$C,[2]analyte_order!$E:$E)</f>
        <v>5</v>
      </c>
      <c r="N3156">
        <v>0.65400000000000003</v>
      </c>
    </row>
    <row r="3157" spans="1:14">
      <c r="A3157" t="s">
        <v>126</v>
      </c>
      <c r="B3157" t="str">
        <f>_xlfn.XLOOKUP(A3157,'[1]Tissue Data'!$A:$A,'[1]Tissue Data'!$C:$C)</f>
        <v>Spill</v>
      </c>
      <c r="C3157" s="2">
        <f>_xlfn.XLOOKUP(A3157,'[1]Tissue Data'!$A:$A,'[1]Tissue Data'!$D:$D)</f>
        <v>44314</v>
      </c>
      <c r="D3157" s="2" t="s">
        <v>122</v>
      </c>
      <c r="E3157" t="str">
        <f>_xlfn.XLOOKUP(A3157,'[1]Tissue Data'!$A:$A,'[1]Tissue Data'!$H:$H)</f>
        <v>Etheostoma</v>
      </c>
      <c r="F3157" t="str">
        <f>_xlfn.XLOOKUP(A3157,'[1]Tissue Data'!$A:$A,'[1]Tissue Data'!$I:$I)</f>
        <v>fusiforme</v>
      </c>
      <c r="G3157" t="str">
        <f>_xlfn.XLOOKUP(A3157,'[1]Tissue Data'!$A:$A,'[1]Tissue Data'!J:J)</f>
        <v>U</v>
      </c>
      <c r="H3157" t="str">
        <f>_xlfn.XLOOKUP(A3157,'[1]Tissue Data'!$A:$A,'[1]Tissue Data'!K:K)</f>
        <v>Whole Body</v>
      </c>
      <c r="I3157">
        <f>_xlfn.XLOOKUP(A3157,'[1]Tissue Data'!$A:$A,'[1]Tissue Data'!L:L)</f>
        <v>7.5</v>
      </c>
      <c r="J3157">
        <f>_xlfn.XLOOKUP(A3157,'[1]Tissue Data'!$A:$A,'[1]Tissue Data'!M:M)</f>
        <v>4.95</v>
      </c>
      <c r="K3157" t="s">
        <v>17</v>
      </c>
      <c r="L3157" t="str">
        <f>_xlfn.XLOOKUP(K3157,[2]analyte_order!$B:$B,[2]analyte_order!$C:$C)</f>
        <v>375-95-1</v>
      </c>
      <c r="M3157">
        <f>_xlfn.XLOOKUP(L3157,[2]analyte_order!$C:$C,[2]analyte_order!$E:$E)</f>
        <v>6</v>
      </c>
      <c r="N3157">
        <v>0.72699999999999998</v>
      </c>
    </row>
    <row r="3158" spans="1:14">
      <c r="A3158" t="s">
        <v>126</v>
      </c>
      <c r="B3158" t="str">
        <f>_xlfn.XLOOKUP(A3158,'[1]Tissue Data'!$A:$A,'[1]Tissue Data'!$C:$C)</f>
        <v>Spill</v>
      </c>
      <c r="C3158" s="2">
        <f>_xlfn.XLOOKUP(A3158,'[1]Tissue Data'!$A:$A,'[1]Tissue Data'!$D:$D)</f>
        <v>44314</v>
      </c>
      <c r="D3158" s="2" t="s">
        <v>122</v>
      </c>
      <c r="E3158" t="str">
        <f>_xlfn.XLOOKUP(A3158,'[1]Tissue Data'!$A:$A,'[1]Tissue Data'!$H:$H)</f>
        <v>Etheostoma</v>
      </c>
      <c r="F3158" t="str">
        <f>_xlfn.XLOOKUP(A3158,'[1]Tissue Data'!$A:$A,'[1]Tissue Data'!$I:$I)</f>
        <v>fusiforme</v>
      </c>
      <c r="G3158" t="str">
        <f>_xlfn.XLOOKUP(A3158,'[1]Tissue Data'!$A:$A,'[1]Tissue Data'!J:J)</f>
        <v>U</v>
      </c>
      <c r="H3158" t="str">
        <f>_xlfn.XLOOKUP(A3158,'[1]Tissue Data'!$A:$A,'[1]Tissue Data'!K:K)</f>
        <v>Whole Body</v>
      </c>
      <c r="I3158">
        <f>_xlfn.XLOOKUP(A3158,'[1]Tissue Data'!$A:$A,'[1]Tissue Data'!L:L)</f>
        <v>7.5</v>
      </c>
      <c r="J3158">
        <f>_xlfn.XLOOKUP(A3158,'[1]Tissue Data'!$A:$A,'[1]Tissue Data'!M:M)</f>
        <v>4.95</v>
      </c>
      <c r="K3158" t="s">
        <v>18</v>
      </c>
      <c r="L3158" t="str">
        <f>_xlfn.XLOOKUP(K3158,[2]analyte_order!$B:$B,[2]analyte_order!$C:$C)</f>
        <v>335-76-2</v>
      </c>
      <c r="M3158">
        <f>_xlfn.XLOOKUP(L3158,[2]analyte_order!$C:$C,[2]analyte_order!$E:$E)</f>
        <v>7</v>
      </c>
      <c r="N3158">
        <v>4.91</v>
      </c>
    </row>
    <row r="3159" spans="1:14">
      <c r="A3159" t="s">
        <v>126</v>
      </c>
      <c r="B3159" t="str">
        <f>_xlfn.XLOOKUP(A3159,'[1]Tissue Data'!$A:$A,'[1]Tissue Data'!$C:$C)</f>
        <v>Spill</v>
      </c>
      <c r="C3159" s="2">
        <f>_xlfn.XLOOKUP(A3159,'[1]Tissue Data'!$A:$A,'[1]Tissue Data'!$D:$D)</f>
        <v>44314</v>
      </c>
      <c r="D3159" s="2" t="s">
        <v>122</v>
      </c>
      <c r="E3159" t="str">
        <f>_xlfn.XLOOKUP(A3159,'[1]Tissue Data'!$A:$A,'[1]Tissue Data'!$H:$H)</f>
        <v>Etheostoma</v>
      </c>
      <c r="F3159" t="str">
        <f>_xlfn.XLOOKUP(A3159,'[1]Tissue Data'!$A:$A,'[1]Tissue Data'!$I:$I)</f>
        <v>fusiforme</v>
      </c>
      <c r="G3159" t="str">
        <f>_xlfn.XLOOKUP(A3159,'[1]Tissue Data'!$A:$A,'[1]Tissue Data'!J:J)</f>
        <v>U</v>
      </c>
      <c r="H3159" t="str">
        <f>_xlfn.XLOOKUP(A3159,'[1]Tissue Data'!$A:$A,'[1]Tissue Data'!K:K)</f>
        <v>Whole Body</v>
      </c>
      <c r="I3159">
        <f>_xlfn.XLOOKUP(A3159,'[1]Tissue Data'!$A:$A,'[1]Tissue Data'!L:L)</f>
        <v>7.5</v>
      </c>
      <c r="J3159">
        <f>_xlfn.XLOOKUP(A3159,'[1]Tissue Data'!$A:$A,'[1]Tissue Data'!M:M)</f>
        <v>4.95</v>
      </c>
      <c r="K3159" t="s">
        <v>19</v>
      </c>
      <c r="L3159" t="str">
        <f>_xlfn.XLOOKUP(K3159,[2]analyte_order!$B:$B,[2]analyte_order!$C:$C)</f>
        <v>2058-94-8</v>
      </c>
      <c r="M3159">
        <f>_xlfn.XLOOKUP(L3159,[2]analyte_order!$C:$C,[2]analyte_order!$E:$E)</f>
        <v>8</v>
      </c>
      <c r="N3159">
        <v>7.36</v>
      </c>
    </row>
    <row r="3160" spans="1:14">
      <c r="A3160" t="s">
        <v>126</v>
      </c>
      <c r="B3160" t="str">
        <f>_xlfn.XLOOKUP(A3160,'[1]Tissue Data'!$A:$A,'[1]Tissue Data'!$C:$C)</f>
        <v>Spill</v>
      </c>
      <c r="C3160" s="2">
        <f>_xlfn.XLOOKUP(A3160,'[1]Tissue Data'!$A:$A,'[1]Tissue Data'!$D:$D)</f>
        <v>44314</v>
      </c>
      <c r="D3160" s="2" t="s">
        <v>122</v>
      </c>
      <c r="E3160" t="str">
        <f>_xlfn.XLOOKUP(A3160,'[1]Tissue Data'!$A:$A,'[1]Tissue Data'!$H:$H)</f>
        <v>Etheostoma</v>
      </c>
      <c r="F3160" t="str">
        <f>_xlfn.XLOOKUP(A3160,'[1]Tissue Data'!$A:$A,'[1]Tissue Data'!$I:$I)</f>
        <v>fusiforme</v>
      </c>
      <c r="G3160" t="str">
        <f>_xlfn.XLOOKUP(A3160,'[1]Tissue Data'!$A:$A,'[1]Tissue Data'!J:J)</f>
        <v>U</v>
      </c>
      <c r="H3160" t="str">
        <f>_xlfn.XLOOKUP(A3160,'[1]Tissue Data'!$A:$A,'[1]Tissue Data'!K:K)</f>
        <v>Whole Body</v>
      </c>
      <c r="I3160">
        <f>_xlfn.XLOOKUP(A3160,'[1]Tissue Data'!$A:$A,'[1]Tissue Data'!L:L)</f>
        <v>7.5</v>
      </c>
      <c r="J3160">
        <f>_xlfn.XLOOKUP(A3160,'[1]Tissue Data'!$A:$A,'[1]Tissue Data'!M:M)</f>
        <v>4.95</v>
      </c>
      <c r="K3160" t="s">
        <v>20</v>
      </c>
      <c r="L3160" t="str">
        <f>_xlfn.XLOOKUP(K3160,[2]analyte_order!$B:$B,[2]analyte_order!$C:$C)</f>
        <v>307-55-1</v>
      </c>
      <c r="M3160">
        <f>_xlfn.XLOOKUP(L3160,[2]analyte_order!$C:$C,[2]analyte_order!$E:$E)</f>
        <v>9</v>
      </c>
      <c r="N3160">
        <v>6.69</v>
      </c>
    </row>
    <row r="3161" spans="1:14">
      <c r="A3161" t="s">
        <v>126</v>
      </c>
      <c r="B3161" t="str">
        <f>_xlfn.XLOOKUP(A3161,'[1]Tissue Data'!$A:$A,'[1]Tissue Data'!$C:$C)</f>
        <v>Spill</v>
      </c>
      <c r="C3161" s="2">
        <f>_xlfn.XLOOKUP(A3161,'[1]Tissue Data'!$A:$A,'[1]Tissue Data'!$D:$D)</f>
        <v>44314</v>
      </c>
      <c r="D3161" s="2" t="s">
        <v>122</v>
      </c>
      <c r="E3161" t="str">
        <f>_xlfn.XLOOKUP(A3161,'[1]Tissue Data'!$A:$A,'[1]Tissue Data'!$H:$H)</f>
        <v>Etheostoma</v>
      </c>
      <c r="F3161" t="str">
        <f>_xlfn.XLOOKUP(A3161,'[1]Tissue Data'!$A:$A,'[1]Tissue Data'!$I:$I)</f>
        <v>fusiforme</v>
      </c>
      <c r="G3161" t="str">
        <f>_xlfn.XLOOKUP(A3161,'[1]Tissue Data'!$A:$A,'[1]Tissue Data'!J:J)</f>
        <v>U</v>
      </c>
      <c r="H3161" t="str">
        <f>_xlfn.XLOOKUP(A3161,'[1]Tissue Data'!$A:$A,'[1]Tissue Data'!K:K)</f>
        <v>Whole Body</v>
      </c>
      <c r="I3161">
        <f>_xlfn.XLOOKUP(A3161,'[1]Tissue Data'!$A:$A,'[1]Tissue Data'!L:L)</f>
        <v>7.5</v>
      </c>
      <c r="J3161">
        <f>_xlfn.XLOOKUP(A3161,'[1]Tissue Data'!$A:$A,'[1]Tissue Data'!M:M)</f>
        <v>4.95</v>
      </c>
      <c r="K3161" t="s">
        <v>21</v>
      </c>
      <c r="L3161" t="str">
        <f>_xlfn.XLOOKUP(K3161,[2]analyte_order!$B:$B,[2]analyte_order!$C:$C)</f>
        <v>72629-94-8</v>
      </c>
      <c r="M3161">
        <f>_xlfn.XLOOKUP(L3161,[2]analyte_order!$C:$C,[2]analyte_order!$E:$E)</f>
        <v>10</v>
      </c>
      <c r="N3161">
        <v>3.11</v>
      </c>
    </row>
    <row r="3162" spans="1:14">
      <c r="A3162" t="s">
        <v>126</v>
      </c>
      <c r="B3162" t="str">
        <f>_xlfn.XLOOKUP(A3162,'[1]Tissue Data'!$A:$A,'[1]Tissue Data'!$C:$C)</f>
        <v>Spill</v>
      </c>
      <c r="C3162" s="2">
        <f>_xlfn.XLOOKUP(A3162,'[1]Tissue Data'!$A:$A,'[1]Tissue Data'!$D:$D)</f>
        <v>44314</v>
      </c>
      <c r="D3162" s="2" t="s">
        <v>122</v>
      </c>
      <c r="E3162" t="str">
        <f>_xlfn.XLOOKUP(A3162,'[1]Tissue Data'!$A:$A,'[1]Tissue Data'!$H:$H)</f>
        <v>Etheostoma</v>
      </c>
      <c r="F3162" t="str">
        <f>_xlfn.XLOOKUP(A3162,'[1]Tissue Data'!$A:$A,'[1]Tissue Data'!$I:$I)</f>
        <v>fusiforme</v>
      </c>
      <c r="G3162" t="str">
        <f>_xlfn.XLOOKUP(A3162,'[1]Tissue Data'!$A:$A,'[1]Tissue Data'!J:J)</f>
        <v>U</v>
      </c>
      <c r="H3162" t="str">
        <f>_xlfn.XLOOKUP(A3162,'[1]Tissue Data'!$A:$A,'[1]Tissue Data'!K:K)</f>
        <v>Whole Body</v>
      </c>
      <c r="I3162">
        <f>_xlfn.XLOOKUP(A3162,'[1]Tissue Data'!$A:$A,'[1]Tissue Data'!L:L)</f>
        <v>7.5</v>
      </c>
      <c r="J3162">
        <f>_xlfn.XLOOKUP(A3162,'[1]Tissue Data'!$A:$A,'[1]Tissue Data'!M:M)</f>
        <v>4.95</v>
      </c>
      <c r="K3162" t="s">
        <v>22</v>
      </c>
      <c r="L3162" t="str">
        <f>_xlfn.XLOOKUP(K3162,[2]analyte_order!$B:$B,[2]analyte_order!$C:$C)</f>
        <v>376-06-7</v>
      </c>
      <c r="M3162">
        <f>_xlfn.XLOOKUP(L3162,[2]analyte_order!$C:$C,[2]analyte_order!$E:$E)</f>
        <v>11</v>
      </c>
      <c r="N3162">
        <v>2.7</v>
      </c>
    </row>
    <row r="3163" spans="1:14">
      <c r="A3163" t="s">
        <v>126</v>
      </c>
      <c r="B3163" t="str">
        <f>_xlfn.XLOOKUP(A3163,'[1]Tissue Data'!$A:$A,'[1]Tissue Data'!$C:$C)</f>
        <v>Spill</v>
      </c>
      <c r="C3163" s="2">
        <f>_xlfn.XLOOKUP(A3163,'[1]Tissue Data'!$A:$A,'[1]Tissue Data'!$D:$D)</f>
        <v>44314</v>
      </c>
      <c r="D3163" s="2" t="s">
        <v>122</v>
      </c>
      <c r="E3163" t="str">
        <f>_xlfn.XLOOKUP(A3163,'[1]Tissue Data'!$A:$A,'[1]Tissue Data'!$H:$H)</f>
        <v>Etheostoma</v>
      </c>
      <c r="F3163" t="str">
        <f>_xlfn.XLOOKUP(A3163,'[1]Tissue Data'!$A:$A,'[1]Tissue Data'!$I:$I)</f>
        <v>fusiforme</v>
      </c>
      <c r="G3163" t="str">
        <f>_xlfn.XLOOKUP(A3163,'[1]Tissue Data'!$A:$A,'[1]Tissue Data'!J:J)</f>
        <v>U</v>
      </c>
      <c r="H3163" t="str">
        <f>_xlfn.XLOOKUP(A3163,'[1]Tissue Data'!$A:$A,'[1]Tissue Data'!K:K)</f>
        <v>Whole Body</v>
      </c>
      <c r="I3163">
        <f>_xlfn.XLOOKUP(A3163,'[1]Tissue Data'!$A:$A,'[1]Tissue Data'!L:L)</f>
        <v>7.5</v>
      </c>
      <c r="J3163">
        <f>_xlfn.XLOOKUP(A3163,'[1]Tissue Data'!$A:$A,'[1]Tissue Data'!M:M)</f>
        <v>4.95</v>
      </c>
      <c r="K3163" t="s">
        <v>23</v>
      </c>
      <c r="L3163" t="str">
        <f>_xlfn.XLOOKUP(K3163,[2]analyte_order!$B:$B,[2]analyte_order!$C:$C)</f>
        <v>67905-19-5</v>
      </c>
      <c r="M3163">
        <f>_xlfn.XLOOKUP(L3163,[2]analyte_order!$C:$C,[2]analyte_order!$E:$E)</f>
        <v>12</v>
      </c>
      <c r="N3163">
        <v>0.08</v>
      </c>
    </row>
    <row r="3164" spans="1:14">
      <c r="A3164" t="s">
        <v>126</v>
      </c>
      <c r="B3164" t="str">
        <f>_xlfn.XLOOKUP(A3164,'[1]Tissue Data'!$A:$A,'[1]Tissue Data'!$C:$C)</f>
        <v>Spill</v>
      </c>
      <c r="C3164" s="2">
        <f>_xlfn.XLOOKUP(A3164,'[1]Tissue Data'!$A:$A,'[1]Tissue Data'!$D:$D)</f>
        <v>44314</v>
      </c>
      <c r="D3164" s="2" t="s">
        <v>122</v>
      </c>
      <c r="E3164" t="str">
        <f>_xlfn.XLOOKUP(A3164,'[1]Tissue Data'!$A:$A,'[1]Tissue Data'!$H:$H)</f>
        <v>Etheostoma</v>
      </c>
      <c r="F3164" t="str">
        <f>_xlfn.XLOOKUP(A3164,'[1]Tissue Data'!$A:$A,'[1]Tissue Data'!$I:$I)</f>
        <v>fusiforme</v>
      </c>
      <c r="G3164" t="str">
        <f>_xlfn.XLOOKUP(A3164,'[1]Tissue Data'!$A:$A,'[1]Tissue Data'!J:J)</f>
        <v>U</v>
      </c>
      <c r="H3164" t="str">
        <f>_xlfn.XLOOKUP(A3164,'[1]Tissue Data'!$A:$A,'[1]Tissue Data'!K:K)</f>
        <v>Whole Body</v>
      </c>
      <c r="I3164">
        <f>_xlfn.XLOOKUP(A3164,'[1]Tissue Data'!$A:$A,'[1]Tissue Data'!L:L)</f>
        <v>7.5</v>
      </c>
      <c r="J3164">
        <f>_xlfn.XLOOKUP(A3164,'[1]Tissue Data'!$A:$A,'[1]Tissue Data'!M:M)</f>
        <v>4.95</v>
      </c>
      <c r="K3164" t="s">
        <v>24</v>
      </c>
      <c r="L3164" t="str">
        <f>_xlfn.XLOOKUP(K3164,[2]analyte_order!$B:$B,[2]analyte_order!$C:$C)</f>
        <v>423-41-6</v>
      </c>
      <c r="M3164">
        <f>_xlfn.XLOOKUP(L3164,[2]analyte_order!$C:$C,[2]analyte_order!$E:$E)</f>
        <v>53</v>
      </c>
      <c r="N3164">
        <v>5.0999999999999997E-2</v>
      </c>
    </row>
    <row r="3165" spans="1:14">
      <c r="A3165" t="s">
        <v>126</v>
      </c>
      <c r="B3165" t="str">
        <f>_xlfn.XLOOKUP(A3165,'[1]Tissue Data'!$A:$A,'[1]Tissue Data'!$C:$C)</f>
        <v>Spill</v>
      </c>
      <c r="C3165" s="2">
        <f>_xlfn.XLOOKUP(A3165,'[1]Tissue Data'!$A:$A,'[1]Tissue Data'!$D:$D)</f>
        <v>44314</v>
      </c>
      <c r="D3165" s="2" t="s">
        <v>122</v>
      </c>
      <c r="E3165" t="str">
        <f>_xlfn.XLOOKUP(A3165,'[1]Tissue Data'!$A:$A,'[1]Tissue Data'!$H:$H)</f>
        <v>Etheostoma</v>
      </c>
      <c r="F3165" t="str">
        <f>_xlfn.XLOOKUP(A3165,'[1]Tissue Data'!$A:$A,'[1]Tissue Data'!$I:$I)</f>
        <v>fusiforme</v>
      </c>
      <c r="G3165" t="str">
        <f>_xlfn.XLOOKUP(A3165,'[1]Tissue Data'!$A:$A,'[1]Tissue Data'!J:J)</f>
        <v>U</v>
      </c>
      <c r="H3165" t="str">
        <f>_xlfn.XLOOKUP(A3165,'[1]Tissue Data'!$A:$A,'[1]Tissue Data'!K:K)</f>
        <v>Whole Body</v>
      </c>
      <c r="I3165">
        <f>_xlfn.XLOOKUP(A3165,'[1]Tissue Data'!$A:$A,'[1]Tissue Data'!L:L)</f>
        <v>7.5</v>
      </c>
      <c r="J3165">
        <f>_xlfn.XLOOKUP(A3165,'[1]Tissue Data'!$A:$A,'[1]Tissue Data'!M:M)</f>
        <v>4.95</v>
      </c>
      <c r="K3165" t="s">
        <v>25</v>
      </c>
      <c r="L3165" t="str">
        <f>_xlfn.XLOOKUP(K3165,[2]analyte_order!$B:$B,[2]analyte_order!$C:$C)</f>
        <v>375-73-5</v>
      </c>
      <c r="M3165">
        <f>_xlfn.XLOOKUP(L3165,[2]analyte_order!$C:$C,[2]analyte_order!$E:$E)</f>
        <v>14</v>
      </c>
      <c r="N3165">
        <v>0.15049999999999999</v>
      </c>
    </row>
    <row r="3166" spans="1:14">
      <c r="A3166" t="s">
        <v>126</v>
      </c>
      <c r="B3166" t="str">
        <f>_xlfn.XLOOKUP(A3166,'[1]Tissue Data'!$A:$A,'[1]Tissue Data'!$C:$C)</f>
        <v>Spill</v>
      </c>
      <c r="C3166" s="2">
        <f>_xlfn.XLOOKUP(A3166,'[1]Tissue Data'!$A:$A,'[1]Tissue Data'!$D:$D)</f>
        <v>44314</v>
      </c>
      <c r="D3166" s="2" t="s">
        <v>122</v>
      </c>
      <c r="E3166" t="str">
        <f>_xlfn.XLOOKUP(A3166,'[1]Tissue Data'!$A:$A,'[1]Tissue Data'!$H:$H)</f>
        <v>Etheostoma</v>
      </c>
      <c r="F3166" t="str">
        <f>_xlfn.XLOOKUP(A3166,'[1]Tissue Data'!$A:$A,'[1]Tissue Data'!$I:$I)</f>
        <v>fusiforme</v>
      </c>
      <c r="G3166" t="str">
        <f>_xlfn.XLOOKUP(A3166,'[1]Tissue Data'!$A:$A,'[1]Tissue Data'!J:J)</f>
        <v>U</v>
      </c>
      <c r="H3166" t="str">
        <f>_xlfn.XLOOKUP(A3166,'[1]Tissue Data'!$A:$A,'[1]Tissue Data'!K:K)</f>
        <v>Whole Body</v>
      </c>
      <c r="I3166">
        <f>_xlfn.XLOOKUP(A3166,'[1]Tissue Data'!$A:$A,'[1]Tissue Data'!L:L)</f>
        <v>7.5</v>
      </c>
      <c r="J3166">
        <f>_xlfn.XLOOKUP(A3166,'[1]Tissue Data'!$A:$A,'[1]Tissue Data'!M:M)</f>
        <v>4.95</v>
      </c>
      <c r="K3166" t="s">
        <v>26</v>
      </c>
      <c r="L3166" t="str">
        <f>_xlfn.XLOOKUP(K3166,[2]analyte_order!$B:$B,[2]analyte_order!$C:$C)</f>
        <v>2706-91-4</v>
      </c>
      <c r="M3166">
        <f>_xlfn.XLOOKUP(L3166,[2]analyte_order!$C:$C,[2]analyte_order!$E:$E)</f>
        <v>15</v>
      </c>
      <c r="N3166">
        <v>0.11700000000000001</v>
      </c>
    </row>
    <row r="3167" spans="1:14">
      <c r="A3167" t="s">
        <v>126</v>
      </c>
      <c r="B3167" t="str">
        <f>_xlfn.XLOOKUP(A3167,'[1]Tissue Data'!$A:$A,'[1]Tissue Data'!$C:$C)</f>
        <v>Spill</v>
      </c>
      <c r="C3167" s="2">
        <f>_xlfn.XLOOKUP(A3167,'[1]Tissue Data'!$A:$A,'[1]Tissue Data'!$D:$D)</f>
        <v>44314</v>
      </c>
      <c r="D3167" s="2" t="s">
        <v>122</v>
      </c>
      <c r="E3167" t="str">
        <f>_xlfn.XLOOKUP(A3167,'[1]Tissue Data'!$A:$A,'[1]Tissue Data'!$H:$H)</f>
        <v>Etheostoma</v>
      </c>
      <c r="F3167" t="str">
        <f>_xlfn.XLOOKUP(A3167,'[1]Tissue Data'!$A:$A,'[1]Tissue Data'!$I:$I)</f>
        <v>fusiforme</v>
      </c>
      <c r="G3167" t="str">
        <f>_xlfn.XLOOKUP(A3167,'[1]Tissue Data'!$A:$A,'[1]Tissue Data'!J:J)</f>
        <v>U</v>
      </c>
      <c r="H3167" t="str">
        <f>_xlfn.XLOOKUP(A3167,'[1]Tissue Data'!$A:$A,'[1]Tissue Data'!K:K)</f>
        <v>Whole Body</v>
      </c>
      <c r="I3167">
        <f>_xlfn.XLOOKUP(A3167,'[1]Tissue Data'!$A:$A,'[1]Tissue Data'!L:L)</f>
        <v>7.5</v>
      </c>
      <c r="J3167">
        <f>_xlfn.XLOOKUP(A3167,'[1]Tissue Data'!$A:$A,'[1]Tissue Data'!M:M)</f>
        <v>4.95</v>
      </c>
      <c r="K3167" t="s">
        <v>27</v>
      </c>
      <c r="L3167" t="str">
        <f>_xlfn.XLOOKUP(K3167,[2]analyte_order!$B:$B,[2]analyte_order!$C:$C)</f>
        <v>355-46-4</v>
      </c>
      <c r="M3167">
        <f>_xlfn.XLOOKUP(L3167,[2]analyte_order!$C:$C,[2]analyte_order!$E:$E)</f>
        <v>16</v>
      </c>
      <c r="N3167">
        <v>15</v>
      </c>
    </row>
    <row r="3168" spans="1:14">
      <c r="A3168" t="s">
        <v>126</v>
      </c>
      <c r="B3168" t="str">
        <f>_xlfn.XLOOKUP(A3168,'[1]Tissue Data'!$A:$A,'[1]Tissue Data'!$C:$C)</f>
        <v>Spill</v>
      </c>
      <c r="C3168" s="2">
        <f>_xlfn.XLOOKUP(A3168,'[1]Tissue Data'!$A:$A,'[1]Tissue Data'!$D:$D)</f>
        <v>44314</v>
      </c>
      <c r="D3168" s="2" t="s">
        <v>122</v>
      </c>
      <c r="E3168" t="str">
        <f>_xlfn.XLOOKUP(A3168,'[1]Tissue Data'!$A:$A,'[1]Tissue Data'!$H:$H)</f>
        <v>Etheostoma</v>
      </c>
      <c r="F3168" t="str">
        <f>_xlfn.XLOOKUP(A3168,'[1]Tissue Data'!$A:$A,'[1]Tissue Data'!$I:$I)</f>
        <v>fusiforme</v>
      </c>
      <c r="G3168" t="str">
        <f>_xlfn.XLOOKUP(A3168,'[1]Tissue Data'!$A:$A,'[1]Tissue Data'!J:J)</f>
        <v>U</v>
      </c>
      <c r="H3168" t="str">
        <f>_xlfn.XLOOKUP(A3168,'[1]Tissue Data'!$A:$A,'[1]Tissue Data'!K:K)</f>
        <v>Whole Body</v>
      </c>
      <c r="I3168">
        <f>_xlfn.XLOOKUP(A3168,'[1]Tissue Data'!$A:$A,'[1]Tissue Data'!L:L)</f>
        <v>7.5</v>
      </c>
      <c r="J3168">
        <f>_xlfn.XLOOKUP(A3168,'[1]Tissue Data'!$A:$A,'[1]Tissue Data'!M:M)</f>
        <v>4.95</v>
      </c>
      <c r="K3168" t="s">
        <v>28</v>
      </c>
      <c r="L3168" t="str">
        <f>_xlfn.XLOOKUP(K3168,[2]analyte_order!$B:$B,[2]analyte_order!$C:$C)</f>
        <v>375-92-8</v>
      </c>
      <c r="M3168">
        <f>_xlfn.XLOOKUP(L3168,[2]analyte_order!$C:$C,[2]analyte_order!$E:$E)</f>
        <v>17</v>
      </c>
      <c r="N3168">
        <v>4.28</v>
      </c>
    </row>
    <row r="3169" spans="1:14">
      <c r="A3169" t="s">
        <v>126</v>
      </c>
      <c r="B3169" t="str">
        <f>_xlfn.XLOOKUP(A3169,'[1]Tissue Data'!$A:$A,'[1]Tissue Data'!$C:$C)</f>
        <v>Spill</v>
      </c>
      <c r="C3169" s="2">
        <f>_xlfn.XLOOKUP(A3169,'[1]Tissue Data'!$A:$A,'[1]Tissue Data'!$D:$D)</f>
        <v>44314</v>
      </c>
      <c r="D3169" s="2" t="s">
        <v>122</v>
      </c>
      <c r="E3169" t="str">
        <f>_xlfn.XLOOKUP(A3169,'[1]Tissue Data'!$A:$A,'[1]Tissue Data'!$H:$H)</f>
        <v>Etheostoma</v>
      </c>
      <c r="F3169" t="str">
        <f>_xlfn.XLOOKUP(A3169,'[1]Tissue Data'!$A:$A,'[1]Tissue Data'!$I:$I)</f>
        <v>fusiforme</v>
      </c>
      <c r="G3169" t="str">
        <f>_xlfn.XLOOKUP(A3169,'[1]Tissue Data'!$A:$A,'[1]Tissue Data'!J:J)</f>
        <v>U</v>
      </c>
      <c r="H3169" t="str">
        <f>_xlfn.XLOOKUP(A3169,'[1]Tissue Data'!$A:$A,'[1]Tissue Data'!K:K)</f>
        <v>Whole Body</v>
      </c>
      <c r="I3169">
        <f>_xlfn.XLOOKUP(A3169,'[1]Tissue Data'!$A:$A,'[1]Tissue Data'!L:L)</f>
        <v>7.5</v>
      </c>
      <c r="J3169">
        <f>_xlfn.XLOOKUP(A3169,'[1]Tissue Data'!$A:$A,'[1]Tissue Data'!M:M)</f>
        <v>4.95</v>
      </c>
      <c r="K3169" t="s">
        <v>29</v>
      </c>
      <c r="L3169" t="str">
        <f>_xlfn.XLOOKUP(K3169,[2]analyte_order!$B:$B,[2]analyte_order!$C:$C)</f>
        <v>1763-23-1</v>
      </c>
      <c r="M3169">
        <f>_xlfn.XLOOKUP(L3169,[2]analyte_order!$C:$C,[2]analyte_order!$E:$E)</f>
        <v>18</v>
      </c>
      <c r="N3169">
        <v>700</v>
      </c>
    </row>
    <row r="3170" spans="1:14">
      <c r="A3170" t="s">
        <v>126</v>
      </c>
      <c r="B3170" t="str">
        <f>_xlfn.XLOOKUP(A3170,'[1]Tissue Data'!$A:$A,'[1]Tissue Data'!$C:$C)</f>
        <v>Spill</v>
      </c>
      <c r="C3170" s="2">
        <f>_xlfn.XLOOKUP(A3170,'[1]Tissue Data'!$A:$A,'[1]Tissue Data'!$D:$D)</f>
        <v>44314</v>
      </c>
      <c r="D3170" s="2" t="s">
        <v>122</v>
      </c>
      <c r="E3170" t="str">
        <f>_xlfn.XLOOKUP(A3170,'[1]Tissue Data'!$A:$A,'[1]Tissue Data'!$H:$H)</f>
        <v>Etheostoma</v>
      </c>
      <c r="F3170" t="str">
        <f>_xlfn.XLOOKUP(A3170,'[1]Tissue Data'!$A:$A,'[1]Tissue Data'!$I:$I)</f>
        <v>fusiforme</v>
      </c>
      <c r="G3170" t="str">
        <f>_xlfn.XLOOKUP(A3170,'[1]Tissue Data'!$A:$A,'[1]Tissue Data'!J:J)</f>
        <v>U</v>
      </c>
      <c r="H3170" t="str">
        <f>_xlfn.XLOOKUP(A3170,'[1]Tissue Data'!$A:$A,'[1]Tissue Data'!K:K)</f>
        <v>Whole Body</v>
      </c>
      <c r="I3170">
        <f>_xlfn.XLOOKUP(A3170,'[1]Tissue Data'!$A:$A,'[1]Tissue Data'!L:L)</f>
        <v>7.5</v>
      </c>
      <c r="J3170">
        <f>_xlfn.XLOOKUP(A3170,'[1]Tissue Data'!$A:$A,'[1]Tissue Data'!M:M)</f>
        <v>4.95</v>
      </c>
      <c r="K3170" t="s">
        <v>30</v>
      </c>
      <c r="L3170" t="str">
        <f>_xlfn.XLOOKUP(K3170,[2]analyte_order!$B:$B,[2]analyte_order!$C:$C)</f>
        <v>68259-12-1</v>
      </c>
      <c r="M3170">
        <f>_xlfn.XLOOKUP(L3170,[2]analyte_order!$C:$C,[2]analyte_order!$E:$E)</f>
        <v>19</v>
      </c>
      <c r="N3170">
        <v>0.74199999999999999</v>
      </c>
    </row>
    <row r="3171" spans="1:14">
      <c r="A3171" t="s">
        <v>126</v>
      </c>
      <c r="B3171" t="str">
        <f>_xlfn.XLOOKUP(A3171,'[1]Tissue Data'!$A:$A,'[1]Tissue Data'!$C:$C)</f>
        <v>Spill</v>
      </c>
      <c r="C3171" s="2">
        <f>_xlfn.XLOOKUP(A3171,'[1]Tissue Data'!$A:$A,'[1]Tissue Data'!$D:$D)</f>
        <v>44314</v>
      </c>
      <c r="D3171" s="2" t="s">
        <v>122</v>
      </c>
      <c r="E3171" t="str">
        <f>_xlfn.XLOOKUP(A3171,'[1]Tissue Data'!$A:$A,'[1]Tissue Data'!$H:$H)</f>
        <v>Etheostoma</v>
      </c>
      <c r="F3171" t="str">
        <f>_xlfn.XLOOKUP(A3171,'[1]Tissue Data'!$A:$A,'[1]Tissue Data'!$I:$I)</f>
        <v>fusiforme</v>
      </c>
      <c r="G3171" t="str">
        <f>_xlfn.XLOOKUP(A3171,'[1]Tissue Data'!$A:$A,'[1]Tissue Data'!J:J)</f>
        <v>U</v>
      </c>
      <c r="H3171" t="str">
        <f>_xlfn.XLOOKUP(A3171,'[1]Tissue Data'!$A:$A,'[1]Tissue Data'!K:K)</f>
        <v>Whole Body</v>
      </c>
      <c r="I3171">
        <f>_xlfn.XLOOKUP(A3171,'[1]Tissue Data'!$A:$A,'[1]Tissue Data'!L:L)</f>
        <v>7.5</v>
      </c>
      <c r="J3171">
        <f>_xlfn.XLOOKUP(A3171,'[1]Tissue Data'!$A:$A,'[1]Tissue Data'!M:M)</f>
        <v>4.95</v>
      </c>
      <c r="K3171" t="s">
        <v>31</v>
      </c>
      <c r="L3171" t="str">
        <f>_xlfn.XLOOKUP(K3171,[2]analyte_order!$B:$B,[2]analyte_order!$C:$C)</f>
        <v>335-77-3</v>
      </c>
      <c r="M3171">
        <f>_xlfn.XLOOKUP(L3171,[2]analyte_order!$C:$C,[2]analyte_order!$E:$E)</f>
        <v>20</v>
      </c>
      <c r="N3171">
        <v>3.59</v>
      </c>
    </row>
    <row r="3172" spans="1:14">
      <c r="A3172" t="s">
        <v>126</v>
      </c>
      <c r="B3172" t="str">
        <f>_xlfn.XLOOKUP(A3172,'[1]Tissue Data'!$A:$A,'[1]Tissue Data'!$C:$C)</f>
        <v>Spill</v>
      </c>
      <c r="C3172" s="2">
        <f>_xlfn.XLOOKUP(A3172,'[1]Tissue Data'!$A:$A,'[1]Tissue Data'!$D:$D)</f>
        <v>44314</v>
      </c>
      <c r="D3172" s="2" t="s">
        <v>122</v>
      </c>
      <c r="E3172" t="str">
        <f>_xlfn.XLOOKUP(A3172,'[1]Tissue Data'!$A:$A,'[1]Tissue Data'!$H:$H)</f>
        <v>Etheostoma</v>
      </c>
      <c r="F3172" t="str">
        <f>_xlfn.XLOOKUP(A3172,'[1]Tissue Data'!$A:$A,'[1]Tissue Data'!$I:$I)</f>
        <v>fusiforme</v>
      </c>
      <c r="G3172" t="str">
        <f>_xlfn.XLOOKUP(A3172,'[1]Tissue Data'!$A:$A,'[1]Tissue Data'!J:J)</f>
        <v>U</v>
      </c>
      <c r="H3172" t="str">
        <f>_xlfn.XLOOKUP(A3172,'[1]Tissue Data'!$A:$A,'[1]Tissue Data'!K:K)</f>
        <v>Whole Body</v>
      </c>
      <c r="I3172">
        <f>_xlfn.XLOOKUP(A3172,'[1]Tissue Data'!$A:$A,'[1]Tissue Data'!L:L)</f>
        <v>7.5</v>
      </c>
      <c r="J3172">
        <f>_xlfn.XLOOKUP(A3172,'[1]Tissue Data'!$A:$A,'[1]Tissue Data'!M:M)</f>
        <v>4.95</v>
      </c>
      <c r="K3172" t="s">
        <v>32</v>
      </c>
      <c r="L3172" t="str">
        <f>_xlfn.XLOOKUP(K3172,[2]analyte_order!$B:$B,[2]analyte_order!$C:$C)</f>
        <v>79780-39-5</v>
      </c>
      <c r="M3172">
        <f>_xlfn.XLOOKUP(L3172,[2]analyte_order!$C:$C,[2]analyte_order!$E:$E)</f>
        <v>21</v>
      </c>
      <c r="N3172">
        <v>0.23649999999999999</v>
      </c>
    </row>
    <row r="3173" spans="1:14">
      <c r="A3173" t="s">
        <v>126</v>
      </c>
      <c r="B3173" t="str">
        <f>_xlfn.XLOOKUP(A3173,'[1]Tissue Data'!$A:$A,'[1]Tissue Data'!$C:$C)</f>
        <v>Spill</v>
      </c>
      <c r="C3173" s="2">
        <f>_xlfn.XLOOKUP(A3173,'[1]Tissue Data'!$A:$A,'[1]Tissue Data'!$D:$D)</f>
        <v>44314</v>
      </c>
      <c r="D3173" s="2" t="s">
        <v>122</v>
      </c>
      <c r="E3173" t="str">
        <f>_xlfn.XLOOKUP(A3173,'[1]Tissue Data'!$A:$A,'[1]Tissue Data'!$H:$H)</f>
        <v>Etheostoma</v>
      </c>
      <c r="F3173" t="str">
        <f>_xlfn.XLOOKUP(A3173,'[1]Tissue Data'!$A:$A,'[1]Tissue Data'!$I:$I)</f>
        <v>fusiforme</v>
      </c>
      <c r="G3173" t="str">
        <f>_xlfn.XLOOKUP(A3173,'[1]Tissue Data'!$A:$A,'[1]Tissue Data'!J:J)</f>
        <v>U</v>
      </c>
      <c r="H3173" t="str">
        <f>_xlfn.XLOOKUP(A3173,'[1]Tissue Data'!$A:$A,'[1]Tissue Data'!K:K)</f>
        <v>Whole Body</v>
      </c>
      <c r="I3173">
        <f>_xlfn.XLOOKUP(A3173,'[1]Tissue Data'!$A:$A,'[1]Tissue Data'!L:L)</f>
        <v>7.5</v>
      </c>
      <c r="J3173">
        <f>_xlfn.XLOOKUP(A3173,'[1]Tissue Data'!$A:$A,'[1]Tissue Data'!M:M)</f>
        <v>4.95</v>
      </c>
      <c r="K3173" t="s">
        <v>33</v>
      </c>
      <c r="L3173" t="str">
        <f>_xlfn.XLOOKUP(K3173,[2]analyte_order!$B:$B,[2]analyte_order!$C:$C)</f>
        <v>777011-38-8</v>
      </c>
      <c r="M3173">
        <f>_xlfn.XLOOKUP(L3173,[2]analyte_order!$C:$C,[2]analyte_order!$E:$E)</f>
        <v>54</v>
      </c>
      <c r="N3173">
        <v>0.13450000000000001</v>
      </c>
    </row>
    <row r="3174" spans="1:14">
      <c r="A3174" t="s">
        <v>126</v>
      </c>
      <c r="B3174" t="str">
        <f>_xlfn.XLOOKUP(A3174,'[1]Tissue Data'!$A:$A,'[1]Tissue Data'!$C:$C)</f>
        <v>Spill</v>
      </c>
      <c r="C3174" s="2">
        <f>_xlfn.XLOOKUP(A3174,'[1]Tissue Data'!$A:$A,'[1]Tissue Data'!$D:$D)</f>
        <v>44314</v>
      </c>
      <c r="D3174" s="2" t="s">
        <v>122</v>
      </c>
      <c r="E3174" t="str">
        <f>_xlfn.XLOOKUP(A3174,'[1]Tissue Data'!$A:$A,'[1]Tissue Data'!$H:$H)</f>
        <v>Etheostoma</v>
      </c>
      <c r="F3174" t="str">
        <f>_xlfn.XLOOKUP(A3174,'[1]Tissue Data'!$A:$A,'[1]Tissue Data'!$I:$I)</f>
        <v>fusiforme</v>
      </c>
      <c r="G3174" t="str">
        <f>_xlfn.XLOOKUP(A3174,'[1]Tissue Data'!$A:$A,'[1]Tissue Data'!J:J)</f>
        <v>U</v>
      </c>
      <c r="H3174" t="str">
        <f>_xlfn.XLOOKUP(A3174,'[1]Tissue Data'!$A:$A,'[1]Tissue Data'!K:K)</f>
        <v>Whole Body</v>
      </c>
      <c r="I3174">
        <f>_xlfn.XLOOKUP(A3174,'[1]Tissue Data'!$A:$A,'[1]Tissue Data'!L:L)</f>
        <v>7.5</v>
      </c>
      <c r="J3174">
        <f>_xlfn.XLOOKUP(A3174,'[1]Tissue Data'!$A:$A,'[1]Tissue Data'!M:M)</f>
        <v>4.95</v>
      </c>
      <c r="K3174" t="s">
        <v>34</v>
      </c>
      <c r="L3174" t="str">
        <f>_xlfn.XLOOKUP(K3174,[2]analyte_order!$B:$B,[2]analyte_order!$C:$C)</f>
        <v>646-83-3</v>
      </c>
      <c r="M3174">
        <f>_xlfn.XLOOKUP(L3174,[2]analyte_order!$C:$C,[2]analyte_order!$E:$E)</f>
        <v>55</v>
      </c>
      <c r="N3174">
        <v>0.441</v>
      </c>
    </row>
    <row r="3175" spans="1:14">
      <c r="A3175" t="s">
        <v>126</v>
      </c>
      <c r="B3175" t="str">
        <f>_xlfn.XLOOKUP(A3175,'[1]Tissue Data'!$A:$A,'[1]Tissue Data'!$C:$C)</f>
        <v>Spill</v>
      </c>
      <c r="C3175" s="2">
        <f>_xlfn.XLOOKUP(A3175,'[1]Tissue Data'!$A:$A,'[1]Tissue Data'!$D:$D)</f>
        <v>44314</v>
      </c>
      <c r="D3175" s="2" t="s">
        <v>122</v>
      </c>
      <c r="E3175" t="str">
        <f>_xlfn.XLOOKUP(A3175,'[1]Tissue Data'!$A:$A,'[1]Tissue Data'!$H:$H)</f>
        <v>Etheostoma</v>
      </c>
      <c r="F3175" t="str">
        <f>_xlfn.XLOOKUP(A3175,'[1]Tissue Data'!$A:$A,'[1]Tissue Data'!$I:$I)</f>
        <v>fusiforme</v>
      </c>
      <c r="G3175" t="str">
        <f>_xlfn.XLOOKUP(A3175,'[1]Tissue Data'!$A:$A,'[1]Tissue Data'!J:J)</f>
        <v>U</v>
      </c>
      <c r="H3175" t="str">
        <f>_xlfn.XLOOKUP(A3175,'[1]Tissue Data'!$A:$A,'[1]Tissue Data'!K:K)</f>
        <v>Whole Body</v>
      </c>
      <c r="I3175">
        <f>_xlfn.XLOOKUP(A3175,'[1]Tissue Data'!$A:$A,'[1]Tissue Data'!L:L)</f>
        <v>7.5</v>
      </c>
      <c r="J3175">
        <f>_xlfn.XLOOKUP(A3175,'[1]Tissue Data'!$A:$A,'[1]Tissue Data'!M:M)</f>
        <v>4.95</v>
      </c>
      <c r="K3175" t="s">
        <v>35</v>
      </c>
      <c r="L3175" t="str">
        <f>_xlfn.XLOOKUP(K3175,[2]analyte_order!$B:$B,[2]analyte_order!$C:$C)</f>
        <v>30334-69-1</v>
      </c>
      <c r="M3175">
        <f>_xlfn.XLOOKUP(L3175,[2]analyte_order!$C:$C,[2]analyte_order!$E:$E)</f>
        <v>51</v>
      </c>
      <c r="N3175">
        <v>22.7</v>
      </c>
    </row>
    <row r="3176" spans="1:14">
      <c r="A3176" t="s">
        <v>126</v>
      </c>
      <c r="B3176" t="str">
        <f>_xlfn.XLOOKUP(A3176,'[1]Tissue Data'!$A:$A,'[1]Tissue Data'!$C:$C)</f>
        <v>Spill</v>
      </c>
      <c r="C3176" s="2">
        <f>_xlfn.XLOOKUP(A3176,'[1]Tissue Data'!$A:$A,'[1]Tissue Data'!$D:$D)</f>
        <v>44314</v>
      </c>
      <c r="D3176" s="2" t="s">
        <v>122</v>
      </c>
      <c r="E3176" t="str">
        <f>_xlfn.XLOOKUP(A3176,'[1]Tissue Data'!$A:$A,'[1]Tissue Data'!$H:$H)</f>
        <v>Etheostoma</v>
      </c>
      <c r="F3176" t="str">
        <f>_xlfn.XLOOKUP(A3176,'[1]Tissue Data'!$A:$A,'[1]Tissue Data'!$I:$I)</f>
        <v>fusiforme</v>
      </c>
      <c r="G3176" t="str">
        <f>_xlfn.XLOOKUP(A3176,'[1]Tissue Data'!$A:$A,'[1]Tissue Data'!J:J)</f>
        <v>U</v>
      </c>
      <c r="H3176" t="str">
        <f>_xlfn.XLOOKUP(A3176,'[1]Tissue Data'!$A:$A,'[1]Tissue Data'!K:K)</f>
        <v>Whole Body</v>
      </c>
      <c r="I3176">
        <f>_xlfn.XLOOKUP(A3176,'[1]Tissue Data'!$A:$A,'[1]Tissue Data'!L:L)</f>
        <v>7.5</v>
      </c>
      <c r="J3176">
        <f>_xlfn.XLOOKUP(A3176,'[1]Tissue Data'!$A:$A,'[1]Tissue Data'!M:M)</f>
        <v>4.95</v>
      </c>
      <c r="K3176" t="s">
        <v>36</v>
      </c>
      <c r="L3176" t="str">
        <f>_xlfn.XLOOKUP(K3176,[2]analyte_order!$B:$B,[2]analyte_order!$C:$C)</f>
        <v>41997-13-1</v>
      </c>
      <c r="M3176">
        <f>_xlfn.XLOOKUP(L3176,[2]analyte_order!$C:$C,[2]analyte_order!$E:$E)</f>
        <v>52</v>
      </c>
      <c r="N3176">
        <v>68.7</v>
      </c>
    </row>
    <row r="3177" spans="1:14">
      <c r="A3177" t="s">
        <v>126</v>
      </c>
      <c r="B3177" t="str">
        <f>_xlfn.XLOOKUP(A3177,'[1]Tissue Data'!$A:$A,'[1]Tissue Data'!$C:$C)</f>
        <v>Spill</v>
      </c>
      <c r="C3177" s="2">
        <f>_xlfn.XLOOKUP(A3177,'[1]Tissue Data'!$A:$A,'[1]Tissue Data'!$D:$D)</f>
        <v>44314</v>
      </c>
      <c r="D3177" s="2" t="s">
        <v>122</v>
      </c>
      <c r="E3177" t="str">
        <f>_xlfn.XLOOKUP(A3177,'[1]Tissue Data'!$A:$A,'[1]Tissue Data'!$H:$H)</f>
        <v>Etheostoma</v>
      </c>
      <c r="F3177" t="str">
        <f>_xlfn.XLOOKUP(A3177,'[1]Tissue Data'!$A:$A,'[1]Tissue Data'!$I:$I)</f>
        <v>fusiforme</v>
      </c>
      <c r="G3177" t="str">
        <f>_xlfn.XLOOKUP(A3177,'[1]Tissue Data'!$A:$A,'[1]Tissue Data'!J:J)</f>
        <v>U</v>
      </c>
      <c r="H3177" t="str">
        <f>_xlfn.XLOOKUP(A3177,'[1]Tissue Data'!$A:$A,'[1]Tissue Data'!K:K)</f>
        <v>Whole Body</v>
      </c>
      <c r="I3177">
        <f>_xlfn.XLOOKUP(A3177,'[1]Tissue Data'!$A:$A,'[1]Tissue Data'!L:L)</f>
        <v>7.5</v>
      </c>
      <c r="J3177">
        <f>_xlfn.XLOOKUP(A3177,'[1]Tissue Data'!$A:$A,'[1]Tissue Data'!M:M)</f>
        <v>4.95</v>
      </c>
      <c r="K3177" t="s">
        <v>37</v>
      </c>
      <c r="L3177" t="str">
        <f>_xlfn.XLOOKUP(K3177,[2]analyte_order!$B:$B,[2]analyte_order!$C:$C)</f>
        <v>754-91-6</v>
      </c>
      <c r="M3177">
        <f>_xlfn.XLOOKUP(L3177,[2]analyte_order!$C:$C,[2]analyte_order!$E:$E)</f>
        <v>28</v>
      </c>
      <c r="N3177">
        <v>34.4</v>
      </c>
    </row>
    <row r="3178" spans="1:14">
      <c r="A3178" t="s">
        <v>126</v>
      </c>
      <c r="B3178" t="str">
        <f>_xlfn.XLOOKUP(A3178,'[1]Tissue Data'!$A:$A,'[1]Tissue Data'!$C:$C)</f>
        <v>Spill</v>
      </c>
      <c r="C3178" s="2">
        <f>_xlfn.XLOOKUP(A3178,'[1]Tissue Data'!$A:$A,'[1]Tissue Data'!$D:$D)</f>
        <v>44314</v>
      </c>
      <c r="D3178" s="2" t="s">
        <v>122</v>
      </c>
      <c r="E3178" t="str">
        <f>_xlfn.XLOOKUP(A3178,'[1]Tissue Data'!$A:$A,'[1]Tissue Data'!$H:$H)</f>
        <v>Etheostoma</v>
      </c>
      <c r="F3178" t="str">
        <f>_xlfn.XLOOKUP(A3178,'[1]Tissue Data'!$A:$A,'[1]Tissue Data'!$I:$I)</f>
        <v>fusiforme</v>
      </c>
      <c r="G3178" t="str">
        <f>_xlfn.XLOOKUP(A3178,'[1]Tissue Data'!$A:$A,'[1]Tissue Data'!J:J)</f>
        <v>U</v>
      </c>
      <c r="H3178" t="str">
        <f>_xlfn.XLOOKUP(A3178,'[1]Tissue Data'!$A:$A,'[1]Tissue Data'!K:K)</f>
        <v>Whole Body</v>
      </c>
      <c r="I3178">
        <f>_xlfn.XLOOKUP(A3178,'[1]Tissue Data'!$A:$A,'[1]Tissue Data'!L:L)</f>
        <v>7.5</v>
      </c>
      <c r="J3178">
        <f>_xlfn.XLOOKUP(A3178,'[1]Tissue Data'!$A:$A,'[1]Tissue Data'!M:M)</f>
        <v>4.95</v>
      </c>
      <c r="K3178" t="s">
        <v>38</v>
      </c>
      <c r="L3178" t="str">
        <f>_xlfn.XLOOKUP(K3178,[2]analyte_order!$B:$B,[2]analyte_order!$C:$C)</f>
        <v>31506-32-8</v>
      </c>
      <c r="M3178">
        <f>_xlfn.XLOOKUP(L3178,[2]analyte_order!$C:$C,[2]analyte_order!$E:$E)</f>
        <v>30</v>
      </c>
      <c r="N3178">
        <v>5.1499999999999997E-2</v>
      </c>
    </row>
    <row r="3179" spans="1:14">
      <c r="A3179" t="s">
        <v>126</v>
      </c>
      <c r="B3179" t="str">
        <f>_xlfn.XLOOKUP(A3179,'[1]Tissue Data'!$A:$A,'[1]Tissue Data'!$C:$C)</f>
        <v>Spill</v>
      </c>
      <c r="C3179" s="2">
        <f>_xlfn.XLOOKUP(A3179,'[1]Tissue Data'!$A:$A,'[1]Tissue Data'!$D:$D)</f>
        <v>44314</v>
      </c>
      <c r="D3179" s="2" t="s">
        <v>122</v>
      </c>
      <c r="E3179" t="str">
        <f>_xlfn.XLOOKUP(A3179,'[1]Tissue Data'!$A:$A,'[1]Tissue Data'!$H:$H)</f>
        <v>Etheostoma</v>
      </c>
      <c r="F3179" t="str">
        <f>_xlfn.XLOOKUP(A3179,'[1]Tissue Data'!$A:$A,'[1]Tissue Data'!$I:$I)</f>
        <v>fusiforme</v>
      </c>
      <c r="G3179" t="str">
        <f>_xlfn.XLOOKUP(A3179,'[1]Tissue Data'!$A:$A,'[1]Tissue Data'!J:J)</f>
        <v>U</v>
      </c>
      <c r="H3179" t="str">
        <f>_xlfn.XLOOKUP(A3179,'[1]Tissue Data'!$A:$A,'[1]Tissue Data'!K:K)</f>
        <v>Whole Body</v>
      </c>
      <c r="I3179">
        <f>_xlfn.XLOOKUP(A3179,'[1]Tissue Data'!$A:$A,'[1]Tissue Data'!L:L)</f>
        <v>7.5</v>
      </c>
      <c r="J3179">
        <f>_xlfn.XLOOKUP(A3179,'[1]Tissue Data'!$A:$A,'[1]Tissue Data'!M:M)</f>
        <v>4.95</v>
      </c>
      <c r="K3179" t="s">
        <v>39</v>
      </c>
      <c r="L3179" t="str">
        <f>_xlfn.XLOOKUP(K3179,[2]analyte_order!$B:$B,[2]analyte_order!$C:$C)</f>
        <v>4151-50-2</v>
      </c>
      <c r="M3179">
        <f>_xlfn.XLOOKUP(L3179,[2]analyte_order!$C:$C,[2]analyte_order!$E:$E)</f>
        <v>31</v>
      </c>
      <c r="N3179">
        <v>7.85E-2</v>
      </c>
    </row>
    <row r="3180" spans="1:14">
      <c r="A3180" t="s">
        <v>126</v>
      </c>
      <c r="B3180" t="str">
        <f>_xlfn.XLOOKUP(A3180,'[1]Tissue Data'!$A:$A,'[1]Tissue Data'!$C:$C)</f>
        <v>Spill</v>
      </c>
      <c r="C3180" s="2">
        <f>_xlfn.XLOOKUP(A3180,'[1]Tissue Data'!$A:$A,'[1]Tissue Data'!$D:$D)</f>
        <v>44314</v>
      </c>
      <c r="D3180" s="2" t="s">
        <v>122</v>
      </c>
      <c r="E3180" t="str">
        <f>_xlfn.XLOOKUP(A3180,'[1]Tissue Data'!$A:$A,'[1]Tissue Data'!$H:$H)</f>
        <v>Etheostoma</v>
      </c>
      <c r="F3180" t="str">
        <f>_xlfn.XLOOKUP(A3180,'[1]Tissue Data'!$A:$A,'[1]Tissue Data'!$I:$I)</f>
        <v>fusiforme</v>
      </c>
      <c r="G3180" t="str">
        <f>_xlfn.XLOOKUP(A3180,'[1]Tissue Data'!$A:$A,'[1]Tissue Data'!J:J)</f>
        <v>U</v>
      </c>
      <c r="H3180" t="str">
        <f>_xlfn.XLOOKUP(A3180,'[1]Tissue Data'!$A:$A,'[1]Tissue Data'!K:K)</f>
        <v>Whole Body</v>
      </c>
      <c r="I3180">
        <f>_xlfn.XLOOKUP(A3180,'[1]Tissue Data'!$A:$A,'[1]Tissue Data'!L:L)</f>
        <v>7.5</v>
      </c>
      <c r="J3180">
        <f>_xlfn.XLOOKUP(A3180,'[1]Tissue Data'!$A:$A,'[1]Tissue Data'!M:M)</f>
        <v>4.95</v>
      </c>
      <c r="K3180" t="s">
        <v>40</v>
      </c>
      <c r="L3180" t="str">
        <f>_xlfn.XLOOKUP(K3180,[2]analyte_order!$B:$B,[2]analyte_order!$C:$C)</f>
        <v>2806-24-8</v>
      </c>
      <c r="M3180">
        <f>_xlfn.XLOOKUP(L3180,[2]analyte_order!$C:$C,[2]analyte_order!$E:$E)</f>
        <v>29</v>
      </c>
      <c r="N3180">
        <v>5.2999999999999999E-2</v>
      </c>
    </row>
    <row r="3181" spans="1:14">
      <c r="A3181" t="s">
        <v>126</v>
      </c>
      <c r="B3181" t="str">
        <f>_xlfn.XLOOKUP(A3181,'[1]Tissue Data'!$A:$A,'[1]Tissue Data'!$C:$C)</f>
        <v>Spill</v>
      </c>
      <c r="C3181" s="2">
        <f>_xlfn.XLOOKUP(A3181,'[1]Tissue Data'!$A:$A,'[1]Tissue Data'!$D:$D)</f>
        <v>44314</v>
      </c>
      <c r="D3181" s="2" t="s">
        <v>122</v>
      </c>
      <c r="E3181" t="str">
        <f>_xlfn.XLOOKUP(A3181,'[1]Tissue Data'!$A:$A,'[1]Tissue Data'!$H:$H)</f>
        <v>Etheostoma</v>
      </c>
      <c r="F3181" t="str">
        <f>_xlfn.XLOOKUP(A3181,'[1]Tissue Data'!$A:$A,'[1]Tissue Data'!$I:$I)</f>
        <v>fusiforme</v>
      </c>
      <c r="G3181" t="str">
        <f>_xlfn.XLOOKUP(A3181,'[1]Tissue Data'!$A:$A,'[1]Tissue Data'!J:J)</f>
        <v>U</v>
      </c>
      <c r="H3181" t="str">
        <f>_xlfn.XLOOKUP(A3181,'[1]Tissue Data'!$A:$A,'[1]Tissue Data'!K:K)</f>
        <v>Whole Body</v>
      </c>
      <c r="I3181">
        <f>_xlfn.XLOOKUP(A3181,'[1]Tissue Data'!$A:$A,'[1]Tissue Data'!L:L)</f>
        <v>7.5</v>
      </c>
      <c r="J3181">
        <f>_xlfn.XLOOKUP(A3181,'[1]Tissue Data'!$A:$A,'[1]Tissue Data'!M:M)</f>
        <v>4.95</v>
      </c>
      <c r="K3181" t="s">
        <v>41</v>
      </c>
      <c r="L3181" t="str">
        <f>_xlfn.XLOOKUP(K3181,[2]analyte_order!$B:$B,[2]analyte_order!$C:$C)</f>
        <v>2355-31-9</v>
      </c>
      <c r="M3181">
        <f>_xlfn.XLOOKUP(L3181,[2]analyte_order!$C:$C,[2]analyte_order!$E:$E)</f>
        <v>26</v>
      </c>
      <c r="N3181">
        <v>0.2225</v>
      </c>
    </row>
    <row r="3182" spans="1:14">
      <c r="A3182" t="s">
        <v>126</v>
      </c>
      <c r="B3182" t="str">
        <f>_xlfn.XLOOKUP(A3182,'[1]Tissue Data'!$A:$A,'[1]Tissue Data'!$C:$C)</f>
        <v>Spill</v>
      </c>
      <c r="C3182" s="2">
        <f>_xlfn.XLOOKUP(A3182,'[1]Tissue Data'!$A:$A,'[1]Tissue Data'!$D:$D)</f>
        <v>44314</v>
      </c>
      <c r="D3182" s="2" t="s">
        <v>122</v>
      </c>
      <c r="E3182" t="str">
        <f>_xlfn.XLOOKUP(A3182,'[1]Tissue Data'!$A:$A,'[1]Tissue Data'!$H:$H)</f>
        <v>Etheostoma</v>
      </c>
      <c r="F3182" t="str">
        <f>_xlfn.XLOOKUP(A3182,'[1]Tissue Data'!$A:$A,'[1]Tissue Data'!$I:$I)</f>
        <v>fusiforme</v>
      </c>
      <c r="G3182" t="str">
        <f>_xlfn.XLOOKUP(A3182,'[1]Tissue Data'!$A:$A,'[1]Tissue Data'!J:J)</f>
        <v>U</v>
      </c>
      <c r="H3182" t="str">
        <f>_xlfn.XLOOKUP(A3182,'[1]Tissue Data'!$A:$A,'[1]Tissue Data'!K:K)</f>
        <v>Whole Body</v>
      </c>
      <c r="I3182">
        <f>_xlfn.XLOOKUP(A3182,'[1]Tissue Data'!$A:$A,'[1]Tissue Data'!L:L)</f>
        <v>7.5</v>
      </c>
      <c r="J3182">
        <f>_xlfn.XLOOKUP(A3182,'[1]Tissue Data'!$A:$A,'[1]Tissue Data'!M:M)</f>
        <v>4.95</v>
      </c>
      <c r="K3182" t="s">
        <v>42</v>
      </c>
      <c r="L3182" t="str">
        <f>_xlfn.XLOOKUP(K3182,[2]analyte_order!$B:$B,[2]analyte_order!$C:$C)</f>
        <v>2991-50-6</v>
      </c>
      <c r="M3182">
        <f>_xlfn.XLOOKUP(L3182,[2]analyte_order!$C:$C,[2]analyte_order!$E:$E)</f>
        <v>27</v>
      </c>
      <c r="N3182">
        <v>5.8000000000000003E-2</v>
      </c>
    </row>
    <row r="3183" spans="1:14">
      <c r="A3183" t="s">
        <v>126</v>
      </c>
      <c r="B3183" t="str">
        <f>_xlfn.XLOOKUP(A3183,'[1]Tissue Data'!$A:$A,'[1]Tissue Data'!$C:$C)</f>
        <v>Spill</v>
      </c>
      <c r="C3183" s="2">
        <f>_xlfn.XLOOKUP(A3183,'[1]Tissue Data'!$A:$A,'[1]Tissue Data'!$D:$D)</f>
        <v>44314</v>
      </c>
      <c r="D3183" s="2" t="s">
        <v>122</v>
      </c>
      <c r="E3183" t="str">
        <f>_xlfn.XLOOKUP(A3183,'[1]Tissue Data'!$A:$A,'[1]Tissue Data'!$H:$H)</f>
        <v>Etheostoma</v>
      </c>
      <c r="F3183" t="str">
        <f>_xlfn.XLOOKUP(A3183,'[1]Tissue Data'!$A:$A,'[1]Tissue Data'!$I:$I)</f>
        <v>fusiforme</v>
      </c>
      <c r="G3183" t="str">
        <f>_xlfn.XLOOKUP(A3183,'[1]Tissue Data'!$A:$A,'[1]Tissue Data'!J:J)</f>
        <v>U</v>
      </c>
      <c r="H3183" t="str">
        <f>_xlfn.XLOOKUP(A3183,'[1]Tissue Data'!$A:$A,'[1]Tissue Data'!K:K)</f>
        <v>Whole Body</v>
      </c>
      <c r="I3183">
        <f>_xlfn.XLOOKUP(A3183,'[1]Tissue Data'!$A:$A,'[1]Tissue Data'!L:L)</f>
        <v>7.5</v>
      </c>
      <c r="J3183">
        <f>_xlfn.XLOOKUP(A3183,'[1]Tissue Data'!$A:$A,'[1]Tissue Data'!M:M)</f>
        <v>4.95</v>
      </c>
      <c r="K3183" t="s">
        <v>43</v>
      </c>
      <c r="L3183" t="str">
        <f>_xlfn.XLOOKUP(K3183,[2]analyte_order!$B:$B,[2]analyte_order!$C:$C)</f>
        <v>757124-72-4</v>
      </c>
      <c r="M3183">
        <f>_xlfn.XLOOKUP(L3183,[2]analyte_order!$C:$C,[2]analyte_order!$E:$E)</f>
        <v>22</v>
      </c>
      <c r="N3183">
        <v>5.5E-2</v>
      </c>
    </row>
    <row r="3184" spans="1:14">
      <c r="A3184" t="s">
        <v>126</v>
      </c>
      <c r="B3184" t="str">
        <f>_xlfn.XLOOKUP(A3184,'[1]Tissue Data'!$A:$A,'[1]Tissue Data'!$C:$C)</f>
        <v>Spill</v>
      </c>
      <c r="C3184" s="2">
        <f>_xlfn.XLOOKUP(A3184,'[1]Tissue Data'!$A:$A,'[1]Tissue Data'!$D:$D)</f>
        <v>44314</v>
      </c>
      <c r="D3184" s="2" t="s">
        <v>122</v>
      </c>
      <c r="E3184" t="str">
        <f>_xlfn.XLOOKUP(A3184,'[1]Tissue Data'!$A:$A,'[1]Tissue Data'!$H:$H)</f>
        <v>Etheostoma</v>
      </c>
      <c r="F3184" t="str">
        <f>_xlfn.XLOOKUP(A3184,'[1]Tissue Data'!$A:$A,'[1]Tissue Data'!$I:$I)</f>
        <v>fusiforme</v>
      </c>
      <c r="G3184" t="str">
        <f>_xlfn.XLOOKUP(A3184,'[1]Tissue Data'!$A:$A,'[1]Tissue Data'!J:J)</f>
        <v>U</v>
      </c>
      <c r="H3184" t="str">
        <f>_xlfn.XLOOKUP(A3184,'[1]Tissue Data'!$A:$A,'[1]Tissue Data'!K:K)</f>
        <v>Whole Body</v>
      </c>
      <c r="I3184">
        <f>_xlfn.XLOOKUP(A3184,'[1]Tissue Data'!$A:$A,'[1]Tissue Data'!L:L)</f>
        <v>7.5</v>
      </c>
      <c r="J3184">
        <f>_xlfn.XLOOKUP(A3184,'[1]Tissue Data'!$A:$A,'[1]Tissue Data'!M:M)</f>
        <v>4.95</v>
      </c>
      <c r="K3184" t="s">
        <v>44</v>
      </c>
      <c r="L3184" t="str">
        <f>_xlfn.XLOOKUP(K3184,[2]analyte_order!$B:$B,[2]analyte_order!$C:$C)</f>
        <v>27619-97-2</v>
      </c>
      <c r="M3184">
        <f>_xlfn.XLOOKUP(L3184,[2]analyte_order!$C:$C,[2]analyte_order!$E:$E)</f>
        <v>23</v>
      </c>
      <c r="N3184">
        <v>0.46100000000000002</v>
      </c>
    </row>
    <row r="3185" spans="1:14">
      <c r="A3185" t="s">
        <v>126</v>
      </c>
      <c r="B3185" t="str">
        <f>_xlfn.XLOOKUP(A3185,'[1]Tissue Data'!$A:$A,'[1]Tissue Data'!$C:$C)</f>
        <v>Spill</v>
      </c>
      <c r="C3185" s="2">
        <f>_xlfn.XLOOKUP(A3185,'[1]Tissue Data'!$A:$A,'[1]Tissue Data'!$D:$D)</f>
        <v>44314</v>
      </c>
      <c r="D3185" s="2" t="s">
        <v>122</v>
      </c>
      <c r="E3185" t="str">
        <f>_xlfn.XLOOKUP(A3185,'[1]Tissue Data'!$A:$A,'[1]Tissue Data'!$H:$H)</f>
        <v>Etheostoma</v>
      </c>
      <c r="F3185" t="str">
        <f>_xlfn.XLOOKUP(A3185,'[1]Tissue Data'!$A:$A,'[1]Tissue Data'!$I:$I)</f>
        <v>fusiforme</v>
      </c>
      <c r="G3185" t="str">
        <f>_xlfn.XLOOKUP(A3185,'[1]Tissue Data'!$A:$A,'[1]Tissue Data'!J:J)</f>
        <v>U</v>
      </c>
      <c r="H3185" t="str">
        <f>_xlfn.XLOOKUP(A3185,'[1]Tissue Data'!$A:$A,'[1]Tissue Data'!K:K)</f>
        <v>Whole Body</v>
      </c>
      <c r="I3185">
        <f>_xlfn.XLOOKUP(A3185,'[1]Tissue Data'!$A:$A,'[1]Tissue Data'!L:L)</f>
        <v>7.5</v>
      </c>
      <c r="J3185">
        <f>_xlfn.XLOOKUP(A3185,'[1]Tissue Data'!$A:$A,'[1]Tissue Data'!M:M)</f>
        <v>4.95</v>
      </c>
      <c r="K3185" t="s">
        <v>45</v>
      </c>
      <c r="L3185" t="str">
        <f>_xlfn.XLOOKUP(K3185,[2]analyte_order!$B:$B,[2]analyte_order!$C:$C)</f>
        <v>39108-34-4</v>
      </c>
      <c r="M3185">
        <f>_xlfn.XLOOKUP(L3185,[2]analyte_order!$C:$C,[2]analyte_order!$E:$E)</f>
        <v>24</v>
      </c>
      <c r="N3185">
        <v>4.5199999999999996</v>
      </c>
    </row>
    <row r="3186" spans="1:14">
      <c r="A3186" t="s">
        <v>126</v>
      </c>
      <c r="B3186" t="str">
        <f>_xlfn.XLOOKUP(A3186,'[1]Tissue Data'!$A:$A,'[1]Tissue Data'!$C:$C)</f>
        <v>Spill</v>
      </c>
      <c r="C3186" s="2">
        <f>_xlfn.XLOOKUP(A3186,'[1]Tissue Data'!$A:$A,'[1]Tissue Data'!$D:$D)</f>
        <v>44314</v>
      </c>
      <c r="D3186" s="2" t="s">
        <v>122</v>
      </c>
      <c r="E3186" t="str">
        <f>_xlfn.XLOOKUP(A3186,'[1]Tissue Data'!$A:$A,'[1]Tissue Data'!$H:$H)</f>
        <v>Etheostoma</v>
      </c>
      <c r="F3186" t="str">
        <f>_xlfn.XLOOKUP(A3186,'[1]Tissue Data'!$A:$A,'[1]Tissue Data'!$I:$I)</f>
        <v>fusiforme</v>
      </c>
      <c r="G3186" t="str">
        <f>_xlfn.XLOOKUP(A3186,'[1]Tissue Data'!$A:$A,'[1]Tissue Data'!J:J)</f>
        <v>U</v>
      </c>
      <c r="H3186" t="str">
        <f>_xlfn.XLOOKUP(A3186,'[1]Tissue Data'!$A:$A,'[1]Tissue Data'!K:K)</f>
        <v>Whole Body</v>
      </c>
      <c r="I3186">
        <f>_xlfn.XLOOKUP(A3186,'[1]Tissue Data'!$A:$A,'[1]Tissue Data'!L:L)</f>
        <v>7.5</v>
      </c>
      <c r="J3186">
        <f>_xlfn.XLOOKUP(A3186,'[1]Tissue Data'!$A:$A,'[1]Tissue Data'!M:M)</f>
        <v>4.95</v>
      </c>
      <c r="K3186" t="s">
        <v>46</v>
      </c>
      <c r="L3186" t="str">
        <f>_xlfn.XLOOKUP(K3186,[2]analyte_order!$B:$B,[2]analyte_order!$C:$C)</f>
        <v>120226-60-0</v>
      </c>
      <c r="M3186">
        <f>_xlfn.XLOOKUP(L3186,[2]analyte_order!$C:$C,[2]analyte_order!$E:$E)</f>
        <v>25</v>
      </c>
      <c r="N3186">
        <v>0.2515</v>
      </c>
    </row>
    <row r="3187" spans="1:14">
      <c r="A3187" t="s">
        <v>126</v>
      </c>
      <c r="B3187" t="str">
        <f>_xlfn.XLOOKUP(A3187,'[1]Tissue Data'!$A:$A,'[1]Tissue Data'!$C:$C)</f>
        <v>Spill</v>
      </c>
      <c r="C3187" s="2">
        <f>_xlfn.XLOOKUP(A3187,'[1]Tissue Data'!$A:$A,'[1]Tissue Data'!$D:$D)</f>
        <v>44314</v>
      </c>
      <c r="D3187" s="2" t="s">
        <v>122</v>
      </c>
      <c r="E3187" t="str">
        <f>_xlfn.XLOOKUP(A3187,'[1]Tissue Data'!$A:$A,'[1]Tissue Data'!$H:$H)</f>
        <v>Etheostoma</v>
      </c>
      <c r="F3187" t="str">
        <f>_xlfn.XLOOKUP(A3187,'[1]Tissue Data'!$A:$A,'[1]Tissue Data'!$I:$I)</f>
        <v>fusiforme</v>
      </c>
      <c r="G3187" t="str">
        <f>_xlfn.XLOOKUP(A3187,'[1]Tissue Data'!$A:$A,'[1]Tissue Data'!J:J)</f>
        <v>U</v>
      </c>
      <c r="H3187" t="str">
        <f>_xlfn.XLOOKUP(A3187,'[1]Tissue Data'!$A:$A,'[1]Tissue Data'!K:K)</f>
        <v>Whole Body</v>
      </c>
      <c r="I3187">
        <f>_xlfn.XLOOKUP(A3187,'[1]Tissue Data'!$A:$A,'[1]Tissue Data'!L:L)</f>
        <v>7.5</v>
      </c>
      <c r="J3187">
        <f>_xlfn.XLOOKUP(A3187,'[1]Tissue Data'!$A:$A,'[1]Tissue Data'!M:M)</f>
        <v>4.95</v>
      </c>
      <c r="K3187" t="s">
        <v>47</v>
      </c>
      <c r="L3187" t="str">
        <f>_xlfn.XLOOKUP(K3187,[2]analyte_order!$B:$B,[2]analyte_order!$C:$C)</f>
        <v>356-02-5</v>
      </c>
      <c r="M3187">
        <f>_xlfn.XLOOKUP(L3187,[2]analyte_order!$C:$C,[2]analyte_order!$E:$E)</f>
        <v>38</v>
      </c>
      <c r="N3187">
        <v>7.7499999999999999E-2</v>
      </c>
    </row>
    <row r="3188" spans="1:14">
      <c r="A3188" t="s">
        <v>126</v>
      </c>
      <c r="B3188" t="str">
        <f>_xlfn.XLOOKUP(A3188,'[1]Tissue Data'!$A:$A,'[1]Tissue Data'!$C:$C)</f>
        <v>Spill</v>
      </c>
      <c r="C3188" s="2">
        <f>_xlfn.XLOOKUP(A3188,'[1]Tissue Data'!$A:$A,'[1]Tissue Data'!$D:$D)</f>
        <v>44314</v>
      </c>
      <c r="D3188" s="2" t="s">
        <v>122</v>
      </c>
      <c r="E3188" t="str">
        <f>_xlfn.XLOOKUP(A3188,'[1]Tissue Data'!$A:$A,'[1]Tissue Data'!$H:$H)</f>
        <v>Etheostoma</v>
      </c>
      <c r="F3188" t="str">
        <f>_xlfn.XLOOKUP(A3188,'[1]Tissue Data'!$A:$A,'[1]Tissue Data'!$I:$I)</f>
        <v>fusiforme</v>
      </c>
      <c r="G3188" t="str">
        <f>_xlfn.XLOOKUP(A3188,'[1]Tissue Data'!$A:$A,'[1]Tissue Data'!J:J)</f>
        <v>U</v>
      </c>
      <c r="H3188" t="str">
        <f>_xlfn.XLOOKUP(A3188,'[1]Tissue Data'!$A:$A,'[1]Tissue Data'!K:K)</f>
        <v>Whole Body</v>
      </c>
      <c r="I3188">
        <f>_xlfn.XLOOKUP(A3188,'[1]Tissue Data'!$A:$A,'[1]Tissue Data'!L:L)</f>
        <v>7.5</v>
      </c>
      <c r="J3188">
        <f>_xlfn.XLOOKUP(A3188,'[1]Tissue Data'!$A:$A,'[1]Tissue Data'!M:M)</f>
        <v>4.95</v>
      </c>
      <c r="K3188" t="s">
        <v>48</v>
      </c>
      <c r="L3188" t="str">
        <f>_xlfn.XLOOKUP(K3188,[2]analyte_order!$B:$B,[2]analyte_order!$C:$C)</f>
        <v>914637-49-3</v>
      </c>
      <c r="M3188">
        <f>_xlfn.XLOOKUP(L3188,[2]analyte_order!$C:$C,[2]analyte_order!$E:$E)</f>
        <v>39</v>
      </c>
      <c r="N3188">
        <v>5.0500000000000003E-2</v>
      </c>
    </row>
    <row r="3189" spans="1:14">
      <c r="A3189" t="s">
        <v>126</v>
      </c>
      <c r="B3189" t="str">
        <f>_xlfn.XLOOKUP(A3189,'[1]Tissue Data'!$A:$A,'[1]Tissue Data'!$C:$C)</f>
        <v>Spill</v>
      </c>
      <c r="C3189" s="2">
        <f>_xlfn.XLOOKUP(A3189,'[1]Tissue Data'!$A:$A,'[1]Tissue Data'!$D:$D)</f>
        <v>44314</v>
      </c>
      <c r="D3189" s="2" t="s">
        <v>122</v>
      </c>
      <c r="E3189" t="str">
        <f>_xlfn.XLOOKUP(A3189,'[1]Tissue Data'!$A:$A,'[1]Tissue Data'!$H:$H)</f>
        <v>Etheostoma</v>
      </c>
      <c r="F3189" t="str">
        <f>_xlfn.XLOOKUP(A3189,'[1]Tissue Data'!$A:$A,'[1]Tissue Data'!$I:$I)</f>
        <v>fusiforme</v>
      </c>
      <c r="G3189" t="str">
        <f>_xlfn.XLOOKUP(A3189,'[1]Tissue Data'!$A:$A,'[1]Tissue Data'!J:J)</f>
        <v>U</v>
      </c>
      <c r="H3189" t="str">
        <f>_xlfn.XLOOKUP(A3189,'[1]Tissue Data'!$A:$A,'[1]Tissue Data'!K:K)</f>
        <v>Whole Body</v>
      </c>
      <c r="I3189">
        <f>_xlfn.XLOOKUP(A3189,'[1]Tissue Data'!$A:$A,'[1]Tissue Data'!L:L)</f>
        <v>7.5</v>
      </c>
      <c r="J3189">
        <f>_xlfn.XLOOKUP(A3189,'[1]Tissue Data'!$A:$A,'[1]Tissue Data'!M:M)</f>
        <v>4.95</v>
      </c>
      <c r="K3189" t="s">
        <v>49</v>
      </c>
      <c r="L3189" t="str">
        <f>_xlfn.XLOOKUP(K3189,[2]analyte_order!$B:$B,[2]analyte_order!$C:$C)</f>
        <v>812-70-4</v>
      </c>
      <c r="M3189">
        <f>_xlfn.XLOOKUP(L3189,[2]analyte_order!$C:$C,[2]analyte_order!$E:$E)</f>
        <v>40</v>
      </c>
      <c r="N3189">
        <v>0.99299999999999999</v>
      </c>
    </row>
    <row r="3190" spans="1:14">
      <c r="A3190" t="s">
        <v>126</v>
      </c>
      <c r="B3190" t="str">
        <f>_xlfn.XLOOKUP(A3190,'[1]Tissue Data'!$A:$A,'[1]Tissue Data'!$C:$C)</f>
        <v>Spill</v>
      </c>
      <c r="C3190" s="2">
        <f>_xlfn.XLOOKUP(A3190,'[1]Tissue Data'!$A:$A,'[1]Tissue Data'!$D:$D)</f>
        <v>44314</v>
      </c>
      <c r="D3190" s="2" t="s">
        <v>122</v>
      </c>
      <c r="E3190" t="str">
        <f>_xlfn.XLOOKUP(A3190,'[1]Tissue Data'!$A:$A,'[1]Tissue Data'!$H:$H)</f>
        <v>Etheostoma</v>
      </c>
      <c r="F3190" t="str">
        <f>_xlfn.XLOOKUP(A3190,'[1]Tissue Data'!$A:$A,'[1]Tissue Data'!$I:$I)</f>
        <v>fusiforme</v>
      </c>
      <c r="G3190" t="str">
        <f>_xlfn.XLOOKUP(A3190,'[1]Tissue Data'!$A:$A,'[1]Tissue Data'!J:J)</f>
        <v>U</v>
      </c>
      <c r="H3190" t="str">
        <f>_xlfn.XLOOKUP(A3190,'[1]Tissue Data'!$A:$A,'[1]Tissue Data'!K:K)</f>
        <v>Whole Body</v>
      </c>
      <c r="I3190">
        <f>_xlfn.XLOOKUP(A3190,'[1]Tissue Data'!$A:$A,'[1]Tissue Data'!L:L)</f>
        <v>7.5</v>
      </c>
      <c r="J3190">
        <f>_xlfn.XLOOKUP(A3190,'[1]Tissue Data'!$A:$A,'[1]Tissue Data'!M:M)</f>
        <v>4.95</v>
      </c>
      <c r="K3190" t="s">
        <v>50</v>
      </c>
      <c r="L3190" t="str">
        <f>_xlfn.XLOOKUP(K3190,[2]analyte_order!$B:$B,[2]analyte_order!$C:$C)</f>
        <v>53826-12-3</v>
      </c>
      <c r="M3190">
        <f>_xlfn.XLOOKUP(L3190,[2]analyte_order!$C:$C,[2]analyte_order!$E:$E)</f>
        <v>41</v>
      </c>
      <c r="N3190">
        <v>4.3049999999999998E-2</v>
      </c>
    </row>
    <row r="3191" spans="1:14">
      <c r="A3191" t="s">
        <v>126</v>
      </c>
      <c r="B3191" t="str">
        <f>_xlfn.XLOOKUP(A3191,'[1]Tissue Data'!$A:$A,'[1]Tissue Data'!$C:$C)</f>
        <v>Spill</v>
      </c>
      <c r="C3191" s="2">
        <f>_xlfn.XLOOKUP(A3191,'[1]Tissue Data'!$A:$A,'[1]Tissue Data'!$D:$D)</f>
        <v>44314</v>
      </c>
      <c r="D3191" s="2" t="s">
        <v>122</v>
      </c>
      <c r="E3191" t="str">
        <f>_xlfn.XLOOKUP(A3191,'[1]Tissue Data'!$A:$A,'[1]Tissue Data'!$H:$H)</f>
        <v>Etheostoma</v>
      </c>
      <c r="F3191" t="str">
        <f>_xlfn.XLOOKUP(A3191,'[1]Tissue Data'!$A:$A,'[1]Tissue Data'!$I:$I)</f>
        <v>fusiforme</v>
      </c>
      <c r="G3191" t="str">
        <f>_xlfn.XLOOKUP(A3191,'[1]Tissue Data'!$A:$A,'[1]Tissue Data'!J:J)</f>
        <v>U</v>
      </c>
      <c r="H3191" t="str">
        <f>_xlfn.XLOOKUP(A3191,'[1]Tissue Data'!$A:$A,'[1]Tissue Data'!K:K)</f>
        <v>Whole Body</v>
      </c>
      <c r="I3191">
        <f>_xlfn.XLOOKUP(A3191,'[1]Tissue Data'!$A:$A,'[1]Tissue Data'!L:L)</f>
        <v>7.5</v>
      </c>
      <c r="J3191">
        <f>_xlfn.XLOOKUP(A3191,'[1]Tissue Data'!$A:$A,'[1]Tissue Data'!M:M)</f>
        <v>4.95</v>
      </c>
      <c r="K3191" t="s">
        <v>51</v>
      </c>
      <c r="L3191" t="str">
        <f>_xlfn.XLOOKUP(K3191,[2]analyte_order!$B:$B,[2]analyte_order!$C:$C)</f>
        <v>27854-31-5</v>
      </c>
      <c r="M3191">
        <f>_xlfn.XLOOKUP(L3191,[2]analyte_order!$C:$C,[2]analyte_order!$E:$E)</f>
        <v>42</v>
      </c>
      <c r="N3191">
        <v>2.6800000000000001E-2</v>
      </c>
    </row>
    <row r="3192" spans="1:14">
      <c r="A3192" t="s">
        <v>126</v>
      </c>
      <c r="B3192" t="str">
        <f>_xlfn.XLOOKUP(A3192,'[1]Tissue Data'!$A:$A,'[1]Tissue Data'!$C:$C)</f>
        <v>Spill</v>
      </c>
      <c r="C3192" s="2">
        <f>_xlfn.XLOOKUP(A3192,'[1]Tissue Data'!$A:$A,'[1]Tissue Data'!$D:$D)</f>
        <v>44314</v>
      </c>
      <c r="D3192" s="2" t="s">
        <v>122</v>
      </c>
      <c r="E3192" t="str">
        <f>_xlfn.XLOOKUP(A3192,'[1]Tissue Data'!$A:$A,'[1]Tissue Data'!$H:$H)</f>
        <v>Etheostoma</v>
      </c>
      <c r="F3192" t="str">
        <f>_xlfn.XLOOKUP(A3192,'[1]Tissue Data'!$A:$A,'[1]Tissue Data'!$I:$I)</f>
        <v>fusiforme</v>
      </c>
      <c r="G3192" t="str">
        <f>_xlfn.XLOOKUP(A3192,'[1]Tissue Data'!$A:$A,'[1]Tissue Data'!J:J)</f>
        <v>U</v>
      </c>
      <c r="H3192" t="str">
        <f>_xlfn.XLOOKUP(A3192,'[1]Tissue Data'!$A:$A,'[1]Tissue Data'!K:K)</f>
        <v>Whole Body</v>
      </c>
      <c r="I3192">
        <f>_xlfn.XLOOKUP(A3192,'[1]Tissue Data'!$A:$A,'[1]Tissue Data'!L:L)</f>
        <v>7.5</v>
      </c>
      <c r="J3192">
        <f>_xlfn.XLOOKUP(A3192,'[1]Tissue Data'!$A:$A,'[1]Tissue Data'!M:M)</f>
        <v>4.95</v>
      </c>
      <c r="K3192" t="s">
        <v>52</v>
      </c>
      <c r="L3192" t="str">
        <f>_xlfn.XLOOKUP(K3192,[2]analyte_order!$B:$B,[2]analyte_order!$C:$C)</f>
        <v>53826-13-4</v>
      </c>
      <c r="M3192">
        <f>_xlfn.XLOOKUP(L3192,[2]analyte_order!$C:$C,[2]analyte_order!$E:$E)</f>
        <v>43</v>
      </c>
      <c r="N3192">
        <v>0.1</v>
      </c>
    </row>
    <row r="3193" spans="1:14">
      <c r="A3193" t="s">
        <v>126</v>
      </c>
      <c r="B3193" t="str">
        <f>_xlfn.XLOOKUP(A3193,'[1]Tissue Data'!$A:$A,'[1]Tissue Data'!$C:$C)</f>
        <v>Spill</v>
      </c>
      <c r="C3193" s="2">
        <f>_xlfn.XLOOKUP(A3193,'[1]Tissue Data'!$A:$A,'[1]Tissue Data'!$D:$D)</f>
        <v>44314</v>
      </c>
      <c r="D3193" s="2" t="s">
        <v>122</v>
      </c>
      <c r="E3193" t="str">
        <f>_xlfn.XLOOKUP(A3193,'[1]Tissue Data'!$A:$A,'[1]Tissue Data'!$H:$H)</f>
        <v>Etheostoma</v>
      </c>
      <c r="F3193" t="str">
        <f>_xlfn.XLOOKUP(A3193,'[1]Tissue Data'!$A:$A,'[1]Tissue Data'!$I:$I)</f>
        <v>fusiforme</v>
      </c>
      <c r="G3193" t="str">
        <f>_xlfn.XLOOKUP(A3193,'[1]Tissue Data'!$A:$A,'[1]Tissue Data'!J:J)</f>
        <v>U</v>
      </c>
      <c r="H3193" t="str">
        <f>_xlfn.XLOOKUP(A3193,'[1]Tissue Data'!$A:$A,'[1]Tissue Data'!K:K)</f>
        <v>Whole Body</v>
      </c>
      <c r="I3193">
        <f>_xlfn.XLOOKUP(A3193,'[1]Tissue Data'!$A:$A,'[1]Tissue Data'!L:L)</f>
        <v>7.5</v>
      </c>
      <c r="J3193">
        <f>_xlfn.XLOOKUP(A3193,'[1]Tissue Data'!$A:$A,'[1]Tissue Data'!M:M)</f>
        <v>4.95</v>
      </c>
      <c r="K3193" t="s">
        <v>53</v>
      </c>
      <c r="L3193" t="str">
        <f>_xlfn.XLOOKUP(K3193,[2]analyte_order!$B:$B,[2]analyte_order!$C:$C)</f>
        <v>161094-75-3</v>
      </c>
      <c r="M3193">
        <f>_xlfn.XLOOKUP(L3193,[2]analyte_order!$C:$C,[2]analyte_order!$E:$E)</f>
        <v>44</v>
      </c>
      <c r="N3193">
        <v>5.2499999999999998E-2</v>
      </c>
    </row>
    <row r="3194" spans="1:14">
      <c r="A3194" t="s">
        <v>126</v>
      </c>
      <c r="B3194" t="str">
        <f>_xlfn.XLOOKUP(A3194,'[1]Tissue Data'!$A:$A,'[1]Tissue Data'!$C:$C)</f>
        <v>Spill</v>
      </c>
      <c r="C3194" s="2">
        <f>_xlfn.XLOOKUP(A3194,'[1]Tissue Data'!$A:$A,'[1]Tissue Data'!$D:$D)</f>
        <v>44314</v>
      </c>
      <c r="D3194" s="2" t="s">
        <v>122</v>
      </c>
      <c r="E3194" t="str">
        <f>_xlfn.XLOOKUP(A3194,'[1]Tissue Data'!$A:$A,'[1]Tissue Data'!$H:$H)</f>
        <v>Etheostoma</v>
      </c>
      <c r="F3194" t="str">
        <f>_xlfn.XLOOKUP(A3194,'[1]Tissue Data'!$A:$A,'[1]Tissue Data'!$I:$I)</f>
        <v>fusiforme</v>
      </c>
      <c r="G3194" t="str">
        <f>_xlfn.XLOOKUP(A3194,'[1]Tissue Data'!$A:$A,'[1]Tissue Data'!J:J)</f>
        <v>U</v>
      </c>
      <c r="H3194" t="str">
        <f>_xlfn.XLOOKUP(A3194,'[1]Tissue Data'!$A:$A,'[1]Tissue Data'!K:K)</f>
        <v>Whole Body</v>
      </c>
      <c r="I3194">
        <f>_xlfn.XLOOKUP(A3194,'[1]Tissue Data'!$A:$A,'[1]Tissue Data'!L:L)</f>
        <v>7.5</v>
      </c>
      <c r="J3194">
        <f>_xlfn.XLOOKUP(A3194,'[1]Tissue Data'!$A:$A,'[1]Tissue Data'!M:M)</f>
        <v>4.95</v>
      </c>
      <c r="K3194" t="s">
        <v>54</v>
      </c>
      <c r="L3194" t="str">
        <f>_xlfn.XLOOKUP(K3194,[2]analyte_order!$B:$B,[2]analyte_order!$C:$C)</f>
        <v>70887-84-2</v>
      </c>
      <c r="M3194">
        <f>_xlfn.XLOOKUP(L3194,[2]analyte_order!$C:$C,[2]analyte_order!$E:$E)</f>
        <v>45</v>
      </c>
      <c r="N3194">
        <v>4.0599999999999997E-2</v>
      </c>
    </row>
    <row r="3195" spans="1:14">
      <c r="A3195" t="s">
        <v>126</v>
      </c>
      <c r="B3195" t="str">
        <f>_xlfn.XLOOKUP(A3195,'[1]Tissue Data'!$A:$A,'[1]Tissue Data'!$C:$C)</f>
        <v>Spill</v>
      </c>
      <c r="C3195" s="2">
        <f>_xlfn.XLOOKUP(A3195,'[1]Tissue Data'!$A:$A,'[1]Tissue Data'!$D:$D)</f>
        <v>44314</v>
      </c>
      <c r="D3195" s="2" t="s">
        <v>122</v>
      </c>
      <c r="E3195" t="str">
        <f>_xlfn.XLOOKUP(A3195,'[1]Tissue Data'!$A:$A,'[1]Tissue Data'!$H:$H)</f>
        <v>Etheostoma</v>
      </c>
      <c r="F3195" t="str">
        <f>_xlfn.XLOOKUP(A3195,'[1]Tissue Data'!$A:$A,'[1]Tissue Data'!$I:$I)</f>
        <v>fusiforme</v>
      </c>
      <c r="G3195" t="str">
        <f>_xlfn.XLOOKUP(A3195,'[1]Tissue Data'!$A:$A,'[1]Tissue Data'!J:J)</f>
        <v>U</v>
      </c>
      <c r="H3195" t="str">
        <f>_xlfn.XLOOKUP(A3195,'[1]Tissue Data'!$A:$A,'[1]Tissue Data'!K:K)</f>
        <v>Whole Body</v>
      </c>
      <c r="I3195">
        <f>_xlfn.XLOOKUP(A3195,'[1]Tissue Data'!$A:$A,'[1]Tissue Data'!L:L)</f>
        <v>7.5</v>
      </c>
      <c r="J3195">
        <f>_xlfn.XLOOKUP(A3195,'[1]Tissue Data'!$A:$A,'[1]Tissue Data'!M:M)</f>
        <v>4.95</v>
      </c>
      <c r="K3195" t="s">
        <v>55</v>
      </c>
      <c r="L3195" t="str">
        <f>_xlfn.XLOOKUP(K3195,[2]analyte_order!$B:$B,[2]analyte_order!$C:$C)</f>
        <v>919005-14-4</v>
      </c>
      <c r="M3195">
        <f>_xlfn.XLOOKUP(L3195,[2]analyte_order!$C:$C,[2]analyte_order!$E:$E)</f>
        <v>35</v>
      </c>
      <c r="N3195">
        <v>6.7000000000000004E-2</v>
      </c>
    </row>
    <row r="3196" spans="1:14">
      <c r="A3196" t="s">
        <v>126</v>
      </c>
      <c r="B3196" t="str">
        <f>_xlfn.XLOOKUP(A3196,'[1]Tissue Data'!$A:$A,'[1]Tissue Data'!$C:$C)</f>
        <v>Spill</v>
      </c>
      <c r="C3196" s="2">
        <f>_xlfn.XLOOKUP(A3196,'[1]Tissue Data'!$A:$A,'[1]Tissue Data'!$D:$D)</f>
        <v>44314</v>
      </c>
      <c r="D3196" s="2" t="s">
        <v>122</v>
      </c>
      <c r="E3196" t="str">
        <f>_xlfn.XLOOKUP(A3196,'[1]Tissue Data'!$A:$A,'[1]Tissue Data'!$H:$H)</f>
        <v>Etheostoma</v>
      </c>
      <c r="F3196" t="str">
        <f>_xlfn.XLOOKUP(A3196,'[1]Tissue Data'!$A:$A,'[1]Tissue Data'!$I:$I)</f>
        <v>fusiforme</v>
      </c>
      <c r="G3196" t="str">
        <f>_xlfn.XLOOKUP(A3196,'[1]Tissue Data'!$A:$A,'[1]Tissue Data'!J:J)</f>
        <v>U</v>
      </c>
      <c r="H3196" t="str">
        <f>_xlfn.XLOOKUP(A3196,'[1]Tissue Data'!$A:$A,'[1]Tissue Data'!K:K)</f>
        <v>Whole Body</v>
      </c>
      <c r="I3196">
        <f>_xlfn.XLOOKUP(A3196,'[1]Tissue Data'!$A:$A,'[1]Tissue Data'!L:L)</f>
        <v>7.5</v>
      </c>
      <c r="J3196">
        <f>_xlfn.XLOOKUP(A3196,'[1]Tissue Data'!$A:$A,'[1]Tissue Data'!M:M)</f>
        <v>4.95</v>
      </c>
      <c r="K3196" t="s">
        <v>56</v>
      </c>
      <c r="L3196" t="str">
        <f>_xlfn.XLOOKUP(K3196,[2]analyte_order!$B:$B,[2]analyte_order!$C:$C)</f>
        <v>756426-58-1</v>
      </c>
      <c r="M3196">
        <f>_xlfn.XLOOKUP(L3196,[2]analyte_order!$C:$C,[2]analyte_order!$E:$E)</f>
        <v>36</v>
      </c>
      <c r="N3196">
        <v>4.65E-2</v>
      </c>
    </row>
    <row r="3197" spans="1:14">
      <c r="A3197" t="s">
        <v>126</v>
      </c>
      <c r="B3197" t="str">
        <f>_xlfn.XLOOKUP(A3197,'[1]Tissue Data'!$A:$A,'[1]Tissue Data'!$C:$C)</f>
        <v>Spill</v>
      </c>
      <c r="C3197" s="2">
        <f>_xlfn.XLOOKUP(A3197,'[1]Tissue Data'!$A:$A,'[1]Tissue Data'!$D:$D)</f>
        <v>44314</v>
      </c>
      <c r="D3197" s="2" t="s">
        <v>122</v>
      </c>
      <c r="E3197" t="str">
        <f>_xlfn.XLOOKUP(A3197,'[1]Tissue Data'!$A:$A,'[1]Tissue Data'!$H:$H)</f>
        <v>Etheostoma</v>
      </c>
      <c r="F3197" t="str">
        <f>_xlfn.XLOOKUP(A3197,'[1]Tissue Data'!$A:$A,'[1]Tissue Data'!$I:$I)</f>
        <v>fusiforme</v>
      </c>
      <c r="G3197" t="str">
        <f>_xlfn.XLOOKUP(A3197,'[1]Tissue Data'!$A:$A,'[1]Tissue Data'!J:J)</f>
        <v>U</v>
      </c>
      <c r="H3197" t="str">
        <f>_xlfn.XLOOKUP(A3197,'[1]Tissue Data'!$A:$A,'[1]Tissue Data'!K:K)</f>
        <v>Whole Body</v>
      </c>
      <c r="I3197">
        <f>_xlfn.XLOOKUP(A3197,'[1]Tissue Data'!$A:$A,'[1]Tissue Data'!L:L)</f>
        <v>7.5</v>
      </c>
      <c r="J3197">
        <f>_xlfn.XLOOKUP(A3197,'[1]Tissue Data'!$A:$A,'[1]Tissue Data'!M:M)</f>
        <v>4.95</v>
      </c>
      <c r="K3197" t="s">
        <v>57</v>
      </c>
      <c r="L3197" t="str">
        <f>_xlfn.XLOOKUP(K3197,[2]analyte_order!$B:$B,[2]analyte_order!$C:$C)</f>
        <v>763051-92-9</v>
      </c>
      <c r="M3197">
        <f>_xlfn.XLOOKUP(L3197,[2]analyte_order!$C:$C,[2]analyte_order!$E:$E)</f>
        <v>37</v>
      </c>
      <c r="N3197">
        <v>5.2999999999999999E-2</v>
      </c>
    </row>
    <row r="3198" spans="1:14">
      <c r="A3198" t="s">
        <v>126</v>
      </c>
      <c r="B3198" t="str">
        <f>_xlfn.XLOOKUP(A3198,'[1]Tissue Data'!$A:$A,'[1]Tissue Data'!$C:$C)</f>
        <v>Spill</v>
      </c>
      <c r="C3198" s="2">
        <f>_xlfn.XLOOKUP(A3198,'[1]Tissue Data'!$A:$A,'[1]Tissue Data'!$D:$D)</f>
        <v>44314</v>
      </c>
      <c r="D3198" s="2" t="s">
        <v>122</v>
      </c>
      <c r="E3198" t="str">
        <f>_xlfn.XLOOKUP(A3198,'[1]Tissue Data'!$A:$A,'[1]Tissue Data'!$H:$H)</f>
        <v>Etheostoma</v>
      </c>
      <c r="F3198" t="str">
        <f>_xlfn.XLOOKUP(A3198,'[1]Tissue Data'!$A:$A,'[1]Tissue Data'!$I:$I)</f>
        <v>fusiforme</v>
      </c>
      <c r="G3198" t="str">
        <f>_xlfn.XLOOKUP(A3198,'[1]Tissue Data'!$A:$A,'[1]Tissue Data'!J:J)</f>
        <v>U</v>
      </c>
      <c r="H3198" t="str">
        <f>_xlfn.XLOOKUP(A3198,'[1]Tissue Data'!$A:$A,'[1]Tissue Data'!K:K)</f>
        <v>Whole Body</v>
      </c>
      <c r="I3198">
        <f>_xlfn.XLOOKUP(A3198,'[1]Tissue Data'!$A:$A,'[1]Tissue Data'!L:L)</f>
        <v>7.5</v>
      </c>
      <c r="J3198">
        <f>_xlfn.XLOOKUP(A3198,'[1]Tissue Data'!$A:$A,'[1]Tissue Data'!M:M)</f>
        <v>4.95</v>
      </c>
      <c r="K3198" t="s">
        <v>58</v>
      </c>
      <c r="L3198" t="str">
        <f>_xlfn.XLOOKUP(K3198,[2]analyte_order!$B:$B,[2]analyte_order!$C:$C)</f>
        <v>13252-13-6</v>
      </c>
      <c r="M3198">
        <f>_xlfn.XLOOKUP(L3198,[2]analyte_order!$C:$C,[2]analyte_order!$E:$E)</f>
        <v>34</v>
      </c>
      <c r="N3198">
        <v>9.6000000000000002E-2</v>
      </c>
    </row>
    <row r="3199" spans="1:14">
      <c r="A3199" t="s">
        <v>126</v>
      </c>
      <c r="B3199" t="str">
        <f>_xlfn.XLOOKUP(A3199,'[1]Tissue Data'!$A:$A,'[1]Tissue Data'!$C:$C)</f>
        <v>Spill</v>
      </c>
      <c r="C3199" s="2">
        <f>_xlfn.XLOOKUP(A3199,'[1]Tissue Data'!$A:$A,'[1]Tissue Data'!$D:$D)</f>
        <v>44314</v>
      </c>
      <c r="D3199" s="2" t="s">
        <v>122</v>
      </c>
      <c r="E3199" t="str">
        <f>_xlfn.XLOOKUP(A3199,'[1]Tissue Data'!$A:$A,'[1]Tissue Data'!$H:$H)</f>
        <v>Etheostoma</v>
      </c>
      <c r="F3199" t="str">
        <f>_xlfn.XLOOKUP(A3199,'[1]Tissue Data'!$A:$A,'[1]Tissue Data'!$I:$I)</f>
        <v>fusiforme</v>
      </c>
      <c r="G3199" t="str">
        <f>_xlfn.XLOOKUP(A3199,'[1]Tissue Data'!$A:$A,'[1]Tissue Data'!J:J)</f>
        <v>U</v>
      </c>
      <c r="H3199" t="str">
        <f>_xlfn.XLOOKUP(A3199,'[1]Tissue Data'!$A:$A,'[1]Tissue Data'!K:K)</f>
        <v>Whole Body</v>
      </c>
      <c r="I3199">
        <f>_xlfn.XLOOKUP(A3199,'[1]Tissue Data'!$A:$A,'[1]Tissue Data'!L:L)</f>
        <v>7.5</v>
      </c>
      <c r="J3199">
        <f>_xlfn.XLOOKUP(A3199,'[1]Tissue Data'!$A:$A,'[1]Tissue Data'!M:M)</f>
        <v>4.95</v>
      </c>
      <c r="K3199" t="s">
        <v>59</v>
      </c>
      <c r="L3199" t="str">
        <f>_xlfn.XLOOKUP(K3199,[2]analyte_order!$B:$B,[2]analyte_order!$C:$C)</f>
        <v>57677-95-9</v>
      </c>
      <c r="M3199">
        <f>_xlfn.XLOOKUP(L3199,[2]analyte_order!$C:$C,[2]analyte_order!$E:$E)</f>
        <v>46</v>
      </c>
      <c r="N3199">
        <v>7.1499999999999994E-2</v>
      </c>
    </row>
    <row r="3200" spans="1:14">
      <c r="A3200" t="s">
        <v>126</v>
      </c>
      <c r="B3200" t="str">
        <f>_xlfn.XLOOKUP(A3200,'[1]Tissue Data'!$A:$A,'[1]Tissue Data'!$C:$C)</f>
        <v>Spill</v>
      </c>
      <c r="C3200" s="2">
        <f>_xlfn.XLOOKUP(A3200,'[1]Tissue Data'!$A:$A,'[1]Tissue Data'!$D:$D)</f>
        <v>44314</v>
      </c>
      <c r="D3200" s="2" t="s">
        <v>122</v>
      </c>
      <c r="E3200" t="str">
        <f>_xlfn.XLOOKUP(A3200,'[1]Tissue Data'!$A:$A,'[1]Tissue Data'!$H:$H)</f>
        <v>Etheostoma</v>
      </c>
      <c r="F3200" t="str">
        <f>_xlfn.XLOOKUP(A3200,'[1]Tissue Data'!$A:$A,'[1]Tissue Data'!$I:$I)</f>
        <v>fusiforme</v>
      </c>
      <c r="G3200" t="str">
        <f>_xlfn.XLOOKUP(A3200,'[1]Tissue Data'!$A:$A,'[1]Tissue Data'!J:J)</f>
        <v>U</v>
      </c>
      <c r="H3200" t="str">
        <f>_xlfn.XLOOKUP(A3200,'[1]Tissue Data'!$A:$A,'[1]Tissue Data'!K:K)</f>
        <v>Whole Body</v>
      </c>
      <c r="I3200">
        <f>_xlfn.XLOOKUP(A3200,'[1]Tissue Data'!$A:$A,'[1]Tissue Data'!L:L)</f>
        <v>7.5</v>
      </c>
      <c r="J3200">
        <f>_xlfn.XLOOKUP(A3200,'[1]Tissue Data'!$A:$A,'[1]Tissue Data'!M:M)</f>
        <v>4.95</v>
      </c>
      <c r="K3200" t="s">
        <v>60</v>
      </c>
      <c r="L3200" t="str">
        <f>_xlfn.XLOOKUP(K3200,[2]analyte_order!$B:$B,[2]analyte_order!$C:$C)</f>
        <v>678-41-1</v>
      </c>
      <c r="M3200">
        <f>_xlfn.XLOOKUP(L3200,[2]analyte_order!$C:$C,[2]analyte_order!$E:$E)</f>
        <v>56</v>
      </c>
      <c r="N3200">
        <v>8.8999999999999996E-2</v>
      </c>
    </row>
    <row r="3201" spans="1:14">
      <c r="A3201" t="s">
        <v>126</v>
      </c>
      <c r="B3201" t="str">
        <f>_xlfn.XLOOKUP(A3201,'[1]Tissue Data'!$A:$A,'[1]Tissue Data'!$C:$C)</f>
        <v>Spill</v>
      </c>
      <c r="C3201" s="2">
        <f>_xlfn.XLOOKUP(A3201,'[1]Tissue Data'!$A:$A,'[1]Tissue Data'!$D:$D)</f>
        <v>44314</v>
      </c>
      <c r="D3201" s="2" t="s">
        <v>122</v>
      </c>
      <c r="E3201" t="str">
        <f>_xlfn.XLOOKUP(A3201,'[1]Tissue Data'!$A:$A,'[1]Tissue Data'!$H:$H)</f>
        <v>Etheostoma</v>
      </c>
      <c r="F3201" t="str">
        <f>_xlfn.XLOOKUP(A3201,'[1]Tissue Data'!$A:$A,'[1]Tissue Data'!$I:$I)</f>
        <v>fusiforme</v>
      </c>
      <c r="G3201" t="str">
        <f>_xlfn.XLOOKUP(A3201,'[1]Tissue Data'!$A:$A,'[1]Tissue Data'!J:J)</f>
        <v>U</v>
      </c>
      <c r="H3201" t="str">
        <f>_xlfn.XLOOKUP(A3201,'[1]Tissue Data'!$A:$A,'[1]Tissue Data'!K:K)</f>
        <v>Whole Body</v>
      </c>
      <c r="I3201">
        <f>_xlfn.XLOOKUP(A3201,'[1]Tissue Data'!$A:$A,'[1]Tissue Data'!L:L)</f>
        <v>7.5</v>
      </c>
      <c r="J3201">
        <f>_xlfn.XLOOKUP(A3201,'[1]Tissue Data'!$A:$A,'[1]Tissue Data'!M:M)</f>
        <v>4.95</v>
      </c>
      <c r="K3201" t="s">
        <v>61</v>
      </c>
      <c r="L3201" t="str">
        <f>_xlfn.XLOOKUP(K3201,[2]analyte_order!$B:$B,[2]analyte_order!$C:$C)</f>
        <v>2965-52-8</v>
      </c>
      <c r="M3201">
        <f>_xlfn.XLOOKUP(L3201,[2]analyte_order!$C:$C,[2]analyte_order!$E:$E)</f>
        <v>57</v>
      </c>
      <c r="N3201">
        <v>0.11799999999999999</v>
      </c>
    </row>
    <row r="3202" spans="1:14">
      <c r="A3202" t="s">
        <v>127</v>
      </c>
      <c r="B3202" t="str">
        <f>_xlfn.XLOOKUP(A3202,'[1]Tissue Data'!$A:$A,'[1]Tissue Data'!$C:$C)</f>
        <v>Spill</v>
      </c>
      <c r="C3202" s="2">
        <f>_xlfn.XLOOKUP(A3202,'[1]Tissue Data'!$A:$A,'[1]Tissue Data'!$D:$D)</f>
        <v>44314</v>
      </c>
      <c r="D3202" s="2" t="s">
        <v>122</v>
      </c>
      <c r="E3202" t="str">
        <f>_xlfn.XLOOKUP(A3202,'[1]Tissue Data'!$A:$A,'[1]Tissue Data'!$H:$H)</f>
        <v>Etheostoma</v>
      </c>
      <c r="F3202" t="str">
        <f>_xlfn.XLOOKUP(A3202,'[1]Tissue Data'!$A:$A,'[1]Tissue Data'!$I:$I)</f>
        <v>fusiforme</v>
      </c>
      <c r="G3202" t="str">
        <f>_xlfn.XLOOKUP(A3202,'[1]Tissue Data'!$A:$A,'[1]Tissue Data'!J:J)</f>
        <v>U</v>
      </c>
      <c r="H3202" t="str">
        <f>_xlfn.XLOOKUP(A3202,'[1]Tissue Data'!$A:$A,'[1]Tissue Data'!K:K)</f>
        <v>Whole Body</v>
      </c>
      <c r="I3202">
        <f>_xlfn.XLOOKUP(A3202,'[1]Tissue Data'!$A:$A,'[1]Tissue Data'!L:L)</f>
        <v>8</v>
      </c>
      <c r="J3202">
        <f>_xlfn.XLOOKUP(A3202,'[1]Tissue Data'!$A:$A,'[1]Tissue Data'!M:M)</f>
        <v>5.85</v>
      </c>
      <c r="K3202" t="s">
        <v>12</v>
      </c>
      <c r="L3202" t="str">
        <f>_xlfn.XLOOKUP(K3202,[2]analyte_order!$B:$B,[2]analyte_order!$C:$C)</f>
        <v>375-22-4</v>
      </c>
      <c r="M3202">
        <f>_xlfn.XLOOKUP(L3202,[2]analyte_order!$C:$C,[2]analyte_order!$E:$E)</f>
        <v>1</v>
      </c>
      <c r="N3202">
        <v>2.9100000000000001E-2</v>
      </c>
    </row>
    <row r="3203" spans="1:14">
      <c r="A3203" t="s">
        <v>127</v>
      </c>
      <c r="B3203" t="str">
        <f>_xlfn.XLOOKUP(A3203,'[1]Tissue Data'!$A:$A,'[1]Tissue Data'!$C:$C)</f>
        <v>Spill</v>
      </c>
      <c r="C3203" s="2">
        <f>_xlfn.XLOOKUP(A3203,'[1]Tissue Data'!$A:$A,'[1]Tissue Data'!$D:$D)</f>
        <v>44314</v>
      </c>
      <c r="D3203" s="2" t="s">
        <v>122</v>
      </c>
      <c r="E3203" t="str">
        <f>_xlfn.XLOOKUP(A3203,'[1]Tissue Data'!$A:$A,'[1]Tissue Data'!$H:$H)</f>
        <v>Etheostoma</v>
      </c>
      <c r="F3203" t="str">
        <f>_xlfn.XLOOKUP(A3203,'[1]Tissue Data'!$A:$A,'[1]Tissue Data'!$I:$I)</f>
        <v>fusiforme</v>
      </c>
      <c r="G3203" t="str">
        <f>_xlfn.XLOOKUP(A3203,'[1]Tissue Data'!$A:$A,'[1]Tissue Data'!J:J)</f>
        <v>U</v>
      </c>
      <c r="H3203" t="str">
        <f>_xlfn.XLOOKUP(A3203,'[1]Tissue Data'!$A:$A,'[1]Tissue Data'!K:K)</f>
        <v>Whole Body</v>
      </c>
      <c r="I3203">
        <f>_xlfn.XLOOKUP(A3203,'[1]Tissue Data'!$A:$A,'[1]Tissue Data'!L:L)</f>
        <v>8</v>
      </c>
      <c r="J3203">
        <f>_xlfn.XLOOKUP(A3203,'[1]Tissue Data'!$A:$A,'[1]Tissue Data'!M:M)</f>
        <v>5.85</v>
      </c>
      <c r="K3203" t="s">
        <v>13</v>
      </c>
      <c r="L3203" t="str">
        <f>_xlfn.XLOOKUP(K3203,[2]analyte_order!$B:$B,[2]analyte_order!$C:$C)</f>
        <v>2706-90-3</v>
      </c>
      <c r="M3203">
        <f>_xlfn.XLOOKUP(L3203,[2]analyte_order!$C:$C,[2]analyte_order!$E:$E)</f>
        <v>2</v>
      </c>
      <c r="N3203">
        <v>5.1499999999999997E-2</v>
      </c>
    </row>
    <row r="3204" spans="1:14">
      <c r="A3204" t="s">
        <v>127</v>
      </c>
      <c r="B3204" t="str">
        <f>_xlfn.XLOOKUP(A3204,'[1]Tissue Data'!$A:$A,'[1]Tissue Data'!$C:$C)</f>
        <v>Spill</v>
      </c>
      <c r="C3204" s="2">
        <f>_xlfn.XLOOKUP(A3204,'[1]Tissue Data'!$A:$A,'[1]Tissue Data'!$D:$D)</f>
        <v>44314</v>
      </c>
      <c r="D3204" s="2" t="s">
        <v>122</v>
      </c>
      <c r="E3204" t="str">
        <f>_xlfn.XLOOKUP(A3204,'[1]Tissue Data'!$A:$A,'[1]Tissue Data'!$H:$H)</f>
        <v>Etheostoma</v>
      </c>
      <c r="F3204" t="str">
        <f>_xlfn.XLOOKUP(A3204,'[1]Tissue Data'!$A:$A,'[1]Tissue Data'!$I:$I)</f>
        <v>fusiforme</v>
      </c>
      <c r="G3204" t="str">
        <f>_xlfn.XLOOKUP(A3204,'[1]Tissue Data'!$A:$A,'[1]Tissue Data'!J:J)</f>
        <v>U</v>
      </c>
      <c r="H3204" t="str">
        <f>_xlfn.XLOOKUP(A3204,'[1]Tissue Data'!$A:$A,'[1]Tissue Data'!K:K)</f>
        <v>Whole Body</v>
      </c>
      <c r="I3204">
        <f>_xlfn.XLOOKUP(A3204,'[1]Tissue Data'!$A:$A,'[1]Tissue Data'!L:L)</f>
        <v>8</v>
      </c>
      <c r="J3204">
        <f>_xlfn.XLOOKUP(A3204,'[1]Tissue Data'!$A:$A,'[1]Tissue Data'!M:M)</f>
        <v>5.85</v>
      </c>
      <c r="K3204" t="s">
        <v>14</v>
      </c>
      <c r="L3204" t="str">
        <f>_xlfn.XLOOKUP(K3204,[2]analyte_order!$B:$B,[2]analyte_order!$C:$C)</f>
        <v>307-24-4</v>
      </c>
      <c r="M3204">
        <f>_xlfn.XLOOKUP(L3204,[2]analyte_order!$C:$C,[2]analyte_order!$E:$E)</f>
        <v>3</v>
      </c>
      <c r="N3204">
        <v>3.925E-2</v>
      </c>
    </row>
    <row r="3205" spans="1:14">
      <c r="A3205" t="s">
        <v>127</v>
      </c>
      <c r="B3205" t="str">
        <f>_xlfn.XLOOKUP(A3205,'[1]Tissue Data'!$A:$A,'[1]Tissue Data'!$C:$C)</f>
        <v>Spill</v>
      </c>
      <c r="C3205" s="2">
        <f>_xlfn.XLOOKUP(A3205,'[1]Tissue Data'!$A:$A,'[1]Tissue Data'!$D:$D)</f>
        <v>44314</v>
      </c>
      <c r="D3205" s="2" t="s">
        <v>122</v>
      </c>
      <c r="E3205" t="str">
        <f>_xlfn.XLOOKUP(A3205,'[1]Tissue Data'!$A:$A,'[1]Tissue Data'!$H:$H)</f>
        <v>Etheostoma</v>
      </c>
      <c r="F3205" t="str">
        <f>_xlfn.XLOOKUP(A3205,'[1]Tissue Data'!$A:$A,'[1]Tissue Data'!$I:$I)</f>
        <v>fusiforme</v>
      </c>
      <c r="G3205" t="str">
        <f>_xlfn.XLOOKUP(A3205,'[1]Tissue Data'!$A:$A,'[1]Tissue Data'!J:J)</f>
        <v>U</v>
      </c>
      <c r="H3205" t="str">
        <f>_xlfn.XLOOKUP(A3205,'[1]Tissue Data'!$A:$A,'[1]Tissue Data'!K:K)</f>
        <v>Whole Body</v>
      </c>
      <c r="I3205">
        <f>_xlfn.XLOOKUP(A3205,'[1]Tissue Data'!$A:$A,'[1]Tissue Data'!L:L)</f>
        <v>8</v>
      </c>
      <c r="J3205">
        <f>_xlfn.XLOOKUP(A3205,'[1]Tissue Data'!$A:$A,'[1]Tissue Data'!M:M)</f>
        <v>5.85</v>
      </c>
      <c r="K3205" t="s">
        <v>15</v>
      </c>
      <c r="L3205" t="str">
        <f>_xlfn.XLOOKUP(K3205,[2]analyte_order!$B:$B,[2]analyte_order!$C:$C)</f>
        <v>375-85-9</v>
      </c>
      <c r="M3205">
        <f>_xlfn.XLOOKUP(L3205,[2]analyte_order!$C:$C,[2]analyte_order!$E:$E)</f>
        <v>4</v>
      </c>
      <c r="N3205">
        <v>9.6000000000000002E-2</v>
      </c>
    </row>
    <row r="3206" spans="1:14">
      <c r="A3206" t="s">
        <v>127</v>
      </c>
      <c r="B3206" t="str">
        <f>_xlfn.XLOOKUP(A3206,'[1]Tissue Data'!$A:$A,'[1]Tissue Data'!$C:$C)</f>
        <v>Spill</v>
      </c>
      <c r="C3206" s="2">
        <f>_xlfn.XLOOKUP(A3206,'[1]Tissue Data'!$A:$A,'[1]Tissue Data'!$D:$D)</f>
        <v>44314</v>
      </c>
      <c r="D3206" s="2" t="s">
        <v>122</v>
      </c>
      <c r="E3206" t="str">
        <f>_xlfn.XLOOKUP(A3206,'[1]Tissue Data'!$A:$A,'[1]Tissue Data'!$H:$H)</f>
        <v>Etheostoma</v>
      </c>
      <c r="F3206" t="str">
        <f>_xlfn.XLOOKUP(A3206,'[1]Tissue Data'!$A:$A,'[1]Tissue Data'!$I:$I)</f>
        <v>fusiforme</v>
      </c>
      <c r="G3206" t="str">
        <f>_xlfn.XLOOKUP(A3206,'[1]Tissue Data'!$A:$A,'[1]Tissue Data'!J:J)</f>
        <v>U</v>
      </c>
      <c r="H3206" t="str">
        <f>_xlfn.XLOOKUP(A3206,'[1]Tissue Data'!$A:$A,'[1]Tissue Data'!K:K)</f>
        <v>Whole Body</v>
      </c>
      <c r="I3206">
        <f>_xlfn.XLOOKUP(A3206,'[1]Tissue Data'!$A:$A,'[1]Tissue Data'!L:L)</f>
        <v>8</v>
      </c>
      <c r="J3206">
        <f>_xlfn.XLOOKUP(A3206,'[1]Tissue Data'!$A:$A,'[1]Tissue Data'!M:M)</f>
        <v>5.85</v>
      </c>
      <c r="K3206" t="s">
        <v>16</v>
      </c>
      <c r="L3206" t="str">
        <f>_xlfn.XLOOKUP(K3206,[2]analyte_order!$B:$B,[2]analyte_order!$C:$C)</f>
        <v>335-67-1</v>
      </c>
      <c r="M3206">
        <f>_xlfn.XLOOKUP(L3206,[2]analyte_order!$C:$C,[2]analyte_order!$E:$E)</f>
        <v>5</v>
      </c>
      <c r="N3206">
        <v>0.48299999999999998</v>
      </c>
    </row>
    <row r="3207" spans="1:14">
      <c r="A3207" t="s">
        <v>127</v>
      </c>
      <c r="B3207" t="str">
        <f>_xlfn.XLOOKUP(A3207,'[1]Tissue Data'!$A:$A,'[1]Tissue Data'!$C:$C)</f>
        <v>Spill</v>
      </c>
      <c r="C3207" s="2">
        <f>_xlfn.XLOOKUP(A3207,'[1]Tissue Data'!$A:$A,'[1]Tissue Data'!$D:$D)</f>
        <v>44314</v>
      </c>
      <c r="D3207" s="2" t="s">
        <v>122</v>
      </c>
      <c r="E3207" t="str">
        <f>_xlfn.XLOOKUP(A3207,'[1]Tissue Data'!$A:$A,'[1]Tissue Data'!$H:$H)</f>
        <v>Etheostoma</v>
      </c>
      <c r="F3207" t="str">
        <f>_xlfn.XLOOKUP(A3207,'[1]Tissue Data'!$A:$A,'[1]Tissue Data'!$I:$I)</f>
        <v>fusiforme</v>
      </c>
      <c r="G3207" t="str">
        <f>_xlfn.XLOOKUP(A3207,'[1]Tissue Data'!$A:$A,'[1]Tissue Data'!J:J)</f>
        <v>U</v>
      </c>
      <c r="H3207" t="str">
        <f>_xlfn.XLOOKUP(A3207,'[1]Tissue Data'!$A:$A,'[1]Tissue Data'!K:K)</f>
        <v>Whole Body</v>
      </c>
      <c r="I3207">
        <f>_xlfn.XLOOKUP(A3207,'[1]Tissue Data'!$A:$A,'[1]Tissue Data'!L:L)</f>
        <v>8</v>
      </c>
      <c r="J3207">
        <f>_xlfn.XLOOKUP(A3207,'[1]Tissue Data'!$A:$A,'[1]Tissue Data'!M:M)</f>
        <v>5.85</v>
      </c>
      <c r="K3207" t="s">
        <v>17</v>
      </c>
      <c r="L3207" t="str">
        <f>_xlfn.XLOOKUP(K3207,[2]analyte_order!$B:$B,[2]analyte_order!$C:$C)</f>
        <v>375-95-1</v>
      </c>
      <c r="M3207">
        <f>_xlfn.XLOOKUP(L3207,[2]analyte_order!$C:$C,[2]analyte_order!$E:$E)</f>
        <v>6</v>
      </c>
      <c r="N3207">
        <v>0.73599999999999999</v>
      </c>
    </row>
    <row r="3208" spans="1:14">
      <c r="A3208" t="s">
        <v>127</v>
      </c>
      <c r="B3208" t="str">
        <f>_xlfn.XLOOKUP(A3208,'[1]Tissue Data'!$A:$A,'[1]Tissue Data'!$C:$C)</f>
        <v>Spill</v>
      </c>
      <c r="C3208" s="2">
        <f>_xlfn.XLOOKUP(A3208,'[1]Tissue Data'!$A:$A,'[1]Tissue Data'!$D:$D)</f>
        <v>44314</v>
      </c>
      <c r="D3208" s="2" t="s">
        <v>122</v>
      </c>
      <c r="E3208" t="str">
        <f>_xlfn.XLOOKUP(A3208,'[1]Tissue Data'!$A:$A,'[1]Tissue Data'!$H:$H)</f>
        <v>Etheostoma</v>
      </c>
      <c r="F3208" t="str">
        <f>_xlfn.XLOOKUP(A3208,'[1]Tissue Data'!$A:$A,'[1]Tissue Data'!$I:$I)</f>
        <v>fusiforme</v>
      </c>
      <c r="G3208" t="str">
        <f>_xlfn.XLOOKUP(A3208,'[1]Tissue Data'!$A:$A,'[1]Tissue Data'!J:J)</f>
        <v>U</v>
      </c>
      <c r="H3208" t="str">
        <f>_xlfn.XLOOKUP(A3208,'[1]Tissue Data'!$A:$A,'[1]Tissue Data'!K:K)</f>
        <v>Whole Body</v>
      </c>
      <c r="I3208">
        <f>_xlfn.XLOOKUP(A3208,'[1]Tissue Data'!$A:$A,'[1]Tissue Data'!L:L)</f>
        <v>8</v>
      </c>
      <c r="J3208">
        <f>_xlfn.XLOOKUP(A3208,'[1]Tissue Data'!$A:$A,'[1]Tissue Data'!M:M)</f>
        <v>5.85</v>
      </c>
      <c r="K3208" t="s">
        <v>18</v>
      </c>
      <c r="L3208" t="str">
        <f>_xlfn.XLOOKUP(K3208,[2]analyte_order!$B:$B,[2]analyte_order!$C:$C)</f>
        <v>335-76-2</v>
      </c>
      <c r="M3208">
        <f>_xlfn.XLOOKUP(L3208,[2]analyte_order!$C:$C,[2]analyte_order!$E:$E)</f>
        <v>7</v>
      </c>
      <c r="N3208">
        <v>4.12</v>
      </c>
    </row>
    <row r="3209" spans="1:14">
      <c r="A3209" t="s">
        <v>127</v>
      </c>
      <c r="B3209" t="str">
        <f>_xlfn.XLOOKUP(A3209,'[1]Tissue Data'!$A:$A,'[1]Tissue Data'!$C:$C)</f>
        <v>Spill</v>
      </c>
      <c r="C3209" s="2">
        <f>_xlfn.XLOOKUP(A3209,'[1]Tissue Data'!$A:$A,'[1]Tissue Data'!$D:$D)</f>
        <v>44314</v>
      </c>
      <c r="D3209" s="2" t="s">
        <v>122</v>
      </c>
      <c r="E3209" t="str">
        <f>_xlfn.XLOOKUP(A3209,'[1]Tissue Data'!$A:$A,'[1]Tissue Data'!$H:$H)</f>
        <v>Etheostoma</v>
      </c>
      <c r="F3209" t="str">
        <f>_xlfn.XLOOKUP(A3209,'[1]Tissue Data'!$A:$A,'[1]Tissue Data'!$I:$I)</f>
        <v>fusiforme</v>
      </c>
      <c r="G3209" t="str">
        <f>_xlfn.XLOOKUP(A3209,'[1]Tissue Data'!$A:$A,'[1]Tissue Data'!J:J)</f>
        <v>U</v>
      </c>
      <c r="H3209" t="str">
        <f>_xlfn.XLOOKUP(A3209,'[1]Tissue Data'!$A:$A,'[1]Tissue Data'!K:K)</f>
        <v>Whole Body</v>
      </c>
      <c r="I3209">
        <f>_xlfn.XLOOKUP(A3209,'[1]Tissue Data'!$A:$A,'[1]Tissue Data'!L:L)</f>
        <v>8</v>
      </c>
      <c r="J3209">
        <f>_xlfn.XLOOKUP(A3209,'[1]Tissue Data'!$A:$A,'[1]Tissue Data'!M:M)</f>
        <v>5.85</v>
      </c>
      <c r="K3209" t="s">
        <v>19</v>
      </c>
      <c r="L3209" t="str">
        <f>_xlfn.XLOOKUP(K3209,[2]analyte_order!$B:$B,[2]analyte_order!$C:$C)</f>
        <v>2058-94-8</v>
      </c>
      <c r="M3209">
        <f>_xlfn.XLOOKUP(L3209,[2]analyte_order!$C:$C,[2]analyte_order!$E:$E)</f>
        <v>8</v>
      </c>
      <c r="N3209">
        <v>8.18</v>
      </c>
    </row>
    <row r="3210" spans="1:14">
      <c r="A3210" t="s">
        <v>127</v>
      </c>
      <c r="B3210" t="str">
        <f>_xlfn.XLOOKUP(A3210,'[1]Tissue Data'!$A:$A,'[1]Tissue Data'!$C:$C)</f>
        <v>Spill</v>
      </c>
      <c r="C3210" s="2">
        <f>_xlfn.XLOOKUP(A3210,'[1]Tissue Data'!$A:$A,'[1]Tissue Data'!$D:$D)</f>
        <v>44314</v>
      </c>
      <c r="D3210" s="2" t="s">
        <v>122</v>
      </c>
      <c r="E3210" t="str">
        <f>_xlfn.XLOOKUP(A3210,'[1]Tissue Data'!$A:$A,'[1]Tissue Data'!$H:$H)</f>
        <v>Etheostoma</v>
      </c>
      <c r="F3210" t="str">
        <f>_xlfn.XLOOKUP(A3210,'[1]Tissue Data'!$A:$A,'[1]Tissue Data'!$I:$I)</f>
        <v>fusiforme</v>
      </c>
      <c r="G3210" t="str">
        <f>_xlfn.XLOOKUP(A3210,'[1]Tissue Data'!$A:$A,'[1]Tissue Data'!J:J)</f>
        <v>U</v>
      </c>
      <c r="H3210" t="str">
        <f>_xlfn.XLOOKUP(A3210,'[1]Tissue Data'!$A:$A,'[1]Tissue Data'!K:K)</f>
        <v>Whole Body</v>
      </c>
      <c r="I3210">
        <f>_xlfn.XLOOKUP(A3210,'[1]Tissue Data'!$A:$A,'[1]Tissue Data'!L:L)</f>
        <v>8</v>
      </c>
      <c r="J3210">
        <f>_xlfn.XLOOKUP(A3210,'[1]Tissue Data'!$A:$A,'[1]Tissue Data'!M:M)</f>
        <v>5.85</v>
      </c>
      <c r="K3210" t="s">
        <v>20</v>
      </c>
      <c r="L3210" t="str">
        <f>_xlfn.XLOOKUP(K3210,[2]analyte_order!$B:$B,[2]analyte_order!$C:$C)</f>
        <v>307-55-1</v>
      </c>
      <c r="M3210">
        <f>_xlfn.XLOOKUP(L3210,[2]analyte_order!$C:$C,[2]analyte_order!$E:$E)</f>
        <v>9</v>
      </c>
      <c r="N3210">
        <v>5.33</v>
      </c>
    </row>
    <row r="3211" spans="1:14">
      <c r="A3211" t="s">
        <v>127</v>
      </c>
      <c r="B3211" t="str">
        <f>_xlfn.XLOOKUP(A3211,'[1]Tissue Data'!$A:$A,'[1]Tissue Data'!$C:$C)</f>
        <v>Spill</v>
      </c>
      <c r="C3211" s="2">
        <f>_xlfn.XLOOKUP(A3211,'[1]Tissue Data'!$A:$A,'[1]Tissue Data'!$D:$D)</f>
        <v>44314</v>
      </c>
      <c r="D3211" s="2" t="s">
        <v>122</v>
      </c>
      <c r="E3211" t="str">
        <f>_xlfn.XLOOKUP(A3211,'[1]Tissue Data'!$A:$A,'[1]Tissue Data'!$H:$H)</f>
        <v>Etheostoma</v>
      </c>
      <c r="F3211" t="str">
        <f>_xlfn.XLOOKUP(A3211,'[1]Tissue Data'!$A:$A,'[1]Tissue Data'!$I:$I)</f>
        <v>fusiforme</v>
      </c>
      <c r="G3211" t="str">
        <f>_xlfn.XLOOKUP(A3211,'[1]Tissue Data'!$A:$A,'[1]Tissue Data'!J:J)</f>
        <v>U</v>
      </c>
      <c r="H3211" t="str">
        <f>_xlfn.XLOOKUP(A3211,'[1]Tissue Data'!$A:$A,'[1]Tissue Data'!K:K)</f>
        <v>Whole Body</v>
      </c>
      <c r="I3211">
        <f>_xlfn.XLOOKUP(A3211,'[1]Tissue Data'!$A:$A,'[1]Tissue Data'!L:L)</f>
        <v>8</v>
      </c>
      <c r="J3211">
        <f>_xlfn.XLOOKUP(A3211,'[1]Tissue Data'!$A:$A,'[1]Tissue Data'!M:M)</f>
        <v>5.85</v>
      </c>
      <c r="K3211" t="s">
        <v>21</v>
      </c>
      <c r="L3211" t="str">
        <f>_xlfn.XLOOKUP(K3211,[2]analyte_order!$B:$B,[2]analyte_order!$C:$C)</f>
        <v>72629-94-8</v>
      </c>
      <c r="M3211">
        <f>_xlfn.XLOOKUP(L3211,[2]analyte_order!$C:$C,[2]analyte_order!$E:$E)</f>
        <v>10</v>
      </c>
      <c r="N3211">
        <v>1.64</v>
      </c>
    </row>
    <row r="3212" spans="1:14">
      <c r="A3212" t="s">
        <v>127</v>
      </c>
      <c r="B3212" t="str">
        <f>_xlfn.XLOOKUP(A3212,'[1]Tissue Data'!$A:$A,'[1]Tissue Data'!$C:$C)</f>
        <v>Spill</v>
      </c>
      <c r="C3212" s="2">
        <f>_xlfn.XLOOKUP(A3212,'[1]Tissue Data'!$A:$A,'[1]Tissue Data'!$D:$D)</f>
        <v>44314</v>
      </c>
      <c r="D3212" s="2" t="s">
        <v>122</v>
      </c>
      <c r="E3212" t="str">
        <f>_xlfn.XLOOKUP(A3212,'[1]Tissue Data'!$A:$A,'[1]Tissue Data'!$H:$H)</f>
        <v>Etheostoma</v>
      </c>
      <c r="F3212" t="str">
        <f>_xlfn.XLOOKUP(A3212,'[1]Tissue Data'!$A:$A,'[1]Tissue Data'!$I:$I)</f>
        <v>fusiforme</v>
      </c>
      <c r="G3212" t="str">
        <f>_xlfn.XLOOKUP(A3212,'[1]Tissue Data'!$A:$A,'[1]Tissue Data'!J:J)</f>
        <v>U</v>
      </c>
      <c r="H3212" t="str">
        <f>_xlfn.XLOOKUP(A3212,'[1]Tissue Data'!$A:$A,'[1]Tissue Data'!K:K)</f>
        <v>Whole Body</v>
      </c>
      <c r="I3212">
        <f>_xlfn.XLOOKUP(A3212,'[1]Tissue Data'!$A:$A,'[1]Tissue Data'!L:L)</f>
        <v>8</v>
      </c>
      <c r="J3212">
        <f>_xlfn.XLOOKUP(A3212,'[1]Tissue Data'!$A:$A,'[1]Tissue Data'!M:M)</f>
        <v>5.85</v>
      </c>
      <c r="K3212" t="s">
        <v>22</v>
      </c>
      <c r="L3212" t="str">
        <f>_xlfn.XLOOKUP(K3212,[2]analyte_order!$B:$B,[2]analyte_order!$C:$C)</f>
        <v>376-06-7</v>
      </c>
      <c r="M3212">
        <f>_xlfn.XLOOKUP(L3212,[2]analyte_order!$C:$C,[2]analyte_order!$E:$E)</f>
        <v>11</v>
      </c>
      <c r="N3212">
        <v>2.8</v>
      </c>
    </row>
    <row r="3213" spans="1:14">
      <c r="A3213" t="s">
        <v>127</v>
      </c>
      <c r="B3213" t="str">
        <f>_xlfn.XLOOKUP(A3213,'[1]Tissue Data'!$A:$A,'[1]Tissue Data'!$C:$C)</f>
        <v>Spill</v>
      </c>
      <c r="C3213" s="2">
        <f>_xlfn.XLOOKUP(A3213,'[1]Tissue Data'!$A:$A,'[1]Tissue Data'!$D:$D)</f>
        <v>44314</v>
      </c>
      <c r="D3213" s="2" t="s">
        <v>122</v>
      </c>
      <c r="E3213" t="str">
        <f>_xlfn.XLOOKUP(A3213,'[1]Tissue Data'!$A:$A,'[1]Tissue Data'!$H:$H)</f>
        <v>Etheostoma</v>
      </c>
      <c r="F3213" t="str">
        <f>_xlfn.XLOOKUP(A3213,'[1]Tissue Data'!$A:$A,'[1]Tissue Data'!$I:$I)</f>
        <v>fusiforme</v>
      </c>
      <c r="G3213" t="str">
        <f>_xlfn.XLOOKUP(A3213,'[1]Tissue Data'!$A:$A,'[1]Tissue Data'!J:J)</f>
        <v>U</v>
      </c>
      <c r="H3213" t="str">
        <f>_xlfn.XLOOKUP(A3213,'[1]Tissue Data'!$A:$A,'[1]Tissue Data'!K:K)</f>
        <v>Whole Body</v>
      </c>
      <c r="I3213">
        <f>_xlfn.XLOOKUP(A3213,'[1]Tissue Data'!$A:$A,'[1]Tissue Data'!L:L)</f>
        <v>8</v>
      </c>
      <c r="J3213">
        <f>_xlfn.XLOOKUP(A3213,'[1]Tissue Data'!$A:$A,'[1]Tissue Data'!M:M)</f>
        <v>5.85</v>
      </c>
      <c r="K3213" t="s">
        <v>23</v>
      </c>
      <c r="L3213" t="str">
        <f>_xlfn.XLOOKUP(K3213,[2]analyte_order!$B:$B,[2]analyte_order!$C:$C)</f>
        <v>67905-19-5</v>
      </c>
      <c r="M3213">
        <f>_xlfn.XLOOKUP(L3213,[2]analyte_order!$C:$C,[2]analyte_order!$E:$E)</f>
        <v>12</v>
      </c>
      <c r="N3213">
        <v>8.6499999999999994E-2</v>
      </c>
    </row>
    <row r="3214" spans="1:14">
      <c r="A3214" t="s">
        <v>127</v>
      </c>
      <c r="B3214" t="str">
        <f>_xlfn.XLOOKUP(A3214,'[1]Tissue Data'!$A:$A,'[1]Tissue Data'!$C:$C)</f>
        <v>Spill</v>
      </c>
      <c r="C3214" s="2">
        <f>_xlfn.XLOOKUP(A3214,'[1]Tissue Data'!$A:$A,'[1]Tissue Data'!$D:$D)</f>
        <v>44314</v>
      </c>
      <c r="D3214" s="2" t="s">
        <v>122</v>
      </c>
      <c r="E3214" t="str">
        <f>_xlfn.XLOOKUP(A3214,'[1]Tissue Data'!$A:$A,'[1]Tissue Data'!$H:$H)</f>
        <v>Etheostoma</v>
      </c>
      <c r="F3214" t="str">
        <f>_xlfn.XLOOKUP(A3214,'[1]Tissue Data'!$A:$A,'[1]Tissue Data'!$I:$I)</f>
        <v>fusiforme</v>
      </c>
      <c r="G3214" t="str">
        <f>_xlfn.XLOOKUP(A3214,'[1]Tissue Data'!$A:$A,'[1]Tissue Data'!J:J)</f>
        <v>U</v>
      </c>
      <c r="H3214" t="str">
        <f>_xlfn.XLOOKUP(A3214,'[1]Tissue Data'!$A:$A,'[1]Tissue Data'!K:K)</f>
        <v>Whole Body</v>
      </c>
      <c r="I3214">
        <f>_xlfn.XLOOKUP(A3214,'[1]Tissue Data'!$A:$A,'[1]Tissue Data'!L:L)</f>
        <v>8</v>
      </c>
      <c r="J3214">
        <f>_xlfn.XLOOKUP(A3214,'[1]Tissue Data'!$A:$A,'[1]Tissue Data'!M:M)</f>
        <v>5.85</v>
      </c>
      <c r="K3214" t="s">
        <v>24</v>
      </c>
      <c r="L3214" t="str">
        <f>_xlfn.XLOOKUP(K3214,[2]analyte_order!$B:$B,[2]analyte_order!$C:$C)</f>
        <v>423-41-6</v>
      </c>
      <c r="M3214">
        <f>_xlfn.XLOOKUP(L3214,[2]analyte_order!$C:$C,[2]analyte_order!$E:$E)</f>
        <v>53</v>
      </c>
      <c r="N3214">
        <v>5.5500000000000001E-2</v>
      </c>
    </row>
    <row r="3215" spans="1:14">
      <c r="A3215" t="s">
        <v>127</v>
      </c>
      <c r="B3215" t="str">
        <f>_xlfn.XLOOKUP(A3215,'[1]Tissue Data'!$A:$A,'[1]Tissue Data'!$C:$C)</f>
        <v>Spill</v>
      </c>
      <c r="C3215" s="2">
        <f>_xlfn.XLOOKUP(A3215,'[1]Tissue Data'!$A:$A,'[1]Tissue Data'!$D:$D)</f>
        <v>44314</v>
      </c>
      <c r="D3215" s="2" t="s">
        <v>122</v>
      </c>
      <c r="E3215" t="str">
        <f>_xlfn.XLOOKUP(A3215,'[1]Tissue Data'!$A:$A,'[1]Tissue Data'!$H:$H)</f>
        <v>Etheostoma</v>
      </c>
      <c r="F3215" t="str">
        <f>_xlfn.XLOOKUP(A3215,'[1]Tissue Data'!$A:$A,'[1]Tissue Data'!$I:$I)</f>
        <v>fusiforme</v>
      </c>
      <c r="G3215" t="str">
        <f>_xlfn.XLOOKUP(A3215,'[1]Tissue Data'!$A:$A,'[1]Tissue Data'!J:J)</f>
        <v>U</v>
      </c>
      <c r="H3215" t="str">
        <f>_xlfn.XLOOKUP(A3215,'[1]Tissue Data'!$A:$A,'[1]Tissue Data'!K:K)</f>
        <v>Whole Body</v>
      </c>
      <c r="I3215">
        <f>_xlfn.XLOOKUP(A3215,'[1]Tissue Data'!$A:$A,'[1]Tissue Data'!L:L)</f>
        <v>8</v>
      </c>
      <c r="J3215">
        <f>_xlfn.XLOOKUP(A3215,'[1]Tissue Data'!$A:$A,'[1]Tissue Data'!M:M)</f>
        <v>5.85</v>
      </c>
      <c r="K3215" t="s">
        <v>25</v>
      </c>
      <c r="L3215" t="str">
        <f>_xlfn.XLOOKUP(K3215,[2]analyte_order!$B:$B,[2]analyte_order!$C:$C)</f>
        <v>375-73-5</v>
      </c>
      <c r="M3215">
        <f>_xlfn.XLOOKUP(L3215,[2]analyte_order!$C:$C,[2]analyte_order!$E:$E)</f>
        <v>14</v>
      </c>
      <c r="N3215">
        <v>0.16300000000000001</v>
      </c>
    </row>
    <row r="3216" spans="1:14">
      <c r="A3216" t="s">
        <v>127</v>
      </c>
      <c r="B3216" t="str">
        <f>_xlfn.XLOOKUP(A3216,'[1]Tissue Data'!$A:$A,'[1]Tissue Data'!$C:$C)</f>
        <v>Spill</v>
      </c>
      <c r="C3216" s="2">
        <f>_xlfn.XLOOKUP(A3216,'[1]Tissue Data'!$A:$A,'[1]Tissue Data'!$D:$D)</f>
        <v>44314</v>
      </c>
      <c r="D3216" s="2" t="s">
        <v>122</v>
      </c>
      <c r="E3216" t="str">
        <f>_xlfn.XLOOKUP(A3216,'[1]Tissue Data'!$A:$A,'[1]Tissue Data'!$H:$H)</f>
        <v>Etheostoma</v>
      </c>
      <c r="F3216" t="str">
        <f>_xlfn.XLOOKUP(A3216,'[1]Tissue Data'!$A:$A,'[1]Tissue Data'!$I:$I)</f>
        <v>fusiforme</v>
      </c>
      <c r="G3216" t="str">
        <f>_xlfn.XLOOKUP(A3216,'[1]Tissue Data'!$A:$A,'[1]Tissue Data'!J:J)</f>
        <v>U</v>
      </c>
      <c r="H3216" t="str">
        <f>_xlfn.XLOOKUP(A3216,'[1]Tissue Data'!$A:$A,'[1]Tissue Data'!K:K)</f>
        <v>Whole Body</v>
      </c>
      <c r="I3216">
        <f>_xlfn.XLOOKUP(A3216,'[1]Tissue Data'!$A:$A,'[1]Tissue Data'!L:L)</f>
        <v>8</v>
      </c>
      <c r="J3216">
        <f>_xlfn.XLOOKUP(A3216,'[1]Tissue Data'!$A:$A,'[1]Tissue Data'!M:M)</f>
        <v>5.85</v>
      </c>
      <c r="K3216" t="s">
        <v>26</v>
      </c>
      <c r="L3216" t="str">
        <f>_xlfn.XLOOKUP(K3216,[2]analyte_order!$B:$B,[2]analyte_order!$C:$C)</f>
        <v>2706-91-4</v>
      </c>
      <c r="M3216">
        <f>_xlfn.XLOOKUP(L3216,[2]analyte_order!$C:$C,[2]analyte_order!$E:$E)</f>
        <v>15</v>
      </c>
      <c r="N3216">
        <v>0.127</v>
      </c>
    </row>
    <row r="3217" spans="1:14">
      <c r="A3217" t="s">
        <v>127</v>
      </c>
      <c r="B3217" t="str">
        <f>_xlfn.XLOOKUP(A3217,'[1]Tissue Data'!$A:$A,'[1]Tissue Data'!$C:$C)</f>
        <v>Spill</v>
      </c>
      <c r="C3217" s="2">
        <f>_xlfn.XLOOKUP(A3217,'[1]Tissue Data'!$A:$A,'[1]Tissue Data'!$D:$D)</f>
        <v>44314</v>
      </c>
      <c r="D3217" s="2" t="s">
        <v>122</v>
      </c>
      <c r="E3217" t="str">
        <f>_xlfn.XLOOKUP(A3217,'[1]Tissue Data'!$A:$A,'[1]Tissue Data'!$H:$H)</f>
        <v>Etheostoma</v>
      </c>
      <c r="F3217" t="str">
        <f>_xlfn.XLOOKUP(A3217,'[1]Tissue Data'!$A:$A,'[1]Tissue Data'!$I:$I)</f>
        <v>fusiforme</v>
      </c>
      <c r="G3217" t="str">
        <f>_xlfn.XLOOKUP(A3217,'[1]Tissue Data'!$A:$A,'[1]Tissue Data'!J:J)</f>
        <v>U</v>
      </c>
      <c r="H3217" t="str">
        <f>_xlfn.XLOOKUP(A3217,'[1]Tissue Data'!$A:$A,'[1]Tissue Data'!K:K)</f>
        <v>Whole Body</v>
      </c>
      <c r="I3217">
        <f>_xlfn.XLOOKUP(A3217,'[1]Tissue Data'!$A:$A,'[1]Tissue Data'!L:L)</f>
        <v>8</v>
      </c>
      <c r="J3217">
        <f>_xlfn.XLOOKUP(A3217,'[1]Tissue Data'!$A:$A,'[1]Tissue Data'!M:M)</f>
        <v>5.85</v>
      </c>
      <c r="K3217" t="s">
        <v>27</v>
      </c>
      <c r="L3217" t="str">
        <f>_xlfn.XLOOKUP(K3217,[2]analyte_order!$B:$B,[2]analyte_order!$C:$C)</f>
        <v>355-46-4</v>
      </c>
      <c r="M3217">
        <f>_xlfn.XLOOKUP(L3217,[2]analyte_order!$C:$C,[2]analyte_order!$E:$E)</f>
        <v>16</v>
      </c>
      <c r="N3217">
        <v>15.6</v>
      </c>
    </row>
    <row r="3218" spans="1:14">
      <c r="A3218" t="s">
        <v>127</v>
      </c>
      <c r="B3218" t="str">
        <f>_xlfn.XLOOKUP(A3218,'[1]Tissue Data'!$A:$A,'[1]Tissue Data'!$C:$C)</f>
        <v>Spill</v>
      </c>
      <c r="C3218" s="2">
        <f>_xlfn.XLOOKUP(A3218,'[1]Tissue Data'!$A:$A,'[1]Tissue Data'!$D:$D)</f>
        <v>44314</v>
      </c>
      <c r="D3218" s="2" t="s">
        <v>122</v>
      </c>
      <c r="E3218" t="str">
        <f>_xlfn.XLOOKUP(A3218,'[1]Tissue Data'!$A:$A,'[1]Tissue Data'!$H:$H)</f>
        <v>Etheostoma</v>
      </c>
      <c r="F3218" t="str">
        <f>_xlfn.XLOOKUP(A3218,'[1]Tissue Data'!$A:$A,'[1]Tissue Data'!$I:$I)</f>
        <v>fusiforme</v>
      </c>
      <c r="G3218" t="str">
        <f>_xlfn.XLOOKUP(A3218,'[1]Tissue Data'!$A:$A,'[1]Tissue Data'!J:J)</f>
        <v>U</v>
      </c>
      <c r="H3218" t="str">
        <f>_xlfn.XLOOKUP(A3218,'[1]Tissue Data'!$A:$A,'[1]Tissue Data'!K:K)</f>
        <v>Whole Body</v>
      </c>
      <c r="I3218">
        <f>_xlfn.XLOOKUP(A3218,'[1]Tissue Data'!$A:$A,'[1]Tissue Data'!L:L)</f>
        <v>8</v>
      </c>
      <c r="J3218">
        <f>_xlfn.XLOOKUP(A3218,'[1]Tissue Data'!$A:$A,'[1]Tissue Data'!M:M)</f>
        <v>5.85</v>
      </c>
      <c r="K3218" t="s">
        <v>28</v>
      </c>
      <c r="L3218" t="str">
        <f>_xlfn.XLOOKUP(K3218,[2]analyte_order!$B:$B,[2]analyte_order!$C:$C)</f>
        <v>375-92-8</v>
      </c>
      <c r="M3218">
        <f>_xlfn.XLOOKUP(L3218,[2]analyte_order!$C:$C,[2]analyte_order!$E:$E)</f>
        <v>17</v>
      </c>
      <c r="N3218">
        <v>2.31</v>
      </c>
    </row>
    <row r="3219" spans="1:14">
      <c r="A3219" t="s">
        <v>127</v>
      </c>
      <c r="B3219" t="str">
        <f>_xlfn.XLOOKUP(A3219,'[1]Tissue Data'!$A:$A,'[1]Tissue Data'!$C:$C)</f>
        <v>Spill</v>
      </c>
      <c r="C3219" s="2">
        <f>_xlfn.XLOOKUP(A3219,'[1]Tissue Data'!$A:$A,'[1]Tissue Data'!$D:$D)</f>
        <v>44314</v>
      </c>
      <c r="D3219" s="2" t="s">
        <v>122</v>
      </c>
      <c r="E3219" t="str">
        <f>_xlfn.XLOOKUP(A3219,'[1]Tissue Data'!$A:$A,'[1]Tissue Data'!$H:$H)</f>
        <v>Etheostoma</v>
      </c>
      <c r="F3219" t="str">
        <f>_xlfn.XLOOKUP(A3219,'[1]Tissue Data'!$A:$A,'[1]Tissue Data'!$I:$I)</f>
        <v>fusiforme</v>
      </c>
      <c r="G3219" t="str">
        <f>_xlfn.XLOOKUP(A3219,'[1]Tissue Data'!$A:$A,'[1]Tissue Data'!J:J)</f>
        <v>U</v>
      </c>
      <c r="H3219" t="str">
        <f>_xlfn.XLOOKUP(A3219,'[1]Tissue Data'!$A:$A,'[1]Tissue Data'!K:K)</f>
        <v>Whole Body</v>
      </c>
      <c r="I3219">
        <f>_xlfn.XLOOKUP(A3219,'[1]Tissue Data'!$A:$A,'[1]Tissue Data'!L:L)</f>
        <v>8</v>
      </c>
      <c r="J3219">
        <f>_xlfn.XLOOKUP(A3219,'[1]Tissue Data'!$A:$A,'[1]Tissue Data'!M:M)</f>
        <v>5.85</v>
      </c>
      <c r="K3219" t="s">
        <v>29</v>
      </c>
      <c r="L3219" t="str">
        <f>_xlfn.XLOOKUP(K3219,[2]analyte_order!$B:$B,[2]analyte_order!$C:$C)</f>
        <v>1763-23-1</v>
      </c>
      <c r="M3219">
        <f>_xlfn.XLOOKUP(L3219,[2]analyte_order!$C:$C,[2]analyte_order!$E:$E)</f>
        <v>18</v>
      </c>
      <c r="N3219">
        <v>618</v>
      </c>
    </row>
    <row r="3220" spans="1:14">
      <c r="A3220" t="s">
        <v>127</v>
      </c>
      <c r="B3220" t="str">
        <f>_xlfn.XLOOKUP(A3220,'[1]Tissue Data'!$A:$A,'[1]Tissue Data'!$C:$C)</f>
        <v>Spill</v>
      </c>
      <c r="C3220" s="2">
        <f>_xlfn.XLOOKUP(A3220,'[1]Tissue Data'!$A:$A,'[1]Tissue Data'!$D:$D)</f>
        <v>44314</v>
      </c>
      <c r="D3220" s="2" t="s">
        <v>122</v>
      </c>
      <c r="E3220" t="str">
        <f>_xlfn.XLOOKUP(A3220,'[1]Tissue Data'!$A:$A,'[1]Tissue Data'!$H:$H)</f>
        <v>Etheostoma</v>
      </c>
      <c r="F3220" t="str">
        <f>_xlfn.XLOOKUP(A3220,'[1]Tissue Data'!$A:$A,'[1]Tissue Data'!$I:$I)</f>
        <v>fusiforme</v>
      </c>
      <c r="G3220" t="str">
        <f>_xlfn.XLOOKUP(A3220,'[1]Tissue Data'!$A:$A,'[1]Tissue Data'!J:J)</f>
        <v>U</v>
      </c>
      <c r="H3220" t="str">
        <f>_xlfn.XLOOKUP(A3220,'[1]Tissue Data'!$A:$A,'[1]Tissue Data'!K:K)</f>
        <v>Whole Body</v>
      </c>
      <c r="I3220">
        <f>_xlfn.XLOOKUP(A3220,'[1]Tissue Data'!$A:$A,'[1]Tissue Data'!L:L)</f>
        <v>8</v>
      </c>
      <c r="J3220">
        <f>_xlfn.XLOOKUP(A3220,'[1]Tissue Data'!$A:$A,'[1]Tissue Data'!M:M)</f>
        <v>5.85</v>
      </c>
      <c r="K3220" t="s">
        <v>30</v>
      </c>
      <c r="L3220" t="str">
        <f>_xlfn.XLOOKUP(K3220,[2]analyte_order!$B:$B,[2]analyte_order!$C:$C)</f>
        <v>68259-12-1</v>
      </c>
      <c r="M3220">
        <f>_xlfn.XLOOKUP(L3220,[2]analyte_order!$C:$C,[2]analyte_order!$E:$E)</f>
        <v>19</v>
      </c>
      <c r="N3220">
        <v>0.55200000000000005</v>
      </c>
    </row>
    <row r="3221" spans="1:14">
      <c r="A3221" t="s">
        <v>127</v>
      </c>
      <c r="B3221" t="str">
        <f>_xlfn.XLOOKUP(A3221,'[1]Tissue Data'!$A:$A,'[1]Tissue Data'!$C:$C)</f>
        <v>Spill</v>
      </c>
      <c r="C3221" s="2">
        <f>_xlfn.XLOOKUP(A3221,'[1]Tissue Data'!$A:$A,'[1]Tissue Data'!$D:$D)</f>
        <v>44314</v>
      </c>
      <c r="D3221" s="2" t="s">
        <v>122</v>
      </c>
      <c r="E3221" t="str">
        <f>_xlfn.XLOOKUP(A3221,'[1]Tissue Data'!$A:$A,'[1]Tissue Data'!$H:$H)</f>
        <v>Etheostoma</v>
      </c>
      <c r="F3221" t="str">
        <f>_xlfn.XLOOKUP(A3221,'[1]Tissue Data'!$A:$A,'[1]Tissue Data'!$I:$I)</f>
        <v>fusiforme</v>
      </c>
      <c r="G3221" t="str">
        <f>_xlfn.XLOOKUP(A3221,'[1]Tissue Data'!$A:$A,'[1]Tissue Data'!J:J)</f>
        <v>U</v>
      </c>
      <c r="H3221" t="str">
        <f>_xlfn.XLOOKUP(A3221,'[1]Tissue Data'!$A:$A,'[1]Tissue Data'!K:K)</f>
        <v>Whole Body</v>
      </c>
      <c r="I3221">
        <f>_xlfn.XLOOKUP(A3221,'[1]Tissue Data'!$A:$A,'[1]Tissue Data'!L:L)</f>
        <v>8</v>
      </c>
      <c r="J3221">
        <f>_xlfn.XLOOKUP(A3221,'[1]Tissue Data'!$A:$A,'[1]Tissue Data'!M:M)</f>
        <v>5.85</v>
      </c>
      <c r="K3221" t="s">
        <v>31</v>
      </c>
      <c r="L3221" t="str">
        <f>_xlfn.XLOOKUP(K3221,[2]analyte_order!$B:$B,[2]analyte_order!$C:$C)</f>
        <v>335-77-3</v>
      </c>
      <c r="M3221">
        <f>_xlfn.XLOOKUP(L3221,[2]analyte_order!$C:$C,[2]analyte_order!$E:$E)</f>
        <v>20</v>
      </c>
      <c r="N3221">
        <v>2.02</v>
      </c>
    </row>
    <row r="3222" spans="1:14">
      <c r="A3222" t="s">
        <v>127</v>
      </c>
      <c r="B3222" t="str">
        <f>_xlfn.XLOOKUP(A3222,'[1]Tissue Data'!$A:$A,'[1]Tissue Data'!$C:$C)</f>
        <v>Spill</v>
      </c>
      <c r="C3222" s="2">
        <f>_xlfn.XLOOKUP(A3222,'[1]Tissue Data'!$A:$A,'[1]Tissue Data'!$D:$D)</f>
        <v>44314</v>
      </c>
      <c r="D3222" s="2" t="s">
        <v>122</v>
      </c>
      <c r="E3222" t="str">
        <f>_xlfn.XLOOKUP(A3222,'[1]Tissue Data'!$A:$A,'[1]Tissue Data'!$H:$H)</f>
        <v>Etheostoma</v>
      </c>
      <c r="F3222" t="str">
        <f>_xlfn.XLOOKUP(A3222,'[1]Tissue Data'!$A:$A,'[1]Tissue Data'!$I:$I)</f>
        <v>fusiforme</v>
      </c>
      <c r="G3222" t="str">
        <f>_xlfn.XLOOKUP(A3222,'[1]Tissue Data'!$A:$A,'[1]Tissue Data'!J:J)</f>
        <v>U</v>
      </c>
      <c r="H3222" t="str">
        <f>_xlfn.XLOOKUP(A3222,'[1]Tissue Data'!$A:$A,'[1]Tissue Data'!K:K)</f>
        <v>Whole Body</v>
      </c>
      <c r="I3222">
        <f>_xlfn.XLOOKUP(A3222,'[1]Tissue Data'!$A:$A,'[1]Tissue Data'!L:L)</f>
        <v>8</v>
      </c>
      <c r="J3222">
        <f>_xlfn.XLOOKUP(A3222,'[1]Tissue Data'!$A:$A,'[1]Tissue Data'!M:M)</f>
        <v>5.85</v>
      </c>
      <c r="K3222" t="s">
        <v>32</v>
      </c>
      <c r="L3222" t="str">
        <f>_xlfn.XLOOKUP(K3222,[2]analyte_order!$B:$B,[2]analyte_order!$C:$C)</f>
        <v>79780-39-5</v>
      </c>
      <c r="M3222">
        <f>_xlfn.XLOOKUP(L3222,[2]analyte_order!$C:$C,[2]analyte_order!$E:$E)</f>
        <v>21</v>
      </c>
      <c r="N3222">
        <v>0.25650000000000001</v>
      </c>
    </row>
    <row r="3223" spans="1:14">
      <c r="A3223" t="s">
        <v>127</v>
      </c>
      <c r="B3223" t="str">
        <f>_xlfn.XLOOKUP(A3223,'[1]Tissue Data'!$A:$A,'[1]Tissue Data'!$C:$C)</f>
        <v>Spill</v>
      </c>
      <c r="C3223" s="2">
        <f>_xlfn.XLOOKUP(A3223,'[1]Tissue Data'!$A:$A,'[1]Tissue Data'!$D:$D)</f>
        <v>44314</v>
      </c>
      <c r="D3223" s="2" t="s">
        <v>122</v>
      </c>
      <c r="E3223" t="str">
        <f>_xlfn.XLOOKUP(A3223,'[1]Tissue Data'!$A:$A,'[1]Tissue Data'!$H:$H)</f>
        <v>Etheostoma</v>
      </c>
      <c r="F3223" t="str">
        <f>_xlfn.XLOOKUP(A3223,'[1]Tissue Data'!$A:$A,'[1]Tissue Data'!$I:$I)</f>
        <v>fusiforme</v>
      </c>
      <c r="G3223" t="str">
        <f>_xlfn.XLOOKUP(A3223,'[1]Tissue Data'!$A:$A,'[1]Tissue Data'!J:J)</f>
        <v>U</v>
      </c>
      <c r="H3223" t="str">
        <f>_xlfn.XLOOKUP(A3223,'[1]Tissue Data'!$A:$A,'[1]Tissue Data'!K:K)</f>
        <v>Whole Body</v>
      </c>
      <c r="I3223">
        <f>_xlfn.XLOOKUP(A3223,'[1]Tissue Data'!$A:$A,'[1]Tissue Data'!L:L)</f>
        <v>8</v>
      </c>
      <c r="J3223">
        <f>_xlfn.XLOOKUP(A3223,'[1]Tissue Data'!$A:$A,'[1]Tissue Data'!M:M)</f>
        <v>5.85</v>
      </c>
      <c r="K3223" t="s">
        <v>33</v>
      </c>
      <c r="L3223" t="str">
        <f>_xlfn.XLOOKUP(K3223,[2]analyte_order!$B:$B,[2]analyte_order!$C:$C)</f>
        <v>777011-38-8</v>
      </c>
      <c r="M3223">
        <f>_xlfn.XLOOKUP(L3223,[2]analyte_order!$C:$C,[2]analyte_order!$E:$E)</f>
        <v>54</v>
      </c>
      <c r="N3223">
        <v>0.14549999999999999</v>
      </c>
    </row>
    <row r="3224" spans="1:14">
      <c r="A3224" t="s">
        <v>127</v>
      </c>
      <c r="B3224" t="str">
        <f>_xlfn.XLOOKUP(A3224,'[1]Tissue Data'!$A:$A,'[1]Tissue Data'!$C:$C)</f>
        <v>Spill</v>
      </c>
      <c r="C3224" s="2">
        <f>_xlfn.XLOOKUP(A3224,'[1]Tissue Data'!$A:$A,'[1]Tissue Data'!$D:$D)</f>
        <v>44314</v>
      </c>
      <c r="D3224" s="2" t="s">
        <v>122</v>
      </c>
      <c r="E3224" t="str">
        <f>_xlfn.XLOOKUP(A3224,'[1]Tissue Data'!$A:$A,'[1]Tissue Data'!$H:$H)</f>
        <v>Etheostoma</v>
      </c>
      <c r="F3224" t="str">
        <f>_xlfn.XLOOKUP(A3224,'[1]Tissue Data'!$A:$A,'[1]Tissue Data'!$I:$I)</f>
        <v>fusiforme</v>
      </c>
      <c r="G3224" t="str">
        <f>_xlfn.XLOOKUP(A3224,'[1]Tissue Data'!$A:$A,'[1]Tissue Data'!J:J)</f>
        <v>U</v>
      </c>
      <c r="H3224" t="str">
        <f>_xlfn.XLOOKUP(A3224,'[1]Tissue Data'!$A:$A,'[1]Tissue Data'!K:K)</f>
        <v>Whole Body</v>
      </c>
      <c r="I3224">
        <f>_xlfn.XLOOKUP(A3224,'[1]Tissue Data'!$A:$A,'[1]Tissue Data'!L:L)</f>
        <v>8</v>
      </c>
      <c r="J3224">
        <f>_xlfn.XLOOKUP(A3224,'[1]Tissue Data'!$A:$A,'[1]Tissue Data'!M:M)</f>
        <v>5.85</v>
      </c>
      <c r="K3224" t="s">
        <v>34</v>
      </c>
      <c r="L3224" t="str">
        <f>_xlfn.XLOOKUP(K3224,[2]analyte_order!$B:$B,[2]analyte_order!$C:$C)</f>
        <v>646-83-3</v>
      </c>
      <c r="M3224">
        <f>_xlfn.XLOOKUP(L3224,[2]analyte_order!$C:$C,[2]analyte_order!$E:$E)</f>
        <v>55</v>
      </c>
      <c r="N3224">
        <v>0.29299999999999998</v>
      </c>
    </row>
    <row r="3225" spans="1:14">
      <c r="A3225" t="s">
        <v>127</v>
      </c>
      <c r="B3225" t="str">
        <f>_xlfn.XLOOKUP(A3225,'[1]Tissue Data'!$A:$A,'[1]Tissue Data'!$C:$C)</f>
        <v>Spill</v>
      </c>
      <c r="C3225" s="2">
        <f>_xlfn.XLOOKUP(A3225,'[1]Tissue Data'!$A:$A,'[1]Tissue Data'!$D:$D)</f>
        <v>44314</v>
      </c>
      <c r="D3225" s="2" t="s">
        <v>122</v>
      </c>
      <c r="E3225" t="str">
        <f>_xlfn.XLOOKUP(A3225,'[1]Tissue Data'!$A:$A,'[1]Tissue Data'!$H:$H)</f>
        <v>Etheostoma</v>
      </c>
      <c r="F3225" t="str">
        <f>_xlfn.XLOOKUP(A3225,'[1]Tissue Data'!$A:$A,'[1]Tissue Data'!$I:$I)</f>
        <v>fusiforme</v>
      </c>
      <c r="G3225" t="str">
        <f>_xlfn.XLOOKUP(A3225,'[1]Tissue Data'!$A:$A,'[1]Tissue Data'!J:J)</f>
        <v>U</v>
      </c>
      <c r="H3225" t="str">
        <f>_xlfn.XLOOKUP(A3225,'[1]Tissue Data'!$A:$A,'[1]Tissue Data'!K:K)</f>
        <v>Whole Body</v>
      </c>
      <c r="I3225">
        <f>_xlfn.XLOOKUP(A3225,'[1]Tissue Data'!$A:$A,'[1]Tissue Data'!L:L)</f>
        <v>8</v>
      </c>
      <c r="J3225">
        <f>_xlfn.XLOOKUP(A3225,'[1]Tissue Data'!$A:$A,'[1]Tissue Data'!M:M)</f>
        <v>5.85</v>
      </c>
      <c r="K3225" t="s">
        <v>35</v>
      </c>
      <c r="L3225" t="str">
        <f>_xlfn.XLOOKUP(K3225,[2]analyte_order!$B:$B,[2]analyte_order!$C:$C)</f>
        <v>30334-69-1</v>
      </c>
      <c r="M3225">
        <f>_xlfn.XLOOKUP(L3225,[2]analyte_order!$C:$C,[2]analyte_order!$E:$E)</f>
        <v>51</v>
      </c>
      <c r="N3225">
        <v>38.4</v>
      </c>
    </row>
    <row r="3226" spans="1:14">
      <c r="A3226" t="s">
        <v>127</v>
      </c>
      <c r="B3226" t="str">
        <f>_xlfn.XLOOKUP(A3226,'[1]Tissue Data'!$A:$A,'[1]Tissue Data'!$C:$C)</f>
        <v>Spill</v>
      </c>
      <c r="C3226" s="2">
        <f>_xlfn.XLOOKUP(A3226,'[1]Tissue Data'!$A:$A,'[1]Tissue Data'!$D:$D)</f>
        <v>44314</v>
      </c>
      <c r="D3226" s="2" t="s">
        <v>122</v>
      </c>
      <c r="E3226" t="str">
        <f>_xlfn.XLOOKUP(A3226,'[1]Tissue Data'!$A:$A,'[1]Tissue Data'!$H:$H)</f>
        <v>Etheostoma</v>
      </c>
      <c r="F3226" t="str">
        <f>_xlfn.XLOOKUP(A3226,'[1]Tissue Data'!$A:$A,'[1]Tissue Data'!$I:$I)</f>
        <v>fusiforme</v>
      </c>
      <c r="G3226" t="str">
        <f>_xlfn.XLOOKUP(A3226,'[1]Tissue Data'!$A:$A,'[1]Tissue Data'!J:J)</f>
        <v>U</v>
      </c>
      <c r="H3226" t="str">
        <f>_xlfn.XLOOKUP(A3226,'[1]Tissue Data'!$A:$A,'[1]Tissue Data'!K:K)</f>
        <v>Whole Body</v>
      </c>
      <c r="I3226">
        <f>_xlfn.XLOOKUP(A3226,'[1]Tissue Data'!$A:$A,'[1]Tissue Data'!L:L)</f>
        <v>8</v>
      </c>
      <c r="J3226">
        <f>_xlfn.XLOOKUP(A3226,'[1]Tissue Data'!$A:$A,'[1]Tissue Data'!M:M)</f>
        <v>5.85</v>
      </c>
      <c r="K3226" t="s">
        <v>36</v>
      </c>
      <c r="L3226" t="str">
        <f>_xlfn.XLOOKUP(K3226,[2]analyte_order!$B:$B,[2]analyte_order!$C:$C)</f>
        <v>41997-13-1</v>
      </c>
      <c r="M3226">
        <f>_xlfn.XLOOKUP(L3226,[2]analyte_order!$C:$C,[2]analyte_order!$E:$E)</f>
        <v>52</v>
      </c>
      <c r="N3226">
        <v>117</v>
      </c>
    </row>
    <row r="3227" spans="1:14">
      <c r="A3227" t="s">
        <v>127</v>
      </c>
      <c r="B3227" t="str">
        <f>_xlfn.XLOOKUP(A3227,'[1]Tissue Data'!$A:$A,'[1]Tissue Data'!$C:$C)</f>
        <v>Spill</v>
      </c>
      <c r="C3227" s="2">
        <f>_xlfn.XLOOKUP(A3227,'[1]Tissue Data'!$A:$A,'[1]Tissue Data'!$D:$D)</f>
        <v>44314</v>
      </c>
      <c r="D3227" s="2" t="s">
        <v>122</v>
      </c>
      <c r="E3227" t="str">
        <f>_xlfn.XLOOKUP(A3227,'[1]Tissue Data'!$A:$A,'[1]Tissue Data'!$H:$H)</f>
        <v>Etheostoma</v>
      </c>
      <c r="F3227" t="str">
        <f>_xlfn.XLOOKUP(A3227,'[1]Tissue Data'!$A:$A,'[1]Tissue Data'!$I:$I)</f>
        <v>fusiforme</v>
      </c>
      <c r="G3227" t="str">
        <f>_xlfn.XLOOKUP(A3227,'[1]Tissue Data'!$A:$A,'[1]Tissue Data'!J:J)</f>
        <v>U</v>
      </c>
      <c r="H3227" t="str">
        <f>_xlfn.XLOOKUP(A3227,'[1]Tissue Data'!$A:$A,'[1]Tissue Data'!K:K)</f>
        <v>Whole Body</v>
      </c>
      <c r="I3227">
        <f>_xlfn.XLOOKUP(A3227,'[1]Tissue Data'!$A:$A,'[1]Tissue Data'!L:L)</f>
        <v>8</v>
      </c>
      <c r="J3227">
        <f>_xlfn.XLOOKUP(A3227,'[1]Tissue Data'!$A:$A,'[1]Tissue Data'!M:M)</f>
        <v>5.85</v>
      </c>
      <c r="K3227" t="s">
        <v>37</v>
      </c>
      <c r="L3227" t="str">
        <f>_xlfn.XLOOKUP(K3227,[2]analyte_order!$B:$B,[2]analyte_order!$C:$C)</f>
        <v>754-91-6</v>
      </c>
      <c r="M3227">
        <f>_xlfn.XLOOKUP(L3227,[2]analyte_order!$C:$C,[2]analyte_order!$E:$E)</f>
        <v>28</v>
      </c>
      <c r="N3227">
        <v>28.2</v>
      </c>
    </row>
    <row r="3228" spans="1:14">
      <c r="A3228" t="s">
        <v>127</v>
      </c>
      <c r="B3228" t="str">
        <f>_xlfn.XLOOKUP(A3228,'[1]Tissue Data'!$A:$A,'[1]Tissue Data'!$C:$C)</f>
        <v>Spill</v>
      </c>
      <c r="C3228" s="2">
        <f>_xlfn.XLOOKUP(A3228,'[1]Tissue Data'!$A:$A,'[1]Tissue Data'!$D:$D)</f>
        <v>44314</v>
      </c>
      <c r="D3228" s="2" t="s">
        <v>122</v>
      </c>
      <c r="E3228" t="str">
        <f>_xlfn.XLOOKUP(A3228,'[1]Tissue Data'!$A:$A,'[1]Tissue Data'!$H:$H)</f>
        <v>Etheostoma</v>
      </c>
      <c r="F3228" t="str">
        <f>_xlfn.XLOOKUP(A3228,'[1]Tissue Data'!$A:$A,'[1]Tissue Data'!$I:$I)</f>
        <v>fusiforme</v>
      </c>
      <c r="G3228" t="str">
        <f>_xlfn.XLOOKUP(A3228,'[1]Tissue Data'!$A:$A,'[1]Tissue Data'!J:J)</f>
        <v>U</v>
      </c>
      <c r="H3228" t="str">
        <f>_xlfn.XLOOKUP(A3228,'[1]Tissue Data'!$A:$A,'[1]Tissue Data'!K:K)</f>
        <v>Whole Body</v>
      </c>
      <c r="I3228">
        <f>_xlfn.XLOOKUP(A3228,'[1]Tissue Data'!$A:$A,'[1]Tissue Data'!L:L)</f>
        <v>8</v>
      </c>
      <c r="J3228">
        <f>_xlfn.XLOOKUP(A3228,'[1]Tissue Data'!$A:$A,'[1]Tissue Data'!M:M)</f>
        <v>5.85</v>
      </c>
      <c r="K3228" t="s">
        <v>38</v>
      </c>
      <c r="L3228" t="str">
        <f>_xlfn.XLOOKUP(K3228,[2]analyte_order!$B:$B,[2]analyte_order!$C:$C)</f>
        <v>31506-32-8</v>
      </c>
      <c r="M3228">
        <f>_xlfn.XLOOKUP(L3228,[2]analyte_order!$C:$C,[2]analyte_order!$E:$E)</f>
        <v>30</v>
      </c>
      <c r="N3228">
        <v>5.6000000000000001E-2</v>
      </c>
    </row>
    <row r="3229" spans="1:14">
      <c r="A3229" t="s">
        <v>127</v>
      </c>
      <c r="B3229" t="str">
        <f>_xlfn.XLOOKUP(A3229,'[1]Tissue Data'!$A:$A,'[1]Tissue Data'!$C:$C)</f>
        <v>Spill</v>
      </c>
      <c r="C3229" s="2">
        <f>_xlfn.XLOOKUP(A3229,'[1]Tissue Data'!$A:$A,'[1]Tissue Data'!$D:$D)</f>
        <v>44314</v>
      </c>
      <c r="D3229" s="2" t="s">
        <v>122</v>
      </c>
      <c r="E3229" t="str">
        <f>_xlfn.XLOOKUP(A3229,'[1]Tissue Data'!$A:$A,'[1]Tissue Data'!$H:$H)</f>
        <v>Etheostoma</v>
      </c>
      <c r="F3229" t="str">
        <f>_xlfn.XLOOKUP(A3229,'[1]Tissue Data'!$A:$A,'[1]Tissue Data'!$I:$I)</f>
        <v>fusiforme</v>
      </c>
      <c r="G3229" t="str">
        <f>_xlfn.XLOOKUP(A3229,'[1]Tissue Data'!$A:$A,'[1]Tissue Data'!J:J)</f>
        <v>U</v>
      </c>
      <c r="H3229" t="str">
        <f>_xlfn.XLOOKUP(A3229,'[1]Tissue Data'!$A:$A,'[1]Tissue Data'!K:K)</f>
        <v>Whole Body</v>
      </c>
      <c r="I3229">
        <f>_xlfn.XLOOKUP(A3229,'[1]Tissue Data'!$A:$A,'[1]Tissue Data'!L:L)</f>
        <v>8</v>
      </c>
      <c r="J3229">
        <f>_xlfn.XLOOKUP(A3229,'[1]Tissue Data'!$A:$A,'[1]Tissue Data'!M:M)</f>
        <v>5.85</v>
      </c>
      <c r="K3229" t="s">
        <v>39</v>
      </c>
      <c r="L3229" t="str">
        <f>_xlfn.XLOOKUP(K3229,[2]analyte_order!$B:$B,[2]analyte_order!$C:$C)</f>
        <v>4151-50-2</v>
      </c>
      <c r="M3229">
        <f>_xlfn.XLOOKUP(L3229,[2]analyte_order!$C:$C,[2]analyte_order!$E:$E)</f>
        <v>31</v>
      </c>
      <c r="N3229">
        <v>8.5000000000000006E-2</v>
      </c>
    </row>
    <row r="3230" spans="1:14">
      <c r="A3230" t="s">
        <v>127</v>
      </c>
      <c r="B3230" t="str">
        <f>_xlfn.XLOOKUP(A3230,'[1]Tissue Data'!$A:$A,'[1]Tissue Data'!$C:$C)</f>
        <v>Spill</v>
      </c>
      <c r="C3230" s="2">
        <f>_xlfn.XLOOKUP(A3230,'[1]Tissue Data'!$A:$A,'[1]Tissue Data'!$D:$D)</f>
        <v>44314</v>
      </c>
      <c r="D3230" s="2" t="s">
        <v>122</v>
      </c>
      <c r="E3230" t="str">
        <f>_xlfn.XLOOKUP(A3230,'[1]Tissue Data'!$A:$A,'[1]Tissue Data'!$H:$H)</f>
        <v>Etheostoma</v>
      </c>
      <c r="F3230" t="str">
        <f>_xlfn.XLOOKUP(A3230,'[1]Tissue Data'!$A:$A,'[1]Tissue Data'!$I:$I)</f>
        <v>fusiforme</v>
      </c>
      <c r="G3230" t="str">
        <f>_xlfn.XLOOKUP(A3230,'[1]Tissue Data'!$A:$A,'[1]Tissue Data'!J:J)</f>
        <v>U</v>
      </c>
      <c r="H3230" t="str">
        <f>_xlfn.XLOOKUP(A3230,'[1]Tissue Data'!$A:$A,'[1]Tissue Data'!K:K)</f>
        <v>Whole Body</v>
      </c>
      <c r="I3230">
        <f>_xlfn.XLOOKUP(A3230,'[1]Tissue Data'!$A:$A,'[1]Tissue Data'!L:L)</f>
        <v>8</v>
      </c>
      <c r="J3230">
        <f>_xlfn.XLOOKUP(A3230,'[1]Tissue Data'!$A:$A,'[1]Tissue Data'!M:M)</f>
        <v>5.85</v>
      </c>
      <c r="K3230" t="s">
        <v>40</v>
      </c>
      <c r="L3230" t="str">
        <f>_xlfn.XLOOKUP(K3230,[2]analyte_order!$B:$B,[2]analyte_order!$C:$C)</f>
        <v>2806-24-8</v>
      </c>
      <c r="M3230">
        <f>_xlfn.XLOOKUP(L3230,[2]analyte_order!$C:$C,[2]analyte_order!$E:$E)</f>
        <v>29</v>
      </c>
      <c r="N3230">
        <v>5.7500000000000002E-2</v>
      </c>
    </row>
    <row r="3231" spans="1:14">
      <c r="A3231" t="s">
        <v>127</v>
      </c>
      <c r="B3231" t="str">
        <f>_xlfn.XLOOKUP(A3231,'[1]Tissue Data'!$A:$A,'[1]Tissue Data'!$C:$C)</f>
        <v>Spill</v>
      </c>
      <c r="C3231" s="2">
        <f>_xlfn.XLOOKUP(A3231,'[1]Tissue Data'!$A:$A,'[1]Tissue Data'!$D:$D)</f>
        <v>44314</v>
      </c>
      <c r="D3231" s="2" t="s">
        <v>122</v>
      </c>
      <c r="E3231" t="str">
        <f>_xlfn.XLOOKUP(A3231,'[1]Tissue Data'!$A:$A,'[1]Tissue Data'!$H:$H)</f>
        <v>Etheostoma</v>
      </c>
      <c r="F3231" t="str">
        <f>_xlfn.XLOOKUP(A3231,'[1]Tissue Data'!$A:$A,'[1]Tissue Data'!$I:$I)</f>
        <v>fusiforme</v>
      </c>
      <c r="G3231" t="str">
        <f>_xlfn.XLOOKUP(A3231,'[1]Tissue Data'!$A:$A,'[1]Tissue Data'!J:J)</f>
        <v>U</v>
      </c>
      <c r="H3231" t="str">
        <f>_xlfn.XLOOKUP(A3231,'[1]Tissue Data'!$A:$A,'[1]Tissue Data'!K:K)</f>
        <v>Whole Body</v>
      </c>
      <c r="I3231">
        <f>_xlfn.XLOOKUP(A3231,'[1]Tissue Data'!$A:$A,'[1]Tissue Data'!L:L)</f>
        <v>8</v>
      </c>
      <c r="J3231">
        <f>_xlfn.XLOOKUP(A3231,'[1]Tissue Data'!$A:$A,'[1]Tissue Data'!M:M)</f>
        <v>5.85</v>
      </c>
      <c r="K3231" t="s">
        <v>41</v>
      </c>
      <c r="L3231" t="str">
        <f>_xlfn.XLOOKUP(K3231,[2]analyte_order!$B:$B,[2]analyte_order!$C:$C)</f>
        <v>2355-31-9</v>
      </c>
      <c r="M3231">
        <f>_xlfn.XLOOKUP(L3231,[2]analyte_order!$C:$C,[2]analyte_order!$E:$E)</f>
        <v>26</v>
      </c>
      <c r="N3231">
        <v>7.2999999999999995E-2</v>
      </c>
    </row>
    <row r="3232" spans="1:14">
      <c r="A3232" t="s">
        <v>127</v>
      </c>
      <c r="B3232" t="str">
        <f>_xlfn.XLOOKUP(A3232,'[1]Tissue Data'!$A:$A,'[1]Tissue Data'!$C:$C)</f>
        <v>Spill</v>
      </c>
      <c r="C3232" s="2">
        <f>_xlfn.XLOOKUP(A3232,'[1]Tissue Data'!$A:$A,'[1]Tissue Data'!$D:$D)</f>
        <v>44314</v>
      </c>
      <c r="D3232" s="2" t="s">
        <v>122</v>
      </c>
      <c r="E3232" t="str">
        <f>_xlfn.XLOOKUP(A3232,'[1]Tissue Data'!$A:$A,'[1]Tissue Data'!$H:$H)</f>
        <v>Etheostoma</v>
      </c>
      <c r="F3232" t="str">
        <f>_xlfn.XLOOKUP(A3232,'[1]Tissue Data'!$A:$A,'[1]Tissue Data'!$I:$I)</f>
        <v>fusiforme</v>
      </c>
      <c r="G3232" t="str">
        <f>_xlfn.XLOOKUP(A3232,'[1]Tissue Data'!$A:$A,'[1]Tissue Data'!J:J)</f>
        <v>U</v>
      </c>
      <c r="H3232" t="str">
        <f>_xlfn.XLOOKUP(A3232,'[1]Tissue Data'!$A:$A,'[1]Tissue Data'!K:K)</f>
        <v>Whole Body</v>
      </c>
      <c r="I3232">
        <f>_xlfn.XLOOKUP(A3232,'[1]Tissue Data'!$A:$A,'[1]Tissue Data'!L:L)</f>
        <v>8</v>
      </c>
      <c r="J3232">
        <f>_xlfn.XLOOKUP(A3232,'[1]Tissue Data'!$A:$A,'[1]Tissue Data'!M:M)</f>
        <v>5.85</v>
      </c>
      <c r="K3232" t="s">
        <v>42</v>
      </c>
      <c r="L3232" t="str">
        <f>_xlfn.XLOOKUP(K3232,[2]analyte_order!$B:$B,[2]analyte_order!$C:$C)</f>
        <v>2991-50-6</v>
      </c>
      <c r="M3232">
        <f>_xlfn.XLOOKUP(L3232,[2]analyte_order!$C:$C,[2]analyte_order!$E:$E)</f>
        <v>27</v>
      </c>
      <c r="N3232">
        <v>6.3E-2</v>
      </c>
    </row>
    <row r="3233" spans="1:14">
      <c r="A3233" t="s">
        <v>127</v>
      </c>
      <c r="B3233" t="str">
        <f>_xlfn.XLOOKUP(A3233,'[1]Tissue Data'!$A:$A,'[1]Tissue Data'!$C:$C)</f>
        <v>Spill</v>
      </c>
      <c r="C3233" s="2">
        <f>_xlfn.XLOOKUP(A3233,'[1]Tissue Data'!$A:$A,'[1]Tissue Data'!$D:$D)</f>
        <v>44314</v>
      </c>
      <c r="D3233" s="2" t="s">
        <v>122</v>
      </c>
      <c r="E3233" t="str">
        <f>_xlfn.XLOOKUP(A3233,'[1]Tissue Data'!$A:$A,'[1]Tissue Data'!$H:$H)</f>
        <v>Etheostoma</v>
      </c>
      <c r="F3233" t="str">
        <f>_xlfn.XLOOKUP(A3233,'[1]Tissue Data'!$A:$A,'[1]Tissue Data'!$I:$I)</f>
        <v>fusiforme</v>
      </c>
      <c r="G3233" t="str">
        <f>_xlfn.XLOOKUP(A3233,'[1]Tissue Data'!$A:$A,'[1]Tissue Data'!J:J)</f>
        <v>U</v>
      </c>
      <c r="H3233" t="str">
        <f>_xlfn.XLOOKUP(A3233,'[1]Tissue Data'!$A:$A,'[1]Tissue Data'!K:K)</f>
        <v>Whole Body</v>
      </c>
      <c r="I3233">
        <f>_xlfn.XLOOKUP(A3233,'[1]Tissue Data'!$A:$A,'[1]Tissue Data'!L:L)</f>
        <v>8</v>
      </c>
      <c r="J3233">
        <f>_xlfn.XLOOKUP(A3233,'[1]Tissue Data'!$A:$A,'[1]Tissue Data'!M:M)</f>
        <v>5.85</v>
      </c>
      <c r="K3233" t="s">
        <v>43</v>
      </c>
      <c r="L3233" t="str">
        <f>_xlfn.XLOOKUP(K3233,[2]analyte_order!$B:$B,[2]analyte_order!$C:$C)</f>
        <v>757124-72-4</v>
      </c>
      <c r="M3233">
        <f>_xlfn.XLOOKUP(L3233,[2]analyte_order!$C:$C,[2]analyte_order!$E:$E)</f>
        <v>22</v>
      </c>
      <c r="N3233">
        <v>5.9499999999999997E-2</v>
      </c>
    </row>
    <row r="3234" spans="1:14">
      <c r="A3234" t="s">
        <v>127</v>
      </c>
      <c r="B3234" t="str">
        <f>_xlfn.XLOOKUP(A3234,'[1]Tissue Data'!$A:$A,'[1]Tissue Data'!$C:$C)</f>
        <v>Spill</v>
      </c>
      <c r="C3234" s="2">
        <f>_xlfn.XLOOKUP(A3234,'[1]Tissue Data'!$A:$A,'[1]Tissue Data'!$D:$D)</f>
        <v>44314</v>
      </c>
      <c r="D3234" s="2" t="s">
        <v>122</v>
      </c>
      <c r="E3234" t="str">
        <f>_xlfn.XLOOKUP(A3234,'[1]Tissue Data'!$A:$A,'[1]Tissue Data'!$H:$H)</f>
        <v>Etheostoma</v>
      </c>
      <c r="F3234" t="str">
        <f>_xlfn.XLOOKUP(A3234,'[1]Tissue Data'!$A:$A,'[1]Tissue Data'!$I:$I)</f>
        <v>fusiforme</v>
      </c>
      <c r="G3234" t="str">
        <f>_xlfn.XLOOKUP(A3234,'[1]Tissue Data'!$A:$A,'[1]Tissue Data'!J:J)</f>
        <v>U</v>
      </c>
      <c r="H3234" t="str">
        <f>_xlfn.XLOOKUP(A3234,'[1]Tissue Data'!$A:$A,'[1]Tissue Data'!K:K)</f>
        <v>Whole Body</v>
      </c>
      <c r="I3234">
        <f>_xlfn.XLOOKUP(A3234,'[1]Tissue Data'!$A:$A,'[1]Tissue Data'!L:L)</f>
        <v>8</v>
      </c>
      <c r="J3234">
        <f>_xlfn.XLOOKUP(A3234,'[1]Tissue Data'!$A:$A,'[1]Tissue Data'!M:M)</f>
        <v>5.85</v>
      </c>
      <c r="K3234" t="s">
        <v>44</v>
      </c>
      <c r="L3234" t="str">
        <f>_xlfn.XLOOKUP(K3234,[2]analyte_order!$B:$B,[2]analyte_order!$C:$C)</f>
        <v>27619-97-2</v>
      </c>
      <c r="M3234">
        <f>_xlfn.XLOOKUP(L3234,[2]analyte_order!$C:$C,[2]analyte_order!$E:$E)</f>
        <v>23</v>
      </c>
      <c r="N3234">
        <v>0.14499999999999999</v>
      </c>
    </row>
    <row r="3235" spans="1:14">
      <c r="A3235" t="s">
        <v>127</v>
      </c>
      <c r="B3235" t="str">
        <f>_xlfn.XLOOKUP(A3235,'[1]Tissue Data'!$A:$A,'[1]Tissue Data'!$C:$C)</f>
        <v>Spill</v>
      </c>
      <c r="C3235" s="2">
        <f>_xlfn.XLOOKUP(A3235,'[1]Tissue Data'!$A:$A,'[1]Tissue Data'!$D:$D)</f>
        <v>44314</v>
      </c>
      <c r="D3235" s="2" t="s">
        <v>122</v>
      </c>
      <c r="E3235" t="str">
        <f>_xlfn.XLOOKUP(A3235,'[1]Tissue Data'!$A:$A,'[1]Tissue Data'!$H:$H)</f>
        <v>Etheostoma</v>
      </c>
      <c r="F3235" t="str">
        <f>_xlfn.XLOOKUP(A3235,'[1]Tissue Data'!$A:$A,'[1]Tissue Data'!$I:$I)</f>
        <v>fusiforme</v>
      </c>
      <c r="G3235" t="str">
        <f>_xlfn.XLOOKUP(A3235,'[1]Tissue Data'!$A:$A,'[1]Tissue Data'!J:J)</f>
        <v>U</v>
      </c>
      <c r="H3235" t="str">
        <f>_xlfn.XLOOKUP(A3235,'[1]Tissue Data'!$A:$A,'[1]Tissue Data'!K:K)</f>
        <v>Whole Body</v>
      </c>
      <c r="I3235">
        <f>_xlfn.XLOOKUP(A3235,'[1]Tissue Data'!$A:$A,'[1]Tissue Data'!L:L)</f>
        <v>8</v>
      </c>
      <c r="J3235">
        <f>_xlfn.XLOOKUP(A3235,'[1]Tissue Data'!$A:$A,'[1]Tissue Data'!M:M)</f>
        <v>5.85</v>
      </c>
      <c r="K3235" t="s">
        <v>45</v>
      </c>
      <c r="L3235" t="str">
        <f>_xlfn.XLOOKUP(K3235,[2]analyte_order!$B:$B,[2]analyte_order!$C:$C)</f>
        <v>39108-34-4</v>
      </c>
      <c r="M3235">
        <f>_xlfn.XLOOKUP(L3235,[2]analyte_order!$C:$C,[2]analyte_order!$E:$E)</f>
        <v>24</v>
      </c>
      <c r="N3235">
        <v>3.14</v>
      </c>
    </row>
    <row r="3236" spans="1:14">
      <c r="A3236" t="s">
        <v>127</v>
      </c>
      <c r="B3236" t="str">
        <f>_xlfn.XLOOKUP(A3236,'[1]Tissue Data'!$A:$A,'[1]Tissue Data'!$C:$C)</f>
        <v>Spill</v>
      </c>
      <c r="C3236" s="2">
        <f>_xlfn.XLOOKUP(A3236,'[1]Tissue Data'!$A:$A,'[1]Tissue Data'!$D:$D)</f>
        <v>44314</v>
      </c>
      <c r="D3236" s="2" t="s">
        <v>122</v>
      </c>
      <c r="E3236" t="str">
        <f>_xlfn.XLOOKUP(A3236,'[1]Tissue Data'!$A:$A,'[1]Tissue Data'!$H:$H)</f>
        <v>Etheostoma</v>
      </c>
      <c r="F3236" t="str">
        <f>_xlfn.XLOOKUP(A3236,'[1]Tissue Data'!$A:$A,'[1]Tissue Data'!$I:$I)</f>
        <v>fusiforme</v>
      </c>
      <c r="G3236" t="str">
        <f>_xlfn.XLOOKUP(A3236,'[1]Tissue Data'!$A:$A,'[1]Tissue Data'!J:J)</f>
        <v>U</v>
      </c>
      <c r="H3236" t="str">
        <f>_xlfn.XLOOKUP(A3236,'[1]Tissue Data'!$A:$A,'[1]Tissue Data'!K:K)</f>
        <v>Whole Body</v>
      </c>
      <c r="I3236">
        <f>_xlfn.XLOOKUP(A3236,'[1]Tissue Data'!$A:$A,'[1]Tissue Data'!L:L)</f>
        <v>8</v>
      </c>
      <c r="J3236">
        <f>_xlfn.XLOOKUP(A3236,'[1]Tissue Data'!$A:$A,'[1]Tissue Data'!M:M)</f>
        <v>5.85</v>
      </c>
      <c r="K3236" t="s">
        <v>46</v>
      </c>
      <c r="L3236" t="str">
        <f>_xlfn.XLOOKUP(K3236,[2]analyte_order!$B:$B,[2]analyte_order!$C:$C)</f>
        <v>120226-60-0</v>
      </c>
      <c r="M3236">
        <f>_xlfn.XLOOKUP(L3236,[2]analyte_order!$C:$C,[2]analyte_order!$E:$E)</f>
        <v>25</v>
      </c>
      <c r="N3236">
        <v>8.2500000000000004E-2</v>
      </c>
    </row>
    <row r="3237" spans="1:14">
      <c r="A3237" t="s">
        <v>127</v>
      </c>
      <c r="B3237" t="str">
        <f>_xlfn.XLOOKUP(A3237,'[1]Tissue Data'!$A:$A,'[1]Tissue Data'!$C:$C)</f>
        <v>Spill</v>
      </c>
      <c r="C3237" s="2">
        <f>_xlfn.XLOOKUP(A3237,'[1]Tissue Data'!$A:$A,'[1]Tissue Data'!$D:$D)</f>
        <v>44314</v>
      </c>
      <c r="D3237" s="2" t="s">
        <v>122</v>
      </c>
      <c r="E3237" t="str">
        <f>_xlfn.XLOOKUP(A3237,'[1]Tissue Data'!$A:$A,'[1]Tissue Data'!$H:$H)</f>
        <v>Etheostoma</v>
      </c>
      <c r="F3237" t="str">
        <f>_xlfn.XLOOKUP(A3237,'[1]Tissue Data'!$A:$A,'[1]Tissue Data'!$I:$I)</f>
        <v>fusiforme</v>
      </c>
      <c r="G3237" t="str">
        <f>_xlfn.XLOOKUP(A3237,'[1]Tissue Data'!$A:$A,'[1]Tissue Data'!J:J)</f>
        <v>U</v>
      </c>
      <c r="H3237" t="str">
        <f>_xlfn.XLOOKUP(A3237,'[1]Tissue Data'!$A:$A,'[1]Tissue Data'!K:K)</f>
        <v>Whole Body</v>
      </c>
      <c r="I3237">
        <f>_xlfn.XLOOKUP(A3237,'[1]Tissue Data'!$A:$A,'[1]Tissue Data'!L:L)</f>
        <v>8</v>
      </c>
      <c r="J3237">
        <f>_xlfn.XLOOKUP(A3237,'[1]Tissue Data'!$A:$A,'[1]Tissue Data'!M:M)</f>
        <v>5.85</v>
      </c>
      <c r="K3237" t="s">
        <v>47</v>
      </c>
      <c r="L3237" t="str">
        <f>_xlfn.XLOOKUP(K3237,[2]analyte_order!$B:$B,[2]analyte_order!$C:$C)</f>
        <v>356-02-5</v>
      </c>
      <c r="M3237">
        <f>_xlfn.XLOOKUP(L3237,[2]analyte_order!$C:$C,[2]analyte_order!$E:$E)</f>
        <v>38</v>
      </c>
      <c r="N3237">
        <v>8.4000000000000005E-2</v>
      </c>
    </row>
    <row r="3238" spans="1:14">
      <c r="A3238" t="s">
        <v>127</v>
      </c>
      <c r="B3238" t="str">
        <f>_xlfn.XLOOKUP(A3238,'[1]Tissue Data'!$A:$A,'[1]Tissue Data'!$C:$C)</f>
        <v>Spill</v>
      </c>
      <c r="C3238" s="2">
        <f>_xlfn.XLOOKUP(A3238,'[1]Tissue Data'!$A:$A,'[1]Tissue Data'!$D:$D)</f>
        <v>44314</v>
      </c>
      <c r="D3238" s="2" t="s">
        <v>122</v>
      </c>
      <c r="E3238" t="str">
        <f>_xlfn.XLOOKUP(A3238,'[1]Tissue Data'!$A:$A,'[1]Tissue Data'!$H:$H)</f>
        <v>Etheostoma</v>
      </c>
      <c r="F3238" t="str">
        <f>_xlfn.XLOOKUP(A3238,'[1]Tissue Data'!$A:$A,'[1]Tissue Data'!$I:$I)</f>
        <v>fusiforme</v>
      </c>
      <c r="G3238" t="str">
        <f>_xlfn.XLOOKUP(A3238,'[1]Tissue Data'!$A:$A,'[1]Tissue Data'!J:J)</f>
        <v>U</v>
      </c>
      <c r="H3238" t="str">
        <f>_xlfn.XLOOKUP(A3238,'[1]Tissue Data'!$A:$A,'[1]Tissue Data'!K:K)</f>
        <v>Whole Body</v>
      </c>
      <c r="I3238">
        <f>_xlfn.XLOOKUP(A3238,'[1]Tissue Data'!$A:$A,'[1]Tissue Data'!L:L)</f>
        <v>8</v>
      </c>
      <c r="J3238">
        <f>_xlfn.XLOOKUP(A3238,'[1]Tissue Data'!$A:$A,'[1]Tissue Data'!M:M)</f>
        <v>5.85</v>
      </c>
      <c r="K3238" t="s">
        <v>48</v>
      </c>
      <c r="L3238" t="str">
        <f>_xlfn.XLOOKUP(K3238,[2]analyte_order!$B:$B,[2]analyte_order!$C:$C)</f>
        <v>914637-49-3</v>
      </c>
      <c r="M3238">
        <f>_xlfn.XLOOKUP(L3238,[2]analyte_order!$C:$C,[2]analyte_order!$E:$E)</f>
        <v>39</v>
      </c>
      <c r="N3238">
        <v>0.18099999999999999</v>
      </c>
    </row>
    <row r="3239" spans="1:14">
      <c r="A3239" t="s">
        <v>127</v>
      </c>
      <c r="B3239" t="str">
        <f>_xlfn.XLOOKUP(A3239,'[1]Tissue Data'!$A:$A,'[1]Tissue Data'!$C:$C)</f>
        <v>Spill</v>
      </c>
      <c r="C3239" s="2">
        <f>_xlfn.XLOOKUP(A3239,'[1]Tissue Data'!$A:$A,'[1]Tissue Data'!$D:$D)</f>
        <v>44314</v>
      </c>
      <c r="D3239" s="2" t="s">
        <v>122</v>
      </c>
      <c r="E3239" t="str">
        <f>_xlfn.XLOOKUP(A3239,'[1]Tissue Data'!$A:$A,'[1]Tissue Data'!$H:$H)</f>
        <v>Etheostoma</v>
      </c>
      <c r="F3239" t="str">
        <f>_xlfn.XLOOKUP(A3239,'[1]Tissue Data'!$A:$A,'[1]Tissue Data'!$I:$I)</f>
        <v>fusiforme</v>
      </c>
      <c r="G3239" t="str">
        <f>_xlfn.XLOOKUP(A3239,'[1]Tissue Data'!$A:$A,'[1]Tissue Data'!J:J)</f>
        <v>U</v>
      </c>
      <c r="H3239" t="str">
        <f>_xlfn.XLOOKUP(A3239,'[1]Tissue Data'!$A:$A,'[1]Tissue Data'!K:K)</f>
        <v>Whole Body</v>
      </c>
      <c r="I3239">
        <f>_xlfn.XLOOKUP(A3239,'[1]Tissue Data'!$A:$A,'[1]Tissue Data'!L:L)</f>
        <v>8</v>
      </c>
      <c r="J3239">
        <f>_xlfn.XLOOKUP(A3239,'[1]Tissue Data'!$A:$A,'[1]Tissue Data'!M:M)</f>
        <v>5.85</v>
      </c>
      <c r="K3239" t="s">
        <v>49</v>
      </c>
      <c r="L3239" t="str">
        <f>_xlfn.XLOOKUP(K3239,[2]analyte_order!$B:$B,[2]analyte_order!$C:$C)</f>
        <v>812-70-4</v>
      </c>
      <c r="M3239">
        <f>_xlfn.XLOOKUP(L3239,[2]analyte_order!$C:$C,[2]analyte_order!$E:$E)</f>
        <v>40</v>
      </c>
      <c r="N3239">
        <v>5.33</v>
      </c>
    </row>
    <row r="3240" spans="1:14">
      <c r="A3240" t="s">
        <v>127</v>
      </c>
      <c r="B3240" t="str">
        <f>_xlfn.XLOOKUP(A3240,'[1]Tissue Data'!$A:$A,'[1]Tissue Data'!$C:$C)</f>
        <v>Spill</v>
      </c>
      <c r="C3240" s="2">
        <f>_xlfn.XLOOKUP(A3240,'[1]Tissue Data'!$A:$A,'[1]Tissue Data'!$D:$D)</f>
        <v>44314</v>
      </c>
      <c r="D3240" s="2" t="s">
        <v>122</v>
      </c>
      <c r="E3240" t="str">
        <f>_xlfn.XLOOKUP(A3240,'[1]Tissue Data'!$A:$A,'[1]Tissue Data'!$H:$H)</f>
        <v>Etheostoma</v>
      </c>
      <c r="F3240" t="str">
        <f>_xlfn.XLOOKUP(A3240,'[1]Tissue Data'!$A:$A,'[1]Tissue Data'!$I:$I)</f>
        <v>fusiforme</v>
      </c>
      <c r="G3240" t="str">
        <f>_xlfn.XLOOKUP(A3240,'[1]Tissue Data'!$A:$A,'[1]Tissue Data'!J:J)</f>
        <v>U</v>
      </c>
      <c r="H3240" t="str">
        <f>_xlfn.XLOOKUP(A3240,'[1]Tissue Data'!$A:$A,'[1]Tissue Data'!K:K)</f>
        <v>Whole Body</v>
      </c>
      <c r="I3240">
        <f>_xlfn.XLOOKUP(A3240,'[1]Tissue Data'!$A:$A,'[1]Tissue Data'!L:L)</f>
        <v>8</v>
      </c>
      <c r="J3240">
        <f>_xlfn.XLOOKUP(A3240,'[1]Tissue Data'!$A:$A,'[1]Tissue Data'!M:M)</f>
        <v>5.85</v>
      </c>
      <c r="K3240" t="s">
        <v>50</v>
      </c>
      <c r="L3240" t="str">
        <f>_xlfn.XLOOKUP(K3240,[2]analyte_order!$B:$B,[2]analyte_order!$C:$C)</f>
        <v>53826-12-3</v>
      </c>
      <c r="M3240">
        <f>_xlfn.XLOOKUP(L3240,[2]analyte_order!$C:$C,[2]analyte_order!$E:$E)</f>
        <v>41</v>
      </c>
      <c r="N3240">
        <v>4.6649999999999997E-2</v>
      </c>
    </row>
    <row r="3241" spans="1:14">
      <c r="A3241" t="s">
        <v>127</v>
      </c>
      <c r="B3241" t="str">
        <f>_xlfn.XLOOKUP(A3241,'[1]Tissue Data'!$A:$A,'[1]Tissue Data'!$C:$C)</f>
        <v>Spill</v>
      </c>
      <c r="C3241" s="2">
        <f>_xlfn.XLOOKUP(A3241,'[1]Tissue Data'!$A:$A,'[1]Tissue Data'!$D:$D)</f>
        <v>44314</v>
      </c>
      <c r="D3241" s="2" t="s">
        <v>122</v>
      </c>
      <c r="E3241" t="str">
        <f>_xlfn.XLOOKUP(A3241,'[1]Tissue Data'!$A:$A,'[1]Tissue Data'!$H:$H)</f>
        <v>Etheostoma</v>
      </c>
      <c r="F3241" t="str">
        <f>_xlfn.XLOOKUP(A3241,'[1]Tissue Data'!$A:$A,'[1]Tissue Data'!$I:$I)</f>
        <v>fusiforme</v>
      </c>
      <c r="G3241" t="str">
        <f>_xlfn.XLOOKUP(A3241,'[1]Tissue Data'!$A:$A,'[1]Tissue Data'!J:J)</f>
        <v>U</v>
      </c>
      <c r="H3241" t="str">
        <f>_xlfn.XLOOKUP(A3241,'[1]Tissue Data'!$A:$A,'[1]Tissue Data'!K:K)</f>
        <v>Whole Body</v>
      </c>
      <c r="I3241">
        <f>_xlfn.XLOOKUP(A3241,'[1]Tissue Data'!$A:$A,'[1]Tissue Data'!L:L)</f>
        <v>8</v>
      </c>
      <c r="J3241">
        <f>_xlfn.XLOOKUP(A3241,'[1]Tissue Data'!$A:$A,'[1]Tissue Data'!M:M)</f>
        <v>5.85</v>
      </c>
      <c r="K3241" t="s">
        <v>51</v>
      </c>
      <c r="L3241" t="str">
        <f>_xlfn.XLOOKUP(K3241,[2]analyte_order!$B:$B,[2]analyte_order!$C:$C)</f>
        <v>27854-31-5</v>
      </c>
      <c r="M3241">
        <f>_xlfn.XLOOKUP(L3241,[2]analyte_order!$C:$C,[2]analyte_order!$E:$E)</f>
        <v>42</v>
      </c>
      <c r="N3241">
        <v>2.9100000000000001E-2</v>
      </c>
    </row>
    <row r="3242" spans="1:14">
      <c r="A3242" t="s">
        <v>127</v>
      </c>
      <c r="B3242" t="str">
        <f>_xlfn.XLOOKUP(A3242,'[1]Tissue Data'!$A:$A,'[1]Tissue Data'!$C:$C)</f>
        <v>Spill</v>
      </c>
      <c r="C3242" s="2">
        <f>_xlfn.XLOOKUP(A3242,'[1]Tissue Data'!$A:$A,'[1]Tissue Data'!$D:$D)</f>
        <v>44314</v>
      </c>
      <c r="D3242" s="2" t="s">
        <v>122</v>
      </c>
      <c r="E3242" t="str">
        <f>_xlfn.XLOOKUP(A3242,'[1]Tissue Data'!$A:$A,'[1]Tissue Data'!$H:$H)</f>
        <v>Etheostoma</v>
      </c>
      <c r="F3242" t="str">
        <f>_xlfn.XLOOKUP(A3242,'[1]Tissue Data'!$A:$A,'[1]Tissue Data'!$I:$I)</f>
        <v>fusiforme</v>
      </c>
      <c r="G3242" t="str">
        <f>_xlfn.XLOOKUP(A3242,'[1]Tissue Data'!$A:$A,'[1]Tissue Data'!J:J)</f>
        <v>U</v>
      </c>
      <c r="H3242" t="str">
        <f>_xlfn.XLOOKUP(A3242,'[1]Tissue Data'!$A:$A,'[1]Tissue Data'!K:K)</f>
        <v>Whole Body</v>
      </c>
      <c r="I3242">
        <f>_xlfn.XLOOKUP(A3242,'[1]Tissue Data'!$A:$A,'[1]Tissue Data'!L:L)</f>
        <v>8</v>
      </c>
      <c r="J3242">
        <f>_xlfn.XLOOKUP(A3242,'[1]Tissue Data'!$A:$A,'[1]Tissue Data'!M:M)</f>
        <v>5.85</v>
      </c>
      <c r="K3242" t="s">
        <v>52</v>
      </c>
      <c r="L3242" t="str">
        <f>_xlfn.XLOOKUP(K3242,[2]analyte_order!$B:$B,[2]analyte_order!$C:$C)</f>
        <v>53826-13-4</v>
      </c>
      <c r="M3242">
        <f>_xlfn.XLOOKUP(L3242,[2]analyte_order!$C:$C,[2]analyte_order!$E:$E)</f>
        <v>43</v>
      </c>
      <c r="N3242">
        <v>0.1085</v>
      </c>
    </row>
    <row r="3243" spans="1:14">
      <c r="A3243" t="s">
        <v>127</v>
      </c>
      <c r="B3243" t="str">
        <f>_xlfn.XLOOKUP(A3243,'[1]Tissue Data'!$A:$A,'[1]Tissue Data'!$C:$C)</f>
        <v>Spill</v>
      </c>
      <c r="C3243" s="2">
        <f>_xlfn.XLOOKUP(A3243,'[1]Tissue Data'!$A:$A,'[1]Tissue Data'!$D:$D)</f>
        <v>44314</v>
      </c>
      <c r="D3243" s="2" t="s">
        <v>122</v>
      </c>
      <c r="E3243" t="str">
        <f>_xlfn.XLOOKUP(A3243,'[1]Tissue Data'!$A:$A,'[1]Tissue Data'!$H:$H)</f>
        <v>Etheostoma</v>
      </c>
      <c r="F3243" t="str">
        <f>_xlfn.XLOOKUP(A3243,'[1]Tissue Data'!$A:$A,'[1]Tissue Data'!$I:$I)</f>
        <v>fusiforme</v>
      </c>
      <c r="G3243" t="str">
        <f>_xlfn.XLOOKUP(A3243,'[1]Tissue Data'!$A:$A,'[1]Tissue Data'!J:J)</f>
        <v>U</v>
      </c>
      <c r="H3243" t="str">
        <f>_xlfn.XLOOKUP(A3243,'[1]Tissue Data'!$A:$A,'[1]Tissue Data'!K:K)</f>
        <v>Whole Body</v>
      </c>
      <c r="I3243">
        <f>_xlfn.XLOOKUP(A3243,'[1]Tissue Data'!$A:$A,'[1]Tissue Data'!L:L)</f>
        <v>8</v>
      </c>
      <c r="J3243">
        <f>_xlfn.XLOOKUP(A3243,'[1]Tissue Data'!$A:$A,'[1]Tissue Data'!M:M)</f>
        <v>5.85</v>
      </c>
      <c r="K3243" t="s">
        <v>53</v>
      </c>
      <c r="L3243" t="str">
        <f>_xlfn.XLOOKUP(K3243,[2]analyte_order!$B:$B,[2]analyte_order!$C:$C)</f>
        <v>161094-75-3</v>
      </c>
      <c r="M3243">
        <f>_xlfn.XLOOKUP(L3243,[2]analyte_order!$C:$C,[2]analyte_order!$E:$E)</f>
        <v>44</v>
      </c>
      <c r="N3243">
        <v>5.7000000000000002E-2</v>
      </c>
    </row>
    <row r="3244" spans="1:14">
      <c r="A3244" t="s">
        <v>127</v>
      </c>
      <c r="B3244" t="str">
        <f>_xlfn.XLOOKUP(A3244,'[1]Tissue Data'!$A:$A,'[1]Tissue Data'!$C:$C)</f>
        <v>Spill</v>
      </c>
      <c r="C3244" s="2">
        <f>_xlfn.XLOOKUP(A3244,'[1]Tissue Data'!$A:$A,'[1]Tissue Data'!$D:$D)</f>
        <v>44314</v>
      </c>
      <c r="D3244" s="2" t="s">
        <v>122</v>
      </c>
      <c r="E3244" t="str">
        <f>_xlfn.XLOOKUP(A3244,'[1]Tissue Data'!$A:$A,'[1]Tissue Data'!$H:$H)</f>
        <v>Etheostoma</v>
      </c>
      <c r="F3244" t="str">
        <f>_xlfn.XLOOKUP(A3244,'[1]Tissue Data'!$A:$A,'[1]Tissue Data'!$I:$I)</f>
        <v>fusiforme</v>
      </c>
      <c r="G3244" t="str">
        <f>_xlfn.XLOOKUP(A3244,'[1]Tissue Data'!$A:$A,'[1]Tissue Data'!J:J)</f>
        <v>U</v>
      </c>
      <c r="H3244" t="str">
        <f>_xlfn.XLOOKUP(A3244,'[1]Tissue Data'!$A:$A,'[1]Tissue Data'!K:K)</f>
        <v>Whole Body</v>
      </c>
      <c r="I3244">
        <f>_xlfn.XLOOKUP(A3244,'[1]Tissue Data'!$A:$A,'[1]Tissue Data'!L:L)</f>
        <v>8</v>
      </c>
      <c r="J3244">
        <f>_xlfn.XLOOKUP(A3244,'[1]Tissue Data'!$A:$A,'[1]Tissue Data'!M:M)</f>
        <v>5.85</v>
      </c>
      <c r="K3244" t="s">
        <v>54</v>
      </c>
      <c r="L3244" t="str">
        <f>_xlfn.XLOOKUP(K3244,[2]analyte_order!$B:$B,[2]analyte_order!$C:$C)</f>
        <v>70887-84-2</v>
      </c>
      <c r="M3244">
        <f>_xlfn.XLOOKUP(L3244,[2]analyte_order!$C:$C,[2]analyte_order!$E:$E)</f>
        <v>45</v>
      </c>
      <c r="N3244">
        <v>4.3950000000000003E-2</v>
      </c>
    </row>
    <row r="3245" spans="1:14">
      <c r="A3245" t="s">
        <v>127</v>
      </c>
      <c r="B3245" t="str">
        <f>_xlfn.XLOOKUP(A3245,'[1]Tissue Data'!$A:$A,'[1]Tissue Data'!$C:$C)</f>
        <v>Spill</v>
      </c>
      <c r="C3245" s="2">
        <f>_xlfn.XLOOKUP(A3245,'[1]Tissue Data'!$A:$A,'[1]Tissue Data'!$D:$D)</f>
        <v>44314</v>
      </c>
      <c r="D3245" s="2" t="s">
        <v>122</v>
      </c>
      <c r="E3245" t="str">
        <f>_xlfn.XLOOKUP(A3245,'[1]Tissue Data'!$A:$A,'[1]Tissue Data'!$H:$H)</f>
        <v>Etheostoma</v>
      </c>
      <c r="F3245" t="str">
        <f>_xlfn.XLOOKUP(A3245,'[1]Tissue Data'!$A:$A,'[1]Tissue Data'!$I:$I)</f>
        <v>fusiforme</v>
      </c>
      <c r="G3245" t="str">
        <f>_xlfn.XLOOKUP(A3245,'[1]Tissue Data'!$A:$A,'[1]Tissue Data'!J:J)</f>
        <v>U</v>
      </c>
      <c r="H3245" t="str">
        <f>_xlfn.XLOOKUP(A3245,'[1]Tissue Data'!$A:$A,'[1]Tissue Data'!K:K)</f>
        <v>Whole Body</v>
      </c>
      <c r="I3245">
        <f>_xlfn.XLOOKUP(A3245,'[1]Tissue Data'!$A:$A,'[1]Tissue Data'!L:L)</f>
        <v>8</v>
      </c>
      <c r="J3245">
        <f>_xlfn.XLOOKUP(A3245,'[1]Tissue Data'!$A:$A,'[1]Tissue Data'!M:M)</f>
        <v>5.85</v>
      </c>
      <c r="K3245" t="s">
        <v>55</v>
      </c>
      <c r="L3245" t="str">
        <f>_xlfn.XLOOKUP(K3245,[2]analyte_order!$B:$B,[2]analyte_order!$C:$C)</f>
        <v>919005-14-4</v>
      </c>
      <c r="M3245">
        <f>_xlfn.XLOOKUP(L3245,[2]analyte_order!$C:$C,[2]analyte_order!$E:$E)</f>
        <v>35</v>
      </c>
      <c r="N3245">
        <v>7.2499999999999995E-2</v>
      </c>
    </row>
    <row r="3246" spans="1:14">
      <c r="A3246" t="s">
        <v>127</v>
      </c>
      <c r="B3246" t="str">
        <f>_xlfn.XLOOKUP(A3246,'[1]Tissue Data'!$A:$A,'[1]Tissue Data'!$C:$C)</f>
        <v>Spill</v>
      </c>
      <c r="C3246" s="2">
        <f>_xlfn.XLOOKUP(A3246,'[1]Tissue Data'!$A:$A,'[1]Tissue Data'!$D:$D)</f>
        <v>44314</v>
      </c>
      <c r="D3246" s="2" t="s">
        <v>122</v>
      </c>
      <c r="E3246" t="str">
        <f>_xlfn.XLOOKUP(A3246,'[1]Tissue Data'!$A:$A,'[1]Tissue Data'!$H:$H)</f>
        <v>Etheostoma</v>
      </c>
      <c r="F3246" t="str">
        <f>_xlfn.XLOOKUP(A3246,'[1]Tissue Data'!$A:$A,'[1]Tissue Data'!$I:$I)</f>
        <v>fusiforme</v>
      </c>
      <c r="G3246" t="str">
        <f>_xlfn.XLOOKUP(A3246,'[1]Tissue Data'!$A:$A,'[1]Tissue Data'!J:J)</f>
        <v>U</v>
      </c>
      <c r="H3246" t="str">
        <f>_xlfn.XLOOKUP(A3246,'[1]Tissue Data'!$A:$A,'[1]Tissue Data'!K:K)</f>
        <v>Whole Body</v>
      </c>
      <c r="I3246">
        <f>_xlfn.XLOOKUP(A3246,'[1]Tissue Data'!$A:$A,'[1]Tissue Data'!L:L)</f>
        <v>8</v>
      </c>
      <c r="J3246">
        <f>_xlfn.XLOOKUP(A3246,'[1]Tissue Data'!$A:$A,'[1]Tissue Data'!M:M)</f>
        <v>5.85</v>
      </c>
      <c r="K3246" t="s">
        <v>56</v>
      </c>
      <c r="L3246" t="str">
        <f>_xlfn.XLOOKUP(K3246,[2]analyte_order!$B:$B,[2]analyte_order!$C:$C)</f>
        <v>756426-58-1</v>
      </c>
      <c r="M3246">
        <f>_xlfn.XLOOKUP(L3246,[2]analyte_order!$C:$C,[2]analyte_order!$E:$E)</f>
        <v>36</v>
      </c>
      <c r="N3246">
        <v>5.0500000000000003E-2</v>
      </c>
    </row>
    <row r="3247" spans="1:14">
      <c r="A3247" t="s">
        <v>127</v>
      </c>
      <c r="B3247" t="str">
        <f>_xlfn.XLOOKUP(A3247,'[1]Tissue Data'!$A:$A,'[1]Tissue Data'!$C:$C)</f>
        <v>Spill</v>
      </c>
      <c r="C3247" s="2">
        <f>_xlfn.XLOOKUP(A3247,'[1]Tissue Data'!$A:$A,'[1]Tissue Data'!$D:$D)</f>
        <v>44314</v>
      </c>
      <c r="D3247" s="2" t="s">
        <v>122</v>
      </c>
      <c r="E3247" t="str">
        <f>_xlfn.XLOOKUP(A3247,'[1]Tissue Data'!$A:$A,'[1]Tissue Data'!$H:$H)</f>
        <v>Etheostoma</v>
      </c>
      <c r="F3247" t="str">
        <f>_xlfn.XLOOKUP(A3247,'[1]Tissue Data'!$A:$A,'[1]Tissue Data'!$I:$I)</f>
        <v>fusiforme</v>
      </c>
      <c r="G3247" t="str">
        <f>_xlfn.XLOOKUP(A3247,'[1]Tissue Data'!$A:$A,'[1]Tissue Data'!J:J)</f>
        <v>U</v>
      </c>
      <c r="H3247" t="str">
        <f>_xlfn.XLOOKUP(A3247,'[1]Tissue Data'!$A:$A,'[1]Tissue Data'!K:K)</f>
        <v>Whole Body</v>
      </c>
      <c r="I3247">
        <f>_xlfn.XLOOKUP(A3247,'[1]Tissue Data'!$A:$A,'[1]Tissue Data'!L:L)</f>
        <v>8</v>
      </c>
      <c r="J3247">
        <f>_xlfn.XLOOKUP(A3247,'[1]Tissue Data'!$A:$A,'[1]Tissue Data'!M:M)</f>
        <v>5.85</v>
      </c>
      <c r="K3247" t="s">
        <v>57</v>
      </c>
      <c r="L3247" t="str">
        <f>_xlfn.XLOOKUP(K3247,[2]analyte_order!$B:$B,[2]analyte_order!$C:$C)</f>
        <v>763051-92-9</v>
      </c>
      <c r="M3247">
        <f>_xlfn.XLOOKUP(L3247,[2]analyte_order!$C:$C,[2]analyte_order!$E:$E)</f>
        <v>37</v>
      </c>
      <c r="N3247">
        <v>5.7500000000000002E-2</v>
      </c>
    </row>
    <row r="3248" spans="1:14">
      <c r="A3248" t="s">
        <v>127</v>
      </c>
      <c r="B3248" t="str">
        <f>_xlfn.XLOOKUP(A3248,'[1]Tissue Data'!$A:$A,'[1]Tissue Data'!$C:$C)</f>
        <v>Spill</v>
      </c>
      <c r="C3248" s="2">
        <f>_xlfn.XLOOKUP(A3248,'[1]Tissue Data'!$A:$A,'[1]Tissue Data'!$D:$D)</f>
        <v>44314</v>
      </c>
      <c r="D3248" s="2" t="s">
        <v>122</v>
      </c>
      <c r="E3248" t="str">
        <f>_xlfn.XLOOKUP(A3248,'[1]Tissue Data'!$A:$A,'[1]Tissue Data'!$H:$H)</f>
        <v>Etheostoma</v>
      </c>
      <c r="F3248" t="str">
        <f>_xlfn.XLOOKUP(A3248,'[1]Tissue Data'!$A:$A,'[1]Tissue Data'!$I:$I)</f>
        <v>fusiforme</v>
      </c>
      <c r="G3248" t="str">
        <f>_xlfn.XLOOKUP(A3248,'[1]Tissue Data'!$A:$A,'[1]Tissue Data'!J:J)</f>
        <v>U</v>
      </c>
      <c r="H3248" t="str">
        <f>_xlfn.XLOOKUP(A3248,'[1]Tissue Data'!$A:$A,'[1]Tissue Data'!K:K)</f>
        <v>Whole Body</v>
      </c>
      <c r="I3248">
        <f>_xlfn.XLOOKUP(A3248,'[1]Tissue Data'!$A:$A,'[1]Tissue Data'!L:L)</f>
        <v>8</v>
      </c>
      <c r="J3248">
        <f>_xlfn.XLOOKUP(A3248,'[1]Tissue Data'!$A:$A,'[1]Tissue Data'!M:M)</f>
        <v>5.85</v>
      </c>
      <c r="K3248" t="s">
        <v>58</v>
      </c>
      <c r="L3248" t="str">
        <f>_xlfn.XLOOKUP(K3248,[2]analyte_order!$B:$B,[2]analyte_order!$C:$C)</f>
        <v>13252-13-6</v>
      </c>
      <c r="M3248">
        <f>_xlfn.XLOOKUP(L3248,[2]analyte_order!$C:$C,[2]analyte_order!$E:$E)</f>
        <v>34</v>
      </c>
      <c r="N3248">
        <v>0.104</v>
      </c>
    </row>
    <row r="3249" spans="1:14">
      <c r="A3249" t="s">
        <v>127</v>
      </c>
      <c r="B3249" t="str">
        <f>_xlfn.XLOOKUP(A3249,'[1]Tissue Data'!$A:$A,'[1]Tissue Data'!$C:$C)</f>
        <v>Spill</v>
      </c>
      <c r="C3249" s="2">
        <f>_xlfn.XLOOKUP(A3249,'[1]Tissue Data'!$A:$A,'[1]Tissue Data'!$D:$D)</f>
        <v>44314</v>
      </c>
      <c r="D3249" s="2" t="s">
        <v>122</v>
      </c>
      <c r="E3249" t="str">
        <f>_xlfn.XLOOKUP(A3249,'[1]Tissue Data'!$A:$A,'[1]Tissue Data'!$H:$H)</f>
        <v>Etheostoma</v>
      </c>
      <c r="F3249" t="str">
        <f>_xlfn.XLOOKUP(A3249,'[1]Tissue Data'!$A:$A,'[1]Tissue Data'!$I:$I)</f>
        <v>fusiforme</v>
      </c>
      <c r="G3249" t="str">
        <f>_xlfn.XLOOKUP(A3249,'[1]Tissue Data'!$A:$A,'[1]Tissue Data'!J:J)</f>
        <v>U</v>
      </c>
      <c r="H3249" t="str">
        <f>_xlfn.XLOOKUP(A3249,'[1]Tissue Data'!$A:$A,'[1]Tissue Data'!K:K)</f>
        <v>Whole Body</v>
      </c>
      <c r="I3249">
        <f>_xlfn.XLOOKUP(A3249,'[1]Tissue Data'!$A:$A,'[1]Tissue Data'!L:L)</f>
        <v>8</v>
      </c>
      <c r="J3249">
        <f>_xlfn.XLOOKUP(A3249,'[1]Tissue Data'!$A:$A,'[1]Tissue Data'!M:M)</f>
        <v>5.85</v>
      </c>
      <c r="K3249" t="s">
        <v>59</v>
      </c>
      <c r="L3249" t="str">
        <f>_xlfn.XLOOKUP(K3249,[2]analyte_order!$B:$B,[2]analyte_order!$C:$C)</f>
        <v>57677-95-9</v>
      </c>
      <c r="M3249">
        <f>_xlfn.XLOOKUP(L3249,[2]analyte_order!$C:$C,[2]analyte_order!$E:$E)</f>
        <v>46</v>
      </c>
      <c r="N3249">
        <v>7.7499999999999999E-2</v>
      </c>
    </row>
    <row r="3250" spans="1:14">
      <c r="A3250" t="s">
        <v>127</v>
      </c>
      <c r="B3250" t="str">
        <f>_xlfn.XLOOKUP(A3250,'[1]Tissue Data'!$A:$A,'[1]Tissue Data'!$C:$C)</f>
        <v>Spill</v>
      </c>
      <c r="C3250" s="2">
        <f>_xlfn.XLOOKUP(A3250,'[1]Tissue Data'!$A:$A,'[1]Tissue Data'!$D:$D)</f>
        <v>44314</v>
      </c>
      <c r="D3250" s="2" t="s">
        <v>122</v>
      </c>
      <c r="E3250" t="str">
        <f>_xlfn.XLOOKUP(A3250,'[1]Tissue Data'!$A:$A,'[1]Tissue Data'!$H:$H)</f>
        <v>Etheostoma</v>
      </c>
      <c r="F3250" t="str">
        <f>_xlfn.XLOOKUP(A3250,'[1]Tissue Data'!$A:$A,'[1]Tissue Data'!$I:$I)</f>
        <v>fusiforme</v>
      </c>
      <c r="G3250" t="str">
        <f>_xlfn.XLOOKUP(A3250,'[1]Tissue Data'!$A:$A,'[1]Tissue Data'!J:J)</f>
        <v>U</v>
      </c>
      <c r="H3250" t="str">
        <f>_xlfn.XLOOKUP(A3250,'[1]Tissue Data'!$A:$A,'[1]Tissue Data'!K:K)</f>
        <v>Whole Body</v>
      </c>
      <c r="I3250">
        <f>_xlfn.XLOOKUP(A3250,'[1]Tissue Data'!$A:$A,'[1]Tissue Data'!L:L)</f>
        <v>8</v>
      </c>
      <c r="J3250">
        <f>_xlfn.XLOOKUP(A3250,'[1]Tissue Data'!$A:$A,'[1]Tissue Data'!M:M)</f>
        <v>5.85</v>
      </c>
      <c r="K3250" t="s">
        <v>60</v>
      </c>
      <c r="L3250" t="str">
        <f>_xlfn.XLOOKUP(K3250,[2]analyte_order!$B:$B,[2]analyte_order!$C:$C)</f>
        <v>678-41-1</v>
      </c>
      <c r="M3250">
        <f>_xlfn.XLOOKUP(L3250,[2]analyte_order!$C:$C,[2]analyte_order!$E:$E)</f>
        <v>56</v>
      </c>
      <c r="N3250">
        <v>9.6500000000000002E-2</v>
      </c>
    </row>
    <row r="3251" spans="1:14">
      <c r="A3251" t="s">
        <v>127</v>
      </c>
      <c r="B3251" t="str">
        <f>_xlfn.XLOOKUP(A3251,'[1]Tissue Data'!$A:$A,'[1]Tissue Data'!$C:$C)</f>
        <v>Spill</v>
      </c>
      <c r="C3251" s="2">
        <f>_xlfn.XLOOKUP(A3251,'[1]Tissue Data'!$A:$A,'[1]Tissue Data'!$D:$D)</f>
        <v>44314</v>
      </c>
      <c r="D3251" s="2" t="s">
        <v>122</v>
      </c>
      <c r="E3251" t="str">
        <f>_xlfn.XLOOKUP(A3251,'[1]Tissue Data'!$A:$A,'[1]Tissue Data'!$H:$H)</f>
        <v>Etheostoma</v>
      </c>
      <c r="F3251" t="str">
        <f>_xlfn.XLOOKUP(A3251,'[1]Tissue Data'!$A:$A,'[1]Tissue Data'!$I:$I)</f>
        <v>fusiforme</v>
      </c>
      <c r="G3251" t="str">
        <f>_xlfn.XLOOKUP(A3251,'[1]Tissue Data'!$A:$A,'[1]Tissue Data'!J:J)</f>
        <v>U</v>
      </c>
      <c r="H3251" t="str">
        <f>_xlfn.XLOOKUP(A3251,'[1]Tissue Data'!$A:$A,'[1]Tissue Data'!K:K)</f>
        <v>Whole Body</v>
      </c>
      <c r="I3251">
        <f>_xlfn.XLOOKUP(A3251,'[1]Tissue Data'!$A:$A,'[1]Tissue Data'!L:L)</f>
        <v>8</v>
      </c>
      <c r="J3251">
        <f>_xlfn.XLOOKUP(A3251,'[1]Tissue Data'!$A:$A,'[1]Tissue Data'!M:M)</f>
        <v>5.85</v>
      </c>
      <c r="K3251" t="s">
        <v>61</v>
      </c>
      <c r="L3251" t="str">
        <f>_xlfn.XLOOKUP(K3251,[2]analyte_order!$B:$B,[2]analyte_order!$C:$C)</f>
        <v>2965-52-8</v>
      </c>
      <c r="M3251">
        <f>_xlfn.XLOOKUP(L3251,[2]analyte_order!$C:$C,[2]analyte_order!$E:$E)</f>
        <v>57</v>
      </c>
      <c r="N3251">
        <v>0.128</v>
      </c>
    </row>
    <row r="3252" spans="1:14">
      <c r="A3252" t="s">
        <v>237</v>
      </c>
      <c r="B3252" t="str">
        <f>_xlfn.XLOOKUP(A3252,'[1]Tissue Data'!$A:$A,'[1]Tissue Data'!$C:$C)</f>
        <v>Down</v>
      </c>
      <c r="C3252" s="2">
        <f>_xlfn.XLOOKUP(A3252,'[1]Tissue Data'!$A:$A,'[1]Tissue Data'!$D:$D)</f>
        <v>44314</v>
      </c>
      <c r="D3252" s="2" t="str">
        <f>_xlfn.XLOOKUP(A3252,'[1]Tissue Data'!$A:$A,'[1]Tissue Data'!$F:$F)</f>
        <v>Pumpkinseed</v>
      </c>
      <c r="E3252" t="str">
        <f>_xlfn.XLOOKUP(A3252,'[1]Tissue Data'!$A:$A,'[1]Tissue Data'!$H:$H)</f>
        <v>Lepomis</v>
      </c>
      <c r="F3252" t="str">
        <f>_xlfn.XLOOKUP(A3252,'[1]Tissue Data'!$A:$A,'[1]Tissue Data'!$I:$I)</f>
        <v>gibbosus</v>
      </c>
      <c r="G3252" t="str">
        <f>_xlfn.XLOOKUP(A3252,'[1]Tissue Data'!$A:$A,'[1]Tissue Data'!J:J)</f>
        <v>U</v>
      </c>
      <c r="H3252" t="str">
        <f>_xlfn.XLOOKUP(A3252,'[1]Tissue Data'!$A:$A,'[1]Tissue Data'!K:K)</f>
        <v>Whole Body</v>
      </c>
      <c r="I3252">
        <f>_xlfn.XLOOKUP(A3252,'[1]Tissue Data'!$A:$A,'[1]Tissue Data'!L:L)</f>
        <v>9</v>
      </c>
      <c r="J3252">
        <f>_xlfn.XLOOKUP(A3252,'[1]Tissue Data'!$A:$A,'[1]Tissue Data'!M:M)</f>
        <v>8.4499999999999993</v>
      </c>
      <c r="K3252" t="s">
        <v>12</v>
      </c>
      <c r="L3252" t="str">
        <f>_xlfn.XLOOKUP(K3252,[2]analyte_order!$B:$B,[2]analyte_order!$C:$C)</f>
        <v>375-22-4</v>
      </c>
      <c r="M3252">
        <f>_xlfn.XLOOKUP(L3252,[2]analyte_order!$C:$C,[2]analyte_order!$E:$E)</f>
        <v>1</v>
      </c>
      <c r="N3252">
        <v>2.6950000000000002E-2</v>
      </c>
    </row>
    <row r="3253" spans="1:14">
      <c r="A3253" t="s">
        <v>237</v>
      </c>
      <c r="B3253" t="str">
        <f>_xlfn.XLOOKUP(A3253,'[1]Tissue Data'!$A:$A,'[1]Tissue Data'!$C:$C)</f>
        <v>Down</v>
      </c>
      <c r="C3253" s="2">
        <f>_xlfn.XLOOKUP(A3253,'[1]Tissue Data'!$A:$A,'[1]Tissue Data'!$D:$D)</f>
        <v>44314</v>
      </c>
      <c r="D3253" s="2" t="str">
        <f>_xlfn.XLOOKUP(A3253,'[1]Tissue Data'!$A:$A,'[1]Tissue Data'!$F:$F)</f>
        <v>Pumpkinseed</v>
      </c>
      <c r="E3253" t="str">
        <f>_xlfn.XLOOKUP(A3253,'[1]Tissue Data'!$A:$A,'[1]Tissue Data'!$H:$H)</f>
        <v>Lepomis</v>
      </c>
      <c r="F3253" t="str">
        <f>_xlfn.XLOOKUP(A3253,'[1]Tissue Data'!$A:$A,'[1]Tissue Data'!$I:$I)</f>
        <v>gibbosus</v>
      </c>
      <c r="G3253" t="str">
        <f>_xlfn.XLOOKUP(A3253,'[1]Tissue Data'!$A:$A,'[1]Tissue Data'!J:J)</f>
        <v>U</v>
      </c>
      <c r="H3253" t="str">
        <f>_xlfn.XLOOKUP(A3253,'[1]Tissue Data'!$A:$A,'[1]Tissue Data'!K:K)</f>
        <v>Whole Body</v>
      </c>
      <c r="I3253">
        <f>_xlfn.XLOOKUP(A3253,'[1]Tissue Data'!$A:$A,'[1]Tissue Data'!L:L)</f>
        <v>9</v>
      </c>
      <c r="J3253">
        <f>_xlfn.XLOOKUP(A3253,'[1]Tissue Data'!$A:$A,'[1]Tissue Data'!M:M)</f>
        <v>8.4499999999999993</v>
      </c>
      <c r="K3253" t="s">
        <v>13</v>
      </c>
      <c r="L3253" t="str">
        <f>_xlfn.XLOOKUP(K3253,[2]analyte_order!$B:$B,[2]analyte_order!$C:$C)</f>
        <v>2706-90-3</v>
      </c>
      <c r="M3253">
        <f>_xlfn.XLOOKUP(L3253,[2]analyte_order!$C:$C,[2]analyte_order!$E:$E)</f>
        <v>2</v>
      </c>
      <c r="N3253">
        <v>4.7750000000000001E-2</v>
      </c>
    </row>
    <row r="3254" spans="1:14">
      <c r="A3254" t="s">
        <v>237</v>
      </c>
      <c r="B3254" t="str">
        <f>_xlfn.XLOOKUP(A3254,'[1]Tissue Data'!$A:$A,'[1]Tissue Data'!$C:$C)</f>
        <v>Down</v>
      </c>
      <c r="C3254" s="2">
        <f>_xlfn.XLOOKUP(A3254,'[1]Tissue Data'!$A:$A,'[1]Tissue Data'!$D:$D)</f>
        <v>44314</v>
      </c>
      <c r="D3254" s="2" t="str">
        <f>_xlfn.XLOOKUP(A3254,'[1]Tissue Data'!$A:$A,'[1]Tissue Data'!$F:$F)</f>
        <v>Pumpkinseed</v>
      </c>
      <c r="E3254" t="str">
        <f>_xlfn.XLOOKUP(A3254,'[1]Tissue Data'!$A:$A,'[1]Tissue Data'!$H:$H)</f>
        <v>Lepomis</v>
      </c>
      <c r="F3254" t="str">
        <f>_xlfn.XLOOKUP(A3254,'[1]Tissue Data'!$A:$A,'[1]Tissue Data'!$I:$I)</f>
        <v>gibbosus</v>
      </c>
      <c r="G3254" t="str">
        <f>_xlfn.XLOOKUP(A3254,'[1]Tissue Data'!$A:$A,'[1]Tissue Data'!J:J)</f>
        <v>U</v>
      </c>
      <c r="H3254" t="str">
        <f>_xlfn.XLOOKUP(A3254,'[1]Tissue Data'!$A:$A,'[1]Tissue Data'!K:K)</f>
        <v>Whole Body</v>
      </c>
      <c r="I3254">
        <f>_xlfn.XLOOKUP(A3254,'[1]Tissue Data'!$A:$A,'[1]Tissue Data'!L:L)</f>
        <v>9</v>
      </c>
      <c r="J3254">
        <f>_xlfn.XLOOKUP(A3254,'[1]Tissue Data'!$A:$A,'[1]Tissue Data'!M:M)</f>
        <v>8.4499999999999993</v>
      </c>
      <c r="K3254" t="s">
        <v>14</v>
      </c>
      <c r="L3254" t="str">
        <f>_xlfn.XLOOKUP(K3254,[2]analyte_order!$B:$B,[2]analyte_order!$C:$C)</f>
        <v>307-24-4</v>
      </c>
      <c r="M3254">
        <f>_xlfn.XLOOKUP(L3254,[2]analyte_order!$C:$C,[2]analyte_order!$E:$E)</f>
        <v>3</v>
      </c>
      <c r="N3254">
        <v>3.6499999999999998E-2</v>
      </c>
    </row>
    <row r="3255" spans="1:14">
      <c r="A3255" t="s">
        <v>237</v>
      </c>
      <c r="B3255" t="str">
        <f>_xlfn.XLOOKUP(A3255,'[1]Tissue Data'!$A:$A,'[1]Tissue Data'!$C:$C)</f>
        <v>Down</v>
      </c>
      <c r="C3255" s="2">
        <f>_xlfn.XLOOKUP(A3255,'[1]Tissue Data'!$A:$A,'[1]Tissue Data'!$D:$D)</f>
        <v>44314</v>
      </c>
      <c r="D3255" s="2" t="str">
        <f>_xlfn.XLOOKUP(A3255,'[1]Tissue Data'!$A:$A,'[1]Tissue Data'!$F:$F)</f>
        <v>Pumpkinseed</v>
      </c>
      <c r="E3255" t="str">
        <f>_xlfn.XLOOKUP(A3255,'[1]Tissue Data'!$A:$A,'[1]Tissue Data'!$H:$H)</f>
        <v>Lepomis</v>
      </c>
      <c r="F3255" t="str">
        <f>_xlfn.XLOOKUP(A3255,'[1]Tissue Data'!$A:$A,'[1]Tissue Data'!$I:$I)</f>
        <v>gibbosus</v>
      </c>
      <c r="G3255" t="str">
        <f>_xlfn.XLOOKUP(A3255,'[1]Tissue Data'!$A:$A,'[1]Tissue Data'!J:J)</f>
        <v>U</v>
      </c>
      <c r="H3255" t="str">
        <f>_xlfn.XLOOKUP(A3255,'[1]Tissue Data'!$A:$A,'[1]Tissue Data'!K:K)</f>
        <v>Whole Body</v>
      </c>
      <c r="I3255">
        <f>_xlfn.XLOOKUP(A3255,'[1]Tissue Data'!$A:$A,'[1]Tissue Data'!L:L)</f>
        <v>9</v>
      </c>
      <c r="J3255">
        <f>_xlfn.XLOOKUP(A3255,'[1]Tissue Data'!$A:$A,'[1]Tissue Data'!M:M)</f>
        <v>8.4499999999999993</v>
      </c>
      <c r="K3255" t="s">
        <v>15</v>
      </c>
      <c r="L3255" t="str">
        <f>_xlfn.XLOOKUP(K3255,[2]analyte_order!$B:$B,[2]analyte_order!$C:$C)</f>
        <v>375-85-9</v>
      </c>
      <c r="M3255">
        <f>_xlfn.XLOOKUP(L3255,[2]analyte_order!$C:$C,[2]analyte_order!$E:$E)</f>
        <v>4</v>
      </c>
      <c r="N3255">
        <v>2.6950000000000002E-2</v>
      </c>
    </row>
    <row r="3256" spans="1:14">
      <c r="A3256" t="s">
        <v>237</v>
      </c>
      <c r="B3256" t="str">
        <f>_xlfn.XLOOKUP(A3256,'[1]Tissue Data'!$A:$A,'[1]Tissue Data'!$C:$C)</f>
        <v>Down</v>
      </c>
      <c r="C3256" s="2">
        <f>_xlfn.XLOOKUP(A3256,'[1]Tissue Data'!$A:$A,'[1]Tissue Data'!$D:$D)</f>
        <v>44314</v>
      </c>
      <c r="D3256" s="2" t="str">
        <f>_xlfn.XLOOKUP(A3256,'[1]Tissue Data'!$A:$A,'[1]Tissue Data'!$F:$F)</f>
        <v>Pumpkinseed</v>
      </c>
      <c r="E3256" t="str">
        <f>_xlfn.XLOOKUP(A3256,'[1]Tissue Data'!$A:$A,'[1]Tissue Data'!$H:$H)</f>
        <v>Lepomis</v>
      </c>
      <c r="F3256" t="str">
        <f>_xlfn.XLOOKUP(A3256,'[1]Tissue Data'!$A:$A,'[1]Tissue Data'!$I:$I)</f>
        <v>gibbosus</v>
      </c>
      <c r="G3256" t="str">
        <f>_xlfn.XLOOKUP(A3256,'[1]Tissue Data'!$A:$A,'[1]Tissue Data'!J:J)</f>
        <v>U</v>
      </c>
      <c r="H3256" t="str">
        <f>_xlfn.XLOOKUP(A3256,'[1]Tissue Data'!$A:$A,'[1]Tissue Data'!K:K)</f>
        <v>Whole Body</v>
      </c>
      <c r="I3256">
        <f>_xlfn.XLOOKUP(A3256,'[1]Tissue Data'!$A:$A,'[1]Tissue Data'!L:L)</f>
        <v>9</v>
      </c>
      <c r="J3256">
        <f>_xlfn.XLOOKUP(A3256,'[1]Tissue Data'!$A:$A,'[1]Tissue Data'!M:M)</f>
        <v>8.4499999999999993</v>
      </c>
      <c r="K3256" t="s">
        <v>16</v>
      </c>
      <c r="L3256" t="str">
        <f>_xlfn.XLOOKUP(K3256,[2]analyte_order!$B:$B,[2]analyte_order!$C:$C)</f>
        <v>335-67-1</v>
      </c>
      <c r="M3256">
        <f>_xlfn.XLOOKUP(L3256,[2]analyte_order!$C:$C,[2]analyte_order!$E:$E)</f>
        <v>5</v>
      </c>
      <c r="N3256">
        <v>0.20699999999999999</v>
      </c>
    </row>
    <row r="3257" spans="1:14">
      <c r="A3257" t="s">
        <v>237</v>
      </c>
      <c r="B3257" t="str">
        <f>_xlfn.XLOOKUP(A3257,'[1]Tissue Data'!$A:$A,'[1]Tissue Data'!$C:$C)</f>
        <v>Down</v>
      </c>
      <c r="C3257" s="2">
        <f>_xlfn.XLOOKUP(A3257,'[1]Tissue Data'!$A:$A,'[1]Tissue Data'!$D:$D)</f>
        <v>44314</v>
      </c>
      <c r="D3257" s="2" t="str">
        <f>_xlfn.XLOOKUP(A3257,'[1]Tissue Data'!$A:$A,'[1]Tissue Data'!$F:$F)</f>
        <v>Pumpkinseed</v>
      </c>
      <c r="E3257" t="str">
        <f>_xlfn.XLOOKUP(A3257,'[1]Tissue Data'!$A:$A,'[1]Tissue Data'!$H:$H)</f>
        <v>Lepomis</v>
      </c>
      <c r="F3257" t="str">
        <f>_xlfn.XLOOKUP(A3257,'[1]Tissue Data'!$A:$A,'[1]Tissue Data'!$I:$I)</f>
        <v>gibbosus</v>
      </c>
      <c r="G3257" t="str">
        <f>_xlfn.XLOOKUP(A3257,'[1]Tissue Data'!$A:$A,'[1]Tissue Data'!J:J)</f>
        <v>U</v>
      </c>
      <c r="H3257" t="str">
        <f>_xlfn.XLOOKUP(A3257,'[1]Tissue Data'!$A:$A,'[1]Tissue Data'!K:K)</f>
        <v>Whole Body</v>
      </c>
      <c r="I3257">
        <f>_xlfn.XLOOKUP(A3257,'[1]Tissue Data'!$A:$A,'[1]Tissue Data'!L:L)</f>
        <v>9</v>
      </c>
      <c r="J3257">
        <f>_xlfn.XLOOKUP(A3257,'[1]Tissue Data'!$A:$A,'[1]Tissue Data'!M:M)</f>
        <v>8.4499999999999993</v>
      </c>
      <c r="K3257" t="s">
        <v>17</v>
      </c>
      <c r="L3257" t="str">
        <f>_xlfn.XLOOKUP(K3257,[2]analyte_order!$B:$B,[2]analyte_order!$C:$C)</f>
        <v>375-95-1</v>
      </c>
      <c r="M3257">
        <f>_xlfn.XLOOKUP(L3257,[2]analyte_order!$C:$C,[2]analyte_order!$E:$E)</f>
        <v>6</v>
      </c>
      <c r="N3257">
        <v>0.154</v>
      </c>
    </row>
    <row r="3258" spans="1:14">
      <c r="A3258" t="s">
        <v>237</v>
      </c>
      <c r="B3258" t="str">
        <f>_xlfn.XLOOKUP(A3258,'[1]Tissue Data'!$A:$A,'[1]Tissue Data'!$C:$C)</f>
        <v>Down</v>
      </c>
      <c r="C3258" s="2">
        <f>_xlfn.XLOOKUP(A3258,'[1]Tissue Data'!$A:$A,'[1]Tissue Data'!$D:$D)</f>
        <v>44314</v>
      </c>
      <c r="D3258" s="2" t="str">
        <f>_xlfn.XLOOKUP(A3258,'[1]Tissue Data'!$A:$A,'[1]Tissue Data'!$F:$F)</f>
        <v>Pumpkinseed</v>
      </c>
      <c r="E3258" t="str">
        <f>_xlfn.XLOOKUP(A3258,'[1]Tissue Data'!$A:$A,'[1]Tissue Data'!$H:$H)</f>
        <v>Lepomis</v>
      </c>
      <c r="F3258" t="str">
        <f>_xlfn.XLOOKUP(A3258,'[1]Tissue Data'!$A:$A,'[1]Tissue Data'!$I:$I)</f>
        <v>gibbosus</v>
      </c>
      <c r="G3258" t="str">
        <f>_xlfn.XLOOKUP(A3258,'[1]Tissue Data'!$A:$A,'[1]Tissue Data'!J:J)</f>
        <v>U</v>
      </c>
      <c r="H3258" t="str">
        <f>_xlfn.XLOOKUP(A3258,'[1]Tissue Data'!$A:$A,'[1]Tissue Data'!K:K)</f>
        <v>Whole Body</v>
      </c>
      <c r="I3258">
        <f>_xlfn.XLOOKUP(A3258,'[1]Tissue Data'!$A:$A,'[1]Tissue Data'!L:L)</f>
        <v>9</v>
      </c>
      <c r="J3258">
        <f>_xlfn.XLOOKUP(A3258,'[1]Tissue Data'!$A:$A,'[1]Tissue Data'!M:M)</f>
        <v>8.4499999999999993</v>
      </c>
      <c r="K3258" t="s">
        <v>18</v>
      </c>
      <c r="L3258" t="str">
        <f>_xlfn.XLOOKUP(K3258,[2]analyte_order!$B:$B,[2]analyte_order!$C:$C)</f>
        <v>335-76-2</v>
      </c>
      <c r="M3258">
        <f>_xlfn.XLOOKUP(L3258,[2]analyte_order!$C:$C,[2]analyte_order!$E:$E)</f>
        <v>7</v>
      </c>
      <c r="N3258">
        <v>2.33</v>
      </c>
    </row>
    <row r="3259" spans="1:14">
      <c r="A3259" t="s">
        <v>237</v>
      </c>
      <c r="B3259" t="str">
        <f>_xlfn.XLOOKUP(A3259,'[1]Tissue Data'!$A:$A,'[1]Tissue Data'!$C:$C)</f>
        <v>Down</v>
      </c>
      <c r="C3259" s="2">
        <f>_xlfn.XLOOKUP(A3259,'[1]Tissue Data'!$A:$A,'[1]Tissue Data'!$D:$D)</f>
        <v>44314</v>
      </c>
      <c r="D3259" s="2" t="str">
        <f>_xlfn.XLOOKUP(A3259,'[1]Tissue Data'!$A:$A,'[1]Tissue Data'!$F:$F)</f>
        <v>Pumpkinseed</v>
      </c>
      <c r="E3259" t="str">
        <f>_xlfn.XLOOKUP(A3259,'[1]Tissue Data'!$A:$A,'[1]Tissue Data'!$H:$H)</f>
        <v>Lepomis</v>
      </c>
      <c r="F3259" t="str">
        <f>_xlfn.XLOOKUP(A3259,'[1]Tissue Data'!$A:$A,'[1]Tissue Data'!$I:$I)</f>
        <v>gibbosus</v>
      </c>
      <c r="G3259" t="str">
        <f>_xlfn.XLOOKUP(A3259,'[1]Tissue Data'!$A:$A,'[1]Tissue Data'!J:J)</f>
        <v>U</v>
      </c>
      <c r="H3259" t="str">
        <f>_xlfn.XLOOKUP(A3259,'[1]Tissue Data'!$A:$A,'[1]Tissue Data'!K:K)</f>
        <v>Whole Body</v>
      </c>
      <c r="I3259">
        <f>_xlfn.XLOOKUP(A3259,'[1]Tissue Data'!$A:$A,'[1]Tissue Data'!L:L)</f>
        <v>9</v>
      </c>
      <c r="J3259">
        <f>_xlfn.XLOOKUP(A3259,'[1]Tissue Data'!$A:$A,'[1]Tissue Data'!M:M)</f>
        <v>8.4499999999999993</v>
      </c>
      <c r="K3259" t="s">
        <v>19</v>
      </c>
      <c r="L3259" t="str">
        <f>_xlfn.XLOOKUP(K3259,[2]analyte_order!$B:$B,[2]analyte_order!$C:$C)</f>
        <v>2058-94-8</v>
      </c>
      <c r="M3259">
        <f>_xlfn.XLOOKUP(L3259,[2]analyte_order!$C:$C,[2]analyte_order!$E:$E)</f>
        <v>8</v>
      </c>
      <c r="N3259">
        <v>4.59</v>
      </c>
    </row>
    <row r="3260" spans="1:14">
      <c r="A3260" t="s">
        <v>237</v>
      </c>
      <c r="B3260" t="str">
        <f>_xlfn.XLOOKUP(A3260,'[1]Tissue Data'!$A:$A,'[1]Tissue Data'!$C:$C)</f>
        <v>Down</v>
      </c>
      <c r="C3260" s="2">
        <f>_xlfn.XLOOKUP(A3260,'[1]Tissue Data'!$A:$A,'[1]Tissue Data'!$D:$D)</f>
        <v>44314</v>
      </c>
      <c r="D3260" s="2" t="str">
        <f>_xlfn.XLOOKUP(A3260,'[1]Tissue Data'!$A:$A,'[1]Tissue Data'!$F:$F)</f>
        <v>Pumpkinseed</v>
      </c>
      <c r="E3260" t="str">
        <f>_xlfn.XLOOKUP(A3260,'[1]Tissue Data'!$A:$A,'[1]Tissue Data'!$H:$H)</f>
        <v>Lepomis</v>
      </c>
      <c r="F3260" t="str">
        <f>_xlfn.XLOOKUP(A3260,'[1]Tissue Data'!$A:$A,'[1]Tissue Data'!$I:$I)</f>
        <v>gibbosus</v>
      </c>
      <c r="G3260" t="str">
        <f>_xlfn.XLOOKUP(A3260,'[1]Tissue Data'!$A:$A,'[1]Tissue Data'!J:J)</f>
        <v>U</v>
      </c>
      <c r="H3260" t="str">
        <f>_xlfn.XLOOKUP(A3260,'[1]Tissue Data'!$A:$A,'[1]Tissue Data'!K:K)</f>
        <v>Whole Body</v>
      </c>
      <c r="I3260">
        <f>_xlfn.XLOOKUP(A3260,'[1]Tissue Data'!$A:$A,'[1]Tissue Data'!L:L)</f>
        <v>9</v>
      </c>
      <c r="J3260">
        <f>_xlfn.XLOOKUP(A3260,'[1]Tissue Data'!$A:$A,'[1]Tissue Data'!M:M)</f>
        <v>8.4499999999999993</v>
      </c>
      <c r="K3260" t="s">
        <v>20</v>
      </c>
      <c r="L3260" t="str">
        <f>_xlfn.XLOOKUP(K3260,[2]analyte_order!$B:$B,[2]analyte_order!$C:$C)</f>
        <v>307-55-1</v>
      </c>
      <c r="M3260">
        <f>_xlfn.XLOOKUP(L3260,[2]analyte_order!$C:$C,[2]analyte_order!$E:$E)</f>
        <v>9</v>
      </c>
      <c r="N3260">
        <v>10.4</v>
      </c>
    </row>
    <row r="3261" spans="1:14">
      <c r="A3261" t="s">
        <v>237</v>
      </c>
      <c r="B3261" t="str">
        <f>_xlfn.XLOOKUP(A3261,'[1]Tissue Data'!$A:$A,'[1]Tissue Data'!$C:$C)</f>
        <v>Down</v>
      </c>
      <c r="C3261" s="2">
        <f>_xlfn.XLOOKUP(A3261,'[1]Tissue Data'!$A:$A,'[1]Tissue Data'!$D:$D)</f>
        <v>44314</v>
      </c>
      <c r="D3261" s="2" t="str">
        <f>_xlfn.XLOOKUP(A3261,'[1]Tissue Data'!$A:$A,'[1]Tissue Data'!$F:$F)</f>
        <v>Pumpkinseed</v>
      </c>
      <c r="E3261" t="str">
        <f>_xlfn.XLOOKUP(A3261,'[1]Tissue Data'!$A:$A,'[1]Tissue Data'!$H:$H)</f>
        <v>Lepomis</v>
      </c>
      <c r="F3261" t="str">
        <f>_xlfn.XLOOKUP(A3261,'[1]Tissue Data'!$A:$A,'[1]Tissue Data'!$I:$I)</f>
        <v>gibbosus</v>
      </c>
      <c r="G3261" t="str">
        <f>_xlfn.XLOOKUP(A3261,'[1]Tissue Data'!$A:$A,'[1]Tissue Data'!J:J)</f>
        <v>U</v>
      </c>
      <c r="H3261" t="str">
        <f>_xlfn.XLOOKUP(A3261,'[1]Tissue Data'!$A:$A,'[1]Tissue Data'!K:K)</f>
        <v>Whole Body</v>
      </c>
      <c r="I3261">
        <f>_xlfn.XLOOKUP(A3261,'[1]Tissue Data'!$A:$A,'[1]Tissue Data'!L:L)</f>
        <v>9</v>
      </c>
      <c r="J3261">
        <f>_xlfn.XLOOKUP(A3261,'[1]Tissue Data'!$A:$A,'[1]Tissue Data'!M:M)</f>
        <v>8.4499999999999993</v>
      </c>
      <c r="K3261" t="s">
        <v>21</v>
      </c>
      <c r="L3261" t="str">
        <f>_xlfn.XLOOKUP(K3261,[2]analyte_order!$B:$B,[2]analyte_order!$C:$C)</f>
        <v>72629-94-8</v>
      </c>
      <c r="M3261">
        <f>_xlfn.XLOOKUP(L3261,[2]analyte_order!$C:$C,[2]analyte_order!$E:$E)</f>
        <v>10</v>
      </c>
      <c r="N3261">
        <v>6.52</v>
      </c>
    </row>
    <row r="3262" spans="1:14">
      <c r="A3262" t="s">
        <v>237</v>
      </c>
      <c r="B3262" t="str">
        <f>_xlfn.XLOOKUP(A3262,'[1]Tissue Data'!$A:$A,'[1]Tissue Data'!$C:$C)</f>
        <v>Down</v>
      </c>
      <c r="C3262" s="2">
        <f>_xlfn.XLOOKUP(A3262,'[1]Tissue Data'!$A:$A,'[1]Tissue Data'!$D:$D)</f>
        <v>44314</v>
      </c>
      <c r="D3262" s="2" t="str">
        <f>_xlfn.XLOOKUP(A3262,'[1]Tissue Data'!$A:$A,'[1]Tissue Data'!$F:$F)</f>
        <v>Pumpkinseed</v>
      </c>
      <c r="E3262" t="str">
        <f>_xlfn.XLOOKUP(A3262,'[1]Tissue Data'!$A:$A,'[1]Tissue Data'!$H:$H)</f>
        <v>Lepomis</v>
      </c>
      <c r="F3262" t="str">
        <f>_xlfn.XLOOKUP(A3262,'[1]Tissue Data'!$A:$A,'[1]Tissue Data'!$I:$I)</f>
        <v>gibbosus</v>
      </c>
      <c r="G3262" t="str">
        <f>_xlfn.XLOOKUP(A3262,'[1]Tissue Data'!$A:$A,'[1]Tissue Data'!J:J)</f>
        <v>U</v>
      </c>
      <c r="H3262" t="str">
        <f>_xlfn.XLOOKUP(A3262,'[1]Tissue Data'!$A:$A,'[1]Tissue Data'!K:K)</f>
        <v>Whole Body</v>
      </c>
      <c r="I3262">
        <f>_xlfn.XLOOKUP(A3262,'[1]Tissue Data'!$A:$A,'[1]Tissue Data'!L:L)</f>
        <v>9</v>
      </c>
      <c r="J3262">
        <f>_xlfn.XLOOKUP(A3262,'[1]Tissue Data'!$A:$A,'[1]Tissue Data'!M:M)</f>
        <v>8.4499999999999993</v>
      </c>
      <c r="K3262" t="s">
        <v>22</v>
      </c>
      <c r="L3262" t="str">
        <f>_xlfn.XLOOKUP(K3262,[2]analyte_order!$B:$B,[2]analyte_order!$C:$C)</f>
        <v>376-06-7</v>
      </c>
      <c r="M3262">
        <f>_xlfn.XLOOKUP(L3262,[2]analyte_order!$C:$C,[2]analyte_order!$E:$E)</f>
        <v>11</v>
      </c>
      <c r="N3262">
        <v>5.82</v>
      </c>
    </row>
    <row r="3263" spans="1:14">
      <c r="A3263" t="s">
        <v>237</v>
      </c>
      <c r="B3263" t="str">
        <f>_xlfn.XLOOKUP(A3263,'[1]Tissue Data'!$A:$A,'[1]Tissue Data'!$C:$C)</f>
        <v>Down</v>
      </c>
      <c r="C3263" s="2">
        <f>_xlfn.XLOOKUP(A3263,'[1]Tissue Data'!$A:$A,'[1]Tissue Data'!$D:$D)</f>
        <v>44314</v>
      </c>
      <c r="D3263" s="2" t="str">
        <f>_xlfn.XLOOKUP(A3263,'[1]Tissue Data'!$A:$A,'[1]Tissue Data'!$F:$F)</f>
        <v>Pumpkinseed</v>
      </c>
      <c r="E3263" t="str">
        <f>_xlfn.XLOOKUP(A3263,'[1]Tissue Data'!$A:$A,'[1]Tissue Data'!$H:$H)</f>
        <v>Lepomis</v>
      </c>
      <c r="F3263" t="str">
        <f>_xlfn.XLOOKUP(A3263,'[1]Tissue Data'!$A:$A,'[1]Tissue Data'!$I:$I)</f>
        <v>gibbosus</v>
      </c>
      <c r="G3263" t="str">
        <f>_xlfn.XLOOKUP(A3263,'[1]Tissue Data'!$A:$A,'[1]Tissue Data'!J:J)</f>
        <v>U</v>
      </c>
      <c r="H3263" t="str">
        <f>_xlfn.XLOOKUP(A3263,'[1]Tissue Data'!$A:$A,'[1]Tissue Data'!K:K)</f>
        <v>Whole Body</v>
      </c>
      <c r="I3263">
        <f>_xlfn.XLOOKUP(A3263,'[1]Tissue Data'!$A:$A,'[1]Tissue Data'!L:L)</f>
        <v>9</v>
      </c>
      <c r="J3263">
        <f>_xlfn.XLOOKUP(A3263,'[1]Tissue Data'!$A:$A,'[1]Tissue Data'!M:M)</f>
        <v>8.4499999999999993</v>
      </c>
      <c r="K3263" t="s">
        <v>23</v>
      </c>
      <c r="L3263" t="str">
        <f>_xlfn.XLOOKUP(K3263,[2]analyte_order!$B:$B,[2]analyte_order!$C:$C)</f>
        <v>67905-19-5</v>
      </c>
      <c r="M3263">
        <f>_xlfn.XLOOKUP(L3263,[2]analyte_order!$C:$C,[2]analyte_order!$E:$E)</f>
        <v>12</v>
      </c>
      <c r="N3263">
        <v>8.0500000000000002E-2</v>
      </c>
    </row>
    <row r="3264" spans="1:14">
      <c r="A3264" t="s">
        <v>237</v>
      </c>
      <c r="B3264" t="str">
        <f>_xlfn.XLOOKUP(A3264,'[1]Tissue Data'!$A:$A,'[1]Tissue Data'!$C:$C)</f>
        <v>Down</v>
      </c>
      <c r="C3264" s="2">
        <f>_xlfn.XLOOKUP(A3264,'[1]Tissue Data'!$A:$A,'[1]Tissue Data'!$D:$D)</f>
        <v>44314</v>
      </c>
      <c r="D3264" s="2" t="str">
        <f>_xlfn.XLOOKUP(A3264,'[1]Tissue Data'!$A:$A,'[1]Tissue Data'!$F:$F)</f>
        <v>Pumpkinseed</v>
      </c>
      <c r="E3264" t="str">
        <f>_xlfn.XLOOKUP(A3264,'[1]Tissue Data'!$A:$A,'[1]Tissue Data'!$H:$H)</f>
        <v>Lepomis</v>
      </c>
      <c r="F3264" t="str">
        <f>_xlfn.XLOOKUP(A3264,'[1]Tissue Data'!$A:$A,'[1]Tissue Data'!$I:$I)</f>
        <v>gibbosus</v>
      </c>
      <c r="G3264" t="str">
        <f>_xlfn.XLOOKUP(A3264,'[1]Tissue Data'!$A:$A,'[1]Tissue Data'!J:J)</f>
        <v>U</v>
      </c>
      <c r="H3264" t="str">
        <f>_xlfn.XLOOKUP(A3264,'[1]Tissue Data'!$A:$A,'[1]Tissue Data'!K:K)</f>
        <v>Whole Body</v>
      </c>
      <c r="I3264">
        <f>_xlfn.XLOOKUP(A3264,'[1]Tissue Data'!$A:$A,'[1]Tissue Data'!L:L)</f>
        <v>9</v>
      </c>
      <c r="J3264">
        <f>_xlfn.XLOOKUP(A3264,'[1]Tissue Data'!$A:$A,'[1]Tissue Data'!M:M)</f>
        <v>8.4499999999999993</v>
      </c>
      <c r="K3264" t="s">
        <v>24</v>
      </c>
      <c r="L3264" t="str">
        <f>_xlfn.XLOOKUP(K3264,[2]analyte_order!$B:$B,[2]analyte_order!$C:$C)</f>
        <v>423-41-6</v>
      </c>
      <c r="M3264">
        <f>_xlfn.XLOOKUP(L3264,[2]analyte_order!$C:$C,[2]analyte_order!$E:$E)</f>
        <v>53</v>
      </c>
      <c r="N3264">
        <v>5.1499999999999997E-2</v>
      </c>
    </row>
    <row r="3265" spans="1:14">
      <c r="A3265" t="s">
        <v>237</v>
      </c>
      <c r="B3265" t="str">
        <f>_xlfn.XLOOKUP(A3265,'[1]Tissue Data'!$A:$A,'[1]Tissue Data'!$C:$C)</f>
        <v>Down</v>
      </c>
      <c r="C3265" s="2">
        <f>_xlfn.XLOOKUP(A3265,'[1]Tissue Data'!$A:$A,'[1]Tissue Data'!$D:$D)</f>
        <v>44314</v>
      </c>
      <c r="D3265" s="2" t="str">
        <f>_xlfn.XLOOKUP(A3265,'[1]Tissue Data'!$A:$A,'[1]Tissue Data'!$F:$F)</f>
        <v>Pumpkinseed</v>
      </c>
      <c r="E3265" t="str">
        <f>_xlfn.XLOOKUP(A3265,'[1]Tissue Data'!$A:$A,'[1]Tissue Data'!$H:$H)</f>
        <v>Lepomis</v>
      </c>
      <c r="F3265" t="str">
        <f>_xlfn.XLOOKUP(A3265,'[1]Tissue Data'!$A:$A,'[1]Tissue Data'!$I:$I)</f>
        <v>gibbosus</v>
      </c>
      <c r="G3265" t="str">
        <f>_xlfn.XLOOKUP(A3265,'[1]Tissue Data'!$A:$A,'[1]Tissue Data'!J:J)</f>
        <v>U</v>
      </c>
      <c r="H3265" t="str">
        <f>_xlfn.XLOOKUP(A3265,'[1]Tissue Data'!$A:$A,'[1]Tissue Data'!K:K)</f>
        <v>Whole Body</v>
      </c>
      <c r="I3265">
        <f>_xlfn.XLOOKUP(A3265,'[1]Tissue Data'!$A:$A,'[1]Tissue Data'!L:L)</f>
        <v>9</v>
      </c>
      <c r="J3265">
        <f>_xlfn.XLOOKUP(A3265,'[1]Tissue Data'!$A:$A,'[1]Tissue Data'!M:M)</f>
        <v>8.4499999999999993</v>
      </c>
      <c r="K3265" t="s">
        <v>25</v>
      </c>
      <c r="L3265" t="str">
        <f>_xlfn.XLOOKUP(K3265,[2]analyte_order!$B:$B,[2]analyte_order!$C:$C)</f>
        <v>375-73-5</v>
      </c>
      <c r="M3265">
        <f>_xlfn.XLOOKUP(L3265,[2]analyte_order!$C:$C,[2]analyte_order!$E:$E)</f>
        <v>14</v>
      </c>
      <c r="N3265">
        <v>2.0299999999999998</v>
      </c>
    </row>
    <row r="3266" spans="1:14">
      <c r="A3266" t="s">
        <v>237</v>
      </c>
      <c r="B3266" t="str">
        <f>_xlfn.XLOOKUP(A3266,'[1]Tissue Data'!$A:$A,'[1]Tissue Data'!$C:$C)</f>
        <v>Down</v>
      </c>
      <c r="C3266" s="2">
        <f>_xlfn.XLOOKUP(A3266,'[1]Tissue Data'!$A:$A,'[1]Tissue Data'!$D:$D)</f>
        <v>44314</v>
      </c>
      <c r="D3266" s="2" t="str">
        <f>_xlfn.XLOOKUP(A3266,'[1]Tissue Data'!$A:$A,'[1]Tissue Data'!$F:$F)</f>
        <v>Pumpkinseed</v>
      </c>
      <c r="E3266" t="str">
        <f>_xlfn.XLOOKUP(A3266,'[1]Tissue Data'!$A:$A,'[1]Tissue Data'!$H:$H)</f>
        <v>Lepomis</v>
      </c>
      <c r="F3266" t="str">
        <f>_xlfn.XLOOKUP(A3266,'[1]Tissue Data'!$A:$A,'[1]Tissue Data'!$I:$I)</f>
        <v>gibbosus</v>
      </c>
      <c r="G3266" t="str">
        <f>_xlfn.XLOOKUP(A3266,'[1]Tissue Data'!$A:$A,'[1]Tissue Data'!J:J)</f>
        <v>U</v>
      </c>
      <c r="H3266" t="str">
        <f>_xlfn.XLOOKUP(A3266,'[1]Tissue Data'!$A:$A,'[1]Tissue Data'!K:K)</f>
        <v>Whole Body</v>
      </c>
      <c r="I3266">
        <f>_xlfn.XLOOKUP(A3266,'[1]Tissue Data'!$A:$A,'[1]Tissue Data'!L:L)</f>
        <v>9</v>
      </c>
      <c r="J3266">
        <f>_xlfn.XLOOKUP(A3266,'[1]Tissue Data'!$A:$A,'[1]Tissue Data'!M:M)</f>
        <v>8.4499999999999993</v>
      </c>
      <c r="K3266" t="s">
        <v>26</v>
      </c>
      <c r="L3266" t="str">
        <f>_xlfn.XLOOKUP(K3266,[2]analyte_order!$B:$B,[2]analyte_order!$C:$C)</f>
        <v>2706-91-4</v>
      </c>
      <c r="M3266">
        <f>_xlfn.XLOOKUP(L3266,[2]analyte_order!$C:$C,[2]analyte_order!$E:$E)</f>
        <v>15</v>
      </c>
      <c r="N3266">
        <v>0.11799999999999999</v>
      </c>
    </row>
    <row r="3267" spans="1:14">
      <c r="A3267" t="s">
        <v>237</v>
      </c>
      <c r="B3267" t="str">
        <f>_xlfn.XLOOKUP(A3267,'[1]Tissue Data'!$A:$A,'[1]Tissue Data'!$C:$C)</f>
        <v>Down</v>
      </c>
      <c r="C3267" s="2">
        <f>_xlfn.XLOOKUP(A3267,'[1]Tissue Data'!$A:$A,'[1]Tissue Data'!$D:$D)</f>
        <v>44314</v>
      </c>
      <c r="D3267" s="2" t="str">
        <f>_xlfn.XLOOKUP(A3267,'[1]Tissue Data'!$A:$A,'[1]Tissue Data'!$F:$F)</f>
        <v>Pumpkinseed</v>
      </c>
      <c r="E3267" t="str">
        <f>_xlfn.XLOOKUP(A3267,'[1]Tissue Data'!$A:$A,'[1]Tissue Data'!$H:$H)</f>
        <v>Lepomis</v>
      </c>
      <c r="F3267" t="str">
        <f>_xlfn.XLOOKUP(A3267,'[1]Tissue Data'!$A:$A,'[1]Tissue Data'!$I:$I)</f>
        <v>gibbosus</v>
      </c>
      <c r="G3267" t="str">
        <f>_xlfn.XLOOKUP(A3267,'[1]Tissue Data'!$A:$A,'[1]Tissue Data'!J:J)</f>
        <v>U</v>
      </c>
      <c r="H3267" t="str">
        <f>_xlfn.XLOOKUP(A3267,'[1]Tissue Data'!$A:$A,'[1]Tissue Data'!K:K)</f>
        <v>Whole Body</v>
      </c>
      <c r="I3267">
        <f>_xlfn.XLOOKUP(A3267,'[1]Tissue Data'!$A:$A,'[1]Tissue Data'!L:L)</f>
        <v>9</v>
      </c>
      <c r="J3267">
        <f>_xlfn.XLOOKUP(A3267,'[1]Tissue Data'!$A:$A,'[1]Tissue Data'!M:M)</f>
        <v>8.4499999999999993</v>
      </c>
      <c r="K3267" t="s">
        <v>27</v>
      </c>
      <c r="L3267" t="str">
        <f>_xlfn.XLOOKUP(K3267,[2]analyte_order!$B:$B,[2]analyte_order!$C:$C)</f>
        <v>355-46-4</v>
      </c>
      <c r="M3267">
        <f>_xlfn.XLOOKUP(L3267,[2]analyte_order!$C:$C,[2]analyte_order!$E:$E)</f>
        <v>16</v>
      </c>
      <c r="N3267">
        <v>4.42</v>
      </c>
    </row>
    <row r="3268" spans="1:14">
      <c r="A3268" t="s">
        <v>237</v>
      </c>
      <c r="B3268" t="str">
        <f>_xlfn.XLOOKUP(A3268,'[1]Tissue Data'!$A:$A,'[1]Tissue Data'!$C:$C)</f>
        <v>Down</v>
      </c>
      <c r="C3268" s="2">
        <f>_xlfn.XLOOKUP(A3268,'[1]Tissue Data'!$A:$A,'[1]Tissue Data'!$D:$D)</f>
        <v>44314</v>
      </c>
      <c r="D3268" s="2" t="str">
        <f>_xlfn.XLOOKUP(A3268,'[1]Tissue Data'!$A:$A,'[1]Tissue Data'!$F:$F)</f>
        <v>Pumpkinseed</v>
      </c>
      <c r="E3268" t="str">
        <f>_xlfn.XLOOKUP(A3268,'[1]Tissue Data'!$A:$A,'[1]Tissue Data'!$H:$H)</f>
        <v>Lepomis</v>
      </c>
      <c r="F3268" t="str">
        <f>_xlfn.XLOOKUP(A3268,'[1]Tissue Data'!$A:$A,'[1]Tissue Data'!$I:$I)</f>
        <v>gibbosus</v>
      </c>
      <c r="G3268" t="str">
        <f>_xlfn.XLOOKUP(A3268,'[1]Tissue Data'!$A:$A,'[1]Tissue Data'!J:J)</f>
        <v>U</v>
      </c>
      <c r="H3268" t="str">
        <f>_xlfn.XLOOKUP(A3268,'[1]Tissue Data'!$A:$A,'[1]Tissue Data'!K:K)</f>
        <v>Whole Body</v>
      </c>
      <c r="I3268">
        <f>_xlfn.XLOOKUP(A3268,'[1]Tissue Data'!$A:$A,'[1]Tissue Data'!L:L)</f>
        <v>9</v>
      </c>
      <c r="J3268">
        <f>_xlfn.XLOOKUP(A3268,'[1]Tissue Data'!$A:$A,'[1]Tissue Data'!M:M)</f>
        <v>8.4499999999999993</v>
      </c>
      <c r="K3268" t="s">
        <v>28</v>
      </c>
      <c r="L3268" t="str">
        <f>_xlfn.XLOOKUP(K3268,[2]analyte_order!$B:$B,[2]analyte_order!$C:$C)</f>
        <v>375-92-8</v>
      </c>
      <c r="M3268">
        <f>_xlfn.XLOOKUP(L3268,[2]analyte_order!$C:$C,[2]analyte_order!$E:$E)</f>
        <v>17</v>
      </c>
      <c r="N3268">
        <v>0.64500000000000002</v>
      </c>
    </row>
    <row r="3269" spans="1:14">
      <c r="A3269" t="s">
        <v>237</v>
      </c>
      <c r="B3269" t="str">
        <f>_xlfn.XLOOKUP(A3269,'[1]Tissue Data'!$A:$A,'[1]Tissue Data'!$C:$C)</f>
        <v>Down</v>
      </c>
      <c r="C3269" s="2">
        <f>_xlfn.XLOOKUP(A3269,'[1]Tissue Data'!$A:$A,'[1]Tissue Data'!$D:$D)</f>
        <v>44314</v>
      </c>
      <c r="D3269" s="2" t="str">
        <f>_xlfn.XLOOKUP(A3269,'[1]Tissue Data'!$A:$A,'[1]Tissue Data'!$F:$F)</f>
        <v>Pumpkinseed</v>
      </c>
      <c r="E3269" t="str">
        <f>_xlfn.XLOOKUP(A3269,'[1]Tissue Data'!$A:$A,'[1]Tissue Data'!$H:$H)</f>
        <v>Lepomis</v>
      </c>
      <c r="F3269" t="str">
        <f>_xlfn.XLOOKUP(A3269,'[1]Tissue Data'!$A:$A,'[1]Tissue Data'!$I:$I)</f>
        <v>gibbosus</v>
      </c>
      <c r="G3269" t="str">
        <f>_xlfn.XLOOKUP(A3269,'[1]Tissue Data'!$A:$A,'[1]Tissue Data'!J:J)</f>
        <v>U</v>
      </c>
      <c r="H3269" t="str">
        <f>_xlfn.XLOOKUP(A3269,'[1]Tissue Data'!$A:$A,'[1]Tissue Data'!K:K)</f>
        <v>Whole Body</v>
      </c>
      <c r="I3269">
        <f>_xlfn.XLOOKUP(A3269,'[1]Tissue Data'!$A:$A,'[1]Tissue Data'!L:L)</f>
        <v>9</v>
      </c>
      <c r="J3269">
        <f>_xlfn.XLOOKUP(A3269,'[1]Tissue Data'!$A:$A,'[1]Tissue Data'!M:M)</f>
        <v>8.4499999999999993</v>
      </c>
      <c r="K3269" t="s">
        <v>29</v>
      </c>
      <c r="L3269" t="str">
        <f>_xlfn.XLOOKUP(K3269,[2]analyte_order!$B:$B,[2]analyte_order!$C:$C)</f>
        <v>1763-23-1</v>
      </c>
      <c r="M3269">
        <f>_xlfn.XLOOKUP(L3269,[2]analyte_order!$C:$C,[2]analyte_order!$E:$E)</f>
        <v>18</v>
      </c>
      <c r="N3269">
        <v>479</v>
      </c>
    </row>
    <row r="3270" spans="1:14">
      <c r="A3270" t="s">
        <v>237</v>
      </c>
      <c r="B3270" t="str">
        <f>_xlfn.XLOOKUP(A3270,'[1]Tissue Data'!$A:$A,'[1]Tissue Data'!$C:$C)</f>
        <v>Down</v>
      </c>
      <c r="C3270" s="2">
        <f>_xlfn.XLOOKUP(A3270,'[1]Tissue Data'!$A:$A,'[1]Tissue Data'!$D:$D)</f>
        <v>44314</v>
      </c>
      <c r="D3270" s="2" t="str">
        <f>_xlfn.XLOOKUP(A3270,'[1]Tissue Data'!$A:$A,'[1]Tissue Data'!$F:$F)</f>
        <v>Pumpkinseed</v>
      </c>
      <c r="E3270" t="str">
        <f>_xlfn.XLOOKUP(A3270,'[1]Tissue Data'!$A:$A,'[1]Tissue Data'!$H:$H)</f>
        <v>Lepomis</v>
      </c>
      <c r="F3270" t="str">
        <f>_xlfn.XLOOKUP(A3270,'[1]Tissue Data'!$A:$A,'[1]Tissue Data'!$I:$I)</f>
        <v>gibbosus</v>
      </c>
      <c r="G3270" t="str">
        <f>_xlfn.XLOOKUP(A3270,'[1]Tissue Data'!$A:$A,'[1]Tissue Data'!J:J)</f>
        <v>U</v>
      </c>
      <c r="H3270" t="str">
        <f>_xlfn.XLOOKUP(A3270,'[1]Tissue Data'!$A:$A,'[1]Tissue Data'!K:K)</f>
        <v>Whole Body</v>
      </c>
      <c r="I3270">
        <f>_xlfn.XLOOKUP(A3270,'[1]Tissue Data'!$A:$A,'[1]Tissue Data'!L:L)</f>
        <v>9</v>
      </c>
      <c r="J3270">
        <f>_xlfn.XLOOKUP(A3270,'[1]Tissue Data'!$A:$A,'[1]Tissue Data'!M:M)</f>
        <v>8.4499999999999993</v>
      </c>
      <c r="K3270" t="s">
        <v>30</v>
      </c>
      <c r="L3270" t="str">
        <f>_xlfn.XLOOKUP(K3270,[2]analyte_order!$B:$B,[2]analyte_order!$C:$C)</f>
        <v>68259-12-1</v>
      </c>
      <c r="M3270">
        <f>_xlfn.XLOOKUP(L3270,[2]analyte_order!$C:$C,[2]analyte_order!$E:$E)</f>
        <v>19</v>
      </c>
      <c r="N3270">
        <v>0.49</v>
      </c>
    </row>
    <row r="3271" spans="1:14">
      <c r="A3271" t="s">
        <v>237</v>
      </c>
      <c r="B3271" t="str">
        <f>_xlfn.XLOOKUP(A3271,'[1]Tissue Data'!$A:$A,'[1]Tissue Data'!$C:$C)</f>
        <v>Down</v>
      </c>
      <c r="C3271" s="2">
        <f>_xlfn.XLOOKUP(A3271,'[1]Tissue Data'!$A:$A,'[1]Tissue Data'!$D:$D)</f>
        <v>44314</v>
      </c>
      <c r="D3271" s="2" t="str">
        <f>_xlfn.XLOOKUP(A3271,'[1]Tissue Data'!$A:$A,'[1]Tissue Data'!$F:$F)</f>
        <v>Pumpkinseed</v>
      </c>
      <c r="E3271" t="str">
        <f>_xlfn.XLOOKUP(A3271,'[1]Tissue Data'!$A:$A,'[1]Tissue Data'!$H:$H)</f>
        <v>Lepomis</v>
      </c>
      <c r="F3271" t="str">
        <f>_xlfn.XLOOKUP(A3271,'[1]Tissue Data'!$A:$A,'[1]Tissue Data'!$I:$I)</f>
        <v>gibbosus</v>
      </c>
      <c r="G3271" t="str">
        <f>_xlfn.XLOOKUP(A3271,'[1]Tissue Data'!$A:$A,'[1]Tissue Data'!J:J)</f>
        <v>U</v>
      </c>
      <c r="H3271" t="str">
        <f>_xlfn.XLOOKUP(A3271,'[1]Tissue Data'!$A:$A,'[1]Tissue Data'!K:K)</f>
        <v>Whole Body</v>
      </c>
      <c r="I3271">
        <f>_xlfn.XLOOKUP(A3271,'[1]Tissue Data'!$A:$A,'[1]Tissue Data'!L:L)</f>
        <v>9</v>
      </c>
      <c r="J3271">
        <f>_xlfn.XLOOKUP(A3271,'[1]Tissue Data'!$A:$A,'[1]Tissue Data'!M:M)</f>
        <v>8.4499999999999993</v>
      </c>
      <c r="K3271" t="s">
        <v>31</v>
      </c>
      <c r="L3271" t="str">
        <f>_xlfn.XLOOKUP(K3271,[2]analyte_order!$B:$B,[2]analyte_order!$C:$C)</f>
        <v>335-77-3</v>
      </c>
      <c r="M3271">
        <f>_xlfn.XLOOKUP(L3271,[2]analyte_order!$C:$C,[2]analyte_order!$E:$E)</f>
        <v>20</v>
      </c>
      <c r="N3271">
        <v>2.06</v>
      </c>
    </row>
    <row r="3272" spans="1:14">
      <c r="A3272" t="s">
        <v>237</v>
      </c>
      <c r="B3272" t="str">
        <f>_xlfn.XLOOKUP(A3272,'[1]Tissue Data'!$A:$A,'[1]Tissue Data'!$C:$C)</f>
        <v>Down</v>
      </c>
      <c r="C3272" s="2">
        <f>_xlfn.XLOOKUP(A3272,'[1]Tissue Data'!$A:$A,'[1]Tissue Data'!$D:$D)</f>
        <v>44314</v>
      </c>
      <c r="D3272" s="2" t="str">
        <f>_xlfn.XLOOKUP(A3272,'[1]Tissue Data'!$A:$A,'[1]Tissue Data'!$F:$F)</f>
        <v>Pumpkinseed</v>
      </c>
      <c r="E3272" t="str">
        <f>_xlfn.XLOOKUP(A3272,'[1]Tissue Data'!$A:$A,'[1]Tissue Data'!$H:$H)</f>
        <v>Lepomis</v>
      </c>
      <c r="F3272" t="str">
        <f>_xlfn.XLOOKUP(A3272,'[1]Tissue Data'!$A:$A,'[1]Tissue Data'!$I:$I)</f>
        <v>gibbosus</v>
      </c>
      <c r="G3272" t="str">
        <f>_xlfn.XLOOKUP(A3272,'[1]Tissue Data'!$A:$A,'[1]Tissue Data'!J:J)</f>
        <v>U</v>
      </c>
      <c r="H3272" t="str">
        <f>_xlfn.XLOOKUP(A3272,'[1]Tissue Data'!$A:$A,'[1]Tissue Data'!K:K)</f>
        <v>Whole Body</v>
      </c>
      <c r="I3272">
        <f>_xlfn.XLOOKUP(A3272,'[1]Tissue Data'!$A:$A,'[1]Tissue Data'!L:L)</f>
        <v>9</v>
      </c>
      <c r="J3272">
        <f>_xlfn.XLOOKUP(A3272,'[1]Tissue Data'!$A:$A,'[1]Tissue Data'!M:M)</f>
        <v>8.4499999999999993</v>
      </c>
      <c r="K3272" t="s">
        <v>32</v>
      </c>
      <c r="L3272" t="str">
        <f>_xlfn.XLOOKUP(K3272,[2]analyte_order!$B:$B,[2]analyte_order!$C:$C)</f>
        <v>79780-39-5</v>
      </c>
      <c r="M3272">
        <f>_xlfn.XLOOKUP(L3272,[2]analyte_order!$C:$C,[2]analyte_order!$E:$E)</f>
        <v>21</v>
      </c>
      <c r="N3272">
        <v>0.23849999999999999</v>
      </c>
    </row>
    <row r="3273" spans="1:14">
      <c r="A3273" t="s">
        <v>237</v>
      </c>
      <c r="B3273" t="str">
        <f>_xlfn.XLOOKUP(A3273,'[1]Tissue Data'!$A:$A,'[1]Tissue Data'!$C:$C)</f>
        <v>Down</v>
      </c>
      <c r="C3273" s="2">
        <f>_xlfn.XLOOKUP(A3273,'[1]Tissue Data'!$A:$A,'[1]Tissue Data'!$D:$D)</f>
        <v>44314</v>
      </c>
      <c r="D3273" s="2" t="str">
        <f>_xlfn.XLOOKUP(A3273,'[1]Tissue Data'!$A:$A,'[1]Tissue Data'!$F:$F)</f>
        <v>Pumpkinseed</v>
      </c>
      <c r="E3273" t="str">
        <f>_xlfn.XLOOKUP(A3273,'[1]Tissue Data'!$A:$A,'[1]Tissue Data'!$H:$H)</f>
        <v>Lepomis</v>
      </c>
      <c r="F3273" t="str">
        <f>_xlfn.XLOOKUP(A3273,'[1]Tissue Data'!$A:$A,'[1]Tissue Data'!$I:$I)</f>
        <v>gibbosus</v>
      </c>
      <c r="G3273" t="str">
        <f>_xlfn.XLOOKUP(A3273,'[1]Tissue Data'!$A:$A,'[1]Tissue Data'!J:J)</f>
        <v>U</v>
      </c>
      <c r="H3273" t="str">
        <f>_xlfn.XLOOKUP(A3273,'[1]Tissue Data'!$A:$A,'[1]Tissue Data'!K:K)</f>
        <v>Whole Body</v>
      </c>
      <c r="I3273">
        <f>_xlfn.XLOOKUP(A3273,'[1]Tissue Data'!$A:$A,'[1]Tissue Data'!L:L)</f>
        <v>9</v>
      </c>
      <c r="J3273">
        <f>_xlfn.XLOOKUP(A3273,'[1]Tissue Data'!$A:$A,'[1]Tissue Data'!M:M)</f>
        <v>8.4499999999999993</v>
      </c>
      <c r="K3273" t="s">
        <v>33</v>
      </c>
      <c r="L3273" t="str">
        <f>_xlfn.XLOOKUP(K3273,[2]analyte_order!$B:$B,[2]analyte_order!$C:$C)</f>
        <v>777011-38-8</v>
      </c>
      <c r="M3273">
        <f>_xlfn.XLOOKUP(L3273,[2]analyte_order!$C:$C,[2]analyte_order!$E:$E)</f>
        <v>54</v>
      </c>
      <c r="N3273">
        <v>0.13550000000000001</v>
      </c>
    </row>
    <row r="3274" spans="1:14">
      <c r="A3274" t="s">
        <v>237</v>
      </c>
      <c r="B3274" t="str">
        <f>_xlfn.XLOOKUP(A3274,'[1]Tissue Data'!$A:$A,'[1]Tissue Data'!$C:$C)</f>
        <v>Down</v>
      </c>
      <c r="C3274" s="2">
        <f>_xlfn.XLOOKUP(A3274,'[1]Tissue Data'!$A:$A,'[1]Tissue Data'!$D:$D)</f>
        <v>44314</v>
      </c>
      <c r="D3274" s="2" t="str">
        <f>_xlfn.XLOOKUP(A3274,'[1]Tissue Data'!$A:$A,'[1]Tissue Data'!$F:$F)</f>
        <v>Pumpkinseed</v>
      </c>
      <c r="E3274" t="str">
        <f>_xlfn.XLOOKUP(A3274,'[1]Tissue Data'!$A:$A,'[1]Tissue Data'!$H:$H)</f>
        <v>Lepomis</v>
      </c>
      <c r="F3274" t="str">
        <f>_xlfn.XLOOKUP(A3274,'[1]Tissue Data'!$A:$A,'[1]Tissue Data'!$I:$I)</f>
        <v>gibbosus</v>
      </c>
      <c r="G3274" t="str">
        <f>_xlfn.XLOOKUP(A3274,'[1]Tissue Data'!$A:$A,'[1]Tissue Data'!J:J)</f>
        <v>U</v>
      </c>
      <c r="H3274" t="str">
        <f>_xlfn.XLOOKUP(A3274,'[1]Tissue Data'!$A:$A,'[1]Tissue Data'!K:K)</f>
        <v>Whole Body</v>
      </c>
      <c r="I3274">
        <f>_xlfn.XLOOKUP(A3274,'[1]Tissue Data'!$A:$A,'[1]Tissue Data'!L:L)</f>
        <v>9</v>
      </c>
      <c r="J3274">
        <f>_xlfn.XLOOKUP(A3274,'[1]Tissue Data'!$A:$A,'[1]Tissue Data'!M:M)</f>
        <v>8.4499999999999993</v>
      </c>
      <c r="K3274" t="s">
        <v>34</v>
      </c>
      <c r="L3274" t="str">
        <f>_xlfn.XLOOKUP(K3274,[2]analyte_order!$B:$B,[2]analyte_order!$C:$C)</f>
        <v>646-83-3</v>
      </c>
      <c r="M3274">
        <f>_xlfn.XLOOKUP(L3274,[2]analyte_order!$C:$C,[2]analyte_order!$E:$E)</f>
        <v>55</v>
      </c>
      <c r="N3274">
        <v>8.8999999999999996E-2</v>
      </c>
    </row>
    <row r="3275" spans="1:14">
      <c r="A3275" t="s">
        <v>237</v>
      </c>
      <c r="B3275" t="str">
        <f>_xlfn.XLOOKUP(A3275,'[1]Tissue Data'!$A:$A,'[1]Tissue Data'!$C:$C)</f>
        <v>Down</v>
      </c>
      <c r="C3275" s="2">
        <f>_xlfn.XLOOKUP(A3275,'[1]Tissue Data'!$A:$A,'[1]Tissue Data'!$D:$D)</f>
        <v>44314</v>
      </c>
      <c r="D3275" s="2" t="str">
        <f>_xlfn.XLOOKUP(A3275,'[1]Tissue Data'!$A:$A,'[1]Tissue Data'!$F:$F)</f>
        <v>Pumpkinseed</v>
      </c>
      <c r="E3275" t="str">
        <f>_xlfn.XLOOKUP(A3275,'[1]Tissue Data'!$A:$A,'[1]Tissue Data'!$H:$H)</f>
        <v>Lepomis</v>
      </c>
      <c r="F3275" t="str">
        <f>_xlfn.XLOOKUP(A3275,'[1]Tissue Data'!$A:$A,'[1]Tissue Data'!$I:$I)</f>
        <v>gibbosus</v>
      </c>
      <c r="G3275" t="str">
        <f>_xlfn.XLOOKUP(A3275,'[1]Tissue Data'!$A:$A,'[1]Tissue Data'!J:J)</f>
        <v>U</v>
      </c>
      <c r="H3275" t="str">
        <f>_xlfn.XLOOKUP(A3275,'[1]Tissue Data'!$A:$A,'[1]Tissue Data'!K:K)</f>
        <v>Whole Body</v>
      </c>
      <c r="I3275">
        <f>_xlfn.XLOOKUP(A3275,'[1]Tissue Data'!$A:$A,'[1]Tissue Data'!L:L)</f>
        <v>9</v>
      </c>
      <c r="J3275">
        <f>_xlfn.XLOOKUP(A3275,'[1]Tissue Data'!$A:$A,'[1]Tissue Data'!M:M)</f>
        <v>8.4499999999999993</v>
      </c>
      <c r="K3275" t="s">
        <v>35</v>
      </c>
      <c r="L3275" t="str">
        <f>_xlfn.XLOOKUP(K3275,[2]analyte_order!$B:$B,[2]analyte_order!$C:$C)</f>
        <v>30334-69-1</v>
      </c>
      <c r="M3275">
        <f>_xlfn.XLOOKUP(L3275,[2]analyte_order!$C:$C,[2]analyte_order!$E:$E)</f>
        <v>51</v>
      </c>
      <c r="N3275">
        <v>37.6</v>
      </c>
    </row>
    <row r="3276" spans="1:14">
      <c r="A3276" t="s">
        <v>237</v>
      </c>
      <c r="B3276" t="str">
        <f>_xlfn.XLOOKUP(A3276,'[1]Tissue Data'!$A:$A,'[1]Tissue Data'!$C:$C)</f>
        <v>Down</v>
      </c>
      <c r="C3276" s="2">
        <f>_xlfn.XLOOKUP(A3276,'[1]Tissue Data'!$A:$A,'[1]Tissue Data'!$D:$D)</f>
        <v>44314</v>
      </c>
      <c r="D3276" s="2" t="str">
        <f>_xlfn.XLOOKUP(A3276,'[1]Tissue Data'!$A:$A,'[1]Tissue Data'!$F:$F)</f>
        <v>Pumpkinseed</v>
      </c>
      <c r="E3276" t="str">
        <f>_xlfn.XLOOKUP(A3276,'[1]Tissue Data'!$A:$A,'[1]Tissue Data'!$H:$H)</f>
        <v>Lepomis</v>
      </c>
      <c r="F3276" t="str">
        <f>_xlfn.XLOOKUP(A3276,'[1]Tissue Data'!$A:$A,'[1]Tissue Data'!$I:$I)</f>
        <v>gibbosus</v>
      </c>
      <c r="G3276" t="str">
        <f>_xlfn.XLOOKUP(A3276,'[1]Tissue Data'!$A:$A,'[1]Tissue Data'!J:J)</f>
        <v>U</v>
      </c>
      <c r="H3276" t="str">
        <f>_xlfn.XLOOKUP(A3276,'[1]Tissue Data'!$A:$A,'[1]Tissue Data'!K:K)</f>
        <v>Whole Body</v>
      </c>
      <c r="I3276">
        <f>_xlfn.XLOOKUP(A3276,'[1]Tissue Data'!$A:$A,'[1]Tissue Data'!L:L)</f>
        <v>9</v>
      </c>
      <c r="J3276">
        <f>_xlfn.XLOOKUP(A3276,'[1]Tissue Data'!$A:$A,'[1]Tissue Data'!M:M)</f>
        <v>8.4499999999999993</v>
      </c>
      <c r="K3276" t="s">
        <v>36</v>
      </c>
      <c r="L3276" t="str">
        <f>_xlfn.XLOOKUP(K3276,[2]analyte_order!$B:$B,[2]analyte_order!$C:$C)</f>
        <v>41997-13-1</v>
      </c>
      <c r="M3276">
        <f>_xlfn.XLOOKUP(L3276,[2]analyte_order!$C:$C,[2]analyte_order!$E:$E)</f>
        <v>52</v>
      </c>
      <c r="N3276">
        <v>61.3</v>
      </c>
    </row>
    <row r="3277" spans="1:14">
      <c r="A3277" t="s">
        <v>237</v>
      </c>
      <c r="B3277" t="str">
        <f>_xlfn.XLOOKUP(A3277,'[1]Tissue Data'!$A:$A,'[1]Tissue Data'!$C:$C)</f>
        <v>Down</v>
      </c>
      <c r="C3277" s="2">
        <f>_xlfn.XLOOKUP(A3277,'[1]Tissue Data'!$A:$A,'[1]Tissue Data'!$D:$D)</f>
        <v>44314</v>
      </c>
      <c r="D3277" s="2" t="str">
        <f>_xlfn.XLOOKUP(A3277,'[1]Tissue Data'!$A:$A,'[1]Tissue Data'!$F:$F)</f>
        <v>Pumpkinseed</v>
      </c>
      <c r="E3277" t="str">
        <f>_xlfn.XLOOKUP(A3277,'[1]Tissue Data'!$A:$A,'[1]Tissue Data'!$H:$H)</f>
        <v>Lepomis</v>
      </c>
      <c r="F3277" t="str">
        <f>_xlfn.XLOOKUP(A3277,'[1]Tissue Data'!$A:$A,'[1]Tissue Data'!$I:$I)</f>
        <v>gibbosus</v>
      </c>
      <c r="G3277" t="str">
        <f>_xlfn.XLOOKUP(A3277,'[1]Tissue Data'!$A:$A,'[1]Tissue Data'!J:J)</f>
        <v>U</v>
      </c>
      <c r="H3277" t="str">
        <f>_xlfn.XLOOKUP(A3277,'[1]Tissue Data'!$A:$A,'[1]Tissue Data'!K:K)</f>
        <v>Whole Body</v>
      </c>
      <c r="I3277">
        <f>_xlfn.XLOOKUP(A3277,'[1]Tissue Data'!$A:$A,'[1]Tissue Data'!L:L)</f>
        <v>9</v>
      </c>
      <c r="J3277">
        <f>_xlfn.XLOOKUP(A3277,'[1]Tissue Data'!$A:$A,'[1]Tissue Data'!M:M)</f>
        <v>8.4499999999999993</v>
      </c>
      <c r="K3277" t="s">
        <v>37</v>
      </c>
      <c r="L3277" t="str">
        <f>_xlfn.XLOOKUP(K3277,[2]analyte_order!$B:$B,[2]analyte_order!$C:$C)</f>
        <v>754-91-6</v>
      </c>
      <c r="M3277">
        <f>_xlfn.XLOOKUP(L3277,[2]analyte_order!$C:$C,[2]analyte_order!$E:$E)</f>
        <v>28</v>
      </c>
      <c r="N3277">
        <v>21.6</v>
      </c>
    </row>
    <row r="3278" spans="1:14">
      <c r="A3278" t="s">
        <v>237</v>
      </c>
      <c r="B3278" t="str">
        <f>_xlfn.XLOOKUP(A3278,'[1]Tissue Data'!$A:$A,'[1]Tissue Data'!$C:$C)</f>
        <v>Down</v>
      </c>
      <c r="C3278" s="2">
        <f>_xlfn.XLOOKUP(A3278,'[1]Tissue Data'!$A:$A,'[1]Tissue Data'!$D:$D)</f>
        <v>44314</v>
      </c>
      <c r="D3278" s="2" t="str">
        <f>_xlfn.XLOOKUP(A3278,'[1]Tissue Data'!$A:$A,'[1]Tissue Data'!$F:$F)</f>
        <v>Pumpkinseed</v>
      </c>
      <c r="E3278" t="str">
        <f>_xlfn.XLOOKUP(A3278,'[1]Tissue Data'!$A:$A,'[1]Tissue Data'!$H:$H)</f>
        <v>Lepomis</v>
      </c>
      <c r="F3278" t="str">
        <f>_xlfn.XLOOKUP(A3278,'[1]Tissue Data'!$A:$A,'[1]Tissue Data'!$I:$I)</f>
        <v>gibbosus</v>
      </c>
      <c r="G3278" t="str">
        <f>_xlfn.XLOOKUP(A3278,'[1]Tissue Data'!$A:$A,'[1]Tissue Data'!J:J)</f>
        <v>U</v>
      </c>
      <c r="H3278" t="str">
        <f>_xlfn.XLOOKUP(A3278,'[1]Tissue Data'!$A:$A,'[1]Tissue Data'!K:K)</f>
        <v>Whole Body</v>
      </c>
      <c r="I3278">
        <f>_xlfn.XLOOKUP(A3278,'[1]Tissue Data'!$A:$A,'[1]Tissue Data'!L:L)</f>
        <v>9</v>
      </c>
      <c r="J3278">
        <f>_xlfn.XLOOKUP(A3278,'[1]Tissue Data'!$A:$A,'[1]Tissue Data'!M:M)</f>
        <v>8.4499999999999993</v>
      </c>
      <c r="K3278" t="s">
        <v>38</v>
      </c>
      <c r="L3278" t="str">
        <f>_xlfn.XLOOKUP(K3278,[2]analyte_order!$B:$B,[2]analyte_order!$C:$C)</f>
        <v>31506-32-8</v>
      </c>
      <c r="M3278">
        <f>_xlfn.XLOOKUP(L3278,[2]analyte_order!$C:$C,[2]analyte_order!$E:$E)</f>
        <v>30</v>
      </c>
      <c r="N3278">
        <v>5.1999999999999998E-2</v>
      </c>
    </row>
    <row r="3279" spans="1:14">
      <c r="A3279" t="s">
        <v>237</v>
      </c>
      <c r="B3279" t="str">
        <f>_xlfn.XLOOKUP(A3279,'[1]Tissue Data'!$A:$A,'[1]Tissue Data'!$C:$C)</f>
        <v>Down</v>
      </c>
      <c r="C3279" s="2">
        <f>_xlfn.XLOOKUP(A3279,'[1]Tissue Data'!$A:$A,'[1]Tissue Data'!$D:$D)</f>
        <v>44314</v>
      </c>
      <c r="D3279" s="2" t="str">
        <f>_xlfn.XLOOKUP(A3279,'[1]Tissue Data'!$A:$A,'[1]Tissue Data'!$F:$F)</f>
        <v>Pumpkinseed</v>
      </c>
      <c r="E3279" t="str">
        <f>_xlfn.XLOOKUP(A3279,'[1]Tissue Data'!$A:$A,'[1]Tissue Data'!$H:$H)</f>
        <v>Lepomis</v>
      </c>
      <c r="F3279" t="str">
        <f>_xlfn.XLOOKUP(A3279,'[1]Tissue Data'!$A:$A,'[1]Tissue Data'!$I:$I)</f>
        <v>gibbosus</v>
      </c>
      <c r="G3279" t="str">
        <f>_xlfn.XLOOKUP(A3279,'[1]Tissue Data'!$A:$A,'[1]Tissue Data'!J:J)</f>
        <v>U</v>
      </c>
      <c r="H3279" t="str">
        <f>_xlfn.XLOOKUP(A3279,'[1]Tissue Data'!$A:$A,'[1]Tissue Data'!K:K)</f>
        <v>Whole Body</v>
      </c>
      <c r="I3279">
        <f>_xlfn.XLOOKUP(A3279,'[1]Tissue Data'!$A:$A,'[1]Tissue Data'!L:L)</f>
        <v>9</v>
      </c>
      <c r="J3279">
        <f>_xlfn.XLOOKUP(A3279,'[1]Tissue Data'!$A:$A,'[1]Tissue Data'!M:M)</f>
        <v>8.4499999999999993</v>
      </c>
      <c r="K3279" t="s">
        <v>39</v>
      </c>
      <c r="L3279" t="str">
        <f>_xlfn.XLOOKUP(K3279,[2]analyte_order!$B:$B,[2]analyte_order!$C:$C)</f>
        <v>4151-50-2</v>
      </c>
      <c r="M3279">
        <f>_xlfn.XLOOKUP(L3279,[2]analyte_order!$C:$C,[2]analyte_order!$E:$E)</f>
        <v>31</v>
      </c>
      <c r="N3279">
        <v>7.9000000000000001E-2</v>
      </c>
    </row>
    <row r="3280" spans="1:14">
      <c r="A3280" t="s">
        <v>237</v>
      </c>
      <c r="B3280" t="str">
        <f>_xlfn.XLOOKUP(A3280,'[1]Tissue Data'!$A:$A,'[1]Tissue Data'!$C:$C)</f>
        <v>Down</v>
      </c>
      <c r="C3280" s="2">
        <f>_xlfn.XLOOKUP(A3280,'[1]Tissue Data'!$A:$A,'[1]Tissue Data'!$D:$D)</f>
        <v>44314</v>
      </c>
      <c r="D3280" s="2" t="str">
        <f>_xlfn.XLOOKUP(A3280,'[1]Tissue Data'!$A:$A,'[1]Tissue Data'!$F:$F)</f>
        <v>Pumpkinseed</v>
      </c>
      <c r="E3280" t="str">
        <f>_xlfn.XLOOKUP(A3280,'[1]Tissue Data'!$A:$A,'[1]Tissue Data'!$H:$H)</f>
        <v>Lepomis</v>
      </c>
      <c r="F3280" t="str">
        <f>_xlfn.XLOOKUP(A3280,'[1]Tissue Data'!$A:$A,'[1]Tissue Data'!$I:$I)</f>
        <v>gibbosus</v>
      </c>
      <c r="G3280" t="str">
        <f>_xlfn.XLOOKUP(A3280,'[1]Tissue Data'!$A:$A,'[1]Tissue Data'!J:J)</f>
        <v>U</v>
      </c>
      <c r="H3280" t="str">
        <f>_xlfn.XLOOKUP(A3280,'[1]Tissue Data'!$A:$A,'[1]Tissue Data'!K:K)</f>
        <v>Whole Body</v>
      </c>
      <c r="I3280">
        <f>_xlfn.XLOOKUP(A3280,'[1]Tissue Data'!$A:$A,'[1]Tissue Data'!L:L)</f>
        <v>9</v>
      </c>
      <c r="J3280">
        <f>_xlfn.XLOOKUP(A3280,'[1]Tissue Data'!$A:$A,'[1]Tissue Data'!M:M)</f>
        <v>8.4499999999999993</v>
      </c>
      <c r="K3280" t="s">
        <v>40</v>
      </c>
      <c r="L3280" t="str">
        <f>_xlfn.XLOOKUP(K3280,[2]analyte_order!$B:$B,[2]analyte_order!$C:$C)</f>
        <v>2806-24-8</v>
      </c>
      <c r="M3280">
        <f>_xlfn.XLOOKUP(L3280,[2]analyte_order!$C:$C,[2]analyte_order!$E:$E)</f>
        <v>29</v>
      </c>
      <c r="N3280">
        <v>5.2999999999999999E-2</v>
      </c>
    </row>
    <row r="3281" spans="1:14">
      <c r="A3281" t="s">
        <v>237</v>
      </c>
      <c r="B3281" t="str">
        <f>_xlfn.XLOOKUP(A3281,'[1]Tissue Data'!$A:$A,'[1]Tissue Data'!$C:$C)</f>
        <v>Down</v>
      </c>
      <c r="C3281" s="2">
        <f>_xlfn.XLOOKUP(A3281,'[1]Tissue Data'!$A:$A,'[1]Tissue Data'!$D:$D)</f>
        <v>44314</v>
      </c>
      <c r="D3281" s="2" t="str">
        <f>_xlfn.XLOOKUP(A3281,'[1]Tissue Data'!$A:$A,'[1]Tissue Data'!$F:$F)</f>
        <v>Pumpkinseed</v>
      </c>
      <c r="E3281" t="str">
        <f>_xlfn.XLOOKUP(A3281,'[1]Tissue Data'!$A:$A,'[1]Tissue Data'!$H:$H)</f>
        <v>Lepomis</v>
      </c>
      <c r="F3281" t="str">
        <f>_xlfn.XLOOKUP(A3281,'[1]Tissue Data'!$A:$A,'[1]Tissue Data'!$I:$I)</f>
        <v>gibbosus</v>
      </c>
      <c r="G3281" t="str">
        <f>_xlfn.XLOOKUP(A3281,'[1]Tissue Data'!$A:$A,'[1]Tissue Data'!J:J)</f>
        <v>U</v>
      </c>
      <c r="H3281" t="str">
        <f>_xlfn.XLOOKUP(A3281,'[1]Tissue Data'!$A:$A,'[1]Tissue Data'!K:K)</f>
        <v>Whole Body</v>
      </c>
      <c r="I3281">
        <f>_xlfn.XLOOKUP(A3281,'[1]Tissue Data'!$A:$A,'[1]Tissue Data'!L:L)</f>
        <v>9</v>
      </c>
      <c r="J3281">
        <f>_xlfn.XLOOKUP(A3281,'[1]Tissue Data'!$A:$A,'[1]Tissue Data'!M:M)</f>
        <v>8.4499999999999993</v>
      </c>
      <c r="K3281" t="s">
        <v>41</v>
      </c>
      <c r="L3281" t="str">
        <f>_xlfn.XLOOKUP(K3281,[2]analyte_order!$B:$B,[2]analyte_order!$C:$C)</f>
        <v>2355-31-9</v>
      </c>
      <c r="M3281">
        <f>_xlfn.XLOOKUP(L3281,[2]analyte_order!$C:$C,[2]analyte_order!$E:$E)</f>
        <v>26</v>
      </c>
      <c r="N3281">
        <v>0.224</v>
      </c>
    </row>
    <row r="3282" spans="1:14">
      <c r="A3282" t="s">
        <v>237</v>
      </c>
      <c r="B3282" t="str">
        <f>_xlfn.XLOOKUP(A3282,'[1]Tissue Data'!$A:$A,'[1]Tissue Data'!$C:$C)</f>
        <v>Down</v>
      </c>
      <c r="C3282" s="2">
        <f>_xlfn.XLOOKUP(A3282,'[1]Tissue Data'!$A:$A,'[1]Tissue Data'!$D:$D)</f>
        <v>44314</v>
      </c>
      <c r="D3282" s="2" t="str">
        <f>_xlfn.XLOOKUP(A3282,'[1]Tissue Data'!$A:$A,'[1]Tissue Data'!$F:$F)</f>
        <v>Pumpkinseed</v>
      </c>
      <c r="E3282" t="str">
        <f>_xlfn.XLOOKUP(A3282,'[1]Tissue Data'!$A:$A,'[1]Tissue Data'!$H:$H)</f>
        <v>Lepomis</v>
      </c>
      <c r="F3282" t="str">
        <f>_xlfn.XLOOKUP(A3282,'[1]Tissue Data'!$A:$A,'[1]Tissue Data'!$I:$I)</f>
        <v>gibbosus</v>
      </c>
      <c r="G3282" t="str">
        <f>_xlfn.XLOOKUP(A3282,'[1]Tissue Data'!$A:$A,'[1]Tissue Data'!J:J)</f>
        <v>U</v>
      </c>
      <c r="H3282" t="str">
        <f>_xlfn.XLOOKUP(A3282,'[1]Tissue Data'!$A:$A,'[1]Tissue Data'!K:K)</f>
        <v>Whole Body</v>
      </c>
      <c r="I3282">
        <f>_xlfn.XLOOKUP(A3282,'[1]Tissue Data'!$A:$A,'[1]Tissue Data'!L:L)</f>
        <v>9</v>
      </c>
      <c r="J3282">
        <f>_xlfn.XLOOKUP(A3282,'[1]Tissue Data'!$A:$A,'[1]Tissue Data'!M:M)</f>
        <v>8.4499999999999993</v>
      </c>
      <c r="K3282" t="s">
        <v>42</v>
      </c>
      <c r="L3282" t="str">
        <f>_xlfn.XLOOKUP(K3282,[2]analyte_order!$B:$B,[2]analyte_order!$C:$C)</f>
        <v>2991-50-6</v>
      </c>
      <c r="M3282">
        <f>_xlfn.XLOOKUP(L3282,[2]analyte_order!$C:$C,[2]analyte_order!$E:$E)</f>
        <v>27</v>
      </c>
      <c r="N3282">
        <v>5.8500000000000003E-2</v>
      </c>
    </row>
    <row r="3283" spans="1:14">
      <c r="A3283" t="s">
        <v>237</v>
      </c>
      <c r="B3283" t="str">
        <f>_xlfn.XLOOKUP(A3283,'[1]Tissue Data'!$A:$A,'[1]Tissue Data'!$C:$C)</f>
        <v>Down</v>
      </c>
      <c r="C3283" s="2">
        <f>_xlfn.XLOOKUP(A3283,'[1]Tissue Data'!$A:$A,'[1]Tissue Data'!$D:$D)</f>
        <v>44314</v>
      </c>
      <c r="D3283" s="2" t="str">
        <f>_xlfn.XLOOKUP(A3283,'[1]Tissue Data'!$A:$A,'[1]Tissue Data'!$F:$F)</f>
        <v>Pumpkinseed</v>
      </c>
      <c r="E3283" t="str">
        <f>_xlfn.XLOOKUP(A3283,'[1]Tissue Data'!$A:$A,'[1]Tissue Data'!$H:$H)</f>
        <v>Lepomis</v>
      </c>
      <c r="F3283" t="str">
        <f>_xlfn.XLOOKUP(A3283,'[1]Tissue Data'!$A:$A,'[1]Tissue Data'!$I:$I)</f>
        <v>gibbosus</v>
      </c>
      <c r="G3283" t="str">
        <f>_xlfn.XLOOKUP(A3283,'[1]Tissue Data'!$A:$A,'[1]Tissue Data'!J:J)</f>
        <v>U</v>
      </c>
      <c r="H3283" t="str">
        <f>_xlfn.XLOOKUP(A3283,'[1]Tissue Data'!$A:$A,'[1]Tissue Data'!K:K)</f>
        <v>Whole Body</v>
      </c>
      <c r="I3283">
        <f>_xlfn.XLOOKUP(A3283,'[1]Tissue Data'!$A:$A,'[1]Tissue Data'!L:L)</f>
        <v>9</v>
      </c>
      <c r="J3283">
        <f>_xlfn.XLOOKUP(A3283,'[1]Tissue Data'!$A:$A,'[1]Tissue Data'!M:M)</f>
        <v>8.4499999999999993</v>
      </c>
      <c r="K3283" t="s">
        <v>43</v>
      </c>
      <c r="L3283" t="str">
        <f>_xlfn.XLOOKUP(K3283,[2]analyte_order!$B:$B,[2]analyte_order!$C:$C)</f>
        <v>757124-72-4</v>
      </c>
      <c r="M3283">
        <f>_xlfn.XLOOKUP(L3283,[2]analyte_order!$C:$C,[2]analyte_order!$E:$E)</f>
        <v>22</v>
      </c>
      <c r="N3283">
        <v>5.5500000000000001E-2</v>
      </c>
    </row>
    <row r="3284" spans="1:14">
      <c r="A3284" t="s">
        <v>237</v>
      </c>
      <c r="B3284" t="str">
        <f>_xlfn.XLOOKUP(A3284,'[1]Tissue Data'!$A:$A,'[1]Tissue Data'!$C:$C)</f>
        <v>Down</v>
      </c>
      <c r="C3284" s="2">
        <f>_xlfn.XLOOKUP(A3284,'[1]Tissue Data'!$A:$A,'[1]Tissue Data'!$D:$D)</f>
        <v>44314</v>
      </c>
      <c r="D3284" s="2" t="str">
        <f>_xlfn.XLOOKUP(A3284,'[1]Tissue Data'!$A:$A,'[1]Tissue Data'!$F:$F)</f>
        <v>Pumpkinseed</v>
      </c>
      <c r="E3284" t="str">
        <f>_xlfn.XLOOKUP(A3284,'[1]Tissue Data'!$A:$A,'[1]Tissue Data'!$H:$H)</f>
        <v>Lepomis</v>
      </c>
      <c r="F3284" t="str">
        <f>_xlfn.XLOOKUP(A3284,'[1]Tissue Data'!$A:$A,'[1]Tissue Data'!$I:$I)</f>
        <v>gibbosus</v>
      </c>
      <c r="G3284" t="str">
        <f>_xlfn.XLOOKUP(A3284,'[1]Tissue Data'!$A:$A,'[1]Tissue Data'!J:J)</f>
        <v>U</v>
      </c>
      <c r="H3284" t="str">
        <f>_xlfn.XLOOKUP(A3284,'[1]Tissue Data'!$A:$A,'[1]Tissue Data'!K:K)</f>
        <v>Whole Body</v>
      </c>
      <c r="I3284">
        <f>_xlfn.XLOOKUP(A3284,'[1]Tissue Data'!$A:$A,'[1]Tissue Data'!L:L)</f>
        <v>9</v>
      </c>
      <c r="J3284">
        <f>_xlfn.XLOOKUP(A3284,'[1]Tissue Data'!$A:$A,'[1]Tissue Data'!M:M)</f>
        <v>8.4499999999999993</v>
      </c>
      <c r="K3284" t="s">
        <v>44</v>
      </c>
      <c r="L3284" t="str">
        <f>_xlfn.XLOOKUP(K3284,[2]analyte_order!$B:$B,[2]analyte_order!$C:$C)</f>
        <v>27619-97-2</v>
      </c>
      <c r="M3284">
        <f>_xlfn.XLOOKUP(L3284,[2]analyte_order!$C:$C,[2]analyte_order!$E:$E)</f>
        <v>23</v>
      </c>
      <c r="N3284">
        <v>0.13450000000000001</v>
      </c>
    </row>
    <row r="3285" spans="1:14">
      <c r="A3285" t="s">
        <v>237</v>
      </c>
      <c r="B3285" t="str">
        <f>_xlfn.XLOOKUP(A3285,'[1]Tissue Data'!$A:$A,'[1]Tissue Data'!$C:$C)</f>
        <v>Down</v>
      </c>
      <c r="C3285" s="2">
        <f>_xlfn.XLOOKUP(A3285,'[1]Tissue Data'!$A:$A,'[1]Tissue Data'!$D:$D)</f>
        <v>44314</v>
      </c>
      <c r="D3285" s="2" t="str">
        <f>_xlfn.XLOOKUP(A3285,'[1]Tissue Data'!$A:$A,'[1]Tissue Data'!$F:$F)</f>
        <v>Pumpkinseed</v>
      </c>
      <c r="E3285" t="str">
        <f>_xlfn.XLOOKUP(A3285,'[1]Tissue Data'!$A:$A,'[1]Tissue Data'!$H:$H)</f>
        <v>Lepomis</v>
      </c>
      <c r="F3285" t="str">
        <f>_xlfn.XLOOKUP(A3285,'[1]Tissue Data'!$A:$A,'[1]Tissue Data'!$I:$I)</f>
        <v>gibbosus</v>
      </c>
      <c r="G3285" t="str">
        <f>_xlfn.XLOOKUP(A3285,'[1]Tissue Data'!$A:$A,'[1]Tissue Data'!J:J)</f>
        <v>U</v>
      </c>
      <c r="H3285" t="str">
        <f>_xlfn.XLOOKUP(A3285,'[1]Tissue Data'!$A:$A,'[1]Tissue Data'!K:K)</f>
        <v>Whole Body</v>
      </c>
      <c r="I3285">
        <f>_xlfn.XLOOKUP(A3285,'[1]Tissue Data'!$A:$A,'[1]Tissue Data'!L:L)</f>
        <v>9</v>
      </c>
      <c r="J3285">
        <f>_xlfn.XLOOKUP(A3285,'[1]Tissue Data'!$A:$A,'[1]Tissue Data'!M:M)</f>
        <v>8.4499999999999993</v>
      </c>
      <c r="K3285" t="s">
        <v>45</v>
      </c>
      <c r="L3285" t="str">
        <f>_xlfn.XLOOKUP(K3285,[2]analyte_order!$B:$B,[2]analyte_order!$C:$C)</f>
        <v>39108-34-4</v>
      </c>
      <c r="M3285">
        <f>_xlfn.XLOOKUP(L3285,[2]analyte_order!$C:$C,[2]analyte_order!$E:$E)</f>
        <v>24</v>
      </c>
      <c r="N3285">
        <v>0.94099999999999995</v>
      </c>
    </row>
    <row r="3286" spans="1:14">
      <c r="A3286" t="s">
        <v>237</v>
      </c>
      <c r="B3286" t="str">
        <f>_xlfn.XLOOKUP(A3286,'[1]Tissue Data'!$A:$A,'[1]Tissue Data'!$C:$C)</f>
        <v>Down</v>
      </c>
      <c r="C3286" s="2">
        <f>_xlfn.XLOOKUP(A3286,'[1]Tissue Data'!$A:$A,'[1]Tissue Data'!$D:$D)</f>
        <v>44314</v>
      </c>
      <c r="D3286" s="2" t="str">
        <f>_xlfn.XLOOKUP(A3286,'[1]Tissue Data'!$A:$A,'[1]Tissue Data'!$F:$F)</f>
        <v>Pumpkinseed</v>
      </c>
      <c r="E3286" t="str">
        <f>_xlfn.XLOOKUP(A3286,'[1]Tissue Data'!$A:$A,'[1]Tissue Data'!$H:$H)</f>
        <v>Lepomis</v>
      </c>
      <c r="F3286" t="str">
        <f>_xlfn.XLOOKUP(A3286,'[1]Tissue Data'!$A:$A,'[1]Tissue Data'!$I:$I)</f>
        <v>gibbosus</v>
      </c>
      <c r="G3286" t="str">
        <f>_xlfn.XLOOKUP(A3286,'[1]Tissue Data'!$A:$A,'[1]Tissue Data'!J:J)</f>
        <v>U</v>
      </c>
      <c r="H3286" t="str">
        <f>_xlfn.XLOOKUP(A3286,'[1]Tissue Data'!$A:$A,'[1]Tissue Data'!K:K)</f>
        <v>Whole Body</v>
      </c>
      <c r="I3286">
        <f>_xlfn.XLOOKUP(A3286,'[1]Tissue Data'!$A:$A,'[1]Tissue Data'!L:L)</f>
        <v>9</v>
      </c>
      <c r="J3286">
        <f>_xlfn.XLOOKUP(A3286,'[1]Tissue Data'!$A:$A,'[1]Tissue Data'!M:M)</f>
        <v>8.4499999999999993</v>
      </c>
      <c r="K3286" t="s">
        <v>46</v>
      </c>
      <c r="L3286" t="str">
        <f>_xlfn.XLOOKUP(K3286,[2]analyte_order!$B:$B,[2]analyte_order!$C:$C)</f>
        <v>120226-60-0</v>
      </c>
      <c r="M3286">
        <f>_xlfn.XLOOKUP(L3286,[2]analyte_order!$C:$C,[2]analyte_order!$E:$E)</f>
        <v>25</v>
      </c>
      <c r="N3286">
        <v>7.6499999999999999E-2</v>
      </c>
    </row>
    <row r="3287" spans="1:14">
      <c r="A3287" t="s">
        <v>237</v>
      </c>
      <c r="B3287" t="str">
        <f>_xlfn.XLOOKUP(A3287,'[1]Tissue Data'!$A:$A,'[1]Tissue Data'!$C:$C)</f>
        <v>Down</v>
      </c>
      <c r="C3287" s="2">
        <f>_xlfn.XLOOKUP(A3287,'[1]Tissue Data'!$A:$A,'[1]Tissue Data'!$D:$D)</f>
        <v>44314</v>
      </c>
      <c r="D3287" s="2" t="str">
        <f>_xlfn.XLOOKUP(A3287,'[1]Tissue Data'!$A:$A,'[1]Tissue Data'!$F:$F)</f>
        <v>Pumpkinseed</v>
      </c>
      <c r="E3287" t="str">
        <f>_xlfn.XLOOKUP(A3287,'[1]Tissue Data'!$A:$A,'[1]Tissue Data'!$H:$H)</f>
        <v>Lepomis</v>
      </c>
      <c r="F3287" t="str">
        <f>_xlfn.XLOOKUP(A3287,'[1]Tissue Data'!$A:$A,'[1]Tissue Data'!$I:$I)</f>
        <v>gibbosus</v>
      </c>
      <c r="G3287" t="str">
        <f>_xlfn.XLOOKUP(A3287,'[1]Tissue Data'!$A:$A,'[1]Tissue Data'!J:J)</f>
        <v>U</v>
      </c>
      <c r="H3287" t="str">
        <f>_xlfn.XLOOKUP(A3287,'[1]Tissue Data'!$A:$A,'[1]Tissue Data'!K:K)</f>
        <v>Whole Body</v>
      </c>
      <c r="I3287">
        <f>_xlfn.XLOOKUP(A3287,'[1]Tissue Data'!$A:$A,'[1]Tissue Data'!L:L)</f>
        <v>9</v>
      </c>
      <c r="J3287">
        <f>_xlfn.XLOOKUP(A3287,'[1]Tissue Data'!$A:$A,'[1]Tissue Data'!M:M)</f>
        <v>8.4499999999999993</v>
      </c>
      <c r="K3287" t="s">
        <v>47</v>
      </c>
      <c r="L3287" t="str">
        <f>_xlfn.XLOOKUP(K3287,[2]analyte_order!$B:$B,[2]analyte_order!$C:$C)</f>
        <v>356-02-5</v>
      </c>
      <c r="M3287">
        <f>_xlfn.XLOOKUP(L3287,[2]analyte_order!$C:$C,[2]analyte_order!$E:$E)</f>
        <v>38</v>
      </c>
      <c r="N3287">
        <v>7.8E-2</v>
      </c>
    </row>
    <row r="3288" spans="1:14">
      <c r="A3288" t="s">
        <v>237</v>
      </c>
      <c r="B3288" t="str">
        <f>_xlfn.XLOOKUP(A3288,'[1]Tissue Data'!$A:$A,'[1]Tissue Data'!$C:$C)</f>
        <v>Down</v>
      </c>
      <c r="C3288" s="2">
        <f>_xlfn.XLOOKUP(A3288,'[1]Tissue Data'!$A:$A,'[1]Tissue Data'!$D:$D)</f>
        <v>44314</v>
      </c>
      <c r="D3288" s="2" t="str">
        <f>_xlfn.XLOOKUP(A3288,'[1]Tissue Data'!$A:$A,'[1]Tissue Data'!$F:$F)</f>
        <v>Pumpkinseed</v>
      </c>
      <c r="E3288" t="str">
        <f>_xlfn.XLOOKUP(A3288,'[1]Tissue Data'!$A:$A,'[1]Tissue Data'!$H:$H)</f>
        <v>Lepomis</v>
      </c>
      <c r="F3288" t="str">
        <f>_xlfn.XLOOKUP(A3288,'[1]Tissue Data'!$A:$A,'[1]Tissue Data'!$I:$I)</f>
        <v>gibbosus</v>
      </c>
      <c r="G3288" t="str">
        <f>_xlfn.XLOOKUP(A3288,'[1]Tissue Data'!$A:$A,'[1]Tissue Data'!J:J)</f>
        <v>U</v>
      </c>
      <c r="H3288" t="str">
        <f>_xlfn.XLOOKUP(A3288,'[1]Tissue Data'!$A:$A,'[1]Tissue Data'!K:K)</f>
        <v>Whole Body</v>
      </c>
      <c r="I3288">
        <f>_xlfn.XLOOKUP(A3288,'[1]Tissue Data'!$A:$A,'[1]Tissue Data'!L:L)</f>
        <v>9</v>
      </c>
      <c r="J3288">
        <f>_xlfn.XLOOKUP(A3288,'[1]Tissue Data'!$A:$A,'[1]Tissue Data'!M:M)</f>
        <v>8.4499999999999993</v>
      </c>
      <c r="K3288" t="s">
        <v>48</v>
      </c>
      <c r="L3288" t="str">
        <f>_xlfn.XLOOKUP(K3288,[2]analyte_order!$B:$B,[2]analyte_order!$C:$C)</f>
        <v>914637-49-3</v>
      </c>
      <c r="M3288">
        <f>_xlfn.XLOOKUP(L3288,[2]analyte_order!$C:$C,[2]analyte_order!$E:$E)</f>
        <v>39</v>
      </c>
      <c r="N3288">
        <v>0.879</v>
      </c>
    </row>
    <row r="3289" spans="1:14">
      <c r="A3289" t="s">
        <v>237</v>
      </c>
      <c r="B3289" t="str">
        <f>_xlfn.XLOOKUP(A3289,'[1]Tissue Data'!$A:$A,'[1]Tissue Data'!$C:$C)</f>
        <v>Down</v>
      </c>
      <c r="C3289" s="2">
        <f>_xlfn.XLOOKUP(A3289,'[1]Tissue Data'!$A:$A,'[1]Tissue Data'!$D:$D)</f>
        <v>44314</v>
      </c>
      <c r="D3289" s="2" t="str">
        <f>_xlfn.XLOOKUP(A3289,'[1]Tissue Data'!$A:$A,'[1]Tissue Data'!$F:$F)</f>
        <v>Pumpkinseed</v>
      </c>
      <c r="E3289" t="str">
        <f>_xlfn.XLOOKUP(A3289,'[1]Tissue Data'!$A:$A,'[1]Tissue Data'!$H:$H)</f>
        <v>Lepomis</v>
      </c>
      <c r="F3289" t="str">
        <f>_xlfn.XLOOKUP(A3289,'[1]Tissue Data'!$A:$A,'[1]Tissue Data'!$I:$I)</f>
        <v>gibbosus</v>
      </c>
      <c r="G3289" t="str">
        <f>_xlfn.XLOOKUP(A3289,'[1]Tissue Data'!$A:$A,'[1]Tissue Data'!J:J)</f>
        <v>U</v>
      </c>
      <c r="H3289" t="str">
        <f>_xlfn.XLOOKUP(A3289,'[1]Tissue Data'!$A:$A,'[1]Tissue Data'!K:K)</f>
        <v>Whole Body</v>
      </c>
      <c r="I3289">
        <f>_xlfn.XLOOKUP(A3289,'[1]Tissue Data'!$A:$A,'[1]Tissue Data'!L:L)</f>
        <v>9</v>
      </c>
      <c r="J3289">
        <f>_xlfn.XLOOKUP(A3289,'[1]Tissue Data'!$A:$A,'[1]Tissue Data'!M:M)</f>
        <v>8.4499999999999993</v>
      </c>
      <c r="K3289" t="s">
        <v>49</v>
      </c>
      <c r="L3289" t="str">
        <f>_xlfn.XLOOKUP(K3289,[2]analyte_order!$B:$B,[2]analyte_order!$C:$C)</f>
        <v>812-70-4</v>
      </c>
      <c r="M3289">
        <f>_xlfn.XLOOKUP(L3289,[2]analyte_order!$C:$C,[2]analyte_order!$E:$E)</f>
        <v>40</v>
      </c>
      <c r="N3289">
        <v>1.98</v>
      </c>
    </row>
    <row r="3290" spans="1:14">
      <c r="A3290" t="s">
        <v>237</v>
      </c>
      <c r="B3290" t="str">
        <f>_xlfn.XLOOKUP(A3290,'[1]Tissue Data'!$A:$A,'[1]Tissue Data'!$C:$C)</f>
        <v>Down</v>
      </c>
      <c r="C3290" s="2">
        <f>_xlfn.XLOOKUP(A3290,'[1]Tissue Data'!$A:$A,'[1]Tissue Data'!$D:$D)</f>
        <v>44314</v>
      </c>
      <c r="D3290" s="2" t="str">
        <f>_xlfn.XLOOKUP(A3290,'[1]Tissue Data'!$A:$A,'[1]Tissue Data'!$F:$F)</f>
        <v>Pumpkinseed</v>
      </c>
      <c r="E3290" t="str">
        <f>_xlfn.XLOOKUP(A3290,'[1]Tissue Data'!$A:$A,'[1]Tissue Data'!$H:$H)</f>
        <v>Lepomis</v>
      </c>
      <c r="F3290" t="str">
        <f>_xlfn.XLOOKUP(A3290,'[1]Tissue Data'!$A:$A,'[1]Tissue Data'!$I:$I)</f>
        <v>gibbosus</v>
      </c>
      <c r="G3290" t="str">
        <f>_xlfn.XLOOKUP(A3290,'[1]Tissue Data'!$A:$A,'[1]Tissue Data'!J:J)</f>
        <v>U</v>
      </c>
      <c r="H3290" t="str">
        <f>_xlfn.XLOOKUP(A3290,'[1]Tissue Data'!$A:$A,'[1]Tissue Data'!K:K)</f>
        <v>Whole Body</v>
      </c>
      <c r="I3290">
        <f>_xlfn.XLOOKUP(A3290,'[1]Tissue Data'!$A:$A,'[1]Tissue Data'!L:L)</f>
        <v>9</v>
      </c>
      <c r="J3290">
        <f>_xlfn.XLOOKUP(A3290,'[1]Tissue Data'!$A:$A,'[1]Tissue Data'!M:M)</f>
        <v>8.4499999999999993</v>
      </c>
      <c r="K3290" t="s">
        <v>50</v>
      </c>
      <c r="L3290" t="str">
        <f>_xlfn.XLOOKUP(K3290,[2]analyte_order!$B:$B,[2]analyte_order!$C:$C)</f>
        <v>53826-12-3</v>
      </c>
      <c r="M3290">
        <f>_xlfn.XLOOKUP(L3290,[2]analyte_order!$C:$C,[2]analyte_order!$E:$E)</f>
        <v>41</v>
      </c>
      <c r="N3290">
        <v>4.335E-2</v>
      </c>
    </row>
    <row r="3291" spans="1:14">
      <c r="A3291" t="s">
        <v>237</v>
      </c>
      <c r="B3291" t="str">
        <f>_xlfn.XLOOKUP(A3291,'[1]Tissue Data'!$A:$A,'[1]Tissue Data'!$C:$C)</f>
        <v>Down</v>
      </c>
      <c r="C3291" s="2">
        <f>_xlfn.XLOOKUP(A3291,'[1]Tissue Data'!$A:$A,'[1]Tissue Data'!$D:$D)</f>
        <v>44314</v>
      </c>
      <c r="D3291" s="2" t="str">
        <f>_xlfn.XLOOKUP(A3291,'[1]Tissue Data'!$A:$A,'[1]Tissue Data'!$F:$F)</f>
        <v>Pumpkinseed</v>
      </c>
      <c r="E3291" t="str">
        <f>_xlfn.XLOOKUP(A3291,'[1]Tissue Data'!$A:$A,'[1]Tissue Data'!$H:$H)</f>
        <v>Lepomis</v>
      </c>
      <c r="F3291" t="str">
        <f>_xlfn.XLOOKUP(A3291,'[1]Tissue Data'!$A:$A,'[1]Tissue Data'!$I:$I)</f>
        <v>gibbosus</v>
      </c>
      <c r="G3291" t="str">
        <f>_xlfn.XLOOKUP(A3291,'[1]Tissue Data'!$A:$A,'[1]Tissue Data'!J:J)</f>
        <v>U</v>
      </c>
      <c r="H3291" t="str">
        <f>_xlfn.XLOOKUP(A3291,'[1]Tissue Data'!$A:$A,'[1]Tissue Data'!K:K)</f>
        <v>Whole Body</v>
      </c>
      <c r="I3291">
        <f>_xlfn.XLOOKUP(A3291,'[1]Tissue Data'!$A:$A,'[1]Tissue Data'!L:L)</f>
        <v>9</v>
      </c>
      <c r="J3291">
        <f>_xlfn.XLOOKUP(A3291,'[1]Tissue Data'!$A:$A,'[1]Tissue Data'!M:M)</f>
        <v>8.4499999999999993</v>
      </c>
      <c r="K3291" t="s">
        <v>51</v>
      </c>
      <c r="L3291" t="str">
        <f>_xlfn.XLOOKUP(K3291,[2]analyte_order!$B:$B,[2]analyte_order!$C:$C)</f>
        <v>27854-31-5</v>
      </c>
      <c r="M3291">
        <f>_xlfn.XLOOKUP(L3291,[2]analyte_order!$C:$C,[2]analyte_order!$E:$E)</f>
        <v>42</v>
      </c>
      <c r="N3291">
        <v>2.6950000000000002E-2</v>
      </c>
    </row>
    <row r="3292" spans="1:14">
      <c r="A3292" t="s">
        <v>237</v>
      </c>
      <c r="B3292" t="str">
        <f>_xlfn.XLOOKUP(A3292,'[1]Tissue Data'!$A:$A,'[1]Tissue Data'!$C:$C)</f>
        <v>Down</v>
      </c>
      <c r="C3292" s="2">
        <f>_xlfn.XLOOKUP(A3292,'[1]Tissue Data'!$A:$A,'[1]Tissue Data'!$D:$D)</f>
        <v>44314</v>
      </c>
      <c r="D3292" s="2" t="str">
        <f>_xlfn.XLOOKUP(A3292,'[1]Tissue Data'!$A:$A,'[1]Tissue Data'!$F:$F)</f>
        <v>Pumpkinseed</v>
      </c>
      <c r="E3292" t="str">
        <f>_xlfn.XLOOKUP(A3292,'[1]Tissue Data'!$A:$A,'[1]Tissue Data'!$H:$H)</f>
        <v>Lepomis</v>
      </c>
      <c r="F3292" t="str">
        <f>_xlfn.XLOOKUP(A3292,'[1]Tissue Data'!$A:$A,'[1]Tissue Data'!$I:$I)</f>
        <v>gibbosus</v>
      </c>
      <c r="G3292" t="str">
        <f>_xlfn.XLOOKUP(A3292,'[1]Tissue Data'!$A:$A,'[1]Tissue Data'!J:J)</f>
        <v>U</v>
      </c>
      <c r="H3292" t="str">
        <f>_xlfn.XLOOKUP(A3292,'[1]Tissue Data'!$A:$A,'[1]Tissue Data'!K:K)</f>
        <v>Whole Body</v>
      </c>
      <c r="I3292">
        <f>_xlfn.XLOOKUP(A3292,'[1]Tissue Data'!$A:$A,'[1]Tissue Data'!L:L)</f>
        <v>9</v>
      </c>
      <c r="J3292">
        <f>_xlfn.XLOOKUP(A3292,'[1]Tissue Data'!$A:$A,'[1]Tissue Data'!M:M)</f>
        <v>8.4499999999999993</v>
      </c>
      <c r="K3292" t="s">
        <v>52</v>
      </c>
      <c r="L3292" t="str">
        <f>_xlfn.XLOOKUP(K3292,[2]analyte_order!$B:$B,[2]analyte_order!$C:$C)</f>
        <v>53826-13-4</v>
      </c>
      <c r="M3292">
        <f>_xlfn.XLOOKUP(L3292,[2]analyte_order!$C:$C,[2]analyte_order!$E:$E)</f>
        <v>43</v>
      </c>
      <c r="N3292">
        <v>0.10100000000000001</v>
      </c>
    </row>
    <row r="3293" spans="1:14">
      <c r="A3293" t="s">
        <v>237</v>
      </c>
      <c r="B3293" t="str">
        <f>_xlfn.XLOOKUP(A3293,'[1]Tissue Data'!$A:$A,'[1]Tissue Data'!$C:$C)</f>
        <v>Down</v>
      </c>
      <c r="C3293" s="2">
        <f>_xlfn.XLOOKUP(A3293,'[1]Tissue Data'!$A:$A,'[1]Tissue Data'!$D:$D)</f>
        <v>44314</v>
      </c>
      <c r="D3293" s="2" t="str">
        <f>_xlfn.XLOOKUP(A3293,'[1]Tissue Data'!$A:$A,'[1]Tissue Data'!$F:$F)</f>
        <v>Pumpkinseed</v>
      </c>
      <c r="E3293" t="str">
        <f>_xlfn.XLOOKUP(A3293,'[1]Tissue Data'!$A:$A,'[1]Tissue Data'!$H:$H)</f>
        <v>Lepomis</v>
      </c>
      <c r="F3293" t="str">
        <f>_xlfn.XLOOKUP(A3293,'[1]Tissue Data'!$A:$A,'[1]Tissue Data'!$I:$I)</f>
        <v>gibbosus</v>
      </c>
      <c r="G3293" t="str">
        <f>_xlfn.XLOOKUP(A3293,'[1]Tissue Data'!$A:$A,'[1]Tissue Data'!J:J)</f>
        <v>U</v>
      </c>
      <c r="H3293" t="str">
        <f>_xlfn.XLOOKUP(A3293,'[1]Tissue Data'!$A:$A,'[1]Tissue Data'!K:K)</f>
        <v>Whole Body</v>
      </c>
      <c r="I3293">
        <f>_xlfn.XLOOKUP(A3293,'[1]Tissue Data'!$A:$A,'[1]Tissue Data'!L:L)</f>
        <v>9</v>
      </c>
      <c r="J3293">
        <f>_xlfn.XLOOKUP(A3293,'[1]Tissue Data'!$A:$A,'[1]Tissue Data'!M:M)</f>
        <v>8.4499999999999993</v>
      </c>
      <c r="K3293" t="s">
        <v>53</v>
      </c>
      <c r="L3293" t="str">
        <f>_xlfn.XLOOKUP(K3293,[2]analyte_order!$B:$B,[2]analyte_order!$C:$C)</f>
        <v>161094-75-3</v>
      </c>
      <c r="M3293">
        <f>_xlfn.XLOOKUP(L3293,[2]analyte_order!$C:$C,[2]analyte_order!$E:$E)</f>
        <v>44</v>
      </c>
      <c r="N3293">
        <v>5.2999999999999999E-2</v>
      </c>
    </row>
    <row r="3294" spans="1:14">
      <c r="A3294" t="s">
        <v>237</v>
      </c>
      <c r="B3294" t="str">
        <f>_xlfn.XLOOKUP(A3294,'[1]Tissue Data'!$A:$A,'[1]Tissue Data'!$C:$C)</f>
        <v>Down</v>
      </c>
      <c r="C3294" s="2">
        <f>_xlfn.XLOOKUP(A3294,'[1]Tissue Data'!$A:$A,'[1]Tissue Data'!$D:$D)</f>
        <v>44314</v>
      </c>
      <c r="D3294" s="2" t="str">
        <f>_xlfn.XLOOKUP(A3294,'[1]Tissue Data'!$A:$A,'[1]Tissue Data'!$F:$F)</f>
        <v>Pumpkinseed</v>
      </c>
      <c r="E3294" t="str">
        <f>_xlfn.XLOOKUP(A3294,'[1]Tissue Data'!$A:$A,'[1]Tissue Data'!$H:$H)</f>
        <v>Lepomis</v>
      </c>
      <c r="F3294" t="str">
        <f>_xlfn.XLOOKUP(A3294,'[1]Tissue Data'!$A:$A,'[1]Tissue Data'!$I:$I)</f>
        <v>gibbosus</v>
      </c>
      <c r="G3294" t="str">
        <f>_xlfn.XLOOKUP(A3294,'[1]Tissue Data'!$A:$A,'[1]Tissue Data'!J:J)</f>
        <v>U</v>
      </c>
      <c r="H3294" t="str">
        <f>_xlfn.XLOOKUP(A3294,'[1]Tissue Data'!$A:$A,'[1]Tissue Data'!K:K)</f>
        <v>Whole Body</v>
      </c>
      <c r="I3294">
        <f>_xlfn.XLOOKUP(A3294,'[1]Tissue Data'!$A:$A,'[1]Tissue Data'!L:L)</f>
        <v>9</v>
      </c>
      <c r="J3294">
        <f>_xlfn.XLOOKUP(A3294,'[1]Tissue Data'!$A:$A,'[1]Tissue Data'!M:M)</f>
        <v>8.4499999999999993</v>
      </c>
      <c r="K3294" t="s">
        <v>54</v>
      </c>
      <c r="L3294" t="str">
        <f>_xlfn.XLOOKUP(K3294,[2]analyte_order!$B:$B,[2]analyte_order!$C:$C)</f>
        <v>70887-84-2</v>
      </c>
      <c r="M3294">
        <f>_xlfn.XLOOKUP(L3294,[2]analyte_order!$C:$C,[2]analyte_order!$E:$E)</f>
        <v>45</v>
      </c>
      <c r="N3294">
        <v>4.0750000000000001E-2</v>
      </c>
    </row>
    <row r="3295" spans="1:14">
      <c r="A3295" t="s">
        <v>237</v>
      </c>
      <c r="B3295" t="str">
        <f>_xlfn.XLOOKUP(A3295,'[1]Tissue Data'!$A:$A,'[1]Tissue Data'!$C:$C)</f>
        <v>Down</v>
      </c>
      <c r="C3295" s="2">
        <f>_xlfn.XLOOKUP(A3295,'[1]Tissue Data'!$A:$A,'[1]Tissue Data'!$D:$D)</f>
        <v>44314</v>
      </c>
      <c r="D3295" s="2" t="str">
        <f>_xlfn.XLOOKUP(A3295,'[1]Tissue Data'!$A:$A,'[1]Tissue Data'!$F:$F)</f>
        <v>Pumpkinseed</v>
      </c>
      <c r="E3295" t="str">
        <f>_xlfn.XLOOKUP(A3295,'[1]Tissue Data'!$A:$A,'[1]Tissue Data'!$H:$H)</f>
        <v>Lepomis</v>
      </c>
      <c r="F3295" t="str">
        <f>_xlfn.XLOOKUP(A3295,'[1]Tissue Data'!$A:$A,'[1]Tissue Data'!$I:$I)</f>
        <v>gibbosus</v>
      </c>
      <c r="G3295" t="str">
        <f>_xlfn.XLOOKUP(A3295,'[1]Tissue Data'!$A:$A,'[1]Tissue Data'!J:J)</f>
        <v>U</v>
      </c>
      <c r="H3295" t="str">
        <f>_xlfn.XLOOKUP(A3295,'[1]Tissue Data'!$A:$A,'[1]Tissue Data'!K:K)</f>
        <v>Whole Body</v>
      </c>
      <c r="I3295">
        <f>_xlfn.XLOOKUP(A3295,'[1]Tissue Data'!$A:$A,'[1]Tissue Data'!L:L)</f>
        <v>9</v>
      </c>
      <c r="J3295">
        <f>_xlfn.XLOOKUP(A3295,'[1]Tissue Data'!$A:$A,'[1]Tissue Data'!M:M)</f>
        <v>8.4499999999999993</v>
      </c>
      <c r="K3295" t="s">
        <v>55</v>
      </c>
      <c r="L3295" t="str">
        <f>_xlfn.XLOOKUP(K3295,[2]analyte_order!$B:$B,[2]analyte_order!$C:$C)</f>
        <v>919005-14-4</v>
      </c>
      <c r="M3295">
        <f>_xlfn.XLOOKUP(L3295,[2]analyte_order!$C:$C,[2]analyte_order!$E:$E)</f>
        <v>35</v>
      </c>
      <c r="N3295">
        <v>0.223</v>
      </c>
    </row>
    <row r="3296" spans="1:14">
      <c r="A3296" t="s">
        <v>237</v>
      </c>
      <c r="B3296" t="str">
        <f>_xlfn.XLOOKUP(A3296,'[1]Tissue Data'!$A:$A,'[1]Tissue Data'!$C:$C)</f>
        <v>Down</v>
      </c>
      <c r="C3296" s="2">
        <f>_xlfn.XLOOKUP(A3296,'[1]Tissue Data'!$A:$A,'[1]Tissue Data'!$D:$D)</f>
        <v>44314</v>
      </c>
      <c r="D3296" s="2" t="str">
        <f>_xlfn.XLOOKUP(A3296,'[1]Tissue Data'!$A:$A,'[1]Tissue Data'!$F:$F)</f>
        <v>Pumpkinseed</v>
      </c>
      <c r="E3296" t="str">
        <f>_xlfn.XLOOKUP(A3296,'[1]Tissue Data'!$A:$A,'[1]Tissue Data'!$H:$H)</f>
        <v>Lepomis</v>
      </c>
      <c r="F3296" t="str">
        <f>_xlfn.XLOOKUP(A3296,'[1]Tissue Data'!$A:$A,'[1]Tissue Data'!$I:$I)</f>
        <v>gibbosus</v>
      </c>
      <c r="G3296" t="str">
        <f>_xlfn.XLOOKUP(A3296,'[1]Tissue Data'!$A:$A,'[1]Tissue Data'!J:J)</f>
        <v>U</v>
      </c>
      <c r="H3296" t="str">
        <f>_xlfn.XLOOKUP(A3296,'[1]Tissue Data'!$A:$A,'[1]Tissue Data'!K:K)</f>
        <v>Whole Body</v>
      </c>
      <c r="I3296">
        <f>_xlfn.XLOOKUP(A3296,'[1]Tissue Data'!$A:$A,'[1]Tissue Data'!L:L)</f>
        <v>9</v>
      </c>
      <c r="J3296">
        <f>_xlfn.XLOOKUP(A3296,'[1]Tissue Data'!$A:$A,'[1]Tissue Data'!M:M)</f>
        <v>8.4499999999999993</v>
      </c>
      <c r="K3296" t="s">
        <v>56</v>
      </c>
      <c r="L3296" t="str">
        <f>_xlfn.XLOOKUP(K3296,[2]analyte_order!$B:$B,[2]analyte_order!$C:$C)</f>
        <v>756426-58-1</v>
      </c>
      <c r="M3296">
        <f>_xlfn.XLOOKUP(L3296,[2]analyte_order!$C:$C,[2]analyte_order!$E:$E)</f>
        <v>36</v>
      </c>
      <c r="N3296">
        <v>4.6800000000000001E-2</v>
      </c>
    </row>
    <row r="3297" spans="1:14">
      <c r="A3297" t="s">
        <v>237</v>
      </c>
      <c r="B3297" t="str">
        <f>_xlfn.XLOOKUP(A3297,'[1]Tissue Data'!$A:$A,'[1]Tissue Data'!$C:$C)</f>
        <v>Down</v>
      </c>
      <c r="C3297" s="2">
        <f>_xlfn.XLOOKUP(A3297,'[1]Tissue Data'!$A:$A,'[1]Tissue Data'!$D:$D)</f>
        <v>44314</v>
      </c>
      <c r="D3297" s="2" t="str">
        <f>_xlfn.XLOOKUP(A3297,'[1]Tissue Data'!$A:$A,'[1]Tissue Data'!$F:$F)</f>
        <v>Pumpkinseed</v>
      </c>
      <c r="E3297" t="str">
        <f>_xlfn.XLOOKUP(A3297,'[1]Tissue Data'!$A:$A,'[1]Tissue Data'!$H:$H)</f>
        <v>Lepomis</v>
      </c>
      <c r="F3297" t="str">
        <f>_xlfn.XLOOKUP(A3297,'[1]Tissue Data'!$A:$A,'[1]Tissue Data'!$I:$I)</f>
        <v>gibbosus</v>
      </c>
      <c r="G3297" t="str">
        <f>_xlfn.XLOOKUP(A3297,'[1]Tissue Data'!$A:$A,'[1]Tissue Data'!J:J)</f>
        <v>U</v>
      </c>
      <c r="H3297" t="str">
        <f>_xlfn.XLOOKUP(A3297,'[1]Tissue Data'!$A:$A,'[1]Tissue Data'!K:K)</f>
        <v>Whole Body</v>
      </c>
      <c r="I3297">
        <f>_xlfn.XLOOKUP(A3297,'[1]Tissue Data'!$A:$A,'[1]Tissue Data'!L:L)</f>
        <v>9</v>
      </c>
      <c r="J3297">
        <f>_xlfn.XLOOKUP(A3297,'[1]Tissue Data'!$A:$A,'[1]Tissue Data'!M:M)</f>
        <v>8.4499999999999993</v>
      </c>
      <c r="K3297" t="s">
        <v>57</v>
      </c>
      <c r="L3297" t="str">
        <f>_xlfn.XLOOKUP(K3297,[2]analyte_order!$B:$B,[2]analyte_order!$C:$C)</f>
        <v>763051-92-9</v>
      </c>
      <c r="M3297">
        <f>_xlfn.XLOOKUP(L3297,[2]analyte_order!$C:$C,[2]analyte_order!$E:$E)</f>
        <v>37</v>
      </c>
      <c r="N3297">
        <v>5.2999999999999999E-2</v>
      </c>
    </row>
    <row r="3298" spans="1:14">
      <c r="A3298" t="s">
        <v>237</v>
      </c>
      <c r="B3298" t="str">
        <f>_xlfn.XLOOKUP(A3298,'[1]Tissue Data'!$A:$A,'[1]Tissue Data'!$C:$C)</f>
        <v>Down</v>
      </c>
      <c r="C3298" s="2">
        <f>_xlfn.XLOOKUP(A3298,'[1]Tissue Data'!$A:$A,'[1]Tissue Data'!$D:$D)</f>
        <v>44314</v>
      </c>
      <c r="D3298" s="2" t="str">
        <f>_xlfn.XLOOKUP(A3298,'[1]Tissue Data'!$A:$A,'[1]Tissue Data'!$F:$F)</f>
        <v>Pumpkinseed</v>
      </c>
      <c r="E3298" t="str">
        <f>_xlfn.XLOOKUP(A3298,'[1]Tissue Data'!$A:$A,'[1]Tissue Data'!$H:$H)</f>
        <v>Lepomis</v>
      </c>
      <c r="F3298" t="str">
        <f>_xlfn.XLOOKUP(A3298,'[1]Tissue Data'!$A:$A,'[1]Tissue Data'!$I:$I)</f>
        <v>gibbosus</v>
      </c>
      <c r="G3298" t="str">
        <f>_xlfn.XLOOKUP(A3298,'[1]Tissue Data'!$A:$A,'[1]Tissue Data'!J:J)</f>
        <v>U</v>
      </c>
      <c r="H3298" t="str">
        <f>_xlfn.XLOOKUP(A3298,'[1]Tissue Data'!$A:$A,'[1]Tissue Data'!K:K)</f>
        <v>Whole Body</v>
      </c>
      <c r="I3298">
        <f>_xlfn.XLOOKUP(A3298,'[1]Tissue Data'!$A:$A,'[1]Tissue Data'!L:L)</f>
        <v>9</v>
      </c>
      <c r="J3298">
        <f>_xlfn.XLOOKUP(A3298,'[1]Tissue Data'!$A:$A,'[1]Tissue Data'!M:M)</f>
        <v>8.4499999999999993</v>
      </c>
      <c r="K3298" t="s">
        <v>58</v>
      </c>
      <c r="L3298" t="str">
        <f>_xlfn.XLOOKUP(K3298,[2]analyte_order!$B:$B,[2]analyte_order!$C:$C)</f>
        <v>13252-13-6</v>
      </c>
      <c r="M3298">
        <f>_xlfn.XLOOKUP(L3298,[2]analyte_order!$C:$C,[2]analyte_order!$E:$E)</f>
        <v>34</v>
      </c>
      <c r="N3298">
        <v>9.7000000000000003E-2</v>
      </c>
    </row>
    <row r="3299" spans="1:14">
      <c r="A3299" t="s">
        <v>237</v>
      </c>
      <c r="B3299" t="str">
        <f>_xlfn.XLOOKUP(A3299,'[1]Tissue Data'!$A:$A,'[1]Tissue Data'!$C:$C)</f>
        <v>Down</v>
      </c>
      <c r="C3299" s="2">
        <f>_xlfn.XLOOKUP(A3299,'[1]Tissue Data'!$A:$A,'[1]Tissue Data'!$D:$D)</f>
        <v>44314</v>
      </c>
      <c r="D3299" s="2" t="str">
        <f>_xlfn.XLOOKUP(A3299,'[1]Tissue Data'!$A:$A,'[1]Tissue Data'!$F:$F)</f>
        <v>Pumpkinseed</v>
      </c>
      <c r="E3299" t="str">
        <f>_xlfn.XLOOKUP(A3299,'[1]Tissue Data'!$A:$A,'[1]Tissue Data'!$H:$H)</f>
        <v>Lepomis</v>
      </c>
      <c r="F3299" t="str">
        <f>_xlfn.XLOOKUP(A3299,'[1]Tissue Data'!$A:$A,'[1]Tissue Data'!$I:$I)</f>
        <v>gibbosus</v>
      </c>
      <c r="G3299" t="str">
        <f>_xlfn.XLOOKUP(A3299,'[1]Tissue Data'!$A:$A,'[1]Tissue Data'!J:J)</f>
        <v>U</v>
      </c>
      <c r="H3299" t="str">
        <f>_xlfn.XLOOKUP(A3299,'[1]Tissue Data'!$A:$A,'[1]Tissue Data'!K:K)</f>
        <v>Whole Body</v>
      </c>
      <c r="I3299">
        <f>_xlfn.XLOOKUP(A3299,'[1]Tissue Data'!$A:$A,'[1]Tissue Data'!L:L)</f>
        <v>9</v>
      </c>
      <c r="J3299">
        <f>_xlfn.XLOOKUP(A3299,'[1]Tissue Data'!$A:$A,'[1]Tissue Data'!M:M)</f>
        <v>8.4499999999999993</v>
      </c>
      <c r="K3299" t="s">
        <v>59</v>
      </c>
      <c r="L3299" t="str">
        <f>_xlfn.XLOOKUP(K3299,[2]analyte_order!$B:$B,[2]analyte_order!$C:$C)</f>
        <v>57677-95-9</v>
      </c>
      <c r="M3299">
        <f>_xlfn.XLOOKUP(L3299,[2]analyte_order!$C:$C,[2]analyte_order!$E:$E)</f>
        <v>46</v>
      </c>
      <c r="N3299">
        <v>7.1999999999999995E-2</v>
      </c>
    </row>
    <row r="3300" spans="1:14">
      <c r="A3300" t="s">
        <v>237</v>
      </c>
      <c r="B3300" t="str">
        <f>_xlfn.XLOOKUP(A3300,'[1]Tissue Data'!$A:$A,'[1]Tissue Data'!$C:$C)</f>
        <v>Down</v>
      </c>
      <c r="C3300" s="2">
        <f>_xlfn.XLOOKUP(A3300,'[1]Tissue Data'!$A:$A,'[1]Tissue Data'!$D:$D)</f>
        <v>44314</v>
      </c>
      <c r="D3300" s="2" t="str">
        <f>_xlfn.XLOOKUP(A3300,'[1]Tissue Data'!$A:$A,'[1]Tissue Data'!$F:$F)</f>
        <v>Pumpkinseed</v>
      </c>
      <c r="E3300" t="str">
        <f>_xlfn.XLOOKUP(A3300,'[1]Tissue Data'!$A:$A,'[1]Tissue Data'!$H:$H)</f>
        <v>Lepomis</v>
      </c>
      <c r="F3300" t="str">
        <f>_xlfn.XLOOKUP(A3300,'[1]Tissue Data'!$A:$A,'[1]Tissue Data'!$I:$I)</f>
        <v>gibbosus</v>
      </c>
      <c r="G3300" t="str">
        <f>_xlfn.XLOOKUP(A3300,'[1]Tissue Data'!$A:$A,'[1]Tissue Data'!J:J)</f>
        <v>U</v>
      </c>
      <c r="H3300" t="str">
        <f>_xlfn.XLOOKUP(A3300,'[1]Tissue Data'!$A:$A,'[1]Tissue Data'!K:K)</f>
        <v>Whole Body</v>
      </c>
      <c r="I3300">
        <f>_xlfn.XLOOKUP(A3300,'[1]Tissue Data'!$A:$A,'[1]Tissue Data'!L:L)</f>
        <v>9</v>
      </c>
      <c r="J3300">
        <f>_xlfn.XLOOKUP(A3300,'[1]Tissue Data'!$A:$A,'[1]Tissue Data'!M:M)</f>
        <v>8.4499999999999993</v>
      </c>
      <c r="K3300" t="s">
        <v>60</v>
      </c>
      <c r="L3300" t="str">
        <f>_xlfn.XLOOKUP(K3300,[2]analyte_order!$B:$B,[2]analyte_order!$C:$C)</f>
        <v>678-41-1</v>
      </c>
      <c r="M3300">
        <f>_xlfn.XLOOKUP(L3300,[2]analyte_order!$C:$C,[2]analyte_order!$E:$E)</f>
        <v>56</v>
      </c>
      <c r="N3300">
        <v>8.9499999999999996E-2</v>
      </c>
    </row>
    <row r="3301" spans="1:14">
      <c r="A3301" t="s">
        <v>237</v>
      </c>
      <c r="B3301" t="str">
        <f>_xlfn.XLOOKUP(A3301,'[1]Tissue Data'!$A:$A,'[1]Tissue Data'!$C:$C)</f>
        <v>Down</v>
      </c>
      <c r="C3301" s="2">
        <f>_xlfn.XLOOKUP(A3301,'[1]Tissue Data'!$A:$A,'[1]Tissue Data'!$D:$D)</f>
        <v>44314</v>
      </c>
      <c r="D3301" s="2" t="str">
        <f>_xlfn.XLOOKUP(A3301,'[1]Tissue Data'!$A:$A,'[1]Tissue Data'!$F:$F)</f>
        <v>Pumpkinseed</v>
      </c>
      <c r="E3301" t="str">
        <f>_xlfn.XLOOKUP(A3301,'[1]Tissue Data'!$A:$A,'[1]Tissue Data'!$H:$H)</f>
        <v>Lepomis</v>
      </c>
      <c r="F3301" t="str">
        <f>_xlfn.XLOOKUP(A3301,'[1]Tissue Data'!$A:$A,'[1]Tissue Data'!$I:$I)</f>
        <v>gibbosus</v>
      </c>
      <c r="G3301" t="str">
        <f>_xlfn.XLOOKUP(A3301,'[1]Tissue Data'!$A:$A,'[1]Tissue Data'!J:J)</f>
        <v>U</v>
      </c>
      <c r="H3301" t="str">
        <f>_xlfn.XLOOKUP(A3301,'[1]Tissue Data'!$A:$A,'[1]Tissue Data'!K:K)</f>
        <v>Whole Body</v>
      </c>
      <c r="I3301">
        <f>_xlfn.XLOOKUP(A3301,'[1]Tissue Data'!$A:$A,'[1]Tissue Data'!L:L)</f>
        <v>9</v>
      </c>
      <c r="J3301">
        <f>_xlfn.XLOOKUP(A3301,'[1]Tissue Data'!$A:$A,'[1]Tissue Data'!M:M)</f>
        <v>8.4499999999999993</v>
      </c>
      <c r="K3301" t="s">
        <v>61</v>
      </c>
      <c r="L3301" t="str">
        <f>_xlfn.XLOOKUP(K3301,[2]analyte_order!$B:$B,[2]analyte_order!$C:$C)</f>
        <v>2965-52-8</v>
      </c>
      <c r="M3301">
        <f>_xlfn.XLOOKUP(L3301,[2]analyte_order!$C:$C,[2]analyte_order!$E:$E)</f>
        <v>57</v>
      </c>
      <c r="N3301">
        <v>0.11899999999999999</v>
      </c>
    </row>
    <row r="3302" spans="1:14">
      <c r="A3302" t="s">
        <v>128</v>
      </c>
      <c r="B3302" t="str">
        <f>_xlfn.XLOOKUP(A3302,'[1]Tissue Data'!$A:$A,'[1]Tissue Data'!$C:$C)</f>
        <v>Spill</v>
      </c>
      <c r="C3302" s="2">
        <f>_xlfn.XLOOKUP(A3302,'[1]Tissue Data'!$A:$A,'[1]Tissue Data'!$D:$D)</f>
        <v>44314</v>
      </c>
      <c r="D3302" s="2" t="s">
        <v>122</v>
      </c>
      <c r="E3302" t="str">
        <f>_xlfn.XLOOKUP(A3302,'[1]Tissue Data'!$A:$A,'[1]Tissue Data'!$H:$H)</f>
        <v>Etheostoma</v>
      </c>
      <c r="F3302" t="str">
        <f>_xlfn.XLOOKUP(A3302,'[1]Tissue Data'!$A:$A,'[1]Tissue Data'!$I:$I)</f>
        <v>fusiforme</v>
      </c>
      <c r="G3302" t="str">
        <f>_xlfn.XLOOKUP(A3302,'[1]Tissue Data'!$A:$A,'[1]Tissue Data'!J:J)</f>
        <v>U</v>
      </c>
      <c r="H3302" t="str">
        <f>_xlfn.XLOOKUP(A3302,'[1]Tissue Data'!$A:$A,'[1]Tissue Data'!K:K)</f>
        <v>Whole Body</v>
      </c>
      <c r="I3302">
        <f>_xlfn.XLOOKUP(A3302,'[1]Tissue Data'!$A:$A,'[1]Tissue Data'!L:L)</f>
        <v>7.5</v>
      </c>
      <c r="J3302">
        <f>_xlfn.XLOOKUP(A3302,'[1]Tissue Data'!$A:$A,'[1]Tissue Data'!M:M)</f>
        <v>5.4</v>
      </c>
      <c r="K3302" t="s">
        <v>12</v>
      </c>
      <c r="L3302" t="str">
        <f>_xlfn.XLOOKUP(K3302,[2]analyte_order!$B:$B,[2]analyte_order!$C:$C)</f>
        <v>375-22-4</v>
      </c>
      <c r="M3302">
        <f>_xlfn.XLOOKUP(L3302,[2]analyte_order!$C:$C,[2]analyte_order!$E:$E)</f>
        <v>1</v>
      </c>
      <c r="N3302">
        <v>0.22</v>
      </c>
    </row>
    <row r="3303" spans="1:14">
      <c r="A3303" t="s">
        <v>128</v>
      </c>
      <c r="B3303" t="str">
        <f>_xlfn.XLOOKUP(A3303,'[1]Tissue Data'!$A:$A,'[1]Tissue Data'!$C:$C)</f>
        <v>Spill</v>
      </c>
      <c r="C3303" s="2">
        <f>_xlfn.XLOOKUP(A3303,'[1]Tissue Data'!$A:$A,'[1]Tissue Data'!$D:$D)</f>
        <v>44314</v>
      </c>
      <c r="D3303" s="2" t="s">
        <v>122</v>
      </c>
      <c r="E3303" t="str">
        <f>_xlfn.XLOOKUP(A3303,'[1]Tissue Data'!$A:$A,'[1]Tissue Data'!$H:$H)</f>
        <v>Etheostoma</v>
      </c>
      <c r="F3303" t="str">
        <f>_xlfn.XLOOKUP(A3303,'[1]Tissue Data'!$A:$A,'[1]Tissue Data'!$I:$I)</f>
        <v>fusiforme</v>
      </c>
      <c r="G3303" t="str">
        <f>_xlfn.XLOOKUP(A3303,'[1]Tissue Data'!$A:$A,'[1]Tissue Data'!J:J)</f>
        <v>U</v>
      </c>
      <c r="H3303" t="str">
        <f>_xlfn.XLOOKUP(A3303,'[1]Tissue Data'!$A:$A,'[1]Tissue Data'!K:K)</f>
        <v>Whole Body</v>
      </c>
      <c r="I3303">
        <f>_xlfn.XLOOKUP(A3303,'[1]Tissue Data'!$A:$A,'[1]Tissue Data'!L:L)</f>
        <v>7.5</v>
      </c>
      <c r="J3303">
        <f>_xlfn.XLOOKUP(A3303,'[1]Tissue Data'!$A:$A,'[1]Tissue Data'!M:M)</f>
        <v>5.4</v>
      </c>
      <c r="K3303" t="s">
        <v>13</v>
      </c>
      <c r="L3303" t="str">
        <f>_xlfn.XLOOKUP(K3303,[2]analyte_order!$B:$B,[2]analyte_order!$C:$C)</f>
        <v>2706-90-3</v>
      </c>
      <c r="M3303">
        <f>_xlfn.XLOOKUP(L3303,[2]analyte_order!$C:$C,[2]analyte_order!$E:$E)</f>
        <v>2</v>
      </c>
      <c r="N3303">
        <v>4.7100000000000003E-2</v>
      </c>
    </row>
    <row r="3304" spans="1:14">
      <c r="A3304" t="s">
        <v>128</v>
      </c>
      <c r="B3304" t="str">
        <f>_xlfn.XLOOKUP(A3304,'[1]Tissue Data'!$A:$A,'[1]Tissue Data'!$C:$C)</f>
        <v>Spill</v>
      </c>
      <c r="C3304" s="2">
        <f>_xlfn.XLOOKUP(A3304,'[1]Tissue Data'!$A:$A,'[1]Tissue Data'!$D:$D)</f>
        <v>44314</v>
      </c>
      <c r="D3304" s="2" t="s">
        <v>122</v>
      </c>
      <c r="E3304" t="str">
        <f>_xlfn.XLOOKUP(A3304,'[1]Tissue Data'!$A:$A,'[1]Tissue Data'!$H:$H)</f>
        <v>Etheostoma</v>
      </c>
      <c r="F3304" t="str">
        <f>_xlfn.XLOOKUP(A3304,'[1]Tissue Data'!$A:$A,'[1]Tissue Data'!$I:$I)</f>
        <v>fusiforme</v>
      </c>
      <c r="G3304" t="str">
        <f>_xlfn.XLOOKUP(A3304,'[1]Tissue Data'!$A:$A,'[1]Tissue Data'!J:J)</f>
        <v>U</v>
      </c>
      <c r="H3304" t="str">
        <f>_xlfn.XLOOKUP(A3304,'[1]Tissue Data'!$A:$A,'[1]Tissue Data'!K:K)</f>
        <v>Whole Body</v>
      </c>
      <c r="I3304">
        <f>_xlfn.XLOOKUP(A3304,'[1]Tissue Data'!$A:$A,'[1]Tissue Data'!L:L)</f>
        <v>7.5</v>
      </c>
      <c r="J3304">
        <f>_xlfn.XLOOKUP(A3304,'[1]Tissue Data'!$A:$A,'[1]Tissue Data'!M:M)</f>
        <v>5.4</v>
      </c>
      <c r="K3304" t="s">
        <v>14</v>
      </c>
      <c r="L3304" t="str">
        <f>_xlfn.XLOOKUP(K3304,[2]analyte_order!$B:$B,[2]analyte_order!$C:$C)</f>
        <v>307-24-4</v>
      </c>
      <c r="M3304">
        <f>_xlfn.XLOOKUP(L3304,[2]analyte_order!$C:$C,[2]analyte_order!$E:$E)</f>
        <v>3</v>
      </c>
      <c r="N3304">
        <v>0.11849999999999999</v>
      </c>
    </row>
    <row r="3305" spans="1:14">
      <c r="A3305" t="s">
        <v>128</v>
      </c>
      <c r="B3305" t="str">
        <f>_xlfn.XLOOKUP(A3305,'[1]Tissue Data'!$A:$A,'[1]Tissue Data'!$C:$C)</f>
        <v>Spill</v>
      </c>
      <c r="C3305" s="2">
        <f>_xlfn.XLOOKUP(A3305,'[1]Tissue Data'!$A:$A,'[1]Tissue Data'!$D:$D)</f>
        <v>44314</v>
      </c>
      <c r="D3305" s="2" t="s">
        <v>122</v>
      </c>
      <c r="E3305" t="str">
        <f>_xlfn.XLOOKUP(A3305,'[1]Tissue Data'!$A:$A,'[1]Tissue Data'!$H:$H)</f>
        <v>Etheostoma</v>
      </c>
      <c r="F3305" t="str">
        <f>_xlfn.XLOOKUP(A3305,'[1]Tissue Data'!$A:$A,'[1]Tissue Data'!$I:$I)</f>
        <v>fusiforme</v>
      </c>
      <c r="G3305" t="str">
        <f>_xlfn.XLOOKUP(A3305,'[1]Tissue Data'!$A:$A,'[1]Tissue Data'!J:J)</f>
        <v>U</v>
      </c>
      <c r="H3305" t="str">
        <f>_xlfn.XLOOKUP(A3305,'[1]Tissue Data'!$A:$A,'[1]Tissue Data'!K:K)</f>
        <v>Whole Body</v>
      </c>
      <c r="I3305">
        <f>_xlfn.XLOOKUP(A3305,'[1]Tissue Data'!$A:$A,'[1]Tissue Data'!L:L)</f>
        <v>7.5</v>
      </c>
      <c r="J3305">
        <f>_xlfn.XLOOKUP(A3305,'[1]Tissue Data'!$A:$A,'[1]Tissue Data'!M:M)</f>
        <v>5.4</v>
      </c>
      <c r="K3305" t="s">
        <v>15</v>
      </c>
      <c r="L3305" t="str">
        <f>_xlfn.XLOOKUP(K3305,[2]analyte_order!$B:$B,[2]analyte_order!$C:$C)</f>
        <v>375-85-9</v>
      </c>
      <c r="M3305">
        <f>_xlfn.XLOOKUP(L3305,[2]analyte_order!$C:$C,[2]analyte_order!$E:$E)</f>
        <v>4</v>
      </c>
      <c r="N3305">
        <v>8.7999999999999995E-2</v>
      </c>
    </row>
    <row r="3306" spans="1:14">
      <c r="A3306" t="s">
        <v>128</v>
      </c>
      <c r="B3306" t="str">
        <f>_xlfn.XLOOKUP(A3306,'[1]Tissue Data'!$A:$A,'[1]Tissue Data'!$C:$C)</f>
        <v>Spill</v>
      </c>
      <c r="C3306" s="2">
        <f>_xlfn.XLOOKUP(A3306,'[1]Tissue Data'!$A:$A,'[1]Tissue Data'!$D:$D)</f>
        <v>44314</v>
      </c>
      <c r="D3306" s="2" t="s">
        <v>122</v>
      </c>
      <c r="E3306" t="str">
        <f>_xlfn.XLOOKUP(A3306,'[1]Tissue Data'!$A:$A,'[1]Tissue Data'!$H:$H)</f>
        <v>Etheostoma</v>
      </c>
      <c r="F3306" t="str">
        <f>_xlfn.XLOOKUP(A3306,'[1]Tissue Data'!$A:$A,'[1]Tissue Data'!$I:$I)</f>
        <v>fusiforme</v>
      </c>
      <c r="G3306" t="str">
        <f>_xlfn.XLOOKUP(A3306,'[1]Tissue Data'!$A:$A,'[1]Tissue Data'!J:J)</f>
        <v>U</v>
      </c>
      <c r="H3306" t="str">
        <f>_xlfn.XLOOKUP(A3306,'[1]Tissue Data'!$A:$A,'[1]Tissue Data'!K:K)</f>
        <v>Whole Body</v>
      </c>
      <c r="I3306">
        <f>_xlfn.XLOOKUP(A3306,'[1]Tissue Data'!$A:$A,'[1]Tissue Data'!L:L)</f>
        <v>7.5</v>
      </c>
      <c r="J3306">
        <f>_xlfn.XLOOKUP(A3306,'[1]Tissue Data'!$A:$A,'[1]Tissue Data'!M:M)</f>
        <v>5.4</v>
      </c>
      <c r="K3306" t="s">
        <v>16</v>
      </c>
      <c r="L3306" t="str">
        <f>_xlfn.XLOOKUP(K3306,[2]analyte_order!$B:$B,[2]analyte_order!$C:$C)</f>
        <v>335-67-1</v>
      </c>
      <c r="M3306">
        <f>_xlfn.XLOOKUP(L3306,[2]analyte_order!$C:$C,[2]analyte_order!$E:$E)</f>
        <v>5</v>
      </c>
      <c r="N3306">
        <v>0.64600000000000002</v>
      </c>
    </row>
    <row r="3307" spans="1:14">
      <c r="A3307" t="s">
        <v>128</v>
      </c>
      <c r="B3307" t="str">
        <f>_xlfn.XLOOKUP(A3307,'[1]Tissue Data'!$A:$A,'[1]Tissue Data'!$C:$C)</f>
        <v>Spill</v>
      </c>
      <c r="C3307" s="2">
        <f>_xlfn.XLOOKUP(A3307,'[1]Tissue Data'!$A:$A,'[1]Tissue Data'!$D:$D)</f>
        <v>44314</v>
      </c>
      <c r="D3307" s="2" t="s">
        <v>122</v>
      </c>
      <c r="E3307" t="str">
        <f>_xlfn.XLOOKUP(A3307,'[1]Tissue Data'!$A:$A,'[1]Tissue Data'!$H:$H)</f>
        <v>Etheostoma</v>
      </c>
      <c r="F3307" t="str">
        <f>_xlfn.XLOOKUP(A3307,'[1]Tissue Data'!$A:$A,'[1]Tissue Data'!$I:$I)</f>
        <v>fusiforme</v>
      </c>
      <c r="G3307" t="str">
        <f>_xlfn.XLOOKUP(A3307,'[1]Tissue Data'!$A:$A,'[1]Tissue Data'!J:J)</f>
        <v>U</v>
      </c>
      <c r="H3307" t="str">
        <f>_xlfn.XLOOKUP(A3307,'[1]Tissue Data'!$A:$A,'[1]Tissue Data'!K:K)</f>
        <v>Whole Body</v>
      </c>
      <c r="I3307">
        <f>_xlfn.XLOOKUP(A3307,'[1]Tissue Data'!$A:$A,'[1]Tissue Data'!L:L)</f>
        <v>7.5</v>
      </c>
      <c r="J3307">
        <f>_xlfn.XLOOKUP(A3307,'[1]Tissue Data'!$A:$A,'[1]Tissue Data'!M:M)</f>
        <v>5.4</v>
      </c>
      <c r="K3307" t="s">
        <v>17</v>
      </c>
      <c r="L3307" t="str">
        <f>_xlfn.XLOOKUP(K3307,[2]analyte_order!$B:$B,[2]analyte_order!$C:$C)</f>
        <v>375-95-1</v>
      </c>
      <c r="M3307">
        <f>_xlfn.XLOOKUP(L3307,[2]analyte_order!$C:$C,[2]analyte_order!$E:$E)</f>
        <v>6</v>
      </c>
      <c r="N3307">
        <v>0.64400000000000002</v>
      </c>
    </row>
    <row r="3308" spans="1:14">
      <c r="A3308" t="s">
        <v>128</v>
      </c>
      <c r="B3308" t="str">
        <f>_xlfn.XLOOKUP(A3308,'[1]Tissue Data'!$A:$A,'[1]Tissue Data'!$C:$C)</f>
        <v>Spill</v>
      </c>
      <c r="C3308" s="2">
        <f>_xlfn.XLOOKUP(A3308,'[1]Tissue Data'!$A:$A,'[1]Tissue Data'!$D:$D)</f>
        <v>44314</v>
      </c>
      <c r="D3308" s="2" t="s">
        <v>122</v>
      </c>
      <c r="E3308" t="str">
        <f>_xlfn.XLOOKUP(A3308,'[1]Tissue Data'!$A:$A,'[1]Tissue Data'!$H:$H)</f>
        <v>Etheostoma</v>
      </c>
      <c r="F3308" t="str">
        <f>_xlfn.XLOOKUP(A3308,'[1]Tissue Data'!$A:$A,'[1]Tissue Data'!$I:$I)</f>
        <v>fusiforme</v>
      </c>
      <c r="G3308" t="str">
        <f>_xlfn.XLOOKUP(A3308,'[1]Tissue Data'!$A:$A,'[1]Tissue Data'!J:J)</f>
        <v>U</v>
      </c>
      <c r="H3308" t="str">
        <f>_xlfn.XLOOKUP(A3308,'[1]Tissue Data'!$A:$A,'[1]Tissue Data'!K:K)</f>
        <v>Whole Body</v>
      </c>
      <c r="I3308">
        <f>_xlfn.XLOOKUP(A3308,'[1]Tissue Data'!$A:$A,'[1]Tissue Data'!L:L)</f>
        <v>7.5</v>
      </c>
      <c r="J3308">
        <f>_xlfn.XLOOKUP(A3308,'[1]Tissue Data'!$A:$A,'[1]Tissue Data'!M:M)</f>
        <v>5.4</v>
      </c>
      <c r="K3308" t="s">
        <v>18</v>
      </c>
      <c r="L3308" t="str">
        <f>_xlfn.XLOOKUP(K3308,[2]analyte_order!$B:$B,[2]analyte_order!$C:$C)</f>
        <v>335-76-2</v>
      </c>
      <c r="M3308">
        <f>_xlfn.XLOOKUP(L3308,[2]analyte_order!$C:$C,[2]analyte_order!$E:$E)</f>
        <v>7</v>
      </c>
      <c r="N3308">
        <v>2.15</v>
      </c>
    </row>
    <row r="3309" spans="1:14">
      <c r="A3309" t="s">
        <v>128</v>
      </c>
      <c r="B3309" t="str">
        <f>_xlfn.XLOOKUP(A3309,'[1]Tissue Data'!$A:$A,'[1]Tissue Data'!$C:$C)</f>
        <v>Spill</v>
      </c>
      <c r="C3309" s="2">
        <f>_xlfn.XLOOKUP(A3309,'[1]Tissue Data'!$A:$A,'[1]Tissue Data'!$D:$D)</f>
        <v>44314</v>
      </c>
      <c r="D3309" s="2" t="s">
        <v>122</v>
      </c>
      <c r="E3309" t="str">
        <f>_xlfn.XLOOKUP(A3309,'[1]Tissue Data'!$A:$A,'[1]Tissue Data'!$H:$H)</f>
        <v>Etheostoma</v>
      </c>
      <c r="F3309" t="str">
        <f>_xlfn.XLOOKUP(A3309,'[1]Tissue Data'!$A:$A,'[1]Tissue Data'!$I:$I)</f>
        <v>fusiforme</v>
      </c>
      <c r="G3309" t="str">
        <f>_xlfn.XLOOKUP(A3309,'[1]Tissue Data'!$A:$A,'[1]Tissue Data'!J:J)</f>
        <v>U</v>
      </c>
      <c r="H3309" t="str">
        <f>_xlfn.XLOOKUP(A3309,'[1]Tissue Data'!$A:$A,'[1]Tissue Data'!K:K)</f>
        <v>Whole Body</v>
      </c>
      <c r="I3309">
        <f>_xlfn.XLOOKUP(A3309,'[1]Tissue Data'!$A:$A,'[1]Tissue Data'!L:L)</f>
        <v>7.5</v>
      </c>
      <c r="J3309">
        <f>_xlfn.XLOOKUP(A3309,'[1]Tissue Data'!$A:$A,'[1]Tissue Data'!M:M)</f>
        <v>5.4</v>
      </c>
      <c r="K3309" t="s">
        <v>19</v>
      </c>
      <c r="L3309" t="str">
        <f>_xlfn.XLOOKUP(K3309,[2]analyte_order!$B:$B,[2]analyte_order!$C:$C)</f>
        <v>2058-94-8</v>
      </c>
      <c r="M3309">
        <f>_xlfn.XLOOKUP(L3309,[2]analyte_order!$C:$C,[2]analyte_order!$E:$E)</f>
        <v>8</v>
      </c>
      <c r="N3309">
        <v>2.11</v>
      </c>
    </row>
    <row r="3310" spans="1:14">
      <c r="A3310" t="s">
        <v>128</v>
      </c>
      <c r="B3310" t="str">
        <f>_xlfn.XLOOKUP(A3310,'[1]Tissue Data'!$A:$A,'[1]Tissue Data'!$C:$C)</f>
        <v>Spill</v>
      </c>
      <c r="C3310" s="2">
        <f>_xlfn.XLOOKUP(A3310,'[1]Tissue Data'!$A:$A,'[1]Tissue Data'!$D:$D)</f>
        <v>44314</v>
      </c>
      <c r="D3310" s="2" t="s">
        <v>122</v>
      </c>
      <c r="E3310" t="str">
        <f>_xlfn.XLOOKUP(A3310,'[1]Tissue Data'!$A:$A,'[1]Tissue Data'!$H:$H)</f>
        <v>Etheostoma</v>
      </c>
      <c r="F3310" t="str">
        <f>_xlfn.XLOOKUP(A3310,'[1]Tissue Data'!$A:$A,'[1]Tissue Data'!$I:$I)</f>
        <v>fusiforme</v>
      </c>
      <c r="G3310" t="str">
        <f>_xlfn.XLOOKUP(A3310,'[1]Tissue Data'!$A:$A,'[1]Tissue Data'!J:J)</f>
        <v>U</v>
      </c>
      <c r="H3310" t="str">
        <f>_xlfn.XLOOKUP(A3310,'[1]Tissue Data'!$A:$A,'[1]Tissue Data'!K:K)</f>
        <v>Whole Body</v>
      </c>
      <c r="I3310">
        <f>_xlfn.XLOOKUP(A3310,'[1]Tissue Data'!$A:$A,'[1]Tissue Data'!L:L)</f>
        <v>7.5</v>
      </c>
      <c r="J3310">
        <f>_xlfn.XLOOKUP(A3310,'[1]Tissue Data'!$A:$A,'[1]Tissue Data'!M:M)</f>
        <v>5.4</v>
      </c>
      <c r="K3310" t="s">
        <v>20</v>
      </c>
      <c r="L3310" t="str">
        <f>_xlfn.XLOOKUP(K3310,[2]analyte_order!$B:$B,[2]analyte_order!$C:$C)</f>
        <v>307-55-1</v>
      </c>
      <c r="M3310">
        <f>_xlfn.XLOOKUP(L3310,[2]analyte_order!$C:$C,[2]analyte_order!$E:$E)</f>
        <v>9</v>
      </c>
      <c r="N3310">
        <v>3.05</v>
      </c>
    </row>
    <row r="3311" spans="1:14">
      <c r="A3311" t="s">
        <v>128</v>
      </c>
      <c r="B3311" t="str">
        <f>_xlfn.XLOOKUP(A3311,'[1]Tissue Data'!$A:$A,'[1]Tissue Data'!$C:$C)</f>
        <v>Spill</v>
      </c>
      <c r="C3311" s="2">
        <f>_xlfn.XLOOKUP(A3311,'[1]Tissue Data'!$A:$A,'[1]Tissue Data'!$D:$D)</f>
        <v>44314</v>
      </c>
      <c r="D3311" s="2" t="s">
        <v>122</v>
      </c>
      <c r="E3311" t="str">
        <f>_xlfn.XLOOKUP(A3311,'[1]Tissue Data'!$A:$A,'[1]Tissue Data'!$H:$H)</f>
        <v>Etheostoma</v>
      </c>
      <c r="F3311" t="str">
        <f>_xlfn.XLOOKUP(A3311,'[1]Tissue Data'!$A:$A,'[1]Tissue Data'!$I:$I)</f>
        <v>fusiforme</v>
      </c>
      <c r="G3311" t="str">
        <f>_xlfn.XLOOKUP(A3311,'[1]Tissue Data'!$A:$A,'[1]Tissue Data'!J:J)</f>
        <v>U</v>
      </c>
      <c r="H3311" t="str">
        <f>_xlfn.XLOOKUP(A3311,'[1]Tissue Data'!$A:$A,'[1]Tissue Data'!K:K)</f>
        <v>Whole Body</v>
      </c>
      <c r="I3311">
        <f>_xlfn.XLOOKUP(A3311,'[1]Tissue Data'!$A:$A,'[1]Tissue Data'!L:L)</f>
        <v>7.5</v>
      </c>
      <c r="J3311">
        <f>_xlfn.XLOOKUP(A3311,'[1]Tissue Data'!$A:$A,'[1]Tissue Data'!M:M)</f>
        <v>5.4</v>
      </c>
      <c r="K3311" t="s">
        <v>21</v>
      </c>
      <c r="L3311" t="str">
        <f>_xlfn.XLOOKUP(K3311,[2]analyte_order!$B:$B,[2]analyte_order!$C:$C)</f>
        <v>72629-94-8</v>
      </c>
      <c r="M3311">
        <f>_xlfn.XLOOKUP(L3311,[2]analyte_order!$C:$C,[2]analyte_order!$E:$E)</f>
        <v>10</v>
      </c>
      <c r="N3311">
        <v>1.1200000000000001</v>
      </c>
    </row>
    <row r="3312" spans="1:14">
      <c r="A3312" t="s">
        <v>128</v>
      </c>
      <c r="B3312" t="str">
        <f>_xlfn.XLOOKUP(A3312,'[1]Tissue Data'!$A:$A,'[1]Tissue Data'!$C:$C)</f>
        <v>Spill</v>
      </c>
      <c r="C3312" s="2">
        <f>_xlfn.XLOOKUP(A3312,'[1]Tissue Data'!$A:$A,'[1]Tissue Data'!$D:$D)</f>
        <v>44314</v>
      </c>
      <c r="D3312" s="2" t="s">
        <v>122</v>
      </c>
      <c r="E3312" t="str">
        <f>_xlfn.XLOOKUP(A3312,'[1]Tissue Data'!$A:$A,'[1]Tissue Data'!$H:$H)</f>
        <v>Etheostoma</v>
      </c>
      <c r="F3312" t="str">
        <f>_xlfn.XLOOKUP(A3312,'[1]Tissue Data'!$A:$A,'[1]Tissue Data'!$I:$I)</f>
        <v>fusiforme</v>
      </c>
      <c r="G3312" t="str">
        <f>_xlfn.XLOOKUP(A3312,'[1]Tissue Data'!$A:$A,'[1]Tissue Data'!J:J)</f>
        <v>U</v>
      </c>
      <c r="H3312" t="str">
        <f>_xlfn.XLOOKUP(A3312,'[1]Tissue Data'!$A:$A,'[1]Tissue Data'!K:K)</f>
        <v>Whole Body</v>
      </c>
      <c r="I3312">
        <f>_xlfn.XLOOKUP(A3312,'[1]Tissue Data'!$A:$A,'[1]Tissue Data'!L:L)</f>
        <v>7.5</v>
      </c>
      <c r="J3312">
        <f>_xlfn.XLOOKUP(A3312,'[1]Tissue Data'!$A:$A,'[1]Tissue Data'!M:M)</f>
        <v>5.4</v>
      </c>
      <c r="K3312" t="s">
        <v>22</v>
      </c>
      <c r="L3312" t="str">
        <f>_xlfn.XLOOKUP(K3312,[2]analyte_order!$B:$B,[2]analyte_order!$C:$C)</f>
        <v>376-06-7</v>
      </c>
      <c r="M3312">
        <f>_xlfn.XLOOKUP(L3312,[2]analyte_order!$C:$C,[2]analyte_order!$E:$E)</f>
        <v>11</v>
      </c>
      <c r="N3312">
        <v>1.75</v>
      </c>
    </row>
    <row r="3313" spans="1:14">
      <c r="A3313" t="s">
        <v>128</v>
      </c>
      <c r="B3313" t="str">
        <f>_xlfn.XLOOKUP(A3313,'[1]Tissue Data'!$A:$A,'[1]Tissue Data'!$C:$C)</f>
        <v>Spill</v>
      </c>
      <c r="C3313" s="2">
        <f>_xlfn.XLOOKUP(A3313,'[1]Tissue Data'!$A:$A,'[1]Tissue Data'!$D:$D)</f>
        <v>44314</v>
      </c>
      <c r="D3313" s="2" t="s">
        <v>122</v>
      </c>
      <c r="E3313" t="str">
        <f>_xlfn.XLOOKUP(A3313,'[1]Tissue Data'!$A:$A,'[1]Tissue Data'!$H:$H)</f>
        <v>Etheostoma</v>
      </c>
      <c r="F3313" t="str">
        <f>_xlfn.XLOOKUP(A3313,'[1]Tissue Data'!$A:$A,'[1]Tissue Data'!$I:$I)</f>
        <v>fusiforme</v>
      </c>
      <c r="G3313" t="str">
        <f>_xlfn.XLOOKUP(A3313,'[1]Tissue Data'!$A:$A,'[1]Tissue Data'!J:J)</f>
        <v>U</v>
      </c>
      <c r="H3313" t="str">
        <f>_xlfn.XLOOKUP(A3313,'[1]Tissue Data'!$A:$A,'[1]Tissue Data'!K:K)</f>
        <v>Whole Body</v>
      </c>
      <c r="I3313">
        <f>_xlfn.XLOOKUP(A3313,'[1]Tissue Data'!$A:$A,'[1]Tissue Data'!L:L)</f>
        <v>7.5</v>
      </c>
      <c r="J3313">
        <f>_xlfn.XLOOKUP(A3313,'[1]Tissue Data'!$A:$A,'[1]Tissue Data'!M:M)</f>
        <v>5.4</v>
      </c>
      <c r="K3313" t="s">
        <v>23</v>
      </c>
      <c r="L3313" t="str">
        <f>_xlfn.XLOOKUP(K3313,[2]analyte_order!$B:$B,[2]analyte_order!$C:$C)</f>
        <v>67905-19-5</v>
      </c>
      <c r="M3313">
        <f>_xlfn.XLOOKUP(L3313,[2]analyte_order!$C:$C,[2]analyte_order!$E:$E)</f>
        <v>12</v>
      </c>
      <c r="N3313">
        <v>7.9500000000000001E-2</v>
      </c>
    </row>
    <row r="3314" spans="1:14">
      <c r="A3314" t="s">
        <v>128</v>
      </c>
      <c r="B3314" t="str">
        <f>_xlfn.XLOOKUP(A3314,'[1]Tissue Data'!$A:$A,'[1]Tissue Data'!$C:$C)</f>
        <v>Spill</v>
      </c>
      <c r="C3314" s="2">
        <f>_xlfn.XLOOKUP(A3314,'[1]Tissue Data'!$A:$A,'[1]Tissue Data'!$D:$D)</f>
        <v>44314</v>
      </c>
      <c r="D3314" s="2" t="s">
        <v>122</v>
      </c>
      <c r="E3314" t="str">
        <f>_xlfn.XLOOKUP(A3314,'[1]Tissue Data'!$A:$A,'[1]Tissue Data'!$H:$H)</f>
        <v>Etheostoma</v>
      </c>
      <c r="F3314" t="str">
        <f>_xlfn.XLOOKUP(A3314,'[1]Tissue Data'!$A:$A,'[1]Tissue Data'!$I:$I)</f>
        <v>fusiforme</v>
      </c>
      <c r="G3314" t="str">
        <f>_xlfn.XLOOKUP(A3314,'[1]Tissue Data'!$A:$A,'[1]Tissue Data'!J:J)</f>
        <v>U</v>
      </c>
      <c r="H3314" t="str">
        <f>_xlfn.XLOOKUP(A3314,'[1]Tissue Data'!$A:$A,'[1]Tissue Data'!K:K)</f>
        <v>Whole Body</v>
      </c>
      <c r="I3314">
        <f>_xlfn.XLOOKUP(A3314,'[1]Tissue Data'!$A:$A,'[1]Tissue Data'!L:L)</f>
        <v>7.5</v>
      </c>
      <c r="J3314">
        <f>_xlfn.XLOOKUP(A3314,'[1]Tissue Data'!$A:$A,'[1]Tissue Data'!M:M)</f>
        <v>5.4</v>
      </c>
      <c r="K3314" t="s">
        <v>24</v>
      </c>
      <c r="L3314" t="str">
        <f>_xlfn.XLOOKUP(K3314,[2]analyte_order!$B:$B,[2]analyte_order!$C:$C)</f>
        <v>423-41-6</v>
      </c>
      <c r="M3314">
        <f>_xlfn.XLOOKUP(L3314,[2]analyte_order!$C:$C,[2]analyte_order!$E:$E)</f>
        <v>53</v>
      </c>
      <c r="N3314">
        <v>5.0999999999999997E-2</v>
      </c>
    </row>
    <row r="3315" spans="1:14">
      <c r="A3315" t="s">
        <v>128</v>
      </c>
      <c r="B3315" t="str">
        <f>_xlfn.XLOOKUP(A3315,'[1]Tissue Data'!$A:$A,'[1]Tissue Data'!$C:$C)</f>
        <v>Spill</v>
      </c>
      <c r="C3315" s="2">
        <f>_xlfn.XLOOKUP(A3315,'[1]Tissue Data'!$A:$A,'[1]Tissue Data'!$D:$D)</f>
        <v>44314</v>
      </c>
      <c r="D3315" s="2" t="s">
        <v>122</v>
      </c>
      <c r="E3315" t="str">
        <f>_xlfn.XLOOKUP(A3315,'[1]Tissue Data'!$A:$A,'[1]Tissue Data'!$H:$H)</f>
        <v>Etheostoma</v>
      </c>
      <c r="F3315" t="str">
        <f>_xlfn.XLOOKUP(A3315,'[1]Tissue Data'!$A:$A,'[1]Tissue Data'!$I:$I)</f>
        <v>fusiforme</v>
      </c>
      <c r="G3315" t="str">
        <f>_xlfn.XLOOKUP(A3315,'[1]Tissue Data'!$A:$A,'[1]Tissue Data'!J:J)</f>
        <v>U</v>
      </c>
      <c r="H3315" t="str">
        <f>_xlfn.XLOOKUP(A3315,'[1]Tissue Data'!$A:$A,'[1]Tissue Data'!K:K)</f>
        <v>Whole Body</v>
      </c>
      <c r="I3315">
        <f>_xlfn.XLOOKUP(A3315,'[1]Tissue Data'!$A:$A,'[1]Tissue Data'!L:L)</f>
        <v>7.5</v>
      </c>
      <c r="J3315">
        <f>_xlfn.XLOOKUP(A3315,'[1]Tissue Data'!$A:$A,'[1]Tissue Data'!M:M)</f>
        <v>5.4</v>
      </c>
      <c r="K3315" t="s">
        <v>25</v>
      </c>
      <c r="L3315" t="str">
        <f>_xlfn.XLOOKUP(K3315,[2]analyte_order!$B:$B,[2]analyte_order!$C:$C)</f>
        <v>375-73-5</v>
      </c>
      <c r="M3315">
        <f>_xlfn.XLOOKUP(L3315,[2]analyte_order!$C:$C,[2]analyte_order!$E:$E)</f>
        <v>14</v>
      </c>
      <c r="N3315">
        <v>0.15</v>
      </c>
    </row>
    <row r="3316" spans="1:14">
      <c r="A3316" t="s">
        <v>128</v>
      </c>
      <c r="B3316" t="str">
        <f>_xlfn.XLOOKUP(A3316,'[1]Tissue Data'!$A:$A,'[1]Tissue Data'!$C:$C)</f>
        <v>Spill</v>
      </c>
      <c r="C3316" s="2">
        <f>_xlfn.XLOOKUP(A3316,'[1]Tissue Data'!$A:$A,'[1]Tissue Data'!$D:$D)</f>
        <v>44314</v>
      </c>
      <c r="D3316" s="2" t="s">
        <v>122</v>
      </c>
      <c r="E3316" t="str">
        <f>_xlfn.XLOOKUP(A3316,'[1]Tissue Data'!$A:$A,'[1]Tissue Data'!$H:$H)</f>
        <v>Etheostoma</v>
      </c>
      <c r="F3316" t="str">
        <f>_xlfn.XLOOKUP(A3316,'[1]Tissue Data'!$A:$A,'[1]Tissue Data'!$I:$I)</f>
        <v>fusiforme</v>
      </c>
      <c r="G3316" t="str">
        <f>_xlfn.XLOOKUP(A3316,'[1]Tissue Data'!$A:$A,'[1]Tissue Data'!J:J)</f>
        <v>U</v>
      </c>
      <c r="H3316" t="str">
        <f>_xlfn.XLOOKUP(A3316,'[1]Tissue Data'!$A:$A,'[1]Tissue Data'!K:K)</f>
        <v>Whole Body</v>
      </c>
      <c r="I3316">
        <f>_xlfn.XLOOKUP(A3316,'[1]Tissue Data'!$A:$A,'[1]Tissue Data'!L:L)</f>
        <v>7.5</v>
      </c>
      <c r="J3316">
        <f>_xlfn.XLOOKUP(A3316,'[1]Tissue Data'!$A:$A,'[1]Tissue Data'!M:M)</f>
        <v>5.4</v>
      </c>
      <c r="K3316" t="s">
        <v>26</v>
      </c>
      <c r="L3316" t="str">
        <f>_xlfn.XLOOKUP(K3316,[2]analyte_order!$B:$B,[2]analyte_order!$C:$C)</f>
        <v>2706-91-4</v>
      </c>
      <c r="M3316">
        <f>_xlfn.XLOOKUP(L3316,[2]analyte_order!$C:$C,[2]analyte_order!$E:$E)</f>
        <v>15</v>
      </c>
      <c r="N3316">
        <v>0.11650000000000001</v>
      </c>
    </row>
    <row r="3317" spans="1:14">
      <c r="A3317" t="s">
        <v>128</v>
      </c>
      <c r="B3317" t="str">
        <f>_xlfn.XLOOKUP(A3317,'[1]Tissue Data'!$A:$A,'[1]Tissue Data'!$C:$C)</f>
        <v>Spill</v>
      </c>
      <c r="C3317" s="2">
        <f>_xlfn.XLOOKUP(A3317,'[1]Tissue Data'!$A:$A,'[1]Tissue Data'!$D:$D)</f>
        <v>44314</v>
      </c>
      <c r="D3317" s="2" t="s">
        <v>122</v>
      </c>
      <c r="E3317" t="str">
        <f>_xlfn.XLOOKUP(A3317,'[1]Tissue Data'!$A:$A,'[1]Tissue Data'!$H:$H)</f>
        <v>Etheostoma</v>
      </c>
      <c r="F3317" t="str">
        <f>_xlfn.XLOOKUP(A3317,'[1]Tissue Data'!$A:$A,'[1]Tissue Data'!$I:$I)</f>
        <v>fusiforme</v>
      </c>
      <c r="G3317" t="str">
        <f>_xlfn.XLOOKUP(A3317,'[1]Tissue Data'!$A:$A,'[1]Tissue Data'!J:J)</f>
        <v>U</v>
      </c>
      <c r="H3317" t="str">
        <f>_xlfn.XLOOKUP(A3317,'[1]Tissue Data'!$A:$A,'[1]Tissue Data'!K:K)</f>
        <v>Whole Body</v>
      </c>
      <c r="I3317">
        <f>_xlfn.XLOOKUP(A3317,'[1]Tissue Data'!$A:$A,'[1]Tissue Data'!L:L)</f>
        <v>7.5</v>
      </c>
      <c r="J3317">
        <f>_xlfn.XLOOKUP(A3317,'[1]Tissue Data'!$A:$A,'[1]Tissue Data'!M:M)</f>
        <v>5.4</v>
      </c>
      <c r="K3317" t="s">
        <v>27</v>
      </c>
      <c r="L3317" t="str">
        <f>_xlfn.XLOOKUP(K3317,[2]analyte_order!$B:$B,[2]analyte_order!$C:$C)</f>
        <v>355-46-4</v>
      </c>
      <c r="M3317">
        <f>_xlfn.XLOOKUP(L3317,[2]analyte_order!$C:$C,[2]analyte_order!$E:$E)</f>
        <v>16</v>
      </c>
      <c r="N3317">
        <v>11.5</v>
      </c>
    </row>
    <row r="3318" spans="1:14">
      <c r="A3318" t="s">
        <v>128</v>
      </c>
      <c r="B3318" t="str">
        <f>_xlfn.XLOOKUP(A3318,'[1]Tissue Data'!$A:$A,'[1]Tissue Data'!$C:$C)</f>
        <v>Spill</v>
      </c>
      <c r="C3318" s="2">
        <f>_xlfn.XLOOKUP(A3318,'[1]Tissue Data'!$A:$A,'[1]Tissue Data'!$D:$D)</f>
        <v>44314</v>
      </c>
      <c r="D3318" s="2" t="s">
        <v>122</v>
      </c>
      <c r="E3318" t="str">
        <f>_xlfn.XLOOKUP(A3318,'[1]Tissue Data'!$A:$A,'[1]Tissue Data'!$H:$H)</f>
        <v>Etheostoma</v>
      </c>
      <c r="F3318" t="str">
        <f>_xlfn.XLOOKUP(A3318,'[1]Tissue Data'!$A:$A,'[1]Tissue Data'!$I:$I)</f>
        <v>fusiforme</v>
      </c>
      <c r="G3318" t="str">
        <f>_xlfn.XLOOKUP(A3318,'[1]Tissue Data'!$A:$A,'[1]Tissue Data'!J:J)</f>
        <v>U</v>
      </c>
      <c r="H3318" t="str">
        <f>_xlfn.XLOOKUP(A3318,'[1]Tissue Data'!$A:$A,'[1]Tissue Data'!K:K)</f>
        <v>Whole Body</v>
      </c>
      <c r="I3318">
        <f>_xlfn.XLOOKUP(A3318,'[1]Tissue Data'!$A:$A,'[1]Tissue Data'!L:L)</f>
        <v>7.5</v>
      </c>
      <c r="J3318">
        <f>_xlfn.XLOOKUP(A3318,'[1]Tissue Data'!$A:$A,'[1]Tissue Data'!M:M)</f>
        <v>5.4</v>
      </c>
      <c r="K3318" t="s">
        <v>28</v>
      </c>
      <c r="L3318" t="str">
        <f>_xlfn.XLOOKUP(K3318,[2]analyte_order!$B:$B,[2]analyte_order!$C:$C)</f>
        <v>375-92-8</v>
      </c>
      <c r="M3318">
        <f>_xlfn.XLOOKUP(L3318,[2]analyte_order!$C:$C,[2]analyte_order!$E:$E)</f>
        <v>17</v>
      </c>
      <c r="N3318">
        <v>2.86</v>
      </c>
    </row>
    <row r="3319" spans="1:14">
      <c r="A3319" t="s">
        <v>128</v>
      </c>
      <c r="B3319" t="str">
        <f>_xlfn.XLOOKUP(A3319,'[1]Tissue Data'!$A:$A,'[1]Tissue Data'!$C:$C)</f>
        <v>Spill</v>
      </c>
      <c r="C3319" s="2">
        <f>_xlfn.XLOOKUP(A3319,'[1]Tissue Data'!$A:$A,'[1]Tissue Data'!$D:$D)</f>
        <v>44314</v>
      </c>
      <c r="D3319" s="2" t="s">
        <v>122</v>
      </c>
      <c r="E3319" t="str">
        <f>_xlfn.XLOOKUP(A3319,'[1]Tissue Data'!$A:$A,'[1]Tissue Data'!$H:$H)</f>
        <v>Etheostoma</v>
      </c>
      <c r="F3319" t="str">
        <f>_xlfn.XLOOKUP(A3319,'[1]Tissue Data'!$A:$A,'[1]Tissue Data'!$I:$I)</f>
        <v>fusiforme</v>
      </c>
      <c r="G3319" t="str">
        <f>_xlfn.XLOOKUP(A3319,'[1]Tissue Data'!$A:$A,'[1]Tissue Data'!J:J)</f>
        <v>U</v>
      </c>
      <c r="H3319" t="str">
        <f>_xlfn.XLOOKUP(A3319,'[1]Tissue Data'!$A:$A,'[1]Tissue Data'!K:K)</f>
        <v>Whole Body</v>
      </c>
      <c r="I3319">
        <f>_xlfn.XLOOKUP(A3319,'[1]Tissue Data'!$A:$A,'[1]Tissue Data'!L:L)</f>
        <v>7.5</v>
      </c>
      <c r="J3319">
        <f>_xlfn.XLOOKUP(A3319,'[1]Tissue Data'!$A:$A,'[1]Tissue Data'!M:M)</f>
        <v>5.4</v>
      </c>
      <c r="K3319" t="s">
        <v>29</v>
      </c>
      <c r="L3319" t="str">
        <f>_xlfn.XLOOKUP(K3319,[2]analyte_order!$B:$B,[2]analyte_order!$C:$C)</f>
        <v>1763-23-1</v>
      </c>
      <c r="M3319">
        <f>_xlfn.XLOOKUP(L3319,[2]analyte_order!$C:$C,[2]analyte_order!$E:$E)</f>
        <v>18</v>
      </c>
      <c r="N3319">
        <v>513</v>
      </c>
    </row>
    <row r="3320" spans="1:14">
      <c r="A3320" t="s">
        <v>128</v>
      </c>
      <c r="B3320" t="str">
        <f>_xlfn.XLOOKUP(A3320,'[1]Tissue Data'!$A:$A,'[1]Tissue Data'!$C:$C)</f>
        <v>Spill</v>
      </c>
      <c r="C3320" s="2">
        <f>_xlfn.XLOOKUP(A3320,'[1]Tissue Data'!$A:$A,'[1]Tissue Data'!$D:$D)</f>
        <v>44314</v>
      </c>
      <c r="D3320" s="2" t="s">
        <v>122</v>
      </c>
      <c r="E3320" t="str">
        <f>_xlfn.XLOOKUP(A3320,'[1]Tissue Data'!$A:$A,'[1]Tissue Data'!$H:$H)</f>
        <v>Etheostoma</v>
      </c>
      <c r="F3320" t="str">
        <f>_xlfn.XLOOKUP(A3320,'[1]Tissue Data'!$A:$A,'[1]Tissue Data'!$I:$I)</f>
        <v>fusiforme</v>
      </c>
      <c r="G3320" t="str">
        <f>_xlfn.XLOOKUP(A3320,'[1]Tissue Data'!$A:$A,'[1]Tissue Data'!J:J)</f>
        <v>U</v>
      </c>
      <c r="H3320" t="str">
        <f>_xlfn.XLOOKUP(A3320,'[1]Tissue Data'!$A:$A,'[1]Tissue Data'!K:K)</f>
        <v>Whole Body</v>
      </c>
      <c r="I3320">
        <f>_xlfn.XLOOKUP(A3320,'[1]Tissue Data'!$A:$A,'[1]Tissue Data'!L:L)</f>
        <v>7.5</v>
      </c>
      <c r="J3320">
        <f>_xlfn.XLOOKUP(A3320,'[1]Tissue Data'!$A:$A,'[1]Tissue Data'!M:M)</f>
        <v>5.4</v>
      </c>
      <c r="K3320" t="s">
        <v>30</v>
      </c>
      <c r="L3320" t="str">
        <f>_xlfn.XLOOKUP(K3320,[2]analyte_order!$B:$B,[2]analyte_order!$C:$C)</f>
        <v>68259-12-1</v>
      </c>
      <c r="M3320">
        <f>_xlfn.XLOOKUP(L3320,[2]analyte_order!$C:$C,[2]analyte_order!$E:$E)</f>
        <v>19</v>
      </c>
      <c r="N3320">
        <v>0.96899999999999997</v>
      </c>
    </row>
    <row r="3321" spans="1:14">
      <c r="A3321" t="s">
        <v>128</v>
      </c>
      <c r="B3321" t="str">
        <f>_xlfn.XLOOKUP(A3321,'[1]Tissue Data'!$A:$A,'[1]Tissue Data'!$C:$C)</f>
        <v>Spill</v>
      </c>
      <c r="C3321" s="2">
        <f>_xlfn.XLOOKUP(A3321,'[1]Tissue Data'!$A:$A,'[1]Tissue Data'!$D:$D)</f>
        <v>44314</v>
      </c>
      <c r="D3321" s="2" t="s">
        <v>122</v>
      </c>
      <c r="E3321" t="str">
        <f>_xlfn.XLOOKUP(A3321,'[1]Tissue Data'!$A:$A,'[1]Tissue Data'!$H:$H)</f>
        <v>Etheostoma</v>
      </c>
      <c r="F3321" t="str">
        <f>_xlfn.XLOOKUP(A3321,'[1]Tissue Data'!$A:$A,'[1]Tissue Data'!$I:$I)</f>
        <v>fusiforme</v>
      </c>
      <c r="G3321" t="str">
        <f>_xlfn.XLOOKUP(A3321,'[1]Tissue Data'!$A:$A,'[1]Tissue Data'!J:J)</f>
        <v>U</v>
      </c>
      <c r="H3321" t="str">
        <f>_xlfn.XLOOKUP(A3321,'[1]Tissue Data'!$A:$A,'[1]Tissue Data'!K:K)</f>
        <v>Whole Body</v>
      </c>
      <c r="I3321">
        <f>_xlfn.XLOOKUP(A3321,'[1]Tissue Data'!$A:$A,'[1]Tissue Data'!L:L)</f>
        <v>7.5</v>
      </c>
      <c r="J3321">
        <f>_xlfn.XLOOKUP(A3321,'[1]Tissue Data'!$A:$A,'[1]Tissue Data'!M:M)</f>
        <v>5.4</v>
      </c>
      <c r="K3321" t="s">
        <v>31</v>
      </c>
      <c r="L3321" t="str">
        <f>_xlfn.XLOOKUP(K3321,[2]analyte_order!$B:$B,[2]analyte_order!$C:$C)</f>
        <v>335-77-3</v>
      </c>
      <c r="M3321">
        <f>_xlfn.XLOOKUP(L3321,[2]analyte_order!$C:$C,[2]analyte_order!$E:$E)</f>
        <v>20</v>
      </c>
      <c r="N3321">
        <v>0.65100000000000002</v>
      </c>
    </row>
    <row r="3322" spans="1:14">
      <c r="A3322" t="s">
        <v>128</v>
      </c>
      <c r="B3322" t="str">
        <f>_xlfn.XLOOKUP(A3322,'[1]Tissue Data'!$A:$A,'[1]Tissue Data'!$C:$C)</f>
        <v>Spill</v>
      </c>
      <c r="C3322" s="2">
        <f>_xlfn.XLOOKUP(A3322,'[1]Tissue Data'!$A:$A,'[1]Tissue Data'!$D:$D)</f>
        <v>44314</v>
      </c>
      <c r="D3322" s="2" t="s">
        <v>122</v>
      </c>
      <c r="E3322" t="str">
        <f>_xlfn.XLOOKUP(A3322,'[1]Tissue Data'!$A:$A,'[1]Tissue Data'!$H:$H)</f>
        <v>Etheostoma</v>
      </c>
      <c r="F3322" t="str">
        <f>_xlfn.XLOOKUP(A3322,'[1]Tissue Data'!$A:$A,'[1]Tissue Data'!$I:$I)</f>
        <v>fusiforme</v>
      </c>
      <c r="G3322" t="str">
        <f>_xlfn.XLOOKUP(A3322,'[1]Tissue Data'!$A:$A,'[1]Tissue Data'!J:J)</f>
        <v>U</v>
      </c>
      <c r="H3322" t="str">
        <f>_xlfn.XLOOKUP(A3322,'[1]Tissue Data'!$A:$A,'[1]Tissue Data'!K:K)</f>
        <v>Whole Body</v>
      </c>
      <c r="I3322">
        <f>_xlfn.XLOOKUP(A3322,'[1]Tissue Data'!$A:$A,'[1]Tissue Data'!L:L)</f>
        <v>7.5</v>
      </c>
      <c r="J3322">
        <f>_xlfn.XLOOKUP(A3322,'[1]Tissue Data'!$A:$A,'[1]Tissue Data'!M:M)</f>
        <v>5.4</v>
      </c>
      <c r="K3322" t="s">
        <v>32</v>
      </c>
      <c r="L3322" t="str">
        <f>_xlfn.XLOOKUP(K3322,[2]analyte_order!$B:$B,[2]analyte_order!$C:$C)</f>
        <v>79780-39-5</v>
      </c>
      <c r="M3322">
        <f>_xlfn.XLOOKUP(L3322,[2]analyte_order!$C:$C,[2]analyte_order!$E:$E)</f>
        <v>21</v>
      </c>
      <c r="N3322">
        <v>0.23549999999999999</v>
      </c>
    </row>
    <row r="3323" spans="1:14">
      <c r="A3323" t="s">
        <v>128</v>
      </c>
      <c r="B3323" t="str">
        <f>_xlfn.XLOOKUP(A3323,'[1]Tissue Data'!$A:$A,'[1]Tissue Data'!$C:$C)</f>
        <v>Spill</v>
      </c>
      <c r="C3323" s="2">
        <f>_xlfn.XLOOKUP(A3323,'[1]Tissue Data'!$A:$A,'[1]Tissue Data'!$D:$D)</f>
        <v>44314</v>
      </c>
      <c r="D3323" s="2" t="s">
        <v>122</v>
      </c>
      <c r="E3323" t="str">
        <f>_xlfn.XLOOKUP(A3323,'[1]Tissue Data'!$A:$A,'[1]Tissue Data'!$H:$H)</f>
        <v>Etheostoma</v>
      </c>
      <c r="F3323" t="str">
        <f>_xlfn.XLOOKUP(A3323,'[1]Tissue Data'!$A:$A,'[1]Tissue Data'!$I:$I)</f>
        <v>fusiforme</v>
      </c>
      <c r="G3323" t="str">
        <f>_xlfn.XLOOKUP(A3323,'[1]Tissue Data'!$A:$A,'[1]Tissue Data'!J:J)</f>
        <v>U</v>
      </c>
      <c r="H3323" t="str">
        <f>_xlfn.XLOOKUP(A3323,'[1]Tissue Data'!$A:$A,'[1]Tissue Data'!K:K)</f>
        <v>Whole Body</v>
      </c>
      <c r="I3323">
        <f>_xlfn.XLOOKUP(A3323,'[1]Tissue Data'!$A:$A,'[1]Tissue Data'!L:L)</f>
        <v>7.5</v>
      </c>
      <c r="J3323">
        <f>_xlfn.XLOOKUP(A3323,'[1]Tissue Data'!$A:$A,'[1]Tissue Data'!M:M)</f>
        <v>5.4</v>
      </c>
      <c r="K3323" t="s">
        <v>33</v>
      </c>
      <c r="L3323" t="str">
        <f>_xlfn.XLOOKUP(K3323,[2]analyte_order!$B:$B,[2]analyte_order!$C:$C)</f>
        <v>777011-38-8</v>
      </c>
      <c r="M3323">
        <f>_xlfn.XLOOKUP(L3323,[2]analyte_order!$C:$C,[2]analyte_order!$E:$E)</f>
        <v>54</v>
      </c>
      <c r="N3323">
        <v>0.13350000000000001</v>
      </c>
    </row>
    <row r="3324" spans="1:14">
      <c r="A3324" t="s">
        <v>128</v>
      </c>
      <c r="B3324" t="str">
        <f>_xlfn.XLOOKUP(A3324,'[1]Tissue Data'!$A:$A,'[1]Tissue Data'!$C:$C)</f>
        <v>Spill</v>
      </c>
      <c r="C3324" s="2">
        <f>_xlfn.XLOOKUP(A3324,'[1]Tissue Data'!$A:$A,'[1]Tissue Data'!$D:$D)</f>
        <v>44314</v>
      </c>
      <c r="D3324" s="2" t="s">
        <v>122</v>
      </c>
      <c r="E3324" t="str">
        <f>_xlfn.XLOOKUP(A3324,'[1]Tissue Data'!$A:$A,'[1]Tissue Data'!$H:$H)</f>
        <v>Etheostoma</v>
      </c>
      <c r="F3324" t="str">
        <f>_xlfn.XLOOKUP(A3324,'[1]Tissue Data'!$A:$A,'[1]Tissue Data'!$I:$I)</f>
        <v>fusiforme</v>
      </c>
      <c r="G3324" t="str">
        <f>_xlfn.XLOOKUP(A3324,'[1]Tissue Data'!$A:$A,'[1]Tissue Data'!J:J)</f>
        <v>U</v>
      </c>
      <c r="H3324" t="str">
        <f>_xlfn.XLOOKUP(A3324,'[1]Tissue Data'!$A:$A,'[1]Tissue Data'!K:K)</f>
        <v>Whole Body</v>
      </c>
      <c r="I3324">
        <f>_xlfn.XLOOKUP(A3324,'[1]Tissue Data'!$A:$A,'[1]Tissue Data'!L:L)</f>
        <v>7.5</v>
      </c>
      <c r="J3324">
        <f>_xlfn.XLOOKUP(A3324,'[1]Tissue Data'!$A:$A,'[1]Tissue Data'!M:M)</f>
        <v>5.4</v>
      </c>
      <c r="K3324" t="s">
        <v>34</v>
      </c>
      <c r="L3324" t="str">
        <f>_xlfn.XLOOKUP(K3324,[2]analyte_order!$B:$B,[2]analyte_order!$C:$C)</f>
        <v>646-83-3</v>
      </c>
      <c r="M3324">
        <f>_xlfn.XLOOKUP(L3324,[2]analyte_order!$C:$C,[2]analyte_order!$E:$E)</f>
        <v>55</v>
      </c>
      <c r="N3324">
        <v>0.26700000000000002</v>
      </c>
    </row>
    <row r="3325" spans="1:14">
      <c r="A3325" t="s">
        <v>128</v>
      </c>
      <c r="B3325" t="str">
        <f>_xlfn.XLOOKUP(A3325,'[1]Tissue Data'!$A:$A,'[1]Tissue Data'!$C:$C)</f>
        <v>Spill</v>
      </c>
      <c r="C3325" s="2">
        <f>_xlfn.XLOOKUP(A3325,'[1]Tissue Data'!$A:$A,'[1]Tissue Data'!$D:$D)</f>
        <v>44314</v>
      </c>
      <c r="D3325" s="2" t="s">
        <v>122</v>
      </c>
      <c r="E3325" t="str">
        <f>_xlfn.XLOOKUP(A3325,'[1]Tissue Data'!$A:$A,'[1]Tissue Data'!$H:$H)</f>
        <v>Etheostoma</v>
      </c>
      <c r="F3325" t="str">
        <f>_xlfn.XLOOKUP(A3325,'[1]Tissue Data'!$A:$A,'[1]Tissue Data'!$I:$I)</f>
        <v>fusiforme</v>
      </c>
      <c r="G3325" t="str">
        <f>_xlfn.XLOOKUP(A3325,'[1]Tissue Data'!$A:$A,'[1]Tissue Data'!J:J)</f>
        <v>U</v>
      </c>
      <c r="H3325" t="str">
        <f>_xlfn.XLOOKUP(A3325,'[1]Tissue Data'!$A:$A,'[1]Tissue Data'!K:K)</f>
        <v>Whole Body</v>
      </c>
      <c r="I3325">
        <f>_xlfn.XLOOKUP(A3325,'[1]Tissue Data'!$A:$A,'[1]Tissue Data'!L:L)</f>
        <v>7.5</v>
      </c>
      <c r="J3325">
        <f>_xlfn.XLOOKUP(A3325,'[1]Tissue Data'!$A:$A,'[1]Tissue Data'!M:M)</f>
        <v>5.4</v>
      </c>
      <c r="K3325" t="s">
        <v>35</v>
      </c>
      <c r="L3325" t="str">
        <f>_xlfn.XLOOKUP(K3325,[2]analyte_order!$B:$B,[2]analyte_order!$C:$C)</f>
        <v>30334-69-1</v>
      </c>
      <c r="M3325">
        <f>_xlfn.XLOOKUP(L3325,[2]analyte_order!$C:$C,[2]analyte_order!$E:$E)</f>
        <v>51</v>
      </c>
      <c r="N3325">
        <v>10.3</v>
      </c>
    </row>
    <row r="3326" spans="1:14">
      <c r="A3326" t="s">
        <v>128</v>
      </c>
      <c r="B3326" t="str">
        <f>_xlfn.XLOOKUP(A3326,'[1]Tissue Data'!$A:$A,'[1]Tissue Data'!$C:$C)</f>
        <v>Spill</v>
      </c>
      <c r="C3326" s="2">
        <f>_xlfn.XLOOKUP(A3326,'[1]Tissue Data'!$A:$A,'[1]Tissue Data'!$D:$D)</f>
        <v>44314</v>
      </c>
      <c r="D3326" s="2" t="s">
        <v>122</v>
      </c>
      <c r="E3326" t="str">
        <f>_xlfn.XLOOKUP(A3326,'[1]Tissue Data'!$A:$A,'[1]Tissue Data'!$H:$H)</f>
        <v>Etheostoma</v>
      </c>
      <c r="F3326" t="str">
        <f>_xlfn.XLOOKUP(A3326,'[1]Tissue Data'!$A:$A,'[1]Tissue Data'!$I:$I)</f>
        <v>fusiforme</v>
      </c>
      <c r="G3326" t="str">
        <f>_xlfn.XLOOKUP(A3326,'[1]Tissue Data'!$A:$A,'[1]Tissue Data'!J:J)</f>
        <v>U</v>
      </c>
      <c r="H3326" t="str">
        <f>_xlfn.XLOOKUP(A3326,'[1]Tissue Data'!$A:$A,'[1]Tissue Data'!K:K)</f>
        <v>Whole Body</v>
      </c>
      <c r="I3326">
        <f>_xlfn.XLOOKUP(A3326,'[1]Tissue Data'!$A:$A,'[1]Tissue Data'!L:L)</f>
        <v>7.5</v>
      </c>
      <c r="J3326">
        <f>_xlfn.XLOOKUP(A3326,'[1]Tissue Data'!$A:$A,'[1]Tissue Data'!M:M)</f>
        <v>5.4</v>
      </c>
      <c r="K3326" t="s">
        <v>36</v>
      </c>
      <c r="L3326" t="str">
        <f>_xlfn.XLOOKUP(K3326,[2]analyte_order!$B:$B,[2]analyte_order!$C:$C)</f>
        <v>41997-13-1</v>
      </c>
      <c r="M3326">
        <f>_xlfn.XLOOKUP(L3326,[2]analyte_order!$C:$C,[2]analyte_order!$E:$E)</f>
        <v>52</v>
      </c>
      <c r="N3326">
        <v>113</v>
      </c>
    </row>
    <row r="3327" spans="1:14">
      <c r="A3327" t="s">
        <v>128</v>
      </c>
      <c r="B3327" t="str">
        <f>_xlfn.XLOOKUP(A3327,'[1]Tissue Data'!$A:$A,'[1]Tissue Data'!$C:$C)</f>
        <v>Spill</v>
      </c>
      <c r="C3327" s="2">
        <f>_xlfn.XLOOKUP(A3327,'[1]Tissue Data'!$A:$A,'[1]Tissue Data'!$D:$D)</f>
        <v>44314</v>
      </c>
      <c r="D3327" s="2" t="s">
        <v>122</v>
      </c>
      <c r="E3327" t="str">
        <f>_xlfn.XLOOKUP(A3327,'[1]Tissue Data'!$A:$A,'[1]Tissue Data'!$H:$H)</f>
        <v>Etheostoma</v>
      </c>
      <c r="F3327" t="str">
        <f>_xlfn.XLOOKUP(A3327,'[1]Tissue Data'!$A:$A,'[1]Tissue Data'!$I:$I)</f>
        <v>fusiforme</v>
      </c>
      <c r="G3327" t="str">
        <f>_xlfn.XLOOKUP(A3327,'[1]Tissue Data'!$A:$A,'[1]Tissue Data'!J:J)</f>
        <v>U</v>
      </c>
      <c r="H3327" t="str">
        <f>_xlfn.XLOOKUP(A3327,'[1]Tissue Data'!$A:$A,'[1]Tissue Data'!K:K)</f>
        <v>Whole Body</v>
      </c>
      <c r="I3327">
        <f>_xlfn.XLOOKUP(A3327,'[1]Tissue Data'!$A:$A,'[1]Tissue Data'!L:L)</f>
        <v>7.5</v>
      </c>
      <c r="J3327">
        <f>_xlfn.XLOOKUP(A3327,'[1]Tissue Data'!$A:$A,'[1]Tissue Data'!M:M)</f>
        <v>5.4</v>
      </c>
      <c r="K3327" t="s">
        <v>37</v>
      </c>
      <c r="L3327" t="str">
        <f>_xlfn.XLOOKUP(K3327,[2]analyte_order!$B:$B,[2]analyte_order!$C:$C)</f>
        <v>754-91-6</v>
      </c>
      <c r="M3327">
        <f>_xlfn.XLOOKUP(L3327,[2]analyte_order!$C:$C,[2]analyte_order!$E:$E)</f>
        <v>28</v>
      </c>
      <c r="N3327">
        <v>32.4</v>
      </c>
    </row>
    <row r="3328" spans="1:14">
      <c r="A3328" t="s">
        <v>128</v>
      </c>
      <c r="B3328" t="str">
        <f>_xlfn.XLOOKUP(A3328,'[1]Tissue Data'!$A:$A,'[1]Tissue Data'!$C:$C)</f>
        <v>Spill</v>
      </c>
      <c r="C3328" s="2">
        <f>_xlfn.XLOOKUP(A3328,'[1]Tissue Data'!$A:$A,'[1]Tissue Data'!$D:$D)</f>
        <v>44314</v>
      </c>
      <c r="D3328" s="2" t="s">
        <v>122</v>
      </c>
      <c r="E3328" t="str">
        <f>_xlfn.XLOOKUP(A3328,'[1]Tissue Data'!$A:$A,'[1]Tissue Data'!$H:$H)</f>
        <v>Etheostoma</v>
      </c>
      <c r="F3328" t="str">
        <f>_xlfn.XLOOKUP(A3328,'[1]Tissue Data'!$A:$A,'[1]Tissue Data'!$I:$I)</f>
        <v>fusiforme</v>
      </c>
      <c r="G3328" t="str">
        <f>_xlfn.XLOOKUP(A3328,'[1]Tissue Data'!$A:$A,'[1]Tissue Data'!J:J)</f>
        <v>U</v>
      </c>
      <c r="H3328" t="str">
        <f>_xlfn.XLOOKUP(A3328,'[1]Tissue Data'!$A:$A,'[1]Tissue Data'!K:K)</f>
        <v>Whole Body</v>
      </c>
      <c r="I3328">
        <f>_xlfn.XLOOKUP(A3328,'[1]Tissue Data'!$A:$A,'[1]Tissue Data'!L:L)</f>
        <v>7.5</v>
      </c>
      <c r="J3328">
        <f>_xlfn.XLOOKUP(A3328,'[1]Tissue Data'!$A:$A,'[1]Tissue Data'!M:M)</f>
        <v>5.4</v>
      </c>
      <c r="K3328" t="s">
        <v>38</v>
      </c>
      <c r="L3328" t="str">
        <f>_xlfn.XLOOKUP(K3328,[2]analyte_order!$B:$B,[2]analyte_order!$C:$C)</f>
        <v>31506-32-8</v>
      </c>
      <c r="M3328">
        <f>_xlfn.XLOOKUP(L3328,[2]analyte_order!$C:$C,[2]analyte_order!$E:$E)</f>
        <v>30</v>
      </c>
      <c r="N3328">
        <v>5.1499999999999997E-2</v>
      </c>
    </row>
    <row r="3329" spans="1:14">
      <c r="A3329" t="s">
        <v>128</v>
      </c>
      <c r="B3329" t="str">
        <f>_xlfn.XLOOKUP(A3329,'[1]Tissue Data'!$A:$A,'[1]Tissue Data'!$C:$C)</f>
        <v>Spill</v>
      </c>
      <c r="C3329" s="2">
        <f>_xlfn.XLOOKUP(A3329,'[1]Tissue Data'!$A:$A,'[1]Tissue Data'!$D:$D)</f>
        <v>44314</v>
      </c>
      <c r="D3329" s="2" t="s">
        <v>122</v>
      </c>
      <c r="E3329" t="str">
        <f>_xlfn.XLOOKUP(A3329,'[1]Tissue Data'!$A:$A,'[1]Tissue Data'!$H:$H)</f>
        <v>Etheostoma</v>
      </c>
      <c r="F3329" t="str">
        <f>_xlfn.XLOOKUP(A3329,'[1]Tissue Data'!$A:$A,'[1]Tissue Data'!$I:$I)</f>
        <v>fusiforme</v>
      </c>
      <c r="G3329" t="str">
        <f>_xlfn.XLOOKUP(A3329,'[1]Tissue Data'!$A:$A,'[1]Tissue Data'!J:J)</f>
        <v>U</v>
      </c>
      <c r="H3329" t="str">
        <f>_xlfn.XLOOKUP(A3329,'[1]Tissue Data'!$A:$A,'[1]Tissue Data'!K:K)</f>
        <v>Whole Body</v>
      </c>
      <c r="I3329">
        <f>_xlfn.XLOOKUP(A3329,'[1]Tissue Data'!$A:$A,'[1]Tissue Data'!L:L)</f>
        <v>7.5</v>
      </c>
      <c r="J3329">
        <f>_xlfn.XLOOKUP(A3329,'[1]Tissue Data'!$A:$A,'[1]Tissue Data'!M:M)</f>
        <v>5.4</v>
      </c>
      <c r="K3329" t="s">
        <v>39</v>
      </c>
      <c r="L3329" t="str">
        <f>_xlfn.XLOOKUP(K3329,[2]analyte_order!$B:$B,[2]analyte_order!$C:$C)</f>
        <v>4151-50-2</v>
      </c>
      <c r="M3329">
        <f>_xlfn.XLOOKUP(L3329,[2]analyte_order!$C:$C,[2]analyte_order!$E:$E)</f>
        <v>31</v>
      </c>
      <c r="N3329">
        <v>7.8E-2</v>
      </c>
    </row>
    <row r="3330" spans="1:14">
      <c r="A3330" t="s">
        <v>128</v>
      </c>
      <c r="B3330" t="str">
        <f>_xlfn.XLOOKUP(A3330,'[1]Tissue Data'!$A:$A,'[1]Tissue Data'!$C:$C)</f>
        <v>Spill</v>
      </c>
      <c r="C3330" s="2">
        <f>_xlfn.XLOOKUP(A3330,'[1]Tissue Data'!$A:$A,'[1]Tissue Data'!$D:$D)</f>
        <v>44314</v>
      </c>
      <c r="D3330" s="2" t="s">
        <v>122</v>
      </c>
      <c r="E3330" t="str">
        <f>_xlfn.XLOOKUP(A3330,'[1]Tissue Data'!$A:$A,'[1]Tissue Data'!$H:$H)</f>
        <v>Etheostoma</v>
      </c>
      <c r="F3330" t="str">
        <f>_xlfn.XLOOKUP(A3330,'[1]Tissue Data'!$A:$A,'[1]Tissue Data'!$I:$I)</f>
        <v>fusiforme</v>
      </c>
      <c r="G3330" t="str">
        <f>_xlfn.XLOOKUP(A3330,'[1]Tissue Data'!$A:$A,'[1]Tissue Data'!J:J)</f>
        <v>U</v>
      </c>
      <c r="H3330" t="str">
        <f>_xlfn.XLOOKUP(A3330,'[1]Tissue Data'!$A:$A,'[1]Tissue Data'!K:K)</f>
        <v>Whole Body</v>
      </c>
      <c r="I3330">
        <f>_xlfn.XLOOKUP(A3330,'[1]Tissue Data'!$A:$A,'[1]Tissue Data'!L:L)</f>
        <v>7.5</v>
      </c>
      <c r="J3330">
        <f>_xlfn.XLOOKUP(A3330,'[1]Tissue Data'!$A:$A,'[1]Tissue Data'!M:M)</f>
        <v>5.4</v>
      </c>
      <c r="K3330" t="s">
        <v>40</v>
      </c>
      <c r="L3330" t="str">
        <f>_xlfn.XLOOKUP(K3330,[2]analyte_order!$B:$B,[2]analyte_order!$C:$C)</f>
        <v>2806-24-8</v>
      </c>
      <c r="M3330">
        <f>_xlfn.XLOOKUP(L3330,[2]analyte_order!$C:$C,[2]analyte_order!$E:$E)</f>
        <v>29</v>
      </c>
      <c r="N3330">
        <v>5.2499999999999998E-2</v>
      </c>
    </row>
    <row r="3331" spans="1:14">
      <c r="A3331" t="s">
        <v>128</v>
      </c>
      <c r="B3331" t="str">
        <f>_xlfn.XLOOKUP(A3331,'[1]Tissue Data'!$A:$A,'[1]Tissue Data'!$C:$C)</f>
        <v>Spill</v>
      </c>
      <c r="C3331" s="2">
        <f>_xlfn.XLOOKUP(A3331,'[1]Tissue Data'!$A:$A,'[1]Tissue Data'!$D:$D)</f>
        <v>44314</v>
      </c>
      <c r="D3331" s="2" t="s">
        <v>122</v>
      </c>
      <c r="E3331" t="str">
        <f>_xlfn.XLOOKUP(A3331,'[1]Tissue Data'!$A:$A,'[1]Tissue Data'!$H:$H)</f>
        <v>Etheostoma</v>
      </c>
      <c r="F3331" t="str">
        <f>_xlfn.XLOOKUP(A3331,'[1]Tissue Data'!$A:$A,'[1]Tissue Data'!$I:$I)</f>
        <v>fusiforme</v>
      </c>
      <c r="G3331" t="str">
        <f>_xlfn.XLOOKUP(A3331,'[1]Tissue Data'!$A:$A,'[1]Tissue Data'!J:J)</f>
        <v>U</v>
      </c>
      <c r="H3331" t="str">
        <f>_xlfn.XLOOKUP(A3331,'[1]Tissue Data'!$A:$A,'[1]Tissue Data'!K:K)</f>
        <v>Whole Body</v>
      </c>
      <c r="I3331">
        <f>_xlfn.XLOOKUP(A3331,'[1]Tissue Data'!$A:$A,'[1]Tissue Data'!L:L)</f>
        <v>7.5</v>
      </c>
      <c r="J3331">
        <f>_xlfn.XLOOKUP(A3331,'[1]Tissue Data'!$A:$A,'[1]Tissue Data'!M:M)</f>
        <v>5.4</v>
      </c>
      <c r="K3331" t="s">
        <v>41</v>
      </c>
      <c r="L3331" t="str">
        <f>_xlfn.XLOOKUP(K3331,[2]analyte_order!$B:$B,[2]analyte_order!$C:$C)</f>
        <v>2355-31-9</v>
      </c>
      <c r="M3331">
        <f>_xlfn.XLOOKUP(L3331,[2]analyte_order!$C:$C,[2]analyte_order!$E:$E)</f>
        <v>26</v>
      </c>
      <c r="N3331">
        <v>0.2215</v>
      </c>
    </row>
    <row r="3332" spans="1:14">
      <c r="A3332" t="s">
        <v>128</v>
      </c>
      <c r="B3332" t="str">
        <f>_xlfn.XLOOKUP(A3332,'[1]Tissue Data'!$A:$A,'[1]Tissue Data'!$C:$C)</f>
        <v>Spill</v>
      </c>
      <c r="C3332" s="2">
        <f>_xlfn.XLOOKUP(A3332,'[1]Tissue Data'!$A:$A,'[1]Tissue Data'!$D:$D)</f>
        <v>44314</v>
      </c>
      <c r="D3332" s="2" t="s">
        <v>122</v>
      </c>
      <c r="E3332" t="str">
        <f>_xlfn.XLOOKUP(A3332,'[1]Tissue Data'!$A:$A,'[1]Tissue Data'!$H:$H)</f>
        <v>Etheostoma</v>
      </c>
      <c r="F3332" t="str">
        <f>_xlfn.XLOOKUP(A3332,'[1]Tissue Data'!$A:$A,'[1]Tissue Data'!$I:$I)</f>
        <v>fusiforme</v>
      </c>
      <c r="G3332" t="str">
        <f>_xlfn.XLOOKUP(A3332,'[1]Tissue Data'!$A:$A,'[1]Tissue Data'!J:J)</f>
        <v>U</v>
      </c>
      <c r="H3332" t="str">
        <f>_xlfn.XLOOKUP(A3332,'[1]Tissue Data'!$A:$A,'[1]Tissue Data'!K:K)</f>
        <v>Whole Body</v>
      </c>
      <c r="I3332">
        <f>_xlfn.XLOOKUP(A3332,'[1]Tissue Data'!$A:$A,'[1]Tissue Data'!L:L)</f>
        <v>7.5</v>
      </c>
      <c r="J3332">
        <f>_xlfn.XLOOKUP(A3332,'[1]Tissue Data'!$A:$A,'[1]Tissue Data'!M:M)</f>
        <v>5.4</v>
      </c>
      <c r="K3332" t="s">
        <v>42</v>
      </c>
      <c r="L3332" t="str">
        <f>_xlfn.XLOOKUP(K3332,[2]analyte_order!$B:$B,[2]analyte_order!$C:$C)</f>
        <v>2991-50-6</v>
      </c>
      <c r="M3332">
        <f>_xlfn.XLOOKUP(L3332,[2]analyte_order!$C:$C,[2]analyte_order!$E:$E)</f>
        <v>27</v>
      </c>
      <c r="N3332">
        <v>0.191</v>
      </c>
    </row>
    <row r="3333" spans="1:14">
      <c r="A3333" t="s">
        <v>128</v>
      </c>
      <c r="B3333" t="str">
        <f>_xlfn.XLOOKUP(A3333,'[1]Tissue Data'!$A:$A,'[1]Tissue Data'!$C:$C)</f>
        <v>Spill</v>
      </c>
      <c r="C3333" s="2">
        <f>_xlfn.XLOOKUP(A3333,'[1]Tissue Data'!$A:$A,'[1]Tissue Data'!$D:$D)</f>
        <v>44314</v>
      </c>
      <c r="D3333" s="2" t="s">
        <v>122</v>
      </c>
      <c r="E3333" t="str">
        <f>_xlfn.XLOOKUP(A3333,'[1]Tissue Data'!$A:$A,'[1]Tissue Data'!$H:$H)</f>
        <v>Etheostoma</v>
      </c>
      <c r="F3333" t="str">
        <f>_xlfn.XLOOKUP(A3333,'[1]Tissue Data'!$A:$A,'[1]Tissue Data'!$I:$I)</f>
        <v>fusiforme</v>
      </c>
      <c r="G3333" t="str">
        <f>_xlfn.XLOOKUP(A3333,'[1]Tissue Data'!$A:$A,'[1]Tissue Data'!J:J)</f>
        <v>U</v>
      </c>
      <c r="H3333" t="str">
        <f>_xlfn.XLOOKUP(A3333,'[1]Tissue Data'!$A:$A,'[1]Tissue Data'!K:K)</f>
        <v>Whole Body</v>
      </c>
      <c r="I3333">
        <f>_xlfn.XLOOKUP(A3333,'[1]Tissue Data'!$A:$A,'[1]Tissue Data'!L:L)</f>
        <v>7.5</v>
      </c>
      <c r="J3333">
        <f>_xlfn.XLOOKUP(A3333,'[1]Tissue Data'!$A:$A,'[1]Tissue Data'!M:M)</f>
        <v>5.4</v>
      </c>
      <c r="K3333" t="s">
        <v>43</v>
      </c>
      <c r="L3333" t="str">
        <f>_xlfn.XLOOKUP(K3333,[2]analyte_order!$B:$B,[2]analyte_order!$C:$C)</f>
        <v>757124-72-4</v>
      </c>
      <c r="M3333">
        <f>_xlfn.XLOOKUP(L3333,[2]analyte_order!$C:$C,[2]analyte_order!$E:$E)</f>
        <v>22</v>
      </c>
      <c r="N3333">
        <v>5.45E-2</v>
      </c>
    </row>
    <row r="3334" spans="1:14">
      <c r="A3334" t="s">
        <v>128</v>
      </c>
      <c r="B3334" t="str">
        <f>_xlfn.XLOOKUP(A3334,'[1]Tissue Data'!$A:$A,'[1]Tissue Data'!$C:$C)</f>
        <v>Spill</v>
      </c>
      <c r="C3334" s="2">
        <f>_xlfn.XLOOKUP(A3334,'[1]Tissue Data'!$A:$A,'[1]Tissue Data'!$D:$D)</f>
        <v>44314</v>
      </c>
      <c r="D3334" s="2" t="s">
        <v>122</v>
      </c>
      <c r="E3334" t="str">
        <f>_xlfn.XLOOKUP(A3334,'[1]Tissue Data'!$A:$A,'[1]Tissue Data'!$H:$H)</f>
        <v>Etheostoma</v>
      </c>
      <c r="F3334" t="str">
        <f>_xlfn.XLOOKUP(A3334,'[1]Tissue Data'!$A:$A,'[1]Tissue Data'!$I:$I)</f>
        <v>fusiforme</v>
      </c>
      <c r="G3334" t="str">
        <f>_xlfn.XLOOKUP(A3334,'[1]Tissue Data'!$A:$A,'[1]Tissue Data'!J:J)</f>
        <v>U</v>
      </c>
      <c r="H3334" t="str">
        <f>_xlfn.XLOOKUP(A3334,'[1]Tissue Data'!$A:$A,'[1]Tissue Data'!K:K)</f>
        <v>Whole Body</v>
      </c>
      <c r="I3334">
        <f>_xlfn.XLOOKUP(A3334,'[1]Tissue Data'!$A:$A,'[1]Tissue Data'!L:L)</f>
        <v>7.5</v>
      </c>
      <c r="J3334">
        <f>_xlfn.XLOOKUP(A3334,'[1]Tissue Data'!$A:$A,'[1]Tissue Data'!M:M)</f>
        <v>5.4</v>
      </c>
      <c r="K3334" t="s">
        <v>44</v>
      </c>
      <c r="L3334" t="str">
        <f>_xlfn.XLOOKUP(K3334,[2]analyte_order!$B:$B,[2]analyte_order!$C:$C)</f>
        <v>27619-97-2</v>
      </c>
      <c r="M3334">
        <f>_xlfn.XLOOKUP(L3334,[2]analyte_order!$C:$C,[2]analyte_order!$E:$E)</f>
        <v>23</v>
      </c>
      <c r="N3334">
        <v>1.48</v>
      </c>
    </row>
    <row r="3335" spans="1:14">
      <c r="A3335" t="s">
        <v>128</v>
      </c>
      <c r="B3335" t="str">
        <f>_xlfn.XLOOKUP(A3335,'[1]Tissue Data'!$A:$A,'[1]Tissue Data'!$C:$C)</f>
        <v>Spill</v>
      </c>
      <c r="C3335" s="2">
        <f>_xlfn.XLOOKUP(A3335,'[1]Tissue Data'!$A:$A,'[1]Tissue Data'!$D:$D)</f>
        <v>44314</v>
      </c>
      <c r="D3335" s="2" t="s">
        <v>122</v>
      </c>
      <c r="E3335" t="str">
        <f>_xlfn.XLOOKUP(A3335,'[1]Tissue Data'!$A:$A,'[1]Tissue Data'!$H:$H)</f>
        <v>Etheostoma</v>
      </c>
      <c r="F3335" t="str">
        <f>_xlfn.XLOOKUP(A3335,'[1]Tissue Data'!$A:$A,'[1]Tissue Data'!$I:$I)</f>
        <v>fusiforme</v>
      </c>
      <c r="G3335" t="str">
        <f>_xlfn.XLOOKUP(A3335,'[1]Tissue Data'!$A:$A,'[1]Tissue Data'!J:J)</f>
        <v>U</v>
      </c>
      <c r="H3335" t="str">
        <f>_xlfn.XLOOKUP(A3335,'[1]Tissue Data'!$A:$A,'[1]Tissue Data'!K:K)</f>
        <v>Whole Body</v>
      </c>
      <c r="I3335">
        <f>_xlfn.XLOOKUP(A3335,'[1]Tissue Data'!$A:$A,'[1]Tissue Data'!L:L)</f>
        <v>7.5</v>
      </c>
      <c r="J3335">
        <f>_xlfn.XLOOKUP(A3335,'[1]Tissue Data'!$A:$A,'[1]Tissue Data'!M:M)</f>
        <v>5.4</v>
      </c>
      <c r="K3335" t="s">
        <v>45</v>
      </c>
      <c r="L3335" t="str">
        <f>_xlfn.XLOOKUP(K3335,[2]analyte_order!$B:$B,[2]analyte_order!$C:$C)</f>
        <v>39108-34-4</v>
      </c>
      <c r="M3335">
        <f>_xlfn.XLOOKUP(L3335,[2]analyte_order!$C:$C,[2]analyte_order!$E:$E)</f>
        <v>24</v>
      </c>
      <c r="N3335">
        <v>2.19</v>
      </c>
    </row>
    <row r="3336" spans="1:14">
      <c r="A3336" t="s">
        <v>128</v>
      </c>
      <c r="B3336" t="str">
        <f>_xlfn.XLOOKUP(A3336,'[1]Tissue Data'!$A:$A,'[1]Tissue Data'!$C:$C)</f>
        <v>Spill</v>
      </c>
      <c r="C3336" s="2">
        <f>_xlfn.XLOOKUP(A3336,'[1]Tissue Data'!$A:$A,'[1]Tissue Data'!$D:$D)</f>
        <v>44314</v>
      </c>
      <c r="D3336" s="2" t="s">
        <v>122</v>
      </c>
      <c r="E3336" t="str">
        <f>_xlfn.XLOOKUP(A3336,'[1]Tissue Data'!$A:$A,'[1]Tissue Data'!$H:$H)</f>
        <v>Etheostoma</v>
      </c>
      <c r="F3336" t="str">
        <f>_xlfn.XLOOKUP(A3336,'[1]Tissue Data'!$A:$A,'[1]Tissue Data'!$I:$I)</f>
        <v>fusiforme</v>
      </c>
      <c r="G3336" t="str">
        <f>_xlfn.XLOOKUP(A3336,'[1]Tissue Data'!$A:$A,'[1]Tissue Data'!J:J)</f>
        <v>U</v>
      </c>
      <c r="H3336" t="str">
        <f>_xlfn.XLOOKUP(A3336,'[1]Tissue Data'!$A:$A,'[1]Tissue Data'!K:K)</f>
        <v>Whole Body</v>
      </c>
      <c r="I3336">
        <f>_xlfn.XLOOKUP(A3336,'[1]Tissue Data'!$A:$A,'[1]Tissue Data'!L:L)</f>
        <v>7.5</v>
      </c>
      <c r="J3336">
        <f>_xlfn.XLOOKUP(A3336,'[1]Tissue Data'!$A:$A,'[1]Tissue Data'!M:M)</f>
        <v>5.4</v>
      </c>
      <c r="K3336" t="s">
        <v>46</v>
      </c>
      <c r="L3336" t="str">
        <f>_xlfn.XLOOKUP(K3336,[2]analyte_order!$B:$B,[2]analyte_order!$C:$C)</f>
        <v>120226-60-0</v>
      </c>
      <c r="M3336">
        <f>_xlfn.XLOOKUP(L3336,[2]analyte_order!$C:$C,[2]analyte_order!$E:$E)</f>
        <v>25</v>
      </c>
      <c r="N3336">
        <v>0.25</v>
      </c>
    </row>
    <row r="3337" spans="1:14">
      <c r="A3337" t="s">
        <v>128</v>
      </c>
      <c r="B3337" t="str">
        <f>_xlfn.XLOOKUP(A3337,'[1]Tissue Data'!$A:$A,'[1]Tissue Data'!$C:$C)</f>
        <v>Spill</v>
      </c>
      <c r="C3337" s="2">
        <f>_xlfn.XLOOKUP(A3337,'[1]Tissue Data'!$A:$A,'[1]Tissue Data'!$D:$D)</f>
        <v>44314</v>
      </c>
      <c r="D3337" s="2" t="s">
        <v>122</v>
      </c>
      <c r="E3337" t="str">
        <f>_xlfn.XLOOKUP(A3337,'[1]Tissue Data'!$A:$A,'[1]Tissue Data'!$H:$H)</f>
        <v>Etheostoma</v>
      </c>
      <c r="F3337" t="str">
        <f>_xlfn.XLOOKUP(A3337,'[1]Tissue Data'!$A:$A,'[1]Tissue Data'!$I:$I)</f>
        <v>fusiforme</v>
      </c>
      <c r="G3337" t="str">
        <f>_xlfn.XLOOKUP(A3337,'[1]Tissue Data'!$A:$A,'[1]Tissue Data'!J:J)</f>
        <v>U</v>
      </c>
      <c r="H3337" t="str">
        <f>_xlfn.XLOOKUP(A3337,'[1]Tissue Data'!$A:$A,'[1]Tissue Data'!K:K)</f>
        <v>Whole Body</v>
      </c>
      <c r="I3337">
        <f>_xlfn.XLOOKUP(A3337,'[1]Tissue Data'!$A:$A,'[1]Tissue Data'!L:L)</f>
        <v>7.5</v>
      </c>
      <c r="J3337">
        <f>_xlfn.XLOOKUP(A3337,'[1]Tissue Data'!$A:$A,'[1]Tissue Data'!M:M)</f>
        <v>5.4</v>
      </c>
      <c r="K3337" t="s">
        <v>47</v>
      </c>
      <c r="L3337" t="str">
        <f>_xlfn.XLOOKUP(K3337,[2]analyte_order!$B:$B,[2]analyte_order!$C:$C)</f>
        <v>356-02-5</v>
      </c>
      <c r="M3337">
        <f>_xlfn.XLOOKUP(L3337,[2]analyte_order!$C:$C,[2]analyte_order!$E:$E)</f>
        <v>38</v>
      </c>
      <c r="N3337">
        <v>7.6999999999999999E-2</v>
      </c>
    </row>
    <row r="3338" spans="1:14">
      <c r="A3338" t="s">
        <v>128</v>
      </c>
      <c r="B3338" t="str">
        <f>_xlfn.XLOOKUP(A3338,'[1]Tissue Data'!$A:$A,'[1]Tissue Data'!$C:$C)</f>
        <v>Spill</v>
      </c>
      <c r="C3338" s="2">
        <f>_xlfn.XLOOKUP(A3338,'[1]Tissue Data'!$A:$A,'[1]Tissue Data'!$D:$D)</f>
        <v>44314</v>
      </c>
      <c r="D3338" s="2" t="s">
        <v>122</v>
      </c>
      <c r="E3338" t="str">
        <f>_xlfn.XLOOKUP(A3338,'[1]Tissue Data'!$A:$A,'[1]Tissue Data'!$H:$H)</f>
        <v>Etheostoma</v>
      </c>
      <c r="F3338" t="str">
        <f>_xlfn.XLOOKUP(A3338,'[1]Tissue Data'!$A:$A,'[1]Tissue Data'!$I:$I)</f>
        <v>fusiforme</v>
      </c>
      <c r="G3338" t="str">
        <f>_xlfn.XLOOKUP(A3338,'[1]Tissue Data'!$A:$A,'[1]Tissue Data'!J:J)</f>
        <v>U</v>
      </c>
      <c r="H3338" t="str">
        <f>_xlfn.XLOOKUP(A3338,'[1]Tissue Data'!$A:$A,'[1]Tissue Data'!K:K)</f>
        <v>Whole Body</v>
      </c>
      <c r="I3338">
        <f>_xlfn.XLOOKUP(A3338,'[1]Tissue Data'!$A:$A,'[1]Tissue Data'!L:L)</f>
        <v>7.5</v>
      </c>
      <c r="J3338">
        <f>_xlfn.XLOOKUP(A3338,'[1]Tissue Data'!$A:$A,'[1]Tissue Data'!M:M)</f>
        <v>5.4</v>
      </c>
      <c r="K3338" t="s">
        <v>48</v>
      </c>
      <c r="L3338" t="str">
        <f>_xlfn.XLOOKUP(K3338,[2]analyte_order!$B:$B,[2]analyte_order!$C:$C)</f>
        <v>914637-49-3</v>
      </c>
      <c r="M3338">
        <f>_xlfn.XLOOKUP(L3338,[2]analyte_order!$C:$C,[2]analyte_order!$E:$E)</f>
        <v>39</v>
      </c>
      <c r="N3338">
        <v>0.76700000000000002</v>
      </c>
    </row>
    <row r="3339" spans="1:14">
      <c r="A3339" t="s">
        <v>128</v>
      </c>
      <c r="B3339" t="str">
        <f>_xlfn.XLOOKUP(A3339,'[1]Tissue Data'!$A:$A,'[1]Tissue Data'!$C:$C)</f>
        <v>Spill</v>
      </c>
      <c r="C3339" s="2">
        <f>_xlfn.XLOOKUP(A3339,'[1]Tissue Data'!$A:$A,'[1]Tissue Data'!$D:$D)</f>
        <v>44314</v>
      </c>
      <c r="D3339" s="2" t="s">
        <v>122</v>
      </c>
      <c r="E3339" t="str">
        <f>_xlfn.XLOOKUP(A3339,'[1]Tissue Data'!$A:$A,'[1]Tissue Data'!$H:$H)</f>
        <v>Etheostoma</v>
      </c>
      <c r="F3339" t="str">
        <f>_xlfn.XLOOKUP(A3339,'[1]Tissue Data'!$A:$A,'[1]Tissue Data'!$I:$I)</f>
        <v>fusiforme</v>
      </c>
      <c r="G3339" t="str">
        <f>_xlfn.XLOOKUP(A3339,'[1]Tissue Data'!$A:$A,'[1]Tissue Data'!J:J)</f>
        <v>U</v>
      </c>
      <c r="H3339" t="str">
        <f>_xlfn.XLOOKUP(A3339,'[1]Tissue Data'!$A:$A,'[1]Tissue Data'!K:K)</f>
        <v>Whole Body</v>
      </c>
      <c r="I3339">
        <f>_xlfn.XLOOKUP(A3339,'[1]Tissue Data'!$A:$A,'[1]Tissue Data'!L:L)</f>
        <v>7.5</v>
      </c>
      <c r="J3339">
        <f>_xlfn.XLOOKUP(A3339,'[1]Tissue Data'!$A:$A,'[1]Tissue Data'!M:M)</f>
        <v>5.4</v>
      </c>
      <c r="K3339" t="s">
        <v>49</v>
      </c>
      <c r="L3339" t="str">
        <f>_xlfn.XLOOKUP(K3339,[2]analyte_order!$B:$B,[2]analyte_order!$C:$C)</f>
        <v>812-70-4</v>
      </c>
      <c r="M3339">
        <f>_xlfn.XLOOKUP(L3339,[2]analyte_order!$C:$C,[2]analyte_order!$E:$E)</f>
        <v>40</v>
      </c>
      <c r="N3339">
        <v>2.5499999999999998</v>
      </c>
    </row>
    <row r="3340" spans="1:14">
      <c r="A3340" t="s">
        <v>128</v>
      </c>
      <c r="B3340" t="str">
        <f>_xlfn.XLOOKUP(A3340,'[1]Tissue Data'!$A:$A,'[1]Tissue Data'!$C:$C)</f>
        <v>Spill</v>
      </c>
      <c r="C3340" s="2">
        <f>_xlfn.XLOOKUP(A3340,'[1]Tissue Data'!$A:$A,'[1]Tissue Data'!$D:$D)</f>
        <v>44314</v>
      </c>
      <c r="D3340" s="2" t="s">
        <v>122</v>
      </c>
      <c r="E3340" t="str">
        <f>_xlfn.XLOOKUP(A3340,'[1]Tissue Data'!$A:$A,'[1]Tissue Data'!$H:$H)</f>
        <v>Etheostoma</v>
      </c>
      <c r="F3340" t="str">
        <f>_xlfn.XLOOKUP(A3340,'[1]Tissue Data'!$A:$A,'[1]Tissue Data'!$I:$I)</f>
        <v>fusiforme</v>
      </c>
      <c r="G3340" t="str">
        <f>_xlfn.XLOOKUP(A3340,'[1]Tissue Data'!$A:$A,'[1]Tissue Data'!J:J)</f>
        <v>U</v>
      </c>
      <c r="H3340" t="str">
        <f>_xlfn.XLOOKUP(A3340,'[1]Tissue Data'!$A:$A,'[1]Tissue Data'!K:K)</f>
        <v>Whole Body</v>
      </c>
      <c r="I3340">
        <f>_xlfn.XLOOKUP(A3340,'[1]Tissue Data'!$A:$A,'[1]Tissue Data'!L:L)</f>
        <v>7.5</v>
      </c>
      <c r="J3340">
        <f>_xlfn.XLOOKUP(A3340,'[1]Tissue Data'!$A:$A,'[1]Tissue Data'!M:M)</f>
        <v>5.4</v>
      </c>
      <c r="K3340" t="s">
        <v>50</v>
      </c>
      <c r="L3340" t="str">
        <f>_xlfn.XLOOKUP(K3340,[2]analyte_order!$B:$B,[2]analyte_order!$C:$C)</f>
        <v>53826-12-3</v>
      </c>
      <c r="M3340">
        <f>_xlfn.XLOOKUP(L3340,[2]analyte_order!$C:$C,[2]analyte_order!$E:$E)</f>
        <v>41</v>
      </c>
      <c r="N3340">
        <v>0.22</v>
      </c>
    </row>
    <row r="3341" spans="1:14">
      <c r="A3341" t="s">
        <v>128</v>
      </c>
      <c r="B3341" t="str">
        <f>_xlfn.XLOOKUP(A3341,'[1]Tissue Data'!$A:$A,'[1]Tissue Data'!$C:$C)</f>
        <v>Spill</v>
      </c>
      <c r="C3341" s="2">
        <f>_xlfn.XLOOKUP(A3341,'[1]Tissue Data'!$A:$A,'[1]Tissue Data'!$D:$D)</f>
        <v>44314</v>
      </c>
      <c r="D3341" s="2" t="s">
        <v>122</v>
      </c>
      <c r="E3341" t="str">
        <f>_xlfn.XLOOKUP(A3341,'[1]Tissue Data'!$A:$A,'[1]Tissue Data'!$H:$H)</f>
        <v>Etheostoma</v>
      </c>
      <c r="F3341" t="str">
        <f>_xlfn.XLOOKUP(A3341,'[1]Tissue Data'!$A:$A,'[1]Tissue Data'!$I:$I)</f>
        <v>fusiforme</v>
      </c>
      <c r="G3341" t="str">
        <f>_xlfn.XLOOKUP(A3341,'[1]Tissue Data'!$A:$A,'[1]Tissue Data'!J:J)</f>
        <v>U</v>
      </c>
      <c r="H3341" t="str">
        <f>_xlfn.XLOOKUP(A3341,'[1]Tissue Data'!$A:$A,'[1]Tissue Data'!K:K)</f>
        <v>Whole Body</v>
      </c>
      <c r="I3341">
        <f>_xlfn.XLOOKUP(A3341,'[1]Tissue Data'!$A:$A,'[1]Tissue Data'!L:L)</f>
        <v>7.5</v>
      </c>
      <c r="J3341">
        <f>_xlfn.XLOOKUP(A3341,'[1]Tissue Data'!$A:$A,'[1]Tissue Data'!M:M)</f>
        <v>5.4</v>
      </c>
      <c r="K3341" t="s">
        <v>51</v>
      </c>
      <c r="L3341" t="str">
        <f>_xlfn.XLOOKUP(K3341,[2]analyte_order!$B:$B,[2]analyte_order!$C:$C)</f>
        <v>27854-31-5</v>
      </c>
      <c r="M3341">
        <f>_xlfn.XLOOKUP(L3341,[2]analyte_order!$C:$C,[2]analyte_order!$E:$E)</f>
        <v>42</v>
      </c>
      <c r="N3341">
        <v>1.34</v>
      </c>
    </row>
    <row r="3342" spans="1:14">
      <c r="A3342" t="s">
        <v>128</v>
      </c>
      <c r="B3342" t="str">
        <f>_xlfn.XLOOKUP(A3342,'[1]Tissue Data'!$A:$A,'[1]Tissue Data'!$C:$C)</f>
        <v>Spill</v>
      </c>
      <c r="C3342" s="2">
        <f>_xlfn.XLOOKUP(A3342,'[1]Tissue Data'!$A:$A,'[1]Tissue Data'!$D:$D)</f>
        <v>44314</v>
      </c>
      <c r="D3342" s="2" t="s">
        <v>122</v>
      </c>
      <c r="E3342" t="str">
        <f>_xlfn.XLOOKUP(A3342,'[1]Tissue Data'!$A:$A,'[1]Tissue Data'!$H:$H)</f>
        <v>Etheostoma</v>
      </c>
      <c r="F3342" t="str">
        <f>_xlfn.XLOOKUP(A3342,'[1]Tissue Data'!$A:$A,'[1]Tissue Data'!$I:$I)</f>
        <v>fusiforme</v>
      </c>
      <c r="G3342" t="str">
        <f>_xlfn.XLOOKUP(A3342,'[1]Tissue Data'!$A:$A,'[1]Tissue Data'!J:J)</f>
        <v>U</v>
      </c>
      <c r="H3342" t="str">
        <f>_xlfn.XLOOKUP(A3342,'[1]Tissue Data'!$A:$A,'[1]Tissue Data'!K:K)</f>
        <v>Whole Body</v>
      </c>
      <c r="I3342">
        <f>_xlfn.XLOOKUP(A3342,'[1]Tissue Data'!$A:$A,'[1]Tissue Data'!L:L)</f>
        <v>7.5</v>
      </c>
      <c r="J3342">
        <f>_xlfn.XLOOKUP(A3342,'[1]Tissue Data'!$A:$A,'[1]Tissue Data'!M:M)</f>
        <v>5.4</v>
      </c>
      <c r="K3342" t="s">
        <v>52</v>
      </c>
      <c r="L3342" t="str">
        <f>_xlfn.XLOOKUP(K3342,[2]analyte_order!$B:$B,[2]analyte_order!$C:$C)</f>
        <v>53826-13-4</v>
      </c>
      <c r="M3342">
        <f>_xlfn.XLOOKUP(L3342,[2]analyte_order!$C:$C,[2]analyte_order!$E:$E)</f>
        <v>43</v>
      </c>
      <c r="N3342">
        <v>0.32850000000000001</v>
      </c>
    </row>
    <row r="3343" spans="1:14">
      <c r="A3343" t="s">
        <v>128</v>
      </c>
      <c r="B3343" t="str">
        <f>_xlfn.XLOOKUP(A3343,'[1]Tissue Data'!$A:$A,'[1]Tissue Data'!$C:$C)</f>
        <v>Spill</v>
      </c>
      <c r="C3343" s="2">
        <f>_xlfn.XLOOKUP(A3343,'[1]Tissue Data'!$A:$A,'[1]Tissue Data'!$D:$D)</f>
        <v>44314</v>
      </c>
      <c r="D3343" s="2" t="s">
        <v>122</v>
      </c>
      <c r="E3343" t="str">
        <f>_xlfn.XLOOKUP(A3343,'[1]Tissue Data'!$A:$A,'[1]Tissue Data'!$H:$H)</f>
        <v>Etheostoma</v>
      </c>
      <c r="F3343" t="str">
        <f>_xlfn.XLOOKUP(A3343,'[1]Tissue Data'!$A:$A,'[1]Tissue Data'!$I:$I)</f>
        <v>fusiforme</v>
      </c>
      <c r="G3343" t="str">
        <f>_xlfn.XLOOKUP(A3343,'[1]Tissue Data'!$A:$A,'[1]Tissue Data'!J:J)</f>
        <v>U</v>
      </c>
      <c r="H3343" t="str">
        <f>_xlfn.XLOOKUP(A3343,'[1]Tissue Data'!$A:$A,'[1]Tissue Data'!K:K)</f>
        <v>Whole Body</v>
      </c>
      <c r="I3343">
        <f>_xlfn.XLOOKUP(A3343,'[1]Tissue Data'!$A:$A,'[1]Tissue Data'!L:L)</f>
        <v>7.5</v>
      </c>
      <c r="J3343">
        <f>_xlfn.XLOOKUP(A3343,'[1]Tissue Data'!$A:$A,'[1]Tissue Data'!M:M)</f>
        <v>5.4</v>
      </c>
      <c r="K3343" t="s">
        <v>53</v>
      </c>
      <c r="L3343" t="str">
        <f>_xlfn.XLOOKUP(K3343,[2]analyte_order!$B:$B,[2]analyte_order!$C:$C)</f>
        <v>161094-75-3</v>
      </c>
      <c r="M3343">
        <f>_xlfn.XLOOKUP(L3343,[2]analyte_order!$C:$C,[2]analyte_order!$E:$E)</f>
        <v>44</v>
      </c>
      <c r="N3343">
        <v>5.2499999999999998E-2</v>
      </c>
    </row>
    <row r="3344" spans="1:14">
      <c r="A3344" t="s">
        <v>128</v>
      </c>
      <c r="B3344" t="str">
        <f>_xlfn.XLOOKUP(A3344,'[1]Tissue Data'!$A:$A,'[1]Tissue Data'!$C:$C)</f>
        <v>Spill</v>
      </c>
      <c r="C3344" s="2">
        <f>_xlfn.XLOOKUP(A3344,'[1]Tissue Data'!$A:$A,'[1]Tissue Data'!$D:$D)</f>
        <v>44314</v>
      </c>
      <c r="D3344" s="2" t="s">
        <v>122</v>
      </c>
      <c r="E3344" t="str">
        <f>_xlfn.XLOOKUP(A3344,'[1]Tissue Data'!$A:$A,'[1]Tissue Data'!$H:$H)</f>
        <v>Etheostoma</v>
      </c>
      <c r="F3344" t="str">
        <f>_xlfn.XLOOKUP(A3344,'[1]Tissue Data'!$A:$A,'[1]Tissue Data'!$I:$I)</f>
        <v>fusiforme</v>
      </c>
      <c r="G3344" t="str">
        <f>_xlfn.XLOOKUP(A3344,'[1]Tissue Data'!$A:$A,'[1]Tissue Data'!J:J)</f>
        <v>U</v>
      </c>
      <c r="H3344" t="str">
        <f>_xlfn.XLOOKUP(A3344,'[1]Tissue Data'!$A:$A,'[1]Tissue Data'!K:K)</f>
        <v>Whole Body</v>
      </c>
      <c r="I3344">
        <f>_xlfn.XLOOKUP(A3344,'[1]Tissue Data'!$A:$A,'[1]Tissue Data'!L:L)</f>
        <v>7.5</v>
      </c>
      <c r="J3344">
        <f>_xlfn.XLOOKUP(A3344,'[1]Tissue Data'!$A:$A,'[1]Tissue Data'!M:M)</f>
        <v>5.4</v>
      </c>
      <c r="K3344" t="s">
        <v>54</v>
      </c>
      <c r="L3344" t="str">
        <f>_xlfn.XLOOKUP(K3344,[2]analyte_order!$B:$B,[2]analyte_order!$C:$C)</f>
        <v>70887-84-2</v>
      </c>
      <c r="M3344">
        <f>_xlfn.XLOOKUP(L3344,[2]analyte_order!$C:$C,[2]analyte_order!$E:$E)</f>
        <v>45</v>
      </c>
      <c r="N3344">
        <v>4.0300000000000002E-2</v>
      </c>
    </row>
    <row r="3345" spans="1:14">
      <c r="A3345" t="s">
        <v>128</v>
      </c>
      <c r="B3345" t="str">
        <f>_xlfn.XLOOKUP(A3345,'[1]Tissue Data'!$A:$A,'[1]Tissue Data'!$C:$C)</f>
        <v>Spill</v>
      </c>
      <c r="C3345" s="2">
        <f>_xlfn.XLOOKUP(A3345,'[1]Tissue Data'!$A:$A,'[1]Tissue Data'!$D:$D)</f>
        <v>44314</v>
      </c>
      <c r="D3345" s="2" t="s">
        <v>122</v>
      </c>
      <c r="E3345" t="str">
        <f>_xlfn.XLOOKUP(A3345,'[1]Tissue Data'!$A:$A,'[1]Tissue Data'!$H:$H)</f>
        <v>Etheostoma</v>
      </c>
      <c r="F3345" t="str">
        <f>_xlfn.XLOOKUP(A3345,'[1]Tissue Data'!$A:$A,'[1]Tissue Data'!$I:$I)</f>
        <v>fusiforme</v>
      </c>
      <c r="G3345" t="str">
        <f>_xlfn.XLOOKUP(A3345,'[1]Tissue Data'!$A:$A,'[1]Tissue Data'!J:J)</f>
        <v>U</v>
      </c>
      <c r="H3345" t="str">
        <f>_xlfn.XLOOKUP(A3345,'[1]Tissue Data'!$A:$A,'[1]Tissue Data'!K:K)</f>
        <v>Whole Body</v>
      </c>
      <c r="I3345">
        <f>_xlfn.XLOOKUP(A3345,'[1]Tissue Data'!$A:$A,'[1]Tissue Data'!L:L)</f>
        <v>7.5</v>
      </c>
      <c r="J3345">
        <f>_xlfn.XLOOKUP(A3345,'[1]Tissue Data'!$A:$A,'[1]Tissue Data'!M:M)</f>
        <v>5.4</v>
      </c>
      <c r="K3345" t="s">
        <v>55</v>
      </c>
      <c r="L3345" t="str">
        <f>_xlfn.XLOOKUP(K3345,[2]analyte_order!$B:$B,[2]analyte_order!$C:$C)</f>
        <v>919005-14-4</v>
      </c>
      <c r="M3345">
        <f>_xlfn.XLOOKUP(L3345,[2]analyte_order!$C:$C,[2]analyte_order!$E:$E)</f>
        <v>35</v>
      </c>
      <c r="N3345">
        <v>6.6500000000000004E-2</v>
      </c>
    </row>
    <row r="3346" spans="1:14">
      <c r="A3346" t="s">
        <v>128</v>
      </c>
      <c r="B3346" t="str">
        <f>_xlfn.XLOOKUP(A3346,'[1]Tissue Data'!$A:$A,'[1]Tissue Data'!$C:$C)</f>
        <v>Spill</v>
      </c>
      <c r="C3346" s="2">
        <f>_xlfn.XLOOKUP(A3346,'[1]Tissue Data'!$A:$A,'[1]Tissue Data'!$D:$D)</f>
        <v>44314</v>
      </c>
      <c r="D3346" s="2" t="s">
        <v>122</v>
      </c>
      <c r="E3346" t="str">
        <f>_xlfn.XLOOKUP(A3346,'[1]Tissue Data'!$A:$A,'[1]Tissue Data'!$H:$H)</f>
        <v>Etheostoma</v>
      </c>
      <c r="F3346" t="str">
        <f>_xlfn.XLOOKUP(A3346,'[1]Tissue Data'!$A:$A,'[1]Tissue Data'!$I:$I)</f>
        <v>fusiforme</v>
      </c>
      <c r="G3346" t="str">
        <f>_xlfn.XLOOKUP(A3346,'[1]Tissue Data'!$A:$A,'[1]Tissue Data'!J:J)</f>
        <v>U</v>
      </c>
      <c r="H3346" t="str">
        <f>_xlfn.XLOOKUP(A3346,'[1]Tissue Data'!$A:$A,'[1]Tissue Data'!K:K)</f>
        <v>Whole Body</v>
      </c>
      <c r="I3346">
        <f>_xlfn.XLOOKUP(A3346,'[1]Tissue Data'!$A:$A,'[1]Tissue Data'!L:L)</f>
        <v>7.5</v>
      </c>
      <c r="J3346">
        <f>_xlfn.XLOOKUP(A3346,'[1]Tissue Data'!$A:$A,'[1]Tissue Data'!M:M)</f>
        <v>5.4</v>
      </c>
      <c r="K3346" t="s">
        <v>56</v>
      </c>
      <c r="L3346" t="str">
        <f>_xlfn.XLOOKUP(K3346,[2]analyte_order!$B:$B,[2]analyte_order!$C:$C)</f>
        <v>756426-58-1</v>
      </c>
      <c r="M3346">
        <f>_xlfn.XLOOKUP(L3346,[2]analyte_order!$C:$C,[2]analyte_order!$E:$E)</f>
        <v>36</v>
      </c>
      <c r="N3346">
        <v>6.6500000000000004E-2</v>
      </c>
    </row>
    <row r="3347" spans="1:14">
      <c r="A3347" t="s">
        <v>128</v>
      </c>
      <c r="B3347" t="str">
        <f>_xlfn.XLOOKUP(A3347,'[1]Tissue Data'!$A:$A,'[1]Tissue Data'!$C:$C)</f>
        <v>Spill</v>
      </c>
      <c r="C3347" s="2">
        <f>_xlfn.XLOOKUP(A3347,'[1]Tissue Data'!$A:$A,'[1]Tissue Data'!$D:$D)</f>
        <v>44314</v>
      </c>
      <c r="D3347" s="2" t="s">
        <v>122</v>
      </c>
      <c r="E3347" t="str">
        <f>_xlfn.XLOOKUP(A3347,'[1]Tissue Data'!$A:$A,'[1]Tissue Data'!$H:$H)</f>
        <v>Etheostoma</v>
      </c>
      <c r="F3347" t="str">
        <f>_xlfn.XLOOKUP(A3347,'[1]Tissue Data'!$A:$A,'[1]Tissue Data'!$I:$I)</f>
        <v>fusiforme</v>
      </c>
      <c r="G3347" t="str">
        <f>_xlfn.XLOOKUP(A3347,'[1]Tissue Data'!$A:$A,'[1]Tissue Data'!J:J)</f>
        <v>U</v>
      </c>
      <c r="H3347" t="str">
        <f>_xlfn.XLOOKUP(A3347,'[1]Tissue Data'!$A:$A,'[1]Tissue Data'!K:K)</f>
        <v>Whole Body</v>
      </c>
      <c r="I3347">
        <f>_xlfn.XLOOKUP(A3347,'[1]Tissue Data'!$A:$A,'[1]Tissue Data'!L:L)</f>
        <v>7.5</v>
      </c>
      <c r="J3347">
        <f>_xlfn.XLOOKUP(A3347,'[1]Tissue Data'!$A:$A,'[1]Tissue Data'!M:M)</f>
        <v>5.4</v>
      </c>
      <c r="K3347" t="s">
        <v>57</v>
      </c>
      <c r="L3347" t="str">
        <f>_xlfn.XLOOKUP(K3347,[2]analyte_order!$B:$B,[2]analyte_order!$C:$C)</f>
        <v>763051-92-9</v>
      </c>
      <c r="M3347">
        <f>_xlfn.XLOOKUP(L3347,[2]analyte_order!$C:$C,[2]analyte_order!$E:$E)</f>
        <v>37</v>
      </c>
      <c r="N3347">
        <v>6.6500000000000004E-2</v>
      </c>
    </row>
    <row r="3348" spans="1:14">
      <c r="A3348" t="s">
        <v>128</v>
      </c>
      <c r="B3348" t="str">
        <f>_xlfn.XLOOKUP(A3348,'[1]Tissue Data'!$A:$A,'[1]Tissue Data'!$C:$C)</f>
        <v>Spill</v>
      </c>
      <c r="C3348" s="2">
        <f>_xlfn.XLOOKUP(A3348,'[1]Tissue Data'!$A:$A,'[1]Tissue Data'!$D:$D)</f>
        <v>44314</v>
      </c>
      <c r="D3348" s="2" t="s">
        <v>122</v>
      </c>
      <c r="E3348" t="str">
        <f>_xlfn.XLOOKUP(A3348,'[1]Tissue Data'!$A:$A,'[1]Tissue Data'!$H:$H)</f>
        <v>Etheostoma</v>
      </c>
      <c r="F3348" t="str">
        <f>_xlfn.XLOOKUP(A3348,'[1]Tissue Data'!$A:$A,'[1]Tissue Data'!$I:$I)</f>
        <v>fusiforme</v>
      </c>
      <c r="G3348" t="str">
        <f>_xlfn.XLOOKUP(A3348,'[1]Tissue Data'!$A:$A,'[1]Tissue Data'!J:J)</f>
        <v>U</v>
      </c>
      <c r="H3348" t="str">
        <f>_xlfn.XLOOKUP(A3348,'[1]Tissue Data'!$A:$A,'[1]Tissue Data'!K:K)</f>
        <v>Whole Body</v>
      </c>
      <c r="I3348">
        <f>_xlfn.XLOOKUP(A3348,'[1]Tissue Data'!$A:$A,'[1]Tissue Data'!L:L)</f>
        <v>7.5</v>
      </c>
      <c r="J3348">
        <f>_xlfn.XLOOKUP(A3348,'[1]Tissue Data'!$A:$A,'[1]Tissue Data'!M:M)</f>
        <v>5.4</v>
      </c>
      <c r="K3348" t="s">
        <v>58</v>
      </c>
      <c r="L3348" t="str">
        <f>_xlfn.XLOOKUP(K3348,[2]analyte_order!$B:$B,[2]analyte_order!$C:$C)</f>
        <v>13252-13-6</v>
      </c>
      <c r="M3348">
        <f>_xlfn.XLOOKUP(L3348,[2]analyte_order!$C:$C,[2]analyte_order!$E:$E)</f>
        <v>34</v>
      </c>
      <c r="N3348">
        <v>9.5500000000000002E-2</v>
      </c>
    </row>
    <row r="3349" spans="1:14">
      <c r="A3349" t="s">
        <v>128</v>
      </c>
      <c r="B3349" t="str">
        <f>_xlfn.XLOOKUP(A3349,'[1]Tissue Data'!$A:$A,'[1]Tissue Data'!$C:$C)</f>
        <v>Spill</v>
      </c>
      <c r="C3349" s="2">
        <f>_xlfn.XLOOKUP(A3349,'[1]Tissue Data'!$A:$A,'[1]Tissue Data'!$D:$D)</f>
        <v>44314</v>
      </c>
      <c r="D3349" s="2" t="s">
        <v>122</v>
      </c>
      <c r="E3349" t="str">
        <f>_xlfn.XLOOKUP(A3349,'[1]Tissue Data'!$A:$A,'[1]Tissue Data'!$H:$H)</f>
        <v>Etheostoma</v>
      </c>
      <c r="F3349" t="str">
        <f>_xlfn.XLOOKUP(A3349,'[1]Tissue Data'!$A:$A,'[1]Tissue Data'!$I:$I)</f>
        <v>fusiforme</v>
      </c>
      <c r="G3349" t="str">
        <f>_xlfn.XLOOKUP(A3349,'[1]Tissue Data'!$A:$A,'[1]Tissue Data'!J:J)</f>
        <v>U</v>
      </c>
      <c r="H3349" t="str">
        <f>_xlfn.XLOOKUP(A3349,'[1]Tissue Data'!$A:$A,'[1]Tissue Data'!K:K)</f>
        <v>Whole Body</v>
      </c>
      <c r="I3349">
        <f>_xlfn.XLOOKUP(A3349,'[1]Tissue Data'!$A:$A,'[1]Tissue Data'!L:L)</f>
        <v>7.5</v>
      </c>
      <c r="J3349">
        <f>_xlfn.XLOOKUP(A3349,'[1]Tissue Data'!$A:$A,'[1]Tissue Data'!M:M)</f>
        <v>5.4</v>
      </c>
      <c r="K3349" t="s">
        <v>59</v>
      </c>
      <c r="L3349" t="str">
        <f>_xlfn.XLOOKUP(K3349,[2]analyte_order!$B:$B,[2]analyte_order!$C:$C)</f>
        <v>57677-95-9</v>
      </c>
      <c r="M3349">
        <f>_xlfn.XLOOKUP(L3349,[2]analyte_order!$C:$C,[2]analyte_order!$E:$E)</f>
        <v>46</v>
      </c>
      <c r="N3349">
        <v>7.0999999999999994E-2</v>
      </c>
    </row>
    <row r="3350" spans="1:14">
      <c r="A3350" t="s">
        <v>128</v>
      </c>
      <c r="B3350" t="str">
        <f>_xlfn.XLOOKUP(A3350,'[1]Tissue Data'!$A:$A,'[1]Tissue Data'!$C:$C)</f>
        <v>Spill</v>
      </c>
      <c r="C3350" s="2">
        <f>_xlfn.XLOOKUP(A3350,'[1]Tissue Data'!$A:$A,'[1]Tissue Data'!$D:$D)</f>
        <v>44314</v>
      </c>
      <c r="D3350" s="2" t="s">
        <v>122</v>
      </c>
      <c r="E3350" t="str">
        <f>_xlfn.XLOOKUP(A3350,'[1]Tissue Data'!$A:$A,'[1]Tissue Data'!$H:$H)</f>
        <v>Etheostoma</v>
      </c>
      <c r="F3350" t="str">
        <f>_xlfn.XLOOKUP(A3350,'[1]Tissue Data'!$A:$A,'[1]Tissue Data'!$I:$I)</f>
        <v>fusiforme</v>
      </c>
      <c r="G3350" t="str">
        <f>_xlfn.XLOOKUP(A3350,'[1]Tissue Data'!$A:$A,'[1]Tissue Data'!J:J)</f>
        <v>U</v>
      </c>
      <c r="H3350" t="str">
        <f>_xlfn.XLOOKUP(A3350,'[1]Tissue Data'!$A:$A,'[1]Tissue Data'!K:K)</f>
        <v>Whole Body</v>
      </c>
      <c r="I3350">
        <f>_xlfn.XLOOKUP(A3350,'[1]Tissue Data'!$A:$A,'[1]Tissue Data'!L:L)</f>
        <v>7.5</v>
      </c>
      <c r="J3350">
        <f>_xlfn.XLOOKUP(A3350,'[1]Tissue Data'!$A:$A,'[1]Tissue Data'!M:M)</f>
        <v>5.4</v>
      </c>
      <c r="K3350" t="s">
        <v>60</v>
      </c>
      <c r="L3350" t="str">
        <f>_xlfn.XLOOKUP(K3350,[2]analyte_order!$B:$B,[2]analyte_order!$C:$C)</f>
        <v>678-41-1</v>
      </c>
      <c r="M3350">
        <f>_xlfn.XLOOKUP(L3350,[2]analyte_order!$C:$C,[2]analyte_order!$E:$E)</f>
        <v>56</v>
      </c>
      <c r="N3350">
        <v>8.8499999999999995E-2</v>
      </c>
    </row>
    <row r="3351" spans="1:14">
      <c r="A3351" t="s">
        <v>128</v>
      </c>
      <c r="B3351" t="str">
        <f>_xlfn.XLOOKUP(A3351,'[1]Tissue Data'!$A:$A,'[1]Tissue Data'!$C:$C)</f>
        <v>Spill</v>
      </c>
      <c r="C3351" s="2">
        <f>_xlfn.XLOOKUP(A3351,'[1]Tissue Data'!$A:$A,'[1]Tissue Data'!$D:$D)</f>
        <v>44314</v>
      </c>
      <c r="D3351" s="2" t="s">
        <v>122</v>
      </c>
      <c r="E3351" t="str">
        <f>_xlfn.XLOOKUP(A3351,'[1]Tissue Data'!$A:$A,'[1]Tissue Data'!$H:$H)</f>
        <v>Etheostoma</v>
      </c>
      <c r="F3351" t="str">
        <f>_xlfn.XLOOKUP(A3351,'[1]Tissue Data'!$A:$A,'[1]Tissue Data'!$I:$I)</f>
        <v>fusiforme</v>
      </c>
      <c r="G3351" t="str">
        <f>_xlfn.XLOOKUP(A3351,'[1]Tissue Data'!$A:$A,'[1]Tissue Data'!J:J)</f>
        <v>U</v>
      </c>
      <c r="H3351" t="str">
        <f>_xlfn.XLOOKUP(A3351,'[1]Tissue Data'!$A:$A,'[1]Tissue Data'!K:K)</f>
        <v>Whole Body</v>
      </c>
      <c r="I3351">
        <f>_xlfn.XLOOKUP(A3351,'[1]Tissue Data'!$A:$A,'[1]Tissue Data'!L:L)</f>
        <v>7.5</v>
      </c>
      <c r="J3351">
        <f>_xlfn.XLOOKUP(A3351,'[1]Tissue Data'!$A:$A,'[1]Tissue Data'!M:M)</f>
        <v>5.4</v>
      </c>
      <c r="K3351" t="s">
        <v>61</v>
      </c>
      <c r="L3351" t="str">
        <f>_xlfn.XLOOKUP(K3351,[2]analyte_order!$B:$B,[2]analyte_order!$C:$C)</f>
        <v>2965-52-8</v>
      </c>
      <c r="M3351">
        <f>_xlfn.XLOOKUP(L3351,[2]analyte_order!$C:$C,[2]analyte_order!$E:$E)</f>
        <v>57</v>
      </c>
      <c r="N3351">
        <v>0.11749999999999999</v>
      </c>
    </row>
    <row r="3352" spans="1:14">
      <c r="A3352" t="s">
        <v>129</v>
      </c>
      <c r="B3352" t="str">
        <f>_xlfn.XLOOKUP(A3352,'[1]Tissue Data'!$A:$A,'[1]Tissue Data'!$C:$C)</f>
        <v>Spill</v>
      </c>
      <c r="C3352" s="2">
        <f>_xlfn.XLOOKUP(A3352,'[1]Tissue Data'!$A:$A,'[1]Tissue Data'!$D:$D)</f>
        <v>44314</v>
      </c>
      <c r="D3352" s="2" t="s">
        <v>122</v>
      </c>
      <c r="E3352" t="str">
        <f>_xlfn.XLOOKUP(A3352,'[1]Tissue Data'!$A:$A,'[1]Tissue Data'!$H:$H)</f>
        <v>Etheostoma</v>
      </c>
      <c r="F3352" t="str">
        <f>_xlfn.XLOOKUP(A3352,'[1]Tissue Data'!$A:$A,'[1]Tissue Data'!$I:$I)</f>
        <v>fusiforme</v>
      </c>
      <c r="G3352" t="str">
        <f>_xlfn.XLOOKUP(A3352,'[1]Tissue Data'!$A:$A,'[1]Tissue Data'!J:J)</f>
        <v>U</v>
      </c>
      <c r="H3352" t="str">
        <f>_xlfn.XLOOKUP(A3352,'[1]Tissue Data'!$A:$A,'[1]Tissue Data'!K:K)</f>
        <v>Whole Body</v>
      </c>
      <c r="I3352">
        <f>_xlfn.XLOOKUP(A3352,'[1]Tissue Data'!$A:$A,'[1]Tissue Data'!L:L)</f>
        <v>7</v>
      </c>
      <c r="J3352">
        <f>_xlfn.XLOOKUP(A3352,'[1]Tissue Data'!$A:$A,'[1]Tissue Data'!M:M)</f>
        <v>4.5999999999999996</v>
      </c>
      <c r="K3352" t="s">
        <v>12</v>
      </c>
      <c r="L3352" t="str">
        <f>_xlfn.XLOOKUP(K3352,[2]analyte_order!$B:$B,[2]analyte_order!$C:$C)</f>
        <v>375-22-4</v>
      </c>
      <c r="M3352">
        <f>_xlfn.XLOOKUP(L3352,[2]analyte_order!$C:$C,[2]analyte_order!$E:$E)</f>
        <v>1</v>
      </c>
      <c r="N3352">
        <v>6.9500000000000006E-2</v>
      </c>
    </row>
    <row r="3353" spans="1:14">
      <c r="A3353" t="s">
        <v>129</v>
      </c>
      <c r="B3353" t="str">
        <f>_xlfn.XLOOKUP(A3353,'[1]Tissue Data'!$A:$A,'[1]Tissue Data'!$C:$C)</f>
        <v>Spill</v>
      </c>
      <c r="C3353" s="2">
        <f>_xlfn.XLOOKUP(A3353,'[1]Tissue Data'!$A:$A,'[1]Tissue Data'!$D:$D)</f>
        <v>44314</v>
      </c>
      <c r="D3353" s="2" t="s">
        <v>122</v>
      </c>
      <c r="E3353" t="str">
        <f>_xlfn.XLOOKUP(A3353,'[1]Tissue Data'!$A:$A,'[1]Tissue Data'!$H:$H)</f>
        <v>Etheostoma</v>
      </c>
      <c r="F3353" t="str">
        <f>_xlfn.XLOOKUP(A3353,'[1]Tissue Data'!$A:$A,'[1]Tissue Data'!$I:$I)</f>
        <v>fusiforme</v>
      </c>
      <c r="G3353" t="str">
        <f>_xlfn.XLOOKUP(A3353,'[1]Tissue Data'!$A:$A,'[1]Tissue Data'!J:J)</f>
        <v>U</v>
      </c>
      <c r="H3353" t="str">
        <f>_xlfn.XLOOKUP(A3353,'[1]Tissue Data'!$A:$A,'[1]Tissue Data'!K:K)</f>
        <v>Whole Body</v>
      </c>
      <c r="I3353">
        <f>_xlfn.XLOOKUP(A3353,'[1]Tissue Data'!$A:$A,'[1]Tissue Data'!L:L)</f>
        <v>7</v>
      </c>
      <c r="J3353">
        <f>_xlfn.XLOOKUP(A3353,'[1]Tissue Data'!$A:$A,'[1]Tissue Data'!M:M)</f>
        <v>4.5999999999999996</v>
      </c>
      <c r="K3353" t="s">
        <v>13</v>
      </c>
      <c r="L3353" t="str">
        <f>_xlfn.XLOOKUP(K3353,[2]analyte_order!$B:$B,[2]analyte_order!$C:$C)</f>
        <v>2706-90-3</v>
      </c>
      <c r="M3353">
        <f>_xlfn.XLOOKUP(L3353,[2]analyte_order!$C:$C,[2]analyte_order!$E:$E)</f>
        <v>2</v>
      </c>
      <c r="N3353">
        <v>0.16250000000000001</v>
      </c>
    </row>
    <row r="3354" spans="1:14">
      <c r="A3354" t="s">
        <v>129</v>
      </c>
      <c r="B3354" t="str">
        <f>_xlfn.XLOOKUP(A3354,'[1]Tissue Data'!$A:$A,'[1]Tissue Data'!$C:$C)</f>
        <v>Spill</v>
      </c>
      <c r="C3354" s="2">
        <f>_xlfn.XLOOKUP(A3354,'[1]Tissue Data'!$A:$A,'[1]Tissue Data'!$D:$D)</f>
        <v>44314</v>
      </c>
      <c r="D3354" s="2" t="s">
        <v>122</v>
      </c>
      <c r="E3354" t="str">
        <f>_xlfn.XLOOKUP(A3354,'[1]Tissue Data'!$A:$A,'[1]Tissue Data'!$H:$H)</f>
        <v>Etheostoma</v>
      </c>
      <c r="F3354" t="str">
        <f>_xlfn.XLOOKUP(A3354,'[1]Tissue Data'!$A:$A,'[1]Tissue Data'!$I:$I)</f>
        <v>fusiforme</v>
      </c>
      <c r="G3354" t="str">
        <f>_xlfn.XLOOKUP(A3354,'[1]Tissue Data'!$A:$A,'[1]Tissue Data'!J:J)</f>
        <v>U</v>
      </c>
      <c r="H3354" t="str">
        <f>_xlfn.XLOOKUP(A3354,'[1]Tissue Data'!$A:$A,'[1]Tissue Data'!K:K)</f>
        <v>Whole Body</v>
      </c>
      <c r="I3354">
        <f>_xlfn.XLOOKUP(A3354,'[1]Tissue Data'!$A:$A,'[1]Tissue Data'!L:L)</f>
        <v>7</v>
      </c>
      <c r="J3354">
        <f>_xlfn.XLOOKUP(A3354,'[1]Tissue Data'!$A:$A,'[1]Tissue Data'!M:M)</f>
        <v>4.5999999999999996</v>
      </c>
      <c r="K3354" t="s">
        <v>14</v>
      </c>
      <c r="L3354" t="str">
        <f>_xlfn.XLOOKUP(K3354,[2]analyte_order!$B:$B,[2]analyte_order!$C:$C)</f>
        <v>307-24-4</v>
      </c>
      <c r="M3354">
        <f>_xlfn.XLOOKUP(L3354,[2]analyte_order!$C:$C,[2]analyte_order!$E:$E)</f>
        <v>3</v>
      </c>
      <c r="N3354">
        <v>3.7749999999999999E-2</v>
      </c>
    </row>
    <row r="3355" spans="1:14">
      <c r="A3355" t="s">
        <v>129</v>
      </c>
      <c r="B3355" t="str">
        <f>_xlfn.XLOOKUP(A3355,'[1]Tissue Data'!$A:$A,'[1]Tissue Data'!$C:$C)</f>
        <v>Spill</v>
      </c>
      <c r="C3355" s="2">
        <f>_xlfn.XLOOKUP(A3355,'[1]Tissue Data'!$A:$A,'[1]Tissue Data'!$D:$D)</f>
        <v>44314</v>
      </c>
      <c r="D3355" s="2" t="s">
        <v>122</v>
      </c>
      <c r="E3355" t="str">
        <f>_xlfn.XLOOKUP(A3355,'[1]Tissue Data'!$A:$A,'[1]Tissue Data'!$H:$H)</f>
        <v>Etheostoma</v>
      </c>
      <c r="F3355" t="str">
        <f>_xlfn.XLOOKUP(A3355,'[1]Tissue Data'!$A:$A,'[1]Tissue Data'!$I:$I)</f>
        <v>fusiforme</v>
      </c>
      <c r="G3355" t="str">
        <f>_xlfn.XLOOKUP(A3355,'[1]Tissue Data'!$A:$A,'[1]Tissue Data'!J:J)</f>
        <v>U</v>
      </c>
      <c r="H3355" t="str">
        <f>_xlfn.XLOOKUP(A3355,'[1]Tissue Data'!$A:$A,'[1]Tissue Data'!K:K)</f>
        <v>Whole Body</v>
      </c>
      <c r="I3355">
        <f>_xlfn.XLOOKUP(A3355,'[1]Tissue Data'!$A:$A,'[1]Tissue Data'!L:L)</f>
        <v>7</v>
      </c>
      <c r="J3355">
        <f>_xlfn.XLOOKUP(A3355,'[1]Tissue Data'!$A:$A,'[1]Tissue Data'!M:M)</f>
        <v>4.5999999999999996</v>
      </c>
      <c r="K3355" t="s">
        <v>15</v>
      </c>
      <c r="L3355" t="str">
        <f>_xlfn.XLOOKUP(K3355,[2]analyte_order!$B:$B,[2]analyte_order!$C:$C)</f>
        <v>375-85-9</v>
      </c>
      <c r="M3355">
        <f>_xlfn.XLOOKUP(L3355,[2]analyte_order!$C:$C,[2]analyte_order!$E:$E)</f>
        <v>4</v>
      </c>
      <c r="N3355">
        <v>9.1999999999999998E-2</v>
      </c>
    </row>
    <row r="3356" spans="1:14">
      <c r="A3356" t="s">
        <v>129</v>
      </c>
      <c r="B3356" t="str">
        <f>_xlfn.XLOOKUP(A3356,'[1]Tissue Data'!$A:$A,'[1]Tissue Data'!$C:$C)</f>
        <v>Spill</v>
      </c>
      <c r="C3356" s="2">
        <f>_xlfn.XLOOKUP(A3356,'[1]Tissue Data'!$A:$A,'[1]Tissue Data'!$D:$D)</f>
        <v>44314</v>
      </c>
      <c r="D3356" s="2" t="s">
        <v>122</v>
      </c>
      <c r="E3356" t="str">
        <f>_xlfn.XLOOKUP(A3356,'[1]Tissue Data'!$A:$A,'[1]Tissue Data'!$H:$H)</f>
        <v>Etheostoma</v>
      </c>
      <c r="F3356" t="str">
        <f>_xlfn.XLOOKUP(A3356,'[1]Tissue Data'!$A:$A,'[1]Tissue Data'!$I:$I)</f>
        <v>fusiforme</v>
      </c>
      <c r="G3356" t="str">
        <f>_xlfn.XLOOKUP(A3356,'[1]Tissue Data'!$A:$A,'[1]Tissue Data'!J:J)</f>
        <v>U</v>
      </c>
      <c r="H3356" t="str">
        <f>_xlfn.XLOOKUP(A3356,'[1]Tissue Data'!$A:$A,'[1]Tissue Data'!K:K)</f>
        <v>Whole Body</v>
      </c>
      <c r="I3356">
        <f>_xlfn.XLOOKUP(A3356,'[1]Tissue Data'!$A:$A,'[1]Tissue Data'!L:L)</f>
        <v>7</v>
      </c>
      <c r="J3356">
        <f>_xlfn.XLOOKUP(A3356,'[1]Tissue Data'!$A:$A,'[1]Tissue Data'!M:M)</f>
        <v>4.5999999999999996</v>
      </c>
      <c r="K3356" t="s">
        <v>16</v>
      </c>
      <c r="L3356" t="str">
        <f>_xlfn.XLOOKUP(K3356,[2]analyte_order!$B:$B,[2]analyte_order!$C:$C)</f>
        <v>335-67-1</v>
      </c>
      <c r="M3356">
        <f>_xlfn.XLOOKUP(L3356,[2]analyte_order!$C:$C,[2]analyte_order!$E:$E)</f>
        <v>5</v>
      </c>
      <c r="N3356">
        <v>0.60299999999999998</v>
      </c>
    </row>
    <row r="3357" spans="1:14">
      <c r="A3357" t="s">
        <v>129</v>
      </c>
      <c r="B3357" t="str">
        <f>_xlfn.XLOOKUP(A3357,'[1]Tissue Data'!$A:$A,'[1]Tissue Data'!$C:$C)</f>
        <v>Spill</v>
      </c>
      <c r="C3357" s="2">
        <f>_xlfn.XLOOKUP(A3357,'[1]Tissue Data'!$A:$A,'[1]Tissue Data'!$D:$D)</f>
        <v>44314</v>
      </c>
      <c r="D3357" s="2" t="s">
        <v>122</v>
      </c>
      <c r="E3357" t="str">
        <f>_xlfn.XLOOKUP(A3357,'[1]Tissue Data'!$A:$A,'[1]Tissue Data'!$H:$H)</f>
        <v>Etheostoma</v>
      </c>
      <c r="F3357" t="str">
        <f>_xlfn.XLOOKUP(A3357,'[1]Tissue Data'!$A:$A,'[1]Tissue Data'!$I:$I)</f>
        <v>fusiforme</v>
      </c>
      <c r="G3357" t="str">
        <f>_xlfn.XLOOKUP(A3357,'[1]Tissue Data'!$A:$A,'[1]Tissue Data'!J:J)</f>
        <v>U</v>
      </c>
      <c r="H3357" t="str">
        <f>_xlfn.XLOOKUP(A3357,'[1]Tissue Data'!$A:$A,'[1]Tissue Data'!K:K)</f>
        <v>Whole Body</v>
      </c>
      <c r="I3357">
        <f>_xlfn.XLOOKUP(A3357,'[1]Tissue Data'!$A:$A,'[1]Tissue Data'!L:L)</f>
        <v>7</v>
      </c>
      <c r="J3357">
        <f>_xlfn.XLOOKUP(A3357,'[1]Tissue Data'!$A:$A,'[1]Tissue Data'!M:M)</f>
        <v>4.5999999999999996</v>
      </c>
      <c r="K3357" t="s">
        <v>17</v>
      </c>
      <c r="L3357" t="str">
        <f>_xlfn.XLOOKUP(K3357,[2]analyte_order!$B:$B,[2]analyte_order!$C:$C)</f>
        <v>375-95-1</v>
      </c>
      <c r="M3357">
        <f>_xlfn.XLOOKUP(L3357,[2]analyte_order!$C:$C,[2]analyte_order!$E:$E)</f>
        <v>6</v>
      </c>
      <c r="N3357">
        <v>1.1200000000000001</v>
      </c>
    </row>
    <row r="3358" spans="1:14">
      <c r="A3358" t="s">
        <v>129</v>
      </c>
      <c r="B3358" t="str">
        <f>_xlfn.XLOOKUP(A3358,'[1]Tissue Data'!$A:$A,'[1]Tissue Data'!$C:$C)</f>
        <v>Spill</v>
      </c>
      <c r="C3358" s="2">
        <f>_xlfn.XLOOKUP(A3358,'[1]Tissue Data'!$A:$A,'[1]Tissue Data'!$D:$D)</f>
        <v>44314</v>
      </c>
      <c r="D3358" s="2" t="s">
        <v>122</v>
      </c>
      <c r="E3358" t="str">
        <f>_xlfn.XLOOKUP(A3358,'[1]Tissue Data'!$A:$A,'[1]Tissue Data'!$H:$H)</f>
        <v>Etheostoma</v>
      </c>
      <c r="F3358" t="str">
        <f>_xlfn.XLOOKUP(A3358,'[1]Tissue Data'!$A:$A,'[1]Tissue Data'!$I:$I)</f>
        <v>fusiforme</v>
      </c>
      <c r="G3358" t="str">
        <f>_xlfn.XLOOKUP(A3358,'[1]Tissue Data'!$A:$A,'[1]Tissue Data'!J:J)</f>
        <v>U</v>
      </c>
      <c r="H3358" t="str">
        <f>_xlfn.XLOOKUP(A3358,'[1]Tissue Data'!$A:$A,'[1]Tissue Data'!K:K)</f>
        <v>Whole Body</v>
      </c>
      <c r="I3358">
        <f>_xlfn.XLOOKUP(A3358,'[1]Tissue Data'!$A:$A,'[1]Tissue Data'!L:L)</f>
        <v>7</v>
      </c>
      <c r="J3358">
        <f>_xlfn.XLOOKUP(A3358,'[1]Tissue Data'!$A:$A,'[1]Tissue Data'!M:M)</f>
        <v>4.5999999999999996</v>
      </c>
      <c r="K3358" t="s">
        <v>18</v>
      </c>
      <c r="L3358" t="str">
        <f>_xlfn.XLOOKUP(K3358,[2]analyte_order!$B:$B,[2]analyte_order!$C:$C)</f>
        <v>335-76-2</v>
      </c>
      <c r="M3358">
        <f>_xlfn.XLOOKUP(L3358,[2]analyte_order!$C:$C,[2]analyte_order!$E:$E)</f>
        <v>7</v>
      </c>
      <c r="N3358">
        <v>3.86</v>
      </c>
    </row>
    <row r="3359" spans="1:14">
      <c r="A3359" t="s">
        <v>129</v>
      </c>
      <c r="B3359" t="str">
        <f>_xlfn.XLOOKUP(A3359,'[1]Tissue Data'!$A:$A,'[1]Tissue Data'!$C:$C)</f>
        <v>Spill</v>
      </c>
      <c r="C3359" s="2">
        <f>_xlfn.XLOOKUP(A3359,'[1]Tissue Data'!$A:$A,'[1]Tissue Data'!$D:$D)</f>
        <v>44314</v>
      </c>
      <c r="D3359" s="2" t="s">
        <v>122</v>
      </c>
      <c r="E3359" t="str">
        <f>_xlfn.XLOOKUP(A3359,'[1]Tissue Data'!$A:$A,'[1]Tissue Data'!$H:$H)</f>
        <v>Etheostoma</v>
      </c>
      <c r="F3359" t="str">
        <f>_xlfn.XLOOKUP(A3359,'[1]Tissue Data'!$A:$A,'[1]Tissue Data'!$I:$I)</f>
        <v>fusiforme</v>
      </c>
      <c r="G3359" t="str">
        <f>_xlfn.XLOOKUP(A3359,'[1]Tissue Data'!$A:$A,'[1]Tissue Data'!J:J)</f>
        <v>U</v>
      </c>
      <c r="H3359" t="str">
        <f>_xlfn.XLOOKUP(A3359,'[1]Tissue Data'!$A:$A,'[1]Tissue Data'!K:K)</f>
        <v>Whole Body</v>
      </c>
      <c r="I3359">
        <f>_xlfn.XLOOKUP(A3359,'[1]Tissue Data'!$A:$A,'[1]Tissue Data'!L:L)</f>
        <v>7</v>
      </c>
      <c r="J3359">
        <f>_xlfn.XLOOKUP(A3359,'[1]Tissue Data'!$A:$A,'[1]Tissue Data'!M:M)</f>
        <v>4.5999999999999996</v>
      </c>
      <c r="K3359" t="s">
        <v>19</v>
      </c>
      <c r="L3359" t="str">
        <f>_xlfn.XLOOKUP(K3359,[2]analyte_order!$B:$B,[2]analyte_order!$C:$C)</f>
        <v>2058-94-8</v>
      </c>
      <c r="M3359">
        <f>_xlfn.XLOOKUP(L3359,[2]analyte_order!$C:$C,[2]analyte_order!$E:$E)</f>
        <v>8</v>
      </c>
      <c r="N3359">
        <v>4.93</v>
      </c>
    </row>
    <row r="3360" spans="1:14">
      <c r="A3360" t="s">
        <v>129</v>
      </c>
      <c r="B3360" t="str">
        <f>_xlfn.XLOOKUP(A3360,'[1]Tissue Data'!$A:$A,'[1]Tissue Data'!$C:$C)</f>
        <v>Spill</v>
      </c>
      <c r="C3360" s="2">
        <f>_xlfn.XLOOKUP(A3360,'[1]Tissue Data'!$A:$A,'[1]Tissue Data'!$D:$D)</f>
        <v>44314</v>
      </c>
      <c r="D3360" s="2" t="s">
        <v>122</v>
      </c>
      <c r="E3360" t="str">
        <f>_xlfn.XLOOKUP(A3360,'[1]Tissue Data'!$A:$A,'[1]Tissue Data'!$H:$H)</f>
        <v>Etheostoma</v>
      </c>
      <c r="F3360" t="str">
        <f>_xlfn.XLOOKUP(A3360,'[1]Tissue Data'!$A:$A,'[1]Tissue Data'!$I:$I)</f>
        <v>fusiforme</v>
      </c>
      <c r="G3360" t="str">
        <f>_xlfn.XLOOKUP(A3360,'[1]Tissue Data'!$A:$A,'[1]Tissue Data'!J:J)</f>
        <v>U</v>
      </c>
      <c r="H3360" t="str">
        <f>_xlfn.XLOOKUP(A3360,'[1]Tissue Data'!$A:$A,'[1]Tissue Data'!K:K)</f>
        <v>Whole Body</v>
      </c>
      <c r="I3360">
        <f>_xlfn.XLOOKUP(A3360,'[1]Tissue Data'!$A:$A,'[1]Tissue Data'!L:L)</f>
        <v>7</v>
      </c>
      <c r="J3360">
        <f>_xlfn.XLOOKUP(A3360,'[1]Tissue Data'!$A:$A,'[1]Tissue Data'!M:M)</f>
        <v>4.5999999999999996</v>
      </c>
      <c r="K3360" t="s">
        <v>20</v>
      </c>
      <c r="L3360" t="str">
        <f>_xlfn.XLOOKUP(K3360,[2]analyte_order!$B:$B,[2]analyte_order!$C:$C)</f>
        <v>307-55-1</v>
      </c>
      <c r="M3360">
        <f>_xlfn.XLOOKUP(L3360,[2]analyte_order!$C:$C,[2]analyte_order!$E:$E)</f>
        <v>9</v>
      </c>
      <c r="N3360">
        <v>9.4700000000000006</v>
      </c>
    </row>
    <row r="3361" spans="1:14">
      <c r="A3361" t="s">
        <v>129</v>
      </c>
      <c r="B3361" t="str">
        <f>_xlfn.XLOOKUP(A3361,'[1]Tissue Data'!$A:$A,'[1]Tissue Data'!$C:$C)</f>
        <v>Spill</v>
      </c>
      <c r="C3361" s="2">
        <f>_xlfn.XLOOKUP(A3361,'[1]Tissue Data'!$A:$A,'[1]Tissue Data'!$D:$D)</f>
        <v>44314</v>
      </c>
      <c r="D3361" s="2" t="s">
        <v>122</v>
      </c>
      <c r="E3361" t="str">
        <f>_xlfn.XLOOKUP(A3361,'[1]Tissue Data'!$A:$A,'[1]Tissue Data'!$H:$H)</f>
        <v>Etheostoma</v>
      </c>
      <c r="F3361" t="str">
        <f>_xlfn.XLOOKUP(A3361,'[1]Tissue Data'!$A:$A,'[1]Tissue Data'!$I:$I)</f>
        <v>fusiforme</v>
      </c>
      <c r="G3361" t="str">
        <f>_xlfn.XLOOKUP(A3361,'[1]Tissue Data'!$A:$A,'[1]Tissue Data'!J:J)</f>
        <v>U</v>
      </c>
      <c r="H3361" t="str">
        <f>_xlfn.XLOOKUP(A3361,'[1]Tissue Data'!$A:$A,'[1]Tissue Data'!K:K)</f>
        <v>Whole Body</v>
      </c>
      <c r="I3361">
        <f>_xlfn.XLOOKUP(A3361,'[1]Tissue Data'!$A:$A,'[1]Tissue Data'!L:L)</f>
        <v>7</v>
      </c>
      <c r="J3361">
        <f>_xlfn.XLOOKUP(A3361,'[1]Tissue Data'!$A:$A,'[1]Tissue Data'!M:M)</f>
        <v>4.5999999999999996</v>
      </c>
      <c r="K3361" t="s">
        <v>21</v>
      </c>
      <c r="L3361" t="str">
        <f>_xlfn.XLOOKUP(K3361,[2]analyte_order!$B:$B,[2]analyte_order!$C:$C)</f>
        <v>72629-94-8</v>
      </c>
      <c r="M3361">
        <f>_xlfn.XLOOKUP(L3361,[2]analyte_order!$C:$C,[2]analyte_order!$E:$E)</f>
        <v>10</v>
      </c>
      <c r="N3361">
        <v>3.72</v>
      </c>
    </row>
    <row r="3362" spans="1:14">
      <c r="A3362" t="s">
        <v>129</v>
      </c>
      <c r="B3362" t="str">
        <f>_xlfn.XLOOKUP(A3362,'[1]Tissue Data'!$A:$A,'[1]Tissue Data'!$C:$C)</f>
        <v>Spill</v>
      </c>
      <c r="C3362" s="2">
        <f>_xlfn.XLOOKUP(A3362,'[1]Tissue Data'!$A:$A,'[1]Tissue Data'!$D:$D)</f>
        <v>44314</v>
      </c>
      <c r="D3362" s="2" t="s">
        <v>122</v>
      </c>
      <c r="E3362" t="str">
        <f>_xlfn.XLOOKUP(A3362,'[1]Tissue Data'!$A:$A,'[1]Tissue Data'!$H:$H)</f>
        <v>Etheostoma</v>
      </c>
      <c r="F3362" t="str">
        <f>_xlfn.XLOOKUP(A3362,'[1]Tissue Data'!$A:$A,'[1]Tissue Data'!$I:$I)</f>
        <v>fusiforme</v>
      </c>
      <c r="G3362" t="str">
        <f>_xlfn.XLOOKUP(A3362,'[1]Tissue Data'!$A:$A,'[1]Tissue Data'!J:J)</f>
        <v>U</v>
      </c>
      <c r="H3362" t="str">
        <f>_xlfn.XLOOKUP(A3362,'[1]Tissue Data'!$A:$A,'[1]Tissue Data'!K:K)</f>
        <v>Whole Body</v>
      </c>
      <c r="I3362">
        <f>_xlfn.XLOOKUP(A3362,'[1]Tissue Data'!$A:$A,'[1]Tissue Data'!L:L)</f>
        <v>7</v>
      </c>
      <c r="J3362">
        <f>_xlfn.XLOOKUP(A3362,'[1]Tissue Data'!$A:$A,'[1]Tissue Data'!M:M)</f>
        <v>4.5999999999999996</v>
      </c>
      <c r="K3362" t="s">
        <v>22</v>
      </c>
      <c r="L3362" t="str">
        <f>_xlfn.XLOOKUP(K3362,[2]analyte_order!$B:$B,[2]analyte_order!$C:$C)</f>
        <v>376-06-7</v>
      </c>
      <c r="M3362">
        <f>_xlfn.XLOOKUP(L3362,[2]analyte_order!$C:$C,[2]analyte_order!$E:$E)</f>
        <v>11</v>
      </c>
      <c r="N3362">
        <v>4.1500000000000004</v>
      </c>
    </row>
    <row r="3363" spans="1:14">
      <c r="A3363" t="s">
        <v>129</v>
      </c>
      <c r="B3363" t="str">
        <f>_xlfn.XLOOKUP(A3363,'[1]Tissue Data'!$A:$A,'[1]Tissue Data'!$C:$C)</f>
        <v>Spill</v>
      </c>
      <c r="C3363" s="2">
        <f>_xlfn.XLOOKUP(A3363,'[1]Tissue Data'!$A:$A,'[1]Tissue Data'!$D:$D)</f>
        <v>44314</v>
      </c>
      <c r="D3363" s="2" t="s">
        <v>122</v>
      </c>
      <c r="E3363" t="str">
        <f>_xlfn.XLOOKUP(A3363,'[1]Tissue Data'!$A:$A,'[1]Tissue Data'!$H:$H)</f>
        <v>Etheostoma</v>
      </c>
      <c r="F3363" t="str">
        <f>_xlfn.XLOOKUP(A3363,'[1]Tissue Data'!$A:$A,'[1]Tissue Data'!$I:$I)</f>
        <v>fusiforme</v>
      </c>
      <c r="G3363" t="str">
        <f>_xlfn.XLOOKUP(A3363,'[1]Tissue Data'!$A:$A,'[1]Tissue Data'!J:J)</f>
        <v>U</v>
      </c>
      <c r="H3363" t="str">
        <f>_xlfn.XLOOKUP(A3363,'[1]Tissue Data'!$A:$A,'[1]Tissue Data'!K:K)</f>
        <v>Whole Body</v>
      </c>
      <c r="I3363">
        <f>_xlfn.XLOOKUP(A3363,'[1]Tissue Data'!$A:$A,'[1]Tissue Data'!L:L)</f>
        <v>7</v>
      </c>
      <c r="J3363">
        <f>_xlfn.XLOOKUP(A3363,'[1]Tissue Data'!$A:$A,'[1]Tissue Data'!M:M)</f>
        <v>4.5999999999999996</v>
      </c>
      <c r="K3363" t="s">
        <v>23</v>
      </c>
      <c r="L3363" t="str">
        <f>_xlfn.XLOOKUP(K3363,[2]analyte_order!$B:$B,[2]analyte_order!$C:$C)</f>
        <v>67905-19-5</v>
      </c>
      <c r="M3363">
        <f>_xlfn.XLOOKUP(L3363,[2]analyte_order!$C:$C,[2]analyte_order!$E:$E)</f>
        <v>12</v>
      </c>
      <c r="N3363">
        <v>8.3000000000000004E-2</v>
      </c>
    </row>
    <row r="3364" spans="1:14">
      <c r="A3364" t="s">
        <v>129</v>
      </c>
      <c r="B3364" t="str">
        <f>_xlfn.XLOOKUP(A3364,'[1]Tissue Data'!$A:$A,'[1]Tissue Data'!$C:$C)</f>
        <v>Spill</v>
      </c>
      <c r="C3364" s="2">
        <f>_xlfn.XLOOKUP(A3364,'[1]Tissue Data'!$A:$A,'[1]Tissue Data'!$D:$D)</f>
        <v>44314</v>
      </c>
      <c r="D3364" s="2" t="s">
        <v>122</v>
      </c>
      <c r="E3364" t="str">
        <f>_xlfn.XLOOKUP(A3364,'[1]Tissue Data'!$A:$A,'[1]Tissue Data'!$H:$H)</f>
        <v>Etheostoma</v>
      </c>
      <c r="F3364" t="str">
        <f>_xlfn.XLOOKUP(A3364,'[1]Tissue Data'!$A:$A,'[1]Tissue Data'!$I:$I)</f>
        <v>fusiforme</v>
      </c>
      <c r="G3364" t="str">
        <f>_xlfn.XLOOKUP(A3364,'[1]Tissue Data'!$A:$A,'[1]Tissue Data'!J:J)</f>
        <v>U</v>
      </c>
      <c r="H3364" t="str">
        <f>_xlfn.XLOOKUP(A3364,'[1]Tissue Data'!$A:$A,'[1]Tissue Data'!K:K)</f>
        <v>Whole Body</v>
      </c>
      <c r="I3364">
        <f>_xlfn.XLOOKUP(A3364,'[1]Tissue Data'!$A:$A,'[1]Tissue Data'!L:L)</f>
        <v>7</v>
      </c>
      <c r="J3364">
        <f>_xlfn.XLOOKUP(A3364,'[1]Tissue Data'!$A:$A,'[1]Tissue Data'!M:M)</f>
        <v>4.5999999999999996</v>
      </c>
      <c r="K3364" t="s">
        <v>24</v>
      </c>
      <c r="L3364" t="str">
        <f>_xlfn.XLOOKUP(K3364,[2]analyte_order!$B:$B,[2]analyte_order!$C:$C)</f>
        <v>423-41-6</v>
      </c>
      <c r="M3364">
        <f>_xlfn.XLOOKUP(L3364,[2]analyte_order!$C:$C,[2]analyte_order!$E:$E)</f>
        <v>53</v>
      </c>
      <c r="N3364">
        <v>5.2999999999999999E-2</v>
      </c>
    </row>
    <row r="3365" spans="1:14">
      <c r="A3365" t="s">
        <v>129</v>
      </c>
      <c r="B3365" t="str">
        <f>_xlfn.XLOOKUP(A3365,'[1]Tissue Data'!$A:$A,'[1]Tissue Data'!$C:$C)</f>
        <v>Spill</v>
      </c>
      <c r="C3365" s="2">
        <f>_xlfn.XLOOKUP(A3365,'[1]Tissue Data'!$A:$A,'[1]Tissue Data'!$D:$D)</f>
        <v>44314</v>
      </c>
      <c r="D3365" s="2" t="s">
        <v>122</v>
      </c>
      <c r="E3365" t="str">
        <f>_xlfn.XLOOKUP(A3365,'[1]Tissue Data'!$A:$A,'[1]Tissue Data'!$H:$H)</f>
        <v>Etheostoma</v>
      </c>
      <c r="F3365" t="str">
        <f>_xlfn.XLOOKUP(A3365,'[1]Tissue Data'!$A:$A,'[1]Tissue Data'!$I:$I)</f>
        <v>fusiforme</v>
      </c>
      <c r="G3365" t="str">
        <f>_xlfn.XLOOKUP(A3365,'[1]Tissue Data'!$A:$A,'[1]Tissue Data'!J:J)</f>
        <v>U</v>
      </c>
      <c r="H3365" t="str">
        <f>_xlfn.XLOOKUP(A3365,'[1]Tissue Data'!$A:$A,'[1]Tissue Data'!K:K)</f>
        <v>Whole Body</v>
      </c>
      <c r="I3365">
        <f>_xlfn.XLOOKUP(A3365,'[1]Tissue Data'!$A:$A,'[1]Tissue Data'!L:L)</f>
        <v>7</v>
      </c>
      <c r="J3365">
        <f>_xlfn.XLOOKUP(A3365,'[1]Tissue Data'!$A:$A,'[1]Tissue Data'!M:M)</f>
        <v>4.5999999999999996</v>
      </c>
      <c r="K3365" t="s">
        <v>25</v>
      </c>
      <c r="L3365" t="str">
        <f>_xlfn.XLOOKUP(K3365,[2]analyte_order!$B:$B,[2]analyte_order!$C:$C)</f>
        <v>375-73-5</v>
      </c>
      <c r="M3365">
        <f>_xlfn.XLOOKUP(L3365,[2]analyte_order!$C:$C,[2]analyte_order!$E:$E)</f>
        <v>14</v>
      </c>
      <c r="N3365">
        <v>0.1565</v>
      </c>
    </row>
    <row r="3366" spans="1:14">
      <c r="A3366" t="s">
        <v>129</v>
      </c>
      <c r="B3366" t="str">
        <f>_xlfn.XLOOKUP(A3366,'[1]Tissue Data'!$A:$A,'[1]Tissue Data'!$C:$C)</f>
        <v>Spill</v>
      </c>
      <c r="C3366" s="2">
        <f>_xlfn.XLOOKUP(A3366,'[1]Tissue Data'!$A:$A,'[1]Tissue Data'!$D:$D)</f>
        <v>44314</v>
      </c>
      <c r="D3366" s="2" t="s">
        <v>122</v>
      </c>
      <c r="E3366" t="str">
        <f>_xlfn.XLOOKUP(A3366,'[1]Tissue Data'!$A:$A,'[1]Tissue Data'!$H:$H)</f>
        <v>Etheostoma</v>
      </c>
      <c r="F3366" t="str">
        <f>_xlfn.XLOOKUP(A3366,'[1]Tissue Data'!$A:$A,'[1]Tissue Data'!$I:$I)</f>
        <v>fusiforme</v>
      </c>
      <c r="G3366" t="str">
        <f>_xlfn.XLOOKUP(A3366,'[1]Tissue Data'!$A:$A,'[1]Tissue Data'!J:J)</f>
        <v>U</v>
      </c>
      <c r="H3366" t="str">
        <f>_xlfn.XLOOKUP(A3366,'[1]Tissue Data'!$A:$A,'[1]Tissue Data'!K:K)</f>
        <v>Whole Body</v>
      </c>
      <c r="I3366">
        <f>_xlfn.XLOOKUP(A3366,'[1]Tissue Data'!$A:$A,'[1]Tissue Data'!L:L)</f>
        <v>7</v>
      </c>
      <c r="J3366">
        <f>_xlfn.XLOOKUP(A3366,'[1]Tissue Data'!$A:$A,'[1]Tissue Data'!M:M)</f>
        <v>4.5999999999999996</v>
      </c>
      <c r="K3366" t="s">
        <v>26</v>
      </c>
      <c r="L3366" t="str">
        <f>_xlfn.XLOOKUP(K3366,[2]analyte_order!$B:$B,[2]analyte_order!$C:$C)</f>
        <v>2706-91-4</v>
      </c>
      <c r="M3366">
        <f>_xlfn.XLOOKUP(L3366,[2]analyte_order!$C:$C,[2]analyte_order!$E:$E)</f>
        <v>15</v>
      </c>
      <c r="N3366">
        <v>0.122</v>
      </c>
    </row>
    <row r="3367" spans="1:14">
      <c r="A3367" t="s">
        <v>129</v>
      </c>
      <c r="B3367" t="str">
        <f>_xlfn.XLOOKUP(A3367,'[1]Tissue Data'!$A:$A,'[1]Tissue Data'!$C:$C)</f>
        <v>Spill</v>
      </c>
      <c r="C3367" s="2">
        <f>_xlfn.XLOOKUP(A3367,'[1]Tissue Data'!$A:$A,'[1]Tissue Data'!$D:$D)</f>
        <v>44314</v>
      </c>
      <c r="D3367" s="2" t="s">
        <v>122</v>
      </c>
      <c r="E3367" t="str">
        <f>_xlfn.XLOOKUP(A3367,'[1]Tissue Data'!$A:$A,'[1]Tissue Data'!$H:$H)</f>
        <v>Etheostoma</v>
      </c>
      <c r="F3367" t="str">
        <f>_xlfn.XLOOKUP(A3367,'[1]Tissue Data'!$A:$A,'[1]Tissue Data'!$I:$I)</f>
        <v>fusiforme</v>
      </c>
      <c r="G3367" t="str">
        <f>_xlfn.XLOOKUP(A3367,'[1]Tissue Data'!$A:$A,'[1]Tissue Data'!J:J)</f>
        <v>U</v>
      </c>
      <c r="H3367" t="str">
        <f>_xlfn.XLOOKUP(A3367,'[1]Tissue Data'!$A:$A,'[1]Tissue Data'!K:K)</f>
        <v>Whole Body</v>
      </c>
      <c r="I3367">
        <f>_xlfn.XLOOKUP(A3367,'[1]Tissue Data'!$A:$A,'[1]Tissue Data'!L:L)</f>
        <v>7</v>
      </c>
      <c r="J3367">
        <f>_xlfn.XLOOKUP(A3367,'[1]Tissue Data'!$A:$A,'[1]Tissue Data'!M:M)</f>
        <v>4.5999999999999996</v>
      </c>
      <c r="K3367" t="s">
        <v>27</v>
      </c>
      <c r="L3367" t="str">
        <f>_xlfn.XLOOKUP(K3367,[2]analyte_order!$B:$B,[2]analyte_order!$C:$C)</f>
        <v>355-46-4</v>
      </c>
      <c r="M3367">
        <f>_xlfn.XLOOKUP(L3367,[2]analyte_order!$C:$C,[2]analyte_order!$E:$E)</f>
        <v>16</v>
      </c>
      <c r="N3367">
        <v>14.8</v>
      </c>
    </row>
    <row r="3368" spans="1:14">
      <c r="A3368" t="s">
        <v>129</v>
      </c>
      <c r="B3368" t="str">
        <f>_xlfn.XLOOKUP(A3368,'[1]Tissue Data'!$A:$A,'[1]Tissue Data'!$C:$C)</f>
        <v>Spill</v>
      </c>
      <c r="C3368" s="2">
        <f>_xlfn.XLOOKUP(A3368,'[1]Tissue Data'!$A:$A,'[1]Tissue Data'!$D:$D)</f>
        <v>44314</v>
      </c>
      <c r="D3368" s="2" t="s">
        <v>122</v>
      </c>
      <c r="E3368" t="str">
        <f>_xlfn.XLOOKUP(A3368,'[1]Tissue Data'!$A:$A,'[1]Tissue Data'!$H:$H)</f>
        <v>Etheostoma</v>
      </c>
      <c r="F3368" t="str">
        <f>_xlfn.XLOOKUP(A3368,'[1]Tissue Data'!$A:$A,'[1]Tissue Data'!$I:$I)</f>
        <v>fusiforme</v>
      </c>
      <c r="G3368" t="str">
        <f>_xlfn.XLOOKUP(A3368,'[1]Tissue Data'!$A:$A,'[1]Tissue Data'!J:J)</f>
        <v>U</v>
      </c>
      <c r="H3368" t="str">
        <f>_xlfn.XLOOKUP(A3368,'[1]Tissue Data'!$A:$A,'[1]Tissue Data'!K:K)</f>
        <v>Whole Body</v>
      </c>
      <c r="I3368">
        <f>_xlfn.XLOOKUP(A3368,'[1]Tissue Data'!$A:$A,'[1]Tissue Data'!L:L)</f>
        <v>7</v>
      </c>
      <c r="J3368">
        <f>_xlfn.XLOOKUP(A3368,'[1]Tissue Data'!$A:$A,'[1]Tissue Data'!M:M)</f>
        <v>4.5999999999999996</v>
      </c>
      <c r="K3368" t="s">
        <v>28</v>
      </c>
      <c r="L3368" t="str">
        <f>_xlfn.XLOOKUP(K3368,[2]analyte_order!$B:$B,[2]analyte_order!$C:$C)</f>
        <v>375-92-8</v>
      </c>
      <c r="M3368">
        <f>_xlfn.XLOOKUP(L3368,[2]analyte_order!$C:$C,[2]analyte_order!$E:$E)</f>
        <v>17</v>
      </c>
      <c r="N3368">
        <v>4.5999999999999996</v>
      </c>
    </row>
    <row r="3369" spans="1:14">
      <c r="A3369" t="s">
        <v>129</v>
      </c>
      <c r="B3369" t="str">
        <f>_xlfn.XLOOKUP(A3369,'[1]Tissue Data'!$A:$A,'[1]Tissue Data'!$C:$C)</f>
        <v>Spill</v>
      </c>
      <c r="C3369" s="2">
        <f>_xlfn.XLOOKUP(A3369,'[1]Tissue Data'!$A:$A,'[1]Tissue Data'!$D:$D)</f>
        <v>44314</v>
      </c>
      <c r="D3369" s="2" t="s">
        <v>122</v>
      </c>
      <c r="E3369" t="str">
        <f>_xlfn.XLOOKUP(A3369,'[1]Tissue Data'!$A:$A,'[1]Tissue Data'!$H:$H)</f>
        <v>Etheostoma</v>
      </c>
      <c r="F3369" t="str">
        <f>_xlfn.XLOOKUP(A3369,'[1]Tissue Data'!$A:$A,'[1]Tissue Data'!$I:$I)</f>
        <v>fusiforme</v>
      </c>
      <c r="G3369" t="str">
        <f>_xlfn.XLOOKUP(A3369,'[1]Tissue Data'!$A:$A,'[1]Tissue Data'!J:J)</f>
        <v>U</v>
      </c>
      <c r="H3369" t="str">
        <f>_xlfn.XLOOKUP(A3369,'[1]Tissue Data'!$A:$A,'[1]Tissue Data'!K:K)</f>
        <v>Whole Body</v>
      </c>
      <c r="I3369">
        <f>_xlfn.XLOOKUP(A3369,'[1]Tissue Data'!$A:$A,'[1]Tissue Data'!L:L)</f>
        <v>7</v>
      </c>
      <c r="J3369">
        <f>_xlfn.XLOOKUP(A3369,'[1]Tissue Data'!$A:$A,'[1]Tissue Data'!M:M)</f>
        <v>4.5999999999999996</v>
      </c>
      <c r="K3369" t="s">
        <v>29</v>
      </c>
      <c r="L3369" t="str">
        <f>_xlfn.XLOOKUP(K3369,[2]analyte_order!$B:$B,[2]analyte_order!$C:$C)</f>
        <v>1763-23-1</v>
      </c>
      <c r="M3369">
        <f>_xlfn.XLOOKUP(L3369,[2]analyte_order!$C:$C,[2]analyte_order!$E:$E)</f>
        <v>18</v>
      </c>
      <c r="N3369">
        <v>1070</v>
      </c>
    </row>
    <row r="3370" spans="1:14">
      <c r="A3370" t="s">
        <v>129</v>
      </c>
      <c r="B3370" t="str">
        <f>_xlfn.XLOOKUP(A3370,'[1]Tissue Data'!$A:$A,'[1]Tissue Data'!$C:$C)</f>
        <v>Spill</v>
      </c>
      <c r="C3370" s="2">
        <f>_xlfn.XLOOKUP(A3370,'[1]Tissue Data'!$A:$A,'[1]Tissue Data'!$D:$D)</f>
        <v>44314</v>
      </c>
      <c r="D3370" s="2" t="s">
        <v>122</v>
      </c>
      <c r="E3370" t="str">
        <f>_xlfn.XLOOKUP(A3370,'[1]Tissue Data'!$A:$A,'[1]Tissue Data'!$H:$H)</f>
        <v>Etheostoma</v>
      </c>
      <c r="F3370" t="str">
        <f>_xlfn.XLOOKUP(A3370,'[1]Tissue Data'!$A:$A,'[1]Tissue Data'!$I:$I)</f>
        <v>fusiforme</v>
      </c>
      <c r="G3370" t="str">
        <f>_xlfn.XLOOKUP(A3370,'[1]Tissue Data'!$A:$A,'[1]Tissue Data'!J:J)</f>
        <v>U</v>
      </c>
      <c r="H3370" t="str">
        <f>_xlfn.XLOOKUP(A3370,'[1]Tissue Data'!$A:$A,'[1]Tissue Data'!K:K)</f>
        <v>Whole Body</v>
      </c>
      <c r="I3370">
        <f>_xlfn.XLOOKUP(A3370,'[1]Tissue Data'!$A:$A,'[1]Tissue Data'!L:L)</f>
        <v>7</v>
      </c>
      <c r="J3370">
        <f>_xlfn.XLOOKUP(A3370,'[1]Tissue Data'!$A:$A,'[1]Tissue Data'!M:M)</f>
        <v>4.5999999999999996</v>
      </c>
      <c r="K3370" t="s">
        <v>30</v>
      </c>
      <c r="L3370" t="str">
        <f>_xlfn.XLOOKUP(K3370,[2]analyte_order!$B:$B,[2]analyte_order!$C:$C)</f>
        <v>68259-12-1</v>
      </c>
      <c r="M3370">
        <f>_xlfn.XLOOKUP(L3370,[2]analyte_order!$C:$C,[2]analyte_order!$E:$E)</f>
        <v>19</v>
      </c>
      <c r="N3370">
        <v>1.22</v>
      </c>
    </row>
    <row r="3371" spans="1:14">
      <c r="A3371" t="s">
        <v>129</v>
      </c>
      <c r="B3371" t="str">
        <f>_xlfn.XLOOKUP(A3371,'[1]Tissue Data'!$A:$A,'[1]Tissue Data'!$C:$C)</f>
        <v>Spill</v>
      </c>
      <c r="C3371" s="2">
        <f>_xlfn.XLOOKUP(A3371,'[1]Tissue Data'!$A:$A,'[1]Tissue Data'!$D:$D)</f>
        <v>44314</v>
      </c>
      <c r="D3371" s="2" t="s">
        <v>122</v>
      </c>
      <c r="E3371" t="str">
        <f>_xlfn.XLOOKUP(A3371,'[1]Tissue Data'!$A:$A,'[1]Tissue Data'!$H:$H)</f>
        <v>Etheostoma</v>
      </c>
      <c r="F3371" t="str">
        <f>_xlfn.XLOOKUP(A3371,'[1]Tissue Data'!$A:$A,'[1]Tissue Data'!$I:$I)</f>
        <v>fusiforme</v>
      </c>
      <c r="G3371" t="str">
        <f>_xlfn.XLOOKUP(A3371,'[1]Tissue Data'!$A:$A,'[1]Tissue Data'!J:J)</f>
        <v>U</v>
      </c>
      <c r="H3371" t="str">
        <f>_xlfn.XLOOKUP(A3371,'[1]Tissue Data'!$A:$A,'[1]Tissue Data'!K:K)</f>
        <v>Whole Body</v>
      </c>
      <c r="I3371">
        <f>_xlfn.XLOOKUP(A3371,'[1]Tissue Data'!$A:$A,'[1]Tissue Data'!L:L)</f>
        <v>7</v>
      </c>
      <c r="J3371">
        <f>_xlfn.XLOOKUP(A3371,'[1]Tissue Data'!$A:$A,'[1]Tissue Data'!M:M)</f>
        <v>4.5999999999999996</v>
      </c>
      <c r="K3371" t="s">
        <v>31</v>
      </c>
      <c r="L3371" t="str">
        <f>_xlfn.XLOOKUP(K3371,[2]analyte_order!$B:$B,[2]analyte_order!$C:$C)</f>
        <v>335-77-3</v>
      </c>
      <c r="M3371">
        <f>_xlfn.XLOOKUP(L3371,[2]analyte_order!$C:$C,[2]analyte_order!$E:$E)</f>
        <v>20</v>
      </c>
      <c r="N3371">
        <v>0.84299999999999997</v>
      </c>
    </row>
    <row r="3372" spans="1:14">
      <c r="A3372" t="s">
        <v>129</v>
      </c>
      <c r="B3372" t="str">
        <f>_xlfn.XLOOKUP(A3372,'[1]Tissue Data'!$A:$A,'[1]Tissue Data'!$C:$C)</f>
        <v>Spill</v>
      </c>
      <c r="C3372" s="2">
        <f>_xlfn.XLOOKUP(A3372,'[1]Tissue Data'!$A:$A,'[1]Tissue Data'!$D:$D)</f>
        <v>44314</v>
      </c>
      <c r="D3372" s="2" t="s">
        <v>122</v>
      </c>
      <c r="E3372" t="str">
        <f>_xlfn.XLOOKUP(A3372,'[1]Tissue Data'!$A:$A,'[1]Tissue Data'!$H:$H)</f>
        <v>Etheostoma</v>
      </c>
      <c r="F3372" t="str">
        <f>_xlfn.XLOOKUP(A3372,'[1]Tissue Data'!$A:$A,'[1]Tissue Data'!$I:$I)</f>
        <v>fusiforme</v>
      </c>
      <c r="G3372" t="str">
        <f>_xlfn.XLOOKUP(A3372,'[1]Tissue Data'!$A:$A,'[1]Tissue Data'!J:J)</f>
        <v>U</v>
      </c>
      <c r="H3372" t="str">
        <f>_xlfn.XLOOKUP(A3372,'[1]Tissue Data'!$A:$A,'[1]Tissue Data'!K:K)</f>
        <v>Whole Body</v>
      </c>
      <c r="I3372">
        <f>_xlfn.XLOOKUP(A3372,'[1]Tissue Data'!$A:$A,'[1]Tissue Data'!L:L)</f>
        <v>7</v>
      </c>
      <c r="J3372">
        <f>_xlfn.XLOOKUP(A3372,'[1]Tissue Data'!$A:$A,'[1]Tissue Data'!M:M)</f>
        <v>4.5999999999999996</v>
      </c>
      <c r="K3372" t="s">
        <v>32</v>
      </c>
      <c r="L3372" t="str">
        <f>_xlfn.XLOOKUP(K3372,[2]analyte_order!$B:$B,[2]analyte_order!$C:$C)</f>
        <v>79780-39-5</v>
      </c>
      <c r="M3372">
        <f>_xlfn.XLOOKUP(L3372,[2]analyte_order!$C:$C,[2]analyte_order!$E:$E)</f>
        <v>21</v>
      </c>
      <c r="N3372">
        <v>0.246</v>
      </c>
    </row>
    <row r="3373" spans="1:14">
      <c r="A3373" t="s">
        <v>129</v>
      </c>
      <c r="B3373" t="str">
        <f>_xlfn.XLOOKUP(A3373,'[1]Tissue Data'!$A:$A,'[1]Tissue Data'!$C:$C)</f>
        <v>Spill</v>
      </c>
      <c r="C3373" s="2">
        <f>_xlfn.XLOOKUP(A3373,'[1]Tissue Data'!$A:$A,'[1]Tissue Data'!$D:$D)</f>
        <v>44314</v>
      </c>
      <c r="D3373" s="2" t="s">
        <v>122</v>
      </c>
      <c r="E3373" t="str">
        <f>_xlfn.XLOOKUP(A3373,'[1]Tissue Data'!$A:$A,'[1]Tissue Data'!$H:$H)</f>
        <v>Etheostoma</v>
      </c>
      <c r="F3373" t="str">
        <f>_xlfn.XLOOKUP(A3373,'[1]Tissue Data'!$A:$A,'[1]Tissue Data'!$I:$I)</f>
        <v>fusiforme</v>
      </c>
      <c r="G3373" t="str">
        <f>_xlfn.XLOOKUP(A3373,'[1]Tissue Data'!$A:$A,'[1]Tissue Data'!J:J)</f>
        <v>U</v>
      </c>
      <c r="H3373" t="str">
        <f>_xlfn.XLOOKUP(A3373,'[1]Tissue Data'!$A:$A,'[1]Tissue Data'!K:K)</f>
        <v>Whole Body</v>
      </c>
      <c r="I3373">
        <f>_xlfn.XLOOKUP(A3373,'[1]Tissue Data'!$A:$A,'[1]Tissue Data'!L:L)</f>
        <v>7</v>
      </c>
      <c r="J3373">
        <f>_xlfn.XLOOKUP(A3373,'[1]Tissue Data'!$A:$A,'[1]Tissue Data'!M:M)</f>
        <v>4.5999999999999996</v>
      </c>
      <c r="K3373" t="s">
        <v>33</v>
      </c>
      <c r="L3373" t="str">
        <f>_xlfn.XLOOKUP(K3373,[2]analyte_order!$B:$B,[2]analyte_order!$C:$C)</f>
        <v>777011-38-8</v>
      </c>
      <c r="M3373">
        <f>_xlfn.XLOOKUP(L3373,[2]analyte_order!$C:$C,[2]analyte_order!$E:$E)</f>
        <v>54</v>
      </c>
      <c r="N3373">
        <v>0.14000000000000001</v>
      </c>
    </row>
    <row r="3374" spans="1:14">
      <c r="A3374" t="s">
        <v>129</v>
      </c>
      <c r="B3374" t="str">
        <f>_xlfn.XLOOKUP(A3374,'[1]Tissue Data'!$A:$A,'[1]Tissue Data'!$C:$C)</f>
        <v>Spill</v>
      </c>
      <c r="C3374" s="2">
        <f>_xlfn.XLOOKUP(A3374,'[1]Tissue Data'!$A:$A,'[1]Tissue Data'!$D:$D)</f>
        <v>44314</v>
      </c>
      <c r="D3374" s="2" t="s">
        <v>122</v>
      </c>
      <c r="E3374" t="str">
        <f>_xlfn.XLOOKUP(A3374,'[1]Tissue Data'!$A:$A,'[1]Tissue Data'!$H:$H)</f>
        <v>Etheostoma</v>
      </c>
      <c r="F3374" t="str">
        <f>_xlfn.XLOOKUP(A3374,'[1]Tissue Data'!$A:$A,'[1]Tissue Data'!$I:$I)</f>
        <v>fusiforme</v>
      </c>
      <c r="G3374" t="str">
        <f>_xlfn.XLOOKUP(A3374,'[1]Tissue Data'!$A:$A,'[1]Tissue Data'!J:J)</f>
        <v>U</v>
      </c>
      <c r="H3374" t="str">
        <f>_xlfn.XLOOKUP(A3374,'[1]Tissue Data'!$A:$A,'[1]Tissue Data'!K:K)</f>
        <v>Whole Body</v>
      </c>
      <c r="I3374">
        <f>_xlfn.XLOOKUP(A3374,'[1]Tissue Data'!$A:$A,'[1]Tissue Data'!L:L)</f>
        <v>7</v>
      </c>
      <c r="J3374">
        <f>_xlfn.XLOOKUP(A3374,'[1]Tissue Data'!$A:$A,'[1]Tissue Data'!M:M)</f>
        <v>4.5999999999999996</v>
      </c>
      <c r="K3374" t="s">
        <v>34</v>
      </c>
      <c r="L3374" t="str">
        <f>_xlfn.XLOOKUP(K3374,[2]analyte_order!$B:$B,[2]analyte_order!$C:$C)</f>
        <v>646-83-3</v>
      </c>
      <c r="M3374">
        <f>_xlfn.XLOOKUP(L3374,[2]analyte_order!$C:$C,[2]analyte_order!$E:$E)</f>
        <v>55</v>
      </c>
      <c r="N3374">
        <v>0.47699999999999998</v>
      </c>
    </row>
    <row r="3375" spans="1:14">
      <c r="A3375" t="s">
        <v>129</v>
      </c>
      <c r="B3375" t="str">
        <f>_xlfn.XLOOKUP(A3375,'[1]Tissue Data'!$A:$A,'[1]Tissue Data'!$C:$C)</f>
        <v>Spill</v>
      </c>
      <c r="C3375" s="2">
        <f>_xlfn.XLOOKUP(A3375,'[1]Tissue Data'!$A:$A,'[1]Tissue Data'!$D:$D)</f>
        <v>44314</v>
      </c>
      <c r="D3375" s="2" t="s">
        <v>122</v>
      </c>
      <c r="E3375" t="str">
        <f>_xlfn.XLOOKUP(A3375,'[1]Tissue Data'!$A:$A,'[1]Tissue Data'!$H:$H)</f>
        <v>Etheostoma</v>
      </c>
      <c r="F3375" t="str">
        <f>_xlfn.XLOOKUP(A3375,'[1]Tissue Data'!$A:$A,'[1]Tissue Data'!$I:$I)</f>
        <v>fusiforme</v>
      </c>
      <c r="G3375" t="str">
        <f>_xlfn.XLOOKUP(A3375,'[1]Tissue Data'!$A:$A,'[1]Tissue Data'!J:J)</f>
        <v>U</v>
      </c>
      <c r="H3375" t="str">
        <f>_xlfn.XLOOKUP(A3375,'[1]Tissue Data'!$A:$A,'[1]Tissue Data'!K:K)</f>
        <v>Whole Body</v>
      </c>
      <c r="I3375">
        <f>_xlfn.XLOOKUP(A3375,'[1]Tissue Data'!$A:$A,'[1]Tissue Data'!L:L)</f>
        <v>7</v>
      </c>
      <c r="J3375">
        <f>_xlfn.XLOOKUP(A3375,'[1]Tissue Data'!$A:$A,'[1]Tissue Data'!M:M)</f>
        <v>4.5999999999999996</v>
      </c>
      <c r="K3375" t="s">
        <v>35</v>
      </c>
      <c r="L3375" t="str">
        <f>_xlfn.XLOOKUP(K3375,[2]analyte_order!$B:$B,[2]analyte_order!$C:$C)</f>
        <v>30334-69-1</v>
      </c>
      <c r="M3375">
        <f>_xlfn.XLOOKUP(L3375,[2]analyte_order!$C:$C,[2]analyte_order!$E:$E)</f>
        <v>51</v>
      </c>
      <c r="N3375">
        <v>22</v>
      </c>
    </row>
    <row r="3376" spans="1:14">
      <c r="A3376" t="s">
        <v>129</v>
      </c>
      <c r="B3376" t="str">
        <f>_xlfn.XLOOKUP(A3376,'[1]Tissue Data'!$A:$A,'[1]Tissue Data'!$C:$C)</f>
        <v>Spill</v>
      </c>
      <c r="C3376" s="2">
        <f>_xlfn.XLOOKUP(A3376,'[1]Tissue Data'!$A:$A,'[1]Tissue Data'!$D:$D)</f>
        <v>44314</v>
      </c>
      <c r="D3376" s="2" t="s">
        <v>122</v>
      </c>
      <c r="E3376" t="str">
        <f>_xlfn.XLOOKUP(A3376,'[1]Tissue Data'!$A:$A,'[1]Tissue Data'!$H:$H)</f>
        <v>Etheostoma</v>
      </c>
      <c r="F3376" t="str">
        <f>_xlfn.XLOOKUP(A3376,'[1]Tissue Data'!$A:$A,'[1]Tissue Data'!$I:$I)</f>
        <v>fusiforme</v>
      </c>
      <c r="G3376" t="str">
        <f>_xlfn.XLOOKUP(A3376,'[1]Tissue Data'!$A:$A,'[1]Tissue Data'!J:J)</f>
        <v>U</v>
      </c>
      <c r="H3376" t="str">
        <f>_xlfn.XLOOKUP(A3376,'[1]Tissue Data'!$A:$A,'[1]Tissue Data'!K:K)</f>
        <v>Whole Body</v>
      </c>
      <c r="I3376">
        <f>_xlfn.XLOOKUP(A3376,'[1]Tissue Data'!$A:$A,'[1]Tissue Data'!L:L)</f>
        <v>7</v>
      </c>
      <c r="J3376">
        <f>_xlfn.XLOOKUP(A3376,'[1]Tissue Data'!$A:$A,'[1]Tissue Data'!M:M)</f>
        <v>4.5999999999999996</v>
      </c>
      <c r="K3376" t="s">
        <v>36</v>
      </c>
      <c r="L3376" t="str">
        <f>_xlfn.XLOOKUP(K3376,[2]analyte_order!$B:$B,[2]analyte_order!$C:$C)</f>
        <v>41997-13-1</v>
      </c>
      <c r="M3376">
        <f>_xlfn.XLOOKUP(L3376,[2]analyte_order!$C:$C,[2]analyte_order!$E:$E)</f>
        <v>52</v>
      </c>
      <c r="N3376">
        <v>150</v>
      </c>
    </row>
    <row r="3377" spans="1:14">
      <c r="A3377" t="s">
        <v>129</v>
      </c>
      <c r="B3377" t="str">
        <f>_xlfn.XLOOKUP(A3377,'[1]Tissue Data'!$A:$A,'[1]Tissue Data'!$C:$C)</f>
        <v>Spill</v>
      </c>
      <c r="C3377" s="2">
        <f>_xlfn.XLOOKUP(A3377,'[1]Tissue Data'!$A:$A,'[1]Tissue Data'!$D:$D)</f>
        <v>44314</v>
      </c>
      <c r="D3377" s="2" t="s">
        <v>122</v>
      </c>
      <c r="E3377" t="str">
        <f>_xlfn.XLOOKUP(A3377,'[1]Tissue Data'!$A:$A,'[1]Tissue Data'!$H:$H)</f>
        <v>Etheostoma</v>
      </c>
      <c r="F3377" t="str">
        <f>_xlfn.XLOOKUP(A3377,'[1]Tissue Data'!$A:$A,'[1]Tissue Data'!$I:$I)</f>
        <v>fusiforme</v>
      </c>
      <c r="G3377" t="str">
        <f>_xlfn.XLOOKUP(A3377,'[1]Tissue Data'!$A:$A,'[1]Tissue Data'!J:J)</f>
        <v>U</v>
      </c>
      <c r="H3377" t="str">
        <f>_xlfn.XLOOKUP(A3377,'[1]Tissue Data'!$A:$A,'[1]Tissue Data'!K:K)</f>
        <v>Whole Body</v>
      </c>
      <c r="I3377">
        <f>_xlfn.XLOOKUP(A3377,'[1]Tissue Data'!$A:$A,'[1]Tissue Data'!L:L)</f>
        <v>7</v>
      </c>
      <c r="J3377">
        <f>_xlfn.XLOOKUP(A3377,'[1]Tissue Data'!$A:$A,'[1]Tissue Data'!M:M)</f>
        <v>4.5999999999999996</v>
      </c>
      <c r="K3377" t="s">
        <v>37</v>
      </c>
      <c r="L3377" t="str">
        <f>_xlfn.XLOOKUP(K3377,[2]analyte_order!$B:$B,[2]analyte_order!$C:$C)</f>
        <v>754-91-6</v>
      </c>
      <c r="M3377">
        <f>_xlfn.XLOOKUP(L3377,[2]analyte_order!$C:$C,[2]analyte_order!$E:$E)</f>
        <v>28</v>
      </c>
      <c r="N3377">
        <v>48.4</v>
      </c>
    </row>
    <row r="3378" spans="1:14">
      <c r="A3378" t="s">
        <v>129</v>
      </c>
      <c r="B3378" t="str">
        <f>_xlfn.XLOOKUP(A3378,'[1]Tissue Data'!$A:$A,'[1]Tissue Data'!$C:$C)</f>
        <v>Spill</v>
      </c>
      <c r="C3378" s="2">
        <f>_xlfn.XLOOKUP(A3378,'[1]Tissue Data'!$A:$A,'[1]Tissue Data'!$D:$D)</f>
        <v>44314</v>
      </c>
      <c r="D3378" s="2" t="s">
        <v>122</v>
      </c>
      <c r="E3378" t="str">
        <f>_xlfn.XLOOKUP(A3378,'[1]Tissue Data'!$A:$A,'[1]Tissue Data'!$H:$H)</f>
        <v>Etheostoma</v>
      </c>
      <c r="F3378" t="str">
        <f>_xlfn.XLOOKUP(A3378,'[1]Tissue Data'!$A:$A,'[1]Tissue Data'!$I:$I)</f>
        <v>fusiforme</v>
      </c>
      <c r="G3378" t="str">
        <f>_xlfn.XLOOKUP(A3378,'[1]Tissue Data'!$A:$A,'[1]Tissue Data'!J:J)</f>
        <v>U</v>
      </c>
      <c r="H3378" t="str">
        <f>_xlfn.XLOOKUP(A3378,'[1]Tissue Data'!$A:$A,'[1]Tissue Data'!K:K)</f>
        <v>Whole Body</v>
      </c>
      <c r="I3378">
        <f>_xlfn.XLOOKUP(A3378,'[1]Tissue Data'!$A:$A,'[1]Tissue Data'!L:L)</f>
        <v>7</v>
      </c>
      <c r="J3378">
        <f>_xlfn.XLOOKUP(A3378,'[1]Tissue Data'!$A:$A,'[1]Tissue Data'!M:M)</f>
        <v>4.5999999999999996</v>
      </c>
      <c r="K3378" t="s">
        <v>38</v>
      </c>
      <c r="L3378" t="str">
        <f>_xlfn.XLOOKUP(K3378,[2]analyte_order!$B:$B,[2]analyte_order!$C:$C)</f>
        <v>31506-32-8</v>
      </c>
      <c r="M3378">
        <f>_xlfn.XLOOKUP(L3378,[2]analyte_order!$C:$C,[2]analyte_order!$E:$E)</f>
        <v>30</v>
      </c>
      <c r="N3378">
        <v>5.3999999999999999E-2</v>
      </c>
    </row>
    <row r="3379" spans="1:14">
      <c r="A3379" t="s">
        <v>129</v>
      </c>
      <c r="B3379" t="str">
        <f>_xlfn.XLOOKUP(A3379,'[1]Tissue Data'!$A:$A,'[1]Tissue Data'!$C:$C)</f>
        <v>Spill</v>
      </c>
      <c r="C3379" s="2">
        <f>_xlfn.XLOOKUP(A3379,'[1]Tissue Data'!$A:$A,'[1]Tissue Data'!$D:$D)</f>
        <v>44314</v>
      </c>
      <c r="D3379" s="2" t="s">
        <v>122</v>
      </c>
      <c r="E3379" t="str">
        <f>_xlfn.XLOOKUP(A3379,'[1]Tissue Data'!$A:$A,'[1]Tissue Data'!$H:$H)</f>
        <v>Etheostoma</v>
      </c>
      <c r="F3379" t="str">
        <f>_xlfn.XLOOKUP(A3379,'[1]Tissue Data'!$A:$A,'[1]Tissue Data'!$I:$I)</f>
        <v>fusiforme</v>
      </c>
      <c r="G3379" t="str">
        <f>_xlfn.XLOOKUP(A3379,'[1]Tissue Data'!$A:$A,'[1]Tissue Data'!J:J)</f>
        <v>U</v>
      </c>
      <c r="H3379" t="str">
        <f>_xlfn.XLOOKUP(A3379,'[1]Tissue Data'!$A:$A,'[1]Tissue Data'!K:K)</f>
        <v>Whole Body</v>
      </c>
      <c r="I3379">
        <f>_xlfn.XLOOKUP(A3379,'[1]Tissue Data'!$A:$A,'[1]Tissue Data'!L:L)</f>
        <v>7</v>
      </c>
      <c r="J3379">
        <f>_xlfn.XLOOKUP(A3379,'[1]Tissue Data'!$A:$A,'[1]Tissue Data'!M:M)</f>
        <v>4.5999999999999996</v>
      </c>
      <c r="K3379" t="s">
        <v>39</v>
      </c>
      <c r="L3379" t="str">
        <f>_xlfn.XLOOKUP(K3379,[2]analyte_order!$B:$B,[2]analyte_order!$C:$C)</f>
        <v>4151-50-2</v>
      </c>
      <c r="M3379">
        <f>_xlfn.XLOOKUP(L3379,[2]analyte_order!$C:$C,[2]analyte_order!$E:$E)</f>
        <v>31</v>
      </c>
      <c r="N3379">
        <v>8.1500000000000003E-2</v>
      </c>
    </row>
    <row r="3380" spans="1:14">
      <c r="A3380" t="s">
        <v>129</v>
      </c>
      <c r="B3380" t="str">
        <f>_xlfn.XLOOKUP(A3380,'[1]Tissue Data'!$A:$A,'[1]Tissue Data'!$C:$C)</f>
        <v>Spill</v>
      </c>
      <c r="C3380" s="2">
        <f>_xlfn.XLOOKUP(A3380,'[1]Tissue Data'!$A:$A,'[1]Tissue Data'!$D:$D)</f>
        <v>44314</v>
      </c>
      <c r="D3380" s="2" t="s">
        <v>122</v>
      </c>
      <c r="E3380" t="str">
        <f>_xlfn.XLOOKUP(A3380,'[1]Tissue Data'!$A:$A,'[1]Tissue Data'!$H:$H)</f>
        <v>Etheostoma</v>
      </c>
      <c r="F3380" t="str">
        <f>_xlfn.XLOOKUP(A3380,'[1]Tissue Data'!$A:$A,'[1]Tissue Data'!$I:$I)</f>
        <v>fusiforme</v>
      </c>
      <c r="G3380" t="str">
        <f>_xlfn.XLOOKUP(A3380,'[1]Tissue Data'!$A:$A,'[1]Tissue Data'!J:J)</f>
        <v>U</v>
      </c>
      <c r="H3380" t="str">
        <f>_xlfn.XLOOKUP(A3380,'[1]Tissue Data'!$A:$A,'[1]Tissue Data'!K:K)</f>
        <v>Whole Body</v>
      </c>
      <c r="I3380">
        <f>_xlfn.XLOOKUP(A3380,'[1]Tissue Data'!$A:$A,'[1]Tissue Data'!L:L)</f>
        <v>7</v>
      </c>
      <c r="J3380">
        <f>_xlfn.XLOOKUP(A3380,'[1]Tissue Data'!$A:$A,'[1]Tissue Data'!M:M)</f>
        <v>4.5999999999999996</v>
      </c>
      <c r="K3380" t="s">
        <v>40</v>
      </c>
      <c r="L3380" t="str">
        <f>_xlfn.XLOOKUP(K3380,[2]analyte_order!$B:$B,[2]analyte_order!$C:$C)</f>
        <v>2806-24-8</v>
      </c>
      <c r="M3380">
        <f>_xlfn.XLOOKUP(L3380,[2]analyte_order!$C:$C,[2]analyte_order!$E:$E)</f>
        <v>29</v>
      </c>
      <c r="N3380">
        <v>5.5E-2</v>
      </c>
    </row>
    <row r="3381" spans="1:14">
      <c r="A3381" t="s">
        <v>129</v>
      </c>
      <c r="B3381" t="str">
        <f>_xlfn.XLOOKUP(A3381,'[1]Tissue Data'!$A:$A,'[1]Tissue Data'!$C:$C)</f>
        <v>Spill</v>
      </c>
      <c r="C3381" s="2">
        <f>_xlfn.XLOOKUP(A3381,'[1]Tissue Data'!$A:$A,'[1]Tissue Data'!$D:$D)</f>
        <v>44314</v>
      </c>
      <c r="D3381" s="2" t="s">
        <v>122</v>
      </c>
      <c r="E3381" t="str">
        <f>_xlfn.XLOOKUP(A3381,'[1]Tissue Data'!$A:$A,'[1]Tissue Data'!$H:$H)</f>
        <v>Etheostoma</v>
      </c>
      <c r="F3381" t="str">
        <f>_xlfn.XLOOKUP(A3381,'[1]Tissue Data'!$A:$A,'[1]Tissue Data'!$I:$I)</f>
        <v>fusiforme</v>
      </c>
      <c r="G3381" t="str">
        <f>_xlfn.XLOOKUP(A3381,'[1]Tissue Data'!$A:$A,'[1]Tissue Data'!J:J)</f>
        <v>U</v>
      </c>
      <c r="H3381" t="str">
        <f>_xlfn.XLOOKUP(A3381,'[1]Tissue Data'!$A:$A,'[1]Tissue Data'!K:K)</f>
        <v>Whole Body</v>
      </c>
      <c r="I3381">
        <f>_xlfn.XLOOKUP(A3381,'[1]Tissue Data'!$A:$A,'[1]Tissue Data'!L:L)</f>
        <v>7</v>
      </c>
      <c r="J3381">
        <f>_xlfn.XLOOKUP(A3381,'[1]Tissue Data'!$A:$A,'[1]Tissue Data'!M:M)</f>
        <v>4.5999999999999996</v>
      </c>
      <c r="K3381" t="s">
        <v>41</v>
      </c>
      <c r="L3381" t="str">
        <f>_xlfn.XLOOKUP(K3381,[2]analyte_order!$B:$B,[2]analyte_order!$C:$C)</f>
        <v>2355-31-9</v>
      </c>
      <c r="M3381">
        <f>_xlfn.XLOOKUP(L3381,[2]analyte_order!$C:$C,[2]analyte_order!$E:$E)</f>
        <v>26</v>
      </c>
      <c r="N3381">
        <v>0.23150000000000001</v>
      </c>
    </row>
    <row r="3382" spans="1:14">
      <c r="A3382" t="s">
        <v>129</v>
      </c>
      <c r="B3382" t="str">
        <f>_xlfn.XLOOKUP(A3382,'[1]Tissue Data'!$A:$A,'[1]Tissue Data'!$C:$C)</f>
        <v>Spill</v>
      </c>
      <c r="C3382" s="2">
        <f>_xlfn.XLOOKUP(A3382,'[1]Tissue Data'!$A:$A,'[1]Tissue Data'!$D:$D)</f>
        <v>44314</v>
      </c>
      <c r="D3382" s="2" t="s">
        <v>122</v>
      </c>
      <c r="E3382" t="str">
        <f>_xlfn.XLOOKUP(A3382,'[1]Tissue Data'!$A:$A,'[1]Tissue Data'!$H:$H)</f>
        <v>Etheostoma</v>
      </c>
      <c r="F3382" t="str">
        <f>_xlfn.XLOOKUP(A3382,'[1]Tissue Data'!$A:$A,'[1]Tissue Data'!$I:$I)</f>
        <v>fusiforme</v>
      </c>
      <c r="G3382" t="str">
        <f>_xlfn.XLOOKUP(A3382,'[1]Tissue Data'!$A:$A,'[1]Tissue Data'!J:J)</f>
        <v>U</v>
      </c>
      <c r="H3382" t="str">
        <f>_xlfn.XLOOKUP(A3382,'[1]Tissue Data'!$A:$A,'[1]Tissue Data'!K:K)</f>
        <v>Whole Body</v>
      </c>
      <c r="I3382">
        <f>_xlfn.XLOOKUP(A3382,'[1]Tissue Data'!$A:$A,'[1]Tissue Data'!L:L)</f>
        <v>7</v>
      </c>
      <c r="J3382">
        <f>_xlfn.XLOOKUP(A3382,'[1]Tissue Data'!$A:$A,'[1]Tissue Data'!M:M)</f>
        <v>4.5999999999999996</v>
      </c>
      <c r="K3382" t="s">
        <v>42</v>
      </c>
      <c r="L3382" t="str">
        <f>_xlfn.XLOOKUP(K3382,[2]analyte_order!$B:$B,[2]analyte_order!$C:$C)</f>
        <v>2991-50-6</v>
      </c>
      <c r="M3382">
        <f>_xlfn.XLOOKUP(L3382,[2]analyte_order!$C:$C,[2]analyte_order!$E:$E)</f>
        <v>27</v>
      </c>
      <c r="N3382">
        <v>0.2</v>
      </c>
    </row>
    <row r="3383" spans="1:14">
      <c r="A3383" t="s">
        <v>129</v>
      </c>
      <c r="B3383" t="str">
        <f>_xlfn.XLOOKUP(A3383,'[1]Tissue Data'!$A:$A,'[1]Tissue Data'!$C:$C)</f>
        <v>Spill</v>
      </c>
      <c r="C3383" s="2">
        <f>_xlfn.XLOOKUP(A3383,'[1]Tissue Data'!$A:$A,'[1]Tissue Data'!$D:$D)</f>
        <v>44314</v>
      </c>
      <c r="D3383" s="2" t="s">
        <v>122</v>
      </c>
      <c r="E3383" t="str">
        <f>_xlfn.XLOOKUP(A3383,'[1]Tissue Data'!$A:$A,'[1]Tissue Data'!$H:$H)</f>
        <v>Etheostoma</v>
      </c>
      <c r="F3383" t="str">
        <f>_xlfn.XLOOKUP(A3383,'[1]Tissue Data'!$A:$A,'[1]Tissue Data'!$I:$I)</f>
        <v>fusiforme</v>
      </c>
      <c r="G3383" t="str">
        <f>_xlfn.XLOOKUP(A3383,'[1]Tissue Data'!$A:$A,'[1]Tissue Data'!J:J)</f>
        <v>U</v>
      </c>
      <c r="H3383" t="str">
        <f>_xlfn.XLOOKUP(A3383,'[1]Tissue Data'!$A:$A,'[1]Tissue Data'!K:K)</f>
        <v>Whole Body</v>
      </c>
      <c r="I3383">
        <f>_xlfn.XLOOKUP(A3383,'[1]Tissue Data'!$A:$A,'[1]Tissue Data'!L:L)</f>
        <v>7</v>
      </c>
      <c r="J3383">
        <f>_xlfn.XLOOKUP(A3383,'[1]Tissue Data'!$A:$A,'[1]Tissue Data'!M:M)</f>
        <v>4.5999999999999996</v>
      </c>
      <c r="K3383" t="s">
        <v>43</v>
      </c>
      <c r="L3383" t="str">
        <f>_xlfn.XLOOKUP(K3383,[2]analyte_order!$B:$B,[2]analyte_order!$C:$C)</f>
        <v>757124-72-4</v>
      </c>
      <c r="M3383">
        <f>_xlfn.XLOOKUP(L3383,[2]analyte_order!$C:$C,[2]analyte_order!$E:$E)</f>
        <v>22</v>
      </c>
      <c r="N3383">
        <v>5.7500000000000002E-2</v>
      </c>
    </row>
    <row r="3384" spans="1:14">
      <c r="A3384" t="s">
        <v>129</v>
      </c>
      <c r="B3384" t="str">
        <f>_xlfn.XLOOKUP(A3384,'[1]Tissue Data'!$A:$A,'[1]Tissue Data'!$C:$C)</f>
        <v>Spill</v>
      </c>
      <c r="C3384" s="2">
        <f>_xlfn.XLOOKUP(A3384,'[1]Tissue Data'!$A:$A,'[1]Tissue Data'!$D:$D)</f>
        <v>44314</v>
      </c>
      <c r="D3384" s="2" t="s">
        <v>122</v>
      </c>
      <c r="E3384" t="str">
        <f>_xlfn.XLOOKUP(A3384,'[1]Tissue Data'!$A:$A,'[1]Tissue Data'!$H:$H)</f>
        <v>Etheostoma</v>
      </c>
      <c r="F3384" t="str">
        <f>_xlfn.XLOOKUP(A3384,'[1]Tissue Data'!$A:$A,'[1]Tissue Data'!$I:$I)</f>
        <v>fusiforme</v>
      </c>
      <c r="G3384" t="str">
        <f>_xlfn.XLOOKUP(A3384,'[1]Tissue Data'!$A:$A,'[1]Tissue Data'!J:J)</f>
        <v>U</v>
      </c>
      <c r="H3384" t="str">
        <f>_xlfn.XLOOKUP(A3384,'[1]Tissue Data'!$A:$A,'[1]Tissue Data'!K:K)</f>
        <v>Whole Body</v>
      </c>
      <c r="I3384">
        <f>_xlfn.XLOOKUP(A3384,'[1]Tissue Data'!$A:$A,'[1]Tissue Data'!L:L)</f>
        <v>7</v>
      </c>
      <c r="J3384">
        <f>_xlfn.XLOOKUP(A3384,'[1]Tissue Data'!$A:$A,'[1]Tissue Data'!M:M)</f>
        <v>4.5999999999999996</v>
      </c>
      <c r="K3384" t="s">
        <v>44</v>
      </c>
      <c r="L3384" t="str">
        <f>_xlfn.XLOOKUP(K3384,[2]analyte_order!$B:$B,[2]analyte_order!$C:$C)</f>
        <v>27619-97-2</v>
      </c>
      <c r="M3384">
        <f>_xlfn.XLOOKUP(L3384,[2]analyte_order!$C:$C,[2]analyte_order!$E:$E)</f>
        <v>23</v>
      </c>
      <c r="N3384">
        <v>0.371</v>
      </c>
    </row>
    <row r="3385" spans="1:14">
      <c r="A3385" t="s">
        <v>129</v>
      </c>
      <c r="B3385" t="str">
        <f>_xlfn.XLOOKUP(A3385,'[1]Tissue Data'!$A:$A,'[1]Tissue Data'!$C:$C)</f>
        <v>Spill</v>
      </c>
      <c r="C3385" s="2">
        <f>_xlfn.XLOOKUP(A3385,'[1]Tissue Data'!$A:$A,'[1]Tissue Data'!$D:$D)</f>
        <v>44314</v>
      </c>
      <c r="D3385" s="2" t="s">
        <v>122</v>
      </c>
      <c r="E3385" t="str">
        <f>_xlfn.XLOOKUP(A3385,'[1]Tissue Data'!$A:$A,'[1]Tissue Data'!$H:$H)</f>
        <v>Etheostoma</v>
      </c>
      <c r="F3385" t="str">
        <f>_xlfn.XLOOKUP(A3385,'[1]Tissue Data'!$A:$A,'[1]Tissue Data'!$I:$I)</f>
        <v>fusiforme</v>
      </c>
      <c r="G3385" t="str">
        <f>_xlfn.XLOOKUP(A3385,'[1]Tissue Data'!$A:$A,'[1]Tissue Data'!J:J)</f>
        <v>U</v>
      </c>
      <c r="H3385" t="str">
        <f>_xlfn.XLOOKUP(A3385,'[1]Tissue Data'!$A:$A,'[1]Tissue Data'!K:K)</f>
        <v>Whole Body</v>
      </c>
      <c r="I3385">
        <f>_xlfn.XLOOKUP(A3385,'[1]Tissue Data'!$A:$A,'[1]Tissue Data'!L:L)</f>
        <v>7</v>
      </c>
      <c r="J3385">
        <f>_xlfn.XLOOKUP(A3385,'[1]Tissue Data'!$A:$A,'[1]Tissue Data'!M:M)</f>
        <v>4.5999999999999996</v>
      </c>
      <c r="K3385" t="s">
        <v>45</v>
      </c>
      <c r="L3385" t="str">
        <f>_xlfn.XLOOKUP(K3385,[2]analyte_order!$B:$B,[2]analyte_order!$C:$C)</f>
        <v>39108-34-4</v>
      </c>
      <c r="M3385">
        <f>_xlfn.XLOOKUP(L3385,[2]analyte_order!$C:$C,[2]analyte_order!$E:$E)</f>
        <v>24</v>
      </c>
      <c r="N3385">
        <v>4.1399999999999997</v>
      </c>
    </row>
    <row r="3386" spans="1:14">
      <c r="A3386" t="s">
        <v>129</v>
      </c>
      <c r="B3386" t="str">
        <f>_xlfn.XLOOKUP(A3386,'[1]Tissue Data'!$A:$A,'[1]Tissue Data'!$C:$C)</f>
        <v>Spill</v>
      </c>
      <c r="C3386" s="2">
        <f>_xlfn.XLOOKUP(A3386,'[1]Tissue Data'!$A:$A,'[1]Tissue Data'!$D:$D)</f>
        <v>44314</v>
      </c>
      <c r="D3386" s="2" t="s">
        <v>122</v>
      </c>
      <c r="E3386" t="str">
        <f>_xlfn.XLOOKUP(A3386,'[1]Tissue Data'!$A:$A,'[1]Tissue Data'!$H:$H)</f>
        <v>Etheostoma</v>
      </c>
      <c r="F3386" t="str">
        <f>_xlfn.XLOOKUP(A3386,'[1]Tissue Data'!$A:$A,'[1]Tissue Data'!$I:$I)</f>
        <v>fusiforme</v>
      </c>
      <c r="G3386" t="str">
        <f>_xlfn.XLOOKUP(A3386,'[1]Tissue Data'!$A:$A,'[1]Tissue Data'!J:J)</f>
        <v>U</v>
      </c>
      <c r="H3386" t="str">
        <f>_xlfn.XLOOKUP(A3386,'[1]Tissue Data'!$A:$A,'[1]Tissue Data'!K:K)</f>
        <v>Whole Body</v>
      </c>
      <c r="I3386">
        <f>_xlfn.XLOOKUP(A3386,'[1]Tissue Data'!$A:$A,'[1]Tissue Data'!L:L)</f>
        <v>7</v>
      </c>
      <c r="J3386">
        <f>_xlfn.XLOOKUP(A3386,'[1]Tissue Data'!$A:$A,'[1]Tissue Data'!M:M)</f>
        <v>4.5999999999999996</v>
      </c>
      <c r="K3386" t="s">
        <v>46</v>
      </c>
      <c r="L3386" t="str">
        <f>_xlfn.XLOOKUP(K3386,[2]analyte_order!$B:$B,[2]analyte_order!$C:$C)</f>
        <v>120226-60-0</v>
      </c>
      <c r="M3386">
        <f>_xlfn.XLOOKUP(L3386,[2]analyte_order!$C:$C,[2]analyte_order!$E:$E)</f>
        <v>25</v>
      </c>
      <c r="N3386">
        <v>0.26150000000000001</v>
      </c>
    </row>
    <row r="3387" spans="1:14">
      <c r="A3387" t="s">
        <v>129</v>
      </c>
      <c r="B3387" t="str">
        <f>_xlfn.XLOOKUP(A3387,'[1]Tissue Data'!$A:$A,'[1]Tissue Data'!$C:$C)</f>
        <v>Spill</v>
      </c>
      <c r="C3387" s="2">
        <f>_xlfn.XLOOKUP(A3387,'[1]Tissue Data'!$A:$A,'[1]Tissue Data'!$D:$D)</f>
        <v>44314</v>
      </c>
      <c r="D3387" s="2" t="s">
        <v>122</v>
      </c>
      <c r="E3387" t="str">
        <f>_xlfn.XLOOKUP(A3387,'[1]Tissue Data'!$A:$A,'[1]Tissue Data'!$H:$H)</f>
        <v>Etheostoma</v>
      </c>
      <c r="F3387" t="str">
        <f>_xlfn.XLOOKUP(A3387,'[1]Tissue Data'!$A:$A,'[1]Tissue Data'!$I:$I)</f>
        <v>fusiforme</v>
      </c>
      <c r="G3387" t="str">
        <f>_xlfn.XLOOKUP(A3387,'[1]Tissue Data'!$A:$A,'[1]Tissue Data'!J:J)</f>
        <v>U</v>
      </c>
      <c r="H3387" t="str">
        <f>_xlfn.XLOOKUP(A3387,'[1]Tissue Data'!$A:$A,'[1]Tissue Data'!K:K)</f>
        <v>Whole Body</v>
      </c>
      <c r="I3387">
        <f>_xlfn.XLOOKUP(A3387,'[1]Tissue Data'!$A:$A,'[1]Tissue Data'!L:L)</f>
        <v>7</v>
      </c>
      <c r="J3387">
        <f>_xlfn.XLOOKUP(A3387,'[1]Tissue Data'!$A:$A,'[1]Tissue Data'!M:M)</f>
        <v>4.5999999999999996</v>
      </c>
      <c r="K3387" t="s">
        <v>47</v>
      </c>
      <c r="L3387" t="str">
        <f>_xlfn.XLOOKUP(K3387,[2]analyte_order!$B:$B,[2]analyte_order!$C:$C)</f>
        <v>356-02-5</v>
      </c>
      <c r="M3387">
        <f>_xlfn.XLOOKUP(L3387,[2]analyte_order!$C:$C,[2]analyte_order!$E:$E)</f>
        <v>38</v>
      </c>
      <c r="N3387">
        <v>8.0500000000000002E-2</v>
      </c>
    </row>
    <row r="3388" spans="1:14">
      <c r="A3388" t="s">
        <v>129</v>
      </c>
      <c r="B3388" t="str">
        <f>_xlfn.XLOOKUP(A3388,'[1]Tissue Data'!$A:$A,'[1]Tissue Data'!$C:$C)</f>
        <v>Spill</v>
      </c>
      <c r="C3388" s="2">
        <f>_xlfn.XLOOKUP(A3388,'[1]Tissue Data'!$A:$A,'[1]Tissue Data'!$D:$D)</f>
        <v>44314</v>
      </c>
      <c r="D3388" s="2" t="s">
        <v>122</v>
      </c>
      <c r="E3388" t="str">
        <f>_xlfn.XLOOKUP(A3388,'[1]Tissue Data'!$A:$A,'[1]Tissue Data'!$H:$H)</f>
        <v>Etheostoma</v>
      </c>
      <c r="F3388" t="str">
        <f>_xlfn.XLOOKUP(A3388,'[1]Tissue Data'!$A:$A,'[1]Tissue Data'!$I:$I)</f>
        <v>fusiforme</v>
      </c>
      <c r="G3388" t="str">
        <f>_xlfn.XLOOKUP(A3388,'[1]Tissue Data'!$A:$A,'[1]Tissue Data'!J:J)</f>
        <v>U</v>
      </c>
      <c r="H3388" t="str">
        <f>_xlfn.XLOOKUP(A3388,'[1]Tissue Data'!$A:$A,'[1]Tissue Data'!K:K)</f>
        <v>Whole Body</v>
      </c>
      <c r="I3388">
        <f>_xlfn.XLOOKUP(A3388,'[1]Tissue Data'!$A:$A,'[1]Tissue Data'!L:L)</f>
        <v>7</v>
      </c>
      <c r="J3388">
        <f>_xlfn.XLOOKUP(A3388,'[1]Tissue Data'!$A:$A,'[1]Tissue Data'!M:M)</f>
        <v>4.5999999999999996</v>
      </c>
      <c r="K3388" t="s">
        <v>48</v>
      </c>
      <c r="L3388" t="str">
        <f>_xlfn.XLOOKUP(K3388,[2]analyte_order!$B:$B,[2]analyte_order!$C:$C)</f>
        <v>914637-49-3</v>
      </c>
      <c r="M3388">
        <f>_xlfn.XLOOKUP(L3388,[2]analyte_order!$C:$C,[2]analyte_order!$E:$E)</f>
        <v>39</v>
      </c>
      <c r="N3388">
        <v>0.23</v>
      </c>
    </row>
    <row r="3389" spans="1:14">
      <c r="A3389" t="s">
        <v>129</v>
      </c>
      <c r="B3389" t="str">
        <f>_xlfn.XLOOKUP(A3389,'[1]Tissue Data'!$A:$A,'[1]Tissue Data'!$C:$C)</f>
        <v>Spill</v>
      </c>
      <c r="C3389" s="2">
        <f>_xlfn.XLOOKUP(A3389,'[1]Tissue Data'!$A:$A,'[1]Tissue Data'!$D:$D)</f>
        <v>44314</v>
      </c>
      <c r="D3389" s="2" t="s">
        <v>122</v>
      </c>
      <c r="E3389" t="str">
        <f>_xlfn.XLOOKUP(A3389,'[1]Tissue Data'!$A:$A,'[1]Tissue Data'!$H:$H)</f>
        <v>Etheostoma</v>
      </c>
      <c r="F3389" t="str">
        <f>_xlfn.XLOOKUP(A3389,'[1]Tissue Data'!$A:$A,'[1]Tissue Data'!$I:$I)</f>
        <v>fusiforme</v>
      </c>
      <c r="G3389" t="str">
        <f>_xlfn.XLOOKUP(A3389,'[1]Tissue Data'!$A:$A,'[1]Tissue Data'!J:J)</f>
        <v>U</v>
      </c>
      <c r="H3389" t="str">
        <f>_xlfn.XLOOKUP(A3389,'[1]Tissue Data'!$A:$A,'[1]Tissue Data'!K:K)</f>
        <v>Whole Body</v>
      </c>
      <c r="I3389">
        <f>_xlfn.XLOOKUP(A3389,'[1]Tissue Data'!$A:$A,'[1]Tissue Data'!L:L)</f>
        <v>7</v>
      </c>
      <c r="J3389">
        <f>_xlfn.XLOOKUP(A3389,'[1]Tissue Data'!$A:$A,'[1]Tissue Data'!M:M)</f>
        <v>4.5999999999999996</v>
      </c>
      <c r="K3389" t="s">
        <v>49</v>
      </c>
      <c r="L3389" t="str">
        <f>_xlfn.XLOOKUP(K3389,[2]analyte_order!$B:$B,[2]analyte_order!$C:$C)</f>
        <v>812-70-4</v>
      </c>
      <c r="M3389">
        <f>_xlfn.XLOOKUP(L3389,[2]analyte_order!$C:$C,[2]analyte_order!$E:$E)</f>
        <v>40</v>
      </c>
      <c r="N3389">
        <v>1.81</v>
      </c>
    </row>
    <row r="3390" spans="1:14">
      <c r="A3390" t="s">
        <v>129</v>
      </c>
      <c r="B3390" t="str">
        <f>_xlfn.XLOOKUP(A3390,'[1]Tissue Data'!$A:$A,'[1]Tissue Data'!$C:$C)</f>
        <v>Spill</v>
      </c>
      <c r="C3390" s="2">
        <f>_xlfn.XLOOKUP(A3390,'[1]Tissue Data'!$A:$A,'[1]Tissue Data'!$D:$D)</f>
        <v>44314</v>
      </c>
      <c r="D3390" s="2" t="s">
        <v>122</v>
      </c>
      <c r="E3390" t="str">
        <f>_xlfn.XLOOKUP(A3390,'[1]Tissue Data'!$A:$A,'[1]Tissue Data'!$H:$H)</f>
        <v>Etheostoma</v>
      </c>
      <c r="F3390" t="str">
        <f>_xlfn.XLOOKUP(A3390,'[1]Tissue Data'!$A:$A,'[1]Tissue Data'!$I:$I)</f>
        <v>fusiforme</v>
      </c>
      <c r="G3390" t="str">
        <f>_xlfn.XLOOKUP(A3390,'[1]Tissue Data'!$A:$A,'[1]Tissue Data'!J:J)</f>
        <v>U</v>
      </c>
      <c r="H3390" t="str">
        <f>_xlfn.XLOOKUP(A3390,'[1]Tissue Data'!$A:$A,'[1]Tissue Data'!K:K)</f>
        <v>Whole Body</v>
      </c>
      <c r="I3390">
        <f>_xlfn.XLOOKUP(A3390,'[1]Tissue Data'!$A:$A,'[1]Tissue Data'!L:L)</f>
        <v>7</v>
      </c>
      <c r="J3390">
        <f>_xlfn.XLOOKUP(A3390,'[1]Tissue Data'!$A:$A,'[1]Tissue Data'!M:M)</f>
        <v>4.5999999999999996</v>
      </c>
      <c r="K3390" t="s">
        <v>50</v>
      </c>
      <c r="L3390" t="str">
        <f>_xlfn.XLOOKUP(K3390,[2]analyte_order!$B:$B,[2]analyte_order!$C:$C)</f>
        <v>53826-12-3</v>
      </c>
      <c r="M3390">
        <f>_xlfn.XLOOKUP(L3390,[2]analyte_order!$C:$C,[2]analyte_order!$E:$E)</f>
        <v>41</v>
      </c>
      <c r="N3390">
        <v>0.23</v>
      </c>
    </row>
    <row r="3391" spans="1:14">
      <c r="A3391" t="s">
        <v>129</v>
      </c>
      <c r="B3391" t="str">
        <f>_xlfn.XLOOKUP(A3391,'[1]Tissue Data'!$A:$A,'[1]Tissue Data'!$C:$C)</f>
        <v>Spill</v>
      </c>
      <c r="C3391" s="2">
        <f>_xlfn.XLOOKUP(A3391,'[1]Tissue Data'!$A:$A,'[1]Tissue Data'!$D:$D)</f>
        <v>44314</v>
      </c>
      <c r="D3391" s="2" t="s">
        <v>122</v>
      </c>
      <c r="E3391" t="str">
        <f>_xlfn.XLOOKUP(A3391,'[1]Tissue Data'!$A:$A,'[1]Tissue Data'!$H:$H)</f>
        <v>Etheostoma</v>
      </c>
      <c r="F3391" t="str">
        <f>_xlfn.XLOOKUP(A3391,'[1]Tissue Data'!$A:$A,'[1]Tissue Data'!$I:$I)</f>
        <v>fusiforme</v>
      </c>
      <c r="G3391" t="str">
        <f>_xlfn.XLOOKUP(A3391,'[1]Tissue Data'!$A:$A,'[1]Tissue Data'!J:J)</f>
        <v>U</v>
      </c>
      <c r="H3391" t="str">
        <f>_xlfn.XLOOKUP(A3391,'[1]Tissue Data'!$A:$A,'[1]Tissue Data'!K:K)</f>
        <v>Whole Body</v>
      </c>
      <c r="I3391">
        <f>_xlfn.XLOOKUP(A3391,'[1]Tissue Data'!$A:$A,'[1]Tissue Data'!L:L)</f>
        <v>7</v>
      </c>
      <c r="J3391">
        <f>_xlfn.XLOOKUP(A3391,'[1]Tissue Data'!$A:$A,'[1]Tissue Data'!M:M)</f>
        <v>4.5999999999999996</v>
      </c>
      <c r="K3391" t="s">
        <v>51</v>
      </c>
      <c r="L3391" t="str">
        <f>_xlfn.XLOOKUP(K3391,[2]analyte_order!$B:$B,[2]analyte_order!$C:$C)</f>
        <v>27854-31-5</v>
      </c>
      <c r="M3391">
        <f>_xlfn.XLOOKUP(L3391,[2]analyte_order!$C:$C,[2]analyte_order!$E:$E)</f>
        <v>42</v>
      </c>
      <c r="N3391">
        <v>1.1299999999999999</v>
      </c>
    </row>
    <row r="3392" spans="1:14">
      <c r="A3392" t="s">
        <v>129</v>
      </c>
      <c r="B3392" t="str">
        <f>_xlfn.XLOOKUP(A3392,'[1]Tissue Data'!$A:$A,'[1]Tissue Data'!$C:$C)</f>
        <v>Spill</v>
      </c>
      <c r="C3392" s="2">
        <f>_xlfn.XLOOKUP(A3392,'[1]Tissue Data'!$A:$A,'[1]Tissue Data'!$D:$D)</f>
        <v>44314</v>
      </c>
      <c r="D3392" s="2" t="s">
        <v>122</v>
      </c>
      <c r="E3392" t="str">
        <f>_xlfn.XLOOKUP(A3392,'[1]Tissue Data'!$A:$A,'[1]Tissue Data'!$H:$H)</f>
        <v>Etheostoma</v>
      </c>
      <c r="F3392" t="str">
        <f>_xlfn.XLOOKUP(A3392,'[1]Tissue Data'!$A:$A,'[1]Tissue Data'!$I:$I)</f>
        <v>fusiforme</v>
      </c>
      <c r="G3392" t="str">
        <f>_xlfn.XLOOKUP(A3392,'[1]Tissue Data'!$A:$A,'[1]Tissue Data'!J:J)</f>
        <v>U</v>
      </c>
      <c r="H3392" t="str">
        <f>_xlfn.XLOOKUP(A3392,'[1]Tissue Data'!$A:$A,'[1]Tissue Data'!K:K)</f>
        <v>Whole Body</v>
      </c>
      <c r="I3392">
        <f>_xlfn.XLOOKUP(A3392,'[1]Tissue Data'!$A:$A,'[1]Tissue Data'!L:L)</f>
        <v>7</v>
      </c>
      <c r="J3392">
        <f>_xlfn.XLOOKUP(A3392,'[1]Tissue Data'!$A:$A,'[1]Tissue Data'!M:M)</f>
        <v>4.5999999999999996</v>
      </c>
      <c r="K3392" t="s">
        <v>52</v>
      </c>
      <c r="L3392" t="str">
        <f>_xlfn.XLOOKUP(K3392,[2]analyte_order!$B:$B,[2]analyte_order!$C:$C)</f>
        <v>53826-13-4</v>
      </c>
      <c r="M3392">
        <f>_xlfn.XLOOKUP(L3392,[2]analyte_order!$C:$C,[2]analyte_order!$E:$E)</f>
        <v>43</v>
      </c>
      <c r="N3392">
        <v>0.34350000000000003</v>
      </c>
    </row>
    <row r="3393" spans="1:14">
      <c r="A3393" t="s">
        <v>129</v>
      </c>
      <c r="B3393" t="str">
        <f>_xlfn.XLOOKUP(A3393,'[1]Tissue Data'!$A:$A,'[1]Tissue Data'!$C:$C)</f>
        <v>Spill</v>
      </c>
      <c r="C3393" s="2">
        <f>_xlfn.XLOOKUP(A3393,'[1]Tissue Data'!$A:$A,'[1]Tissue Data'!$D:$D)</f>
        <v>44314</v>
      </c>
      <c r="D3393" s="2" t="s">
        <v>122</v>
      </c>
      <c r="E3393" t="str">
        <f>_xlfn.XLOOKUP(A3393,'[1]Tissue Data'!$A:$A,'[1]Tissue Data'!$H:$H)</f>
        <v>Etheostoma</v>
      </c>
      <c r="F3393" t="str">
        <f>_xlfn.XLOOKUP(A3393,'[1]Tissue Data'!$A:$A,'[1]Tissue Data'!$I:$I)</f>
        <v>fusiforme</v>
      </c>
      <c r="G3393" t="str">
        <f>_xlfn.XLOOKUP(A3393,'[1]Tissue Data'!$A:$A,'[1]Tissue Data'!J:J)</f>
        <v>U</v>
      </c>
      <c r="H3393" t="str">
        <f>_xlfn.XLOOKUP(A3393,'[1]Tissue Data'!$A:$A,'[1]Tissue Data'!K:K)</f>
        <v>Whole Body</v>
      </c>
      <c r="I3393">
        <f>_xlfn.XLOOKUP(A3393,'[1]Tissue Data'!$A:$A,'[1]Tissue Data'!L:L)</f>
        <v>7</v>
      </c>
      <c r="J3393">
        <f>_xlfn.XLOOKUP(A3393,'[1]Tissue Data'!$A:$A,'[1]Tissue Data'!M:M)</f>
        <v>4.5999999999999996</v>
      </c>
      <c r="K3393" t="s">
        <v>53</v>
      </c>
      <c r="L3393" t="str">
        <f>_xlfn.XLOOKUP(K3393,[2]analyte_order!$B:$B,[2]analyte_order!$C:$C)</f>
        <v>161094-75-3</v>
      </c>
      <c r="M3393">
        <f>_xlfn.XLOOKUP(L3393,[2]analyte_order!$C:$C,[2]analyte_order!$E:$E)</f>
        <v>44</v>
      </c>
      <c r="N3393">
        <v>5.5E-2</v>
      </c>
    </row>
    <row r="3394" spans="1:14">
      <c r="A3394" t="s">
        <v>129</v>
      </c>
      <c r="B3394" t="str">
        <f>_xlfn.XLOOKUP(A3394,'[1]Tissue Data'!$A:$A,'[1]Tissue Data'!$C:$C)</f>
        <v>Spill</v>
      </c>
      <c r="C3394" s="2">
        <f>_xlfn.XLOOKUP(A3394,'[1]Tissue Data'!$A:$A,'[1]Tissue Data'!$D:$D)</f>
        <v>44314</v>
      </c>
      <c r="D3394" s="2" t="s">
        <v>122</v>
      </c>
      <c r="E3394" t="str">
        <f>_xlfn.XLOOKUP(A3394,'[1]Tissue Data'!$A:$A,'[1]Tissue Data'!$H:$H)</f>
        <v>Etheostoma</v>
      </c>
      <c r="F3394" t="str">
        <f>_xlfn.XLOOKUP(A3394,'[1]Tissue Data'!$A:$A,'[1]Tissue Data'!$I:$I)</f>
        <v>fusiforme</v>
      </c>
      <c r="G3394" t="str">
        <f>_xlfn.XLOOKUP(A3394,'[1]Tissue Data'!$A:$A,'[1]Tissue Data'!J:J)</f>
        <v>U</v>
      </c>
      <c r="H3394" t="str">
        <f>_xlfn.XLOOKUP(A3394,'[1]Tissue Data'!$A:$A,'[1]Tissue Data'!K:K)</f>
        <v>Whole Body</v>
      </c>
      <c r="I3394">
        <f>_xlfn.XLOOKUP(A3394,'[1]Tissue Data'!$A:$A,'[1]Tissue Data'!L:L)</f>
        <v>7</v>
      </c>
      <c r="J3394">
        <f>_xlfn.XLOOKUP(A3394,'[1]Tissue Data'!$A:$A,'[1]Tissue Data'!M:M)</f>
        <v>4.5999999999999996</v>
      </c>
      <c r="K3394" t="s">
        <v>54</v>
      </c>
      <c r="L3394" t="str">
        <f>_xlfn.XLOOKUP(K3394,[2]analyte_order!$B:$B,[2]analyte_order!$C:$C)</f>
        <v>70887-84-2</v>
      </c>
      <c r="M3394">
        <f>_xlfn.XLOOKUP(L3394,[2]analyte_order!$C:$C,[2]analyte_order!$E:$E)</f>
        <v>45</v>
      </c>
      <c r="N3394">
        <v>4.2099999999999999E-2</v>
      </c>
    </row>
    <row r="3395" spans="1:14">
      <c r="A3395" t="s">
        <v>129</v>
      </c>
      <c r="B3395" t="str">
        <f>_xlfn.XLOOKUP(A3395,'[1]Tissue Data'!$A:$A,'[1]Tissue Data'!$C:$C)</f>
        <v>Spill</v>
      </c>
      <c r="C3395" s="2">
        <f>_xlfn.XLOOKUP(A3395,'[1]Tissue Data'!$A:$A,'[1]Tissue Data'!$D:$D)</f>
        <v>44314</v>
      </c>
      <c r="D3395" s="2" t="s">
        <v>122</v>
      </c>
      <c r="E3395" t="str">
        <f>_xlfn.XLOOKUP(A3395,'[1]Tissue Data'!$A:$A,'[1]Tissue Data'!$H:$H)</f>
        <v>Etheostoma</v>
      </c>
      <c r="F3395" t="str">
        <f>_xlfn.XLOOKUP(A3395,'[1]Tissue Data'!$A:$A,'[1]Tissue Data'!$I:$I)</f>
        <v>fusiforme</v>
      </c>
      <c r="G3395" t="str">
        <f>_xlfn.XLOOKUP(A3395,'[1]Tissue Data'!$A:$A,'[1]Tissue Data'!J:J)</f>
        <v>U</v>
      </c>
      <c r="H3395" t="str">
        <f>_xlfn.XLOOKUP(A3395,'[1]Tissue Data'!$A:$A,'[1]Tissue Data'!K:K)</f>
        <v>Whole Body</v>
      </c>
      <c r="I3395">
        <f>_xlfn.XLOOKUP(A3395,'[1]Tissue Data'!$A:$A,'[1]Tissue Data'!L:L)</f>
        <v>7</v>
      </c>
      <c r="J3395">
        <f>_xlfn.XLOOKUP(A3395,'[1]Tissue Data'!$A:$A,'[1]Tissue Data'!M:M)</f>
        <v>4.5999999999999996</v>
      </c>
      <c r="K3395" t="s">
        <v>55</v>
      </c>
      <c r="L3395" t="str">
        <f>_xlfn.XLOOKUP(K3395,[2]analyte_order!$B:$B,[2]analyte_order!$C:$C)</f>
        <v>919005-14-4</v>
      </c>
      <c r="M3395">
        <f>_xlfn.XLOOKUP(L3395,[2]analyte_order!$C:$C,[2]analyte_order!$E:$E)</f>
        <v>35</v>
      </c>
      <c r="N3395">
        <v>6.9500000000000006E-2</v>
      </c>
    </row>
    <row r="3396" spans="1:14">
      <c r="A3396" t="s">
        <v>129</v>
      </c>
      <c r="B3396" t="str">
        <f>_xlfn.XLOOKUP(A3396,'[1]Tissue Data'!$A:$A,'[1]Tissue Data'!$C:$C)</f>
        <v>Spill</v>
      </c>
      <c r="C3396" s="2">
        <f>_xlfn.XLOOKUP(A3396,'[1]Tissue Data'!$A:$A,'[1]Tissue Data'!$D:$D)</f>
        <v>44314</v>
      </c>
      <c r="D3396" s="2" t="s">
        <v>122</v>
      </c>
      <c r="E3396" t="str">
        <f>_xlfn.XLOOKUP(A3396,'[1]Tissue Data'!$A:$A,'[1]Tissue Data'!$H:$H)</f>
        <v>Etheostoma</v>
      </c>
      <c r="F3396" t="str">
        <f>_xlfn.XLOOKUP(A3396,'[1]Tissue Data'!$A:$A,'[1]Tissue Data'!$I:$I)</f>
        <v>fusiforme</v>
      </c>
      <c r="G3396" t="str">
        <f>_xlfn.XLOOKUP(A3396,'[1]Tissue Data'!$A:$A,'[1]Tissue Data'!J:J)</f>
        <v>U</v>
      </c>
      <c r="H3396" t="str">
        <f>_xlfn.XLOOKUP(A3396,'[1]Tissue Data'!$A:$A,'[1]Tissue Data'!K:K)</f>
        <v>Whole Body</v>
      </c>
      <c r="I3396">
        <f>_xlfn.XLOOKUP(A3396,'[1]Tissue Data'!$A:$A,'[1]Tissue Data'!L:L)</f>
        <v>7</v>
      </c>
      <c r="J3396">
        <f>_xlfn.XLOOKUP(A3396,'[1]Tissue Data'!$A:$A,'[1]Tissue Data'!M:M)</f>
        <v>4.5999999999999996</v>
      </c>
      <c r="K3396" t="s">
        <v>56</v>
      </c>
      <c r="L3396" t="str">
        <f>_xlfn.XLOOKUP(K3396,[2]analyte_order!$B:$B,[2]analyte_order!$C:$C)</f>
        <v>756426-58-1</v>
      </c>
      <c r="M3396">
        <f>_xlfn.XLOOKUP(L3396,[2]analyte_order!$C:$C,[2]analyte_order!$E:$E)</f>
        <v>36</v>
      </c>
      <c r="N3396">
        <v>6.9500000000000006E-2</v>
      </c>
    </row>
    <row r="3397" spans="1:14">
      <c r="A3397" t="s">
        <v>129</v>
      </c>
      <c r="B3397" t="str">
        <f>_xlfn.XLOOKUP(A3397,'[1]Tissue Data'!$A:$A,'[1]Tissue Data'!$C:$C)</f>
        <v>Spill</v>
      </c>
      <c r="C3397" s="2">
        <f>_xlfn.XLOOKUP(A3397,'[1]Tissue Data'!$A:$A,'[1]Tissue Data'!$D:$D)</f>
        <v>44314</v>
      </c>
      <c r="D3397" s="2" t="s">
        <v>122</v>
      </c>
      <c r="E3397" t="str">
        <f>_xlfn.XLOOKUP(A3397,'[1]Tissue Data'!$A:$A,'[1]Tissue Data'!$H:$H)</f>
        <v>Etheostoma</v>
      </c>
      <c r="F3397" t="str">
        <f>_xlfn.XLOOKUP(A3397,'[1]Tissue Data'!$A:$A,'[1]Tissue Data'!$I:$I)</f>
        <v>fusiforme</v>
      </c>
      <c r="G3397" t="str">
        <f>_xlfn.XLOOKUP(A3397,'[1]Tissue Data'!$A:$A,'[1]Tissue Data'!J:J)</f>
        <v>U</v>
      </c>
      <c r="H3397" t="str">
        <f>_xlfn.XLOOKUP(A3397,'[1]Tissue Data'!$A:$A,'[1]Tissue Data'!K:K)</f>
        <v>Whole Body</v>
      </c>
      <c r="I3397">
        <f>_xlfn.XLOOKUP(A3397,'[1]Tissue Data'!$A:$A,'[1]Tissue Data'!L:L)</f>
        <v>7</v>
      </c>
      <c r="J3397">
        <f>_xlfn.XLOOKUP(A3397,'[1]Tissue Data'!$A:$A,'[1]Tissue Data'!M:M)</f>
        <v>4.5999999999999996</v>
      </c>
      <c r="K3397" t="s">
        <v>57</v>
      </c>
      <c r="L3397" t="str">
        <f>_xlfn.XLOOKUP(K3397,[2]analyte_order!$B:$B,[2]analyte_order!$C:$C)</f>
        <v>763051-92-9</v>
      </c>
      <c r="M3397">
        <f>_xlfn.XLOOKUP(L3397,[2]analyte_order!$C:$C,[2]analyte_order!$E:$E)</f>
        <v>37</v>
      </c>
      <c r="N3397">
        <v>6.9500000000000006E-2</v>
      </c>
    </row>
    <row r="3398" spans="1:14">
      <c r="A3398" t="s">
        <v>129</v>
      </c>
      <c r="B3398" t="str">
        <f>_xlfn.XLOOKUP(A3398,'[1]Tissue Data'!$A:$A,'[1]Tissue Data'!$C:$C)</f>
        <v>Spill</v>
      </c>
      <c r="C3398" s="2">
        <f>_xlfn.XLOOKUP(A3398,'[1]Tissue Data'!$A:$A,'[1]Tissue Data'!$D:$D)</f>
        <v>44314</v>
      </c>
      <c r="D3398" s="2" t="s">
        <v>122</v>
      </c>
      <c r="E3398" t="str">
        <f>_xlfn.XLOOKUP(A3398,'[1]Tissue Data'!$A:$A,'[1]Tissue Data'!$H:$H)</f>
        <v>Etheostoma</v>
      </c>
      <c r="F3398" t="str">
        <f>_xlfn.XLOOKUP(A3398,'[1]Tissue Data'!$A:$A,'[1]Tissue Data'!$I:$I)</f>
        <v>fusiforme</v>
      </c>
      <c r="G3398" t="str">
        <f>_xlfn.XLOOKUP(A3398,'[1]Tissue Data'!$A:$A,'[1]Tissue Data'!J:J)</f>
        <v>U</v>
      </c>
      <c r="H3398" t="str">
        <f>_xlfn.XLOOKUP(A3398,'[1]Tissue Data'!$A:$A,'[1]Tissue Data'!K:K)</f>
        <v>Whole Body</v>
      </c>
      <c r="I3398">
        <f>_xlfn.XLOOKUP(A3398,'[1]Tissue Data'!$A:$A,'[1]Tissue Data'!L:L)</f>
        <v>7</v>
      </c>
      <c r="J3398">
        <f>_xlfn.XLOOKUP(A3398,'[1]Tissue Data'!$A:$A,'[1]Tissue Data'!M:M)</f>
        <v>4.5999999999999996</v>
      </c>
      <c r="K3398" t="s">
        <v>58</v>
      </c>
      <c r="L3398" t="str">
        <f>_xlfn.XLOOKUP(K3398,[2]analyte_order!$B:$B,[2]analyte_order!$C:$C)</f>
        <v>13252-13-6</v>
      </c>
      <c r="M3398">
        <f>_xlfn.XLOOKUP(L3398,[2]analyte_order!$C:$C,[2]analyte_order!$E:$E)</f>
        <v>34</v>
      </c>
      <c r="N3398">
        <v>0.1</v>
      </c>
    </row>
    <row r="3399" spans="1:14">
      <c r="A3399" t="s">
        <v>129</v>
      </c>
      <c r="B3399" t="str">
        <f>_xlfn.XLOOKUP(A3399,'[1]Tissue Data'!$A:$A,'[1]Tissue Data'!$C:$C)</f>
        <v>Spill</v>
      </c>
      <c r="C3399" s="2">
        <f>_xlfn.XLOOKUP(A3399,'[1]Tissue Data'!$A:$A,'[1]Tissue Data'!$D:$D)</f>
        <v>44314</v>
      </c>
      <c r="D3399" s="2" t="s">
        <v>122</v>
      </c>
      <c r="E3399" t="str">
        <f>_xlfn.XLOOKUP(A3399,'[1]Tissue Data'!$A:$A,'[1]Tissue Data'!$H:$H)</f>
        <v>Etheostoma</v>
      </c>
      <c r="F3399" t="str">
        <f>_xlfn.XLOOKUP(A3399,'[1]Tissue Data'!$A:$A,'[1]Tissue Data'!$I:$I)</f>
        <v>fusiforme</v>
      </c>
      <c r="G3399" t="str">
        <f>_xlfn.XLOOKUP(A3399,'[1]Tissue Data'!$A:$A,'[1]Tissue Data'!J:J)</f>
        <v>U</v>
      </c>
      <c r="H3399" t="str">
        <f>_xlfn.XLOOKUP(A3399,'[1]Tissue Data'!$A:$A,'[1]Tissue Data'!K:K)</f>
        <v>Whole Body</v>
      </c>
      <c r="I3399">
        <f>_xlfn.XLOOKUP(A3399,'[1]Tissue Data'!$A:$A,'[1]Tissue Data'!L:L)</f>
        <v>7</v>
      </c>
      <c r="J3399">
        <f>_xlfn.XLOOKUP(A3399,'[1]Tissue Data'!$A:$A,'[1]Tissue Data'!M:M)</f>
        <v>4.5999999999999996</v>
      </c>
      <c r="K3399" t="s">
        <v>59</v>
      </c>
      <c r="L3399" t="str">
        <f>_xlfn.XLOOKUP(K3399,[2]analyte_order!$B:$B,[2]analyte_order!$C:$C)</f>
        <v>57677-95-9</v>
      </c>
      <c r="M3399">
        <f>_xlfn.XLOOKUP(L3399,[2]analyte_order!$C:$C,[2]analyte_order!$E:$E)</f>
        <v>46</v>
      </c>
      <c r="N3399">
        <v>7.3999999999999996E-2</v>
      </c>
    </row>
    <row r="3400" spans="1:14">
      <c r="A3400" t="s">
        <v>129</v>
      </c>
      <c r="B3400" t="str">
        <f>_xlfn.XLOOKUP(A3400,'[1]Tissue Data'!$A:$A,'[1]Tissue Data'!$C:$C)</f>
        <v>Spill</v>
      </c>
      <c r="C3400" s="2">
        <f>_xlfn.XLOOKUP(A3400,'[1]Tissue Data'!$A:$A,'[1]Tissue Data'!$D:$D)</f>
        <v>44314</v>
      </c>
      <c r="D3400" s="2" t="s">
        <v>122</v>
      </c>
      <c r="E3400" t="str">
        <f>_xlfn.XLOOKUP(A3400,'[1]Tissue Data'!$A:$A,'[1]Tissue Data'!$H:$H)</f>
        <v>Etheostoma</v>
      </c>
      <c r="F3400" t="str">
        <f>_xlfn.XLOOKUP(A3400,'[1]Tissue Data'!$A:$A,'[1]Tissue Data'!$I:$I)</f>
        <v>fusiforme</v>
      </c>
      <c r="G3400" t="str">
        <f>_xlfn.XLOOKUP(A3400,'[1]Tissue Data'!$A:$A,'[1]Tissue Data'!J:J)</f>
        <v>U</v>
      </c>
      <c r="H3400" t="str">
        <f>_xlfn.XLOOKUP(A3400,'[1]Tissue Data'!$A:$A,'[1]Tissue Data'!K:K)</f>
        <v>Whole Body</v>
      </c>
      <c r="I3400">
        <f>_xlfn.XLOOKUP(A3400,'[1]Tissue Data'!$A:$A,'[1]Tissue Data'!L:L)</f>
        <v>7</v>
      </c>
      <c r="J3400">
        <f>_xlfn.XLOOKUP(A3400,'[1]Tissue Data'!$A:$A,'[1]Tissue Data'!M:M)</f>
        <v>4.5999999999999996</v>
      </c>
      <c r="K3400" t="s">
        <v>60</v>
      </c>
      <c r="L3400" t="str">
        <f>_xlfn.XLOOKUP(K3400,[2]analyte_order!$B:$B,[2]analyte_order!$C:$C)</f>
        <v>678-41-1</v>
      </c>
      <c r="M3400">
        <f>_xlfn.XLOOKUP(L3400,[2]analyte_order!$C:$C,[2]analyte_order!$E:$E)</f>
        <v>56</v>
      </c>
      <c r="N3400">
        <v>9.2499999999999999E-2</v>
      </c>
    </row>
    <row r="3401" spans="1:14">
      <c r="A3401" t="s">
        <v>129</v>
      </c>
      <c r="B3401" t="str">
        <f>_xlfn.XLOOKUP(A3401,'[1]Tissue Data'!$A:$A,'[1]Tissue Data'!$C:$C)</f>
        <v>Spill</v>
      </c>
      <c r="C3401" s="2">
        <f>_xlfn.XLOOKUP(A3401,'[1]Tissue Data'!$A:$A,'[1]Tissue Data'!$D:$D)</f>
        <v>44314</v>
      </c>
      <c r="D3401" s="2" t="s">
        <v>122</v>
      </c>
      <c r="E3401" t="str">
        <f>_xlfn.XLOOKUP(A3401,'[1]Tissue Data'!$A:$A,'[1]Tissue Data'!$H:$H)</f>
        <v>Etheostoma</v>
      </c>
      <c r="F3401" t="str">
        <f>_xlfn.XLOOKUP(A3401,'[1]Tissue Data'!$A:$A,'[1]Tissue Data'!$I:$I)</f>
        <v>fusiforme</v>
      </c>
      <c r="G3401" t="str">
        <f>_xlfn.XLOOKUP(A3401,'[1]Tissue Data'!$A:$A,'[1]Tissue Data'!J:J)</f>
        <v>U</v>
      </c>
      <c r="H3401" t="str">
        <f>_xlfn.XLOOKUP(A3401,'[1]Tissue Data'!$A:$A,'[1]Tissue Data'!K:K)</f>
        <v>Whole Body</v>
      </c>
      <c r="I3401">
        <f>_xlfn.XLOOKUP(A3401,'[1]Tissue Data'!$A:$A,'[1]Tissue Data'!L:L)</f>
        <v>7</v>
      </c>
      <c r="J3401">
        <f>_xlfn.XLOOKUP(A3401,'[1]Tissue Data'!$A:$A,'[1]Tissue Data'!M:M)</f>
        <v>4.5999999999999996</v>
      </c>
      <c r="K3401" t="s">
        <v>61</v>
      </c>
      <c r="L3401" t="str">
        <f>_xlfn.XLOOKUP(K3401,[2]analyte_order!$B:$B,[2]analyte_order!$C:$C)</f>
        <v>2965-52-8</v>
      </c>
      <c r="M3401">
        <f>_xlfn.XLOOKUP(L3401,[2]analyte_order!$C:$C,[2]analyte_order!$E:$E)</f>
        <v>57</v>
      </c>
      <c r="N3401">
        <v>0.1225</v>
      </c>
    </row>
    <row r="3402" spans="1:14">
      <c r="A3402" t="s">
        <v>168</v>
      </c>
      <c r="B3402" t="str">
        <f>_xlfn.XLOOKUP(A3402,'[1]Tissue Data'!$A:$A,'[1]Tissue Data'!$C:$C)</f>
        <v>Spill</v>
      </c>
      <c r="C3402" s="2">
        <f>_xlfn.XLOOKUP(A3402,'[1]Tissue Data'!$A:$A,'[1]Tissue Data'!$D:$D)</f>
        <v>44314</v>
      </c>
      <c r="D3402" s="2" t="str">
        <f>_xlfn.XLOOKUP(A3402,'[1]Tissue Data'!$A:$A,'[1]Tissue Data'!$F:$F)</f>
        <v>Eastern Mudminnow</v>
      </c>
      <c r="E3402" t="str">
        <f>_xlfn.XLOOKUP(A3402,'[1]Tissue Data'!$A:$A,'[1]Tissue Data'!$H:$H)</f>
        <v>Umbra</v>
      </c>
      <c r="F3402" t="str">
        <f>_xlfn.XLOOKUP(A3402,'[1]Tissue Data'!$A:$A,'[1]Tissue Data'!$I:$I)</f>
        <v>pygmaea</v>
      </c>
      <c r="G3402" t="str">
        <f>_xlfn.XLOOKUP(A3402,'[1]Tissue Data'!$A:$A,'[1]Tissue Data'!J:J)</f>
        <v>U</v>
      </c>
      <c r="H3402" t="str">
        <f>_xlfn.XLOOKUP(A3402,'[1]Tissue Data'!$A:$A,'[1]Tissue Data'!K:K)</f>
        <v>Whole Body</v>
      </c>
      <c r="I3402">
        <f>_xlfn.XLOOKUP(A3402,'[1]Tissue Data'!$A:$A,'[1]Tissue Data'!L:L)</f>
        <v>6</v>
      </c>
      <c r="J3402">
        <f>_xlfn.XLOOKUP(A3402,'[1]Tissue Data'!$A:$A,'[1]Tissue Data'!M:M)</f>
        <v>2.75</v>
      </c>
      <c r="K3402" t="s">
        <v>12</v>
      </c>
      <c r="L3402" t="str">
        <f>_xlfn.XLOOKUP(K3402,[2]analyte_order!$B:$B,[2]analyte_order!$C:$C)</f>
        <v>375-22-4</v>
      </c>
      <c r="M3402">
        <f>_xlfn.XLOOKUP(L3402,[2]analyte_order!$C:$C,[2]analyte_order!$E:$E)</f>
        <v>1</v>
      </c>
      <c r="N3402">
        <v>0.222</v>
      </c>
    </row>
    <row r="3403" spans="1:14">
      <c r="A3403" t="s">
        <v>168</v>
      </c>
      <c r="B3403" t="str">
        <f>_xlfn.XLOOKUP(A3403,'[1]Tissue Data'!$A:$A,'[1]Tissue Data'!$C:$C)</f>
        <v>Spill</v>
      </c>
      <c r="C3403" s="2">
        <f>_xlfn.XLOOKUP(A3403,'[1]Tissue Data'!$A:$A,'[1]Tissue Data'!$D:$D)</f>
        <v>44314</v>
      </c>
      <c r="D3403" s="2" t="str">
        <f>_xlfn.XLOOKUP(A3403,'[1]Tissue Data'!$A:$A,'[1]Tissue Data'!$F:$F)</f>
        <v>Eastern Mudminnow</v>
      </c>
      <c r="E3403" t="str">
        <f>_xlfn.XLOOKUP(A3403,'[1]Tissue Data'!$A:$A,'[1]Tissue Data'!$H:$H)</f>
        <v>Umbra</v>
      </c>
      <c r="F3403" t="str">
        <f>_xlfn.XLOOKUP(A3403,'[1]Tissue Data'!$A:$A,'[1]Tissue Data'!$I:$I)</f>
        <v>pygmaea</v>
      </c>
      <c r="G3403" t="str">
        <f>_xlfn.XLOOKUP(A3403,'[1]Tissue Data'!$A:$A,'[1]Tissue Data'!J:J)</f>
        <v>U</v>
      </c>
      <c r="H3403" t="str">
        <f>_xlfn.XLOOKUP(A3403,'[1]Tissue Data'!$A:$A,'[1]Tissue Data'!K:K)</f>
        <v>Whole Body</v>
      </c>
      <c r="I3403">
        <f>_xlfn.XLOOKUP(A3403,'[1]Tissue Data'!$A:$A,'[1]Tissue Data'!L:L)</f>
        <v>6</v>
      </c>
      <c r="J3403">
        <f>_xlfn.XLOOKUP(A3403,'[1]Tissue Data'!$A:$A,'[1]Tissue Data'!M:M)</f>
        <v>2.75</v>
      </c>
      <c r="K3403" t="s">
        <v>13</v>
      </c>
      <c r="L3403" t="str">
        <f>_xlfn.XLOOKUP(K3403,[2]analyte_order!$B:$B,[2]analyte_order!$C:$C)</f>
        <v>2706-90-3</v>
      </c>
      <c r="M3403">
        <f>_xlfn.XLOOKUP(L3403,[2]analyte_order!$C:$C,[2]analyte_order!$E:$E)</f>
        <v>2</v>
      </c>
      <c r="N3403">
        <v>4.7600000000000003E-2</v>
      </c>
    </row>
    <row r="3404" spans="1:14">
      <c r="A3404" t="s">
        <v>168</v>
      </c>
      <c r="B3404" t="str">
        <f>_xlfn.XLOOKUP(A3404,'[1]Tissue Data'!$A:$A,'[1]Tissue Data'!$C:$C)</f>
        <v>Spill</v>
      </c>
      <c r="C3404" s="2">
        <f>_xlfn.XLOOKUP(A3404,'[1]Tissue Data'!$A:$A,'[1]Tissue Data'!$D:$D)</f>
        <v>44314</v>
      </c>
      <c r="D3404" s="2" t="str">
        <f>_xlfn.XLOOKUP(A3404,'[1]Tissue Data'!$A:$A,'[1]Tissue Data'!$F:$F)</f>
        <v>Eastern Mudminnow</v>
      </c>
      <c r="E3404" t="str">
        <f>_xlfn.XLOOKUP(A3404,'[1]Tissue Data'!$A:$A,'[1]Tissue Data'!$H:$H)</f>
        <v>Umbra</v>
      </c>
      <c r="F3404" t="str">
        <f>_xlfn.XLOOKUP(A3404,'[1]Tissue Data'!$A:$A,'[1]Tissue Data'!$I:$I)</f>
        <v>pygmaea</v>
      </c>
      <c r="G3404" t="str">
        <f>_xlfn.XLOOKUP(A3404,'[1]Tissue Data'!$A:$A,'[1]Tissue Data'!J:J)</f>
        <v>U</v>
      </c>
      <c r="H3404" t="str">
        <f>_xlfn.XLOOKUP(A3404,'[1]Tissue Data'!$A:$A,'[1]Tissue Data'!K:K)</f>
        <v>Whole Body</v>
      </c>
      <c r="I3404">
        <f>_xlfn.XLOOKUP(A3404,'[1]Tissue Data'!$A:$A,'[1]Tissue Data'!L:L)</f>
        <v>6</v>
      </c>
      <c r="J3404">
        <f>_xlfn.XLOOKUP(A3404,'[1]Tissue Data'!$A:$A,'[1]Tissue Data'!M:M)</f>
        <v>2.75</v>
      </c>
      <c r="K3404" t="s">
        <v>14</v>
      </c>
      <c r="L3404" t="str">
        <f>_xlfn.XLOOKUP(K3404,[2]analyte_order!$B:$B,[2]analyte_order!$C:$C)</f>
        <v>307-24-4</v>
      </c>
      <c r="M3404">
        <f>_xlfn.XLOOKUP(L3404,[2]analyte_order!$C:$C,[2]analyte_order!$E:$E)</f>
        <v>3</v>
      </c>
      <c r="N3404">
        <v>3.635E-2</v>
      </c>
    </row>
    <row r="3405" spans="1:14">
      <c r="A3405" t="s">
        <v>168</v>
      </c>
      <c r="B3405" t="str">
        <f>_xlfn.XLOOKUP(A3405,'[1]Tissue Data'!$A:$A,'[1]Tissue Data'!$C:$C)</f>
        <v>Spill</v>
      </c>
      <c r="C3405" s="2">
        <f>_xlfn.XLOOKUP(A3405,'[1]Tissue Data'!$A:$A,'[1]Tissue Data'!$D:$D)</f>
        <v>44314</v>
      </c>
      <c r="D3405" s="2" t="str">
        <f>_xlfn.XLOOKUP(A3405,'[1]Tissue Data'!$A:$A,'[1]Tissue Data'!$F:$F)</f>
        <v>Eastern Mudminnow</v>
      </c>
      <c r="E3405" t="str">
        <f>_xlfn.XLOOKUP(A3405,'[1]Tissue Data'!$A:$A,'[1]Tissue Data'!$H:$H)</f>
        <v>Umbra</v>
      </c>
      <c r="F3405" t="str">
        <f>_xlfn.XLOOKUP(A3405,'[1]Tissue Data'!$A:$A,'[1]Tissue Data'!$I:$I)</f>
        <v>pygmaea</v>
      </c>
      <c r="G3405" t="str">
        <f>_xlfn.XLOOKUP(A3405,'[1]Tissue Data'!$A:$A,'[1]Tissue Data'!J:J)</f>
        <v>U</v>
      </c>
      <c r="H3405" t="str">
        <f>_xlfn.XLOOKUP(A3405,'[1]Tissue Data'!$A:$A,'[1]Tissue Data'!K:K)</f>
        <v>Whole Body</v>
      </c>
      <c r="I3405">
        <f>_xlfn.XLOOKUP(A3405,'[1]Tissue Data'!$A:$A,'[1]Tissue Data'!L:L)</f>
        <v>6</v>
      </c>
      <c r="J3405">
        <f>_xlfn.XLOOKUP(A3405,'[1]Tissue Data'!$A:$A,'[1]Tissue Data'!M:M)</f>
        <v>2.75</v>
      </c>
      <c r="K3405" t="s">
        <v>15</v>
      </c>
      <c r="L3405" t="str">
        <f>_xlfn.XLOOKUP(K3405,[2]analyte_order!$B:$B,[2]analyte_order!$C:$C)</f>
        <v>375-85-9</v>
      </c>
      <c r="M3405">
        <f>_xlfn.XLOOKUP(L3405,[2]analyte_order!$C:$C,[2]analyte_order!$E:$E)</f>
        <v>4</v>
      </c>
      <c r="N3405">
        <v>2.6950000000000002E-2</v>
      </c>
    </row>
    <row r="3406" spans="1:14">
      <c r="A3406" t="s">
        <v>168</v>
      </c>
      <c r="B3406" t="str">
        <f>_xlfn.XLOOKUP(A3406,'[1]Tissue Data'!$A:$A,'[1]Tissue Data'!$C:$C)</f>
        <v>Spill</v>
      </c>
      <c r="C3406" s="2">
        <f>_xlfn.XLOOKUP(A3406,'[1]Tissue Data'!$A:$A,'[1]Tissue Data'!$D:$D)</f>
        <v>44314</v>
      </c>
      <c r="D3406" s="2" t="str">
        <f>_xlfn.XLOOKUP(A3406,'[1]Tissue Data'!$A:$A,'[1]Tissue Data'!$F:$F)</f>
        <v>Eastern Mudminnow</v>
      </c>
      <c r="E3406" t="str">
        <f>_xlfn.XLOOKUP(A3406,'[1]Tissue Data'!$A:$A,'[1]Tissue Data'!$H:$H)</f>
        <v>Umbra</v>
      </c>
      <c r="F3406" t="str">
        <f>_xlfn.XLOOKUP(A3406,'[1]Tissue Data'!$A:$A,'[1]Tissue Data'!$I:$I)</f>
        <v>pygmaea</v>
      </c>
      <c r="G3406" t="str">
        <f>_xlfn.XLOOKUP(A3406,'[1]Tissue Data'!$A:$A,'[1]Tissue Data'!J:J)</f>
        <v>U</v>
      </c>
      <c r="H3406" t="str">
        <f>_xlfn.XLOOKUP(A3406,'[1]Tissue Data'!$A:$A,'[1]Tissue Data'!K:K)</f>
        <v>Whole Body</v>
      </c>
      <c r="I3406">
        <f>_xlfn.XLOOKUP(A3406,'[1]Tissue Data'!$A:$A,'[1]Tissue Data'!L:L)</f>
        <v>6</v>
      </c>
      <c r="J3406">
        <f>_xlfn.XLOOKUP(A3406,'[1]Tissue Data'!$A:$A,'[1]Tissue Data'!M:M)</f>
        <v>2.75</v>
      </c>
      <c r="K3406" t="s">
        <v>16</v>
      </c>
      <c r="L3406" t="str">
        <f>_xlfn.XLOOKUP(K3406,[2]analyte_order!$B:$B,[2]analyte_order!$C:$C)</f>
        <v>335-67-1</v>
      </c>
      <c r="M3406">
        <f>_xlfn.XLOOKUP(L3406,[2]analyte_order!$C:$C,[2]analyte_order!$E:$E)</f>
        <v>5</v>
      </c>
      <c r="N3406">
        <v>4.42</v>
      </c>
    </row>
    <row r="3407" spans="1:14">
      <c r="A3407" t="s">
        <v>168</v>
      </c>
      <c r="B3407" t="str">
        <f>_xlfn.XLOOKUP(A3407,'[1]Tissue Data'!$A:$A,'[1]Tissue Data'!$C:$C)</f>
        <v>Spill</v>
      </c>
      <c r="C3407" s="2">
        <f>_xlfn.XLOOKUP(A3407,'[1]Tissue Data'!$A:$A,'[1]Tissue Data'!$D:$D)</f>
        <v>44314</v>
      </c>
      <c r="D3407" s="2" t="str">
        <f>_xlfn.XLOOKUP(A3407,'[1]Tissue Data'!$A:$A,'[1]Tissue Data'!$F:$F)</f>
        <v>Eastern Mudminnow</v>
      </c>
      <c r="E3407" t="str">
        <f>_xlfn.XLOOKUP(A3407,'[1]Tissue Data'!$A:$A,'[1]Tissue Data'!$H:$H)</f>
        <v>Umbra</v>
      </c>
      <c r="F3407" t="str">
        <f>_xlfn.XLOOKUP(A3407,'[1]Tissue Data'!$A:$A,'[1]Tissue Data'!$I:$I)</f>
        <v>pygmaea</v>
      </c>
      <c r="G3407" t="str">
        <f>_xlfn.XLOOKUP(A3407,'[1]Tissue Data'!$A:$A,'[1]Tissue Data'!J:J)</f>
        <v>U</v>
      </c>
      <c r="H3407" t="str">
        <f>_xlfn.XLOOKUP(A3407,'[1]Tissue Data'!$A:$A,'[1]Tissue Data'!K:K)</f>
        <v>Whole Body</v>
      </c>
      <c r="I3407">
        <f>_xlfn.XLOOKUP(A3407,'[1]Tissue Data'!$A:$A,'[1]Tissue Data'!L:L)</f>
        <v>6</v>
      </c>
      <c r="J3407">
        <f>_xlfn.XLOOKUP(A3407,'[1]Tissue Data'!$A:$A,'[1]Tissue Data'!M:M)</f>
        <v>2.75</v>
      </c>
      <c r="K3407" t="s">
        <v>17</v>
      </c>
      <c r="L3407" t="str">
        <f>_xlfn.XLOOKUP(K3407,[2]analyte_order!$B:$B,[2]analyte_order!$C:$C)</f>
        <v>375-95-1</v>
      </c>
      <c r="M3407">
        <f>_xlfn.XLOOKUP(L3407,[2]analyte_order!$C:$C,[2]analyte_order!$E:$E)</f>
        <v>6</v>
      </c>
      <c r="N3407">
        <v>3.55</v>
      </c>
    </row>
    <row r="3408" spans="1:14">
      <c r="A3408" t="s">
        <v>168</v>
      </c>
      <c r="B3408" t="str">
        <f>_xlfn.XLOOKUP(A3408,'[1]Tissue Data'!$A:$A,'[1]Tissue Data'!$C:$C)</f>
        <v>Spill</v>
      </c>
      <c r="C3408" s="2">
        <f>_xlfn.XLOOKUP(A3408,'[1]Tissue Data'!$A:$A,'[1]Tissue Data'!$D:$D)</f>
        <v>44314</v>
      </c>
      <c r="D3408" s="2" t="str">
        <f>_xlfn.XLOOKUP(A3408,'[1]Tissue Data'!$A:$A,'[1]Tissue Data'!$F:$F)</f>
        <v>Eastern Mudminnow</v>
      </c>
      <c r="E3408" t="str">
        <f>_xlfn.XLOOKUP(A3408,'[1]Tissue Data'!$A:$A,'[1]Tissue Data'!$H:$H)</f>
        <v>Umbra</v>
      </c>
      <c r="F3408" t="str">
        <f>_xlfn.XLOOKUP(A3408,'[1]Tissue Data'!$A:$A,'[1]Tissue Data'!$I:$I)</f>
        <v>pygmaea</v>
      </c>
      <c r="G3408" t="str">
        <f>_xlfn.XLOOKUP(A3408,'[1]Tissue Data'!$A:$A,'[1]Tissue Data'!J:J)</f>
        <v>U</v>
      </c>
      <c r="H3408" t="str">
        <f>_xlfn.XLOOKUP(A3408,'[1]Tissue Data'!$A:$A,'[1]Tissue Data'!K:K)</f>
        <v>Whole Body</v>
      </c>
      <c r="I3408">
        <f>_xlfn.XLOOKUP(A3408,'[1]Tissue Data'!$A:$A,'[1]Tissue Data'!L:L)</f>
        <v>6</v>
      </c>
      <c r="J3408">
        <f>_xlfn.XLOOKUP(A3408,'[1]Tissue Data'!$A:$A,'[1]Tissue Data'!M:M)</f>
        <v>2.75</v>
      </c>
      <c r="K3408" t="s">
        <v>18</v>
      </c>
      <c r="L3408" t="str">
        <f>_xlfn.XLOOKUP(K3408,[2]analyte_order!$B:$B,[2]analyte_order!$C:$C)</f>
        <v>335-76-2</v>
      </c>
      <c r="M3408">
        <f>_xlfn.XLOOKUP(L3408,[2]analyte_order!$C:$C,[2]analyte_order!$E:$E)</f>
        <v>7</v>
      </c>
      <c r="N3408">
        <v>3.9</v>
      </c>
    </row>
    <row r="3409" spans="1:14">
      <c r="A3409" t="s">
        <v>168</v>
      </c>
      <c r="B3409" t="str">
        <f>_xlfn.XLOOKUP(A3409,'[1]Tissue Data'!$A:$A,'[1]Tissue Data'!$C:$C)</f>
        <v>Spill</v>
      </c>
      <c r="C3409" s="2">
        <f>_xlfn.XLOOKUP(A3409,'[1]Tissue Data'!$A:$A,'[1]Tissue Data'!$D:$D)</f>
        <v>44314</v>
      </c>
      <c r="D3409" s="2" t="str">
        <f>_xlfn.XLOOKUP(A3409,'[1]Tissue Data'!$A:$A,'[1]Tissue Data'!$F:$F)</f>
        <v>Eastern Mudminnow</v>
      </c>
      <c r="E3409" t="str">
        <f>_xlfn.XLOOKUP(A3409,'[1]Tissue Data'!$A:$A,'[1]Tissue Data'!$H:$H)</f>
        <v>Umbra</v>
      </c>
      <c r="F3409" t="str">
        <f>_xlfn.XLOOKUP(A3409,'[1]Tissue Data'!$A:$A,'[1]Tissue Data'!$I:$I)</f>
        <v>pygmaea</v>
      </c>
      <c r="G3409" t="str">
        <f>_xlfn.XLOOKUP(A3409,'[1]Tissue Data'!$A:$A,'[1]Tissue Data'!J:J)</f>
        <v>U</v>
      </c>
      <c r="H3409" t="str">
        <f>_xlfn.XLOOKUP(A3409,'[1]Tissue Data'!$A:$A,'[1]Tissue Data'!K:K)</f>
        <v>Whole Body</v>
      </c>
      <c r="I3409">
        <f>_xlfn.XLOOKUP(A3409,'[1]Tissue Data'!$A:$A,'[1]Tissue Data'!L:L)</f>
        <v>6</v>
      </c>
      <c r="J3409">
        <f>_xlfn.XLOOKUP(A3409,'[1]Tissue Data'!$A:$A,'[1]Tissue Data'!M:M)</f>
        <v>2.75</v>
      </c>
      <c r="K3409" t="s">
        <v>19</v>
      </c>
      <c r="L3409" t="str">
        <f>_xlfn.XLOOKUP(K3409,[2]analyte_order!$B:$B,[2]analyte_order!$C:$C)</f>
        <v>2058-94-8</v>
      </c>
      <c r="M3409">
        <f>_xlfn.XLOOKUP(L3409,[2]analyte_order!$C:$C,[2]analyte_order!$E:$E)</f>
        <v>8</v>
      </c>
      <c r="N3409">
        <v>5.13</v>
      </c>
    </row>
    <row r="3410" spans="1:14">
      <c r="A3410" t="s">
        <v>168</v>
      </c>
      <c r="B3410" t="str">
        <f>_xlfn.XLOOKUP(A3410,'[1]Tissue Data'!$A:$A,'[1]Tissue Data'!$C:$C)</f>
        <v>Spill</v>
      </c>
      <c r="C3410" s="2">
        <f>_xlfn.XLOOKUP(A3410,'[1]Tissue Data'!$A:$A,'[1]Tissue Data'!$D:$D)</f>
        <v>44314</v>
      </c>
      <c r="D3410" s="2" t="str">
        <f>_xlfn.XLOOKUP(A3410,'[1]Tissue Data'!$A:$A,'[1]Tissue Data'!$F:$F)</f>
        <v>Eastern Mudminnow</v>
      </c>
      <c r="E3410" t="str">
        <f>_xlfn.XLOOKUP(A3410,'[1]Tissue Data'!$A:$A,'[1]Tissue Data'!$H:$H)</f>
        <v>Umbra</v>
      </c>
      <c r="F3410" t="str">
        <f>_xlfn.XLOOKUP(A3410,'[1]Tissue Data'!$A:$A,'[1]Tissue Data'!$I:$I)</f>
        <v>pygmaea</v>
      </c>
      <c r="G3410" t="str">
        <f>_xlfn.XLOOKUP(A3410,'[1]Tissue Data'!$A:$A,'[1]Tissue Data'!J:J)</f>
        <v>U</v>
      </c>
      <c r="H3410" t="str">
        <f>_xlfn.XLOOKUP(A3410,'[1]Tissue Data'!$A:$A,'[1]Tissue Data'!K:K)</f>
        <v>Whole Body</v>
      </c>
      <c r="I3410">
        <f>_xlfn.XLOOKUP(A3410,'[1]Tissue Data'!$A:$A,'[1]Tissue Data'!L:L)</f>
        <v>6</v>
      </c>
      <c r="J3410">
        <f>_xlfn.XLOOKUP(A3410,'[1]Tissue Data'!$A:$A,'[1]Tissue Data'!M:M)</f>
        <v>2.75</v>
      </c>
      <c r="K3410" t="s">
        <v>20</v>
      </c>
      <c r="L3410" t="str">
        <f>_xlfn.XLOOKUP(K3410,[2]analyte_order!$B:$B,[2]analyte_order!$C:$C)</f>
        <v>307-55-1</v>
      </c>
      <c r="M3410">
        <f>_xlfn.XLOOKUP(L3410,[2]analyte_order!$C:$C,[2]analyte_order!$E:$E)</f>
        <v>9</v>
      </c>
      <c r="N3410">
        <v>8.14</v>
      </c>
    </row>
    <row r="3411" spans="1:14">
      <c r="A3411" t="s">
        <v>168</v>
      </c>
      <c r="B3411" t="str">
        <f>_xlfn.XLOOKUP(A3411,'[1]Tissue Data'!$A:$A,'[1]Tissue Data'!$C:$C)</f>
        <v>Spill</v>
      </c>
      <c r="C3411" s="2">
        <f>_xlfn.XLOOKUP(A3411,'[1]Tissue Data'!$A:$A,'[1]Tissue Data'!$D:$D)</f>
        <v>44314</v>
      </c>
      <c r="D3411" s="2" t="str">
        <f>_xlfn.XLOOKUP(A3411,'[1]Tissue Data'!$A:$A,'[1]Tissue Data'!$F:$F)</f>
        <v>Eastern Mudminnow</v>
      </c>
      <c r="E3411" t="str">
        <f>_xlfn.XLOOKUP(A3411,'[1]Tissue Data'!$A:$A,'[1]Tissue Data'!$H:$H)</f>
        <v>Umbra</v>
      </c>
      <c r="F3411" t="str">
        <f>_xlfn.XLOOKUP(A3411,'[1]Tissue Data'!$A:$A,'[1]Tissue Data'!$I:$I)</f>
        <v>pygmaea</v>
      </c>
      <c r="G3411" t="str">
        <f>_xlfn.XLOOKUP(A3411,'[1]Tissue Data'!$A:$A,'[1]Tissue Data'!J:J)</f>
        <v>U</v>
      </c>
      <c r="H3411" t="str">
        <f>_xlfn.XLOOKUP(A3411,'[1]Tissue Data'!$A:$A,'[1]Tissue Data'!K:K)</f>
        <v>Whole Body</v>
      </c>
      <c r="I3411">
        <f>_xlfn.XLOOKUP(A3411,'[1]Tissue Data'!$A:$A,'[1]Tissue Data'!L:L)</f>
        <v>6</v>
      </c>
      <c r="J3411">
        <f>_xlfn.XLOOKUP(A3411,'[1]Tissue Data'!$A:$A,'[1]Tissue Data'!M:M)</f>
        <v>2.75</v>
      </c>
      <c r="K3411" t="s">
        <v>21</v>
      </c>
      <c r="L3411" t="str">
        <f>_xlfn.XLOOKUP(K3411,[2]analyte_order!$B:$B,[2]analyte_order!$C:$C)</f>
        <v>72629-94-8</v>
      </c>
      <c r="M3411">
        <f>_xlfn.XLOOKUP(L3411,[2]analyte_order!$C:$C,[2]analyte_order!$E:$E)</f>
        <v>10</v>
      </c>
      <c r="N3411">
        <v>2.17</v>
      </c>
    </row>
    <row r="3412" spans="1:14">
      <c r="A3412" t="s">
        <v>168</v>
      </c>
      <c r="B3412" t="str">
        <f>_xlfn.XLOOKUP(A3412,'[1]Tissue Data'!$A:$A,'[1]Tissue Data'!$C:$C)</f>
        <v>Spill</v>
      </c>
      <c r="C3412" s="2">
        <f>_xlfn.XLOOKUP(A3412,'[1]Tissue Data'!$A:$A,'[1]Tissue Data'!$D:$D)</f>
        <v>44314</v>
      </c>
      <c r="D3412" s="2" t="str">
        <f>_xlfn.XLOOKUP(A3412,'[1]Tissue Data'!$A:$A,'[1]Tissue Data'!$F:$F)</f>
        <v>Eastern Mudminnow</v>
      </c>
      <c r="E3412" t="str">
        <f>_xlfn.XLOOKUP(A3412,'[1]Tissue Data'!$A:$A,'[1]Tissue Data'!$H:$H)</f>
        <v>Umbra</v>
      </c>
      <c r="F3412" t="str">
        <f>_xlfn.XLOOKUP(A3412,'[1]Tissue Data'!$A:$A,'[1]Tissue Data'!$I:$I)</f>
        <v>pygmaea</v>
      </c>
      <c r="G3412" t="str">
        <f>_xlfn.XLOOKUP(A3412,'[1]Tissue Data'!$A:$A,'[1]Tissue Data'!J:J)</f>
        <v>U</v>
      </c>
      <c r="H3412" t="str">
        <f>_xlfn.XLOOKUP(A3412,'[1]Tissue Data'!$A:$A,'[1]Tissue Data'!K:K)</f>
        <v>Whole Body</v>
      </c>
      <c r="I3412">
        <f>_xlfn.XLOOKUP(A3412,'[1]Tissue Data'!$A:$A,'[1]Tissue Data'!L:L)</f>
        <v>6</v>
      </c>
      <c r="J3412">
        <f>_xlfn.XLOOKUP(A3412,'[1]Tissue Data'!$A:$A,'[1]Tissue Data'!M:M)</f>
        <v>2.75</v>
      </c>
      <c r="K3412" t="s">
        <v>22</v>
      </c>
      <c r="L3412" t="str">
        <f>_xlfn.XLOOKUP(K3412,[2]analyte_order!$B:$B,[2]analyte_order!$C:$C)</f>
        <v>376-06-7</v>
      </c>
      <c r="M3412">
        <f>_xlfn.XLOOKUP(L3412,[2]analyte_order!$C:$C,[2]analyte_order!$E:$E)</f>
        <v>11</v>
      </c>
      <c r="N3412">
        <v>7.17</v>
      </c>
    </row>
    <row r="3413" spans="1:14">
      <c r="A3413" t="s">
        <v>168</v>
      </c>
      <c r="B3413" t="str">
        <f>_xlfn.XLOOKUP(A3413,'[1]Tissue Data'!$A:$A,'[1]Tissue Data'!$C:$C)</f>
        <v>Spill</v>
      </c>
      <c r="C3413" s="2">
        <f>_xlfn.XLOOKUP(A3413,'[1]Tissue Data'!$A:$A,'[1]Tissue Data'!$D:$D)</f>
        <v>44314</v>
      </c>
      <c r="D3413" s="2" t="str">
        <f>_xlfn.XLOOKUP(A3413,'[1]Tissue Data'!$A:$A,'[1]Tissue Data'!$F:$F)</f>
        <v>Eastern Mudminnow</v>
      </c>
      <c r="E3413" t="str">
        <f>_xlfn.XLOOKUP(A3413,'[1]Tissue Data'!$A:$A,'[1]Tissue Data'!$H:$H)</f>
        <v>Umbra</v>
      </c>
      <c r="F3413" t="str">
        <f>_xlfn.XLOOKUP(A3413,'[1]Tissue Data'!$A:$A,'[1]Tissue Data'!$I:$I)</f>
        <v>pygmaea</v>
      </c>
      <c r="G3413" t="str">
        <f>_xlfn.XLOOKUP(A3413,'[1]Tissue Data'!$A:$A,'[1]Tissue Data'!J:J)</f>
        <v>U</v>
      </c>
      <c r="H3413" t="str">
        <f>_xlfn.XLOOKUP(A3413,'[1]Tissue Data'!$A:$A,'[1]Tissue Data'!K:K)</f>
        <v>Whole Body</v>
      </c>
      <c r="I3413">
        <f>_xlfn.XLOOKUP(A3413,'[1]Tissue Data'!$A:$A,'[1]Tissue Data'!L:L)</f>
        <v>6</v>
      </c>
      <c r="J3413">
        <f>_xlfn.XLOOKUP(A3413,'[1]Tissue Data'!$A:$A,'[1]Tissue Data'!M:M)</f>
        <v>2.75</v>
      </c>
      <c r="K3413" t="s">
        <v>23</v>
      </c>
      <c r="L3413" t="str">
        <f>_xlfn.XLOOKUP(K3413,[2]analyte_order!$B:$B,[2]analyte_order!$C:$C)</f>
        <v>67905-19-5</v>
      </c>
      <c r="M3413">
        <f>_xlfn.XLOOKUP(L3413,[2]analyte_order!$C:$C,[2]analyte_order!$E:$E)</f>
        <v>12</v>
      </c>
      <c r="N3413">
        <v>0.08</v>
      </c>
    </row>
    <row r="3414" spans="1:14">
      <c r="A3414" t="s">
        <v>168</v>
      </c>
      <c r="B3414" t="str">
        <f>_xlfn.XLOOKUP(A3414,'[1]Tissue Data'!$A:$A,'[1]Tissue Data'!$C:$C)</f>
        <v>Spill</v>
      </c>
      <c r="C3414" s="2">
        <f>_xlfn.XLOOKUP(A3414,'[1]Tissue Data'!$A:$A,'[1]Tissue Data'!$D:$D)</f>
        <v>44314</v>
      </c>
      <c r="D3414" s="2" t="str">
        <f>_xlfn.XLOOKUP(A3414,'[1]Tissue Data'!$A:$A,'[1]Tissue Data'!$F:$F)</f>
        <v>Eastern Mudminnow</v>
      </c>
      <c r="E3414" t="str">
        <f>_xlfn.XLOOKUP(A3414,'[1]Tissue Data'!$A:$A,'[1]Tissue Data'!$H:$H)</f>
        <v>Umbra</v>
      </c>
      <c r="F3414" t="str">
        <f>_xlfn.XLOOKUP(A3414,'[1]Tissue Data'!$A:$A,'[1]Tissue Data'!$I:$I)</f>
        <v>pygmaea</v>
      </c>
      <c r="G3414" t="str">
        <f>_xlfn.XLOOKUP(A3414,'[1]Tissue Data'!$A:$A,'[1]Tissue Data'!J:J)</f>
        <v>U</v>
      </c>
      <c r="H3414" t="str">
        <f>_xlfn.XLOOKUP(A3414,'[1]Tissue Data'!$A:$A,'[1]Tissue Data'!K:K)</f>
        <v>Whole Body</v>
      </c>
      <c r="I3414">
        <f>_xlfn.XLOOKUP(A3414,'[1]Tissue Data'!$A:$A,'[1]Tissue Data'!L:L)</f>
        <v>6</v>
      </c>
      <c r="J3414">
        <f>_xlfn.XLOOKUP(A3414,'[1]Tissue Data'!$A:$A,'[1]Tissue Data'!M:M)</f>
        <v>2.75</v>
      </c>
      <c r="K3414" t="s">
        <v>24</v>
      </c>
      <c r="L3414" t="str">
        <f>_xlfn.XLOOKUP(K3414,[2]analyte_order!$B:$B,[2]analyte_order!$C:$C)</f>
        <v>423-41-6</v>
      </c>
      <c r="M3414">
        <f>_xlfn.XLOOKUP(L3414,[2]analyte_order!$C:$C,[2]analyte_order!$E:$E)</f>
        <v>53</v>
      </c>
      <c r="N3414">
        <v>5.1499999999999997E-2</v>
      </c>
    </row>
    <row r="3415" spans="1:14">
      <c r="A3415" t="s">
        <v>168</v>
      </c>
      <c r="B3415" t="str">
        <f>_xlfn.XLOOKUP(A3415,'[1]Tissue Data'!$A:$A,'[1]Tissue Data'!$C:$C)</f>
        <v>Spill</v>
      </c>
      <c r="C3415" s="2">
        <f>_xlfn.XLOOKUP(A3415,'[1]Tissue Data'!$A:$A,'[1]Tissue Data'!$D:$D)</f>
        <v>44314</v>
      </c>
      <c r="D3415" s="2" t="str">
        <f>_xlfn.XLOOKUP(A3415,'[1]Tissue Data'!$A:$A,'[1]Tissue Data'!$F:$F)</f>
        <v>Eastern Mudminnow</v>
      </c>
      <c r="E3415" t="str">
        <f>_xlfn.XLOOKUP(A3415,'[1]Tissue Data'!$A:$A,'[1]Tissue Data'!$H:$H)</f>
        <v>Umbra</v>
      </c>
      <c r="F3415" t="str">
        <f>_xlfn.XLOOKUP(A3415,'[1]Tissue Data'!$A:$A,'[1]Tissue Data'!$I:$I)</f>
        <v>pygmaea</v>
      </c>
      <c r="G3415" t="str">
        <f>_xlfn.XLOOKUP(A3415,'[1]Tissue Data'!$A:$A,'[1]Tissue Data'!J:J)</f>
        <v>U</v>
      </c>
      <c r="H3415" t="str">
        <f>_xlfn.XLOOKUP(A3415,'[1]Tissue Data'!$A:$A,'[1]Tissue Data'!K:K)</f>
        <v>Whole Body</v>
      </c>
      <c r="I3415">
        <f>_xlfn.XLOOKUP(A3415,'[1]Tissue Data'!$A:$A,'[1]Tissue Data'!L:L)</f>
        <v>6</v>
      </c>
      <c r="J3415">
        <f>_xlfn.XLOOKUP(A3415,'[1]Tissue Data'!$A:$A,'[1]Tissue Data'!M:M)</f>
        <v>2.75</v>
      </c>
      <c r="K3415" t="s">
        <v>25</v>
      </c>
      <c r="L3415" t="str">
        <f>_xlfn.XLOOKUP(K3415,[2]analyte_order!$B:$B,[2]analyte_order!$C:$C)</f>
        <v>375-73-5</v>
      </c>
      <c r="M3415">
        <f>_xlfn.XLOOKUP(L3415,[2]analyte_order!$C:$C,[2]analyte_order!$E:$E)</f>
        <v>14</v>
      </c>
      <c r="N3415">
        <v>0.151</v>
      </c>
    </row>
    <row r="3416" spans="1:14">
      <c r="A3416" t="s">
        <v>168</v>
      </c>
      <c r="B3416" t="str">
        <f>_xlfn.XLOOKUP(A3416,'[1]Tissue Data'!$A:$A,'[1]Tissue Data'!$C:$C)</f>
        <v>Spill</v>
      </c>
      <c r="C3416" s="2">
        <f>_xlfn.XLOOKUP(A3416,'[1]Tissue Data'!$A:$A,'[1]Tissue Data'!$D:$D)</f>
        <v>44314</v>
      </c>
      <c r="D3416" s="2" t="str">
        <f>_xlfn.XLOOKUP(A3416,'[1]Tissue Data'!$A:$A,'[1]Tissue Data'!$F:$F)</f>
        <v>Eastern Mudminnow</v>
      </c>
      <c r="E3416" t="str">
        <f>_xlfn.XLOOKUP(A3416,'[1]Tissue Data'!$A:$A,'[1]Tissue Data'!$H:$H)</f>
        <v>Umbra</v>
      </c>
      <c r="F3416" t="str">
        <f>_xlfn.XLOOKUP(A3416,'[1]Tissue Data'!$A:$A,'[1]Tissue Data'!$I:$I)</f>
        <v>pygmaea</v>
      </c>
      <c r="G3416" t="str">
        <f>_xlfn.XLOOKUP(A3416,'[1]Tissue Data'!$A:$A,'[1]Tissue Data'!J:J)</f>
        <v>U</v>
      </c>
      <c r="H3416" t="str">
        <f>_xlfn.XLOOKUP(A3416,'[1]Tissue Data'!$A:$A,'[1]Tissue Data'!K:K)</f>
        <v>Whole Body</v>
      </c>
      <c r="I3416">
        <f>_xlfn.XLOOKUP(A3416,'[1]Tissue Data'!$A:$A,'[1]Tissue Data'!L:L)</f>
        <v>6</v>
      </c>
      <c r="J3416">
        <f>_xlfn.XLOOKUP(A3416,'[1]Tissue Data'!$A:$A,'[1]Tissue Data'!M:M)</f>
        <v>2.75</v>
      </c>
      <c r="K3416" t="s">
        <v>26</v>
      </c>
      <c r="L3416" t="str">
        <f>_xlfn.XLOOKUP(K3416,[2]analyte_order!$B:$B,[2]analyte_order!$C:$C)</f>
        <v>2706-91-4</v>
      </c>
      <c r="M3416">
        <f>_xlfn.XLOOKUP(L3416,[2]analyte_order!$C:$C,[2]analyte_order!$E:$E)</f>
        <v>15</v>
      </c>
      <c r="N3416">
        <v>0.11749999999999999</v>
      </c>
    </row>
    <row r="3417" spans="1:14">
      <c r="A3417" t="s">
        <v>168</v>
      </c>
      <c r="B3417" t="str">
        <f>_xlfn.XLOOKUP(A3417,'[1]Tissue Data'!$A:$A,'[1]Tissue Data'!$C:$C)</f>
        <v>Spill</v>
      </c>
      <c r="C3417" s="2">
        <f>_xlfn.XLOOKUP(A3417,'[1]Tissue Data'!$A:$A,'[1]Tissue Data'!$D:$D)</f>
        <v>44314</v>
      </c>
      <c r="D3417" s="2" t="str">
        <f>_xlfn.XLOOKUP(A3417,'[1]Tissue Data'!$A:$A,'[1]Tissue Data'!$F:$F)</f>
        <v>Eastern Mudminnow</v>
      </c>
      <c r="E3417" t="str">
        <f>_xlfn.XLOOKUP(A3417,'[1]Tissue Data'!$A:$A,'[1]Tissue Data'!$H:$H)</f>
        <v>Umbra</v>
      </c>
      <c r="F3417" t="str">
        <f>_xlfn.XLOOKUP(A3417,'[1]Tissue Data'!$A:$A,'[1]Tissue Data'!$I:$I)</f>
        <v>pygmaea</v>
      </c>
      <c r="G3417" t="str">
        <f>_xlfn.XLOOKUP(A3417,'[1]Tissue Data'!$A:$A,'[1]Tissue Data'!J:J)</f>
        <v>U</v>
      </c>
      <c r="H3417" t="str">
        <f>_xlfn.XLOOKUP(A3417,'[1]Tissue Data'!$A:$A,'[1]Tissue Data'!K:K)</f>
        <v>Whole Body</v>
      </c>
      <c r="I3417">
        <f>_xlfn.XLOOKUP(A3417,'[1]Tissue Data'!$A:$A,'[1]Tissue Data'!L:L)</f>
        <v>6</v>
      </c>
      <c r="J3417">
        <f>_xlfn.XLOOKUP(A3417,'[1]Tissue Data'!$A:$A,'[1]Tissue Data'!M:M)</f>
        <v>2.75</v>
      </c>
      <c r="K3417" t="s">
        <v>27</v>
      </c>
      <c r="L3417" t="str">
        <f>_xlfn.XLOOKUP(K3417,[2]analyte_order!$B:$B,[2]analyte_order!$C:$C)</f>
        <v>355-46-4</v>
      </c>
      <c r="M3417">
        <f>_xlfn.XLOOKUP(L3417,[2]analyte_order!$C:$C,[2]analyte_order!$E:$E)</f>
        <v>16</v>
      </c>
      <c r="N3417">
        <v>21.3</v>
      </c>
    </row>
    <row r="3418" spans="1:14">
      <c r="A3418" t="s">
        <v>168</v>
      </c>
      <c r="B3418" t="str">
        <f>_xlfn.XLOOKUP(A3418,'[1]Tissue Data'!$A:$A,'[1]Tissue Data'!$C:$C)</f>
        <v>Spill</v>
      </c>
      <c r="C3418" s="2">
        <f>_xlfn.XLOOKUP(A3418,'[1]Tissue Data'!$A:$A,'[1]Tissue Data'!$D:$D)</f>
        <v>44314</v>
      </c>
      <c r="D3418" s="2" t="str">
        <f>_xlfn.XLOOKUP(A3418,'[1]Tissue Data'!$A:$A,'[1]Tissue Data'!$F:$F)</f>
        <v>Eastern Mudminnow</v>
      </c>
      <c r="E3418" t="str">
        <f>_xlfn.XLOOKUP(A3418,'[1]Tissue Data'!$A:$A,'[1]Tissue Data'!$H:$H)</f>
        <v>Umbra</v>
      </c>
      <c r="F3418" t="str">
        <f>_xlfn.XLOOKUP(A3418,'[1]Tissue Data'!$A:$A,'[1]Tissue Data'!$I:$I)</f>
        <v>pygmaea</v>
      </c>
      <c r="G3418" t="str">
        <f>_xlfn.XLOOKUP(A3418,'[1]Tissue Data'!$A:$A,'[1]Tissue Data'!J:J)</f>
        <v>U</v>
      </c>
      <c r="H3418" t="str">
        <f>_xlfn.XLOOKUP(A3418,'[1]Tissue Data'!$A:$A,'[1]Tissue Data'!K:K)</f>
        <v>Whole Body</v>
      </c>
      <c r="I3418">
        <f>_xlfn.XLOOKUP(A3418,'[1]Tissue Data'!$A:$A,'[1]Tissue Data'!L:L)</f>
        <v>6</v>
      </c>
      <c r="J3418">
        <f>_xlfn.XLOOKUP(A3418,'[1]Tissue Data'!$A:$A,'[1]Tissue Data'!M:M)</f>
        <v>2.75</v>
      </c>
      <c r="K3418" t="s">
        <v>28</v>
      </c>
      <c r="L3418" t="str">
        <f>_xlfn.XLOOKUP(K3418,[2]analyte_order!$B:$B,[2]analyte_order!$C:$C)</f>
        <v>375-92-8</v>
      </c>
      <c r="M3418">
        <f>_xlfn.XLOOKUP(L3418,[2]analyte_order!$C:$C,[2]analyte_order!$E:$E)</f>
        <v>17</v>
      </c>
      <c r="N3418">
        <v>2.67</v>
      </c>
    </row>
    <row r="3419" spans="1:14">
      <c r="A3419" t="s">
        <v>168</v>
      </c>
      <c r="B3419" t="str">
        <f>_xlfn.XLOOKUP(A3419,'[1]Tissue Data'!$A:$A,'[1]Tissue Data'!$C:$C)</f>
        <v>Spill</v>
      </c>
      <c r="C3419" s="2">
        <f>_xlfn.XLOOKUP(A3419,'[1]Tissue Data'!$A:$A,'[1]Tissue Data'!$D:$D)</f>
        <v>44314</v>
      </c>
      <c r="D3419" s="2" t="str">
        <f>_xlfn.XLOOKUP(A3419,'[1]Tissue Data'!$A:$A,'[1]Tissue Data'!$F:$F)</f>
        <v>Eastern Mudminnow</v>
      </c>
      <c r="E3419" t="str">
        <f>_xlfn.XLOOKUP(A3419,'[1]Tissue Data'!$A:$A,'[1]Tissue Data'!$H:$H)</f>
        <v>Umbra</v>
      </c>
      <c r="F3419" t="str">
        <f>_xlfn.XLOOKUP(A3419,'[1]Tissue Data'!$A:$A,'[1]Tissue Data'!$I:$I)</f>
        <v>pygmaea</v>
      </c>
      <c r="G3419" t="str">
        <f>_xlfn.XLOOKUP(A3419,'[1]Tissue Data'!$A:$A,'[1]Tissue Data'!J:J)</f>
        <v>U</v>
      </c>
      <c r="H3419" t="str">
        <f>_xlfn.XLOOKUP(A3419,'[1]Tissue Data'!$A:$A,'[1]Tissue Data'!K:K)</f>
        <v>Whole Body</v>
      </c>
      <c r="I3419">
        <f>_xlfn.XLOOKUP(A3419,'[1]Tissue Data'!$A:$A,'[1]Tissue Data'!L:L)</f>
        <v>6</v>
      </c>
      <c r="J3419">
        <f>_xlfn.XLOOKUP(A3419,'[1]Tissue Data'!$A:$A,'[1]Tissue Data'!M:M)</f>
        <v>2.75</v>
      </c>
      <c r="K3419" t="s">
        <v>29</v>
      </c>
      <c r="L3419" t="str">
        <f>_xlfn.XLOOKUP(K3419,[2]analyte_order!$B:$B,[2]analyte_order!$C:$C)</f>
        <v>1763-23-1</v>
      </c>
      <c r="M3419">
        <f>_xlfn.XLOOKUP(L3419,[2]analyte_order!$C:$C,[2]analyte_order!$E:$E)</f>
        <v>18</v>
      </c>
      <c r="N3419">
        <v>922</v>
      </c>
    </row>
    <row r="3420" spans="1:14">
      <c r="A3420" t="s">
        <v>168</v>
      </c>
      <c r="B3420" t="str">
        <f>_xlfn.XLOOKUP(A3420,'[1]Tissue Data'!$A:$A,'[1]Tissue Data'!$C:$C)</f>
        <v>Spill</v>
      </c>
      <c r="C3420" s="2">
        <f>_xlfn.XLOOKUP(A3420,'[1]Tissue Data'!$A:$A,'[1]Tissue Data'!$D:$D)</f>
        <v>44314</v>
      </c>
      <c r="D3420" s="2" t="str">
        <f>_xlfn.XLOOKUP(A3420,'[1]Tissue Data'!$A:$A,'[1]Tissue Data'!$F:$F)</f>
        <v>Eastern Mudminnow</v>
      </c>
      <c r="E3420" t="str">
        <f>_xlfn.XLOOKUP(A3420,'[1]Tissue Data'!$A:$A,'[1]Tissue Data'!$H:$H)</f>
        <v>Umbra</v>
      </c>
      <c r="F3420" t="str">
        <f>_xlfn.XLOOKUP(A3420,'[1]Tissue Data'!$A:$A,'[1]Tissue Data'!$I:$I)</f>
        <v>pygmaea</v>
      </c>
      <c r="G3420" t="str">
        <f>_xlfn.XLOOKUP(A3420,'[1]Tissue Data'!$A:$A,'[1]Tissue Data'!J:J)</f>
        <v>U</v>
      </c>
      <c r="H3420" t="str">
        <f>_xlfn.XLOOKUP(A3420,'[1]Tissue Data'!$A:$A,'[1]Tissue Data'!K:K)</f>
        <v>Whole Body</v>
      </c>
      <c r="I3420">
        <f>_xlfn.XLOOKUP(A3420,'[1]Tissue Data'!$A:$A,'[1]Tissue Data'!L:L)</f>
        <v>6</v>
      </c>
      <c r="J3420">
        <f>_xlfn.XLOOKUP(A3420,'[1]Tissue Data'!$A:$A,'[1]Tissue Data'!M:M)</f>
        <v>2.75</v>
      </c>
      <c r="K3420" t="s">
        <v>30</v>
      </c>
      <c r="L3420" t="str">
        <f>_xlfn.XLOOKUP(K3420,[2]analyte_order!$B:$B,[2]analyte_order!$C:$C)</f>
        <v>68259-12-1</v>
      </c>
      <c r="M3420">
        <f>_xlfn.XLOOKUP(L3420,[2]analyte_order!$C:$C,[2]analyte_order!$E:$E)</f>
        <v>19</v>
      </c>
      <c r="N3420">
        <v>1.56</v>
      </c>
    </row>
    <row r="3421" spans="1:14">
      <c r="A3421" t="s">
        <v>168</v>
      </c>
      <c r="B3421" t="str">
        <f>_xlfn.XLOOKUP(A3421,'[1]Tissue Data'!$A:$A,'[1]Tissue Data'!$C:$C)</f>
        <v>Spill</v>
      </c>
      <c r="C3421" s="2">
        <f>_xlfn.XLOOKUP(A3421,'[1]Tissue Data'!$A:$A,'[1]Tissue Data'!$D:$D)</f>
        <v>44314</v>
      </c>
      <c r="D3421" s="2" t="str">
        <f>_xlfn.XLOOKUP(A3421,'[1]Tissue Data'!$A:$A,'[1]Tissue Data'!$F:$F)</f>
        <v>Eastern Mudminnow</v>
      </c>
      <c r="E3421" t="str">
        <f>_xlfn.XLOOKUP(A3421,'[1]Tissue Data'!$A:$A,'[1]Tissue Data'!$H:$H)</f>
        <v>Umbra</v>
      </c>
      <c r="F3421" t="str">
        <f>_xlfn.XLOOKUP(A3421,'[1]Tissue Data'!$A:$A,'[1]Tissue Data'!$I:$I)</f>
        <v>pygmaea</v>
      </c>
      <c r="G3421" t="str">
        <f>_xlfn.XLOOKUP(A3421,'[1]Tissue Data'!$A:$A,'[1]Tissue Data'!J:J)</f>
        <v>U</v>
      </c>
      <c r="H3421" t="str">
        <f>_xlfn.XLOOKUP(A3421,'[1]Tissue Data'!$A:$A,'[1]Tissue Data'!K:K)</f>
        <v>Whole Body</v>
      </c>
      <c r="I3421">
        <f>_xlfn.XLOOKUP(A3421,'[1]Tissue Data'!$A:$A,'[1]Tissue Data'!L:L)</f>
        <v>6</v>
      </c>
      <c r="J3421">
        <f>_xlfn.XLOOKUP(A3421,'[1]Tissue Data'!$A:$A,'[1]Tissue Data'!M:M)</f>
        <v>2.75</v>
      </c>
      <c r="K3421" t="s">
        <v>31</v>
      </c>
      <c r="L3421" t="str">
        <f>_xlfn.XLOOKUP(K3421,[2]analyte_order!$B:$B,[2]analyte_order!$C:$C)</f>
        <v>335-77-3</v>
      </c>
      <c r="M3421">
        <f>_xlfn.XLOOKUP(L3421,[2]analyte_order!$C:$C,[2]analyte_order!$E:$E)</f>
        <v>20</v>
      </c>
      <c r="N3421">
        <v>2.4700000000000002</v>
      </c>
    </row>
    <row r="3422" spans="1:14">
      <c r="A3422" t="s">
        <v>168</v>
      </c>
      <c r="B3422" t="str">
        <f>_xlfn.XLOOKUP(A3422,'[1]Tissue Data'!$A:$A,'[1]Tissue Data'!$C:$C)</f>
        <v>Spill</v>
      </c>
      <c r="C3422" s="2">
        <f>_xlfn.XLOOKUP(A3422,'[1]Tissue Data'!$A:$A,'[1]Tissue Data'!$D:$D)</f>
        <v>44314</v>
      </c>
      <c r="D3422" s="2" t="str">
        <f>_xlfn.XLOOKUP(A3422,'[1]Tissue Data'!$A:$A,'[1]Tissue Data'!$F:$F)</f>
        <v>Eastern Mudminnow</v>
      </c>
      <c r="E3422" t="str">
        <f>_xlfn.XLOOKUP(A3422,'[1]Tissue Data'!$A:$A,'[1]Tissue Data'!$H:$H)</f>
        <v>Umbra</v>
      </c>
      <c r="F3422" t="str">
        <f>_xlfn.XLOOKUP(A3422,'[1]Tissue Data'!$A:$A,'[1]Tissue Data'!$I:$I)</f>
        <v>pygmaea</v>
      </c>
      <c r="G3422" t="str">
        <f>_xlfn.XLOOKUP(A3422,'[1]Tissue Data'!$A:$A,'[1]Tissue Data'!J:J)</f>
        <v>U</v>
      </c>
      <c r="H3422" t="str">
        <f>_xlfn.XLOOKUP(A3422,'[1]Tissue Data'!$A:$A,'[1]Tissue Data'!K:K)</f>
        <v>Whole Body</v>
      </c>
      <c r="I3422">
        <f>_xlfn.XLOOKUP(A3422,'[1]Tissue Data'!$A:$A,'[1]Tissue Data'!L:L)</f>
        <v>6</v>
      </c>
      <c r="J3422">
        <f>_xlfn.XLOOKUP(A3422,'[1]Tissue Data'!$A:$A,'[1]Tissue Data'!M:M)</f>
        <v>2.75</v>
      </c>
      <c r="K3422" t="s">
        <v>32</v>
      </c>
      <c r="L3422" t="str">
        <f>_xlfn.XLOOKUP(K3422,[2]analyte_order!$B:$B,[2]analyte_order!$C:$C)</f>
        <v>79780-39-5</v>
      </c>
      <c r="M3422">
        <f>_xlfn.XLOOKUP(L3422,[2]analyte_order!$C:$C,[2]analyte_order!$E:$E)</f>
        <v>21</v>
      </c>
      <c r="N3422">
        <v>1.1200000000000001</v>
      </c>
    </row>
    <row r="3423" spans="1:14">
      <c r="A3423" t="s">
        <v>168</v>
      </c>
      <c r="B3423" t="str">
        <f>_xlfn.XLOOKUP(A3423,'[1]Tissue Data'!$A:$A,'[1]Tissue Data'!$C:$C)</f>
        <v>Spill</v>
      </c>
      <c r="C3423" s="2">
        <f>_xlfn.XLOOKUP(A3423,'[1]Tissue Data'!$A:$A,'[1]Tissue Data'!$D:$D)</f>
        <v>44314</v>
      </c>
      <c r="D3423" s="2" t="str">
        <f>_xlfn.XLOOKUP(A3423,'[1]Tissue Data'!$A:$A,'[1]Tissue Data'!$F:$F)</f>
        <v>Eastern Mudminnow</v>
      </c>
      <c r="E3423" t="str">
        <f>_xlfn.XLOOKUP(A3423,'[1]Tissue Data'!$A:$A,'[1]Tissue Data'!$H:$H)</f>
        <v>Umbra</v>
      </c>
      <c r="F3423" t="str">
        <f>_xlfn.XLOOKUP(A3423,'[1]Tissue Data'!$A:$A,'[1]Tissue Data'!$I:$I)</f>
        <v>pygmaea</v>
      </c>
      <c r="G3423" t="str">
        <f>_xlfn.XLOOKUP(A3423,'[1]Tissue Data'!$A:$A,'[1]Tissue Data'!J:J)</f>
        <v>U</v>
      </c>
      <c r="H3423" t="str">
        <f>_xlfn.XLOOKUP(A3423,'[1]Tissue Data'!$A:$A,'[1]Tissue Data'!K:K)</f>
        <v>Whole Body</v>
      </c>
      <c r="I3423">
        <f>_xlfn.XLOOKUP(A3423,'[1]Tissue Data'!$A:$A,'[1]Tissue Data'!L:L)</f>
        <v>6</v>
      </c>
      <c r="J3423">
        <f>_xlfn.XLOOKUP(A3423,'[1]Tissue Data'!$A:$A,'[1]Tissue Data'!M:M)</f>
        <v>2.75</v>
      </c>
      <c r="K3423" t="s">
        <v>33</v>
      </c>
      <c r="L3423" t="str">
        <f>_xlfn.XLOOKUP(K3423,[2]analyte_order!$B:$B,[2]analyte_order!$C:$C)</f>
        <v>777011-38-8</v>
      </c>
      <c r="M3423">
        <f>_xlfn.XLOOKUP(L3423,[2]analyte_order!$C:$C,[2]analyte_order!$E:$E)</f>
        <v>54</v>
      </c>
      <c r="N3423">
        <v>0.13500000000000001</v>
      </c>
    </row>
    <row r="3424" spans="1:14">
      <c r="A3424" t="s">
        <v>168</v>
      </c>
      <c r="B3424" t="str">
        <f>_xlfn.XLOOKUP(A3424,'[1]Tissue Data'!$A:$A,'[1]Tissue Data'!$C:$C)</f>
        <v>Spill</v>
      </c>
      <c r="C3424" s="2">
        <f>_xlfn.XLOOKUP(A3424,'[1]Tissue Data'!$A:$A,'[1]Tissue Data'!$D:$D)</f>
        <v>44314</v>
      </c>
      <c r="D3424" s="2" t="str">
        <f>_xlfn.XLOOKUP(A3424,'[1]Tissue Data'!$A:$A,'[1]Tissue Data'!$F:$F)</f>
        <v>Eastern Mudminnow</v>
      </c>
      <c r="E3424" t="str">
        <f>_xlfn.XLOOKUP(A3424,'[1]Tissue Data'!$A:$A,'[1]Tissue Data'!$H:$H)</f>
        <v>Umbra</v>
      </c>
      <c r="F3424" t="str">
        <f>_xlfn.XLOOKUP(A3424,'[1]Tissue Data'!$A:$A,'[1]Tissue Data'!$I:$I)</f>
        <v>pygmaea</v>
      </c>
      <c r="G3424" t="str">
        <f>_xlfn.XLOOKUP(A3424,'[1]Tissue Data'!$A:$A,'[1]Tissue Data'!J:J)</f>
        <v>U</v>
      </c>
      <c r="H3424" t="str">
        <f>_xlfn.XLOOKUP(A3424,'[1]Tissue Data'!$A:$A,'[1]Tissue Data'!K:K)</f>
        <v>Whole Body</v>
      </c>
      <c r="I3424">
        <f>_xlfn.XLOOKUP(A3424,'[1]Tissue Data'!$A:$A,'[1]Tissue Data'!L:L)</f>
        <v>6</v>
      </c>
      <c r="J3424">
        <f>_xlfn.XLOOKUP(A3424,'[1]Tissue Data'!$A:$A,'[1]Tissue Data'!M:M)</f>
        <v>2.75</v>
      </c>
      <c r="K3424" t="s">
        <v>34</v>
      </c>
      <c r="L3424" t="str">
        <f>_xlfn.XLOOKUP(K3424,[2]analyte_order!$B:$B,[2]analyte_order!$C:$C)</f>
        <v>646-83-3</v>
      </c>
      <c r="M3424">
        <f>_xlfn.XLOOKUP(L3424,[2]analyte_order!$C:$C,[2]analyte_order!$E:$E)</f>
        <v>55</v>
      </c>
      <c r="N3424">
        <v>0.29699999999999999</v>
      </c>
    </row>
    <row r="3425" spans="1:14">
      <c r="A3425" t="s">
        <v>168</v>
      </c>
      <c r="B3425" t="str">
        <f>_xlfn.XLOOKUP(A3425,'[1]Tissue Data'!$A:$A,'[1]Tissue Data'!$C:$C)</f>
        <v>Spill</v>
      </c>
      <c r="C3425" s="2">
        <f>_xlfn.XLOOKUP(A3425,'[1]Tissue Data'!$A:$A,'[1]Tissue Data'!$D:$D)</f>
        <v>44314</v>
      </c>
      <c r="D3425" s="2" t="str">
        <f>_xlfn.XLOOKUP(A3425,'[1]Tissue Data'!$A:$A,'[1]Tissue Data'!$F:$F)</f>
        <v>Eastern Mudminnow</v>
      </c>
      <c r="E3425" t="str">
        <f>_xlfn.XLOOKUP(A3425,'[1]Tissue Data'!$A:$A,'[1]Tissue Data'!$H:$H)</f>
        <v>Umbra</v>
      </c>
      <c r="F3425" t="str">
        <f>_xlfn.XLOOKUP(A3425,'[1]Tissue Data'!$A:$A,'[1]Tissue Data'!$I:$I)</f>
        <v>pygmaea</v>
      </c>
      <c r="G3425" t="str">
        <f>_xlfn.XLOOKUP(A3425,'[1]Tissue Data'!$A:$A,'[1]Tissue Data'!J:J)</f>
        <v>U</v>
      </c>
      <c r="H3425" t="str">
        <f>_xlfn.XLOOKUP(A3425,'[1]Tissue Data'!$A:$A,'[1]Tissue Data'!K:K)</f>
        <v>Whole Body</v>
      </c>
      <c r="I3425">
        <f>_xlfn.XLOOKUP(A3425,'[1]Tissue Data'!$A:$A,'[1]Tissue Data'!L:L)</f>
        <v>6</v>
      </c>
      <c r="J3425">
        <f>_xlfn.XLOOKUP(A3425,'[1]Tissue Data'!$A:$A,'[1]Tissue Data'!M:M)</f>
        <v>2.75</v>
      </c>
      <c r="K3425" t="s">
        <v>35</v>
      </c>
      <c r="L3425" t="str">
        <f>_xlfn.XLOOKUP(K3425,[2]analyte_order!$B:$B,[2]analyte_order!$C:$C)</f>
        <v>30334-69-1</v>
      </c>
      <c r="M3425">
        <f>_xlfn.XLOOKUP(L3425,[2]analyte_order!$C:$C,[2]analyte_order!$E:$E)</f>
        <v>51</v>
      </c>
      <c r="N3425">
        <v>21.5</v>
      </c>
    </row>
    <row r="3426" spans="1:14">
      <c r="A3426" t="s">
        <v>168</v>
      </c>
      <c r="B3426" t="str">
        <f>_xlfn.XLOOKUP(A3426,'[1]Tissue Data'!$A:$A,'[1]Tissue Data'!$C:$C)</f>
        <v>Spill</v>
      </c>
      <c r="C3426" s="2">
        <f>_xlfn.XLOOKUP(A3426,'[1]Tissue Data'!$A:$A,'[1]Tissue Data'!$D:$D)</f>
        <v>44314</v>
      </c>
      <c r="D3426" s="2" t="str">
        <f>_xlfn.XLOOKUP(A3426,'[1]Tissue Data'!$A:$A,'[1]Tissue Data'!$F:$F)</f>
        <v>Eastern Mudminnow</v>
      </c>
      <c r="E3426" t="str">
        <f>_xlfn.XLOOKUP(A3426,'[1]Tissue Data'!$A:$A,'[1]Tissue Data'!$H:$H)</f>
        <v>Umbra</v>
      </c>
      <c r="F3426" t="str">
        <f>_xlfn.XLOOKUP(A3426,'[1]Tissue Data'!$A:$A,'[1]Tissue Data'!$I:$I)</f>
        <v>pygmaea</v>
      </c>
      <c r="G3426" t="str">
        <f>_xlfn.XLOOKUP(A3426,'[1]Tissue Data'!$A:$A,'[1]Tissue Data'!J:J)</f>
        <v>U</v>
      </c>
      <c r="H3426" t="str">
        <f>_xlfn.XLOOKUP(A3426,'[1]Tissue Data'!$A:$A,'[1]Tissue Data'!K:K)</f>
        <v>Whole Body</v>
      </c>
      <c r="I3426">
        <f>_xlfn.XLOOKUP(A3426,'[1]Tissue Data'!$A:$A,'[1]Tissue Data'!L:L)</f>
        <v>6</v>
      </c>
      <c r="J3426">
        <f>_xlfn.XLOOKUP(A3426,'[1]Tissue Data'!$A:$A,'[1]Tissue Data'!M:M)</f>
        <v>2.75</v>
      </c>
      <c r="K3426" t="s">
        <v>36</v>
      </c>
      <c r="L3426" t="str">
        <f>_xlfn.XLOOKUP(K3426,[2]analyte_order!$B:$B,[2]analyte_order!$C:$C)</f>
        <v>41997-13-1</v>
      </c>
      <c r="M3426">
        <f>_xlfn.XLOOKUP(L3426,[2]analyte_order!$C:$C,[2]analyte_order!$E:$E)</f>
        <v>52</v>
      </c>
      <c r="N3426">
        <v>145</v>
      </c>
    </row>
    <row r="3427" spans="1:14">
      <c r="A3427" t="s">
        <v>168</v>
      </c>
      <c r="B3427" t="str">
        <f>_xlfn.XLOOKUP(A3427,'[1]Tissue Data'!$A:$A,'[1]Tissue Data'!$C:$C)</f>
        <v>Spill</v>
      </c>
      <c r="C3427" s="2">
        <f>_xlfn.XLOOKUP(A3427,'[1]Tissue Data'!$A:$A,'[1]Tissue Data'!$D:$D)</f>
        <v>44314</v>
      </c>
      <c r="D3427" s="2" t="str">
        <f>_xlfn.XLOOKUP(A3427,'[1]Tissue Data'!$A:$A,'[1]Tissue Data'!$F:$F)</f>
        <v>Eastern Mudminnow</v>
      </c>
      <c r="E3427" t="str">
        <f>_xlfn.XLOOKUP(A3427,'[1]Tissue Data'!$A:$A,'[1]Tissue Data'!$H:$H)</f>
        <v>Umbra</v>
      </c>
      <c r="F3427" t="str">
        <f>_xlfn.XLOOKUP(A3427,'[1]Tissue Data'!$A:$A,'[1]Tissue Data'!$I:$I)</f>
        <v>pygmaea</v>
      </c>
      <c r="G3427" t="str">
        <f>_xlfn.XLOOKUP(A3427,'[1]Tissue Data'!$A:$A,'[1]Tissue Data'!J:J)</f>
        <v>U</v>
      </c>
      <c r="H3427" t="str">
        <f>_xlfn.XLOOKUP(A3427,'[1]Tissue Data'!$A:$A,'[1]Tissue Data'!K:K)</f>
        <v>Whole Body</v>
      </c>
      <c r="I3427">
        <f>_xlfn.XLOOKUP(A3427,'[1]Tissue Data'!$A:$A,'[1]Tissue Data'!L:L)</f>
        <v>6</v>
      </c>
      <c r="J3427">
        <f>_xlfn.XLOOKUP(A3427,'[1]Tissue Data'!$A:$A,'[1]Tissue Data'!M:M)</f>
        <v>2.75</v>
      </c>
      <c r="K3427" t="s">
        <v>37</v>
      </c>
      <c r="L3427" t="str">
        <f>_xlfn.XLOOKUP(K3427,[2]analyte_order!$B:$B,[2]analyte_order!$C:$C)</f>
        <v>754-91-6</v>
      </c>
      <c r="M3427">
        <f>_xlfn.XLOOKUP(L3427,[2]analyte_order!$C:$C,[2]analyte_order!$E:$E)</f>
        <v>28</v>
      </c>
      <c r="N3427">
        <v>18.399999999999999</v>
      </c>
    </row>
    <row r="3428" spans="1:14">
      <c r="A3428" t="s">
        <v>168</v>
      </c>
      <c r="B3428" t="str">
        <f>_xlfn.XLOOKUP(A3428,'[1]Tissue Data'!$A:$A,'[1]Tissue Data'!$C:$C)</f>
        <v>Spill</v>
      </c>
      <c r="C3428" s="2">
        <f>_xlfn.XLOOKUP(A3428,'[1]Tissue Data'!$A:$A,'[1]Tissue Data'!$D:$D)</f>
        <v>44314</v>
      </c>
      <c r="D3428" s="2" t="str">
        <f>_xlfn.XLOOKUP(A3428,'[1]Tissue Data'!$A:$A,'[1]Tissue Data'!$F:$F)</f>
        <v>Eastern Mudminnow</v>
      </c>
      <c r="E3428" t="str">
        <f>_xlfn.XLOOKUP(A3428,'[1]Tissue Data'!$A:$A,'[1]Tissue Data'!$H:$H)</f>
        <v>Umbra</v>
      </c>
      <c r="F3428" t="str">
        <f>_xlfn.XLOOKUP(A3428,'[1]Tissue Data'!$A:$A,'[1]Tissue Data'!$I:$I)</f>
        <v>pygmaea</v>
      </c>
      <c r="G3428" t="str">
        <f>_xlfn.XLOOKUP(A3428,'[1]Tissue Data'!$A:$A,'[1]Tissue Data'!J:J)</f>
        <v>U</v>
      </c>
      <c r="H3428" t="str">
        <f>_xlfn.XLOOKUP(A3428,'[1]Tissue Data'!$A:$A,'[1]Tissue Data'!K:K)</f>
        <v>Whole Body</v>
      </c>
      <c r="I3428">
        <f>_xlfn.XLOOKUP(A3428,'[1]Tissue Data'!$A:$A,'[1]Tissue Data'!L:L)</f>
        <v>6</v>
      </c>
      <c r="J3428">
        <f>_xlfn.XLOOKUP(A3428,'[1]Tissue Data'!$A:$A,'[1]Tissue Data'!M:M)</f>
        <v>2.75</v>
      </c>
      <c r="K3428" t="s">
        <v>38</v>
      </c>
      <c r="L3428" t="str">
        <f>_xlfn.XLOOKUP(K3428,[2]analyte_order!$B:$B,[2]analyte_order!$C:$C)</f>
        <v>31506-32-8</v>
      </c>
      <c r="M3428">
        <f>_xlfn.XLOOKUP(L3428,[2]analyte_order!$C:$C,[2]analyte_order!$E:$E)</f>
        <v>30</v>
      </c>
      <c r="N3428">
        <v>5.1999999999999998E-2</v>
      </c>
    </row>
    <row r="3429" spans="1:14">
      <c r="A3429" t="s">
        <v>168</v>
      </c>
      <c r="B3429" t="str">
        <f>_xlfn.XLOOKUP(A3429,'[1]Tissue Data'!$A:$A,'[1]Tissue Data'!$C:$C)</f>
        <v>Spill</v>
      </c>
      <c r="C3429" s="2">
        <f>_xlfn.XLOOKUP(A3429,'[1]Tissue Data'!$A:$A,'[1]Tissue Data'!$D:$D)</f>
        <v>44314</v>
      </c>
      <c r="D3429" s="2" t="str">
        <f>_xlfn.XLOOKUP(A3429,'[1]Tissue Data'!$A:$A,'[1]Tissue Data'!$F:$F)</f>
        <v>Eastern Mudminnow</v>
      </c>
      <c r="E3429" t="str">
        <f>_xlfn.XLOOKUP(A3429,'[1]Tissue Data'!$A:$A,'[1]Tissue Data'!$H:$H)</f>
        <v>Umbra</v>
      </c>
      <c r="F3429" t="str">
        <f>_xlfn.XLOOKUP(A3429,'[1]Tissue Data'!$A:$A,'[1]Tissue Data'!$I:$I)</f>
        <v>pygmaea</v>
      </c>
      <c r="G3429" t="str">
        <f>_xlfn.XLOOKUP(A3429,'[1]Tissue Data'!$A:$A,'[1]Tissue Data'!J:J)</f>
        <v>U</v>
      </c>
      <c r="H3429" t="str">
        <f>_xlfn.XLOOKUP(A3429,'[1]Tissue Data'!$A:$A,'[1]Tissue Data'!K:K)</f>
        <v>Whole Body</v>
      </c>
      <c r="I3429">
        <f>_xlfn.XLOOKUP(A3429,'[1]Tissue Data'!$A:$A,'[1]Tissue Data'!L:L)</f>
        <v>6</v>
      </c>
      <c r="J3429">
        <f>_xlfn.XLOOKUP(A3429,'[1]Tissue Data'!$A:$A,'[1]Tissue Data'!M:M)</f>
        <v>2.75</v>
      </c>
      <c r="K3429" t="s">
        <v>39</v>
      </c>
      <c r="L3429" t="str">
        <f>_xlfn.XLOOKUP(K3429,[2]analyte_order!$B:$B,[2]analyte_order!$C:$C)</f>
        <v>4151-50-2</v>
      </c>
      <c r="M3429">
        <f>_xlfn.XLOOKUP(L3429,[2]analyte_order!$C:$C,[2]analyte_order!$E:$E)</f>
        <v>31</v>
      </c>
      <c r="N3429">
        <v>7.85E-2</v>
      </c>
    </row>
    <row r="3430" spans="1:14">
      <c r="A3430" t="s">
        <v>168</v>
      </c>
      <c r="B3430" t="str">
        <f>_xlfn.XLOOKUP(A3430,'[1]Tissue Data'!$A:$A,'[1]Tissue Data'!$C:$C)</f>
        <v>Spill</v>
      </c>
      <c r="C3430" s="2">
        <f>_xlfn.XLOOKUP(A3430,'[1]Tissue Data'!$A:$A,'[1]Tissue Data'!$D:$D)</f>
        <v>44314</v>
      </c>
      <c r="D3430" s="2" t="str">
        <f>_xlfn.XLOOKUP(A3430,'[1]Tissue Data'!$A:$A,'[1]Tissue Data'!$F:$F)</f>
        <v>Eastern Mudminnow</v>
      </c>
      <c r="E3430" t="str">
        <f>_xlfn.XLOOKUP(A3430,'[1]Tissue Data'!$A:$A,'[1]Tissue Data'!$H:$H)</f>
        <v>Umbra</v>
      </c>
      <c r="F3430" t="str">
        <f>_xlfn.XLOOKUP(A3430,'[1]Tissue Data'!$A:$A,'[1]Tissue Data'!$I:$I)</f>
        <v>pygmaea</v>
      </c>
      <c r="G3430" t="str">
        <f>_xlfn.XLOOKUP(A3430,'[1]Tissue Data'!$A:$A,'[1]Tissue Data'!J:J)</f>
        <v>U</v>
      </c>
      <c r="H3430" t="str">
        <f>_xlfn.XLOOKUP(A3430,'[1]Tissue Data'!$A:$A,'[1]Tissue Data'!K:K)</f>
        <v>Whole Body</v>
      </c>
      <c r="I3430">
        <f>_xlfn.XLOOKUP(A3430,'[1]Tissue Data'!$A:$A,'[1]Tissue Data'!L:L)</f>
        <v>6</v>
      </c>
      <c r="J3430">
        <f>_xlfn.XLOOKUP(A3430,'[1]Tissue Data'!$A:$A,'[1]Tissue Data'!M:M)</f>
        <v>2.75</v>
      </c>
      <c r="K3430" t="s">
        <v>40</v>
      </c>
      <c r="L3430" t="str">
        <f>_xlfn.XLOOKUP(K3430,[2]analyte_order!$B:$B,[2]analyte_order!$C:$C)</f>
        <v>2806-24-8</v>
      </c>
      <c r="M3430">
        <f>_xlfn.XLOOKUP(L3430,[2]analyte_order!$C:$C,[2]analyte_order!$E:$E)</f>
        <v>29</v>
      </c>
      <c r="N3430">
        <v>5.2999999999999999E-2</v>
      </c>
    </row>
    <row r="3431" spans="1:14">
      <c r="A3431" t="s">
        <v>168</v>
      </c>
      <c r="B3431" t="str">
        <f>_xlfn.XLOOKUP(A3431,'[1]Tissue Data'!$A:$A,'[1]Tissue Data'!$C:$C)</f>
        <v>Spill</v>
      </c>
      <c r="C3431" s="2">
        <f>_xlfn.XLOOKUP(A3431,'[1]Tissue Data'!$A:$A,'[1]Tissue Data'!$D:$D)</f>
        <v>44314</v>
      </c>
      <c r="D3431" s="2" t="str">
        <f>_xlfn.XLOOKUP(A3431,'[1]Tissue Data'!$A:$A,'[1]Tissue Data'!$F:$F)</f>
        <v>Eastern Mudminnow</v>
      </c>
      <c r="E3431" t="str">
        <f>_xlfn.XLOOKUP(A3431,'[1]Tissue Data'!$A:$A,'[1]Tissue Data'!$H:$H)</f>
        <v>Umbra</v>
      </c>
      <c r="F3431" t="str">
        <f>_xlfn.XLOOKUP(A3431,'[1]Tissue Data'!$A:$A,'[1]Tissue Data'!$I:$I)</f>
        <v>pygmaea</v>
      </c>
      <c r="G3431" t="str">
        <f>_xlfn.XLOOKUP(A3431,'[1]Tissue Data'!$A:$A,'[1]Tissue Data'!J:J)</f>
        <v>U</v>
      </c>
      <c r="H3431" t="str">
        <f>_xlfn.XLOOKUP(A3431,'[1]Tissue Data'!$A:$A,'[1]Tissue Data'!K:K)</f>
        <v>Whole Body</v>
      </c>
      <c r="I3431">
        <f>_xlfn.XLOOKUP(A3431,'[1]Tissue Data'!$A:$A,'[1]Tissue Data'!L:L)</f>
        <v>6</v>
      </c>
      <c r="J3431">
        <f>_xlfn.XLOOKUP(A3431,'[1]Tissue Data'!$A:$A,'[1]Tissue Data'!M:M)</f>
        <v>2.75</v>
      </c>
      <c r="K3431" t="s">
        <v>41</v>
      </c>
      <c r="L3431" t="str">
        <f>_xlfn.XLOOKUP(K3431,[2]analyte_order!$B:$B,[2]analyte_order!$C:$C)</f>
        <v>2355-31-9</v>
      </c>
      <c r="M3431">
        <f>_xlfn.XLOOKUP(L3431,[2]analyte_order!$C:$C,[2]analyte_order!$E:$E)</f>
        <v>26</v>
      </c>
      <c r="N3431">
        <v>0.70099999999999996</v>
      </c>
    </row>
    <row r="3432" spans="1:14">
      <c r="A3432" t="s">
        <v>168</v>
      </c>
      <c r="B3432" t="str">
        <f>_xlfn.XLOOKUP(A3432,'[1]Tissue Data'!$A:$A,'[1]Tissue Data'!$C:$C)</f>
        <v>Spill</v>
      </c>
      <c r="C3432" s="2">
        <f>_xlfn.XLOOKUP(A3432,'[1]Tissue Data'!$A:$A,'[1]Tissue Data'!$D:$D)</f>
        <v>44314</v>
      </c>
      <c r="D3432" s="2" t="str">
        <f>_xlfn.XLOOKUP(A3432,'[1]Tissue Data'!$A:$A,'[1]Tissue Data'!$F:$F)</f>
        <v>Eastern Mudminnow</v>
      </c>
      <c r="E3432" t="str">
        <f>_xlfn.XLOOKUP(A3432,'[1]Tissue Data'!$A:$A,'[1]Tissue Data'!$H:$H)</f>
        <v>Umbra</v>
      </c>
      <c r="F3432" t="str">
        <f>_xlfn.XLOOKUP(A3432,'[1]Tissue Data'!$A:$A,'[1]Tissue Data'!$I:$I)</f>
        <v>pygmaea</v>
      </c>
      <c r="G3432" t="str">
        <f>_xlfn.XLOOKUP(A3432,'[1]Tissue Data'!$A:$A,'[1]Tissue Data'!J:J)</f>
        <v>U</v>
      </c>
      <c r="H3432" t="str">
        <f>_xlfn.XLOOKUP(A3432,'[1]Tissue Data'!$A:$A,'[1]Tissue Data'!K:K)</f>
        <v>Whole Body</v>
      </c>
      <c r="I3432">
        <f>_xlfn.XLOOKUP(A3432,'[1]Tissue Data'!$A:$A,'[1]Tissue Data'!L:L)</f>
        <v>6</v>
      </c>
      <c r="J3432">
        <f>_xlfn.XLOOKUP(A3432,'[1]Tissue Data'!$A:$A,'[1]Tissue Data'!M:M)</f>
        <v>2.75</v>
      </c>
      <c r="K3432" t="s">
        <v>42</v>
      </c>
      <c r="L3432" t="str">
        <f>_xlfn.XLOOKUP(K3432,[2]analyte_order!$B:$B,[2]analyte_order!$C:$C)</f>
        <v>2991-50-6</v>
      </c>
      <c r="M3432">
        <f>_xlfn.XLOOKUP(L3432,[2]analyte_order!$C:$C,[2]analyte_order!$E:$E)</f>
        <v>27</v>
      </c>
      <c r="N3432">
        <v>5.8500000000000003E-2</v>
      </c>
    </row>
    <row r="3433" spans="1:14">
      <c r="A3433" t="s">
        <v>168</v>
      </c>
      <c r="B3433" t="str">
        <f>_xlfn.XLOOKUP(A3433,'[1]Tissue Data'!$A:$A,'[1]Tissue Data'!$C:$C)</f>
        <v>Spill</v>
      </c>
      <c r="C3433" s="2">
        <f>_xlfn.XLOOKUP(A3433,'[1]Tissue Data'!$A:$A,'[1]Tissue Data'!$D:$D)</f>
        <v>44314</v>
      </c>
      <c r="D3433" s="2" t="str">
        <f>_xlfn.XLOOKUP(A3433,'[1]Tissue Data'!$A:$A,'[1]Tissue Data'!$F:$F)</f>
        <v>Eastern Mudminnow</v>
      </c>
      <c r="E3433" t="str">
        <f>_xlfn.XLOOKUP(A3433,'[1]Tissue Data'!$A:$A,'[1]Tissue Data'!$H:$H)</f>
        <v>Umbra</v>
      </c>
      <c r="F3433" t="str">
        <f>_xlfn.XLOOKUP(A3433,'[1]Tissue Data'!$A:$A,'[1]Tissue Data'!$I:$I)</f>
        <v>pygmaea</v>
      </c>
      <c r="G3433" t="str">
        <f>_xlfn.XLOOKUP(A3433,'[1]Tissue Data'!$A:$A,'[1]Tissue Data'!J:J)</f>
        <v>U</v>
      </c>
      <c r="H3433" t="str">
        <f>_xlfn.XLOOKUP(A3433,'[1]Tissue Data'!$A:$A,'[1]Tissue Data'!K:K)</f>
        <v>Whole Body</v>
      </c>
      <c r="I3433">
        <f>_xlfn.XLOOKUP(A3433,'[1]Tissue Data'!$A:$A,'[1]Tissue Data'!L:L)</f>
        <v>6</v>
      </c>
      <c r="J3433">
        <f>_xlfn.XLOOKUP(A3433,'[1]Tissue Data'!$A:$A,'[1]Tissue Data'!M:M)</f>
        <v>2.75</v>
      </c>
      <c r="K3433" t="s">
        <v>43</v>
      </c>
      <c r="L3433" t="str">
        <f>_xlfn.XLOOKUP(K3433,[2]analyte_order!$B:$B,[2]analyte_order!$C:$C)</f>
        <v>757124-72-4</v>
      </c>
      <c r="M3433">
        <f>_xlfn.XLOOKUP(L3433,[2]analyte_order!$C:$C,[2]analyte_order!$E:$E)</f>
        <v>22</v>
      </c>
      <c r="N3433">
        <v>5.5500000000000001E-2</v>
      </c>
    </row>
    <row r="3434" spans="1:14">
      <c r="A3434" t="s">
        <v>168</v>
      </c>
      <c r="B3434" t="str">
        <f>_xlfn.XLOOKUP(A3434,'[1]Tissue Data'!$A:$A,'[1]Tissue Data'!$C:$C)</f>
        <v>Spill</v>
      </c>
      <c r="C3434" s="2">
        <f>_xlfn.XLOOKUP(A3434,'[1]Tissue Data'!$A:$A,'[1]Tissue Data'!$D:$D)</f>
        <v>44314</v>
      </c>
      <c r="D3434" s="2" t="str">
        <f>_xlfn.XLOOKUP(A3434,'[1]Tissue Data'!$A:$A,'[1]Tissue Data'!$F:$F)</f>
        <v>Eastern Mudminnow</v>
      </c>
      <c r="E3434" t="str">
        <f>_xlfn.XLOOKUP(A3434,'[1]Tissue Data'!$A:$A,'[1]Tissue Data'!$H:$H)</f>
        <v>Umbra</v>
      </c>
      <c r="F3434" t="str">
        <f>_xlfn.XLOOKUP(A3434,'[1]Tissue Data'!$A:$A,'[1]Tissue Data'!$I:$I)</f>
        <v>pygmaea</v>
      </c>
      <c r="G3434" t="str">
        <f>_xlfn.XLOOKUP(A3434,'[1]Tissue Data'!$A:$A,'[1]Tissue Data'!J:J)</f>
        <v>U</v>
      </c>
      <c r="H3434" t="str">
        <f>_xlfn.XLOOKUP(A3434,'[1]Tissue Data'!$A:$A,'[1]Tissue Data'!K:K)</f>
        <v>Whole Body</v>
      </c>
      <c r="I3434">
        <f>_xlfn.XLOOKUP(A3434,'[1]Tissue Data'!$A:$A,'[1]Tissue Data'!L:L)</f>
        <v>6</v>
      </c>
      <c r="J3434">
        <f>_xlfn.XLOOKUP(A3434,'[1]Tissue Data'!$A:$A,'[1]Tissue Data'!M:M)</f>
        <v>2.75</v>
      </c>
      <c r="K3434" t="s">
        <v>44</v>
      </c>
      <c r="L3434" t="str">
        <f>_xlfn.XLOOKUP(K3434,[2]analyte_order!$B:$B,[2]analyte_order!$C:$C)</f>
        <v>27619-97-2</v>
      </c>
      <c r="M3434">
        <f>_xlfn.XLOOKUP(L3434,[2]analyte_order!$C:$C,[2]analyte_order!$E:$E)</f>
        <v>23</v>
      </c>
      <c r="N3434">
        <v>0.69399999999999995</v>
      </c>
    </row>
    <row r="3435" spans="1:14">
      <c r="A3435" t="s">
        <v>168</v>
      </c>
      <c r="B3435" t="str">
        <f>_xlfn.XLOOKUP(A3435,'[1]Tissue Data'!$A:$A,'[1]Tissue Data'!$C:$C)</f>
        <v>Spill</v>
      </c>
      <c r="C3435" s="2">
        <f>_xlfn.XLOOKUP(A3435,'[1]Tissue Data'!$A:$A,'[1]Tissue Data'!$D:$D)</f>
        <v>44314</v>
      </c>
      <c r="D3435" s="2" t="str">
        <f>_xlfn.XLOOKUP(A3435,'[1]Tissue Data'!$A:$A,'[1]Tissue Data'!$F:$F)</f>
        <v>Eastern Mudminnow</v>
      </c>
      <c r="E3435" t="str">
        <f>_xlfn.XLOOKUP(A3435,'[1]Tissue Data'!$A:$A,'[1]Tissue Data'!$H:$H)</f>
        <v>Umbra</v>
      </c>
      <c r="F3435" t="str">
        <f>_xlfn.XLOOKUP(A3435,'[1]Tissue Data'!$A:$A,'[1]Tissue Data'!$I:$I)</f>
        <v>pygmaea</v>
      </c>
      <c r="G3435" t="str">
        <f>_xlfn.XLOOKUP(A3435,'[1]Tissue Data'!$A:$A,'[1]Tissue Data'!J:J)</f>
        <v>U</v>
      </c>
      <c r="H3435" t="str">
        <f>_xlfn.XLOOKUP(A3435,'[1]Tissue Data'!$A:$A,'[1]Tissue Data'!K:K)</f>
        <v>Whole Body</v>
      </c>
      <c r="I3435">
        <f>_xlfn.XLOOKUP(A3435,'[1]Tissue Data'!$A:$A,'[1]Tissue Data'!L:L)</f>
        <v>6</v>
      </c>
      <c r="J3435">
        <f>_xlfn.XLOOKUP(A3435,'[1]Tissue Data'!$A:$A,'[1]Tissue Data'!M:M)</f>
        <v>2.75</v>
      </c>
      <c r="K3435" t="s">
        <v>45</v>
      </c>
      <c r="L3435" t="str">
        <f>_xlfn.XLOOKUP(K3435,[2]analyte_order!$B:$B,[2]analyte_order!$C:$C)</f>
        <v>39108-34-4</v>
      </c>
      <c r="M3435">
        <f>_xlfn.XLOOKUP(L3435,[2]analyte_order!$C:$C,[2]analyte_order!$E:$E)</f>
        <v>24</v>
      </c>
      <c r="N3435">
        <v>1.26</v>
      </c>
    </row>
    <row r="3436" spans="1:14">
      <c r="A3436" t="s">
        <v>168</v>
      </c>
      <c r="B3436" t="str">
        <f>_xlfn.XLOOKUP(A3436,'[1]Tissue Data'!$A:$A,'[1]Tissue Data'!$C:$C)</f>
        <v>Spill</v>
      </c>
      <c r="C3436" s="2">
        <f>_xlfn.XLOOKUP(A3436,'[1]Tissue Data'!$A:$A,'[1]Tissue Data'!$D:$D)</f>
        <v>44314</v>
      </c>
      <c r="D3436" s="2" t="str">
        <f>_xlfn.XLOOKUP(A3436,'[1]Tissue Data'!$A:$A,'[1]Tissue Data'!$F:$F)</f>
        <v>Eastern Mudminnow</v>
      </c>
      <c r="E3436" t="str">
        <f>_xlfn.XLOOKUP(A3436,'[1]Tissue Data'!$A:$A,'[1]Tissue Data'!$H:$H)</f>
        <v>Umbra</v>
      </c>
      <c r="F3436" t="str">
        <f>_xlfn.XLOOKUP(A3436,'[1]Tissue Data'!$A:$A,'[1]Tissue Data'!$I:$I)</f>
        <v>pygmaea</v>
      </c>
      <c r="G3436" t="str">
        <f>_xlfn.XLOOKUP(A3436,'[1]Tissue Data'!$A:$A,'[1]Tissue Data'!J:J)</f>
        <v>U</v>
      </c>
      <c r="H3436" t="str">
        <f>_xlfn.XLOOKUP(A3436,'[1]Tissue Data'!$A:$A,'[1]Tissue Data'!K:K)</f>
        <v>Whole Body</v>
      </c>
      <c r="I3436">
        <f>_xlfn.XLOOKUP(A3436,'[1]Tissue Data'!$A:$A,'[1]Tissue Data'!L:L)</f>
        <v>6</v>
      </c>
      <c r="J3436">
        <f>_xlfn.XLOOKUP(A3436,'[1]Tissue Data'!$A:$A,'[1]Tissue Data'!M:M)</f>
        <v>2.75</v>
      </c>
      <c r="K3436" t="s">
        <v>46</v>
      </c>
      <c r="L3436" t="str">
        <f>_xlfn.XLOOKUP(K3436,[2]analyte_order!$B:$B,[2]analyte_order!$C:$C)</f>
        <v>120226-60-0</v>
      </c>
      <c r="M3436">
        <f>_xlfn.XLOOKUP(L3436,[2]analyte_order!$C:$C,[2]analyte_order!$E:$E)</f>
        <v>25</v>
      </c>
      <c r="N3436">
        <v>0.252</v>
      </c>
    </row>
    <row r="3437" spans="1:14">
      <c r="A3437" t="s">
        <v>168</v>
      </c>
      <c r="B3437" t="str">
        <f>_xlfn.XLOOKUP(A3437,'[1]Tissue Data'!$A:$A,'[1]Tissue Data'!$C:$C)</f>
        <v>Spill</v>
      </c>
      <c r="C3437" s="2">
        <f>_xlfn.XLOOKUP(A3437,'[1]Tissue Data'!$A:$A,'[1]Tissue Data'!$D:$D)</f>
        <v>44314</v>
      </c>
      <c r="D3437" s="2" t="str">
        <f>_xlfn.XLOOKUP(A3437,'[1]Tissue Data'!$A:$A,'[1]Tissue Data'!$F:$F)</f>
        <v>Eastern Mudminnow</v>
      </c>
      <c r="E3437" t="str">
        <f>_xlfn.XLOOKUP(A3437,'[1]Tissue Data'!$A:$A,'[1]Tissue Data'!$H:$H)</f>
        <v>Umbra</v>
      </c>
      <c r="F3437" t="str">
        <f>_xlfn.XLOOKUP(A3437,'[1]Tissue Data'!$A:$A,'[1]Tissue Data'!$I:$I)</f>
        <v>pygmaea</v>
      </c>
      <c r="G3437" t="str">
        <f>_xlfn.XLOOKUP(A3437,'[1]Tissue Data'!$A:$A,'[1]Tissue Data'!J:J)</f>
        <v>U</v>
      </c>
      <c r="H3437" t="str">
        <f>_xlfn.XLOOKUP(A3437,'[1]Tissue Data'!$A:$A,'[1]Tissue Data'!K:K)</f>
        <v>Whole Body</v>
      </c>
      <c r="I3437">
        <f>_xlfn.XLOOKUP(A3437,'[1]Tissue Data'!$A:$A,'[1]Tissue Data'!L:L)</f>
        <v>6</v>
      </c>
      <c r="J3437">
        <f>_xlfn.XLOOKUP(A3437,'[1]Tissue Data'!$A:$A,'[1]Tissue Data'!M:M)</f>
        <v>2.75</v>
      </c>
      <c r="K3437" t="s">
        <v>47</v>
      </c>
      <c r="L3437" t="str">
        <f>_xlfn.XLOOKUP(K3437,[2]analyte_order!$B:$B,[2]analyte_order!$C:$C)</f>
        <v>356-02-5</v>
      </c>
      <c r="M3437">
        <f>_xlfn.XLOOKUP(L3437,[2]analyte_order!$C:$C,[2]analyte_order!$E:$E)</f>
        <v>38</v>
      </c>
      <c r="N3437">
        <v>7.7499999999999999E-2</v>
      </c>
    </row>
    <row r="3438" spans="1:14">
      <c r="A3438" t="s">
        <v>168</v>
      </c>
      <c r="B3438" t="str">
        <f>_xlfn.XLOOKUP(A3438,'[1]Tissue Data'!$A:$A,'[1]Tissue Data'!$C:$C)</f>
        <v>Spill</v>
      </c>
      <c r="C3438" s="2">
        <f>_xlfn.XLOOKUP(A3438,'[1]Tissue Data'!$A:$A,'[1]Tissue Data'!$D:$D)</f>
        <v>44314</v>
      </c>
      <c r="D3438" s="2" t="str">
        <f>_xlfn.XLOOKUP(A3438,'[1]Tissue Data'!$A:$A,'[1]Tissue Data'!$F:$F)</f>
        <v>Eastern Mudminnow</v>
      </c>
      <c r="E3438" t="str">
        <f>_xlfn.XLOOKUP(A3438,'[1]Tissue Data'!$A:$A,'[1]Tissue Data'!$H:$H)</f>
        <v>Umbra</v>
      </c>
      <c r="F3438" t="str">
        <f>_xlfn.XLOOKUP(A3438,'[1]Tissue Data'!$A:$A,'[1]Tissue Data'!$I:$I)</f>
        <v>pygmaea</v>
      </c>
      <c r="G3438" t="str">
        <f>_xlfn.XLOOKUP(A3438,'[1]Tissue Data'!$A:$A,'[1]Tissue Data'!J:J)</f>
        <v>U</v>
      </c>
      <c r="H3438" t="str">
        <f>_xlfn.XLOOKUP(A3438,'[1]Tissue Data'!$A:$A,'[1]Tissue Data'!K:K)</f>
        <v>Whole Body</v>
      </c>
      <c r="I3438">
        <f>_xlfn.XLOOKUP(A3438,'[1]Tissue Data'!$A:$A,'[1]Tissue Data'!L:L)</f>
        <v>6</v>
      </c>
      <c r="J3438">
        <f>_xlfn.XLOOKUP(A3438,'[1]Tissue Data'!$A:$A,'[1]Tissue Data'!M:M)</f>
        <v>2.75</v>
      </c>
      <c r="K3438" t="s">
        <v>48</v>
      </c>
      <c r="L3438" t="str">
        <f>_xlfn.XLOOKUP(K3438,[2]analyte_order!$B:$B,[2]analyte_order!$C:$C)</f>
        <v>914637-49-3</v>
      </c>
      <c r="M3438">
        <f>_xlfn.XLOOKUP(L3438,[2]analyte_order!$C:$C,[2]analyte_order!$E:$E)</f>
        <v>39</v>
      </c>
      <c r="N3438">
        <v>11.5</v>
      </c>
    </row>
    <row r="3439" spans="1:14">
      <c r="A3439" t="s">
        <v>168</v>
      </c>
      <c r="B3439" t="str">
        <f>_xlfn.XLOOKUP(A3439,'[1]Tissue Data'!$A:$A,'[1]Tissue Data'!$C:$C)</f>
        <v>Spill</v>
      </c>
      <c r="C3439" s="2">
        <f>_xlfn.XLOOKUP(A3439,'[1]Tissue Data'!$A:$A,'[1]Tissue Data'!$D:$D)</f>
        <v>44314</v>
      </c>
      <c r="D3439" s="2" t="str">
        <f>_xlfn.XLOOKUP(A3439,'[1]Tissue Data'!$A:$A,'[1]Tissue Data'!$F:$F)</f>
        <v>Eastern Mudminnow</v>
      </c>
      <c r="E3439" t="str">
        <f>_xlfn.XLOOKUP(A3439,'[1]Tissue Data'!$A:$A,'[1]Tissue Data'!$H:$H)</f>
        <v>Umbra</v>
      </c>
      <c r="F3439" t="str">
        <f>_xlfn.XLOOKUP(A3439,'[1]Tissue Data'!$A:$A,'[1]Tissue Data'!$I:$I)</f>
        <v>pygmaea</v>
      </c>
      <c r="G3439" t="str">
        <f>_xlfn.XLOOKUP(A3439,'[1]Tissue Data'!$A:$A,'[1]Tissue Data'!J:J)</f>
        <v>U</v>
      </c>
      <c r="H3439" t="str">
        <f>_xlfn.XLOOKUP(A3439,'[1]Tissue Data'!$A:$A,'[1]Tissue Data'!K:K)</f>
        <v>Whole Body</v>
      </c>
      <c r="I3439">
        <f>_xlfn.XLOOKUP(A3439,'[1]Tissue Data'!$A:$A,'[1]Tissue Data'!L:L)</f>
        <v>6</v>
      </c>
      <c r="J3439">
        <f>_xlfn.XLOOKUP(A3439,'[1]Tissue Data'!$A:$A,'[1]Tissue Data'!M:M)</f>
        <v>2.75</v>
      </c>
      <c r="K3439" t="s">
        <v>49</v>
      </c>
      <c r="L3439" t="str">
        <f>_xlfn.XLOOKUP(K3439,[2]analyte_order!$B:$B,[2]analyte_order!$C:$C)</f>
        <v>812-70-4</v>
      </c>
      <c r="M3439">
        <f>_xlfn.XLOOKUP(L3439,[2]analyte_order!$C:$C,[2]analyte_order!$E:$E)</f>
        <v>40</v>
      </c>
      <c r="N3439">
        <v>28.6</v>
      </c>
    </row>
    <row r="3440" spans="1:14">
      <c r="A3440" t="s">
        <v>168</v>
      </c>
      <c r="B3440" t="str">
        <f>_xlfn.XLOOKUP(A3440,'[1]Tissue Data'!$A:$A,'[1]Tissue Data'!$C:$C)</f>
        <v>Spill</v>
      </c>
      <c r="C3440" s="2">
        <f>_xlfn.XLOOKUP(A3440,'[1]Tissue Data'!$A:$A,'[1]Tissue Data'!$D:$D)</f>
        <v>44314</v>
      </c>
      <c r="D3440" s="2" t="str">
        <f>_xlfn.XLOOKUP(A3440,'[1]Tissue Data'!$A:$A,'[1]Tissue Data'!$F:$F)</f>
        <v>Eastern Mudminnow</v>
      </c>
      <c r="E3440" t="str">
        <f>_xlfn.XLOOKUP(A3440,'[1]Tissue Data'!$A:$A,'[1]Tissue Data'!$H:$H)</f>
        <v>Umbra</v>
      </c>
      <c r="F3440" t="str">
        <f>_xlfn.XLOOKUP(A3440,'[1]Tissue Data'!$A:$A,'[1]Tissue Data'!$I:$I)</f>
        <v>pygmaea</v>
      </c>
      <c r="G3440" t="str">
        <f>_xlfn.XLOOKUP(A3440,'[1]Tissue Data'!$A:$A,'[1]Tissue Data'!J:J)</f>
        <v>U</v>
      </c>
      <c r="H3440" t="str">
        <f>_xlfn.XLOOKUP(A3440,'[1]Tissue Data'!$A:$A,'[1]Tissue Data'!K:K)</f>
        <v>Whole Body</v>
      </c>
      <c r="I3440">
        <f>_xlfn.XLOOKUP(A3440,'[1]Tissue Data'!$A:$A,'[1]Tissue Data'!L:L)</f>
        <v>6</v>
      </c>
      <c r="J3440">
        <f>_xlfn.XLOOKUP(A3440,'[1]Tissue Data'!$A:$A,'[1]Tissue Data'!M:M)</f>
        <v>2.75</v>
      </c>
      <c r="K3440" t="s">
        <v>50</v>
      </c>
      <c r="L3440" t="str">
        <f>_xlfn.XLOOKUP(K3440,[2]analyte_order!$B:$B,[2]analyte_order!$C:$C)</f>
        <v>53826-12-3</v>
      </c>
      <c r="M3440">
        <f>_xlfn.XLOOKUP(L3440,[2]analyte_order!$C:$C,[2]analyte_order!$E:$E)</f>
        <v>41</v>
      </c>
      <c r="N3440">
        <v>1.92</v>
      </c>
    </row>
    <row r="3441" spans="1:14">
      <c r="A3441" t="s">
        <v>168</v>
      </c>
      <c r="B3441" t="str">
        <f>_xlfn.XLOOKUP(A3441,'[1]Tissue Data'!$A:$A,'[1]Tissue Data'!$C:$C)</f>
        <v>Spill</v>
      </c>
      <c r="C3441" s="2">
        <f>_xlfn.XLOOKUP(A3441,'[1]Tissue Data'!$A:$A,'[1]Tissue Data'!$D:$D)</f>
        <v>44314</v>
      </c>
      <c r="D3441" s="2" t="str">
        <f>_xlfn.XLOOKUP(A3441,'[1]Tissue Data'!$A:$A,'[1]Tissue Data'!$F:$F)</f>
        <v>Eastern Mudminnow</v>
      </c>
      <c r="E3441" t="str">
        <f>_xlfn.XLOOKUP(A3441,'[1]Tissue Data'!$A:$A,'[1]Tissue Data'!$H:$H)</f>
        <v>Umbra</v>
      </c>
      <c r="F3441" t="str">
        <f>_xlfn.XLOOKUP(A3441,'[1]Tissue Data'!$A:$A,'[1]Tissue Data'!$I:$I)</f>
        <v>pygmaea</v>
      </c>
      <c r="G3441" t="str">
        <f>_xlfn.XLOOKUP(A3441,'[1]Tissue Data'!$A:$A,'[1]Tissue Data'!J:J)</f>
        <v>U</v>
      </c>
      <c r="H3441" t="str">
        <f>_xlfn.XLOOKUP(A3441,'[1]Tissue Data'!$A:$A,'[1]Tissue Data'!K:K)</f>
        <v>Whole Body</v>
      </c>
      <c r="I3441">
        <f>_xlfn.XLOOKUP(A3441,'[1]Tissue Data'!$A:$A,'[1]Tissue Data'!L:L)</f>
        <v>6</v>
      </c>
      <c r="J3441">
        <f>_xlfn.XLOOKUP(A3441,'[1]Tissue Data'!$A:$A,'[1]Tissue Data'!M:M)</f>
        <v>2.75</v>
      </c>
      <c r="K3441" t="s">
        <v>51</v>
      </c>
      <c r="L3441" t="str">
        <f>_xlfn.XLOOKUP(K3441,[2]analyte_order!$B:$B,[2]analyte_order!$C:$C)</f>
        <v>27854-31-5</v>
      </c>
      <c r="M3441">
        <f>_xlfn.XLOOKUP(L3441,[2]analyte_order!$C:$C,[2]analyte_order!$E:$E)</f>
        <v>42</v>
      </c>
      <c r="N3441">
        <v>3.61</v>
      </c>
    </row>
    <row r="3442" spans="1:14">
      <c r="A3442" t="s">
        <v>168</v>
      </c>
      <c r="B3442" t="str">
        <f>_xlfn.XLOOKUP(A3442,'[1]Tissue Data'!$A:$A,'[1]Tissue Data'!$C:$C)</f>
        <v>Spill</v>
      </c>
      <c r="C3442" s="2">
        <f>_xlfn.XLOOKUP(A3442,'[1]Tissue Data'!$A:$A,'[1]Tissue Data'!$D:$D)</f>
        <v>44314</v>
      </c>
      <c r="D3442" s="2" t="str">
        <f>_xlfn.XLOOKUP(A3442,'[1]Tissue Data'!$A:$A,'[1]Tissue Data'!$F:$F)</f>
        <v>Eastern Mudminnow</v>
      </c>
      <c r="E3442" t="str">
        <f>_xlfn.XLOOKUP(A3442,'[1]Tissue Data'!$A:$A,'[1]Tissue Data'!$H:$H)</f>
        <v>Umbra</v>
      </c>
      <c r="F3442" t="str">
        <f>_xlfn.XLOOKUP(A3442,'[1]Tissue Data'!$A:$A,'[1]Tissue Data'!$I:$I)</f>
        <v>pygmaea</v>
      </c>
      <c r="G3442" t="str">
        <f>_xlfn.XLOOKUP(A3442,'[1]Tissue Data'!$A:$A,'[1]Tissue Data'!J:J)</f>
        <v>U</v>
      </c>
      <c r="H3442" t="str">
        <f>_xlfn.XLOOKUP(A3442,'[1]Tissue Data'!$A:$A,'[1]Tissue Data'!K:K)</f>
        <v>Whole Body</v>
      </c>
      <c r="I3442">
        <f>_xlfn.XLOOKUP(A3442,'[1]Tissue Data'!$A:$A,'[1]Tissue Data'!L:L)</f>
        <v>6</v>
      </c>
      <c r="J3442">
        <f>_xlfn.XLOOKUP(A3442,'[1]Tissue Data'!$A:$A,'[1]Tissue Data'!M:M)</f>
        <v>2.75</v>
      </c>
      <c r="K3442" t="s">
        <v>52</v>
      </c>
      <c r="L3442" t="str">
        <f>_xlfn.XLOOKUP(K3442,[2]analyte_order!$B:$B,[2]analyte_order!$C:$C)</f>
        <v>53826-13-4</v>
      </c>
      <c r="M3442">
        <f>_xlfn.XLOOKUP(L3442,[2]analyte_order!$C:$C,[2]analyte_order!$E:$E)</f>
        <v>43</v>
      </c>
      <c r="N3442">
        <v>0.72699999999999998</v>
      </c>
    </row>
    <row r="3443" spans="1:14">
      <c r="A3443" t="s">
        <v>168</v>
      </c>
      <c r="B3443" t="str">
        <f>_xlfn.XLOOKUP(A3443,'[1]Tissue Data'!$A:$A,'[1]Tissue Data'!$C:$C)</f>
        <v>Spill</v>
      </c>
      <c r="C3443" s="2">
        <f>_xlfn.XLOOKUP(A3443,'[1]Tissue Data'!$A:$A,'[1]Tissue Data'!$D:$D)</f>
        <v>44314</v>
      </c>
      <c r="D3443" s="2" t="str">
        <f>_xlfn.XLOOKUP(A3443,'[1]Tissue Data'!$A:$A,'[1]Tissue Data'!$F:$F)</f>
        <v>Eastern Mudminnow</v>
      </c>
      <c r="E3443" t="str">
        <f>_xlfn.XLOOKUP(A3443,'[1]Tissue Data'!$A:$A,'[1]Tissue Data'!$H:$H)</f>
        <v>Umbra</v>
      </c>
      <c r="F3443" t="str">
        <f>_xlfn.XLOOKUP(A3443,'[1]Tissue Data'!$A:$A,'[1]Tissue Data'!$I:$I)</f>
        <v>pygmaea</v>
      </c>
      <c r="G3443" t="str">
        <f>_xlfn.XLOOKUP(A3443,'[1]Tissue Data'!$A:$A,'[1]Tissue Data'!J:J)</f>
        <v>U</v>
      </c>
      <c r="H3443" t="str">
        <f>_xlfn.XLOOKUP(A3443,'[1]Tissue Data'!$A:$A,'[1]Tissue Data'!K:K)</f>
        <v>Whole Body</v>
      </c>
      <c r="I3443">
        <f>_xlfn.XLOOKUP(A3443,'[1]Tissue Data'!$A:$A,'[1]Tissue Data'!L:L)</f>
        <v>6</v>
      </c>
      <c r="J3443">
        <f>_xlfn.XLOOKUP(A3443,'[1]Tissue Data'!$A:$A,'[1]Tissue Data'!M:M)</f>
        <v>2.75</v>
      </c>
      <c r="K3443" t="s">
        <v>53</v>
      </c>
      <c r="L3443" t="str">
        <f>_xlfn.XLOOKUP(K3443,[2]analyte_order!$B:$B,[2]analyte_order!$C:$C)</f>
        <v>161094-75-3</v>
      </c>
      <c r="M3443">
        <f>_xlfn.XLOOKUP(L3443,[2]analyte_order!$C:$C,[2]analyte_order!$E:$E)</f>
        <v>44</v>
      </c>
      <c r="N3443">
        <v>5.2999999999999999E-2</v>
      </c>
    </row>
    <row r="3444" spans="1:14">
      <c r="A3444" t="s">
        <v>168</v>
      </c>
      <c r="B3444" t="str">
        <f>_xlfn.XLOOKUP(A3444,'[1]Tissue Data'!$A:$A,'[1]Tissue Data'!$C:$C)</f>
        <v>Spill</v>
      </c>
      <c r="C3444" s="2">
        <f>_xlfn.XLOOKUP(A3444,'[1]Tissue Data'!$A:$A,'[1]Tissue Data'!$D:$D)</f>
        <v>44314</v>
      </c>
      <c r="D3444" s="2" t="str">
        <f>_xlfn.XLOOKUP(A3444,'[1]Tissue Data'!$A:$A,'[1]Tissue Data'!$F:$F)</f>
        <v>Eastern Mudminnow</v>
      </c>
      <c r="E3444" t="str">
        <f>_xlfn.XLOOKUP(A3444,'[1]Tissue Data'!$A:$A,'[1]Tissue Data'!$H:$H)</f>
        <v>Umbra</v>
      </c>
      <c r="F3444" t="str">
        <f>_xlfn.XLOOKUP(A3444,'[1]Tissue Data'!$A:$A,'[1]Tissue Data'!$I:$I)</f>
        <v>pygmaea</v>
      </c>
      <c r="G3444" t="str">
        <f>_xlfn.XLOOKUP(A3444,'[1]Tissue Data'!$A:$A,'[1]Tissue Data'!J:J)</f>
        <v>U</v>
      </c>
      <c r="H3444" t="str">
        <f>_xlfn.XLOOKUP(A3444,'[1]Tissue Data'!$A:$A,'[1]Tissue Data'!K:K)</f>
        <v>Whole Body</v>
      </c>
      <c r="I3444">
        <f>_xlfn.XLOOKUP(A3444,'[1]Tissue Data'!$A:$A,'[1]Tissue Data'!L:L)</f>
        <v>6</v>
      </c>
      <c r="J3444">
        <f>_xlfn.XLOOKUP(A3444,'[1]Tissue Data'!$A:$A,'[1]Tissue Data'!M:M)</f>
        <v>2.75</v>
      </c>
      <c r="K3444" t="s">
        <v>54</v>
      </c>
      <c r="L3444" t="str">
        <f>_xlfn.XLOOKUP(K3444,[2]analyte_order!$B:$B,[2]analyte_order!$C:$C)</f>
        <v>70887-84-2</v>
      </c>
      <c r="M3444">
        <f>_xlfn.XLOOKUP(L3444,[2]analyte_order!$C:$C,[2]analyte_order!$E:$E)</f>
        <v>45</v>
      </c>
      <c r="N3444">
        <v>4.0599999999999997E-2</v>
      </c>
    </row>
    <row r="3445" spans="1:14">
      <c r="A3445" t="s">
        <v>168</v>
      </c>
      <c r="B3445" t="str">
        <f>_xlfn.XLOOKUP(A3445,'[1]Tissue Data'!$A:$A,'[1]Tissue Data'!$C:$C)</f>
        <v>Spill</v>
      </c>
      <c r="C3445" s="2">
        <f>_xlfn.XLOOKUP(A3445,'[1]Tissue Data'!$A:$A,'[1]Tissue Data'!$D:$D)</f>
        <v>44314</v>
      </c>
      <c r="D3445" s="2" t="str">
        <f>_xlfn.XLOOKUP(A3445,'[1]Tissue Data'!$A:$A,'[1]Tissue Data'!$F:$F)</f>
        <v>Eastern Mudminnow</v>
      </c>
      <c r="E3445" t="str">
        <f>_xlfn.XLOOKUP(A3445,'[1]Tissue Data'!$A:$A,'[1]Tissue Data'!$H:$H)</f>
        <v>Umbra</v>
      </c>
      <c r="F3445" t="str">
        <f>_xlfn.XLOOKUP(A3445,'[1]Tissue Data'!$A:$A,'[1]Tissue Data'!$I:$I)</f>
        <v>pygmaea</v>
      </c>
      <c r="G3445" t="str">
        <f>_xlfn.XLOOKUP(A3445,'[1]Tissue Data'!$A:$A,'[1]Tissue Data'!J:J)</f>
        <v>U</v>
      </c>
      <c r="H3445" t="str">
        <f>_xlfn.XLOOKUP(A3445,'[1]Tissue Data'!$A:$A,'[1]Tissue Data'!K:K)</f>
        <v>Whole Body</v>
      </c>
      <c r="I3445">
        <f>_xlfn.XLOOKUP(A3445,'[1]Tissue Data'!$A:$A,'[1]Tissue Data'!L:L)</f>
        <v>6</v>
      </c>
      <c r="J3445">
        <f>_xlfn.XLOOKUP(A3445,'[1]Tissue Data'!$A:$A,'[1]Tissue Data'!M:M)</f>
        <v>2.75</v>
      </c>
      <c r="K3445" t="s">
        <v>55</v>
      </c>
      <c r="L3445" t="str">
        <f>_xlfn.XLOOKUP(K3445,[2]analyte_order!$B:$B,[2]analyte_order!$C:$C)</f>
        <v>919005-14-4</v>
      </c>
      <c r="M3445">
        <f>_xlfn.XLOOKUP(L3445,[2]analyte_order!$C:$C,[2]analyte_order!$E:$E)</f>
        <v>35</v>
      </c>
      <c r="N3445">
        <v>0.222</v>
      </c>
    </row>
    <row r="3446" spans="1:14">
      <c r="A3446" t="s">
        <v>168</v>
      </c>
      <c r="B3446" t="str">
        <f>_xlfn.XLOOKUP(A3446,'[1]Tissue Data'!$A:$A,'[1]Tissue Data'!$C:$C)</f>
        <v>Spill</v>
      </c>
      <c r="C3446" s="2">
        <f>_xlfn.XLOOKUP(A3446,'[1]Tissue Data'!$A:$A,'[1]Tissue Data'!$D:$D)</f>
        <v>44314</v>
      </c>
      <c r="D3446" s="2" t="str">
        <f>_xlfn.XLOOKUP(A3446,'[1]Tissue Data'!$A:$A,'[1]Tissue Data'!$F:$F)</f>
        <v>Eastern Mudminnow</v>
      </c>
      <c r="E3446" t="str">
        <f>_xlfn.XLOOKUP(A3446,'[1]Tissue Data'!$A:$A,'[1]Tissue Data'!$H:$H)</f>
        <v>Umbra</v>
      </c>
      <c r="F3446" t="str">
        <f>_xlfn.XLOOKUP(A3446,'[1]Tissue Data'!$A:$A,'[1]Tissue Data'!$I:$I)</f>
        <v>pygmaea</v>
      </c>
      <c r="G3446" t="str">
        <f>_xlfn.XLOOKUP(A3446,'[1]Tissue Data'!$A:$A,'[1]Tissue Data'!J:J)</f>
        <v>U</v>
      </c>
      <c r="H3446" t="str">
        <f>_xlfn.XLOOKUP(A3446,'[1]Tissue Data'!$A:$A,'[1]Tissue Data'!K:K)</f>
        <v>Whole Body</v>
      </c>
      <c r="I3446">
        <f>_xlfn.XLOOKUP(A3446,'[1]Tissue Data'!$A:$A,'[1]Tissue Data'!L:L)</f>
        <v>6</v>
      </c>
      <c r="J3446">
        <f>_xlfn.XLOOKUP(A3446,'[1]Tissue Data'!$A:$A,'[1]Tissue Data'!M:M)</f>
        <v>2.75</v>
      </c>
      <c r="K3446" t="s">
        <v>56</v>
      </c>
      <c r="L3446" t="str">
        <f>_xlfn.XLOOKUP(K3446,[2]analyte_order!$B:$B,[2]analyte_order!$C:$C)</f>
        <v>756426-58-1</v>
      </c>
      <c r="M3446">
        <f>_xlfn.XLOOKUP(L3446,[2]analyte_order!$C:$C,[2]analyte_order!$E:$E)</f>
        <v>36</v>
      </c>
      <c r="N3446">
        <v>6.7500000000000004E-2</v>
      </c>
    </row>
    <row r="3447" spans="1:14">
      <c r="A3447" t="s">
        <v>168</v>
      </c>
      <c r="B3447" t="str">
        <f>_xlfn.XLOOKUP(A3447,'[1]Tissue Data'!$A:$A,'[1]Tissue Data'!$C:$C)</f>
        <v>Spill</v>
      </c>
      <c r="C3447" s="2">
        <f>_xlfn.XLOOKUP(A3447,'[1]Tissue Data'!$A:$A,'[1]Tissue Data'!$D:$D)</f>
        <v>44314</v>
      </c>
      <c r="D3447" s="2" t="str">
        <f>_xlfn.XLOOKUP(A3447,'[1]Tissue Data'!$A:$A,'[1]Tissue Data'!$F:$F)</f>
        <v>Eastern Mudminnow</v>
      </c>
      <c r="E3447" t="str">
        <f>_xlfn.XLOOKUP(A3447,'[1]Tissue Data'!$A:$A,'[1]Tissue Data'!$H:$H)</f>
        <v>Umbra</v>
      </c>
      <c r="F3447" t="str">
        <f>_xlfn.XLOOKUP(A3447,'[1]Tissue Data'!$A:$A,'[1]Tissue Data'!$I:$I)</f>
        <v>pygmaea</v>
      </c>
      <c r="G3447" t="str">
        <f>_xlfn.XLOOKUP(A3447,'[1]Tissue Data'!$A:$A,'[1]Tissue Data'!J:J)</f>
        <v>U</v>
      </c>
      <c r="H3447" t="str">
        <f>_xlfn.XLOOKUP(A3447,'[1]Tissue Data'!$A:$A,'[1]Tissue Data'!K:K)</f>
        <v>Whole Body</v>
      </c>
      <c r="I3447">
        <f>_xlfn.XLOOKUP(A3447,'[1]Tissue Data'!$A:$A,'[1]Tissue Data'!L:L)</f>
        <v>6</v>
      </c>
      <c r="J3447">
        <f>_xlfn.XLOOKUP(A3447,'[1]Tissue Data'!$A:$A,'[1]Tissue Data'!M:M)</f>
        <v>2.75</v>
      </c>
      <c r="K3447" t="s">
        <v>57</v>
      </c>
      <c r="L3447" t="str">
        <f>_xlfn.XLOOKUP(K3447,[2]analyte_order!$B:$B,[2]analyte_order!$C:$C)</f>
        <v>763051-92-9</v>
      </c>
      <c r="M3447">
        <f>_xlfn.XLOOKUP(L3447,[2]analyte_order!$C:$C,[2]analyte_order!$E:$E)</f>
        <v>37</v>
      </c>
      <c r="N3447">
        <v>6.7500000000000004E-2</v>
      </c>
    </row>
    <row r="3448" spans="1:14">
      <c r="A3448" t="s">
        <v>168</v>
      </c>
      <c r="B3448" t="str">
        <f>_xlfn.XLOOKUP(A3448,'[1]Tissue Data'!$A:$A,'[1]Tissue Data'!$C:$C)</f>
        <v>Spill</v>
      </c>
      <c r="C3448" s="2">
        <f>_xlfn.XLOOKUP(A3448,'[1]Tissue Data'!$A:$A,'[1]Tissue Data'!$D:$D)</f>
        <v>44314</v>
      </c>
      <c r="D3448" s="2" t="str">
        <f>_xlfn.XLOOKUP(A3448,'[1]Tissue Data'!$A:$A,'[1]Tissue Data'!$F:$F)</f>
        <v>Eastern Mudminnow</v>
      </c>
      <c r="E3448" t="str">
        <f>_xlfn.XLOOKUP(A3448,'[1]Tissue Data'!$A:$A,'[1]Tissue Data'!$H:$H)</f>
        <v>Umbra</v>
      </c>
      <c r="F3448" t="str">
        <f>_xlfn.XLOOKUP(A3448,'[1]Tissue Data'!$A:$A,'[1]Tissue Data'!$I:$I)</f>
        <v>pygmaea</v>
      </c>
      <c r="G3448" t="str">
        <f>_xlfn.XLOOKUP(A3448,'[1]Tissue Data'!$A:$A,'[1]Tissue Data'!J:J)</f>
        <v>U</v>
      </c>
      <c r="H3448" t="str">
        <f>_xlfn.XLOOKUP(A3448,'[1]Tissue Data'!$A:$A,'[1]Tissue Data'!K:K)</f>
        <v>Whole Body</v>
      </c>
      <c r="I3448">
        <f>_xlfn.XLOOKUP(A3448,'[1]Tissue Data'!$A:$A,'[1]Tissue Data'!L:L)</f>
        <v>6</v>
      </c>
      <c r="J3448">
        <f>_xlfn.XLOOKUP(A3448,'[1]Tissue Data'!$A:$A,'[1]Tissue Data'!M:M)</f>
        <v>2.75</v>
      </c>
      <c r="K3448" t="s">
        <v>58</v>
      </c>
      <c r="L3448" t="str">
        <f>_xlfn.XLOOKUP(K3448,[2]analyte_order!$B:$B,[2]analyte_order!$C:$C)</f>
        <v>13252-13-6</v>
      </c>
      <c r="M3448">
        <f>_xlfn.XLOOKUP(L3448,[2]analyte_order!$C:$C,[2]analyte_order!$E:$E)</f>
        <v>34</v>
      </c>
      <c r="N3448">
        <v>9.6500000000000002E-2</v>
      </c>
    </row>
    <row r="3449" spans="1:14">
      <c r="A3449" t="s">
        <v>168</v>
      </c>
      <c r="B3449" t="str">
        <f>_xlfn.XLOOKUP(A3449,'[1]Tissue Data'!$A:$A,'[1]Tissue Data'!$C:$C)</f>
        <v>Spill</v>
      </c>
      <c r="C3449" s="2">
        <f>_xlfn.XLOOKUP(A3449,'[1]Tissue Data'!$A:$A,'[1]Tissue Data'!$D:$D)</f>
        <v>44314</v>
      </c>
      <c r="D3449" s="2" t="str">
        <f>_xlfn.XLOOKUP(A3449,'[1]Tissue Data'!$A:$A,'[1]Tissue Data'!$F:$F)</f>
        <v>Eastern Mudminnow</v>
      </c>
      <c r="E3449" t="str">
        <f>_xlfn.XLOOKUP(A3449,'[1]Tissue Data'!$A:$A,'[1]Tissue Data'!$H:$H)</f>
        <v>Umbra</v>
      </c>
      <c r="F3449" t="str">
        <f>_xlfn.XLOOKUP(A3449,'[1]Tissue Data'!$A:$A,'[1]Tissue Data'!$I:$I)</f>
        <v>pygmaea</v>
      </c>
      <c r="G3449" t="str">
        <f>_xlfn.XLOOKUP(A3449,'[1]Tissue Data'!$A:$A,'[1]Tissue Data'!J:J)</f>
        <v>U</v>
      </c>
      <c r="H3449" t="str">
        <f>_xlfn.XLOOKUP(A3449,'[1]Tissue Data'!$A:$A,'[1]Tissue Data'!K:K)</f>
        <v>Whole Body</v>
      </c>
      <c r="I3449">
        <f>_xlfn.XLOOKUP(A3449,'[1]Tissue Data'!$A:$A,'[1]Tissue Data'!L:L)</f>
        <v>6</v>
      </c>
      <c r="J3449">
        <f>_xlfn.XLOOKUP(A3449,'[1]Tissue Data'!$A:$A,'[1]Tissue Data'!M:M)</f>
        <v>2.75</v>
      </c>
      <c r="K3449" t="s">
        <v>59</v>
      </c>
      <c r="L3449" t="str">
        <f>_xlfn.XLOOKUP(K3449,[2]analyte_order!$B:$B,[2]analyte_order!$C:$C)</f>
        <v>57677-95-9</v>
      </c>
      <c r="M3449">
        <f>_xlfn.XLOOKUP(L3449,[2]analyte_order!$C:$C,[2]analyte_order!$E:$E)</f>
        <v>46</v>
      </c>
      <c r="N3449">
        <v>7.1499999999999994E-2</v>
      </c>
    </row>
    <row r="3450" spans="1:14">
      <c r="A3450" t="s">
        <v>168</v>
      </c>
      <c r="B3450" t="str">
        <f>_xlfn.XLOOKUP(A3450,'[1]Tissue Data'!$A:$A,'[1]Tissue Data'!$C:$C)</f>
        <v>Spill</v>
      </c>
      <c r="C3450" s="2">
        <f>_xlfn.XLOOKUP(A3450,'[1]Tissue Data'!$A:$A,'[1]Tissue Data'!$D:$D)</f>
        <v>44314</v>
      </c>
      <c r="D3450" s="2" t="str">
        <f>_xlfn.XLOOKUP(A3450,'[1]Tissue Data'!$A:$A,'[1]Tissue Data'!$F:$F)</f>
        <v>Eastern Mudminnow</v>
      </c>
      <c r="E3450" t="str">
        <f>_xlfn.XLOOKUP(A3450,'[1]Tissue Data'!$A:$A,'[1]Tissue Data'!$H:$H)</f>
        <v>Umbra</v>
      </c>
      <c r="F3450" t="str">
        <f>_xlfn.XLOOKUP(A3450,'[1]Tissue Data'!$A:$A,'[1]Tissue Data'!$I:$I)</f>
        <v>pygmaea</v>
      </c>
      <c r="G3450" t="str">
        <f>_xlfn.XLOOKUP(A3450,'[1]Tissue Data'!$A:$A,'[1]Tissue Data'!J:J)</f>
        <v>U</v>
      </c>
      <c r="H3450" t="str">
        <f>_xlfn.XLOOKUP(A3450,'[1]Tissue Data'!$A:$A,'[1]Tissue Data'!K:K)</f>
        <v>Whole Body</v>
      </c>
      <c r="I3450">
        <f>_xlfn.XLOOKUP(A3450,'[1]Tissue Data'!$A:$A,'[1]Tissue Data'!L:L)</f>
        <v>6</v>
      </c>
      <c r="J3450">
        <f>_xlfn.XLOOKUP(A3450,'[1]Tissue Data'!$A:$A,'[1]Tissue Data'!M:M)</f>
        <v>2.75</v>
      </c>
      <c r="K3450" t="s">
        <v>60</v>
      </c>
      <c r="L3450" t="str">
        <f>_xlfn.XLOOKUP(K3450,[2]analyte_order!$B:$B,[2]analyte_order!$C:$C)</f>
        <v>678-41-1</v>
      </c>
      <c r="M3450">
        <f>_xlfn.XLOOKUP(L3450,[2]analyte_order!$C:$C,[2]analyte_order!$E:$E)</f>
        <v>56</v>
      </c>
      <c r="N3450">
        <v>8.8999999999999996E-2</v>
      </c>
    </row>
    <row r="3451" spans="1:14">
      <c r="A3451" t="s">
        <v>168</v>
      </c>
      <c r="B3451" t="str">
        <f>_xlfn.XLOOKUP(A3451,'[1]Tissue Data'!$A:$A,'[1]Tissue Data'!$C:$C)</f>
        <v>Spill</v>
      </c>
      <c r="C3451" s="2">
        <f>_xlfn.XLOOKUP(A3451,'[1]Tissue Data'!$A:$A,'[1]Tissue Data'!$D:$D)</f>
        <v>44314</v>
      </c>
      <c r="D3451" s="2" t="str">
        <f>_xlfn.XLOOKUP(A3451,'[1]Tissue Data'!$A:$A,'[1]Tissue Data'!$F:$F)</f>
        <v>Eastern Mudminnow</v>
      </c>
      <c r="E3451" t="str">
        <f>_xlfn.XLOOKUP(A3451,'[1]Tissue Data'!$A:$A,'[1]Tissue Data'!$H:$H)</f>
        <v>Umbra</v>
      </c>
      <c r="F3451" t="str">
        <f>_xlfn.XLOOKUP(A3451,'[1]Tissue Data'!$A:$A,'[1]Tissue Data'!$I:$I)</f>
        <v>pygmaea</v>
      </c>
      <c r="G3451" t="str">
        <f>_xlfn.XLOOKUP(A3451,'[1]Tissue Data'!$A:$A,'[1]Tissue Data'!J:J)</f>
        <v>U</v>
      </c>
      <c r="H3451" t="str">
        <f>_xlfn.XLOOKUP(A3451,'[1]Tissue Data'!$A:$A,'[1]Tissue Data'!K:K)</f>
        <v>Whole Body</v>
      </c>
      <c r="I3451">
        <f>_xlfn.XLOOKUP(A3451,'[1]Tissue Data'!$A:$A,'[1]Tissue Data'!L:L)</f>
        <v>6</v>
      </c>
      <c r="J3451">
        <f>_xlfn.XLOOKUP(A3451,'[1]Tissue Data'!$A:$A,'[1]Tissue Data'!M:M)</f>
        <v>2.75</v>
      </c>
      <c r="K3451" t="s">
        <v>61</v>
      </c>
      <c r="L3451" t="str">
        <f>_xlfn.XLOOKUP(K3451,[2]analyte_order!$B:$B,[2]analyte_order!$C:$C)</f>
        <v>2965-52-8</v>
      </c>
      <c r="M3451">
        <f>_xlfn.XLOOKUP(L3451,[2]analyte_order!$C:$C,[2]analyte_order!$E:$E)</f>
        <v>57</v>
      </c>
      <c r="N3451">
        <v>0.11849999999999999</v>
      </c>
    </row>
    <row r="3452" spans="1:14">
      <c r="A3452" t="s">
        <v>169</v>
      </c>
      <c r="B3452" t="str">
        <f>_xlfn.XLOOKUP(A3452,'[1]Tissue Data'!$A:$A,'[1]Tissue Data'!$C:$C)</f>
        <v>Spill</v>
      </c>
      <c r="C3452" s="2">
        <f>_xlfn.XLOOKUP(A3452,'[1]Tissue Data'!$A:$A,'[1]Tissue Data'!$D:$D)</f>
        <v>44314</v>
      </c>
      <c r="D3452" s="2" t="str">
        <f>_xlfn.XLOOKUP(A3452,'[1]Tissue Data'!$A:$A,'[1]Tissue Data'!$F:$F)</f>
        <v>Eastern Mudminnow</v>
      </c>
      <c r="E3452" t="str">
        <f>_xlfn.XLOOKUP(A3452,'[1]Tissue Data'!$A:$A,'[1]Tissue Data'!$H:$H)</f>
        <v>Umbra</v>
      </c>
      <c r="F3452" t="str">
        <f>_xlfn.XLOOKUP(A3452,'[1]Tissue Data'!$A:$A,'[1]Tissue Data'!$I:$I)</f>
        <v>pygmaea</v>
      </c>
      <c r="G3452" t="str">
        <f>_xlfn.XLOOKUP(A3452,'[1]Tissue Data'!$A:$A,'[1]Tissue Data'!J:J)</f>
        <v>U</v>
      </c>
      <c r="H3452" t="str">
        <f>_xlfn.XLOOKUP(A3452,'[1]Tissue Data'!$A:$A,'[1]Tissue Data'!K:K)</f>
        <v>Whole Body</v>
      </c>
      <c r="I3452">
        <f>_xlfn.XLOOKUP(A3452,'[1]Tissue Data'!$A:$A,'[1]Tissue Data'!L:L)</f>
        <v>5.5</v>
      </c>
      <c r="J3452">
        <f>_xlfn.XLOOKUP(A3452,'[1]Tissue Data'!$A:$A,'[1]Tissue Data'!M:M)</f>
        <v>2.15</v>
      </c>
      <c r="K3452" t="s">
        <v>12</v>
      </c>
      <c r="L3452" t="str">
        <f>_xlfn.XLOOKUP(K3452,[2]analyte_order!$B:$B,[2]analyte_order!$C:$C)</f>
        <v>375-22-4</v>
      </c>
      <c r="M3452">
        <f>_xlfn.XLOOKUP(L3452,[2]analyte_order!$C:$C,[2]analyte_order!$E:$E)</f>
        <v>1</v>
      </c>
      <c r="N3452">
        <v>6.9000000000000006E-2</v>
      </c>
    </row>
    <row r="3453" spans="1:14">
      <c r="A3453" t="s">
        <v>169</v>
      </c>
      <c r="B3453" t="str">
        <f>_xlfn.XLOOKUP(A3453,'[1]Tissue Data'!$A:$A,'[1]Tissue Data'!$C:$C)</f>
        <v>Spill</v>
      </c>
      <c r="C3453" s="2">
        <f>_xlfn.XLOOKUP(A3453,'[1]Tissue Data'!$A:$A,'[1]Tissue Data'!$D:$D)</f>
        <v>44314</v>
      </c>
      <c r="D3453" s="2" t="str">
        <f>_xlfn.XLOOKUP(A3453,'[1]Tissue Data'!$A:$A,'[1]Tissue Data'!$F:$F)</f>
        <v>Eastern Mudminnow</v>
      </c>
      <c r="E3453" t="str">
        <f>_xlfn.XLOOKUP(A3453,'[1]Tissue Data'!$A:$A,'[1]Tissue Data'!$H:$H)</f>
        <v>Umbra</v>
      </c>
      <c r="F3453" t="str">
        <f>_xlfn.XLOOKUP(A3453,'[1]Tissue Data'!$A:$A,'[1]Tissue Data'!$I:$I)</f>
        <v>pygmaea</v>
      </c>
      <c r="G3453" t="str">
        <f>_xlfn.XLOOKUP(A3453,'[1]Tissue Data'!$A:$A,'[1]Tissue Data'!J:J)</f>
        <v>U</v>
      </c>
      <c r="H3453" t="str">
        <f>_xlfn.XLOOKUP(A3453,'[1]Tissue Data'!$A:$A,'[1]Tissue Data'!K:K)</f>
        <v>Whole Body</v>
      </c>
      <c r="I3453">
        <f>_xlfn.XLOOKUP(A3453,'[1]Tissue Data'!$A:$A,'[1]Tissue Data'!L:L)</f>
        <v>5.5</v>
      </c>
      <c r="J3453">
        <f>_xlfn.XLOOKUP(A3453,'[1]Tissue Data'!$A:$A,'[1]Tissue Data'!M:M)</f>
        <v>2.15</v>
      </c>
      <c r="K3453" t="s">
        <v>13</v>
      </c>
      <c r="L3453" t="str">
        <f>_xlfn.XLOOKUP(K3453,[2]analyte_order!$B:$B,[2]analyte_order!$C:$C)</f>
        <v>2706-90-3</v>
      </c>
      <c r="M3453">
        <f>_xlfn.XLOOKUP(L3453,[2]analyte_order!$C:$C,[2]analyte_order!$E:$E)</f>
        <v>2</v>
      </c>
      <c r="N3453">
        <v>4.8649999999999999E-2</v>
      </c>
    </row>
    <row r="3454" spans="1:14">
      <c r="A3454" t="s">
        <v>169</v>
      </c>
      <c r="B3454" t="str">
        <f>_xlfn.XLOOKUP(A3454,'[1]Tissue Data'!$A:$A,'[1]Tissue Data'!$C:$C)</f>
        <v>Spill</v>
      </c>
      <c r="C3454" s="2">
        <f>_xlfn.XLOOKUP(A3454,'[1]Tissue Data'!$A:$A,'[1]Tissue Data'!$D:$D)</f>
        <v>44314</v>
      </c>
      <c r="D3454" s="2" t="str">
        <f>_xlfn.XLOOKUP(A3454,'[1]Tissue Data'!$A:$A,'[1]Tissue Data'!$F:$F)</f>
        <v>Eastern Mudminnow</v>
      </c>
      <c r="E3454" t="str">
        <f>_xlfn.XLOOKUP(A3454,'[1]Tissue Data'!$A:$A,'[1]Tissue Data'!$H:$H)</f>
        <v>Umbra</v>
      </c>
      <c r="F3454" t="str">
        <f>_xlfn.XLOOKUP(A3454,'[1]Tissue Data'!$A:$A,'[1]Tissue Data'!$I:$I)</f>
        <v>pygmaea</v>
      </c>
      <c r="G3454" t="str">
        <f>_xlfn.XLOOKUP(A3454,'[1]Tissue Data'!$A:$A,'[1]Tissue Data'!J:J)</f>
        <v>U</v>
      </c>
      <c r="H3454" t="str">
        <f>_xlfn.XLOOKUP(A3454,'[1]Tissue Data'!$A:$A,'[1]Tissue Data'!K:K)</f>
        <v>Whole Body</v>
      </c>
      <c r="I3454">
        <f>_xlfn.XLOOKUP(A3454,'[1]Tissue Data'!$A:$A,'[1]Tissue Data'!L:L)</f>
        <v>5.5</v>
      </c>
      <c r="J3454">
        <f>_xlfn.XLOOKUP(A3454,'[1]Tissue Data'!$A:$A,'[1]Tissue Data'!M:M)</f>
        <v>2.15</v>
      </c>
      <c r="K3454" t="s">
        <v>14</v>
      </c>
      <c r="L3454" t="str">
        <f>_xlfn.XLOOKUP(K3454,[2]analyte_order!$B:$B,[2]analyte_order!$C:$C)</f>
        <v>307-24-4</v>
      </c>
      <c r="M3454">
        <f>_xlfn.XLOOKUP(L3454,[2]analyte_order!$C:$C,[2]analyte_order!$E:$E)</f>
        <v>3</v>
      </c>
      <c r="N3454">
        <v>3.7249999999999998E-2</v>
      </c>
    </row>
    <row r="3455" spans="1:14">
      <c r="A3455" t="s">
        <v>169</v>
      </c>
      <c r="B3455" t="str">
        <f>_xlfn.XLOOKUP(A3455,'[1]Tissue Data'!$A:$A,'[1]Tissue Data'!$C:$C)</f>
        <v>Spill</v>
      </c>
      <c r="C3455" s="2">
        <f>_xlfn.XLOOKUP(A3455,'[1]Tissue Data'!$A:$A,'[1]Tissue Data'!$D:$D)</f>
        <v>44314</v>
      </c>
      <c r="D3455" s="2" t="str">
        <f>_xlfn.XLOOKUP(A3455,'[1]Tissue Data'!$A:$A,'[1]Tissue Data'!$F:$F)</f>
        <v>Eastern Mudminnow</v>
      </c>
      <c r="E3455" t="str">
        <f>_xlfn.XLOOKUP(A3455,'[1]Tissue Data'!$A:$A,'[1]Tissue Data'!$H:$H)</f>
        <v>Umbra</v>
      </c>
      <c r="F3455" t="str">
        <f>_xlfn.XLOOKUP(A3455,'[1]Tissue Data'!$A:$A,'[1]Tissue Data'!$I:$I)</f>
        <v>pygmaea</v>
      </c>
      <c r="G3455" t="str">
        <f>_xlfn.XLOOKUP(A3455,'[1]Tissue Data'!$A:$A,'[1]Tissue Data'!J:J)</f>
        <v>U</v>
      </c>
      <c r="H3455" t="str">
        <f>_xlfn.XLOOKUP(A3455,'[1]Tissue Data'!$A:$A,'[1]Tissue Data'!K:K)</f>
        <v>Whole Body</v>
      </c>
      <c r="I3455">
        <f>_xlfn.XLOOKUP(A3455,'[1]Tissue Data'!$A:$A,'[1]Tissue Data'!L:L)</f>
        <v>5.5</v>
      </c>
      <c r="J3455">
        <f>_xlfn.XLOOKUP(A3455,'[1]Tissue Data'!$A:$A,'[1]Tissue Data'!M:M)</f>
        <v>2.15</v>
      </c>
      <c r="K3455" t="s">
        <v>15</v>
      </c>
      <c r="L3455" t="str">
        <f>_xlfn.XLOOKUP(K3455,[2]analyte_order!$B:$B,[2]analyte_order!$C:$C)</f>
        <v>375-85-9</v>
      </c>
      <c r="M3455">
        <f>_xlfn.XLOOKUP(L3455,[2]analyte_order!$C:$C,[2]analyte_order!$E:$E)</f>
        <v>4</v>
      </c>
      <c r="N3455">
        <v>2.76E-2</v>
      </c>
    </row>
    <row r="3456" spans="1:14">
      <c r="A3456" t="s">
        <v>169</v>
      </c>
      <c r="B3456" t="str">
        <f>_xlfn.XLOOKUP(A3456,'[1]Tissue Data'!$A:$A,'[1]Tissue Data'!$C:$C)</f>
        <v>Spill</v>
      </c>
      <c r="C3456" s="2">
        <f>_xlfn.XLOOKUP(A3456,'[1]Tissue Data'!$A:$A,'[1]Tissue Data'!$D:$D)</f>
        <v>44314</v>
      </c>
      <c r="D3456" s="2" t="str">
        <f>_xlfn.XLOOKUP(A3456,'[1]Tissue Data'!$A:$A,'[1]Tissue Data'!$F:$F)</f>
        <v>Eastern Mudminnow</v>
      </c>
      <c r="E3456" t="str">
        <f>_xlfn.XLOOKUP(A3456,'[1]Tissue Data'!$A:$A,'[1]Tissue Data'!$H:$H)</f>
        <v>Umbra</v>
      </c>
      <c r="F3456" t="str">
        <f>_xlfn.XLOOKUP(A3456,'[1]Tissue Data'!$A:$A,'[1]Tissue Data'!$I:$I)</f>
        <v>pygmaea</v>
      </c>
      <c r="G3456" t="str">
        <f>_xlfn.XLOOKUP(A3456,'[1]Tissue Data'!$A:$A,'[1]Tissue Data'!J:J)</f>
        <v>U</v>
      </c>
      <c r="H3456" t="str">
        <f>_xlfn.XLOOKUP(A3456,'[1]Tissue Data'!$A:$A,'[1]Tissue Data'!K:K)</f>
        <v>Whole Body</v>
      </c>
      <c r="I3456">
        <f>_xlfn.XLOOKUP(A3456,'[1]Tissue Data'!$A:$A,'[1]Tissue Data'!L:L)</f>
        <v>5.5</v>
      </c>
      <c r="J3456">
        <f>_xlfn.XLOOKUP(A3456,'[1]Tissue Data'!$A:$A,'[1]Tissue Data'!M:M)</f>
        <v>2.15</v>
      </c>
      <c r="K3456" t="s">
        <v>16</v>
      </c>
      <c r="L3456" t="str">
        <f>_xlfn.XLOOKUP(K3456,[2]analyte_order!$B:$B,[2]analyte_order!$C:$C)</f>
        <v>335-67-1</v>
      </c>
      <c r="M3456">
        <f>_xlfn.XLOOKUP(L3456,[2]analyte_order!$C:$C,[2]analyte_order!$E:$E)</f>
        <v>5</v>
      </c>
      <c r="N3456">
        <v>2.85</v>
      </c>
    </row>
    <row r="3457" spans="1:14">
      <c r="A3457" t="s">
        <v>169</v>
      </c>
      <c r="B3457" t="str">
        <f>_xlfn.XLOOKUP(A3457,'[1]Tissue Data'!$A:$A,'[1]Tissue Data'!$C:$C)</f>
        <v>Spill</v>
      </c>
      <c r="C3457" s="2">
        <f>_xlfn.XLOOKUP(A3457,'[1]Tissue Data'!$A:$A,'[1]Tissue Data'!$D:$D)</f>
        <v>44314</v>
      </c>
      <c r="D3457" s="2" t="str">
        <f>_xlfn.XLOOKUP(A3457,'[1]Tissue Data'!$A:$A,'[1]Tissue Data'!$F:$F)</f>
        <v>Eastern Mudminnow</v>
      </c>
      <c r="E3457" t="str">
        <f>_xlfn.XLOOKUP(A3457,'[1]Tissue Data'!$A:$A,'[1]Tissue Data'!$H:$H)</f>
        <v>Umbra</v>
      </c>
      <c r="F3457" t="str">
        <f>_xlfn.XLOOKUP(A3457,'[1]Tissue Data'!$A:$A,'[1]Tissue Data'!$I:$I)</f>
        <v>pygmaea</v>
      </c>
      <c r="G3457" t="str">
        <f>_xlfn.XLOOKUP(A3457,'[1]Tissue Data'!$A:$A,'[1]Tissue Data'!J:J)</f>
        <v>U</v>
      </c>
      <c r="H3457" t="str">
        <f>_xlfn.XLOOKUP(A3457,'[1]Tissue Data'!$A:$A,'[1]Tissue Data'!K:K)</f>
        <v>Whole Body</v>
      </c>
      <c r="I3457">
        <f>_xlfn.XLOOKUP(A3457,'[1]Tissue Data'!$A:$A,'[1]Tissue Data'!L:L)</f>
        <v>5.5</v>
      </c>
      <c r="J3457">
        <f>_xlfn.XLOOKUP(A3457,'[1]Tissue Data'!$A:$A,'[1]Tissue Data'!M:M)</f>
        <v>2.15</v>
      </c>
      <c r="K3457" t="s">
        <v>17</v>
      </c>
      <c r="L3457" t="str">
        <f>_xlfn.XLOOKUP(K3457,[2]analyte_order!$B:$B,[2]analyte_order!$C:$C)</f>
        <v>375-95-1</v>
      </c>
      <c r="M3457">
        <f>_xlfn.XLOOKUP(L3457,[2]analyte_order!$C:$C,[2]analyte_order!$E:$E)</f>
        <v>6</v>
      </c>
      <c r="N3457">
        <v>3.93</v>
      </c>
    </row>
    <row r="3458" spans="1:14">
      <c r="A3458" t="s">
        <v>169</v>
      </c>
      <c r="B3458" t="str">
        <f>_xlfn.XLOOKUP(A3458,'[1]Tissue Data'!$A:$A,'[1]Tissue Data'!$C:$C)</f>
        <v>Spill</v>
      </c>
      <c r="C3458" s="2">
        <f>_xlfn.XLOOKUP(A3458,'[1]Tissue Data'!$A:$A,'[1]Tissue Data'!$D:$D)</f>
        <v>44314</v>
      </c>
      <c r="D3458" s="2" t="str">
        <f>_xlfn.XLOOKUP(A3458,'[1]Tissue Data'!$A:$A,'[1]Tissue Data'!$F:$F)</f>
        <v>Eastern Mudminnow</v>
      </c>
      <c r="E3458" t="str">
        <f>_xlfn.XLOOKUP(A3458,'[1]Tissue Data'!$A:$A,'[1]Tissue Data'!$H:$H)</f>
        <v>Umbra</v>
      </c>
      <c r="F3458" t="str">
        <f>_xlfn.XLOOKUP(A3458,'[1]Tissue Data'!$A:$A,'[1]Tissue Data'!$I:$I)</f>
        <v>pygmaea</v>
      </c>
      <c r="G3458" t="str">
        <f>_xlfn.XLOOKUP(A3458,'[1]Tissue Data'!$A:$A,'[1]Tissue Data'!J:J)</f>
        <v>U</v>
      </c>
      <c r="H3458" t="str">
        <f>_xlfn.XLOOKUP(A3458,'[1]Tissue Data'!$A:$A,'[1]Tissue Data'!K:K)</f>
        <v>Whole Body</v>
      </c>
      <c r="I3458">
        <f>_xlfn.XLOOKUP(A3458,'[1]Tissue Data'!$A:$A,'[1]Tissue Data'!L:L)</f>
        <v>5.5</v>
      </c>
      <c r="J3458">
        <f>_xlfn.XLOOKUP(A3458,'[1]Tissue Data'!$A:$A,'[1]Tissue Data'!M:M)</f>
        <v>2.15</v>
      </c>
      <c r="K3458" t="s">
        <v>18</v>
      </c>
      <c r="L3458" t="str">
        <f>_xlfn.XLOOKUP(K3458,[2]analyte_order!$B:$B,[2]analyte_order!$C:$C)</f>
        <v>335-76-2</v>
      </c>
      <c r="M3458">
        <f>_xlfn.XLOOKUP(L3458,[2]analyte_order!$C:$C,[2]analyte_order!$E:$E)</f>
        <v>7</v>
      </c>
      <c r="N3458">
        <v>7.19</v>
      </c>
    </row>
    <row r="3459" spans="1:14">
      <c r="A3459" t="s">
        <v>169</v>
      </c>
      <c r="B3459" t="str">
        <f>_xlfn.XLOOKUP(A3459,'[1]Tissue Data'!$A:$A,'[1]Tissue Data'!$C:$C)</f>
        <v>Spill</v>
      </c>
      <c r="C3459" s="2">
        <f>_xlfn.XLOOKUP(A3459,'[1]Tissue Data'!$A:$A,'[1]Tissue Data'!$D:$D)</f>
        <v>44314</v>
      </c>
      <c r="D3459" s="2" t="str">
        <f>_xlfn.XLOOKUP(A3459,'[1]Tissue Data'!$A:$A,'[1]Tissue Data'!$F:$F)</f>
        <v>Eastern Mudminnow</v>
      </c>
      <c r="E3459" t="str">
        <f>_xlfn.XLOOKUP(A3459,'[1]Tissue Data'!$A:$A,'[1]Tissue Data'!$H:$H)</f>
        <v>Umbra</v>
      </c>
      <c r="F3459" t="str">
        <f>_xlfn.XLOOKUP(A3459,'[1]Tissue Data'!$A:$A,'[1]Tissue Data'!$I:$I)</f>
        <v>pygmaea</v>
      </c>
      <c r="G3459" t="str">
        <f>_xlfn.XLOOKUP(A3459,'[1]Tissue Data'!$A:$A,'[1]Tissue Data'!J:J)</f>
        <v>U</v>
      </c>
      <c r="H3459" t="str">
        <f>_xlfn.XLOOKUP(A3459,'[1]Tissue Data'!$A:$A,'[1]Tissue Data'!K:K)</f>
        <v>Whole Body</v>
      </c>
      <c r="I3459">
        <f>_xlfn.XLOOKUP(A3459,'[1]Tissue Data'!$A:$A,'[1]Tissue Data'!L:L)</f>
        <v>5.5</v>
      </c>
      <c r="J3459">
        <f>_xlfn.XLOOKUP(A3459,'[1]Tissue Data'!$A:$A,'[1]Tissue Data'!M:M)</f>
        <v>2.15</v>
      </c>
      <c r="K3459" t="s">
        <v>19</v>
      </c>
      <c r="L3459" t="str">
        <f>_xlfn.XLOOKUP(K3459,[2]analyte_order!$B:$B,[2]analyte_order!$C:$C)</f>
        <v>2058-94-8</v>
      </c>
      <c r="M3459">
        <f>_xlfn.XLOOKUP(L3459,[2]analyte_order!$C:$C,[2]analyte_order!$E:$E)</f>
        <v>8</v>
      </c>
      <c r="N3459">
        <v>7.17</v>
      </c>
    </row>
    <row r="3460" spans="1:14">
      <c r="A3460" t="s">
        <v>169</v>
      </c>
      <c r="B3460" t="str">
        <f>_xlfn.XLOOKUP(A3460,'[1]Tissue Data'!$A:$A,'[1]Tissue Data'!$C:$C)</f>
        <v>Spill</v>
      </c>
      <c r="C3460" s="2">
        <f>_xlfn.XLOOKUP(A3460,'[1]Tissue Data'!$A:$A,'[1]Tissue Data'!$D:$D)</f>
        <v>44314</v>
      </c>
      <c r="D3460" s="2" t="str">
        <f>_xlfn.XLOOKUP(A3460,'[1]Tissue Data'!$A:$A,'[1]Tissue Data'!$F:$F)</f>
        <v>Eastern Mudminnow</v>
      </c>
      <c r="E3460" t="str">
        <f>_xlfn.XLOOKUP(A3460,'[1]Tissue Data'!$A:$A,'[1]Tissue Data'!$H:$H)</f>
        <v>Umbra</v>
      </c>
      <c r="F3460" t="str">
        <f>_xlfn.XLOOKUP(A3460,'[1]Tissue Data'!$A:$A,'[1]Tissue Data'!$I:$I)</f>
        <v>pygmaea</v>
      </c>
      <c r="G3460" t="str">
        <f>_xlfn.XLOOKUP(A3460,'[1]Tissue Data'!$A:$A,'[1]Tissue Data'!J:J)</f>
        <v>U</v>
      </c>
      <c r="H3460" t="str">
        <f>_xlfn.XLOOKUP(A3460,'[1]Tissue Data'!$A:$A,'[1]Tissue Data'!K:K)</f>
        <v>Whole Body</v>
      </c>
      <c r="I3460">
        <f>_xlfn.XLOOKUP(A3460,'[1]Tissue Data'!$A:$A,'[1]Tissue Data'!L:L)</f>
        <v>5.5</v>
      </c>
      <c r="J3460">
        <f>_xlfn.XLOOKUP(A3460,'[1]Tissue Data'!$A:$A,'[1]Tissue Data'!M:M)</f>
        <v>2.15</v>
      </c>
      <c r="K3460" t="s">
        <v>20</v>
      </c>
      <c r="L3460" t="str">
        <f>_xlfn.XLOOKUP(K3460,[2]analyte_order!$B:$B,[2]analyte_order!$C:$C)</f>
        <v>307-55-1</v>
      </c>
      <c r="M3460">
        <f>_xlfn.XLOOKUP(L3460,[2]analyte_order!$C:$C,[2]analyte_order!$E:$E)</f>
        <v>9</v>
      </c>
      <c r="N3460">
        <v>9.75</v>
      </c>
    </row>
    <row r="3461" spans="1:14">
      <c r="A3461" t="s">
        <v>169</v>
      </c>
      <c r="B3461" t="str">
        <f>_xlfn.XLOOKUP(A3461,'[1]Tissue Data'!$A:$A,'[1]Tissue Data'!$C:$C)</f>
        <v>Spill</v>
      </c>
      <c r="C3461" s="2">
        <f>_xlfn.XLOOKUP(A3461,'[1]Tissue Data'!$A:$A,'[1]Tissue Data'!$D:$D)</f>
        <v>44314</v>
      </c>
      <c r="D3461" s="2" t="str">
        <f>_xlfn.XLOOKUP(A3461,'[1]Tissue Data'!$A:$A,'[1]Tissue Data'!$F:$F)</f>
        <v>Eastern Mudminnow</v>
      </c>
      <c r="E3461" t="str">
        <f>_xlfn.XLOOKUP(A3461,'[1]Tissue Data'!$A:$A,'[1]Tissue Data'!$H:$H)</f>
        <v>Umbra</v>
      </c>
      <c r="F3461" t="str">
        <f>_xlfn.XLOOKUP(A3461,'[1]Tissue Data'!$A:$A,'[1]Tissue Data'!$I:$I)</f>
        <v>pygmaea</v>
      </c>
      <c r="G3461" t="str">
        <f>_xlfn.XLOOKUP(A3461,'[1]Tissue Data'!$A:$A,'[1]Tissue Data'!J:J)</f>
        <v>U</v>
      </c>
      <c r="H3461" t="str">
        <f>_xlfn.XLOOKUP(A3461,'[1]Tissue Data'!$A:$A,'[1]Tissue Data'!K:K)</f>
        <v>Whole Body</v>
      </c>
      <c r="I3461">
        <f>_xlfn.XLOOKUP(A3461,'[1]Tissue Data'!$A:$A,'[1]Tissue Data'!L:L)</f>
        <v>5.5</v>
      </c>
      <c r="J3461">
        <f>_xlfn.XLOOKUP(A3461,'[1]Tissue Data'!$A:$A,'[1]Tissue Data'!M:M)</f>
        <v>2.15</v>
      </c>
      <c r="K3461" t="s">
        <v>21</v>
      </c>
      <c r="L3461" t="str">
        <f>_xlfn.XLOOKUP(K3461,[2]analyte_order!$B:$B,[2]analyte_order!$C:$C)</f>
        <v>72629-94-8</v>
      </c>
      <c r="M3461">
        <f>_xlfn.XLOOKUP(L3461,[2]analyte_order!$C:$C,[2]analyte_order!$E:$E)</f>
        <v>10</v>
      </c>
      <c r="N3461">
        <v>2.48</v>
      </c>
    </row>
    <row r="3462" spans="1:14">
      <c r="A3462" t="s">
        <v>169</v>
      </c>
      <c r="B3462" t="str">
        <f>_xlfn.XLOOKUP(A3462,'[1]Tissue Data'!$A:$A,'[1]Tissue Data'!$C:$C)</f>
        <v>Spill</v>
      </c>
      <c r="C3462" s="2">
        <f>_xlfn.XLOOKUP(A3462,'[1]Tissue Data'!$A:$A,'[1]Tissue Data'!$D:$D)</f>
        <v>44314</v>
      </c>
      <c r="D3462" s="2" t="str">
        <f>_xlfn.XLOOKUP(A3462,'[1]Tissue Data'!$A:$A,'[1]Tissue Data'!$F:$F)</f>
        <v>Eastern Mudminnow</v>
      </c>
      <c r="E3462" t="str">
        <f>_xlfn.XLOOKUP(A3462,'[1]Tissue Data'!$A:$A,'[1]Tissue Data'!$H:$H)</f>
        <v>Umbra</v>
      </c>
      <c r="F3462" t="str">
        <f>_xlfn.XLOOKUP(A3462,'[1]Tissue Data'!$A:$A,'[1]Tissue Data'!$I:$I)</f>
        <v>pygmaea</v>
      </c>
      <c r="G3462" t="str">
        <f>_xlfn.XLOOKUP(A3462,'[1]Tissue Data'!$A:$A,'[1]Tissue Data'!J:J)</f>
        <v>U</v>
      </c>
      <c r="H3462" t="str">
        <f>_xlfn.XLOOKUP(A3462,'[1]Tissue Data'!$A:$A,'[1]Tissue Data'!K:K)</f>
        <v>Whole Body</v>
      </c>
      <c r="I3462">
        <f>_xlfn.XLOOKUP(A3462,'[1]Tissue Data'!$A:$A,'[1]Tissue Data'!L:L)</f>
        <v>5.5</v>
      </c>
      <c r="J3462">
        <f>_xlfn.XLOOKUP(A3462,'[1]Tissue Data'!$A:$A,'[1]Tissue Data'!M:M)</f>
        <v>2.15</v>
      </c>
      <c r="K3462" t="s">
        <v>22</v>
      </c>
      <c r="L3462" t="str">
        <f>_xlfn.XLOOKUP(K3462,[2]analyte_order!$B:$B,[2]analyte_order!$C:$C)</f>
        <v>376-06-7</v>
      </c>
      <c r="M3462">
        <f>_xlfn.XLOOKUP(L3462,[2]analyte_order!$C:$C,[2]analyte_order!$E:$E)</f>
        <v>11</v>
      </c>
      <c r="N3462">
        <v>4.34</v>
      </c>
    </row>
    <row r="3463" spans="1:14">
      <c r="A3463" t="s">
        <v>169</v>
      </c>
      <c r="B3463" t="str">
        <f>_xlfn.XLOOKUP(A3463,'[1]Tissue Data'!$A:$A,'[1]Tissue Data'!$C:$C)</f>
        <v>Spill</v>
      </c>
      <c r="C3463" s="2">
        <f>_xlfn.XLOOKUP(A3463,'[1]Tissue Data'!$A:$A,'[1]Tissue Data'!$D:$D)</f>
        <v>44314</v>
      </c>
      <c r="D3463" s="2" t="str">
        <f>_xlfn.XLOOKUP(A3463,'[1]Tissue Data'!$A:$A,'[1]Tissue Data'!$F:$F)</f>
        <v>Eastern Mudminnow</v>
      </c>
      <c r="E3463" t="str">
        <f>_xlfn.XLOOKUP(A3463,'[1]Tissue Data'!$A:$A,'[1]Tissue Data'!$H:$H)</f>
        <v>Umbra</v>
      </c>
      <c r="F3463" t="str">
        <f>_xlfn.XLOOKUP(A3463,'[1]Tissue Data'!$A:$A,'[1]Tissue Data'!$I:$I)</f>
        <v>pygmaea</v>
      </c>
      <c r="G3463" t="str">
        <f>_xlfn.XLOOKUP(A3463,'[1]Tissue Data'!$A:$A,'[1]Tissue Data'!J:J)</f>
        <v>U</v>
      </c>
      <c r="H3463" t="str">
        <f>_xlfn.XLOOKUP(A3463,'[1]Tissue Data'!$A:$A,'[1]Tissue Data'!K:K)</f>
        <v>Whole Body</v>
      </c>
      <c r="I3463">
        <f>_xlfn.XLOOKUP(A3463,'[1]Tissue Data'!$A:$A,'[1]Tissue Data'!L:L)</f>
        <v>5.5</v>
      </c>
      <c r="J3463">
        <f>_xlfn.XLOOKUP(A3463,'[1]Tissue Data'!$A:$A,'[1]Tissue Data'!M:M)</f>
        <v>2.15</v>
      </c>
      <c r="K3463" t="s">
        <v>23</v>
      </c>
      <c r="L3463" t="str">
        <f>_xlfn.XLOOKUP(K3463,[2]analyte_order!$B:$B,[2]analyte_order!$C:$C)</f>
        <v>67905-19-5</v>
      </c>
      <c r="M3463">
        <f>_xlfn.XLOOKUP(L3463,[2]analyte_order!$C:$C,[2]analyte_order!$E:$E)</f>
        <v>12</v>
      </c>
      <c r="N3463">
        <v>8.2000000000000003E-2</v>
      </c>
    </row>
    <row r="3464" spans="1:14">
      <c r="A3464" t="s">
        <v>169</v>
      </c>
      <c r="B3464" t="str">
        <f>_xlfn.XLOOKUP(A3464,'[1]Tissue Data'!$A:$A,'[1]Tissue Data'!$C:$C)</f>
        <v>Spill</v>
      </c>
      <c r="C3464" s="2">
        <f>_xlfn.XLOOKUP(A3464,'[1]Tissue Data'!$A:$A,'[1]Tissue Data'!$D:$D)</f>
        <v>44314</v>
      </c>
      <c r="D3464" s="2" t="str">
        <f>_xlfn.XLOOKUP(A3464,'[1]Tissue Data'!$A:$A,'[1]Tissue Data'!$F:$F)</f>
        <v>Eastern Mudminnow</v>
      </c>
      <c r="E3464" t="str">
        <f>_xlfn.XLOOKUP(A3464,'[1]Tissue Data'!$A:$A,'[1]Tissue Data'!$H:$H)</f>
        <v>Umbra</v>
      </c>
      <c r="F3464" t="str">
        <f>_xlfn.XLOOKUP(A3464,'[1]Tissue Data'!$A:$A,'[1]Tissue Data'!$I:$I)</f>
        <v>pygmaea</v>
      </c>
      <c r="G3464" t="str">
        <f>_xlfn.XLOOKUP(A3464,'[1]Tissue Data'!$A:$A,'[1]Tissue Data'!J:J)</f>
        <v>U</v>
      </c>
      <c r="H3464" t="str">
        <f>_xlfn.XLOOKUP(A3464,'[1]Tissue Data'!$A:$A,'[1]Tissue Data'!K:K)</f>
        <v>Whole Body</v>
      </c>
      <c r="I3464">
        <f>_xlfn.XLOOKUP(A3464,'[1]Tissue Data'!$A:$A,'[1]Tissue Data'!L:L)</f>
        <v>5.5</v>
      </c>
      <c r="J3464">
        <f>_xlfn.XLOOKUP(A3464,'[1]Tissue Data'!$A:$A,'[1]Tissue Data'!M:M)</f>
        <v>2.15</v>
      </c>
      <c r="K3464" t="s">
        <v>24</v>
      </c>
      <c r="L3464" t="str">
        <f>_xlfn.XLOOKUP(K3464,[2]analyte_order!$B:$B,[2]analyte_order!$C:$C)</f>
        <v>423-41-6</v>
      </c>
      <c r="M3464">
        <f>_xlfn.XLOOKUP(L3464,[2]analyte_order!$C:$C,[2]analyte_order!$E:$E)</f>
        <v>53</v>
      </c>
      <c r="N3464">
        <v>5.2499999999999998E-2</v>
      </c>
    </row>
    <row r="3465" spans="1:14">
      <c r="A3465" t="s">
        <v>169</v>
      </c>
      <c r="B3465" t="str">
        <f>_xlfn.XLOOKUP(A3465,'[1]Tissue Data'!$A:$A,'[1]Tissue Data'!$C:$C)</f>
        <v>Spill</v>
      </c>
      <c r="C3465" s="2">
        <f>_xlfn.XLOOKUP(A3465,'[1]Tissue Data'!$A:$A,'[1]Tissue Data'!$D:$D)</f>
        <v>44314</v>
      </c>
      <c r="D3465" s="2" t="str">
        <f>_xlfn.XLOOKUP(A3465,'[1]Tissue Data'!$A:$A,'[1]Tissue Data'!$F:$F)</f>
        <v>Eastern Mudminnow</v>
      </c>
      <c r="E3465" t="str">
        <f>_xlfn.XLOOKUP(A3465,'[1]Tissue Data'!$A:$A,'[1]Tissue Data'!$H:$H)</f>
        <v>Umbra</v>
      </c>
      <c r="F3465" t="str">
        <f>_xlfn.XLOOKUP(A3465,'[1]Tissue Data'!$A:$A,'[1]Tissue Data'!$I:$I)</f>
        <v>pygmaea</v>
      </c>
      <c r="G3465" t="str">
        <f>_xlfn.XLOOKUP(A3465,'[1]Tissue Data'!$A:$A,'[1]Tissue Data'!J:J)</f>
        <v>U</v>
      </c>
      <c r="H3465" t="str">
        <f>_xlfn.XLOOKUP(A3465,'[1]Tissue Data'!$A:$A,'[1]Tissue Data'!K:K)</f>
        <v>Whole Body</v>
      </c>
      <c r="I3465">
        <f>_xlfn.XLOOKUP(A3465,'[1]Tissue Data'!$A:$A,'[1]Tissue Data'!L:L)</f>
        <v>5.5</v>
      </c>
      <c r="J3465">
        <f>_xlfn.XLOOKUP(A3465,'[1]Tissue Data'!$A:$A,'[1]Tissue Data'!M:M)</f>
        <v>2.15</v>
      </c>
      <c r="K3465" t="s">
        <v>25</v>
      </c>
      <c r="L3465" t="str">
        <f>_xlfn.XLOOKUP(K3465,[2]analyte_order!$B:$B,[2]analyte_order!$C:$C)</f>
        <v>375-73-5</v>
      </c>
      <c r="M3465">
        <f>_xlfn.XLOOKUP(L3465,[2]analyte_order!$C:$C,[2]analyte_order!$E:$E)</f>
        <v>14</v>
      </c>
      <c r="N3465">
        <v>4.6949999999999999E-2</v>
      </c>
    </row>
    <row r="3466" spans="1:14">
      <c r="A3466" t="s">
        <v>169</v>
      </c>
      <c r="B3466" t="str">
        <f>_xlfn.XLOOKUP(A3466,'[1]Tissue Data'!$A:$A,'[1]Tissue Data'!$C:$C)</f>
        <v>Spill</v>
      </c>
      <c r="C3466" s="2">
        <f>_xlfn.XLOOKUP(A3466,'[1]Tissue Data'!$A:$A,'[1]Tissue Data'!$D:$D)</f>
        <v>44314</v>
      </c>
      <c r="D3466" s="2" t="str">
        <f>_xlfn.XLOOKUP(A3466,'[1]Tissue Data'!$A:$A,'[1]Tissue Data'!$F:$F)</f>
        <v>Eastern Mudminnow</v>
      </c>
      <c r="E3466" t="str">
        <f>_xlfn.XLOOKUP(A3466,'[1]Tissue Data'!$A:$A,'[1]Tissue Data'!$H:$H)</f>
        <v>Umbra</v>
      </c>
      <c r="F3466" t="str">
        <f>_xlfn.XLOOKUP(A3466,'[1]Tissue Data'!$A:$A,'[1]Tissue Data'!$I:$I)</f>
        <v>pygmaea</v>
      </c>
      <c r="G3466" t="str">
        <f>_xlfn.XLOOKUP(A3466,'[1]Tissue Data'!$A:$A,'[1]Tissue Data'!J:J)</f>
        <v>U</v>
      </c>
      <c r="H3466" t="str">
        <f>_xlfn.XLOOKUP(A3466,'[1]Tissue Data'!$A:$A,'[1]Tissue Data'!K:K)</f>
        <v>Whole Body</v>
      </c>
      <c r="I3466">
        <f>_xlfn.XLOOKUP(A3466,'[1]Tissue Data'!$A:$A,'[1]Tissue Data'!L:L)</f>
        <v>5.5</v>
      </c>
      <c r="J3466">
        <f>_xlfn.XLOOKUP(A3466,'[1]Tissue Data'!$A:$A,'[1]Tissue Data'!M:M)</f>
        <v>2.15</v>
      </c>
      <c r="K3466" t="s">
        <v>26</v>
      </c>
      <c r="L3466" t="str">
        <f>_xlfn.XLOOKUP(K3466,[2]analyte_order!$B:$B,[2]analyte_order!$C:$C)</f>
        <v>2706-91-4</v>
      </c>
      <c r="M3466">
        <f>_xlfn.XLOOKUP(L3466,[2]analyte_order!$C:$C,[2]analyte_order!$E:$E)</f>
        <v>15</v>
      </c>
      <c r="N3466">
        <v>0.35899999999999999</v>
      </c>
    </row>
    <row r="3467" spans="1:14">
      <c r="A3467" t="s">
        <v>169</v>
      </c>
      <c r="B3467" t="str">
        <f>_xlfn.XLOOKUP(A3467,'[1]Tissue Data'!$A:$A,'[1]Tissue Data'!$C:$C)</f>
        <v>Spill</v>
      </c>
      <c r="C3467" s="2">
        <f>_xlfn.XLOOKUP(A3467,'[1]Tissue Data'!$A:$A,'[1]Tissue Data'!$D:$D)</f>
        <v>44314</v>
      </c>
      <c r="D3467" s="2" t="str">
        <f>_xlfn.XLOOKUP(A3467,'[1]Tissue Data'!$A:$A,'[1]Tissue Data'!$F:$F)</f>
        <v>Eastern Mudminnow</v>
      </c>
      <c r="E3467" t="str">
        <f>_xlfn.XLOOKUP(A3467,'[1]Tissue Data'!$A:$A,'[1]Tissue Data'!$H:$H)</f>
        <v>Umbra</v>
      </c>
      <c r="F3467" t="str">
        <f>_xlfn.XLOOKUP(A3467,'[1]Tissue Data'!$A:$A,'[1]Tissue Data'!$I:$I)</f>
        <v>pygmaea</v>
      </c>
      <c r="G3467" t="str">
        <f>_xlfn.XLOOKUP(A3467,'[1]Tissue Data'!$A:$A,'[1]Tissue Data'!J:J)</f>
        <v>U</v>
      </c>
      <c r="H3467" t="str">
        <f>_xlfn.XLOOKUP(A3467,'[1]Tissue Data'!$A:$A,'[1]Tissue Data'!K:K)</f>
        <v>Whole Body</v>
      </c>
      <c r="I3467">
        <f>_xlfn.XLOOKUP(A3467,'[1]Tissue Data'!$A:$A,'[1]Tissue Data'!L:L)</f>
        <v>5.5</v>
      </c>
      <c r="J3467">
        <f>_xlfn.XLOOKUP(A3467,'[1]Tissue Data'!$A:$A,'[1]Tissue Data'!M:M)</f>
        <v>2.15</v>
      </c>
      <c r="K3467" t="s">
        <v>27</v>
      </c>
      <c r="L3467" t="str">
        <f>_xlfn.XLOOKUP(K3467,[2]analyte_order!$B:$B,[2]analyte_order!$C:$C)</f>
        <v>355-46-4</v>
      </c>
      <c r="M3467">
        <f>_xlfn.XLOOKUP(L3467,[2]analyte_order!$C:$C,[2]analyte_order!$E:$E)</f>
        <v>16</v>
      </c>
      <c r="N3467">
        <v>23.4</v>
      </c>
    </row>
    <row r="3468" spans="1:14">
      <c r="A3468" t="s">
        <v>169</v>
      </c>
      <c r="B3468" t="str">
        <f>_xlfn.XLOOKUP(A3468,'[1]Tissue Data'!$A:$A,'[1]Tissue Data'!$C:$C)</f>
        <v>Spill</v>
      </c>
      <c r="C3468" s="2">
        <f>_xlfn.XLOOKUP(A3468,'[1]Tissue Data'!$A:$A,'[1]Tissue Data'!$D:$D)</f>
        <v>44314</v>
      </c>
      <c r="D3468" s="2" t="str">
        <f>_xlfn.XLOOKUP(A3468,'[1]Tissue Data'!$A:$A,'[1]Tissue Data'!$F:$F)</f>
        <v>Eastern Mudminnow</v>
      </c>
      <c r="E3468" t="str">
        <f>_xlfn.XLOOKUP(A3468,'[1]Tissue Data'!$A:$A,'[1]Tissue Data'!$H:$H)</f>
        <v>Umbra</v>
      </c>
      <c r="F3468" t="str">
        <f>_xlfn.XLOOKUP(A3468,'[1]Tissue Data'!$A:$A,'[1]Tissue Data'!$I:$I)</f>
        <v>pygmaea</v>
      </c>
      <c r="G3468" t="str">
        <f>_xlfn.XLOOKUP(A3468,'[1]Tissue Data'!$A:$A,'[1]Tissue Data'!J:J)</f>
        <v>U</v>
      </c>
      <c r="H3468" t="str">
        <f>_xlfn.XLOOKUP(A3468,'[1]Tissue Data'!$A:$A,'[1]Tissue Data'!K:K)</f>
        <v>Whole Body</v>
      </c>
      <c r="I3468">
        <f>_xlfn.XLOOKUP(A3468,'[1]Tissue Data'!$A:$A,'[1]Tissue Data'!L:L)</f>
        <v>5.5</v>
      </c>
      <c r="J3468">
        <f>_xlfn.XLOOKUP(A3468,'[1]Tissue Data'!$A:$A,'[1]Tissue Data'!M:M)</f>
        <v>2.15</v>
      </c>
      <c r="K3468" t="s">
        <v>28</v>
      </c>
      <c r="L3468" t="str">
        <f>_xlfn.XLOOKUP(K3468,[2]analyte_order!$B:$B,[2]analyte_order!$C:$C)</f>
        <v>375-92-8</v>
      </c>
      <c r="M3468">
        <f>_xlfn.XLOOKUP(L3468,[2]analyte_order!$C:$C,[2]analyte_order!$E:$E)</f>
        <v>17</v>
      </c>
      <c r="N3468">
        <v>13.8</v>
      </c>
    </row>
    <row r="3469" spans="1:14">
      <c r="A3469" t="s">
        <v>169</v>
      </c>
      <c r="B3469" t="str">
        <f>_xlfn.XLOOKUP(A3469,'[1]Tissue Data'!$A:$A,'[1]Tissue Data'!$C:$C)</f>
        <v>Spill</v>
      </c>
      <c r="C3469" s="2">
        <f>_xlfn.XLOOKUP(A3469,'[1]Tissue Data'!$A:$A,'[1]Tissue Data'!$D:$D)</f>
        <v>44314</v>
      </c>
      <c r="D3469" s="2" t="str">
        <f>_xlfn.XLOOKUP(A3469,'[1]Tissue Data'!$A:$A,'[1]Tissue Data'!$F:$F)</f>
        <v>Eastern Mudminnow</v>
      </c>
      <c r="E3469" t="str">
        <f>_xlfn.XLOOKUP(A3469,'[1]Tissue Data'!$A:$A,'[1]Tissue Data'!$H:$H)</f>
        <v>Umbra</v>
      </c>
      <c r="F3469" t="str">
        <f>_xlfn.XLOOKUP(A3469,'[1]Tissue Data'!$A:$A,'[1]Tissue Data'!$I:$I)</f>
        <v>pygmaea</v>
      </c>
      <c r="G3469" t="str">
        <f>_xlfn.XLOOKUP(A3469,'[1]Tissue Data'!$A:$A,'[1]Tissue Data'!J:J)</f>
        <v>U</v>
      </c>
      <c r="H3469" t="str">
        <f>_xlfn.XLOOKUP(A3469,'[1]Tissue Data'!$A:$A,'[1]Tissue Data'!K:K)</f>
        <v>Whole Body</v>
      </c>
      <c r="I3469">
        <f>_xlfn.XLOOKUP(A3469,'[1]Tissue Data'!$A:$A,'[1]Tissue Data'!L:L)</f>
        <v>5.5</v>
      </c>
      <c r="J3469">
        <f>_xlfn.XLOOKUP(A3469,'[1]Tissue Data'!$A:$A,'[1]Tissue Data'!M:M)</f>
        <v>2.15</v>
      </c>
      <c r="K3469" t="s">
        <v>29</v>
      </c>
      <c r="L3469" t="str">
        <f>_xlfn.XLOOKUP(K3469,[2]analyte_order!$B:$B,[2]analyte_order!$C:$C)</f>
        <v>1763-23-1</v>
      </c>
      <c r="M3469">
        <f>_xlfn.XLOOKUP(L3469,[2]analyte_order!$C:$C,[2]analyte_order!$E:$E)</f>
        <v>18</v>
      </c>
      <c r="N3469">
        <v>2790</v>
      </c>
    </row>
    <row r="3470" spans="1:14">
      <c r="A3470" t="s">
        <v>169</v>
      </c>
      <c r="B3470" t="str">
        <f>_xlfn.XLOOKUP(A3470,'[1]Tissue Data'!$A:$A,'[1]Tissue Data'!$C:$C)</f>
        <v>Spill</v>
      </c>
      <c r="C3470" s="2">
        <f>_xlfn.XLOOKUP(A3470,'[1]Tissue Data'!$A:$A,'[1]Tissue Data'!$D:$D)</f>
        <v>44314</v>
      </c>
      <c r="D3470" s="2" t="str">
        <f>_xlfn.XLOOKUP(A3470,'[1]Tissue Data'!$A:$A,'[1]Tissue Data'!$F:$F)</f>
        <v>Eastern Mudminnow</v>
      </c>
      <c r="E3470" t="str">
        <f>_xlfn.XLOOKUP(A3470,'[1]Tissue Data'!$A:$A,'[1]Tissue Data'!$H:$H)</f>
        <v>Umbra</v>
      </c>
      <c r="F3470" t="str">
        <f>_xlfn.XLOOKUP(A3470,'[1]Tissue Data'!$A:$A,'[1]Tissue Data'!$I:$I)</f>
        <v>pygmaea</v>
      </c>
      <c r="G3470" t="str">
        <f>_xlfn.XLOOKUP(A3470,'[1]Tissue Data'!$A:$A,'[1]Tissue Data'!J:J)</f>
        <v>U</v>
      </c>
      <c r="H3470" t="str">
        <f>_xlfn.XLOOKUP(A3470,'[1]Tissue Data'!$A:$A,'[1]Tissue Data'!K:K)</f>
        <v>Whole Body</v>
      </c>
      <c r="I3470">
        <f>_xlfn.XLOOKUP(A3470,'[1]Tissue Data'!$A:$A,'[1]Tissue Data'!L:L)</f>
        <v>5.5</v>
      </c>
      <c r="J3470">
        <f>_xlfn.XLOOKUP(A3470,'[1]Tissue Data'!$A:$A,'[1]Tissue Data'!M:M)</f>
        <v>2.15</v>
      </c>
      <c r="K3470" t="s">
        <v>30</v>
      </c>
      <c r="L3470" t="str">
        <f>_xlfn.XLOOKUP(K3470,[2]analyte_order!$B:$B,[2]analyte_order!$C:$C)</f>
        <v>68259-12-1</v>
      </c>
      <c r="M3470">
        <f>_xlfn.XLOOKUP(L3470,[2]analyte_order!$C:$C,[2]analyte_order!$E:$E)</f>
        <v>19</v>
      </c>
      <c r="N3470">
        <v>5.57</v>
      </c>
    </row>
    <row r="3471" spans="1:14">
      <c r="A3471" t="s">
        <v>169</v>
      </c>
      <c r="B3471" t="str">
        <f>_xlfn.XLOOKUP(A3471,'[1]Tissue Data'!$A:$A,'[1]Tissue Data'!$C:$C)</f>
        <v>Spill</v>
      </c>
      <c r="C3471" s="2">
        <f>_xlfn.XLOOKUP(A3471,'[1]Tissue Data'!$A:$A,'[1]Tissue Data'!$D:$D)</f>
        <v>44314</v>
      </c>
      <c r="D3471" s="2" t="str">
        <f>_xlfn.XLOOKUP(A3471,'[1]Tissue Data'!$A:$A,'[1]Tissue Data'!$F:$F)</f>
        <v>Eastern Mudminnow</v>
      </c>
      <c r="E3471" t="str">
        <f>_xlfn.XLOOKUP(A3471,'[1]Tissue Data'!$A:$A,'[1]Tissue Data'!$H:$H)</f>
        <v>Umbra</v>
      </c>
      <c r="F3471" t="str">
        <f>_xlfn.XLOOKUP(A3471,'[1]Tissue Data'!$A:$A,'[1]Tissue Data'!$I:$I)</f>
        <v>pygmaea</v>
      </c>
      <c r="G3471" t="str">
        <f>_xlfn.XLOOKUP(A3471,'[1]Tissue Data'!$A:$A,'[1]Tissue Data'!J:J)</f>
        <v>U</v>
      </c>
      <c r="H3471" t="str">
        <f>_xlfn.XLOOKUP(A3471,'[1]Tissue Data'!$A:$A,'[1]Tissue Data'!K:K)</f>
        <v>Whole Body</v>
      </c>
      <c r="I3471">
        <f>_xlfn.XLOOKUP(A3471,'[1]Tissue Data'!$A:$A,'[1]Tissue Data'!L:L)</f>
        <v>5.5</v>
      </c>
      <c r="J3471">
        <f>_xlfn.XLOOKUP(A3471,'[1]Tissue Data'!$A:$A,'[1]Tissue Data'!M:M)</f>
        <v>2.15</v>
      </c>
      <c r="K3471" t="s">
        <v>31</v>
      </c>
      <c r="L3471" t="str">
        <f>_xlfn.XLOOKUP(K3471,[2]analyte_order!$B:$B,[2]analyte_order!$C:$C)</f>
        <v>335-77-3</v>
      </c>
      <c r="M3471">
        <f>_xlfn.XLOOKUP(L3471,[2]analyte_order!$C:$C,[2]analyte_order!$E:$E)</f>
        <v>20</v>
      </c>
      <c r="N3471">
        <v>4.0999999999999996</v>
      </c>
    </row>
    <row r="3472" spans="1:14">
      <c r="A3472" t="s">
        <v>169</v>
      </c>
      <c r="B3472" t="str">
        <f>_xlfn.XLOOKUP(A3472,'[1]Tissue Data'!$A:$A,'[1]Tissue Data'!$C:$C)</f>
        <v>Spill</v>
      </c>
      <c r="C3472" s="2">
        <f>_xlfn.XLOOKUP(A3472,'[1]Tissue Data'!$A:$A,'[1]Tissue Data'!$D:$D)</f>
        <v>44314</v>
      </c>
      <c r="D3472" s="2" t="str">
        <f>_xlfn.XLOOKUP(A3472,'[1]Tissue Data'!$A:$A,'[1]Tissue Data'!$F:$F)</f>
        <v>Eastern Mudminnow</v>
      </c>
      <c r="E3472" t="str">
        <f>_xlfn.XLOOKUP(A3472,'[1]Tissue Data'!$A:$A,'[1]Tissue Data'!$H:$H)</f>
        <v>Umbra</v>
      </c>
      <c r="F3472" t="str">
        <f>_xlfn.XLOOKUP(A3472,'[1]Tissue Data'!$A:$A,'[1]Tissue Data'!$I:$I)</f>
        <v>pygmaea</v>
      </c>
      <c r="G3472" t="str">
        <f>_xlfn.XLOOKUP(A3472,'[1]Tissue Data'!$A:$A,'[1]Tissue Data'!J:J)</f>
        <v>U</v>
      </c>
      <c r="H3472" t="str">
        <f>_xlfn.XLOOKUP(A3472,'[1]Tissue Data'!$A:$A,'[1]Tissue Data'!K:K)</f>
        <v>Whole Body</v>
      </c>
      <c r="I3472">
        <f>_xlfn.XLOOKUP(A3472,'[1]Tissue Data'!$A:$A,'[1]Tissue Data'!L:L)</f>
        <v>5.5</v>
      </c>
      <c r="J3472">
        <f>_xlfn.XLOOKUP(A3472,'[1]Tissue Data'!$A:$A,'[1]Tissue Data'!M:M)</f>
        <v>2.15</v>
      </c>
      <c r="K3472" t="s">
        <v>32</v>
      </c>
      <c r="L3472" t="str">
        <f>_xlfn.XLOOKUP(K3472,[2]analyte_order!$B:$B,[2]analyte_order!$C:$C)</f>
        <v>79780-39-5</v>
      </c>
      <c r="M3472">
        <f>_xlfn.XLOOKUP(L3472,[2]analyte_order!$C:$C,[2]analyte_order!$E:$E)</f>
        <v>21</v>
      </c>
      <c r="N3472">
        <v>1.1599999999999999</v>
      </c>
    </row>
    <row r="3473" spans="1:14">
      <c r="A3473" t="s">
        <v>169</v>
      </c>
      <c r="B3473" t="str">
        <f>_xlfn.XLOOKUP(A3473,'[1]Tissue Data'!$A:$A,'[1]Tissue Data'!$C:$C)</f>
        <v>Spill</v>
      </c>
      <c r="C3473" s="2">
        <f>_xlfn.XLOOKUP(A3473,'[1]Tissue Data'!$A:$A,'[1]Tissue Data'!$D:$D)</f>
        <v>44314</v>
      </c>
      <c r="D3473" s="2" t="str">
        <f>_xlfn.XLOOKUP(A3473,'[1]Tissue Data'!$A:$A,'[1]Tissue Data'!$F:$F)</f>
        <v>Eastern Mudminnow</v>
      </c>
      <c r="E3473" t="str">
        <f>_xlfn.XLOOKUP(A3473,'[1]Tissue Data'!$A:$A,'[1]Tissue Data'!$H:$H)</f>
        <v>Umbra</v>
      </c>
      <c r="F3473" t="str">
        <f>_xlfn.XLOOKUP(A3473,'[1]Tissue Data'!$A:$A,'[1]Tissue Data'!$I:$I)</f>
        <v>pygmaea</v>
      </c>
      <c r="G3473" t="str">
        <f>_xlfn.XLOOKUP(A3473,'[1]Tissue Data'!$A:$A,'[1]Tissue Data'!J:J)</f>
        <v>U</v>
      </c>
      <c r="H3473" t="str">
        <f>_xlfn.XLOOKUP(A3473,'[1]Tissue Data'!$A:$A,'[1]Tissue Data'!K:K)</f>
        <v>Whole Body</v>
      </c>
      <c r="I3473">
        <f>_xlfn.XLOOKUP(A3473,'[1]Tissue Data'!$A:$A,'[1]Tissue Data'!L:L)</f>
        <v>5.5</v>
      </c>
      <c r="J3473">
        <f>_xlfn.XLOOKUP(A3473,'[1]Tissue Data'!$A:$A,'[1]Tissue Data'!M:M)</f>
        <v>2.15</v>
      </c>
      <c r="K3473" t="s">
        <v>33</v>
      </c>
      <c r="L3473" t="str">
        <f>_xlfn.XLOOKUP(K3473,[2]analyte_order!$B:$B,[2]analyte_order!$C:$C)</f>
        <v>777011-38-8</v>
      </c>
      <c r="M3473">
        <f>_xlfn.XLOOKUP(L3473,[2]analyte_order!$C:$C,[2]analyte_order!$E:$E)</f>
        <v>54</v>
      </c>
      <c r="N3473">
        <v>1.02</v>
      </c>
    </row>
    <row r="3474" spans="1:14">
      <c r="A3474" t="s">
        <v>169</v>
      </c>
      <c r="B3474" t="str">
        <f>_xlfn.XLOOKUP(A3474,'[1]Tissue Data'!$A:$A,'[1]Tissue Data'!$C:$C)</f>
        <v>Spill</v>
      </c>
      <c r="C3474" s="2">
        <f>_xlfn.XLOOKUP(A3474,'[1]Tissue Data'!$A:$A,'[1]Tissue Data'!$D:$D)</f>
        <v>44314</v>
      </c>
      <c r="D3474" s="2" t="str">
        <f>_xlfn.XLOOKUP(A3474,'[1]Tissue Data'!$A:$A,'[1]Tissue Data'!$F:$F)</f>
        <v>Eastern Mudminnow</v>
      </c>
      <c r="E3474" t="str">
        <f>_xlfn.XLOOKUP(A3474,'[1]Tissue Data'!$A:$A,'[1]Tissue Data'!$H:$H)</f>
        <v>Umbra</v>
      </c>
      <c r="F3474" t="str">
        <f>_xlfn.XLOOKUP(A3474,'[1]Tissue Data'!$A:$A,'[1]Tissue Data'!$I:$I)</f>
        <v>pygmaea</v>
      </c>
      <c r="G3474" t="str">
        <f>_xlfn.XLOOKUP(A3474,'[1]Tissue Data'!$A:$A,'[1]Tissue Data'!J:J)</f>
        <v>U</v>
      </c>
      <c r="H3474" t="str">
        <f>_xlfn.XLOOKUP(A3474,'[1]Tissue Data'!$A:$A,'[1]Tissue Data'!K:K)</f>
        <v>Whole Body</v>
      </c>
      <c r="I3474">
        <f>_xlfn.XLOOKUP(A3474,'[1]Tissue Data'!$A:$A,'[1]Tissue Data'!L:L)</f>
        <v>5.5</v>
      </c>
      <c r="J3474">
        <f>_xlfn.XLOOKUP(A3474,'[1]Tissue Data'!$A:$A,'[1]Tissue Data'!M:M)</f>
        <v>2.15</v>
      </c>
      <c r="K3474" t="s">
        <v>34</v>
      </c>
      <c r="L3474" t="str">
        <f>_xlfn.XLOOKUP(K3474,[2]analyte_order!$B:$B,[2]analyte_order!$C:$C)</f>
        <v>646-83-3</v>
      </c>
      <c r="M3474">
        <f>_xlfn.XLOOKUP(L3474,[2]analyte_order!$C:$C,[2]analyte_order!$E:$E)</f>
        <v>55</v>
      </c>
      <c r="N3474">
        <v>0.63900000000000001</v>
      </c>
    </row>
    <row r="3475" spans="1:14">
      <c r="A3475" t="s">
        <v>169</v>
      </c>
      <c r="B3475" t="str">
        <f>_xlfn.XLOOKUP(A3475,'[1]Tissue Data'!$A:$A,'[1]Tissue Data'!$C:$C)</f>
        <v>Spill</v>
      </c>
      <c r="C3475" s="2">
        <f>_xlfn.XLOOKUP(A3475,'[1]Tissue Data'!$A:$A,'[1]Tissue Data'!$D:$D)</f>
        <v>44314</v>
      </c>
      <c r="D3475" s="2" t="str">
        <f>_xlfn.XLOOKUP(A3475,'[1]Tissue Data'!$A:$A,'[1]Tissue Data'!$F:$F)</f>
        <v>Eastern Mudminnow</v>
      </c>
      <c r="E3475" t="str">
        <f>_xlfn.XLOOKUP(A3475,'[1]Tissue Data'!$A:$A,'[1]Tissue Data'!$H:$H)</f>
        <v>Umbra</v>
      </c>
      <c r="F3475" t="str">
        <f>_xlfn.XLOOKUP(A3475,'[1]Tissue Data'!$A:$A,'[1]Tissue Data'!$I:$I)</f>
        <v>pygmaea</v>
      </c>
      <c r="G3475" t="str">
        <f>_xlfn.XLOOKUP(A3475,'[1]Tissue Data'!$A:$A,'[1]Tissue Data'!J:J)</f>
        <v>U</v>
      </c>
      <c r="H3475" t="str">
        <f>_xlfn.XLOOKUP(A3475,'[1]Tissue Data'!$A:$A,'[1]Tissue Data'!K:K)</f>
        <v>Whole Body</v>
      </c>
      <c r="I3475">
        <f>_xlfn.XLOOKUP(A3475,'[1]Tissue Data'!$A:$A,'[1]Tissue Data'!L:L)</f>
        <v>5.5</v>
      </c>
      <c r="J3475">
        <f>_xlfn.XLOOKUP(A3475,'[1]Tissue Data'!$A:$A,'[1]Tissue Data'!M:M)</f>
        <v>2.15</v>
      </c>
      <c r="K3475" t="s">
        <v>35</v>
      </c>
      <c r="L3475" t="str">
        <f>_xlfn.XLOOKUP(K3475,[2]analyte_order!$B:$B,[2]analyte_order!$C:$C)</f>
        <v>30334-69-1</v>
      </c>
      <c r="M3475">
        <f>_xlfn.XLOOKUP(L3475,[2]analyte_order!$C:$C,[2]analyte_order!$E:$E)</f>
        <v>51</v>
      </c>
      <c r="N3475">
        <v>12.8</v>
      </c>
    </row>
    <row r="3476" spans="1:14">
      <c r="A3476" t="s">
        <v>169</v>
      </c>
      <c r="B3476" t="str">
        <f>_xlfn.XLOOKUP(A3476,'[1]Tissue Data'!$A:$A,'[1]Tissue Data'!$C:$C)</f>
        <v>Spill</v>
      </c>
      <c r="C3476" s="2">
        <f>_xlfn.XLOOKUP(A3476,'[1]Tissue Data'!$A:$A,'[1]Tissue Data'!$D:$D)</f>
        <v>44314</v>
      </c>
      <c r="D3476" s="2" t="str">
        <f>_xlfn.XLOOKUP(A3476,'[1]Tissue Data'!$A:$A,'[1]Tissue Data'!$F:$F)</f>
        <v>Eastern Mudminnow</v>
      </c>
      <c r="E3476" t="str">
        <f>_xlfn.XLOOKUP(A3476,'[1]Tissue Data'!$A:$A,'[1]Tissue Data'!$H:$H)</f>
        <v>Umbra</v>
      </c>
      <c r="F3476" t="str">
        <f>_xlfn.XLOOKUP(A3476,'[1]Tissue Data'!$A:$A,'[1]Tissue Data'!$I:$I)</f>
        <v>pygmaea</v>
      </c>
      <c r="G3476" t="str">
        <f>_xlfn.XLOOKUP(A3476,'[1]Tissue Data'!$A:$A,'[1]Tissue Data'!J:J)</f>
        <v>U</v>
      </c>
      <c r="H3476" t="str">
        <f>_xlfn.XLOOKUP(A3476,'[1]Tissue Data'!$A:$A,'[1]Tissue Data'!K:K)</f>
        <v>Whole Body</v>
      </c>
      <c r="I3476">
        <f>_xlfn.XLOOKUP(A3476,'[1]Tissue Data'!$A:$A,'[1]Tissue Data'!L:L)</f>
        <v>5.5</v>
      </c>
      <c r="J3476">
        <f>_xlfn.XLOOKUP(A3476,'[1]Tissue Data'!$A:$A,'[1]Tissue Data'!M:M)</f>
        <v>2.15</v>
      </c>
      <c r="K3476" t="s">
        <v>36</v>
      </c>
      <c r="L3476" t="str">
        <f>_xlfn.XLOOKUP(K3476,[2]analyte_order!$B:$B,[2]analyte_order!$C:$C)</f>
        <v>41997-13-1</v>
      </c>
      <c r="M3476">
        <f>_xlfn.XLOOKUP(L3476,[2]analyte_order!$C:$C,[2]analyte_order!$E:$E)</f>
        <v>52</v>
      </c>
      <c r="N3476">
        <v>177</v>
      </c>
    </row>
    <row r="3477" spans="1:14">
      <c r="A3477" t="s">
        <v>169</v>
      </c>
      <c r="B3477" t="str">
        <f>_xlfn.XLOOKUP(A3477,'[1]Tissue Data'!$A:$A,'[1]Tissue Data'!$C:$C)</f>
        <v>Spill</v>
      </c>
      <c r="C3477" s="2">
        <f>_xlfn.XLOOKUP(A3477,'[1]Tissue Data'!$A:$A,'[1]Tissue Data'!$D:$D)</f>
        <v>44314</v>
      </c>
      <c r="D3477" s="2" t="str">
        <f>_xlfn.XLOOKUP(A3477,'[1]Tissue Data'!$A:$A,'[1]Tissue Data'!$F:$F)</f>
        <v>Eastern Mudminnow</v>
      </c>
      <c r="E3477" t="str">
        <f>_xlfn.XLOOKUP(A3477,'[1]Tissue Data'!$A:$A,'[1]Tissue Data'!$H:$H)</f>
        <v>Umbra</v>
      </c>
      <c r="F3477" t="str">
        <f>_xlfn.XLOOKUP(A3477,'[1]Tissue Data'!$A:$A,'[1]Tissue Data'!$I:$I)</f>
        <v>pygmaea</v>
      </c>
      <c r="G3477" t="str">
        <f>_xlfn.XLOOKUP(A3477,'[1]Tissue Data'!$A:$A,'[1]Tissue Data'!J:J)</f>
        <v>U</v>
      </c>
      <c r="H3477" t="str">
        <f>_xlfn.XLOOKUP(A3477,'[1]Tissue Data'!$A:$A,'[1]Tissue Data'!K:K)</f>
        <v>Whole Body</v>
      </c>
      <c r="I3477">
        <f>_xlfn.XLOOKUP(A3477,'[1]Tissue Data'!$A:$A,'[1]Tissue Data'!L:L)</f>
        <v>5.5</v>
      </c>
      <c r="J3477">
        <f>_xlfn.XLOOKUP(A3477,'[1]Tissue Data'!$A:$A,'[1]Tissue Data'!M:M)</f>
        <v>2.15</v>
      </c>
      <c r="K3477" t="s">
        <v>37</v>
      </c>
      <c r="L3477" t="str">
        <f>_xlfn.XLOOKUP(K3477,[2]analyte_order!$B:$B,[2]analyte_order!$C:$C)</f>
        <v>754-91-6</v>
      </c>
      <c r="M3477">
        <f>_xlfn.XLOOKUP(L3477,[2]analyte_order!$C:$C,[2]analyte_order!$E:$E)</f>
        <v>28</v>
      </c>
      <c r="N3477">
        <v>10.199999999999999</v>
      </c>
    </row>
    <row r="3478" spans="1:14">
      <c r="A3478" t="s">
        <v>169</v>
      </c>
      <c r="B3478" t="str">
        <f>_xlfn.XLOOKUP(A3478,'[1]Tissue Data'!$A:$A,'[1]Tissue Data'!$C:$C)</f>
        <v>Spill</v>
      </c>
      <c r="C3478" s="2">
        <f>_xlfn.XLOOKUP(A3478,'[1]Tissue Data'!$A:$A,'[1]Tissue Data'!$D:$D)</f>
        <v>44314</v>
      </c>
      <c r="D3478" s="2" t="str">
        <f>_xlfn.XLOOKUP(A3478,'[1]Tissue Data'!$A:$A,'[1]Tissue Data'!$F:$F)</f>
        <v>Eastern Mudminnow</v>
      </c>
      <c r="E3478" t="str">
        <f>_xlfn.XLOOKUP(A3478,'[1]Tissue Data'!$A:$A,'[1]Tissue Data'!$H:$H)</f>
        <v>Umbra</v>
      </c>
      <c r="F3478" t="str">
        <f>_xlfn.XLOOKUP(A3478,'[1]Tissue Data'!$A:$A,'[1]Tissue Data'!$I:$I)</f>
        <v>pygmaea</v>
      </c>
      <c r="G3478" t="str">
        <f>_xlfn.XLOOKUP(A3478,'[1]Tissue Data'!$A:$A,'[1]Tissue Data'!J:J)</f>
        <v>U</v>
      </c>
      <c r="H3478" t="str">
        <f>_xlfn.XLOOKUP(A3478,'[1]Tissue Data'!$A:$A,'[1]Tissue Data'!K:K)</f>
        <v>Whole Body</v>
      </c>
      <c r="I3478">
        <f>_xlfn.XLOOKUP(A3478,'[1]Tissue Data'!$A:$A,'[1]Tissue Data'!L:L)</f>
        <v>5.5</v>
      </c>
      <c r="J3478">
        <f>_xlfn.XLOOKUP(A3478,'[1]Tissue Data'!$A:$A,'[1]Tissue Data'!M:M)</f>
        <v>2.15</v>
      </c>
      <c r="K3478" t="s">
        <v>38</v>
      </c>
      <c r="L3478" t="str">
        <f>_xlfn.XLOOKUP(K3478,[2]analyte_order!$B:$B,[2]analyte_order!$C:$C)</f>
        <v>31506-32-8</v>
      </c>
      <c r="M3478">
        <f>_xlfn.XLOOKUP(L3478,[2]analyte_order!$C:$C,[2]analyte_order!$E:$E)</f>
        <v>30</v>
      </c>
      <c r="N3478">
        <v>5.2999999999999999E-2</v>
      </c>
    </row>
    <row r="3479" spans="1:14">
      <c r="A3479" t="s">
        <v>169</v>
      </c>
      <c r="B3479" t="str">
        <f>_xlfn.XLOOKUP(A3479,'[1]Tissue Data'!$A:$A,'[1]Tissue Data'!$C:$C)</f>
        <v>Spill</v>
      </c>
      <c r="C3479" s="2">
        <f>_xlfn.XLOOKUP(A3479,'[1]Tissue Data'!$A:$A,'[1]Tissue Data'!$D:$D)</f>
        <v>44314</v>
      </c>
      <c r="D3479" s="2" t="str">
        <f>_xlfn.XLOOKUP(A3479,'[1]Tissue Data'!$A:$A,'[1]Tissue Data'!$F:$F)</f>
        <v>Eastern Mudminnow</v>
      </c>
      <c r="E3479" t="str">
        <f>_xlfn.XLOOKUP(A3479,'[1]Tissue Data'!$A:$A,'[1]Tissue Data'!$H:$H)</f>
        <v>Umbra</v>
      </c>
      <c r="F3479" t="str">
        <f>_xlfn.XLOOKUP(A3479,'[1]Tissue Data'!$A:$A,'[1]Tissue Data'!$I:$I)</f>
        <v>pygmaea</v>
      </c>
      <c r="G3479" t="str">
        <f>_xlfn.XLOOKUP(A3479,'[1]Tissue Data'!$A:$A,'[1]Tissue Data'!J:J)</f>
        <v>U</v>
      </c>
      <c r="H3479" t="str">
        <f>_xlfn.XLOOKUP(A3479,'[1]Tissue Data'!$A:$A,'[1]Tissue Data'!K:K)</f>
        <v>Whole Body</v>
      </c>
      <c r="I3479">
        <f>_xlfn.XLOOKUP(A3479,'[1]Tissue Data'!$A:$A,'[1]Tissue Data'!L:L)</f>
        <v>5.5</v>
      </c>
      <c r="J3479">
        <f>_xlfn.XLOOKUP(A3479,'[1]Tissue Data'!$A:$A,'[1]Tissue Data'!M:M)</f>
        <v>2.15</v>
      </c>
      <c r="K3479" t="s">
        <v>39</v>
      </c>
      <c r="L3479" t="str">
        <f>_xlfn.XLOOKUP(K3479,[2]analyte_order!$B:$B,[2]analyte_order!$C:$C)</f>
        <v>4151-50-2</v>
      </c>
      <c r="M3479">
        <f>_xlfn.XLOOKUP(L3479,[2]analyte_order!$C:$C,[2]analyte_order!$E:$E)</f>
        <v>31</v>
      </c>
      <c r="N3479">
        <v>8.0500000000000002E-2</v>
      </c>
    </row>
    <row r="3480" spans="1:14">
      <c r="A3480" t="s">
        <v>169</v>
      </c>
      <c r="B3480" t="str">
        <f>_xlfn.XLOOKUP(A3480,'[1]Tissue Data'!$A:$A,'[1]Tissue Data'!$C:$C)</f>
        <v>Spill</v>
      </c>
      <c r="C3480" s="2">
        <f>_xlfn.XLOOKUP(A3480,'[1]Tissue Data'!$A:$A,'[1]Tissue Data'!$D:$D)</f>
        <v>44314</v>
      </c>
      <c r="D3480" s="2" t="str">
        <f>_xlfn.XLOOKUP(A3480,'[1]Tissue Data'!$A:$A,'[1]Tissue Data'!$F:$F)</f>
        <v>Eastern Mudminnow</v>
      </c>
      <c r="E3480" t="str">
        <f>_xlfn.XLOOKUP(A3480,'[1]Tissue Data'!$A:$A,'[1]Tissue Data'!$H:$H)</f>
        <v>Umbra</v>
      </c>
      <c r="F3480" t="str">
        <f>_xlfn.XLOOKUP(A3480,'[1]Tissue Data'!$A:$A,'[1]Tissue Data'!$I:$I)</f>
        <v>pygmaea</v>
      </c>
      <c r="G3480" t="str">
        <f>_xlfn.XLOOKUP(A3480,'[1]Tissue Data'!$A:$A,'[1]Tissue Data'!J:J)</f>
        <v>U</v>
      </c>
      <c r="H3480" t="str">
        <f>_xlfn.XLOOKUP(A3480,'[1]Tissue Data'!$A:$A,'[1]Tissue Data'!K:K)</f>
        <v>Whole Body</v>
      </c>
      <c r="I3480">
        <f>_xlfn.XLOOKUP(A3480,'[1]Tissue Data'!$A:$A,'[1]Tissue Data'!L:L)</f>
        <v>5.5</v>
      </c>
      <c r="J3480">
        <f>_xlfn.XLOOKUP(A3480,'[1]Tissue Data'!$A:$A,'[1]Tissue Data'!M:M)</f>
        <v>2.15</v>
      </c>
      <c r="K3480" t="s">
        <v>40</v>
      </c>
      <c r="L3480" t="str">
        <f>_xlfn.XLOOKUP(K3480,[2]analyte_order!$B:$B,[2]analyte_order!$C:$C)</f>
        <v>2806-24-8</v>
      </c>
      <c r="M3480">
        <f>_xlfn.XLOOKUP(L3480,[2]analyte_order!$C:$C,[2]analyte_order!$E:$E)</f>
        <v>29</v>
      </c>
      <c r="N3480">
        <v>5.45E-2</v>
      </c>
    </row>
    <row r="3481" spans="1:14">
      <c r="A3481" t="s">
        <v>169</v>
      </c>
      <c r="B3481" t="str">
        <f>_xlfn.XLOOKUP(A3481,'[1]Tissue Data'!$A:$A,'[1]Tissue Data'!$C:$C)</f>
        <v>Spill</v>
      </c>
      <c r="C3481" s="2">
        <f>_xlfn.XLOOKUP(A3481,'[1]Tissue Data'!$A:$A,'[1]Tissue Data'!$D:$D)</f>
        <v>44314</v>
      </c>
      <c r="D3481" s="2" t="str">
        <f>_xlfn.XLOOKUP(A3481,'[1]Tissue Data'!$A:$A,'[1]Tissue Data'!$F:$F)</f>
        <v>Eastern Mudminnow</v>
      </c>
      <c r="E3481" t="str">
        <f>_xlfn.XLOOKUP(A3481,'[1]Tissue Data'!$A:$A,'[1]Tissue Data'!$H:$H)</f>
        <v>Umbra</v>
      </c>
      <c r="F3481" t="str">
        <f>_xlfn.XLOOKUP(A3481,'[1]Tissue Data'!$A:$A,'[1]Tissue Data'!$I:$I)</f>
        <v>pygmaea</v>
      </c>
      <c r="G3481" t="str">
        <f>_xlfn.XLOOKUP(A3481,'[1]Tissue Data'!$A:$A,'[1]Tissue Data'!J:J)</f>
        <v>U</v>
      </c>
      <c r="H3481" t="str">
        <f>_xlfn.XLOOKUP(A3481,'[1]Tissue Data'!$A:$A,'[1]Tissue Data'!K:K)</f>
        <v>Whole Body</v>
      </c>
      <c r="I3481">
        <f>_xlfn.XLOOKUP(A3481,'[1]Tissue Data'!$A:$A,'[1]Tissue Data'!L:L)</f>
        <v>5.5</v>
      </c>
      <c r="J3481">
        <f>_xlfn.XLOOKUP(A3481,'[1]Tissue Data'!$A:$A,'[1]Tissue Data'!M:M)</f>
        <v>2.15</v>
      </c>
      <c r="K3481" t="s">
        <v>41</v>
      </c>
      <c r="L3481" t="str">
        <f>_xlfn.XLOOKUP(K3481,[2]analyte_order!$B:$B,[2]analyte_order!$C:$C)</f>
        <v>2355-31-9</v>
      </c>
      <c r="M3481">
        <f>_xlfn.XLOOKUP(L3481,[2]analyte_order!$C:$C,[2]analyte_order!$E:$E)</f>
        <v>26</v>
      </c>
      <c r="N3481">
        <v>0.49199999999999999</v>
      </c>
    </row>
    <row r="3482" spans="1:14">
      <c r="A3482" t="s">
        <v>169</v>
      </c>
      <c r="B3482" t="str">
        <f>_xlfn.XLOOKUP(A3482,'[1]Tissue Data'!$A:$A,'[1]Tissue Data'!$C:$C)</f>
        <v>Spill</v>
      </c>
      <c r="C3482" s="2">
        <f>_xlfn.XLOOKUP(A3482,'[1]Tissue Data'!$A:$A,'[1]Tissue Data'!$D:$D)</f>
        <v>44314</v>
      </c>
      <c r="D3482" s="2" t="str">
        <f>_xlfn.XLOOKUP(A3482,'[1]Tissue Data'!$A:$A,'[1]Tissue Data'!$F:$F)</f>
        <v>Eastern Mudminnow</v>
      </c>
      <c r="E3482" t="str">
        <f>_xlfn.XLOOKUP(A3482,'[1]Tissue Data'!$A:$A,'[1]Tissue Data'!$H:$H)</f>
        <v>Umbra</v>
      </c>
      <c r="F3482" t="str">
        <f>_xlfn.XLOOKUP(A3482,'[1]Tissue Data'!$A:$A,'[1]Tissue Data'!$I:$I)</f>
        <v>pygmaea</v>
      </c>
      <c r="G3482" t="str">
        <f>_xlfn.XLOOKUP(A3482,'[1]Tissue Data'!$A:$A,'[1]Tissue Data'!J:J)</f>
        <v>U</v>
      </c>
      <c r="H3482" t="str">
        <f>_xlfn.XLOOKUP(A3482,'[1]Tissue Data'!$A:$A,'[1]Tissue Data'!K:K)</f>
        <v>Whole Body</v>
      </c>
      <c r="I3482">
        <f>_xlfn.XLOOKUP(A3482,'[1]Tissue Data'!$A:$A,'[1]Tissue Data'!L:L)</f>
        <v>5.5</v>
      </c>
      <c r="J3482">
        <f>_xlfn.XLOOKUP(A3482,'[1]Tissue Data'!$A:$A,'[1]Tissue Data'!M:M)</f>
        <v>2.15</v>
      </c>
      <c r="K3482" t="s">
        <v>42</v>
      </c>
      <c r="L3482" t="str">
        <f>_xlfn.XLOOKUP(K3482,[2]analyte_order!$B:$B,[2]analyte_order!$C:$C)</f>
        <v>2991-50-6</v>
      </c>
      <c r="M3482">
        <f>_xlfn.XLOOKUP(L3482,[2]analyte_order!$C:$C,[2]analyte_order!$E:$E)</f>
        <v>27</v>
      </c>
      <c r="N3482">
        <v>0.06</v>
      </c>
    </row>
    <row r="3483" spans="1:14">
      <c r="A3483" t="s">
        <v>169</v>
      </c>
      <c r="B3483" t="str">
        <f>_xlfn.XLOOKUP(A3483,'[1]Tissue Data'!$A:$A,'[1]Tissue Data'!$C:$C)</f>
        <v>Spill</v>
      </c>
      <c r="C3483" s="2">
        <f>_xlfn.XLOOKUP(A3483,'[1]Tissue Data'!$A:$A,'[1]Tissue Data'!$D:$D)</f>
        <v>44314</v>
      </c>
      <c r="D3483" s="2" t="str">
        <f>_xlfn.XLOOKUP(A3483,'[1]Tissue Data'!$A:$A,'[1]Tissue Data'!$F:$F)</f>
        <v>Eastern Mudminnow</v>
      </c>
      <c r="E3483" t="str">
        <f>_xlfn.XLOOKUP(A3483,'[1]Tissue Data'!$A:$A,'[1]Tissue Data'!$H:$H)</f>
        <v>Umbra</v>
      </c>
      <c r="F3483" t="str">
        <f>_xlfn.XLOOKUP(A3483,'[1]Tissue Data'!$A:$A,'[1]Tissue Data'!$I:$I)</f>
        <v>pygmaea</v>
      </c>
      <c r="G3483" t="str">
        <f>_xlfn.XLOOKUP(A3483,'[1]Tissue Data'!$A:$A,'[1]Tissue Data'!J:J)</f>
        <v>U</v>
      </c>
      <c r="H3483" t="str">
        <f>_xlfn.XLOOKUP(A3483,'[1]Tissue Data'!$A:$A,'[1]Tissue Data'!K:K)</f>
        <v>Whole Body</v>
      </c>
      <c r="I3483">
        <f>_xlfn.XLOOKUP(A3483,'[1]Tissue Data'!$A:$A,'[1]Tissue Data'!L:L)</f>
        <v>5.5</v>
      </c>
      <c r="J3483">
        <f>_xlfn.XLOOKUP(A3483,'[1]Tissue Data'!$A:$A,'[1]Tissue Data'!M:M)</f>
        <v>2.15</v>
      </c>
      <c r="K3483" t="s">
        <v>43</v>
      </c>
      <c r="L3483" t="str">
        <f>_xlfn.XLOOKUP(K3483,[2]analyte_order!$B:$B,[2]analyte_order!$C:$C)</f>
        <v>757124-72-4</v>
      </c>
      <c r="M3483">
        <f>_xlfn.XLOOKUP(L3483,[2]analyte_order!$C:$C,[2]analyte_order!$E:$E)</f>
        <v>22</v>
      </c>
      <c r="N3483">
        <v>5.6500000000000002E-2</v>
      </c>
    </row>
    <row r="3484" spans="1:14">
      <c r="A3484" t="s">
        <v>169</v>
      </c>
      <c r="B3484" t="str">
        <f>_xlfn.XLOOKUP(A3484,'[1]Tissue Data'!$A:$A,'[1]Tissue Data'!$C:$C)</f>
        <v>Spill</v>
      </c>
      <c r="C3484" s="2">
        <f>_xlfn.XLOOKUP(A3484,'[1]Tissue Data'!$A:$A,'[1]Tissue Data'!$D:$D)</f>
        <v>44314</v>
      </c>
      <c r="D3484" s="2" t="str">
        <f>_xlfn.XLOOKUP(A3484,'[1]Tissue Data'!$A:$A,'[1]Tissue Data'!$F:$F)</f>
        <v>Eastern Mudminnow</v>
      </c>
      <c r="E3484" t="str">
        <f>_xlfn.XLOOKUP(A3484,'[1]Tissue Data'!$A:$A,'[1]Tissue Data'!$H:$H)</f>
        <v>Umbra</v>
      </c>
      <c r="F3484" t="str">
        <f>_xlfn.XLOOKUP(A3484,'[1]Tissue Data'!$A:$A,'[1]Tissue Data'!$I:$I)</f>
        <v>pygmaea</v>
      </c>
      <c r="G3484" t="str">
        <f>_xlfn.XLOOKUP(A3484,'[1]Tissue Data'!$A:$A,'[1]Tissue Data'!J:J)</f>
        <v>U</v>
      </c>
      <c r="H3484" t="str">
        <f>_xlfn.XLOOKUP(A3484,'[1]Tissue Data'!$A:$A,'[1]Tissue Data'!K:K)</f>
        <v>Whole Body</v>
      </c>
      <c r="I3484">
        <f>_xlfn.XLOOKUP(A3484,'[1]Tissue Data'!$A:$A,'[1]Tissue Data'!L:L)</f>
        <v>5.5</v>
      </c>
      <c r="J3484">
        <f>_xlfn.XLOOKUP(A3484,'[1]Tissue Data'!$A:$A,'[1]Tissue Data'!M:M)</f>
        <v>2.15</v>
      </c>
      <c r="K3484" t="s">
        <v>44</v>
      </c>
      <c r="L3484" t="str">
        <f>_xlfn.XLOOKUP(K3484,[2]analyte_order!$B:$B,[2]analyte_order!$C:$C)</f>
        <v>27619-97-2</v>
      </c>
      <c r="M3484">
        <f>_xlfn.XLOOKUP(L3484,[2]analyte_order!$C:$C,[2]analyte_order!$E:$E)</f>
        <v>23</v>
      </c>
      <c r="N3484">
        <v>1.04</v>
      </c>
    </row>
    <row r="3485" spans="1:14">
      <c r="A3485" t="s">
        <v>169</v>
      </c>
      <c r="B3485" t="str">
        <f>_xlfn.XLOOKUP(A3485,'[1]Tissue Data'!$A:$A,'[1]Tissue Data'!$C:$C)</f>
        <v>Spill</v>
      </c>
      <c r="C3485" s="2">
        <f>_xlfn.XLOOKUP(A3485,'[1]Tissue Data'!$A:$A,'[1]Tissue Data'!$D:$D)</f>
        <v>44314</v>
      </c>
      <c r="D3485" s="2" t="str">
        <f>_xlfn.XLOOKUP(A3485,'[1]Tissue Data'!$A:$A,'[1]Tissue Data'!$F:$F)</f>
        <v>Eastern Mudminnow</v>
      </c>
      <c r="E3485" t="str">
        <f>_xlfn.XLOOKUP(A3485,'[1]Tissue Data'!$A:$A,'[1]Tissue Data'!$H:$H)</f>
        <v>Umbra</v>
      </c>
      <c r="F3485" t="str">
        <f>_xlfn.XLOOKUP(A3485,'[1]Tissue Data'!$A:$A,'[1]Tissue Data'!$I:$I)</f>
        <v>pygmaea</v>
      </c>
      <c r="G3485" t="str">
        <f>_xlfn.XLOOKUP(A3485,'[1]Tissue Data'!$A:$A,'[1]Tissue Data'!J:J)</f>
        <v>U</v>
      </c>
      <c r="H3485" t="str">
        <f>_xlfn.XLOOKUP(A3485,'[1]Tissue Data'!$A:$A,'[1]Tissue Data'!K:K)</f>
        <v>Whole Body</v>
      </c>
      <c r="I3485">
        <f>_xlfn.XLOOKUP(A3485,'[1]Tissue Data'!$A:$A,'[1]Tissue Data'!L:L)</f>
        <v>5.5</v>
      </c>
      <c r="J3485">
        <f>_xlfn.XLOOKUP(A3485,'[1]Tissue Data'!$A:$A,'[1]Tissue Data'!M:M)</f>
        <v>2.15</v>
      </c>
      <c r="K3485" t="s">
        <v>45</v>
      </c>
      <c r="L3485" t="str">
        <f>_xlfn.XLOOKUP(K3485,[2]analyte_order!$B:$B,[2]analyte_order!$C:$C)</f>
        <v>39108-34-4</v>
      </c>
      <c r="M3485">
        <f>_xlfn.XLOOKUP(L3485,[2]analyte_order!$C:$C,[2]analyte_order!$E:$E)</f>
        <v>24</v>
      </c>
      <c r="N3485">
        <v>1.06</v>
      </c>
    </row>
    <row r="3486" spans="1:14">
      <c r="A3486" t="s">
        <v>169</v>
      </c>
      <c r="B3486" t="str">
        <f>_xlfn.XLOOKUP(A3486,'[1]Tissue Data'!$A:$A,'[1]Tissue Data'!$C:$C)</f>
        <v>Spill</v>
      </c>
      <c r="C3486" s="2">
        <f>_xlfn.XLOOKUP(A3486,'[1]Tissue Data'!$A:$A,'[1]Tissue Data'!$D:$D)</f>
        <v>44314</v>
      </c>
      <c r="D3486" s="2" t="str">
        <f>_xlfn.XLOOKUP(A3486,'[1]Tissue Data'!$A:$A,'[1]Tissue Data'!$F:$F)</f>
        <v>Eastern Mudminnow</v>
      </c>
      <c r="E3486" t="str">
        <f>_xlfn.XLOOKUP(A3486,'[1]Tissue Data'!$A:$A,'[1]Tissue Data'!$H:$H)</f>
        <v>Umbra</v>
      </c>
      <c r="F3486" t="str">
        <f>_xlfn.XLOOKUP(A3486,'[1]Tissue Data'!$A:$A,'[1]Tissue Data'!$I:$I)</f>
        <v>pygmaea</v>
      </c>
      <c r="G3486" t="str">
        <f>_xlfn.XLOOKUP(A3486,'[1]Tissue Data'!$A:$A,'[1]Tissue Data'!J:J)</f>
        <v>U</v>
      </c>
      <c r="H3486" t="str">
        <f>_xlfn.XLOOKUP(A3486,'[1]Tissue Data'!$A:$A,'[1]Tissue Data'!K:K)</f>
        <v>Whole Body</v>
      </c>
      <c r="I3486">
        <f>_xlfn.XLOOKUP(A3486,'[1]Tissue Data'!$A:$A,'[1]Tissue Data'!L:L)</f>
        <v>5.5</v>
      </c>
      <c r="J3486">
        <f>_xlfn.XLOOKUP(A3486,'[1]Tissue Data'!$A:$A,'[1]Tissue Data'!M:M)</f>
        <v>2.15</v>
      </c>
      <c r="K3486" t="s">
        <v>46</v>
      </c>
      <c r="L3486" t="str">
        <f>_xlfn.XLOOKUP(K3486,[2]analyte_order!$B:$B,[2]analyte_order!$C:$C)</f>
        <v>120226-60-0</v>
      </c>
      <c r="M3486">
        <f>_xlfn.XLOOKUP(L3486,[2]analyte_order!$C:$C,[2]analyte_order!$E:$E)</f>
        <v>25</v>
      </c>
      <c r="N3486">
        <v>0.25850000000000001</v>
      </c>
    </row>
    <row r="3487" spans="1:14">
      <c r="A3487" t="s">
        <v>169</v>
      </c>
      <c r="B3487" t="str">
        <f>_xlfn.XLOOKUP(A3487,'[1]Tissue Data'!$A:$A,'[1]Tissue Data'!$C:$C)</f>
        <v>Spill</v>
      </c>
      <c r="C3487" s="2">
        <f>_xlfn.XLOOKUP(A3487,'[1]Tissue Data'!$A:$A,'[1]Tissue Data'!$D:$D)</f>
        <v>44314</v>
      </c>
      <c r="D3487" s="2" t="str">
        <f>_xlfn.XLOOKUP(A3487,'[1]Tissue Data'!$A:$A,'[1]Tissue Data'!$F:$F)</f>
        <v>Eastern Mudminnow</v>
      </c>
      <c r="E3487" t="str">
        <f>_xlfn.XLOOKUP(A3487,'[1]Tissue Data'!$A:$A,'[1]Tissue Data'!$H:$H)</f>
        <v>Umbra</v>
      </c>
      <c r="F3487" t="str">
        <f>_xlfn.XLOOKUP(A3487,'[1]Tissue Data'!$A:$A,'[1]Tissue Data'!$I:$I)</f>
        <v>pygmaea</v>
      </c>
      <c r="G3487" t="str">
        <f>_xlfn.XLOOKUP(A3487,'[1]Tissue Data'!$A:$A,'[1]Tissue Data'!J:J)</f>
        <v>U</v>
      </c>
      <c r="H3487" t="str">
        <f>_xlfn.XLOOKUP(A3487,'[1]Tissue Data'!$A:$A,'[1]Tissue Data'!K:K)</f>
        <v>Whole Body</v>
      </c>
      <c r="I3487">
        <f>_xlfn.XLOOKUP(A3487,'[1]Tissue Data'!$A:$A,'[1]Tissue Data'!L:L)</f>
        <v>5.5</v>
      </c>
      <c r="J3487">
        <f>_xlfn.XLOOKUP(A3487,'[1]Tissue Data'!$A:$A,'[1]Tissue Data'!M:M)</f>
        <v>2.15</v>
      </c>
      <c r="K3487" t="s">
        <v>47</v>
      </c>
      <c r="L3487" t="str">
        <f>_xlfn.XLOOKUP(K3487,[2]analyte_order!$B:$B,[2]analyte_order!$C:$C)</f>
        <v>356-02-5</v>
      </c>
      <c r="M3487">
        <f>_xlfn.XLOOKUP(L3487,[2]analyte_order!$C:$C,[2]analyte_order!$E:$E)</f>
        <v>38</v>
      </c>
      <c r="N3487">
        <v>7.9500000000000001E-2</v>
      </c>
    </row>
    <row r="3488" spans="1:14">
      <c r="A3488" t="s">
        <v>169</v>
      </c>
      <c r="B3488" t="str">
        <f>_xlfn.XLOOKUP(A3488,'[1]Tissue Data'!$A:$A,'[1]Tissue Data'!$C:$C)</f>
        <v>Spill</v>
      </c>
      <c r="C3488" s="2">
        <f>_xlfn.XLOOKUP(A3488,'[1]Tissue Data'!$A:$A,'[1]Tissue Data'!$D:$D)</f>
        <v>44314</v>
      </c>
      <c r="D3488" s="2" t="str">
        <f>_xlfn.XLOOKUP(A3488,'[1]Tissue Data'!$A:$A,'[1]Tissue Data'!$F:$F)</f>
        <v>Eastern Mudminnow</v>
      </c>
      <c r="E3488" t="str">
        <f>_xlfn.XLOOKUP(A3488,'[1]Tissue Data'!$A:$A,'[1]Tissue Data'!$H:$H)</f>
        <v>Umbra</v>
      </c>
      <c r="F3488" t="str">
        <f>_xlfn.XLOOKUP(A3488,'[1]Tissue Data'!$A:$A,'[1]Tissue Data'!$I:$I)</f>
        <v>pygmaea</v>
      </c>
      <c r="G3488" t="str">
        <f>_xlfn.XLOOKUP(A3488,'[1]Tissue Data'!$A:$A,'[1]Tissue Data'!J:J)</f>
        <v>U</v>
      </c>
      <c r="H3488" t="str">
        <f>_xlfn.XLOOKUP(A3488,'[1]Tissue Data'!$A:$A,'[1]Tissue Data'!K:K)</f>
        <v>Whole Body</v>
      </c>
      <c r="I3488">
        <f>_xlfn.XLOOKUP(A3488,'[1]Tissue Data'!$A:$A,'[1]Tissue Data'!L:L)</f>
        <v>5.5</v>
      </c>
      <c r="J3488">
        <f>_xlfn.XLOOKUP(A3488,'[1]Tissue Data'!$A:$A,'[1]Tissue Data'!M:M)</f>
        <v>2.15</v>
      </c>
      <c r="K3488" t="s">
        <v>48</v>
      </c>
      <c r="L3488" t="str">
        <f>_xlfn.XLOOKUP(K3488,[2]analyte_order!$B:$B,[2]analyte_order!$C:$C)</f>
        <v>914637-49-3</v>
      </c>
      <c r="M3488">
        <f>_xlfn.XLOOKUP(L3488,[2]analyte_order!$C:$C,[2]analyte_order!$E:$E)</f>
        <v>39</v>
      </c>
      <c r="N3488">
        <v>2.89</v>
      </c>
    </row>
    <row r="3489" spans="1:14">
      <c r="A3489" t="s">
        <v>169</v>
      </c>
      <c r="B3489" t="str">
        <f>_xlfn.XLOOKUP(A3489,'[1]Tissue Data'!$A:$A,'[1]Tissue Data'!$C:$C)</f>
        <v>Spill</v>
      </c>
      <c r="C3489" s="2">
        <f>_xlfn.XLOOKUP(A3489,'[1]Tissue Data'!$A:$A,'[1]Tissue Data'!$D:$D)</f>
        <v>44314</v>
      </c>
      <c r="D3489" s="2" t="str">
        <f>_xlfn.XLOOKUP(A3489,'[1]Tissue Data'!$A:$A,'[1]Tissue Data'!$F:$F)</f>
        <v>Eastern Mudminnow</v>
      </c>
      <c r="E3489" t="str">
        <f>_xlfn.XLOOKUP(A3489,'[1]Tissue Data'!$A:$A,'[1]Tissue Data'!$H:$H)</f>
        <v>Umbra</v>
      </c>
      <c r="F3489" t="str">
        <f>_xlfn.XLOOKUP(A3489,'[1]Tissue Data'!$A:$A,'[1]Tissue Data'!$I:$I)</f>
        <v>pygmaea</v>
      </c>
      <c r="G3489" t="str">
        <f>_xlfn.XLOOKUP(A3489,'[1]Tissue Data'!$A:$A,'[1]Tissue Data'!J:J)</f>
        <v>U</v>
      </c>
      <c r="H3489" t="str">
        <f>_xlfn.XLOOKUP(A3489,'[1]Tissue Data'!$A:$A,'[1]Tissue Data'!K:K)</f>
        <v>Whole Body</v>
      </c>
      <c r="I3489">
        <f>_xlfn.XLOOKUP(A3489,'[1]Tissue Data'!$A:$A,'[1]Tissue Data'!L:L)</f>
        <v>5.5</v>
      </c>
      <c r="J3489">
        <f>_xlfn.XLOOKUP(A3489,'[1]Tissue Data'!$A:$A,'[1]Tissue Data'!M:M)</f>
        <v>2.15</v>
      </c>
      <c r="K3489" t="s">
        <v>49</v>
      </c>
      <c r="L3489" t="str">
        <f>_xlfn.XLOOKUP(K3489,[2]analyte_order!$B:$B,[2]analyte_order!$C:$C)</f>
        <v>812-70-4</v>
      </c>
      <c r="M3489">
        <f>_xlfn.XLOOKUP(L3489,[2]analyte_order!$C:$C,[2]analyte_order!$E:$E)</f>
        <v>40</v>
      </c>
      <c r="N3489">
        <v>47.3</v>
      </c>
    </row>
    <row r="3490" spans="1:14">
      <c r="A3490" t="s">
        <v>169</v>
      </c>
      <c r="B3490" t="str">
        <f>_xlfn.XLOOKUP(A3490,'[1]Tissue Data'!$A:$A,'[1]Tissue Data'!$C:$C)</f>
        <v>Spill</v>
      </c>
      <c r="C3490" s="2">
        <f>_xlfn.XLOOKUP(A3490,'[1]Tissue Data'!$A:$A,'[1]Tissue Data'!$D:$D)</f>
        <v>44314</v>
      </c>
      <c r="D3490" s="2" t="str">
        <f>_xlfn.XLOOKUP(A3490,'[1]Tissue Data'!$A:$A,'[1]Tissue Data'!$F:$F)</f>
        <v>Eastern Mudminnow</v>
      </c>
      <c r="E3490" t="str">
        <f>_xlfn.XLOOKUP(A3490,'[1]Tissue Data'!$A:$A,'[1]Tissue Data'!$H:$H)</f>
        <v>Umbra</v>
      </c>
      <c r="F3490" t="str">
        <f>_xlfn.XLOOKUP(A3490,'[1]Tissue Data'!$A:$A,'[1]Tissue Data'!$I:$I)</f>
        <v>pygmaea</v>
      </c>
      <c r="G3490" t="str">
        <f>_xlfn.XLOOKUP(A3490,'[1]Tissue Data'!$A:$A,'[1]Tissue Data'!J:J)</f>
        <v>U</v>
      </c>
      <c r="H3490" t="str">
        <f>_xlfn.XLOOKUP(A3490,'[1]Tissue Data'!$A:$A,'[1]Tissue Data'!K:K)</f>
        <v>Whole Body</v>
      </c>
      <c r="I3490">
        <f>_xlfn.XLOOKUP(A3490,'[1]Tissue Data'!$A:$A,'[1]Tissue Data'!L:L)</f>
        <v>5.5</v>
      </c>
      <c r="J3490">
        <f>_xlfn.XLOOKUP(A3490,'[1]Tissue Data'!$A:$A,'[1]Tissue Data'!M:M)</f>
        <v>2.15</v>
      </c>
      <c r="K3490" t="s">
        <v>50</v>
      </c>
      <c r="L3490" t="str">
        <f>_xlfn.XLOOKUP(K3490,[2]analyte_order!$B:$B,[2]analyte_order!$C:$C)</f>
        <v>53826-12-3</v>
      </c>
      <c r="M3490">
        <f>_xlfn.XLOOKUP(L3490,[2]analyte_order!$C:$C,[2]analyte_order!$E:$E)</f>
        <v>41</v>
      </c>
      <c r="N3490">
        <v>0.92200000000000004</v>
      </c>
    </row>
    <row r="3491" spans="1:14">
      <c r="A3491" t="s">
        <v>169</v>
      </c>
      <c r="B3491" t="str">
        <f>_xlfn.XLOOKUP(A3491,'[1]Tissue Data'!$A:$A,'[1]Tissue Data'!$C:$C)</f>
        <v>Spill</v>
      </c>
      <c r="C3491" s="2">
        <f>_xlfn.XLOOKUP(A3491,'[1]Tissue Data'!$A:$A,'[1]Tissue Data'!$D:$D)</f>
        <v>44314</v>
      </c>
      <c r="D3491" s="2" t="str">
        <f>_xlfn.XLOOKUP(A3491,'[1]Tissue Data'!$A:$A,'[1]Tissue Data'!$F:$F)</f>
        <v>Eastern Mudminnow</v>
      </c>
      <c r="E3491" t="str">
        <f>_xlfn.XLOOKUP(A3491,'[1]Tissue Data'!$A:$A,'[1]Tissue Data'!$H:$H)</f>
        <v>Umbra</v>
      </c>
      <c r="F3491" t="str">
        <f>_xlfn.XLOOKUP(A3491,'[1]Tissue Data'!$A:$A,'[1]Tissue Data'!$I:$I)</f>
        <v>pygmaea</v>
      </c>
      <c r="G3491" t="str">
        <f>_xlfn.XLOOKUP(A3491,'[1]Tissue Data'!$A:$A,'[1]Tissue Data'!J:J)</f>
        <v>U</v>
      </c>
      <c r="H3491" t="str">
        <f>_xlfn.XLOOKUP(A3491,'[1]Tissue Data'!$A:$A,'[1]Tissue Data'!K:K)</f>
        <v>Whole Body</v>
      </c>
      <c r="I3491">
        <f>_xlfn.XLOOKUP(A3491,'[1]Tissue Data'!$A:$A,'[1]Tissue Data'!L:L)</f>
        <v>5.5</v>
      </c>
      <c r="J3491">
        <f>_xlfn.XLOOKUP(A3491,'[1]Tissue Data'!$A:$A,'[1]Tissue Data'!M:M)</f>
        <v>2.15</v>
      </c>
      <c r="K3491" t="s">
        <v>51</v>
      </c>
      <c r="L3491" t="str">
        <f>_xlfn.XLOOKUP(K3491,[2]analyte_order!$B:$B,[2]analyte_order!$C:$C)</f>
        <v>27854-31-5</v>
      </c>
      <c r="M3491">
        <f>_xlfn.XLOOKUP(L3491,[2]analyte_order!$C:$C,[2]analyte_order!$E:$E)</f>
        <v>42</v>
      </c>
      <c r="N3491">
        <v>7.26</v>
      </c>
    </row>
    <row r="3492" spans="1:14">
      <c r="A3492" t="s">
        <v>169</v>
      </c>
      <c r="B3492" t="str">
        <f>_xlfn.XLOOKUP(A3492,'[1]Tissue Data'!$A:$A,'[1]Tissue Data'!$C:$C)</f>
        <v>Spill</v>
      </c>
      <c r="C3492" s="2">
        <f>_xlfn.XLOOKUP(A3492,'[1]Tissue Data'!$A:$A,'[1]Tissue Data'!$D:$D)</f>
        <v>44314</v>
      </c>
      <c r="D3492" s="2" t="str">
        <f>_xlfn.XLOOKUP(A3492,'[1]Tissue Data'!$A:$A,'[1]Tissue Data'!$F:$F)</f>
        <v>Eastern Mudminnow</v>
      </c>
      <c r="E3492" t="str">
        <f>_xlfn.XLOOKUP(A3492,'[1]Tissue Data'!$A:$A,'[1]Tissue Data'!$H:$H)</f>
        <v>Umbra</v>
      </c>
      <c r="F3492" t="str">
        <f>_xlfn.XLOOKUP(A3492,'[1]Tissue Data'!$A:$A,'[1]Tissue Data'!$I:$I)</f>
        <v>pygmaea</v>
      </c>
      <c r="G3492" t="str">
        <f>_xlfn.XLOOKUP(A3492,'[1]Tissue Data'!$A:$A,'[1]Tissue Data'!J:J)</f>
        <v>U</v>
      </c>
      <c r="H3492" t="str">
        <f>_xlfn.XLOOKUP(A3492,'[1]Tissue Data'!$A:$A,'[1]Tissue Data'!K:K)</f>
        <v>Whole Body</v>
      </c>
      <c r="I3492">
        <f>_xlfn.XLOOKUP(A3492,'[1]Tissue Data'!$A:$A,'[1]Tissue Data'!L:L)</f>
        <v>5.5</v>
      </c>
      <c r="J3492">
        <f>_xlfn.XLOOKUP(A3492,'[1]Tissue Data'!$A:$A,'[1]Tissue Data'!M:M)</f>
        <v>2.15</v>
      </c>
      <c r="K3492" t="s">
        <v>52</v>
      </c>
      <c r="L3492" t="str">
        <f>_xlfn.XLOOKUP(K3492,[2]analyte_order!$B:$B,[2]analyte_order!$C:$C)</f>
        <v>53826-13-4</v>
      </c>
      <c r="M3492">
        <f>_xlfn.XLOOKUP(L3492,[2]analyte_order!$C:$C,[2]analyte_order!$E:$E)</f>
        <v>43</v>
      </c>
      <c r="N3492">
        <v>0.10299999999999999</v>
      </c>
    </row>
    <row r="3493" spans="1:14">
      <c r="A3493" t="s">
        <v>169</v>
      </c>
      <c r="B3493" t="str">
        <f>_xlfn.XLOOKUP(A3493,'[1]Tissue Data'!$A:$A,'[1]Tissue Data'!$C:$C)</f>
        <v>Spill</v>
      </c>
      <c r="C3493" s="2">
        <f>_xlfn.XLOOKUP(A3493,'[1]Tissue Data'!$A:$A,'[1]Tissue Data'!$D:$D)</f>
        <v>44314</v>
      </c>
      <c r="D3493" s="2" t="str">
        <f>_xlfn.XLOOKUP(A3493,'[1]Tissue Data'!$A:$A,'[1]Tissue Data'!$F:$F)</f>
        <v>Eastern Mudminnow</v>
      </c>
      <c r="E3493" t="str">
        <f>_xlfn.XLOOKUP(A3493,'[1]Tissue Data'!$A:$A,'[1]Tissue Data'!$H:$H)</f>
        <v>Umbra</v>
      </c>
      <c r="F3493" t="str">
        <f>_xlfn.XLOOKUP(A3493,'[1]Tissue Data'!$A:$A,'[1]Tissue Data'!$I:$I)</f>
        <v>pygmaea</v>
      </c>
      <c r="G3493" t="str">
        <f>_xlfn.XLOOKUP(A3493,'[1]Tissue Data'!$A:$A,'[1]Tissue Data'!J:J)</f>
        <v>U</v>
      </c>
      <c r="H3493" t="str">
        <f>_xlfn.XLOOKUP(A3493,'[1]Tissue Data'!$A:$A,'[1]Tissue Data'!K:K)</f>
        <v>Whole Body</v>
      </c>
      <c r="I3493">
        <f>_xlfn.XLOOKUP(A3493,'[1]Tissue Data'!$A:$A,'[1]Tissue Data'!L:L)</f>
        <v>5.5</v>
      </c>
      <c r="J3493">
        <f>_xlfn.XLOOKUP(A3493,'[1]Tissue Data'!$A:$A,'[1]Tissue Data'!M:M)</f>
        <v>2.15</v>
      </c>
      <c r="K3493" t="s">
        <v>53</v>
      </c>
      <c r="L3493" t="str">
        <f>_xlfn.XLOOKUP(K3493,[2]analyte_order!$B:$B,[2]analyte_order!$C:$C)</f>
        <v>161094-75-3</v>
      </c>
      <c r="M3493">
        <f>_xlfn.XLOOKUP(L3493,[2]analyte_order!$C:$C,[2]analyte_order!$E:$E)</f>
        <v>44</v>
      </c>
      <c r="N3493">
        <v>5.3999999999999999E-2</v>
      </c>
    </row>
    <row r="3494" spans="1:14">
      <c r="A3494" t="s">
        <v>169</v>
      </c>
      <c r="B3494" t="str">
        <f>_xlfn.XLOOKUP(A3494,'[1]Tissue Data'!$A:$A,'[1]Tissue Data'!$C:$C)</f>
        <v>Spill</v>
      </c>
      <c r="C3494" s="2">
        <f>_xlfn.XLOOKUP(A3494,'[1]Tissue Data'!$A:$A,'[1]Tissue Data'!$D:$D)</f>
        <v>44314</v>
      </c>
      <c r="D3494" s="2" t="str">
        <f>_xlfn.XLOOKUP(A3494,'[1]Tissue Data'!$A:$A,'[1]Tissue Data'!$F:$F)</f>
        <v>Eastern Mudminnow</v>
      </c>
      <c r="E3494" t="str">
        <f>_xlfn.XLOOKUP(A3494,'[1]Tissue Data'!$A:$A,'[1]Tissue Data'!$H:$H)</f>
        <v>Umbra</v>
      </c>
      <c r="F3494" t="str">
        <f>_xlfn.XLOOKUP(A3494,'[1]Tissue Data'!$A:$A,'[1]Tissue Data'!$I:$I)</f>
        <v>pygmaea</v>
      </c>
      <c r="G3494" t="str">
        <f>_xlfn.XLOOKUP(A3494,'[1]Tissue Data'!$A:$A,'[1]Tissue Data'!J:J)</f>
        <v>U</v>
      </c>
      <c r="H3494" t="str">
        <f>_xlfn.XLOOKUP(A3494,'[1]Tissue Data'!$A:$A,'[1]Tissue Data'!K:K)</f>
        <v>Whole Body</v>
      </c>
      <c r="I3494">
        <f>_xlfn.XLOOKUP(A3494,'[1]Tissue Data'!$A:$A,'[1]Tissue Data'!L:L)</f>
        <v>5.5</v>
      </c>
      <c r="J3494">
        <f>_xlfn.XLOOKUP(A3494,'[1]Tissue Data'!$A:$A,'[1]Tissue Data'!M:M)</f>
        <v>2.15</v>
      </c>
      <c r="K3494" t="s">
        <v>54</v>
      </c>
      <c r="L3494" t="str">
        <f>_xlfn.XLOOKUP(K3494,[2]analyte_order!$B:$B,[2]analyte_order!$C:$C)</f>
        <v>70887-84-2</v>
      </c>
      <c r="M3494">
        <f>_xlfn.XLOOKUP(L3494,[2]analyte_order!$C:$C,[2]analyte_order!$E:$E)</f>
        <v>45</v>
      </c>
      <c r="N3494">
        <v>4.165E-2</v>
      </c>
    </row>
    <row r="3495" spans="1:14">
      <c r="A3495" t="s">
        <v>169</v>
      </c>
      <c r="B3495" t="str">
        <f>_xlfn.XLOOKUP(A3495,'[1]Tissue Data'!$A:$A,'[1]Tissue Data'!$C:$C)</f>
        <v>Spill</v>
      </c>
      <c r="C3495" s="2">
        <f>_xlfn.XLOOKUP(A3495,'[1]Tissue Data'!$A:$A,'[1]Tissue Data'!$D:$D)</f>
        <v>44314</v>
      </c>
      <c r="D3495" s="2" t="str">
        <f>_xlfn.XLOOKUP(A3495,'[1]Tissue Data'!$A:$A,'[1]Tissue Data'!$F:$F)</f>
        <v>Eastern Mudminnow</v>
      </c>
      <c r="E3495" t="str">
        <f>_xlfn.XLOOKUP(A3495,'[1]Tissue Data'!$A:$A,'[1]Tissue Data'!$H:$H)</f>
        <v>Umbra</v>
      </c>
      <c r="F3495" t="str">
        <f>_xlfn.XLOOKUP(A3495,'[1]Tissue Data'!$A:$A,'[1]Tissue Data'!$I:$I)</f>
        <v>pygmaea</v>
      </c>
      <c r="G3495" t="str">
        <f>_xlfn.XLOOKUP(A3495,'[1]Tissue Data'!$A:$A,'[1]Tissue Data'!J:J)</f>
        <v>U</v>
      </c>
      <c r="H3495" t="str">
        <f>_xlfn.XLOOKUP(A3495,'[1]Tissue Data'!$A:$A,'[1]Tissue Data'!K:K)</f>
        <v>Whole Body</v>
      </c>
      <c r="I3495">
        <f>_xlfn.XLOOKUP(A3495,'[1]Tissue Data'!$A:$A,'[1]Tissue Data'!L:L)</f>
        <v>5.5</v>
      </c>
      <c r="J3495">
        <f>_xlfn.XLOOKUP(A3495,'[1]Tissue Data'!$A:$A,'[1]Tissue Data'!M:M)</f>
        <v>2.15</v>
      </c>
      <c r="K3495" t="s">
        <v>55</v>
      </c>
      <c r="L3495" t="str">
        <f>_xlfn.XLOOKUP(K3495,[2]analyte_order!$B:$B,[2]analyte_order!$C:$C)</f>
        <v>919005-14-4</v>
      </c>
      <c r="M3495">
        <f>_xlfn.XLOOKUP(L3495,[2]analyte_order!$C:$C,[2]analyte_order!$E:$E)</f>
        <v>35</v>
      </c>
      <c r="N3495">
        <v>6.9000000000000006E-2</v>
      </c>
    </row>
    <row r="3496" spans="1:14">
      <c r="A3496" t="s">
        <v>169</v>
      </c>
      <c r="B3496" t="str">
        <f>_xlfn.XLOOKUP(A3496,'[1]Tissue Data'!$A:$A,'[1]Tissue Data'!$C:$C)</f>
        <v>Spill</v>
      </c>
      <c r="C3496" s="2">
        <f>_xlfn.XLOOKUP(A3496,'[1]Tissue Data'!$A:$A,'[1]Tissue Data'!$D:$D)</f>
        <v>44314</v>
      </c>
      <c r="D3496" s="2" t="str">
        <f>_xlfn.XLOOKUP(A3496,'[1]Tissue Data'!$A:$A,'[1]Tissue Data'!$F:$F)</f>
        <v>Eastern Mudminnow</v>
      </c>
      <c r="E3496" t="str">
        <f>_xlfn.XLOOKUP(A3496,'[1]Tissue Data'!$A:$A,'[1]Tissue Data'!$H:$H)</f>
        <v>Umbra</v>
      </c>
      <c r="F3496" t="str">
        <f>_xlfn.XLOOKUP(A3496,'[1]Tissue Data'!$A:$A,'[1]Tissue Data'!$I:$I)</f>
        <v>pygmaea</v>
      </c>
      <c r="G3496" t="str">
        <f>_xlfn.XLOOKUP(A3496,'[1]Tissue Data'!$A:$A,'[1]Tissue Data'!J:J)</f>
        <v>U</v>
      </c>
      <c r="H3496" t="str">
        <f>_xlfn.XLOOKUP(A3496,'[1]Tissue Data'!$A:$A,'[1]Tissue Data'!K:K)</f>
        <v>Whole Body</v>
      </c>
      <c r="I3496">
        <f>_xlfn.XLOOKUP(A3496,'[1]Tissue Data'!$A:$A,'[1]Tissue Data'!L:L)</f>
        <v>5.5</v>
      </c>
      <c r="J3496">
        <f>_xlfn.XLOOKUP(A3496,'[1]Tissue Data'!$A:$A,'[1]Tissue Data'!M:M)</f>
        <v>2.15</v>
      </c>
      <c r="K3496" t="s">
        <v>56</v>
      </c>
      <c r="L3496" t="str">
        <f>_xlfn.XLOOKUP(K3496,[2]analyte_order!$B:$B,[2]analyte_order!$C:$C)</f>
        <v>756426-58-1</v>
      </c>
      <c r="M3496">
        <f>_xlfn.XLOOKUP(L3496,[2]analyte_order!$C:$C,[2]analyte_order!$E:$E)</f>
        <v>36</v>
      </c>
      <c r="N3496">
        <v>6.9000000000000006E-2</v>
      </c>
    </row>
    <row r="3497" spans="1:14">
      <c r="A3497" t="s">
        <v>169</v>
      </c>
      <c r="B3497" t="str">
        <f>_xlfn.XLOOKUP(A3497,'[1]Tissue Data'!$A:$A,'[1]Tissue Data'!$C:$C)</f>
        <v>Spill</v>
      </c>
      <c r="C3497" s="2">
        <f>_xlfn.XLOOKUP(A3497,'[1]Tissue Data'!$A:$A,'[1]Tissue Data'!$D:$D)</f>
        <v>44314</v>
      </c>
      <c r="D3497" s="2" t="str">
        <f>_xlfn.XLOOKUP(A3497,'[1]Tissue Data'!$A:$A,'[1]Tissue Data'!$F:$F)</f>
        <v>Eastern Mudminnow</v>
      </c>
      <c r="E3497" t="str">
        <f>_xlfn.XLOOKUP(A3497,'[1]Tissue Data'!$A:$A,'[1]Tissue Data'!$H:$H)</f>
        <v>Umbra</v>
      </c>
      <c r="F3497" t="str">
        <f>_xlfn.XLOOKUP(A3497,'[1]Tissue Data'!$A:$A,'[1]Tissue Data'!$I:$I)</f>
        <v>pygmaea</v>
      </c>
      <c r="G3497" t="str">
        <f>_xlfn.XLOOKUP(A3497,'[1]Tissue Data'!$A:$A,'[1]Tissue Data'!J:J)</f>
        <v>U</v>
      </c>
      <c r="H3497" t="str">
        <f>_xlfn.XLOOKUP(A3497,'[1]Tissue Data'!$A:$A,'[1]Tissue Data'!K:K)</f>
        <v>Whole Body</v>
      </c>
      <c r="I3497">
        <f>_xlfn.XLOOKUP(A3497,'[1]Tissue Data'!$A:$A,'[1]Tissue Data'!L:L)</f>
        <v>5.5</v>
      </c>
      <c r="J3497">
        <f>_xlfn.XLOOKUP(A3497,'[1]Tissue Data'!$A:$A,'[1]Tissue Data'!M:M)</f>
        <v>2.15</v>
      </c>
      <c r="K3497" t="s">
        <v>57</v>
      </c>
      <c r="L3497" t="str">
        <f>_xlfn.XLOOKUP(K3497,[2]analyte_order!$B:$B,[2]analyte_order!$C:$C)</f>
        <v>763051-92-9</v>
      </c>
      <c r="M3497">
        <f>_xlfn.XLOOKUP(L3497,[2]analyte_order!$C:$C,[2]analyte_order!$E:$E)</f>
        <v>37</v>
      </c>
      <c r="N3497">
        <v>6.9000000000000006E-2</v>
      </c>
    </row>
    <row r="3498" spans="1:14">
      <c r="A3498" t="s">
        <v>169</v>
      </c>
      <c r="B3498" t="str">
        <f>_xlfn.XLOOKUP(A3498,'[1]Tissue Data'!$A:$A,'[1]Tissue Data'!$C:$C)</f>
        <v>Spill</v>
      </c>
      <c r="C3498" s="2">
        <f>_xlfn.XLOOKUP(A3498,'[1]Tissue Data'!$A:$A,'[1]Tissue Data'!$D:$D)</f>
        <v>44314</v>
      </c>
      <c r="D3498" s="2" t="str">
        <f>_xlfn.XLOOKUP(A3498,'[1]Tissue Data'!$A:$A,'[1]Tissue Data'!$F:$F)</f>
        <v>Eastern Mudminnow</v>
      </c>
      <c r="E3498" t="str">
        <f>_xlfn.XLOOKUP(A3498,'[1]Tissue Data'!$A:$A,'[1]Tissue Data'!$H:$H)</f>
        <v>Umbra</v>
      </c>
      <c r="F3498" t="str">
        <f>_xlfn.XLOOKUP(A3498,'[1]Tissue Data'!$A:$A,'[1]Tissue Data'!$I:$I)</f>
        <v>pygmaea</v>
      </c>
      <c r="G3498" t="str">
        <f>_xlfn.XLOOKUP(A3498,'[1]Tissue Data'!$A:$A,'[1]Tissue Data'!J:J)</f>
        <v>U</v>
      </c>
      <c r="H3498" t="str">
        <f>_xlfn.XLOOKUP(A3498,'[1]Tissue Data'!$A:$A,'[1]Tissue Data'!K:K)</f>
        <v>Whole Body</v>
      </c>
      <c r="I3498">
        <f>_xlfn.XLOOKUP(A3498,'[1]Tissue Data'!$A:$A,'[1]Tissue Data'!L:L)</f>
        <v>5.5</v>
      </c>
      <c r="J3498">
        <f>_xlfn.XLOOKUP(A3498,'[1]Tissue Data'!$A:$A,'[1]Tissue Data'!M:M)</f>
        <v>2.15</v>
      </c>
      <c r="K3498" t="s">
        <v>58</v>
      </c>
      <c r="L3498" t="str">
        <f>_xlfn.XLOOKUP(K3498,[2]analyte_order!$B:$B,[2]analyte_order!$C:$C)</f>
        <v>13252-13-6</v>
      </c>
      <c r="M3498">
        <f>_xlfn.XLOOKUP(L3498,[2]analyte_order!$C:$C,[2]analyte_order!$E:$E)</f>
        <v>34</v>
      </c>
      <c r="N3498">
        <v>9.9000000000000005E-2</v>
      </c>
    </row>
    <row r="3499" spans="1:14">
      <c r="A3499" t="s">
        <v>169</v>
      </c>
      <c r="B3499" t="str">
        <f>_xlfn.XLOOKUP(A3499,'[1]Tissue Data'!$A:$A,'[1]Tissue Data'!$C:$C)</f>
        <v>Spill</v>
      </c>
      <c r="C3499" s="2">
        <f>_xlfn.XLOOKUP(A3499,'[1]Tissue Data'!$A:$A,'[1]Tissue Data'!$D:$D)</f>
        <v>44314</v>
      </c>
      <c r="D3499" s="2" t="str">
        <f>_xlfn.XLOOKUP(A3499,'[1]Tissue Data'!$A:$A,'[1]Tissue Data'!$F:$F)</f>
        <v>Eastern Mudminnow</v>
      </c>
      <c r="E3499" t="str">
        <f>_xlfn.XLOOKUP(A3499,'[1]Tissue Data'!$A:$A,'[1]Tissue Data'!$H:$H)</f>
        <v>Umbra</v>
      </c>
      <c r="F3499" t="str">
        <f>_xlfn.XLOOKUP(A3499,'[1]Tissue Data'!$A:$A,'[1]Tissue Data'!$I:$I)</f>
        <v>pygmaea</v>
      </c>
      <c r="G3499" t="str">
        <f>_xlfn.XLOOKUP(A3499,'[1]Tissue Data'!$A:$A,'[1]Tissue Data'!J:J)</f>
        <v>U</v>
      </c>
      <c r="H3499" t="str">
        <f>_xlfn.XLOOKUP(A3499,'[1]Tissue Data'!$A:$A,'[1]Tissue Data'!K:K)</f>
        <v>Whole Body</v>
      </c>
      <c r="I3499">
        <f>_xlfn.XLOOKUP(A3499,'[1]Tissue Data'!$A:$A,'[1]Tissue Data'!L:L)</f>
        <v>5.5</v>
      </c>
      <c r="J3499">
        <f>_xlfn.XLOOKUP(A3499,'[1]Tissue Data'!$A:$A,'[1]Tissue Data'!M:M)</f>
        <v>2.15</v>
      </c>
      <c r="K3499" t="s">
        <v>59</v>
      </c>
      <c r="L3499" t="str">
        <f>_xlfn.XLOOKUP(K3499,[2]analyte_order!$B:$B,[2]analyte_order!$C:$C)</f>
        <v>57677-95-9</v>
      </c>
      <c r="M3499">
        <f>_xlfn.XLOOKUP(L3499,[2]analyte_order!$C:$C,[2]analyte_order!$E:$E)</f>
        <v>46</v>
      </c>
      <c r="N3499">
        <v>7.3499999999999996E-2</v>
      </c>
    </row>
    <row r="3500" spans="1:14">
      <c r="A3500" t="s">
        <v>169</v>
      </c>
      <c r="B3500" t="str">
        <f>_xlfn.XLOOKUP(A3500,'[1]Tissue Data'!$A:$A,'[1]Tissue Data'!$C:$C)</f>
        <v>Spill</v>
      </c>
      <c r="C3500" s="2">
        <f>_xlfn.XLOOKUP(A3500,'[1]Tissue Data'!$A:$A,'[1]Tissue Data'!$D:$D)</f>
        <v>44314</v>
      </c>
      <c r="D3500" s="2" t="str">
        <f>_xlfn.XLOOKUP(A3500,'[1]Tissue Data'!$A:$A,'[1]Tissue Data'!$F:$F)</f>
        <v>Eastern Mudminnow</v>
      </c>
      <c r="E3500" t="str">
        <f>_xlfn.XLOOKUP(A3500,'[1]Tissue Data'!$A:$A,'[1]Tissue Data'!$H:$H)</f>
        <v>Umbra</v>
      </c>
      <c r="F3500" t="str">
        <f>_xlfn.XLOOKUP(A3500,'[1]Tissue Data'!$A:$A,'[1]Tissue Data'!$I:$I)</f>
        <v>pygmaea</v>
      </c>
      <c r="G3500" t="str">
        <f>_xlfn.XLOOKUP(A3500,'[1]Tissue Data'!$A:$A,'[1]Tissue Data'!J:J)</f>
        <v>U</v>
      </c>
      <c r="H3500" t="str">
        <f>_xlfn.XLOOKUP(A3500,'[1]Tissue Data'!$A:$A,'[1]Tissue Data'!K:K)</f>
        <v>Whole Body</v>
      </c>
      <c r="I3500">
        <f>_xlfn.XLOOKUP(A3500,'[1]Tissue Data'!$A:$A,'[1]Tissue Data'!L:L)</f>
        <v>5.5</v>
      </c>
      <c r="J3500">
        <f>_xlfn.XLOOKUP(A3500,'[1]Tissue Data'!$A:$A,'[1]Tissue Data'!M:M)</f>
        <v>2.15</v>
      </c>
      <c r="K3500" t="s">
        <v>60</v>
      </c>
      <c r="L3500" t="str">
        <f>_xlfn.XLOOKUP(K3500,[2]analyte_order!$B:$B,[2]analyte_order!$C:$C)</f>
        <v>678-41-1</v>
      </c>
      <c r="M3500">
        <f>_xlfn.XLOOKUP(L3500,[2]analyte_order!$C:$C,[2]analyte_order!$E:$E)</f>
        <v>56</v>
      </c>
      <c r="N3500">
        <v>9.1499999999999998E-2</v>
      </c>
    </row>
    <row r="3501" spans="1:14">
      <c r="A3501" t="s">
        <v>169</v>
      </c>
      <c r="B3501" t="str">
        <f>_xlfn.XLOOKUP(A3501,'[1]Tissue Data'!$A:$A,'[1]Tissue Data'!$C:$C)</f>
        <v>Spill</v>
      </c>
      <c r="C3501" s="2">
        <f>_xlfn.XLOOKUP(A3501,'[1]Tissue Data'!$A:$A,'[1]Tissue Data'!$D:$D)</f>
        <v>44314</v>
      </c>
      <c r="D3501" s="2" t="str">
        <f>_xlfn.XLOOKUP(A3501,'[1]Tissue Data'!$A:$A,'[1]Tissue Data'!$F:$F)</f>
        <v>Eastern Mudminnow</v>
      </c>
      <c r="E3501" t="str">
        <f>_xlfn.XLOOKUP(A3501,'[1]Tissue Data'!$A:$A,'[1]Tissue Data'!$H:$H)</f>
        <v>Umbra</v>
      </c>
      <c r="F3501" t="str">
        <f>_xlfn.XLOOKUP(A3501,'[1]Tissue Data'!$A:$A,'[1]Tissue Data'!$I:$I)</f>
        <v>pygmaea</v>
      </c>
      <c r="G3501" t="str">
        <f>_xlfn.XLOOKUP(A3501,'[1]Tissue Data'!$A:$A,'[1]Tissue Data'!J:J)</f>
        <v>U</v>
      </c>
      <c r="H3501" t="str">
        <f>_xlfn.XLOOKUP(A3501,'[1]Tissue Data'!$A:$A,'[1]Tissue Data'!K:K)</f>
        <v>Whole Body</v>
      </c>
      <c r="I3501">
        <f>_xlfn.XLOOKUP(A3501,'[1]Tissue Data'!$A:$A,'[1]Tissue Data'!L:L)</f>
        <v>5.5</v>
      </c>
      <c r="J3501">
        <f>_xlfn.XLOOKUP(A3501,'[1]Tissue Data'!$A:$A,'[1]Tissue Data'!M:M)</f>
        <v>2.15</v>
      </c>
      <c r="K3501" t="s">
        <v>61</v>
      </c>
      <c r="L3501" t="str">
        <f>_xlfn.XLOOKUP(K3501,[2]analyte_order!$B:$B,[2]analyte_order!$C:$C)</f>
        <v>2965-52-8</v>
      </c>
      <c r="M3501">
        <f>_xlfn.XLOOKUP(L3501,[2]analyte_order!$C:$C,[2]analyte_order!$E:$E)</f>
        <v>57</v>
      </c>
      <c r="N3501">
        <v>0.1215</v>
      </c>
    </row>
    <row r="3502" spans="1:14">
      <c r="A3502" t="s">
        <v>170</v>
      </c>
      <c r="B3502" t="str">
        <f>_xlfn.XLOOKUP(A3502,'[1]Tissue Data'!$A:$A,'[1]Tissue Data'!$C:$C)</f>
        <v>Spill</v>
      </c>
      <c r="C3502" s="2">
        <f>_xlfn.XLOOKUP(A3502,'[1]Tissue Data'!$A:$A,'[1]Tissue Data'!$D:$D)</f>
        <v>44314</v>
      </c>
      <c r="D3502" s="2" t="str">
        <f>_xlfn.XLOOKUP(A3502,'[1]Tissue Data'!$A:$A,'[1]Tissue Data'!$F:$F)</f>
        <v>Eastern Mudminnow</v>
      </c>
      <c r="E3502" t="str">
        <f>_xlfn.XLOOKUP(A3502,'[1]Tissue Data'!$A:$A,'[1]Tissue Data'!$H:$H)</f>
        <v>Umbra</v>
      </c>
      <c r="F3502" t="str">
        <f>_xlfn.XLOOKUP(A3502,'[1]Tissue Data'!$A:$A,'[1]Tissue Data'!$I:$I)</f>
        <v>pygmaea</v>
      </c>
      <c r="G3502" t="str">
        <f>_xlfn.XLOOKUP(A3502,'[1]Tissue Data'!$A:$A,'[1]Tissue Data'!J:J)</f>
        <v>U</v>
      </c>
      <c r="H3502" t="str">
        <f>_xlfn.XLOOKUP(A3502,'[1]Tissue Data'!$A:$A,'[1]Tissue Data'!K:K)</f>
        <v>Whole Body</v>
      </c>
      <c r="I3502">
        <f>_xlfn.XLOOKUP(A3502,'[1]Tissue Data'!$A:$A,'[1]Tissue Data'!L:L)</f>
        <v>6.5</v>
      </c>
      <c r="J3502">
        <f>_xlfn.XLOOKUP(A3502,'[1]Tissue Data'!$A:$A,'[1]Tissue Data'!M:M)</f>
        <v>4.05</v>
      </c>
      <c r="K3502" t="s">
        <v>12</v>
      </c>
      <c r="L3502" t="str">
        <f>_xlfn.XLOOKUP(K3502,[2]analyte_order!$B:$B,[2]analyte_order!$C:$C)</f>
        <v>375-22-4</v>
      </c>
      <c r="M3502">
        <f>_xlfn.XLOOKUP(L3502,[2]analyte_order!$C:$C,[2]analyte_order!$E:$E)</f>
        <v>1</v>
      </c>
      <c r="N3502">
        <v>6.9000000000000006E-2</v>
      </c>
    </row>
    <row r="3503" spans="1:14">
      <c r="A3503" t="s">
        <v>170</v>
      </c>
      <c r="B3503" t="str">
        <f>_xlfn.XLOOKUP(A3503,'[1]Tissue Data'!$A:$A,'[1]Tissue Data'!$C:$C)</f>
        <v>Spill</v>
      </c>
      <c r="C3503" s="2">
        <f>_xlfn.XLOOKUP(A3503,'[1]Tissue Data'!$A:$A,'[1]Tissue Data'!$D:$D)</f>
        <v>44314</v>
      </c>
      <c r="D3503" s="2" t="str">
        <f>_xlfn.XLOOKUP(A3503,'[1]Tissue Data'!$A:$A,'[1]Tissue Data'!$F:$F)</f>
        <v>Eastern Mudminnow</v>
      </c>
      <c r="E3503" t="str">
        <f>_xlfn.XLOOKUP(A3503,'[1]Tissue Data'!$A:$A,'[1]Tissue Data'!$H:$H)</f>
        <v>Umbra</v>
      </c>
      <c r="F3503" t="str">
        <f>_xlfn.XLOOKUP(A3503,'[1]Tissue Data'!$A:$A,'[1]Tissue Data'!$I:$I)</f>
        <v>pygmaea</v>
      </c>
      <c r="G3503" t="str">
        <f>_xlfn.XLOOKUP(A3503,'[1]Tissue Data'!$A:$A,'[1]Tissue Data'!J:J)</f>
        <v>U</v>
      </c>
      <c r="H3503" t="str">
        <f>_xlfn.XLOOKUP(A3503,'[1]Tissue Data'!$A:$A,'[1]Tissue Data'!K:K)</f>
        <v>Whole Body</v>
      </c>
      <c r="I3503">
        <f>_xlfn.XLOOKUP(A3503,'[1]Tissue Data'!$A:$A,'[1]Tissue Data'!L:L)</f>
        <v>6.5</v>
      </c>
      <c r="J3503">
        <f>_xlfn.XLOOKUP(A3503,'[1]Tissue Data'!$A:$A,'[1]Tissue Data'!M:M)</f>
        <v>4.05</v>
      </c>
      <c r="K3503" t="s">
        <v>13</v>
      </c>
      <c r="L3503" t="str">
        <f>_xlfn.XLOOKUP(K3503,[2]analyte_order!$B:$B,[2]analyte_order!$C:$C)</f>
        <v>2706-90-3</v>
      </c>
      <c r="M3503">
        <f>_xlfn.XLOOKUP(L3503,[2]analyte_order!$C:$C,[2]analyte_order!$E:$E)</f>
        <v>2</v>
      </c>
      <c r="N3503">
        <v>4.8800000000000003E-2</v>
      </c>
    </row>
    <row r="3504" spans="1:14">
      <c r="A3504" t="s">
        <v>170</v>
      </c>
      <c r="B3504" t="str">
        <f>_xlfn.XLOOKUP(A3504,'[1]Tissue Data'!$A:$A,'[1]Tissue Data'!$C:$C)</f>
        <v>Spill</v>
      </c>
      <c r="C3504" s="2">
        <f>_xlfn.XLOOKUP(A3504,'[1]Tissue Data'!$A:$A,'[1]Tissue Data'!$D:$D)</f>
        <v>44314</v>
      </c>
      <c r="D3504" s="2" t="str">
        <f>_xlfn.XLOOKUP(A3504,'[1]Tissue Data'!$A:$A,'[1]Tissue Data'!$F:$F)</f>
        <v>Eastern Mudminnow</v>
      </c>
      <c r="E3504" t="str">
        <f>_xlfn.XLOOKUP(A3504,'[1]Tissue Data'!$A:$A,'[1]Tissue Data'!$H:$H)</f>
        <v>Umbra</v>
      </c>
      <c r="F3504" t="str">
        <f>_xlfn.XLOOKUP(A3504,'[1]Tissue Data'!$A:$A,'[1]Tissue Data'!$I:$I)</f>
        <v>pygmaea</v>
      </c>
      <c r="G3504" t="str">
        <f>_xlfn.XLOOKUP(A3504,'[1]Tissue Data'!$A:$A,'[1]Tissue Data'!J:J)</f>
        <v>U</v>
      </c>
      <c r="H3504" t="str">
        <f>_xlfn.XLOOKUP(A3504,'[1]Tissue Data'!$A:$A,'[1]Tissue Data'!K:K)</f>
        <v>Whole Body</v>
      </c>
      <c r="I3504">
        <f>_xlfn.XLOOKUP(A3504,'[1]Tissue Data'!$A:$A,'[1]Tissue Data'!L:L)</f>
        <v>6.5</v>
      </c>
      <c r="J3504">
        <f>_xlfn.XLOOKUP(A3504,'[1]Tissue Data'!$A:$A,'[1]Tissue Data'!M:M)</f>
        <v>4.05</v>
      </c>
      <c r="K3504" t="s">
        <v>14</v>
      </c>
      <c r="L3504" t="str">
        <f>_xlfn.XLOOKUP(K3504,[2]analyte_order!$B:$B,[2]analyte_order!$C:$C)</f>
        <v>307-24-4</v>
      </c>
      <c r="M3504">
        <f>_xlfn.XLOOKUP(L3504,[2]analyte_order!$C:$C,[2]analyte_order!$E:$E)</f>
        <v>3</v>
      </c>
      <c r="N3504">
        <v>3.7249999999999998E-2</v>
      </c>
    </row>
    <row r="3505" spans="1:14">
      <c r="A3505" t="s">
        <v>170</v>
      </c>
      <c r="B3505" t="str">
        <f>_xlfn.XLOOKUP(A3505,'[1]Tissue Data'!$A:$A,'[1]Tissue Data'!$C:$C)</f>
        <v>Spill</v>
      </c>
      <c r="C3505" s="2">
        <f>_xlfn.XLOOKUP(A3505,'[1]Tissue Data'!$A:$A,'[1]Tissue Data'!$D:$D)</f>
        <v>44314</v>
      </c>
      <c r="D3505" s="2" t="str">
        <f>_xlfn.XLOOKUP(A3505,'[1]Tissue Data'!$A:$A,'[1]Tissue Data'!$F:$F)</f>
        <v>Eastern Mudminnow</v>
      </c>
      <c r="E3505" t="str">
        <f>_xlfn.XLOOKUP(A3505,'[1]Tissue Data'!$A:$A,'[1]Tissue Data'!$H:$H)</f>
        <v>Umbra</v>
      </c>
      <c r="F3505" t="str">
        <f>_xlfn.XLOOKUP(A3505,'[1]Tissue Data'!$A:$A,'[1]Tissue Data'!$I:$I)</f>
        <v>pygmaea</v>
      </c>
      <c r="G3505" t="str">
        <f>_xlfn.XLOOKUP(A3505,'[1]Tissue Data'!$A:$A,'[1]Tissue Data'!J:J)</f>
        <v>U</v>
      </c>
      <c r="H3505" t="str">
        <f>_xlfn.XLOOKUP(A3505,'[1]Tissue Data'!$A:$A,'[1]Tissue Data'!K:K)</f>
        <v>Whole Body</v>
      </c>
      <c r="I3505">
        <f>_xlfn.XLOOKUP(A3505,'[1]Tissue Data'!$A:$A,'[1]Tissue Data'!L:L)</f>
        <v>6.5</v>
      </c>
      <c r="J3505">
        <f>_xlfn.XLOOKUP(A3505,'[1]Tissue Data'!$A:$A,'[1]Tissue Data'!M:M)</f>
        <v>4.05</v>
      </c>
      <c r="K3505" t="s">
        <v>15</v>
      </c>
      <c r="L3505" t="str">
        <f>_xlfn.XLOOKUP(K3505,[2]analyte_order!$B:$B,[2]analyte_order!$C:$C)</f>
        <v>375-85-9</v>
      </c>
      <c r="M3505">
        <f>_xlfn.XLOOKUP(L3505,[2]analyte_order!$C:$C,[2]analyte_order!$E:$E)</f>
        <v>4</v>
      </c>
      <c r="N3505">
        <v>2.76E-2</v>
      </c>
    </row>
    <row r="3506" spans="1:14">
      <c r="A3506" t="s">
        <v>170</v>
      </c>
      <c r="B3506" t="str">
        <f>_xlfn.XLOOKUP(A3506,'[1]Tissue Data'!$A:$A,'[1]Tissue Data'!$C:$C)</f>
        <v>Spill</v>
      </c>
      <c r="C3506" s="2">
        <f>_xlfn.XLOOKUP(A3506,'[1]Tissue Data'!$A:$A,'[1]Tissue Data'!$D:$D)</f>
        <v>44314</v>
      </c>
      <c r="D3506" s="2" t="str">
        <f>_xlfn.XLOOKUP(A3506,'[1]Tissue Data'!$A:$A,'[1]Tissue Data'!$F:$F)</f>
        <v>Eastern Mudminnow</v>
      </c>
      <c r="E3506" t="str">
        <f>_xlfn.XLOOKUP(A3506,'[1]Tissue Data'!$A:$A,'[1]Tissue Data'!$H:$H)</f>
        <v>Umbra</v>
      </c>
      <c r="F3506" t="str">
        <f>_xlfn.XLOOKUP(A3506,'[1]Tissue Data'!$A:$A,'[1]Tissue Data'!$I:$I)</f>
        <v>pygmaea</v>
      </c>
      <c r="G3506" t="str">
        <f>_xlfn.XLOOKUP(A3506,'[1]Tissue Data'!$A:$A,'[1]Tissue Data'!J:J)</f>
        <v>U</v>
      </c>
      <c r="H3506" t="str">
        <f>_xlfn.XLOOKUP(A3506,'[1]Tissue Data'!$A:$A,'[1]Tissue Data'!K:K)</f>
        <v>Whole Body</v>
      </c>
      <c r="I3506">
        <f>_xlfn.XLOOKUP(A3506,'[1]Tissue Data'!$A:$A,'[1]Tissue Data'!L:L)</f>
        <v>6.5</v>
      </c>
      <c r="J3506">
        <f>_xlfn.XLOOKUP(A3506,'[1]Tissue Data'!$A:$A,'[1]Tissue Data'!M:M)</f>
        <v>4.05</v>
      </c>
      <c r="K3506" t="s">
        <v>16</v>
      </c>
      <c r="L3506" t="str">
        <f>_xlfn.XLOOKUP(K3506,[2]analyte_order!$B:$B,[2]analyte_order!$C:$C)</f>
        <v>335-67-1</v>
      </c>
      <c r="M3506">
        <f>_xlfn.XLOOKUP(L3506,[2]analyte_order!$C:$C,[2]analyte_order!$E:$E)</f>
        <v>5</v>
      </c>
      <c r="N3506">
        <v>5.32</v>
      </c>
    </row>
    <row r="3507" spans="1:14">
      <c r="A3507" t="s">
        <v>170</v>
      </c>
      <c r="B3507" t="str">
        <f>_xlfn.XLOOKUP(A3507,'[1]Tissue Data'!$A:$A,'[1]Tissue Data'!$C:$C)</f>
        <v>Spill</v>
      </c>
      <c r="C3507" s="2">
        <f>_xlfn.XLOOKUP(A3507,'[1]Tissue Data'!$A:$A,'[1]Tissue Data'!$D:$D)</f>
        <v>44314</v>
      </c>
      <c r="D3507" s="2" t="str">
        <f>_xlfn.XLOOKUP(A3507,'[1]Tissue Data'!$A:$A,'[1]Tissue Data'!$F:$F)</f>
        <v>Eastern Mudminnow</v>
      </c>
      <c r="E3507" t="str">
        <f>_xlfn.XLOOKUP(A3507,'[1]Tissue Data'!$A:$A,'[1]Tissue Data'!$H:$H)</f>
        <v>Umbra</v>
      </c>
      <c r="F3507" t="str">
        <f>_xlfn.XLOOKUP(A3507,'[1]Tissue Data'!$A:$A,'[1]Tissue Data'!$I:$I)</f>
        <v>pygmaea</v>
      </c>
      <c r="G3507" t="str">
        <f>_xlfn.XLOOKUP(A3507,'[1]Tissue Data'!$A:$A,'[1]Tissue Data'!J:J)</f>
        <v>U</v>
      </c>
      <c r="H3507" t="str">
        <f>_xlfn.XLOOKUP(A3507,'[1]Tissue Data'!$A:$A,'[1]Tissue Data'!K:K)</f>
        <v>Whole Body</v>
      </c>
      <c r="I3507">
        <f>_xlfn.XLOOKUP(A3507,'[1]Tissue Data'!$A:$A,'[1]Tissue Data'!L:L)</f>
        <v>6.5</v>
      </c>
      <c r="J3507">
        <f>_xlfn.XLOOKUP(A3507,'[1]Tissue Data'!$A:$A,'[1]Tissue Data'!M:M)</f>
        <v>4.05</v>
      </c>
      <c r="K3507" t="s">
        <v>17</v>
      </c>
      <c r="L3507" t="str">
        <f>_xlfn.XLOOKUP(K3507,[2]analyte_order!$B:$B,[2]analyte_order!$C:$C)</f>
        <v>375-95-1</v>
      </c>
      <c r="M3507">
        <f>_xlfn.XLOOKUP(L3507,[2]analyte_order!$C:$C,[2]analyte_order!$E:$E)</f>
        <v>6</v>
      </c>
      <c r="N3507">
        <v>2.2000000000000002</v>
      </c>
    </row>
    <row r="3508" spans="1:14">
      <c r="A3508" t="s">
        <v>170</v>
      </c>
      <c r="B3508" t="str">
        <f>_xlfn.XLOOKUP(A3508,'[1]Tissue Data'!$A:$A,'[1]Tissue Data'!$C:$C)</f>
        <v>Spill</v>
      </c>
      <c r="C3508" s="2">
        <f>_xlfn.XLOOKUP(A3508,'[1]Tissue Data'!$A:$A,'[1]Tissue Data'!$D:$D)</f>
        <v>44314</v>
      </c>
      <c r="D3508" s="2" t="str">
        <f>_xlfn.XLOOKUP(A3508,'[1]Tissue Data'!$A:$A,'[1]Tissue Data'!$F:$F)</f>
        <v>Eastern Mudminnow</v>
      </c>
      <c r="E3508" t="str">
        <f>_xlfn.XLOOKUP(A3508,'[1]Tissue Data'!$A:$A,'[1]Tissue Data'!$H:$H)</f>
        <v>Umbra</v>
      </c>
      <c r="F3508" t="str">
        <f>_xlfn.XLOOKUP(A3508,'[1]Tissue Data'!$A:$A,'[1]Tissue Data'!$I:$I)</f>
        <v>pygmaea</v>
      </c>
      <c r="G3508" t="str">
        <f>_xlfn.XLOOKUP(A3508,'[1]Tissue Data'!$A:$A,'[1]Tissue Data'!J:J)</f>
        <v>U</v>
      </c>
      <c r="H3508" t="str">
        <f>_xlfn.XLOOKUP(A3508,'[1]Tissue Data'!$A:$A,'[1]Tissue Data'!K:K)</f>
        <v>Whole Body</v>
      </c>
      <c r="I3508">
        <f>_xlfn.XLOOKUP(A3508,'[1]Tissue Data'!$A:$A,'[1]Tissue Data'!L:L)</f>
        <v>6.5</v>
      </c>
      <c r="J3508">
        <f>_xlfn.XLOOKUP(A3508,'[1]Tissue Data'!$A:$A,'[1]Tissue Data'!M:M)</f>
        <v>4.05</v>
      </c>
      <c r="K3508" t="s">
        <v>18</v>
      </c>
      <c r="L3508" t="str">
        <f>_xlfn.XLOOKUP(K3508,[2]analyte_order!$B:$B,[2]analyte_order!$C:$C)</f>
        <v>335-76-2</v>
      </c>
      <c r="M3508">
        <f>_xlfn.XLOOKUP(L3508,[2]analyte_order!$C:$C,[2]analyte_order!$E:$E)</f>
        <v>7</v>
      </c>
      <c r="N3508">
        <v>3.4</v>
      </c>
    </row>
    <row r="3509" spans="1:14">
      <c r="A3509" t="s">
        <v>170</v>
      </c>
      <c r="B3509" t="str">
        <f>_xlfn.XLOOKUP(A3509,'[1]Tissue Data'!$A:$A,'[1]Tissue Data'!$C:$C)</f>
        <v>Spill</v>
      </c>
      <c r="C3509" s="2">
        <f>_xlfn.XLOOKUP(A3509,'[1]Tissue Data'!$A:$A,'[1]Tissue Data'!$D:$D)</f>
        <v>44314</v>
      </c>
      <c r="D3509" s="2" t="str">
        <f>_xlfn.XLOOKUP(A3509,'[1]Tissue Data'!$A:$A,'[1]Tissue Data'!$F:$F)</f>
        <v>Eastern Mudminnow</v>
      </c>
      <c r="E3509" t="str">
        <f>_xlfn.XLOOKUP(A3509,'[1]Tissue Data'!$A:$A,'[1]Tissue Data'!$H:$H)</f>
        <v>Umbra</v>
      </c>
      <c r="F3509" t="str">
        <f>_xlfn.XLOOKUP(A3509,'[1]Tissue Data'!$A:$A,'[1]Tissue Data'!$I:$I)</f>
        <v>pygmaea</v>
      </c>
      <c r="G3509" t="str">
        <f>_xlfn.XLOOKUP(A3509,'[1]Tissue Data'!$A:$A,'[1]Tissue Data'!J:J)</f>
        <v>U</v>
      </c>
      <c r="H3509" t="str">
        <f>_xlfn.XLOOKUP(A3509,'[1]Tissue Data'!$A:$A,'[1]Tissue Data'!K:K)</f>
        <v>Whole Body</v>
      </c>
      <c r="I3509">
        <f>_xlfn.XLOOKUP(A3509,'[1]Tissue Data'!$A:$A,'[1]Tissue Data'!L:L)</f>
        <v>6.5</v>
      </c>
      <c r="J3509">
        <f>_xlfn.XLOOKUP(A3509,'[1]Tissue Data'!$A:$A,'[1]Tissue Data'!M:M)</f>
        <v>4.05</v>
      </c>
      <c r="K3509" t="s">
        <v>19</v>
      </c>
      <c r="L3509" t="str">
        <f>_xlfn.XLOOKUP(K3509,[2]analyte_order!$B:$B,[2]analyte_order!$C:$C)</f>
        <v>2058-94-8</v>
      </c>
      <c r="M3509">
        <f>_xlfn.XLOOKUP(L3509,[2]analyte_order!$C:$C,[2]analyte_order!$E:$E)</f>
        <v>8</v>
      </c>
      <c r="N3509">
        <v>5.74</v>
      </c>
    </row>
    <row r="3510" spans="1:14">
      <c r="A3510" t="s">
        <v>170</v>
      </c>
      <c r="B3510" t="str">
        <f>_xlfn.XLOOKUP(A3510,'[1]Tissue Data'!$A:$A,'[1]Tissue Data'!$C:$C)</f>
        <v>Spill</v>
      </c>
      <c r="C3510" s="2">
        <f>_xlfn.XLOOKUP(A3510,'[1]Tissue Data'!$A:$A,'[1]Tissue Data'!$D:$D)</f>
        <v>44314</v>
      </c>
      <c r="D3510" s="2" t="str">
        <f>_xlfn.XLOOKUP(A3510,'[1]Tissue Data'!$A:$A,'[1]Tissue Data'!$F:$F)</f>
        <v>Eastern Mudminnow</v>
      </c>
      <c r="E3510" t="str">
        <f>_xlfn.XLOOKUP(A3510,'[1]Tissue Data'!$A:$A,'[1]Tissue Data'!$H:$H)</f>
        <v>Umbra</v>
      </c>
      <c r="F3510" t="str">
        <f>_xlfn.XLOOKUP(A3510,'[1]Tissue Data'!$A:$A,'[1]Tissue Data'!$I:$I)</f>
        <v>pygmaea</v>
      </c>
      <c r="G3510" t="str">
        <f>_xlfn.XLOOKUP(A3510,'[1]Tissue Data'!$A:$A,'[1]Tissue Data'!J:J)</f>
        <v>U</v>
      </c>
      <c r="H3510" t="str">
        <f>_xlfn.XLOOKUP(A3510,'[1]Tissue Data'!$A:$A,'[1]Tissue Data'!K:K)</f>
        <v>Whole Body</v>
      </c>
      <c r="I3510">
        <f>_xlfn.XLOOKUP(A3510,'[1]Tissue Data'!$A:$A,'[1]Tissue Data'!L:L)</f>
        <v>6.5</v>
      </c>
      <c r="J3510">
        <f>_xlfn.XLOOKUP(A3510,'[1]Tissue Data'!$A:$A,'[1]Tissue Data'!M:M)</f>
        <v>4.05</v>
      </c>
      <c r="K3510" t="s">
        <v>20</v>
      </c>
      <c r="L3510" t="str">
        <f>_xlfn.XLOOKUP(K3510,[2]analyte_order!$B:$B,[2]analyte_order!$C:$C)</f>
        <v>307-55-1</v>
      </c>
      <c r="M3510">
        <f>_xlfn.XLOOKUP(L3510,[2]analyte_order!$C:$C,[2]analyte_order!$E:$E)</f>
        <v>9</v>
      </c>
      <c r="N3510">
        <v>9.51</v>
      </c>
    </row>
    <row r="3511" spans="1:14">
      <c r="A3511" t="s">
        <v>170</v>
      </c>
      <c r="B3511" t="str">
        <f>_xlfn.XLOOKUP(A3511,'[1]Tissue Data'!$A:$A,'[1]Tissue Data'!$C:$C)</f>
        <v>Spill</v>
      </c>
      <c r="C3511" s="2">
        <f>_xlfn.XLOOKUP(A3511,'[1]Tissue Data'!$A:$A,'[1]Tissue Data'!$D:$D)</f>
        <v>44314</v>
      </c>
      <c r="D3511" s="2" t="str">
        <f>_xlfn.XLOOKUP(A3511,'[1]Tissue Data'!$A:$A,'[1]Tissue Data'!$F:$F)</f>
        <v>Eastern Mudminnow</v>
      </c>
      <c r="E3511" t="str">
        <f>_xlfn.XLOOKUP(A3511,'[1]Tissue Data'!$A:$A,'[1]Tissue Data'!$H:$H)</f>
        <v>Umbra</v>
      </c>
      <c r="F3511" t="str">
        <f>_xlfn.XLOOKUP(A3511,'[1]Tissue Data'!$A:$A,'[1]Tissue Data'!$I:$I)</f>
        <v>pygmaea</v>
      </c>
      <c r="G3511" t="str">
        <f>_xlfn.XLOOKUP(A3511,'[1]Tissue Data'!$A:$A,'[1]Tissue Data'!J:J)</f>
        <v>U</v>
      </c>
      <c r="H3511" t="str">
        <f>_xlfn.XLOOKUP(A3511,'[1]Tissue Data'!$A:$A,'[1]Tissue Data'!K:K)</f>
        <v>Whole Body</v>
      </c>
      <c r="I3511">
        <f>_xlfn.XLOOKUP(A3511,'[1]Tissue Data'!$A:$A,'[1]Tissue Data'!L:L)</f>
        <v>6.5</v>
      </c>
      <c r="J3511">
        <f>_xlfn.XLOOKUP(A3511,'[1]Tissue Data'!$A:$A,'[1]Tissue Data'!M:M)</f>
        <v>4.05</v>
      </c>
      <c r="K3511" t="s">
        <v>21</v>
      </c>
      <c r="L3511" t="str">
        <f>_xlfn.XLOOKUP(K3511,[2]analyte_order!$B:$B,[2]analyte_order!$C:$C)</f>
        <v>72629-94-8</v>
      </c>
      <c r="M3511">
        <f>_xlfn.XLOOKUP(L3511,[2]analyte_order!$C:$C,[2]analyte_order!$E:$E)</f>
        <v>10</v>
      </c>
      <c r="N3511">
        <v>10.199999999999999</v>
      </c>
    </row>
    <row r="3512" spans="1:14">
      <c r="A3512" t="s">
        <v>170</v>
      </c>
      <c r="B3512" t="str">
        <f>_xlfn.XLOOKUP(A3512,'[1]Tissue Data'!$A:$A,'[1]Tissue Data'!$C:$C)</f>
        <v>Spill</v>
      </c>
      <c r="C3512" s="2">
        <f>_xlfn.XLOOKUP(A3512,'[1]Tissue Data'!$A:$A,'[1]Tissue Data'!$D:$D)</f>
        <v>44314</v>
      </c>
      <c r="D3512" s="2" t="str">
        <f>_xlfn.XLOOKUP(A3512,'[1]Tissue Data'!$A:$A,'[1]Tissue Data'!$F:$F)</f>
        <v>Eastern Mudminnow</v>
      </c>
      <c r="E3512" t="str">
        <f>_xlfn.XLOOKUP(A3512,'[1]Tissue Data'!$A:$A,'[1]Tissue Data'!$H:$H)</f>
        <v>Umbra</v>
      </c>
      <c r="F3512" t="str">
        <f>_xlfn.XLOOKUP(A3512,'[1]Tissue Data'!$A:$A,'[1]Tissue Data'!$I:$I)</f>
        <v>pygmaea</v>
      </c>
      <c r="G3512" t="str">
        <f>_xlfn.XLOOKUP(A3512,'[1]Tissue Data'!$A:$A,'[1]Tissue Data'!J:J)</f>
        <v>U</v>
      </c>
      <c r="H3512" t="str">
        <f>_xlfn.XLOOKUP(A3512,'[1]Tissue Data'!$A:$A,'[1]Tissue Data'!K:K)</f>
        <v>Whole Body</v>
      </c>
      <c r="I3512">
        <f>_xlfn.XLOOKUP(A3512,'[1]Tissue Data'!$A:$A,'[1]Tissue Data'!L:L)</f>
        <v>6.5</v>
      </c>
      <c r="J3512">
        <f>_xlfn.XLOOKUP(A3512,'[1]Tissue Data'!$A:$A,'[1]Tissue Data'!M:M)</f>
        <v>4.05</v>
      </c>
      <c r="K3512" t="s">
        <v>22</v>
      </c>
      <c r="L3512" t="str">
        <f>_xlfn.XLOOKUP(K3512,[2]analyte_order!$B:$B,[2]analyte_order!$C:$C)</f>
        <v>376-06-7</v>
      </c>
      <c r="M3512">
        <f>_xlfn.XLOOKUP(L3512,[2]analyte_order!$C:$C,[2]analyte_order!$E:$E)</f>
        <v>11</v>
      </c>
      <c r="N3512">
        <v>7.78</v>
      </c>
    </row>
    <row r="3513" spans="1:14">
      <c r="A3513" t="s">
        <v>170</v>
      </c>
      <c r="B3513" t="str">
        <f>_xlfn.XLOOKUP(A3513,'[1]Tissue Data'!$A:$A,'[1]Tissue Data'!$C:$C)</f>
        <v>Spill</v>
      </c>
      <c r="C3513" s="2">
        <f>_xlfn.XLOOKUP(A3513,'[1]Tissue Data'!$A:$A,'[1]Tissue Data'!$D:$D)</f>
        <v>44314</v>
      </c>
      <c r="D3513" s="2" t="str">
        <f>_xlfn.XLOOKUP(A3513,'[1]Tissue Data'!$A:$A,'[1]Tissue Data'!$F:$F)</f>
        <v>Eastern Mudminnow</v>
      </c>
      <c r="E3513" t="str">
        <f>_xlfn.XLOOKUP(A3513,'[1]Tissue Data'!$A:$A,'[1]Tissue Data'!$H:$H)</f>
        <v>Umbra</v>
      </c>
      <c r="F3513" t="str">
        <f>_xlfn.XLOOKUP(A3513,'[1]Tissue Data'!$A:$A,'[1]Tissue Data'!$I:$I)</f>
        <v>pygmaea</v>
      </c>
      <c r="G3513" t="str">
        <f>_xlfn.XLOOKUP(A3513,'[1]Tissue Data'!$A:$A,'[1]Tissue Data'!J:J)</f>
        <v>U</v>
      </c>
      <c r="H3513" t="str">
        <f>_xlfn.XLOOKUP(A3513,'[1]Tissue Data'!$A:$A,'[1]Tissue Data'!K:K)</f>
        <v>Whole Body</v>
      </c>
      <c r="I3513">
        <f>_xlfn.XLOOKUP(A3513,'[1]Tissue Data'!$A:$A,'[1]Tissue Data'!L:L)</f>
        <v>6.5</v>
      </c>
      <c r="J3513">
        <f>_xlfn.XLOOKUP(A3513,'[1]Tissue Data'!$A:$A,'[1]Tissue Data'!M:M)</f>
        <v>4.05</v>
      </c>
      <c r="K3513" t="s">
        <v>23</v>
      </c>
      <c r="L3513" t="str">
        <f>_xlfn.XLOOKUP(K3513,[2]analyte_order!$B:$B,[2]analyte_order!$C:$C)</f>
        <v>67905-19-5</v>
      </c>
      <c r="M3513">
        <f>_xlfn.XLOOKUP(L3513,[2]analyte_order!$C:$C,[2]analyte_order!$E:$E)</f>
        <v>12</v>
      </c>
      <c r="N3513">
        <v>8.2500000000000004E-2</v>
      </c>
    </row>
    <row r="3514" spans="1:14">
      <c r="A3514" t="s">
        <v>170</v>
      </c>
      <c r="B3514" t="str">
        <f>_xlfn.XLOOKUP(A3514,'[1]Tissue Data'!$A:$A,'[1]Tissue Data'!$C:$C)</f>
        <v>Spill</v>
      </c>
      <c r="C3514" s="2">
        <f>_xlfn.XLOOKUP(A3514,'[1]Tissue Data'!$A:$A,'[1]Tissue Data'!$D:$D)</f>
        <v>44314</v>
      </c>
      <c r="D3514" s="2" t="str">
        <f>_xlfn.XLOOKUP(A3514,'[1]Tissue Data'!$A:$A,'[1]Tissue Data'!$F:$F)</f>
        <v>Eastern Mudminnow</v>
      </c>
      <c r="E3514" t="str">
        <f>_xlfn.XLOOKUP(A3514,'[1]Tissue Data'!$A:$A,'[1]Tissue Data'!$H:$H)</f>
        <v>Umbra</v>
      </c>
      <c r="F3514" t="str">
        <f>_xlfn.XLOOKUP(A3514,'[1]Tissue Data'!$A:$A,'[1]Tissue Data'!$I:$I)</f>
        <v>pygmaea</v>
      </c>
      <c r="G3514" t="str">
        <f>_xlfn.XLOOKUP(A3514,'[1]Tissue Data'!$A:$A,'[1]Tissue Data'!J:J)</f>
        <v>U</v>
      </c>
      <c r="H3514" t="str">
        <f>_xlfn.XLOOKUP(A3514,'[1]Tissue Data'!$A:$A,'[1]Tissue Data'!K:K)</f>
        <v>Whole Body</v>
      </c>
      <c r="I3514">
        <f>_xlfn.XLOOKUP(A3514,'[1]Tissue Data'!$A:$A,'[1]Tissue Data'!L:L)</f>
        <v>6.5</v>
      </c>
      <c r="J3514">
        <f>_xlfn.XLOOKUP(A3514,'[1]Tissue Data'!$A:$A,'[1]Tissue Data'!M:M)</f>
        <v>4.05</v>
      </c>
      <c r="K3514" t="s">
        <v>24</v>
      </c>
      <c r="L3514" t="str">
        <f>_xlfn.XLOOKUP(K3514,[2]analyte_order!$B:$B,[2]analyte_order!$C:$C)</f>
        <v>423-41-6</v>
      </c>
      <c r="M3514">
        <f>_xlfn.XLOOKUP(L3514,[2]analyte_order!$C:$C,[2]analyte_order!$E:$E)</f>
        <v>53</v>
      </c>
      <c r="N3514">
        <v>5.2499999999999998E-2</v>
      </c>
    </row>
    <row r="3515" spans="1:14">
      <c r="A3515" t="s">
        <v>170</v>
      </c>
      <c r="B3515" t="str">
        <f>_xlfn.XLOOKUP(A3515,'[1]Tissue Data'!$A:$A,'[1]Tissue Data'!$C:$C)</f>
        <v>Spill</v>
      </c>
      <c r="C3515" s="2">
        <f>_xlfn.XLOOKUP(A3515,'[1]Tissue Data'!$A:$A,'[1]Tissue Data'!$D:$D)</f>
        <v>44314</v>
      </c>
      <c r="D3515" s="2" t="str">
        <f>_xlfn.XLOOKUP(A3515,'[1]Tissue Data'!$A:$A,'[1]Tissue Data'!$F:$F)</f>
        <v>Eastern Mudminnow</v>
      </c>
      <c r="E3515" t="str">
        <f>_xlfn.XLOOKUP(A3515,'[1]Tissue Data'!$A:$A,'[1]Tissue Data'!$H:$H)</f>
        <v>Umbra</v>
      </c>
      <c r="F3515" t="str">
        <f>_xlfn.XLOOKUP(A3515,'[1]Tissue Data'!$A:$A,'[1]Tissue Data'!$I:$I)</f>
        <v>pygmaea</v>
      </c>
      <c r="G3515" t="str">
        <f>_xlfn.XLOOKUP(A3515,'[1]Tissue Data'!$A:$A,'[1]Tissue Data'!J:J)</f>
        <v>U</v>
      </c>
      <c r="H3515" t="str">
        <f>_xlfn.XLOOKUP(A3515,'[1]Tissue Data'!$A:$A,'[1]Tissue Data'!K:K)</f>
        <v>Whole Body</v>
      </c>
      <c r="I3515">
        <f>_xlfn.XLOOKUP(A3515,'[1]Tissue Data'!$A:$A,'[1]Tissue Data'!L:L)</f>
        <v>6.5</v>
      </c>
      <c r="J3515">
        <f>_xlfn.XLOOKUP(A3515,'[1]Tissue Data'!$A:$A,'[1]Tissue Data'!M:M)</f>
        <v>4.05</v>
      </c>
      <c r="K3515" t="s">
        <v>25</v>
      </c>
      <c r="L3515" t="str">
        <f>_xlfn.XLOOKUP(K3515,[2]analyte_order!$B:$B,[2]analyte_order!$C:$C)</f>
        <v>375-73-5</v>
      </c>
      <c r="M3515">
        <f>_xlfn.XLOOKUP(L3515,[2]analyte_order!$C:$C,[2]analyte_order!$E:$E)</f>
        <v>14</v>
      </c>
      <c r="N3515">
        <v>0.155</v>
      </c>
    </row>
    <row r="3516" spans="1:14">
      <c r="A3516" t="s">
        <v>170</v>
      </c>
      <c r="B3516" t="str">
        <f>_xlfn.XLOOKUP(A3516,'[1]Tissue Data'!$A:$A,'[1]Tissue Data'!$C:$C)</f>
        <v>Spill</v>
      </c>
      <c r="C3516" s="2">
        <f>_xlfn.XLOOKUP(A3516,'[1]Tissue Data'!$A:$A,'[1]Tissue Data'!$D:$D)</f>
        <v>44314</v>
      </c>
      <c r="D3516" s="2" t="str">
        <f>_xlfn.XLOOKUP(A3516,'[1]Tissue Data'!$A:$A,'[1]Tissue Data'!$F:$F)</f>
        <v>Eastern Mudminnow</v>
      </c>
      <c r="E3516" t="str">
        <f>_xlfn.XLOOKUP(A3516,'[1]Tissue Data'!$A:$A,'[1]Tissue Data'!$H:$H)</f>
        <v>Umbra</v>
      </c>
      <c r="F3516" t="str">
        <f>_xlfn.XLOOKUP(A3516,'[1]Tissue Data'!$A:$A,'[1]Tissue Data'!$I:$I)</f>
        <v>pygmaea</v>
      </c>
      <c r="G3516" t="str">
        <f>_xlfn.XLOOKUP(A3516,'[1]Tissue Data'!$A:$A,'[1]Tissue Data'!J:J)</f>
        <v>U</v>
      </c>
      <c r="H3516" t="str">
        <f>_xlfn.XLOOKUP(A3516,'[1]Tissue Data'!$A:$A,'[1]Tissue Data'!K:K)</f>
        <v>Whole Body</v>
      </c>
      <c r="I3516">
        <f>_xlfn.XLOOKUP(A3516,'[1]Tissue Data'!$A:$A,'[1]Tissue Data'!L:L)</f>
        <v>6.5</v>
      </c>
      <c r="J3516">
        <f>_xlfn.XLOOKUP(A3516,'[1]Tissue Data'!$A:$A,'[1]Tissue Data'!M:M)</f>
        <v>4.05</v>
      </c>
      <c r="K3516" t="s">
        <v>26</v>
      </c>
      <c r="L3516" t="str">
        <f>_xlfn.XLOOKUP(K3516,[2]analyte_order!$B:$B,[2]analyte_order!$C:$C)</f>
        <v>2706-91-4</v>
      </c>
      <c r="M3516">
        <f>_xlfn.XLOOKUP(L3516,[2]analyte_order!$C:$C,[2]analyte_order!$E:$E)</f>
        <v>15</v>
      </c>
      <c r="N3516">
        <v>0.53300000000000003</v>
      </c>
    </row>
    <row r="3517" spans="1:14">
      <c r="A3517" t="s">
        <v>170</v>
      </c>
      <c r="B3517" t="str">
        <f>_xlfn.XLOOKUP(A3517,'[1]Tissue Data'!$A:$A,'[1]Tissue Data'!$C:$C)</f>
        <v>Spill</v>
      </c>
      <c r="C3517" s="2">
        <f>_xlfn.XLOOKUP(A3517,'[1]Tissue Data'!$A:$A,'[1]Tissue Data'!$D:$D)</f>
        <v>44314</v>
      </c>
      <c r="D3517" s="2" t="str">
        <f>_xlfn.XLOOKUP(A3517,'[1]Tissue Data'!$A:$A,'[1]Tissue Data'!$F:$F)</f>
        <v>Eastern Mudminnow</v>
      </c>
      <c r="E3517" t="str">
        <f>_xlfn.XLOOKUP(A3517,'[1]Tissue Data'!$A:$A,'[1]Tissue Data'!$H:$H)</f>
        <v>Umbra</v>
      </c>
      <c r="F3517" t="str">
        <f>_xlfn.XLOOKUP(A3517,'[1]Tissue Data'!$A:$A,'[1]Tissue Data'!$I:$I)</f>
        <v>pygmaea</v>
      </c>
      <c r="G3517" t="str">
        <f>_xlfn.XLOOKUP(A3517,'[1]Tissue Data'!$A:$A,'[1]Tissue Data'!J:J)</f>
        <v>U</v>
      </c>
      <c r="H3517" t="str">
        <f>_xlfn.XLOOKUP(A3517,'[1]Tissue Data'!$A:$A,'[1]Tissue Data'!K:K)</f>
        <v>Whole Body</v>
      </c>
      <c r="I3517">
        <f>_xlfn.XLOOKUP(A3517,'[1]Tissue Data'!$A:$A,'[1]Tissue Data'!L:L)</f>
        <v>6.5</v>
      </c>
      <c r="J3517">
        <f>_xlfn.XLOOKUP(A3517,'[1]Tissue Data'!$A:$A,'[1]Tissue Data'!M:M)</f>
        <v>4.05</v>
      </c>
      <c r="K3517" t="s">
        <v>27</v>
      </c>
      <c r="L3517" t="str">
        <f>_xlfn.XLOOKUP(K3517,[2]analyte_order!$B:$B,[2]analyte_order!$C:$C)</f>
        <v>355-46-4</v>
      </c>
      <c r="M3517">
        <f>_xlfn.XLOOKUP(L3517,[2]analyte_order!$C:$C,[2]analyte_order!$E:$E)</f>
        <v>16</v>
      </c>
      <c r="N3517">
        <v>45.3</v>
      </c>
    </row>
    <row r="3518" spans="1:14">
      <c r="A3518" t="s">
        <v>170</v>
      </c>
      <c r="B3518" t="str">
        <f>_xlfn.XLOOKUP(A3518,'[1]Tissue Data'!$A:$A,'[1]Tissue Data'!$C:$C)</f>
        <v>Spill</v>
      </c>
      <c r="C3518" s="2">
        <f>_xlfn.XLOOKUP(A3518,'[1]Tissue Data'!$A:$A,'[1]Tissue Data'!$D:$D)</f>
        <v>44314</v>
      </c>
      <c r="D3518" s="2" t="str">
        <f>_xlfn.XLOOKUP(A3518,'[1]Tissue Data'!$A:$A,'[1]Tissue Data'!$F:$F)</f>
        <v>Eastern Mudminnow</v>
      </c>
      <c r="E3518" t="str">
        <f>_xlfn.XLOOKUP(A3518,'[1]Tissue Data'!$A:$A,'[1]Tissue Data'!$H:$H)</f>
        <v>Umbra</v>
      </c>
      <c r="F3518" t="str">
        <f>_xlfn.XLOOKUP(A3518,'[1]Tissue Data'!$A:$A,'[1]Tissue Data'!$I:$I)</f>
        <v>pygmaea</v>
      </c>
      <c r="G3518" t="str">
        <f>_xlfn.XLOOKUP(A3518,'[1]Tissue Data'!$A:$A,'[1]Tissue Data'!J:J)</f>
        <v>U</v>
      </c>
      <c r="H3518" t="str">
        <f>_xlfn.XLOOKUP(A3518,'[1]Tissue Data'!$A:$A,'[1]Tissue Data'!K:K)</f>
        <v>Whole Body</v>
      </c>
      <c r="I3518">
        <f>_xlfn.XLOOKUP(A3518,'[1]Tissue Data'!$A:$A,'[1]Tissue Data'!L:L)</f>
        <v>6.5</v>
      </c>
      <c r="J3518">
        <f>_xlfn.XLOOKUP(A3518,'[1]Tissue Data'!$A:$A,'[1]Tissue Data'!M:M)</f>
        <v>4.05</v>
      </c>
      <c r="K3518" t="s">
        <v>28</v>
      </c>
      <c r="L3518" t="str">
        <f>_xlfn.XLOOKUP(K3518,[2]analyte_order!$B:$B,[2]analyte_order!$C:$C)</f>
        <v>375-92-8</v>
      </c>
      <c r="M3518">
        <f>_xlfn.XLOOKUP(L3518,[2]analyte_order!$C:$C,[2]analyte_order!$E:$E)</f>
        <v>17</v>
      </c>
      <c r="N3518">
        <v>3.29</v>
      </c>
    </row>
    <row r="3519" spans="1:14">
      <c r="A3519" t="s">
        <v>170</v>
      </c>
      <c r="B3519" t="str">
        <f>_xlfn.XLOOKUP(A3519,'[1]Tissue Data'!$A:$A,'[1]Tissue Data'!$C:$C)</f>
        <v>Spill</v>
      </c>
      <c r="C3519" s="2">
        <f>_xlfn.XLOOKUP(A3519,'[1]Tissue Data'!$A:$A,'[1]Tissue Data'!$D:$D)</f>
        <v>44314</v>
      </c>
      <c r="D3519" s="2" t="str">
        <f>_xlfn.XLOOKUP(A3519,'[1]Tissue Data'!$A:$A,'[1]Tissue Data'!$F:$F)</f>
        <v>Eastern Mudminnow</v>
      </c>
      <c r="E3519" t="str">
        <f>_xlfn.XLOOKUP(A3519,'[1]Tissue Data'!$A:$A,'[1]Tissue Data'!$H:$H)</f>
        <v>Umbra</v>
      </c>
      <c r="F3519" t="str">
        <f>_xlfn.XLOOKUP(A3519,'[1]Tissue Data'!$A:$A,'[1]Tissue Data'!$I:$I)</f>
        <v>pygmaea</v>
      </c>
      <c r="G3519" t="str">
        <f>_xlfn.XLOOKUP(A3519,'[1]Tissue Data'!$A:$A,'[1]Tissue Data'!J:J)</f>
        <v>U</v>
      </c>
      <c r="H3519" t="str">
        <f>_xlfn.XLOOKUP(A3519,'[1]Tissue Data'!$A:$A,'[1]Tissue Data'!K:K)</f>
        <v>Whole Body</v>
      </c>
      <c r="I3519">
        <f>_xlfn.XLOOKUP(A3519,'[1]Tissue Data'!$A:$A,'[1]Tissue Data'!L:L)</f>
        <v>6.5</v>
      </c>
      <c r="J3519">
        <f>_xlfn.XLOOKUP(A3519,'[1]Tissue Data'!$A:$A,'[1]Tissue Data'!M:M)</f>
        <v>4.05</v>
      </c>
      <c r="K3519" t="s">
        <v>29</v>
      </c>
      <c r="L3519" t="str">
        <f>_xlfn.XLOOKUP(K3519,[2]analyte_order!$B:$B,[2]analyte_order!$C:$C)</f>
        <v>1763-23-1</v>
      </c>
      <c r="M3519">
        <f>_xlfn.XLOOKUP(L3519,[2]analyte_order!$C:$C,[2]analyte_order!$E:$E)</f>
        <v>18</v>
      </c>
      <c r="N3519">
        <v>1200</v>
      </c>
    </row>
    <row r="3520" spans="1:14">
      <c r="A3520" t="s">
        <v>170</v>
      </c>
      <c r="B3520" t="str">
        <f>_xlfn.XLOOKUP(A3520,'[1]Tissue Data'!$A:$A,'[1]Tissue Data'!$C:$C)</f>
        <v>Spill</v>
      </c>
      <c r="C3520" s="2">
        <f>_xlfn.XLOOKUP(A3520,'[1]Tissue Data'!$A:$A,'[1]Tissue Data'!$D:$D)</f>
        <v>44314</v>
      </c>
      <c r="D3520" s="2" t="str">
        <f>_xlfn.XLOOKUP(A3520,'[1]Tissue Data'!$A:$A,'[1]Tissue Data'!$F:$F)</f>
        <v>Eastern Mudminnow</v>
      </c>
      <c r="E3520" t="str">
        <f>_xlfn.XLOOKUP(A3520,'[1]Tissue Data'!$A:$A,'[1]Tissue Data'!$H:$H)</f>
        <v>Umbra</v>
      </c>
      <c r="F3520" t="str">
        <f>_xlfn.XLOOKUP(A3520,'[1]Tissue Data'!$A:$A,'[1]Tissue Data'!$I:$I)</f>
        <v>pygmaea</v>
      </c>
      <c r="G3520" t="str">
        <f>_xlfn.XLOOKUP(A3520,'[1]Tissue Data'!$A:$A,'[1]Tissue Data'!J:J)</f>
        <v>U</v>
      </c>
      <c r="H3520" t="str">
        <f>_xlfn.XLOOKUP(A3520,'[1]Tissue Data'!$A:$A,'[1]Tissue Data'!K:K)</f>
        <v>Whole Body</v>
      </c>
      <c r="I3520">
        <f>_xlfn.XLOOKUP(A3520,'[1]Tissue Data'!$A:$A,'[1]Tissue Data'!L:L)</f>
        <v>6.5</v>
      </c>
      <c r="J3520">
        <f>_xlfn.XLOOKUP(A3520,'[1]Tissue Data'!$A:$A,'[1]Tissue Data'!M:M)</f>
        <v>4.05</v>
      </c>
      <c r="K3520" t="s">
        <v>30</v>
      </c>
      <c r="L3520" t="str">
        <f>_xlfn.XLOOKUP(K3520,[2]analyte_order!$B:$B,[2]analyte_order!$C:$C)</f>
        <v>68259-12-1</v>
      </c>
      <c r="M3520">
        <f>_xlfn.XLOOKUP(L3520,[2]analyte_order!$C:$C,[2]analyte_order!$E:$E)</f>
        <v>19</v>
      </c>
      <c r="N3520">
        <v>1.49</v>
      </c>
    </row>
    <row r="3521" spans="1:14">
      <c r="A3521" t="s">
        <v>170</v>
      </c>
      <c r="B3521" t="str">
        <f>_xlfn.XLOOKUP(A3521,'[1]Tissue Data'!$A:$A,'[1]Tissue Data'!$C:$C)</f>
        <v>Spill</v>
      </c>
      <c r="C3521" s="2">
        <f>_xlfn.XLOOKUP(A3521,'[1]Tissue Data'!$A:$A,'[1]Tissue Data'!$D:$D)</f>
        <v>44314</v>
      </c>
      <c r="D3521" s="2" t="str">
        <f>_xlfn.XLOOKUP(A3521,'[1]Tissue Data'!$A:$A,'[1]Tissue Data'!$F:$F)</f>
        <v>Eastern Mudminnow</v>
      </c>
      <c r="E3521" t="str">
        <f>_xlfn.XLOOKUP(A3521,'[1]Tissue Data'!$A:$A,'[1]Tissue Data'!$H:$H)</f>
        <v>Umbra</v>
      </c>
      <c r="F3521" t="str">
        <f>_xlfn.XLOOKUP(A3521,'[1]Tissue Data'!$A:$A,'[1]Tissue Data'!$I:$I)</f>
        <v>pygmaea</v>
      </c>
      <c r="G3521" t="str">
        <f>_xlfn.XLOOKUP(A3521,'[1]Tissue Data'!$A:$A,'[1]Tissue Data'!J:J)</f>
        <v>U</v>
      </c>
      <c r="H3521" t="str">
        <f>_xlfn.XLOOKUP(A3521,'[1]Tissue Data'!$A:$A,'[1]Tissue Data'!K:K)</f>
        <v>Whole Body</v>
      </c>
      <c r="I3521">
        <f>_xlfn.XLOOKUP(A3521,'[1]Tissue Data'!$A:$A,'[1]Tissue Data'!L:L)</f>
        <v>6.5</v>
      </c>
      <c r="J3521">
        <f>_xlfn.XLOOKUP(A3521,'[1]Tissue Data'!$A:$A,'[1]Tissue Data'!M:M)</f>
        <v>4.05</v>
      </c>
      <c r="K3521" t="s">
        <v>31</v>
      </c>
      <c r="L3521" t="str">
        <f>_xlfn.XLOOKUP(K3521,[2]analyte_order!$B:$B,[2]analyte_order!$C:$C)</f>
        <v>335-77-3</v>
      </c>
      <c r="M3521">
        <f>_xlfn.XLOOKUP(L3521,[2]analyte_order!$C:$C,[2]analyte_order!$E:$E)</f>
        <v>20</v>
      </c>
      <c r="N3521">
        <v>3.14</v>
      </c>
    </row>
    <row r="3522" spans="1:14">
      <c r="A3522" t="s">
        <v>170</v>
      </c>
      <c r="B3522" t="str">
        <f>_xlfn.XLOOKUP(A3522,'[1]Tissue Data'!$A:$A,'[1]Tissue Data'!$C:$C)</f>
        <v>Spill</v>
      </c>
      <c r="C3522" s="2">
        <f>_xlfn.XLOOKUP(A3522,'[1]Tissue Data'!$A:$A,'[1]Tissue Data'!$D:$D)</f>
        <v>44314</v>
      </c>
      <c r="D3522" s="2" t="str">
        <f>_xlfn.XLOOKUP(A3522,'[1]Tissue Data'!$A:$A,'[1]Tissue Data'!$F:$F)</f>
        <v>Eastern Mudminnow</v>
      </c>
      <c r="E3522" t="str">
        <f>_xlfn.XLOOKUP(A3522,'[1]Tissue Data'!$A:$A,'[1]Tissue Data'!$H:$H)</f>
        <v>Umbra</v>
      </c>
      <c r="F3522" t="str">
        <f>_xlfn.XLOOKUP(A3522,'[1]Tissue Data'!$A:$A,'[1]Tissue Data'!$I:$I)</f>
        <v>pygmaea</v>
      </c>
      <c r="G3522" t="str">
        <f>_xlfn.XLOOKUP(A3522,'[1]Tissue Data'!$A:$A,'[1]Tissue Data'!J:J)</f>
        <v>U</v>
      </c>
      <c r="H3522" t="str">
        <f>_xlfn.XLOOKUP(A3522,'[1]Tissue Data'!$A:$A,'[1]Tissue Data'!K:K)</f>
        <v>Whole Body</v>
      </c>
      <c r="I3522">
        <f>_xlfn.XLOOKUP(A3522,'[1]Tissue Data'!$A:$A,'[1]Tissue Data'!L:L)</f>
        <v>6.5</v>
      </c>
      <c r="J3522">
        <f>_xlfn.XLOOKUP(A3522,'[1]Tissue Data'!$A:$A,'[1]Tissue Data'!M:M)</f>
        <v>4.05</v>
      </c>
      <c r="K3522" t="s">
        <v>32</v>
      </c>
      <c r="L3522" t="str">
        <f>_xlfn.XLOOKUP(K3522,[2]analyte_order!$B:$B,[2]analyte_order!$C:$C)</f>
        <v>79780-39-5</v>
      </c>
      <c r="M3522">
        <f>_xlfn.XLOOKUP(L3522,[2]analyte_order!$C:$C,[2]analyte_order!$E:$E)</f>
        <v>21</v>
      </c>
      <c r="N3522">
        <v>1.3</v>
      </c>
    </row>
    <row r="3523" spans="1:14">
      <c r="A3523" t="s">
        <v>170</v>
      </c>
      <c r="B3523" t="str">
        <f>_xlfn.XLOOKUP(A3523,'[1]Tissue Data'!$A:$A,'[1]Tissue Data'!$C:$C)</f>
        <v>Spill</v>
      </c>
      <c r="C3523" s="2">
        <f>_xlfn.XLOOKUP(A3523,'[1]Tissue Data'!$A:$A,'[1]Tissue Data'!$D:$D)</f>
        <v>44314</v>
      </c>
      <c r="D3523" s="2" t="str">
        <f>_xlfn.XLOOKUP(A3523,'[1]Tissue Data'!$A:$A,'[1]Tissue Data'!$F:$F)</f>
        <v>Eastern Mudminnow</v>
      </c>
      <c r="E3523" t="str">
        <f>_xlfn.XLOOKUP(A3523,'[1]Tissue Data'!$A:$A,'[1]Tissue Data'!$H:$H)</f>
        <v>Umbra</v>
      </c>
      <c r="F3523" t="str">
        <f>_xlfn.XLOOKUP(A3523,'[1]Tissue Data'!$A:$A,'[1]Tissue Data'!$I:$I)</f>
        <v>pygmaea</v>
      </c>
      <c r="G3523" t="str">
        <f>_xlfn.XLOOKUP(A3523,'[1]Tissue Data'!$A:$A,'[1]Tissue Data'!J:J)</f>
        <v>U</v>
      </c>
      <c r="H3523" t="str">
        <f>_xlfn.XLOOKUP(A3523,'[1]Tissue Data'!$A:$A,'[1]Tissue Data'!K:K)</f>
        <v>Whole Body</v>
      </c>
      <c r="I3523">
        <f>_xlfn.XLOOKUP(A3523,'[1]Tissue Data'!$A:$A,'[1]Tissue Data'!L:L)</f>
        <v>6.5</v>
      </c>
      <c r="J3523">
        <f>_xlfn.XLOOKUP(A3523,'[1]Tissue Data'!$A:$A,'[1]Tissue Data'!M:M)</f>
        <v>4.05</v>
      </c>
      <c r="K3523" t="s">
        <v>33</v>
      </c>
      <c r="L3523" t="str">
        <f>_xlfn.XLOOKUP(K3523,[2]analyte_order!$B:$B,[2]analyte_order!$C:$C)</f>
        <v>777011-38-8</v>
      </c>
      <c r="M3523">
        <f>_xlfn.XLOOKUP(L3523,[2]analyte_order!$C:$C,[2]analyte_order!$E:$E)</f>
        <v>54</v>
      </c>
      <c r="N3523">
        <v>0.13850000000000001</v>
      </c>
    </row>
    <row r="3524" spans="1:14">
      <c r="A3524" t="s">
        <v>170</v>
      </c>
      <c r="B3524" t="str">
        <f>_xlfn.XLOOKUP(A3524,'[1]Tissue Data'!$A:$A,'[1]Tissue Data'!$C:$C)</f>
        <v>Spill</v>
      </c>
      <c r="C3524" s="2">
        <f>_xlfn.XLOOKUP(A3524,'[1]Tissue Data'!$A:$A,'[1]Tissue Data'!$D:$D)</f>
        <v>44314</v>
      </c>
      <c r="D3524" s="2" t="str">
        <f>_xlfn.XLOOKUP(A3524,'[1]Tissue Data'!$A:$A,'[1]Tissue Data'!$F:$F)</f>
        <v>Eastern Mudminnow</v>
      </c>
      <c r="E3524" t="str">
        <f>_xlfn.XLOOKUP(A3524,'[1]Tissue Data'!$A:$A,'[1]Tissue Data'!$H:$H)</f>
        <v>Umbra</v>
      </c>
      <c r="F3524" t="str">
        <f>_xlfn.XLOOKUP(A3524,'[1]Tissue Data'!$A:$A,'[1]Tissue Data'!$I:$I)</f>
        <v>pygmaea</v>
      </c>
      <c r="G3524" t="str">
        <f>_xlfn.XLOOKUP(A3524,'[1]Tissue Data'!$A:$A,'[1]Tissue Data'!J:J)</f>
        <v>U</v>
      </c>
      <c r="H3524" t="str">
        <f>_xlfn.XLOOKUP(A3524,'[1]Tissue Data'!$A:$A,'[1]Tissue Data'!K:K)</f>
        <v>Whole Body</v>
      </c>
      <c r="I3524">
        <f>_xlfn.XLOOKUP(A3524,'[1]Tissue Data'!$A:$A,'[1]Tissue Data'!L:L)</f>
        <v>6.5</v>
      </c>
      <c r="J3524">
        <f>_xlfn.XLOOKUP(A3524,'[1]Tissue Data'!$A:$A,'[1]Tissue Data'!M:M)</f>
        <v>4.05</v>
      </c>
      <c r="K3524" t="s">
        <v>34</v>
      </c>
      <c r="L3524" t="str">
        <f>_xlfn.XLOOKUP(K3524,[2]analyte_order!$B:$B,[2]analyte_order!$C:$C)</f>
        <v>646-83-3</v>
      </c>
      <c r="M3524">
        <f>_xlfn.XLOOKUP(L3524,[2]analyte_order!$C:$C,[2]analyte_order!$E:$E)</f>
        <v>55</v>
      </c>
      <c r="N3524">
        <v>0.27100000000000002</v>
      </c>
    </row>
    <row r="3525" spans="1:14">
      <c r="A3525" t="s">
        <v>170</v>
      </c>
      <c r="B3525" t="str">
        <f>_xlfn.XLOOKUP(A3525,'[1]Tissue Data'!$A:$A,'[1]Tissue Data'!$C:$C)</f>
        <v>Spill</v>
      </c>
      <c r="C3525" s="2">
        <f>_xlfn.XLOOKUP(A3525,'[1]Tissue Data'!$A:$A,'[1]Tissue Data'!$D:$D)</f>
        <v>44314</v>
      </c>
      <c r="D3525" s="2" t="str">
        <f>_xlfn.XLOOKUP(A3525,'[1]Tissue Data'!$A:$A,'[1]Tissue Data'!$F:$F)</f>
        <v>Eastern Mudminnow</v>
      </c>
      <c r="E3525" t="str">
        <f>_xlfn.XLOOKUP(A3525,'[1]Tissue Data'!$A:$A,'[1]Tissue Data'!$H:$H)</f>
        <v>Umbra</v>
      </c>
      <c r="F3525" t="str">
        <f>_xlfn.XLOOKUP(A3525,'[1]Tissue Data'!$A:$A,'[1]Tissue Data'!$I:$I)</f>
        <v>pygmaea</v>
      </c>
      <c r="G3525" t="str">
        <f>_xlfn.XLOOKUP(A3525,'[1]Tissue Data'!$A:$A,'[1]Tissue Data'!J:J)</f>
        <v>U</v>
      </c>
      <c r="H3525" t="str">
        <f>_xlfn.XLOOKUP(A3525,'[1]Tissue Data'!$A:$A,'[1]Tissue Data'!K:K)</f>
        <v>Whole Body</v>
      </c>
      <c r="I3525">
        <f>_xlfn.XLOOKUP(A3525,'[1]Tissue Data'!$A:$A,'[1]Tissue Data'!L:L)</f>
        <v>6.5</v>
      </c>
      <c r="J3525">
        <f>_xlfn.XLOOKUP(A3525,'[1]Tissue Data'!$A:$A,'[1]Tissue Data'!M:M)</f>
        <v>4.05</v>
      </c>
      <c r="K3525" t="s">
        <v>35</v>
      </c>
      <c r="L3525" t="str">
        <f>_xlfn.XLOOKUP(K3525,[2]analyte_order!$B:$B,[2]analyte_order!$C:$C)</f>
        <v>30334-69-1</v>
      </c>
      <c r="M3525">
        <f>_xlfn.XLOOKUP(L3525,[2]analyte_order!$C:$C,[2]analyte_order!$E:$E)</f>
        <v>51</v>
      </c>
      <c r="N3525">
        <v>18</v>
      </c>
    </row>
    <row r="3526" spans="1:14">
      <c r="A3526" t="s">
        <v>170</v>
      </c>
      <c r="B3526" t="str">
        <f>_xlfn.XLOOKUP(A3526,'[1]Tissue Data'!$A:$A,'[1]Tissue Data'!$C:$C)</f>
        <v>Spill</v>
      </c>
      <c r="C3526" s="2">
        <f>_xlfn.XLOOKUP(A3526,'[1]Tissue Data'!$A:$A,'[1]Tissue Data'!$D:$D)</f>
        <v>44314</v>
      </c>
      <c r="D3526" s="2" t="str">
        <f>_xlfn.XLOOKUP(A3526,'[1]Tissue Data'!$A:$A,'[1]Tissue Data'!$F:$F)</f>
        <v>Eastern Mudminnow</v>
      </c>
      <c r="E3526" t="str">
        <f>_xlfn.XLOOKUP(A3526,'[1]Tissue Data'!$A:$A,'[1]Tissue Data'!$H:$H)</f>
        <v>Umbra</v>
      </c>
      <c r="F3526" t="str">
        <f>_xlfn.XLOOKUP(A3526,'[1]Tissue Data'!$A:$A,'[1]Tissue Data'!$I:$I)</f>
        <v>pygmaea</v>
      </c>
      <c r="G3526" t="str">
        <f>_xlfn.XLOOKUP(A3526,'[1]Tissue Data'!$A:$A,'[1]Tissue Data'!J:J)</f>
        <v>U</v>
      </c>
      <c r="H3526" t="str">
        <f>_xlfn.XLOOKUP(A3526,'[1]Tissue Data'!$A:$A,'[1]Tissue Data'!K:K)</f>
        <v>Whole Body</v>
      </c>
      <c r="I3526">
        <f>_xlfn.XLOOKUP(A3526,'[1]Tissue Data'!$A:$A,'[1]Tissue Data'!L:L)</f>
        <v>6.5</v>
      </c>
      <c r="J3526">
        <f>_xlfn.XLOOKUP(A3526,'[1]Tissue Data'!$A:$A,'[1]Tissue Data'!M:M)</f>
        <v>4.05</v>
      </c>
      <c r="K3526" t="s">
        <v>36</v>
      </c>
      <c r="L3526" t="str">
        <f>_xlfn.XLOOKUP(K3526,[2]analyte_order!$B:$B,[2]analyte_order!$C:$C)</f>
        <v>41997-13-1</v>
      </c>
      <c r="M3526">
        <f>_xlfn.XLOOKUP(L3526,[2]analyte_order!$C:$C,[2]analyte_order!$E:$E)</f>
        <v>52</v>
      </c>
      <c r="N3526">
        <v>69.8</v>
      </c>
    </row>
    <row r="3527" spans="1:14">
      <c r="A3527" t="s">
        <v>170</v>
      </c>
      <c r="B3527" t="str">
        <f>_xlfn.XLOOKUP(A3527,'[1]Tissue Data'!$A:$A,'[1]Tissue Data'!$C:$C)</f>
        <v>Spill</v>
      </c>
      <c r="C3527" s="2">
        <f>_xlfn.XLOOKUP(A3527,'[1]Tissue Data'!$A:$A,'[1]Tissue Data'!$D:$D)</f>
        <v>44314</v>
      </c>
      <c r="D3527" s="2" t="str">
        <f>_xlfn.XLOOKUP(A3527,'[1]Tissue Data'!$A:$A,'[1]Tissue Data'!$F:$F)</f>
        <v>Eastern Mudminnow</v>
      </c>
      <c r="E3527" t="str">
        <f>_xlfn.XLOOKUP(A3527,'[1]Tissue Data'!$A:$A,'[1]Tissue Data'!$H:$H)</f>
        <v>Umbra</v>
      </c>
      <c r="F3527" t="str">
        <f>_xlfn.XLOOKUP(A3527,'[1]Tissue Data'!$A:$A,'[1]Tissue Data'!$I:$I)</f>
        <v>pygmaea</v>
      </c>
      <c r="G3527" t="str">
        <f>_xlfn.XLOOKUP(A3527,'[1]Tissue Data'!$A:$A,'[1]Tissue Data'!J:J)</f>
        <v>U</v>
      </c>
      <c r="H3527" t="str">
        <f>_xlfn.XLOOKUP(A3527,'[1]Tissue Data'!$A:$A,'[1]Tissue Data'!K:K)</f>
        <v>Whole Body</v>
      </c>
      <c r="I3527">
        <f>_xlfn.XLOOKUP(A3527,'[1]Tissue Data'!$A:$A,'[1]Tissue Data'!L:L)</f>
        <v>6.5</v>
      </c>
      <c r="J3527">
        <f>_xlfn.XLOOKUP(A3527,'[1]Tissue Data'!$A:$A,'[1]Tissue Data'!M:M)</f>
        <v>4.05</v>
      </c>
      <c r="K3527" t="s">
        <v>37</v>
      </c>
      <c r="L3527" t="str">
        <f>_xlfn.XLOOKUP(K3527,[2]analyte_order!$B:$B,[2]analyte_order!$C:$C)</f>
        <v>754-91-6</v>
      </c>
      <c r="M3527">
        <f>_xlfn.XLOOKUP(L3527,[2]analyte_order!$C:$C,[2]analyte_order!$E:$E)</f>
        <v>28</v>
      </c>
      <c r="N3527">
        <v>15.3</v>
      </c>
    </row>
    <row r="3528" spans="1:14">
      <c r="A3528" t="s">
        <v>170</v>
      </c>
      <c r="B3528" t="str">
        <f>_xlfn.XLOOKUP(A3528,'[1]Tissue Data'!$A:$A,'[1]Tissue Data'!$C:$C)</f>
        <v>Spill</v>
      </c>
      <c r="C3528" s="2">
        <f>_xlfn.XLOOKUP(A3528,'[1]Tissue Data'!$A:$A,'[1]Tissue Data'!$D:$D)</f>
        <v>44314</v>
      </c>
      <c r="D3528" s="2" t="str">
        <f>_xlfn.XLOOKUP(A3528,'[1]Tissue Data'!$A:$A,'[1]Tissue Data'!$F:$F)</f>
        <v>Eastern Mudminnow</v>
      </c>
      <c r="E3528" t="str">
        <f>_xlfn.XLOOKUP(A3528,'[1]Tissue Data'!$A:$A,'[1]Tissue Data'!$H:$H)</f>
        <v>Umbra</v>
      </c>
      <c r="F3528" t="str">
        <f>_xlfn.XLOOKUP(A3528,'[1]Tissue Data'!$A:$A,'[1]Tissue Data'!$I:$I)</f>
        <v>pygmaea</v>
      </c>
      <c r="G3528" t="str">
        <f>_xlfn.XLOOKUP(A3528,'[1]Tissue Data'!$A:$A,'[1]Tissue Data'!J:J)</f>
        <v>U</v>
      </c>
      <c r="H3528" t="str">
        <f>_xlfn.XLOOKUP(A3528,'[1]Tissue Data'!$A:$A,'[1]Tissue Data'!K:K)</f>
        <v>Whole Body</v>
      </c>
      <c r="I3528">
        <f>_xlfn.XLOOKUP(A3528,'[1]Tissue Data'!$A:$A,'[1]Tissue Data'!L:L)</f>
        <v>6.5</v>
      </c>
      <c r="J3528">
        <f>_xlfn.XLOOKUP(A3528,'[1]Tissue Data'!$A:$A,'[1]Tissue Data'!M:M)</f>
        <v>4.05</v>
      </c>
      <c r="K3528" t="s">
        <v>38</v>
      </c>
      <c r="L3528" t="str">
        <f>_xlfn.XLOOKUP(K3528,[2]analyte_order!$B:$B,[2]analyte_order!$C:$C)</f>
        <v>31506-32-8</v>
      </c>
      <c r="M3528">
        <f>_xlfn.XLOOKUP(L3528,[2]analyte_order!$C:$C,[2]analyte_order!$E:$E)</f>
        <v>30</v>
      </c>
      <c r="N3528">
        <v>5.2999999999999999E-2</v>
      </c>
    </row>
    <row r="3529" spans="1:14">
      <c r="A3529" t="s">
        <v>170</v>
      </c>
      <c r="B3529" t="str">
        <f>_xlfn.XLOOKUP(A3529,'[1]Tissue Data'!$A:$A,'[1]Tissue Data'!$C:$C)</f>
        <v>Spill</v>
      </c>
      <c r="C3529" s="2">
        <f>_xlfn.XLOOKUP(A3529,'[1]Tissue Data'!$A:$A,'[1]Tissue Data'!$D:$D)</f>
        <v>44314</v>
      </c>
      <c r="D3529" s="2" t="str">
        <f>_xlfn.XLOOKUP(A3529,'[1]Tissue Data'!$A:$A,'[1]Tissue Data'!$F:$F)</f>
        <v>Eastern Mudminnow</v>
      </c>
      <c r="E3529" t="str">
        <f>_xlfn.XLOOKUP(A3529,'[1]Tissue Data'!$A:$A,'[1]Tissue Data'!$H:$H)</f>
        <v>Umbra</v>
      </c>
      <c r="F3529" t="str">
        <f>_xlfn.XLOOKUP(A3529,'[1]Tissue Data'!$A:$A,'[1]Tissue Data'!$I:$I)</f>
        <v>pygmaea</v>
      </c>
      <c r="G3529" t="str">
        <f>_xlfn.XLOOKUP(A3529,'[1]Tissue Data'!$A:$A,'[1]Tissue Data'!J:J)</f>
        <v>U</v>
      </c>
      <c r="H3529" t="str">
        <f>_xlfn.XLOOKUP(A3529,'[1]Tissue Data'!$A:$A,'[1]Tissue Data'!K:K)</f>
        <v>Whole Body</v>
      </c>
      <c r="I3529">
        <f>_xlfn.XLOOKUP(A3529,'[1]Tissue Data'!$A:$A,'[1]Tissue Data'!L:L)</f>
        <v>6.5</v>
      </c>
      <c r="J3529">
        <f>_xlfn.XLOOKUP(A3529,'[1]Tissue Data'!$A:$A,'[1]Tissue Data'!M:M)</f>
        <v>4.05</v>
      </c>
      <c r="K3529" t="s">
        <v>39</v>
      </c>
      <c r="L3529" t="str">
        <f>_xlfn.XLOOKUP(K3529,[2]analyte_order!$B:$B,[2]analyte_order!$C:$C)</f>
        <v>4151-50-2</v>
      </c>
      <c r="M3529">
        <f>_xlfn.XLOOKUP(L3529,[2]analyte_order!$C:$C,[2]analyte_order!$E:$E)</f>
        <v>31</v>
      </c>
      <c r="N3529">
        <v>8.0500000000000002E-2</v>
      </c>
    </row>
    <row r="3530" spans="1:14">
      <c r="A3530" t="s">
        <v>170</v>
      </c>
      <c r="B3530" t="str">
        <f>_xlfn.XLOOKUP(A3530,'[1]Tissue Data'!$A:$A,'[1]Tissue Data'!$C:$C)</f>
        <v>Spill</v>
      </c>
      <c r="C3530" s="2">
        <f>_xlfn.XLOOKUP(A3530,'[1]Tissue Data'!$A:$A,'[1]Tissue Data'!$D:$D)</f>
        <v>44314</v>
      </c>
      <c r="D3530" s="2" t="str">
        <f>_xlfn.XLOOKUP(A3530,'[1]Tissue Data'!$A:$A,'[1]Tissue Data'!$F:$F)</f>
        <v>Eastern Mudminnow</v>
      </c>
      <c r="E3530" t="str">
        <f>_xlfn.XLOOKUP(A3530,'[1]Tissue Data'!$A:$A,'[1]Tissue Data'!$H:$H)</f>
        <v>Umbra</v>
      </c>
      <c r="F3530" t="str">
        <f>_xlfn.XLOOKUP(A3530,'[1]Tissue Data'!$A:$A,'[1]Tissue Data'!$I:$I)</f>
        <v>pygmaea</v>
      </c>
      <c r="G3530" t="str">
        <f>_xlfn.XLOOKUP(A3530,'[1]Tissue Data'!$A:$A,'[1]Tissue Data'!J:J)</f>
        <v>U</v>
      </c>
      <c r="H3530" t="str">
        <f>_xlfn.XLOOKUP(A3530,'[1]Tissue Data'!$A:$A,'[1]Tissue Data'!K:K)</f>
        <v>Whole Body</v>
      </c>
      <c r="I3530">
        <f>_xlfn.XLOOKUP(A3530,'[1]Tissue Data'!$A:$A,'[1]Tissue Data'!L:L)</f>
        <v>6.5</v>
      </c>
      <c r="J3530">
        <f>_xlfn.XLOOKUP(A3530,'[1]Tissue Data'!$A:$A,'[1]Tissue Data'!M:M)</f>
        <v>4.05</v>
      </c>
      <c r="K3530" t="s">
        <v>40</v>
      </c>
      <c r="L3530" t="str">
        <f>_xlfn.XLOOKUP(K3530,[2]analyte_order!$B:$B,[2]analyte_order!$C:$C)</f>
        <v>2806-24-8</v>
      </c>
      <c r="M3530">
        <f>_xlfn.XLOOKUP(L3530,[2]analyte_order!$C:$C,[2]analyte_order!$E:$E)</f>
        <v>29</v>
      </c>
      <c r="N3530">
        <v>5.45E-2</v>
      </c>
    </row>
    <row r="3531" spans="1:14">
      <c r="A3531" t="s">
        <v>170</v>
      </c>
      <c r="B3531" t="str">
        <f>_xlfn.XLOOKUP(A3531,'[1]Tissue Data'!$A:$A,'[1]Tissue Data'!$C:$C)</f>
        <v>Spill</v>
      </c>
      <c r="C3531" s="2">
        <f>_xlfn.XLOOKUP(A3531,'[1]Tissue Data'!$A:$A,'[1]Tissue Data'!$D:$D)</f>
        <v>44314</v>
      </c>
      <c r="D3531" s="2" t="str">
        <f>_xlfn.XLOOKUP(A3531,'[1]Tissue Data'!$A:$A,'[1]Tissue Data'!$F:$F)</f>
        <v>Eastern Mudminnow</v>
      </c>
      <c r="E3531" t="str">
        <f>_xlfn.XLOOKUP(A3531,'[1]Tissue Data'!$A:$A,'[1]Tissue Data'!$H:$H)</f>
        <v>Umbra</v>
      </c>
      <c r="F3531" t="str">
        <f>_xlfn.XLOOKUP(A3531,'[1]Tissue Data'!$A:$A,'[1]Tissue Data'!$I:$I)</f>
        <v>pygmaea</v>
      </c>
      <c r="G3531" t="str">
        <f>_xlfn.XLOOKUP(A3531,'[1]Tissue Data'!$A:$A,'[1]Tissue Data'!J:J)</f>
        <v>U</v>
      </c>
      <c r="H3531" t="str">
        <f>_xlfn.XLOOKUP(A3531,'[1]Tissue Data'!$A:$A,'[1]Tissue Data'!K:K)</f>
        <v>Whole Body</v>
      </c>
      <c r="I3531">
        <f>_xlfn.XLOOKUP(A3531,'[1]Tissue Data'!$A:$A,'[1]Tissue Data'!L:L)</f>
        <v>6.5</v>
      </c>
      <c r="J3531">
        <f>_xlfn.XLOOKUP(A3531,'[1]Tissue Data'!$A:$A,'[1]Tissue Data'!M:M)</f>
        <v>4.05</v>
      </c>
      <c r="K3531" t="s">
        <v>41</v>
      </c>
      <c r="L3531" t="str">
        <f>_xlfn.XLOOKUP(K3531,[2]analyte_order!$B:$B,[2]analyte_order!$C:$C)</f>
        <v>2355-31-9</v>
      </c>
      <c r="M3531">
        <f>_xlfn.XLOOKUP(L3531,[2]analyte_order!$C:$C,[2]analyte_order!$E:$E)</f>
        <v>26</v>
      </c>
      <c r="N3531">
        <v>0.54500000000000004</v>
      </c>
    </row>
    <row r="3532" spans="1:14">
      <c r="A3532" t="s">
        <v>170</v>
      </c>
      <c r="B3532" t="str">
        <f>_xlfn.XLOOKUP(A3532,'[1]Tissue Data'!$A:$A,'[1]Tissue Data'!$C:$C)</f>
        <v>Spill</v>
      </c>
      <c r="C3532" s="2">
        <f>_xlfn.XLOOKUP(A3532,'[1]Tissue Data'!$A:$A,'[1]Tissue Data'!$D:$D)</f>
        <v>44314</v>
      </c>
      <c r="D3532" s="2" t="str">
        <f>_xlfn.XLOOKUP(A3532,'[1]Tissue Data'!$A:$A,'[1]Tissue Data'!$F:$F)</f>
        <v>Eastern Mudminnow</v>
      </c>
      <c r="E3532" t="str">
        <f>_xlfn.XLOOKUP(A3532,'[1]Tissue Data'!$A:$A,'[1]Tissue Data'!$H:$H)</f>
        <v>Umbra</v>
      </c>
      <c r="F3532" t="str">
        <f>_xlfn.XLOOKUP(A3532,'[1]Tissue Data'!$A:$A,'[1]Tissue Data'!$I:$I)</f>
        <v>pygmaea</v>
      </c>
      <c r="G3532" t="str">
        <f>_xlfn.XLOOKUP(A3532,'[1]Tissue Data'!$A:$A,'[1]Tissue Data'!J:J)</f>
        <v>U</v>
      </c>
      <c r="H3532" t="str">
        <f>_xlfn.XLOOKUP(A3532,'[1]Tissue Data'!$A:$A,'[1]Tissue Data'!K:K)</f>
        <v>Whole Body</v>
      </c>
      <c r="I3532">
        <f>_xlfn.XLOOKUP(A3532,'[1]Tissue Data'!$A:$A,'[1]Tissue Data'!L:L)</f>
        <v>6.5</v>
      </c>
      <c r="J3532">
        <f>_xlfn.XLOOKUP(A3532,'[1]Tissue Data'!$A:$A,'[1]Tissue Data'!M:M)</f>
        <v>4.05</v>
      </c>
      <c r="K3532" t="s">
        <v>42</v>
      </c>
      <c r="L3532" t="str">
        <f>_xlfn.XLOOKUP(K3532,[2]analyte_order!$B:$B,[2]analyte_order!$C:$C)</f>
        <v>2991-50-6</v>
      </c>
      <c r="M3532">
        <f>_xlfn.XLOOKUP(L3532,[2]analyte_order!$C:$C,[2]analyte_order!$E:$E)</f>
        <v>27</v>
      </c>
      <c r="N3532">
        <v>0.06</v>
      </c>
    </row>
    <row r="3533" spans="1:14">
      <c r="A3533" t="s">
        <v>170</v>
      </c>
      <c r="B3533" t="str">
        <f>_xlfn.XLOOKUP(A3533,'[1]Tissue Data'!$A:$A,'[1]Tissue Data'!$C:$C)</f>
        <v>Spill</v>
      </c>
      <c r="C3533" s="2">
        <f>_xlfn.XLOOKUP(A3533,'[1]Tissue Data'!$A:$A,'[1]Tissue Data'!$D:$D)</f>
        <v>44314</v>
      </c>
      <c r="D3533" s="2" t="str">
        <f>_xlfn.XLOOKUP(A3533,'[1]Tissue Data'!$A:$A,'[1]Tissue Data'!$F:$F)</f>
        <v>Eastern Mudminnow</v>
      </c>
      <c r="E3533" t="str">
        <f>_xlfn.XLOOKUP(A3533,'[1]Tissue Data'!$A:$A,'[1]Tissue Data'!$H:$H)</f>
        <v>Umbra</v>
      </c>
      <c r="F3533" t="str">
        <f>_xlfn.XLOOKUP(A3533,'[1]Tissue Data'!$A:$A,'[1]Tissue Data'!$I:$I)</f>
        <v>pygmaea</v>
      </c>
      <c r="G3533" t="str">
        <f>_xlfn.XLOOKUP(A3533,'[1]Tissue Data'!$A:$A,'[1]Tissue Data'!J:J)</f>
        <v>U</v>
      </c>
      <c r="H3533" t="str">
        <f>_xlfn.XLOOKUP(A3533,'[1]Tissue Data'!$A:$A,'[1]Tissue Data'!K:K)</f>
        <v>Whole Body</v>
      </c>
      <c r="I3533">
        <f>_xlfn.XLOOKUP(A3533,'[1]Tissue Data'!$A:$A,'[1]Tissue Data'!L:L)</f>
        <v>6.5</v>
      </c>
      <c r="J3533">
        <f>_xlfn.XLOOKUP(A3533,'[1]Tissue Data'!$A:$A,'[1]Tissue Data'!M:M)</f>
        <v>4.05</v>
      </c>
      <c r="K3533" t="s">
        <v>43</v>
      </c>
      <c r="L3533" t="str">
        <f>_xlfn.XLOOKUP(K3533,[2]analyte_order!$B:$B,[2]analyte_order!$C:$C)</f>
        <v>757124-72-4</v>
      </c>
      <c r="M3533">
        <f>_xlfn.XLOOKUP(L3533,[2]analyte_order!$C:$C,[2]analyte_order!$E:$E)</f>
        <v>22</v>
      </c>
      <c r="N3533">
        <v>5.6500000000000002E-2</v>
      </c>
    </row>
    <row r="3534" spans="1:14">
      <c r="A3534" t="s">
        <v>170</v>
      </c>
      <c r="B3534" t="str">
        <f>_xlfn.XLOOKUP(A3534,'[1]Tissue Data'!$A:$A,'[1]Tissue Data'!$C:$C)</f>
        <v>Spill</v>
      </c>
      <c r="C3534" s="2">
        <f>_xlfn.XLOOKUP(A3534,'[1]Tissue Data'!$A:$A,'[1]Tissue Data'!$D:$D)</f>
        <v>44314</v>
      </c>
      <c r="D3534" s="2" t="str">
        <f>_xlfn.XLOOKUP(A3534,'[1]Tissue Data'!$A:$A,'[1]Tissue Data'!$F:$F)</f>
        <v>Eastern Mudminnow</v>
      </c>
      <c r="E3534" t="str">
        <f>_xlfn.XLOOKUP(A3534,'[1]Tissue Data'!$A:$A,'[1]Tissue Data'!$H:$H)</f>
        <v>Umbra</v>
      </c>
      <c r="F3534" t="str">
        <f>_xlfn.XLOOKUP(A3534,'[1]Tissue Data'!$A:$A,'[1]Tissue Data'!$I:$I)</f>
        <v>pygmaea</v>
      </c>
      <c r="G3534" t="str">
        <f>_xlfn.XLOOKUP(A3534,'[1]Tissue Data'!$A:$A,'[1]Tissue Data'!J:J)</f>
        <v>U</v>
      </c>
      <c r="H3534" t="str">
        <f>_xlfn.XLOOKUP(A3534,'[1]Tissue Data'!$A:$A,'[1]Tissue Data'!K:K)</f>
        <v>Whole Body</v>
      </c>
      <c r="I3534">
        <f>_xlfn.XLOOKUP(A3534,'[1]Tissue Data'!$A:$A,'[1]Tissue Data'!L:L)</f>
        <v>6.5</v>
      </c>
      <c r="J3534">
        <f>_xlfn.XLOOKUP(A3534,'[1]Tissue Data'!$A:$A,'[1]Tissue Data'!M:M)</f>
        <v>4.05</v>
      </c>
      <c r="K3534" t="s">
        <v>44</v>
      </c>
      <c r="L3534" t="str">
        <f>_xlfn.XLOOKUP(K3534,[2]analyte_order!$B:$B,[2]analyte_order!$C:$C)</f>
        <v>27619-97-2</v>
      </c>
      <c r="M3534">
        <f>_xlfn.XLOOKUP(L3534,[2]analyte_order!$C:$C,[2]analyte_order!$E:$E)</f>
        <v>23</v>
      </c>
      <c r="N3534">
        <v>1.1200000000000001</v>
      </c>
    </row>
    <row r="3535" spans="1:14">
      <c r="A3535" t="s">
        <v>170</v>
      </c>
      <c r="B3535" t="str">
        <f>_xlfn.XLOOKUP(A3535,'[1]Tissue Data'!$A:$A,'[1]Tissue Data'!$C:$C)</f>
        <v>Spill</v>
      </c>
      <c r="C3535" s="2">
        <f>_xlfn.XLOOKUP(A3535,'[1]Tissue Data'!$A:$A,'[1]Tissue Data'!$D:$D)</f>
        <v>44314</v>
      </c>
      <c r="D3535" s="2" t="str">
        <f>_xlfn.XLOOKUP(A3535,'[1]Tissue Data'!$A:$A,'[1]Tissue Data'!$F:$F)</f>
        <v>Eastern Mudminnow</v>
      </c>
      <c r="E3535" t="str">
        <f>_xlfn.XLOOKUP(A3535,'[1]Tissue Data'!$A:$A,'[1]Tissue Data'!$H:$H)</f>
        <v>Umbra</v>
      </c>
      <c r="F3535" t="str">
        <f>_xlfn.XLOOKUP(A3535,'[1]Tissue Data'!$A:$A,'[1]Tissue Data'!$I:$I)</f>
        <v>pygmaea</v>
      </c>
      <c r="G3535" t="str">
        <f>_xlfn.XLOOKUP(A3535,'[1]Tissue Data'!$A:$A,'[1]Tissue Data'!J:J)</f>
        <v>U</v>
      </c>
      <c r="H3535" t="str">
        <f>_xlfn.XLOOKUP(A3535,'[1]Tissue Data'!$A:$A,'[1]Tissue Data'!K:K)</f>
        <v>Whole Body</v>
      </c>
      <c r="I3535">
        <f>_xlfn.XLOOKUP(A3535,'[1]Tissue Data'!$A:$A,'[1]Tissue Data'!L:L)</f>
        <v>6.5</v>
      </c>
      <c r="J3535">
        <f>_xlfn.XLOOKUP(A3535,'[1]Tissue Data'!$A:$A,'[1]Tissue Data'!M:M)</f>
        <v>4.05</v>
      </c>
      <c r="K3535" t="s">
        <v>45</v>
      </c>
      <c r="L3535" t="str">
        <f>_xlfn.XLOOKUP(K3535,[2]analyte_order!$B:$B,[2]analyte_order!$C:$C)</f>
        <v>39108-34-4</v>
      </c>
      <c r="M3535">
        <f>_xlfn.XLOOKUP(L3535,[2]analyte_order!$C:$C,[2]analyte_order!$E:$E)</f>
        <v>24</v>
      </c>
      <c r="N3535">
        <v>1.3</v>
      </c>
    </row>
    <row r="3536" spans="1:14">
      <c r="A3536" t="s">
        <v>170</v>
      </c>
      <c r="B3536" t="str">
        <f>_xlfn.XLOOKUP(A3536,'[1]Tissue Data'!$A:$A,'[1]Tissue Data'!$C:$C)</f>
        <v>Spill</v>
      </c>
      <c r="C3536" s="2">
        <f>_xlfn.XLOOKUP(A3536,'[1]Tissue Data'!$A:$A,'[1]Tissue Data'!$D:$D)</f>
        <v>44314</v>
      </c>
      <c r="D3536" s="2" t="str">
        <f>_xlfn.XLOOKUP(A3536,'[1]Tissue Data'!$A:$A,'[1]Tissue Data'!$F:$F)</f>
        <v>Eastern Mudminnow</v>
      </c>
      <c r="E3536" t="str">
        <f>_xlfn.XLOOKUP(A3536,'[1]Tissue Data'!$A:$A,'[1]Tissue Data'!$H:$H)</f>
        <v>Umbra</v>
      </c>
      <c r="F3536" t="str">
        <f>_xlfn.XLOOKUP(A3536,'[1]Tissue Data'!$A:$A,'[1]Tissue Data'!$I:$I)</f>
        <v>pygmaea</v>
      </c>
      <c r="G3536" t="str">
        <f>_xlfn.XLOOKUP(A3536,'[1]Tissue Data'!$A:$A,'[1]Tissue Data'!J:J)</f>
        <v>U</v>
      </c>
      <c r="H3536" t="str">
        <f>_xlfn.XLOOKUP(A3536,'[1]Tissue Data'!$A:$A,'[1]Tissue Data'!K:K)</f>
        <v>Whole Body</v>
      </c>
      <c r="I3536">
        <f>_xlfn.XLOOKUP(A3536,'[1]Tissue Data'!$A:$A,'[1]Tissue Data'!L:L)</f>
        <v>6.5</v>
      </c>
      <c r="J3536">
        <f>_xlfn.XLOOKUP(A3536,'[1]Tissue Data'!$A:$A,'[1]Tissue Data'!M:M)</f>
        <v>4.05</v>
      </c>
      <c r="K3536" t="s">
        <v>46</v>
      </c>
      <c r="L3536" t="str">
        <f>_xlfn.XLOOKUP(K3536,[2]analyte_order!$B:$B,[2]analyte_order!$C:$C)</f>
        <v>120226-60-0</v>
      </c>
      <c r="M3536">
        <f>_xlfn.XLOOKUP(L3536,[2]analyte_order!$C:$C,[2]analyte_order!$E:$E)</f>
        <v>25</v>
      </c>
      <c r="N3536">
        <v>0.25900000000000001</v>
      </c>
    </row>
    <row r="3537" spans="1:14">
      <c r="A3537" t="s">
        <v>170</v>
      </c>
      <c r="B3537" t="str">
        <f>_xlfn.XLOOKUP(A3537,'[1]Tissue Data'!$A:$A,'[1]Tissue Data'!$C:$C)</f>
        <v>Spill</v>
      </c>
      <c r="C3537" s="2">
        <f>_xlfn.XLOOKUP(A3537,'[1]Tissue Data'!$A:$A,'[1]Tissue Data'!$D:$D)</f>
        <v>44314</v>
      </c>
      <c r="D3537" s="2" t="str">
        <f>_xlfn.XLOOKUP(A3537,'[1]Tissue Data'!$A:$A,'[1]Tissue Data'!$F:$F)</f>
        <v>Eastern Mudminnow</v>
      </c>
      <c r="E3537" t="str">
        <f>_xlfn.XLOOKUP(A3537,'[1]Tissue Data'!$A:$A,'[1]Tissue Data'!$H:$H)</f>
        <v>Umbra</v>
      </c>
      <c r="F3537" t="str">
        <f>_xlfn.XLOOKUP(A3537,'[1]Tissue Data'!$A:$A,'[1]Tissue Data'!$I:$I)</f>
        <v>pygmaea</v>
      </c>
      <c r="G3537" t="str">
        <f>_xlfn.XLOOKUP(A3537,'[1]Tissue Data'!$A:$A,'[1]Tissue Data'!J:J)</f>
        <v>U</v>
      </c>
      <c r="H3537" t="str">
        <f>_xlfn.XLOOKUP(A3537,'[1]Tissue Data'!$A:$A,'[1]Tissue Data'!K:K)</f>
        <v>Whole Body</v>
      </c>
      <c r="I3537">
        <f>_xlfn.XLOOKUP(A3537,'[1]Tissue Data'!$A:$A,'[1]Tissue Data'!L:L)</f>
        <v>6.5</v>
      </c>
      <c r="J3537">
        <f>_xlfn.XLOOKUP(A3537,'[1]Tissue Data'!$A:$A,'[1]Tissue Data'!M:M)</f>
        <v>4.05</v>
      </c>
      <c r="K3537" t="s">
        <v>47</v>
      </c>
      <c r="L3537" t="str">
        <f>_xlfn.XLOOKUP(K3537,[2]analyte_order!$B:$B,[2]analyte_order!$C:$C)</f>
        <v>356-02-5</v>
      </c>
      <c r="M3537">
        <f>_xlfn.XLOOKUP(L3537,[2]analyte_order!$C:$C,[2]analyte_order!$E:$E)</f>
        <v>38</v>
      </c>
      <c r="N3537">
        <v>7.9500000000000001E-2</v>
      </c>
    </row>
    <row r="3538" spans="1:14">
      <c r="A3538" t="s">
        <v>170</v>
      </c>
      <c r="B3538" t="str">
        <f>_xlfn.XLOOKUP(A3538,'[1]Tissue Data'!$A:$A,'[1]Tissue Data'!$C:$C)</f>
        <v>Spill</v>
      </c>
      <c r="C3538" s="2">
        <f>_xlfn.XLOOKUP(A3538,'[1]Tissue Data'!$A:$A,'[1]Tissue Data'!$D:$D)</f>
        <v>44314</v>
      </c>
      <c r="D3538" s="2" t="str">
        <f>_xlfn.XLOOKUP(A3538,'[1]Tissue Data'!$A:$A,'[1]Tissue Data'!$F:$F)</f>
        <v>Eastern Mudminnow</v>
      </c>
      <c r="E3538" t="str">
        <f>_xlfn.XLOOKUP(A3538,'[1]Tissue Data'!$A:$A,'[1]Tissue Data'!$H:$H)</f>
        <v>Umbra</v>
      </c>
      <c r="F3538" t="str">
        <f>_xlfn.XLOOKUP(A3538,'[1]Tissue Data'!$A:$A,'[1]Tissue Data'!$I:$I)</f>
        <v>pygmaea</v>
      </c>
      <c r="G3538" t="str">
        <f>_xlfn.XLOOKUP(A3538,'[1]Tissue Data'!$A:$A,'[1]Tissue Data'!J:J)</f>
        <v>U</v>
      </c>
      <c r="H3538" t="str">
        <f>_xlfn.XLOOKUP(A3538,'[1]Tissue Data'!$A:$A,'[1]Tissue Data'!K:K)</f>
        <v>Whole Body</v>
      </c>
      <c r="I3538">
        <f>_xlfn.XLOOKUP(A3538,'[1]Tissue Data'!$A:$A,'[1]Tissue Data'!L:L)</f>
        <v>6.5</v>
      </c>
      <c r="J3538">
        <f>_xlfn.XLOOKUP(A3538,'[1]Tissue Data'!$A:$A,'[1]Tissue Data'!M:M)</f>
        <v>4.05</v>
      </c>
      <c r="K3538" t="s">
        <v>48</v>
      </c>
      <c r="L3538" t="str">
        <f>_xlfn.XLOOKUP(K3538,[2]analyte_order!$B:$B,[2]analyte_order!$C:$C)</f>
        <v>914637-49-3</v>
      </c>
      <c r="M3538">
        <f>_xlfn.XLOOKUP(L3538,[2]analyte_order!$C:$C,[2]analyte_order!$E:$E)</f>
        <v>39</v>
      </c>
      <c r="N3538">
        <v>3.07</v>
      </c>
    </row>
    <row r="3539" spans="1:14">
      <c r="A3539" t="s">
        <v>170</v>
      </c>
      <c r="B3539" t="str">
        <f>_xlfn.XLOOKUP(A3539,'[1]Tissue Data'!$A:$A,'[1]Tissue Data'!$C:$C)</f>
        <v>Spill</v>
      </c>
      <c r="C3539" s="2">
        <f>_xlfn.XLOOKUP(A3539,'[1]Tissue Data'!$A:$A,'[1]Tissue Data'!$D:$D)</f>
        <v>44314</v>
      </c>
      <c r="D3539" s="2" t="str">
        <f>_xlfn.XLOOKUP(A3539,'[1]Tissue Data'!$A:$A,'[1]Tissue Data'!$F:$F)</f>
        <v>Eastern Mudminnow</v>
      </c>
      <c r="E3539" t="str">
        <f>_xlfn.XLOOKUP(A3539,'[1]Tissue Data'!$A:$A,'[1]Tissue Data'!$H:$H)</f>
        <v>Umbra</v>
      </c>
      <c r="F3539" t="str">
        <f>_xlfn.XLOOKUP(A3539,'[1]Tissue Data'!$A:$A,'[1]Tissue Data'!$I:$I)</f>
        <v>pygmaea</v>
      </c>
      <c r="G3539" t="str">
        <f>_xlfn.XLOOKUP(A3539,'[1]Tissue Data'!$A:$A,'[1]Tissue Data'!J:J)</f>
        <v>U</v>
      </c>
      <c r="H3539" t="str">
        <f>_xlfn.XLOOKUP(A3539,'[1]Tissue Data'!$A:$A,'[1]Tissue Data'!K:K)</f>
        <v>Whole Body</v>
      </c>
      <c r="I3539">
        <f>_xlfn.XLOOKUP(A3539,'[1]Tissue Data'!$A:$A,'[1]Tissue Data'!L:L)</f>
        <v>6.5</v>
      </c>
      <c r="J3539">
        <f>_xlfn.XLOOKUP(A3539,'[1]Tissue Data'!$A:$A,'[1]Tissue Data'!M:M)</f>
        <v>4.05</v>
      </c>
      <c r="K3539" t="s">
        <v>49</v>
      </c>
      <c r="L3539" t="str">
        <f>_xlfn.XLOOKUP(K3539,[2]analyte_order!$B:$B,[2]analyte_order!$C:$C)</f>
        <v>812-70-4</v>
      </c>
      <c r="M3539">
        <f>_xlfn.XLOOKUP(L3539,[2]analyte_order!$C:$C,[2]analyte_order!$E:$E)</f>
        <v>40</v>
      </c>
      <c r="N3539">
        <v>5.5500000000000001E-2</v>
      </c>
    </row>
    <row r="3540" spans="1:14">
      <c r="A3540" t="s">
        <v>170</v>
      </c>
      <c r="B3540" t="str">
        <f>_xlfn.XLOOKUP(A3540,'[1]Tissue Data'!$A:$A,'[1]Tissue Data'!$C:$C)</f>
        <v>Spill</v>
      </c>
      <c r="C3540" s="2">
        <f>_xlfn.XLOOKUP(A3540,'[1]Tissue Data'!$A:$A,'[1]Tissue Data'!$D:$D)</f>
        <v>44314</v>
      </c>
      <c r="D3540" s="2" t="str">
        <f>_xlfn.XLOOKUP(A3540,'[1]Tissue Data'!$A:$A,'[1]Tissue Data'!$F:$F)</f>
        <v>Eastern Mudminnow</v>
      </c>
      <c r="E3540" t="str">
        <f>_xlfn.XLOOKUP(A3540,'[1]Tissue Data'!$A:$A,'[1]Tissue Data'!$H:$H)</f>
        <v>Umbra</v>
      </c>
      <c r="F3540" t="str">
        <f>_xlfn.XLOOKUP(A3540,'[1]Tissue Data'!$A:$A,'[1]Tissue Data'!$I:$I)</f>
        <v>pygmaea</v>
      </c>
      <c r="G3540" t="str">
        <f>_xlfn.XLOOKUP(A3540,'[1]Tissue Data'!$A:$A,'[1]Tissue Data'!J:J)</f>
        <v>U</v>
      </c>
      <c r="H3540" t="str">
        <f>_xlfn.XLOOKUP(A3540,'[1]Tissue Data'!$A:$A,'[1]Tissue Data'!K:K)</f>
        <v>Whole Body</v>
      </c>
      <c r="I3540">
        <f>_xlfn.XLOOKUP(A3540,'[1]Tissue Data'!$A:$A,'[1]Tissue Data'!L:L)</f>
        <v>6.5</v>
      </c>
      <c r="J3540">
        <f>_xlfn.XLOOKUP(A3540,'[1]Tissue Data'!$A:$A,'[1]Tissue Data'!M:M)</f>
        <v>4.05</v>
      </c>
      <c r="K3540" t="s">
        <v>50</v>
      </c>
      <c r="L3540" t="str">
        <f>_xlfn.XLOOKUP(K3540,[2]analyte_order!$B:$B,[2]analyte_order!$C:$C)</f>
        <v>53826-12-3</v>
      </c>
      <c r="M3540">
        <f>_xlfn.XLOOKUP(L3540,[2]analyte_order!$C:$C,[2]analyte_order!$E:$E)</f>
        <v>41</v>
      </c>
      <c r="N3540">
        <v>0.747</v>
      </c>
    </row>
    <row r="3541" spans="1:14">
      <c r="A3541" t="s">
        <v>170</v>
      </c>
      <c r="B3541" t="str">
        <f>_xlfn.XLOOKUP(A3541,'[1]Tissue Data'!$A:$A,'[1]Tissue Data'!$C:$C)</f>
        <v>Spill</v>
      </c>
      <c r="C3541" s="2">
        <f>_xlfn.XLOOKUP(A3541,'[1]Tissue Data'!$A:$A,'[1]Tissue Data'!$D:$D)</f>
        <v>44314</v>
      </c>
      <c r="D3541" s="2" t="str">
        <f>_xlfn.XLOOKUP(A3541,'[1]Tissue Data'!$A:$A,'[1]Tissue Data'!$F:$F)</f>
        <v>Eastern Mudminnow</v>
      </c>
      <c r="E3541" t="str">
        <f>_xlfn.XLOOKUP(A3541,'[1]Tissue Data'!$A:$A,'[1]Tissue Data'!$H:$H)</f>
        <v>Umbra</v>
      </c>
      <c r="F3541" t="str">
        <f>_xlfn.XLOOKUP(A3541,'[1]Tissue Data'!$A:$A,'[1]Tissue Data'!$I:$I)</f>
        <v>pygmaea</v>
      </c>
      <c r="G3541" t="str">
        <f>_xlfn.XLOOKUP(A3541,'[1]Tissue Data'!$A:$A,'[1]Tissue Data'!J:J)</f>
        <v>U</v>
      </c>
      <c r="H3541" t="str">
        <f>_xlfn.XLOOKUP(A3541,'[1]Tissue Data'!$A:$A,'[1]Tissue Data'!K:K)</f>
        <v>Whole Body</v>
      </c>
      <c r="I3541">
        <f>_xlfn.XLOOKUP(A3541,'[1]Tissue Data'!$A:$A,'[1]Tissue Data'!L:L)</f>
        <v>6.5</v>
      </c>
      <c r="J3541">
        <f>_xlfn.XLOOKUP(A3541,'[1]Tissue Data'!$A:$A,'[1]Tissue Data'!M:M)</f>
        <v>4.05</v>
      </c>
      <c r="K3541" t="s">
        <v>51</v>
      </c>
      <c r="L3541" t="str">
        <f>_xlfn.XLOOKUP(K3541,[2]analyte_order!$B:$B,[2]analyte_order!$C:$C)</f>
        <v>27854-31-5</v>
      </c>
      <c r="M3541">
        <f>_xlfn.XLOOKUP(L3541,[2]analyte_order!$C:$C,[2]analyte_order!$E:$E)</f>
        <v>42</v>
      </c>
      <c r="N3541">
        <v>6.9000000000000006E-2</v>
      </c>
    </row>
    <row r="3542" spans="1:14">
      <c r="A3542" t="s">
        <v>170</v>
      </c>
      <c r="B3542" t="str">
        <f>_xlfn.XLOOKUP(A3542,'[1]Tissue Data'!$A:$A,'[1]Tissue Data'!$C:$C)</f>
        <v>Spill</v>
      </c>
      <c r="C3542" s="2">
        <f>_xlfn.XLOOKUP(A3542,'[1]Tissue Data'!$A:$A,'[1]Tissue Data'!$D:$D)</f>
        <v>44314</v>
      </c>
      <c r="D3542" s="2" t="str">
        <f>_xlfn.XLOOKUP(A3542,'[1]Tissue Data'!$A:$A,'[1]Tissue Data'!$F:$F)</f>
        <v>Eastern Mudminnow</v>
      </c>
      <c r="E3542" t="str">
        <f>_xlfn.XLOOKUP(A3542,'[1]Tissue Data'!$A:$A,'[1]Tissue Data'!$H:$H)</f>
        <v>Umbra</v>
      </c>
      <c r="F3542" t="str">
        <f>_xlfn.XLOOKUP(A3542,'[1]Tissue Data'!$A:$A,'[1]Tissue Data'!$I:$I)</f>
        <v>pygmaea</v>
      </c>
      <c r="G3542" t="str">
        <f>_xlfn.XLOOKUP(A3542,'[1]Tissue Data'!$A:$A,'[1]Tissue Data'!J:J)</f>
        <v>U</v>
      </c>
      <c r="H3542" t="str">
        <f>_xlfn.XLOOKUP(A3542,'[1]Tissue Data'!$A:$A,'[1]Tissue Data'!K:K)</f>
        <v>Whole Body</v>
      </c>
      <c r="I3542">
        <f>_xlfn.XLOOKUP(A3542,'[1]Tissue Data'!$A:$A,'[1]Tissue Data'!L:L)</f>
        <v>6.5</v>
      </c>
      <c r="J3542">
        <f>_xlfn.XLOOKUP(A3542,'[1]Tissue Data'!$A:$A,'[1]Tissue Data'!M:M)</f>
        <v>4.05</v>
      </c>
      <c r="K3542" t="s">
        <v>52</v>
      </c>
      <c r="L3542" t="str">
        <f>_xlfn.XLOOKUP(K3542,[2]analyte_order!$B:$B,[2]analyte_order!$C:$C)</f>
        <v>53826-13-4</v>
      </c>
      <c r="M3542">
        <f>_xlfn.XLOOKUP(L3542,[2]analyte_order!$C:$C,[2]analyte_order!$E:$E)</f>
        <v>43</v>
      </c>
      <c r="N3542">
        <v>0.10299999999999999</v>
      </c>
    </row>
    <row r="3543" spans="1:14">
      <c r="A3543" t="s">
        <v>170</v>
      </c>
      <c r="B3543" t="str">
        <f>_xlfn.XLOOKUP(A3543,'[1]Tissue Data'!$A:$A,'[1]Tissue Data'!$C:$C)</f>
        <v>Spill</v>
      </c>
      <c r="C3543" s="2">
        <f>_xlfn.XLOOKUP(A3543,'[1]Tissue Data'!$A:$A,'[1]Tissue Data'!$D:$D)</f>
        <v>44314</v>
      </c>
      <c r="D3543" s="2" t="str">
        <f>_xlfn.XLOOKUP(A3543,'[1]Tissue Data'!$A:$A,'[1]Tissue Data'!$F:$F)</f>
        <v>Eastern Mudminnow</v>
      </c>
      <c r="E3543" t="str">
        <f>_xlfn.XLOOKUP(A3543,'[1]Tissue Data'!$A:$A,'[1]Tissue Data'!$H:$H)</f>
        <v>Umbra</v>
      </c>
      <c r="F3543" t="str">
        <f>_xlfn.XLOOKUP(A3543,'[1]Tissue Data'!$A:$A,'[1]Tissue Data'!$I:$I)</f>
        <v>pygmaea</v>
      </c>
      <c r="G3543" t="str">
        <f>_xlfn.XLOOKUP(A3543,'[1]Tissue Data'!$A:$A,'[1]Tissue Data'!J:J)</f>
        <v>U</v>
      </c>
      <c r="H3543" t="str">
        <f>_xlfn.XLOOKUP(A3543,'[1]Tissue Data'!$A:$A,'[1]Tissue Data'!K:K)</f>
        <v>Whole Body</v>
      </c>
      <c r="I3543">
        <f>_xlfn.XLOOKUP(A3543,'[1]Tissue Data'!$A:$A,'[1]Tissue Data'!L:L)</f>
        <v>6.5</v>
      </c>
      <c r="J3543">
        <f>_xlfn.XLOOKUP(A3543,'[1]Tissue Data'!$A:$A,'[1]Tissue Data'!M:M)</f>
        <v>4.05</v>
      </c>
      <c r="K3543" t="s">
        <v>53</v>
      </c>
      <c r="L3543" t="str">
        <f>_xlfn.XLOOKUP(K3543,[2]analyte_order!$B:$B,[2]analyte_order!$C:$C)</f>
        <v>161094-75-3</v>
      </c>
      <c r="M3543">
        <f>_xlfn.XLOOKUP(L3543,[2]analyte_order!$C:$C,[2]analyte_order!$E:$E)</f>
        <v>44</v>
      </c>
      <c r="N3543">
        <v>5.3999999999999999E-2</v>
      </c>
    </row>
    <row r="3544" spans="1:14">
      <c r="A3544" t="s">
        <v>170</v>
      </c>
      <c r="B3544" t="str">
        <f>_xlfn.XLOOKUP(A3544,'[1]Tissue Data'!$A:$A,'[1]Tissue Data'!$C:$C)</f>
        <v>Spill</v>
      </c>
      <c r="C3544" s="2">
        <f>_xlfn.XLOOKUP(A3544,'[1]Tissue Data'!$A:$A,'[1]Tissue Data'!$D:$D)</f>
        <v>44314</v>
      </c>
      <c r="D3544" s="2" t="str">
        <f>_xlfn.XLOOKUP(A3544,'[1]Tissue Data'!$A:$A,'[1]Tissue Data'!$F:$F)</f>
        <v>Eastern Mudminnow</v>
      </c>
      <c r="E3544" t="str">
        <f>_xlfn.XLOOKUP(A3544,'[1]Tissue Data'!$A:$A,'[1]Tissue Data'!$H:$H)</f>
        <v>Umbra</v>
      </c>
      <c r="F3544" t="str">
        <f>_xlfn.XLOOKUP(A3544,'[1]Tissue Data'!$A:$A,'[1]Tissue Data'!$I:$I)</f>
        <v>pygmaea</v>
      </c>
      <c r="G3544" t="str">
        <f>_xlfn.XLOOKUP(A3544,'[1]Tissue Data'!$A:$A,'[1]Tissue Data'!J:J)</f>
        <v>U</v>
      </c>
      <c r="H3544" t="str">
        <f>_xlfn.XLOOKUP(A3544,'[1]Tissue Data'!$A:$A,'[1]Tissue Data'!K:K)</f>
        <v>Whole Body</v>
      </c>
      <c r="I3544">
        <f>_xlfn.XLOOKUP(A3544,'[1]Tissue Data'!$A:$A,'[1]Tissue Data'!L:L)</f>
        <v>6.5</v>
      </c>
      <c r="J3544">
        <f>_xlfn.XLOOKUP(A3544,'[1]Tissue Data'!$A:$A,'[1]Tissue Data'!M:M)</f>
        <v>4.05</v>
      </c>
      <c r="K3544" t="s">
        <v>54</v>
      </c>
      <c r="L3544" t="str">
        <f>_xlfn.XLOOKUP(K3544,[2]analyte_order!$B:$B,[2]analyte_order!$C:$C)</f>
        <v>70887-84-2</v>
      </c>
      <c r="M3544">
        <f>_xlfn.XLOOKUP(L3544,[2]analyte_order!$C:$C,[2]analyte_order!$E:$E)</f>
        <v>45</v>
      </c>
      <c r="N3544">
        <v>4.165E-2</v>
      </c>
    </row>
    <row r="3545" spans="1:14">
      <c r="A3545" t="s">
        <v>170</v>
      </c>
      <c r="B3545" t="str">
        <f>_xlfn.XLOOKUP(A3545,'[1]Tissue Data'!$A:$A,'[1]Tissue Data'!$C:$C)</f>
        <v>Spill</v>
      </c>
      <c r="C3545" s="2">
        <f>_xlfn.XLOOKUP(A3545,'[1]Tissue Data'!$A:$A,'[1]Tissue Data'!$D:$D)</f>
        <v>44314</v>
      </c>
      <c r="D3545" s="2" t="str">
        <f>_xlfn.XLOOKUP(A3545,'[1]Tissue Data'!$A:$A,'[1]Tissue Data'!$F:$F)</f>
        <v>Eastern Mudminnow</v>
      </c>
      <c r="E3545" t="str">
        <f>_xlfn.XLOOKUP(A3545,'[1]Tissue Data'!$A:$A,'[1]Tissue Data'!$H:$H)</f>
        <v>Umbra</v>
      </c>
      <c r="F3545" t="str">
        <f>_xlfn.XLOOKUP(A3545,'[1]Tissue Data'!$A:$A,'[1]Tissue Data'!$I:$I)</f>
        <v>pygmaea</v>
      </c>
      <c r="G3545" t="str">
        <f>_xlfn.XLOOKUP(A3545,'[1]Tissue Data'!$A:$A,'[1]Tissue Data'!J:J)</f>
        <v>U</v>
      </c>
      <c r="H3545" t="str">
        <f>_xlfn.XLOOKUP(A3545,'[1]Tissue Data'!$A:$A,'[1]Tissue Data'!K:K)</f>
        <v>Whole Body</v>
      </c>
      <c r="I3545">
        <f>_xlfn.XLOOKUP(A3545,'[1]Tissue Data'!$A:$A,'[1]Tissue Data'!L:L)</f>
        <v>6.5</v>
      </c>
      <c r="J3545">
        <f>_xlfn.XLOOKUP(A3545,'[1]Tissue Data'!$A:$A,'[1]Tissue Data'!M:M)</f>
        <v>4.05</v>
      </c>
      <c r="K3545" t="s">
        <v>55</v>
      </c>
      <c r="L3545" t="str">
        <f>_xlfn.XLOOKUP(K3545,[2]analyte_order!$B:$B,[2]analyte_order!$C:$C)</f>
        <v>919005-14-4</v>
      </c>
      <c r="M3545">
        <f>_xlfn.XLOOKUP(L3545,[2]analyte_order!$C:$C,[2]analyte_order!$E:$E)</f>
        <v>35</v>
      </c>
      <c r="N3545">
        <v>6.9000000000000006E-2</v>
      </c>
    </row>
    <row r="3546" spans="1:14">
      <c r="A3546" t="s">
        <v>170</v>
      </c>
      <c r="B3546" t="str">
        <f>_xlfn.XLOOKUP(A3546,'[1]Tissue Data'!$A:$A,'[1]Tissue Data'!$C:$C)</f>
        <v>Spill</v>
      </c>
      <c r="C3546" s="2">
        <f>_xlfn.XLOOKUP(A3546,'[1]Tissue Data'!$A:$A,'[1]Tissue Data'!$D:$D)</f>
        <v>44314</v>
      </c>
      <c r="D3546" s="2" t="str">
        <f>_xlfn.XLOOKUP(A3546,'[1]Tissue Data'!$A:$A,'[1]Tissue Data'!$F:$F)</f>
        <v>Eastern Mudminnow</v>
      </c>
      <c r="E3546" t="str">
        <f>_xlfn.XLOOKUP(A3546,'[1]Tissue Data'!$A:$A,'[1]Tissue Data'!$H:$H)</f>
        <v>Umbra</v>
      </c>
      <c r="F3546" t="str">
        <f>_xlfn.XLOOKUP(A3546,'[1]Tissue Data'!$A:$A,'[1]Tissue Data'!$I:$I)</f>
        <v>pygmaea</v>
      </c>
      <c r="G3546" t="str">
        <f>_xlfn.XLOOKUP(A3546,'[1]Tissue Data'!$A:$A,'[1]Tissue Data'!J:J)</f>
        <v>U</v>
      </c>
      <c r="H3546" t="str">
        <f>_xlfn.XLOOKUP(A3546,'[1]Tissue Data'!$A:$A,'[1]Tissue Data'!K:K)</f>
        <v>Whole Body</v>
      </c>
      <c r="I3546">
        <f>_xlfn.XLOOKUP(A3546,'[1]Tissue Data'!$A:$A,'[1]Tissue Data'!L:L)</f>
        <v>6.5</v>
      </c>
      <c r="J3546">
        <f>_xlfn.XLOOKUP(A3546,'[1]Tissue Data'!$A:$A,'[1]Tissue Data'!M:M)</f>
        <v>4.05</v>
      </c>
      <c r="K3546" t="s">
        <v>56</v>
      </c>
      <c r="L3546" t="str">
        <f>_xlfn.XLOOKUP(K3546,[2]analyte_order!$B:$B,[2]analyte_order!$C:$C)</f>
        <v>756426-58-1</v>
      </c>
      <c r="M3546">
        <f>_xlfn.XLOOKUP(L3546,[2]analyte_order!$C:$C,[2]analyte_order!$E:$E)</f>
        <v>36</v>
      </c>
      <c r="N3546">
        <v>6.9000000000000006E-2</v>
      </c>
    </row>
    <row r="3547" spans="1:14">
      <c r="A3547" t="s">
        <v>170</v>
      </c>
      <c r="B3547" t="str">
        <f>_xlfn.XLOOKUP(A3547,'[1]Tissue Data'!$A:$A,'[1]Tissue Data'!$C:$C)</f>
        <v>Spill</v>
      </c>
      <c r="C3547" s="2">
        <f>_xlfn.XLOOKUP(A3547,'[1]Tissue Data'!$A:$A,'[1]Tissue Data'!$D:$D)</f>
        <v>44314</v>
      </c>
      <c r="D3547" s="2" t="str">
        <f>_xlfn.XLOOKUP(A3547,'[1]Tissue Data'!$A:$A,'[1]Tissue Data'!$F:$F)</f>
        <v>Eastern Mudminnow</v>
      </c>
      <c r="E3547" t="str">
        <f>_xlfn.XLOOKUP(A3547,'[1]Tissue Data'!$A:$A,'[1]Tissue Data'!$H:$H)</f>
        <v>Umbra</v>
      </c>
      <c r="F3547" t="str">
        <f>_xlfn.XLOOKUP(A3547,'[1]Tissue Data'!$A:$A,'[1]Tissue Data'!$I:$I)</f>
        <v>pygmaea</v>
      </c>
      <c r="G3547" t="str">
        <f>_xlfn.XLOOKUP(A3547,'[1]Tissue Data'!$A:$A,'[1]Tissue Data'!J:J)</f>
        <v>U</v>
      </c>
      <c r="H3547" t="str">
        <f>_xlfn.XLOOKUP(A3547,'[1]Tissue Data'!$A:$A,'[1]Tissue Data'!K:K)</f>
        <v>Whole Body</v>
      </c>
      <c r="I3547">
        <f>_xlfn.XLOOKUP(A3547,'[1]Tissue Data'!$A:$A,'[1]Tissue Data'!L:L)</f>
        <v>6.5</v>
      </c>
      <c r="J3547">
        <f>_xlfn.XLOOKUP(A3547,'[1]Tissue Data'!$A:$A,'[1]Tissue Data'!M:M)</f>
        <v>4.05</v>
      </c>
      <c r="K3547" t="s">
        <v>57</v>
      </c>
      <c r="L3547" t="str">
        <f>_xlfn.XLOOKUP(K3547,[2]analyte_order!$B:$B,[2]analyte_order!$C:$C)</f>
        <v>763051-92-9</v>
      </c>
      <c r="M3547">
        <f>_xlfn.XLOOKUP(L3547,[2]analyte_order!$C:$C,[2]analyte_order!$E:$E)</f>
        <v>37</v>
      </c>
      <c r="N3547">
        <v>6.9000000000000006E-2</v>
      </c>
    </row>
    <row r="3548" spans="1:14">
      <c r="A3548" t="s">
        <v>170</v>
      </c>
      <c r="B3548" t="str">
        <f>_xlfn.XLOOKUP(A3548,'[1]Tissue Data'!$A:$A,'[1]Tissue Data'!$C:$C)</f>
        <v>Spill</v>
      </c>
      <c r="C3548" s="2">
        <f>_xlfn.XLOOKUP(A3548,'[1]Tissue Data'!$A:$A,'[1]Tissue Data'!$D:$D)</f>
        <v>44314</v>
      </c>
      <c r="D3548" s="2" t="str">
        <f>_xlfn.XLOOKUP(A3548,'[1]Tissue Data'!$A:$A,'[1]Tissue Data'!$F:$F)</f>
        <v>Eastern Mudminnow</v>
      </c>
      <c r="E3548" t="str">
        <f>_xlfn.XLOOKUP(A3548,'[1]Tissue Data'!$A:$A,'[1]Tissue Data'!$H:$H)</f>
        <v>Umbra</v>
      </c>
      <c r="F3548" t="str">
        <f>_xlfn.XLOOKUP(A3548,'[1]Tissue Data'!$A:$A,'[1]Tissue Data'!$I:$I)</f>
        <v>pygmaea</v>
      </c>
      <c r="G3548" t="str">
        <f>_xlfn.XLOOKUP(A3548,'[1]Tissue Data'!$A:$A,'[1]Tissue Data'!J:J)</f>
        <v>U</v>
      </c>
      <c r="H3548" t="str">
        <f>_xlfn.XLOOKUP(A3548,'[1]Tissue Data'!$A:$A,'[1]Tissue Data'!K:K)</f>
        <v>Whole Body</v>
      </c>
      <c r="I3548">
        <f>_xlfn.XLOOKUP(A3548,'[1]Tissue Data'!$A:$A,'[1]Tissue Data'!L:L)</f>
        <v>6.5</v>
      </c>
      <c r="J3548">
        <f>_xlfn.XLOOKUP(A3548,'[1]Tissue Data'!$A:$A,'[1]Tissue Data'!M:M)</f>
        <v>4.05</v>
      </c>
      <c r="K3548" t="s">
        <v>58</v>
      </c>
      <c r="L3548" t="str">
        <f>_xlfn.XLOOKUP(K3548,[2]analyte_order!$B:$B,[2]analyte_order!$C:$C)</f>
        <v>13252-13-6</v>
      </c>
      <c r="M3548">
        <f>_xlfn.XLOOKUP(L3548,[2]analyte_order!$C:$C,[2]analyte_order!$E:$E)</f>
        <v>34</v>
      </c>
      <c r="N3548">
        <v>9.9000000000000005E-2</v>
      </c>
    </row>
    <row r="3549" spans="1:14">
      <c r="A3549" t="s">
        <v>170</v>
      </c>
      <c r="B3549" t="str">
        <f>_xlfn.XLOOKUP(A3549,'[1]Tissue Data'!$A:$A,'[1]Tissue Data'!$C:$C)</f>
        <v>Spill</v>
      </c>
      <c r="C3549" s="2">
        <f>_xlfn.XLOOKUP(A3549,'[1]Tissue Data'!$A:$A,'[1]Tissue Data'!$D:$D)</f>
        <v>44314</v>
      </c>
      <c r="D3549" s="2" t="str">
        <f>_xlfn.XLOOKUP(A3549,'[1]Tissue Data'!$A:$A,'[1]Tissue Data'!$F:$F)</f>
        <v>Eastern Mudminnow</v>
      </c>
      <c r="E3549" t="str">
        <f>_xlfn.XLOOKUP(A3549,'[1]Tissue Data'!$A:$A,'[1]Tissue Data'!$H:$H)</f>
        <v>Umbra</v>
      </c>
      <c r="F3549" t="str">
        <f>_xlfn.XLOOKUP(A3549,'[1]Tissue Data'!$A:$A,'[1]Tissue Data'!$I:$I)</f>
        <v>pygmaea</v>
      </c>
      <c r="G3549" t="str">
        <f>_xlfn.XLOOKUP(A3549,'[1]Tissue Data'!$A:$A,'[1]Tissue Data'!J:J)</f>
        <v>U</v>
      </c>
      <c r="H3549" t="str">
        <f>_xlfn.XLOOKUP(A3549,'[1]Tissue Data'!$A:$A,'[1]Tissue Data'!K:K)</f>
        <v>Whole Body</v>
      </c>
      <c r="I3549">
        <f>_xlfn.XLOOKUP(A3549,'[1]Tissue Data'!$A:$A,'[1]Tissue Data'!L:L)</f>
        <v>6.5</v>
      </c>
      <c r="J3549">
        <f>_xlfn.XLOOKUP(A3549,'[1]Tissue Data'!$A:$A,'[1]Tissue Data'!M:M)</f>
        <v>4.05</v>
      </c>
      <c r="K3549" t="s">
        <v>59</v>
      </c>
      <c r="L3549" t="str">
        <f>_xlfn.XLOOKUP(K3549,[2]analyte_order!$B:$B,[2]analyte_order!$C:$C)</f>
        <v>57677-95-9</v>
      </c>
      <c r="M3549">
        <f>_xlfn.XLOOKUP(L3549,[2]analyte_order!$C:$C,[2]analyte_order!$E:$E)</f>
        <v>46</v>
      </c>
      <c r="N3549">
        <v>7.3499999999999996E-2</v>
      </c>
    </row>
    <row r="3550" spans="1:14">
      <c r="A3550" t="s">
        <v>170</v>
      </c>
      <c r="B3550" t="str">
        <f>_xlfn.XLOOKUP(A3550,'[1]Tissue Data'!$A:$A,'[1]Tissue Data'!$C:$C)</f>
        <v>Spill</v>
      </c>
      <c r="C3550" s="2">
        <f>_xlfn.XLOOKUP(A3550,'[1]Tissue Data'!$A:$A,'[1]Tissue Data'!$D:$D)</f>
        <v>44314</v>
      </c>
      <c r="D3550" s="2" t="str">
        <f>_xlfn.XLOOKUP(A3550,'[1]Tissue Data'!$A:$A,'[1]Tissue Data'!$F:$F)</f>
        <v>Eastern Mudminnow</v>
      </c>
      <c r="E3550" t="str">
        <f>_xlfn.XLOOKUP(A3550,'[1]Tissue Data'!$A:$A,'[1]Tissue Data'!$H:$H)</f>
        <v>Umbra</v>
      </c>
      <c r="F3550" t="str">
        <f>_xlfn.XLOOKUP(A3550,'[1]Tissue Data'!$A:$A,'[1]Tissue Data'!$I:$I)</f>
        <v>pygmaea</v>
      </c>
      <c r="G3550" t="str">
        <f>_xlfn.XLOOKUP(A3550,'[1]Tissue Data'!$A:$A,'[1]Tissue Data'!J:J)</f>
        <v>U</v>
      </c>
      <c r="H3550" t="str">
        <f>_xlfn.XLOOKUP(A3550,'[1]Tissue Data'!$A:$A,'[1]Tissue Data'!K:K)</f>
        <v>Whole Body</v>
      </c>
      <c r="I3550">
        <f>_xlfn.XLOOKUP(A3550,'[1]Tissue Data'!$A:$A,'[1]Tissue Data'!L:L)</f>
        <v>6.5</v>
      </c>
      <c r="J3550">
        <f>_xlfn.XLOOKUP(A3550,'[1]Tissue Data'!$A:$A,'[1]Tissue Data'!M:M)</f>
        <v>4.05</v>
      </c>
      <c r="K3550" t="s">
        <v>60</v>
      </c>
      <c r="L3550" t="str">
        <f>_xlfn.XLOOKUP(K3550,[2]analyte_order!$B:$B,[2]analyte_order!$C:$C)</f>
        <v>678-41-1</v>
      </c>
      <c r="M3550">
        <f>_xlfn.XLOOKUP(L3550,[2]analyte_order!$C:$C,[2]analyte_order!$E:$E)</f>
        <v>56</v>
      </c>
      <c r="N3550">
        <v>9.1499999999999998E-2</v>
      </c>
    </row>
    <row r="3551" spans="1:14">
      <c r="A3551" t="s">
        <v>170</v>
      </c>
      <c r="B3551" t="str">
        <f>_xlfn.XLOOKUP(A3551,'[1]Tissue Data'!$A:$A,'[1]Tissue Data'!$C:$C)</f>
        <v>Spill</v>
      </c>
      <c r="C3551" s="2">
        <f>_xlfn.XLOOKUP(A3551,'[1]Tissue Data'!$A:$A,'[1]Tissue Data'!$D:$D)</f>
        <v>44314</v>
      </c>
      <c r="D3551" s="2" t="str">
        <f>_xlfn.XLOOKUP(A3551,'[1]Tissue Data'!$A:$A,'[1]Tissue Data'!$F:$F)</f>
        <v>Eastern Mudminnow</v>
      </c>
      <c r="E3551" t="str">
        <f>_xlfn.XLOOKUP(A3551,'[1]Tissue Data'!$A:$A,'[1]Tissue Data'!$H:$H)</f>
        <v>Umbra</v>
      </c>
      <c r="F3551" t="str">
        <f>_xlfn.XLOOKUP(A3551,'[1]Tissue Data'!$A:$A,'[1]Tissue Data'!$I:$I)</f>
        <v>pygmaea</v>
      </c>
      <c r="G3551" t="str">
        <f>_xlfn.XLOOKUP(A3551,'[1]Tissue Data'!$A:$A,'[1]Tissue Data'!J:J)</f>
        <v>U</v>
      </c>
      <c r="H3551" t="str">
        <f>_xlfn.XLOOKUP(A3551,'[1]Tissue Data'!$A:$A,'[1]Tissue Data'!K:K)</f>
        <v>Whole Body</v>
      </c>
      <c r="I3551">
        <f>_xlfn.XLOOKUP(A3551,'[1]Tissue Data'!$A:$A,'[1]Tissue Data'!L:L)</f>
        <v>6.5</v>
      </c>
      <c r="J3551">
        <f>_xlfn.XLOOKUP(A3551,'[1]Tissue Data'!$A:$A,'[1]Tissue Data'!M:M)</f>
        <v>4.05</v>
      </c>
      <c r="K3551" t="s">
        <v>61</v>
      </c>
      <c r="L3551" t="str">
        <f>_xlfn.XLOOKUP(K3551,[2]analyte_order!$B:$B,[2]analyte_order!$C:$C)</f>
        <v>2965-52-8</v>
      </c>
      <c r="M3551">
        <f>_xlfn.XLOOKUP(L3551,[2]analyte_order!$C:$C,[2]analyte_order!$E:$E)</f>
        <v>57</v>
      </c>
      <c r="N3551">
        <v>0.1215</v>
      </c>
    </row>
    <row r="3552" spans="1:14">
      <c r="A3552" t="s">
        <v>171</v>
      </c>
      <c r="B3552" t="str">
        <f>_xlfn.XLOOKUP(A3552,'[1]Tissue Data'!$A:$A,'[1]Tissue Data'!$C:$C)</f>
        <v>Spill</v>
      </c>
      <c r="C3552" s="2">
        <f>_xlfn.XLOOKUP(A3552,'[1]Tissue Data'!$A:$A,'[1]Tissue Data'!$D:$D)</f>
        <v>44314</v>
      </c>
      <c r="D3552" s="2" t="str">
        <f>_xlfn.XLOOKUP(A3552,'[1]Tissue Data'!$A:$A,'[1]Tissue Data'!$F:$F)</f>
        <v>Eastern Mudminnow</v>
      </c>
      <c r="E3552" t="str">
        <f>_xlfn.XLOOKUP(A3552,'[1]Tissue Data'!$A:$A,'[1]Tissue Data'!$H:$H)</f>
        <v>Umbra</v>
      </c>
      <c r="F3552" t="str">
        <f>_xlfn.XLOOKUP(A3552,'[1]Tissue Data'!$A:$A,'[1]Tissue Data'!$I:$I)</f>
        <v>pygmaea</v>
      </c>
      <c r="G3552" t="str">
        <f>_xlfn.XLOOKUP(A3552,'[1]Tissue Data'!$A:$A,'[1]Tissue Data'!J:J)</f>
        <v>U</v>
      </c>
      <c r="H3552" t="str">
        <f>_xlfn.XLOOKUP(A3552,'[1]Tissue Data'!$A:$A,'[1]Tissue Data'!K:K)</f>
        <v>Whole Body</v>
      </c>
      <c r="I3552">
        <f>_xlfn.XLOOKUP(A3552,'[1]Tissue Data'!$A:$A,'[1]Tissue Data'!L:L)</f>
        <v>7</v>
      </c>
      <c r="J3552">
        <f>_xlfn.XLOOKUP(A3552,'[1]Tissue Data'!$A:$A,'[1]Tissue Data'!M:M)</f>
        <v>3.9</v>
      </c>
      <c r="K3552" t="s">
        <v>12</v>
      </c>
      <c r="L3552" t="str">
        <f>_xlfn.XLOOKUP(K3552,[2]analyte_order!$B:$B,[2]analyte_order!$C:$C)</f>
        <v>375-22-4</v>
      </c>
      <c r="M3552">
        <f>_xlfn.XLOOKUP(L3552,[2]analyte_order!$C:$C,[2]analyte_order!$E:$E)</f>
        <v>1</v>
      </c>
      <c r="N3552">
        <v>6.3500000000000001E-2</v>
      </c>
    </row>
    <row r="3553" spans="1:14">
      <c r="A3553" t="s">
        <v>171</v>
      </c>
      <c r="B3553" t="str">
        <f>_xlfn.XLOOKUP(A3553,'[1]Tissue Data'!$A:$A,'[1]Tissue Data'!$C:$C)</f>
        <v>Spill</v>
      </c>
      <c r="C3553" s="2">
        <f>_xlfn.XLOOKUP(A3553,'[1]Tissue Data'!$A:$A,'[1]Tissue Data'!$D:$D)</f>
        <v>44314</v>
      </c>
      <c r="D3553" s="2" t="str">
        <f>_xlfn.XLOOKUP(A3553,'[1]Tissue Data'!$A:$A,'[1]Tissue Data'!$F:$F)</f>
        <v>Eastern Mudminnow</v>
      </c>
      <c r="E3553" t="str">
        <f>_xlfn.XLOOKUP(A3553,'[1]Tissue Data'!$A:$A,'[1]Tissue Data'!$H:$H)</f>
        <v>Umbra</v>
      </c>
      <c r="F3553" t="str">
        <f>_xlfn.XLOOKUP(A3553,'[1]Tissue Data'!$A:$A,'[1]Tissue Data'!$I:$I)</f>
        <v>pygmaea</v>
      </c>
      <c r="G3553" t="str">
        <f>_xlfn.XLOOKUP(A3553,'[1]Tissue Data'!$A:$A,'[1]Tissue Data'!J:J)</f>
        <v>U</v>
      </c>
      <c r="H3553" t="str">
        <f>_xlfn.XLOOKUP(A3553,'[1]Tissue Data'!$A:$A,'[1]Tissue Data'!K:K)</f>
        <v>Whole Body</v>
      </c>
      <c r="I3553">
        <f>_xlfn.XLOOKUP(A3553,'[1]Tissue Data'!$A:$A,'[1]Tissue Data'!L:L)</f>
        <v>7</v>
      </c>
      <c r="J3553">
        <f>_xlfn.XLOOKUP(A3553,'[1]Tissue Data'!$A:$A,'[1]Tissue Data'!M:M)</f>
        <v>3.9</v>
      </c>
      <c r="K3553" t="s">
        <v>13</v>
      </c>
      <c r="L3553" t="str">
        <f>_xlfn.XLOOKUP(K3553,[2]analyte_order!$B:$B,[2]analyte_order!$C:$C)</f>
        <v>2706-90-3</v>
      </c>
      <c r="M3553">
        <f>_xlfn.XLOOKUP(L3553,[2]analyte_order!$C:$C,[2]analyte_order!$E:$E)</f>
        <v>2</v>
      </c>
      <c r="N3553">
        <v>4.4999999999999998E-2</v>
      </c>
    </row>
    <row r="3554" spans="1:14">
      <c r="A3554" t="s">
        <v>171</v>
      </c>
      <c r="B3554" t="str">
        <f>_xlfn.XLOOKUP(A3554,'[1]Tissue Data'!$A:$A,'[1]Tissue Data'!$C:$C)</f>
        <v>Spill</v>
      </c>
      <c r="C3554" s="2">
        <f>_xlfn.XLOOKUP(A3554,'[1]Tissue Data'!$A:$A,'[1]Tissue Data'!$D:$D)</f>
        <v>44314</v>
      </c>
      <c r="D3554" s="2" t="str">
        <f>_xlfn.XLOOKUP(A3554,'[1]Tissue Data'!$A:$A,'[1]Tissue Data'!$F:$F)</f>
        <v>Eastern Mudminnow</v>
      </c>
      <c r="E3554" t="str">
        <f>_xlfn.XLOOKUP(A3554,'[1]Tissue Data'!$A:$A,'[1]Tissue Data'!$H:$H)</f>
        <v>Umbra</v>
      </c>
      <c r="F3554" t="str">
        <f>_xlfn.XLOOKUP(A3554,'[1]Tissue Data'!$A:$A,'[1]Tissue Data'!$I:$I)</f>
        <v>pygmaea</v>
      </c>
      <c r="G3554" t="str">
        <f>_xlfn.XLOOKUP(A3554,'[1]Tissue Data'!$A:$A,'[1]Tissue Data'!J:J)</f>
        <v>U</v>
      </c>
      <c r="H3554" t="str">
        <f>_xlfn.XLOOKUP(A3554,'[1]Tissue Data'!$A:$A,'[1]Tissue Data'!K:K)</f>
        <v>Whole Body</v>
      </c>
      <c r="I3554">
        <f>_xlfn.XLOOKUP(A3554,'[1]Tissue Data'!$A:$A,'[1]Tissue Data'!L:L)</f>
        <v>7</v>
      </c>
      <c r="J3554">
        <f>_xlfn.XLOOKUP(A3554,'[1]Tissue Data'!$A:$A,'[1]Tissue Data'!M:M)</f>
        <v>3.9</v>
      </c>
      <c r="K3554" t="s">
        <v>14</v>
      </c>
      <c r="L3554" t="str">
        <f>_xlfn.XLOOKUP(K3554,[2]analyte_order!$B:$B,[2]analyte_order!$C:$C)</f>
        <v>307-24-4</v>
      </c>
      <c r="M3554">
        <f>_xlfn.XLOOKUP(L3554,[2]analyte_order!$C:$C,[2]analyte_order!$E:$E)</f>
        <v>3</v>
      </c>
      <c r="N3554">
        <v>0.1135</v>
      </c>
    </row>
    <row r="3555" spans="1:14">
      <c r="A3555" t="s">
        <v>171</v>
      </c>
      <c r="B3555" t="str">
        <f>_xlfn.XLOOKUP(A3555,'[1]Tissue Data'!$A:$A,'[1]Tissue Data'!$C:$C)</f>
        <v>Spill</v>
      </c>
      <c r="C3555" s="2">
        <f>_xlfn.XLOOKUP(A3555,'[1]Tissue Data'!$A:$A,'[1]Tissue Data'!$D:$D)</f>
        <v>44314</v>
      </c>
      <c r="D3555" s="2" t="str">
        <f>_xlfn.XLOOKUP(A3555,'[1]Tissue Data'!$A:$A,'[1]Tissue Data'!$F:$F)</f>
        <v>Eastern Mudminnow</v>
      </c>
      <c r="E3555" t="str">
        <f>_xlfn.XLOOKUP(A3555,'[1]Tissue Data'!$A:$A,'[1]Tissue Data'!$H:$H)</f>
        <v>Umbra</v>
      </c>
      <c r="F3555" t="str">
        <f>_xlfn.XLOOKUP(A3555,'[1]Tissue Data'!$A:$A,'[1]Tissue Data'!$I:$I)</f>
        <v>pygmaea</v>
      </c>
      <c r="G3555" t="str">
        <f>_xlfn.XLOOKUP(A3555,'[1]Tissue Data'!$A:$A,'[1]Tissue Data'!J:J)</f>
        <v>U</v>
      </c>
      <c r="H3555" t="str">
        <f>_xlfn.XLOOKUP(A3555,'[1]Tissue Data'!$A:$A,'[1]Tissue Data'!K:K)</f>
        <v>Whole Body</v>
      </c>
      <c r="I3555">
        <f>_xlfn.XLOOKUP(A3555,'[1]Tissue Data'!$A:$A,'[1]Tissue Data'!L:L)</f>
        <v>7</v>
      </c>
      <c r="J3555">
        <f>_xlfn.XLOOKUP(A3555,'[1]Tissue Data'!$A:$A,'[1]Tissue Data'!M:M)</f>
        <v>3.9</v>
      </c>
      <c r="K3555" t="s">
        <v>15</v>
      </c>
      <c r="L3555" t="str">
        <f>_xlfn.XLOOKUP(K3555,[2]analyte_order!$B:$B,[2]analyte_order!$C:$C)</f>
        <v>375-85-9</v>
      </c>
      <c r="M3555">
        <f>_xlfn.XLOOKUP(L3555,[2]analyte_order!$C:$C,[2]analyte_order!$E:$E)</f>
        <v>4</v>
      </c>
      <c r="N3555">
        <v>0.191</v>
      </c>
    </row>
    <row r="3556" spans="1:14">
      <c r="A3556" t="s">
        <v>171</v>
      </c>
      <c r="B3556" t="str">
        <f>_xlfn.XLOOKUP(A3556,'[1]Tissue Data'!$A:$A,'[1]Tissue Data'!$C:$C)</f>
        <v>Spill</v>
      </c>
      <c r="C3556" s="2">
        <f>_xlfn.XLOOKUP(A3556,'[1]Tissue Data'!$A:$A,'[1]Tissue Data'!$D:$D)</f>
        <v>44314</v>
      </c>
      <c r="D3556" s="2" t="str">
        <f>_xlfn.XLOOKUP(A3556,'[1]Tissue Data'!$A:$A,'[1]Tissue Data'!$F:$F)</f>
        <v>Eastern Mudminnow</v>
      </c>
      <c r="E3556" t="str">
        <f>_xlfn.XLOOKUP(A3556,'[1]Tissue Data'!$A:$A,'[1]Tissue Data'!$H:$H)</f>
        <v>Umbra</v>
      </c>
      <c r="F3556" t="str">
        <f>_xlfn.XLOOKUP(A3556,'[1]Tissue Data'!$A:$A,'[1]Tissue Data'!$I:$I)</f>
        <v>pygmaea</v>
      </c>
      <c r="G3556" t="str">
        <f>_xlfn.XLOOKUP(A3556,'[1]Tissue Data'!$A:$A,'[1]Tissue Data'!J:J)</f>
        <v>U</v>
      </c>
      <c r="H3556" t="str">
        <f>_xlfn.XLOOKUP(A3556,'[1]Tissue Data'!$A:$A,'[1]Tissue Data'!K:K)</f>
        <v>Whole Body</v>
      </c>
      <c r="I3556">
        <f>_xlfn.XLOOKUP(A3556,'[1]Tissue Data'!$A:$A,'[1]Tissue Data'!L:L)</f>
        <v>7</v>
      </c>
      <c r="J3556">
        <f>_xlfn.XLOOKUP(A3556,'[1]Tissue Data'!$A:$A,'[1]Tissue Data'!M:M)</f>
        <v>3.9</v>
      </c>
      <c r="K3556" t="s">
        <v>16</v>
      </c>
      <c r="L3556" t="str">
        <f>_xlfn.XLOOKUP(K3556,[2]analyte_order!$B:$B,[2]analyte_order!$C:$C)</f>
        <v>335-67-1</v>
      </c>
      <c r="M3556">
        <f>_xlfn.XLOOKUP(L3556,[2]analyte_order!$C:$C,[2]analyte_order!$E:$E)</f>
        <v>5</v>
      </c>
      <c r="N3556">
        <v>3.36</v>
      </c>
    </row>
    <row r="3557" spans="1:14">
      <c r="A3557" t="s">
        <v>171</v>
      </c>
      <c r="B3557" t="str">
        <f>_xlfn.XLOOKUP(A3557,'[1]Tissue Data'!$A:$A,'[1]Tissue Data'!$C:$C)</f>
        <v>Spill</v>
      </c>
      <c r="C3557" s="2">
        <f>_xlfn.XLOOKUP(A3557,'[1]Tissue Data'!$A:$A,'[1]Tissue Data'!$D:$D)</f>
        <v>44314</v>
      </c>
      <c r="D3557" s="2" t="str">
        <f>_xlfn.XLOOKUP(A3557,'[1]Tissue Data'!$A:$A,'[1]Tissue Data'!$F:$F)</f>
        <v>Eastern Mudminnow</v>
      </c>
      <c r="E3557" t="str">
        <f>_xlfn.XLOOKUP(A3557,'[1]Tissue Data'!$A:$A,'[1]Tissue Data'!$H:$H)</f>
        <v>Umbra</v>
      </c>
      <c r="F3557" t="str">
        <f>_xlfn.XLOOKUP(A3557,'[1]Tissue Data'!$A:$A,'[1]Tissue Data'!$I:$I)</f>
        <v>pygmaea</v>
      </c>
      <c r="G3557" t="str">
        <f>_xlfn.XLOOKUP(A3557,'[1]Tissue Data'!$A:$A,'[1]Tissue Data'!J:J)</f>
        <v>U</v>
      </c>
      <c r="H3557" t="str">
        <f>_xlfn.XLOOKUP(A3557,'[1]Tissue Data'!$A:$A,'[1]Tissue Data'!K:K)</f>
        <v>Whole Body</v>
      </c>
      <c r="I3557">
        <f>_xlfn.XLOOKUP(A3557,'[1]Tissue Data'!$A:$A,'[1]Tissue Data'!L:L)</f>
        <v>7</v>
      </c>
      <c r="J3557">
        <f>_xlfn.XLOOKUP(A3557,'[1]Tissue Data'!$A:$A,'[1]Tissue Data'!M:M)</f>
        <v>3.9</v>
      </c>
      <c r="K3557" t="s">
        <v>17</v>
      </c>
      <c r="L3557" t="str">
        <f>_xlfn.XLOOKUP(K3557,[2]analyte_order!$B:$B,[2]analyte_order!$C:$C)</f>
        <v>375-95-1</v>
      </c>
      <c r="M3557">
        <f>_xlfn.XLOOKUP(L3557,[2]analyte_order!$C:$C,[2]analyte_order!$E:$E)</f>
        <v>6</v>
      </c>
      <c r="N3557">
        <v>1.7</v>
      </c>
    </row>
    <row r="3558" spans="1:14">
      <c r="A3558" t="s">
        <v>171</v>
      </c>
      <c r="B3558" t="str">
        <f>_xlfn.XLOOKUP(A3558,'[1]Tissue Data'!$A:$A,'[1]Tissue Data'!$C:$C)</f>
        <v>Spill</v>
      </c>
      <c r="C3558" s="2">
        <f>_xlfn.XLOOKUP(A3558,'[1]Tissue Data'!$A:$A,'[1]Tissue Data'!$D:$D)</f>
        <v>44314</v>
      </c>
      <c r="D3558" s="2" t="str">
        <f>_xlfn.XLOOKUP(A3558,'[1]Tissue Data'!$A:$A,'[1]Tissue Data'!$F:$F)</f>
        <v>Eastern Mudminnow</v>
      </c>
      <c r="E3558" t="str">
        <f>_xlfn.XLOOKUP(A3558,'[1]Tissue Data'!$A:$A,'[1]Tissue Data'!$H:$H)</f>
        <v>Umbra</v>
      </c>
      <c r="F3558" t="str">
        <f>_xlfn.XLOOKUP(A3558,'[1]Tissue Data'!$A:$A,'[1]Tissue Data'!$I:$I)</f>
        <v>pygmaea</v>
      </c>
      <c r="G3558" t="str">
        <f>_xlfn.XLOOKUP(A3558,'[1]Tissue Data'!$A:$A,'[1]Tissue Data'!J:J)</f>
        <v>U</v>
      </c>
      <c r="H3558" t="str">
        <f>_xlfn.XLOOKUP(A3558,'[1]Tissue Data'!$A:$A,'[1]Tissue Data'!K:K)</f>
        <v>Whole Body</v>
      </c>
      <c r="I3558">
        <f>_xlfn.XLOOKUP(A3558,'[1]Tissue Data'!$A:$A,'[1]Tissue Data'!L:L)</f>
        <v>7</v>
      </c>
      <c r="J3558">
        <f>_xlfn.XLOOKUP(A3558,'[1]Tissue Data'!$A:$A,'[1]Tissue Data'!M:M)</f>
        <v>3.9</v>
      </c>
      <c r="K3558" t="s">
        <v>18</v>
      </c>
      <c r="L3558" t="str">
        <f>_xlfn.XLOOKUP(K3558,[2]analyte_order!$B:$B,[2]analyte_order!$C:$C)</f>
        <v>335-76-2</v>
      </c>
      <c r="M3558">
        <f>_xlfn.XLOOKUP(L3558,[2]analyte_order!$C:$C,[2]analyte_order!$E:$E)</f>
        <v>7</v>
      </c>
      <c r="N3558">
        <v>3.26</v>
      </c>
    </row>
    <row r="3559" spans="1:14">
      <c r="A3559" t="s">
        <v>171</v>
      </c>
      <c r="B3559" t="str">
        <f>_xlfn.XLOOKUP(A3559,'[1]Tissue Data'!$A:$A,'[1]Tissue Data'!$C:$C)</f>
        <v>Spill</v>
      </c>
      <c r="C3559" s="2">
        <f>_xlfn.XLOOKUP(A3559,'[1]Tissue Data'!$A:$A,'[1]Tissue Data'!$D:$D)</f>
        <v>44314</v>
      </c>
      <c r="D3559" s="2" t="str">
        <f>_xlfn.XLOOKUP(A3559,'[1]Tissue Data'!$A:$A,'[1]Tissue Data'!$F:$F)</f>
        <v>Eastern Mudminnow</v>
      </c>
      <c r="E3559" t="str">
        <f>_xlfn.XLOOKUP(A3559,'[1]Tissue Data'!$A:$A,'[1]Tissue Data'!$H:$H)</f>
        <v>Umbra</v>
      </c>
      <c r="F3559" t="str">
        <f>_xlfn.XLOOKUP(A3559,'[1]Tissue Data'!$A:$A,'[1]Tissue Data'!$I:$I)</f>
        <v>pygmaea</v>
      </c>
      <c r="G3559" t="str">
        <f>_xlfn.XLOOKUP(A3559,'[1]Tissue Data'!$A:$A,'[1]Tissue Data'!J:J)</f>
        <v>U</v>
      </c>
      <c r="H3559" t="str">
        <f>_xlfn.XLOOKUP(A3559,'[1]Tissue Data'!$A:$A,'[1]Tissue Data'!K:K)</f>
        <v>Whole Body</v>
      </c>
      <c r="I3559">
        <f>_xlfn.XLOOKUP(A3559,'[1]Tissue Data'!$A:$A,'[1]Tissue Data'!L:L)</f>
        <v>7</v>
      </c>
      <c r="J3559">
        <f>_xlfn.XLOOKUP(A3559,'[1]Tissue Data'!$A:$A,'[1]Tissue Data'!M:M)</f>
        <v>3.9</v>
      </c>
      <c r="K3559" t="s">
        <v>19</v>
      </c>
      <c r="L3559" t="str">
        <f>_xlfn.XLOOKUP(K3559,[2]analyte_order!$B:$B,[2]analyte_order!$C:$C)</f>
        <v>2058-94-8</v>
      </c>
      <c r="M3559">
        <f>_xlfn.XLOOKUP(L3559,[2]analyte_order!$C:$C,[2]analyte_order!$E:$E)</f>
        <v>8</v>
      </c>
      <c r="N3559">
        <v>4.62</v>
      </c>
    </row>
    <row r="3560" spans="1:14">
      <c r="A3560" t="s">
        <v>171</v>
      </c>
      <c r="B3560" t="str">
        <f>_xlfn.XLOOKUP(A3560,'[1]Tissue Data'!$A:$A,'[1]Tissue Data'!$C:$C)</f>
        <v>Spill</v>
      </c>
      <c r="C3560" s="2">
        <f>_xlfn.XLOOKUP(A3560,'[1]Tissue Data'!$A:$A,'[1]Tissue Data'!$D:$D)</f>
        <v>44314</v>
      </c>
      <c r="D3560" s="2" t="str">
        <f>_xlfn.XLOOKUP(A3560,'[1]Tissue Data'!$A:$A,'[1]Tissue Data'!$F:$F)</f>
        <v>Eastern Mudminnow</v>
      </c>
      <c r="E3560" t="str">
        <f>_xlfn.XLOOKUP(A3560,'[1]Tissue Data'!$A:$A,'[1]Tissue Data'!$H:$H)</f>
        <v>Umbra</v>
      </c>
      <c r="F3560" t="str">
        <f>_xlfn.XLOOKUP(A3560,'[1]Tissue Data'!$A:$A,'[1]Tissue Data'!$I:$I)</f>
        <v>pygmaea</v>
      </c>
      <c r="G3560" t="str">
        <f>_xlfn.XLOOKUP(A3560,'[1]Tissue Data'!$A:$A,'[1]Tissue Data'!J:J)</f>
        <v>U</v>
      </c>
      <c r="H3560" t="str">
        <f>_xlfn.XLOOKUP(A3560,'[1]Tissue Data'!$A:$A,'[1]Tissue Data'!K:K)</f>
        <v>Whole Body</v>
      </c>
      <c r="I3560">
        <f>_xlfn.XLOOKUP(A3560,'[1]Tissue Data'!$A:$A,'[1]Tissue Data'!L:L)</f>
        <v>7</v>
      </c>
      <c r="J3560">
        <f>_xlfn.XLOOKUP(A3560,'[1]Tissue Data'!$A:$A,'[1]Tissue Data'!M:M)</f>
        <v>3.9</v>
      </c>
      <c r="K3560" t="s">
        <v>20</v>
      </c>
      <c r="L3560" t="str">
        <f>_xlfn.XLOOKUP(K3560,[2]analyte_order!$B:$B,[2]analyte_order!$C:$C)</f>
        <v>307-55-1</v>
      </c>
      <c r="M3560">
        <f>_xlfn.XLOOKUP(L3560,[2]analyte_order!$C:$C,[2]analyte_order!$E:$E)</f>
        <v>9</v>
      </c>
      <c r="N3560">
        <v>8.18</v>
      </c>
    </row>
    <row r="3561" spans="1:14">
      <c r="A3561" t="s">
        <v>171</v>
      </c>
      <c r="B3561" t="str">
        <f>_xlfn.XLOOKUP(A3561,'[1]Tissue Data'!$A:$A,'[1]Tissue Data'!$C:$C)</f>
        <v>Spill</v>
      </c>
      <c r="C3561" s="2">
        <f>_xlfn.XLOOKUP(A3561,'[1]Tissue Data'!$A:$A,'[1]Tissue Data'!$D:$D)</f>
        <v>44314</v>
      </c>
      <c r="D3561" s="2" t="str">
        <f>_xlfn.XLOOKUP(A3561,'[1]Tissue Data'!$A:$A,'[1]Tissue Data'!$F:$F)</f>
        <v>Eastern Mudminnow</v>
      </c>
      <c r="E3561" t="str">
        <f>_xlfn.XLOOKUP(A3561,'[1]Tissue Data'!$A:$A,'[1]Tissue Data'!$H:$H)</f>
        <v>Umbra</v>
      </c>
      <c r="F3561" t="str">
        <f>_xlfn.XLOOKUP(A3561,'[1]Tissue Data'!$A:$A,'[1]Tissue Data'!$I:$I)</f>
        <v>pygmaea</v>
      </c>
      <c r="G3561" t="str">
        <f>_xlfn.XLOOKUP(A3561,'[1]Tissue Data'!$A:$A,'[1]Tissue Data'!J:J)</f>
        <v>U</v>
      </c>
      <c r="H3561" t="str">
        <f>_xlfn.XLOOKUP(A3561,'[1]Tissue Data'!$A:$A,'[1]Tissue Data'!K:K)</f>
        <v>Whole Body</v>
      </c>
      <c r="I3561">
        <f>_xlfn.XLOOKUP(A3561,'[1]Tissue Data'!$A:$A,'[1]Tissue Data'!L:L)</f>
        <v>7</v>
      </c>
      <c r="J3561">
        <f>_xlfn.XLOOKUP(A3561,'[1]Tissue Data'!$A:$A,'[1]Tissue Data'!M:M)</f>
        <v>3.9</v>
      </c>
      <c r="K3561" t="s">
        <v>21</v>
      </c>
      <c r="L3561" t="str">
        <f>_xlfn.XLOOKUP(K3561,[2]analyte_order!$B:$B,[2]analyte_order!$C:$C)</f>
        <v>72629-94-8</v>
      </c>
      <c r="M3561">
        <f>_xlfn.XLOOKUP(L3561,[2]analyte_order!$C:$C,[2]analyte_order!$E:$E)</f>
        <v>10</v>
      </c>
      <c r="N3561">
        <v>3.78</v>
      </c>
    </row>
    <row r="3562" spans="1:14">
      <c r="A3562" t="s">
        <v>171</v>
      </c>
      <c r="B3562" t="str">
        <f>_xlfn.XLOOKUP(A3562,'[1]Tissue Data'!$A:$A,'[1]Tissue Data'!$C:$C)</f>
        <v>Spill</v>
      </c>
      <c r="C3562" s="2">
        <f>_xlfn.XLOOKUP(A3562,'[1]Tissue Data'!$A:$A,'[1]Tissue Data'!$D:$D)</f>
        <v>44314</v>
      </c>
      <c r="D3562" s="2" t="str">
        <f>_xlfn.XLOOKUP(A3562,'[1]Tissue Data'!$A:$A,'[1]Tissue Data'!$F:$F)</f>
        <v>Eastern Mudminnow</v>
      </c>
      <c r="E3562" t="str">
        <f>_xlfn.XLOOKUP(A3562,'[1]Tissue Data'!$A:$A,'[1]Tissue Data'!$H:$H)</f>
        <v>Umbra</v>
      </c>
      <c r="F3562" t="str">
        <f>_xlfn.XLOOKUP(A3562,'[1]Tissue Data'!$A:$A,'[1]Tissue Data'!$I:$I)</f>
        <v>pygmaea</v>
      </c>
      <c r="G3562" t="str">
        <f>_xlfn.XLOOKUP(A3562,'[1]Tissue Data'!$A:$A,'[1]Tissue Data'!J:J)</f>
        <v>U</v>
      </c>
      <c r="H3562" t="str">
        <f>_xlfn.XLOOKUP(A3562,'[1]Tissue Data'!$A:$A,'[1]Tissue Data'!K:K)</f>
        <v>Whole Body</v>
      </c>
      <c r="I3562">
        <f>_xlfn.XLOOKUP(A3562,'[1]Tissue Data'!$A:$A,'[1]Tissue Data'!L:L)</f>
        <v>7</v>
      </c>
      <c r="J3562">
        <f>_xlfn.XLOOKUP(A3562,'[1]Tissue Data'!$A:$A,'[1]Tissue Data'!M:M)</f>
        <v>3.9</v>
      </c>
      <c r="K3562" t="s">
        <v>22</v>
      </c>
      <c r="L3562" t="str">
        <f>_xlfn.XLOOKUP(K3562,[2]analyte_order!$B:$B,[2]analyte_order!$C:$C)</f>
        <v>376-06-7</v>
      </c>
      <c r="M3562">
        <f>_xlfn.XLOOKUP(L3562,[2]analyte_order!$C:$C,[2]analyte_order!$E:$E)</f>
        <v>11</v>
      </c>
      <c r="N3562">
        <v>6.75</v>
      </c>
    </row>
    <row r="3563" spans="1:14">
      <c r="A3563" t="s">
        <v>171</v>
      </c>
      <c r="B3563" t="str">
        <f>_xlfn.XLOOKUP(A3563,'[1]Tissue Data'!$A:$A,'[1]Tissue Data'!$C:$C)</f>
        <v>Spill</v>
      </c>
      <c r="C3563" s="2">
        <f>_xlfn.XLOOKUP(A3563,'[1]Tissue Data'!$A:$A,'[1]Tissue Data'!$D:$D)</f>
        <v>44314</v>
      </c>
      <c r="D3563" s="2" t="str">
        <f>_xlfn.XLOOKUP(A3563,'[1]Tissue Data'!$A:$A,'[1]Tissue Data'!$F:$F)</f>
        <v>Eastern Mudminnow</v>
      </c>
      <c r="E3563" t="str">
        <f>_xlfn.XLOOKUP(A3563,'[1]Tissue Data'!$A:$A,'[1]Tissue Data'!$H:$H)</f>
        <v>Umbra</v>
      </c>
      <c r="F3563" t="str">
        <f>_xlfn.XLOOKUP(A3563,'[1]Tissue Data'!$A:$A,'[1]Tissue Data'!$I:$I)</f>
        <v>pygmaea</v>
      </c>
      <c r="G3563" t="str">
        <f>_xlfn.XLOOKUP(A3563,'[1]Tissue Data'!$A:$A,'[1]Tissue Data'!J:J)</f>
        <v>U</v>
      </c>
      <c r="H3563" t="str">
        <f>_xlfn.XLOOKUP(A3563,'[1]Tissue Data'!$A:$A,'[1]Tissue Data'!K:K)</f>
        <v>Whole Body</v>
      </c>
      <c r="I3563">
        <f>_xlfn.XLOOKUP(A3563,'[1]Tissue Data'!$A:$A,'[1]Tissue Data'!L:L)</f>
        <v>7</v>
      </c>
      <c r="J3563">
        <f>_xlfn.XLOOKUP(A3563,'[1]Tissue Data'!$A:$A,'[1]Tissue Data'!M:M)</f>
        <v>3.9</v>
      </c>
      <c r="K3563" t="s">
        <v>23</v>
      </c>
      <c r="L3563" t="str">
        <f>_xlfn.XLOOKUP(K3563,[2]analyte_order!$B:$B,[2]analyte_order!$C:$C)</f>
        <v>67905-19-5</v>
      </c>
      <c r="M3563">
        <f>_xlfn.XLOOKUP(L3563,[2]analyte_order!$C:$C,[2]analyte_order!$E:$E)</f>
        <v>12</v>
      </c>
      <c r="N3563">
        <v>7.5999999999999998E-2</v>
      </c>
    </row>
    <row r="3564" spans="1:14">
      <c r="A3564" t="s">
        <v>171</v>
      </c>
      <c r="B3564" t="str">
        <f>_xlfn.XLOOKUP(A3564,'[1]Tissue Data'!$A:$A,'[1]Tissue Data'!$C:$C)</f>
        <v>Spill</v>
      </c>
      <c r="C3564" s="2">
        <f>_xlfn.XLOOKUP(A3564,'[1]Tissue Data'!$A:$A,'[1]Tissue Data'!$D:$D)</f>
        <v>44314</v>
      </c>
      <c r="D3564" s="2" t="str">
        <f>_xlfn.XLOOKUP(A3564,'[1]Tissue Data'!$A:$A,'[1]Tissue Data'!$F:$F)</f>
        <v>Eastern Mudminnow</v>
      </c>
      <c r="E3564" t="str">
        <f>_xlfn.XLOOKUP(A3564,'[1]Tissue Data'!$A:$A,'[1]Tissue Data'!$H:$H)</f>
        <v>Umbra</v>
      </c>
      <c r="F3564" t="str">
        <f>_xlfn.XLOOKUP(A3564,'[1]Tissue Data'!$A:$A,'[1]Tissue Data'!$I:$I)</f>
        <v>pygmaea</v>
      </c>
      <c r="G3564" t="str">
        <f>_xlfn.XLOOKUP(A3564,'[1]Tissue Data'!$A:$A,'[1]Tissue Data'!J:J)</f>
        <v>U</v>
      </c>
      <c r="H3564" t="str">
        <f>_xlfn.XLOOKUP(A3564,'[1]Tissue Data'!$A:$A,'[1]Tissue Data'!K:K)</f>
        <v>Whole Body</v>
      </c>
      <c r="I3564">
        <f>_xlfn.XLOOKUP(A3564,'[1]Tissue Data'!$A:$A,'[1]Tissue Data'!L:L)</f>
        <v>7</v>
      </c>
      <c r="J3564">
        <f>_xlfn.XLOOKUP(A3564,'[1]Tissue Data'!$A:$A,'[1]Tissue Data'!M:M)</f>
        <v>3.9</v>
      </c>
      <c r="K3564" t="s">
        <v>24</v>
      </c>
      <c r="L3564" t="str">
        <f>_xlfn.XLOOKUP(K3564,[2]analyte_order!$B:$B,[2]analyte_order!$C:$C)</f>
        <v>423-41-6</v>
      </c>
      <c r="M3564">
        <f>_xlfn.XLOOKUP(L3564,[2]analyte_order!$C:$C,[2]analyte_order!$E:$E)</f>
        <v>53</v>
      </c>
      <c r="N3564">
        <v>4.8649999999999999E-2</v>
      </c>
    </row>
    <row r="3565" spans="1:14">
      <c r="A3565" t="s">
        <v>171</v>
      </c>
      <c r="B3565" t="str">
        <f>_xlfn.XLOOKUP(A3565,'[1]Tissue Data'!$A:$A,'[1]Tissue Data'!$C:$C)</f>
        <v>Spill</v>
      </c>
      <c r="C3565" s="2">
        <f>_xlfn.XLOOKUP(A3565,'[1]Tissue Data'!$A:$A,'[1]Tissue Data'!$D:$D)</f>
        <v>44314</v>
      </c>
      <c r="D3565" s="2" t="str">
        <f>_xlfn.XLOOKUP(A3565,'[1]Tissue Data'!$A:$A,'[1]Tissue Data'!$F:$F)</f>
        <v>Eastern Mudminnow</v>
      </c>
      <c r="E3565" t="str">
        <f>_xlfn.XLOOKUP(A3565,'[1]Tissue Data'!$A:$A,'[1]Tissue Data'!$H:$H)</f>
        <v>Umbra</v>
      </c>
      <c r="F3565" t="str">
        <f>_xlfn.XLOOKUP(A3565,'[1]Tissue Data'!$A:$A,'[1]Tissue Data'!$I:$I)</f>
        <v>pygmaea</v>
      </c>
      <c r="G3565" t="str">
        <f>_xlfn.XLOOKUP(A3565,'[1]Tissue Data'!$A:$A,'[1]Tissue Data'!J:J)</f>
        <v>U</v>
      </c>
      <c r="H3565" t="str">
        <f>_xlfn.XLOOKUP(A3565,'[1]Tissue Data'!$A:$A,'[1]Tissue Data'!K:K)</f>
        <v>Whole Body</v>
      </c>
      <c r="I3565">
        <f>_xlfn.XLOOKUP(A3565,'[1]Tissue Data'!$A:$A,'[1]Tissue Data'!L:L)</f>
        <v>7</v>
      </c>
      <c r="J3565">
        <f>_xlfn.XLOOKUP(A3565,'[1]Tissue Data'!$A:$A,'[1]Tissue Data'!M:M)</f>
        <v>3.9</v>
      </c>
      <c r="K3565" t="s">
        <v>25</v>
      </c>
      <c r="L3565" t="str">
        <f>_xlfn.XLOOKUP(K3565,[2]analyte_order!$B:$B,[2]analyte_order!$C:$C)</f>
        <v>375-73-5</v>
      </c>
      <c r="M3565">
        <f>_xlfn.XLOOKUP(L3565,[2]analyte_order!$C:$C,[2]analyte_order!$E:$E)</f>
        <v>14</v>
      </c>
      <c r="N3565">
        <v>0.14299999999999999</v>
      </c>
    </row>
    <row r="3566" spans="1:14">
      <c r="A3566" t="s">
        <v>171</v>
      </c>
      <c r="B3566" t="str">
        <f>_xlfn.XLOOKUP(A3566,'[1]Tissue Data'!$A:$A,'[1]Tissue Data'!$C:$C)</f>
        <v>Spill</v>
      </c>
      <c r="C3566" s="2">
        <f>_xlfn.XLOOKUP(A3566,'[1]Tissue Data'!$A:$A,'[1]Tissue Data'!$D:$D)</f>
        <v>44314</v>
      </c>
      <c r="D3566" s="2" t="str">
        <f>_xlfn.XLOOKUP(A3566,'[1]Tissue Data'!$A:$A,'[1]Tissue Data'!$F:$F)</f>
        <v>Eastern Mudminnow</v>
      </c>
      <c r="E3566" t="str">
        <f>_xlfn.XLOOKUP(A3566,'[1]Tissue Data'!$A:$A,'[1]Tissue Data'!$H:$H)</f>
        <v>Umbra</v>
      </c>
      <c r="F3566" t="str">
        <f>_xlfn.XLOOKUP(A3566,'[1]Tissue Data'!$A:$A,'[1]Tissue Data'!$I:$I)</f>
        <v>pygmaea</v>
      </c>
      <c r="G3566" t="str">
        <f>_xlfn.XLOOKUP(A3566,'[1]Tissue Data'!$A:$A,'[1]Tissue Data'!J:J)</f>
        <v>U</v>
      </c>
      <c r="H3566" t="str">
        <f>_xlfn.XLOOKUP(A3566,'[1]Tissue Data'!$A:$A,'[1]Tissue Data'!K:K)</f>
        <v>Whole Body</v>
      </c>
      <c r="I3566">
        <f>_xlfn.XLOOKUP(A3566,'[1]Tissue Data'!$A:$A,'[1]Tissue Data'!L:L)</f>
        <v>7</v>
      </c>
      <c r="J3566">
        <f>_xlfn.XLOOKUP(A3566,'[1]Tissue Data'!$A:$A,'[1]Tissue Data'!M:M)</f>
        <v>3.9</v>
      </c>
      <c r="K3566" t="s">
        <v>26</v>
      </c>
      <c r="L3566" t="str">
        <f>_xlfn.XLOOKUP(K3566,[2]analyte_order!$B:$B,[2]analyte_order!$C:$C)</f>
        <v>2706-91-4</v>
      </c>
      <c r="M3566">
        <f>_xlfn.XLOOKUP(L3566,[2]analyte_order!$C:$C,[2]analyte_order!$E:$E)</f>
        <v>15</v>
      </c>
      <c r="N3566">
        <v>0.80800000000000005</v>
      </c>
    </row>
    <row r="3567" spans="1:14">
      <c r="A3567" t="s">
        <v>171</v>
      </c>
      <c r="B3567" t="str">
        <f>_xlfn.XLOOKUP(A3567,'[1]Tissue Data'!$A:$A,'[1]Tissue Data'!$C:$C)</f>
        <v>Spill</v>
      </c>
      <c r="C3567" s="2">
        <f>_xlfn.XLOOKUP(A3567,'[1]Tissue Data'!$A:$A,'[1]Tissue Data'!$D:$D)</f>
        <v>44314</v>
      </c>
      <c r="D3567" s="2" t="str">
        <f>_xlfn.XLOOKUP(A3567,'[1]Tissue Data'!$A:$A,'[1]Tissue Data'!$F:$F)</f>
        <v>Eastern Mudminnow</v>
      </c>
      <c r="E3567" t="str">
        <f>_xlfn.XLOOKUP(A3567,'[1]Tissue Data'!$A:$A,'[1]Tissue Data'!$H:$H)</f>
        <v>Umbra</v>
      </c>
      <c r="F3567" t="str">
        <f>_xlfn.XLOOKUP(A3567,'[1]Tissue Data'!$A:$A,'[1]Tissue Data'!$I:$I)</f>
        <v>pygmaea</v>
      </c>
      <c r="G3567" t="str">
        <f>_xlfn.XLOOKUP(A3567,'[1]Tissue Data'!$A:$A,'[1]Tissue Data'!J:J)</f>
        <v>U</v>
      </c>
      <c r="H3567" t="str">
        <f>_xlfn.XLOOKUP(A3567,'[1]Tissue Data'!$A:$A,'[1]Tissue Data'!K:K)</f>
        <v>Whole Body</v>
      </c>
      <c r="I3567">
        <f>_xlfn.XLOOKUP(A3567,'[1]Tissue Data'!$A:$A,'[1]Tissue Data'!L:L)</f>
        <v>7</v>
      </c>
      <c r="J3567">
        <f>_xlfn.XLOOKUP(A3567,'[1]Tissue Data'!$A:$A,'[1]Tissue Data'!M:M)</f>
        <v>3.9</v>
      </c>
      <c r="K3567" t="s">
        <v>27</v>
      </c>
      <c r="L3567" t="str">
        <f>_xlfn.XLOOKUP(K3567,[2]analyte_order!$B:$B,[2]analyte_order!$C:$C)</f>
        <v>355-46-4</v>
      </c>
      <c r="M3567">
        <f>_xlfn.XLOOKUP(L3567,[2]analyte_order!$C:$C,[2]analyte_order!$E:$E)</f>
        <v>16</v>
      </c>
      <c r="N3567">
        <v>35.5</v>
      </c>
    </row>
    <row r="3568" spans="1:14">
      <c r="A3568" t="s">
        <v>171</v>
      </c>
      <c r="B3568" t="str">
        <f>_xlfn.XLOOKUP(A3568,'[1]Tissue Data'!$A:$A,'[1]Tissue Data'!$C:$C)</f>
        <v>Spill</v>
      </c>
      <c r="C3568" s="2">
        <f>_xlfn.XLOOKUP(A3568,'[1]Tissue Data'!$A:$A,'[1]Tissue Data'!$D:$D)</f>
        <v>44314</v>
      </c>
      <c r="D3568" s="2" t="str">
        <f>_xlfn.XLOOKUP(A3568,'[1]Tissue Data'!$A:$A,'[1]Tissue Data'!$F:$F)</f>
        <v>Eastern Mudminnow</v>
      </c>
      <c r="E3568" t="str">
        <f>_xlfn.XLOOKUP(A3568,'[1]Tissue Data'!$A:$A,'[1]Tissue Data'!$H:$H)</f>
        <v>Umbra</v>
      </c>
      <c r="F3568" t="str">
        <f>_xlfn.XLOOKUP(A3568,'[1]Tissue Data'!$A:$A,'[1]Tissue Data'!$I:$I)</f>
        <v>pygmaea</v>
      </c>
      <c r="G3568" t="str">
        <f>_xlfn.XLOOKUP(A3568,'[1]Tissue Data'!$A:$A,'[1]Tissue Data'!J:J)</f>
        <v>U</v>
      </c>
      <c r="H3568" t="str">
        <f>_xlfn.XLOOKUP(A3568,'[1]Tissue Data'!$A:$A,'[1]Tissue Data'!K:K)</f>
        <v>Whole Body</v>
      </c>
      <c r="I3568">
        <f>_xlfn.XLOOKUP(A3568,'[1]Tissue Data'!$A:$A,'[1]Tissue Data'!L:L)</f>
        <v>7</v>
      </c>
      <c r="J3568">
        <f>_xlfn.XLOOKUP(A3568,'[1]Tissue Data'!$A:$A,'[1]Tissue Data'!M:M)</f>
        <v>3.9</v>
      </c>
      <c r="K3568" t="s">
        <v>28</v>
      </c>
      <c r="L3568" t="str">
        <f>_xlfn.XLOOKUP(K3568,[2]analyte_order!$B:$B,[2]analyte_order!$C:$C)</f>
        <v>375-92-8</v>
      </c>
      <c r="M3568">
        <f>_xlfn.XLOOKUP(L3568,[2]analyte_order!$C:$C,[2]analyte_order!$E:$E)</f>
        <v>17</v>
      </c>
      <c r="N3568">
        <v>2.91</v>
      </c>
    </row>
    <row r="3569" spans="1:14">
      <c r="A3569" t="s">
        <v>171</v>
      </c>
      <c r="B3569" t="str">
        <f>_xlfn.XLOOKUP(A3569,'[1]Tissue Data'!$A:$A,'[1]Tissue Data'!$C:$C)</f>
        <v>Spill</v>
      </c>
      <c r="C3569" s="2">
        <f>_xlfn.XLOOKUP(A3569,'[1]Tissue Data'!$A:$A,'[1]Tissue Data'!$D:$D)</f>
        <v>44314</v>
      </c>
      <c r="D3569" s="2" t="str">
        <f>_xlfn.XLOOKUP(A3569,'[1]Tissue Data'!$A:$A,'[1]Tissue Data'!$F:$F)</f>
        <v>Eastern Mudminnow</v>
      </c>
      <c r="E3569" t="str">
        <f>_xlfn.XLOOKUP(A3569,'[1]Tissue Data'!$A:$A,'[1]Tissue Data'!$H:$H)</f>
        <v>Umbra</v>
      </c>
      <c r="F3569" t="str">
        <f>_xlfn.XLOOKUP(A3569,'[1]Tissue Data'!$A:$A,'[1]Tissue Data'!$I:$I)</f>
        <v>pygmaea</v>
      </c>
      <c r="G3569" t="str">
        <f>_xlfn.XLOOKUP(A3569,'[1]Tissue Data'!$A:$A,'[1]Tissue Data'!J:J)</f>
        <v>U</v>
      </c>
      <c r="H3569" t="str">
        <f>_xlfn.XLOOKUP(A3569,'[1]Tissue Data'!$A:$A,'[1]Tissue Data'!K:K)</f>
        <v>Whole Body</v>
      </c>
      <c r="I3569">
        <f>_xlfn.XLOOKUP(A3569,'[1]Tissue Data'!$A:$A,'[1]Tissue Data'!L:L)</f>
        <v>7</v>
      </c>
      <c r="J3569">
        <f>_xlfn.XLOOKUP(A3569,'[1]Tissue Data'!$A:$A,'[1]Tissue Data'!M:M)</f>
        <v>3.9</v>
      </c>
      <c r="K3569" t="s">
        <v>29</v>
      </c>
      <c r="L3569" t="str">
        <f>_xlfn.XLOOKUP(K3569,[2]analyte_order!$B:$B,[2]analyte_order!$C:$C)</f>
        <v>1763-23-1</v>
      </c>
      <c r="M3569">
        <f>_xlfn.XLOOKUP(L3569,[2]analyte_order!$C:$C,[2]analyte_order!$E:$E)</f>
        <v>18</v>
      </c>
      <c r="N3569">
        <v>960</v>
      </c>
    </row>
    <row r="3570" spans="1:14">
      <c r="A3570" t="s">
        <v>171</v>
      </c>
      <c r="B3570" t="str">
        <f>_xlfn.XLOOKUP(A3570,'[1]Tissue Data'!$A:$A,'[1]Tissue Data'!$C:$C)</f>
        <v>Spill</v>
      </c>
      <c r="C3570" s="2">
        <f>_xlfn.XLOOKUP(A3570,'[1]Tissue Data'!$A:$A,'[1]Tissue Data'!$D:$D)</f>
        <v>44314</v>
      </c>
      <c r="D3570" s="2" t="str">
        <f>_xlfn.XLOOKUP(A3570,'[1]Tissue Data'!$A:$A,'[1]Tissue Data'!$F:$F)</f>
        <v>Eastern Mudminnow</v>
      </c>
      <c r="E3570" t="str">
        <f>_xlfn.XLOOKUP(A3570,'[1]Tissue Data'!$A:$A,'[1]Tissue Data'!$H:$H)</f>
        <v>Umbra</v>
      </c>
      <c r="F3570" t="str">
        <f>_xlfn.XLOOKUP(A3570,'[1]Tissue Data'!$A:$A,'[1]Tissue Data'!$I:$I)</f>
        <v>pygmaea</v>
      </c>
      <c r="G3570" t="str">
        <f>_xlfn.XLOOKUP(A3570,'[1]Tissue Data'!$A:$A,'[1]Tissue Data'!J:J)</f>
        <v>U</v>
      </c>
      <c r="H3570" t="str">
        <f>_xlfn.XLOOKUP(A3570,'[1]Tissue Data'!$A:$A,'[1]Tissue Data'!K:K)</f>
        <v>Whole Body</v>
      </c>
      <c r="I3570">
        <f>_xlfn.XLOOKUP(A3570,'[1]Tissue Data'!$A:$A,'[1]Tissue Data'!L:L)</f>
        <v>7</v>
      </c>
      <c r="J3570">
        <f>_xlfn.XLOOKUP(A3570,'[1]Tissue Data'!$A:$A,'[1]Tissue Data'!M:M)</f>
        <v>3.9</v>
      </c>
      <c r="K3570" t="s">
        <v>30</v>
      </c>
      <c r="L3570" t="str">
        <f>_xlfn.XLOOKUP(K3570,[2]analyte_order!$B:$B,[2]analyte_order!$C:$C)</f>
        <v>68259-12-1</v>
      </c>
      <c r="M3570">
        <f>_xlfn.XLOOKUP(L3570,[2]analyte_order!$C:$C,[2]analyte_order!$E:$E)</f>
        <v>19</v>
      </c>
      <c r="N3570">
        <v>1.99</v>
      </c>
    </row>
    <row r="3571" spans="1:14">
      <c r="A3571" t="s">
        <v>171</v>
      </c>
      <c r="B3571" t="str">
        <f>_xlfn.XLOOKUP(A3571,'[1]Tissue Data'!$A:$A,'[1]Tissue Data'!$C:$C)</f>
        <v>Spill</v>
      </c>
      <c r="C3571" s="2">
        <f>_xlfn.XLOOKUP(A3571,'[1]Tissue Data'!$A:$A,'[1]Tissue Data'!$D:$D)</f>
        <v>44314</v>
      </c>
      <c r="D3571" s="2" t="str">
        <f>_xlfn.XLOOKUP(A3571,'[1]Tissue Data'!$A:$A,'[1]Tissue Data'!$F:$F)</f>
        <v>Eastern Mudminnow</v>
      </c>
      <c r="E3571" t="str">
        <f>_xlfn.XLOOKUP(A3571,'[1]Tissue Data'!$A:$A,'[1]Tissue Data'!$H:$H)</f>
        <v>Umbra</v>
      </c>
      <c r="F3571" t="str">
        <f>_xlfn.XLOOKUP(A3571,'[1]Tissue Data'!$A:$A,'[1]Tissue Data'!$I:$I)</f>
        <v>pygmaea</v>
      </c>
      <c r="G3571" t="str">
        <f>_xlfn.XLOOKUP(A3571,'[1]Tissue Data'!$A:$A,'[1]Tissue Data'!J:J)</f>
        <v>U</v>
      </c>
      <c r="H3571" t="str">
        <f>_xlfn.XLOOKUP(A3571,'[1]Tissue Data'!$A:$A,'[1]Tissue Data'!K:K)</f>
        <v>Whole Body</v>
      </c>
      <c r="I3571">
        <f>_xlfn.XLOOKUP(A3571,'[1]Tissue Data'!$A:$A,'[1]Tissue Data'!L:L)</f>
        <v>7</v>
      </c>
      <c r="J3571">
        <f>_xlfn.XLOOKUP(A3571,'[1]Tissue Data'!$A:$A,'[1]Tissue Data'!M:M)</f>
        <v>3.9</v>
      </c>
      <c r="K3571" t="s">
        <v>31</v>
      </c>
      <c r="L3571" t="str">
        <f>_xlfn.XLOOKUP(K3571,[2]analyte_order!$B:$B,[2]analyte_order!$C:$C)</f>
        <v>335-77-3</v>
      </c>
      <c r="M3571">
        <f>_xlfn.XLOOKUP(L3571,[2]analyte_order!$C:$C,[2]analyte_order!$E:$E)</f>
        <v>20</v>
      </c>
      <c r="N3571">
        <v>3.21</v>
      </c>
    </row>
    <row r="3572" spans="1:14">
      <c r="A3572" t="s">
        <v>171</v>
      </c>
      <c r="B3572" t="str">
        <f>_xlfn.XLOOKUP(A3572,'[1]Tissue Data'!$A:$A,'[1]Tissue Data'!$C:$C)</f>
        <v>Spill</v>
      </c>
      <c r="C3572" s="2">
        <f>_xlfn.XLOOKUP(A3572,'[1]Tissue Data'!$A:$A,'[1]Tissue Data'!$D:$D)</f>
        <v>44314</v>
      </c>
      <c r="D3572" s="2" t="str">
        <f>_xlfn.XLOOKUP(A3572,'[1]Tissue Data'!$A:$A,'[1]Tissue Data'!$F:$F)</f>
        <v>Eastern Mudminnow</v>
      </c>
      <c r="E3572" t="str">
        <f>_xlfn.XLOOKUP(A3572,'[1]Tissue Data'!$A:$A,'[1]Tissue Data'!$H:$H)</f>
        <v>Umbra</v>
      </c>
      <c r="F3572" t="str">
        <f>_xlfn.XLOOKUP(A3572,'[1]Tissue Data'!$A:$A,'[1]Tissue Data'!$I:$I)</f>
        <v>pygmaea</v>
      </c>
      <c r="G3572" t="str">
        <f>_xlfn.XLOOKUP(A3572,'[1]Tissue Data'!$A:$A,'[1]Tissue Data'!J:J)</f>
        <v>U</v>
      </c>
      <c r="H3572" t="str">
        <f>_xlfn.XLOOKUP(A3572,'[1]Tissue Data'!$A:$A,'[1]Tissue Data'!K:K)</f>
        <v>Whole Body</v>
      </c>
      <c r="I3572">
        <f>_xlfn.XLOOKUP(A3572,'[1]Tissue Data'!$A:$A,'[1]Tissue Data'!L:L)</f>
        <v>7</v>
      </c>
      <c r="J3572">
        <f>_xlfn.XLOOKUP(A3572,'[1]Tissue Data'!$A:$A,'[1]Tissue Data'!M:M)</f>
        <v>3.9</v>
      </c>
      <c r="K3572" t="s">
        <v>32</v>
      </c>
      <c r="L3572" t="str">
        <f>_xlfn.XLOOKUP(K3572,[2]analyte_order!$B:$B,[2]analyte_order!$C:$C)</f>
        <v>79780-39-5</v>
      </c>
      <c r="M3572">
        <f>_xlfn.XLOOKUP(L3572,[2]analyte_order!$C:$C,[2]analyte_order!$E:$E)</f>
        <v>21</v>
      </c>
      <c r="N3572">
        <v>2.0299999999999998</v>
      </c>
    </row>
    <row r="3573" spans="1:14">
      <c r="A3573" t="s">
        <v>171</v>
      </c>
      <c r="B3573" t="str">
        <f>_xlfn.XLOOKUP(A3573,'[1]Tissue Data'!$A:$A,'[1]Tissue Data'!$C:$C)</f>
        <v>Spill</v>
      </c>
      <c r="C3573" s="2">
        <f>_xlfn.XLOOKUP(A3573,'[1]Tissue Data'!$A:$A,'[1]Tissue Data'!$D:$D)</f>
        <v>44314</v>
      </c>
      <c r="D3573" s="2" t="str">
        <f>_xlfn.XLOOKUP(A3573,'[1]Tissue Data'!$A:$A,'[1]Tissue Data'!$F:$F)</f>
        <v>Eastern Mudminnow</v>
      </c>
      <c r="E3573" t="str">
        <f>_xlfn.XLOOKUP(A3573,'[1]Tissue Data'!$A:$A,'[1]Tissue Data'!$H:$H)</f>
        <v>Umbra</v>
      </c>
      <c r="F3573" t="str">
        <f>_xlfn.XLOOKUP(A3573,'[1]Tissue Data'!$A:$A,'[1]Tissue Data'!$I:$I)</f>
        <v>pygmaea</v>
      </c>
      <c r="G3573" t="str">
        <f>_xlfn.XLOOKUP(A3573,'[1]Tissue Data'!$A:$A,'[1]Tissue Data'!J:J)</f>
        <v>U</v>
      </c>
      <c r="H3573" t="str">
        <f>_xlfn.XLOOKUP(A3573,'[1]Tissue Data'!$A:$A,'[1]Tissue Data'!K:K)</f>
        <v>Whole Body</v>
      </c>
      <c r="I3573">
        <f>_xlfn.XLOOKUP(A3573,'[1]Tissue Data'!$A:$A,'[1]Tissue Data'!L:L)</f>
        <v>7</v>
      </c>
      <c r="J3573">
        <f>_xlfn.XLOOKUP(A3573,'[1]Tissue Data'!$A:$A,'[1]Tissue Data'!M:M)</f>
        <v>3.9</v>
      </c>
      <c r="K3573" t="s">
        <v>33</v>
      </c>
      <c r="L3573" t="str">
        <f>_xlfn.XLOOKUP(K3573,[2]analyte_order!$B:$B,[2]analyte_order!$C:$C)</f>
        <v>777011-38-8</v>
      </c>
      <c r="M3573">
        <f>_xlfn.XLOOKUP(L3573,[2]analyte_order!$C:$C,[2]analyte_order!$E:$E)</f>
        <v>54</v>
      </c>
      <c r="N3573">
        <v>0.1275</v>
      </c>
    </row>
    <row r="3574" spans="1:14">
      <c r="A3574" t="s">
        <v>171</v>
      </c>
      <c r="B3574" t="str">
        <f>_xlfn.XLOOKUP(A3574,'[1]Tissue Data'!$A:$A,'[1]Tissue Data'!$C:$C)</f>
        <v>Spill</v>
      </c>
      <c r="C3574" s="2">
        <f>_xlfn.XLOOKUP(A3574,'[1]Tissue Data'!$A:$A,'[1]Tissue Data'!$D:$D)</f>
        <v>44314</v>
      </c>
      <c r="D3574" s="2" t="str">
        <f>_xlfn.XLOOKUP(A3574,'[1]Tissue Data'!$A:$A,'[1]Tissue Data'!$F:$F)</f>
        <v>Eastern Mudminnow</v>
      </c>
      <c r="E3574" t="str">
        <f>_xlfn.XLOOKUP(A3574,'[1]Tissue Data'!$A:$A,'[1]Tissue Data'!$H:$H)</f>
        <v>Umbra</v>
      </c>
      <c r="F3574" t="str">
        <f>_xlfn.XLOOKUP(A3574,'[1]Tissue Data'!$A:$A,'[1]Tissue Data'!$I:$I)</f>
        <v>pygmaea</v>
      </c>
      <c r="G3574" t="str">
        <f>_xlfn.XLOOKUP(A3574,'[1]Tissue Data'!$A:$A,'[1]Tissue Data'!J:J)</f>
        <v>U</v>
      </c>
      <c r="H3574" t="str">
        <f>_xlfn.XLOOKUP(A3574,'[1]Tissue Data'!$A:$A,'[1]Tissue Data'!K:K)</f>
        <v>Whole Body</v>
      </c>
      <c r="I3574">
        <f>_xlfn.XLOOKUP(A3574,'[1]Tissue Data'!$A:$A,'[1]Tissue Data'!L:L)</f>
        <v>7</v>
      </c>
      <c r="J3574">
        <f>_xlfn.XLOOKUP(A3574,'[1]Tissue Data'!$A:$A,'[1]Tissue Data'!M:M)</f>
        <v>3.9</v>
      </c>
      <c r="K3574" t="s">
        <v>34</v>
      </c>
      <c r="L3574" t="str">
        <f>_xlfn.XLOOKUP(K3574,[2]analyte_order!$B:$B,[2]analyte_order!$C:$C)</f>
        <v>646-83-3</v>
      </c>
      <c r="M3574">
        <f>_xlfn.XLOOKUP(L3574,[2]analyte_order!$C:$C,[2]analyte_order!$E:$E)</f>
        <v>55</v>
      </c>
      <c r="N3574">
        <v>0.23200000000000001</v>
      </c>
    </row>
    <row r="3575" spans="1:14">
      <c r="A3575" t="s">
        <v>171</v>
      </c>
      <c r="B3575" t="str">
        <f>_xlfn.XLOOKUP(A3575,'[1]Tissue Data'!$A:$A,'[1]Tissue Data'!$C:$C)</f>
        <v>Spill</v>
      </c>
      <c r="C3575" s="2">
        <f>_xlfn.XLOOKUP(A3575,'[1]Tissue Data'!$A:$A,'[1]Tissue Data'!$D:$D)</f>
        <v>44314</v>
      </c>
      <c r="D3575" s="2" t="str">
        <f>_xlfn.XLOOKUP(A3575,'[1]Tissue Data'!$A:$A,'[1]Tissue Data'!$F:$F)</f>
        <v>Eastern Mudminnow</v>
      </c>
      <c r="E3575" t="str">
        <f>_xlfn.XLOOKUP(A3575,'[1]Tissue Data'!$A:$A,'[1]Tissue Data'!$H:$H)</f>
        <v>Umbra</v>
      </c>
      <c r="F3575" t="str">
        <f>_xlfn.XLOOKUP(A3575,'[1]Tissue Data'!$A:$A,'[1]Tissue Data'!$I:$I)</f>
        <v>pygmaea</v>
      </c>
      <c r="G3575" t="str">
        <f>_xlfn.XLOOKUP(A3575,'[1]Tissue Data'!$A:$A,'[1]Tissue Data'!J:J)</f>
        <v>U</v>
      </c>
      <c r="H3575" t="str">
        <f>_xlfn.XLOOKUP(A3575,'[1]Tissue Data'!$A:$A,'[1]Tissue Data'!K:K)</f>
        <v>Whole Body</v>
      </c>
      <c r="I3575">
        <f>_xlfn.XLOOKUP(A3575,'[1]Tissue Data'!$A:$A,'[1]Tissue Data'!L:L)</f>
        <v>7</v>
      </c>
      <c r="J3575">
        <f>_xlfn.XLOOKUP(A3575,'[1]Tissue Data'!$A:$A,'[1]Tissue Data'!M:M)</f>
        <v>3.9</v>
      </c>
      <c r="K3575" t="s">
        <v>35</v>
      </c>
      <c r="L3575" t="str">
        <f>_xlfn.XLOOKUP(K3575,[2]analyte_order!$B:$B,[2]analyte_order!$C:$C)</f>
        <v>30334-69-1</v>
      </c>
      <c r="M3575">
        <f>_xlfn.XLOOKUP(L3575,[2]analyte_order!$C:$C,[2]analyte_order!$E:$E)</f>
        <v>51</v>
      </c>
      <c r="N3575">
        <v>17.3</v>
      </c>
    </row>
    <row r="3576" spans="1:14">
      <c r="A3576" t="s">
        <v>171</v>
      </c>
      <c r="B3576" t="str">
        <f>_xlfn.XLOOKUP(A3576,'[1]Tissue Data'!$A:$A,'[1]Tissue Data'!$C:$C)</f>
        <v>Spill</v>
      </c>
      <c r="C3576" s="2">
        <f>_xlfn.XLOOKUP(A3576,'[1]Tissue Data'!$A:$A,'[1]Tissue Data'!$D:$D)</f>
        <v>44314</v>
      </c>
      <c r="D3576" s="2" t="str">
        <f>_xlfn.XLOOKUP(A3576,'[1]Tissue Data'!$A:$A,'[1]Tissue Data'!$F:$F)</f>
        <v>Eastern Mudminnow</v>
      </c>
      <c r="E3576" t="str">
        <f>_xlfn.XLOOKUP(A3576,'[1]Tissue Data'!$A:$A,'[1]Tissue Data'!$H:$H)</f>
        <v>Umbra</v>
      </c>
      <c r="F3576" t="str">
        <f>_xlfn.XLOOKUP(A3576,'[1]Tissue Data'!$A:$A,'[1]Tissue Data'!$I:$I)</f>
        <v>pygmaea</v>
      </c>
      <c r="G3576" t="str">
        <f>_xlfn.XLOOKUP(A3576,'[1]Tissue Data'!$A:$A,'[1]Tissue Data'!J:J)</f>
        <v>U</v>
      </c>
      <c r="H3576" t="str">
        <f>_xlfn.XLOOKUP(A3576,'[1]Tissue Data'!$A:$A,'[1]Tissue Data'!K:K)</f>
        <v>Whole Body</v>
      </c>
      <c r="I3576">
        <f>_xlfn.XLOOKUP(A3576,'[1]Tissue Data'!$A:$A,'[1]Tissue Data'!L:L)</f>
        <v>7</v>
      </c>
      <c r="J3576">
        <f>_xlfn.XLOOKUP(A3576,'[1]Tissue Data'!$A:$A,'[1]Tissue Data'!M:M)</f>
        <v>3.9</v>
      </c>
      <c r="K3576" t="s">
        <v>36</v>
      </c>
      <c r="L3576" t="str">
        <f>_xlfn.XLOOKUP(K3576,[2]analyte_order!$B:$B,[2]analyte_order!$C:$C)</f>
        <v>41997-13-1</v>
      </c>
      <c r="M3576">
        <f>_xlfn.XLOOKUP(L3576,[2]analyte_order!$C:$C,[2]analyte_order!$E:$E)</f>
        <v>52</v>
      </c>
      <c r="N3576">
        <v>102</v>
      </c>
    </row>
    <row r="3577" spans="1:14">
      <c r="A3577" t="s">
        <v>171</v>
      </c>
      <c r="B3577" t="str">
        <f>_xlfn.XLOOKUP(A3577,'[1]Tissue Data'!$A:$A,'[1]Tissue Data'!$C:$C)</f>
        <v>Spill</v>
      </c>
      <c r="C3577" s="2">
        <f>_xlfn.XLOOKUP(A3577,'[1]Tissue Data'!$A:$A,'[1]Tissue Data'!$D:$D)</f>
        <v>44314</v>
      </c>
      <c r="D3577" s="2" t="str">
        <f>_xlfn.XLOOKUP(A3577,'[1]Tissue Data'!$A:$A,'[1]Tissue Data'!$F:$F)</f>
        <v>Eastern Mudminnow</v>
      </c>
      <c r="E3577" t="str">
        <f>_xlfn.XLOOKUP(A3577,'[1]Tissue Data'!$A:$A,'[1]Tissue Data'!$H:$H)</f>
        <v>Umbra</v>
      </c>
      <c r="F3577" t="str">
        <f>_xlfn.XLOOKUP(A3577,'[1]Tissue Data'!$A:$A,'[1]Tissue Data'!$I:$I)</f>
        <v>pygmaea</v>
      </c>
      <c r="G3577" t="str">
        <f>_xlfn.XLOOKUP(A3577,'[1]Tissue Data'!$A:$A,'[1]Tissue Data'!J:J)</f>
        <v>U</v>
      </c>
      <c r="H3577" t="str">
        <f>_xlfn.XLOOKUP(A3577,'[1]Tissue Data'!$A:$A,'[1]Tissue Data'!K:K)</f>
        <v>Whole Body</v>
      </c>
      <c r="I3577">
        <f>_xlfn.XLOOKUP(A3577,'[1]Tissue Data'!$A:$A,'[1]Tissue Data'!L:L)</f>
        <v>7</v>
      </c>
      <c r="J3577">
        <f>_xlfn.XLOOKUP(A3577,'[1]Tissue Data'!$A:$A,'[1]Tissue Data'!M:M)</f>
        <v>3.9</v>
      </c>
      <c r="K3577" t="s">
        <v>37</v>
      </c>
      <c r="L3577" t="str">
        <f>_xlfn.XLOOKUP(K3577,[2]analyte_order!$B:$B,[2]analyte_order!$C:$C)</f>
        <v>754-91-6</v>
      </c>
      <c r="M3577">
        <f>_xlfn.XLOOKUP(L3577,[2]analyte_order!$C:$C,[2]analyte_order!$E:$E)</f>
        <v>28</v>
      </c>
      <c r="N3577">
        <v>24</v>
      </c>
    </row>
    <row r="3578" spans="1:14">
      <c r="A3578" t="s">
        <v>171</v>
      </c>
      <c r="B3578" t="str">
        <f>_xlfn.XLOOKUP(A3578,'[1]Tissue Data'!$A:$A,'[1]Tissue Data'!$C:$C)</f>
        <v>Spill</v>
      </c>
      <c r="C3578" s="2">
        <f>_xlfn.XLOOKUP(A3578,'[1]Tissue Data'!$A:$A,'[1]Tissue Data'!$D:$D)</f>
        <v>44314</v>
      </c>
      <c r="D3578" s="2" t="str">
        <f>_xlfn.XLOOKUP(A3578,'[1]Tissue Data'!$A:$A,'[1]Tissue Data'!$F:$F)</f>
        <v>Eastern Mudminnow</v>
      </c>
      <c r="E3578" t="str">
        <f>_xlfn.XLOOKUP(A3578,'[1]Tissue Data'!$A:$A,'[1]Tissue Data'!$H:$H)</f>
        <v>Umbra</v>
      </c>
      <c r="F3578" t="str">
        <f>_xlfn.XLOOKUP(A3578,'[1]Tissue Data'!$A:$A,'[1]Tissue Data'!$I:$I)</f>
        <v>pygmaea</v>
      </c>
      <c r="G3578" t="str">
        <f>_xlfn.XLOOKUP(A3578,'[1]Tissue Data'!$A:$A,'[1]Tissue Data'!J:J)</f>
        <v>U</v>
      </c>
      <c r="H3578" t="str">
        <f>_xlfn.XLOOKUP(A3578,'[1]Tissue Data'!$A:$A,'[1]Tissue Data'!K:K)</f>
        <v>Whole Body</v>
      </c>
      <c r="I3578">
        <f>_xlfn.XLOOKUP(A3578,'[1]Tissue Data'!$A:$A,'[1]Tissue Data'!L:L)</f>
        <v>7</v>
      </c>
      <c r="J3578">
        <f>_xlfn.XLOOKUP(A3578,'[1]Tissue Data'!$A:$A,'[1]Tissue Data'!M:M)</f>
        <v>3.9</v>
      </c>
      <c r="K3578" t="s">
        <v>38</v>
      </c>
      <c r="L3578" t="str">
        <f>_xlfn.XLOOKUP(K3578,[2]analyte_order!$B:$B,[2]analyte_order!$C:$C)</f>
        <v>31506-32-8</v>
      </c>
      <c r="M3578">
        <f>_xlfn.XLOOKUP(L3578,[2]analyte_order!$C:$C,[2]analyte_order!$E:$E)</f>
        <v>30</v>
      </c>
      <c r="N3578">
        <v>4.9099999999999998E-2</v>
      </c>
    </row>
    <row r="3579" spans="1:14">
      <c r="A3579" t="s">
        <v>171</v>
      </c>
      <c r="B3579" t="str">
        <f>_xlfn.XLOOKUP(A3579,'[1]Tissue Data'!$A:$A,'[1]Tissue Data'!$C:$C)</f>
        <v>Spill</v>
      </c>
      <c r="C3579" s="2">
        <f>_xlfn.XLOOKUP(A3579,'[1]Tissue Data'!$A:$A,'[1]Tissue Data'!$D:$D)</f>
        <v>44314</v>
      </c>
      <c r="D3579" s="2" t="str">
        <f>_xlfn.XLOOKUP(A3579,'[1]Tissue Data'!$A:$A,'[1]Tissue Data'!$F:$F)</f>
        <v>Eastern Mudminnow</v>
      </c>
      <c r="E3579" t="str">
        <f>_xlfn.XLOOKUP(A3579,'[1]Tissue Data'!$A:$A,'[1]Tissue Data'!$H:$H)</f>
        <v>Umbra</v>
      </c>
      <c r="F3579" t="str">
        <f>_xlfn.XLOOKUP(A3579,'[1]Tissue Data'!$A:$A,'[1]Tissue Data'!$I:$I)</f>
        <v>pygmaea</v>
      </c>
      <c r="G3579" t="str">
        <f>_xlfn.XLOOKUP(A3579,'[1]Tissue Data'!$A:$A,'[1]Tissue Data'!J:J)</f>
        <v>U</v>
      </c>
      <c r="H3579" t="str">
        <f>_xlfn.XLOOKUP(A3579,'[1]Tissue Data'!$A:$A,'[1]Tissue Data'!K:K)</f>
        <v>Whole Body</v>
      </c>
      <c r="I3579">
        <f>_xlfn.XLOOKUP(A3579,'[1]Tissue Data'!$A:$A,'[1]Tissue Data'!L:L)</f>
        <v>7</v>
      </c>
      <c r="J3579">
        <f>_xlfn.XLOOKUP(A3579,'[1]Tissue Data'!$A:$A,'[1]Tissue Data'!M:M)</f>
        <v>3.9</v>
      </c>
      <c r="K3579" t="s">
        <v>39</v>
      </c>
      <c r="L3579" t="str">
        <f>_xlfn.XLOOKUP(K3579,[2]analyte_order!$B:$B,[2]analyte_order!$C:$C)</f>
        <v>4151-50-2</v>
      </c>
      <c r="M3579">
        <f>_xlfn.XLOOKUP(L3579,[2]analyte_order!$C:$C,[2]analyte_order!$E:$E)</f>
        <v>31</v>
      </c>
      <c r="N3579">
        <v>7.3999999999999996E-2</v>
      </c>
    </row>
    <row r="3580" spans="1:14">
      <c r="A3580" t="s">
        <v>171</v>
      </c>
      <c r="B3580" t="str">
        <f>_xlfn.XLOOKUP(A3580,'[1]Tissue Data'!$A:$A,'[1]Tissue Data'!$C:$C)</f>
        <v>Spill</v>
      </c>
      <c r="C3580" s="2">
        <f>_xlfn.XLOOKUP(A3580,'[1]Tissue Data'!$A:$A,'[1]Tissue Data'!$D:$D)</f>
        <v>44314</v>
      </c>
      <c r="D3580" s="2" t="str">
        <f>_xlfn.XLOOKUP(A3580,'[1]Tissue Data'!$A:$A,'[1]Tissue Data'!$F:$F)</f>
        <v>Eastern Mudminnow</v>
      </c>
      <c r="E3580" t="str">
        <f>_xlfn.XLOOKUP(A3580,'[1]Tissue Data'!$A:$A,'[1]Tissue Data'!$H:$H)</f>
        <v>Umbra</v>
      </c>
      <c r="F3580" t="str">
        <f>_xlfn.XLOOKUP(A3580,'[1]Tissue Data'!$A:$A,'[1]Tissue Data'!$I:$I)</f>
        <v>pygmaea</v>
      </c>
      <c r="G3580" t="str">
        <f>_xlfn.XLOOKUP(A3580,'[1]Tissue Data'!$A:$A,'[1]Tissue Data'!J:J)</f>
        <v>U</v>
      </c>
      <c r="H3580" t="str">
        <f>_xlfn.XLOOKUP(A3580,'[1]Tissue Data'!$A:$A,'[1]Tissue Data'!K:K)</f>
        <v>Whole Body</v>
      </c>
      <c r="I3580">
        <f>_xlfn.XLOOKUP(A3580,'[1]Tissue Data'!$A:$A,'[1]Tissue Data'!L:L)</f>
        <v>7</v>
      </c>
      <c r="J3580">
        <f>_xlfn.XLOOKUP(A3580,'[1]Tissue Data'!$A:$A,'[1]Tissue Data'!M:M)</f>
        <v>3.9</v>
      </c>
      <c r="K3580" t="s">
        <v>40</v>
      </c>
      <c r="L3580" t="str">
        <f>_xlfn.XLOOKUP(K3580,[2]analyte_order!$B:$B,[2]analyte_order!$C:$C)</f>
        <v>2806-24-8</v>
      </c>
      <c r="M3580">
        <f>_xlfn.XLOOKUP(L3580,[2]analyte_order!$C:$C,[2]analyte_order!$E:$E)</f>
        <v>29</v>
      </c>
      <c r="N3580">
        <v>0.05</v>
      </c>
    </row>
    <row r="3581" spans="1:14">
      <c r="A3581" t="s">
        <v>171</v>
      </c>
      <c r="B3581" t="str">
        <f>_xlfn.XLOOKUP(A3581,'[1]Tissue Data'!$A:$A,'[1]Tissue Data'!$C:$C)</f>
        <v>Spill</v>
      </c>
      <c r="C3581" s="2">
        <f>_xlfn.XLOOKUP(A3581,'[1]Tissue Data'!$A:$A,'[1]Tissue Data'!$D:$D)</f>
        <v>44314</v>
      </c>
      <c r="D3581" s="2" t="str">
        <f>_xlfn.XLOOKUP(A3581,'[1]Tissue Data'!$A:$A,'[1]Tissue Data'!$F:$F)</f>
        <v>Eastern Mudminnow</v>
      </c>
      <c r="E3581" t="str">
        <f>_xlfn.XLOOKUP(A3581,'[1]Tissue Data'!$A:$A,'[1]Tissue Data'!$H:$H)</f>
        <v>Umbra</v>
      </c>
      <c r="F3581" t="str">
        <f>_xlfn.XLOOKUP(A3581,'[1]Tissue Data'!$A:$A,'[1]Tissue Data'!$I:$I)</f>
        <v>pygmaea</v>
      </c>
      <c r="G3581" t="str">
        <f>_xlfn.XLOOKUP(A3581,'[1]Tissue Data'!$A:$A,'[1]Tissue Data'!J:J)</f>
        <v>U</v>
      </c>
      <c r="H3581" t="str">
        <f>_xlfn.XLOOKUP(A3581,'[1]Tissue Data'!$A:$A,'[1]Tissue Data'!K:K)</f>
        <v>Whole Body</v>
      </c>
      <c r="I3581">
        <f>_xlfn.XLOOKUP(A3581,'[1]Tissue Data'!$A:$A,'[1]Tissue Data'!L:L)</f>
        <v>7</v>
      </c>
      <c r="J3581">
        <f>_xlfn.XLOOKUP(A3581,'[1]Tissue Data'!$A:$A,'[1]Tissue Data'!M:M)</f>
        <v>3.9</v>
      </c>
      <c r="K3581" t="s">
        <v>41</v>
      </c>
      <c r="L3581" t="str">
        <f>_xlfn.XLOOKUP(K3581,[2]analyte_order!$B:$B,[2]analyte_order!$C:$C)</f>
        <v>2355-31-9</v>
      </c>
      <c r="M3581">
        <f>_xlfn.XLOOKUP(L3581,[2]analyte_order!$C:$C,[2]analyte_order!$E:$E)</f>
        <v>26</v>
      </c>
      <c r="N3581">
        <v>0.51500000000000001</v>
      </c>
    </row>
    <row r="3582" spans="1:14">
      <c r="A3582" t="s">
        <v>171</v>
      </c>
      <c r="B3582" t="str">
        <f>_xlfn.XLOOKUP(A3582,'[1]Tissue Data'!$A:$A,'[1]Tissue Data'!$C:$C)</f>
        <v>Spill</v>
      </c>
      <c r="C3582" s="2">
        <f>_xlfn.XLOOKUP(A3582,'[1]Tissue Data'!$A:$A,'[1]Tissue Data'!$D:$D)</f>
        <v>44314</v>
      </c>
      <c r="D3582" s="2" t="str">
        <f>_xlfn.XLOOKUP(A3582,'[1]Tissue Data'!$A:$A,'[1]Tissue Data'!$F:$F)</f>
        <v>Eastern Mudminnow</v>
      </c>
      <c r="E3582" t="str">
        <f>_xlfn.XLOOKUP(A3582,'[1]Tissue Data'!$A:$A,'[1]Tissue Data'!$H:$H)</f>
        <v>Umbra</v>
      </c>
      <c r="F3582" t="str">
        <f>_xlfn.XLOOKUP(A3582,'[1]Tissue Data'!$A:$A,'[1]Tissue Data'!$I:$I)</f>
        <v>pygmaea</v>
      </c>
      <c r="G3582" t="str">
        <f>_xlfn.XLOOKUP(A3582,'[1]Tissue Data'!$A:$A,'[1]Tissue Data'!J:J)</f>
        <v>U</v>
      </c>
      <c r="H3582" t="str">
        <f>_xlfn.XLOOKUP(A3582,'[1]Tissue Data'!$A:$A,'[1]Tissue Data'!K:K)</f>
        <v>Whole Body</v>
      </c>
      <c r="I3582">
        <f>_xlfn.XLOOKUP(A3582,'[1]Tissue Data'!$A:$A,'[1]Tissue Data'!L:L)</f>
        <v>7</v>
      </c>
      <c r="J3582">
        <f>_xlfn.XLOOKUP(A3582,'[1]Tissue Data'!$A:$A,'[1]Tissue Data'!M:M)</f>
        <v>3.9</v>
      </c>
      <c r="K3582" t="s">
        <v>42</v>
      </c>
      <c r="L3582" t="str">
        <f>_xlfn.XLOOKUP(K3582,[2]analyte_order!$B:$B,[2]analyte_order!$C:$C)</f>
        <v>2991-50-6</v>
      </c>
      <c r="M3582">
        <f>_xlfn.XLOOKUP(L3582,[2]analyte_order!$C:$C,[2]analyte_order!$E:$E)</f>
        <v>27</v>
      </c>
      <c r="N3582">
        <v>5.5500000000000001E-2</v>
      </c>
    </row>
    <row r="3583" spans="1:14">
      <c r="A3583" t="s">
        <v>171</v>
      </c>
      <c r="B3583" t="str">
        <f>_xlfn.XLOOKUP(A3583,'[1]Tissue Data'!$A:$A,'[1]Tissue Data'!$C:$C)</f>
        <v>Spill</v>
      </c>
      <c r="C3583" s="2">
        <f>_xlfn.XLOOKUP(A3583,'[1]Tissue Data'!$A:$A,'[1]Tissue Data'!$D:$D)</f>
        <v>44314</v>
      </c>
      <c r="D3583" s="2" t="str">
        <f>_xlfn.XLOOKUP(A3583,'[1]Tissue Data'!$A:$A,'[1]Tissue Data'!$F:$F)</f>
        <v>Eastern Mudminnow</v>
      </c>
      <c r="E3583" t="str">
        <f>_xlfn.XLOOKUP(A3583,'[1]Tissue Data'!$A:$A,'[1]Tissue Data'!$H:$H)</f>
        <v>Umbra</v>
      </c>
      <c r="F3583" t="str">
        <f>_xlfn.XLOOKUP(A3583,'[1]Tissue Data'!$A:$A,'[1]Tissue Data'!$I:$I)</f>
        <v>pygmaea</v>
      </c>
      <c r="G3583" t="str">
        <f>_xlfn.XLOOKUP(A3583,'[1]Tissue Data'!$A:$A,'[1]Tissue Data'!J:J)</f>
        <v>U</v>
      </c>
      <c r="H3583" t="str">
        <f>_xlfn.XLOOKUP(A3583,'[1]Tissue Data'!$A:$A,'[1]Tissue Data'!K:K)</f>
        <v>Whole Body</v>
      </c>
      <c r="I3583">
        <f>_xlfn.XLOOKUP(A3583,'[1]Tissue Data'!$A:$A,'[1]Tissue Data'!L:L)</f>
        <v>7</v>
      </c>
      <c r="J3583">
        <f>_xlfn.XLOOKUP(A3583,'[1]Tissue Data'!$A:$A,'[1]Tissue Data'!M:M)</f>
        <v>3.9</v>
      </c>
      <c r="K3583" t="s">
        <v>43</v>
      </c>
      <c r="L3583" t="str">
        <f>_xlfn.XLOOKUP(K3583,[2]analyte_order!$B:$B,[2]analyte_order!$C:$C)</f>
        <v>757124-72-4</v>
      </c>
      <c r="M3583">
        <f>_xlfn.XLOOKUP(L3583,[2]analyte_order!$C:$C,[2]analyte_order!$E:$E)</f>
        <v>22</v>
      </c>
      <c r="N3583">
        <v>5.2499999999999998E-2</v>
      </c>
    </row>
    <row r="3584" spans="1:14">
      <c r="A3584" t="s">
        <v>171</v>
      </c>
      <c r="B3584" t="str">
        <f>_xlfn.XLOOKUP(A3584,'[1]Tissue Data'!$A:$A,'[1]Tissue Data'!$C:$C)</f>
        <v>Spill</v>
      </c>
      <c r="C3584" s="2">
        <f>_xlfn.XLOOKUP(A3584,'[1]Tissue Data'!$A:$A,'[1]Tissue Data'!$D:$D)</f>
        <v>44314</v>
      </c>
      <c r="D3584" s="2" t="str">
        <f>_xlfn.XLOOKUP(A3584,'[1]Tissue Data'!$A:$A,'[1]Tissue Data'!$F:$F)</f>
        <v>Eastern Mudminnow</v>
      </c>
      <c r="E3584" t="str">
        <f>_xlfn.XLOOKUP(A3584,'[1]Tissue Data'!$A:$A,'[1]Tissue Data'!$H:$H)</f>
        <v>Umbra</v>
      </c>
      <c r="F3584" t="str">
        <f>_xlfn.XLOOKUP(A3584,'[1]Tissue Data'!$A:$A,'[1]Tissue Data'!$I:$I)</f>
        <v>pygmaea</v>
      </c>
      <c r="G3584" t="str">
        <f>_xlfn.XLOOKUP(A3584,'[1]Tissue Data'!$A:$A,'[1]Tissue Data'!J:J)</f>
        <v>U</v>
      </c>
      <c r="H3584" t="str">
        <f>_xlfn.XLOOKUP(A3584,'[1]Tissue Data'!$A:$A,'[1]Tissue Data'!K:K)</f>
        <v>Whole Body</v>
      </c>
      <c r="I3584">
        <f>_xlfn.XLOOKUP(A3584,'[1]Tissue Data'!$A:$A,'[1]Tissue Data'!L:L)</f>
        <v>7</v>
      </c>
      <c r="J3584">
        <f>_xlfn.XLOOKUP(A3584,'[1]Tissue Data'!$A:$A,'[1]Tissue Data'!M:M)</f>
        <v>3.9</v>
      </c>
      <c r="K3584" t="s">
        <v>44</v>
      </c>
      <c r="L3584" t="str">
        <f>_xlfn.XLOOKUP(K3584,[2]analyte_order!$B:$B,[2]analyte_order!$C:$C)</f>
        <v>27619-97-2</v>
      </c>
      <c r="M3584">
        <f>_xlfn.XLOOKUP(L3584,[2]analyte_order!$C:$C,[2]analyte_order!$E:$E)</f>
        <v>23</v>
      </c>
      <c r="N3584">
        <v>0.74199999999999999</v>
      </c>
    </row>
    <row r="3585" spans="1:14">
      <c r="A3585" t="s">
        <v>171</v>
      </c>
      <c r="B3585" t="str">
        <f>_xlfn.XLOOKUP(A3585,'[1]Tissue Data'!$A:$A,'[1]Tissue Data'!$C:$C)</f>
        <v>Spill</v>
      </c>
      <c r="C3585" s="2">
        <f>_xlfn.XLOOKUP(A3585,'[1]Tissue Data'!$A:$A,'[1]Tissue Data'!$D:$D)</f>
        <v>44314</v>
      </c>
      <c r="D3585" s="2" t="str">
        <f>_xlfn.XLOOKUP(A3585,'[1]Tissue Data'!$A:$A,'[1]Tissue Data'!$F:$F)</f>
        <v>Eastern Mudminnow</v>
      </c>
      <c r="E3585" t="str">
        <f>_xlfn.XLOOKUP(A3585,'[1]Tissue Data'!$A:$A,'[1]Tissue Data'!$H:$H)</f>
        <v>Umbra</v>
      </c>
      <c r="F3585" t="str">
        <f>_xlfn.XLOOKUP(A3585,'[1]Tissue Data'!$A:$A,'[1]Tissue Data'!$I:$I)</f>
        <v>pygmaea</v>
      </c>
      <c r="G3585" t="str">
        <f>_xlfn.XLOOKUP(A3585,'[1]Tissue Data'!$A:$A,'[1]Tissue Data'!J:J)</f>
        <v>U</v>
      </c>
      <c r="H3585" t="str">
        <f>_xlfn.XLOOKUP(A3585,'[1]Tissue Data'!$A:$A,'[1]Tissue Data'!K:K)</f>
        <v>Whole Body</v>
      </c>
      <c r="I3585">
        <f>_xlfn.XLOOKUP(A3585,'[1]Tissue Data'!$A:$A,'[1]Tissue Data'!L:L)</f>
        <v>7</v>
      </c>
      <c r="J3585">
        <f>_xlfn.XLOOKUP(A3585,'[1]Tissue Data'!$A:$A,'[1]Tissue Data'!M:M)</f>
        <v>3.9</v>
      </c>
      <c r="K3585" t="s">
        <v>45</v>
      </c>
      <c r="L3585" t="str">
        <f>_xlfn.XLOOKUP(K3585,[2]analyte_order!$B:$B,[2]analyte_order!$C:$C)</f>
        <v>39108-34-4</v>
      </c>
      <c r="M3585">
        <f>_xlfn.XLOOKUP(L3585,[2]analyte_order!$C:$C,[2]analyte_order!$E:$E)</f>
        <v>24</v>
      </c>
      <c r="N3585">
        <v>1.58</v>
      </c>
    </row>
    <row r="3586" spans="1:14">
      <c r="A3586" t="s">
        <v>171</v>
      </c>
      <c r="B3586" t="str">
        <f>_xlfn.XLOOKUP(A3586,'[1]Tissue Data'!$A:$A,'[1]Tissue Data'!$C:$C)</f>
        <v>Spill</v>
      </c>
      <c r="C3586" s="2">
        <f>_xlfn.XLOOKUP(A3586,'[1]Tissue Data'!$A:$A,'[1]Tissue Data'!$D:$D)</f>
        <v>44314</v>
      </c>
      <c r="D3586" s="2" t="str">
        <f>_xlfn.XLOOKUP(A3586,'[1]Tissue Data'!$A:$A,'[1]Tissue Data'!$F:$F)</f>
        <v>Eastern Mudminnow</v>
      </c>
      <c r="E3586" t="str">
        <f>_xlfn.XLOOKUP(A3586,'[1]Tissue Data'!$A:$A,'[1]Tissue Data'!$H:$H)</f>
        <v>Umbra</v>
      </c>
      <c r="F3586" t="str">
        <f>_xlfn.XLOOKUP(A3586,'[1]Tissue Data'!$A:$A,'[1]Tissue Data'!$I:$I)</f>
        <v>pygmaea</v>
      </c>
      <c r="G3586" t="str">
        <f>_xlfn.XLOOKUP(A3586,'[1]Tissue Data'!$A:$A,'[1]Tissue Data'!J:J)</f>
        <v>U</v>
      </c>
      <c r="H3586" t="str">
        <f>_xlfn.XLOOKUP(A3586,'[1]Tissue Data'!$A:$A,'[1]Tissue Data'!K:K)</f>
        <v>Whole Body</v>
      </c>
      <c r="I3586">
        <f>_xlfn.XLOOKUP(A3586,'[1]Tissue Data'!$A:$A,'[1]Tissue Data'!L:L)</f>
        <v>7</v>
      </c>
      <c r="J3586">
        <f>_xlfn.XLOOKUP(A3586,'[1]Tissue Data'!$A:$A,'[1]Tissue Data'!M:M)</f>
        <v>3.9</v>
      </c>
      <c r="K3586" t="s">
        <v>46</v>
      </c>
      <c r="L3586" t="str">
        <f>_xlfn.XLOOKUP(K3586,[2]analyte_order!$B:$B,[2]analyte_order!$C:$C)</f>
        <v>120226-60-0</v>
      </c>
      <c r="M3586">
        <f>_xlfn.XLOOKUP(L3586,[2]analyte_order!$C:$C,[2]analyte_order!$E:$E)</f>
        <v>25</v>
      </c>
      <c r="N3586">
        <v>0.23849999999999999</v>
      </c>
    </row>
    <row r="3587" spans="1:14">
      <c r="A3587" t="s">
        <v>171</v>
      </c>
      <c r="B3587" t="str">
        <f>_xlfn.XLOOKUP(A3587,'[1]Tissue Data'!$A:$A,'[1]Tissue Data'!$C:$C)</f>
        <v>Spill</v>
      </c>
      <c r="C3587" s="2">
        <f>_xlfn.XLOOKUP(A3587,'[1]Tissue Data'!$A:$A,'[1]Tissue Data'!$D:$D)</f>
        <v>44314</v>
      </c>
      <c r="D3587" s="2" t="str">
        <f>_xlfn.XLOOKUP(A3587,'[1]Tissue Data'!$A:$A,'[1]Tissue Data'!$F:$F)</f>
        <v>Eastern Mudminnow</v>
      </c>
      <c r="E3587" t="str">
        <f>_xlfn.XLOOKUP(A3587,'[1]Tissue Data'!$A:$A,'[1]Tissue Data'!$H:$H)</f>
        <v>Umbra</v>
      </c>
      <c r="F3587" t="str">
        <f>_xlfn.XLOOKUP(A3587,'[1]Tissue Data'!$A:$A,'[1]Tissue Data'!$I:$I)</f>
        <v>pygmaea</v>
      </c>
      <c r="G3587" t="str">
        <f>_xlfn.XLOOKUP(A3587,'[1]Tissue Data'!$A:$A,'[1]Tissue Data'!J:J)</f>
        <v>U</v>
      </c>
      <c r="H3587" t="str">
        <f>_xlfn.XLOOKUP(A3587,'[1]Tissue Data'!$A:$A,'[1]Tissue Data'!K:K)</f>
        <v>Whole Body</v>
      </c>
      <c r="I3587">
        <f>_xlfn.XLOOKUP(A3587,'[1]Tissue Data'!$A:$A,'[1]Tissue Data'!L:L)</f>
        <v>7</v>
      </c>
      <c r="J3587">
        <f>_xlfn.XLOOKUP(A3587,'[1]Tissue Data'!$A:$A,'[1]Tissue Data'!M:M)</f>
        <v>3.9</v>
      </c>
      <c r="K3587" t="s">
        <v>47</v>
      </c>
      <c r="L3587" t="str">
        <f>_xlfn.XLOOKUP(K3587,[2]analyte_order!$B:$B,[2]analyte_order!$C:$C)</f>
        <v>356-02-5</v>
      </c>
      <c r="M3587">
        <f>_xlfn.XLOOKUP(L3587,[2]analyte_order!$C:$C,[2]analyte_order!$E:$E)</f>
        <v>38</v>
      </c>
      <c r="N3587">
        <v>7.3499999999999996E-2</v>
      </c>
    </row>
    <row r="3588" spans="1:14">
      <c r="A3588" t="s">
        <v>171</v>
      </c>
      <c r="B3588" t="str">
        <f>_xlfn.XLOOKUP(A3588,'[1]Tissue Data'!$A:$A,'[1]Tissue Data'!$C:$C)</f>
        <v>Spill</v>
      </c>
      <c r="C3588" s="2">
        <f>_xlfn.XLOOKUP(A3588,'[1]Tissue Data'!$A:$A,'[1]Tissue Data'!$D:$D)</f>
        <v>44314</v>
      </c>
      <c r="D3588" s="2" t="str">
        <f>_xlfn.XLOOKUP(A3588,'[1]Tissue Data'!$A:$A,'[1]Tissue Data'!$F:$F)</f>
        <v>Eastern Mudminnow</v>
      </c>
      <c r="E3588" t="str">
        <f>_xlfn.XLOOKUP(A3588,'[1]Tissue Data'!$A:$A,'[1]Tissue Data'!$H:$H)</f>
        <v>Umbra</v>
      </c>
      <c r="F3588" t="str">
        <f>_xlfn.XLOOKUP(A3588,'[1]Tissue Data'!$A:$A,'[1]Tissue Data'!$I:$I)</f>
        <v>pygmaea</v>
      </c>
      <c r="G3588" t="str">
        <f>_xlfn.XLOOKUP(A3588,'[1]Tissue Data'!$A:$A,'[1]Tissue Data'!J:J)</f>
        <v>U</v>
      </c>
      <c r="H3588" t="str">
        <f>_xlfn.XLOOKUP(A3588,'[1]Tissue Data'!$A:$A,'[1]Tissue Data'!K:K)</f>
        <v>Whole Body</v>
      </c>
      <c r="I3588">
        <f>_xlfn.XLOOKUP(A3588,'[1]Tissue Data'!$A:$A,'[1]Tissue Data'!L:L)</f>
        <v>7</v>
      </c>
      <c r="J3588">
        <f>_xlfn.XLOOKUP(A3588,'[1]Tissue Data'!$A:$A,'[1]Tissue Data'!M:M)</f>
        <v>3.9</v>
      </c>
      <c r="K3588" t="s">
        <v>48</v>
      </c>
      <c r="L3588" t="str">
        <f>_xlfn.XLOOKUP(K3588,[2]analyte_order!$B:$B,[2]analyte_order!$C:$C)</f>
        <v>914637-49-3</v>
      </c>
      <c r="M3588">
        <f>_xlfn.XLOOKUP(L3588,[2]analyte_order!$C:$C,[2]analyte_order!$E:$E)</f>
        <v>39</v>
      </c>
      <c r="N3588">
        <v>8.7200000000000006</v>
      </c>
    </row>
    <row r="3589" spans="1:14">
      <c r="A3589" t="s">
        <v>171</v>
      </c>
      <c r="B3589" t="str">
        <f>_xlfn.XLOOKUP(A3589,'[1]Tissue Data'!$A:$A,'[1]Tissue Data'!$C:$C)</f>
        <v>Spill</v>
      </c>
      <c r="C3589" s="2">
        <f>_xlfn.XLOOKUP(A3589,'[1]Tissue Data'!$A:$A,'[1]Tissue Data'!$D:$D)</f>
        <v>44314</v>
      </c>
      <c r="D3589" s="2" t="str">
        <f>_xlfn.XLOOKUP(A3589,'[1]Tissue Data'!$A:$A,'[1]Tissue Data'!$F:$F)</f>
        <v>Eastern Mudminnow</v>
      </c>
      <c r="E3589" t="str">
        <f>_xlfn.XLOOKUP(A3589,'[1]Tissue Data'!$A:$A,'[1]Tissue Data'!$H:$H)</f>
        <v>Umbra</v>
      </c>
      <c r="F3589" t="str">
        <f>_xlfn.XLOOKUP(A3589,'[1]Tissue Data'!$A:$A,'[1]Tissue Data'!$I:$I)</f>
        <v>pygmaea</v>
      </c>
      <c r="G3589" t="str">
        <f>_xlfn.XLOOKUP(A3589,'[1]Tissue Data'!$A:$A,'[1]Tissue Data'!J:J)</f>
        <v>U</v>
      </c>
      <c r="H3589" t="str">
        <f>_xlfn.XLOOKUP(A3589,'[1]Tissue Data'!$A:$A,'[1]Tissue Data'!K:K)</f>
        <v>Whole Body</v>
      </c>
      <c r="I3589">
        <f>_xlfn.XLOOKUP(A3589,'[1]Tissue Data'!$A:$A,'[1]Tissue Data'!L:L)</f>
        <v>7</v>
      </c>
      <c r="J3589">
        <f>_xlfn.XLOOKUP(A3589,'[1]Tissue Data'!$A:$A,'[1]Tissue Data'!M:M)</f>
        <v>3.9</v>
      </c>
      <c r="K3589" t="s">
        <v>49</v>
      </c>
      <c r="L3589" t="str">
        <f>_xlfn.XLOOKUP(K3589,[2]analyte_order!$B:$B,[2]analyte_order!$C:$C)</f>
        <v>812-70-4</v>
      </c>
      <c r="M3589">
        <f>_xlfn.XLOOKUP(L3589,[2]analyte_order!$C:$C,[2]analyte_order!$E:$E)</f>
        <v>40</v>
      </c>
      <c r="N3589">
        <v>49</v>
      </c>
    </row>
    <row r="3590" spans="1:14">
      <c r="A3590" t="s">
        <v>171</v>
      </c>
      <c r="B3590" t="str">
        <f>_xlfn.XLOOKUP(A3590,'[1]Tissue Data'!$A:$A,'[1]Tissue Data'!$C:$C)</f>
        <v>Spill</v>
      </c>
      <c r="C3590" s="2">
        <f>_xlfn.XLOOKUP(A3590,'[1]Tissue Data'!$A:$A,'[1]Tissue Data'!$D:$D)</f>
        <v>44314</v>
      </c>
      <c r="D3590" s="2" t="str">
        <f>_xlfn.XLOOKUP(A3590,'[1]Tissue Data'!$A:$A,'[1]Tissue Data'!$F:$F)</f>
        <v>Eastern Mudminnow</v>
      </c>
      <c r="E3590" t="str">
        <f>_xlfn.XLOOKUP(A3590,'[1]Tissue Data'!$A:$A,'[1]Tissue Data'!$H:$H)</f>
        <v>Umbra</v>
      </c>
      <c r="F3590" t="str">
        <f>_xlfn.XLOOKUP(A3590,'[1]Tissue Data'!$A:$A,'[1]Tissue Data'!$I:$I)</f>
        <v>pygmaea</v>
      </c>
      <c r="G3590" t="str">
        <f>_xlfn.XLOOKUP(A3590,'[1]Tissue Data'!$A:$A,'[1]Tissue Data'!J:J)</f>
        <v>U</v>
      </c>
      <c r="H3590" t="str">
        <f>_xlfn.XLOOKUP(A3590,'[1]Tissue Data'!$A:$A,'[1]Tissue Data'!K:K)</f>
        <v>Whole Body</v>
      </c>
      <c r="I3590">
        <f>_xlfn.XLOOKUP(A3590,'[1]Tissue Data'!$A:$A,'[1]Tissue Data'!L:L)</f>
        <v>7</v>
      </c>
      <c r="J3590">
        <f>_xlfn.XLOOKUP(A3590,'[1]Tissue Data'!$A:$A,'[1]Tissue Data'!M:M)</f>
        <v>3.9</v>
      </c>
      <c r="K3590" t="s">
        <v>50</v>
      </c>
      <c r="L3590" t="str">
        <f>_xlfn.XLOOKUP(K3590,[2]analyte_order!$B:$B,[2]analyte_order!$C:$C)</f>
        <v>53826-12-3</v>
      </c>
      <c r="M3590">
        <f>_xlfn.XLOOKUP(L3590,[2]analyte_order!$C:$C,[2]analyte_order!$E:$E)</f>
        <v>41</v>
      </c>
      <c r="N3590">
        <v>6.3500000000000001E-2</v>
      </c>
    </row>
    <row r="3591" spans="1:14">
      <c r="A3591" t="s">
        <v>171</v>
      </c>
      <c r="B3591" t="str">
        <f>_xlfn.XLOOKUP(A3591,'[1]Tissue Data'!$A:$A,'[1]Tissue Data'!$C:$C)</f>
        <v>Spill</v>
      </c>
      <c r="C3591" s="2">
        <f>_xlfn.XLOOKUP(A3591,'[1]Tissue Data'!$A:$A,'[1]Tissue Data'!$D:$D)</f>
        <v>44314</v>
      </c>
      <c r="D3591" s="2" t="str">
        <f>_xlfn.XLOOKUP(A3591,'[1]Tissue Data'!$A:$A,'[1]Tissue Data'!$F:$F)</f>
        <v>Eastern Mudminnow</v>
      </c>
      <c r="E3591" t="str">
        <f>_xlfn.XLOOKUP(A3591,'[1]Tissue Data'!$A:$A,'[1]Tissue Data'!$H:$H)</f>
        <v>Umbra</v>
      </c>
      <c r="F3591" t="str">
        <f>_xlfn.XLOOKUP(A3591,'[1]Tissue Data'!$A:$A,'[1]Tissue Data'!$I:$I)</f>
        <v>pygmaea</v>
      </c>
      <c r="G3591" t="str">
        <f>_xlfn.XLOOKUP(A3591,'[1]Tissue Data'!$A:$A,'[1]Tissue Data'!J:J)</f>
        <v>U</v>
      </c>
      <c r="H3591" t="str">
        <f>_xlfn.XLOOKUP(A3591,'[1]Tissue Data'!$A:$A,'[1]Tissue Data'!K:K)</f>
        <v>Whole Body</v>
      </c>
      <c r="I3591">
        <f>_xlfn.XLOOKUP(A3591,'[1]Tissue Data'!$A:$A,'[1]Tissue Data'!L:L)</f>
        <v>7</v>
      </c>
      <c r="J3591">
        <f>_xlfn.XLOOKUP(A3591,'[1]Tissue Data'!$A:$A,'[1]Tissue Data'!M:M)</f>
        <v>3.9</v>
      </c>
      <c r="K3591" t="s">
        <v>51</v>
      </c>
      <c r="L3591" t="str">
        <f>_xlfn.XLOOKUP(K3591,[2]analyte_order!$B:$B,[2]analyte_order!$C:$C)</f>
        <v>27854-31-5</v>
      </c>
      <c r="M3591">
        <f>_xlfn.XLOOKUP(L3591,[2]analyte_order!$C:$C,[2]analyte_order!$E:$E)</f>
        <v>42</v>
      </c>
      <c r="N3591">
        <v>6.3500000000000001E-2</v>
      </c>
    </row>
    <row r="3592" spans="1:14">
      <c r="A3592" t="s">
        <v>171</v>
      </c>
      <c r="B3592" t="str">
        <f>_xlfn.XLOOKUP(A3592,'[1]Tissue Data'!$A:$A,'[1]Tissue Data'!$C:$C)</f>
        <v>Spill</v>
      </c>
      <c r="C3592" s="2">
        <f>_xlfn.XLOOKUP(A3592,'[1]Tissue Data'!$A:$A,'[1]Tissue Data'!$D:$D)</f>
        <v>44314</v>
      </c>
      <c r="D3592" s="2" t="str">
        <f>_xlfn.XLOOKUP(A3592,'[1]Tissue Data'!$A:$A,'[1]Tissue Data'!$F:$F)</f>
        <v>Eastern Mudminnow</v>
      </c>
      <c r="E3592" t="str">
        <f>_xlfn.XLOOKUP(A3592,'[1]Tissue Data'!$A:$A,'[1]Tissue Data'!$H:$H)</f>
        <v>Umbra</v>
      </c>
      <c r="F3592" t="str">
        <f>_xlfn.XLOOKUP(A3592,'[1]Tissue Data'!$A:$A,'[1]Tissue Data'!$I:$I)</f>
        <v>pygmaea</v>
      </c>
      <c r="G3592" t="str">
        <f>_xlfn.XLOOKUP(A3592,'[1]Tissue Data'!$A:$A,'[1]Tissue Data'!J:J)</f>
        <v>U</v>
      </c>
      <c r="H3592" t="str">
        <f>_xlfn.XLOOKUP(A3592,'[1]Tissue Data'!$A:$A,'[1]Tissue Data'!K:K)</f>
        <v>Whole Body</v>
      </c>
      <c r="I3592">
        <f>_xlfn.XLOOKUP(A3592,'[1]Tissue Data'!$A:$A,'[1]Tissue Data'!L:L)</f>
        <v>7</v>
      </c>
      <c r="J3592">
        <f>_xlfn.XLOOKUP(A3592,'[1]Tissue Data'!$A:$A,'[1]Tissue Data'!M:M)</f>
        <v>3.9</v>
      </c>
      <c r="K3592" t="s">
        <v>52</v>
      </c>
      <c r="L3592" t="str">
        <f>_xlfn.XLOOKUP(K3592,[2]analyte_order!$B:$B,[2]analyte_order!$C:$C)</f>
        <v>53826-13-4</v>
      </c>
      <c r="M3592">
        <f>_xlfn.XLOOKUP(L3592,[2]analyte_order!$C:$C,[2]analyte_order!$E:$E)</f>
        <v>43</v>
      </c>
      <c r="N3592">
        <v>0.3135</v>
      </c>
    </row>
    <row r="3593" spans="1:14">
      <c r="A3593" t="s">
        <v>171</v>
      </c>
      <c r="B3593" t="str">
        <f>_xlfn.XLOOKUP(A3593,'[1]Tissue Data'!$A:$A,'[1]Tissue Data'!$C:$C)</f>
        <v>Spill</v>
      </c>
      <c r="C3593" s="2">
        <f>_xlfn.XLOOKUP(A3593,'[1]Tissue Data'!$A:$A,'[1]Tissue Data'!$D:$D)</f>
        <v>44314</v>
      </c>
      <c r="D3593" s="2" t="str">
        <f>_xlfn.XLOOKUP(A3593,'[1]Tissue Data'!$A:$A,'[1]Tissue Data'!$F:$F)</f>
        <v>Eastern Mudminnow</v>
      </c>
      <c r="E3593" t="str">
        <f>_xlfn.XLOOKUP(A3593,'[1]Tissue Data'!$A:$A,'[1]Tissue Data'!$H:$H)</f>
        <v>Umbra</v>
      </c>
      <c r="F3593" t="str">
        <f>_xlfn.XLOOKUP(A3593,'[1]Tissue Data'!$A:$A,'[1]Tissue Data'!$I:$I)</f>
        <v>pygmaea</v>
      </c>
      <c r="G3593" t="str">
        <f>_xlfn.XLOOKUP(A3593,'[1]Tissue Data'!$A:$A,'[1]Tissue Data'!J:J)</f>
        <v>U</v>
      </c>
      <c r="H3593" t="str">
        <f>_xlfn.XLOOKUP(A3593,'[1]Tissue Data'!$A:$A,'[1]Tissue Data'!K:K)</f>
        <v>Whole Body</v>
      </c>
      <c r="I3593">
        <f>_xlfn.XLOOKUP(A3593,'[1]Tissue Data'!$A:$A,'[1]Tissue Data'!L:L)</f>
        <v>7</v>
      </c>
      <c r="J3593">
        <f>_xlfn.XLOOKUP(A3593,'[1]Tissue Data'!$A:$A,'[1]Tissue Data'!M:M)</f>
        <v>3.9</v>
      </c>
      <c r="K3593" t="s">
        <v>53</v>
      </c>
      <c r="L3593" t="str">
        <f>_xlfn.XLOOKUP(K3593,[2]analyte_order!$B:$B,[2]analyte_order!$C:$C)</f>
        <v>161094-75-3</v>
      </c>
      <c r="M3593">
        <f>_xlfn.XLOOKUP(L3593,[2]analyte_order!$C:$C,[2]analyte_order!$E:$E)</f>
        <v>44</v>
      </c>
      <c r="N3593">
        <v>0.05</v>
      </c>
    </row>
    <row r="3594" spans="1:14">
      <c r="A3594" t="s">
        <v>171</v>
      </c>
      <c r="B3594" t="str">
        <f>_xlfn.XLOOKUP(A3594,'[1]Tissue Data'!$A:$A,'[1]Tissue Data'!$C:$C)</f>
        <v>Spill</v>
      </c>
      <c r="C3594" s="2">
        <f>_xlfn.XLOOKUP(A3594,'[1]Tissue Data'!$A:$A,'[1]Tissue Data'!$D:$D)</f>
        <v>44314</v>
      </c>
      <c r="D3594" s="2" t="str">
        <f>_xlfn.XLOOKUP(A3594,'[1]Tissue Data'!$A:$A,'[1]Tissue Data'!$F:$F)</f>
        <v>Eastern Mudminnow</v>
      </c>
      <c r="E3594" t="str">
        <f>_xlfn.XLOOKUP(A3594,'[1]Tissue Data'!$A:$A,'[1]Tissue Data'!$H:$H)</f>
        <v>Umbra</v>
      </c>
      <c r="F3594" t="str">
        <f>_xlfn.XLOOKUP(A3594,'[1]Tissue Data'!$A:$A,'[1]Tissue Data'!$I:$I)</f>
        <v>pygmaea</v>
      </c>
      <c r="G3594" t="str">
        <f>_xlfn.XLOOKUP(A3594,'[1]Tissue Data'!$A:$A,'[1]Tissue Data'!J:J)</f>
        <v>U</v>
      </c>
      <c r="H3594" t="str">
        <f>_xlfn.XLOOKUP(A3594,'[1]Tissue Data'!$A:$A,'[1]Tissue Data'!K:K)</f>
        <v>Whole Body</v>
      </c>
      <c r="I3594">
        <f>_xlfn.XLOOKUP(A3594,'[1]Tissue Data'!$A:$A,'[1]Tissue Data'!L:L)</f>
        <v>7</v>
      </c>
      <c r="J3594">
        <f>_xlfn.XLOOKUP(A3594,'[1]Tissue Data'!$A:$A,'[1]Tissue Data'!M:M)</f>
        <v>3.9</v>
      </c>
      <c r="K3594" t="s">
        <v>54</v>
      </c>
      <c r="L3594" t="str">
        <f>_xlfn.XLOOKUP(K3594,[2]analyte_order!$B:$B,[2]analyte_order!$C:$C)</f>
        <v>70887-84-2</v>
      </c>
      <c r="M3594">
        <f>_xlfn.XLOOKUP(L3594,[2]analyte_order!$C:$C,[2]analyte_order!$E:$E)</f>
        <v>45</v>
      </c>
      <c r="N3594">
        <v>3.85E-2</v>
      </c>
    </row>
    <row r="3595" spans="1:14">
      <c r="A3595" t="s">
        <v>171</v>
      </c>
      <c r="B3595" t="str">
        <f>_xlfn.XLOOKUP(A3595,'[1]Tissue Data'!$A:$A,'[1]Tissue Data'!$C:$C)</f>
        <v>Spill</v>
      </c>
      <c r="C3595" s="2">
        <f>_xlfn.XLOOKUP(A3595,'[1]Tissue Data'!$A:$A,'[1]Tissue Data'!$D:$D)</f>
        <v>44314</v>
      </c>
      <c r="D3595" s="2" t="str">
        <f>_xlfn.XLOOKUP(A3595,'[1]Tissue Data'!$A:$A,'[1]Tissue Data'!$F:$F)</f>
        <v>Eastern Mudminnow</v>
      </c>
      <c r="E3595" t="str">
        <f>_xlfn.XLOOKUP(A3595,'[1]Tissue Data'!$A:$A,'[1]Tissue Data'!$H:$H)</f>
        <v>Umbra</v>
      </c>
      <c r="F3595" t="str">
        <f>_xlfn.XLOOKUP(A3595,'[1]Tissue Data'!$A:$A,'[1]Tissue Data'!$I:$I)</f>
        <v>pygmaea</v>
      </c>
      <c r="G3595" t="str">
        <f>_xlfn.XLOOKUP(A3595,'[1]Tissue Data'!$A:$A,'[1]Tissue Data'!J:J)</f>
        <v>U</v>
      </c>
      <c r="H3595" t="str">
        <f>_xlfn.XLOOKUP(A3595,'[1]Tissue Data'!$A:$A,'[1]Tissue Data'!K:K)</f>
        <v>Whole Body</v>
      </c>
      <c r="I3595">
        <f>_xlfn.XLOOKUP(A3595,'[1]Tissue Data'!$A:$A,'[1]Tissue Data'!L:L)</f>
        <v>7</v>
      </c>
      <c r="J3595">
        <f>_xlfn.XLOOKUP(A3595,'[1]Tissue Data'!$A:$A,'[1]Tissue Data'!M:M)</f>
        <v>3.9</v>
      </c>
      <c r="K3595" t="s">
        <v>55</v>
      </c>
      <c r="L3595" t="str">
        <f>_xlfn.XLOOKUP(K3595,[2]analyte_order!$B:$B,[2]analyte_order!$C:$C)</f>
        <v>919005-14-4</v>
      </c>
      <c r="M3595">
        <f>_xlfn.XLOOKUP(L3595,[2]analyte_order!$C:$C,[2]analyte_order!$E:$E)</f>
        <v>35</v>
      </c>
      <c r="N3595">
        <v>6.3500000000000001E-2</v>
      </c>
    </row>
    <row r="3596" spans="1:14">
      <c r="A3596" t="s">
        <v>171</v>
      </c>
      <c r="B3596" t="str">
        <f>_xlfn.XLOOKUP(A3596,'[1]Tissue Data'!$A:$A,'[1]Tissue Data'!$C:$C)</f>
        <v>Spill</v>
      </c>
      <c r="C3596" s="2">
        <f>_xlfn.XLOOKUP(A3596,'[1]Tissue Data'!$A:$A,'[1]Tissue Data'!$D:$D)</f>
        <v>44314</v>
      </c>
      <c r="D3596" s="2" t="str">
        <f>_xlfn.XLOOKUP(A3596,'[1]Tissue Data'!$A:$A,'[1]Tissue Data'!$F:$F)</f>
        <v>Eastern Mudminnow</v>
      </c>
      <c r="E3596" t="str">
        <f>_xlfn.XLOOKUP(A3596,'[1]Tissue Data'!$A:$A,'[1]Tissue Data'!$H:$H)</f>
        <v>Umbra</v>
      </c>
      <c r="F3596" t="str">
        <f>_xlfn.XLOOKUP(A3596,'[1]Tissue Data'!$A:$A,'[1]Tissue Data'!$I:$I)</f>
        <v>pygmaea</v>
      </c>
      <c r="G3596" t="str">
        <f>_xlfn.XLOOKUP(A3596,'[1]Tissue Data'!$A:$A,'[1]Tissue Data'!J:J)</f>
        <v>U</v>
      </c>
      <c r="H3596" t="str">
        <f>_xlfn.XLOOKUP(A3596,'[1]Tissue Data'!$A:$A,'[1]Tissue Data'!K:K)</f>
        <v>Whole Body</v>
      </c>
      <c r="I3596">
        <f>_xlfn.XLOOKUP(A3596,'[1]Tissue Data'!$A:$A,'[1]Tissue Data'!L:L)</f>
        <v>7</v>
      </c>
      <c r="J3596">
        <f>_xlfn.XLOOKUP(A3596,'[1]Tissue Data'!$A:$A,'[1]Tissue Data'!M:M)</f>
        <v>3.9</v>
      </c>
      <c r="K3596" t="s">
        <v>56</v>
      </c>
      <c r="L3596" t="str">
        <f>_xlfn.XLOOKUP(K3596,[2]analyte_order!$B:$B,[2]analyte_order!$C:$C)</f>
        <v>756426-58-1</v>
      </c>
      <c r="M3596">
        <f>_xlfn.XLOOKUP(L3596,[2]analyte_order!$C:$C,[2]analyte_order!$E:$E)</f>
        <v>36</v>
      </c>
      <c r="N3596">
        <v>6.3500000000000001E-2</v>
      </c>
    </row>
    <row r="3597" spans="1:14">
      <c r="A3597" t="s">
        <v>171</v>
      </c>
      <c r="B3597" t="str">
        <f>_xlfn.XLOOKUP(A3597,'[1]Tissue Data'!$A:$A,'[1]Tissue Data'!$C:$C)</f>
        <v>Spill</v>
      </c>
      <c r="C3597" s="2">
        <f>_xlfn.XLOOKUP(A3597,'[1]Tissue Data'!$A:$A,'[1]Tissue Data'!$D:$D)</f>
        <v>44314</v>
      </c>
      <c r="D3597" s="2" t="str">
        <f>_xlfn.XLOOKUP(A3597,'[1]Tissue Data'!$A:$A,'[1]Tissue Data'!$F:$F)</f>
        <v>Eastern Mudminnow</v>
      </c>
      <c r="E3597" t="str">
        <f>_xlfn.XLOOKUP(A3597,'[1]Tissue Data'!$A:$A,'[1]Tissue Data'!$H:$H)</f>
        <v>Umbra</v>
      </c>
      <c r="F3597" t="str">
        <f>_xlfn.XLOOKUP(A3597,'[1]Tissue Data'!$A:$A,'[1]Tissue Data'!$I:$I)</f>
        <v>pygmaea</v>
      </c>
      <c r="G3597" t="str">
        <f>_xlfn.XLOOKUP(A3597,'[1]Tissue Data'!$A:$A,'[1]Tissue Data'!J:J)</f>
        <v>U</v>
      </c>
      <c r="H3597" t="str">
        <f>_xlfn.XLOOKUP(A3597,'[1]Tissue Data'!$A:$A,'[1]Tissue Data'!K:K)</f>
        <v>Whole Body</v>
      </c>
      <c r="I3597">
        <f>_xlfn.XLOOKUP(A3597,'[1]Tissue Data'!$A:$A,'[1]Tissue Data'!L:L)</f>
        <v>7</v>
      </c>
      <c r="J3597">
        <f>_xlfn.XLOOKUP(A3597,'[1]Tissue Data'!$A:$A,'[1]Tissue Data'!M:M)</f>
        <v>3.9</v>
      </c>
      <c r="K3597" t="s">
        <v>57</v>
      </c>
      <c r="L3597" t="str">
        <f>_xlfn.XLOOKUP(K3597,[2]analyte_order!$B:$B,[2]analyte_order!$C:$C)</f>
        <v>763051-92-9</v>
      </c>
      <c r="M3597">
        <f>_xlfn.XLOOKUP(L3597,[2]analyte_order!$C:$C,[2]analyte_order!$E:$E)</f>
        <v>37</v>
      </c>
      <c r="N3597">
        <v>6.3500000000000001E-2</v>
      </c>
    </row>
    <row r="3598" spans="1:14">
      <c r="A3598" t="s">
        <v>171</v>
      </c>
      <c r="B3598" t="str">
        <f>_xlfn.XLOOKUP(A3598,'[1]Tissue Data'!$A:$A,'[1]Tissue Data'!$C:$C)</f>
        <v>Spill</v>
      </c>
      <c r="C3598" s="2">
        <f>_xlfn.XLOOKUP(A3598,'[1]Tissue Data'!$A:$A,'[1]Tissue Data'!$D:$D)</f>
        <v>44314</v>
      </c>
      <c r="D3598" s="2" t="str">
        <f>_xlfn.XLOOKUP(A3598,'[1]Tissue Data'!$A:$A,'[1]Tissue Data'!$F:$F)</f>
        <v>Eastern Mudminnow</v>
      </c>
      <c r="E3598" t="str">
        <f>_xlfn.XLOOKUP(A3598,'[1]Tissue Data'!$A:$A,'[1]Tissue Data'!$H:$H)</f>
        <v>Umbra</v>
      </c>
      <c r="F3598" t="str">
        <f>_xlfn.XLOOKUP(A3598,'[1]Tissue Data'!$A:$A,'[1]Tissue Data'!$I:$I)</f>
        <v>pygmaea</v>
      </c>
      <c r="G3598" t="str">
        <f>_xlfn.XLOOKUP(A3598,'[1]Tissue Data'!$A:$A,'[1]Tissue Data'!J:J)</f>
        <v>U</v>
      </c>
      <c r="H3598" t="str">
        <f>_xlfn.XLOOKUP(A3598,'[1]Tissue Data'!$A:$A,'[1]Tissue Data'!K:K)</f>
        <v>Whole Body</v>
      </c>
      <c r="I3598">
        <f>_xlfn.XLOOKUP(A3598,'[1]Tissue Data'!$A:$A,'[1]Tissue Data'!L:L)</f>
        <v>7</v>
      </c>
      <c r="J3598">
        <f>_xlfn.XLOOKUP(A3598,'[1]Tissue Data'!$A:$A,'[1]Tissue Data'!M:M)</f>
        <v>3.9</v>
      </c>
      <c r="K3598" t="s">
        <v>58</v>
      </c>
      <c r="L3598" t="str">
        <f>_xlfn.XLOOKUP(K3598,[2]analyte_order!$B:$B,[2]analyte_order!$C:$C)</f>
        <v>13252-13-6</v>
      </c>
      <c r="M3598">
        <f>_xlfn.XLOOKUP(L3598,[2]analyte_order!$C:$C,[2]analyte_order!$E:$E)</f>
        <v>34</v>
      </c>
      <c r="N3598">
        <v>9.1499999999999998E-2</v>
      </c>
    </row>
    <row r="3599" spans="1:14">
      <c r="A3599" t="s">
        <v>171</v>
      </c>
      <c r="B3599" t="str">
        <f>_xlfn.XLOOKUP(A3599,'[1]Tissue Data'!$A:$A,'[1]Tissue Data'!$C:$C)</f>
        <v>Spill</v>
      </c>
      <c r="C3599" s="2">
        <f>_xlfn.XLOOKUP(A3599,'[1]Tissue Data'!$A:$A,'[1]Tissue Data'!$D:$D)</f>
        <v>44314</v>
      </c>
      <c r="D3599" s="2" t="str">
        <f>_xlfn.XLOOKUP(A3599,'[1]Tissue Data'!$A:$A,'[1]Tissue Data'!$F:$F)</f>
        <v>Eastern Mudminnow</v>
      </c>
      <c r="E3599" t="str">
        <f>_xlfn.XLOOKUP(A3599,'[1]Tissue Data'!$A:$A,'[1]Tissue Data'!$H:$H)</f>
        <v>Umbra</v>
      </c>
      <c r="F3599" t="str">
        <f>_xlfn.XLOOKUP(A3599,'[1]Tissue Data'!$A:$A,'[1]Tissue Data'!$I:$I)</f>
        <v>pygmaea</v>
      </c>
      <c r="G3599" t="str">
        <f>_xlfn.XLOOKUP(A3599,'[1]Tissue Data'!$A:$A,'[1]Tissue Data'!J:J)</f>
        <v>U</v>
      </c>
      <c r="H3599" t="str">
        <f>_xlfn.XLOOKUP(A3599,'[1]Tissue Data'!$A:$A,'[1]Tissue Data'!K:K)</f>
        <v>Whole Body</v>
      </c>
      <c r="I3599">
        <f>_xlfn.XLOOKUP(A3599,'[1]Tissue Data'!$A:$A,'[1]Tissue Data'!L:L)</f>
        <v>7</v>
      </c>
      <c r="J3599">
        <f>_xlfn.XLOOKUP(A3599,'[1]Tissue Data'!$A:$A,'[1]Tissue Data'!M:M)</f>
        <v>3.9</v>
      </c>
      <c r="K3599" t="s">
        <v>59</v>
      </c>
      <c r="L3599" t="str">
        <f>_xlfn.XLOOKUP(K3599,[2]analyte_order!$B:$B,[2]analyte_order!$C:$C)</f>
        <v>57677-95-9</v>
      </c>
      <c r="M3599">
        <f>_xlfn.XLOOKUP(L3599,[2]analyte_order!$C:$C,[2]analyte_order!$E:$E)</f>
        <v>46</v>
      </c>
      <c r="N3599">
        <v>6.7500000000000004E-2</v>
      </c>
    </row>
    <row r="3600" spans="1:14">
      <c r="A3600" t="s">
        <v>171</v>
      </c>
      <c r="B3600" t="str">
        <f>_xlfn.XLOOKUP(A3600,'[1]Tissue Data'!$A:$A,'[1]Tissue Data'!$C:$C)</f>
        <v>Spill</v>
      </c>
      <c r="C3600" s="2">
        <f>_xlfn.XLOOKUP(A3600,'[1]Tissue Data'!$A:$A,'[1]Tissue Data'!$D:$D)</f>
        <v>44314</v>
      </c>
      <c r="D3600" s="2" t="str">
        <f>_xlfn.XLOOKUP(A3600,'[1]Tissue Data'!$A:$A,'[1]Tissue Data'!$F:$F)</f>
        <v>Eastern Mudminnow</v>
      </c>
      <c r="E3600" t="str">
        <f>_xlfn.XLOOKUP(A3600,'[1]Tissue Data'!$A:$A,'[1]Tissue Data'!$H:$H)</f>
        <v>Umbra</v>
      </c>
      <c r="F3600" t="str">
        <f>_xlfn.XLOOKUP(A3600,'[1]Tissue Data'!$A:$A,'[1]Tissue Data'!$I:$I)</f>
        <v>pygmaea</v>
      </c>
      <c r="G3600" t="str">
        <f>_xlfn.XLOOKUP(A3600,'[1]Tissue Data'!$A:$A,'[1]Tissue Data'!J:J)</f>
        <v>U</v>
      </c>
      <c r="H3600" t="str">
        <f>_xlfn.XLOOKUP(A3600,'[1]Tissue Data'!$A:$A,'[1]Tissue Data'!K:K)</f>
        <v>Whole Body</v>
      </c>
      <c r="I3600">
        <f>_xlfn.XLOOKUP(A3600,'[1]Tissue Data'!$A:$A,'[1]Tissue Data'!L:L)</f>
        <v>7</v>
      </c>
      <c r="J3600">
        <f>_xlfn.XLOOKUP(A3600,'[1]Tissue Data'!$A:$A,'[1]Tissue Data'!M:M)</f>
        <v>3.9</v>
      </c>
      <c r="K3600" t="s">
        <v>60</v>
      </c>
      <c r="L3600" t="str">
        <f>_xlfn.XLOOKUP(K3600,[2]analyte_order!$B:$B,[2]analyte_order!$C:$C)</f>
        <v>678-41-1</v>
      </c>
      <c r="M3600">
        <f>_xlfn.XLOOKUP(L3600,[2]analyte_order!$C:$C,[2]analyte_order!$E:$E)</f>
        <v>56</v>
      </c>
      <c r="N3600">
        <v>8.4500000000000006E-2</v>
      </c>
    </row>
    <row r="3601" spans="1:14">
      <c r="A3601" t="s">
        <v>171</v>
      </c>
      <c r="B3601" t="str">
        <f>_xlfn.XLOOKUP(A3601,'[1]Tissue Data'!$A:$A,'[1]Tissue Data'!$C:$C)</f>
        <v>Spill</v>
      </c>
      <c r="C3601" s="2">
        <f>_xlfn.XLOOKUP(A3601,'[1]Tissue Data'!$A:$A,'[1]Tissue Data'!$D:$D)</f>
        <v>44314</v>
      </c>
      <c r="D3601" s="2" t="str">
        <f>_xlfn.XLOOKUP(A3601,'[1]Tissue Data'!$A:$A,'[1]Tissue Data'!$F:$F)</f>
        <v>Eastern Mudminnow</v>
      </c>
      <c r="E3601" t="str">
        <f>_xlfn.XLOOKUP(A3601,'[1]Tissue Data'!$A:$A,'[1]Tissue Data'!$H:$H)</f>
        <v>Umbra</v>
      </c>
      <c r="F3601" t="str">
        <f>_xlfn.XLOOKUP(A3601,'[1]Tissue Data'!$A:$A,'[1]Tissue Data'!$I:$I)</f>
        <v>pygmaea</v>
      </c>
      <c r="G3601" t="str">
        <f>_xlfn.XLOOKUP(A3601,'[1]Tissue Data'!$A:$A,'[1]Tissue Data'!J:J)</f>
        <v>U</v>
      </c>
      <c r="H3601" t="str">
        <f>_xlfn.XLOOKUP(A3601,'[1]Tissue Data'!$A:$A,'[1]Tissue Data'!K:K)</f>
        <v>Whole Body</v>
      </c>
      <c r="I3601">
        <f>_xlfn.XLOOKUP(A3601,'[1]Tissue Data'!$A:$A,'[1]Tissue Data'!L:L)</f>
        <v>7</v>
      </c>
      <c r="J3601">
        <f>_xlfn.XLOOKUP(A3601,'[1]Tissue Data'!$A:$A,'[1]Tissue Data'!M:M)</f>
        <v>3.9</v>
      </c>
      <c r="K3601" t="s">
        <v>61</v>
      </c>
      <c r="L3601" t="str">
        <f>_xlfn.XLOOKUP(K3601,[2]analyte_order!$B:$B,[2]analyte_order!$C:$C)</f>
        <v>2965-52-8</v>
      </c>
      <c r="M3601">
        <f>_xlfn.XLOOKUP(L3601,[2]analyte_order!$C:$C,[2]analyte_order!$E:$E)</f>
        <v>57</v>
      </c>
      <c r="N3601">
        <v>0.112</v>
      </c>
    </row>
    <row r="3602" spans="1:14">
      <c r="A3602" t="s">
        <v>313</v>
      </c>
      <c r="B3602" t="str">
        <f>_xlfn.XLOOKUP(A3602,'[1]Tissue Data'!$A:$A,'[1]Tissue Data'!$C:$C)</f>
        <v>Spill</v>
      </c>
      <c r="C3602" s="2">
        <f>_xlfn.XLOOKUP(A3602,'[1]Tissue Data'!$A:$A,'[1]Tissue Data'!$D:$D)</f>
        <v>44314</v>
      </c>
      <c r="D3602" s="2" t="s">
        <v>131</v>
      </c>
      <c r="E3602" t="str">
        <f>_xlfn.XLOOKUP(A3602,'[1]Tissue Data'!$A:$A,'[1]Tissue Data'!$H:$H)</f>
        <v>Rhinichthys</v>
      </c>
      <c r="F3602" t="str">
        <f>_xlfn.XLOOKUP(A3602,'[1]Tissue Data'!$A:$A,'[1]Tissue Data'!$I:$I)</f>
        <v>cataractae</v>
      </c>
      <c r="G3602" t="str">
        <f>_xlfn.XLOOKUP(A3602,'[1]Tissue Data'!$A:$A,'[1]Tissue Data'!J:J)</f>
        <v>U</v>
      </c>
      <c r="H3602" t="str">
        <f>_xlfn.XLOOKUP(A3602,'[1]Tissue Data'!$A:$A,'[1]Tissue Data'!K:K)</f>
        <v>Whole Body</v>
      </c>
      <c r="I3602">
        <f>_xlfn.XLOOKUP(A3602,'[1]Tissue Data'!$A:$A,'[1]Tissue Data'!L:L)</f>
        <v>6.5</v>
      </c>
      <c r="J3602">
        <f>_xlfn.XLOOKUP(A3602,'[1]Tissue Data'!$A:$A,'[1]Tissue Data'!M:M)</f>
        <v>3</v>
      </c>
      <c r="K3602" t="s">
        <v>12</v>
      </c>
      <c r="L3602" t="str">
        <f>_xlfn.XLOOKUP(K3602,[2]analyte_order!$B:$B,[2]analyte_order!$C:$C)</f>
        <v>375-22-4</v>
      </c>
      <c r="M3602">
        <f>_xlfn.XLOOKUP(L3602,[2]analyte_order!$C:$C,[2]analyte_order!$E:$E)</f>
        <v>1</v>
      </c>
      <c r="N3602">
        <v>0.2</v>
      </c>
    </row>
    <row r="3603" spans="1:14">
      <c r="A3603" t="s">
        <v>313</v>
      </c>
      <c r="B3603" t="str">
        <f>_xlfn.XLOOKUP(A3603,'[1]Tissue Data'!$A:$A,'[1]Tissue Data'!$C:$C)</f>
        <v>Spill</v>
      </c>
      <c r="C3603" s="2">
        <f>_xlfn.XLOOKUP(A3603,'[1]Tissue Data'!$A:$A,'[1]Tissue Data'!$D:$D)</f>
        <v>44314</v>
      </c>
      <c r="D3603" s="2" t="s">
        <v>131</v>
      </c>
      <c r="E3603" t="str">
        <f>_xlfn.XLOOKUP(A3603,'[1]Tissue Data'!$A:$A,'[1]Tissue Data'!$H:$H)</f>
        <v>Rhinichthys</v>
      </c>
      <c r="F3603" t="str">
        <f>_xlfn.XLOOKUP(A3603,'[1]Tissue Data'!$A:$A,'[1]Tissue Data'!$I:$I)</f>
        <v>cataractae</v>
      </c>
      <c r="G3603" t="str">
        <f>_xlfn.XLOOKUP(A3603,'[1]Tissue Data'!$A:$A,'[1]Tissue Data'!J:J)</f>
        <v>U</v>
      </c>
      <c r="H3603" t="str">
        <f>_xlfn.XLOOKUP(A3603,'[1]Tissue Data'!$A:$A,'[1]Tissue Data'!K:K)</f>
        <v>Whole Body</v>
      </c>
      <c r="I3603">
        <f>_xlfn.XLOOKUP(A3603,'[1]Tissue Data'!$A:$A,'[1]Tissue Data'!L:L)</f>
        <v>6.5</v>
      </c>
      <c r="J3603">
        <f>_xlfn.XLOOKUP(A3603,'[1]Tissue Data'!$A:$A,'[1]Tissue Data'!M:M)</f>
        <v>3</v>
      </c>
      <c r="K3603" t="s">
        <v>13</v>
      </c>
      <c r="L3603" t="str">
        <f>_xlfn.XLOOKUP(K3603,[2]analyte_order!$B:$B,[2]analyte_order!$C:$C)</f>
        <v>2706-90-3</v>
      </c>
      <c r="M3603">
        <f>_xlfn.XLOOKUP(L3603,[2]analyte_order!$C:$C,[2]analyte_order!$E:$E)</f>
        <v>2</v>
      </c>
      <c r="N3603">
        <v>4.2750000000000003E-2</v>
      </c>
    </row>
    <row r="3604" spans="1:14">
      <c r="A3604" t="s">
        <v>313</v>
      </c>
      <c r="B3604" t="str">
        <f>_xlfn.XLOOKUP(A3604,'[1]Tissue Data'!$A:$A,'[1]Tissue Data'!$C:$C)</f>
        <v>Spill</v>
      </c>
      <c r="C3604" s="2">
        <f>_xlfn.XLOOKUP(A3604,'[1]Tissue Data'!$A:$A,'[1]Tissue Data'!$D:$D)</f>
        <v>44314</v>
      </c>
      <c r="D3604" s="2" t="s">
        <v>131</v>
      </c>
      <c r="E3604" t="str">
        <f>_xlfn.XLOOKUP(A3604,'[1]Tissue Data'!$A:$A,'[1]Tissue Data'!$H:$H)</f>
        <v>Rhinichthys</v>
      </c>
      <c r="F3604" t="str">
        <f>_xlfn.XLOOKUP(A3604,'[1]Tissue Data'!$A:$A,'[1]Tissue Data'!$I:$I)</f>
        <v>cataractae</v>
      </c>
      <c r="G3604" t="str">
        <f>_xlfn.XLOOKUP(A3604,'[1]Tissue Data'!$A:$A,'[1]Tissue Data'!J:J)</f>
        <v>U</v>
      </c>
      <c r="H3604" t="str">
        <f>_xlfn.XLOOKUP(A3604,'[1]Tissue Data'!$A:$A,'[1]Tissue Data'!K:K)</f>
        <v>Whole Body</v>
      </c>
      <c r="I3604">
        <f>_xlfn.XLOOKUP(A3604,'[1]Tissue Data'!$A:$A,'[1]Tissue Data'!L:L)</f>
        <v>6.5</v>
      </c>
      <c r="J3604">
        <f>_xlfn.XLOOKUP(A3604,'[1]Tissue Data'!$A:$A,'[1]Tissue Data'!M:M)</f>
        <v>3</v>
      </c>
      <c r="K3604" t="s">
        <v>14</v>
      </c>
      <c r="L3604" t="str">
        <f>_xlfn.XLOOKUP(K3604,[2]analyte_order!$B:$B,[2]analyte_order!$C:$C)</f>
        <v>307-24-4</v>
      </c>
      <c r="M3604">
        <f>_xlfn.XLOOKUP(L3604,[2]analyte_order!$C:$C,[2]analyte_order!$E:$E)</f>
        <v>3</v>
      </c>
      <c r="N3604">
        <v>0.108</v>
      </c>
    </row>
    <row r="3605" spans="1:14">
      <c r="A3605" t="s">
        <v>313</v>
      </c>
      <c r="B3605" t="str">
        <f>_xlfn.XLOOKUP(A3605,'[1]Tissue Data'!$A:$A,'[1]Tissue Data'!$C:$C)</f>
        <v>Spill</v>
      </c>
      <c r="C3605" s="2">
        <f>_xlfn.XLOOKUP(A3605,'[1]Tissue Data'!$A:$A,'[1]Tissue Data'!$D:$D)</f>
        <v>44314</v>
      </c>
      <c r="D3605" s="2" t="s">
        <v>131</v>
      </c>
      <c r="E3605" t="str">
        <f>_xlfn.XLOOKUP(A3605,'[1]Tissue Data'!$A:$A,'[1]Tissue Data'!$H:$H)</f>
        <v>Rhinichthys</v>
      </c>
      <c r="F3605" t="str">
        <f>_xlfn.XLOOKUP(A3605,'[1]Tissue Data'!$A:$A,'[1]Tissue Data'!$I:$I)</f>
        <v>cataractae</v>
      </c>
      <c r="G3605" t="str">
        <f>_xlfn.XLOOKUP(A3605,'[1]Tissue Data'!$A:$A,'[1]Tissue Data'!J:J)</f>
        <v>U</v>
      </c>
      <c r="H3605" t="str">
        <f>_xlfn.XLOOKUP(A3605,'[1]Tissue Data'!$A:$A,'[1]Tissue Data'!K:K)</f>
        <v>Whole Body</v>
      </c>
      <c r="I3605">
        <f>_xlfn.XLOOKUP(A3605,'[1]Tissue Data'!$A:$A,'[1]Tissue Data'!L:L)</f>
        <v>6.5</v>
      </c>
      <c r="J3605">
        <f>_xlfn.XLOOKUP(A3605,'[1]Tissue Data'!$A:$A,'[1]Tissue Data'!M:M)</f>
        <v>3</v>
      </c>
      <c r="K3605" t="s">
        <v>15</v>
      </c>
      <c r="L3605" t="str">
        <f>_xlfn.XLOOKUP(K3605,[2]analyte_order!$B:$B,[2]analyte_order!$C:$C)</f>
        <v>375-85-9</v>
      </c>
      <c r="M3605">
        <f>_xlfn.XLOOKUP(L3605,[2]analyte_order!$C:$C,[2]analyte_order!$E:$E)</f>
        <v>4</v>
      </c>
      <c r="N3605">
        <v>0.08</v>
      </c>
    </row>
    <row r="3606" spans="1:14">
      <c r="A3606" t="s">
        <v>313</v>
      </c>
      <c r="B3606" t="str">
        <f>_xlfn.XLOOKUP(A3606,'[1]Tissue Data'!$A:$A,'[1]Tissue Data'!$C:$C)</f>
        <v>Spill</v>
      </c>
      <c r="C3606" s="2">
        <f>_xlfn.XLOOKUP(A3606,'[1]Tissue Data'!$A:$A,'[1]Tissue Data'!$D:$D)</f>
        <v>44314</v>
      </c>
      <c r="D3606" s="2" t="s">
        <v>131</v>
      </c>
      <c r="E3606" t="str">
        <f>_xlfn.XLOOKUP(A3606,'[1]Tissue Data'!$A:$A,'[1]Tissue Data'!$H:$H)</f>
        <v>Rhinichthys</v>
      </c>
      <c r="F3606" t="str">
        <f>_xlfn.XLOOKUP(A3606,'[1]Tissue Data'!$A:$A,'[1]Tissue Data'!$I:$I)</f>
        <v>cataractae</v>
      </c>
      <c r="G3606" t="str">
        <f>_xlfn.XLOOKUP(A3606,'[1]Tissue Data'!$A:$A,'[1]Tissue Data'!J:J)</f>
        <v>U</v>
      </c>
      <c r="H3606" t="str">
        <f>_xlfn.XLOOKUP(A3606,'[1]Tissue Data'!$A:$A,'[1]Tissue Data'!K:K)</f>
        <v>Whole Body</v>
      </c>
      <c r="I3606">
        <f>_xlfn.XLOOKUP(A3606,'[1]Tissue Data'!$A:$A,'[1]Tissue Data'!L:L)</f>
        <v>6.5</v>
      </c>
      <c r="J3606">
        <f>_xlfn.XLOOKUP(A3606,'[1]Tissue Data'!$A:$A,'[1]Tissue Data'!M:M)</f>
        <v>3</v>
      </c>
      <c r="K3606" t="s">
        <v>16</v>
      </c>
      <c r="L3606" t="str">
        <f>_xlfn.XLOOKUP(K3606,[2]analyte_order!$B:$B,[2]analyte_order!$C:$C)</f>
        <v>335-67-1</v>
      </c>
      <c r="M3606">
        <f>_xlfn.XLOOKUP(L3606,[2]analyte_order!$C:$C,[2]analyte_order!$E:$E)</f>
        <v>5</v>
      </c>
      <c r="N3606">
        <v>2.14</v>
      </c>
    </row>
    <row r="3607" spans="1:14">
      <c r="A3607" t="s">
        <v>313</v>
      </c>
      <c r="B3607" t="str">
        <f>_xlfn.XLOOKUP(A3607,'[1]Tissue Data'!$A:$A,'[1]Tissue Data'!$C:$C)</f>
        <v>Spill</v>
      </c>
      <c r="C3607" s="2">
        <f>_xlfn.XLOOKUP(A3607,'[1]Tissue Data'!$A:$A,'[1]Tissue Data'!$D:$D)</f>
        <v>44314</v>
      </c>
      <c r="D3607" s="2" t="s">
        <v>131</v>
      </c>
      <c r="E3607" t="str">
        <f>_xlfn.XLOOKUP(A3607,'[1]Tissue Data'!$A:$A,'[1]Tissue Data'!$H:$H)</f>
        <v>Rhinichthys</v>
      </c>
      <c r="F3607" t="str">
        <f>_xlfn.XLOOKUP(A3607,'[1]Tissue Data'!$A:$A,'[1]Tissue Data'!$I:$I)</f>
        <v>cataractae</v>
      </c>
      <c r="G3607" t="str">
        <f>_xlfn.XLOOKUP(A3607,'[1]Tissue Data'!$A:$A,'[1]Tissue Data'!J:J)</f>
        <v>U</v>
      </c>
      <c r="H3607" t="str">
        <f>_xlfn.XLOOKUP(A3607,'[1]Tissue Data'!$A:$A,'[1]Tissue Data'!K:K)</f>
        <v>Whole Body</v>
      </c>
      <c r="I3607">
        <f>_xlfn.XLOOKUP(A3607,'[1]Tissue Data'!$A:$A,'[1]Tissue Data'!L:L)</f>
        <v>6.5</v>
      </c>
      <c r="J3607">
        <f>_xlfn.XLOOKUP(A3607,'[1]Tissue Data'!$A:$A,'[1]Tissue Data'!M:M)</f>
        <v>3</v>
      </c>
      <c r="K3607" t="s">
        <v>17</v>
      </c>
      <c r="L3607" t="str">
        <f>_xlfn.XLOOKUP(K3607,[2]analyte_order!$B:$B,[2]analyte_order!$C:$C)</f>
        <v>375-95-1</v>
      </c>
      <c r="M3607">
        <f>_xlfn.XLOOKUP(L3607,[2]analyte_order!$C:$C,[2]analyte_order!$E:$E)</f>
        <v>6</v>
      </c>
      <c r="N3607">
        <v>5.1100000000000003</v>
      </c>
    </row>
    <row r="3608" spans="1:14">
      <c r="A3608" t="s">
        <v>313</v>
      </c>
      <c r="B3608" t="str">
        <f>_xlfn.XLOOKUP(A3608,'[1]Tissue Data'!$A:$A,'[1]Tissue Data'!$C:$C)</f>
        <v>Spill</v>
      </c>
      <c r="C3608" s="2">
        <f>_xlfn.XLOOKUP(A3608,'[1]Tissue Data'!$A:$A,'[1]Tissue Data'!$D:$D)</f>
        <v>44314</v>
      </c>
      <c r="D3608" s="2" t="s">
        <v>131</v>
      </c>
      <c r="E3608" t="str">
        <f>_xlfn.XLOOKUP(A3608,'[1]Tissue Data'!$A:$A,'[1]Tissue Data'!$H:$H)</f>
        <v>Rhinichthys</v>
      </c>
      <c r="F3608" t="str">
        <f>_xlfn.XLOOKUP(A3608,'[1]Tissue Data'!$A:$A,'[1]Tissue Data'!$I:$I)</f>
        <v>cataractae</v>
      </c>
      <c r="G3608" t="str">
        <f>_xlfn.XLOOKUP(A3608,'[1]Tissue Data'!$A:$A,'[1]Tissue Data'!J:J)</f>
        <v>U</v>
      </c>
      <c r="H3608" t="str">
        <f>_xlfn.XLOOKUP(A3608,'[1]Tissue Data'!$A:$A,'[1]Tissue Data'!K:K)</f>
        <v>Whole Body</v>
      </c>
      <c r="I3608">
        <f>_xlfn.XLOOKUP(A3608,'[1]Tissue Data'!$A:$A,'[1]Tissue Data'!L:L)</f>
        <v>6.5</v>
      </c>
      <c r="J3608">
        <f>_xlfn.XLOOKUP(A3608,'[1]Tissue Data'!$A:$A,'[1]Tissue Data'!M:M)</f>
        <v>3</v>
      </c>
      <c r="K3608" t="s">
        <v>18</v>
      </c>
      <c r="L3608" t="str">
        <f>_xlfn.XLOOKUP(K3608,[2]analyte_order!$B:$B,[2]analyte_order!$C:$C)</f>
        <v>335-76-2</v>
      </c>
      <c r="M3608">
        <f>_xlfn.XLOOKUP(L3608,[2]analyte_order!$C:$C,[2]analyte_order!$E:$E)</f>
        <v>7</v>
      </c>
      <c r="N3608">
        <v>10</v>
      </c>
    </row>
    <row r="3609" spans="1:14">
      <c r="A3609" t="s">
        <v>313</v>
      </c>
      <c r="B3609" t="str">
        <f>_xlfn.XLOOKUP(A3609,'[1]Tissue Data'!$A:$A,'[1]Tissue Data'!$C:$C)</f>
        <v>Spill</v>
      </c>
      <c r="C3609" s="2">
        <f>_xlfn.XLOOKUP(A3609,'[1]Tissue Data'!$A:$A,'[1]Tissue Data'!$D:$D)</f>
        <v>44314</v>
      </c>
      <c r="D3609" s="2" t="s">
        <v>131</v>
      </c>
      <c r="E3609" t="str">
        <f>_xlfn.XLOOKUP(A3609,'[1]Tissue Data'!$A:$A,'[1]Tissue Data'!$H:$H)</f>
        <v>Rhinichthys</v>
      </c>
      <c r="F3609" t="str">
        <f>_xlfn.XLOOKUP(A3609,'[1]Tissue Data'!$A:$A,'[1]Tissue Data'!$I:$I)</f>
        <v>cataractae</v>
      </c>
      <c r="G3609" t="str">
        <f>_xlfn.XLOOKUP(A3609,'[1]Tissue Data'!$A:$A,'[1]Tissue Data'!J:J)</f>
        <v>U</v>
      </c>
      <c r="H3609" t="str">
        <f>_xlfn.XLOOKUP(A3609,'[1]Tissue Data'!$A:$A,'[1]Tissue Data'!K:K)</f>
        <v>Whole Body</v>
      </c>
      <c r="I3609">
        <f>_xlfn.XLOOKUP(A3609,'[1]Tissue Data'!$A:$A,'[1]Tissue Data'!L:L)</f>
        <v>6.5</v>
      </c>
      <c r="J3609">
        <f>_xlfn.XLOOKUP(A3609,'[1]Tissue Data'!$A:$A,'[1]Tissue Data'!M:M)</f>
        <v>3</v>
      </c>
      <c r="K3609" t="s">
        <v>19</v>
      </c>
      <c r="L3609" t="str">
        <f>_xlfn.XLOOKUP(K3609,[2]analyte_order!$B:$B,[2]analyte_order!$C:$C)</f>
        <v>2058-94-8</v>
      </c>
      <c r="M3609">
        <f>_xlfn.XLOOKUP(L3609,[2]analyte_order!$C:$C,[2]analyte_order!$E:$E)</f>
        <v>8</v>
      </c>
      <c r="N3609">
        <v>7.44</v>
      </c>
    </row>
    <row r="3610" spans="1:14">
      <c r="A3610" t="s">
        <v>313</v>
      </c>
      <c r="B3610" t="str">
        <f>_xlfn.XLOOKUP(A3610,'[1]Tissue Data'!$A:$A,'[1]Tissue Data'!$C:$C)</f>
        <v>Spill</v>
      </c>
      <c r="C3610" s="2">
        <f>_xlfn.XLOOKUP(A3610,'[1]Tissue Data'!$A:$A,'[1]Tissue Data'!$D:$D)</f>
        <v>44314</v>
      </c>
      <c r="D3610" s="2" t="s">
        <v>131</v>
      </c>
      <c r="E3610" t="str">
        <f>_xlfn.XLOOKUP(A3610,'[1]Tissue Data'!$A:$A,'[1]Tissue Data'!$H:$H)</f>
        <v>Rhinichthys</v>
      </c>
      <c r="F3610" t="str">
        <f>_xlfn.XLOOKUP(A3610,'[1]Tissue Data'!$A:$A,'[1]Tissue Data'!$I:$I)</f>
        <v>cataractae</v>
      </c>
      <c r="G3610" t="str">
        <f>_xlfn.XLOOKUP(A3610,'[1]Tissue Data'!$A:$A,'[1]Tissue Data'!J:J)</f>
        <v>U</v>
      </c>
      <c r="H3610" t="str">
        <f>_xlfn.XLOOKUP(A3610,'[1]Tissue Data'!$A:$A,'[1]Tissue Data'!K:K)</f>
        <v>Whole Body</v>
      </c>
      <c r="I3610">
        <f>_xlfn.XLOOKUP(A3610,'[1]Tissue Data'!$A:$A,'[1]Tissue Data'!L:L)</f>
        <v>6.5</v>
      </c>
      <c r="J3610">
        <f>_xlfn.XLOOKUP(A3610,'[1]Tissue Data'!$A:$A,'[1]Tissue Data'!M:M)</f>
        <v>3</v>
      </c>
      <c r="K3610" t="s">
        <v>20</v>
      </c>
      <c r="L3610" t="str">
        <f>_xlfn.XLOOKUP(K3610,[2]analyte_order!$B:$B,[2]analyte_order!$C:$C)</f>
        <v>307-55-1</v>
      </c>
      <c r="M3610">
        <f>_xlfn.XLOOKUP(L3610,[2]analyte_order!$C:$C,[2]analyte_order!$E:$E)</f>
        <v>9</v>
      </c>
      <c r="N3610">
        <v>6.15</v>
      </c>
    </row>
    <row r="3611" spans="1:14">
      <c r="A3611" t="s">
        <v>313</v>
      </c>
      <c r="B3611" t="str">
        <f>_xlfn.XLOOKUP(A3611,'[1]Tissue Data'!$A:$A,'[1]Tissue Data'!$C:$C)</f>
        <v>Spill</v>
      </c>
      <c r="C3611" s="2">
        <f>_xlfn.XLOOKUP(A3611,'[1]Tissue Data'!$A:$A,'[1]Tissue Data'!$D:$D)</f>
        <v>44314</v>
      </c>
      <c r="D3611" s="2" t="s">
        <v>131</v>
      </c>
      <c r="E3611" t="str">
        <f>_xlfn.XLOOKUP(A3611,'[1]Tissue Data'!$A:$A,'[1]Tissue Data'!$H:$H)</f>
        <v>Rhinichthys</v>
      </c>
      <c r="F3611" t="str">
        <f>_xlfn.XLOOKUP(A3611,'[1]Tissue Data'!$A:$A,'[1]Tissue Data'!$I:$I)</f>
        <v>cataractae</v>
      </c>
      <c r="G3611" t="str">
        <f>_xlfn.XLOOKUP(A3611,'[1]Tissue Data'!$A:$A,'[1]Tissue Data'!J:J)</f>
        <v>U</v>
      </c>
      <c r="H3611" t="str">
        <f>_xlfn.XLOOKUP(A3611,'[1]Tissue Data'!$A:$A,'[1]Tissue Data'!K:K)</f>
        <v>Whole Body</v>
      </c>
      <c r="I3611">
        <f>_xlfn.XLOOKUP(A3611,'[1]Tissue Data'!$A:$A,'[1]Tissue Data'!L:L)</f>
        <v>6.5</v>
      </c>
      <c r="J3611">
        <f>_xlfn.XLOOKUP(A3611,'[1]Tissue Data'!$A:$A,'[1]Tissue Data'!M:M)</f>
        <v>3</v>
      </c>
      <c r="K3611" t="s">
        <v>21</v>
      </c>
      <c r="L3611" t="str">
        <f>_xlfn.XLOOKUP(K3611,[2]analyte_order!$B:$B,[2]analyte_order!$C:$C)</f>
        <v>72629-94-8</v>
      </c>
      <c r="M3611">
        <f>_xlfn.XLOOKUP(L3611,[2]analyte_order!$C:$C,[2]analyte_order!$E:$E)</f>
        <v>10</v>
      </c>
      <c r="N3611">
        <v>1.39</v>
      </c>
    </row>
    <row r="3612" spans="1:14">
      <c r="A3612" t="s">
        <v>313</v>
      </c>
      <c r="B3612" t="str">
        <f>_xlfn.XLOOKUP(A3612,'[1]Tissue Data'!$A:$A,'[1]Tissue Data'!$C:$C)</f>
        <v>Spill</v>
      </c>
      <c r="C3612" s="2">
        <f>_xlfn.XLOOKUP(A3612,'[1]Tissue Data'!$A:$A,'[1]Tissue Data'!$D:$D)</f>
        <v>44314</v>
      </c>
      <c r="D3612" s="2" t="s">
        <v>131</v>
      </c>
      <c r="E3612" t="str">
        <f>_xlfn.XLOOKUP(A3612,'[1]Tissue Data'!$A:$A,'[1]Tissue Data'!$H:$H)</f>
        <v>Rhinichthys</v>
      </c>
      <c r="F3612" t="str">
        <f>_xlfn.XLOOKUP(A3612,'[1]Tissue Data'!$A:$A,'[1]Tissue Data'!$I:$I)</f>
        <v>cataractae</v>
      </c>
      <c r="G3612" t="str">
        <f>_xlfn.XLOOKUP(A3612,'[1]Tissue Data'!$A:$A,'[1]Tissue Data'!J:J)</f>
        <v>U</v>
      </c>
      <c r="H3612" t="str">
        <f>_xlfn.XLOOKUP(A3612,'[1]Tissue Data'!$A:$A,'[1]Tissue Data'!K:K)</f>
        <v>Whole Body</v>
      </c>
      <c r="I3612">
        <f>_xlfn.XLOOKUP(A3612,'[1]Tissue Data'!$A:$A,'[1]Tissue Data'!L:L)</f>
        <v>6.5</v>
      </c>
      <c r="J3612">
        <f>_xlfn.XLOOKUP(A3612,'[1]Tissue Data'!$A:$A,'[1]Tissue Data'!M:M)</f>
        <v>3</v>
      </c>
      <c r="K3612" t="s">
        <v>22</v>
      </c>
      <c r="L3612" t="str">
        <f>_xlfn.XLOOKUP(K3612,[2]analyte_order!$B:$B,[2]analyte_order!$C:$C)</f>
        <v>376-06-7</v>
      </c>
      <c r="M3612">
        <f>_xlfn.XLOOKUP(L3612,[2]analyte_order!$C:$C,[2]analyte_order!$E:$E)</f>
        <v>11</v>
      </c>
      <c r="N3612">
        <v>1.69</v>
      </c>
    </row>
    <row r="3613" spans="1:14">
      <c r="A3613" t="s">
        <v>313</v>
      </c>
      <c r="B3613" t="str">
        <f>_xlfn.XLOOKUP(A3613,'[1]Tissue Data'!$A:$A,'[1]Tissue Data'!$C:$C)</f>
        <v>Spill</v>
      </c>
      <c r="C3613" s="2">
        <f>_xlfn.XLOOKUP(A3613,'[1]Tissue Data'!$A:$A,'[1]Tissue Data'!$D:$D)</f>
        <v>44314</v>
      </c>
      <c r="D3613" s="2" t="s">
        <v>131</v>
      </c>
      <c r="E3613" t="str">
        <f>_xlfn.XLOOKUP(A3613,'[1]Tissue Data'!$A:$A,'[1]Tissue Data'!$H:$H)</f>
        <v>Rhinichthys</v>
      </c>
      <c r="F3613" t="str">
        <f>_xlfn.XLOOKUP(A3613,'[1]Tissue Data'!$A:$A,'[1]Tissue Data'!$I:$I)</f>
        <v>cataractae</v>
      </c>
      <c r="G3613" t="str">
        <f>_xlfn.XLOOKUP(A3613,'[1]Tissue Data'!$A:$A,'[1]Tissue Data'!J:J)</f>
        <v>U</v>
      </c>
      <c r="H3613" t="str">
        <f>_xlfn.XLOOKUP(A3613,'[1]Tissue Data'!$A:$A,'[1]Tissue Data'!K:K)</f>
        <v>Whole Body</v>
      </c>
      <c r="I3613">
        <f>_xlfn.XLOOKUP(A3613,'[1]Tissue Data'!$A:$A,'[1]Tissue Data'!L:L)</f>
        <v>6.5</v>
      </c>
      <c r="J3613">
        <f>_xlfn.XLOOKUP(A3613,'[1]Tissue Data'!$A:$A,'[1]Tissue Data'!M:M)</f>
        <v>3</v>
      </c>
      <c r="K3613" t="s">
        <v>23</v>
      </c>
      <c r="L3613" t="str">
        <f>_xlfn.XLOOKUP(K3613,[2]analyte_order!$B:$B,[2]analyte_order!$C:$C)</f>
        <v>67905-19-5</v>
      </c>
      <c r="M3613">
        <f>_xlfn.XLOOKUP(L3613,[2]analyte_order!$C:$C,[2]analyte_order!$E:$E)</f>
        <v>12</v>
      </c>
      <c r="N3613">
        <v>7.1999999999999995E-2</v>
      </c>
    </row>
    <row r="3614" spans="1:14">
      <c r="A3614" t="s">
        <v>313</v>
      </c>
      <c r="B3614" t="str">
        <f>_xlfn.XLOOKUP(A3614,'[1]Tissue Data'!$A:$A,'[1]Tissue Data'!$C:$C)</f>
        <v>Spill</v>
      </c>
      <c r="C3614" s="2">
        <f>_xlfn.XLOOKUP(A3614,'[1]Tissue Data'!$A:$A,'[1]Tissue Data'!$D:$D)</f>
        <v>44314</v>
      </c>
      <c r="D3614" s="2" t="s">
        <v>131</v>
      </c>
      <c r="E3614" t="str">
        <f>_xlfn.XLOOKUP(A3614,'[1]Tissue Data'!$A:$A,'[1]Tissue Data'!$H:$H)</f>
        <v>Rhinichthys</v>
      </c>
      <c r="F3614" t="str">
        <f>_xlfn.XLOOKUP(A3614,'[1]Tissue Data'!$A:$A,'[1]Tissue Data'!$I:$I)</f>
        <v>cataractae</v>
      </c>
      <c r="G3614" t="str">
        <f>_xlfn.XLOOKUP(A3614,'[1]Tissue Data'!$A:$A,'[1]Tissue Data'!J:J)</f>
        <v>U</v>
      </c>
      <c r="H3614" t="str">
        <f>_xlfn.XLOOKUP(A3614,'[1]Tissue Data'!$A:$A,'[1]Tissue Data'!K:K)</f>
        <v>Whole Body</v>
      </c>
      <c r="I3614">
        <f>_xlfn.XLOOKUP(A3614,'[1]Tissue Data'!$A:$A,'[1]Tissue Data'!L:L)</f>
        <v>6.5</v>
      </c>
      <c r="J3614">
        <f>_xlfn.XLOOKUP(A3614,'[1]Tissue Data'!$A:$A,'[1]Tissue Data'!M:M)</f>
        <v>3</v>
      </c>
      <c r="K3614" t="s">
        <v>24</v>
      </c>
      <c r="L3614" t="str">
        <f>_xlfn.XLOOKUP(K3614,[2]analyte_order!$B:$B,[2]analyte_order!$C:$C)</f>
        <v>423-41-6</v>
      </c>
      <c r="M3614">
        <f>_xlfn.XLOOKUP(L3614,[2]analyte_order!$C:$C,[2]analyte_order!$E:$E)</f>
        <v>53</v>
      </c>
      <c r="N3614">
        <v>4.6199999999999998E-2</v>
      </c>
    </row>
    <row r="3615" spans="1:14">
      <c r="A3615" t="s">
        <v>313</v>
      </c>
      <c r="B3615" t="str">
        <f>_xlfn.XLOOKUP(A3615,'[1]Tissue Data'!$A:$A,'[1]Tissue Data'!$C:$C)</f>
        <v>Spill</v>
      </c>
      <c r="C3615" s="2">
        <f>_xlfn.XLOOKUP(A3615,'[1]Tissue Data'!$A:$A,'[1]Tissue Data'!$D:$D)</f>
        <v>44314</v>
      </c>
      <c r="D3615" s="2" t="s">
        <v>131</v>
      </c>
      <c r="E3615" t="str">
        <f>_xlfn.XLOOKUP(A3615,'[1]Tissue Data'!$A:$A,'[1]Tissue Data'!$H:$H)</f>
        <v>Rhinichthys</v>
      </c>
      <c r="F3615" t="str">
        <f>_xlfn.XLOOKUP(A3615,'[1]Tissue Data'!$A:$A,'[1]Tissue Data'!$I:$I)</f>
        <v>cataractae</v>
      </c>
      <c r="G3615" t="str">
        <f>_xlfn.XLOOKUP(A3615,'[1]Tissue Data'!$A:$A,'[1]Tissue Data'!J:J)</f>
        <v>U</v>
      </c>
      <c r="H3615" t="str">
        <f>_xlfn.XLOOKUP(A3615,'[1]Tissue Data'!$A:$A,'[1]Tissue Data'!K:K)</f>
        <v>Whole Body</v>
      </c>
      <c r="I3615">
        <f>_xlfn.XLOOKUP(A3615,'[1]Tissue Data'!$A:$A,'[1]Tissue Data'!L:L)</f>
        <v>6.5</v>
      </c>
      <c r="J3615">
        <f>_xlfn.XLOOKUP(A3615,'[1]Tissue Data'!$A:$A,'[1]Tissue Data'!M:M)</f>
        <v>3</v>
      </c>
      <c r="K3615" t="s">
        <v>25</v>
      </c>
      <c r="L3615" t="str">
        <f>_xlfn.XLOOKUP(K3615,[2]analyte_order!$B:$B,[2]analyte_order!$C:$C)</f>
        <v>375-73-5</v>
      </c>
      <c r="M3615">
        <f>_xlfn.XLOOKUP(L3615,[2]analyte_order!$C:$C,[2]analyte_order!$E:$E)</f>
        <v>14</v>
      </c>
      <c r="N3615">
        <v>0.13600000000000001</v>
      </c>
    </row>
    <row r="3616" spans="1:14">
      <c r="A3616" t="s">
        <v>313</v>
      </c>
      <c r="B3616" t="str">
        <f>_xlfn.XLOOKUP(A3616,'[1]Tissue Data'!$A:$A,'[1]Tissue Data'!$C:$C)</f>
        <v>Spill</v>
      </c>
      <c r="C3616" s="2">
        <f>_xlfn.XLOOKUP(A3616,'[1]Tissue Data'!$A:$A,'[1]Tissue Data'!$D:$D)</f>
        <v>44314</v>
      </c>
      <c r="D3616" s="2" t="s">
        <v>131</v>
      </c>
      <c r="E3616" t="str">
        <f>_xlfn.XLOOKUP(A3616,'[1]Tissue Data'!$A:$A,'[1]Tissue Data'!$H:$H)</f>
        <v>Rhinichthys</v>
      </c>
      <c r="F3616" t="str">
        <f>_xlfn.XLOOKUP(A3616,'[1]Tissue Data'!$A:$A,'[1]Tissue Data'!$I:$I)</f>
        <v>cataractae</v>
      </c>
      <c r="G3616" t="str">
        <f>_xlfn.XLOOKUP(A3616,'[1]Tissue Data'!$A:$A,'[1]Tissue Data'!J:J)</f>
        <v>U</v>
      </c>
      <c r="H3616" t="str">
        <f>_xlfn.XLOOKUP(A3616,'[1]Tissue Data'!$A:$A,'[1]Tissue Data'!K:K)</f>
        <v>Whole Body</v>
      </c>
      <c r="I3616">
        <f>_xlfn.XLOOKUP(A3616,'[1]Tissue Data'!$A:$A,'[1]Tissue Data'!L:L)</f>
        <v>6.5</v>
      </c>
      <c r="J3616">
        <f>_xlfn.XLOOKUP(A3616,'[1]Tissue Data'!$A:$A,'[1]Tissue Data'!M:M)</f>
        <v>3</v>
      </c>
      <c r="K3616" t="s">
        <v>26</v>
      </c>
      <c r="L3616" t="str">
        <f>_xlfn.XLOOKUP(K3616,[2]analyte_order!$B:$B,[2]analyte_order!$C:$C)</f>
        <v>2706-91-4</v>
      </c>
      <c r="M3616">
        <f>_xlfn.XLOOKUP(L3616,[2]analyte_order!$C:$C,[2]analyte_order!$E:$E)</f>
        <v>15</v>
      </c>
      <c r="N3616">
        <v>0.33200000000000002</v>
      </c>
    </row>
    <row r="3617" spans="1:14">
      <c r="A3617" t="s">
        <v>313</v>
      </c>
      <c r="B3617" t="str">
        <f>_xlfn.XLOOKUP(A3617,'[1]Tissue Data'!$A:$A,'[1]Tissue Data'!$C:$C)</f>
        <v>Spill</v>
      </c>
      <c r="C3617" s="2">
        <f>_xlfn.XLOOKUP(A3617,'[1]Tissue Data'!$A:$A,'[1]Tissue Data'!$D:$D)</f>
        <v>44314</v>
      </c>
      <c r="D3617" s="2" t="s">
        <v>131</v>
      </c>
      <c r="E3617" t="str">
        <f>_xlfn.XLOOKUP(A3617,'[1]Tissue Data'!$A:$A,'[1]Tissue Data'!$H:$H)</f>
        <v>Rhinichthys</v>
      </c>
      <c r="F3617" t="str">
        <f>_xlfn.XLOOKUP(A3617,'[1]Tissue Data'!$A:$A,'[1]Tissue Data'!$I:$I)</f>
        <v>cataractae</v>
      </c>
      <c r="G3617" t="str">
        <f>_xlfn.XLOOKUP(A3617,'[1]Tissue Data'!$A:$A,'[1]Tissue Data'!J:J)</f>
        <v>U</v>
      </c>
      <c r="H3617" t="str">
        <f>_xlfn.XLOOKUP(A3617,'[1]Tissue Data'!$A:$A,'[1]Tissue Data'!K:K)</f>
        <v>Whole Body</v>
      </c>
      <c r="I3617">
        <f>_xlfn.XLOOKUP(A3617,'[1]Tissue Data'!$A:$A,'[1]Tissue Data'!L:L)</f>
        <v>6.5</v>
      </c>
      <c r="J3617">
        <f>_xlfn.XLOOKUP(A3617,'[1]Tissue Data'!$A:$A,'[1]Tissue Data'!M:M)</f>
        <v>3</v>
      </c>
      <c r="K3617" t="s">
        <v>27</v>
      </c>
      <c r="L3617" t="str">
        <f>_xlfn.XLOOKUP(K3617,[2]analyte_order!$B:$B,[2]analyte_order!$C:$C)</f>
        <v>355-46-4</v>
      </c>
      <c r="M3617">
        <f>_xlfn.XLOOKUP(L3617,[2]analyte_order!$C:$C,[2]analyte_order!$E:$E)</f>
        <v>16</v>
      </c>
      <c r="N3617">
        <v>32.5</v>
      </c>
    </row>
    <row r="3618" spans="1:14">
      <c r="A3618" t="s">
        <v>313</v>
      </c>
      <c r="B3618" t="str">
        <f>_xlfn.XLOOKUP(A3618,'[1]Tissue Data'!$A:$A,'[1]Tissue Data'!$C:$C)</f>
        <v>Spill</v>
      </c>
      <c r="C3618" s="2">
        <f>_xlfn.XLOOKUP(A3618,'[1]Tissue Data'!$A:$A,'[1]Tissue Data'!$D:$D)</f>
        <v>44314</v>
      </c>
      <c r="D3618" s="2" t="s">
        <v>131</v>
      </c>
      <c r="E3618" t="str">
        <f>_xlfn.XLOOKUP(A3618,'[1]Tissue Data'!$A:$A,'[1]Tissue Data'!$H:$H)</f>
        <v>Rhinichthys</v>
      </c>
      <c r="F3618" t="str">
        <f>_xlfn.XLOOKUP(A3618,'[1]Tissue Data'!$A:$A,'[1]Tissue Data'!$I:$I)</f>
        <v>cataractae</v>
      </c>
      <c r="G3618" t="str">
        <f>_xlfn.XLOOKUP(A3618,'[1]Tissue Data'!$A:$A,'[1]Tissue Data'!J:J)</f>
        <v>U</v>
      </c>
      <c r="H3618" t="str">
        <f>_xlfn.XLOOKUP(A3618,'[1]Tissue Data'!$A:$A,'[1]Tissue Data'!K:K)</f>
        <v>Whole Body</v>
      </c>
      <c r="I3618">
        <f>_xlfn.XLOOKUP(A3618,'[1]Tissue Data'!$A:$A,'[1]Tissue Data'!L:L)</f>
        <v>6.5</v>
      </c>
      <c r="J3618">
        <f>_xlfn.XLOOKUP(A3618,'[1]Tissue Data'!$A:$A,'[1]Tissue Data'!M:M)</f>
        <v>3</v>
      </c>
      <c r="K3618" t="s">
        <v>28</v>
      </c>
      <c r="L3618" t="str">
        <f>_xlfn.XLOOKUP(K3618,[2]analyte_order!$B:$B,[2]analyte_order!$C:$C)</f>
        <v>375-92-8</v>
      </c>
      <c r="M3618">
        <f>_xlfn.XLOOKUP(L3618,[2]analyte_order!$C:$C,[2]analyte_order!$E:$E)</f>
        <v>17</v>
      </c>
      <c r="N3618">
        <v>6.49</v>
      </c>
    </row>
    <row r="3619" spans="1:14">
      <c r="A3619" t="s">
        <v>313</v>
      </c>
      <c r="B3619" t="str">
        <f>_xlfn.XLOOKUP(A3619,'[1]Tissue Data'!$A:$A,'[1]Tissue Data'!$C:$C)</f>
        <v>Spill</v>
      </c>
      <c r="C3619" s="2">
        <f>_xlfn.XLOOKUP(A3619,'[1]Tissue Data'!$A:$A,'[1]Tissue Data'!$D:$D)</f>
        <v>44314</v>
      </c>
      <c r="D3619" s="2" t="s">
        <v>131</v>
      </c>
      <c r="E3619" t="str">
        <f>_xlfn.XLOOKUP(A3619,'[1]Tissue Data'!$A:$A,'[1]Tissue Data'!$H:$H)</f>
        <v>Rhinichthys</v>
      </c>
      <c r="F3619" t="str">
        <f>_xlfn.XLOOKUP(A3619,'[1]Tissue Data'!$A:$A,'[1]Tissue Data'!$I:$I)</f>
        <v>cataractae</v>
      </c>
      <c r="G3619" t="str">
        <f>_xlfn.XLOOKUP(A3619,'[1]Tissue Data'!$A:$A,'[1]Tissue Data'!J:J)</f>
        <v>U</v>
      </c>
      <c r="H3619" t="str">
        <f>_xlfn.XLOOKUP(A3619,'[1]Tissue Data'!$A:$A,'[1]Tissue Data'!K:K)</f>
        <v>Whole Body</v>
      </c>
      <c r="I3619">
        <f>_xlfn.XLOOKUP(A3619,'[1]Tissue Data'!$A:$A,'[1]Tissue Data'!L:L)</f>
        <v>6.5</v>
      </c>
      <c r="J3619">
        <f>_xlfn.XLOOKUP(A3619,'[1]Tissue Data'!$A:$A,'[1]Tissue Data'!M:M)</f>
        <v>3</v>
      </c>
      <c r="K3619" t="s">
        <v>29</v>
      </c>
      <c r="L3619" t="str">
        <f>_xlfn.XLOOKUP(K3619,[2]analyte_order!$B:$B,[2]analyte_order!$C:$C)</f>
        <v>1763-23-1</v>
      </c>
      <c r="M3619">
        <f>_xlfn.XLOOKUP(L3619,[2]analyte_order!$C:$C,[2]analyte_order!$E:$E)</f>
        <v>18</v>
      </c>
      <c r="N3619">
        <v>899</v>
      </c>
    </row>
    <row r="3620" spans="1:14">
      <c r="A3620" t="s">
        <v>313</v>
      </c>
      <c r="B3620" t="str">
        <f>_xlfn.XLOOKUP(A3620,'[1]Tissue Data'!$A:$A,'[1]Tissue Data'!$C:$C)</f>
        <v>Spill</v>
      </c>
      <c r="C3620" s="2">
        <f>_xlfn.XLOOKUP(A3620,'[1]Tissue Data'!$A:$A,'[1]Tissue Data'!$D:$D)</f>
        <v>44314</v>
      </c>
      <c r="D3620" s="2" t="s">
        <v>131</v>
      </c>
      <c r="E3620" t="str">
        <f>_xlfn.XLOOKUP(A3620,'[1]Tissue Data'!$A:$A,'[1]Tissue Data'!$H:$H)</f>
        <v>Rhinichthys</v>
      </c>
      <c r="F3620" t="str">
        <f>_xlfn.XLOOKUP(A3620,'[1]Tissue Data'!$A:$A,'[1]Tissue Data'!$I:$I)</f>
        <v>cataractae</v>
      </c>
      <c r="G3620" t="str">
        <f>_xlfn.XLOOKUP(A3620,'[1]Tissue Data'!$A:$A,'[1]Tissue Data'!J:J)</f>
        <v>U</v>
      </c>
      <c r="H3620" t="str">
        <f>_xlfn.XLOOKUP(A3620,'[1]Tissue Data'!$A:$A,'[1]Tissue Data'!K:K)</f>
        <v>Whole Body</v>
      </c>
      <c r="I3620">
        <f>_xlfn.XLOOKUP(A3620,'[1]Tissue Data'!$A:$A,'[1]Tissue Data'!L:L)</f>
        <v>6.5</v>
      </c>
      <c r="J3620">
        <f>_xlfn.XLOOKUP(A3620,'[1]Tissue Data'!$A:$A,'[1]Tissue Data'!M:M)</f>
        <v>3</v>
      </c>
      <c r="K3620" t="s">
        <v>30</v>
      </c>
      <c r="L3620" t="str">
        <f>_xlfn.XLOOKUP(K3620,[2]analyte_order!$B:$B,[2]analyte_order!$C:$C)</f>
        <v>68259-12-1</v>
      </c>
      <c r="M3620">
        <f>_xlfn.XLOOKUP(L3620,[2]analyte_order!$C:$C,[2]analyte_order!$E:$E)</f>
        <v>19</v>
      </c>
      <c r="N3620">
        <v>0.75700000000000001</v>
      </c>
    </row>
    <row r="3621" spans="1:14">
      <c r="A3621" t="s">
        <v>313</v>
      </c>
      <c r="B3621" t="str">
        <f>_xlfn.XLOOKUP(A3621,'[1]Tissue Data'!$A:$A,'[1]Tissue Data'!$C:$C)</f>
        <v>Spill</v>
      </c>
      <c r="C3621" s="2">
        <f>_xlfn.XLOOKUP(A3621,'[1]Tissue Data'!$A:$A,'[1]Tissue Data'!$D:$D)</f>
        <v>44314</v>
      </c>
      <c r="D3621" s="2" t="s">
        <v>131</v>
      </c>
      <c r="E3621" t="str">
        <f>_xlfn.XLOOKUP(A3621,'[1]Tissue Data'!$A:$A,'[1]Tissue Data'!$H:$H)</f>
        <v>Rhinichthys</v>
      </c>
      <c r="F3621" t="str">
        <f>_xlfn.XLOOKUP(A3621,'[1]Tissue Data'!$A:$A,'[1]Tissue Data'!$I:$I)</f>
        <v>cataractae</v>
      </c>
      <c r="G3621" t="str">
        <f>_xlfn.XLOOKUP(A3621,'[1]Tissue Data'!$A:$A,'[1]Tissue Data'!J:J)</f>
        <v>U</v>
      </c>
      <c r="H3621" t="str">
        <f>_xlfn.XLOOKUP(A3621,'[1]Tissue Data'!$A:$A,'[1]Tissue Data'!K:K)</f>
        <v>Whole Body</v>
      </c>
      <c r="I3621">
        <f>_xlfn.XLOOKUP(A3621,'[1]Tissue Data'!$A:$A,'[1]Tissue Data'!L:L)</f>
        <v>6.5</v>
      </c>
      <c r="J3621">
        <f>_xlfn.XLOOKUP(A3621,'[1]Tissue Data'!$A:$A,'[1]Tissue Data'!M:M)</f>
        <v>3</v>
      </c>
      <c r="K3621" t="s">
        <v>31</v>
      </c>
      <c r="L3621" t="str">
        <f>_xlfn.XLOOKUP(K3621,[2]analyte_order!$B:$B,[2]analyte_order!$C:$C)</f>
        <v>335-77-3</v>
      </c>
      <c r="M3621">
        <f>_xlfn.XLOOKUP(L3621,[2]analyte_order!$C:$C,[2]analyte_order!$E:$E)</f>
        <v>20</v>
      </c>
      <c r="N3621">
        <v>0.98199999999999998</v>
      </c>
    </row>
    <row r="3622" spans="1:14">
      <c r="A3622" t="s">
        <v>313</v>
      </c>
      <c r="B3622" t="str">
        <f>_xlfn.XLOOKUP(A3622,'[1]Tissue Data'!$A:$A,'[1]Tissue Data'!$C:$C)</f>
        <v>Spill</v>
      </c>
      <c r="C3622" s="2">
        <f>_xlfn.XLOOKUP(A3622,'[1]Tissue Data'!$A:$A,'[1]Tissue Data'!$D:$D)</f>
        <v>44314</v>
      </c>
      <c r="D3622" s="2" t="s">
        <v>131</v>
      </c>
      <c r="E3622" t="str">
        <f>_xlfn.XLOOKUP(A3622,'[1]Tissue Data'!$A:$A,'[1]Tissue Data'!$H:$H)</f>
        <v>Rhinichthys</v>
      </c>
      <c r="F3622" t="str">
        <f>_xlfn.XLOOKUP(A3622,'[1]Tissue Data'!$A:$A,'[1]Tissue Data'!$I:$I)</f>
        <v>cataractae</v>
      </c>
      <c r="G3622" t="str">
        <f>_xlfn.XLOOKUP(A3622,'[1]Tissue Data'!$A:$A,'[1]Tissue Data'!J:J)</f>
        <v>U</v>
      </c>
      <c r="H3622" t="str">
        <f>_xlfn.XLOOKUP(A3622,'[1]Tissue Data'!$A:$A,'[1]Tissue Data'!K:K)</f>
        <v>Whole Body</v>
      </c>
      <c r="I3622">
        <f>_xlfn.XLOOKUP(A3622,'[1]Tissue Data'!$A:$A,'[1]Tissue Data'!L:L)</f>
        <v>6.5</v>
      </c>
      <c r="J3622">
        <f>_xlfn.XLOOKUP(A3622,'[1]Tissue Data'!$A:$A,'[1]Tissue Data'!M:M)</f>
        <v>3</v>
      </c>
      <c r="K3622" t="s">
        <v>32</v>
      </c>
      <c r="L3622" t="str">
        <f>_xlfn.XLOOKUP(K3622,[2]analyte_order!$B:$B,[2]analyte_order!$C:$C)</f>
        <v>79780-39-5</v>
      </c>
      <c r="M3622">
        <f>_xlfn.XLOOKUP(L3622,[2]analyte_order!$C:$C,[2]analyte_order!$E:$E)</f>
        <v>21</v>
      </c>
      <c r="N3622">
        <v>0.2135</v>
      </c>
    </row>
    <row r="3623" spans="1:14">
      <c r="A3623" t="s">
        <v>313</v>
      </c>
      <c r="B3623" t="str">
        <f>_xlfn.XLOOKUP(A3623,'[1]Tissue Data'!$A:$A,'[1]Tissue Data'!$C:$C)</f>
        <v>Spill</v>
      </c>
      <c r="C3623" s="2">
        <f>_xlfn.XLOOKUP(A3623,'[1]Tissue Data'!$A:$A,'[1]Tissue Data'!$D:$D)</f>
        <v>44314</v>
      </c>
      <c r="D3623" s="2" t="s">
        <v>131</v>
      </c>
      <c r="E3623" t="str">
        <f>_xlfn.XLOOKUP(A3623,'[1]Tissue Data'!$A:$A,'[1]Tissue Data'!$H:$H)</f>
        <v>Rhinichthys</v>
      </c>
      <c r="F3623" t="str">
        <f>_xlfn.XLOOKUP(A3623,'[1]Tissue Data'!$A:$A,'[1]Tissue Data'!$I:$I)</f>
        <v>cataractae</v>
      </c>
      <c r="G3623" t="str">
        <f>_xlfn.XLOOKUP(A3623,'[1]Tissue Data'!$A:$A,'[1]Tissue Data'!J:J)</f>
        <v>U</v>
      </c>
      <c r="H3623" t="str">
        <f>_xlfn.XLOOKUP(A3623,'[1]Tissue Data'!$A:$A,'[1]Tissue Data'!K:K)</f>
        <v>Whole Body</v>
      </c>
      <c r="I3623">
        <f>_xlfn.XLOOKUP(A3623,'[1]Tissue Data'!$A:$A,'[1]Tissue Data'!L:L)</f>
        <v>6.5</v>
      </c>
      <c r="J3623">
        <f>_xlfn.XLOOKUP(A3623,'[1]Tissue Data'!$A:$A,'[1]Tissue Data'!M:M)</f>
        <v>3</v>
      </c>
      <c r="K3623" t="s">
        <v>33</v>
      </c>
      <c r="L3623" t="str">
        <f>_xlfn.XLOOKUP(K3623,[2]analyte_order!$B:$B,[2]analyte_order!$C:$C)</f>
        <v>777011-38-8</v>
      </c>
      <c r="M3623">
        <f>_xlfn.XLOOKUP(L3623,[2]analyte_order!$C:$C,[2]analyte_order!$E:$E)</f>
        <v>54</v>
      </c>
      <c r="N3623">
        <v>0.39600000000000002</v>
      </c>
    </row>
    <row r="3624" spans="1:14">
      <c r="A3624" t="s">
        <v>313</v>
      </c>
      <c r="B3624" t="str">
        <f>_xlfn.XLOOKUP(A3624,'[1]Tissue Data'!$A:$A,'[1]Tissue Data'!$C:$C)</f>
        <v>Spill</v>
      </c>
      <c r="C3624" s="2">
        <f>_xlfn.XLOOKUP(A3624,'[1]Tissue Data'!$A:$A,'[1]Tissue Data'!$D:$D)</f>
        <v>44314</v>
      </c>
      <c r="D3624" s="2" t="s">
        <v>131</v>
      </c>
      <c r="E3624" t="str">
        <f>_xlfn.XLOOKUP(A3624,'[1]Tissue Data'!$A:$A,'[1]Tissue Data'!$H:$H)</f>
        <v>Rhinichthys</v>
      </c>
      <c r="F3624" t="str">
        <f>_xlfn.XLOOKUP(A3624,'[1]Tissue Data'!$A:$A,'[1]Tissue Data'!$I:$I)</f>
        <v>cataractae</v>
      </c>
      <c r="G3624" t="str">
        <f>_xlfn.XLOOKUP(A3624,'[1]Tissue Data'!$A:$A,'[1]Tissue Data'!J:J)</f>
        <v>U</v>
      </c>
      <c r="H3624" t="str">
        <f>_xlfn.XLOOKUP(A3624,'[1]Tissue Data'!$A:$A,'[1]Tissue Data'!K:K)</f>
        <v>Whole Body</v>
      </c>
      <c r="I3624">
        <f>_xlfn.XLOOKUP(A3624,'[1]Tissue Data'!$A:$A,'[1]Tissue Data'!L:L)</f>
        <v>6.5</v>
      </c>
      <c r="J3624">
        <f>_xlfn.XLOOKUP(A3624,'[1]Tissue Data'!$A:$A,'[1]Tissue Data'!M:M)</f>
        <v>3</v>
      </c>
      <c r="K3624" t="s">
        <v>34</v>
      </c>
      <c r="L3624" t="str">
        <f>_xlfn.XLOOKUP(K3624,[2]analyte_order!$B:$B,[2]analyte_order!$C:$C)</f>
        <v>646-83-3</v>
      </c>
      <c r="M3624">
        <f>_xlfn.XLOOKUP(L3624,[2]analyte_order!$C:$C,[2]analyte_order!$E:$E)</f>
        <v>55</v>
      </c>
      <c r="N3624">
        <v>0.33400000000000002</v>
      </c>
    </row>
    <row r="3625" spans="1:14">
      <c r="A3625" t="s">
        <v>313</v>
      </c>
      <c r="B3625" t="str">
        <f>_xlfn.XLOOKUP(A3625,'[1]Tissue Data'!$A:$A,'[1]Tissue Data'!$C:$C)</f>
        <v>Spill</v>
      </c>
      <c r="C3625" s="2">
        <f>_xlfn.XLOOKUP(A3625,'[1]Tissue Data'!$A:$A,'[1]Tissue Data'!$D:$D)</f>
        <v>44314</v>
      </c>
      <c r="D3625" s="2" t="s">
        <v>131</v>
      </c>
      <c r="E3625" t="str">
        <f>_xlfn.XLOOKUP(A3625,'[1]Tissue Data'!$A:$A,'[1]Tissue Data'!$H:$H)</f>
        <v>Rhinichthys</v>
      </c>
      <c r="F3625" t="str">
        <f>_xlfn.XLOOKUP(A3625,'[1]Tissue Data'!$A:$A,'[1]Tissue Data'!$I:$I)</f>
        <v>cataractae</v>
      </c>
      <c r="G3625" t="str">
        <f>_xlfn.XLOOKUP(A3625,'[1]Tissue Data'!$A:$A,'[1]Tissue Data'!J:J)</f>
        <v>U</v>
      </c>
      <c r="H3625" t="str">
        <f>_xlfn.XLOOKUP(A3625,'[1]Tissue Data'!$A:$A,'[1]Tissue Data'!K:K)</f>
        <v>Whole Body</v>
      </c>
      <c r="I3625">
        <f>_xlfn.XLOOKUP(A3625,'[1]Tissue Data'!$A:$A,'[1]Tissue Data'!L:L)</f>
        <v>6.5</v>
      </c>
      <c r="J3625">
        <f>_xlfn.XLOOKUP(A3625,'[1]Tissue Data'!$A:$A,'[1]Tissue Data'!M:M)</f>
        <v>3</v>
      </c>
      <c r="K3625" t="s">
        <v>35</v>
      </c>
      <c r="L3625" t="str">
        <f>_xlfn.XLOOKUP(K3625,[2]analyte_order!$B:$B,[2]analyte_order!$C:$C)</f>
        <v>30334-69-1</v>
      </c>
      <c r="M3625">
        <f>_xlfn.XLOOKUP(L3625,[2]analyte_order!$C:$C,[2]analyte_order!$E:$E)</f>
        <v>51</v>
      </c>
      <c r="N3625">
        <v>49.2</v>
      </c>
    </row>
    <row r="3626" spans="1:14">
      <c r="A3626" t="s">
        <v>313</v>
      </c>
      <c r="B3626" t="str">
        <f>_xlfn.XLOOKUP(A3626,'[1]Tissue Data'!$A:$A,'[1]Tissue Data'!$C:$C)</f>
        <v>Spill</v>
      </c>
      <c r="C3626" s="2">
        <f>_xlfn.XLOOKUP(A3626,'[1]Tissue Data'!$A:$A,'[1]Tissue Data'!$D:$D)</f>
        <v>44314</v>
      </c>
      <c r="D3626" s="2" t="s">
        <v>131</v>
      </c>
      <c r="E3626" t="str">
        <f>_xlfn.XLOOKUP(A3626,'[1]Tissue Data'!$A:$A,'[1]Tissue Data'!$H:$H)</f>
        <v>Rhinichthys</v>
      </c>
      <c r="F3626" t="str">
        <f>_xlfn.XLOOKUP(A3626,'[1]Tissue Data'!$A:$A,'[1]Tissue Data'!$I:$I)</f>
        <v>cataractae</v>
      </c>
      <c r="G3626" t="str">
        <f>_xlfn.XLOOKUP(A3626,'[1]Tissue Data'!$A:$A,'[1]Tissue Data'!J:J)</f>
        <v>U</v>
      </c>
      <c r="H3626" t="str">
        <f>_xlfn.XLOOKUP(A3626,'[1]Tissue Data'!$A:$A,'[1]Tissue Data'!K:K)</f>
        <v>Whole Body</v>
      </c>
      <c r="I3626">
        <f>_xlfn.XLOOKUP(A3626,'[1]Tissue Data'!$A:$A,'[1]Tissue Data'!L:L)</f>
        <v>6.5</v>
      </c>
      <c r="J3626">
        <f>_xlfn.XLOOKUP(A3626,'[1]Tissue Data'!$A:$A,'[1]Tissue Data'!M:M)</f>
        <v>3</v>
      </c>
      <c r="K3626" t="s">
        <v>36</v>
      </c>
      <c r="L3626" t="str">
        <f>_xlfn.XLOOKUP(K3626,[2]analyte_order!$B:$B,[2]analyte_order!$C:$C)</f>
        <v>41997-13-1</v>
      </c>
      <c r="M3626">
        <f>_xlfn.XLOOKUP(L3626,[2]analyte_order!$C:$C,[2]analyte_order!$E:$E)</f>
        <v>52</v>
      </c>
      <c r="N3626">
        <v>361</v>
      </c>
    </row>
    <row r="3627" spans="1:14">
      <c r="A3627" t="s">
        <v>313</v>
      </c>
      <c r="B3627" t="str">
        <f>_xlfn.XLOOKUP(A3627,'[1]Tissue Data'!$A:$A,'[1]Tissue Data'!$C:$C)</f>
        <v>Spill</v>
      </c>
      <c r="C3627" s="2">
        <f>_xlfn.XLOOKUP(A3627,'[1]Tissue Data'!$A:$A,'[1]Tissue Data'!$D:$D)</f>
        <v>44314</v>
      </c>
      <c r="D3627" s="2" t="s">
        <v>131</v>
      </c>
      <c r="E3627" t="str">
        <f>_xlfn.XLOOKUP(A3627,'[1]Tissue Data'!$A:$A,'[1]Tissue Data'!$H:$H)</f>
        <v>Rhinichthys</v>
      </c>
      <c r="F3627" t="str">
        <f>_xlfn.XLOOKUP(A3627,'[1]Tissue Data'!$A:$A,'[1]Tissue Data'!$I:$I)</f>
        <v>cataractae</v>
      </c>
      <c r="G3627" t="str">
        <f>_xlfn.XLOOKUP(A3627,'[1]Tissue Data'!$A:$A,'[1]Tissue Data'!J:J)</f>
        <v>U</v>
      </c>
      <c r="H3627" t="str">
        <f>_xlfn.XLOOKUP(A3627,'[1]Tissue Data'!$A:$A,'[1]Tissue Data'!K:K)</f>
        <v>Whole Body</v>
      </c>
      <c r="I3627">
        <f>_xlfn.XLOOKUP(A3627,'[1]Tissue Data'!$A:$A,'[1]Tissue Data'!L:L)</f>
        <v>6.5</v>
      </c>
      <c r="J3627">
        <f>_xlfn.XLOOKUP(A3627,'[1]Tissue Data'!$A:$A,'[1]Tissue Data'!M:M)</f>
        <v>3</v>
      </c>
      <c r="K3627" t="s">
        <v>37</v>
      </c>
      <c r="L3627" t="str">
        <f>_xlfn.XLOOKUP(K3627,[2]analyte_order!$B:$B,[2]analyte_order!$C:$C)</f>
        <v>754-91-6</v>
      </c>
      <c r="M3627">
        <f>_xlfn.XLOOKUP(L3627,[2]analyte_order!$C:$C,[2]analyte_order!$E:$E)</f>
        <v>28</v>
      </c>
      <c r="N3627">
        <v>28.3</v>
      </c>
    </row>
    <row r="3628" spans="1:14">
      <c r="A3628" t="s">
        <v>313</v>
      </c>
      <c r="B3628" t="str">
        <f>_xlfn.XLOOKUP(A3628,'[1]Tissue Data'!$A:$A,'[1]Tissue Data'!$C:$C)</f>
        <v>Spill</v>
      </c>
      <c r="C3628" s="2">
        <f>_xlfn.XLOOKUP(A3628,'[1]Tissue Data'!$A:$A,'[1]Tissue Data'!$D:$D)</f>
        <v>44314</v>
      </c>
      <c r="D3628" s="2" t="s">
        <v>131</v>
      </c>
      <c r="E3628" t="str">
        <f>_xlfn.XLOOKUP(A3628,'[1]Tissue Data'!$A:$A,'[1]Tissue Data'!$H:$H)</f>
        <v>Rhinichthys</v>
      </c>
      <c r="F3628" t="str">
        <f>_xlfn.XLOOKUP(A3628,'[1]Tissue Data'!$A:$A,'[1]Tissue Data'!$I:$I)</f>
        <v>cataractae</v>
      </c>
      <c r="G3628" t="str">
        <f>_xlfn.XLOOKUP(A3628,'[1]Tissue Data'!$A:$A,'[1]Tissue Data'!J:J)</f>
        <v>U</v>
      </c>
      <c r="H3628" t="str">
        <f>_xlfn.XLOOKUP(A3628,'[1]Tissue Data'!$A:$A,'[1]Tissue Data'!K:K)</f>
        <v>Whole Body</v>
      </c>
      <c r="I3628">
        <f>_xlfn.XLOOKUP(A3628,'[1]Tissue Data'!$A:$A,'[1]Tissue Data'!L:L)</f>
        <v>6.5</v>
      </c>
      <c r="J3628">
        <f>_xlfn.XLOOKUP(A3628,'[1]Tissue Data'!$A:$A,'[1]Tissue Data'!M:M)</f>
        <v>3</v>
      </c>
      <c r="K3628" t="s">
        <v>38</v>
      </c>
      <c r="L3628" t="str">
        <f>_xlfn.XLOOKUP(K3628,[2]analyte_order!$B:$B,[2]analyte_order!$C:$C)</f>
        <v>31506-32-8</v>
      </c>
      <c r="M3628">
        <f>_xlfn.XLOOKUP(L3628,[2]analyte_order!$C:$C,[2]analyte_order!$E:$E)</f>
        <v>30</v>
      </c>
      <c r="N3628">
        <v>4.6649999999999997E-2</v>
      </c>
    </row>
    <row r="3629" spans="1:14">
      <c r="A3629" t="s">
        <v>313</v>
      </c>
      <c r="B3629" t="str">
        <f>_xlfn.XLOOKUP(A3629,'[1]Tissue Data'!$A:$A,'[1]Tissue Data'!$C:$C)</f>
        <v>Spill</v>
      </c>
      <c r="C3629" s="2">
        <f>_xlfn.XLOOKUP(A3629,'[1]Tissue Data'!$A:$A,'[1]Tissue Data'!$D:$D)</f>
        <v>44314</v>
      </c>
      <c r="D3629" s="2" t="s">
        <v>131</v>
      </c>
      <c r="E3629" t="str">
        <f>_xlfn.XLOOKUP(A3629,'[1]Tissue Data'!$A:$A,'[1]Tissue Data'!$H:$H)</f>
        <v>Rhinichthys</v>
      </c>
      <c r="F3629" t="str">
        <f>_xlfn.XLOOKUP(A3629,'[1]Tissue Data'!$A:$A,'[1]Tissue Data'!$I:$I)</f>
        <v>cataractae</v>
      </c>
      <c r="G3629" t="str">
        <f>_xlfn.XLOOKUP(A3629,'[1]Tissue Data'!$A:$A,'[1]Tissue Data'!J:J)</f>
        <v>U</v>
      </c>
      <c r="H3629" t="str">
        <f>_xlfn.XLOOKUP(A3629,'[1]Tissue Data'!$A:$A,'[1]Tissue Data'!K:K)</f>
        <v>Whole Body</v>
      </c>
      <c r="I3629">
        <f>_xlfn.XLOOKUP(A3629,'[1]Tissue Data'!$A:$A,'[1]Tissue Data'!L:L)</f>
        <v>6.5</v>
      </c>
      <c r="J3629">
        <f>_xlfn.XLOOKUP(A3629,'[1]Tissue Data'!$A:$A,'[1]Tissue Data'!M:M)</f>
        <v>3</v>
      </c>
      <c r="K3629" t="s">
        <v>39</v>
      </c>
      <c r="L3629" t="str">
        <f>_xlfn.XLOOKUP(K3629,[2]analyte_order!$B:$B,[2]analyte_order!$C:$C)</f>
        <v>4151-50-2</v>
      </c>
      <c r="M3629">
        <f>_xlfn.XLOOKUP(L3629,[2]analyte_order!$C:$C,[2]analyte_order!$E:$E)</f>
        <v>31</v>
      </c>
      <c r="N3629">
        <v>7.0499999999999993E-2</v>
      </c>
    </row>
    <row r="3630" spans="1:14">
      <c r="A3630" t="s">
        <v>313</v>
      </c>
      <c r="B3630" t="str">
        <f>_xlfn.XLOOKUP(A3630,'[1]Tissue Data'!$A:$A,'[1]Tissue Data'!$C:$C)</f>
        <v>Spill</v>
      </c>
      <c r="C3630" s="2">
        <f>_xlfn.XLOOKUP(A3630,'[1]Tissue Data'!$A:$A,'[1]Tissue Data'!$D:$D)</f>
        <v>44314</v>
      </c>
      <c r="D3630" s="2" t="s">
        <v>131</v>
      </c>
      <c r="E3630" t="str">
        <f>_xlfn.XLOOKUP(A3630,'[1]Tissue Data'!$A:$A,'[1]Tissue Data'!$H:$H)</f>
        <v>Rhinichthys</v>
      </c>
      <c r="F3630" t="str">
        <f>_xlfn.XLOOKUP(A3630,'[1]Tissue Data'!$A:$A,'[1]Tissue Data'!$I:$I)</f>
        <v>cataractae</v>
      </c>
      <c r="G3630" t="str">
        <f>_xlfn.XLOOKUP(A3630,'[1]Tissue Data'!$A:$A,'[1]Tissue Data'!J:J)</f>
        <v>U</v>
      </c>
      <c r="H3630" t="str">
        <f>_xlfn.XLOOKUP(A3630,'[1]Tissue Data'!$A:$A,'[1]Tissue Data'!K:K)</f>
        <v>Whole Body</v>
      </c>
      <c r="I3630">
        <f>_xlfn.XLOOKUP(A3630,'[1]Tissue Data'!$A:$A,'[1]Tissue Data'!L:L)</f>
        <v>6.5</v>
      </c>
      <c r="J3630">
        <f>_xlfn.XLOOKUP(A3630,'[1]Tissue Data'!$A:$A,'[1]Tissue Data'!M:M)</f>
        <v>3</v>
      </c>
      <c r="K3630" t="s">
        <v>40</v>
      </c>
      <c r="L3630" t="str">
        <f>_xlfn.XLOOKUP(K3630,[2]analyte_order!$B:$B,[2]analyte_order!$C:$C)</f>
        <v>2806-24-8</v>
      </c>
      <c r="M3630">
        <f>_xlfn.XLOOKUP(L3630,[2]analyte_order!$C:$C,[2]analyte_order!$E:$E)</f>
        <v>29</v>
      </c>
      <c r="N3630">
        <v>0.1575</v>
      </c>
    </row>
    <row r="3631" spans="1:14">
      <c r="A3631" t="s">
        <v>313</v>
      </c>
      <c r="B3631" t="str">
        <f>_xlfn.XLOOKUP(A3631,'[1]Tissue Data'!$A:$A,'[1]Tissue Data'!$C:$C)</f>
        <v>Spill</v>
      </c>
      <c r="C3631" s="2">
        <f>_xlfn.XLOOKUP(A3631,'[1]Tissue Data'!$A:$A,'[1]Tissue Data'!$D:$D)</f>
        <v>44314</v>
      </c>
      <c r="D3631" s="2" t="s">
        <v>131</v>
      </c>
      <c r="E3631" t="str">
        <f>_xlfn.XLOOKUP(A3631,'[1]Tissue Data'!$A:$A,'[1]Tissue Data'!$H:$H)</f>
        <v>Rhinichthys</v>
      </c>
      <c r="F3631" t="str">
        <f>_xlfn.XLOOKUP(A3631,'[1]Tissue Data'!$A:$A,'[1]Tissue Data'!$I:$I)</f>
        <v>cataractae</v>
      </c>
      <c r="G3631" t="str">
        <f>_xlfn.XLOOKUP(A3631,'[1]Tissue Data'!$A:$A,'[1]Tissue Data'!J:J)</f>
        <v>U</v>
      </c>
      <c r="H3631" t="str">
        <f>_xlfn.XLOOKUP(A3631,'[1]Tissue Data'!$A:$A,'[1]Tissue Data'!K:K)</f>
        <v>Whole Body</v>
      </c>
      <c r="I3631">
        <f>_xlfn.XLOOKUP(A3631,'[1]Tissue Data'!$A:$A,'[1]Tissue Data'!L:L)</f>
        <v>6.5</v>
      </c>
      <c r="J3631">
        <f>_xlfn.XLOOKUP(A3631,'[1]Tissue Data'!$A:$A,'[1]Tissue Data'!M:M)</f>
        <v>3</v>
      </c>
      <c r="K3631" t="s">
        <v>41</v>
      </c>
      <c r="L3631" t="str">
        <f>_xlfn.XLOOKUP(K3631,[2]analyte_order!$B:$B,[2]analyte_order!$C:$C)</f>
        <v>2355-31-9</v>
      </c>
      <c r="M3631">
        <f>_xlfn.XLOOKUP(L3631,[2]analyte_order!$C:$C,[2]analyte_order!$E:$E)</f>
        <v>26</v>
      </c>
      <c r="N3631">
        <v>0.20100000000000001</v>
      </c>
    </row>
    <row r="3632" spans="1:14">
      <c r="A3632" t="s">
        <v>313</v>
      </c>
      <c r="B3632" t="str">
        <f>_xlfn.XLOOKUP(A3632,'[1]Tissue Data'!$A:$A,'[1]Tissue Data'!$C:$C)</f>
        <v>Spill</v>
      </c>
      <c r="C3632" s="2">
        <f>_xlfn.XLOOKUP(A3632,'[1]Tissue Data'!$A:$A,'[1]Tissue Data'!$D:$D)</f>
        <v>44314</v>
      </c>
      <c r="D3632" s="2" t="s">
        <v>131</v>
      </c>
      <c r="E3632" t="str">
        <f>_xlfn.XLOOKUP(A3632,'[1]Tissue Data'!$A:$A,'[1]Tissue Data'!$H:$H)</f>
        <v>Rhinichthys</v>
      </c>
      <c r="F3632" t="str">
        <f>_xlfn.XLOOKUP(A3632,'[1]Tissue Data'!$A:$A,'[1]Tissue Data'!$I:$I)</f>
        <v>cataractae</v>
      </c>
      <c r="G3632" t="str">
        <f>_xlfn.XLOOKUP(A3632,'[1]Tissue Data'!$A:$A,'[1]Tissue Data'!J:J)</f>
        <v>U</v>
      </c>
      <c r="H3632" t="str">
        <f>_xlfn.XLOOKUP(A3632,'[1]Tissue Data'!$A:$A,'[1]Tissue Data'!K:K)</f>
        <v>Whole Body</v>
      </c>
      <c r="I3632">
        <f>_xlfn.XLOOKUP(A3632,'[1]Tissue Data'!$A:$A,'[1]Tissue Data'!L:L)</f>
        <v>6.5</v>
      </c>
      <c r="J3632">
        <f>_xlfn.XLOOKUP(A3632,'[1]Tissue Data'!$A:$A,'[1]Tissue Data'!M:M)</f>
        <v>3</v>
      </c>
      <c r="K3632" t="s">
        <v>42</v>
      </c>
      <c r="L3632" t="str">
        <f>_xlfn.XLOOKUP(K3632,[2]analyte_order!$B:$B,[2]analyte_order!$C:$C)</f>
        <v>2991-50-6</v>
      </c>
      <c r="M3632">
        <f>_xlfn.XLOOKUP(L3632,[2]analyte_order!$C:$C,[2]analyte_order!$E:$E)</f>
        <v>27</v>
      </c>
      <c r="N3632">
        <v>5.2499999999999998E-2</v>
      </c>
    </row>
    <row r="3633" spans="1:14">
      <c r="A3633" t="s">
        <v>313</v>
      </c>
      <c r="B3633" t="str">
        <f>_xlfn.XLOOKUP(A3633,'[1]Tissue Data'!$A:$A,'[1]Tissue Data'!$C:$C)</f>
        <v>Spill</v>
      </c>
      <c r="C3633" s="2">
        <f>_xlfn.XLOOKUP(A3633,'[1]Tissue Data'!$A:$A,'[1]Tissue Data'!$D:$D)</f>
        <v>44314</v>
      </c>
      <c r="D3633" s="2" t="s">
        <v>131</v>
      </c>
      <c r="E3633" t="str">
        <f>_xlfn.XLOOKUP(A3633,'[1]Tissue Data'!$A:$A,'[1]Tissue Data'!$H:$H)</f>
        <v>Rhinichthys</v>
      </c>
      <c r="F3633" t="str">
        <f>_xlfn.XLOOKUP(A3633,'[1]Tissue Data'!$A:$A,'[1]Tissue Data'!$I:$I)</f>
        <v>cataractae</v>
      </c>
      <c r="G3633" t="str">
        <f>_xlfn.XLOOKUP(A3633,'[1]Tissue Data'!$A:$A,'[1]Tissue Data'!J:J)</f>
        <v>U</v>
      </c>
      <c r="H3633" t="str">
        <f>_xlfn.XLOOKUP(A3633,'[1]Tissue Data'!$A:$A,'[1]Tissue Data'!K:K)</f>
        <v>Whole Body</v>
      </c>
      <c r="I3633">
        <f>_xlfn.XLOOKUP(A3633,'[1]Tissue Data'!$A:$A,'[1]Tissue Data'!L:L)</f>
        <v>6.5</v>
      </c>
      <c r="J3633">
        <f>_xlfn.XLOOKUP(A3633,'[1]Tissue Data'!$A:$A,'[1]Tissue Data'!M:M)</f>
        <v>3</v>
      </c>
      <c r="K3633" t="s">
        <v>43</v>
      </c>
      <c r="L3633" t="str">
        <f>_xlfn.XLOOKUP(K3633,[2]analyte_order!$B:$B,[2]analyte_order!$C:$C)</f>
        <v>757124-72-4</v>
      </c>
      <c r="M3633">
        <f>_xlfn.XLOOKUP(L3633,[2]analyte_order!$C:$C,[2]analyte_order!$E:$E)</f>
        <v>22</v>
      </c>
      <c r="N3633">
        <v>4.9700000000000001E-2</v>
      </c>
    </row>
    <row r="3634" spans="1:14">
      <c r="A3634" t="s">
        <v>313</v>
      </c>
      <c r="B3634" t="str">
        <f>_xlfn.XLOOKUP(A3634,'[1]Tissue Data'!$A:$A,'[1]Tissue Data'!$C:$C)</f>
        <v>Spill</v>
      </c>
      <c r="C3634" s="2">
        <f>_xlfn.XLOOKUP(A3634,'[1]Tissue Data'!$A:$A,'[1]Tissue Data'!$D:$D)</f>
        <v>44314</v>
      </c>
      <c r="D3634" s="2" t="s">
        <v>131</v>
      </c>
      <c r="E3634" t="str">
        <f>_xlfn.XLOOKUP(A3634,'[1]Tissue Data'!$A:$A,'[1]Tissue Data'!$H:$H)</f>
        <v>Rhinichthys</v>
      </c>
      <c r="F3634" t="str">
        <f>_xlfn.XLOOKUP(A3634,'[1]Tissue Data'!$A:$A,'[1]Tissue Data'!$I:$I)</f>
        <v>cataractae</v>
      </c>
      <c r="G3634" t="str">
        <f>_xlfn.XLOOKUP(A3634,'[1]Tissue Data'!$A:$A,'[1]Tissue Data'!J:J)</f>
        <v>U</v>
      </c>
      <c r="H3634" t="str">
        <f>_xlfn.XLOOKUP(A3634,'[1]Tissue Data'!$A:$A,'[1]Tissue Data'!K:K)</f>
        <v>Whole Body</v>
      </c>
      <c r="I3634">
        <f>_xlfn.XLOOKUP(A3634,'[1]Tissue Data'!$A:$A,'[1]Tissue Data'!L:L)</f>
        <v>6.5</v>
      </c>
      <c r="J3634">
        <f>_xlfn.XLOOKUP(A3634,'[1]Tissue Data'!$A:$A,'[1]Tissue Data'!M:M)</f>
        <v>3</v>
      </c>
      <c r="K3634" t="s">
        <v>44</v>
      </c>
      <c r="L3634" t="str">
        <f>_xlfn.XLOOKUP(K3634,[2]analyte_order!$B:$B,[2]analyte_order!$C:$C)</f>
        <v>27619-97-2</v>
      </c>
      <c r="M3634">
        <f>_xlfn.XLOOKUP(L3634,[2]analyte_order!$C:$C,[2]analyte_order!$E:$E)</f>
        <v>23</v>
      </c>
      <c r="N3634">
        <v>0.38</v>
      </c>
    </row>
    <row r="3635" spans="1:14">
      <c r="A3635" t="s">
        <v>313</v>
      </c>
      <c r="B3635" t="str">
        <f>_xlfn.XLOOKUP(A3635,'[1]Tissue Data'!$A:$A,'[1]Tissue Data'!$C:$C)</f>
        <v>Spill</v>
      </c>
      <c r="C3635" s="2">
        <f>_xlfn.XLOOKUP(A3635,'[1]Tissue Data'!$A:$A,'[1]Tissue Data'!$D:$D)</f>
        <v>44314</v>
      </c>
      <c r="D3635" s="2" t="s">
        <v>131</v>
      </c>
      <c r="E3635" t="str">
        <f>_xlfn.XLOOKUP(A3635,'[1]Tissue Data'!$A:$A,'[1]Tissue Data'!$H:$H)</f>
        <v>Rhinichthys</v>
      </c>
      <c r="F3635" t="str">
        <f>_xlfn.XLOOKUP(A3635,'[1]Tissue Data'!$A:$A,'[1]Tissue Data'!$I:$I)</f>
        <v>cataractae</v>
      </c>
      <c r="G3635" t="str">
        <f>_xlfn.XLOOKUP(A3635,'[1]Tissue Data'!$A:$A,'[1]Tissue Data'!J:J)</f>
        <v>U</v>
      </c>
      <c r="H3635" t="str">
        <f>_xlfn.XLOOKUP(A3635,'[1]Tissue Data'!$A:$A,'[1]Tissue Data'!K:K)</f>
        <v>Whole Body</v>
      </c>
      <c r="I3635">
        <f>_xlfn.XLOOKUP(A3635,'[1]Tissue Data'!$A:$A,'[1]Tissue Data'!L:L)</f>
        <v>6.5</v>
      </c>
      <c r="J3635">
        <f>_xlfn.XLOOKUP(A3635,'[1]Tissue Data'!$A:$A,'[1]Tissue Data'!M:M)</f>
        <v>3</v>
      </c>
      <c r="K3635" t="s">
        <v>45</v>
      </c>
      <c r="L3635" t="str">
        <f>_xlfn.XLOOKUP(K3635,[2]analyte_order!$B:$B,[2]analyte_order!$C:$C)</f>
        <v>39108-34-4</v>
      </c>
      <c r="M3635">
        <f>_xlfn.XLOOKUP(L3635,[2]analyte_order!$C:$C,[2]analyte_order!$E:$E)</f>
        <v>24</v>
      </c>
      <c r="N3635">
        <v>8.82</v>
      </c>
    </row>
    <row r="3636" spans="1:14">
      <c r="A3636" t="s">
        <v>313</v>
      </c>
      <c r="B3636" t="str">
        <f>_xlfn.XLOOKUP(A3636,'[1]Tissue Data'!$A:$A,'[1]Tissue Data'!$C:$C)</f>
        <v>Spill</v>
      </c>
      <c r="C3636" s="2">
        <f>_xlfn.XLOOKUP(A3636,'[1]Tissue Data'!$A:$A,'[1]Tissue Data'!$D:$D)</f>
        <v>44314</v>
      </c>
      <c r="D3636" s="2" t="s">
        <v>131</v>
      </c>
      <c r="E3636" t="str">
        <f>_xlfn.XLOOKUP(A3636,'[1]Tissue Data'!$A:$A,'[1]Tissue Data'!$H:$H)</f>
        <v>Rhinichthys</v>
      </c>
      <c r="F3636" t="str">
        <f>_xlfn.XLOOKUP(A3636,'[1]Tissue Data'!$A:$A,'[1]Tissue Data'!$I:$I)</f>
        <v>cataractae</v>
      </c>
      <c r="G3636" t="str">
        <f>_xlfn.XLOOKUP(A3636,'[1]Tissue Data'!$A:$A,'[1]Tissue Data'!J:J)</f>
        <v>U</v>
      </c>
      <c r="H3636" t="str">
        <f>_xlfn.XLOOKUP(A3636,'[1]Tissue Data'!$A:$A,'[1]Tissue Data'!K:K)</f>
        <v>Whole Body</v>
      </c>
      <c r="I3636">
        <f>_xlfn.XLOOKUP(A3636,'[1]Tissue Data'!$A:$A,'[1]Tissue Data'!L:L)</f>
        <v>6.5</v>
      </c>
      <c r="J3636">
        <f>_xlfn.XLOOKUP(A3636,'[1]Tissue Data'!$A:$A,'[1]Tissue Data'!M:M)</f>
        <v>3</v>
      </c>
      <c r="K3636" t="s">
        <v>46</v>
      </c>
      <c r="L3636" t="str">
        <f>_xlfn.XLOOKUP(K3636,[2]analyte_order!$B:$B,[2]analyte_order!$C:$C)</f>
        <v>120226-60-0</v>
      </c>
      <c r="M3636">
        <f>_xlfn.XLOOKUP(L3636,[2]analyte_order!$C:$C,[2]analyte_order!$E:$E)</f>
        <v>25</v>
      </c>
      <c r="N3636">
        <v>0.22700000000000001</v>
      </c>
    </row>
    <row r="3637" spans="1:14">
      <c r="A3637" t="s">
        <v>313</v>
      </c>
      <c r="B3637" t="str">
        <f>_xlfn.XLOOKUP(A3637,'[1]Tissue Data'!$A:$A,'[1]Tissue Data'!$C:$C)</f>
        <v>Spill</v>
      </c>
      <c r="C3637" s="2">
        <f>_xlfn.XLOOKUP(A3637,'[1]Tissue Data'!$A:$A,'[1]Tissue Data'!$D:$D)</f>
        <v>44314</v>
      </c>
      <c r="D3637" s="2" t="s">
        <v>131</v>
      </c>
      <c r="E3637" t="str">
        <f>_xlfn.XLOOKUP(A3637,'[1]Tissue Data'!$A:$A,'[1]Tissue Data'!$H:$H)</f>
        <v>Rhinichthys</v>
      </c>
      <c r="F3637" t="str">
        <f>_xlfn.XLOOKUP(A3637,'[1]Tissue Data'!$A:$A,'[1]Tissue Data'!$I:$I)</f>
        <v>cataractae</v>
      </c>
      <c r="G3637" t="str">
        <f>_xlfn.XLOOKUP(A3637,'[1]Tissue Data'!$A:$A,'[1]Tissue Data'!J:J)</f>
        <v>U</v>
      </c>
      <c r="H3637" t="str">
        <f>_xlfn.XLOOKUP(A3637,'[1]Tissue Data'!$A:$A,'[1]Tissue Data'!K:K)</f>
        <v>Whole Body</v>
      </c>
      <c r="I3637">
        <f>_xlfn.XLOOKUP(A3637,'[1]Tissue Data'!$A:$A,'[1]Tissue Data'!L:L)</f>
        <v>6.5</v>
      </c>
      <c r="J3637">
        <f>_xlfn.XLOOKUP(A3637,'[1]Tissue Data'!$A:$A,'[1]Tissue Data'!M:M)</f>
        <v>3</v>
      </c>
      <c r="K3637" t="s">
        <v>47</v>
      </c>
      <c r="L3637" t="str">
        <f>_xlfn.XLOOKUP(K3637,[2]analyte_order!$B:$B,[2]analyte_order!$C:$C)</f>
        <v>356-02-5</v>
      </c>
      <c r="M3637">
        <f>_xlfn.XLOOKUP(L3637,[2]analyte_order!$C:$C,[2]analyte_order!$E:$E)</f>
        <v>38</v>
      </c>
      <c r="N3637">
        <v>7.0000000000000007E-2</v>
      </c>
    </row>
    <row r="3638" spans="1:14">
      <c r="A3638" t="s">
        <v>313</v>
      </c>
      <c r="B3638" t="str">
        <f>_xlfn.XLOOKUP(A3638,'[1]Tissue Data'!$A:$A,'[1]Tissue Data'!$C:$C)</f>
        <v>Spill</v>
      </c>
      <c r="C3638" s="2">
        <f>_xlfn.XLOOKUP(A3638,'[1]Tissue Data'!$A:$A,'[1]Tissue Data'!$D:$D)</f>
        <v>44314</v>
      </c>
      <c r="D3638" s="2" t="s">
        <v>131</v>
      </c>
      <c r="E3638" t="str">
        <f>_xlfn.XLOOKUP(A3638,'[1]Tissue Data'!$A:$A,'[1]Tissue Data'!$H:$H)</f>
        <v>Rhinichthys</v>
      </c>
      <c r="F3638" t="str">
        <f>_xlfn.XLOOKUP(A3638,'[1]Tissue Data'!$A:$A,'[1]Tissue Data'!$I:$I)</f>
        <v>cataractae</v>
      </c>
      <c r="G3638" t="str">
        <f>_xlfn.XLOOKUP(A3638,'[1]Tissue Data'!$A:$A,'[1]Tissue Data'!J:J)</f>
        <v>U</v>
      </c>
      <c r="H3638" t="str">
        <f>_xlfn.XLOOKUP(A3638,'[1]Tissue Data'!$A:$A,'[1]Tissue Data'!K:K)</f>
        <v>Whole Body</v>
      </c>
      <c r="I3638">
        <f>_xlfn.XLOOKUP(A3638,'[1]Tissue Data'!$A:$A,'[1]Tissue Data'!L:L)</f>
        <v>6.5</v>
      </c>
      <c r="J3638">
        <f>_xlfn.XLOOKUP(A3638,'[1]Tissue Data'!$A:$A,'[1]Tissue Data'!M:M)</f>
        <v>3</v>
      </c>
      <c r="K3638" t="s">
        <v>48</v>
      </c>
      <c r="L3638" t="str">
        <f>_xlfn.XLOOKUP(K3638,[2]analyte_order!$B:$B,[2]analyte_order!$C:$C)</f>
        <v>914637-49-3</v>
      </c>
      <c r="M3638">
        <f>_xlfn.XLOOKUP(L3638,[2]analyte_order!$C:$C,[2]analyte_order!$E:$E)</f>
        <v>39</v>
      </c>
      <c r="N3638">
        <v>1.1100000000000001</v>
      </c>
    </row>
    <row r="3639" spans="1:14">
      <c r="A3639" t="s">
        <v>313</v>
      </c>
      <c r="B3639" t="str">
        <f>_xlfn.XLOOKUP(A3639,'[1]Tissue Data'!$A:$A,'[1]Tissue Data'!$C:$C)</f>
        <v>Spill</v>
      </c>
      <c r="C3639" s="2">
        <f>_xlfn.XLOOKUP(A3639,'[1]Tissue Data'!$A:$A,'[1]Tissue Data'!$D:$D)</f>
        <v>44314</v>
      </c>
      <c r="D3639" s="2" t="s">
        <v>131</v>
      </c>
      <c r="E3639" t="str">
        <f>_xlfn.XLOOKUP(A3639,'[1]Tissue Data'!$A:$A,'[1]Tissue Data'!$H:$H)</f>
        <v>Rhinichthys</v>
      </c>
      <c r="F3639" t="str">
        <f>_xlfn.XLOOKUP(A3639,'[1]Tissue Data'!$A:$A,'[1]Tissue Data'!$I:$I)</f>
        <v>cataractae</v>
      </c>
      <c r="G3639" t="str">
        <f>_xlfn.XLOOKUP(A3639,'[1]Tissue Data'!$A:$A,'[1]Tissue Data'!J:J)</f>
        <v>U</v>
      </c>
      <c r="H3639" t="str">
        <f>_xlfn.XLOOKUP(A3639,'[1]Tissue Data'!$A:$A,'[1]Tissue Data'!K:K)</f>
        <v>Whole Body</v>
      </c>
      <c r="I3639">
        <f>_xlfn.XLOOKUP(A3639,'[1]Tissue Data'!$A:$A,'[1]Tissue Data'!L:L)</f>
        <v>6.5</v>
      </c>
      <c r="J3639">
        <f>_xlfn.XLOOKUP(A3639,'[1]Tissue Data'!$A:$A,'[1]Tissue Data'!M:M)</f>
        <v>3</v>
      </c>
      <c r="K3639" t="s">
        <v>49</v>
      </c>
      <c r="L3639" t="str">
        <f>_xlfn.XLOOKUP(K3639,[2]analyte_order!$B:$B,[2]analyte_order!$C:$C)</f>
        <v>812-70-4</v>
      </c>
      <c r="M3639">
        <f>_xlfn.XLOOKUP(L3639,[2]analyte_order!$C:$C,[2]analyte_order!$E:$E)</f>
        <v>40</v>
      </c>
      <c r="N3639">
        <v>17.899999999999999</v>
      </c>
    </row>
    <row r="3640" spans="1:14">
      <c r="A3640" t="s">
        <v>313</v>
      </c>
      <c r="B3640" t="str">
        <f>_xlfn.XLOOKUP(A3640,'[1]Tissue Data'!$A:$A,'[1]Tissue Data'!$C:$C)</f>
        <v>Spill</v>
      </c>
      <c r="C3640" s="2">
        <f>_xlfn.XLOOKUP(A3640,'[1]Tissue Data'!$A:$A,'[1]Tissue Data'!$D:$D)</f>
        <v>44314</v>
      </c>
      <c r="D3640" s="2" t="s">
        <v>131</v>
      </c>
      <c r="E3640" t="str">
        <f>_xlfn.XLOOKUP(A3640,'[1]Tissue Data'!$A:$A,'[1]Tissue Data'!$H:$H)</f>
        <v>Rhinichthys</v>
      </c>
      <c r="F3640" t="str">
        <f>_xlfn.XLOOKUP(A3640,'[1]Tissue Data'!$A:$A,'[1]Tissue Data'!$I:$I)</f>
        <v>cataractae</v>
      </c>
      <c r="G3640" t="str">
        <f>_xlfn.XLOOKUP(A3640,'[1]Tissue Data'!$A:$A,'[1]Tissue Data'!J:J)</f>
        <v>U</v>
      </c>
      <c r="H3640" t="str">
        <f>_xlfn.XLOOKUP(A3640,'[1]Tissue Data'!$A:$A,'[1]Tissue Data'!K:K)</f>
        <v>Whole Body</v>
      </c>
      <c r="I3640">
        <f>_xlfn.XLOOKUP(A3640,'[1]Tissue Data'!$A:$A,'[1]Tissue Data'!L:L)</f>
        <v>6.5</v>
      </c>
      <c r="J3640">
        <f>_xlfn.XLOOKUP(A3640,'[1]Tissue Data'!$A:$A,'[1]Tissue Data'!M:M)</f>
        <v>3</v>
      </c>
      <c r="K3640" t="s">
        <v>50</v>
      </c>
      <c r="L3640" t="str">
        <f>_xlfn.XLOOKUP(K3640,[2]analyte_order!$B:$B,[2]analyte_order!$C:$C)</f>
        <v>53826-12-3</v>
      </c>
      <c r="M3640">
        <f>_xlfn.XLOOKUP(L3640,[2]analyte_order!$C:$C,[2]analyte_order!$E:$E)</f>
        <v>41</v>
      </c>
      <c r="N3640">
        <v>0.47699999999999998</v>
      </c>
    </row>
    <row r="3641" spans="1:14">
      <c r="A3641" t="s">
        <v>313</v>
      </c>
      <c r="B3641" t="str">
        <f>_xlfn.XLOOKUP(A3641,'[1]Tissue Data'!$A:$A,'[1]Tissue Data'!$C:$C)</f>
        <v>Spill</v>
      </c>
      <c r="C3641" s="2">
        <f>_xlfn.XLOOKUP(A3641,'[1]Tissue Data'!$A:$A,'[1]Tissue Data'!$D:$D)</f>
        <v>44314</v>
      </c>
      <c r="D3641" s="2" t="s">
        <v>131</v>
      </c>
      <c r="E3641" t="str">
        <f>_xlfn.XLOOKUP(A3641,'[1]Tissue Data'!$A:$A,'[1]Tissue Data'!$H:$H)</f>
        <v>Rhinichthys</v>
      </c>
      <c r="F3641" t="str">
        <f>_xlfn.XLOOKUP(A3641,'[1]Tissue Data'!$A:$A,'[1]Tissue Data'!$I:$I)</f>
        <v>cataractae</v>
      </c>
      <c r="G3641" t="str">
        <f>_xlfn.XLOOKUP(A3641,'[1]Tissue Data'!$A:$A,'[1]Tissue Data'!J:J)</f>
        <v>U</v>
      </c>
      <c r="H3641" t="str">
        <f>_xlfn.XLOOKUP(A3641,'[1]Tissue Data'!$A:$A,'[1]Tissue Data'!K:K)</f>
        <v>Whole Body</v>
      </c>
      <c r="I3641">
        <f>_xlfn.XLOOKUP(A3641,'[1]Tissue Data'!$A:$A,'[1]Tissue Data'!L:L)</f>
        <v>6.5</v>
      </c>
      <c r="J3641">
        <f>_xlfn.XLOOKUP(A3641,'[1]Tissue Data'!$A:$A,'[1]Tissue Data'!M:M)</f>
        <v>3</v>
      </c>
      <c r="K3641" t="s">
        <v>51</v>
      </c>
      <c r="L3641" t="str">
        <f>_xlfn.XLOOKUP(K3641,[2]analyte_order!$B:$B,[2]analyte_order!$C:$C)</f>
        <v>27854-31-5</v>
      </c>
      <c r="M3641">
        <f>_xlfn.XLOOKUP(L3641,[2]analyte_order!$C:$C,[2]analyte_order!$E:$E)</f>
        <v>42</v>
      </c>
      <c r="N3641">
        <v>2.5099999999999998</v>
      </c>
    </row>
    <row r="3642" spans="1:14">
      <c r="A3642" t="s">
        <v>313</v>
      </c>
      <c r="B3642" t="str">
        <f>_xlfn.XLOOKUP(A3642,'[1]Tissue Data'!$A:$A,'[1]Tissue Data'!$C:$C)</f>
        <v>Spill</v>
      </c>
      <c r="C3642" s="2">
        <f>_xlfn.XLOOKUP(A3642,'[1]Tissue Data'!$A:$A,'[1]Tissue Data'!$D:$D)</f>
        <v>44314</v>
      </c>
      <c r="D3642" s="2" t="s">
        <v>131</v>
      </c>
      <c r="E3642" t="str">
        <f>_xlfn.XLOOKUP(A3642,'[1]Tissue Data'!$A:$A,'[1]Tissue Data'!$H:$H)</f>
        <v>Rhinichthys</v>
      </c>
      <c r="F3642" t="str">
        <f>_xlfn.XLOOKUP(A3642,'[1]Tissue Data'!$A:$A,'[1]Tissue Data'!$I:$I)</f>
        <v>cataractae</v>
      </c>
      <c r="G3642" t="str">
        <f>_xlfn.XLOOKUP(A3642,'[1]Tissue Data'!$A:$A,'[1]Tissue Data'!J:J)</f>
        <v>U</v>
      </c>
      <c r="H3642" t="str">
        <f>_xlfn.XLOOKUP(A3642,'[1]Tissue Data'!$A:$A,'[1]Tissue Data'!K:K)</f>
        <v>Whole Body</v>
      </c>
      <c r="I3642">
        <f>_xlfn.XLOOKUP(A3642,'[1]Tissue Data'!$A:$A,'[1]Tissue Data'!L:L)</f>
        <v>6.5</v>
      </c>
      <c r="J3642">
        <f>_xlfn.XLOOKUP(A3642,'[1]Tissue Data'!$A:$A,'[1]Tissue Data'!M:M)</f>
        <v>3</v>
      </c>
      <c r="K3642" t="s">
        <v>52</v>
      </c>
      <c r="L3642" t="str">
        <f>_xlfn.XLOOKUP(K3642,[2]analyte_order!$B:$B,[2]analyte_order!$C:$C)</f>
        <v>53826-13-4</v>
      </c>
      <c r="M3642">
        <f>_xlfn.XLOOKUP(L3642,[2]analyte_order!$C:$C,[2]analyte_order!$E:$E)</f>
        <v>43</v>
      </c>
      <c r="N3642">
        <v>9.0499999999999997E-2</v>
      </c>
    </row>
    <row r="3643" spans="1:14">
      <c r="A3643" t="s">
        <v>313</v>
      </c>
      <c r="B3643" t="str">
        <f>_xlfn.XLOOKUP(A3643,'[1]Tissue Data'!$A:$A,'[1]Tissue Data'!$C:$C)</f>
        <v>Spill</v>
      </c>
      <c r="C3643" s="2">
        <f>_xlfn.XLOOKUP(A3643,'[1]Tissue Data'!$A:$A,'[1]Tissue Data'!$D:$D)</f>
        <v>44314</v>
      </c>
      <c r="D3643" s="2" t="s">
        <v>131</v>
      </c>
      <c r="E3643" t="str">
        <f>_xlfn.XLOOKUP(A3643,'[1]Tissue Data'!$A:$A,'[1]Tissue Data'!$H:$H)</f>
        <v>Rhinichthys</v>
      </c>
      <c r="F3643" t="str">
        <f>_xlfn.XLOOKUP(A3643,'[1]Tissue Data'!$A:$A,'[1]Tissue Data'!$I:$I)</f>
        <v>cataractae</v>
      </c>
      <c r="G3643" t="str">
        <f>_xlfn.XLOOKUP(A3643,'[1]Tissue Data'!$A:$A,'[1]Tissue Data'!J:J)</f>
        <v>U</v>
      </c>
      <c r="H3643" t="str">
        <f>_xlfn.XLOOKUP(A3643,'[1]Tissue Data'!$A:$A,'[1]Tissue Data'!K:K)</f>
        <v>Whole Body</v>
      </c>
      <c r="I3643">
        <f>_xlfn.XLOOKUP(A3643,'[1]Tissue Data'!$A:$A,'[1]Tissue Data'!L:L)</f>
        <v>6.5</v>
      </c>
      <c r="J3643">
        <f>_xlfn.XLOOKUP(A3643,'[1]Tissue Data'!$A:$A,'[1]Tissue Data'!M:M)</f>
        <v>3</v>
      </c>
      <c r="K3643" t="s">
        <v>53</v>
      </c>
      <c r="L3643" t="str">
        <f>_xlfn.XLOOKUP(K3643,[2]analyte_order!$B:$B,[2]analyte_order!$C:$C)</f>
        <v>161094-75-3</v>
      </c>
      <c r="M3643">
        <f>_xlfn.XLOOKUP(L3643,[2]analyte_order!$C:$C,[2]analyte_order!$E:$E)</f>
        <v>44</v>
      </c>
      <c r="N3643">
        <v>4.7600000000000003E-2</v>
      </c>
    </row>
    <row r="3644" spans="1:14">
      <c r="A3644" t="s">
        <v>313</v>
      </c>
      <c r="B3644" t="str">
        <f>_xlfn.XLOOKUP(A3644,'[1]Tissue Data'!$A:$A,'[1]Tissue Data'!$C:$C)</f>
        <v>Spill</v>
      </c>
      <c r="C3644" s="2">
        <f>_xlfn.XLOOKUP(A3644,'[1]Tissue Data'!$A:$A,'[1]Tissue Data'!$D:$D)</f>
        <v>44314</v>
      </c>
      <c r="D3644" s="2" t="s">
        <v>131</v>
      </c>
      <c r="E3644" t="str">
        <f>_xlfn.XLOOKUP(A3644,'[1]Tissue Data'!$A:$A,'[1]Tissue Data'!$H:$H)</f>
        <v>Rhinichthys</v>
      </c>
      <c r="F3644" t="str">
        <f>_xlfn.XLOOKUP(A3644,'[1]Tissue Data'!$A:$A,'[1]Tissue Data'!$I:$I)</f>
        <v>cataractae</v>
      </c>
      <c r="G3644" t="str">
        <f>_xlfn.XLOOKUP(A3644,'[1]Tissue Data'!$A:$A,'[1]Tissue Data'!J:J)</f>
        <v>U</v>
      </c>
      <c r="H3644" t="str">
        <f>_xlfn.XLOOKUP(A3644,'[1]Tissue Data'!$A:$A,'[1]Tissue Data'!K:K)</f>
        <v>Whole Body</v>
      </c>
      <c r="I3644">
        <f>_xlfn.XLOOKUP(A3644,'[1]Tissue Data'!$A:$A,'[1]Tissue Data'!L:L)</f>
        <v>6.5</v>
      </c>
      <c r="J3644">
        <f>_xlfn.XLOOKUP(A3644,'[1]Tissue Data'!$A:$A,'[1]Tissue Data'!M:M)</f>
        <v>3</v>
      </c>
      <c r="K3644" t="s">
        <v>54</v>
      </c>
      <c r="L3644" t="str">
        <f>_xlfn.XLOOKUP(K3644,[2]analyte_order!$B:$B,[2]analyte_order!$C:$C)</f>
        <v>70887-84-2</v>
      </c>
      <c r="M3644">
        <f>_xlfn.XLOOKUP(L3644,[2]analyte_order!$C:$C,[2]analyte_order!$E:$E)</f>
        <v>45</v>
      </c>
      <c r="N3644">
        <v>3.6499999999999998E-2</v>
      </c>
    </row>
    <row r="3645" spans="1:14">
      <c r="A3645" t="s">
        <v>313</v>
      </c>
      <c r="B3645" t="str">
        <f>_xlfn.XLOOKUP(A3645,'[1]Tissue Data'!$A:$A,'[1]Tissue Data'!$C:$C)</f>
        <v>Spill</v>
      </c>
      <c r="C3645" s="2">
        <f>_xlfn.XLOOKUP(A3645,'[1]Tissue Data'!$A:$A,'[1]Tissue Data'!$D:$D)</f>
        <v>44314</v>
      </c>
      <c r="D3645" s="2" t="s">
        <v>131</v>
      </c>
      <c r="E3645" t="str">
        <f>_xlfn.XLOOKUP(A3645,'[1]Tissue Data'!$A:$A,'[1]Tissue Data'!$H:$H)</f>
        <v>Rhinichthys</v>
      </c>
      <c r="F3645" t="str">
        <f>_xlfn.XLOOKUP(A3645,'[1]Tissue Data'!$A:$A,'[1]Tissue Data'!$I:$I)</f>
        <v>cataractae</v>
      </c>
      <c r="G3645" t="str">
        <f>_xlfn.XLOOKUP(A3645,'[1]Tissue Data'!$A:$A,'[1]Tissue Data'!J:J)</f>
        <v>U</v>
      </c>
      <c r="H3645" t="str">
        <f>_xlfn.XLOOKUP(A3645,'[1]Tissue Data'!$A:$A,'[1]Tissue Data'!K:K)</f>
        <v>Whole Body</v>
      </c>
      <c r="I3645">
        <f>_xlfn.XLOOKUP(A3645,'[1]Tissue Data'!$A:$A,'[1]Tissue Data'!L:L)</f>
        <v>6.5</v>
      </c>
      <c r="J3645">
        <f>_xlfn.XLOOKUP(A3645,'[1]Tissue Data'!$A:$A,'[1]Tissue Data'!M:M)</f>
        <v>3</v>
      </c>
      <c r="K3645" t="s">
        <v>55</v>
      </c>
      <c r="L3645" t="str">
        <f>_xlfn.XLOOKUP(K3645,[2]analyte_order!$B:$B,[2]analyte_order!$C:$C)</f>
        <v>919005-14-4</v>
      </c>
      <c r="M3645">
        <f>_xlfn.XLOOKUP(L3645,[2]analyte_order!$C:$C,[2]analyte_order!$E:$E)</f>
        <v>35</v>
      </c>
      <c r="N3645">
        <v>6.0499999999999998E-2</v>
      </c>
    </row>
    <row r="3646" spans="1:14">
      <c r="A3646" t="s">
        <v>313</v>
      </c>
      <c r="B3646" t="str">
        <f>_xlfn.XLOOKUP(A3646,'[1]Tissue Data'!$A:$A,'[1]Tissue Data'!$C:$C)</f>
        <v>Spill</v>
      </c>
      <c r="C3646" s="2">
        <f>_xlfn.XLOOKUP(A3646,'[1]Tissue Data'!$A:$A,'[1]Tissue Data'!$D:$D)</f>
        <v>44314</v>
      </c>
      <c r="D3646" s="2" t="s">
        <v>131</v>
      </c>
      <c r="E3646" t="str">
        <f>_xlfn.XLOOKUP(A3646,'[1]Tissue Data'!$A:$A,'[1]Tissue Data'!$H:$H)</f>
        <v>Rhinichthys</v>
      </c>
      <c r="F3646" t="str">
        <f>_xlfn.XLOOKUP(A3646,'[1]Tissue Data'!$A:$A,'[1]Tissue Data'!$I:$I)</f>
        <v>cataractae</v>
      </c>
      <c r="G3646" t="str">
        <f>_xlfn.XLOOKUP(A3646,'[1]Tissue Data'!$A:$A,'[1]Tissue Data'!J:J)</f>
        <v>U</v>
      </c>
      <c r="H3646" t="str">
        <f>_xlfn.XLOOKUP(A3646,'[1]Tissue Data'!$A:$A,'[1]Tissue Data'!K:K)</f>
        <v>Whole Body</v>
      </c>
      <c r="I3646">
        <f>_xlfn.XLOOKUP(A3646,'[1]Tissue Data'!$A:$A,'[1]Tissue Data'!L:L)</f>
        <v>6.5</v>
      </c>
      <c r="J3646">
        <f>_xlfn.XLOOKUP(A3646,'[1]Tissue Data'!$A:$A,'[1]Tissue Data'!M:M)</f>
        <v>3</v>
      </c>
      <c r="K3646" t="s">
        <v>56</v>
      </c>
      <c r="L3646" t="str">
        <f>_xlfn.XLOOKUP(K3646,[2]analyte_order!$B:$B,[2]analyte_order!$C:$C)</f>
        <v>756426-58-1</v>
      </c>
      <c r="M3646">
        <f>_xlfn.XLOOKUP(L3646,[2]analyte_order!$C:$C,[2]analyte_order!$E:$E)</f>
        <v>36</v>
      </c>
      <c r="N3646">
        <v>6.0499999999999998E-2</v>
      </c>
    </row>
    <row r="3647" spans="1:14">
      <c r="A3647" t="s">
        <v>313</v>
      </c>
      <c r="B3647" t="str">
        <f>_xlfn.XLOOKUP(A3647,'[1]Tissue Data'!$A:$A,'[1]Tissue Data'!$C:$C)</f>
        <v>Spill</v>
      </c>
      <c r="C3647" s="2">
        <f>_xlfn.XLOOKUP(A3647,'[1]Tissue Data'!$A:$A,'[1]Tissue Data'!$D:$D)</f>
        <v>44314</v>
      </c>
      <c r="D3647" s="2" t="s">
        <v>131</v>
      </c>
      <c r="E3647" t="str">
        <f>_xlfn.XLOOKUP(A3647,'[1]Tissue Data'!$A:$A,'[1]Tissue Data'!$H:$H)</f>
        <v>Rhinichthys</v>
      </c>
      <c r="F3647" t="str">
        <f>_xlfn.XLOOKUP(A3647,'[1]Tissue Data'!$A:$A,'[1]Tissue Data'!$I:$I)</f>
        <v>cataractae</v>
      </c>
      <c r="G3647" t="str">
        <f>_xlfn.XLOOKUP(A3647,'[1]Tissue Data'!$A:$A,'[1]Tissue Data'!J:J)</f>
        <v>U</v>
      </c>
      <c r="H3647" t="str">
        <f>_xlfn.XLOOKUP(A3647,'[1]Tissue Data'!$A:$A,'[1]Tissue Data'!K:K)</f>
        <v>Whole Body</v>
      </c>
      <c r="I3647">
        <f>_xlfn.XLOOKUP(A3647,'[1]Tissue Data'!$A:$A,'[1]Tissue Data'!L:L)</f>
        <v>6.5</v>
      </c>
      <c r="J3647">
        <f>_xlfn.XLOOKUP(A3647,'[1]Tissue Data'!$A:$A,'[1]Tissue Data'!M:M)</f>
        <v>3</v>
      </c>
      <c r="K3647" t="s">
        <v>57</v>
      </c>
      <c r="L3647" t="str">
        <f>_xlfn.XLOOKUP(K3647,[2]analyte_order!$B:$B,[2]analyte_order!$C:$C)</f>
        <v>763051-92-9</v>
      </c>
      <c r="M3647">
        <f>_xlfn.XLOOKUP(L3647,[2]analyte_order!$C:$C,[2]analyte_order!$E:$E)</f>
        <v>37</v>
      </c>
      <c r="N3647">
        <v>6.0499999999999998E-2</v>
      </c>
    </row>
    <row r="3648" spans="1:14">
      <c r="A3648" t="s">
        <v>313</v>
      </c>
      <c r="B3648" t="str">
        <f>_xlfn.XLOOKUP(A3648,'[1]Tissue Data'!$A:$A,'[1]Tissue Data'!$C:$C)</f>
        <v>Spill</v>
      </c>
      <c r="C3648" s="2">
        <f>_xlfn.XLOOKUP(A3648,'[1]Tissue Data'!$A:$A,'[1]Tissue Data'!$D:$D)</f>
        <v>44314</v>
      </c>
      <c r="D3648" s="2" t="s">
        <v>131</v>
      </c>
      <c r="E3648" t="str">
        <f>_xlfn.XLOOKUP(A3648,'[1]Tissue Data'!$A:$A,'[1]Tissue Data'!$H:$H)</f>
        <v>Rhinichthys</v>
      </c>
      <c r="F3648" t="str">
        <f>_xlfn.XLOOKUP(A3648,'[1]Tissue Data'!$A:$A,'[1]Tissue Data'!$I:$I)</f>
        <v>cataractae</v>
      </c>
      <c r="G3648" t="str">
        <f>_xlfn.XLOOKUP(A3648,'[1]Tissue Data'!$A:$A,'[1]Tissue Data'!J:J)</f>
        <v>U</v>
      </c>
      <c r="H3648" t="str">
        <f>_xlfn.XLOOKUP(A3648,'[1]Tissue Data'!$A:$A,'[1]Tissue Data'!K:K)</f>
        <v>Whole Body</v>
      </c>
      <c r="I3648">
        <f>_xlfn.XLOOKUP(A3648,'[1]Tissue Data'!$A:$A,'[1]Tissue Data'!L:L)</f>
        <v>6.5</v>
      </c>
      <c r="J3648">
        <f>_xlfn.XLOOKUP(A3648,'[1]Tissue Data'!$A:$A,'[1]Tissue Data'!M:M)</f>
        <v>3</v>
      </c>
      <c r="K3648" t="s">
        <v>58</v>
      </c>
      <c r="L3648" t="str">
        <f>_xlfn.XLOOKUP(K3648,[2]analyte_order!$B:$B,[2]analyte_order!$C:$C)</f>
        <v>13252-13-6</v>
      </c>
      <c r="M3648">
        <f>_xlfn.XLOOKUP(L3648,[2]analyte_order!$C:$C,[2]analyte_order!$E:$E)</f>
        <v>34</v>
      </c>
      <c r="N3648">
        <v>8.6999999999999994E-2</v>
      </c>
    </row>
    <row r="3649" spans="1:14">
      <c r="A3649" t="s">
        <v>313</v>
      </c>
      <c r="B3649" t="str">
        <f>_xlfn.XLOOKUP(A3649,'[1]Tissue Data'!$A:$A,'[1]Tissue Data'!$C:$C)</f>
        <v>Spill</v>
      </c>
      <c r="C3649" s="2">
        <f>_xlfn.XLOOKUP(A3649,'[1]Tissue Data'!$A:$A,'[1]Tissue Data'!$D:$D)</f>
        <v>44314</v>
      </c>
      <c r="D3649" s="2" t="s">
        <v>131</v>
      </c>
      <c r="E3649" t="str">
        <f>_xlfn.XLOOKUP(A3649,'[1]Tissue Data'!$A:$A,'[1]Tissue Data'!$H:$H)</f>
        <v>Rhinichthys</v>
      </c>
      <c r="F3649" t="str">
        <f>_xlfn.XLOOKUP(A3649,'[1]Tissue Data'!$A:$A,'[1]Tissue Data'!$I:$I)</f>
        <v>cataractae</v>
      </c>
      <c r="G3649" t="str">
        <f>_xlfn.XLOOKUP(A3649,'[1]Tissue Data'!$A:$A,'[1]Tissue Data'!J:J)</f>
        <v>U</v>
      </c>
      <c r="H3649" t="str">
        <f>_xlfn.XLOOKUP(A3649,'[1]Tissue Data'!$A:$A,'[1]Tissue Data'!K:K)</f>
        <v>Whole Body</v>
      </c>
      <c r="I3649">
        <f>_xlfn.XLOOKUP(A3649,'[1]Tissue Data'!$A:$A,'[1]Tissue Data'!L:L)</f>
        <v>6.5</v>
      </c>
      <c r="J3649">
        <f>_xlfn.XLOOKUP(A3649,'[1]Tissue Data'!$A:$A,'[1]Tissue Data'!M:M)</f>
        <v>3</v>
      </c>
      <c r="K3649" t="s">
        <v>59</v>
      </c>
      <c r="L3649" t="str">
        <f>_xlfn.XLOOKUP(K3649,[2]analyte_order!$B:$B,[2]analyte_order!$C:$C)</f>
        <v>57677-95-9</v>
      </c>
      <c r="M3649">
        <f>_xlfn.XLOOKUP(L3649,[2]analyte_order!$C:$C,[2]analyte_order!$E:$E)</f>
        <v>46</v>
      </c>
      <c r="N3649">
        <v>6.4500000000000002E-2</v>
      </c>
    </row>
    <row r="3650" spans="1:14">
      <c r="A3650" t="s">
        <v>313</v>
      </c>
      <c r="B3650" t="str">
        <f>_xlfn.XLOOKUP(A3650,'[1]Tissue Data'!$A:$A,'[1]Tissue Data'!$C:$C)</f>
        <v>Spill</v>
      </c>
      <c r="C3650" s="2">
        <f>_xlfn.XLOOKUP(A3650,'[1]Tissue Data'!$A:$A,'[1]Tissue Data'!$D:$D)</f>
        <v>44314</v>
      </c>
      <c r="D3650" s="2" t="s">
        <v>131</v>
      </c>
      <c r="E3650" t="str">
        <f>_xlfn.XLOOKUP(A3650,'[1]Tissue Data'!$A:$A,'[1]Tissue Data'!$H:$H)</f>
        <v>Rhinichthys</v>
      </c>
      <c r="F3650" t="str">
        <f>_xlfn.XLOOKUP(A3650,'[1]Tissue Data'!$A:$A,'[1]Tissue Data'!$I:$I)</f>
        <v>cataractae</v>
      </c>
      <c r="G3650" t="str">
        <f>_xlfn.XLOOKUP(A3650,'[1]Tissue Data'!$A:$A,'[1]Tissue Data'!J:J)</f>
        <v>U</v>
      </c>
      <c r="H3650" t="str">
        <f>_xlfn.XLOOKUP(A3650,'[1]Tissue Data'!$A:$A,'[1]Tissue Data'!K:K)</f>
        <v>Whole Body</v>
      </c>
      <c r="I3650">
        <f>_xlfn.XLOOKUP(A3650,'[1]Tissue Data'!$A:$A,'[1]Tissue Data'!L:L)</f>
        <v>6.5</v>
      </c>
      <c r="J3650">
        <f>_xlfn.XLOOKUP(A3650,'[1]Tissue Data'!$A:$A,'[1]Tissue Data'!M:M)</f>
        <v>3</v>
      </c>
      <c r="K3650" t="s">
        <v>60</v>
      </c>
      <c r="L3650" t="str">
        <f>_xlfn.XLOOKUP(K3650,[2]analyte_order!$B:$B,[2]analyte_order!$C:$C)</f>
        <v>678-41-1</v>
      </c>
      <c r="M3650">
        <f>_xlfn.XLOOKUP(L3650,[2]analyte_order!$C:$C,[2]analyte_order!$E:$E)</f>
        <v>56</v>
      </c>
      <c r="N3650">
        <v>8.0500000000000002E-2</v>
      </c>
    </row>
    <row r="3651" spans="1:14">
      <c r="A3651" t="s">
        <v>313</v>
      </c>
      <c r="B3651" t="str">
        <f>_xlfn.XLOOKUP(A3651,'[1]Tissue Data'!$A:$A,'[1]Tissue Data'!$C:$C)</f>
        <v>Spill</v>
      </c>
      <c r="C3651" s="2">
        <f>_xlfn.XLOOKUP(A3651,'[1]Tissue Data'!$A:$A,'[1]Tissue Data'!$D:$D)</f>
        <v>44314</v>
      </c>
      <c r="D3651" s="2" t="s">
        <v>131</v>
      </c>
      <c r="E3651" t="str">
        <f>_xlfn.XLOOKUP(A3651,'[1]Tissue Data'!$A:$A,'[1]Tissue Data'!$H:$H)</f>
        <v>Rhinichthys</v>
      </c>
      <c r="F3651" t="str">
        <f>_xlfn.XLOOKUP(A3651,'[1]Tissue Data'!$A:$A,'[1]Tissue Data'!$I:$I)</f>
        <v>cataractae</v>
      </c>
      <c r="G3651" t="str">
        <f>_xlfn.XLOOKUP(A3651,'[1]Tissue Data'!$A:$A,'[1]Tissue Data'!J:J)</f>
        <v>U</v>
      </c>
      <c r="H3651" t="str">
        <f>_xlfn.XLOOKUP(A3651,'[1]Tissue Data'!$A:$A,'[1]Tissue Data'!K:K)</f>
        <v>Whole Body</v>
      </c>
      <c r="I3651">
        <f>_xlfn.XLOOKUP(A3651,'[1]Tissue Data'!$A:$A,'[1]Tissue Data'!L:L)</f>
        <v>6.5</v>
      </c>
      <c r="J3651">
        <f>_xlfn.XLOOKUP(A3651,'[1]Tissue Data'!$A:$A,'[1]Tissue Data'!M:M)</f>
        <v>3</v>
      </c>
      <c r="K3651" t="s">
        <v>61</v>
      </c>
      <c r="L3651" t="str">
        <f>_xlfn.XLOOKUP(K3651,[2]analyte_order!$B:$B,[2]analyte_order!$C:$C)</f>
        <v>2965-52-8</v>
      </c>
      <c r="M3651">
        <f>_xlfn.XLOOKUP(L3651,[2]analyte_order!$C:$C,[2]analyte_order!$E:$E)</f>
        <v>57</v>
      </c>
      <c r="N3651">
        <v>0.1065</v>
      </c>
    </row>
    <row r="3652" spans="1:14">
      <c r="A3652" t="s">
        <v>154</v>
      </c>
      <c r="B3652" t="str">
        <f>_xlfn.XLOOKUP(A3652,'[1]Tissue Data'!$A:$A,'[1]Tissue Data'!$C:$C)</f>
        <v>Spill</v>
      </c>
      <c r="C3652" s="2">
        <f>_xlfn.XLOOKUP(A3652,'[1]Tissue Data'!$A:$A,'[1]Tissue Data'!$D:$D)</f>
        <v>44314</v>
      </c>
      <c r="D3652" s="2" t="str">
        <f>_xlfn.XLOOKUP(A3652,'[1]Tissue Data'!$A:$A,'[1]Tissue Data'!$F:$F)</f>
        <v>Creek Chubsucker</v>
      </c>
      <c r="E3652" t="str">
        <f>_xlfn.XLOOKUP(A3652,'[1]Tissue Data'!$A:$A,'[1]Tissue Data'!$H:$H)</f>
        <v>Erimyzon</v>
      </c>
      <c r="F3652" t="str">
        <f>_xlfn.XLOOKUP(A3652,'[1]Tissue Data'!$A:$A,'[1]Tissue Data'!$I:$I)</f>
        <v>oblongus</v>
      </c>
      <c r="G3652" t="str">
        <f>_xlfn.XLOOKUP(A3652,'[1]Tissue Data'!$A:$A,'[1]Tissue Data'!J:J)</f>
        <v>U</v>
      </c>
      <c r="H3652" t="str">
        <f>_xlfn.XLOOKUP(A3652,'[1]Tissue Data'!$A:$A,'[1]Tissue Data'!K:K)</f>
        <v>Whole Body</v>
      </c>
      <c r="I3652">
        <f>_xlfn.XLOOKUP(A3652,'[1]Tissue Data'!$A:$A,'[1]Tissue Data'!L:L)</f>
        <v>12</v>
      </c>
      <c r="J3652">
        <f>_xlfn.XLOOKUP(A3652,'[1]Tissue Data'!$A:$A,'[1]Tissue Data'!M:M)</f>
        <v>22.23</v>
      </c>
      <c r="K3652" t="s">
        <v>12</v>
      </c>
      <c r="L3652" t="str">
        <f>_xlfn.XLOOKUP(K3652,[2]analyte_order!$B:$B,[2]analyte_order!$C:$C)</f>
        <v>375-22-4</v>
      </c>
      <c r="M3652">
        <f>_xlfn.XLOOKUP(L3652,[2]analyte_order!$C:$C,[2]analyte_order!$E:$E)</f>
        <v>1</v>
      </c>
      <c r="N3652">
        <v>0.23699999999999999</v>
      </c>
    </row>
    <row r="3653" spans="1:14">
      <c r="A3653" t="s">
        <v>154</v>
      </c>
      <c r="B3653" t="str">
        <f>_xlfn.XLOOKUP(A3653,'[1]Tissue Data'!$A:$A,'[1]Tissue Data'!$C:$C)</f>
        <v>Spill</v>
      </c>
      <c r="C3653" s="2">
        <f>_xlfn.XLOOKUP(A3653,'[1]Tissue Data'!$A:$A,'[1]Tissue Data'!$D:$D)</f>
        <v>44314</v>
      </c>
      <c r="D3653" s="2" t="str">
        <f>_xlfn.XLOOKUP(A3653,'[1]Tissue Data'!$A:$A,'[1]Tissue Data'!$F:$F)</f>
        <v>Creek Chubsucker</v>
      </c>
      <c r="E3653" t="str">
        <f>_xlfn.XLOOKUP(A3653,'[1]Tissue Data'!$A:$A,'[1]Tissue Data'!$H:$H)</f>
        <v>Erimyzon</v>
      </c>
      <c r="F3653" t="str">
        <f>_xlfn.XLOOKUP(A3653,'[1]Tissue Data'!$A:$A,'[1]Tissue Data'!$I:$I)</f>
        <v>oblongus</v>
      </c>
      <c r="G3653" t="str">
        <f>_xlfn.XLOOKUP(A3653,'[1]Tissue Data'!$A:$A,'[1]Tissue Data'!J:J)</f>
        <v>U</v>
      </c>
      <c r="H3653" t="str">
        <f>_xlfn.XLOOKUP(A3653,'[1]Tissue Data'!$A:$A,'[1]Tissue Data'!K:K)</f>
        <v>Whole Body</v>
      </c>
      <c r="I3653">
        <f>_xlfn.XLOOKUP(A3653,'[1]Tissue Data'!$A:$A,'[1]Tissue Data'!L:L)</f>
        <v>12</v>
      </c>
      <c r="J3653">
        <f>_xlfn.XLOOKUP(A3653,'[1]Tissue Data'!$A:$A,'[1]Tissue Data'!M:M)</f>
        <v>22.23</v>
      </c>
      <c r="K3653" t="s">
        <v>13</v>
      </c>
      <c r="L3653" t="str">
        <f>_xlfn.XLOOKUP(K3653,[2]analyte_order!$B:$B,[2]analyte_order!$C:$C)</f>
        <v>2706-90-3</v>
      </c>
      <c r="M3653">
        <f>_xlfn.XLOOKUP(L3653,[2]analyte_order!$C:$C,[2]analyte_order!$E:$E)</f>
        <v>2</v>
      </c>
      <c r="N3653">
        <v>5.0999999999999997E-2</v>
      </c>
    </row>
    <row r="3654" spans="1:14">
      <c r="A3654" t="s">
        <v>154</v>
      </c>
      <c r="B3654" t="str">
        <f>_xlfn.XLOOKUP(A3654,'[1]Tissue Data'!$A:$A,'[1]Tissue Data'!$C:$C)</f>
        <v>Spill</v>
      </c>
      <c r="C3654" s="2">
        <f>_xlfn.XLOOKUP(A3654,'[1]Tissue Data'!$A:$A,'[1]Tissue Data'!$D:$D)</f>
        <v>44314</v>
      </c>
      <c r="D3654" s="2" t="str">
        <f>_xlfn.XLOOKUP(A3654,'[1]Tissue Data'!$A:$A,'[1]Tissue Data'!$F:$F)</f>
        <v>Creek Chubsucker</v>
      </c>
      <c r="E3654" t="str">
        <f>_xlfn.XLOOKUP(A3654,'[1]Tissue Data'!$A:$A,'[1]Tissue Data'!$H:$H)</f>
        <v>Erimyzon</v>
      </c>
      <c r="F3654" t="str">
        <f>_xlfn.XLOOKUP(A3654,'[1]Tissue Data'!$A:$A,'[1]Tissue Data'!$I:$I)</f>
        <v>oblongus</v>
      </c>
      <c r="G3654" t="str">
        <f>_xlfn.XLOOKUP(A3654,'[1]Tissue Data'!$A:$A,'[1]Tissue Data'!J:J)</f>
        <v>U</v>
      </c>
      <c r="H3654" t="str">
        <f>_xlfn.XLOOKUP(A3654,'[1]Tissue Data'!$A:$A,'[1]Tissue Data'!K:K)</f>
        <v>Whole Body</v>
      </c>
      <c r="I3654">
        <f>_xlfn.XLOOKUP(A3654,'[1]Tissue Data'!$A:$A,'[1]Tissue Data'!L:L)</f>
        <v>12</v>
      </c>
      <c r="J3654">
        <f>_xlfn.XLOOKUP(A3654,'[1]Tissue Data'!$A:$A,'[1]Tissue Data'!M:M)</f>
        <v>22.23</v>
      </c>
      <c r="K3654" t="s">
        <v>14</v>
      </c>
      <c r="L3654" t="str">
        <f>_xlfn.XLOOKUP(K3654,[2]analyte_order!$B:$B,[2]analyte_order!$C:$C)</f>
        <v>307-24-4</v>
      </c>
      <c r="M3654">
        <f>_xlfn.XLOOKUP(L3654,[2]analyte_order!$C:$C,[2]analyte_order!$E:$E)</f>
        <v>3</v>
      </c>
      <c r="N3654">
        <v>0.58199999999999996</v>
      </c>
    </row>
    <row r="3655" spans="1:14">
      <c r="A3655" t="s">
        <v>154</v>
      </c>
      <c r="B3655" t="str">
        <f>_xlfn.XLOOKUP(A3655,'[1]Tissue Data'!$A:$A,'[1]Tissue Data'!$C:$C)</f>
        <v>Spill</v>
      </c>
      <c r="C3655" s="2">
        <f>_xlfn.XLOOKUP(A3655,'[1]Tissue Data'!$A:$A,'[1]Tissue Data'!$D:$D)</f>
        <v>44314</v>
      </c>
      <c r="D3655" s="2" t="str">
        <f>_xlfn.XLOOKUP(A3655,'[1]Tissue Data'!$A:$A,'[1]Tissue Data'!$F:$F)</f>
        <v>Creek Chubsucker</v>
      </c>
      <c r="E3655" t="str">
        <f>_xlfn.XLOOKUP(A3655,'[1]Tissue Data'!$A:$A,'[1]Tissue Data'!$H:$H)</f>
        <v>Erimyzon</v>
      </c>
      <c r="F3655" t="str">
        <f>_xlfn.XLOOKUP(A3655,'[1]Tissue Data'!$A:$A,'[1]Tissue Data'!$I:$I)</f>
        <v>oblongus</v>
      </c>
      <c r="G3655" t="str">
        <f>_xlfn.XLOOKUP(A3655,'[1]Tissue Data'!$A:$A,'[1]Tissue Data'!J:J)</f>
        <v>U</v>
      </c>
      <c r="H3655" t="str">
        <f>_xlfn.XLOOKUP(A3655,'[1]Tissue Data'!$A:$A,'[1]Tissue Data'!K:K)</f>
        <v>Whole Body</v>
      </c>
      <c r="I3655">
        <f>_xlfn.XLOOKUP(A3655,'[1]Tissue Data'!$A:$A,'[1]Tissue Data'!L:L)</f>
        <v>12</v>
      </c>
      <c r="J3655">
        <f>_xlfn.XLOOKUP(A3655,'[1]Tissue Data'!$A:$A,'[1]Tissue Data'!M:M)</f>
        <v>22.23</v>
      </c>
      <c r="K3655" t="s">
        <v>15</v>
      </c>
      <c r="L3655" t="str">
        <f>_xlfn.XLOOKUP(K3655,[2]analyte_order!$B:$B,[2]analyte_order!$C:$C)</f>
        <v>375-85-9</v>
      </c>
      <c r="M3655">
        <f>_xlfn.XLOOKUP(L3655,[2]analyte_order!$C:$C,[2]analyte_order!$E:$E)</f>
        <v>4</v>
      </c>
      <c r="N3655">
        <v>9.5000000000000001E-2</v>
      </c>
    </row>
    <row r="3656" spans="1:14">
      <c r="A3656" t="s">
        <v>154</v>
      </c>
      <c r="B3656" t="str">
        <f>_xlfn.XLOOKUP(A3656,'[1]Tissue Data'!$A:$A,'[1]Tissue Data'!$C:$C)</f>
        <v>Spill</v>
      </c>
      <c r="C3656" s="2">
        <f>_xlfn.XLOOKUP(A3656,'[1]Tissue Data'!$A:$A,'[1]Tissue Data'!$D:$D)</f>
        <v>44314</v>
      </c>
      <c r="D3656" s="2" t="str">
        <f>_xlfn.XLOOKUP(A3656,'[1]Tissue Data'!$A:$A,'[1]Tissue Data'!$F:$F)</f>
        <v>Creek Chubsucker</v>
      </c>
      <c r="E3656" t="str">
        <f>_xlfn.XLOOKUP(A3656,'[1]Tissue Data'!$A:$A,'[1]Tissue Data'!$H:$H)</f>
        <v>Erimyzon</v>
      </c>
      <c r="F3656" t="str">
        <f>_xlfn.XLOOKUP(A3656,'[1]Tissue Data'!$A:$A,'[1]Tissue Data'!$I:$I)</f>
        <v>oblongus</v>
      </c>
      <c r="G3656" t="str">
        <f>_xlfn.XLOOKUP(A3656,'[1]Tissue Data'!$A:$A,'[1]Tissue Data'!J:J)</f>
        <v>U</v>
      </c>
      <c r="H3656" t="str">
        <f>_xlfn.XLOOKUP(A3656,'[1]Tissue Data'!$A:$A,'[1]Tissue Data'!K:K)</f>
        <v>Whole Body</v>
      </c>
      <c r="I3656">
        <f>_xlfn.XLOOKUP(A3656,'[1]Tissue Data'!$A:$A,'[1]Tissue Data'!L:L)</f>
        <v>12</v>
      </c>
      <c r="J3656">
        <f>_xlfn.XLOOKUP(A3656,'[1]Tissue Data'!$A:$A,'[1]Tissue Data'!M:M)</f>
        <v>22.23</v>
      </c>
      <c r="K3656" t="s">
        <v>16</v>
      </c>
      <c r="L3656" t="str">
        <f>_xlfn.XLOOKUP(K3656,[2]analyte_order!$B:$B,[2]analyte_order!$C:$C)</f>
        <v>335-67-1</v>
      </c>
      <c r="M3656">
        <f>_xlfn.XLOOKUP(L3656,[2]analyte_order!$C:$C,[2]analyte_order!$E:$E)</f>
        <v>5</v>
      </c>
      <c r="N3656">
        <v>8.6199999999999992</v>
      </c>
    </row>
    <row r="3657" spans="1:14">
      <c r="A3657" t="s">
        <v>154</v>
      </c>
      <c r="B3657" t="str">
        <f>_xlfn.XLOOKUP(A3657,'[1]Tissue Data'!$A:$A,'[1]Tissue Data'!$C:$C)</f>
        <v>Spill</v>
      </c>
      <c r="C3657" s="2">
        <f>_xlfn.XLOOKUP(A3657,'[1]Tissue Data'!$A:$A,'[1]Tissue Data'!$D:$D)</f>
        <v>44314</v>
      </c>
      <c r="D3657" s="2" t="str">
        <f>_xlfn.XLOOKUP(A3657,'[1]Tissue Data'!$A:$A,'[1]Tissue Data'!$F:$F)</f>
        <v>Creek Chubsucker</v>
      </c>
      <c r="E3657" t="str">
        <f>_xlfn.XLOOKUP(A3657,'[1]Tissue Data'!$A:$A,'[1]Tissue Data'!$H:$H)</f>
        <v>Erimyzon</v>
      </c>
      <c r="F3657" t="str">
        <f>_xlfn.XLOOKUP(A3657,'[1]Tissue Data'!$A:$A,'[1]Tissue Data'!$I:$I)</f>
        <v>oblongus</v>
      </c>
      <c r="G3657" t="str">
        <f>_xlfn.XLOOKUP(A3657,'[1]Tissue Data'!$A:$A,'[1]Tissue Data'!J:J)</f>
        <v>U</v>
      </c>
      <c r="H3657" t="str">
        <f>_xlfn.XLOOKUP(A3657,'[1]Tissue Data'!$A:$A,'[1]Tissue Data'!K:K)</f>
        <v>Whole Body</v>
      </c>
      <c r="I3657">
        <f>_xlfn.XLOOKUP(A3657,'[1]Tissue Data'!$A:$A,'[1]Tissue Data'!L:L)</f>
        <v>12</v>
      </c>
      <c r="J3657">
        <f>_xlfn.XLOOKUP(A3657,'[1]Tissue Data'!$A:$A,'[1]Tissue Data'!M:M)</f>
        <v>22.23</v>
      </c>
      <c r="K3657" t="s">
        <v>17</v>
      </c>
      <c r="L3657" t="str">
        <f>_xlfn.XLOOKUP(K3657,[2]analyte_order!$B:$B,[2]analyte_order!$C:$C)</f>
        <v>375-95-1</v>
      </c>
      <c r="M3657">
        <f>_xlfn.XLOOKUP(L3657,[2]analyte_order!$C:$C,[2]analyte_order!$E:$E)</f>
        <v>6</v>
      </c>
      <c r="N3657">
        <v>4.4000000000000004</v>
      </c>
    </row>
    <row r="3658" spans="1:14">
      <c r="A3658" t="s">
        <v>154</v>
      </c>
      <c r="B3658" t="str">
        <f>_xlfn.XLOOKUP(A3658,'[1]Tissue Data'!$A:$A,'[1]Tissue Data'!$C:$C)</f>
        <v>Spill</v>
      </c>
      <c r="C3658" s="2">
        <f>_xlfn.XLOOKUP(A3658,'[1]Tissue Data'!$A:$A,'[1]Tissue Data'!$D:$D)</f>
        <v>44314</v>
      </c>
      <c r="D3658" s="2" t="str">
        <f>_xlfn.XLOOKUP(A3658,'[1]Tissue Data'!$A:$A,'[1]Tissue Data'!$F:$F)</f>
        <v>Creek Chubsucker</v>
      </c>
      <c r="E3658" t="str">
        <f>_xlfn.XLOOKUP(A3658,'[1]Tissue Data'!$A:$A,'[1]Tissue Data'!$H:$H)</f>
        <v>Erimyzon</v>
      </c>
      <c r="F3658" t="str">
        <f>_xlfn.XLOOKUP(A3658,'[1]Tissue Data'!$A:$A,'[1]Tissue Data'!$I:$I)</f>
        <v>oblongus</v>
      </c>
      <c r="G3658" t="str">
        <f>_xlfn.XLOOKUP(A3658,'[1]Tissue Data'!$A:$A,'[1]Tissue Data'!J:J)</f>
        <v>U</v>
      </c>
      <c r="H3658" t="str">
        <f>_xlfn.XLOOKUP(A3658,'[1]Tissue Data'!$A:$A,'[1]Tissue Data'!K:K)</f>
        <v>Whole Body</v>
      </c>
      <c r="I3658">
        <f>_xlfn.XLOOKUP(A3658,'[1]Tissue Data'!$A:$A,'[1]Tissue Data'!L:L)</f>
        <v>12</v>
      </c>
      <c r="J3658">
        <f>_xlfn.XLOOKUP(A3658,'[1]Tissue Data'!$A:$A,'[1]Tissue Data'!M:M)</f>
        <v>22.23</v>
      </c>
      <c r="K3658" t="s">
        <v>18</v>
      </c>
      <c r="L3658" t="str">
        <f>_xlfn.XLOOKUP(K3658,[2]analyte_order!$B:$B,[2]analyte_order!$C:$C)</f>
        <v>335-76-2</v>
      </c>
      <c r="M3658">
        <f>_xlfn.XLOOKUP(L3658,[2]analyte_order!$C:$C,[2]analyte_order!$E:$E)</f>
        <v>7</v>
      </c>
      <c r="N3658">
        <v>8.83</v>
      </c>
    </row>
    <row r="3659" spans="1:14">
      <c r="A3659" t="s">
        <v>154</v>
      </c>
      <c r="B3659" t="str">
        <f>_xlfn.XLOOKUP(A3659,'[1]Tissue Data'!$A:$A,'[1]Tissue Data'!$C:$C)</f>
        <v>Spill</v>
      </c>
      <c r="C3659" s="2">
        <f>_xlfn.XLOOKUP(A3659,'[1]Tissue Data'!$A:$A,'[1]Tissue Data'!$D:$D)</f>
        <v>44314</v>
      </c>
      <c r="D3659" s="2" t="str">
        <f>_xlfn.XLOOKUP(A3659,'[1]Tissue Data'!$A:$A,'[1]Tissue Data'!$F:$F)</f>
        <v>Creek Chubsucker</v>
      </c>
      <c r="E3659" t="str">
        <f>_xlfn.XLOOKUP(A3659,'[1]Tissue Data'!$A:$A,'[1]Tissue Data'!$H:$H)</f>
        <v>Erimyzon</v>
      </c>
      <c r="F3659" t="str">
        <f>_xlfn.XLOOKUP(A3659,'[1]Tissue Data'!$A:$A,'[1]Tissue Data'!$I:$I)</f>
        <v>oblongus</v>
      </c>
      <c r="G3659" t="str">
        <f>_xlfn.XLOOKUP(A3659,'[1]Tissue Data'!$A:$A,'[1]Tissue Data'!J:J)</f>
        <v>U</v>
      </c>
      <c r="H3659" t="str">
        <f>_xlfn.XLOOKUP(A3659,'[1]Tissue Data'!$A:$A,'[1]Tissue Data'!K:K)</f>
        <v>Whole Body</v>
      </c>
      <c r="I3659">
        <f>_xlfn.XLOOKUP(A3659,'[1]Tissue Data'!$A:$A,'[1]Tissue Data'!L:L)</f>
        <v>12</v>
      </c>
      <c r="J3659">
        <f>_xlfn.XLOOKUP(A3659,'[1]Tissue Data'!$A:$A,'[1]Tissue Data'!M:M)</f>
        <v>22.23</v>
      </c>
      <c r="K3659" t="s">
        <v>19</v>
      </c>
      <c r="L3659" t="str">
        <f>_xlfn.XLOOKUP(K3659,[2]analyte_order!$B:$B,[2]analyte_order!$C:$C)</f>
        <v>2058-94-8</v>
      </c>
      <c r="M3659">
        <f>_xlfn.XLOOKUP(L3659,[2]analyte_order!$C:$C,[2]analyte_order!$E:$E)</f>
        <v>8</v>
      </c>
      <c r="N3659">
        <v>8.81</v>
      </c>
    </row>
    <row r="3660" spans="1:14">
      <c r="A3660" t="s">
        <v>154</v>
      </c>
      <c r="B3660" t="str">
        <f>_xlfn.XLOOKUP(A3660,'[1]Tissue Data'!$A:$A,'[1]Tissue Data'!$C:$C)</f>
        <v>Spill</v>
      </c>
      <c r="C3660" s="2">
        <f>_xlfn.XLOOKUP(A3660,'[1]Tissue Data'!$A:$A,'[1]Tissue Data'!$D:$D)</f>
        <v>44314</v>
      </c>
      <c r="D3660" s="2" t="str">
        <f>_xlfn.XLOOKUP(A3660,'[1]Tissue Data'!$A:$A,'[1]Tissue Data'!$F:$F)</f>
        <v>Creek Chubsucker</v>
      </c>
      <c r="E3660" t="str">
        <f>_xlfn.XLOOKUP(A3660,'[1]Tissue Data'!$A:$A,'[1]Tissue Data'!$H:$H)</f>
        <v>Erimyzon</v>
      </c>
      <c r="F3660" t="str">
        <f>_xlfn.XLOOKUP(A3660,'[1]Tissue Data'!$A:$A,'[1]Tissue Data'!$I:$I)</f>
        <v>oblongus</v>
      </c>
      <c r="G3660" t="str">
        <f>_xlfn.XLOOKUP(A3660,'[1]Tissue Data'!$A:$A,'[1]Tissue Data'!J:J)</f>
        <v>U</v>
      </c>
      <c r="H3660" t="str">
        <f>_xlfn.XLOOKUP(A3660,'[1]Tissue Data'!$A:$A,'[1]Tissue Data'!K:K)</f>
        <v>Whole Body</v>
      </c>
      <c r="I3660">
        <f>_xlfn.XLOOKUP(A3660,'[1]Tissue Data'!$A:$A,'[1]Tissue Data'!L:L)</f>
        <v>12</v>
      </c>
      <c r="J3660">
        <f>_xlfn.XLOOKUP(A3660,'[1]Tissue Data'!$A:$A,'[1]Tissue Data'!M:M)</f>
        <v>22.23</v>
      </c>
      <c r="K3660" t="s">
        <v>20</v>
      </c>
      <c r="L3660" t="str">
        <f>_xlfn.XLOOKUP(K3660,[2]analyte_order!$B:$B,[2]analyte_order!$C:$C)</f>
        <v>307-55-1</v>
      </c>
      <c r="M3660">
        <f>_xlfn.XLOOKUP(L3660,[2]analyte_order!$C:$C,[2]analyte_order!$E:$E)</f>
        <v>9</v>
      </c>
      <c r="N3660">
        <v>11.6</v>
      </c>
    </row>
    <row r="3661" spans="1:14">
      <c r="A3661" t="s">
        <v>154</v>
      </c>
      <c r="B3661" t="str">
        <f>_xlfn.XLOOKUP(A3661,'[1]Tissue Data'!$A:$A,'[1]Tissue Data'!$C:$C)</f>
        <v>Spill</v>
      </c>
      <c r="C3661" s="2">
        <f>_xlfn.XLOOKUP(A3661,'[1]Tissue Data'!$A:$A,'[1]Tissue Data'!$D:$D)</f>
        <v>44314</v>
      </c>
      <c r="D3661" s="2" t="str">
        <f>_xlfn.XLOOKUP(A3661,'[1]Tissue Data'!$A:$A,'[1]Tissue Data'!$F:$F)</f>
        <v>Creek Chubsucker</v>
      </c>
      <c r="E3661" t="str">
        <f>_xlfn.XLOOKUP(A3661,'[1]Tissue Data'!$A:$A,'[1]Tissue Data'!$H:$H)</f>
        <v>Erimyzon</v>
      </c>
      <c r="F3661" t="str">
        <f>_xlfn.XLOOKUP(A3661,'[1]Tissue Data'!$A:$A,'[1]Tissue Data'!$I:$I)</f>
        <v>oblongus</v>
      </c>
      <c r="G3661" t="str">
        <f>_xlfn.XLOOKUP(A3661,'[1]Tissue Data'!$A:$A,'[1]Tissue Data'!J:J)</f>
        <v>U</v>
      </c>
      <c r="H3661" t="str">
        <f>_xlfn.XLOOKUP(A3661,'[1]Tissue Data'!$A:$A,'[1]Tissue Data'!K:K)</f>
        <v>Whole Body</v>
      </c>
      <c r="I3661">
        <f>_xlfn.XLOOKUP(A3661,'[1]Tissue Data'!$A:$A,'[1]Tissue Data'!L:L)</f>
        <v>12</v>
      </c>
      <c r="J3661">
        <f>_xlfn.XLOOKUP(A3661,'[1]Tissue Data'!$A:$A,'[1]Tissue Data'!M:M)</f>
        <v>22.23</v>
      </c>
      <c r="K3661" t="s">
        <v>21</v>
      </c>
      <c r="L3661" t="str">
        <f>_xlfn.XLOOKUP(K3661,[2]analyte_order!$B:$B,[2]analyte_order!$C:$C)</f>
        <v>72629-94-8</v>
      </c>
      <c r="M3661">
        <f>_xlfn.XLOOKUP(L3661,[2]analyte_order!$C:$C,[2]analyte_order!$E:$E)</f>
        <v>10</v>
      </c>
      <c r="N3661">
        <v>5.54</v>
      </c>
    </row>
    <row r="3662" spans="1:14">
      <c r="A3662" t="s">
        <v>154</v>
      </c>
      <c r="B3662" t="str">
        <f>_xlfn.XLOOKUP(A3662,'[1]Tissue Data'!$A:$A,'[1]Tissue Data'!$C:$C)</f>
        <v>Spill</v>
      </c>
      <c r="C3662" s="2">
        <f>_xlfn.XLOOKUP(A3662,'[1]Tissue Data'!$A:$A,'[1]Tissue Data'!$D:$D)</f>
        <v>44314</v>
      </c>
      <c r="D3662" s="2" t="str">
        <f>_xlfn.XLOOKUP(A3662,'[1]Tissue Data'!$A:$A,'[1]Tissue Data'!$F:$F)</f>
        <v>Creek Chubsucker</v>
      </c>
      <c r="E3662" t="str">
        <f>_xlfn.XLOOKUP(A3662,'[1]Tissue Data'!$A:$A,'[1]Tissue Data'!$H:$H)</f>
        <v>Erimyzon</v>
      </c>
      <c r="F3662" t="str">
        <f>_xlfn.XLOOKUP(A3662,'[1]Tissue Data'!$A:$A,'[1]Tissue Data'!$I:$I)</f>
        <v>oblongus</v>
      </c>
      <c r="G3662" t="str">
        <f>_xlfn.XLOOKUP(A3662,'[1]Tissue Data'!$A:$A,'[1]Tissue Data'!J:J)</f>
        <v>U</v>
      </c>
      <c r="H3662" t="str">
        <f>_xlfn.XLOOKUP(A3662,'[1]Tissue Data'!$A:$A,'[1]Tissue Data'!K:K)</f>
        <v>Whole Body</v>
      </c>
      <c r="I3662">
        <f>_xlfn.XLOOKUP(A3662,'[1]Tissue Data'!$A:$A,'[1]Tissue Data'!L:L)</f>
        <v>12</v>
      </c>
      <c r="J3662">
        <f>_xlfn.XLOOKUP(A3662,'[1]Tissue Data'!$A:$A,'[1]Tissue Data'!M:M)</f>
        <v>22.23</v>
      </c>
      <c r="K3662" t="s">
        <v>22</v>
      </c>
      <c r="L3662" t="str">
        <f>_xlfn.XLOOKUP(K3662,[2]analyte_order!$B:$B,[2]analyte_order!$C:$C)</f>
        <v>376-06-7</v>
      </c>
      <c r="M3662">
        <f>_xlfn.XLOOKUP(L3662,[2]analyte_order!$C:$C,[2]analyte_order!$E:$E)</f>
        <v>11</v>
      </c>
      <c r="N3662">
        <v>4.3099999999999996</v>
      </c>
    </row>
    <row r="3663" spans="1:14">
      <c r="A3663" t="s">
        <v>154</v>
      </c>
      <c r="B3663" t="str">
        <f>_xlfn.XLOOKUP(A3663,'[1]Tissue Data'!$A:$A,'[1]Tissue Data'!$C:$C)</f>
        <v>Spill</v>
      </c>
      <c r="C3663" s="2">
        <f>_xlfn.XLOOKUP(A3663,'[1]Tissue Data'!$A:$A,'[1]Tissue Data'!$D:$D)</f>
        <v>44314</v>
      </c>
      <c r="D3663" s="2" t="str">
        <f>_xlfn.XLOOKUP(A3663,'[1]Tissue Data'!$A:$A,'[1]Tissue Data'!$F:$F)</f>
        <v>Creek Chubsucker</v>
      </c>
      <c r="E3663" t="str">
        <f>_xlfn.XLOOKUP(A3663,'[1]Tissue Data'!$A:$A,'[1]Tissue Data'!$H:$H)</f>
        <v>Erimyzon</v>
      </c>
      <c r="F3663" t="str">
        <f>_xlfn.XLOOKUP(A3663,'[1]Tissue Data'!$A:$A,'[1]Tissue Data'!$I:$I)</f>
        <v>oblongus</v>
      </c>
      <c r="G3663" t="str">
        <f>_xlfn.XLOOKUP(A3663,'[1]Tissue Data'!$A:$A,'[1]Tissue Data'!J:J)</f>
        <v>U</v>
      </c>
      <c r="H3663" t="str">
        <f>_xlfn.XLOOKUP(A3663,'[1]Tissue Data'!$A:$A,'[1]Tissue Data'!K:K)</f>
        <v>Whole Body</v>
      </c>
      <c r="I3663">
        <f>_xlfn.XLOOKUP(A3663,'[1]Tissue Data'!$A:$A,'[1]Tissue Data'!L:L)</f>
        <v>12</v>
      </c>
      <c r="J3663">
        <f>_xlfn.XLOOKUP(A3663,'[1]Tissue Data'!$A:$A,'[1]Tissue Data'!M:M)</f>
        <v>22.23</v>
      </c>
      <c r="K3663" t="s">
        <v>23</v>
      </c>
      <c r="L3663" t="str">
        <f>_xlfn.XLOOKUP(K3663,[2]analyte_order!$B:$B,[2]analyte_order!$C:$C)</f>
        <v>67905-19-5</v>
      </c>
      <c r="M3663">
        <f>_xlfn.XLOOKUP(L3663,[2]analyte_order!$C:$C,[2]analyte_order!$E:$E)</f>
        <v>12</v>
      </c>
      <c r="N3663">
        <v>8.5500000000000007E-2</v>
      </c>
    </row>
    <row r="3664" spans="1:14">
      <c r="A3664" t="s">
        <v>154</v>
      </c>
      <c r="B3664" t="str">
        <f>_xlfn.XLOOKUP(A3664,'[1]Tissue Data'!$A:$A,'[1]Tissue Data'!$C:$C)</f>
        <v>Spill</v>
      </c>
      <c r="C3664" s="2">
        <f>_xlfn.XLOOKUP(A3664,'[1]Tissue Data'!$A:$A,'[1]Tissue Data'!$D:$D)</f>
        <v>44314</v>
      </c>
      <c r="D3664" s="2" t="str">
        <f>_xlfn.XLOOKUP(A3664,'[1]Tissue Data'!$A:$A,'[1]Tissue Data'!$F:$F)</f>
        <v>Creek Chubsucker</v>
      </c>
      <c r="E3664" t="str">
        <f>_xlfn.XLOOKUP(A3664,'[1]Tissue Data'!$A:$A,'[1]Tissue Data'!$H:$H)</f>
        <v>Erimyzon</v>
      </c>
      <c r="F3664" t="str">
        <f>_xlfn.XLOOKUP(A3664,'[1]Tissue Data'!$A:$A,'[1]Tissue Data'!$I:$I)</f>
        <v>oblongus</v>
      </c>
      <c r="G3664" t="str">
        <f>_xlfn.XLOOKUP(A3664,'[1]Tissue Data'!$A:$A,'[1]Tissue Data'!J:J)</f>
        <v>U</v>
      </c>
      <c r="H3664" t="str">
        <f>_xlfn.XLOOKUP(A3664,'[1]Tissue Data'!$A:$A,'[1]Tissue Data'!K:K)</f>
        <v>Whole Body</v>
      </c>
      <c r="I3664">
        <f>_xlfn.XLOOKUP(A3664,'[1]Tissue Data'!$A:$A,'[1]Tissue Data'!L:L)</f>
        <v>12</v>
      </c>
      <c r="J3664">
        <f>_xlfn.XLOOKUP(A3664,'[1]Tissue Data'!$A:$A,'[1]Tissue Data'!M:M)</f>
        <v>22.23</v>
      </c>
      <c r="K3664" t="s">
        <v>24</v>
      </c>
      <c r="L3664" t="str">
        <f>_xlfn.XLOOKUP(K3664,[2]analyte_order!$B:$B,[2]analyte_order!$C:$C)</f>
        <v>423-41-6</v>
      </c>
      <c r="M3664">
        <f>_xlfn.XLOOKUP(L3664,[2]analyte_order!$C:$C,[2]analyte_order!$E:$E)</f>
        <v>53</v>
      </c>
      <c r="N3664">
        <v>5.5E-2</v>
      </c>
    </row>
    <row r="3665" spans="1:14">
      <c r="A3665" t="s">
        <v>154</v>
      </c>
      <c r="B3665" t="str">
        <f>_xlfn.XLOOKUP(A3665,'[1]Tissue Data'!$A:$A,'[1]Tissue Data'!$C:$C)</f>
        <v>Spill</v>
      </c>
      <c r="C3665" s="2">
        <f>_xlfn.XLOOKUP(A3665,'[1]Tissue Data'!$A:$A,'[1]Tissue Data'!$D:$D)</f>
        <v>44314</v>
      </c>
      <c r="D3665" s="2" t="str">
        <f>_xlfn.XLOOKUP(A3665,'[1]Tissue Data'!$A:$A,'[1]Tissue Data'!$F:$F)</f>
        <v>Creek Chubsucker</v>
      </c>
      <c r="E3665" t="str">
        <f>_xlfn.XLOOKUP(A3665,'[1]Tissue Data'!$A:$A,'[1]Tissue Data'!$H:$H)</f>
        <v>Erimyzon</v>
      </c>
      <c r="F3665" t="str">
        <f>_xlfn.XLOOKUP(A3665,'[1]Tissue Data'!$A:$A,'[1]Tissue Data'!$I:$I)</f>
        <v>oblongus</v>
      </c>
      <c r="G3665" t="str">
        <f>_xlfn.XLOOKUP(A3665,'[1]Tissue Data'!$A:$A,'[1]Tissue Data'!J:J)</f>
        <v>U</v>
      </c>
      <c r="H3665" t="str">
        <f>_xlfn.XLOOKUP(A3665,'[1]Tissue Data'!$A:$A,'[1]Tissue Data'!K:K)</f>
        <v>Whole Body</v>
      </c>
      <c r="I3665">
        <f>_xlfn.XLOOKUP(A3665,'[1]Tissue Data'!$A:$A,'[1]Tissue Data'!L:L)</f>
        <v>12</v>
      </c>
      <c r="J3665">
        <f>_xlfn.XLOOKUP(A3665,'[1]Tissue Data'!$A:$A,'[1]Tissue Data'!M:M)</f>
        <v>22.23</v>
      </c>
      <c r="K3665" t="s">
        <v>25</v>
      </c>
      <c r="L3665" t="str">
        <f>_xlfn.XLOOKUP(K3665,[2]analyte_order!$B:$B,[2]analyte_order!$C:$C)</f>
        <v>375-73-5</v>
      </c>
      <c r="M3665">
        <f>_xlfn.XLOOKUP(L3665,[2]analyte_order!$C:$C,[2]analyte_order!$E:$E)</f>
        <v>14</v>
      </c>
      <c r="N3665">
        <v>3.48</v>
      </c>
    </row>
    <row r="3666" spans="1:14">
      <c r="A3666" t="s">
        <v>154</v>
      </c>
      <c r="B3666" t="str">
        <f>_xlfn.XLOOKUP(A3666,'[1]Tissue Data'!$A:$A,'[1]Tissue Data'!$C:$C)</f>
        <v>Spill</v>
      </c>
      <c r="C3666" s="2">
        <f>_xlfn.XLOOKUP(A3666,'[1]Tissue Data'!$A:$A,'[1]Tissue Data'!$D:$D)</f>
        <v>44314</v>
      </c>
      <c r="D3666" s="2" t="str">
        <f>_xlfn.XLOOKUP(A3666,'[1]Tissue Data'!$A:$A,'[1]Tissue Data'!$F:$F)</f>
        <v>Creek Chubsucker</v>
      </c>
      <c r="E3666" t="str">
        <f>_xlfn.XLOOKUP(A3666,'[1]Tissue Data'!$A:$A,'[1]Tissue Data'!$H:$H)</f>
        <v>Erimyzon</v>
      </c>
      <c r="F3666" t="str">
        <f>_xlfn.XLOOKUP(A3666,'[1]Tissue Data'!$A:$A,'[1]Tissue Data'!$I:$I)</f>
        <v>oblongus</v>
      </c>
      <c r="G3666" t="str">
        <f>_xlfn.XLOOKUP(A3666,'[1]Tissue Data'!$A:$A,'[1]Tissue Data'!J:J)</f>
        <v>U</v>
      </c>
      <c r="H3666" t="str">
        <f>_xlfn.XLOOKUP(A3666,'[1]Tissue Data'!$A:$A,'[1]Tissue Data'!K:K)</f>
        <v>Whole Body</v>
      </c>
      <c r="I3666">
        <f>_xlfn.XLOOKUP(A3666,'[1]Tissue Data'!$A:$A,'[1]Tissue Data'!L:L)</f>
        <v>12</v>
      </c>
      <c r="J3666">
        <f>_xlfn.XLOOKUP(A3666,'[1]Tissue Data'!$A:$A,'[1]Tissue Data'!M:M)</f>
        <v>22.23</v>
      </c>
      <c r="K3666" t="s">
        <v>26</v>
      </c>
      <c r="L3666" t="str">
        <f>_xlfn.XLOOKUP(K3666,[2]analyte_order!$B:$B,[2]analyte_order!$C:$C)</f>
        <v>2706-91-4</v>
      </c>
      <c r="M3666">
        <f>_xlfn.XLOOKUP(L3666,[2]analyte_order!$C:$C,[2]analyte_order!$E:$E)</f>
        <v>15</v>
      </c>
      <c r="N3666">
        <v>4.72</v>
      </c>
    </row>
    <row r="3667" spans="1:14">
      <c r="A3667" t="s">
        <v>154</v>
      </c>
      <c r="B3667" t="str">
        <f>_xlfn.XLOOKUP(A3667,'[1]Tissue Data'!$A:$A,'[1]Tissue Data'!$C:$C)</f>
        <v>Spill</v>
      </c>
      <c r="C3667" s="2">
        <f>_xlfn.XLOOKUP(A3667,'[1]Tissue Data'!$A:$A,'[1]Tissue Data'!$D:$D)</f>
        <v>44314</v>
      </c>
      <c r="D3667" s="2" t="str">
        <f>_xlfn.XLOOKUP(A3667,'[1]Tissue Data'!$A:$A,'[1]Tissue Data'!$F:$F)</f>
        <v>Creek Chubsucker</v>
      </c>
      <c r="E3667" t="str">
        <f>_xlfn.XLOOKUP(A3667,'[1]Tissue Data'!$A:$A,'[1]Tissue Data'!$H:$H)</f>
        <v>Erimyzon</v>
      </c>
      <c r="F3667" t="str">
        <f>_xlfn.XLOOKUP(A3667,'[1]Tissue Data'!$A:$A,'[1]Tissue Data'!$I:$I)</f>
        <v>oblongus</v>
      </c>
      <c r="G3667" t="str">
        <f>_xlfn.XLOOKUP(A3667,'[1]Tissue Data'!$A:$A,'[1]Tissue Data'!J:J)</f>
        <v>U</v>
      </c>
      <c r="H3667" t="str">
        <f>_xlfn.XLOOKUP(A3667,'[1]Tissue Data'!$A:$A,'[1]Tissue Data'!K:K)</f>
        <v>Whole Body</v>
      </c>
      <c r="I3667">
        <f>_xlfn.XLOOKUP(A3667,'[1]Tissue Data'!$A:$A,'[1]Tissue Data'!L:L)</f>
        <v>12</v>
      </c>
      <c r="J3667">
        <f>_xlfn.XLOOKUP(A3667,'[1]Tissue Data'!$A:$A,'[1]Tissue Data'!M:M)</f>
        <v>22.23</v>
      </c>
      <c r="K3667" t="s">
        <v>27</v>
      </c>
      <c r="L3667" t="str">
        <f>_xlfn.XLOOKUP(K3667,[2]analyte_order!$B:$B,[2]analyte_order!$C:$C)</f>
        <v>355-46-4</v>
      </c>
      <c r="M3667">
        <f>_xlfn.XLOOKUP(L3667,[2]analyte_order!$C:$C,[2]analyte_order!$E:$E)</f>
        <v>16</v>
      </c>
      <c r="N3667">
        <v>66.599999999999994</v>
      </c>
    </row>
    <row r="3668" spans="1:14">
      <c r="A3668" t="s">
        <v>154</v>
      </c>
      <c r="B3668" t="str">
        <f>_xlfn.XLOOKUP(A3668,'[1]Tissue Data'!$A:$A,'[1]Tissue Data'!$C:$C)</f>
        <v>Spill</v>
      </c>
      <c r="C3668" s="2">
        <f>_xlfn.XLOOKUP(A3668,'[1]Tissue Data'!$A:$A,'[1]Tissue Data'!$D:$D)</f>
        <v>44314</v>
      </c>
      <c r="D3668" s="2" t="str">
        <f>_xlfn.XLOOKUP(A3668,'[1]Tissue Data'!$A:$A,'[1]Tissue Data'!$F:$F)</f>
        <v>Creek Chubsucker</v>
      </c>
      <c r="E3668" t="str">
        <f>_xlfn.XLOOKUP(A3668,'[1]Tissue Data'!$A:$A,'[1]Tissue Data'!$H:$H)</f>
        <v>Erimyzon</v>
      </c>
      <c r="F3668" t="str">
        <f>_xlfn.XLOOKUP(A3668,'[1]Tissue Data'!$A:$A,'[1]Tissue Data'!$I:$I)</f>
        <v>oblongus</v>
      </c>
      <c r="G3668" t="str">
        <f>_xlfn.XLOOKUP(A3668,'[1]Tissue Data'!$A:$A,'[1]Tissue Data'!J:J)</f>
        <v>U</v>
      </c>
      <c r="H3668" t="str">
        <f>_xlfn.XLOOKUP(A3668,'[1]Tissue Data'!$A:$A,'[1]Tissue Data'!K:K)</f>
        <v>Whole Body</v>
      </c>
      <c r="I3668">
        <f>_xlfn.XLOOKUP(A3668,'[1]Tissue Data'!$A:$A,'[1]Tissue Data'!L:L)</f>
        <v>12</v>
      </c>
      <c r="J3668">
        <f>_xlfn.XLOOKUP(A3668,'[1]Tissue Data'!$A:$A,'[1]Tissue Data'!M:M)</f>
        <v>22.23</v>
      </c>
      <c r="K3668" t="s">
        <v>28</v>
      </c>
      <c r="L3668" t="str">
        <f>_xlfn.XLOOKUP(K3668,[2]analyte_order!$B:$B,[2]analyte_order!$C:$C)</f>
        <v>375-92-8</v>
      </c>
      <c r="M3668">
        <f>_xlfn.XLOOKUP(L3668,[2]analyte_order!$C:$C,[2]analyte_order!$E:$E)</f>
        <v>17</v>
      </c>
      <c r="N3668">
        <v>19.399999999999999</v>
      </c>
    </row>
    <row r="3669" spans="1:14">
      <c r="A3669" t="s">
        <v>154</v>
      </c>
      <c r="B3669" t="str">
        <f>_xlfn.XLOOKUP(A3669,'[1]Tissue Data'!$A:$A,'[1]Tissue Data'!$C:$C)</f>
        <v>Spill</v>
      </c>
      <c r="C3669" s="2">
        <f>_xlfn.XLOOKUP(A3669,'[1]Tissue Data'!$A:$A,'[1]Tissue Data'!$D:$D)</f>
        <v>44314</v>
      </c>
      <c r="D3669" s="2" t="str">
        <f>_xlfn.XLOOKUP(A3669,'[1]Tissue Data'!$A:$A,'[1]Tissue Data'!$F:$F)</f>
        <v>Creek Chubsucker</v>
      </c>
      <c r="E3669" t="str">
        <f>_xlfn.XLOOKUP(A3669,'[1]Tissue Data'!$A:$A,'[1]Tissue Data'!$H:$H)</f>
        <v>Erimyzon</v>
      </c>
      <c r="F3669" t="str">
        <f>_xlfn.XLOOKUP(A3669,'[1]Tissue Data'!$A:$A,'[1]Tissue Data'!$I:$I)</f>
        <v>oblongus</v>
      </c>
      <c r="G3669" t="str">
        <f>_xlfn.XLOOKUP(A3669,'[1]Tissue Data'!$A:$A,'[1]Tissue Data'!J:J)</f>
        <v>U</v>
      </c>
      <c r="H3669" t="str">
        <f>_xlfn.XLOOKUP(A3669,'[1]Tissue Data'!$A:$A,'[1]Tissue Data'!K:K)</f>
        <v>Whole Body</v>
      </c>
      <c r="I3669">
        <f>_xlfn.XLOOKUP(A3669,'[1]Tissue Data'!$A:$A,'[1]Tissue Data'!L:L)</f>
        <v>12</v>
      </c>
      <c r="J3669">
        <f>_xlfn.XLOOKUP(A3669,'[1]Tissue Data'!$A:$A,'[1]Tissue Data'!M:M)</f>
        <v>22.23</v>
      </c>
      <c r="K3669" t="s">
        <v>29</v>
      </c>
      <c r="L3669" t="str">
        <f>_xlfn.XLOOKUP(K3669,[2]analyte_order!$B:$B,[2]analyte_order!$C:$C)</f>
        <v>1763-23-1</v>
      </c>
      <c r="M3669">
        <f>_xlfn.XLOOKUP(L3669,[2]analyte_order!$C:$C,[2]analyte_order!$E:$E)</f>
        <v>18</v>
      </c>
      <c r="N3669">
        <v>1050</v>
      </c>
    </row>
    <row r="3670" spans="1:14">
      <c r="A3670" t="s">
        <v>154</v>
      </c>
      <c r="B3670" t="str">
        <f>_xlfn.XLOOKUP(A3670,'[1]Tissue Data'!$A:$A,'[1]Tissue Data'!$C:$C)</f>
        <v>Spill</v>
      </c>
      <c r="C3670" s="2">
        <f>_xlfn.XLOOKUP(A3670,'[1]Tissue Data'!$A:$A,'[1]Tissue Data'!$D:$D)</f>
        <v>44314</v>
      </c>
      <c r="D3670" s="2" t="str">
        <f>_xlfn.XLOOKUP(A3670,'[1]Tissue Data'!$A:$A,'[1]Tissue Data'!$F:$F)</f>
        <v>Creek Chubsucker</v>
      </c>
      <c r="E3670" t="str">
        <f>_xlfn.XLOOKUP(A3670,'[1]Tissue Data'!$A:$A,'[1]Tissue Data'!$H:$H)</f>
        <v>Erimyzon</v>
      </c>
      <c r="F3670" t="str">
        <f>_xlfn.XLOOKUP(A3670,'[1]Tissue Data'!$A:$A,'[1]Tissue Data'!$I:$I)</f>
        <v>oblongus</v>
      </c>
      <c r="G3670" t="str">
        <f>_xlfn.XLOOKUP(A3670,'[1]Tissue Data'!$A:$A,'[1]Tissue Data'!J:J)</f>
        <v>U</v>
      </c>
      <c r="H3670" t="str">
        <f>_xlfn.XLOOKUP(A3670,'[1]Tissue Data'!$A:$A,'[1]Tissue Data'!K:K)</f>
        <v>Whole Body</v>
      </c>
      <c r="I3670">
        <f>_xlfn.XLOOKUP(A3670,'[1]Tissue Data'!$A:$A,'[1]Tissue Data'!L:L)</f>
        <v>12</v>
      </c>
      <c r="J3670">
        <f>_xlfn.XLOOKUP(A3670,'[1]Tissue Data'!$A:$A,'[1]Tissue Data'!M:M)</f>
        <v>22.23</v>
      </c>
      <c r="K3670" t="s">
        <v>30</v>
      </c>
      <c r="L3670" t="str">
        <f>_xlfn.XLOOKUP(K3670,[2]analyte_order!$B:$B,[2]analyte_order!$C:$C)</f>
        <v>68259-12-1</v>
      </c>
      <c r="M3670">
        <f>_xlfn.XLOOKUP(L3670,[2]analyte_order!$C:$C,[2]analyte_order!$E:$E)</f>
        <v>19</v>
      </c>
      <c r="N3670">
        <v>1.92</v>
      </c>
    </row>
    <row r="3671" spans="1:14">
      <c r="A3671" t="s">
        <v>154</v>
      </c>
      <c r="B3671" t="str">
        <f>_xlfn.XLOOKUP(A3671,'[1]Tissue Data'!$A:$A,'[1]Tissue Data'!$C:$C)</f>
        <v>Spill</v>
      </c>
      <c r="C3671" s="2">
        <f>_xlfn.XLOOKUP(A3671,'[1]Tissue Data'!$A:$A,'[1]Tissue Data'!$D:$D)</f>
        <v>44314</v>
      </c>
      <c r="D3671" s="2" t="str">
        <f>_xlfn.XLOOKUP(A3671,'[1]Tissue Data'!$A:$A,'[1]Tissue Data'!$F:$F)</f>
        <v>Creek Chubsucker</v>
      </c>
      <c r="E3671" t="str">
        <f>_xlfn.XLOOKUP(A3671,'[1]Tissue Data'!$A:$A,'[1]Tissue Data'!$H:$H)</f>
        <v>Erimyzon</v>
      </c>
      <c r="F3671" t="str">
        <f>_xlfn.XLOOKUP(A3671,'[1]Tissue Data'!$A:$A,'[1]Tissue Data'!$I:$I)</f>
        <v>oblongus</v>
      </c>
      <c r="G3671" t="str">
        <f>_xlfn.XLOOKUP(A3671,'[1]Tissue Data'!$A:$A,'[1]Tissue Data'!J:J)</f>
        <v>U</v>
      </c>
      <c r="H3671" t="str">
        <f>_xlfn.XLOOKUP(A3671,'[1]Tissue Data'!$A:$A,'[1]Tissue Data'!K:K)</f>
        <v>Whole Body</v>
      </c>
      <c r="I3671">
        <f>_xlfn.XLOOKUP(A3671,'[1]Tissue Data'!$A:$A,'[1]Tissue Data'!L:L)</f>
        <v>12</v>
      </c>
      <c r="J3671">
        <f>_xlfn.XLOOKUP(A3671,'[1]Tissue Data'!$A:$A,'[1]Tissue Data'!M:M)</f>
        <v>22.23</v>
      </c>
      <c r="K3671" t="s">
        <v>31</v>
      </c>
      <c r="L3671" t="str">
        <f>_xlfn.XLOOKUP(K3671,[2]analyte_order!$B:$B,[2]analyte_order!$C:$C)</f>
        <v>335-77-3</v>
      </c>
      <c r="M3671">
        <f>_xlfn.XLOOKUP(L3671,[2]analyte_order!$C:$C,[2]analyte_order!$E:$E)</f>
        <v>20</v>
      </c>
      <c r="N3671">
        <v>3.03</v>
      </c>
    </row>
    <row r="3672" spans="1:14">
      <c r="A3672" t="s">
        <v>154</v>
      </c>
      <c r="B3672" t="str">
        <f>_xlfn.XLOOKUP(A3672,'[1]Tissue Data'!$A:$A,'[1]Tissue Data'!$C:$C)</f>
        <v>Spill</v>
      </c>
      <c r="C3672" s="2">
        <f>_xlfn.XLOOKUP(A3672,'[1]Tissue Data'!$A:$A,'[1]Tissue Data'!$D:$D)</f>
        <v>44314</v>
      </c>
      <c r="D3672" s="2" t="str">
        <f>_xlfn.XLOOKUP(A3672,'[1]Tissue Data'!$A:$A,'[1]Tissue Data'!$F:$F)</f>
        <v>Creek Chubsucker</v>
      </c>
      <c r="E3672" t="str">
        <f>_xlfn.XLOOKUP(A3672,'[1]Tissue Data'!$A:$A,'[1]Tissue Data'!$H:$H)</f>
        <v>Erimyzon</v>
      </c>
      <c r="F3672" t="str">
        <f>_xlfn.XLOOKUP(A3672,'[1]Tissue Data'!$A:$A,'[1]Tissue Data'!$I:$I)</f>
        <v>oblongus</v>
      </c>
      <c r="G3672" t="str">
        <f>_xlfn.XLOOKUP(A3672,'[1]Tissue Data'!$A:$A,'[1]Tissue Data'!J:J)</f>
        <v>U</v>
      </c>
      <c r="H3672" t="str">
        <f>_xlfn.XLOOKUP(A3672,'[1]Tissue Data'!$A:$A,'[1]Tissue Data'!K:K)</f>
        <v>Whole Body</v>
      </c>
      <c r="I3672">
        <f>_xlfn.XLOOKUP(A3672,'[1]Tissue Data'!$A:$A,'[1]Tissue Data'!L:L)</f>
        <v>12</v>
      </c>
      <c r="J3672">
        <f>_xlfn.XLOOKUP(A3672,'[1]Tissue Data'!$A:$A,'[1]Tissue Data'!M:M)</f>
        <v>22.23</v>
      </c>
      <c r="K3672" t="s">
        <v>32</v>
      </c>
      <c r="L3672" t="str">
        <f>_xlfn.XLOOKUP(K3672,[2]analyte_order!$B:$B,[2]analyte_order!$C:$C)</f>
        <v>79780-39-5</v>
      </c>
      <c r="M3672">
        <f>_xlfn.XLOOKUP(L3672,[2]analyte_order!$C:$C,[2]analyte_order!$E:$E)</f>
        <v>21</v>
      </c>
      <c r="N3672">
        <v>0.79700000000000004</v>
      </c>
    </row>
    <row r="3673" spans="1:14">
      <c r="A3673" t="s">
        <v>154</v>
      </c>
      <c r="B3673" t="str">
        <f>_xlfn.XLOOKUP(A3673,'[1]Tissue Data'!$A:$A,'[1]Tissue Data'!$C:$C)</f>
        <v>Spill</v>
      </c>
      <c r="C3673" s="2">
        <f>_xlfn.XLOOKUP(A3673,'[1]Tissue Data'!$A:$A,'[1]Tissue Data'!$D:$D)</f>
        <v>44314</v>
      </c>
      <c r="D3673" s="2" t="str">
        <f>_xlfn.XLOOKUP(A3673,'[1]Tissue Data'!$A:$A,'[1]Tissue Data'!$F:$F)</f>
        <v>Creek Chubsucker</v>
      </c>
      <c r="E3673" t="str">
        <f>_xlfn.XLOOKUP(A3673,'[1]Tissue Data'!$A:$A,'[1]Tissue Data'!$H:$H)</f>
        <v>Erimyzon</v>
      </c>
      <c r="F3673" t="str">
        <f>_xlfn.XLOOKUP(A3673,'[1]Tissue Data'!$A:$A,'[1]Tissue Data'!$I:$I)</f>
        <v>oblongus</v>
      </c>
      <c r="G3673" t="str">
        <f>_xlfn.XLOOKUP(A3673,'[1]Tissue Data'!$A:$A,'[1]Tissue Data'!J:J)</f>
        <v>U</v>
      </c>
      <c r="H3673" t="str">
        <f>_xlfn.XLOOKUP(A3673,'[1]Tissue Data'!$A:$A,'[1]Tissue Data'!K:K)</f>
        <v>Whole Body</v>
      </c>
      <c r="I3673">
        <f>_xlfn.XLOOKUP(A3673,'[1]Tissue Data'!$A:$A,'[1]Tissue Data'!L:L)</f>
        <v>12</v>
      </c>
      <c r="J3673">
        <f>_xlfn.XLOOKUP(A3673,'[1]Tissue Data'!$A:$A,'[1]Tissue Data'!M:M)</f>
        <v>22.23</v>
      </c>
      <c r="K3673" t="s">
        <v>33</v>
      </c>
      <c r="L3673" t="str">
        <f>_xlfn.XLOOKUP(K3673,[2]analyte_order!$B:$B,[2]analyte_order!$C:$C)</f>
        <v>777011-38-8</v>
      </c>
      <c r="M3673">
        <f>_xlfn.XLOOKUP(L3673,[2]analyte_order!$C:$C,[2]analyte_order!$E:$E)</f>
        <v>54</v>
      </c>
      <c r="N3673">
        <v>0.72099999999999997</v>
      </c>
    </row>
    <row r="3674" spans="1:14">
      <c r="A3674" t="s">
        <v>154</v>
      </c>
      <c r="B3674" t="str">
        <f>_xlfn.XLOOKUP(A3674,'[1]Tissue Data'!$A:$A,'[1]Tissue Data'!$C:$C)</f>
        <v>Spill</v>
      </c>
      <c r="C3674" s="2">
        <f>_xlfn.XLOOKUP(A3674,'[1]Tissue Data'!$A:$A,'[1]Tissue Data'!$D:$D)</f>
        <v>44314</v>
      </c>
      <c r="D3674" s="2" t="str">
        <f>_xlfn.XLOOKUP(A3674,'[1]Tissue Data'!$A:$A,'[1]Tissue Data'!$F:$F)</f>
        <v>Creek Chubsucker</v>
      </c>
      <c r="E3674" t="str">
        <f>_xlfn.XLOOKUP(A3674,'[1]Tissue Data'!$A:$A,'[1]Tissue Data'!$H:$H)</f>
        <v>Erimyzon</v>
      </c>
      <c r="F3674" t="str">
        <f>_xlfn.XLOOKUP(A3674,'[1]Tissue Data'!$A:$A,'[1]Tissue Data'!$I:$I)</f>
        <v>oblongus</v>
      </c>
      <c r="G3674" t="str">
        <f>_xlfn.XLOOKUP(A3674,'[1]Tissue Data'!$A:$A,'[1]Tissue Data'!J:J)</f>
        <v>U</v>
      </c>
      <c r="H3674" t="str">
        <f>_xlfn.XLOOKUP(A3674,'[1]Tissue Data'!$A:$A,'[1]Tissue Data'!K:K)</f>
        <v>Whole Body</v>
      </c>
      <c r="I3674">
        <f>_xlfn.XLOOKUP(A3674,'[1]Tissue Data'!$A:$A,'[1]Tissue Data'!L:L)</f>
        <v>12</v>
      </c>
      <c r="J3674">
        <f>_xlfn.XLOOKUP(A3674,'[1]Tissue Data'!$A:$A,'[1]Tissue Data'!M:M)</f>
        <v>22.23</v>
      </c>
      <c r="K3674" t="s">
        <v>34</v>
      </c>
      <c r="L3674" t="str">
        <f>_xlfn.XLOOKUP(K3674,[2]analyte_order!$B:$B,[2]analyte_order!$C:$C)</f>
        <v>646-83-3</v>
      </c>
      <c r="M3674">
        <f>_xlfn.XLOOKUP(L3674,[2]analyte_order!$C:$C,[2]analyte_order!$E:$E)</f>
        <v>55</v>
      </c>
      <c r="N3674">
        <v>0.59099999999999997</v>
      </c>
    </row>
    <row r="3675" spans="1:14">
      <c r="A3675" t="s">
        <v>154</v>
      </c>
      <c r="B3675" t="str">
        <f>_xlfn.XLOOKUP(A3675,'[1]Tissue Data'!$A:$A,'[1]Tissue Data'!$C:$C)</f>
        <v>Spill</v>
      </c>
      <c r="C3675" s="2">
        <f>_xlfn.XLOOKUP(A3675,'[1]Tissue Data'!$A:$A,'[1]Tissue Data'!$D:$D)</f>
        <v>44314</v>
      </c>
      <c r="D3675" s="2" t="str">
        <f>_xlfn.XLOOKUP(A3675,'[1]Tissue Data'!$A:$A,'[1]Tissue Data'!$F:$F)</f>
        <v>Creek Chubsucker</v>
      </c>
      <c r="E3675" t="str">
        <f>_xlfn.XLOOKUP(A3675,'[1]Tissue Data'!$A:$A,'[1]Tissue Data'!$H:$H)</f>
        <v>Erimyzon</v>
      </c>
      <c r="F3675" t="str">
        <f>_xlfn.XLOOKUP(A3675,'[1]Tissue Data'!$A:$A,'[1]Tissue Data'!$I:$I)</f>
        <v>oblongus</v>
      </c>
      <c r="G3675" t="str">
        <f>_xlfn.XLOOKUP(A3675,'[1]Tissue Data'!$A:$A,'[1]Tissue Data'!J:J)</f>
        <v>U</v>
      </c>
      <c r="H3675" t="str">
        <f>_xlfn.XLOOKUP(A3675,'[1]Tissue Data'!$A:$A,'[1]Tissue Data'!K:K)</f>
        <v>Whole Body</v>
      </c>
      <c r="I3675">
        <f>_xlfn.XLOOKUP(A3675,'[1]Tissue Data'!$A:$A,'[1]Tissue Data'!L:L)</f>
        <v>12</v>
      </c>
      <c r="J3675">
        <f>_xlfn.XLOOKUP(A3675,'[1]Tissue Data'!$A:$A,'[1]Tissue Data'!M:M)</f>
        <v>22.23</v>
      </c>
      <c r="K3675" t="s">
        <v>35</v>
      </c>
      <c r="L3675" t="str">
        <f>_xlfn.XLOOKUP(K3675,[2]analyte_order!$B:$B,[2]analyte_order!$C:$C)</f>
        <v>30334-69-1</v>
      </c>
      <c r="M3675">
        <f>_xlfn.XLOOKUP(L3675,[2]analyte_order!$C:$C,[2]analyte_order!$E:$E)</f>
        <v>51</v>
      </c>
      <c r="N3675">
        <v>37.299999999999997</v>
      </c>
    </row>
    <row r="3676" spans="1:14">
      <c r="A3676" t="s">
        <v>154</v>
      </c>
      <c r="B3676" t="str">
        <f>_xlfn.XLOOKUP(A3676,'[1]Tissue Data'!$A:$A,'[1]Tissue Data'!$C:$C)</f>
        <v>Spill</v>
      </c>
      <c r="C3676" s="2">
        <f>_xlfn.XLOOKUP(A3676,'[1]Tissue Data'!$A:$A,'[1]Tissue Data'!$D:$D)</f>
        <v>44314</v>
      </c>
      <c r="D3676" s="2" t="str">
        <f>_xlfn.XLOOKUP(A3676,'[1]Tissue Data'!$A:$A,'[1]Tissue Data'!$F:$F)</f>
        <v>Creek Chubsucker</v>
      </c>
      <c r="E3676" t="str">
        <f>_xlfn.XLOOKUP(A3676,'[1]Tissue Data'!$A:$A,'[1]Tissue Data'!$H:$H)</f>
        <v>Erimyzon</v>
      </c>
      <c r="F3676" t="str">
        <f>_xlfn.XLOOKUP(A3676,'[1]Tissue Data'!$A:$A,'[1]Tissue Data'!$I:$I)</f>
        <v>oblongus</v>
      </c>
      <c r="G3676" t="str">
        <f>_xlfn.XLOOKUP(A3676,'[1]Tissue Data'!$A:$A,'[1]Tissue Data'!J:J)</f>
        <v>U</v>
      </c>
      <c r="H3676" t="str">
        <f>_xlfn.XLOOKUP(A3676,'[1]Tissue Data'!$A:$A,'[1]Tissue Data'!K:K)</f>
        <v>Whole Body</v>
      </c>
      <c r="I3676">
        <f>_xlfn.XLOOKUP(A3676,'[1]Tissue Data'!$A:$A,'[1]Tissue Data'!L:L)</f>
        <v>12</v>
      </c>
      <c r="J3676">
        <f>_xlfn.XLOOKUP(A3676,'[1]Tissue Data'!$A:$A,'[1]Tissue Data'!M:M)</f>
        <v>22.23</v>
      </c>
      <c r="K3676" t="s">
        <v>36</v>
      </c>
      <c r="L3676" t="str">
        <f>_xlfn.XLOOKUP(K3676,[2]analyte_order!$B:$B,[2]analyte_order!$C:$C)</f>
        <v>41997-13-1</v>
      </c>
      <c r="M3676">
        <f>_xlfn.XLOOKUP(L3676,[2]analyte_order!$C:$C,[2]analyte_order!$E:$E)</f>
        <v>52</v>
      </c>
      <c r="N3676">
        <v>241</v>
      </c>
    </row>
    <row r="3677" spans="1:14">
      <c r="A3677" t="s">
        <v>154</v>
      </c>
      <c r="B3677" t="str">
        <f>_xlfn.XLOOKUP(A3677,'[1]Tissue Data'!$A:$A,'[1]Tissue Data'!$C:$C)</f>
        <v>Spill</v>
      </c>
      <c r="C3677" s="2">
        <f>_xlfn.XLOOKUP(A3677,'[1]Tissue Data'!$A:$A,'[1]Tissue Data'!$D:$D)</f>
        <v>44314</v>
      </c>
      <c r="D3677" s="2" t="str">
        <f>_xlfn.XLOOKUP(A3677,'[1]Tissue Data'!$A:$A,'[1]Tissue Data'!$F:$F)</f>
        <v>Creek Chubsucker</v>
      </c>
      <c r="E3677" t="str">
        <f>_xlfn.XLOOKUP(A3677,'[1]Tissue Data'!$A:$A,'[1]Tissue Data'!$H:$H)</f>
        <v>Erimyzon</v>
      </c>
      <c r="F3677" t="str">
        <f>_xlfn.XLOOKUP(A3677,'[1]Tissue Data'!$A:$A,'[1]Tissue Data'!$I:$I)</f>
        <v>oblongus</v>
      </c>
      <c r="G3677" t="str">
        <f>_xlfn.XLOOKUP(A3677,'[1]Tissue Data'!$A:$A,'[1]Tissue Data'!J:J)</f>
        <v>U</v>
      </c>
      <c r="H3677" t="str">
        <f>_xlfn.XLOOKUP(A3677,'[1]Tissue Data'!$A:$A,'[1]Tissue Data'!K:K)</f>
        <v>Whole Body</v>
      </c>
      <c r="I3677">
        <f>_xlfn.XLOOKUP(A3677,'[1]Tissue Data'!$A:$A,'[1]Tissue Data'!L:L)</f>
        <v>12</v>
      </c>
      <c r="J3677">
        <f>_xlfn.XLOOKUP(A3677,'[1]Tissue Data'!$A:$A,'[1]Tissue Data'!M:M)</f>
        <v>22.23</v>
      </c>
      <c r="K3677" t="s">
        <v>37</v>
      </c>
      <c r="L3677" t="str">
        <f>_xlfn.XLOOKUP(K3677,[2]analyte_order!$B:$B,[2]analyte_order!$C:$C)</f>
        <v>754-91-6</v>
      </c>
      <c r="M3677">
        <f>_xlfn.XLOOKUP(L3677,[2]analyte_order!$C:$C,[2]analyte_order!$E:$E)</f>
        <v>28</v>
      </c>
      <c r="N3677">
        <v>30.4</v>
      </c>
    </row>
    <row r="3678" spans="1:14">
      <c r="A3678" t="s">
        <v>154</v>
      </c>
      <c r="B3678" t="str">
        <f>_xlfn.XLOOKUP(A3678,'[1]Tissue Data'!$A:$A,'[1]Tissue Data'!$C:$C)</f>
        <v>Spill</v>
      </c>
      <c r="C3678" s="2">
        <f>_xlfn.XLOOKUP(A3678,'[1]Tissue Data'!$A:$A,'[1]Tissue Data'!$D:$D)</f>
        <v>44314</v>
      </c>
      <c r="D3678" s="2" t="str">
        <f>_xlfn.XLOOKUP(A3678,'[1]Tissue Data'!$A:$A,'[1]Tissue Data'!$F:$F)</f>
        <v>Creek Chubsucker</v>
      </c>
      <c r="E3678" t="str">
        <f>_xlfn.XLOOKUP(A3678,'[1]Tissue Data'!$A:$A,'[1]Tissue Data'!$H:$H)</f>
        <v>Erimyzon</v>
      </c>
      <c r="F3678" t="str">
        <f>_xlfn.XLOOKUP(A3678,'[1]Tissue Data'!$A:$A,'[1]Tissue Data'!$I:$I)</f>
        <v>oblongus</v>
      </c>
      <c r="G3678" t="str">
        <f>_xlfn.XLOOKUP(A3678,'[1]Tissue Data'!$A:$A,'[1]Tissue Data'!J:J)</f>
        <v>U</v>
      </c>
      <c r="H3678" t="str">
        <f>_xlfn.XLOOKUP(A3678,'[1]Tissue Data'!$A:$A,'[1]Tissue Data'!K:K)</f>
        <v>Whole Body</v>
      </c>
      <c r="I3678">
        <f>_xlfn.XLOOKUP(A3678,'[1]Tissue Data'!$A:$A,'[1]Tissue Data'!L:L)</f>
        <v>12</v>
      </c>
      <c r="J3678">
        <f>_xlfn.XLOOKUP(A3678,'[1]Tissue Data'!$A:$A,'[1]Tissue Data'!M:M)</f>
        <v>22.23</v>
      </c>
      <c r="K3678" t="s">
        <v>38</v>
      </c>
      <c r="L3678" t="str">
        <f>_xlfn.XLOOKUP(K3678,[2]analyte_order!$B:$B,[2]analyte_order!$C:$C)</f>
        <v>31506-32-8</v>
      </c>
      <c r="M3678">
        <f>_xlfn.XLOOKUP(L3678,[2]analyte_order!$C:$C,[2]analyte_order!$E:$E)</f>
        <v>30</v>
      </c>
      <c r="N3678">
        <v>5.5500000000000001E-2</v>
      </c>
    </row>
    <row r="3679" spans="1:14">
      <c r="A3679" t="s">
        <v>154</v>
      </c>
      <c r="B3679" t="str">
        <f>_xlfn.XLOOKUP(A3679,'[1]Tissue Data'!$A:$A,'[1]Tissue Data'!$C:$C)</f>
        <v>Spill</v>
      </c>
      <c r="C3679" s="2">
        <f>_xlfn.XLOOKUP(A3679,'[1]Tissue Data'!$A:$A,'[1]Tissue Data'!$D:$D)</f>
        <v>44314</v>
      </c>
      <c r="D3679" s="2" t="str">
        <f>_xlfn.XLOOKUP(A3679,'[1]Tissue Data'!$A:$A,'[1]Tissue Data'!$F:$F)</f>
        <v>Creek Chubsucker</v>
      </c>
      <c r="E3679" t="str">
        <f>_xlfn.XLOOKUP(A3679,'[1]Tissue Data'!$A:$A,'[1]Tissue Data'!$H:$H)</f>
        <v>Erimyzon</v>
      </c>
      <c r="F3679" t="str">
        <f>_xlfn.XLOOKUP(A3679,'[1]Tissue Data'!$A:$A,'[1]Tissue Data'!$I:$I)</f>
        <v>oblongus</v>
      </c>
      <c r="G3679" t="str">
        <f>_xlfn.XLOOKUP(A3679,'[1]Tissue Data'!$A:$A,'[1]Tissue Data'!J:J)</f>
        <v>U</v>
      </c>
      <c r="H3679" t="str">
        <f>_xlfn.XLOOKUP(A3679,'[1]Tissue Data'!$A:$A,'[1]Tissue Data'!K:K)</f>
        <v>Whole Body</v>
      </c>
      <c r="I3679">
        <f>_xlfn.XLOOKUP(A3679,'[1]Tissue Data'!$A:$A,'[1]Tissue Data'!L:L)</f>
        <v>12</v>
      </c>
      <c r="J3679">
        <f>_xlfn.XLOOKUP(A3679,'[1]Tissue Data'!$A:$A,'[1]Tissue Data'!M:M)</f>
        <v>22.23</v>
      </c>
      <c r="K3679" t="s">
        <v>39</v>
      </c>
      <c r="L3679" t="str">
        <f>_xlfn.XLOOKUP(K3679,[2]analyte_order!$B:$B,[2]analyte_order!$C:$C)</f>
        <v>4151-50-2</v>
      </c>
      <c r="M3679">
        <f>_xlfn.XLOOKUP(L3679,[2]analyte_order!$C:$C,[2]analyte_order!$E:$E)</f>
        <v>31</v>
      </c>
      <c r="N3679">
        <v>8.4000000000000005E-2</v>
      </c>
    </row>
    <row r="3680" spans="1:14">
      <c r="A3680" t="s">
        <v>154</v>
      </c>
      <c r="B3680" t="str">
        <f>_xlfn.XLOOKUP(A3680,'[1]Tissue Data'!$A:$A,'[1]Tissue Data'!$C:$C)</f>
        <v>Spill</v>
      </c>
      <c r="C3680" s="2">
        <f>_xlfn.XLOOKUP(A3680,'[1]Tissue Data'!$A:$A,'[1]Tissue Data'!$D:$D)</f>
        <v>44314</v>
      </c>
      <c r="D3680" s="2" t="str">
        <f>_xlfn.XLOOKUP(A3680,'[1]Tissue Data'!$A:$A,'[1]Tissue Data'!$F:$F)</f>
        <v>Creek Chubsucker</v>
      </c>
      <c r="E3680" t="str">
        <f>_xlfn.XLOOKUP(A3680,'[1]Tissue Data'!$A:$A,'[1]Tissue Data'!$H:$H)</f>
        <v>Erimyzon</v>
      </c>
      <c r="F3680" t="str">
        <f>_xlfn.XLOOKUP(A3680,'[1]Tissue Data'!$A:$A,'[1]Tissue Data'!$I:$I)</f>
        <v>oblongus</v>
      </c>
      <c r="G3680" t="str">
        <f>_xlfn.XLOOKUP(A3680,'[1]Tissue Data'!$A:$A,'[1]Tissue Data'!J:J)</f>
        <v>U</v>
      </c>
      <c r="H3680" t="str">
        <f>_xlfn.XLOOKUP(A3680,'[1]Tissue Data'!$A:$A,'[1]Tissue Data'!K:K)</f>
        <v>Whole Body</v>
      </c>
      <c r="I3680">
        <f>_xlfn.XLOOKUP(A3680,'[1]Tissue Data'!$A:$A,'[1]Tissue Data'!L:L)</f>
        <v>12</v>
      </c>
      <c r="J3680">
        <f>_xlfn.XLOOKUP(A3680,'[1]Tissue Data'!$A:$A,'[1]Tissue Data'!M:M)</f>
        <v>22.23</v>
      </c>
      <c r="K3680" t="s">
        <v>40</v>
      </c>
      <c r="L3680" t="str">
        <f>_xlfn.XLOOKUP(K3680,[2]analyte_order!$B:$B,[2]analyte_order!$C:$C)</f>
        <v>2806-24-8</v>
      </c>
      <c r="M3680">
        <f>_xlfn.XLOOKUP(L3680,[2]analyte_order!$C:$C,[2]analyte_order!$E:$E)</f>
        <v>29</v>
      </c>
      <c r="N3680">
        <v>0.187</v>
      </c>
    </row>
    <row r="3681" spans="1:14">
      <c r="A3681" t="s">
        <v>154</v>
      </c>
      <c r="B3681" t="str">
        <f>_xlfn.XLOOKUP(A3681,'[1]Tissue Data'!$A:$A,'[1]Tissue Data'!$C:$C)</f>
        <v>Spill</v>
      </c>
      <c r="C3681" s="2">
        <f>_xlfn.XLOOKUP(A3681,'[1]Tissue Data'!$A:$A,'[1]Tissue Data'!$D:$D)</f>
        <v>44314</v>
      </c>
      <c r="D3681" s="2" t="str">
        <f>_xlfn.XLOOKUP(A3681,'[1]Tissue Data'!$A:$A,'[1]Tissue Data'!$F:$F)</f>
        <v>Creek Chubsucker</v>
      </c>
      <c r="E3681" t="str">
        <f>_xlfn.XLOOKUP(A3681,'[1]Tissue Data'!$A:$A,'[1]Tissue Data'!$H:$H)</f>
        <v>Erimyzon</v>
      </c>
      <c r="F3681" t="str">
        <f>_xlfn.XLOOKUP(A3681,'[1]Tissue Data'!$A:$A,'[1]Tissue Data'!$I:$I)</f>
        <v>oblongus</v>
      </c>
      <c r="G3681" t="str">
        <f>_xlfn.XLOOKUP(A3681,'[1]Tissue Data'!$A:$A,'[1]Tissue Data'!J:J)</f>
        <v>U</v>
      </c>
      <c r="H3681" t="str">
        <f>_xlfn.XLOOKUP(A3681,'[1]Tissue Data'!$A:$A,'[1]Tissue Data'!K:K)</f>
        <v>Whole Body</v>
      </c>
      <c r="I3681">
        <f>_xlfn.XLOOKUP(A3681,'[1]Tissue Data'!$A:$A,'[1]Tissue Data'!L:L)</f>
        <v>12</v>
      </c>
      <c r="J3681">
        <f>_xlfn.XLOOKUP(A3681,'[1]Tissue Data'!$A:$A,'[1]Tissue Data'!M:M)</f>
        <v>22.23</v>
      </c>
      <c r="K3681" t="s">
        <v>41</v>
      </c>
      <c r="L3681" t="str">
        <f>_xlfn.XLOOKUP(K3681,[2]analyte_order!$B:$B,[2]analyte_order!$C:$C)</f>
        <v>2355-31-9</v>
      </c>
      <c r="M3681">
        <f>_xlfn.XLOOKUP(L3681,[2]analyte_order!$C:$C,[2]analyte_order!$E:$E)</f>
        <v>26</v>
      </c>
      <c r="N3681">
        <v>0.23849999999999999</v>
      </c>
    </row>
    <row r="3682" spans="1:14">
      <c r="A3682" t="s">
        <v>154</v>
      </c>
      <c r="B3682" t="str">
        <f>_xlfn.XLOOKUP(A3682,'[1]Tissue Data'!$A:$A,'[1]Tissue Data'!$C:$C)</f>
        <v>Spill</v>
      </c>
      <c r="C3682" s="2">
        <f>_xlfn.XLOOKUP(A3682,'[1]Tissue Data'!$A:$A,'[1]Tissue Data'!$D:$D)</f>
        <v>44314</v>
      </c>
      <c r="D3682" s="2" t="str">
        <f>_xlfn.XLOOKUP(A3682,'[1]Tissue Data'!$A:$A,'[1]Tissue Data'!$F:$F)</f>
        <v>Creek Chubsucker</v>
      </c>
      <c r="E3682" t="str">
        <f>_xlfn.XLOOKUP(A3682,'[1]Tissue Data'!$A:$A,'[1]Tissue Data'!$H:$H)</f>
        <v>Erimyzon</v>
      </c>
      <c r="F3682" t="str">
        <f>_xlfn.XLOOKUP(A3682,'[1]Tissue Data'!$A:$A,'[1]Tissue Data'!$I:$I)</f>
        <v>oblongus</v>
      </c>
      <c r="G3682" t="str">
        <f>_xlfn.XLOOKUP(A3682,'[1]Tissue Data'!$A:$A,'[1]Tissue Data'!J:J)</f>
        <v>U</v>
      </c>
      <c r="H3682" t="str">
        <f>_xlfn.XLOOKUP(A3682,'[1]Tissue Data'!$A:$A,'[1]Tissue Data'!K:K)</f>
        <v>Whole Body</v>
      </c>
      <c r="I3682">
        <f>_xlfn.XLOOKUP(A3682,'[1]Tissue Data'!$A:$A,'[1]Tissue Data'!L:L)</f>
        <v>12</v>
      </c>
      <c r="J3682">
        <f>_xlfn.XLOOKUP(A3682,'[1]Tissue Data'!$A:$A,'[1]Tissue Data'!M:M)</f>
        <v>22.23</v>
      </c>
      <c r="K3682" t="s">
        <v>42</v>
      </c>
      <c r="L3682" t="str">
        <f>_xlfn.XLOOKUP(K3682,[2]analyte_order!$B:$B,[2]analyte_order!$C:$C)</f>
        <v>2991-50-6</v>
      </c>
      <c r="M3682">
        <f>_xlfn.XLOOKUP(L3682,[2]analyte_order!$C:$C,[2]analyte_order!$E:$E)</f>
        <v>27</v>
      </c>
      <c r="N3682">
        <v>6.25E-2</v>
      </c>
    </row>
    <row r="3683" spans="1:14">
      <c r="A3683" t="s">
        <v>154</v>
      </c>
      <c r="B3683" t="str">
        <f>_xlfn.XLOOKUP(A3683,'[1]Tissue Data'!$A:$A,'[1]Tissue Data'!$C:$C)</f>
        <v>Spill</v>
      </c>
      <c r="C3683" s="2">
        <f>_xlfn.XLOOKUP(A3683,'[1]Tissue Data'!$A:$A,'[1]Tissue Data'!$D:$D)</f>
        <v>44314</v>
      </c>
      <c r="D3683" s="2" t="str">
        <f>_xlfn.XLOOKUP(A3683,'[1]Tissue Data'!$A:$A,'[1]Tissue Data'!$F:$F)</f>
        <v>Creek Chubsucker</v>
      </c>
      <c r="E3683" t="str">
        <f>_xlfn.XLOOKUP(A3683,'[1]Tissue Data'!$A:$A,'[1]Tissue Data'!$H:$H)</f>
        <v>Erimyzon</v>
      </c>
      <c r="F3683" t="str">
        <f>_xlfn.XLOOKUP(A3683,'[1]Tissue Data'!$A:$A,'[1]Tissue Data'!$I:$I)</f>
        <v>oblongus</v>
      </c>
      <c r="G3683" t="str">
        <f>_xlfn.XLOOKUP(A3683,'[1]Tissue Data'!$A:$A,'[1]Tissue Data'!J:J)</f>
        <v>U</v>
      </c>
      <c r="H3683" t="str">
        <f>_xlfn.XLOOKUP(A3683,'[1]Tissue Data'!$A:$A,'[1]Tissue Data'!K:K)</f>
        <v>Whole Body</v>
      </c>
      <c r="I3683">
        <f>_xlfn.XLOOKUP(A3683,'[1]Tissue Data'!$A:$A,'[1]Tissue Data'!L:L)</f>
        <v>12</v>
      </c>
      <c r="J3683">
        <f>_xlfn.XLOOKUP(A3683,'[1]Tissue Data'!$A:$A,'[1]Tissue Data'!M:M)</f>
        <v>22.23</v>
      </c>
      <c r="K3683" t="s">
        <v>43</v>
      </c>
      <c r="L3683" t="str">
        <f>_xlfn.XLOOKUP(K3683,[2]analyte_order!$B:$B,[2]analyte_order!$C:$C)</f>
        <v>757124-72-4</v>
      </c>
      <c r="M3683">
        <f>_xlfn.XLOOKUP(L3683,[2]analyte_order!$C:$C,[2]analyte_order!$E:$E)</f>
        <v>22</v>
      </c>
      <c r="N3683">
        <v>5.8999999999999997E-2</v>
      </c>
    </row>
    <row r="3684" spans="1:14">
      <c r="A3684" t="s">
        <v>154</v>
      </c>
      <c r="B3684" t="str">
        <f>_xlfn.XLOOKUP(A3684,'[1]Tissue Data'!$A:$A,'[1]Tissue Data'!$C:$C)</f>
        <v>Spill</v>
      </c>
      <c r="C3684" s="2">
        <f>_xlfn.XLOOKUP(A3684,'[1]Tissue Data'!$A:$A,'[1]Tissue Data'!$D:$D)</f>
        <v>44314</v>
      </c>
      <c r="D3684" s="2" t="str">
        <f>_xlfn.XLOOKUP(A3684,'[1]Tissue Data'!$A:$A,'[1]Tissue Data'!$F:$F)</f>
        <v>Creek Chubsucker</v>
      </c>
      <c r="E3684" t="str">
        <f>_xlfn.XLOOKUP(A3684,'[1]Tissue Data'!$A:$A,'[1]Tissue Data'!$H:$H)</f>
        <v>Erimyzon</v>
      </c>
      <c r="F3684" t="str">
        <f>_xlfn.XLOOKUP(A3684,'[1]Tissue Data'!$A:$A,'[1]Tissue Data'!$I:$I)</f>
        <v>oblongus</v>
      </c>
      <c r="G3684" t="str">
        <f>_xlfn.XLOOKUP(A3684,'[1]Tissue Data'!$A:$A,'[1]Tissue Data'!J:J)</f>
        <v>U</v>
      </c>
      <c r="H3684" t="str">
        <f>_xlfn.XLOOKUP(A3684,'[1]Tissue Data'!$A:$A,'[1]Tissue Data'!K:K)</f>
        <v>Whole Body</v>
      </c>
      <c r="I3684">
        <f>_xlfn.XLOOKUP(A3684,'[1]Tissue Data'!$A:$A,'[1]Tissue Data'!L:L)</f>
        <v>12</v>
      </c>
      <c r="J3684">
        <f>_xlfn.XLOOKUP(A3684,'[1]Tissue Data'!$A:$A,'[1]Tissue Data'!M:M)</f>
        <v>22.23</v>
      </c>
      <c r="K3684" t="s">
        <v>44</v>
      </c>
      <c r="L3684" t="str">
        <f>_xlfn.XLOOKUP(K3684,[2]analyte_order!$B:$B,[2]analyte_order!$C:$C)</f>
        <v>27619-97-2</v>
      </c>
      <c r="M3684">
        <f>_xlfn.XLOOKUP(L3684,[2]analyte_order!$C:$C,[2]analyte_order!$E:$E)</f>
        <v>23</v>
      </c>
      <c r="N3684">
        <v>7.98</v>
      </c>
    </row>
    <row r="3685" spans="1:14">
      <c r="A3685" t="s">
        <v>154</v>
      </c>
      <c r="B3685" t="str">
        <f>_xlfn.XLOOKUP(A3685,'[1]Tissue Data'!$A:$A,'[1]Tissue Data'!$C:$C)</f>
        <v>Spill</v>
      </c>
      <c r="C3685" s="2">
        <f>_xlfn.XLOOKUP(A3685,'[1]Tissue Data'!$A:$A,'[1]Tissue Data'!$D:$D)</f>
        <v>44314</v>
      </c>
      <c r="D3685" s="2" t="str">
        <f>_xlfn.XLOOKUP(A3685,'[1]Tissue Data'!$A:$A,'[1]Tissue Data'!$F:$F)</f>
        <v>Creek Chubsucker</v>
      </c>
      <c r="E3685" t="str">
        <f>_xlfn.XLOOKUP(A3685,'[1]Tissue Data'!$A:$A,'[1]Tissue Data'!$H:$H)</f>
        <v>Erimyzon</v>
      </c>
      <c r="F3685" t="str">
        <f>_xlfn.XLOOKUP(A3685,'[1]Tissue Data'!$A:$A,'[1]Tissue Data'!$I:$I)</f>
        <v>oblongus</v>
      </c>
      <c r="G3685" t="str">
        <f>_xlfn.XLOOKUP(A3685,'[1]Tissue Data'!$A:$A,'[1]Tissue Data'!J:J)</f>
        <v>U</v>
      </c>
      <c r="H3685" t="str">
        <f>_xlfn.XLOOKUP(A3685,'[1]Tissue Data'!$A:$A,'[1]Tissue Data'!K:K)</f>
        <v>Whole Body</v>
      </c>
      <c r="I3685">
        <f>_xlfn.XLOOKUP(A3685,'[1]Tissue Data'!$A:$A,'[1]Tissue Data'!L:L)</f>
        <v>12</v>
      </c>
      <c r="J3685">
        <f>_xlfn.XLOOKUP(A3685,'[1]Tissue Data'!$A:$A,'[1]Tissue Data'!M:M)</f>
        <v>22.23</v>
      </c>
      <c r="K3685" t="s">
        <v>45</v>
      </c>
      <c r="L3685" t="str">
        <f>_xlfn.XLOOKUP(K3685,[2]analyte_order!$B:$B,[2]analyte_order!$C:$C)</f>
        <v>39108-34-4</v>
      </c>
      <c r="M3685">
        <f>_xlfn.XLOOKUP(L3685,[2]analyte_order!$C:$C,[2]analyte_order!$E:$E)</f>
        <v>24</v>
      </c>
      <c r="N3685">
        <v>12.4</v>
      </c>
    </row>
    <row r="3686" spans="1:14">
      <c r="A3686" t="s">
        <v>154</v>
      </c>
      <c r="B3686" t="str">
        <f>_xlfn.XLOOKUP(A3686,'[1]Tissue Data'!$A:$A,'[1]Tissue Data'!$C:$C)</f>
        <v>Spill</v>
      </c>
      <c r="C3686" s="2">
        <f>_xlfn.XLOOKUP(A3686,'[1]Tissue Data'!$A:$A,'[1]Tissue Data'!$D:$D)</f>
        <v>44314</v>
      </c>
      <c r="D3686" s="2" t="str">
        <f>_xlfn.XLOOKUP(A3686,'[1]Tissue Data'!$A:$A,'[1]Tissue Data'!$F:$F)</f>
        <v>Creek Chubsucker</v>
      </c>
      <c r="E3686" t="str">
        <f>_xlfn.XLOOKUP(A3686,'[1]Tissue Data'!$A:$A,'[1]Tissue Data'!$H:$H)</f>
        <v>Erimyzon</v>
      </c>
      <c r="F3686" t="str">
        <f>_xlfn.XLOOKUP(A3686,'[1]Tissue Data'!$A:$A,'[1]Tissue Data'!$I:$I)</f>
        <v>oblongus</v>
      </c>
      <c r="G3686" t="str">
        <f>_xlfn.XLOOKUP(A3686,'[1]Tissue Data'!$A:$A,'[1]Tissue Data'!J:J)</f>
        <v>U</v>
      </c>
      <c r="H3686" t="str">
        <f>_xlfn.XLOOKUP(A3686,'[1]Tissue Data'!$A:$A,'[1]Tissue Data'!K:K)</f>
        <v>Whole Body</v>
      </c>
      <c r="I3686">
        <f>_xlfn.XLOOKUP(A3686,'[1]Tissue Data'!$A:$A,'[1]Tissue Data'!L:L)</f>
        <v>12</v>
      </c>
      <c r="J3686">
        <f>_xlfn.XLOOKUP(A3686,'[1]Tissue Data'!$A:$A,'[1]Tissue Data'!M:M)</f>
        <v>22.23</v>
      </c>
      <c r="K3686" t="s">
        <v>46</v>
      </c>
      <c r="L3686" t="str">
        <f>_xlfn.XLOOKUP(K3686,[2]analyte_order!$B:$B,[2]analyte_order!$C:$C)</f>
        <v>120226-60-0</v>
      </c>
      <c r="M3686">
        <f>_xlfn.XLOOKUP(L3686,[2]analyte_order!$C:$C,[2]analyte_order!$E:$E)</f>
        <v>25</v>
      </c>
      <c r="N3686">
        <v>0.26950000000000002</v>
      </c>
    </row>
    <row r="3687" spans="1:14">
      <c r="A3687" t="s">
        <v>154</v>
      </c>
      <c r="B3687" t="str">
        <f>_xlfn.XLOOKUP(A3687,'[1]Tissue Data'!$A:$A,'[1]Tissue Data'!$C:$C)</f>
        <v>Spill</v>
      </c>
      <c r="C3687" s="2">
        <f>_xlfn.XLOOKUP(A3687,'[1]Tissue Data'!$A:$A,'[1]Tissue Data'!$D:$D)</f>
        <v>44314</v>
      </c>
      <c r="D3687" s="2" t="str">
        <f>_xlfn.XLOOKUP(A3687,'[1]Tissue Data'!$A:$A,'[1]Tissue Data'!$F:$F)</f>
        <v>Creek Chubsucker</v>
      </c>
      <c r="E3687" t="str">
        <f>_xlfn.XLOOKUP(A3687,'[1]Tissue Data'!$A:$A,'[1]Tissue Data'!$H:$H)</f>
        <v>Erimyzon</v>
      </c>
      <c r="F3687" t="str">
        <f>_xlfn.XLOOKUP(A3687,'[1]Tissue Data'!$A:$A,'[1]Tissue Data'!$I:$I)</f>
        <v>oblongus</v>
      </c>
      <c r="G3687" t="str">
        <f>_xlfn.XLOOKUP(A3687,'[1]Tissue Data'!$A:$A,'[1]Tissue Data'!J:J)</f>
        <v>U</v>
      </c>
      <c r="H3687" t="str">
        <f>_xlfn.XLOOKUP(A3687,'[1]Tissue Data'!$A:$A,'[1]Tissue Data'!K:K)</f>
        <v>Whole Body</v>
      </c>
      <c r="I3687">
        <f>_xlfn.XLOOKUP(A3687,'[1]Tissue Data'!$A:$A,'[1]Tissue Data'!L:L)</f>
        <v>12</v>
      </c>
      <c r="J3687">
        <f>_xlfn.XLOOKUP(A3687,'[1]Tissue Data'!$A:$A,'[1]Tissue Data'!M:M)</f>
        <v>22.23</v>
      </c>
      <c r="K3687" t="s">
        <v>47</v>
      </c>
      <c r="L3687" t="str">
        <f>_xlfn.XLOOKUP(K3687,[2]analyte_order!$B:$B,[2]analyte_order!$C:$C)</f>
        <v>356-02-5</v>
      </c>
      <c r="M3687">
        <f>_xlfn.XLOOKUP(L3687,[2]analyte_order!$C:$C,[2]analyte_order!$E:$E)</f>
        <v>38</v>
      </c>
      <c r="N3687">
        <v>8.3000000000000004E-2</v>
      </c>
    </row>
    <row r="3688" spans="1:14">
      <c r="A3688" t="s">
        <v>154</v>
      </c>
      <c r="B3688" t="str">
        <f>_xlfn.XLOOKUP(A3688,'[1]Tissue Data'!$A:$A,'[1]Tissue Data'!$C:$C)</f>
        <v>Spill</v>
      </c>
      <c r="C3688" s="2">
        <f>_xlfn.XLOOKUP(A3688,'[1]Tissue Data'!$A:$A,'[1]Tissue Data'!$D:$D)</f>
        <v>44314</v>
      </c>
      <c r="D3688" s="2" t="str">
        <f>_xlfn.XLOOKUP(A3688,'[1]Tissue Data'!$A:$A,'[1]Tissue Data'!$F:$F)</f>
        <v>Creek Chubsucker</v>
      </c>
      <c r="E3688" t="str">
        <f>_xlfn.XLOOKUP(A3688,'[1]Tissue Data'!$A:$A,'[1]Tissue Data'!$H:$H)</f>
        <v>Erimyzon</v>
      </c>
      <c r="F3688" t="str">
        <f>_xlfn.XLOOKUP(A3688,'[1]Tissue Data'!$A:$A,'[1]Tissue Data'!$I:$I)</f>
        <v>oblongus</v>
      </c>
      <c r="G3688" t="str">
        <f>_xlfn.XLOOKUP(A3688,'[1]Tissue Data'!$A:$A,'[1]Tissue Data'!J:J)</f>
        <v>U</v>
      </c>
      <c r="H3688" t="str">
        <f>_xlfn.XLOOKUP(A3688,'[1]Tissue Data'!$A:$A,'[1]Tissue Data'!K:K)</f>
        <v>Whole Body</v>
      </c>
      <c r="I3688">
        <f>_xlfn.XLOOKUP(A3688,'[1]Tissue Data'!$A:$A,'[1]Tissue Data'!L:L)</f>
        <v>12</v>
      </c>
      <c r="J3688">
        <f>_xlfn.XLOOKUP(A3688,'[1]Tissue Data'!$A:$A,'[1]Tissue Data'!M:M)</f>
        <v>22.23</v>
      </c>
      <c r="K3688" t="s">
        <v>48</v>
      </c>
      <c r="L3688" t="str">
        <f>_xlfn.XLOOKUP(K3688,[2]analyte_order!$B:$B,[2]analyte_order!$C:$C)</f>
        <v>914637-49-3</v>
      </c>
      <c r="M3688">
        <f>_xlfn.XLOOKUP(L3688,[2]analyte_order!$C:$C,[2]analyte_order!$E:$E)</f>
        <v>39</v>
      </c>
      <c r="N3688">
        <v>7.1999999999999995E-2</v>
      </c>
    </row>
    <row r="3689" spans="1:14">
      <c r="A3689" t="s">
        <v>154</v>
      </c>
      <c r="B3689" t="str">
        <f>_xlfn.XLOOKUP(A3689,'[1]Tissue Data'!$A:$A,'[1]Tissue Data'!$C:$C)</f>
        <v>Spill</v>
      </c>
      <c r="C3689" s="2">
        <f>_xlfn.XLOOKUP(A3689,'[1]Tissue Data'!$A:$A,'[1]Tissue Data'!$D:$D)</f>
        <v>44314</v>
      </c>
      <c r="D3689" s="2" t="str">
        <f>_xlfn.XLOOKUP(A3689,'[1]Tissue Data'!$A:$A,'[1]Tissue Data'!$F:$F)</f>
        <v>Creek Chubsucker</v>
      </c>
      <c r="E3689" t="str">
        <f>_xlfn.XLOOKUP(A3689,'[1]Tissue Data'!$A:$A,'[1]Tissue Data'!$H:$H)</f>
        <v>Erimyzon</v>
      </c>
      <c r="F3689" t="str">
        <f>_xlfn.XLOOKUP(A3689,'[1]Tissue Data'!$A:$A,'[1]Tissue Data'!$I:$I)</f>
        <v>oblongus</v>
      </c>
      <c r="G3689" t="str">
        <f>_xlfn.XLOOKUP(A3689,'[1]Tissue Data'!$A:$A,'[1]Tissue Data'!J:J)</f>
        <v>U</v>
      </c>
      <c r="H3689" t="str">
        <f>_xlfn.XLOOKUP(A3689,'[1]Tissue Data'!$A:$A,'[1]Tissue Data'!K:K)</f>
        <v>Whole Body</v>
      </c>
      <c r="I3689">
        <f>_xlfn.XLOOKUP(A3689,'[1]Tissue Data'!$A:$A,'[1]Tissue Data'!L:L)</f>
        <v>12</v>
      </c>
      <c r="J3689">
        <f>_xlfn.XLOOKUP(A3689,'[1]Tissue Data'!$A:$A,'[1]Tissue Data'!M:M)</f>
        <v>22.23</v>
      </c>
      <c r="K3689" t="s">
        <v>49</v>
      </c>
      <c r="L3689" t="str">
        <f>_xlfn.XLOOKUP(K3689,[2]analyte_order!$B:$B,[2]analyte_order!$C:$C)</f>
        <v>812-70-4</v>
      </c>
      <c r="M3689">
        <f>_xlfn.XLOOKUP(L3689,[2]analyte_order!$C:$C,[2]analyte_order!$E:$E)</f>
        <v>40</v>
      </c>
      <c r="N3689">
        <v>9</v>
      </c>
    </row>
    <row r="3690" spans="1:14">
      <c r="A3690" t="s">
        <v>154</v>
      </c>
      <c r="B3690" t="str">
        <f>_xlfn.XLOOKUP(A3690,'[1]Tissue Data'!$A:$A,'[1]Tissue Data'!$C:$C)</f>
        <v>Spill</v>
      </c>
      <c r="C3690" s="2">
        <f>_xlfn.XLOOKUP(A3690,'[1]Tissue Data'!$A:$A,'[1]Tissue Data'!$D:$D)</f>
        <v>44314</v>
      </c>
      <c r="D3690" s="2" t="str">
        <f>_xlfn.XLOOKUP(A3690,'[1]Tissue Data'!$A:$A,'[1]Tissue Data'!$F:$F)</f>
        <v>Creek Chubsucker</v>
      </c>
      <c r="E3690" t="str">
        <f>_xlfn.XLOOKUP(A3690,'[1]Tissue Data'!$A:$A,'[1]Tissue Data'!$H:$H)</f>
        <v>Erimyzon</v>
      </c>
      <c r="F3690" t="str">
        <f>_xlfn.XLOOKUP(A3690,'[1]Tissue Data'!$A:$A,'[1]Tissue Data'!$I:$I)</f>
        <v>oblongus</v>
      </c>
      <c r="G3690" t="str">
        <f>_xlfn.XLOOKUP(A3690,'[1]Tissue Data'!$A:$A,'[1]Tissue Data'!J:J)</f>
        <v>U</v>
      </c>
      <c r="H3690" t="str">
        <f>_xlfn.XLOOKUP(A3690,'[1]Tissue Data'!$A:$A,'[1]Tissue Data'!K:K)</f>
        <v>Whole Body</v>
      </c>
      <c r="I3690">
        <f>_xlfn.XLOOKUP(A3690,'[1]Tissue Data'!$A:$A,'[1]Tissue Data'!L:L)</f>
        <v>12</v>
      </c>
      <c r="J3690">
        <f>_xlfn.XLOOKUP(A3690,'[1]Tissue Data'!$A:$A,'[1]Tissue Data'!M:M)</f>
        <v>22.23</v>
      </c>
      <c r="K3690" t="s">
        <v>50</v>
      </c>
      <c r="L3690" t="str">
        <f>_xlfn.XLOOKUP(K3690,[2]analyte_order!$B:$B,[2]analyte_order!$C:$C)</f>
        <v>53826-12-3</v>
      </c>
      <c r="M3690">
        <f>_xlfn.XLOOKUP(L3690,[2]analyte_order!$C:$C,[2]analyte_order!$E:$E)</f>
        <v>41</v>
      </c>
      <c r="N3690">
        <v>7.1999999999999995E-2</v>
      </c>
    </row>
    <row r="3691" spans="1:14">
      <c r="A3691" t="s">
        <v>154</v>
      </c>
      <c r="B3691" t="str">
        <f>_xlfn.XLOOKUP(A3691,'[1]Tissue Data'!$A:$A,'[1]Tissue Data'!$C:$C)</f>
        <v>Spill</v>
      </c>
      <c r="C3691" s="2">
        <f>_xlfn.XLOOKUP(A3691,'[1]Tissue Data'!$A:$A,'[1]Tissue Data'!$D:$D)</f>
        <v>44314</v>
      </c>
      <c r="D3691" s="2" t="str">
        <f>_xlfn.XLOOKUP(A3691,'[1]Tissue Data'!$A:$A,'[1]Tissue Data'!$F:$F)</f>
        <v>Creek Chubsucker</v>
      </c>
      <c r="E3691" t="str">
        <f>_xlfn.XLOOKUP(A3691,'[1]Tissue Data'!$A:$A,'[1]Tissue Data'!$H:$H)</f>
        <v>Erimyzon</v>
      </c>
      <c r="F3691" t="str">
        <f>_xlfn.XLOOKUP(A3691,'[1]Tissue Data'!$A:$A,'[1]Tissue Data'!$I:$I)</f>
        <v>oblongus</v>
      </c>
      <c r="G3691" t="str">
        <f>_xlfn.XLOOKUP(A3691,'[1]Tissue Data'!$A:$A,'[1]Tissue Data'!J:J)</f>
        <v>U</v>
      </c>
      <c r="H3691" t="str">
        <f>_xlfn.XLOOKUP(A3691,'[1]Tissue Data'!$A:$A,'[1]Tissue Data'!K:K)</f>
        <v>Whole Body</v>
      </c>
      <c r="I3691">
        <f>_xlfn.XLOOKUP(A3691,'[1]Tissue Data'!$A:$A,'[1]Tissue Data'!L:L)</f>
        <v>12</v>
      </c>
      <c r="J3691">
        <f>_xlfn.XLOOKUP(A3691,'[1]Tissue Data'!$A:$A,'[1]Tissue Data'!M:M)</f>
        <v>22.23</v>
      </c>
      <c r="K3691" t="s">
        <v>51</v>
      </c>
      <c r="L3691" t="str">
        <f>_xlfn.XLOOKUP(K3691,[2]analyte_order!$B:$B,[2]analyte_order!$C:$C)</f>
        <v>27854-31-5</v>
      </c>
      <c r="M3691">
        <f>_xlfn.XLOOKUP(L3691,[2]analyte_order!$C:$C,[2]analyte_order!$E:$E)</f>
        <v>42</v>
      </c>
      <c r="N3691">
        <v>6.6</v>
      </c>
    </row>
    <row r="3692" spans="1:14">
      <c r="A3692" t="s">
        <v>154</v>
      </c>
      <c r="B3692" t="str">
        <f>_xlfn.XLOOKUP(A3692,'[1]Tissue Data'!$A:$A,'[1]Tissue Data'!$C:$C)</f>
        <v>Spill</v>
      </c>
      <c r="C3692" s="2">
        <f>_xlfn.XLOOKUP(A3692,'[1]Tissue Data'!$A:$A,'[1]Tissue Data'!$D:$D)</f>
        <v>44314</v>
      </c>
      <c r="D3692" s="2" t="str">
        <f>_xlfn.XLOOKUP(A3692,'[1]Tissue Data'!$A:$A,'[1]Tissue Data'!$F:$F)</f>
        <v>Creek Chubsucker</v>
      </c>
      <c r="E3692" t="str">
        <f>_xlfn.XLOOKUP(A3692,'[1]Tissue Data'!$A:$A,'[1]Tissue Data'!$H:$H)</f>
        <v>Erimyzon</v>
      </c>
      <c r="F3692" t="str">
        <f>_xlfn.XLOOKUP(A3692,'[1]Tissue Data'!$A:$A,'[1]Tissue Data'!$I:$I)</f>
        <v>oblongus</v>
      </c>
      <c r="G3692" t="str">
        <f>_xlfn.XLOOKUP(A3692,'[1]Tissue Data'!$A:$A,'[1]Tissue Data'!J:J)</f>
        <v>U</v>
      </c>
      <c r="H3692" t="str">
        <f>_xlfn.XLOOKUP(A3692,'[1]Tissue Data'!$A:$A,'[1]Tissue Data'!K:K)</f>
        <v>Whole Body</v>
      </c>
      <c r="I3692">
        <f>_xlfn.XLOOKUP(A3692,'[1]Tissue Data'!$A:$A,'[1]Tissue Data'!L:L)</f>
        <v>12</v>
      </c>
      <c r="J3692">
        <f>_xlfn.XLOOKUP(A3692,'[1]Tissue Data'!$A:$A,'[1]Tissue Data'!M:M)</f>
        <v>22.23</v>
      </c>
      <c r="K3692" t="s">
        <v>52</v>
      </c>
      <c r="L3692" t="str">
        <f>_xlfn.XLOOKUP(K3692,[2]analyte_order!$B:$B,[2]analyte_order!$C:$C)</f>
        <v>53826-13-4</v>
      </c>
      <c r="M3692">
        <f>_xlfn.XLOOKUP(L3692,[2]analyte_order!$C:$C,[2]analyte_order!$E:$E)</f>
        <v>43</v>
      </c>
      <c r="N3692">
        <v>0.93700000000000006</v>
      </c>
    </row>
    <row r="3693" spans="1:14">
      <c r="A3693" t="s">
        <v>154</v>
      </c>
      <c r="B3693" t="str">
        <f>_xlfn.XLOOKUP(A3693,'[1]Tissue Data'!$A:$A,'[1]Tissue Data'!$C:$C)</f>
        <v>Spill</v>
      </c>
      <c r="C3693" s="2">
        <f>_xlfn.XLOOKUP(A3693,'[1]Tissue Data'!$A:$A,'[1]Tissue Data'!$D:$D)</f>
        <v>44314</v>
      </c>
      <c r="D3693" s="2" t="str">
        <f>_xlfn.XLOOKUP(A3693,'[1]Tissue Data'!$A:$A,'[1]Tissue Data'!$F:$F)</f>
        <v>Creek Chubsucker</v>
      </c>
      <c r="E3693" t="str">
        <f>_xlfn.XLOOKUP(A3693,'[1]Tissue Data'!$A:$A,'[1]Tissue Data'!$H:$H)</f>
        <v>Erimyzon</v>
      </c>
      <c r="F3693" t="str">
        <f>_xlfn.XLOOKUP(A3693,'[1]Tissue Data'!$A:$A,'[1]Tissue Data'!$I:$I)</f>
        <v>oblongus</v>
      </c>
      <c r="G3693" t="str">
        <f>_xlfn.XLOOKUP(A3693,'[1]Tissue Data'!$A:$A,'[1]Tissue Data'!J:J)</f>
        <v>U</v>
      </c>
      <c r="H3693" t="str">
        <f>_xlfn.XLOOKUP(A3693,'[1]Tissue Data'!$A:$A,'[1]Tissue Data'!K:K)</f>
        <v>Whole Body</v>
      </c>
      <c r="I3693">
        <f>_xlfn.XLOOKUP(A3693,'[1]Tissue Data'!$A:$A,'[1]Tissue Data'!L:L)</f>
        <v>12</v>
      </c>
      <c r="J3693">
        <f>_xlfn.XLOOKUP(A3693,'[1]Tissue Data'!$A:$A,'[1]Tissue Data'!M:M)</f>
        <v>22.23</v>
      </c>
      <c r="K3693" t="s">
        <v>53</v>
      </c>
      <c r="L3693" t="str">
        <f>_xlfn.XLOOKUP(K3693,[2]analyte_order!$B:$B,[2]analyte_order!$C:$C)</f>
        <v>161094-75-3</v>
      </c>
      <c r="M3693">
        <f>_xlfn.XLOOKUP(L3693,[2]analyte_order!$C:$C,[2]analyte_order!$E:$E)</f>
        <v>44</v>
      </c>
      <c r="N3693">
        <v>5.6500000000000002E-2</v>
      </c>
    </row>
    <row r="3694" spans="1:14">
      <c r="A3694" t="s">
        <v>154</v>
      </c>
      <c r="B3694" t="str">
        <f>_xlfn.XLOOKUP(A3694,'[1]Tissue Data'!$A:$A,'[1]Tissue Data'!$C:$C)</f>
        <v>Spill</v>
      </c>
      <c r="C3694" s="2">
        <f>_xlfn.XLOOKUP(A3694,'[1]Tissue Data'!$A:$A,'[1]Tissue Data'!$D:$D)</f>
        <v>44314</v>
      </c>
      <c r="D3694" s="2" t="str">
        <f>_xlfn.XLOOKUP(A3694,'[1]Tissue Data'!$A:$A,'[1]Tissue Data'!$F:$F)</f>
        <v>Creek Chubsucker</v>
      </c>
      <c r="E3694" t="str">
        <f>_xlfn.XLOOKUP(A3694,'[1]Tissue Data'!$A:$A,'[1]Tissue Data'!$H:$H)</f>
        <v>Erimyzon</v>
      </c>
      <c r="F3694" t="str">
        <f>_xlfn.XLOOKUP(A3694,'[1]Tissue Data'!$A:$A,'[1]Tissue Data'!$I:$I)</f>
        <v>oblongus</v>
      </c>
      <c r="G3694" t="str">
        <f>_xlfn.XLOOKUP(A3694,'[1]Tissue Data'!$A:$A,'[1]Tissue Data'!J:J)</f>
        <v>U</v>
      </c>
      <c r="H3694" t="str">
        <f>_xlfn.XLOOKUP(A3694,'[1]Tissue Data'!$A:$A,'[1]Tissue Data'!K:K)</f>
        <v>Whole Body</v>
      </c>
      <c r="I3694">
        <f>_xlfn.XLOOKUP(A3694,'[1]Tissue Data'!$A:$A,'[1]Tissue Data'!L:L)</f>
        <v>12</v>
      </c>
      <c r="J3694">
        <f>_xlfn.XLOOKUP(A3694,'[1]Tissue Data'!$A:$A,'[1]Tissue Data'!M:M)</f>
        <v>22.23</v>
      </c>
      <c r="K3694" t="s">
        <v>54</v>
      </c>
      <c r="L3694" t="str">
        <f>_xlfn.XLOOKUP(K3694,[2]analyte_order!$B:$B,[2]analyte_order!$C:$C)</f>
        <v>70887-84-2</v>
      </c>
      <c r="M3694">
        <f>_xlfn.XLOOKUP(L3694,[2]analyte_order!$C:$C,[2]analyte_order!$E:$E)</f>
        <v>45</v>
      </c>
      <c r="N3694">
        <v>4.3499999999999997E-2</v>
      </c>
    </row>
    <row r="3695" spans="1:14">
      <c r="A3695" t="s">
        <v>154</v>
      </c>
      <c r="B3695" t="str">
        <f>_xlfn.XLOOKUP(A3695,'[1]Tissue Data'!$A:$A,'[1]Tissue Data'!$C:$C)</f>
        <v>Spill</v>
      </c>
      <c r="C3695" s="2">
        <f>_xlfn.XLOOKUP(A3695,'[1]Tissue Data'!$A:$A,'[1]Tissue Data'!$D:$D)</f>
        <v>44314</v>
      </c>
      <c r="D3695" s="2" t="str">
        <f>_xlfn.XLOOKUP(A3695,'[1]Tissue Data'!$A:$A,'[1]Tissue Data'!$F:$F)</f>
        <v>Creek Chubsucker</v>
      </c>
      <c r="E3695" t="str">
        <f>_xlfn.XLOOKUP(A3695,'[1]Tissue Data'!$A:$A,'[1]Tissue Data'!$H:$H)</f>
        <v>Erimyzon</v>
      </c>
      <c r="F3695" t="str">
        <f>_xlfn.XLOOKUP(A3695,'[1]Tissue Data'!$A:$A,'[1]Tissue Data'!$I:$I)</f>
        <v>oblongus</v>
      </c>
      <c r="G3695" t="str">
        <f>_xlfn.XLOOKUP(A3695,'[1]Tissue Data'!$A:$A,'[1]Tissue Data'!J:J)</f>
        <v>U</v>
      </c>
      <c r="H3695" t="str">
        <f>_xlfn.XLOOKUP(A3695,'[1]Tissue Data'!$A:$A,'[1]Tissue Data'!K:K)</f>
        <v>Whole Body</v>
      </c>
      <c r="I3695">
        <f>_xlfn.XLOOKUP(A3695,'[1]Tissue Data'!$A:$A,'[1]Tissue Data'!L:L)</f>
        <v>12</v>
      </c>
      <c r="J3695">
        <f>_xlfn.XLOOKUP(A3695,'[1]Tissue Data'!$A:$A,'[1]Tissue Data'!M:M)</f>
        <v>22.23</v>
      </c>
      <c r="K3695" t="s">
        <v>55</v>
      </c>
      <c r="L3695" t="str">
        <f>_xlfn.XLOOKUP(K3695,[2]analyte_order!$B:$B,[2]analyte_order!$C:$C)</f>
        <v>919005-14-4</v>
      </c>
      <c r="M3695">
        <f>_xlfn.XLOOKUP(L3695,[2]analyte_order!$C:$C,[2]analyte_order!$E:$E)</f>
        <v>35</v>
      </c>
      <c r="N3695">
        <v>7.1999999999999995E-2</v>
      </c>
    </row>
    <row r="3696" spans="1:14">
      <c r="A3696" t="s">
        <v>154</v>
      </c>
      <c r="B3696" t="str">
        <f>_xlfn.XLOOKUP(A3696,'[1]Tissue Data'!$A:$A,'[1]Tissue Data'!$C:$C)</f>
        <v>Spill</v>
      </c>
      <c r="C3696" s="2">
        <f>_xlfn.XLOOKUP(A3696,'[1]Tissue Data'!$A:$A,'[1]Tissue Data'!$D:$D)</f>
        <v>44314</v>
      </c>
      <c r="D3696" s="2" t="str">
        <f>_xlfn.XLOOKUP(A3696,'[1]Tissue Data'!$A:$A,'[1]Tissue Data'!$F:$F)</f>
        <v>Creek Chubsucker</v>
      </c>
      <c r="E3696" t="str">
        <f>_xlfn.XLOOKUP(A3696,'[1]Tissue Data'!$A:$A,'[1]Tissue Data'!$H:$H)</f>
        <v>Erimyzon</v>
      </c>
      <c r="F3696" t="str">
        <f>_xlfn.XLOOKUP(A3696,'[1]Tissue Data'!$A:$A,'[1]Tissue Data'!$I:$I)</f>
        <v>oblongus</v>
      </c>
      <c r="G3696" t="str">
        <f>_xlfn.XLOOKUP(A3696,'[1]Tissue Data'!$A:$A,'[1]Tissue Data'!J:J)</f>
        <v>U</v>
      </c>
      <c r="H3696" t="str">
        <f>_xlfn.XLOOKUP(A3696,'[1]Tissue Data'!$A:$A,'[1]Tissue Data'!K:K)</f>
        <v>Whole Body</v>
      </c>
      <c r="I3696">
        <f>_xlfn.XLOOKUP(A3696,'[1]Tissue Data'!$A:$A,'[1]Tissue Data'!L:L)</f>
        <v>12</v>
      </c>
      <c r="J3696">
        <f>_xlfn.XLOOKUP(A3696,'[1]Tissue Data'!$A:$A,'[1]Tissue Data'!M:M)</f>
        <v>22.23</v>
      </c>
      <c r="K3696" t="s">
        <v>56</v>
      </c>
      <c r="L3696" t="str">
        <f>_xlfn.XLOOKUP(K3696,[2]analyte_order!$B:$B,[2]analyte_order!$C:$C)</f>
        <v>756426-58-1</v>
      </c>
      <c r="M3696">
        <f>_xlfn.XLOOKUP(L3696,[2]analyte_order!$C:$C,[2]analyte_order!$E:$E)</f>
        <v>36</v>
      </c>
      <c r="N3696">
        <v>7.1999999999999995E-2</v>
      </c>
    </row>
    <row r="3697" spans="1:14">
      <c r="A3697" t="s">
        <v>154</v>
      </c>
      <c r="B3697" t="str">
        <f>_xlfn.XLOOKUP(A3697,'[1]Tissue Data'!$A:$A,'[1]Tissue Data'!$C:$C)</f>
        <v>Spill</v>
      </c>
      <c r="C3697" s="2">
        <f>_xlfn.XLOOKUP(A3697,'[1]Tissue Data'!$A:$A,'[1]Tissue Data'!$D:$D)</f>
        <v>44314</v>
      </c>
      <c r="D3697" s="2" t="str">
        <f>_xlfn.XLOOKUP(A3697,'[1]Tissue Data'!$A:$A,'[1]Tissue Data'!$F:$F)</f>
        <v>Creek Chubsucker</v>
      </c>
      <c r="E3697" t="str">
        <f>_xlfn.XLOOKUP(A3697,'[1]Tissue Data'!$A:$A,'[1]Tissue Data'!$H:$H)</f>
        <v>Erimyzon</v>
      </c>
      <c r="F3697" t="str">
        <f>_xlfn.XLOOKUP(A3697,'[1]Tissue Data'!$A:$A,'[1]Tissue Data'!$I:$I)</f>
        <v>oblongus</v>
      </c>
      <c r="G3697" t="str">
        <f>_xlfn.XLOOKUP(A3697,'[1]Tissue Data'!$A:$A,'[1]Tissue Data'!J:J)</f>
        <v>U</v>
      </c>
      <c r="H3697" t="str">
        <f>_xlfn.XLOOKUP(A3697,'[1]Tissue Data'!$A:$A,'[1]Tissue Data'!K:K)</f>
        <v>Whole Body</v>
      </c>
      <c r="I3697">
        <f>_xlfn.XLOOKUP(A3697,'[1]Tissue Data'!$A:$A,'[1]Tissue Data'!L:L)</f>
        <v>12</v>
      </c>
      <c r="J3697">
        <f>_xlfn.XLOOKUP(A3697,'[1]Tissue Data'!$A:$A,'[1]Tissue Data'!M:M)</f>
        <v>22.23</v>
      </c>
      <c r="K3697" t="s">
        <v>57</v>
      </c>
      <c r="L3697" t="str">
        <f>_xlfn.XLOOKUP(K3697,[2]analyte_order!$B:$B,[2]analyte_order!$C:$C)</f>
        <v>763051-92-9</v>
      </c>
      <c r="M3697">
        <f>_xlfn.XLOOKUP(L3697,[2]analyte_order!$C:$C,[2]analyte_order!$E:$E)</f>
        <v>37</v>
      </c>
      <c r="N3697">
        <v>7.1999999999999995E-2</v>
      </c>
    </row>
    <row r="3698" spans="1:14">
      <c r="A3698" t="s">
        <v>154</v>
      </c>
      <c r="B3698" t="str">
        <f>_xlfn.XLOOKUP(A3698,'[1]Tissue Data'!$A:$A,'[1]Tissue Data'!$C:$C)</f>
        <v>Spill</v>
      </c>
      <c r="C3698" s="2">
        <f>_xlfn.XLOOKUP(A3698,'[1]Tissue Data'!$A:$A,'[1]Tissue Data'!$D:$D)</f>
        <v>44314</v>
      </c>
      <c r="D3698" s="2" t="str">
        <f>_xlfn.XLOOKUP(A3698,'[1]Tissue Data'!$A:$A,'[1]Tissue Data'!$F:$F)</f>
        <v>Creek Chubsucker</v>
      </c>
      <c r="E3698" t="str">
        <f>_xlfn.XLOOKUP(A3698,'[1]Tissue Data'!$A:$A,'[1]Tissue Data'!$H:$H)</f>
        <v>Erimyzon</v>
      </c>
      <c r="F3698" t="str">
        <f>_xlfn.XLOOKUP(A3698,'[1]Tissue Data'!$A:$A,'[1]Tissue Data'!$I:$I)</f>
        <v>oblongus</v>
      </c>
      <c r="G3698" t="str">
        <f>_xlfn.XLOOKUP(A3698,'[1]Tissue Data'!$A:$A,'[1]Tissue Data'!J:J)</f>
        <v>U</v>
      </c>
      <c r="H3698" t="str">
        <f>_xlfn.XLOOKUP(A3698,'[1]Tissue Data'!$A:$A,'[1]Tissue Data'!K:K)</f>
        <v>Whole Body</v>
      </c>
      <c r="I3698">
        <f>_xlfn.XLOOKUP(A3698,'[1]Tissue Data'!$A:$A,'[1]Tissue Data'!L:L)</f>
        <v>12</v>
      </c>
      <c r="J3698">
        <f>_xlfn.XLOOKUP(A3698,'[1]Tissue Data'!$A:$A,'[1]Tissue Data'!M:M)</f>
        <v>22.23</v>
      </c>
      <c r="K3698" t="s">
        <v>58</v>
      </c>
      <c r="L3698" t="str">
        <f>_xlfn.XLOOKUP(K3698,[2]analyte_order!$B:$B,[2]analyte_order!$C:$C)</f>
        <v>13252-13-6</v>
      </c>
      <c r="M3698">
        <f>_xlfn.XLOOKUP(L3698,[2]analyte_order!$C:$C,[2]analyte_order!$E:$E)</f>
        <v>34</v>
      </c>
      <c r="N3698">
        <v>0.10299999999999999</v>
      </c>
    </row>
    <row r="3699" spans="1:14">
      <c r="A3699" t="s">
        <v>154</v>
      </c>
      <c r="B3699" t="str">
        <f>_xlfn.XLOOKUP(A3699,'[1]Tissue Data'!$A:$A,'[1]Tissue Data'!$C:$C)</f>
        <v>Spill</v>
      </c>
      <c r="C3699" s="2">
        <f>_xlfn.XLOOKUP(A3699,'[1]Tissue Data'!$A:$A,'[1]Tissue Data'!$D:$D)</f>
        <v>44314</v>
      </c>
      <c r="D3699" s="2" t="str">
        <f>_xlfn.XLOOKUP(A3699,'[1]Tissue Data'!$A:$A,'[1]Tissue Data'!$F:$F)</f>
        <v>Creek Chubsucker</v>
      </c>
      <c r="E3699" t="str">
        <f>_xlfn.XLOOKUP(A3699,'[1]Tissue Data'!$A:$A,'[1]Tissue Data'!$H:$H)</f>
        <v>Erimyzon</v>
      </c>
      <c r="F3699" t="str">
        <f>_xlfn.XLOOKUP(A3699,'[1]Tissue Data'!$A:$A,'[1]Tissue Data'!$I:$I)</f>
        <v>oblongus</v>
      </c>
      <c r="G3699" t="str">
        <f>_xlfn.XLOOKUP(A3699,'[1]Tissue Data'!$A:$A,'[1]Tissue Data'!J:J)</f>
        <v>U</v>
      </c>
      <c r="H3699" t="str">
        <f>_xlfn.XLOOKUP(A3699,'[1]Tissue Data'!$A:$A,'[1]Tissue Data'!K:K)</f>
        <v>Whole Body</v>
      </c>
      <c r="I3699">
        <f>_xlfn.XLOOKUP(A3699,'[1]Tissue Data'!$A:$A,'[1]Tissue Data'!L:L)</f>
        <v>12</v>
      </c>
      <c r="J3699">
        <f>_xlfn.XLOOKUP(A3699,'[1]Tissue Data'!$A:$A,'[1]Tissue Data'!M:M)</f>
        <v>22.23</v>
      </c>
      <c r="K3699" t="s">
        <v>59</v>
      </c>
      <c r="L3699" t="str">
        <f>_xlfn.XLOOKUP(K3699,[2]analyte_order!$B:$B,[2]analyte_order!$C:$C)</f>
        <v>57677-95-9</v>
      </c>
      <c r="M3699">
        <f>_xlfn.XLOOKUP(L3699,[2]analyte_order!$C:$C,[2]analyte_order!$E:$E)</f>
        <v>46</v>
      </c>
      <c r="N3699">
        <v>7.6499999999999999E-2</v>
      </c>
    </row>
    <row r="3700" spans="1:14">
      <c r="A3700" t="s">
        <v>154</v>
      </c>
      <c r="B3700" t="str">
        <f>_xlfn.XLOOKUP(A3700,'[1]Tissue Data'!$A:$A,'[1]Tissue Data'!$C:$C)</f>
        <v>Spill</v>
      </c>
      <c r="C3700" s="2">
        <f>_xlfn.XLOOKUP(A3700,'[1]Tissue Data'!$A:$A,'[1]Tissue Data'!$D:$D)</f>
        <v>44314</v>
      </c>
      <c r="D3700" s="2" t="str">
        <f>_xlfn.XLOOKUP(A3700,'[1]Tissue Data'!$A:$A,'[1]Tissue Data'!$F:$F)</f>
        <v>Creek Chubsucker</v>
      </c>
      <c r="E3700" t="str">
        <f>_xlfn.XLOOKUP(A3700,'[1]Tissue Data'!$A:$A,'[1]Tissue Data'!$H:$H)</f>
        <v>Erimyzon</v>
      </c>
      <c r="F3700" t="str">
        <f>_xlfn.XLOOKUP(A3700,'[1]Tissue Data'!$A:$A,'[1]Tissue Data'!$I:$I)</f>
        <v>oblongus</v>
      </c>
      <c r="G3700" t="str">
        <f>_xlfn.XLOOKUP(A3700,'[1]Tissue Data'!$A:$A,'[1]Tissue Data'!J:J)</f>
        <v>U</v>
      </c>
      <c r="H3700" t="str">
        <f>_xlfn.XLOOKUP(A3700,'[1]Tissue Data'!$A:$A,'[1]Tissue Data'!K:K)</f>
        <v>Whole Body</v>
      </c>
      <c r="I3700">
        <f>_xlfn.XLOOKUP(A3700,'[1]Tissue Data'!$A:$A,'[1]Tissue Data'!L:L)</f>
        <v>12</v>
      </c>
      <c r="J3700">
        <f>_xlfn.XLOOKUP(A3700,'[1]Tissue Data'!$A:$A,'[1]Tissue Data'!M:M)</f>
        <v>22.23</v>
      </c>
      <c r="K3700" t="s">
        <v>60</v>
      </c>
      <c r="L3700" t="str">
        <f>_xlfn.XLOOKUP(K3700,[2]analyte_order!$B:$B,[2]analyte_order!$C:$C)</f>
        <v>678-41-1</v>
      </c>
      <c r="M3700">
        <f>_xlfn.XLOOKUP(L3700,[2]analyte_order!$C:$C,[2]analyte_order!$E:$E)</f>
        <v>56</v>
      </c>
      <c r="N3700">
        <v>9.5500000000000002E-2</v>
      </c>
    </row>
    <row r="3701" spans="1:14">
      <c r="A3701" t="s">
        <v>154</v>
      </c>
      <c r="B3701" t="str">
        <f>_xlfn.XLOOKUP(A3701,'[1]Tissue Data'!$A:$A,'[1]Tissue Data'!$C:$C)</f>
        <v>Spill</v>
      </c>
      <c r="C3701" s="2">
        <f>_xlfn.XLOOKUP(A3701,'[1]Tissue Data'!$A:$A,'[1]Tissue Data'!$D:$D)</f>
        <v>44314</v>
      </c>
      <c r="D3701" s="2" t="str">
        <f>_xlfn.XLOOKUP(A3701,'[1]Tissue Data'!$A:$A,'[1]Tissue Data'!$F:$F)</f>
        <v>Creek Chubsucker</v>
      </c>
      <c r="E3701" t="str">
        <f>_xlfn.XLOOKUP(A3701,'[1]Tissue Data'!$A:$A,'[1]Tissue Data'!$H:$H)</f>
        <v>Erimyzon</v>
      </c>
      <c r="F3701" t="str">
        <f>_xlfn.XLOOKUP(A3701,'[1]Tissue Data'!$A:$A,'[1]Tissue Data'!$I:$I)</f>
        <v>oblongus</v>
      </c>
      <c r="G3701" t="str">
        <f>_xlfn.XLOOKUP(A3701,'[1]Tissue Data'!$A:$A,'[1]Tissue Data'!J:J)</f>
        <v>U</v>
      </c>
      <c r="H3701" t="str">
        <f>_xlfn.XLOOKUP(A3701,'[1]Tissue Data'!$A:$A,'[1]Tissue Data'!K:K)</f>
        <v>Whole Body</v>
      </c>
      <c r="I3701">
        <f>_xlfn.XLOOKUP(A3701,'[1]Tissue Data'!$A:$A,'[1]Tissue Data'!L:L)</f>
        <v>12</v>
      </c>
      <c r="J3701">
        <f>_xlfn.XLOOKUP(A3701,'[1]Tissue Data'!$A:$A,'[1]Tissue Data'!M:M)</f>
        <v>22.23</v>
      </c>
      <c r="K3701" t="s">
        <v>61</v>
      </c>
      <c r="L3701" t="str">
        <f>_xlfn.XLOOKUP(K3701,[2]analyte_order!$B:$B,[2]analyte_order!$C:$C)</f>
        <v>2965-52-8</v>
      </c>
      <c r="M3701">
        <f>_xlfn.XLOOKUP(L3701,[2]analyte_order!$C:$C,[2]analyte_order!$E:$E)</f>
        <v>57</v>
      </c>
      <c r="N3701">
        <v>0.1265</v>
      </c>
    </row>
    <row r="3702" spans="1:14">
      <c r="A3702" t="s">
        <v>155</v>
      </c>
      <c r="B3702" t="str">
        <f>_xlfn.XLOOKUP(A3702,'[1]Tissue Data'!$A:$A,'[1]Tissue Data'!$C:$C)</f>
        <v>Spill</v>
      </c>
      <c r="C3702" s="2">
        <f>_xlfn.XLOOKUP(A3702,'[1]Tissue Data'!$A:$A,'[1]Tissue Data'!$D:$D)</f>
        <v>44314</v>
      </c>
      <c r="D3702" s="2" t="s">
        <v>131</v>
      </c>
      <c r="E3702" t="str">
        <f>_xlfn.XLOOKUP(A3702,'[1]Tissue Data'!$A:$A,'[1]Tissue Data'!$H:$H)</f>
        <v>Clinostomus</v>
      </c>
      <c r="F3702" t="str">
        <f>_xlfn.XLOOKUP(A3702,'[1]Tissue Data'!$A:$A,'[1]Tissue Data'!$I:$I)</f>
        <v>funduloides</v>
      </c>
      <c r="G3702" t="str">
        <f>_xlfn.XLOOKUP(A3702,'[1]Tissue Data'!$A:$A,'[1]Tissue Data'!J:J)</f>
        <v>U</v>
      </c>
      <c r="H3702" t="str">
        <f>_xlfn.XLOOKUP(A3702,'[1]Tissue Data'!$A:$A,'[1]Tissue Data'!K:K)</f>
        <v>Whole Body</v>
      </c>
      <c r="I3702">
        <f>_xlfn.XLOOKUP(A3702,'[1]Tissue Data'!$A:$A,'[1]Tissue Data'!L:L)</f>
        <v>11</v>
      </c>
      <c r="J3702">
        <f>_xlfn.XLOOKUP(A3702,'[1]Tissue Data'!$A:$A,'[1]Tissue Data'!M:M)</f>
        <v>13.86</v>
      </c>
      <c r="K3702" t="s">
        <v>12</v>
      </c>
      <c r="L3702" t="str">
        <f>_xlfn.XLOOKUP(K3702,[2]analyte_order!$B:$B,[2]analyte_order!$C:$C)</f>
        <v>375-22-4</v>
      </c>
      <c r="M3702">
        <f>_xlfn.XLOOKUP(L3702,[2]analyte_order!$C:$C,[2]analyte_order!$E:$E)</f>
        <v>1</v>
      </c>
      <c r="N3702">
        <v>0.2455</v>
      </c>
    </row>
    <row r="3703" spans="1:14">
      <c r="A3703" t="s">
        <v>155</v>
      </c>
      <c r="B3703" t="str">
        <f>_xlfn.XLOOKUP(A3703,'[1]Tissue Data'!$A:$A,'[1]Tissue Data'!$C:$C)</f>
        <v>Spill</v>
      </c>
      <c r="C3703" s="2">
        <f>_xlfn.XLOOKUP(A3703,'[1]Tissue Data'!$A:$A,'[1]Tissue Data'!$D:$D)</f>
        <v>44314</v>
      </c>
      <c r="D3703" s="2" t="s">
        <v>131</v>
      </c>
      <c r="E3703" t="str">
        <f>_xlfn.XLOOKUP(A3703,'[1]Tissue Data'!$A:$A,'[1]Tissue Data'!$H:$H)</f>
        <v>Clinostomus</v>
      </c>
      <c r="F3703" t="str">
        <f>_xlfn.XLOOKUP(A3703,'[1]Tissue Data'!$A:$A,'[1]Tissue Data'!$I:$I)</f>
        <v>funduloides</v>
      </c>
      <c r="G3703" t="str">
        <f>_xlfn.XLOOKUP(A3703,'[1]Tissue Data'!$A:$A,'[1]Tissue Data'!J:J)</f>
        <v>U</v>
      </c>
      <c r="H3703" t="str">
        <f>_xlfn.XLOOKUP(A3703,'[1]Tissue Data'!$A:$A,'[1]Tissue Data'!K:K)</f>
        <v>Whole Body</v>
      </c>
      <c r="I3703">
        <f>_xlfn.XLOOKUP(A3703,'[1]Tissue Data'!$A:$A,'[1]Tissue Data'!L:L)</f>
        <v>11</v>
      </c>
      <c r="J3703">
        <f>_xlfn.XLOOKUP(A3703,'[1]Tissue Data'!$A:$A,'[1]Tissue Data'!M:M)</f>
        <v>13.86</v>
      </c>
      <c r="K3703" t="s">
        <v>13</v>
      </c>
      <c r="L3703" t="str">
        <f>_xlfn.XLOOKUP(K3703,[2]analyte_order!$B:$B,[2]analyte_order!$C:$C)</f>
        <v>2706-90-3</v>
      </c>
      <c r="M3703">
        <f>_xlfn.XLOOKUP(L3703,[2]analyte_order!$C:$C,[2]analyte_order!$E:$E)</f>
        <v>2</v>
      </c>
      <c r="N3703">
        <v>5.2499999999999998E-2</v>
      </c>
    </row>
    <row r="3704" spans="1:14">
      <c r="A3704" t="s">
        <v>155</v>
      </c>
      <c r="B3704" t="str">
        <f>_xlfn.XLOOKUP(A3704,'[1]Tissue Data'!$A:$A,'[1]Tissue Data'!$C:$C)</f>
        <v>Spill</v>
      </c>
      <c r="C3704" s="2">
        <f>_xlfn.XLOOKUP(A3704,'[1]Tissue Data'!$A:$A,'[1]Tissue Data'!$D:$D)</f>
        <v>44314</v>
      </c>
      <c r="D3704" s="2" t="s">
        <v>131</v>
      </c>
      <c r="E3704" t="str">
        <f>_xlfn.XLOOKUP(A3704,'[1]Tissue Data'!$A:$A,'[1]Tissue Data'!$H:$H)</f>
        <v>Clinostomus</v>
      </c>
      <c r="F3704" t="str">
        <f>_xlfn.XLOOKUP(A3704,'[1]Tissue Data'!$A:$A,'[1]Tissue Data'!$I:$I)</f>
        <v>funduloides</v>
      </c>
      <c r="G3704" t="str">
        <f>_xlfn.XLOOKUP(A3704,'[1]Tissue Data'!$A:$A,'[1]Tissue Data'!J:J)</f>
        <v>U</v>
      </c>
      <c r="H3704" t="str">
        <f>_xlfn.XLOOKUP(A3704,'[1]Tissue Data'!$A:$A,'[1]Tissue Data'!K:K)</f>
        <v>Whole Body</v>
      </c>
      <c r="I3704">
        <f>_xlfn.XLOOKUP(A3704,'[1]Tissue Data'!$A:$A,'[1]Tissue Data'!L:L)</f>
        <v>11</v>
      </c>
      <c r="J3704">
        <f>_xlfn.XLOOKUP(A3704,'[1]Tissue Data'!$A:$A,'[1]Tissue Data'!M:M)</f>
        <v>13.86</v>
      </c>
      <c r="K3704" t="s">
        <v>14</v>
      </c>
      <c r="L3704" t="str">
        <f>_xlfn.XLOOKUP(K3704,[2]analyte_order!$B:$B,[2]analyte_order!$C:$C)</f>
        <v>307-24-4</v>
      </c>
      <c r="M3704">
        <f>_xlfn.XLOOKUP(L3704,[2]analyte_order!$C:$C,[2]analyte_order!$E:$E)</f>
        <v>3</v>
      </c>
      <c r="N3704">
        <v>4.0149999999999998E-2</v>
      </c>
    </row>
    <row r="3705" spans="1:14">
      <c r="A3705" t="s">
        <v>155</v>
      </c>
      <c r="B3705" t="str">
        <f>_xlfn.XLOOKUP(A3705,'[1]Tissue Data'!$A:$A,'[1]Tissue Data'!$C:$C)</f>
        <v>Spill</v>
      </c>
      <c r="C3705" s="2">
        <f>_xlfn.XLOOKUP(A3705,'[1]Tissue Data'!$A:$A,'[1]Tissue Data'!$D:$D)</f>
        <v>44314</v>
      </c>
      <c r="D3705" s="2" t="s">
        <v>131</v>
      </c>
      <c r="E3705" t="str">
        <f>_xlfn.XLOOKUP(A3705,'[1]Tissue Data'!$A:$A,'[1]Tissue Data'!$H:$H)</f>
        <v>Clinostomus</v>
      </c>
      <c r="F3705" t="str">
        <f>_xlfn.XLOOKUP(A3705,'[1]Tissue Data'!$A:$A,'[1]Tissue Data'!$I:$I)</f>
        <v>funduloides</v>
      </c>
      <c r="G3705" t="str">
        <f>_xlfn.XLOOKUP(A3705,'[1]Tissue Data'!$A:$A,'[1]Tissue Data'!J:J)</f>
        <v>U</v>
      </c>
      <c r="H3705" t="str">
        <f>_xlfn.XLOOKUP(A3705,'[1]Tissue Data'!$A:$A,'[1]Tissue Data'!K:K)</f>
        <v>Whole Body</v>
      </c>
      <c r="I3705">
        <f>_xlfn.XLOOKUP(A3705,'[1]Tissue Data'!$A:$A,'[1]Tissue Data'!L:L)</f>
        <v>11</v>
      </c>
      <c r="J3705">
        <f>_xlfn.XLOOKUP(A3705,'[1]Tissue Data'!$A:$A,'[1]Tissue Data'!M:M)</f>
        <v>13.86</v>
      </c>
      <c r="K3705" t="s">
        <v>15</v>
      </c>
      <c r="L3705" t="str">
        <f>_xlfn.XLOOKUP(K3705,[2]analyte_order!$B:$B,[2]analyte_order!$C:$C)</f>
        <v>375-85-9</v>
      </c>
      <c r="M3705">
        <f>_xlfn.XLOOKUP(L3705,[2]analyte_order!$C:$C,[2]analyte_order!$E:$E)</f>
        <v>4</v>
      </c>
      <c r="N3705">
        <v>2.9850000000000002E-2</v>
      </c>
    </row>
    <row r="3706" spans="1:14">
      <c r="A3706" t="s">
        <v>155</v>
      </c>
      <c r="B3706" t="str">
        <f>_xlfn.XLOOKUP(A3706,'[1]Tissue Data'!$A:$A,'[1]Tissue Data'!$C:$C)</f>
        <v>Spill</v>
      </c>
      <c r="C3706" s="2">
        <f>_xlfn.XLOOKUP(A3706,'[1]Tissue Data'!$A:$A,'[1]Tissue Data'!$D:$D)</f>
        <v>44314</v>
      </c>
      <c r="D3706" s="2" t="s">
        <v>131</v>
      </c>
      <c r="E3706" t="str">
        <f>_xlfn.XLOOKUP(A3706,'[1]Tissue Data'!$A:$A,'[1]Tissue Data'!$H:$H)</f>
        <v>Clinostomus</v>
      </c>
      <c r="F3706" t="str">
        <f>_xlfn.XLOOKUP(A3706,'[1]Tissue Data'!$A:$A,'[1]Tissue Data'!$I:$I)</f>
        <v>funduloides</v>
      </c>
      <c r="G3706" t="str">
        <f>_xlfn.XLOOKUP(A3706,'[1]Tissue Data'!$A:$A,'[1]Tissue Data'!J:J)</f>
        <v>U</v>
      </c>
      <c r="H3706" t="str">
        <f>_xlfn.XLOOKUP(A3706,'[1]Tissue Data'!$A:$A,'[1]Tissue Data'!K:K)</f>
        <v>Whole Body</v>
      </c>
      <c r="I3706">
        <f>_xlfn.XLOOKUP(A3706,'[1]Tissue Data'!$A:$A,'[1]Tissue Data'!L:L)</f>
        <v>11</v>
      </c>
      <c r="J3706">
        <f>_xlfn.XLOOKUP(A3706,'[1]Tissue Data'!$A:$A,'[1]Tissue Data'!M:M)</f>
        <v>13.86</v>
      </c>
      <c r="K3706" t="s">
        <v>16</v>
      </c>
      <c r="L3706" t="str">
        <f>_xlfn.XLOOKUP(K3706,[2]analyte_order!$B:$B,[2]analyte_order!$C:$C)</f>
        <v>335-67-1</v>
      </c>
      <c r="M3706">
        <f>_xlfn.XLOOKUP(L3706,[2]analyte_order!$C:$C,[2]analyte_order!$E:$E)</f>
        <v>5</v>
      </c>
      <c r="N3706">
        <v>6.35</v>
      </c>
    </row>
    <row r="3707" spans="1:14">
      <c r="A3707" t="s">
        <v>155</v>
      </c>
      <c r="B3707" t="str">
        <f>_xlfn.XLOOKUP(A3707,'[1]Tissue Data'!$A:$A,'[1]Tissue Data'!$C:$C)</f>
        <v>Spill</v>
      </c>
      <c r="C3707" s="2">
        <f>_xlfn.XLOOKUP(A3707,'[1]Tissue Data'!$A:$A,'[1]Tissue Data'!$D:$D)</f>
        <v>44314</v>
      </c>
      <c r="D3707" s="2" t="s">
        <v>131</v>
      </c>
      <c r="E3707" t="str">
        <f>_xlfn.XLOOKUP(A3707,'[1]Tissue Data'!$A:$A,'[1]Tissue Data'!$H:$H)</f>
        <v>Clinostomus</v>
      </c>
      <c r="F3707" t="str">
        <f>_xlfn.XLOOKUP(A3707,'[1]Tissue Data'!$A:$A,'[1]Tissue Data'!$I:$I)</f>
        <v>funduloides</v>
      </c>
      <c r="G3707" t="str">
        <f>_xlfn.XLOOKUP(A3707,'[1]Tissue Data'!$A:$A,'[1]Tissue Data'!J:J)</f>
        <v>U</v>
      </c>
      <c r="H3707" t="str">
        <f>_xlfn.XLOOKUP(A3707,'[1]Tissue Data'!$A:$A,'[1]Tissue Data'!K:K)</f>
        <v>Whole Body</v>
      </c>
      <c r="I3707">
        <f>_xlfn.XLOOKUP(A3707,'[1]Tissue Data'!$A:$A,'[1]Tissue Data'!L:L)</f>
        <v>11</v>
      </c>
      <c r="J3707">
        <f>_xlfn.XLOOKUP(A3707,'[1]Tissue Data'!$A:$A,'[1]Tissue Data'!M:M)</f>
        <v>13.86</v>
      </c>
      <c r="K3707" t="s">
        <v>17</v>
      </c>
      <c r="L3707" t="str">
        <f>_xlfn.XLOOKUP(K3707,[2]analyte_order!$B:$B,[2]analyte_order!$C:$C)</f>
        <v>375-95-1</v>
      </c>
      <c r="M3707">
        <f>_xlfn.XLOOKUP(L3707,[2]analyte_order!$C:$C,[2]analyte_order!$E:$E)</f>
        <v>6</v>
      </c>
      <c r="N3707">
        <v>4.1500000000000004</v>
      </c>
    </row>
    <row r="3708" spans="1:14">
      <c r="A3708" t="s">
        <v>155</v>
      </c>
      <c r="B3708" t="str">
        <f>_xlfn.XLOOKUP(A3708,'[1]Tissue Data'!$A:$A,'[1]Tissue Data'!$C:$C)</f>
        <v>Spill</v>
      </c>
      <c r="C3708" s="2">
        <f>_xlfn.XLOOKUP(A3708,'[1]Tissue Data'!$A:$A,'[1]Tissue Data'!$D:$D)</f>
        <v>44314</v>
      </c>
      <c r="D3708" s="2" t="s">
        <v>131</v>
      </c>
      <c r="E3708" t="str">
        <f>_xlfn.XLOOKUP(A3708,'[1]Tissue Data'!$A:$A,'[1]Tissue Data'!$H:$H)</f>
        <v>Clinostomus</v>
      </c>
      <c r="F3708" t="str">
        <f>_xlfn.XLOOKUP(A3708,'[1]Tissue Data'!$A:$A,'[1]Tissue Data'!$I:$I)</f>
        <v>funduloides</v>
      </c>
      <c r="G3708" t="str">
        <f>_xlfn.XLOOKUP(A3708,'[1]Tissue Data'!$A:$A,'[1]Tissue Data'!J:J)</f>
        <v>U</v>
      </c>
      <c r="H3708" t="str">
        <f>_xlfn.XLOOKUP(A3708,'[1]Tissue Data'!$A:$A,'[1]Tissue Data'!K:K)</f>
        <v>Whole Body</v>
      </c>
      <c r="I3708">
        <f>_xlfn.XLOOKUP(A3708,'[1]Tissue Data'!$A:$A,'[1]Tissue Data'!L:L)</f>
        <v>11</v>
      </c>
      <c r="J3708">
        <f>_xlfn.XLOOKUP(A3708,'[1]Tissue Data'!$A:$A,'[1]Tissue Data'!M:M)</f>
        <v>13.86</v>
      </c>
      <c r="K3708" t="s">
        <v>18</v>
      </c>
      <c r="L3708" t="str">
        <f>_xlfn.XLOOKUP(K3708,[2]analyte_order!$B:$B,[2]analyte_order!$C:$C)</f>
        <v>335-76-2</v>
      </c>
      <c r="M3708">
        <f>_xlfn.XLOOKUP(L3708,[2]analyte_order!$C:$C,[2]analyte_order!$E:$E)</f>
        <v>7</v>
      </c>
      <c r="N3708">
        <v>10.4</v>
      </c>
    </row>
    <row r="3709" spans="1:14">
      <c r="A3709" t="s">
        <v>155</v>
      </c>
      <c r="B3709" t="str">
        <f>_xlfn.XLOOKUP(A3709,'[1]Tissue Data'!$A:$A,'[1]Tissue Data'!$C:$C)</f>
        <v>Spill</v>
      </c>
      <c r="C3709" s="2">
        <f>_xlfn.XLOOKUP(A3709,'[1]Tissue Data'!$A:$A,'[1]Tissue Data'!$D:$D)</f>
        <v>44314</v>
      </c>
      <c r="D3709" s="2" t="s">
        <v>131</v>
      </c>
      <c r="E3709" t="str">
        <f>_xlfn.XLOOKUP(A3709,'[1]Tissue Data'!$A:$A,'[1]Tissue Data'!$H:$H)</f>
        <v>Clinostomus</v>
      </c>
      <c r="F3709" t="str">
        <f>_xlfn.XLOOKUP(A3709,'[1]Tissue Data'!$A:$A,'[1]Tissue Data'!$I:$I)</f>
        <v>funduloides</v>
      </c>
      <c r="G3709" t="str">
        <f>_xlfn.XLOOKUP(A3709,'[1]Tissue Data'!$A:$A,'[1]Tissue Data'!J:J)</f>
        <v>U</v>
      </c>
      <c r="H3709" t="str">
        <f>_xlfn.XLOOKUP(A3709,'[1]Tissue Data'!$A:$A,'[1]Tissue Data'!K:K)</f>
        <v>Whole Body</v>
      </c>
      <c r="I3709">
        <f>_xlfn.XLOOKUP(A3709,'[1]Tissue Data'!$A:$A,'[1]Tissue Data'!L:L)</f>
        <v>11</v>
      </c>
      <c r="J3709">
        <f>_xlfn.XLOOKUP(A3709,'[1]Tissue Data'!$A:$A,'[1]Tissue Data'!M:M)</f>
        <v>13.86</v>
      </c>
      <c r="K3709" t="s">
        <v>19</v>
      </c>
      <c r="L3709" t="str">
        <f>_xlfn.XLOOKUP(K3709,[2]analyte_order!$B:$B,[2]analyte_order!$C:$C)</f>
        <v>2058-94-8</v>
      </c>
      <c r="M3709">
        <f>_xlfn.XLOOKUP(L3709,[2]analyte_order!$C:$C,[2]analyte_order!$E:$E)</f>
        <v>8</v>
      </c>
      <c r="N3709">
        <v>12.1</v>
      </c>
    </row>
    <row r="3710" spans="1:14">
      <c r="A3710" t="s">
        <v>155</v>
      </c>
      <c r="B3710" t="str">
        <f>_xlfn.XLOOKUP(A3710,'[1]Tissue Data'!$A:$A,'[1]Tissue Data'!$C:$C)</f>
        <v>Spill</v>
      </c>
      <c r="C3710" s="2">
        <f>_xlfn.XLOOKUP(A3710,'[1]Tissue Data'!$A:$A,'[1]Tissue Data'!$D:$D)</f>
        <v>44314</v>
      </c>
      <c r="D3710" s="2" t="s">
        <v>131</v>
      </c>
      <c r="E3710" t="str">
        <f>_xlfn.XLOOKUP(A3710,'[1]Tissue Data'!$A:$A,'[1]Tissue Data'!$H:$H)</f>
        <v>Clinostomus</v>
      </c>
      <c r="F3710" t="str">
        <f>_xlfn.XLOOKUP(A3710,'[1]Tissue Data'!$A:$A,'[1]Tissue Data'!$I:$I)</f>
        <v>funduloides</v>
      </c>
      <c r="G3710" t="str">
        <f>_xlfn.XLOOKUP(A3710,'[1]Tissue Data'!$A:$A,'[1]Tissue Data'!J:J)</f>
        <v>U</v>
      </c>
      <c r="H3710" t="str">
        <f>_xlfn.XLOOKUP(A3710,'[1]Tissue Data'!$A:$A,'[1]Tissue Data'!K:K)</f>
        <v>Whole Body</v>
      </c>
      <c r="I3710">
        <f>_xlfn.XLOOKUP(A3710,'[1]Tissue Data'!$A:$A,'[1]Tissue Data'!L:L)</f>
        <v>11</v>
      </c>
      <c r="J3710">
        <f>_xlfn.XLOOKUP(A3710,'[1]Tissue Data'!$A:$A,'[1]Tissue Data'!M:M)</f>
        <v>13.86</v>
      </c>
      <c r="K3710" t="s">
        <v>20</v>
      </c>
      <c r="L3710" t="str">
        <f>_xlfn.XLOOKUP(K3710,[2]analyte_order!$B:$B,[2]analyte_order!$C:$C)</f>
        <v>307-55-1</v>
      </c>
      <c r="M3710">
        <f>_xlfn.XLOOKUP(L3710,[2]analyte_order!$C:$C,[2]analyte_order!$E:$E)</f>
        <v>9</v>
      </c>
      <c r="N3710">
        <v>16.7</v>
      </c>
    </row>
    <row r="3711" spans="1:14">
      <c r="A3711" t="s">
        <v>155</v>
      </c>
      <c r="B3711" t="str">
        <f>_xlfn.XLOOKUP(A3711,'[1]Tissue Data'!$A:$A,'[1]Tissue Data'!$C:$C)</f>
        <v>Spill</v>
      </c>
      <c r="C3711" s="2">
        <f>_xlfn.XLOOKUP(A3711,'[1]Tissue Data'!$A:$A,'[1]Tissue Data'!$D:$D)</f>
        <v>44314</v>
      </c>
      <c r="D3711" s="2" t="s">
        <v>131</v>
      </c>
      <c r="E3711" t="str">
        <f>_xlfn.XLOOKUP(A3711,'[1]Tissue Data'!$A:$A,'[1]Tissue Data'!$H:$H)</f>
        <v>Clinostomus</v>
      </c>
      <c r="F3711" t="str">
        <f>_xlfn.XLOOKUP(A3711,'[1]Tissue Data'!$A:$A,'[1]Tissue Data'!$I:$I)</f>
        <v>funduloides</v>
      </c>
      <c r="G3711" t="str">
        <f>_xlfn.XLOOKUP(A3711,'[1]Tissue Data'!$A:$A,'[1]Tissue Data'!J:J)</f>
        <v>U</v>
      </c>
      <c r="H3711" t="str">
        <f>_xlfn.XLOOKUP(A3711,'[1]Tissue Data'!$A:$A,'[1]Tissue Data'!K:K)</f>
        <v>Whole Body</v>
      </c>
      <c r="I3711">
        <f>_xlfn.XLOOKUP(A3711,'[1]Tissue Data'!$A:$A,'[1]Tissue Data'!L:L)</f>
        <v>11</v>
      </c>
      <c r="J3711">
        <f>_xlfn.XLOOKUP(A3711,'[1]Tissue Data'!$A:$A,'[1]Tissue Data'!M:M)</f>
        <v>13.86</v>
      </c>
      <c r="K3711" t="s">
        <v>21</v>
      </c>
      <c r="L3711" t="str">
        <f>_xlfn.XLOOKUP(K3711,[2]analyte_order!$B:$B,[2]analyte_order!$C:$C)</f>
        <v>72629-94-8</v>
      </c>
      <c r="M3711">
        <f>_xlfn.XLOOKUP(L3711,[2]analyte_order!$C:$C,[2]analyte_order!$E:$E)</f>
        <v>10</v>
      </c>
      <c r="N3711">
        <v>3.67</v>
      </c>
    </row>
    <row r="3712" spans="1:14">
      <c r="A3712" t="s">
        <v>155</v>
      </c>
      <c r="B3712" t="str">
        <f>_xlfn.XLOOKUP(A3712,'[1]Tissue Data'!$A:$A,'[1]Tissue Data'!$C:$C)</f>
        <v>Spill</v>
      </c>
      <c r="C3712" s="2">
        <f>_xlfn.XLOOKUP(A3712,'[1]Tissue Data'!$A:$A,'[1]Tissue Data'!$D:$D)</f>
        <v>44314</v>
      </c>
      <c r="D3712" s="2" t="s">
        <v>131</v>
      </c>
      <c r="E3712" t="str">
        <f>_xlfn.XLOOKUP(A3712,'[1]Tissue Data'!$A:$A,'[1]Tissue Data'!$H:$H)</f>
        <v>Clinostomus</v>
      </c>
      <c r="F3712" t="str">
        <f>_xlfn.XLOOKUP(A3712,'[1]Tissue Data'!$A:$A,'[1]Tissue Data'!$I:$I)</f>
        <v>funduloides</v>
      </c>
      <c r="G3712" t="str">
        <f>_xlfn.XLOOKUP(A3712,'[1]Tissue Data'!$A:$A,'[1]Tissue Data'!J:J)</f>
        <v>U</v>
      </c>
      <c r="H3712" t="str">
        <f>_xlfn.XLOOKUP(A3712,'[1]Tissue Data'!$A:$A,'[1]Tissue Data'!K:K)</f>
        <v>Whole Body</v>
      </c>
      <c r="I3712">
        <f>_xlfn.XLOOKUP(A3712,'[1]Tissue Data'!$A:$A,'[1]Tissue Data'!L:L)</f>
        <v>11</v>
      </c>
      <c r="J3712">
        <f>_xlfn.XLOOKUP(A3712,'[1]Tissue Data'!$A:$A,'[1]Tissue Data'!M:M)</f>
        <v>13.86</v>
      </c>
      <c r="K3712" t="s">
        <v>22</v>
      </c>
      <c r="L3712" t="str">
        <f>_xlfn.XLOOKUP(K3712,[2]analyte_order!$B:$B,[2]analyte_order!$C:$C)</f>
        <v>376-06-7</v>
      </c>
      <c r="M3712">
        <f>_xlfn.XLOOKUP(L3712,[2]analyte_order!$C:$C,[2]analyte_order!$E:$E)</f>
        <v>11</v>
      </c>
      <c r="N3712">
        <v>6.35</v>
      </c>
    </row>
    <row r="3713" spans="1:14">
      <c r="A3713" t="s">
        <v>155</v>
      </c>
      <c r="B3713" t="str">
        <f>_xlfn.XLOOKUP(A3713,'[1]Tissue Data'!$A:$A,'[1]Tissue Data'!$C:$C)</f>
        <v>Spill</v>
      </c>
      <c r="C3713" s="2">
        <f>_xlfn.XLOOKUP(A3713,'[1]Tissue Data'!$A:$A,'[1]Tissue Data'!$D:$D)</f>
        <v>44314</v>
      </c>
      <c r="D3713" s="2" t="s">
        <v>131</v>
      </c>
      <c r="E3713" t="str">
        <f>_xlfn.XLOOKUP(A3713,'[1]Tissue Data'!$A:$A,'[1]Tissue Data'!$H:$H)</f>
        <v>Clinostomus</v>
      </c>
      <c r="F3713" t="str">
        <f>_xlfn.XLOOKUP(A3713,'[1]Tissue Data'!$A:$A,'[1]Tissue Data'!$I:$I)</f>
        <v>funduloides</v>
      </c>
      <c r="G3713" t="str">
        <f>_xlfn.XLOOKUP(A3713,'[1]Tissue Data'!$A:$A,'[1]Tissue Data'!J:J)</f>
        <v>U</v>
      </c>
      <c r="H3713" t="str">
        <f>_xlfn.XLOOKUP(A3713,'[1]Tissue Data'!$A:$A,'[1]Tissue Data'!K:K)</f>
        <v>Whole Body</v>
      </c>
      <c r="I3713">
        <f>_xlfn.XLOOKUP(A3713,'[1]Tissue Data'!$A:$A,'[1]Tissue Data'!L:L)</f>
        <v>11</v>
      </c>
      <c r="J3713">
        <f>_xlfn.XLOOKUP(A3713,'[1]Tissue Data'!$A:$A,'[1]Tissue Data'!M:M)</f>
        <v>13.86</v>
      </c>
      <c r="K3713" t="s">
        <v>23</v>
      </c>
      <c r="L3713" t="str">
        <f>_xlfn.XLOOKUP(K3713,[2]analyte_order!$B:$B,[2]analyte_order!$C:$C)</f>
        <v>67905-19-5</v>
      </c>
      <c r="M3713">
        <f>_xlfn.XLOOKUP(L3713,[2]analyte_order!$C:$C,[2]analyte_order!$E:$E)</f>
        <v>12</v>
      </c>
      <c r="N3713">
        <v>8.8999999999999996E-2</v>
      </c>
    </row>
    <row r="3714" spans="1:14">
      <c r="A3714" t="s">
        <v>155</v>
      </c>
      <c r="B3714" t="str">
        <f>_xlfn.XLOOKUP(A3714,'[1]Tissue Data'!$A:$A,'[1]Tissue Data'!$C:$C)</f>
        <v>Spill</v>
      </c>
      <c r="C3714" s="2">
        <f>_xlfn.XLOOKUP(A3714,'[1]Tissue Data'!$A:$A,'[1]Tissue Data'!$D:$D)</f>
        <v>44314</v>
      </c>
      <c r="D3714" s="2" t="s">
        <v>131</v>
      </c>
      <c r="E3714" t="str">
        <f>_xlfn.XLOOKUP(A3714,'[1]Tissue Data'!$A:$A,'[1]Tissue Data'!$H:$H)</f>
        <v>Clinostomus</v>
      </c>
      <c r="F3714" t="str">
        <f>_xlfn.XLOOKUP(A3714,'[1]Tissue Data'!$A:$A,'[1]Tissue Data'!$I:$I)</f>
        <v>funduloides</v>
      </c>
      <c r="G3714" t="str">
        <f>_xlfn.XLOOKUP(A3714,'[1]Tissue Data'!$A:$A,'[1]Tissue Data'!J:J)</f>
        <v>U</v>
      </c>
      <c r="H3714" t="str">
        <f>_xlfn.XLOOKUP(A3714,'[1]Tissue Data'!$A:$A,'[1]Tissue Data'!K:K)</f>
        <v>Whole Body</v>
      </c>
      <c r="I3714">
        <f>_xlfn.XLOOKUP(A3714,'[1]Tissue Data'!$A:$A,'[1]Tissue Data'!L:L)</f>
        <v>11</v>
      </c>
      <c r="J3714">
        <f>_xlfn.XLOOKUP(A3714,'[1]Tissue Data'!$A:$A,'[1]Tissue Data'!M:M)</f>
        <v>13.86</v>
      </c>
      <c r="K3714" t="s">
        <v>24</v>
      </c>
      <c r="L3714" t="str">
        <f>_xlfn.XLOOKUP(K3714,[2]analyte_order!$B:$B,[2]analyte_order!$C:$C)</f>
        <v>423-41-6</v>
      </c>
      <c r="M3714">
        <f>_xlfn.XLOOKUP(L3714,[2]analyte_order!$C:$C,[2]analyte_order!$E:$E)</f>
        <v>53</v>
      </c>
      <c r="N3714">
        <v>5.7000000000000002E-2</v>
      </c>
    </row>
    <row r="3715" spans="1:14">
      <c r="A3715" t="s">
        <v>155</v>
      </c>
      <c r="B3715" t="str">
        <f>_xlfn.XLOOKUP(A3715,'[1]Tissue Data'!$A:$A,'[1]Tissue Data'!$C:$C)</f>
        <v>Spill</v>
      </c>
      <c r="C3715" s="2">
        <f>_xlfn.XLOOKUP(A3715,'[1]Tissue Data'!$A:$A,'[1]Tissue Data'!$D:$D)</f>
        <v>44314</v>
      </c>
      <c r="D3715" s="2" t="s">
        <v>131</v>
      </c>
      <c r="E3715" t="str">
        <f>_xlfn.XLOOKUP(A3715,'[1]Tissue Data'!$A:$A,'[1]Tissue Data'!$H:$H)</f>
        <v>Clinostomus</v>
      </c>
      <c r="F3715" t="str">
        <f>_xlfn.XLOOKUP(A3715,'[1]Tissue Data'!$A:$A,'[1]Tissue Data'!$I:$I)</f>
        <v>funduloides</v>
      </c>
      <c r="G3715" t="str">
        <f>_xlfn.XLOOKUP(A3715,'[1]Tissue Data'!$A:$A,'[1]Tissue Data'!J:J)</f>
        <v>U</v>
      </c>
      <c r="H3715" t="str">
        <f>_xlfn.XLOOKUP(A3715,'[1]Tissue Data'!$A:$A,'[1]Tissue Data'!K:K)</f>
        <v>Whole Body</v>
      </c>
      <c r="I3715">
        <f>_xlfn.XLOOKUP(A3715,'[1]Tissue Data'!$A:$A,'[1]Tissue Data'!L:L)</f>
        <v>11</v>
      </c>
      <c r="J3715">
        <f>_xlfn.XLOOKUP(A3715,'[1]Tissue Data'!$A:$A,'[1]Tissue Data'!M:M)</f>
        <v>13.86</v>
      </c>
      <c r="K3715" t="s">
        <v>25</v>
      </c>
      <c r="L3715" t="str">
        <f>_xlfn.XLOOKUP(K3715,[2]analyte_order!$B:$B,[2]analyte_order!$C:$C)</f>
        <v>375-73-5</v>
      </c>
      <c r="M3715">
        <f>_xlfn.XLOOKUP(L3715,[2]analyte_order!$C:$C,[2]analyte_order!$E:$E)</f>
        <v>14</v>
      </c>
      <c r="N3715">
        <v>0.41099999999999998</v>
      </c>
    </row>
    <row r="3716" spans="1:14">
      <c r="A3716" t="s">
        <v>155</v>
      </c>
      <c r="B3716" t="str">
        <f>_xlfn.XLOOKUP(A3716,'[1]Tissue Data'!$A:$A,'[1]Tissue Data'!$C:$C)</f>
        <v>Spill</v>
      </c>
      <c r="C3716" s="2">
        <f>_xlfn.XLOOKUP(A3716,'[1]Tissue Data'!$A:$A,'[1]Tissue Data'!$D:$D)</f>
        <v>44314</v>
      </c>
      <c r="D3716" s="2" t="s">
        <v>131</v>
      </c>
      <c r="E3716" t="str">
        <f>_xlfn.XLOOKUP(A3716,'[1]Tissue Data'!$A:$A,'[1]Tissue Data'!$H:$H)</f>
        <v>Clinostomus</v>
      </c>
      <c r="F3716" t="str">
        <f>_xlfn.XLOOKUP(A3716,'[1]Tissue Data'!$A:$A,'[1]Tissue Data'!$I:$I)</f>
        <v>funduloides</v>
      </c>
      <c r="G3716" t="str">
        <f>_xlfn.XLOOKUP(A3716,'[1]Tissue Data'!$A:$A,'[1]Tissue Data'!J:J)</f>
        <v>U</v>
      </c>
      <c r="H3716" t="str">
        <f>_xlfn.XLOOKUP(A3716,'[1]Tissue Data'!$A:$A,'[1]Tissue Data'!K:K)</f>
        <v>Whole Body</v>
      </c>
      <c r="I3716">
        <f>_xlfn.XLOOKUP(A3716,'[1]Tissue Data'!$A:$A,'[1]Tissue Data'!L:L)</f>
        <v>11</v>
      </c>
      <c r="J3716">
        <f>_xlfn.XLOOKUP(A3716,'[1]Tissue Data'!$A:$A,'[1]Tissue Data'!M:M)</f>
        <v>13.86</v>
      </c>
      <c r="K3716" t="s">
        <v>26</v>
      </c>
      <c r="L3716" t="str">
        <f>_xlfn.XLOOKUP(K3716,[2]analyte_order!$B:$B,[2]analyte_order!$C:$C)</f>
        <v>2706-91-4</v>
      </c>
      <c r="M3716">
        <f>_xlfn.XLOOKUP(L3716,[2]analyte_order!$C:$C,[2]analyte_order!$E:$E)</f>
        <v>15</v>
      </c>
      <c r="N3716">
        <v>2.34</v>
      </c>
    </row>
    <row r="3717" spans="1:14">
      <c r="A3717" t="s">
        <v>155</v>
      </c>
      <c r="B3717" t="str">
        <f>_xlfn.XLOOKUP(A3717,'[1]Tissue Data'!$A:$A,'[1]Tissue Data'!$C:$C)</f>
        <v>Spill</v>
      </c>
      <c r="C3717" s="2">
        <f>_xlfn.XLOOKUP(A3717,'[1]Tissue Data'!$A:$A,'[1]Tissue Data'!$D:$D)</f>
        <v>44314</v>
      </c>
      <c r="D3717" s="2" t="s">
        <v>131</v>
      </c>
      <c r="E3717" t="str">
        <f>_xlfn.XLOOKUP(A3717,'[1]Tissue Data'!$A:$A,'[1]Tissue Data'!$H:$H)</f>
        <v>Clinostomus</v>
      </c>
      <c r="F3717" t="str">
        <f>_xlfn.XLOOKUP(A3717,'[1]Tissue Data'!$A:$A,'[1]Tissue Data'!$I:$I)</f>
        <v>funduloides</v>
      </c>
      <c r="G3717" t="str">
        <f>_xlfn.XLOOKUP(A3717,'[1]Tissue Data'!$A:$A,'[1]Tissue Data'!J:J)</f>
        <v>U</v>
      </c>
      <c r="H3717" t="str">
        <f>_xlfn.XLOOKUP(A3717,'[1]Tissue Data'!$A:$A,'[1]Tissue Data'!K:K)</f>
        <v>Whole Body</v>
      </c>
      <c r="I3717">
        <f>_xlfn.XLOOKUP(A3717,'[1]Tissue Data'!$A:$A,'[1]Tissue Data'!L:L)</f>
        <v>11</v>
      </c>
      <c r="J3717">
        <f>_xlfn.XLOOKUP(A3717,'[1]Tissue Data'!$A:$A,'[1]Tissue Data'!M:M)</f>
        <v>13.86</v>
      </c>
      <c r="K3717" t="s">
        <v>27</v>
      </c>
      <c r="L3717" t="str">
        <f>_xlfn.XLOOKUP(K3717,[2]analyte_order!$B:$B,[2]analyte_order!$C:$C)</f>
        <v>355-46-4</v>
      </c>
      <c r="M3717">
        <f>_xlfn.XLOOKUP(L3717,[2]analyte_order!$C:$C,[2]analyte_order!$E:$E)</f>
        <v>16</v>
      </c>
      <c r="N3717">
        <v>91.5</v>
      </c>
    </row>
    <row r="3718" spans="1:14">
      <c r="A3718" t="s">
        <v>155</v>
      </c>
      <c r="B3718" t="str">
        <f>_xlfn.XLOOKUP(A3718,'[1]Tissue Data'!$A:$A,'[1]Tissue Data'!$C:$C)</f>
        <v>Spill</v>
      </c>
      <c r="C3718" s="2">
        <f>_xlfn.XLOOKUP(A3718,'[1]Tissue Data'!$A:$A,'[1]Tissue Data'!$D:$D)</f>
        <v>44314</v>
      </c>
      <c r="D3718" s="2" t="s">
        <v>131</v>
      </c>
      <c r="E3718" t="str">
        <f>_xlfn.XLOOKUP(A3718,'[1]Tissue Data'!$A:$A,'[1]Tissue Data'!$H:$H)</f>
        <v>Clinostomus</v>
      </c>
      <c r="F3718" t="str">
        <f>_xlfn.XLOOKUP(A3718,'[1]Tissue Data'!$A:$A,'[1]Tissue Data'!$I:$I)</f>
        <v>funduloides</v>
      </c>
      <c r="G3718" t="str">
        <f>_xlfn.XLOOKUP(A3718,'[1]Tissue Data'!$A:$A,'[1]Tissue Data'!J:J)</f>
        <v>U</v>
      </c>
      <c r="H3718" t="str">
        <f>_xlfn.XLOOKUP(A3718,'[1]Tissue Data'!$A:$A,'[1]Tissue Data'!K:K)</f>
        <v>Whole Body</v>
      </c>
      <c r="I3718">
        <f>_xlfn.XLOOKUP(A3718,'[1]Tissue Data'!$A:$A,'[1]Tissue Data'!L:L)</f>
        <v>11</v>
      </c>
      <c r="J3718">
        <f>_xlfn.XLOOKUP(A3718,'[1]Tissue Data'!$A:$A,'[1]Tissue Data'!M:M)</f>
        <v>13.86</v>
      </c>
      <c r="K3718" t="s">
        <v>28</v>
      </c>
      <c r="L3718" t="str">
        <f>_xlfn.XLOOKUP(K3718,[2]analyte_order!$B:$B,[2]analyte_order!$C:$C)</f>
        <v>375-92-8</v>
      </c>
      <c r="M3718">
        <f>_xlfn.XLOOKUP(L3718,[2]analyte_order!$C:$C,[2]analyte_order!$E:$E)</f>
        <v>17</v>
      </c>
      <c r="N3718">
        <v>15.6</v>
      </c>
    </row>
    <row r="3719" spans="1:14">
      <c r="A3719" t="s">
        <v>155</v>
      </c>
      <c r="B3719" t="str">
        <f>_xlfn.XLOOKUP(A3719,'[1]Tissue Data'!$A:$A,'[1]Tissue Data'!$C:$C)</f>
        <v>Spill</v>
      </c>
      <c r="C3719" s="2">
        <f>_xlfn.XLOOKUP(A3719,'[1]Tissue Data'!$A:$A,'[1]Tissue Data'!$D:$D)</f>
        <v>44314</v>
      </c>
      <c r="D3719" s="2" t="s">
        <v>131</v>
      </c>
      <c r="E3719" t="str">
        <f>_xlfn.XLOOKUP(A3719,'[1]Tissue Data'!$A:$A,'[1]Tissue Data'!$H:$H)</f>
        <v>Clinostomus</v>
      </c>
      <c r="F3719" t="str">
        <f>_xlfn.XLOOKUP(A3719,'[1]Tissue Data'!$A:$A,'[1]Tissue Data'!$I:$I)</f>
        <v>funduloides</v>
      </c>
      <c r="G3719" t="str">
        <f>_xlfn.XLOOKUP(A3719,'[1]Tissue Data'!$A:$A,'[1]Tissue Data'!J:J)</f>
        <v>U</v>
      </c>
      <c r="H3719" t="str">
        <f>_xlfn.XLOOKUP(A3719,'[1]Tissue Data'!$A:$A,'[1]Tissue Data'!K:K)</f>
        <v>Whole Body</v>
      </c>
      <c r="I3719">
        <f>_xlfn.XLOOKUP(A3719,'[1]Tissue Data'!$A:$A,'[1]Tissue Data'!L:L)</f>
        <v>11</v>
      </c>
      <c r="J3719">
        <f>_xlfn.XLOOKUP(A3719,'[1]Tissue Data'!$A:$A,'[1]Tissue Data'!M:M)</f>
        <v>13.86</v>
      </c>
      <c r="K3719" t="s">
        <v>29</v>
      </c>
      <c r="L3719" t="str">
        <f>_xlfn.XLOOKUP(K3719,[2]analyte_order!$B:$B,[2]analyte_order!$C:$C)</f>
        <v>1763-23-1</v>
      </c>
      <c r="M3719">
        <f>_xlfn.XLOOKUP(L3719,[2]analyte_order!$C:$C,[2]analyte_order!$E:$E)</f>
        <v>18</v>
      </c>
      <c r="N3719">
        <v>1950</v>
      </c>
    </row>
    <row r="3720" spans="1:14">
      <c r="A3720" t="s">
        <v>155</v>
      </c>
      <c r="B3720" t="str">
        <f>_xlfn.XLOOKUP(A3720,'[1]Tissue Data'!$A:$A,'[1]Tissue Data'!$C:$C)</f>
        <v>Spill</v>
      </c>
      <c r="C3720" s="2">
        <f>_xlfn.XLOOKUP(A3720,'[1]Tissue Data'!$A:$A,'[1]Tissue Data'!$D:$D)</f>
        <v>44314</v>
      </c>
      <c r="D3720" s="2" t="s">
        <v>131</v>
      </c>
      <c r="E3720" t="str">
        <f>_xlfn.XLOOKUP(A3720,'[1]Tissue Data'!$A:$A,'[1]Tissue Data'!$H:$H)</f>
        <v>Clinostomus</v>
      </c>
      <c r="F3720" t="str">
        <f>_xlfn.XLOOKUP(A3720,'[1]Tissue Data'!$A:$A,'[1]Tissue Data'!$I:$I)</f>
        <v>funduloides</v>
      </c>
      <c r="G3720" t="str">
        <f>_xlfn.XLOOKUP(A3720,'[1]Tissue Data'!$A:$A,'[1]Tissue Data'!J:J)</f>
        <v>U</v>
      </c>
      <c r="H3720" t="str">
        <f>_xlfn.XLOOKUP(A3720,'[1]Tissue Data'!$A:$A,'[1]Tissue Data'!K:K)</f>
        <v>Whole Body</v>
      </c>
      <c r="I3720">
        <f>_xlfn.XLOOKUP(A3720,'[1]Tissue Data'!$A:$A,'[1]Tissue Data'!L:L)</f>
        <v>11</v>
      </c>
      <c r="J3720">
        <f>_xlfn.XLOOKUP(A3720,'[1]Tissue Data'!$A:$A,'[1]Tissue Data'!M:M)</f>
        <v>13.86</v>
      </c>
      <c r="K3720" t="s">
        <v>30</v>
      </c>
      <c r="L3720" t="str">
        <f>_xlfn.XLOOKUP(K3720,[2]analyte_order!$B:$B,[2]analyte_order!$C:$C)</f>
        <v>68259-12-1</v>
      </c>
      <c r="M3720">
        <f>_xlfn.XLOOKUP(L3720,[2]analyte_order!$C:$C,[2]analyte_order!$E:$E)</f>
        <v>19</v>
      </c>
      <c r="N3720">
        <v>0.874</v>
      </c>
    </row>
    <row r="3721" spans="1:14">
      <c r="A3721" t="s">
        <v>155</v>
      </c>
      <c r="B3721" t="str">
        <f>_xlfn.XLOOKUP(A3721,'[1]Tissue Data'!$A:$A,'[1]Tissue Data'!$C:$C)</f>
        <v>Spill</v>
      </c>
      <c r="C3721" s="2">
        <f>_xlfn.XLOOKUP(A3721,'[1]Tissue Data'!$A:$A,'[1]Tissue Data'!$D:$D)</f>
        <v>44314</v>
      </c>
      <c r="D3721" s="2" t="s">
        <v>131</v>
      </c>
      <c r="E3721" t="str">
        <f>_xlfn.XLOOKUP(A3721,'[1]Tissue Data'!$A:$A,'[1]Tissue Data'!$H:$H)</f>
        <v>Clinostomus</v>
      </c>
      <c r="F3721" t="str">
        <f>_xlfn.XLOOKUP(A3721,'[1]Tissue Data'!$A:$A,'[1]Tissue Data'!$I:$I)</f>
        <v>funduloides</v>
      </c>
      <c r="G3721" t="str">
        <f>_xlfn.XLOOKUP(A3721,'[1]Tissue Data'!$A:$A,'[1]Tissue Data'!J:J)</f>
        <v>U</v>
      </c>
      <c r="H3721" t="str">
        <f>_xlfn.XLOOKUP(A3721,'[1]Tissue Data'!$A:$A,'[1]Tissue Data'!K:K)</f>
        <v>Whole Body</v>
      </c>
      <c r="I3721">
        <f>_xlfn.XLOOKUP(A3721,'[1]Tissue Data'!$A:$A,'[1]Tissue Data'!L:L)</f>
        <v>11</v>
      </c>
      <c r="J3721">
        <f>_xlfn.XLOOKUP(A3721,'[1]Tissue Data'!$A:$A,'[1]Tissue Data'!M:M)</f>
        <v>13.86</v>
      </c>
      <c r="K3721" t="s">
        <v>31</v>
      </c>
      <c r="L3721" t="str">
        <f>_xlfn.XLOOKUP(K3721,[2]analyte_order!$B:$B,[2]analyte_order!$C:$C)</f>
        <v>335-77-3</v>
      </c>
      <c r="M3721">
        <f>_xlfn.XLOOKUP(L3721,[2]analyte_order!$C:$C,[2]analyte_order!$E:$E)</f>
        <v>20</v>
      </c>
      <c r="N3721">
        <v>3.38</v>
      </c>
    </row>
    <row r="3722" spans="1:14">
      <c r="A3722" t="s">
        <v>155</v>
      </c>
      <c r="B3722" t="str">
        <f>_xlfn.XLOOKUP(A3722,'[1]Tissue Data'!$A:$A,'[1]Tissue Data'!$C:$C)</f>
        <v>Spill</v>
      </c>
      <c r="C3722" s="2">
        <f>_xlfn.XLOOKUP(A3722,'[1]Tissue Data'!$A:$A,'[1]Tissue Data'!$D:$D)</f>
        <v>44314</v>
      </c>
      <c r="D3722" s="2" t="s">
        <v>131</v>
      </c>
      <c r="E3722" t="str">
        <f>_xlfn.XLOOKUP(A3722,'[1]Tissue Data'!$A:$A,'[1]Tissue Data'!$H:$H)</f>
        <v>Clinostomus</v>
      </c>
      <c r="F3722" t="str">
        <f>_xlfn.XLOOKUP(A3722,'[1]Tissue Data'!$A:$A,'[1]Tissue Data'!$I:$I)</f>
        <v>funduloides</v>
      </c>
      <c r="G3722" t="str">
        <f>_xlfn.XLOOKUP(A3722,'[1]Tissue Data'!$A:$A,'[1]Tissue Data'!J:J)</f>
        <v>U</v>
      </c>
      <c r="H3722" t="str">
        <f>_xlfn.XLOOKUP(A3722,'[1]Tissue Data'!$A:$A,'[1]Tissue Data'!K:K)</f>
        <v>Whole Body</v>
      </c>
      <c r="I3722">
        <f>_xlfn.XLOOKUP(A3722,'[1]Tissue Data'!$A:$A,'[1]Tissue Data'!L:L)</f>
        <v>11</v>
      </c>
      <c r="J3722">
        <f>_xlfn.XLOOKUP(A3722,'[1]Tissue Data'!$A:$A,'[1]Tissue Data'!M:M)</f>
        <v>13.86</v>
      </c>
      <c r="K3722" t="s">
        <v>32</v>
      </c>
      <c r="L3722" t="str">
        <f>_xlfn.XLOOKUP(K3722,[2]analyte_order!$B:$B,[2]analyte_order!$C:$C)</f>
        <v>79780-39-5</v>
      </c>
      <c r="M3722">
        <f>_xlfn.XLOOKUP(L3722,[2]analyte_order!$C:$C,[2]analyte_order!$E:$E)</f>
        <v>21</v>
      </c>
      <c r="N3722">
        <v>1.04</v>
      </c>
    </row>
    <row r="3723" spans="1:14">
      <c r="A3723" t="s">
        <v>155</v>
      </c>
      <c r="B3723" t="str">
        <f>_xlfn.XLOOKUP(A3723,'[1]Tissue Data'!$A:$A,'[1]Tissue Data'!$C:$C)</f>
        <v>Spill</v>
      </c>
      <c r="C3723" s="2">
        <f>_xlfn.XLOOKUP(A3723,'[1]Tissue Data'!$A:$A,'[1]Tissue Data'!$D:$D)</f>
        <v>44314</v>
      </c>
      <c r="D3723" s="2" t="s">
        <v>131</v>
      </c>
      <c r="E3723" t="str">
        <f>_xlfn.XLOOKUP(A3723,'[1]Tissue Data'!$A:$A,'[1]Tissue Data'!$H:$H)</f>
        <v>Clinostomus</v>
      </c>
      <c r="F3723" t="str">
        <f>_xlfn.XLOOKUP(A3723,'[1]Tissue Data'!$A:$A,'[1]Tissue Data'!$I:$I)</f>
        <v>funduloides</v>
      </c>
      <c r="G3723" t="str">
        <f>_xlfn.XLOOKUP(A3723,'[1]Tissue Data'!$A:$A,'[1]Tissue Data'!J:J)</f>
        <v>U</v>
      </c>
      <c r="H3723" t="str">
        <f>_xlfn.XLOOKUP(A3723,'[1]Tissue Data'!$A:$A,'[1]Tissue Data'!K:K)</f>
        <v>Whole Body</v>
      </c>
      <c r="I3723">
        <f>_xlfn.XLOOKUP(A3723,'[1]Tissue Data'!$A:$A,'[1]Tissue Data'!L:L)</f>
        <v>11</v>
      </c>
      <c r="J3723">
        <f>_xlfn.XLOOKUP(A3723,'[1]Tissue Data'!$A:$A,'[1]Tissue Data'!M:M)</f>
        <v>13.86</v>
      </c>
      <c r="K3723" t="s">
        <v>33</v>
      </c>
      <c r="L3723" t="str">
        <f>_xlfn.XLOOKUP(K3723,[2]analyte_order!$B:$B,[2]analyte_order!$C:$C)</f>
        <v>777011-38-8</v>
      </c>
      <c r="M3723">
        <f>_xlfn.XLOOKUP(L3723,[2]analyte_order!$C:$C,[2]analyte_order!$E:$E)</f>
        <v>54</v>
      </c>
      <c r="N3723">
        <v>0.57299999999999995</v>
      </c>
    </row>
    <row r="3724" spans="1:14">
      <c r="A3724" t="s">
        <v>155</v>
      </c>
      <c r="B3724" t="str">
        <f>_xlfn.XLOOKUP(A3724,'[1]Tissue Data'!$A:$A,'[1]Tissue Data'!$C:$C)</f>
        <v>Spill</v>
      </c>
      <c r="C3724" s="2">
        <f>_xlfn.XLOOKUP(A3724,'[1]Tissue Data'!$A:$A,'[1]Tissue Data'!$D:$D)</f>
        <v>44314</v>
      </c>
      <c r="D3724" s="2" t="s">
        <v>131</v>
      </c>
      <c r="E3724" t="str">
        <f>_xlfn.XLOOKUP(A3724,'[1]Tissue Data'!$A:$A,'[1]Tissue Data'!$H:$H)</f>
        <v>Clinostomus</v>
      </c>
      <c r="F3724" t="str">
        <f>_xlfn.XLOOKUP(A3724,'[1]Tissue Data'!$A:$A,'[1]Tissue Data'!$I:$I)</f>
        <v>funduloides</v>
      </c>
      <c r="G3724" t="str">
        <f>_xlfn.XLOOKUP(A3724,'[1]Tissue Data'!$A:$A,'[1]Tissue Data'!J:J)</f>
        <v>U</v>
      </c>
      <c r="H3724" t="str">
        <f>_xlfn.XLOOKUP(A3724,'[1]Tissue Data'!$A:$A,'[1]Tissue Data'!K:K)</f>
        <v>Whole Body</v>
      </c>
      <c r="I3724">
        <f>_xlfn.XLOOKUP(A3724,'[1]Tissue Data'!$A:$A,'[1]Tissue Data'!L:L)</f>
        <v>11</v>
      </c>
      <c r="J3724">
        <f>_xlfn.XLOOKUP(A3724,'[1]Tissue Data'!$A:$A,'[1]Tissue Data'!M:M)</f>
        <v>13.86</v>
      </c>
      <c r="K3724" t="s">
        <v>34</v>
      </c>
      <c r="L3724" t="str">
        <f>_xlfn.XLOOKUP(K3724,[2]analyte_order!$B:$B,[2]analyte_order!$C:$C)</f>
        <v>646-83-3</v>
      </c>
      <c r="M3724">
        <f>_xlfn.XLOOKUP(L3724,[2]analyte_order!$C:$C,[2]analyte_order!$E:$E)</f>
        <v>55</v>
      </c>
      <c r="N3724">
        <v>0.58799999999999997</v>
      </c>
    </row>
    <row r="3725" spans="1:14">
      <c r="A3725" t="s">
        <v>155</v>
      </c>
      <c r="B3725" t="str">
        <f>_xlfn.XLOOKUP(A3725,'[1]Tissue Data'!$A:$A,'[1]Tissue Data'!$C:$C)</f>
        <v>Spill</v>
      </c>
      <c r="C3725" s="2">
        <f>_xlfn.XLOOKUP(A3725,'[1]Tissue Data'!$A:$A,'[1]Tissue Data'!$D:$D)</f>
        <v>44314</v>
      </c>
      <c r="D3725" s="2" t="s">
        <v>131</v>
      </c>
      <c r="E3725" t="str">
        <f>_xlfn.XLOOKUP(A3725,'[1]Tissue Data'!$A:$A,'[1]Tissue Data'!$H:$H)</f>
        <v>Clinostomus</v>
      </c>
      <c r="F3725" t="str">
        <f>_xlfn.XLOOKUP(A3725,'[1]Tissue Data'!$A:$A,'[1]Tissue Data'!$I:$I)</f>
        <v>funduloides</v>
      </c>
      <c r="G3725" t="str">
        <f>_xlfn.XLOOKUP(A3725,'[1]Tissue Data'!$A:$A,'[1]Tissue Data'!J:J)</f>
        <v>U</v>
      </c>
      <c r="H3725" t="str">
        <f>_xlfn.XLOOKUP(A3725,'[1]Tissue Data'!$A:$A,'[1]Tissue Data'!K:K)</f>
        <v>Whole Body</v>
      </c>
      <c r="I3725">
        <f>_xlfn.XLOOKUP(A3725,'[1]Tissue Data'!$A:$A,'[1]Tissue Data'!L:L)</f>
        <v>11</v>
      </c>
      <c r="J3725">
        <f>_xlfn.XLOOKUP(A3725,'[1]Tissue Data'!$A:$A,'[1]Tissue Data'!M:M)</f>
        <v>13.86</v>
      </c>
      <c r="K3725" t="s">
        <v>35</v>
      </c>
      <c r="L3725" t="str">
        <f>_xlfn.XLOOKUP(K3725,[2]analyte_order!$B:$B,[2]analyte_order!$C:$C)</f>
        <v>30334-69-1</v>
      </c>
      <c r="M3725">
        <f>_xlfn.XLOOKUP(L3725,[2]analyte_order!$C:$C,[2]analyte_order!$E:$E)</f>
        <v>51</v>
      </c>
      <c r="N3725">
        <v>36.700000000000003</v>
      </c>
    </row>
    <row r="3726" spans="1:14">
      <c r="A3726" t="s">
        <v>155</v>
      </c>
      <c r="B3726" t="str">
        <f>_xlfn.XLOOKUP(A3726,'[1]Tissue Data'!$A:$A,'[1]Tissue Data'!$C:$C)</f>
        <v>Spill</v>
      </c>
      <c r="C3726" s="2">
        <f>_xlfn.XLOOKUP(A3726,'[1]Tissue Data'!$A:$A,'[1]Tissue Data'!$D:$D)</f>
        <v>44314</v>
      </c>
      <c r="D3726" s="2" t="s">
        <v>131</v>
      </c>
      <c r="E3726" t="str">
        <f>_xlfn.XLOOKUP(A3726,'[1]Tissue Data'!$A:$A,'[1]Tissue Data'!$H:$H)</f>
        <v>Clinostomus</v>
      </c>
      <c r="F3726" t="str">
        <f>_xlfn.XLOOKUP(A3726,'[1]Tissue Data'!$A:$A,'[1]Tissue Data'!$I:$I)</f>
        <v>funduloides</v>
      </c>
      <c r="G3726" t="str">
        <f>_xlfn.XLOOKUP(A3726,'[1]Tissue Data'!$A:$A,'[1]Tissue Data'!J:J)</f>
        <v>U</v>
      </c>
      <c r="H3726" t="str">
        <f>_xlfn.XLOOKUP(A3726,'[1]Tissue Data'!$A:$A,'[1]Tissue Data'!K:K)</f>
        <v>Whole Body</v>
      </c>
      <c r="I3726">
        <f>_xlfn.XLOOKUP(A3726,'[1]Tissue Data'!$A:$A,'[1]Tissue Data'!L:L)</f>
        <v>11</v>
      </c>
      <c r="J3726">
        <f>_xlfn.XLOOKUP(A3726,'[1]Tissue Data'!$A:$A,'[1]Tissue Data'!M:M)</f>
        <v>13.86</v>
      </c>
      <c r="K3726" t="s">
        <v>36</v>
      </c>
      <c r="L3726" t="str">
        <f>_xlfn.XLOOKUP(K3726,[2]analyte_order!$B:$B,[2]analyte_order!$C:$C)</f>
        <v>41997-13-1</v>
      </c>
      <c r="M3726">
        <f>_xlfn.XLOOKUP(L3726,[2]analyte_order!$C:$C,[2]analyte_order!$E:$E)</f>
        <v>52</v>
      </c>
      <c r="N3726">
        <v>225</v>
      </c>
    </row>
    <row r="3727" spans="1:14">
      <c r="A3727" t="s">
        <v>155</v>
      </c>
      <c r="B3727" t="str">
        <f>_xlfn.XLOOKUP(A3727,'[1]Tissue Data'!$A:$A,'[1]Tissue Data'!$C:$C)</f>
        <v>Spill</v>
      </c>
      <c r="C3727" s="2">
        <f>_xlfn.XLOOKUP(A3727,'[1]Tissue Data'!$A:$A,'[1]Tissue Data'!$D:$D)</f>
        <v>44314</v>
      </c>
      <c r="D3727" s="2" t="s">
        <v>131</v>
      </c>
      <c r="E3727" t="str">
        <f>_xlfn.XLOOKUP(A3727,'[1]Tissue Data'!$A:$A,'[1]Tissue Data'!$H:$H)</f>
        <v>Clinostomus</v>
      </c>
      <c r="F3727" t="str">
        <f>_xlfn.XLOOKUP(A3727,'[1]Tissue Data'!$A:$A,'[1]Tissue Data'!$I:$I)</f>
        <v>funduloides</v>
      </c>
      <c r="G3727" t="str">
        <f>_xlfn.XLOOKUP(A3727,'[1]Tissue Data'!$A:$A,'[1]Tissue Data'!J:J)</f>
        <v>U</v>
      </c>
      <c r="H3727" t="str">
        <f>_xlfn.XLOOKUP(A3727,'[1]Tissue Data'!$A:$A,'[1]Tissue Data'!K:K)</f>
        <v>Whole Body</v>
      </c>
      <c r="I3727">
        <f>_xlfn.XLOOKUP(A3727,'[1]Tissue Data'!$A:$A,'[1]Tissue Data'!L:L)</f>
        <v>11</v>
      </c>
      <c r="J3727">
        <f>_xlfn.XLOOKUP(A3727,'[1]Tissue Data'!$A:$A,'[1]Tissue Data'!M:M)</f>
        <v>13.86</v>
      </c>
      <c r="K3727" t="s">
        <v>37</v>
      </c>
      <c r="L3727" t="str">
        <f>_xlfn.XLOOKUP(K3727,[2]analyte_order!$B:$B,[2]analyte_order!$C:$C)</f>
        <v>754-91-6</v>
      </c>
      <c r="M3727">
        <f>_xlfn.XLOOKUP(L3727,[2]analyte_order!$C:$C,[2]analyte_order!$E:$E)</f>
        <v>28</v>
      </c>
      <c r="N3727">
        <v>50.5</v>
      </c>
    </row>
    <row r="3728" spans="1:14">
      <c r="A3728" t="s">
        <v>155</v>
      </c>
      <c r="B3728" t="str">
        <f>_xlfn.XLOOKUP(A3728,'[1]Tissue Data'!$A:$A,'[1]Tissue Data'!$C:$C)</f>
        <v>Spill</v>
      </c>
      <c r="C3728" s="2">
        <f>_xlfn.XLOOKUP(A3728,'[1]Tissue Data'!$A:$A,'[1]Tissue Data'!$D:$D)</f>
        <v>44314</v>
      </c>
      <c r="D3728" s="2" t="s">
        <v>131</v>
      </c>
      <c r="E3728" t="str">
        <f>_xlfn.XLOOKUP(A3728,'[1]Tissue Data'!$A:$A,'[1]Tissue Data'!$H:$H)</f>
        <v>Clinostomus</v>
      </c>
      <c r="F3728" t="str">
        <f>_xlfn.XLOOKUP(A3728,'[1]Tissue Data'!$A:$A,'[1]Tissue Data'!$I:$I)</f>
        <v>funduloides</v>
      </c>
      <c r="G3728" t="str">
        <f>_xlfn.XLOOKUP(A3728,'[1]Tissue Data'!$A:$A,'[1]Tissue Data'!J:J)</f>
        <v>U</v>
      </c>
      <c r="H3728" t="str">
        <f>_xlfn.XLOOKUP(A3728,'[1]Tissue Data'!$A:$A,'[1]Tissue Data'!K:K)</f>
        <v>Whole Body</v>
      </c>
      <c r="I3728">
        <f>_xlfn.XLOOKUP(A3728,'[1]Tissue Data'!$A:$A,'[1]Tissue Data'!L:L)</f>
        <v>11</v>
      </c>
      <c r="J3728">
        <f>_xlfn.XLOOKUP(A3728,'[1]Tissue Data'!$A:$A,'[1]Tissue Data'!M:M)</f>
        <v>13.86</v>
      </c>
      <c r="K3728" t="s">
        <v>38</v>
      </c>
      <c r="L3728" t="str">
        <f>_xlfn.XLOOKUP(K3728,[2]analyte_order!$B:$B,[2]analyte_order!$C:$C)</f>
        <v>31506-32-8</v>
      </c>
      <c r="M3728">
        <f>_xlfn.XLOOKUP(L3728,[2]analyte_order!$C:$C,[2]analyte_order!$E:$E)</f>
        <v>30</v>
      </c>
      <c r="N3728">
        <v>5.7500000000000002E-2</v>
      </c>
    </row>
    <row r="3729" spans="1:14">
      <c r="A3729" t="s">
        <v>155</v>
      </c>
      <c r="B3729" t="str">
        <f>_xlfn.XLOOKUP(A3729,'[1]Tissue Data'!$A:$A,'[1]Tissue Data'!$C:$C)</f>
        <v>Spill</v>
      </c>
      <c r="C3729" s="2">
        <f>_xlfn.XLOOKUP(A3729,'[1]Tissue Data'!$A:$A,'[1]Tissue Data'!$D:$D)</f>
        <v>44314</v>
      </c>
      <c r="D3729" s="2" t="s">
        <v>131</v>
      </c>
      <c r="E3729" t="str">
        <f>_xlfn.XLOOKUP(A3729,'[1]Tissue Data'!$A:$A,'[1]Tissue Data'!$H:$H)</f>
        <v>Clinostomus</v>
      </c>
      <c r="F3729" t="str">
        <f>_xlfn.XLOOKUP(A3729,'[1]Tissue Data'!$A:$A,'[1]Tissue Data'!$I:$I)</f>
        <v>funduloides</v>
      </c>
      <c r="G3729" t="str">
        <f>_xlfn.XLOOKUP(A3729,'[1]Tissue Data'!$A:$A,'[1]Tissue Data'!J:J)</f>
        <v>U</v>
      </c>
      <c r="H3729" t="str">
        <f>_xlfn.XLOOKUP(A3729,'[1]Tissue Data'!$A:$A,'[1]Tissue Data'!K:K)</f>
        <v>Whole Body</v>
      </c>
      <c r="I3729">
        <f>_xlfn.XLOOKUP(A3729,'[1]Tissue Data'!$A:$A,'[1]Tissue Data'!L:L)</f>
        <v>11</v>
      </c>
      <c r="J3729">
        <f>_xlfn.XLOOKUP(A3729,'[1]Tissue Data'!$A:$A,'[1]Tissue Data'!M:M)</f>
        <v>13.86</v>
      </c>
      <c r="K3729" t="s">
        <v>39</v>
      </c>
      <c r="L3729" t="str">
        <f>_xlfn.XLOOKUP(K3729,[2]analyte_order!$B:$B,[2]analyte_order!$C:$C)</f>
        <v>4151-50-2</v>
      </c>
      <c r="M3729">
        <f>_xlfn.XLOOKUP(L3729,[2]analyte_order!$C:$C,[2]analyte_order!$E:$E)</f>
        <v>31</v>
      </c>
      <c r="N3729">
        <v>8.6999999999999994E-2</v>
      </c>
    </row>
    <row r="3730" spans="1:14">
      <c r="A3730" t="s">
        <v>155</v>
      </c>
      <c r="B3730" t="str">
        <f>_xlfn.XLOOKUP(A3730,'[1]Tissue Data'!$A:$A,'[1]Tissue Data'!$C:$C)</f>
        <v>Spill</v>
      </c>
      <c r="C3730" s="2">
        <f>_xlfn.XLOOKUP(A3730,'[1]Tissue Data'!$A:$A,'[1]Tissue Data'!$D:$D)</f>
        <v>44314</v>
      </c>
      <c r="D3730" s="2" t="s">
        <v>131</v>
      </c>
      <c r="E3730" t="str">
        <f>_xlfn.XLOOKUP(A3730,'[1]Tissue Data'!$A:$A,'[1]Tissue Data'!$H:$H)</f>
        <v>Clinostomus</v>
      </c>
      <c r="F3730" t="str">
        <f>_xlfn.XLOOKUP(A3730,'[1]Tissue Data'!$A:$A,'[1]Tissue Data'!$I:$I)</f>
        <v>funduloides</v>
      </c>
      <c r="G3730" t="str">
        <f>_xlfn.XLOOKUP(A3730,'[1]Tissue Data'!$A:$A,'[1]Tissue Data'!J:J)</f>
        <v>U</v>
      </c>
      <c r="H3730" t="str">
        <f>_xlfn.XLOOKUP(A3730,'[1]Tissue Data'!$A:$A,'[1]Tissue Data'!K:K)</f>
        <v>Whole Body</v>
      </c>
      <c r="I3730">
        <f>_xlfn.XLOOKUP(A3730,'[1]Tissue Data'!$A:$A,'[1]Tissue Data'!L:L)</f>
        <v>11</v>
      </c>
      <c r="J3730">
        <f>_xlfn.XLOOKUP(A3730,'[1]Tissue Data'!$A:$A,'[1]Tissue Data'!M:M)</f>
        <v>13.86</v>
      </c>
      <c r="K3730" t="s">
        <v>40</v>
      </c>
      <c r="L3730" t="str">
        <f>_xlfn.XLOOKUP(K3730,[2]analyte_order!$B:$B,[2]analyte_order!$C:$C)</f>
        <v>2806-24-8</v>
      </c>
      <c r="M3730">
        <f>_xlfn.XLOOKUP(L3730,[2]analyte_order!$C:$C,[2]analyte_order!$E:$E)</f>
        <v>29</v>
      </c>
      <c r="N3730">
        <v>5.8500000000000003E-2</v>
      </c>
    </row>
    <row r="3731" spans="1:14">
      <c r="A3731" t="s">
        <v>155</v>
      </c>
      <c r="B3731" t="str">
        <f>_xlfn.XLOOKUP(A3731,'[1]Tissue Data'!$A:$A,'[1]Tissue Data'!$C:$C)</f>
        <v>Spill</v>
      </c>
      <c r="C3731" s="2">
        <f>_xlfn.XLOOKUP(A3731,'[1]Tissue Data'!$A:$A,'[1]Tissue Data'!$D:$D)</f>
        <v>44314</v>
      </c>
      <c r="D3731" s="2" t="s">
        <v>131</v>
      </c>
      <c r="E3731" t="str">
        <f>_xlfn.XLOOKUP(A3731,'[1]Tissue Data'!$A:$A,'[1]Tissue Data'!$H:$H)</f>
        <v>Clinostomus</v>
      </c>
      <c r="F3731" t="str">
        <f>_xlfn.XLOOKUP(A3731,'[1]Tissue Data'!$A:$A,'[1]Tissue Data'!$I:$I)</f>
        <v>funduloides</v>
      </c>
      <c r="G3731" t="str">
        <f>_xlfn.XLOOKUP(A3731,'[1]Tissue Data'!$A:$A,'[1]Tissue Data'!J:J)</f>
        <v>U</v>
      </c>
      <c r="H3731" t="str">
        <f>_xlfn.XLOOKUP(A3731,'[1]Tissue Data'!$A:$A,'[1]Tissue Data'!K:K)</f>
        <v>Whole Body</v>
      </c>
      <c r="I3731">
        <f>_xlfn.XLOOKUP(A3731,'[1]Tissue Data'!$A:$A,'[1]Tissue Data'!L:L)</f>
        <v>11</v>
      </c>
      <c r="J3731">
        <f>_xlfn.XLOOKUP(A3731,'[1]Tissue Data'!$A:$A,'[1]Tissue Data'!M:M)</f>
        <v>13.86</v>
      </c>
      <c r="K3731" t="s">
        <v>41</v>
      </c>
      <c r="L3731" t="str">
        <f>_xlfn.XLOOKUP(K3731,[2]analyte_order!$B:$B,[2]analyte_order!$C:$C)</f>
        <v>2355-31-9</v>
      </c>
      <c r="M3731">
        <f>_xlfn.XLOOKUP(L3731,[2]analyte_order!$C:$C,[2]analyte_order!$E:$E)</f>
        <v>26</v>
      </c>
      <c r="N3731">
        <v>1.1100000000000001</v>
      </c>
    </row>
    <row r="3732" spans="1:14">
      <c r="A3732" t="s">
        <v>155</v>
      </c>
      <c r="B3732" t="str">
        <f>_xlfn.XLOOKUP(A3732,'[1]Tissue Data'!$A:$A,'[1]Tissue Data'!$C:$C)</f>
        <v>Spill</v>
      </c>
      <c r="C3732" s="2">
        <f>_xlfn.XLOOKUP(A3732,'[1]Tissue Data'!$A:$A,'[1]Tissue Data'!$D:$D)</f>
        <v>44314</v>
      </c>
      <c r="D3732" s="2" t="s">
        <v>131</v>
      </c>
      <c r="E3732" t="str">
        <f>_xlfn.XLOOKUP(A3732,'[1]Tissue Data'!$A:$A,'[1]Tissue Data'!$H:$H)</f>
        <v>Clinostomus</v>
      </c>
      <c r="F3732" t="str">
        <f>_xlfn.XLOOKUP(A3732,'[1]Tissue Data'!$A:$A,'[1]Tissue Data'!$I:$I)</f>
        <v>funduloides</v>
      </c>
      <c r="G3732" t="str">
        <f>_xlfn.XLOOKUP(A3732,'[1]Tissue Data'!$A:$A,'[1]Tissue Data'!J:J)</f>
        <v>U</v>
      </c>
      <c r="H3732" t="str">
        <f>_xlfn.XLOOKUP(A3732,'[1]Tissue Data'!$A:$A,'[1]Tissue Data'!K:K)</f>
        <v>Whole Body</v>
      </c>
      <c r="I3732">
        <f>_xlfn.XLOOKUP(A3732,'[1]Tissue Data'!$A:$A,'[1]Tissue Data'!L:L)</f>
        <v>11</v>
      </c>
      <c r="J3732">
        <f>_xlfn.XLOOKUP(A3732,'[1]Tissue Data'!$A:$A,'[1]Tissue Data'!M:M)</f>
        <v>13.86</v>
      </c>
      <c r="K3732" t="s">
        <v>42</v>
      </c>
      <c r="L3732" t="str">
        <f>_xlfn.XLOOKUP(K3732,[2]analyte_order!$B:$B,[2]analyte_order!$C:$C)</f>
        <v>2991-50-6</v>
      </c>
      <c r="M3732">
        <f>_xlfn.XLOOKUP(L3732,[2]analyte_order!$C:$C,[2]analyte_order!$E:$E)</f>
        <v>27</v>
      </c>
      <c r="N3732">
        <v>6.4500000000000002E-2</v>
      </c>
    </row>
    <row r="3733" spans="1:14">
      <c r="A3733" t="s">
        <v>155</v>
      </c>
      <c r="B3733" t="str">
        <f>_xlfn.XLOOKUP(A3733,'[1]Tissue Data'!$A:$A,'[1]Tissue Data'!$C:$C)</f>
        <v>Spill</v>
      </c>
      <c r="C3733" s="2">
        <f>_xlfn.XLOOKUP(A3733,'[1]Tissue Data'!$A:$A,'[1]Tissue Data'!$D:$D)</f>
        <v>44314</v>
      </c>
      <c r="D3733" s="2" t="s">
        <v>131</v>
      </c>
      <c r="E3733" t="str">
        <f>_xlfn.XLOOKUP(A3733,'[1]Tissue Data'!$A:$A,'[1]Tissue Data'!$H:$H)</f>
        <v>Clinostomus</v>
      </c>
      <c r="F3733" t="str">
        <f>_xlfn.XLOOKUP(A3733,'[1]Tissue Data'!$A:$A,'[1]Tissue Data'!$I:$I)</f>
        <v>funduloides</v>
      </c>
      <c r="G3733" t="str">
        <f>_xlfn.XLOOKUP(A3733,'[1]Tissue Data'!$A:$A,'[1]Tissue Data'!J:J)</f>
        <v>U</v>
      </c>
      <c r="H3733" t="str">
        <f>_xlfn.XLOOKUP(A3733,'[1]Tissue Data'!$A:$A,'[1]Tissue Data'!K:K)</f>
        <v>Whole Body</v>
      </c>
      <c r="I3733">
        <f>_xlfn.XLOOKUP(A3733,'[1]Tissue Data'!$A:$A,'[1]Tissue Data'!L:L)</f>
        <v>11</v>
      </c>
      <c r="J3733">
        <f>_xlfn.XLOOKUP(A3733,'[1]Tissue Data'!$A:$A,'[1]Tissue Data'!M:M)</f>
        <v>13.86</v>
      </c>
      <c r="K3733" t="s">
        <v>43</v>
      </c>
      <c r="L3733" t="str">
        <f>_xlfn.XLOOKUP(K3733,[2]analyte_order!$B:$B,[2]analyte_order!$C:$C)</f>
        <v>757124-72-4</v>
      </c>
      <c r="M3733">
        <f>_xlfn.XLOOKUP(L3733,[2]analyte_order!$C:$C,[2]analyte_order!$E:$E)</f>
        <v>22</v>
      </c>
      <c r="N3733">
        <v>6.0999999999999999E-2</v>
      </c>
    </row>
    <row r="3734" spans="1:14">
      <c r="A3734" t="s">
        <v>155</v>
      </c>
      <c r="B3734" t="str">
        <f>_xlfn.XLOOKUP(A3734,'[1]Tissue Data'!$A:$A,'[1]Tissue Data'!$C:$C)</f>
        <v>Spill</v>
      </c>
      <c r="C3734" s="2">
        <f>_xlfn.XLOOKUP(A3734,'[1]Tissue Data'!$A:$A,'[1]Tissue Data'!$D:$D)</f>
        <v>44314</v>
      </c>
      <c r="D3734" s="2" t="s">
        <v>131</v>
      </c>
      <c r="E3734" t="str">
        <f>_xlfn.XLOOKUP(A3734,'[1]Tissue Data'!$A:$A,'[1]Tissue Data'!$H:$H)</f>
        <v>Clinostomus</v>
      </c>
      <c r="F3734" t="str">
        <f>_xlfn.XLOOKUP(A3734,'[1]Tissue Data'!$A:$A,'[1]Tissue Data'!$I:$I)</f>
        <v>funduloides</v>
      </c>
      <c r="G3734" t="str">
        <f>_xlfn.XLOOKUP(A3734,'[1]Tissue Data'!$A:$A,'[1]Tissue Data'!J:J)</f>
        <v>U</v>
      </c>
      <c r="H3734" t="str">
        <f>_xlfn.XLOOKUP(A3734,'[1]Tissue Data'!$A:$A,'[1]Tissue Data'!K:K)</f>
        <v>Whole Body</v>
      </c>
      <c r="I3734">
        <f>_xlfn.XLOOKUP(A3734,'[1]Tissue Data'!$A:$A,'[1]Tissue Data'!L:L)</f>
        <v>11</v>
      </c>
      <c r="J3734">
        <f>_xlfn.XLOOKUP(A3734,'[1]Tissue Data'!$A:$A,'[1]Tissue Data'!M:M)</f>
        <v>13.86</v>
      </c>
      <c r="K3734" t="s">
        <v>44</v>
      </c>
      <c r="L3734" t="str">
        <f>_xlfn.XLOOKUP(K3734,[2]analyte_order!$B:$B,[2]analyte_order!$C:$C)</f>
        <v>27619-97-2</v>
      </c>
      <c r="M3734">
        <f>_xlfn.XLOOKUP(L3734,[2]analyte_order!$C:$C,[2]analyte_order!$E:$E)</f>
        <v>23</v>
      </c>
      <c r="N3734">
        <v>3.18</v>
      </c>
    </row>
    <row r="3735" spans="1:14">
      <c r="A3735" t="s">
        <v>155</v>
      </c>
      <c r="B3735" t="str">
        <f>_xlfn.XLOOKUP(A3735,'[1]Tissue Data'!$A:$A,'[1]Tissue Data'!$C:$C)</f>
        <v>Spill</v>
      </c>
      <c r="C3735" s="2">
        <f>_xlfn.XLOOKUP(A3735,'[1]Tissue Data'!$A:$A,'[1]Tissue Data'!$D:$D)</f>
        <v>44314</v>
      </c>
      <c r="D3735" s="2" t="s">
        <v>131</v>
      </c>
      <c r="E3735" t="str">
        <f>_xlfn.XLOOKUP(A3735,'[1]Tissue Data'!$A:$A,'[1]Tissue Data'!$H:$H)</f>
        <v>Clinostomus</v>
      </c>
      <c r="F3735" t="str">
        <f>_xlfn.XLOOKUP(A3735,'[1]Tissue Data'!$A:$A,'[1]Tissue Data'!$I:$I)</f>
        <v>funduloides</v>
      </c>
      <c r="G3735" t="str">
        <f>_xlfn.XLOOKUP(A3735,'[1]Tissue Data'!$A:$A,'[1]Tissue Data'!J:J)</f>
        <v>U</v>
      </c>
      <c r="H3735" t="str">
        <f>_xlfn.XLOOKUP(A3735,'[1]Tissue Data'!$A:$A,'[1]Tissue Data'!K:K)</f>
        <v>Whole Body</v>
      </c>
      <c r="I3735">
        <f>_xlfn.XLOOKUP(A3735,'[1]Tissue Data'!$A:$A,'[1]Tissue Data'!L:L)</f>
        <v>11</v>
      </c>
      <c r="J3735">
        <f>_xlfn.XLOOKUP(A3735,'[1]Tissue Data'!$A:$A,'[1]Tissue Data'!M:M)</f>
        <v>13.86</v>
      </c>
      <c r="K3735" t="s">
        <v>45</v>
      </c>
      <c r="L3735" t="str">
        <f>_xlfn.XLOOKUP(K3735,[2]analyte_order!$B:$B,[2]analyte_order!$C:$C)</f>
        <v>39108-34-4</v>
      </c>
      <c r="M3735">
        <f>_xlfn.XLOOKUP(L3735,[2]analyte_order!$C:$C,[2]analyte_order!$E:$E)</f>
        <v>24</v>
      </c>
      <c r="N3735">
        <v>16.3</v>
      </c>
    </row>
    <row r="3736" spans="1:14">
      <c r="A3736" t="s">
        <v>155</v>
      </c>
      <c r="B3736" t="str">
        <f>_xlfn.XLOOKUP(A3736,'[1]Tissue Data'!$A:$A,'[1]Tissue Data'!$C:$C)</f>
        <v>Spill</v>
      </c>
      <c r="C3736" s="2">
        <f>_xlfn.XLOOKUP(A3736,'[1]Tissue Data'!$A:$A,'[1]Tissue Data'!$D:$D)</f>
        <v>44314</v>
      </c>
      <c r="D3736" s="2" t="s">
        <v>131</v>
      </c>
      <c r="E3736" t="str">
        <f>_xlfn.XLOOKUP(A3736,'[1]Tissue Data'!$A:$A,'[1]Tissue Data'!$H:$H)</f>
        <v>Clinostomus</v>
      </c>
      <c r="F3736" t="str">
        <f>_xlfn.XLOOKUP(A3736,'[1]Tissue Data'!$A:$A,'[1]Tissue Data'!$I:$I)</f>
        <v>funduloides</v>
      </c>
      <c r="G3736" t="str">
        <f>_xlfn.XLOOKUP(A3736,'[1]Tissue Data'!$A:$A,'[1]Tissue Data'!J:J)</f>
        <v>U</v>
      </c>
      <c r="H3736" t="str">
        <f>_xlfn.XLOOKUP(A3736,'[1]Tissue Data'!$A:$A,'[1]Tissue Data'!K:K)</f>
        <v>Whole Body</v>
      </c>
      <c r="I3736">
        <f>_xlfn.XLOOKUP(A3736,'[1]Tissue Data'!$A:$A,'[1]Tissue Data'!L:L)</f>
        <v>11</v>
      </c>
      <c r="J3736">
        <f>_xlfn.XLOOKUP(A3736,'[1]Tissue Data'!$A:$A,'[1]Tissue Data'!M:M)</f>
        <v>13.86</v>
      </c>
      <c r="K3736" t="s">
        <v>46</v>
      </c>
      <c r="L3736" t="str">
        <f>_xlfn.XLOOKUP(K3736,[2]analyte_order!$B:$B,[2]analyte_order!$C:$C)</f>
        <v>120226-60-0</v>
      </c>
      <c r="M3736">
        <f>_xlfn.XLOOKUP(L3736,[2]analyte_order!$C:$C,[2]analyte_order!$E:$E)</f>
        <v>25</v>
      </c>
      <c r="N3736">
        <v>1.1499999999999999</v>
      </c>
    </row>
    <row r="3737" spans="1:14">
      <c r="A3737" t="s">
        <v>155</v>
      </c>
      <c r="B3737" t="str">
        <f>_xlfn.XLOOKUP(A3737,'[1]Tissue Data'!$A:$A,'[1]Tissue Data'!$C:$C)</f>
        <v>Spill</v>
      </c>
      <c r="C3737" s="2">
        <f>_xlfn.XLOOKUP(A3737,'[1]Tissue Data'!$A:$A,'[1]Tissue Data'!$D:$D)</f>
        <v>44314</v>
      </c>
      <c r="D3737" s="2" t="s">
        <v>131</v>
      </c>
      <c r="E3737" t="str">
        <f>_xlfn.XLOOKUP(A3737,'[1]Tissue Data'!$A:$A,'[1]Tissue Data'!$H:$H)</f>
        <v>Clinostomus</v>
      </c>
      <c r="F3737" t="str">
        <f>_xlfn.XLOOKUP(A3737,'[1]Tissue Data'!$A:$A,'[1]Tissue Data'!$I:$I)</f>
        <v>funduloides</v>
      </c>
      <c r="G3737" t="str">
        <f>_xlfn.XLOOKUP(A3737,'[1]Tissue Data'!$A:$A,'[1]Tissue Data'!J:J)</f>
        <v>U</v>
      </c>
      <c r="H3737" t="str">
        <f>_xlfn.XLOOKUP(A3737,'[1]Tissue Data'!$A:$A,'[1]Tissue Data'!K:K)</f>
        <v>Whole Body</v>
      </c>
      <c r="I3737">
        <f>_xlfn.XLOOKUP(A3737,'[1]Tissue Data'!$A:$A,'[1]Tissue Data'!L:L)</f>
        <v>11</v>
      </c>
      <c r="J3737">
        <f>_xlfn.XLOOKUP(A3737,'[1]Tissue Data'!$A:$A,'[1]Tissue Data'!M:M)</f>
        <v>13.86</v>
      </c>
      <c r="K3737" t="s">
        <v>47</v>
      </c>
      <c r="L3737" t="str">
        <f>_xlfn.XLOOKUP(K3737,[2]analyte_order!$B:$B,[2]analyte_order!$C:$C)</f>
        <v>356-02-5</v>
      </c>
      <c r="M3737">
        <f>_xlfn.XLOOKUP(L3737,[2]analyte_order!$C:$C,[2]analyte_order!$E:$E)</f>
        <v>38</v>
      </c>
      <c r="N3737">
        <v>8.5999999999999993E-2</v>
      </c>
    </row>
    <row r="3738" spans="1:14">
      <c r="A3738" t="s">
        <v>155</v>
      </c>
      <c r="B3738" t="str">
        <f>_xlfn.XLOOKUP(A3738,'[1]Tissue Data'!$A:$A,'[1]Tissue Data'!$C:$C)</f>
        <v>Spill</v>
      </c>
      <c r="C3738" s="2">
        <f>_xlfn.XLOOKUP(A3738,'[1]Tissue Data'!$A:$A,'[1]Tissue Data'!$D:$D)</f>
        <v>44314</v>
      </c>
      <c r="D3738" s="2" t="s">
        <v>131</v>
      </c>
      <c r="E3738" t="str">
        <f>_xlfn.XLOOKUP(A3738,'[1]Tissue Data'!$A:$A,'[1]Tissue Data'!$H:$H)</f>
        <v>Clinostomus</v>
      </c>
      <c r="F3738" t="str">
        <f>_xlfn.XLOOKUP(A3738,'[1]Tissue Data'!$A:$A,'[1]Tissue Data'!$I:$I)</f>
        <v>funduloides</v>
      </c>
      <c r="G3738" t="str">
        <f>_xlfn.XLOOKUP(A3738,'[1]Tissue Data'!$A:$A,'[1]Tissue Data'!J:J)</f>
        <v>U</v>
      </c>
      <c r="H3738" t="str">
        <f>_xlfn.XLOOKUP(A3738,'[1]Tissue Data'!$A:$A,'[1]Tissue Data'!K:K)</f>
        <v>Whole Body</v>
      </c>
      <c r="I3738">
        <f>_xlfn.XLOOKUP(A3738,'[1]Tissue Data'!$A:$A,'[1]Tissue Data'!L:L)</f>
        <v>11</v>
      </c>
      <c r="J3738">
        <f>_xlfn.XLOOKUP(A3738,'[1]Tissue Data'!$A:$A,'[1]Tissue Data'!M:M)</f>
        <v>13.86</v>
      </c>
      <c r="K3738" t="s">
        <v>48</v>
      </c>
      <c r="L3738" t="str">
        <f>_xlfn.XLOOKUP(K3738,[2]analyte_order!$B:$B,[2]analyte_order!$C:$C)</f>
        <v>914637-49-3</v>
      </c>
      <c r="M3738">
        <f>_xlfn.XLOOKUP(L3738,[2]analyte_order!$C:$C,[2]analyte_order!$E:$E)</f>
        <v>39</v>
      </c>
      <c r="N3738">
        <v>7.4499999999999997E-2</v>
      </c>
    </row>
    <row r="3739" spans="1:14">
      <c r="A3739" t="s">
        <v>155</v>
      </c>
      <c r="B3739" t="str">
        <f>_xlfn.XLOOKUP(A3739,'[1]Tissue Data'!$A:$A,'[1]Tissue Data'!$C:$C)</f>
        <v>Spill</v>
      </c>
      <c r="C3739" s="2">
        <f>_xlfn.XLOOKUP(A3739,'[1]Tissue Data'!$A:$A,'[1]Tissue Data'!$D:$D)</f>
        <v>44314</v>
      </c>
      <c r="D3739" s="2" t="s">
        <v>131</v>
      </c>
      <c r="E3739" t="str">
        <f>_xlfn.XLOOKUP(A3739,'[1]Tissue Data'!$A:$A,'[1]Tissue Data'!$H:$H)</f>
        <v>Clinostomus</v>
      </c>
      <c r="F3739" t="str">
        <f>_xlfn.XLOOKUP(A3739,'[1]Tissue Data'!$A:$A,'[1]Tissue Data'!$I:$I)</f>
        <v>funduloides</v>
      </c>
      <c r="G3739" t="str">
        <f>_xlfn.XLOOKUP(A3739,'[1]Tissue Data'!$A:$A,'[1]Tissue Data'!J:J)</f>
        <v>U</v>
      </c>
      <c r="H3739" t="str">
        <f>_xlfn.XLOOKUP(A3739,'[1]Tissue Data'!$A:$A,'[1]Tissue Data'!K:K)</f>
        <v>Whole Body</v>
      </c>
      <c r="I3739">
        <f>_xlfn.XLOOKUP(A3739,'[1]Tissue Data'!$A:$A,'[1]Tissue Data'!L:L)</f>
        <v>11</v>
      </c>
      <c r="J3739">
        <f>_xlfn.XLOOKUP(A3739,'[1]Tissue Data'!$A:$A,'[1]Tissue Data'!M:M)</f>
        <v>13.86</v>
      </c>
      <c r="K3739" t="s">
        <v>49</v>
      </c>
      <c r="L3739" t="str">
        <f>_xlfn.XLOOKUP(K3739,[2]analyte_order!$B:$B,[2]analyte_order!$C:$C)</f>
        <v>812-70-4</v>
      </c>
      <c r="M3739">
        <f>_xlfn.XLOOKUP(L3739,[2]analyte_order!$C:$C,[2]analyte_order!$E:$E)</f>
        <v>40</v>
      </c>
      <c r="N3739">
        <v>9.5399999999999991</v>
      </c>
    </row>
    <row r="3740" spans="1:14">
      <c r="A3740" t="s">
        <v>155</v>
      </c>
      <c r="B3740" t="str">
        <f>_xlfn.XLOOKUP(A3740,'[1]Tissue Data'!$A:$A,'[1]Tissue Data'!$C:$C)</f>
        <v>Spill</v>
      </c>
      <c r="C3740" s="2">
        <f>_xlfn.XLOOKUP(A3740,'[1]Tissue Data'!$A:$A,'[1]Tissue Data'!$D:$D)</f>
        <v>44314</v>
      </c>
      <c r="D3740" s="2" t="s">
        <v>131</v>
      </c>
      <c r="E3740" t="str">
        <f>_xlfn.XLOOKUP(A3740,'[1]Tissue Data'!$A:$A,'[1]Tissue Data'!$H:$H)</f>
        <v>Clinostomus</v>
      </c>
      <c r="F3740" t="str">
        <f>_xlfn.XLOOKUP(A3740,'[1]Tissue Data'!$A:$A,'[1]Tissue Data'!$I:$I)</f>
        <v>funduloides</v>
      </c>
      <c r="G3740" t="str">
        <f>_xlfn.XLOOKUP(A3740,'[1]Tissue Data'!$A:$A,'[1]Tissue Data'!J:J)</f>
        <v>U</v>
      </c>
      <c r="H3740" t="str">
        <f>_xlfn.XLOOKUP(A3740,'[1]Tissue Data'!$A:$A,'[1]Tissue Data'!K:K)</f>
        <v>Whole Body</v>
      </c>
      <c r="I3740">
        <f>_xlfn.XLOOKUP(A3740,'[1]Tissue Data'!$A:$A,'[1]Tissue Data'!L:L)</f>
        <v>11</v>
      </c>
      <c r="J3740">
        <f>_xlfn.XLOOKUP(A3740,'[1]Tissue Data'!$A:$A,'[1]Tissue Data'!M:M)</f>
        <v>13.86</v>
      </c>
      <c r="K3740" t="s">
        <v>50</v>
      </c>
      <c r="L3740" t="str">
        <f>_xlfn.XLOOKUP(K3740,[2]analyte_order!$B:$B,[2]analyte_order!$C:$C)</f>
        <v>53826-12-3</v>
      </c>
      <c r="M3740">
        <f>_xlfn.XLOOKUP(L3740,[2]analyte_order!$C:$C,[2]analyte_order!$E:$E)</f>
        <v>41</v>
      </c>
      <c r="N3740">
        <v>7.4499999999999997E-2</v>
      </c>
    </row>
    <row r="3741" spans="1:14">
      <c r="A3741" t="s">
        <v>155</v>
      </c>
      <c r="B3741" t="str">
        <f>_xlfn.XLOOKUP(A3741,'[1]Tissue Data'!$A:$A,'[1]Tissue Data'!$C:$C)</f>
        <v>Spill</v>
      </c>
      <c r="C3741" s="2">
        <f>_xlfn.XLOOKUP(A3741,'[1]Tissue Data'!$A:$A,'[1]Tissue Data'!$D:$D)</f>
        <v>44314</v>
      </c>
      <c r="D3741" s="2" t="s">
        <v>131</v>
      </c>
      <c r="E3741" t="str">
        <f>_xlfn.XLOOKUP(A3741,'[1]Tissue Data'!$A:$A,'[1]Tissue Data'!$H:$H)</f>
        <v>Clinostomus</v>
      </c>
      <c r="F3741" t="str">
        <f>_xlfn.XLOOKUP(A3741,'[1]Tissue Data'!$A:$A,'[1]Tissue Data'!$I:$I)</f>
        <v>funduloides</v>
      </c>
      <c r="G3741" t="str">
        <f>_xlfn.XLOOKUP(A3741,'[1]Tissue Data'!$A:$A,'[1]Tissue Data'!J:J)</f>
        <v>U</v>
      </c>
      <c r="H3741" t="str">
        <f>_xlfn.XLOOKUP(A3741,'[1]Tissue Data'!$A:$A,'[1]Tissue Data'!K:K)</f>
        <v>Whole Body</v>
      </c>
      <c r="I3741">
        <f>_xlfn.XLOOKUP(A3741,'[1]Tissue Data'!$A:$A,'[1]Tissue Data'!L:L)</f>
        <v>11</v>
      </c>
      <c r="J3741">
        <f>_xlfn.XLOOKUP(A3741,'[1]Tissue Data'!$A:$A,'[1]Tissue Data'!M:M)</f>
        <v>13.86</v>
      </c>
      <c r="K3741" t="s">
        <v>51</v>
      </c>
      <c r="L3741" t="str">
        <f>_xlfn.XLOOKUP(K3741,[2]analyte_order!$B:$B,[2]analyte_order!$C:$C)</f>
        <v>27854-31-5</v>
      </c>
      <c r="M3741">
        <f>_xlfn.XLOOKUP(L3741,[2]analyte_order!$C:$C,[2]analyte_order!$E:$E)</f>
        <v>42</v>
      </c>
      <c r="N3741">
        <v>5.66</v>
      </c>
    </row>
    <row r="3742" spans="1:14">
      <c r="A3742" t="s">
        <v>155</v>
      </c>
      <c r="B3742" t="str">
        <f>_xlfn.XLOOKUP(A3742,'[1]Tissue Data'!$A:$A,'[1]Tissue Data'!$C:$C)</f>
        <v>Spill</v>
      </c>
      <c r="C3742" s="2">
        <f>_xlfn.XLOOKUP(A3742,'[1]Tissue Data'!$A:$A,'[1]Tissue Data'!$D:$D)</f>
        <v>44314</v>
      </c>
      <c r="D3742" s="2" t="s">
        <v>131</v>
      </c>
      <c r="E3742" t="str">
        <f>_xlfn.XLOOKUP(A3742,'[1]Tissue Data'!$A:$A,'[1]Tissue Data'!$H:$H)</f>
        <v>Clinostomus</v>
      </c>
      <c r="F3742" t="str">
        <f>_xlfn.XLOOKUP(A3742,'[1]Tissue Data'!$A:$A,'[1]Tissue Data'!$I:$I)</f>
        <v>funduloides</v>
      </c>
      <c r="G3742" t="str">
        <f>_xlfn.XLOOKUP(A3742,'[1]Tissue Data'!$A:$A,'[1]Tissue Data'!J:J)</f>
        <v>U</v>
      </c>
      <c r="H3742" t="str">
        <f>_xlfn.XLOOKUP(A3742,'[1]Tissue Data'!$A:$A,'[1]Tissue Data'!K:K)</f>
        <v>Whole Body</v>
      </c>
      <c r="I3742">
        <f>_xlfn.XLOOKUP(A3742,'[1]Tissue Data'!$A:$A,'[1]Tissue Data'!L:L)</f>
        <v>11</v>
      </c>
      <c r="J3742">
        <f>_xlfn.XLOOKUP(A3742,'[1]Tissue Data'!$A:$A,'[1]Tissue Data'!M:M)</f>
        <v>13.86</v>
      </c>
      <c r="K3742" t="s">
        <v>52</v>
      </c>
      <c r="L3742" t="str">
        <f>_xlfn.XLOOKUP(K3742,[2]analyte_order!$B:$B,[2]analyte_order!$C:$C)</f>
        <v>53826-13-4</v>
      </c>
      <c r="M3742">
        <f>_xlfn.XLOOKUP(L3742,[2]analyte_order!$C:$C,[2]analyte_order!$E:$E)</f>
        <v>43</v>
      </c>
      <c r="N3742">
        <v>0.111</v>
      </c>
    </row>
    <row r="3743" spans="1:14">
      <c r="A3743" t="s">
        <v>155</v>
      </c>
      <c r="B3743" t="str">
        <f>_xlfn.XLOOKUP(A3743,'[1]Tissue Data'!$A:$A,'[1]Tissue Data'!$C:$C)</f>
        <v>Spill</v>
      </c>
      <c r="C3743" s="2">
        <f>_xlfn.XLOOKUP(A3743,'[1]Tissue Data'!$A:$A,'[1]Tissue Data'!$D:$D)</f>
        <v>44314</v>
      </c>
      <c r="D3743" s="2" t="s">
        <v>131</v>
      </c>
      <c r="E3743" t="str">
        <f>_xlfn.XLOOKUP(A3743,'[1]Tissue Data'!$A:$A,'[1]Tissue Data'!$H:$H)</f>
        <v>Clinostomus</v>
      </c>
      <c r="F3743" t="str">
        <f>_xlfn.XLOOKUP(A3743,'[1]Tissue Data'!$A:$A,'[1]Tissue Data'!$I:$I)</f>
        <v>funduloides</v>
      </c>
      <c r="G3743" t="str">
        <f>_xlfn.XLOOKUP(A3743,'[1]Tissue Data'!$A:$A,'[1]Tissue Data'!J:J)</f>
        <v>U</v>
      </c>
      <c r="H3743" t="str">
        <f>_xlfn.XLOOKUP(A3743,'[1]Tissue Data'!$A:$A,'[1]Tissue Data'!K:K)</f>
        <v>Whole Body</v>
      </c>
      <c r="I3743">
        <f>_xlfn.XLOOKUP(A3743,'[1]Tissue Data'!$A:$A,'[1]Tissue Data'!L:L)</f>
        <v>11</v>
      </c>
      <c r="J3743">
        <f>_xlfn.XLOOKUP(A3743,'[1]Tissue Data'!$A:$A,'[1]Tissue Data'!M:M)</f>
        <v>13.86</v>
      </c>
      <c r="K3743" t="s">
        <v>53</v>
      </c>
      <c r="L3743" t="str">
        <f>_xlfn.XLOOKUP(K3743,[2]analyte_order!$B:$B,[2]analyte_order!$C:$C)</f>
        <v>161094-75-3</v>
      </c>
      <c r="M3743">
        <f>_xlfn.XLOOKUP(L3743,[2]analyte_order!$C:$C,[2]analyte_order!$E:$E)</f>
        <v>44</v>
      </c>
      <c r="N3743">
        <v>5.8500000000000003E-2</v>
      </c>
    </row>
    <row r="3744" spans="1:14">
      <c r="A3744" t="s">
        <v>155</v>
      </c>
      <c r="B3744" t="str">
        <f>_xlfn.XLOOKUP(A3744,'[1]Tissue Data'!$A:$A,'[1]Tissue Data'!$C:$C)</f>
        <v>Spill</v>
      </c>
      <c r="C3744" s="2">
        <f>_xlfn.XLOOKUP(A3744,'[1]Tissue Data'!$A:$A,'[1]Tissue Data'!$D:$D)</f>
        <v>44314</v>
      </c>
      <c r="D3744" s="2" t="s">
        <v>131</v>
      </c>
      <c r="E3744" t="str">
        <f>_xlfn.XLOOKUP(A3744,'[1]Tissue Data'!$A:$A,'[1]Tissue Data'!$H:$H)</f>
        <v>Clinostomus</v>
      </c>
      <c r="F3744" t="str">
        <f>_xlfn.XLOOKUP(A3744,'[1]Tissue Data'!$A:$A,'[1]Tissue Data'!$I:$I)</f>
        <v>funduloides</v>
      </c>
      <c r="G3744" t="str">
        <f>_xlfn.XLOOKUP(A3744,'[1]Tissue Data'!$A:$A,'[1]Tissue Data'!J:J)</f>
        <v>U</v>
      </c>
      <c r="H3744" t="str">
        <f>_xlfn.XLOOKUP(A3744,'[1]Tissue Data'!$A:$A,'[1]Tissue Data'!K:K)</f>
        <v>Whole Body</v>
      </c>
      <c r="I3744">
        <f>_xlfn.XLOOKUP(A3744,'[1]Tissue Data'!$A:$A,'[1]Tissue Data'!L:L)</f>
        <v>11</v>
      </c>
      <c r="J3744">
        <f>_xlfn.XLOOKUP(A3744,'[1]Tissue Data'!$A:$A,'[1]Tissue Data'!M:M)</f>
        <v>13.86</v>
      </c>
      <c r="K3744" t="s">
        <v>54</v>
      </c>
      <c r="L3744" t="str">
        <f>_xlfn.XLOOKUP(K3744,[2]analyte_order!$B:$B,[2]analyte_order!$C:$C)</f>
        <v>70887-84-2</v>
      </c>
      <c r="M3744">
        <f>_xlfn.XLOOKUP(L3744,[2]analyte_order!$C:$C,[2]analyte_order!$E:$E)</f>
        <v>45</v>
      </c>
      <c r="N3744">
        <v>4.4999999999999998E-2</v>
      </c>
    </row>
    <row r="3745" spans="1:14">
      <c r="A3745" t="s">
        <v>155</v>
      </c>
      <c r="B3745" t="str">
        <f>_xlfn.XLOOKUP(A3745,'[1]Tissue Data'!$A:$A,'[1]Tissue Data'!$C:$C)</f>
        <v>Spill</v>
      </c>
      <c r="C3745" s="2">
        <f>_xlfn.XLOOKUP(A3745,'[1]Tissue Data'!$A:$A,'[1]Tissue Data'!$D:$D)</f>
        <v>44314</v>
      </c>
      <c r="D3745" s="2" t="s">
        <v>131</v>
      </c>
      <c r="E3745" t="str">
        <f>_xlfn.XLOOKUP(A3745,'[1]Tissue Data'!$A:$A,'[1]Tissue Data'!$H:$H)</f>
        <v>Clinostomus</v>
      </c>
      <c r="F3745" t="str">
        <f>_xlfn.XLOOKUP(A3745,'[1]Tissue Data'!$A:$A,'[1]Tissue Data'!$I:$I)</f>
        <v>funduloides</v>
      </c>
      <c r="G3745" t="str">
        <f>_xlfn.XLOOKUP(A3745,'[1]Tissue Data'!$A:$A,'[1]Tissue Data'!J:J)</f>
        <v>U</v>
      </c>
      <c r="H3745" t="str">
        <f>_xlfn.XLOOKUP(A3745,'[1]Tissue Data'!$A:$A,'[1]Tissue Data'!K:K)</f>
        <v>Whole Body</v>
      </c>
      <c r="I3745">
        <f>_xlfn.XLOOKUP(A3745,'[1]Tissue Data'!$A:$A,'[1]Tissue Data'!L:L)</f>
        <v>11</v>
      </c>
      <c r="J3745">
        <f>_xlfn.XLOOKUP(A3745,'[1]Tissue Data'!$A:$A,'[1]Tissue Data'!M:M)</f>
        <v>13.86</v>
      </c>
      <c r="K3745" t="s">
        <v>55</v>
      </c>
      <c r="L3745" t="str">
        <f>_xlfn.XLOOKUP(K3745,[2]analyte_order!$B:$B,[2]analyte_order!$C:$C)</f>
        <v>919005-14-4</v>
      </c>
      <c r="M3745">
        <f>_xlfn.XLOOKUP(L3745,[2]analyte_order!$C:$C,[2]analyte_order!$E:$E)</f>
        <v>35</v>
      </c>
      <c r="N3745">
        <v>7.4499999999999997E-2</v>
      </c>
    </row>
    <row r="3746" spans="1:14">
      <c r="A3746" t="s">
        <v>155</v>
      </c>
      <c r="B3746" t="str">
        <f>_xlfn.XLOOKUP(A3746,'[1]Tissue Data'!$A:$A,'[1]Tissue Data'!$C:$C)</f>
        <v>Spill</v>
      </c>
      <c r="C3746" s="2">
        <f>_xlfn.XLOOKUP(A3746,'[1]Tissue Data'!$A:$A,'[1]Tissue Data'!$D:$D)</f>
        <v>44314</v>
      </c>
      <c r="D3746" s="2" t="s">
        <v>131</v>
      </c>
      <c r="E3746" t="str">
        <f>_xlfn.XLOOKUP(A3746,'[1]Tissue Data'!$A:$A,'[1]Tissue Data'!$H:$H)</f>
        <v>Clinostomus</v>
      </c>
      <c r="F3746" t="str">
        <f>_xlfn.XLOOKUP(A3746,'[1]Tissue Data'!$A:$A,'[1]Tissue Data'!$I:$I)</f>
        <v>funduloides</v>
      </c>
      <c r="G3746" t="str">
        <f>_xlfn.XLOOKUP(A3746,'[1]Tissue Data'!$A:$A,'[1]Tissue Data'!J:J)</f>
        <v>U</v>
      </c>
      <c r="H3746" t="str">
        <f>_xlfn.XLOOKUP(A3746,'[1]Tissue Data'!$A:$A,'[1]Tissue Data'!K:K)</f>
        <v>Whole Body</v>
      </c>
      <c r="I3746">
        <f>_xlfn.XLOOKUP(A3746,'[1]Tissue Data'!$A:$A,'[1]Tissue Data'!L:L)</f>
        <v>11</v>
      </c>
      <c r="J3746">
        <f>_xlfn.XLOOKUP(A3746,'[1]Tissue Data'!$A:$A,'[1]Tissue Data'!M:M)</f>
        <v>13.86</v>
      </c>
      <c r="K3746" t="s">
        <v>56</v>
      </c>
      <c r="L3746" t="str">
        <f>_xlfn.XLOOKUP(K3746,[2]analyte_order!$B:$B,[2]analyte_order!$C:$C)</f>
        <v>756426-58-1</v>
      </c>
      <c r="M3746">
        <f>_xlfn.XLOOKUP(L3746,[2]analyte_order!$C:$C,[2]analyte_order!$E:$E)</f>
        <v>36</v>
      </c>
      <c r="N3746">
        <v>7.4499999999999997E-2</v>
      </c>
    </row>
    <row r="3747" spans="1:14">
      <c r="A3747" t="s">
        <v>155</v>
      </c>
      <c r="B3747" t="str">
        <f>_xlfn.XLOOKUP(A3747,'[1]Tissue Data'!$A:$A,'[1]Tissue Data'!$C:$C)</f>
        <v>Spill</v>
      </c>
      <c r="C3747" s="2">
        <f>_xlfn.XLOOKUP(A3747,'[1]Tissue Data'!$A:$A,'[1]Tissue Data'!$D:$D)</f>
        <v>44314</v>
      </c>
      <c r="D3747" s="2" t="s">
        <v>131</v>
      </c>
      <c r="E3747" t="str">
        <f>_xlfn.XLOOKUP(A3747,'[1]Tissue Data'!$A:$A,'[1]Tissue Data'!$H:$H)</f>
        <v>Clinostomus</v>
      </c>
      <c r="F3747" t="str">
        <f>_xlfn.XLOOKUP(A3747,'[1]Tissue Data'!$A:$A,'[1]Tissue Data'!$I:$I)</f>
        <v>funduloides</v>
      </c>
      <c r="G3747" t="str">
        <f>_xlfn.XLOOKUP(A3747,'[1]Tissue Data'!$A:$A,'[1]Tissue Data'!J:J)</f>
        <v>U</v>
      </c>
      <c r="H3747" t="str">
        <f>_xlfn.XLOOKUP(A3747,'[1]Tissue Data'!$A:$A,'[1]Tissue Data'!K:K)</f>
        <v>Whole Body</v>
      </c>
      <c r="I3747">
        <f>_xlfn.XLOOKUP(A3747,'[1]Tissue Data'!$A:$A,'[1]Tissue Data'!L:L)</f>
        <v>11</v>
      </c>
      <c r="J3747">
        <f>_xlfn.XLOOKUP(A3747,'[1]Tissue Data'!$A:$A,'[1]Tissue Data'!M:M)</f>
        <v>13.86</v>
      </c>
      <c r="K3747" t="s">
        <v>57</v>
      </c>
      <c r="L3747" t="str">
        <f>_xlfn.XLOOKUP(K3747,[2]analyte_order!$B:$B,[2]analyte_order!$C:$C)</f>
        <v>763051-92-9</v>
      </c>
      <c r="M3747">
        <f>_xlfn.XLOOKUP(L3747,[2]analyte_order!$C:$C,[2]analyte_order!$E:$E)</f>
        <v>37</v>
      </c>
      <c r="N3747">
        <v>7.4499999999999997E-2</v>
      </c>
    </row>
    <row r="3748" spans="1:14">
      <c r="A3748" t="s">
        <v>155</v>
      </c>
      <c r="B3748" t="str">
        <f>_xlfn.XLOOKUP(A3748,'[1]Tissue Data'!$A:$A,'[1]Tissue Data'!$C:$C)</f>
        <v>Spill</v>
      </c>
      <c r="C3748" s="2">
        <f>_xlfn.XLOOKUP(A3748,'[1]Tissue Data'!$A:$A,'[1]Tissue Data'!$D:$D)</f>
        <v>44314</v>
      </c>
      <c r="D3748" s="2" t="s">
        <v>131</v>
      </c>
      <c r="E3748" t="str">
        <f>_xlfn.XLOOKUP(A3748,'[1]Tissue Data'!$A:$A,'[1]Tissue Data'!$H:$H)</f>
        <v>Clinostomus</v>
      </c>
      <c r="F3748" t="str">
        <f>_xlfn.XLOOKUP(A3748,'[1]Tissue Data'!$A:$A,'[1]Tissue Data'!$I:$I)</f>
        <v>funduloides</v>
      </c>
      <c r="G3748" t="str">
        <f>_xlfn.XLOOKUP(A3748,'[1]Tissue Data'!$A:$A,'[1]Tissue Data'!J:J)</f>
        <v>U</v>
      </c>
      <c r="H3748" t="str">
        <f>_xlfn.XLOOKUP(A3748,'[1]Tissue Data'!$A:$A,'[1]Tissue Data'!K:K)</f>
        <v>Whole Body</v>
      </c>
      <c r="I3748">
        <f>_xlfn.XLOOKUP(A3748,'[1]Tissue Data'!$A:$A,'[1]Tissue Data'!L:L)</f>
        <v>11</v>
      </c>
      <c r="J3748">
        <f>_xlfn.XLOOKUP(A3748,'[1]Tissue Data'!$A:$A,'[1]Tissue Data'!M:M)</f>
        <v>13.86</v>
      </c>
      <c r="K3748" t="s">
        <v>58</v>
      </c>
      <c r="L3748" t="str">
        <f>_xlfn.XLOOKUP(K3748,[2]analyte_order!$B:$B,[2]analyte_order!$C:$C)</f>
        <v>13252-13-6</v>
      </c>
      <c r="M3748">
        <f>_xlfn.XLOOKUP(L3748,[2]analyte_order!$C:$C,[2]analyte_order!$E:$E)</f>
        <v>34</v>
      </c>
      <c r="N3748">
        <v>0.107</v>
      </c>
    </row>
    <row r="3749" spans="1:14">
      <c r="A3749" t="s">
        <v>155</v>
      </c>
      <c r="B3749" t="str">
        <f>_xlfn.XLOOKUP(A3749,'[1]Tissue Data'!$A:$A,'[1]Tissue Data'!$C:$C)</f>
        <v>Spill</v>
      </c>
      <c r="C3749" s="2">
        <f>_xlfn.XLOOKUP(A3749,'[1]Tissue Data'!$A:$A,'[1]Tissue Data'!$D:$D)</f>
        <v>44314</v>
      </c>
      <c r="D3749" s="2" t="s">
        <v>131</v>
      </c>
      <c r="E3749" t="str">
        <f>_xlfn.XLOOKUP(A3749,'[1]Tissue Data'!$A:$A,'[1]Tissue Data'!$H:$H)</f>
        <v>Clinostomus</v>
      </c>
      <c r="F3749" t="str">
        <f>_xlfn.XLOOKUP(A3749,'[1]Tissue Data'!$A:$A,'[1]Tissue Data'!$I:$I)</f>
        <v>funduloides</v>
      </c>
      <c r="G3749" t="str">
        <f>_xlfn.XLOOKUP(A3749,'[1]Tissue Data'!$A:$A,'[1]Tissue Data'!J:J)</f>
        <v>U</v>
      </c>
      <c r="H3749" t="str">
        <f>_xlfn.XLOOKUP(A3749,'[1]Tissue Data'!$A:$A,'[1]Tissue Data'!K:K)</f>
        <v>Whole Body</v>
      </c>
      <c r="I3749">
        <f>_xlfn.XLOOKUP(A3749,'[1]Tissue Data'!$A:$A,'[1]Tissue Data'!L:L)</f>
        <v>11</v>
      </c>
      <c r="J3749">
        <f>_xlfn.XLOOKUP(A3749,'[1]Tissue Data'!$A:$A,'[1]Tissue Data'!M:M)</f>
        <v>13.86</v>
      </c>
      <c r="K3749" t="s">
        <v>59</v>
      </c>
      <c r="L3749" t="str">
        <f>_xlfn.XLOOKUP(K3749,[2]analyte_order!$B:$B,[2]analyte_order!$C:$C)</f>
        <v>57677-95-9</v>
      </c>
      <c r="M3749">
        <f>_xlfn.XLOOKUP(L3749,[2]analyte_order!$C:$C,[2]analyte_order!$E:$E)</f>
        <v>46</v>
      </c>
      <c r="N3749">
        <v>7.9000000000000001E-2</v>
      </c>
    </row>
    <row r="3750" spans="1:14">
      <c r="A3750" t="s">
        <v>155</v>
      </c>
      <c r="B3750" t="str">
        <f>_xlfn.XLOOKUP(A3750,'[1]Tissue Data'!$A:$A,'[1]Tissue Data'!$C:$C)</f>
        <v>Spill</v>
      </c>
      <c r="C3750" s="2">
        <f>_xlfn.XLOOKUP(A3750,'[1]Tissue Data'!$A:$A,'[1]Tissue Data'!$D:$D)</f>
        <v>44314</v>
      </c>
      <c r="D3750" s="2" t="s">
        <v>131</v>
      </c>
      <c r="E3750" t="str">
        <f>_xlfn.XLOOKUP(A3750,'[1]Tissue Data'!$A:$A,'[1]Tissue Data'!$H:$H)</f>
        <v>Clinostomus</v>
      </c>
      <c r="F3750" t="str">
        <f>_xlfn.XLOOKUP(A3750,'[1]Tissue Data'!$A:$A,'[1]Tissue Data'!$I:$I)</f>
        <v>funduloides</v>
      </c>
      <c r="G3750" t="str">
        <f>_xlfn.XLOOKUP(A3750,'[1]Tissue Data'!$A:$A,'[1]Tissue Data'!J:J)</f>
        <v>U</v>
      </c>
      <c r="H3750" t="str">
        <f>_xlfn.XLOOKUP(A3750,'[1]Tissue Data'!$A:$A,'[1]Tissue Data'!K:K)</f>
        <v>Whole Body</v>
      </c>
      <c r="I3750">
        <f>_xlfn.XLOOKUP(A3750,'[1]Tissue Data'!$A:$A,'[1]Tissue Data'!L:L)</f>
        <v>11</v>
      </c>
      <c r="J3750">
        <f>_xlfn.XLOOKUP(A3750,'[1]Tissue Data'!$A:$A,'[1]Tissue Data'!M:M)</f>
        <v>13.86</v>
      </c>
      <c r="K3750" t="s">
        <v>60</v>
      </c>
      <c r="L3750" t="str">
        <f>_xlfn.XLOOKUP(K3750,[2]analyte_order!$B:$B,[2]analyte_order!$C:$C)</f>
        <v>678-41-1</v>
      </c>
      <c r="M3750">
        <f>_xlfn.XLOOKUP(L3750,[2]analyte_order!$C:$C,[2]analyte_order!$E:$E)</f>
        <v>56</v>
      </c>
      <c r="N3750">
        <v>9.9000000000000005E-2</v>
      </c>
    </row>
    <row r="3751" spans="1:14">
      <c r="A3751" t="s">
        <v>155</v>
      </c>
      <c r="B3751" t="str">
        <f>_xlfn.XLOOKUP(A3751,'[1]Tissue Data'!$A:$A,'[1]Tissue Data'!$C:$C)</f>
        <v>Spill</v>
      </c>
      <c r="C3751" s="2">
        <f>_xlfn.XLOOKUP(A3751,'[1]Tissue Data'!$A:$A,'[1]Tissue Data'!$D:$D)</f>
        <v>44314</v>
      </c>
      <c r="D3751" s="2" t="s">
        <v>131</v>
      </c>
      <c r="E3751" t="str">
        <f>_xlfn.XLOOKUP(A3751,'[1]Tissue Data'!$A:$A,'[1]Tissue Data'!$H:$H)</f>
        <v>Clinostomus</v>
      </c>
      <c r="F3751" t="str">
        <f>_xlfn.XLOOKUP(A3751,'[1]Tissue Data'!$A:$A,'[1]Tissue Data'!$I:$I)</f>
        <v>funduloides</v>
      </c>
      <c r="G3751" t="str">
        <f>_xlfn.XLOOKUP(A3751,'[1]Tissue Data'!$A:$A,'[1]Tissue Data'!J:J)</f>
        <v>U</v>
      </c>
      <c r="H3751" t="str">
        <f>_xlfn.XLOOKUP(A3751,'[1]Tissue Data'!$A:$A,'[1]Tissue Data'!K:K)</f>
        <v>Whole Body</v>
      </c>
      <c r="I3751">
        <f>_xlfn.XLOOKUP(A3751,'[1]Tissue Data'!$A:$A,'[1]Tissue Data'!L:L)</f>
        <v>11</v>
      </c>
      <c r="J3751">
        <f>_xlfn.XLOOKUP(A3751,'[1]Tissue Data'!$A:$A,'[1]Tissue Data'!M:M)</f>
        <v>13.86</v>
      </c>
      <c r="K3751" t="s">
        <v>61</v>
      </c>
      <c r="L3751" t="str">
        <f>_xlfn.XLOOKUP(K3751,[2]analyte_order!$B:$B,[2]analyte_order!$C:$C)</f>
        <v>2965-52-8</v>
      </c>
      <c r="M3751">
        <f>_xlfn.XLOOKUP(L3751,[2]analyte_order!$C:$C,[2]analyte_order!$E:$E)</f>
        <v>57</v>
      </c>
      <c r="N3751">
        <v>0.13100000000000001</v>
      </c>
    </row>
    <row r="3752" spans="1:14">
      <c r="A3752" t="s">
        <v>138</v>
      </c>
      <c r="B3752" t="str">
        <f>_xlfn.XLOOKUP(A3752,'[1]Tissue Data'!$A:$A,'[1]Tissue Data'!$C:$C)</f>
        <v>Spill</v>
      </c>
      <c r="C3752" s="2">
        <f>_xlfn.XLOOKUP(A3752,'[1]Tissue Data'!$A:$A,'[1]Tissue Data'!$D:$D)</f>
        <v>44314</v>
      </c>
      <c r="D3752" s="2" t="str">
        <f>_xlfn.XLOOKUP(A3752,'[1]Tissue Data'!$A:$A,'[1]Tissue Data'!$F:$F)</f>
        <v>Creek Chubsucker</v>
      </c>
      <c r="E3752" t="str">
        <f>_xlfn.XLOOKUP(A3752,'[1]Tissue Data'!$A:$A,'[1]Tissue Data'!$H:$H)</f>
        <v>Erimyzon</v>
      </c>
      <c r="F3752" t="str">
        <f>_xlfn.XLOOKUP(A3752,'[1]Tissue Data'!$A:$A,'[1]Tissue Data'!$I:$I)</f>
        <v>oblongus</v>
      </c>
      <c r="G3752" t="str">
        <f>_xlfn.XLOOKUP(A3752,'[1]Tissue Data'!$A:$A,'[1]Tissue Data'!J:J)</f>
        <v>U</v>
      </c>
      <c r="H3752" t="str">
        <f>_xlfn.XLOOKUP(A3752,'[1]Tissue Data'!$A:$A,'[1]Tissue Data'!K:K)</f>
        <v>Whole Body</v>
      </c>
      <c r="I3752">
        <f>_xlfn.XLOOKUP(A3752,'[1]Tissue Data'!$A:$A,'[1]Tissue Data'!L:L)</f>
        <v>9.5</v>
      </c>
      <c r="J3752">
        <f>_xlfn.XLOOKUP(A3752,'[1]Tissue Data'!$A:$A,'[1]Tissue Data'!M:M)</f>
        <v>7.65</v>
      </c>
      <c r="K3752" t="s">
        <v>12</v>
      </c>
      <c r="L3752" t="str">
        <f>_xlfn.XLOOKUP(K3752,[2]analyte_order!$B:$B,[2]analyte_order!$C:$C)</f>
        <v>375-22-4</v>
      </c>
      <c r="M3752">
        <f>_xlfn.XLOOKUP(L3752,[2]analyte_order!$C:$C,[2]analyte_order!$E:$E)</f>
        <v>1</v>
      </c>
      <c r="N3752">
        <v>6.1499999999999999E-2</v>
      </c>
    </row>
    <row r="3753" spans="1:14">
      <c r="A3753" t="s">
        <v>138</v>
      </c>
      <c r="B3753" t="str">
        <f>_xlfn.XLOOKUP(A3753,'[1]Tissue Data'!$A:$A,'[1]Tissue Data'!$C:$C)</f>
        <v>Spill</v>
      </c>
      <c r="C3753" s="2">
        <f>_xlfn.XLOOKUP(A3753,'[1]Tissue Data'!$A:$A,'[1]Tissue Data'!$D:$D)</f>
        <v>44314</v>
      </c>
      <c r="D3753" s="2" t="str">
        <f>_xlfn.XLOOKUP(A3753,'[1]Tissue Data'!$A:$A,'[1]Tissue Data'!$F:$F)</f>
        <v>Creek Chubsucker</v>
      </c>
      <c r="E3753" t="str">
        <f>_xlfn.XLOOKUP(A3753,'[1]Tissue Data'!$A:$A,'[1]Tissue Data'!$H:$H)</f>
        <v>Erimyzon</v>
      </c>
      <c r="F3753" t="str">
        <f>_xlfn.XLOOKUP(A3753,'[1]Tissue Data'!$A:$A,'[1]Tissue Data'!$I:$I)</f>
        <v>oblongus</v>
      </c>
      <c r="G3753" t="str">
        <f>_xlfn.XLOOKUP(A3753,'[1]Tissue Data'!$A:$A,'[1]Tissue Data'!J:J)</f>
        <v>U</v>
      </c>
      <c r="H3753" t="str">
        <f>_xlfn.XLOOKUP(A3753,'[1]Tissue Data'!$A:$A,'[1]Tissue Data'!K:K)</f>
        <v>Whole Body</v>
      </c>
      <c r="I3753">
        <f>_xlfn.XLOOKUP(A3753,'[1]Tissue Data'!$A:$A,'[1]Tissue Data'!L:L)</f>
        <v>9.5</v>
      </c>
      <c r="J3753">
        <f>_xlfn.XLOOKUP(A3753,'[1]Tissue Data'!$A:$A,'[1]Tissue Data'!M:M)</f>
        <v>7.65</v>
      </c>
      <c r="K3753" t="s">
        <v>13</v>
      </c>
      <c r="L3753" t="str">
        <f>_xlfn.XLOOKUP(K3753,[2]analyte_order!$B:$B,[2]analyte_order!$C:$C)</f>
        <v>2706-90-3</v>
      </c>
      <c r="M3753">
        <f>_xlfn.XLOOKUP(L3753,[2]analyte_order!$C:$C,[2]analyte_order!$E:$E)</f>
        <v>2</v>
      </c>
      <c r="N3753">
        <v>4.335E-2</v>
      </c>
    </row>
    <row r="3754" spans="1:14">
      <c r="A3754" t="s">
        <v>138</v>
      </c>
      <c r="B3754" t="str">
        <f>_xlfn.XLOOKUP(A3754,'[1]Tissue Data'!$A:$A,'[1]Tissue Data'!$C:$C)</f>
        <v>Spill</v>
      </c>
      <c r="C3754" s="2">
        <f>_xlfn.XLOOKUP(A3754,'[1]Tissue Data'!$A:$A,'[1]Tissue Data'!$D:$D)</f>
        <v>44314</v>
      </c>
      <c r="D3754" s="2" t="str">
        <f>_xlfn.XLOOKUP(A3754,'[1]Tissue Data'!$A:$A,'[1]Tissue Data'!$F:$F)</f>
        <v>Creek Chubsucker</v>
      </c>
      <c r="E3754" t="str">
        <f>_xlfn.XLOOKUP(A3754,'[1]Tissue Data'!$A:$A,'[1]Tissue Data'!$H:$H)</f>
        <v>Erimyzon</v>
      </c>
      <c r="F3754" t="str">
        <f>_xlfn.XLOOKUP(A3754,'[1]Tissue Data'!$A:$A,'[1]Tissue Data'!$I:$I)</f>
        <v>oblongus</v>
      </c>
      <c r="G3754" t="str">
        <f>_xlfn.XLOOKUP(A3754,'[1]Tissue Data'!$A:$A,'[1]Tissue Data'!J:J)</f>
        <v>U</v>
      </c>
      <c r="H3754" t="str">
        <f>_xlfn.XLOOKUP(A3754,'[1]Tissue Data'!$A:$A,'[1]Tissue Data'!K:K)</f>
        <v>Whole Body</v>
      </c>
      <c r="I3754">
        <f>_xlfn.XLOOKUP(A3754,'[1]Tissue Data'!$A:$A,'[1]Tissue Data'!L:L)</f>
        <v>9.5</v>
      </c>
      <c r="J3754">
        <f>_xlfn.XLOOKUP(A3754,'[1]Tissue Data'!$A:$A,'[1]Tissue Data'!M:M)</f>
        <v>7.65</v>
      </c>
      <c r="K3754" t="s">
        <v>14</v>
      </c>
      <c r="L3754" t="str">
        <f>_xlfn.XLOOKUP(K3754,[2]analyte_order!$B:$B,[2]analyte_order!$C:$C)</f>
        <v>307-24-4</v>
      </c>
      <c r="M3754">
        <f>_xlfn.XLOOKUP(L3754,[2]analyte_order!$C:$C,[2]analyte_order!$E:$E)</f>
        <v>3</v>
      </c>
      <c r="N3754">
        <v>3.3050000000000003E-2</v>
      </c>
    </row>
    <row r="3755" spans="1:14">
      <c r="A3755" t="s">
        <v>138</v>
      </c>
      <c r="B3755" t="str">
        <f>_xlfn.XLOOKUP(A3755,'[1]Tissue Data'!$A:$A,'[1]Tissue Data'!$C:$C)</f>
        <v>Spill</v>
      </c>
      <c r="C3755" s="2">
        <f>_xlfn.XLOOKUP(A3755,'[1]Tissue Data'!$A:$A,'[1]Tissue Data'!$D:$D)</f>
        <v>44314</v>
      </c>
      <c r="D3755" s="2" t="str">
        <f>_xlfn.XLOOKUP(A3755,'[1]Tissue Data'!$A:$A,'[1]Tissue Data'!$F:$F)</f>
        <v>Creek Chubsucker</v>
      </c>
      <c r="E3755" t="str">
        <f>_xlfn.XLOOKUP(A3755,'[1]Tissue Data'!$A:$A,'[1]Tissue Data'!$H:$H)</f>
        <v>Erimyzon</v>
      </c>
      <c r="F3755" t="str">
        <f>_xlfn.XLOOKUP(A3755,'[1]Tissue Data'!$A:$A,'[1]Tissue Data'!$I:$I)</f>
        <v>oblongus</v>
      </c>
      <c r="G3755" t="str">
        <f>_xlfn.XLOOKUP(A3755,'[1]Tissue Data'!$A:$A,'[1]Tissue Data'!J:J)</f>
        <v>U</v>
      </c>
      <c r="H3755" t="str">
        <f>_xlfn.XLOOKUP(A3755,'[1]Tissue Data'!$A:$A,'[1]Tissue Data'!K:K)</f>
        <v>Whole Body</v>
      </c>
      <c r="I3755">
        <f>_xlfn.XLOOKUP(A3755,'[1]Tissue Data'!$A:$A,'[1]Tissue Data'!L:L)</f>
        <v>9.5</v>
      </c>
      <c r="J3755">
        <f>_xlfn.XLOOKUP(A3755,'[1]Tissue Data'!$A:$A,'[1]Tissue Data'!M:M)</f>
        <v>7.65</v>
      </c>
      <c r="K3755" t="s">
        <v>15</v>
      </c>
      <c r="L3755" t="str">
        <f>_xlfn.XLOOKUP(K3755,[2]analyte_order!$B:$B,[2]analyte_order!$C:$C)</f>
        <v>375-85-9</v>
      </c>
      <c r="M3755">
        <f>_xlfn.XLOOKUP(L3755,[2]analyte_order!$C:$C,[2]analyte_order!$E:$E)</f>
        <v>4</v>
      </c>
      <c r="N3755">
        <v>2.4549999999999999E-2</v>
      </c>
    </row>
    <row r="3756" spans="1:14">
      <c r="A3756" t="s">
        <v>138</v>
      </c>
      <c r="B3756" t="str">
        <f>_xlfn.XLOOKUP(A3756,'[1]Tissue Data'!$A:$A,'[1]Tissue Data'!$C:$C)</f>
        <v>Spill</v>
      </c>
      <c r="C3756" s="2">
        <f>_xlfn.XLOOKUP(A3756,'[1]Tissue Data'!$A:$A,'[1]Tissue Data'!$D:$D)</f>
        <v>44314</v>
      </c>
      <c r="D3756" s="2" t="str">
        <f>_xlfn.XLOOKUP(A3756,'[1]Tissue Data'!$A:$A,'[1]Tissue Data'!$F:$F)</f>
        <v>Creek Chubsucker</v>
      </c>
      <c r="E3756" t="str">
        <f>_xlfn.XLOOKUP(A3756,'[1]Tissue Data'!$A:$A,'[1]Tissue Data'!$H:$H)</f>
        <v>Erimyzon</v>
      </c>
      <c r="F3756" t="str">
        <f>_xlfn.XLOOKUP(A3756,'[1]Tissue Data'!$A:$A,'[1]Tissue Data'!$I:$I)</f>
        <v>oblongus</v>
      </c>
      <c r="G3756" t="str">
        <f>_xlfn.XLOOKUP(A3756,'[1]Tissue Data'!$A:$A,'[1]Tissue Data'!J:J)</f>
        <v>U</v>
      </c>
      <c r="H3756" t="str">
        <f>_xlfn.XLOOKUP(A3756,'[1]Tissue Data'!$A:$A,'[1]Tissue Data'!K:K)</f>
        <v>Whole Body</v>
      </c>
      <c r="I3756">
        <f>_xlfn.XLOOKUP(A3756,'[1]Tissue Data'!$A:$A,'[1]Tissue Data'!L:L)</f>
        <v>9.5</v>
      </c>
      <c r="J3756">
        <f>_xlfn.XLOOKUP(A3756,'[1]Tissue Data'!$A:$A,'[1]Tissue Data'!M:M)</f>
        <v>7.65</v>
      </c>
      <c r="K3756" t="s">
        <v>16</v>
      </c>
      <c r="L3756" t="str">
        <f>_xlfn.XLOOKUP(K3756,[2]analyte_order!$B:$B,[2]analyte_order!$C:$C)</f>
        <v>335-67-1</v>
      </c>
      <c r="M3756">
        <f>_xlfn.XLOOKUP(L3756,[2]analyte_order!$C:$C,[2]analyte_order!$E:$E)</f>
        <v>5</v>
      </c>
      <c r="N3756">
        <v>1.0900000000000001</v>
      </c>
    </row>
    <row r="3757" spans="1:14">
      <c r="A3757" t="s">
        <v>138</v>
      </c>
      <c r="B3757" t="str">
        <f>_xlfn.XLOOKUP(A3757,'[1]Tissue Data'!$A:$A,'[1]Tissue Data'!$C:$C)</f>
        <v>Spill</v>
      </c>
      <c r="C3757" s="2">
        <f>_xlfn.XLOOKUP(A3757,'[1]Tissue Data'!$A:$A,'[1]Tissue Data'!$D:$D)</f>
        <v>44314</v>
      </c>
      <c r="D3757" s="2" t="str">
        <f>_xlfn.XLOOKUP(A3757,'[1]Tissue Data'!$A:$A,'[1]Tissue Data'!$F:$F)</f>
        <v>Creek Chubsucker</v>
      </c>
      <c r="E3757" t="str">
        <f>_xlfn.XLOOKUP(A3757,'[1]Tissue Data'!$A:$A,'[1]Tissue Data'!$H:$H)</f>
        <v>Erimyzon</v>
      </c>
      <c r="F3757" t="str">
        <f>_xlfn.XLOOKUP(A3757,'[1]Tissue Data'!$A:$A,'[1]Tissue Data'!$I:$I)</f>
        <v>oblongus</v>
      </c>
      <c r="G3757" t="str">
        <f>_xlfn.XLOOKUP(A3757,'[1]Tissue Data'!$A:$A,'[1]Tissue Data'!J:J)</f>
        <v>U</v>
      </c>
      <c r="H3757" t="str">
        <f>_xlfn.XLOOKUP(A3757,'[1]Tissue Data'!$A:$A,'[1]Tissue Data'!K:K)</f>
        <v>Whole Body</v>
      </c>
      <c r="I3757">
        <f>_xlfn.XLOOKUP(A3757,'[1]Tissue Data'!$A:$A,'[1]Tissue Data'!L:L)</f>
        <v>9.5</v>
      </c>
      <c r="J3757">
        <f>_xlfn.XLOOKUP(A3757,'[1]Tissue Data'!$A:$A,'[1]Tissue Data'!M:M)</f>
        <v>7.65</v>
      </c>
      <c r="K3757" t="s">
        <v>17</v>
      </c>
      <c r="L3757" t="str">
        <f>_xlfn.XLOOKUP(K3757,[2]analyte_order!$B:$B,[2]analyte_order!$C:$C)</f>
        <v>375-95-1</v>
      </c>
      <c r="M3757">
        <f>_xlfn.XLOOKUP(L3757,[2]analyte_order!$C:$C,[2]analyte_order!$E:$E)</f>
        <v>6</v>
      </c>
      <c r="N3757">
        <v>0.93700000000000006</v>
      </c>
    </row>
    <row r="3758" spans="1:14">
      <c r="A3758" t="s">
        <v>138</v>
      </c>
      <c r="B3758" t="str">
        <f>_xlfn.XLOOKUP(A3758,'[1]Tissue Data'!$A:$A,'[1]Tissue Data'!$C:$C)</f>
        <v>Spill</v>
      </c>
      <c r="C3758" s="2">
        <f>_xlfn.XLOOKUP(A3758,'[1]Tissue Data'!$A:$A,'[1]Tissue Data'!$D:$D)</f>
        <v>44314</v>
      </c>
      <c r="D3758" s="2" t="str">
        <f>_xlfn.XLOOKUP(A3758,'[1]Tissue Data'!$A:$A,'[1]Tissue Data'!$F:$F)</f>
        <v>Creek Chubsucker</v>
      </c>
      <c r="E3758" t="str">
        <f>_xlfn.XLOOKUP(A3758,'[1]Tissue Data'!$A:$A,'[1]Tissue Data'!$H:$H)</f>
        <v>Erimyzon</v>
      </c>
      <c r="F3758" t="str">
        <f>_xlfn.XLOOKUP(A3758,'[1]Tissue Data'!$A:$A,'[1]Tissue Data'!$I:$I)</f>
        <v>oblongus</v>
      </c>
      <c r="G3758" t="str">
        <f>_xlfn.XLOOKUP(A3758,'[1]Tissue Data'!$A:$A,'[1]Tissue Data'!J:J)</f>
        <v>U</v>
      </c>
      <c r="H3758" t="str">
        <f>_xlfn.XLOOKUP(A3758,'[1]Tissue Data'!$A:$A,'[1]Tissue Data'!K:K)</f>
        <v>Whole Body</v>
      </c>
      <c r="I3758">
        <f>_xlfn.XLOOKUP(A3758,'[1]Tissue Data'!$A:$A,'[1]Tissue Data'!L:L)</f>
        <v>9.5</v>
      </c>
      <c r="J3758">
        <f>_xlfn.XLOOKUP(A3758,'[1]Tissue Data'!$A:$A,'[1]Tissue Data'!M:M)</f>
        <v>7.65</v>
      </c>
      <c r="K3758" t="s">
        <v>18</v>
      </c>
      <c r="L3758" t="str">
        <f>_xlfn.XLOOKUP(K3758,[2]analyte_order!$B:$B,[2]analyte_order!$C:$C)</f>
        <v>335-76-2</v>
      </c>
      <c r="M3758">
        <f>_xlfn.XLOOKUP(L3758,[2]analyte_order!$C:$C,[2]analyte_order!$E:$E)</f>
        <v>7</v>
      </c>
      <c r="N3758">
        <v>7.54</v>
      </c>
    </row>
    <row r="3759" spans="1:14">
      <c r="A3759" t="s">
        <v>138</v>
      </c>
      <c r="B3759" t="str">
        <f>_xlfn.XLOOKUP(A3759,'[1]Tissue Data'!$A:$A,'[1]Tissue Data'!$C:$C)</f>
        <v>Spill</v>
      </c>
      <c r="C3759" s="2">
        <f>_xlfn.XLOOKUP(A3759,'[1]Tissue Data'!$A:$A,'[1]Tissue Data'!$D:$D)</f>
        <v>44314</v>
      </c>
      <c r="D3759" s="2" t="str">
        <f>_xlfn.XLOOKUP(A3759,'[1]Tissue Data'!$A:$A,'[1]Tissue Data'!$F:$F)</f>
        <v>Creek Chubsucker</v>
      </c>
      <c r="E3759" t="str">
        <f>_xlfn.XLOOKUP(A3759,'[1]Tissue Data'!$A:$A,'[1]Tissue Data'!$H:$H)</f>
        <v>Erimyzon</v>
      </c>
      <c r="F3759" t="str">
        <f>_xlfn.XLOOKUP(A3759,'[1]Tissue Data'!$A:$A,'[1]Tissue Data'!$I:$I)</f>
        <v>oblongus</v>
      </c>
      <c r="G3759" t="str">
        <f>_xlfn.XLOOKUP(A3759,'[1]Tissue Data'!$A:$A,'[1]Tissue Data'!J:J)</f>
        <v>U</v>
      </c>
      <c r="H3759" t="str">
        <f>_xlfn.XLOOKUP(A3759,'[1]Tissue Data'!$A:$A,'[1]Tissue Data'!K:K)</f>
        <v>Whole Body</v>
      </c>
      <c r="I3759">
        <f>_xlfn.XLOOKUP(A3759,'[1]Tissue Data'!$A:$A,'[1]Tissue Data'!L:L)</f>
        <v>9.5</v>
      </c>
      <c r="J3759">
        <f>_xlfn.XLOOKUP(A3759,'[1]Tissue Data'!$A:$A,'[1]Tissue Data'!M:M)</f>
        <v>7.65</v>
      </c>
      <c r="K3759" t="s">
        <v>19</v>
      </c>
      <c r="L3759" t="str">
        <f>_xlfn.XLOOKUP(K3759,[2]analyte_order!$B:$B,[2]analyte_order!$C:$C)</f>
        <v>2058-94-8</v>
      </c>
      <c r="M3759">
        <f>_xlfn.XLOOKUP(L3759,[2]analyte_order!$C:$C,[2]analyte_order!$E:$E)</f>
        <v>8</v>
      </c>
      <c r="N3759">
        <v>9.56</v>
      </c>
    </row>
    <row r="3760" spans="1:14">
      <c r="A3760" t="s">
        <v>138</v>
      </c>
      <c r="B3760" t="str">
        <f>_xlfn.XLOOKUP(A3760,'[1]Tissue Data'!$A:$A,'[1]Tissue Data'!$C:$C)</f>
        <v>Spill</v>
      </c>
      <c r="C3760" s="2">
        <f>_xlfn.XLOOKUP(A3760,'[1]Tissue Data'!$A:$A,'[1]Tissue Data'!$D:$D)</f>
        <v>44314</v>
      </c>
      <c r="D3760" s="2" t="str">
        <f>_xlfn.XLOOKUP(A3760,'[1]Tissue Data'!$A:$A,'[1]Tissue Data'!$F:$F)</f>
        <v>Creek Chubsucker</v>
      </c>
      <c r="E3760" t="str">
        <f>_xlfn.XLOOKUP(A3760,'[1]Tissue Data'!$A:$A,'[1]Tissue Data'!$H:$H)</f>
        <v>Erimyzon</v>
      </c>
      <c r="F3760" t="str">
        <f>_xlfn.XLOOKUP(A3760,'[1]Tissue Data'!$A:$A,'[1]Tissue Data'!$I:$I)</f>
        <v>oblongus</v>
      </c>
      <c r="G3760" t="str">
        <f>_xlfn.XLOOKUP(A3760,'[1]Tissue Data'!$A:$A,'[1]Tissue Data'!J:J)</f>
        <v>U</v>
      </c>
      <c r="H3760" t="str">
        <f>_xlfn.XLOOKUP(A3760,'[1]Tissue Data'!$A:$A,'[1]Tissue Data'!K:K)</f>
        <v>Whole Body</v>
      </c>
      <c r="I3760">
        <f>_xlfn.XLOOKUP(A3760,'[1]Tissue Data'!$A:$A,'[1]Tissue Data'!L:L)</f>
        <v>9.5</v>
      </c>
      <c r="J3760">
        <f>_xlfn.XLOOKUP(A3760,'[1]Tissue Data'!$A:$A,'[1]Tissue Data'!M:M)</f>
        <v>7.65</v>
      </c>
      <c r="K3760" t="s">
        <v>20</v>
      </c>
      <c r="L3760" t="str">
        <f>_xlfn.XLOOKUP(K3760,[2]analyte_order!$B:$B,[2]analyte_order!$C:$C)</f>
        <v>307-55-1</v>
      </c>
      <c r="M3760">
        <f>_xlfn.XLOOKUP(L3760,[2]analyte_order!$C:$C,[2]analyte_order!$E:$E)</f>
        <v>9</v>
      </c>
      <c r="N3760">
        <v>13.5</v>
      </c>
    </row>
    <row r="3761" spans="1:14">
      <c r="A3761" t="s">
        <v>138</v>
      </c>
      <c r="B3761" t="str">
        <f>_xlfn.XLOOKUP(A3761,'[1]Tissue Data'!$A:$A,'[1]Tissue Data'!$C:$C)</f>
        <v>Spill</v>
      </c>
      <c r="C3761" s="2">
        <f>_xlfn.XLOOKUP(A3761,'[1]Tissue Data'!$A:$A,'[1]Tissue Data'!$D:$D)</f>
        <v>44314</v>
      </c>
      <c r="D3761" s="2" t="str">
        <f>_xlfn.XLOOKUP(A3761,'[1]Tissue Data'!$A:$A,'[1]Tissue Data'!$F:$F)</f>
        <v>Creek Chubsucker</v>
      </c>
      <c r="E3761" t="str">
        <f>_xlfn.XLOOKUP(A3761,'[1]Tissue Data'!$A:$A,'[1]Tissue Data'!$H:$H)</f>
        <v>Erimyzon</v>
      </c>
      <c r="F3761" t="str">
        <f>_xlfn.XLOOKUP(A3761,'[1]Tissue Data'!$A:$A,'[1]Tissue Data'!$I:$I)</f>
        <v>oblongus</v>
      </c>
      <c r="G3761" t="str">
        <f>_xlfn.XLOOKUP(A3761,'[1]Tissue Data'!$A:$A,'[1]Tissue Data'!J:J)</f>
        <v>U</v>
      </c>
      <c r="H3761" t="str">
        <f>_xlfn.XLOOKUP(A3761,'[1]Tissue Data'!$A:$A,'[1]Tissue Data'!K:K)</f>
        <v>Whole Body</v>
      </c>
      <c r="I3761">
        <f>_xlfn.XLOOKUP(A3761,'[1]Tissue Data'!$A:$A,'[1]Tissue Data'!L:L)</f>
        <v>9.5</v>
      </c>
      <c r="J3761">
        <f>_xlfn.XLOOKUP(A3761,'[1]Tissue Data'!$A:$A,'[1]Tissue Data'!M:M)</f>
        <v>7.65</v>
      </c>
      <c r="K3761" t="s">
        <v>21</v>
      </c>
      <c r="L3761" t="str">
        <f>_xlfn.XLOOKUP(K3761,[2]analyte_order!$B:$B,[2]analyte_order!$C:$C)</f>
        <v>72629-94-8</v>
      </c>
      <c r="M3761">
        <f>_xlfn.XLOOKUP(L3761,[2]analyte_order!$C:$C,[2]analyte_order!$E:$E)</f>
        <v>10</v>
      </c>
      <c r="N3761">
        <v>4.3099999999999996</v>
      </c>
    </row>
    <row r="3762" spans="1:14">
      <c r="A3762" t="s">
        <v>138</v>
      </c>
      <c r="B3762" t="str">
        <f>_xlfn.XLOOKUP(A3762,'[1]Tissue Data'!$A:$A,'[1]Tissue Data'!$C:$C)</f>
        <v>Spill</v>
      </c>
      <c r="C3762" s="2">
        <f>_xlfn.XLOOKUP(A3762,'[1]Tissue Data'!$A:$A,'[1]Tissue Data'!$D:$D)</f>
        <v>44314</v>
      </c>
      <c r="D3762" s="2" t="str">
        <f>_xlfn.XLOOKUP(A3762,'[1]Tissue Data'!$A:$A,'[1]Tissue Data'!$F:$F)</f>
        <v>Creek Chubsucker</v>
      </c>
      <c r="E3762" t="str">
        <f>_xlfn.XLOOKUP(A3762,'[1]Tissue Data'!$A:$A,'[1]Tissue Data'!$H:$H)</f>
        <v>Erimyzon</v>
      </c>
      <c r="F3762" t="str">
        <f>_xlfn.XLOOKUP(A3762,'[1]Tissue Data'!$A:$A,'[1]Tissue Data'!$I:$I)</f>
        <v>oblongus</v>
      </c>
      <c r="G3762" t="str">
        <f>_xlfn.XLOOKUP(A3762,'[1]Tissue Data'!$A:$A,'[1]Tissue Data'!J:J)</f>
        <v>U</v>
      </c>
      <c r="H3762" t="str">
        <f>_xlfn.XLOOKUP(A3762,'[1]Tissue Data'!$A:$A,'[1]Tissue Data'!K:K)</f>
        <v>Whole Body</v>
      </c>
      <c r="I3762">
        <f>_xlfn.XLOOKUP(A3762,'[1]Tissue Data'!$A:$A,'[1]Tissue Data'!L:L)</f>
        <v>9.5</v>
      </c>
      <c r="J3762">
        <f>_xlfn.XLOOKUP(A3762,'[1]Tissue Data'!$A:$A,'[1]Tissue Data'!M:M)</f>
        <v>7.65</v>
      </c>
      <c r="K3762" t="s">
        <v>22</v>
      </c>
      <c r="L3762" t="str">
        <f>_xlfn.XLOOKUP(K3762,[2]analyte_order!$B:$B,[2]analyte_order!$C:$C)</f>
        <v>376-06-7</v>
      </c>
      <c r="M3762">
        <f>_xlfn.XLOOKUP(L3762,[2]analyte_order!$C:$C,[2]analyte_order!$E:$E)</f>
        <v>11</v>
      </c>
      <c r="N3762">
        <v>6.1</v>
      </c>
    </row>
    <row r="3763" spans="1:14">
      <c r="A3763" t="s">
        <v>138</v>
      </c>
      <c r="B3763" t="str">
        <f>_xlfn.XLOOKUP(A3763,'[1]Tissue Data'!$A:$A,'[1]Tissue Data'!$C:$C)</f>
        <v>Spill</v>
      </c>
      <c r="C3763" s="2">
        <f>_xlfn.XLOOKUP(A3763,'[1]Tissue Data'!$A:$A,'[1]Tissue Data'!$D:$D)</f>
        <v>44314</v>
      </c>
      <c r="D3763" s="2" t="str">
        <f>_xlfn.XLOOKUP(A3763,'[1]Tissue Data'!$A:$A,'[1]Tissue Data'!$F:$F)</f>
        <v>Creek Chubsucker</v>
      </c>
      <c r="E3763" t="str">
        <f>_xlfn.XLOOKUP(A3763,'[1]Tissue Data'!$A:$A,'[1]Tissue Data'!$H:$H)</f>
        <v>Erimyzon</v>
      </c>
      <c r="F3763" t="str">
        <f>_xlfn.XLOOKUP(A3763,'[1]Tissue Data'!$A:$A,'[1]Tissue Data'!$I:$I)</f>
        <v>oblongus</v>
      </c>
      <c r="G3763" t="str">
        <f>_xlfn.XLOOKUP(A3763,'[1]Tissue Data'!$A:$A,'[1]Tissue Data'!J:J)</f>
        <v>U</v>
      </c>
      <c r="H3763" t="str">
        <f>_xlfn.XLOOKUP(A3763,'[1]Tissue Data'!$A:$A,'[1]Tissue Data'!K:K)</f>
        <v>Whole Body</v>
      </c>
      <c r="I3763">
        <f>_xlfn.XLOOKUP(A3763,'[1]Tissue Data'!$A:$A,'[1]Tissue Data'!L:L)</f>
        <v>9.5</v>
      </c>
      <c r="J3763">
        <f>_xlfn.XLOOKUP(A3763,'[1]Tissue Data'!$A:$A,'[1]Tissue Data'!M:M)</f>
        <v>7.65</v>
      </c>
      <c r="K3763" t="s">
        <v>23</v>
      </c>
      <c r="L3763" t="str">
        <f>_xlfn.XLOOKUP(K3763,[2]analyte_order!$B:$B,[2]analyte_order!$C:$C)</f>
        <v>67905-19-5</v>
      </c>
      <c r="M3763">
        <f>_xlfn.XLOOKUP(L3763,[2]analyte_order!$C:$C,[2]analyte_order!$E:$E)</f>
        <v>12</v>
      </c>
      <c r="N3763">
        <v>7.2999999999999995E-2</v>
      </c>
    </row>
    <row r="3764" spans="1:14">
      <c r="A3764" t="s">
        <v>138</v>
      </c>
      <c r="B3764" t="str">
        <f>_xlfn.XLOOKUP(A3764,'[1]Tissue Data'!$A:$A,'[1]Tissue Data'!$C:$C)</f>
        <v>Spill</v>
      </c>
      <c r="C3764" s="2">
        <f>_xlfn.XLOOKUP(A3764,'[1]Tissue Data'!$A:$A,'[1]Tissue Data'!$D:$D)</f>
        <v>44314</v>
      </c>
      <c r="D3764" s="2" t="str">
        <f>_xlfn.XLOOKUP(A3764,'[1]Tissue Data'!$A:$A,'[1]Tissue Data'!$F:$F)</f>
        <v>Creek Chubsucker</v>
      </c>
      <c r="E3764" t="str">
        <f>_xlfn.XLOOKUP(A3764,'[1]Tissue Data'!$A:$A,'[1]Tissue Data'!$H:$H)</f>
        <v>Erimyzon</v>
      </c>
      <c r="F3764" t="str">
        <f>_xlfn.XLOOKUP(A3764,'[1]Tissue Data'!$A:$A,'[1]Tissue Data'!$I:$I)</f>
        <v>oblongus</v>
      </c>
      <c r="G3764" t="str">
        <f>_xlfn.XLOOKUP(A3764,'[1]Tissue Data'!$A:$A,'[1]Tissue Data'!J:J)</f>
        <v>U</v>
      </c>
      <c r="H3764" t="str">
        <f>_xlfn.XLOOKUP(A3764,'[1]Tissue Data'!$A:$A,'[1]Tissue Data'!K:K)</f>
        <v>Whole Body</v>
      </c>
      <c r="I3764">
        <f>_xlfn.XLOOKUP(A3764,'[1]Tissue Data'!$A:$A,'[1]Tissue Data'!L:L)</f>
        <v>9.5</v>
      </c>
      <c r="J3764">
        <f>_xlfn.XLOOKUP(A3764,'[1]Tissue Data'!$A:$A,'[1]Tissue Data'!M:M)</f>
        <v>7.65</v>
      </c>
      <c r="K3764" t="s">
        <v>24</v>
      </c>
      <c r="L3764" t="str">
        <f>_xlfn.XLOOKUP(K3764,[2]analyte_order!$B:$B,[2]analyte_order!$C:$C)</f>
        <v>423-41-6</v>
      </c>
      <c r="M3764">
        <f>_xlfn.XLOOKUP(L3764,[2]analyte_order!$C:$C,[2]analyte_order!$E:$E)</f>
        <v>53</v>
      </c>
      <c r="N3764">
        <v>4.6800000000000001E-2</v>
      </c>
    </row>
    <row r="3765" spans="1:14">
      <c r="A3765" t="s">
        <v>138</v>
      </c>
      <c r="B3765" t="str">
        <f>_xlfn.XLOOKUP(A3765,'[1]Tissue Data'!$A:$A,'[1]Tissue Data'!$C:$C)</f>
        <v>Spill</v>
      </c>
      <c r="C3765" s="2">
        <f>_xlfn.XLOOKUP(A3765,'[1]Tissue Data'!$A:$A,'[1]Tissue Data'!$D:$D)</f>
        <v>44314</v>
      </c>
      <c r="D3765" s="2" t="str">
        <f>_xlfn.XLOOKUP(A3765,'[1]Tissue Data'!$A:$A,'[1]Tissue Data'!$F:$F)</f>
        <v>Creek Chubsucker</v>
      </c>
      <c r="E3765" t="str">
        <f>_xlfn.XLOOKUP(A3765,'[1]Tissue Data'!$A:$A,'[1]Tissue Data'!$H:$H)</f>
        <v>Erimyzon</v>
      </c>
      <c r="F3765" t="str">
        <f>_xlfn.XLOOKUP(A3765,'[1]Tissue Data'!$A:$A,'[1]Tissue Data'!$I:$I)</f>
        <v>oblongus</v>
      </c>
      <c r="G3765" t="str">
        <f>_xlfn.XLOOKUP(A3765,'[1]Tissue Data'!$A:$A,'[1]Tissue Data'!J:J)</f>
        <v>U</v>
      </c>
      <c r="H3765" t="str">
        <f>_xlfn.XLOOKUP(A3765,'[1]Tissue Data'!$A:$A,'[1]Tissue Data'!K:K)</f>
        <v>Whole Body</v>
      </c>
      <c r="I3765">
        <f>_xlfn.XLOOKUP(A3765,'[1]Tissue Data'!$A:$A,'[1]Tissue Data'!L:L)</f>
        <v>9.5</v>
      </c>
      <c r="J3765">
        <f>_xlfn.XLOOKUP(A3765,'[1]Tissue Data'!$A:$A,'[1]Tissue Data'!M:M)</f>
        <v>7.65</v>
      </c>
      <c r="K3765" t="s">
        <v>25</v>
      </c>
      <c r="L3765" t="str">
        <f>_xlfn.XLOOKUP(K3765,[2]analyte_order!$B:$B,[2]analyte_order!$C:$C)</f>
        <v>375-73-5</v>
      </c>
      <c r="M3765">
        <f>_xlfn.XLOOKUP(L3765,[2]analyte_order!$C:$C,[2]analyte_order!$E:$E)</f>
        <v>14</v>
      </c>
      <c r="N3765">
        <v>4.165E-2</v>
      </c>
    </row>
    <row r="3766" spans="1:14">
      <c r="A3766" t="s">
        <v>138</v>
      </c>
      <c r="B3766" t="str">
        <f>_xlfn.XLOOKUP(A3766,'[1]Tissue Data'!$A:$A,'[1]Tissue Data'!$C:$C)</f>
        <v>Spill</v>
      </c>
      <c r="C3766" s="2">
        <f>_xlfn.XLOOKUP(A3766,'[1]Tissue Data'!$A:$A,'[1]Tissue Data'!$D:$D)</f>
        <v>44314</v>
      </c>
      <c r="D3766" s="2" t="str">
        <f>_xlfn.XLOOKUP(A3766,'[1]Tissue Data'!$A:$A,'[1]Tissue Data'!$F:$F)</f>
        <v>Creek Chubsucker</v>
      </c>
      <c r="E3766" t="str">
        <f>_xlfn.XLOOKUP(A3766,'[1]Tissue Data'!$A:$A,'[1]Tissue Data'!$H:$H)</f>
        <v>Erimyzon</v>
      </c>
      <c r="F3766" t="str">
        <f>_xlfn.XLOOKUP(A3766,'[1]Tissue Data'!$A:$A,'[1]Tissue Data'!$I:$I)</f>
        <v>oblongus</v>
      </c>
      <c r="G3766" t="str">
        <f>_xlfn.XLOOKUP(A3766,'[1]Tissue Data'!$A:$A,'[1]Tissue Data'!J:J)</f>
        <v>U</v>
      </c>
      <c r="H3766" t="str">
        <f>_xlfn.XLOOKUP(A3766,'[1]Tissue Data'!$A:$A,'[1]Tissue Data'!K:K)</f>
        <v>Whole Body</v>
      </c>
      <c r="I3766">
        <f>_xlfn.XLOOKUP(A3766,'[1]Tissue Data'!$A:$A,'[1]Tissue Data'!L:L)</f>
        <v>9.5</v>
      </c>
      <c r="J3766">
        <f>_xlfn.XLOOKUP(A3766,'[1]Tissue Data'!$A:$A,'[1]Tissue Data'!M:M)</f>
        <v>7.65</v>
      </c>
      <c r="K3766" t="s">
        <v>26</v>
      </c>
      <c r="L3766" t="str">
        <f>_xlfn.XLOOKUP(K3766,[2]analyte_order!$B:$B,[2]analyte_order!$C:$C)</f>
        <v>2706-91-4</v>
      </c>
      <c r="M3766">
        <f>_xlfn.XLOOKUP(L3766,[2]analyte_order!$C:$C,[2]analyte_order!$E:$E)</f>
        <v>15</v>
      </c>
      <c r="N3766">
        <v>0.53400000000000003</v>
      </c>
    </row>
    <row r="3767" spans="1:14">
      <c r="A3767" t="s">
        <v>138</v>
      </c>
      <c r="B3767" t="str">
        <f>_xlfn.XLOOKUP(A3767,'[1]Tissue Data'!$A:$A,'[1]Tissue Data'!$C:$C)</f>
        <v>Spill</v>
      </c>
      <c r="C3767" s="2">
        <f>_xlfn.XLOOKUP(A3767,'[1]Tissue Data'!$A:$A,'[1]Tissue Data'!$D:$D)</f>
        <v>44314</v>
      </c>
      <c r="D3767" s="2" t="str">
        <f>_xlfn.XLOOKUP(A3767,'[1]Tissue Data'!$A:$A,'[1]Tissue Data'!$F:$F)</f>
        <v>Creek Chubsucker</v>
      </c>
      <c r="E3767" t="str">
        <f>_xlfn.XLOOKUP(A3767,'[1]Tissue Data'!$A:$A,'[1]Tissue Data'!$H:$H)</f>
        <v>Erimyzon</v>
      </c>
      <c r="F3767" t="str">
        <f>_xlfn.XLOOKUP(A3767,'[1]Tissue Data'!$A:$A,'[1]Tissue Data'!$I:$I)</f>
        <v>oblongus</v>
      </c>
      <c r="G3767" t="str">
        <f>_xlfn.XLOOKUP(A3767,'[1]Tissue Data'!$A:$A,'[1]Tissue Data'!J:J)</f>
        <v>U</v>
      </c>
      <c r="H3767" t="str">
        <f>_xlfn.XLOOKUP(A3767,'[1]Tissue Data'!$A:$A,'[1]Tissue Data'!K:K)</f>
        <v>Whole Body</v>
      </c>
      <c r="I3767">
        <f>_xlfn.XLOOKUP(A3767,'[1]Tissue Data'!$A:$A,'[1]Tissue Data'!L:L)</f>
        <v>9.5</v>
      </c>
      <c r="J3767">
        <f>_xlfn.XLOOKUP(A3767,'[1]Tissue Data'!$A:$A,'[1]Tissue Data'!M:M)</f>
        <v>7.65</v>
      </c>
      <c r="K3767" t="s">
        <v>27</v>
      </c>
      <c r="L3767" t="str">
        <f>_xlfn.XLOOKUP(K3767,[2]analyte_order!$B:$B,[2]analyte_order!$C:$C)</f>
        <v>355-46-4</v>
      </c>
      <c r="M3767">
        <f>_xlfn.XLOOKUP(L3767,[2]analyte_order!$C:$C,[2]analyte_order!$E:$E)</f>
        <v>16</v>
      </c>
      <c r="N3767">
        <v>29.4</v>
      </c>
    </row>
    <row r="3768" spans="1:14">
      <c r="A3768" t="s">
        <v>138</v>
      </c>
      <c r="B3768" t="str">
        <f>_xlfn.XLOOKUP(A3768,'[1]Tissue Data'!$A:$A,'[1]Tissue Data'!$C:$C)</f>
        <v>Spill</v>
      </c>
      <c r="C3768" s="2">
        <f>_xlfn.XLOOKUP(A3768,'[1]Tissue Data'!$A:$A,'[1]Tissue Data'!$D:$D)</f>
        <v>44314</v>
      </c>
      <c r="D3768" s="2" t="str">
        <f>_xlfn.XLOOKUP(A3768,'[1]Tissue Data'!$A:$A,'[1]Tissue Data'!$F:$F)</f>
        <v>Creek Chubsucker</v>
      </c>
      <c r="E3768" t="str">
        <f>_xlfn.XLOOKUP(A3768,'[1]Tissue Data'!$A:$A,'[1]Tissue Data'!$H:$H)</f>
        <v>Erimyzon</v>
      </c>
      <c r="F3768" t="str">
        <f>_xlfn.XLOOKUP(A3768,'[1]Tissue Data'!$A:$A,'[1]Tissue Data'!$I:$I)</f>
        <v>oblongus</v>
      </c>
      <c r="G3768" t="str">
        <f>_xlfn.XLOOKUP(A3768,'[1]Tissue Data'!$A:$A,'[1]Tissue Data'!J:J)</f>
        <v>U</v>
      </c>
      <c r="H3768" t="str">
        <f>_xlfn.XLOOKUP(A3768,'[1]Tissue Data'!$A:$A,'[1]Tissue Data'!K:K)</f>
        <v>Whole Body</v>
      </c>
      <c r="I3768">
        <f>_xlfn.XLOOKUP(A3768,'[1]Tissue Data'!$A:$A,'[1]Tissue Data'!L:L)</f>
        <v>9.5</v>
      </c>
      <c r="J3768">
        <f>_xlfn.XLOOKUP(A3768,'[1]Tissue Data'!$A:$A,'[1]Tissue Data'!M:M)</f>
        <v>7.65</v>
      </c>
      <c r="K3768" t="s">
        <v>28</v>
      </c>
      <c r="L3768" t="str">
        <f>_xlfn.XLOOKUP(K3768,[2]analyte_order!$B:$B,[2]analyte_order!$C:$C)</f>
        <v>375-92-8</v>
      </c>
      <c r="M3768">
        <f>_xlfn.XLOOKUP(L3768,[2]analyte_order!$C:$C,[2]analyte_order!$E:$E)</f>
        <v>17</v>
      </c>
      <c r="N3768">
        <v>9.36</v>
      </c>
    </row>
    <row r="3769" spans="1:14">
      <c r="A3769" t="s">
        <v>138</v>
      </c>
      <c r="B3769" t="str">
        <f>_xlfn.XLOOKUP(A3769,'[1]Tissue Data'!$A:$A,'[1]Tissue Data'!$C:$C)</f>
        <v>Spill</v>
      </c>
      <c r="C3769" s="2">
        <f>_xlfn.XLOOKUP(A3769,'[1]Tissue Data'!$A:$A,'[1]Tissue Data'!$D:$D)</f>
        <v>44314</v>
      </c>
      <c r="D3769" s="2" t="str">
        <f>_xlfn.XLOOKUP(A3769,'[1]Tissue Data'!$A:$A,'[1]Tissue Data'!$F:$F)</f>
        <v>Creek Chubsucker</v>
      </c>
      <c r="E3769" t="str">
        <f>_xlfn.XLOOKUP(A3769,'[1]Tissue Data'!$A:$A,'[1]Tissue Data'!$H:$H)</f>
        <v>Erimyzon</v>
      </c>
      <c r="F3769" t="str">
        <f>_xlfn.XLOOKUP(A3769,'[1]Tissue Data'!$A:$A,'[1]Tissue Data'!$I:$I)</f>
        <v>oblongus</v>
      </c>
      <c r="G3769" t="str">
        <f>_xlfn.XLOOKUP(A3769,'[1]Tissue Data'!$A:$A,'[1]Tissue Data'!J:J)</f>
        <v>U</v>
      </c>
      <c r="H3769" t="str">
        <f>_xlfn.XLOOKUP(A3769,'[1]Tissue Data'!$A:$A,'[1]Tissue Data'!K:K)</f>
        <v>Whole Body</v>
      </c>
      <c r="I3769">
        <f>_xlfn.XLOOKUP(A3769,'[1]Tissue Data'!$A:$A,'[1]Tissue Data'!L:L)</f>
        <v>9.5</v>
      </c>
      <c r="J3769">
        <f>_xlfn.XLOOKUP(A3769,'[1]Tissue Data'!$A:$A,'[1]Tissue Data'!M:M)</f>
        <v>7.65</v>
      </c>
      <c r="K3769" t="s">
        <v>29</v>
      </c>
      <c r="L3769" t="str">
        <f>_xlfn.XLOOKUP(K3769,[2]analyte_order!$B:$B,[2]analyte_order!$C:$C)</f>
        <v>1763-23-1</v>
      </c>
      <c r="M3769">
        <f>_xlfn.XLOOKUP(L3769,[2]analyte_order!$C:$C,[2]analyte_order!$E:$E)</f>
        <v>18</v>
      </c>
      <c r="N3769">
        <v>2820</v>
      </c>
    </row>
    <row r="3770" spans="1:14">
      <c r="A3770" t="s">
        <v>138</v>
      </c>
      <c r="B3770" t="str">
        <f>_xlfn.XLOOKUP(A3770,'[1]Tissue Data'!$A:$A,'[1]Tissue Data'!$C:$C)</f>
        <v>Spill</v>
      </c>
      <c r="C3770" s="2">
        <f>_xlfn.XLOOKUP(A3770,'[1]Tissue Data'!$A:$A,'[1]Tissue Data'!$D:$D)</f>
        <v>44314</v>
      </c>
      <c r="D3770" s="2" t="str">
        <f>_xlfn.XLOOKUP(A3770,'[1]Tissue Data'!$A:$A,'[1]Tissue Data'!$F:$F)</f>
        <v>Creek Chubsucker</v>
      </c>
      <c r="E3770" t="str">
        <f>_xlfn.XLOOKUP(A3770,'[1]Tissue Data'!$A:$A,'[1]Tissue Data'!$H:$H)</f>
        <v>Erimyzon</v>
      </c>
      <c r="F3770" t="str">
        <f>_xlfn.XLOOKUP(A3770,'[1]Tissue Data'!$A:$A,'[1]Tissue Data'!$I:$I)</f>
        <v>oblongus</v>
      </c>
      <c r="G3770" t="str">
        <f>_xlfn.XLOOKUP(A3770,'[1]Tissue Data'!$A:$A,'[1]Tissue Data'!J:J)</f>
        <v>U</v>
      </c>
      <c r="H3770" t="str">
        <f>_xlfn.XLOOKUP(A3770,'[1]Tissue Data'!$A:$A,'[1]Tissue Data'!K:K)</f>
        <v>Whole Body</v>
      </c>
      <c r="I3770">
        <f>_xlfn.XLOOKUP(A3770,'[1]Tissue Data'!$A:$A,'[1]Tissue Data'!L:L)</f>
        <v>9.5</v>
      </c>
      <c r="J3770">
        <f>_xlfn.XLOOKUP(A3770,'[1]Tissue Data'!$A:$A,'[1]Tissue Data'!M:M)</f>
        <v>7.65</v>
      </c>
      <c r="K3770" t="s">
        <v>30</v>
      </c>
      <c r="L3770" t="str">
        <f>_xlfn.XLOOKUP(K3770,[2]analyte_order!$B:$B,[2]analyte_order!$C:$C)</f>
        <v>68259-12-1</v>
      </c>
      <c r="M3770">
        <f>_xlfn.XLOOKUP(L3770,[2]analyte_order!$C:$C,[2]analyte_order!$E:$E)</f>
        <v>19</v>
      </c>
      <c r="N3770">
        <v>2.96</v>
      </c>
    </row>
    <row r="3771" spans="1:14">
      <c r="A3771" t="s">
        <v>138</v>
      </c>
      <c r="B3771" t="str">
        <f>_xlfn.XLOOKUP(A3771,'[1]Tissue Data'!$A:$A,'[1]Tissue Data'!$C:$C)</f>
        <v>Spill</v>
      </c>
      <c r="C3771" s="2">
        <f>_xlfn.XLOOKUP(A3771,'[1]Tissue Data'!$A:$A,'[1]Tissue Data'!$D:$D)</f>
        <v>44314</v>
      </c>
      <c r="D3771" s="2" t="str">
        <f>_xlfn.XLOOKUP(A3771,'[1]Tissue Data'!$A:$A,'[1]Tissue Data'!$F:$F)</f>
        <v>Creek Chubsucker</v>
      </c>
      <c r="E3771" t="str">
        <f>_xlfn.XLOOKUP(A3771,'[1]Tissue Data'!$A:$A,'[1]Tissue Data'!$H:$H)</f>
        <v>Erimyzon</v>
      </c>
      <c r="F3771" t="str">
        <f>_xlfn.XLOOKUP(A3771,'[1]Tissue Data'!$A:$A,'[1]Tissue Data'!$I:$I)</f>
        <v>oblongus</v>
      </c>
      <c r="G3771" t="str">
        <f>_xlfn.XLOOKUP(A3771,'[1]Tissue Data'!$A:$A,'[1]Tissue Data'!J:J)</f>
        <v>U</v>
      </c>
      <c r="H3771" t="str">
        <f>_xlfn.XLOOKUP(A3771,'[1]Tissue Data'!$A:$A,'[1]Tissue Data'!K:K)</f>
        <v>Whole Body</v>
      </c>
      <c r="I3771">
        <f>_xlfn.XLOOKUP(A3771,'[1]Tissue Data'!$A:$A,'[1]Tissue Data'!L:L)</f>
        <v>9.5</v>
      </c>
      <c r="J3771">
        <f>_xlfn.XLOOKUP(A3771,'[1]Tissue Data'!$A:$A,'[1]Tissue Data'!M:M)</f>
        <v>7.65</v>
      </c>
      <c r="K3771" t="s">
        <v>31</v>
      </c>
      <c r="L3771" t="str">
        <f>_xlfn.XLOOKUP(K3771,[2]analyte_order!$B:$B,[2]analyte_order!$C:$C)</f>
        <v>335-77-3</v>
      </c>
      <c r="M3771">
        <f>_xlfn.XLOOKUP(L3771,[2]analyte_order!$C:$C,[2]analyte_order!$E:$E)</f>
        <v>20</v>
      </c>
      <c r="N3771">
        <v>5.99</v>
      </c>
    </row>
    <row r="3772" spans="1:14">
      <c r="A3772" t="s">
        <v>138</v>
      </c>
      <c r="B3772" t="str">
        <f>_xlfn.XLOOKUP(A3772,'[1]Tissue Data'!$A:$A,'[1]Tissue Data'!$C:$C)</f>
        <v>Spill</v>
      </c>
      <c r="C3772" s="2">
        <f>_xlfn.XLOOKUP(A3772,'[1]Tissue Data'!$A:$A,'[1]Tissue Data'!$D:$D)</f>
        <v>44314</v>
      </c>
      <c r="D3772" s="2" t="str">
        <f>_xlfn.XLOOKUP(A3772,'[1]Tissue Data'!$A:$A,'[1]Tissue Data'!$F:$F)</f>
        <v>Creek Chubsucker</v>
      </c>
      <c r="E3772" t="str">
        <f>_xlfn.XLOOKUP(A3772,'[1]Tissue Data'!$A:$A,'[1]Tissue Data'!$H:$H)</f>
        <v>Erimyzon</v>
      </c>
      <c r="F3772" t="str">
        <f>_xlfn.XLOOKUP(A3772,'[1]Tissue Data'!$A:$A,'[1]Tissue Data'!$I:$I)</f>
        <v>oblongus</v>
      </c>
      <c r="G3772" t="str">
        <f>_xlfn.XLOOKUP(A3772,'[1]Tissue Data'!$A:$A,'[1]Tissue Data'!J:J)</f>
        <v>U</v>
      </c>
      <c r="H3772" t="str">
        <f>_xlfn.XLOOKUP(A3772,'[1]Tissue Data'!$A:$A,'[1]Tissue Data'!K:K)</f>
        <v>Whole Body</v>
      </c>
      <c r="I3772">
        <f>_xlfn.XLOOKUP(A3772,'[1]Tissue Data'!$A:$A,'[1]Tissue Data'!L:L)</f>
        <v>9.5</v>
      </c>
      <c r="J3772">
        <f>_xlfn.XLOOKUP(A3772,'[1]Tissue Data'!$A:$A,'[1]Tissue Data'!M:M)</f>
        <v>7.65</v>
      </c>
      <c r="K3772" t="s">
        <v>32</v>
      </c>
      <c r="L3772" t="str">
        <f>_xlfn.XLOOKUP(K3772,[2]analyte_order!$B:$B,[2]analyte_order!$C:$C)</f>
        <v>79780-39-5</v>
      </c>
      <c r="M3772">
        <f>_xlfn.XLOOKUP(L3772,[2]analyte_order!$C:$C,[2]analyte_order!$E:$E)</f>
        <v>21</v>
      </c>
      <c r="N3772">
        <v>2.6</v>
      </c>
    </row>
    <row r="3773" spans="1:14">
      <c r="A3773" t="s">
        <v>138</v>
      </c>
      <c r="B3773" t="str">
        <f>_xlfn.XLOOKUP(A3773,'[1]Tissue Data'!$A:$A,'[1]Tissue Data'!$C:$C)</f>
        <v>Spill</v>
      </c>
      <c r="C3773" s="2">
        <f>_xlfn.XLOOKUP(A3773,'[1]Tissue Data'!$A:$A,'[1]Tissue Data'!$D:$D)</f>
        <v>44314</v>
      </c>
      <c r="D3773" s="2" t="str">
        <f>_xlfn.XLOOKUP(A3773,'[1]Tissue Data'!$A:$A,'[1]Tissue Data'!$F:$F)</f>
        <v>Creek Chubsucker</v>
      </c>
      <c r="E3773" t="str">
        <f>_xlfn.XLOOKUP(A3773,'[1]Tissue Data'!$A:$A,'[1]Tissue Data'!$H:$H)</f>
        <v>Erimyzon</v>
      </c>
      <c r="F3773" t="str">
        <f>_xlfn.XLOOKUP(A3773,'[1]Tissue Data'!$A:$A,'[1]Tissue Data'!$I:$I)</f>
        <v>oblongus</v>
      </c>
      <c r="G3773" t="str">
        <f>_xlfn.XLOOKUP(A3773,'[1]Tissue Data'!$A:$A,'[1]Tissue Data'!J:J)</f>
        <v>U</v>
      </c>
      <c r="H3773" t="str">
        <f>_xlfn.XLOOKUP(A3773,'[1]Tissue Data'!$A:$A,'[1]Tissue Data'!K:K)</f>
        <v>Whole Body</v>
      </c>
      <c r="I3773">
        <f>_xlfn.XLOOKUP(A3773,'[1]Tissue Data'!$A:$A,'[1]Tissue Data'!L:L)</f>
        <v>9.5</v>
      </c>
      <c r="J3773">
        <f>_xlfn.XLOOKUP(A3773,'[1]Tissue Data'!$A:$A,'[1]Tissue Data'!M:M)</f>
        <v>7.65</v>
      </c>
      <c r="K3773" t="s">
        <v>33</v>
      </c>
      <c r="L3773" t="str">
        <f>_xlfn.XLOOKUP(K3773,[2]analyte_order!$B:$B,[2]analyte_order!$C:$C)</f>
        <v>777011-38-8</v>
      </c>
      <c r="M3773">
        <f>_xlfn.XLOOKUP(L3773,[2]analyte_order!$C:$C,[2]analyte_order!$E:$E)</f>
        <v>54</v>
      </c>
      <c r="N3773">
        <v>1.28</v>
      </c>
    </row>
    <row r="3774" spans="1:14">
      <c r="A3774" t="s">
        <v>138</v>
      </c>
      <c r="B3774" t="str">
        <f>_xlfn.XLOOKUP(A3774,'[1]Tissue Data'!$A:$A,'[1]Tissue Data'!$C:$C)</f>
        <v>Spill</v>
      </c>
      <c r="C3774" s="2">
        <f>_xlfn.XLOOKUP(A3774,'[1]Tissue Data'!$A:$A,'[1]Tissue Data'!$D:$D)</f>
        <v>44314</v>
      </c>
      <c r="D3774" s="2" t="str">
        <f>_xlfn.XLOOKUP(A3774,'[1]Tissue Data'!$A:$A,'[1]Tissue Data'!$F:$F)</f>
        <v>Creek Chubsucker</v>
      </c>
      <c r="E3774" t="str">
        <f>_xlfn.XLOOKUP(A3774,'[1]Tissue Data'!$A:$A,'[1]Tissue Data'!$H:$H)</f>
        <v>Erimyzon</v>
      </c>
      <c r="F3774" t="str">
        <f>_xlfn.XLOOKUP(A3774,'[1]Tissue Data'!$A:$A,'[1]Tissue Data'!$I:$I)</f>
        <v>oblongus</v>
      </c>
      <c r="G3774" t="str">
        <f>_xlfn.XLOOKUP(A3774,'[1]Tissue Data'!$A:$A,'[1]Tissue Data'!J:J)</f>
        <v>U</v>
      </c>
      <c r="H3774" t="str">
        <f>_xlfn.XLOOKUP(A3774,'[1]Tissue Data'!$A:$A,'[1]Tissue Data'!K:K)</f>
        <v>Whole Body</v>
      </c>
      <c r="I3774">
        <f>_xlfn.XLOOKUP(A3774,'[1]Tissue Data'!$A:$A,'[1]Tissue Data'!L:L)</f>
        <v>9.5</v>
      </c>
      <c r="J3774">
        <f>_xlfn.XLOOKUP(A3774,'[1]Tissue Data'!$A:$A,'[1]Tissue Data'!M:M)</f>
        <v>7.65</v>
      </c>
      <c r="K3774" t="s">
        <v>34</v>
      </c>
      <c r="L3774" t="str">
        <f>_xlfn.XLOOKUP(K3774,[2]analyte_order!$B:$B,[2]analyte_order!$C:$C)</f>
        <v>646-83-3</v>
      </c>
      <c r="M3774">
        <f>_xlfn.XLOOKUP(L3774,[2]analyte_order!$C:$C,[2]analyte_order!$E:$E)</f>
        <v>55</v>
      </c>
      <c r="N3774">
        <v>0.64900000000000002</v>
      </c>
    </row>
    <row r="3775" spans="1:14">
      <c r="A3775" t="s">
        <v>138</v>
      </c>
      <c r="B3775" t="str">
        <f>_xlfn.XLOOKUP(A3775,'[1]Tissue Data'!$A:$A,'[1]Tissue Data'!$C:$C)</f>
        <v>Spill</v>
      </c>
      <c r="C3775" s="2">
        <f>_xlfn.XLOOKUP(A3775,'[1]Tissue Data'!$A:$A,'[1]Tissue Data'!$D:$D)</f>
        <v>44314</v>
      </c>
      <c r="D3775" s="2" t="str">
        <f>_xlfn.XLOOKUP(A3775,'[1]Tissue Data'!$A:$A,'[1]Tissue Data'!$F:$F)</f>
        <v>Creek Chubsucker</v>
      </c>
      <c r="E3775" t="str">
        <f>_xlfn.XLOOKUP(A3775,'[1]Tissue Data'!$A:$A,'[1]Tissue Data'!$H:$H)</f>
        <v>Erimyzon</v>
      </c>
      <c r="F3775" t="str">
        <f>_xlfn.XLOOKUP(A3775,'[1]Tissue Data'!$A:$A,'[1]Tissue Data'!$I:$I)</f>
        <v>oblongus</v>
      </c>
      <c r="G3775" t="str">
        <f>_xlfn.XLOOKUP(A3775,'[1]Tissue Data'!$A:$A,'[1]Tissue Data'!J:J)</f>
        <v>U</v>
      </c>
      <c r="H3775" t="str">
        <f>_xlfn.XLOOKUP(A3775,'[1]Tissue Data'!$A:$A,'[1]Tissue Data'!K:K)</f>
        <v>Whole Body</v>
      </c>
      <c r="I3775">
        <f>_xlfn.XLOOKUP(A3775,'[1]Tissue Data'!$A:$A,'[1]Tissue Data'!L:L)</f>
        <v>9.5</v>
      </c>
      <c r="J3775">
        <f>_xlfn.XLOOKUP(A3775,'[1]Tissue Data'!$A:$A,'[1]Tissue Data'!M:M)</f>
        <v>7.65</v>
      </c>
      <c r="K3775" t="s">
        <v>35</v>
      </c>
      <c r="L3775" t="str">
        <f>_xlfn.XLOOKUP(K3775,[2]analyte_order!$B:$B,[2]analyte_order!$C:$C)</f>
        <v>30334-69-1</v>
      </c>
      <c r="M3775">
        <f>_xlfn.XLOOKUP(L3775,[2]analyte_order!$C:$C,[2]analyte_order!$E:$E)</f>
        <v>51</v>
      </c>
      <c r="N3775">
        <v>49</v>
      </c>
    </row>
    <row r="3776" spans="1:14">
      <c r="A3776" t="s">
        <v>138</v>
      </c>
      <c r="B3776" t="str">
        <f>_xlfn.XLOOKUP(A3776,'[1]Tissue Data'!$A:$A,'[1]Tissue Data'!$C:$C)</f>
        <v>Spill</v>
      </c>
      <c r="C3776" s="2">
        <f>_xlfn.XLOOKUP(A3776,'[1]Tissue Data'!$A:$A,'[1]Tissue Data'!$D:$D)</f>
        <v>44314</v>
      </c>
      <c r="D3776" s="2" t="str">
        <f>_xlfn.XLOOKUP(A3776,'[1]Tissue Data'!$A:$A,'[1]Tissue Data'!$F:$F)</f>
        <v>Creek Chubsucker</v>
      </c>
      <c r="E3776" t="str">
        <f>_xlfn.XLOOKUP(A3776,'[1]Tissue Data'!$A:$A,'[1]Tissue Data'!$H:$H)</f>
        <v>Erimyzon</v>
      </c>
      <c r="F3776" t="str">
        <f>_xlfn.XLOOKUP(A3776,'[1]Tissue Data'!$A:$A,'[1]Tissue Data'!$I:$I)</f>
        <v>oblongus</v>
      </c>
      <c r="G3776" t="str">
        <f>_xlfn.XLOOKUP(A3776,'[1]Tissue Data'!$A:$A,'[1]Tissue Data'!J:J)</f>
        <v>U</v>
      </c>
      <c r="H3776" t="str">
        <f>_xlfn.XLOOKUP(A3776,'[1]Tissue Data'!$A:$A,'[1]Tissue Data'!K:K)</f>
        <v>Whole Body</v>
      </c>
      <c r="I3776">
        <f>_xlfn.XLOOKUP(A3776,'[1]Tissue Data'!$A:$A,'[1]Tissue Data'!L:L)</f>
        <v>9.5</v>
      </c>
      <c r="J3776">
        <f>_xlfn.XLOOKUP(A3776,'[1]Tissue Data'!$A:$A,'[1]Tissue Data'!M:M)</f>
        <v>7.65</v>
      </c>
      <c r="K3776" t="s">
        <v>36</v>
      </c>
      <c r="L3776" t="str">
        <f>_xlfn.XLOOKUP(K3776,[2]analyte_order!$B:$B,[2]analyte_order!$C:$C)</f>
        <v>41997-13-1</v>
      </c>
      <c r="M3776">
        <f>_xlfn.XLOOKUP(L3776,[2]analyte_order!$C:$C,[2]analyte_order!$E:$E)</f>
        <v>52</v>
      </c>
      <c r="N3776">
        <v>278</v>
      </c>
    </row>
    <row r="3777" spans="1:14">
      <c r="A3777" t="s">
        <v>138</v>
      </c>
      <c r="B3777" t="str">
        <f>_xlfn.XLOOKUP(A3777,'[1]Tissue Data'!$A:$A,'[1]Tissue Data'!$C:$C)</f>
        <v>Spill</v>
      </c>
      <c r="C3777" s="2">
        <f>_xlfn.XLOOKUP(A3777,'[1]Tissue Data'!$A:$A,'[1]Tissue Data'!$D:$D)</f>
        <v>44314</v>
      </c>
      <c r="D3777" s="2" t="str">
        <f>_xlfn.XLOOKUP(A3777,'[1]Tissue Data'!$A:$A,'[1]Tissue Data'!$F:$F)</f>
        <v>Creek Chubsucker</v>
      </c>
      <c r="E3777" t="str">
        <f>_xlfn.XLOOKUP(A3777,'[1]Tissue Data'!$A:$A,'[1]Tissue Data'!$H:$H)</f>
        <v>Erimyzon</v>
      </c>
      <c r="F3777" t="str">
        <f>_xlfn.XLOOKUP(A3777,'[1]Tissue Data'!$A:$A,'[1]Tissue Data'!$I:$I)</f>
        <v>oblongus</v>
      </c>
      <c r="G3777" t="str">
        <f>_xlfn.XLOOKUP(A3777,'[1]Tissue Data'!$A:$A,'[1]Tissue Data'!J:J)</f>
        <v>U</v>
      </c>
      <c r="H3777" t="str">
        <f>_xlfn.XLOOKUP(A3777,'[1]Tissue Data'!$A:$A,'[1]Tissue Data'!K:K)</f>
        <v>Whole Body</v>
      </c>
      <c r="I3777">
        <f>_xlfn.XLOOKUP(A3777,'[1]Tissue Data'!$A:$A,'[1]Tissue Data'!L:L)</f>
        <v>9.5</v>
      </c>
      <c r="J3777">
        <f>_xlfn.XLOOKUP(A3777,'[1]Tissue Data'!$A:$A,'[1]Tissue Data'!M:M)</f>
        <v>7.65</v>
      </c>
      <c r="K3777" t="s">
        <v>37</v>
      </c>
      <c r="L3777" t="str">
        <f>_xlfn.XLOOKUP(K3777,[2]analyte_order!$B:$B,[2]analyte_order!$C:$C)</f>
        <v>754-91-6</v>
      </c>
      <c r="M3777">
        <f>_xlfn.XLOOKUP(L3777,[2]analyte_order!$C:$C,[2]analyte_order!$E:$E)</f>
        <v>28</v>
      </c>
      <c r="N3777">
        <v>30.3</v>
      </c>
    </row>
    <row r="3778" spans="1:14">
      <c r="A3778" t="s">
        <v>138</v>
      </c>
      <c r="B3778" t="str">
        <f>_xlfn.XLOOKUP(A3778,'[1]Tissue Data'!$A:$A,'[1]Tissue Data'!$C:$C)</f>
        <v>Spill</v>
      </c>
      <c r="C3778" s="2">
        <f>_xlfn.XLOOKUP(A3778,'[1]Tissue Data'!$A:$A,'[1]Tissue Data'!$D:$D)</f>
        <v>44314</v>
      </c>
      <c r="D3778" s="2" t="str">
        <f>_xlfn.XLOOKUP(A3778,'[1]Tissue Data'!$A:$A,'[1]Tissue Data'!$F:$F)</f>
        <v>Creek Chubsucker</v>
      </c>
      <c r="E3778" t="str">
        <f>_xlfn.XLOOKUP(A3778,'[1]Tissue Data'!$A:$A,'[1]Tissue Data'!$H:$H)</f>
        <v>Erimyzon</v>
      </c>
      <c r="F3778" t="str">
        <f>_xlfn.XLOOKUP(A3778,'[1]Tissue Data'!$A:$A,'[1]Tissue Data'!$I:$I)</f>
        <v>oblongus</v>
      </c>
      <c r="G3778" t="str">
        <f>_xlfn.XLOOKUP(A3778,'[1]Tissue Data'!$A:$A,'[1]Tissue Data'!J:J)</f>
        <v>U</v>
      </c>
      <c r="H3778" t="str">
        <f>_xlfn.XLOOKUP(A3778,'[1]Tissue Data'!$A:$A,'[1]Tissue Data'!K:K)</f>
        <v>Whole Body</v>
      </c>
      <c r="I3778">
        <f>_xlfn.XLOOKUP(A3778,'[1]Tissue Data'!$A:$A,'[1]Tissue Data'!L:L)</f>
        <v>9.5</v>
      </c>
      <c r="J3778">
        <f>_xlfn.XLOOKUP(A3778,'[1]Tissue Data'!$A:$A,'[1]Tissue Data'!M:M)</f>
        <v>7.65</v>
      </c>
      <c r="K3778" t="s">
        <v>38</v>
      </c>
      <c r="L3778" t="str">
        <f>_xlfn.XLOOKUP(K3778,[2]analyte_order!$B:$B,[2]analyte_order!$C:$C)</f>
        <v>31506-32-8</v>
      </c>
      <c r="M3778">
        <f>_xlfn.XLOOKUP(L3778,[2]analyte_order!$C:$C,[2]analyte_order!$E:$E)</f>
        <v>30</v>
      </c>
      <c r="N3778">
        <v>4.725E-2</v>
      </c>
    </row>
    <row r="3779" spans="1:14">
      <c r="A3779" t="s">
        <v>138</v>
      </c>
      <c r="B3779" t="str">
        <f>_xlfn.XLOOKUP(A3779,'[1]Tissue Data'!$A:$A,'[1]Tissue Data'!$C:$C)</f>
        <v>Spill</v>
      </c>
      <c r="C3779" s="2">
        <f>_xlfn.XLOOKUP(A3779,'[1]Tissue Data'!$A:$A,'[1]Tissue Data'!$D:$D)</f>
        <v>44314</v>
      </c>
      <c r="D3779" s="2" t="str">
        <f>_xlfn.XLOOKUP(A3779,'[1]Tissue Data'!$A:$A,'[1]Tissue Data'!$F:$F)</f>
        <v>Creek Chubsucker</v>
      </c>
      <c r="E3779" t="str">
        <f>_xlfn.XLOOKUP(A3779,'[1]Tissue Data'!$A:$A,'[1]Tissue Data'!$H:$H)</f>
        <v>Erimyzon</v>
      </c>
      <c r="F3779" t="str">
        <f>_xlfn.XLOOKUP(A3779,'[1]Tissue Data'!$A:$A,'[1]Tissue Data'!$I:$I)</f>
        <v>oblongus</v>
      </c>
      <c r="G3779" t="str">
        <f>_xlfn.XLOOKUP(A3779,'[1]Tissue Data'!$A:$A,'[1]Tissue Data'!J:J)</f>
        <v>U</v>
      </c>
      <c r="H3779" t="str">
        <f>_xlfn.XLOOKUP(A3779,'[1]Tissue Data'!$A:$A,'[1]Tissue Data'!K:K)</f>
        <v>Whole Body</v>
      </c>
      <c r="I3779">
        <f>_xlfn.XLOOKUP(A3779,'[1]Tissue Data'!$A:$A,'[1]Tissue Data'!L:L)</f>
        <v>9.5</v>
      </c>
      <c r="J3779">
        <f>_xlfn.XLOOKUP(A3779,'[1]Tissue Data'!$A:$A,'[1]Tissue Data'!M:M)</f>
        <v>7.65</v>
      </c>
      <c r="K3779" t="s">
        <v>39</v>
      </c>
      <c r="L3779" t="str">
        <f>_xlfn.XLOOKUP(K3779,[2]analyte_order!$B:$B,[2]analyte_order!$C:$C)</f>
        <v>4151-50-2</v>
      </c>
      <c r="M3779">
        <f>_xlfn.XLOOKUP(L3779,[2]analyte_order!$C:$C,[2]analyte_order!$E:$E)</f>
        <v>31</v>
      </c>
      <c r="N3779">
        <v>7.1499999999999994E-2</v>
      </c>
    </row>
    <row r="3780" spans="1:14">
      <c r="A3780" t="s">
        <v>138</v>
      </c>
      <c r="B3780" t="str">
        <f>_xlfn.XLOOKUP(A3780,'[1]Tissue Data'!$A:$A,'[1]Tissue Data'!$C:$C)</f>
        <v>Spill</v>
      </c>
      <c r="C3780" s="2">
        <f>_xlfn.XLOOKUP(A3780,'[1]Tissue Data'!$A:$A,'[1]Tissue Data'!$D:$D)</f>
        <v>44314</v>
      </c>
      <c r="D3780" s="2" t="str">
        <f>_xlfn.XLOOKUP(A3780,'[1]Tissue Data'!$A:$A,'[1]Tissue Data'!$F:$F)</f>
        <v>Creek Chubsucker</v>
      </c>
      <c r="E3780" t="str">
        <f>_xlfn.XLOOKUP(A3780,'[1]Tissue Data'!$A:$A,'[1]Tissue Data'!$H:$H)</f>
        <v>Erimyzon</v>
      </c>
      <c r="F3780" t="str">
        <f>_xlfn.XLOOKUP(A3780,'[1]Tissue Data'!$A:$A,'[1]Tissue Data'!$I:$I)</f>
        <v>oblongus</v>
      </c>
      <c r="G3780" t="str">
        <f>_xlfn.XLOOKUP(A3780,'[1]Tissue Data'!$A:$A,'[1]Tissue Data'!J:J)</f>
        <v>U</v>
      </c>
      <c r="H3780" t="str">
        <f>_xlfn.XLOOKUP(A3780,'[1]Tissue Data'!$A:$A,'[1]Tissue Data'!K:K)</f>
        <v>Whole Body</v>
      </c>
      <c r="I3780">
        <f>_xlfn.XLOOKUP(A3780,'[1]Tissue Data'!$A:$A,'[1]Tissue Data'!L:L)</f>
        <v>9.5</v>
      </c>
      <c r="J3780">
        <f>_xlfn.XLOOKUP(A3780,'[1]Tissue Data'!$A:$A,'[1]Tissue Data'!M:M)</f>
        <v>7.65</v>
      </c>
      <c r="K3780" t="s">
        <v>40</v>
      </c>
      <c r="L3780" t="str">
        <f>_xlfn.XLOOKUP(K3780,[2]analyte_order!$B:$B,[2]analyte_order!$C:$C)</f>
        <v>2806-24-8</v>
      </c>
      <c r="M3780">
        <f>_xlfn.XLOOKUP(L3780,[2]analyte_order!$C:$C,[2]analyte_order!$E:$E)</f>
        <v>29</v>
      </c>
      <c r="N3780">
        <v>4.8349999999999997E-2</v>
      </c>
    </row>
    <row r="3781" spans="1:14">
      <c r="A3781" t="s">
        <v>138</v>
      </c>
      <c r="B3781" t="str">
        <f>_xlfn.XLOOKUP(A3781,'[1]Tissue Data'!$A:$A,'[1]Tissue Data'!$C:$C)</f>
        <v>Spill</v>
      </c>
      <c r="C3781" s="2">
        <f>_xlfn.XLOOKUP(A3781,'[1]Tissue Data'!$A:$A,'[1]Tissue Data'!$D:$D)</f>
        <v>44314</v>
      </c>
      <c r="D3781" s="2" t="str">
        <f>_xlfn.XLOOKUP(A3781,'[1]Tissue Data'!$A:$A,'[1]Tissue Data'!$F:$F)</f>
        <v>Creek Chubsucker</v>
      </c>
      <c r="E3781" t="str">
        <f>_xlfn.XLOOKUP(A3781,'[1]Tissue Data'!$A:$A,'[1]Tissue Data'!$H:$H)</f>
        <v>Erimyzon</v>
      </c>
      <c r="F3781" t="str">
        <f>_xlfn.XLOOKUP(A3781,'[1]Tissue Data'!$A:$A,'[1]Tissue Data'!$I:$I)</f>
        <v>oblongus</v>
      </c>
      <c r="G3781" t="str">
        <f>_xlfn.XLOOKUP(A3781,'[1]Tissue Data'!$A:$A,'[1]Tissue Data'!J:J)</f>
        <v>U</v>
      </c>
      <c r="H3781" t="str">
        <f>_xlfn.XLOOKUP(A3781,'[1]Tissue Data'!$A:$A,'[1]Tissue Data'!K:K)</f>
        <v>Whole Body</v>
      </c>
      <c r="I3781">
        <f>_xlfn.XLOOKUP(A3781,'[1]Tissue Data'!$A:$A,'[1]Tissue Data'!L:L)</f>
        <v>9.5</v>
      </c>
      <c r="J3781">
        <f>_xlfn.XLOOKUP(A3781,'[1]Tissue Data'!$A:$A,'[1]Tissue Data'!M:M)</f>
        <v>7.65</v>
      </c>
      <c r="K3781" t="s">
        <v>41</v>
      </c>
      <c r="L3781" t="str">
        <f>_xlfn.XLOOKUP(K3781,[2]analyte_order!$B:$B,[2]analyte_order!$C:$C)</f>
        <v>2355-31-9</v>
      </c>
      <c r="M3781">
        <f>_xlfn.XLOOKUP(L3781,[2]analyte_order!$C:$C,[2]analyte_order!$E:$E)</f>
        <v>26</v>
      </c>
      <c r="N3781">
        <v>2.14</v>
      </c>
    </row>
    <row r="3782" spans="1:14">
      <c r="A3782" t="s">
        <v>138</v>
      </c>
      <c r="B3782" t="str">
        <f>_xlfn.XLOOKUP(A3782,'[1]Tissue Data'!$A:$A,'[1]Tissue Data'!$C:$C)</f>
        <v>Spill</v>
      </c>
      <c r="C3782" s="2">
        <f>_xlfn.XLOOKUP(A3782,'[1]Tissue Data'!$A:$A,'[1]Tissue Data'!$D:$D)</f>
        <v>44314</v>
      </c>
      <c r="D3782" s="2" t="str">
        <f>_xlfn.XLOOKUP(A3782,'[1]Tissue Data'!$A:$A,'[1]Tissue Data'!$F:$F)</f>
        <v>Creek Chubsucker</v>
      </c>
      <c r="E3782" t="str">
        <f>_xlfn.XLOOKUP(A3782,'[1]Tissue Data'!$A:$A,'[1]Tissue Data'!$H:$H)</f>
        <v>Erimyzon</v>
      </c>
      <c r="F3782" t="str">
        <f>_xlfn.XLOOKUP(A3782,'[1]Tissue Data'!$A:$A,'[1]Tissue Data'!$I:$I)</f>
        <v>oblongus</v>
      </c>
      <c r="G3782" t="str">
        <f>_xlfn.XLOOKUP(A3782,'[1]Tissue Data'!$A:$A,'[1]Tissue Data'!J:J)</f>
        <v>U</v>
      </c>
      <c r="H3782" t="str">
        <f>_xlfn.XLOOKUP(A3782,'[1]Tissue Data'!$A:$A,'[1]Tissue Data'!K:K)</f>
        <v>Whole Body</v>
      </c>
      <c r="I3782">
        <f>_xlfn.XLOOKUP(A3782,'[1]Tissue Data'!$A:$A,'[1]Tissue Data'!L:L)</f>
        <v>9.5</v>
      </c>
      <c r="J3782">
        <f>_xlfn.XLOOKUP(A3782,'[1]Tissue Data'!$A:$A,'[1]Tissue Data'!M:M)</f>
        <v>7.65</v>
      </c>
      <c r="K3782" t="s">
        <v>42</v>
      </c>
      <c r="L3782" t="str">
        <f>_xlfn.XLOOKUP(K3782,[2]analyte_order!$B:$B,[2]analyte_order!$C:$C)</f>
        <v>2991-50-6</v>
      </c>
      <c r="M3782">
        <f>_xlfn.XLOOKUP(L3782,[2]analyte_order!$C:$C,[2]analyte_order!$E:$E)</f>
        <v>27</v>
      </c>
      <c r="N3782">
        <v>5.2999999999999999E-2</v>
      </c>
    </row>
    <row r="3783" spans="1:14">
      <c r="A3783" t="s">
        <v>138</v>
      </c>
      <c r="B3783" t="str">
        <f>_xlfn.XLOOKUP(A3783,'[1]Tissue Data'!$A:$A,'[1]Tissue Data'!$C:$C)</f>
        <v>Spill</v>
      </c>
      <c r="C3783" s="2">
        <f>_xlfn.XLOOKUP(A3783,'[1]Tissue Data'!$A:$A,'[1]Tissue Data'!$D:$D)</f>
        <v>44314</v>
      </c>
      <c r="D3783" s="2" t="str">
        <f>_xlfn.XLOOKUP(A3783,'[1]Tissue Data'!$A:$A,'[1]Tissue Data'!$F:$F)</f>
        <v>Creek Chubsucker</v>
      </c>
      <c r="E3783" t="str">
        <f>_xlfn.XLOOKUP(A3783,'[1]Tissue Data'!$A:$A,'[1]Tissue Data'!$H:$H)</f>
        <v>Erimyzon</v>
      </c>
      <c r="F3783" t="str">
        <f>_xlfn.XLOOKUP(A3783,'[1]Tissue Data'!$A:$A,'[1]Tissue Data'!$I:$I)</f>
        <v>oblongus</v>
      </c>
      <c r="G3783" t="str">
        <f>_xlfn.XLOOKUP(A3783,'[1]Tissue Data'!$A:$A,'[1]Tissue Data'!J:J)</f>
        <v>U</v>
      </c>
      <c r="H3783" t="str">
        <f>_xlfn.XLOOKUP(A3783,'[1]Tissue Data'!$A:$A,'[1]Tissue Data'!K:K)</f>
        <v>Whole Body</v>
      </c>
      <c r="I3783">
        <f>_xlfn.XLOOKUP(A3783,'[1]Tissue Data'!$A:$A,'[1]Tissue Data'!L:L)</f>
        <v>9.5</v>
      </c>
      <c r="J3783">
        <f>_xlfn.XLOOKUP(A3783,'[1]Tissue Data'!$A:$A,'[1]Tissue Data'!M:M)</f>
        <v>7.65</v>
      </c>
      <c r="K3783" t="s">
        <v>43</v>
      </c>
      <c r="L3783" t="str">
        <f>_xlfn.XLOOKUP(K3783,[2]analyte_order!$B:$B,[2]analyte_order!$C:$C)</f>
        <v>757124-72-4</v>
      </c>
      <c r="M3783">
        <f>_xlfn.XLOOKUP(L3783,[2]analyte_order!$C:$C,[2]analyte_order!$E:$E)</f>
        <v>22</v>
      </c>
      <c r="N3783">
        <v>5.0500000000000003E-2</v>
      </c>
    </row>
    <row r="3784" spans="1:14">
      <c r="A3784" t="s">
        <v>138</v>
      </c>
      <c r="B3784" t="str">
        <f>_xlfn.XLOOKUP(A3784,'[1]Tissue Data'!$A:$A,'[1]Tissue Data'!$C:$C)</f>
        <v>Spill</v>
      </c>
      <c r="C3784" s="2">
        <f>_xlfn.XLOOKUP(A3784,'[1]Tissue Data'!$A:$A,'[1]Tissue Data'!$D:$D)</f>
        <v>44314</v>
      </c>
      <c r="D3784" s="2" t="str">
        <f>_xlfn.XLOOKUP(A3784,'[1]Tissue Data'!$A:$A,'[1]Tissue Data'!$F:$F)</f>
        <v>Creek Chubsucker</v>
      </c>
      <c r="E3784" t="str">
        <f>_xlfn.XLOOKUP(A3784,'[1]Tissue Data'!$A:$A,'[1]Tissue Data'!$H:$H)</f>
        <v>Erimyzon</v>
      </c>
      <c r="F3784" t="str">
        <f>_xlfn.XLOOKUP(A3784,'[1]Tissue Data'!$A:$A,'[1]Tissue Data'!$I:$I)</f>
        <v>oblongus</v>
      </c>
      <c r="G3784" t="str">
        <f>_xlfn.XLOOKUP(A3784,'[1]Tissue Data'!$A:$A,'[1]Tissue Data'!J:J)</f>
        <v>U</v>
      </c>
      <c r="H3784" t="str">
        <f>_xlfn.XLOOKUP(A3784,'[1]Tissue Data'!$A:$A,'[1]Tissue Data'!K:K)</f>
        <v>Whole Body</v>
      </c>
      <c r="I3784">
        <f>_xlfn.XLOOKUP(A3784,'[1]Tissue Data'!$A:$A,'[1]Tissue Data'!L:L)</f>
        <v>9.5</v>
      </c>
      <c r="J3784">
        <f>_xlfn.XLOOKUP(A3784,'[1]Tissue Data'!$A:$A,'[1]Tissue Data'!M:M)</f>
        <v>7.65</v>
      </c>
      <c r="K3784" t="s">
        <v>44</v>
      </c>
      <c r="L3784" t="str">
        <f>_xlfn.XLOOKUP(K3784,[2]analyte_order!$B:$B,[2]analyte_order!$C:$C)</f>
        <v>27619-97-2</v>
      </c>
      <c r="M3784">
        <f>_xlfn.XLOOKUP(L3784,[2]analyte_order!$C:$C,[2]analyte_order!$E:$E)</f>
        <v>23</v>
      </c>
      <c r="N3784">
        <v>0.122</v>
      </c>
    </row>
    <row r="3785" spans="1:14">
      <c r="A3785" t="s">
        <v>138</v>
      </c>
      <c r="B3785" t="str">
        <f>_xlfn.XLOOKUP(A3785,'[1]Tissue Data'!$A:$A,'[1]Tissue Data'!$C:$C)</f>
        <v>Spill</v>
      </c>
      <c r="C3785" s="2">
        <f>_xlfn.XLOOKUP(A3785,'[1]Tissue Data'!$A:$A,'[1]Tissue Data'!$D:$D)</f>
        <v>44314</v>
      </c>
      <c r="D3785" s="2" t="str">
        <f>_xlfn.XLOOKUP(A3785,'[1]Tissue Data'!$A:$A,'[1]Tissue Data'!$F:$F)</f>
        <v>Creek Chubsucker</v>
      </c>
      <c r="E3785" t="str">
        <f>_xlfn.XLOOKUP(A3785,'[1]Tissue Data'!$A:$A,'[1]Tissue Data'!$H:$H)</f>
        <v>Erimyzon</v>
      </c>
      <c r="F3785" t="str">
        <f>_xlfn.XLOOKUP(A3785,'[1]Tissue Data'!$A:$A,'[1]Tissue Data'!$I:$I)</f>
        <v>oblongus</v>
      </c>
      <c r="G3785" t="str">
        <f>_xlfn.XLOOKUP(A3785,'[1]Tissue Data'!$A:$A,'[1]Tissue Data'!J:J)</f>
        <v>U</v>
      </c>
      <c r="H3785" t="str">
        <f>_xlfn.XLOOKUP(A3785,'[1]Tissue Data'!$A:$A,'[1]Tissue Data'!K:K)</f>
        <v>Whole Body</v>
      </c>
      <c r="I3785">
        <f>_xlfn.XLOOKUP(A3785,'[1]Tissue Data'!$A:$A,'[1]Tissue Data'!L:L)</f>
        <v>9.5</v>
      </c>
      <c r="J3785">
        <f>_xlfn.XLOOKUP(A3785,'[1]Tissue Data'!$A:$A,'[1]Tissue Data'!M:M)</f>
        <v>7.65</v>
      </c>
      <c r="K3785" t="s">
        <v>45</v>
      </c>
      <c r="L3785" t="str">
        <f>_xlfn.XLOOKUP(K3785,[2]analyte_order!$B:$B,[2]analyte_order!$C:$C)</f>
        <v>39108-34-4</v>
      </c>
      <c r="M3785">
        <f>_xlfn.XLOOKUP(L3785,[2]analyte_order!$C:$C,[2]analyte_order!$E:$E)</f>
        <v>24</v>
      </c>
      <c r="N3785">
        <v>5.42</v>
      </c>
    </row>
    <row r="3786" spans="1:14">
      <c r="A3786" t="s">
        <v>138</v>
      </c>
      <c r="B3786" t="str">
        <f>_xlfn.XLOOKUP(A3786,'[1]Tissue Data'!$A:$A,'[1]Tissue Data'!$C:$C)</f>
        <v>Spill</v>
      </c>
      <c r="C3786" s="2">
        <f>_xlfn.XLOOKUP(A3786,'[1]Tissue Data'!$A:$A,'[1]Tissue Data'!$D:$D)</f>
        <v>44314</v>
      </c>
      <c r="D3786" s="2" t="str">
        <f>_xlfn.XLOOKUP(A3786,'[1]Tissue Data'!$A:$A,'[1]Tissue Data'!$F:$F)</f>
        <v>Creek Chubsucker</v>
      </c>
      <c r="E3786" t="str">
        <f>_xlfn.XLOOKUP(A3786,'[1]Tissue Data'!$A:$A,'[1]Tissue Data'!$H:$H)</f>
        <v>Erimyzon</v>
      </c>
      <c r="F3786" t="str">
        <f>_xlfn.XLOOKUP(A3786,'[1]Tissue Data'!$A:$A,'[1]Tissue Data'!$I:$I)</f>
        <v>oblongus</v>
      </c>
      <c r="G3786" t="str">
        <f>_xlfn.XLOOKUP(A3786,'[1]Tissue Data'!$A:$A,'[1]Tissue Data'!J:J)</f>
        <v>U</v>
      </c>
      <c r="H3786" t="str">
        <f>_xlfn.XLOOKUP(A3786,'[1]Tissue Data'!$A:$A,'[1]Tissue Data'!K:K)</f>
        <v>Whole Body</v>
      </c>
      <c r="I3786">
        <f>_xlfn.XLOOKUP(A3786,'[1]Tissue Data'!$A:$A,'[1]Tissue Data'!L:L)</f>
        <v>9.5</v>
      </c>
      <c r="J3786">
        <f>_xlfn.XLOOKUP(A3786,'[1]Tissue Data'!$A:$A,'[1]Tissue Data'!M:M)</f>
        <v>7.65</v>
      </c>
      <c r="K3786" t="s">
        <v>46</v>
      </c>
      <c r="L3786" t="str">
        <f>_xlfn.XLOOKUP(K3786,[2]analyte_order!$B:$B,[2]analyte_order!$C:$C)</f>
        <v>120226-60-0</v>
      </c>
      <c r="M3786">
        <f>_xlfn.XLOOKUP(L3786,[2]analyte_order!$C:$C,[2]analyte_order!$E:$E)</f>
        <v>25</v>
      </c>
      <c r="N3786">
        <v>0.95699999999999996</v>
      </c>
    </row>
    <row r="3787" spans="1:14">
      <c r="A3787" t="s">
        <v>138</v>
      </c>
      <c r="B3787" t="str">
        <f>_xlfn.XLOOKUP(A3787,'[1]Tissue Data'!$A:$A,'[1]Tissue Data'!$C:$C)</f>
        <v>Spill</v>
      </c>
      <c r="C3787" s="2">
        <f>_xlfn.XLOOKUP(A3787,'[1]Tissue Data'!$A:$A,'[1]Tissue Data'!$D:$D)</f>
        <v>44314</v>
      </c>
      <c r="D3787" s="2" t="str">
        <f>_xlfn.XLOOKUP(A3787,'[1]Tissue Data'!$A:$A,'[1]Tissue Data'!$F:$F)</f>
        <v>Creek Chubsucker</v>
      </c>
      <c r="E3787" t="str">
        <f>_xlfn.XLOOKUP(A3787,'[1]Tissue Data'!$A:$A,'[1]Tissue Data'!$H:$H)</f>
        <v>Erimyzon</v>
      </c>
      <c r="F3787" t="str">
        <f>_xlfn.XLOOKUP(A3787,'[1]Tissue Data'!$A:$A,'[1]Tissue Data'!$I:$I)</f>
        <v>oblongus</v>
      </c>
      <c r="G3787" t="str">
        <f>_xlfn.XLOOKUP(A3787,'[1]Tissue Data'!$A:$A,'[1]Tissue Data'!J:J)</f>
        <v>U</v>
      </c>
      <c r="H3787" t="str">
        <f>_xlfn.XLOOKUP(A3787,'[1]Tissue Data'!$A:$A,'[1]Tissue Data'!K:K)</f>
        <v>Whole Body</v>
      </c>
      <c r="I3787">
        <f>_xlfn.XLOOKUP(A3787,'[1]Tissue Data'!$A:$A,'[1]Tissue Data'!L:L)</f>
        <v>9.5</v>
      </c>
      <c r="J3787">
        <f>_xlfn.XLOOKUP(A3787,'[1]Tissue Data'!$A:$A,'[1]Tissue Data'!M:M)</f>
        <v>7.65</v>
      </c>
      <c r="K3787" t="s">
        <v>47</v>
      </c>
      <c r="L3787" t="str">
        <f>_xlfn.XLOOKUP(K3787,[2]analyte_order!$B:$B,[2]analyte_order!$C:$C)</f>
        <v>356-02-5</v>
      </c>
      <c r="M3787">
        <f>_xlfn.XLOOKUP(L3787,[2]analyte_order!$C:$C,[2]analyte_order!$E:$E)</f>
        <v>38</v>
      </c>
      <c r="N3787">
        <v>7.0999999999999994E-2</v>
      </c>
    </row>
    <row r="3788" spans="1:14">
      <c r="A3788" t="s">
        <v>138</v>
      </c>
      <c r="B3788" t="str">
        <f>_xlfn.XLOOKUP(A3788,'[1]Tissue Data'!$A:$A,'[1]Tissue Data'!$C:$C)</f>
        <v>Spill</v>
      </c>
      <c r="C3788" s="2">
        <f>_xlfn.XLOOKUP(A3788,'[1]Tissue Data'!$A:$A,'[1]Tissue Data'!$D:$D)</f>
        <v>44314</v>
      </c>
      <c r="D3788" s="2" t="str">
        <f>_xlfn.XLOOKUP(A3788,'[1]Tissue Data'!$A:$A,'[1]Tissue Data'!$F:$F)</f>
        <v>Creek Chubsucker</v>
      </c>
      <c r="E3788" t="str">
        <f>_xlfn.XLOOKUP(A3788,'[1]Tissue Data'!$A:$A,'[1]Tissue Data'!$H:$H)</f>
        <v>Erimyzon</v>
      </c>
      <c r="F3788" t="str">
        <f>_xlfn.XLOOKUP(A3788,'[1]Tissue Data'!$A:$A,'[1]Tissue Data'!$I:$I)</f>
        <v>oblongus</v>
      </c>
      <c r="G3788" t="str">
        <f>_xlfn.XLOOKUP(A3788,'[1]Tissue Data'!$A:$A,'[1]Tissue Data'!J:J)</f>
        <v>U</v>
      </c>
      <c r="H3788" t="str">
        <f>_xlfn.XLOOKUP(A3788,'[1]Tissue Data'!$A:$A,'[1]Tissue Data'!K:K)</f>
        <v>Whole Body</v>
      </c>
      <c r="I3788">
        <f>_xlfn.XLOOKUP(A3788,'[1]Tissue Data'!$A:$A,'[1]Tissue Data'!L:L)</f>
        <v>9.5</v>
      </c>
      <c r="J3788">
        <f>_xlfn.XLOOKUP(A3788,'[1]Tissue Data'!$A:$A,'[1]Tissue Data'!M:M)</f>
        <v>7.65</v>
      </c>
      <c r="K3788" t="s">
        <v>48</v>
      </c>
      <c r="L3788" t="str">
        <f>_xlfn.XLOOKUP(K3788,[2]analyte_order!$B:$B,[2]analyte_order!$C:$C)</f>
        <v>914637-49-3</v>
      </c>
      <c r="M3788">
        <f>_xlfn.XLOOKUP(L3788,[2]analyte_order!$C:$C,[2]analyte_order!$E:$E)</f>
        <v>39</v>
      </c>
      <c r="N3788">
        <v>6.1499999999999999E-2</v>
      </c>
    </row>
    <row r="3789" spans="1:14">
      <c r="A3789" t="s">
        <v>138</v>
      </c>
      <c r="B3789" t="str">
        <f>_xlfn.XLOOKUP(A3789,'[1]Tissue Data'!$A:$A,'[1]Tissue Data'!$C:$C)</f>
        <v>Spill</v>
      </c>
      <c r="C3789" s="2">
        <f>_xlfn.XLOOKUP(A3789,'[1]Tissue Data'!$A:$A,'[1]Tissue Data'!$D:$D)</f>
        <v>44314</v>
      </c>
      <c r="D3789" s="2" t="str">
        <f>_xlfn.XLOOKUP(A3789,'[1]Tissue Data'!$A:$A,'[1]Tissue Data'!$F:$F)</f>
        <v>Creek Chubsucker</v>
      </c>
      <c r="E3789" t="str">
        <f>_xlfn.XLOOKUP(A3789,'[1]Tissue Data'!$A:$A,'[1]Tissue Data'!$H:$H)</f>
        <v>Erimyzon</v>
      </c>
      <c r="F3789" t="str">
        <f>_xlfn.XLOOKUP(A3789,'[1]Tissue Data'!$A:$A,'[1]Tissue Data'!$I:$I)</f>
        <v>oblongus</v>
      </c>
      <c r="G3789" t="str">
        <f>_xlfn.XLOOKUP(A3789,'[1]Tissue Data'!$A:$A,'[1]Tissue Data'!J:J)</f>
        <v>U</v>
      </c>
      <c r="H3789" t="str">
        <f>_xlfn.XLOOKUP(A3789,'[1]Tissue Data'!$A:$A,'[1]Tissue Data'!K:K)</f>
        <v>Whole Body</v>
      </c>
      <c r="I3789">
        <f>_xlfn.XLOOKUP(A3789,'[1]Tissue Data'!$A:$A,'[1]Tissue Data'!L:L)</f>
        <v>9.5</v>
      </c>
      <c r="J3789">
        <f>_xlfn.XLOOKUP(A3789,'[1]Tissue Data'!$A:$A,'[1]Tissue Data'!M:M)</f>
        <v>7.65</v>
      </c>
      <c r="K3789" t="s">
        <v>49</v>
      </c>
      <c r="L3789" t="str">
        <f>_xlfn.XLOOKUP(K3789,[2]analyte_order!$B:$B,[2]analyte_order!$C:$C)</f>
        <v>812-70-4</v>
      </c>
      <c r="M3789">
        <f>_xlfn.XLOOKUP(L3789,[2]analyte_order!$C:$C,[2]analyte_order!$E:$E)</f>
        <v>40</v>
      </c>
      <c r="N3789">
        <v>5.0199999999999996</v>
      </c>
    </row>
    <row r="3790" spans="1:14">
      <c r="A3790" t="s">
        <v>138</v>
      </c>
      <c r="B3790" t="str">
        <f>_xlfn.XLOOKUP(A3790,'[1]Tissue Data'!$A:$A,'[1]Tissue Data'!$C:$C)</f>
        <v>Spill</v>
      </c>
      <c r="C3790" s="2">
        <f>_xlfn.XLOOKUP(A3790,'[1]Tissue Data'!$A:$A,'[1]Tissue Data'!$D:$D)</f>
        <v>44314</v>
      </c>
      <c r="D3790" s="2" t="str">
        <f>_xlfn.XLOOKUP(A3790,'[1]Tissue Data'!$A:$A,'[1]Tissue Data'!$F:$F)</f>
        <v>Creek Chubsucker</v>
      </c>
      <c r="E3790" t="str">
        <f>_xlfn.XLOOKUP(A3790,'[1]Tissue Data'!$A:$A,'[1]Tissue Data'!$H:$H)</f>
        <v>Erimyzon</v>
      </c>
      <c r="F3790" t="str">
        <f>_xlfn.XLOOKUP(A3790,'[1]Tissue Data'!$A:$A,'[1]Tissue Data'!$I:$I)</f>
        <v>oblongus</v>
      </c>
      <c r="G3790" t="str">
        <f>_xlfn.XLOOKUP(A3790,'[1]Tissue Data'!$A:$A,'[1]Tissue Data'!J:J)</f>
        <v>U</v>
      </c>
      <c r="H3790" t="str">
        <f>_xlfn.XLOOKUP(A3790,'[1]Tissue Data'!$A:$A,'[1]Tissue Data'!K:K)</f>
        <v>Whole Body</v>
      </c>
      <c r="I3790">
        <f>_xlfn.XLOOKUP(A3790,'[1]Tissue Data'!$A:$A,'[1]Tissue Data'!L:L)</f>
        <v>9.5</v>
      </c>
      <c r="J3790">
        <f>_xlfn.XLOOKUP(A3790,'[1]Tissue Data'!$A:$A,'[1]Tissue Data'!M:M)</f>
        <v>7.65</v>
      </c>
      <c r="K3790" t="s">
        <v>50</v>
      </c>
      <c r="L3790" t="str">
        <f>_xlfn.XLOOKUP(K3790,[2]analyte_order!$B:$B,[2]analyte_order!$C:$C)</f>
        <v>53826-12-3</v>
      </c>
      <c r="M3790">
        <f>_xlfn.XLOOKUP(L3790,[2]analyte_order!$C:$C,[2]analyte_order!$E:$E)</f>
        <v>41</v>
      </c>
      <c r="N3790">
        <v>6.1499999999999999E-2</v>
      </c>
    </row>
    <row r="3791" spans="1:14">
      <c r="A3791" t="s">
        <v>138</v>
      </c>
      <c r="B3791" t="str">
        <f>_xlfn.XLOOKUP(A3791,'[1]Tissue Data'!$A:$A,'[1]Tissue Data'!$C:$C)</f>
        <v>Spill</v>
      </c>
      <c r="C3791" s="2">
        <f>_xlfn.XLOOKUP(A3791,'[1]Tissue Data'!$A:$A,'[1]Tissue Data'!$D:$D)</f>
        <v>44314</v>
      </c>
      <c r="D3791" s="2" t="str">
        <f>_xlfn.XLOOKUP(A3791,'[1]Tissue Data'!$A:$A,'[1]Tissue Data'!$F:$F)</f>
        <v>Creek Chubsucker</v>
      </c>
      <c r="E3791" t="str">
        <f>_xlfn.XLOOKUP(A3791,'[1]Tissue Data'!$A:$A,'[1]Tissue Data'!$H:$H)</f>
        <v>Erimyzon</v>
      </c>
      <c r="F3791" t="str">
        <f>_xlfn.XLOOKUP(A3791,'[1]Tissue Data'!$A:$A,'[1]Tissue Data'!$I:$I)</f>
        <v>oblongus</v>
      </c>
      <c r="G3791" t="str">
        <f>_xlfn.XLOOKUP(A3791,'[1]Tissue Data'!$A:$A,'[1]Tissue Data'!J:J)</f>
        <v>U</v>
      </c>
      <c r="H3791" t="str">
        <f>_xlfn.XLOOKUP(A3791,'[1]Tissue Data'!$A:$A,'[1]Tissue Data'!K:K)</f>
        <v>Whole Body</v>
      </c>
      <c r="I3791">
        <f>_xlfn.XLOOKUP(A3791,'[1]Tissue Data'!$A:$A,'[1]Tissue Data'!L:L)</f>
        <v>9.5</v>
      </c>
      <c r="J3791">
        <f>_xlfn.XLOOKUP(A3791,'[1]Tissue Data'!$A:$A,'[1]Tissue Data'!M:M)</f>
        <v>7.65</v>
      </c>
      <c r="K3791" t="s">
        <v>51</v>
      </c>
      <c r="L3791" t="str">
        <f>_xlfn.XLOOKUP(K3791,[2]analyte_order!$B:$B,[2]analyte_order!$C:$C)</f>
        <v>27854-31-5</v>
      </c>
      <c r="M3791">
        <f>_xlfn.XLOOKUP(L3791,[2]analyte_order!$C:$C,[2]analyte_order!$E:$E)</f>
        <v>42</v>
      </c>
      <c r="N3791">
        <v>1.38</v>
      </c>
    </row>
    <row r="3792" spans="1:14">
      <c r="A3792" t="s">
        <v>138</v>
      </c>
      <c r="B3792" t="str">
        <f>_xlfn.XLOOKUP(A3792,'[1]Tissue Data'!$A:$A,'[1]Tissue Data'!$C:$C)</f>
        <v>Spill</v>
      </c>
      <c r="C3792" s="2">
        <f>_xlfn.XLOOKUP(A3792,'[1]Tissue Data'!$A:$A,'[1]Tissue Data'!$D:$D)</f>
        <v>44314</v>
      </c>
      <c r="D3792" s="2" t="str">
        <f>_xlfn.XLOOKUP(A3792,'[1]Tissue Data'!$A:$A,'[1]Tissue Data'!$F:$F)</f>
        <v>Creek Chubsucker</v>
      </c>
      <c r="E3792" t="str">
        <f>_xlfn.XLOOKUP(A3792,'[1]Tissue Data'!$A:$A,'[1]Tissue Data'!$H:$H)</f>
        <v>Erimyzon</v>
      </c>
      <c r="F3792" t="str">
        <f>_xlfn.XLOOKUP(A3792,'[1]Tissue Data'!$A:$A,'[1]Tissue Data'!$I:$I)</f>
        <v>oblongus</v>
      </c>
      <c r="G3792" t="str">
        <f>_xlfn.XLOOKUP(A3792,'[1]Tissue Data'!$A:$A,'[1]Tissue Data'!J:J)</f>
        <v>U</v>
      </c>
      <c r="H3792" t="str">
        <f>_xlfn.XLOOKUP(A3792,'[1]Tissue Data'!$A:$A,'[1]Tissue Data'!K:K)</f>
        <v>Whole Body</v>
      </c>
      <c r="I3792">
        <f>_xlfn.XLOOKUP(A3792,'[1]Tissue Data'!$A:$A,'[1]Tissue Data'!L:L)</f>
        <v>9.5</v>
      </c>
      <c r="J3792">
        <f>_xlfn.XLOOKUP(A3792,'[1]Tissue Data'!$A:$A,'[1]Tissue Data'!M:M)</f>
        <v>7.65</v>
      </c>
      <c r="K3792" t="s">
        <v>52</v>
      </c>
      <c r="L3792" t="str">
        <f>_xlfn.XLOOKUP(K3792,[2]analyte_order!$B:$B,[2]analyte_order!$C:$C)</f>
        <v>53826-13-4</v>
      </c>
      <c r="M3792">
        <f>_xlfn.XLOOKUP(L3792,[2]analyte_order!$C:$C,[2]analyte_order!$E:$E)</f>
        <v>43</v>
      </c>
      <c r="N3792">
        <v>9.1499999999999998E-2</v>
      </c>
    </row>
    <row r="3793" spans="1:14">
      <c r="A3793" t="s">
        <v>138</v>
      </c>
      <c r="B3793" t="str">
        <f>_xlfn.XLOOKUP(A3793,'[1]Tissue Data'!$A:$A,'[1]Tissue Data'!$C:$C)</f>
        <v>Spill</v>
      </c>
      <c r="C3793" s="2">
        <f>_xlfn.XLOOKUP(A3793,'[1]Tissue Data'!$A:$A,'[1]Tissue Data'!$D:$D)</f>
        <v>44314</v>
      </c>
      <c r="D3793" s="2" t="str">
        <f>_xlfn.XLOOKUP(A3793,'[1]Tissue Data'!$A:$A,'[1]Tissue Data'!$F:$F)</f>
        <v>Creek Chubsucker</v>
      </c>
      <c r="E3793" t="str">
        <f>_xlfn.XLOOKUP(A3793,'[1]Tissue Data'!$A:$A,'[1]Tissue Data'!$H:$H)</f>
        <v>Erimyzon</v>
      </c>
      <c r="F3793" t="str">
        <f>_xlfn.XLOOKUP(A3793,'[1]Tissue Data'!$A:$A,'[1]Tissue Data'!$I:$I)</f>
        <v>oblongus</v>
      </c>
      <c r="G3793" t="str">
        <f>_xlfn.XLOOKUP(A3793,'[1]Tissue Data'!$A:$A,'[1]Tissue Data'!J:J)</f>
        <v>U</v>
      </c>
      <c r="H3793" t="str">
        <f>_xlfn.XLOOKUP(A3793,'[1]Tissue Data'!$A:$A,'[1]Tissue Data'!K:K)</f>
        <v>Whole Body</v>
      </c>
      <c r="I3793">
        <f>_xlfn.XLOOKUP(A3793,'[1]Tissue Data'!$A:$A,'[1]Tissue Data'!L:L)</f>
        <v>9.5</v>
      </c>
      <c r="J3793">
        <f>_xlfn.XLOOKUP(A3793,'[1]Tissue Data'!$A:$A,'[1]Tissue Data'!M:M)</f>
        <v>7.65</v>
      </c>
      <c r="K3793" t="s">
        <v>53</v>
      </c>
      <c r="L3793" t="str">
        <f>_xlfn.XLOOKUP(K3793,[2]analyte_order!$B:$B,[2]analyte_order!$C:$C)</f>
        <v>161094-75-3</v>
      </c>
      <c r="M3793">
        <f>_xlfn.XLOOKUP(L3793,[2]analyte_order!$C:$C,[2]analyte_order!$E:$E)</f>
        <v>44</v>
      </c>
      <c r="N3793">
        <v>4.82E-2</v>
      </c>
    </row>
    <row r="3794" spans="1:14">
      <c r="A3794" t="s">
        <v>138</v>
      </c>
      <c r="B3794" t="str">
        <f>_xlfn.XLOOKUP(A3794,'[1]Tissue Data'!$A:$A,'[1]Tissue Data'!$C:$C)</f>
        <v>Spill</v>
      </c>
      <c r="C3794" s="2">
        <f>_xlfn.XLOOKUP(A3794,'[1]Tissue Data'!$A:$A,'[1]Tissue Data'!$D:$D)</f>
        <v>44314</v>
      </c>
      <c r="D3794" s="2" t="str">
        <f>_xlfn.XLOOKUP(A3794,'[1]Tissue Data'!$A:$A,'[1]Tissue Data'!$F:$F)</f>
        <v>Creek Chubsucker</v>
      </c>
      <c r="E3794" t="str">
        <f>_xlfn.XLOOKUP(A3794,'[1]Tissue Data'!$A:$A,'[1]Tissue Data'!$H:$H)</f>
        <v>Erimyzon</v>
      </c>
      <c r="F3794" t="str">
        <f>_xlfn.XLOOKUP(A3794,'[1]Tissue Data'!$A:$A,'[1]Tissue Data'!$I:$I)</f>
        <v>oblongus</v>
      </c>
      <c r="G3794" t="str">
        <f>_xlfn.XLOOKUP(A3794,'[1]Tissue Data'!$A:$A,'[1]Tissue Data'!J:J)</f>
        <v>U</v>
      </c>
      <c r="H3794" t="str">
        <f>_xlfn.XLOOKUP(A3794,'[1]Tissue Data'!$A:$A,'[1]Tissue Data'!K:K)</f>
        <v>Whole Body</v>
      </c>
      <c r="I3794">
        <f>_xlfn.XLOOKUP(A3794,'[1]Tissue Data'!$A:$A,'[1]Tissue Data'!L:L)</f>
        <v>9.5</v>
      </c>
      <c r="J3794">
        <f>_xlfn.XLOOKUP(A3794,'[1]Tissue Data'!$A:$A,'[1]Tissue Data'!M:M)</f>
        <v>7.65</v>
      </c>
      <c r="K3794" t="s">
        <v>54</v>
      </c>
      <c r="L3794" t="str">
        <f>_xlfn.XLOOKUP(K3794,[2]analyte_order!$B:$B,[2]analyte_order!$C:$C)</f>
        <v>70887-84-2</v>
      </c>
      <c r="M3794">
        <f>_xlfn.XLOOKUP(L3794,[2]analyte_order!$C:$C,[2]analyte_order!$E:$E)</f>
        <v>45</v>
      </c>
      <c r="N3794">
        <v>3.7100000000000001E-2</v>
      </c>
    </row>
    <row r="3795" spans="1:14">
      <c r="A3795" t="s">
        <v>138</v>
      </c>
      <c r="B3795" t="str">
        <f>_xlfn.XLOOKUP(A3795,'[1]Tissue Data'!$A:$A,'[1]Tissue Data'!$C:$C)</f>
        <v>Spill</v>
      </c>
      <c r="C3795" s="2">
        <f>_xlfn.XLOOKUP(A3795,'[1]Tissue Data'!$A:$A,'[1]Tissue Data'!$D:$D)</f>
        <v>44314</v>
      </c>
      <c r="D3795" s="2" t="str">
        <f>_xlfn.XLOOKUP(A3795,'[1]Tissue Data'!$A:$A,'[1]Tissue Data'!$F:$F)</f>
        <v>Creek Chubsucker</v>
      </c>
      <c r="E3795" t="str">
        <f>_xlfn.XLOOKUP(A3795,'[1]Tissue Data'!$A:$A,'[1]Tissue Data'!$H:$H)</f>
        <v>Erimyzon</v>
      </c>
      <c r="F3795" t="str">
        <f>_xlfn.XLOOKUP(A3795,'[1]Tissue Data'!$A:$A,'[1]Tissue Data'!$I:$I)</f>
        <v>oblongus</v>
      </c>
      <c r="G3795" t="str">
        <f>_xlfn.XLOOKUP(A3795,'[1]Tissue Data'!$A:$A,'[1]Tissue Data'!J:J)</f>
        <v>U</v>
      </c>
      <c r="H3795" t="str">
        <f>_xlfn.XLOOKUP(A3795,'[1]Tissue Data'!$A:$A,'[1]Tissue Data'!K:K)</f>
        <v>Whole Body</v>
      </c>
      <c r="I3795">
        <f>_xlfn.XLOOKUP(A3795,'[1]Tissue Data'!$A:$A,'[1]Tissue Data'!L:L)</f>
        <v>9.5</v>
      </c>
      <c r="J3795">
        <f>_xlfn.XLOOKUP(A3795,'[1]Tissue Data'!$A:$A,'[1]Tissue Data'!M:M)</f>
        <v>7.65</v>
      </c>
      <c r="K3795" t="s">
        <v>55</v>
      </c>
      <c r="L3795" t="str">
        <f>_xlfn.XLOOKUP(K3795,[2]analyte_order!$B:$B,[2]analyte_order!$C:$C)</f>
        <v>919005-14-4</v>
      </c>
      <c r="M3795">
        <f>_xlfn.XLOOKUP(L3795,[2]analyte_order!$C:$C,[2]analyte_order!$E:$E)</f>
        <v>35</v>
      </c>
      <c r="N3795">
        <v>6.1499999999999999E-2</v>
      </c>
    </row>
    <row r="3796" spans="1:14">
      <c r="A3796" t="s">
        <v>138</v>
      </c>
      <c r="B3796" t="str">
        <f>_xlfn.XLOOKUP(A3796,'[1]Tissue Data'!$A:$A,'[1]Tissue Data'!$C:$C)</f>
        <v>Spill</v>
      </c>
      <c r="C3796" s="2">
        <f>_xlfn.XLOOKUP(A3796,'[1]Tissue Data'!$A:$A,'[1]Tissue Data'!$D:$D)</f>
        <v>44314</v>
      </c>
      <c r="D3796" s="2" t="str">
        <f>_xlfn.XLOOKUP(A3796,'[1]Tissue Data'!$A:$A,'[1]Tissue Data'!$F:$F)</f>
        <v>Creek Chubsucker</v>
      </c>
      <c r="E3796" t="str">
        <f>_xlfn.XLOOKUP(A3796,'[1]Tissue Data'!$A:$A,'[1]Tissue Data'!$H:$H)</f>
        <v>Erimyzon</v>
      </c>
      <c r="F3796" t="str">
        <f>_xlfn.XLOOKUP(A3796,'[1]Tissue Data'!$A:$A,'[1]Tissue Data'!$I:$I)</f>
        <v>oblongus</v>
      </c>
      <c r="G3796" t="str">
        <f>_xlfn.XLOOKUP(A3796,'[1]Tissue Data'!$A:$A,'[1]Tissue Data'!J:J)</f>
        <v>U</v>
      </c>
      <c r="H3796" t="str">
        <f>_xlfn.XLOOKUP(A3796,'[1]Tissue Data'!$A:$A,'[1]Tissue Data'!K:K)</f>
        <v>Whole Body</v>
      </c>
      <c r="I3796">
        <f>_xlfn.XLOOKUP(A3796,'[1]Tissue Data'!$A:$A,'[1]Tissue Data'!L:L)</f>
        <v>9.5</v>
      </c>
      <c r="J3796">
        <f>_xlfn.XLOOKUP(A3796,'[1]Tissue Data'!$A:$A,'[1]Tissue Data'!M:M)</f>
        <v>7.65</v>
      </c>
      <c r="K3796" t="s">
        <v>56</v>
      </c>
      <c r="L3796" t="str">
        <f>_xlfn.XLOOKUP(K3796,[2]analyte_order!$B:$B,[2]analyte_order!$C:$C)</f>
        <v>756426-58-1</v>
      </c>
      <c r="M3796">
        <f>_xlfn.XLOOKUP(L3796,[2]analyte_order!$C:$C,[2]analyte_order!$E:$E)</f>
        <v>36</v>
      </c>
      <c r="N3796">
        <v>6.1499999999999999E-2</v>
      </c>
    </row>
    <row r="3797" spans="1:14">
      <c r="A3797" t="s">
        <v>138</v>
      </c>
      <c r="B3797" t="str">
        <f>_xlfn.XLOOKUP(A3797,'[1]Tissue Data'!$A:$A,'[1]Tissue Data'!$C:$C)</f>
        <v>Spill</v>
      </c>
      <c r="C3797" s="2">
        <f>_xlfn.XLOOKUP(A3797,'[1]Tissue Data'!$A:$A,'[1]Tissue Data'!$D:$D)</f>
        <v>44314</v>
      </c>
      <c r="D3797" s="2" t="str">
        <f>_xlfn.XLOOKUP(A3797,'[1]Tissue Data'!$A:$A,'[1]Tissue Data'!$F:$F)</f>
        <v>Creek Chubsucker</v>
      </c>
      <c r="E3797" t="str">
        <f>_xlfn.XLOOKUP(A3797,'[1]Tissue Data'!$A:$A,'[1]Tissue Data'!$H:$H)</f>
        <v>Erimyzon</v>
      </c>
      <c r="F3797" t="str">
        <f>_xlfn.XLOOKUP(A3797,'[1]Tissue Data'!$A:$A,'[1]Tissue Data'!$I:$I)</f>
        <v>oblongus</v>
      </c>
      <c r="G3797" t="str">
        <f>_xlfn.XLOOKUP(A3797,'[1]Tissue Data'!$A:$A,'[1]Tissue Data'!J:J)</f>
        <v>U</v>
      </c>
      <c r="H3797" t="str">
        <f>_xlfn.XLOOKUP(A3797,'[1]Tissue Data'!$A:$A,'[1]Tissue Data'!K:K)</f>
        <v>Whole Body</v>
      </c>
      <c r="I3797">
        <f>_xlfn.XLOOKUP(A3797,'[1]Tissue Data'!$A:$A,'[1]Tissue Data'!L:L)</f>
        <v>9.5</v>
      </c>
      <c r="J3797">
        <f>_xlfn.XLOOKUP(A3797,'[1]Tissue Data'!$A:$A,'[1]Tissue Data'!M:M)</f>
        <v>7.65</v>
      </c>
      <c r="K3797" t="s">
        <v>57</v>
      </c>
      <c r="L3797" t="str">
        <f>_xlfn.XLOOKUP(K3797,[2]analyte_order!$B:$B,[2]analyte_order!$C:$C)</f>
        <v>763051-92-9</v>
      </c>
      <c r="M3797">
        <f>_xlfn.XLOOKUP(L3797,[2]analyte_order!$C:$C,[2]analyte_order!$E:$E)</f>
        <v>37</v>
      </c>
      <c r="N3797">
        <v>6.1499999999999999E-2</v>
      </c>
    </row>
    <row r="3798" spans="1:14">
      <c r="A3798" t="s">
        <v>138</v>
      </c>
      <c r="B3798" t="str">
        <f>_xlfn.XLOOKUP(A3798,'[1]Tissue Data'!$A:$A,'[1]Tissue Data'!$C:$C)</f>
        <v>Spill</v>
      </c>
      <c r="C3798" s="2">
        <f>_xlfn.XLOOKUP(A3798,'[1]Tissue Data'!$A:$A,'[1]Tissue Data'!$D:$D)</f>
        <v>44314</v>
      </c>
      <c r="D3798" s="2" t="str">
        <f>_xlfn.XLOOKUP(A3798,'[1]Tissue Data'!$A:$A,'[1]Tissue Data'!$F:$F)</f>
        <v>Creek Chubsucker</v>
      </c>
      <c r="E3798" t="str">
        <f>_xlfn.XLOOKUP(A3798,'[1]Tissue Data'!$A:$A,'[1]Tissue Data'!$H:$H)</f>
        <v>Erimyzon</v>
      </c>
      <c r="F3798" t="str">
        <f>_xlfn.XLOOKUP(A3798,'[1]Tissue Data'!$A:$A,'[1]Tissue Data'!$I:$I)</f>
        <v>oblongus</v>
      </c>
      <c r="G3798" t="str">
        <f>_xlfn.XLOOKUP(A3798,'[1]Tissue Data'!$A:$A,'[1]Tissue Data'!J:J)</f>
        <v>U</v>
      </c>
      <c r="H3798" t="str">
        <f>_xlfn.XLOOKUP(A3798,'[1]Tissue Data'!$A:$A,'[1]Tissue Data'!K:K)</f>
        <v>Whole Body</v>
      </c>
      <c r="I3798">
        <f>_xlfn.XLOOKUP(A3798,'[1]Tissue Data'!$A:$A,'[1]Tissue Data'!L:L)</f>
        <v>9.5</v>
      </c>
      <c r="J3798">
        <f>_xlfn.XLOOKUP(A3798,'[1]Tissue Data'!$A:$A,'[1]Tissue Data'!M:M)</f>
        <v>7.65</v>
      </c>
      <c r="K3798" t="s">
        <v>58</v>
      </c>
      <c r="L3798" t="str">
        <f>_xlfn.XLOOKUP(K3798,[2]analyte_order!$B:$B,[2]analyte_order!$C:$C)</f>
        <v>13252-13-6</v>
      </c>
      <c r="M3798">
        <f>_xlfn.XLOOKUP(L3798,[2]analyte_order!$C:$C,[2]analyte_order!$E:$E)</f>
        <v>34</v>
      </c>
      <c r="N3798">
        <v>8.7999999999999995E-2</v>
      </c>
    </row>
    <row r="3799" spans="1:14">
      <c r="A3799" t="s">
        <v>138</v>
      </c>
      <c r="B3799" t="str">
        <f>_xlfn.XLOOKUP(A3799,'[1]Tissue Data'!$A:$A,'[1]Tissue Data'!$C:$C)</f>
        <v>Spill</v>
      </c>
      <c r="C3799" s="2">
        <f>_xlfn.XLOOKUP(A3799,'[1]Tissue Data'!$A:$A,'[1]Tissue Data'!$D:$D)</f>
        <v>44314</v>
      </c>
      <c r="D3799" s="2" t="str">
        <f>_xlfn.XLOOKUP(A3799,'[1]Tissue Data'!$A:$A,'[1]Tissue Data'!$F:$F)</f>
        <v>Creek Chubsucker</v>
      </c>
      <c r="E3799" t="str">
        <f>_xlfn.XLOOKUP(A3799,'[1]Tissue Data'!$A:$A,'[1]Tissue Data'!$H:$H)</f>
        <v>Erimyzon</v>
      </c>
      <c r="F3799" t="str">
        <f>_xlfn.XLOOKUP(A3799,'[1]Tissue Data'!$A:$A,'[1]Tissue Data'!$I:$I)</f>
        <v>oblongus</v>
      </c>
      <c r="G3799" t="str">
        <f>_xlfn.XLOOKUP(A3799,'[1]Tissue Data'!$A:$A,'[1]Tissue Data'!J:J)</f>
        <v>U</v>
      </c>
      <c r="H3799" t="str">
        <f>_xlfn.XLOOKUP(A3799,'[1]Tissue Data'!$A:$A,'[1]Tissue Data'!K:K)</f>
        <v>Whole Body</v>
      </c>
      <c r="I3799">
        <f>_xlfn.XLOOKUP(A3799,'[1]Tissue Data'!$A:$A,'[1]Tissue Data'!L:L)</f>
        <v>9.5</v>
      </c>
      <c r="J3799">
        <f>_xlfn.XLOOKUP(A3799,'[1]Tissue Data'!$A:$A,'[1]Tissue Data'!M:M)</f>
        <v>7.65</v>
      </c>
      <c r="K3799" t="s">
        <v>59</v>
      </c>
      <c r="L3799" t="str">
        <f>_xlfn.XLOOKUP(K3799,[2]analyte_order!$B:$B,[2]analyte_order!$C:$C)</f>
        <v>57677-95-9</v>
      </c>
      <c r="M3799">
        <f>_xlfn.XLOOKUP(L3799,[2]analyte_order!$C:$C,[2]analyte_order!$E:$E)</f>
        <v>46</v>
      </c>
      <c r="N3799">
        <v>6.5500000000000003E-2</v>
      </c>
    </row>
    <row r="3800" spans="1:14">
      <c r="A3800" t="s">
        <v>138</v>
      </c>
      <c r="B3800" t="str">
        <f>_xlfn.XLOOKUP(A3800,'[1]Tissue Data'!$A:$A,'[1]Tissue Data'!$C:$C)</f>
        <v>Spill</v>
      </c>
      <c r="C3800" s="2">
        <f>_xlfn.XLOOKUP(A3800,'[1]Tissue Data'!$A:$A,'[1]Tissue Data'!$D:$D)</f>
        <v>44314</v>
      </c>
      <c r="D3800" s="2" t="str">
        <f>_xlfn.XLOOKUP(A3800,'[1]Tissue Data'!$A:$A,'[1]Tissue Data'!$F:$F)</f>
        <v>Creek Chubsucker</v>
      </c>
      <c r="E3800" t="str">
        <f>_xlfn.XLOOKUP(A3800,'[1]Tissue Data'!$A:$A,'[1]Tissue Data'!$H:$H)</f>
        <v>Erimyzon</v>
      </c>
      <c r="F3800" t="str">
        <f>_xlfn.XLOOKUP(A3800,'[1]Tissue Data'!$A:$A,'[1]Tissue Data'!$I:$I)</f>
        <v>oblongus</v>
      </c>
      <c r="G3800" t="str">
        <f>_xlfn.XLOOKUP(A3800,'[1]Tissue Data'!$A:$A,'[1]Tissue Data'!J:J)</f>
        <v>U</v>
      </c>
      <c r="H3800" t="str">
        <f>_xlfn.XLOOKUP(A3800,'[1]Tissue Data'!$A:$A,'[1]Tissue Data'!K:K)</f>
        <v>Whole Body</v>
      </c>
      <c r="I3800">
        <f>_xlfn.XLOOKUP(A3800,'[1]Tissue Data'!$A:$A,'[1]Tissue Data'!L:L)</f>
        <v>9.5</v>
      </c>
      <c r="J3800">
        <f>_xlfn.XLOOKUP(A3800,'[1]Tissue Data'!$A:$A,'[1]Tissue Data'!M:M)</f>
        <v>7.65</v>
      </c>
      <c r="K3800" t="s">
        <v>60</v>
      </c>
      <c r="L3800" t="str">
        <f>_xlfn.XLOOKUP(K3800,[2]analyte_order!$B:$B,[2]analyte_order!$C:$C)</f>
        <v>678-41-1</v>
      </c>
      <c r="M3800">
        <f>_xlfn.XLOOKUP(L3800,[2]analyte_order!$C:$C,[2]analyte_order!$E:$E)</f>
        <v>56</v>
      </c>
      <c r="N3800">
        <v>8.1500000000000003E-2</v>
      </c>
    </row>
    <row r="3801" spans="1:14">
      <c r="A3801" t="s">
        <v>138</v>
      </c>
      <c r="B3801" t="str">
        <f>_xlfn.XLOOKUP(A3801,'[1]Tissue Data'!$A:$A,'[1]Tissue Data'!$C:$C)</f>
        <v>Spill</v>
      </c>
      <c r="C3801" s="2">
        <f>_xlfn.XLOOKUP(A3801,'[1]Tissue Data'!$A:$A,'[1]Tissue Data'!$D:$D)</f>
        <v>44314</v>
      </c>
      <c r="D3801" s="2" t="str">
        <f>_xlfn.XLOOKUP(A3801,'[1]Tissue Data'!$A:$A,'[1]Tissue Data'!$F:$F)</f>
        <v>Creek Chubsucker</v>
      </c>
      <c r="E3801" t="str">
        <f>_xlfn.XLOOKUP(A3801,'[1]Tissue Data'!$A:$A,'[1]Tissue Data'!$H:$H)</f>
        <v>Erimyzon</v>
      </c>
      <c r="F3801" t="str">
        <f>_xlfn.XLOOKUP(A3801,'[1]Tissue Data'!$A:$A,'[1]Tissue Data'!$I:$I)</f>
        <v>oblongus</v>
      </c>
      <c r="G3801" t="str">
        <f>_xlfn.XLOOKUP(A3801,'[1]Tissue Data'!$A:$A,'[1]Tissue Data'!J:J)</f>
        <v>U</v>
      </c>
      <c r="H3801" t="str">
        <f>_xlfn.XLOOKUP(A3801,'[1]Tissue Data'!$A:$A,'[1]Tissue Data'!K:K)</f>
        <v>Whole Body</v>
      </c>
      <c r="I3801">
        <f>_xlfn.XLOOKUP(A3801,'[1]Tissue Data'!$A:$A,'[1]Tissue Data'!L:L)</f>
        <v>9.5</v>
      </c>
      <c r="J3801">
        <f>_xlfn.XLOOKUP(A3801,'[1]Tissue Data'!$A:$A,'[1]Tissue Data'!M:M)</f>
        <v>7.65</v>
      </c>
      <c r="K3801" t="s">
        <v>61</v>
      </c>
      <c r="L3801" t="str">
        <f>_xlfn.XLOOKUP(K3801,[2]analyte_order!$B:$B,[2]analyte_order!$C:$C)</f>
        <v>2965-52-8</v>
      </c>
      <c r="M3801">
        <f>_xlfn.XLOOKUP(L3801,[2]analyte_order!$C:$C,[2]analyte_order!$E:$E)</f>
        <v>57</v>
      </c>
      <c r="N3801">
        <v>0.108</v>
      </c>
    </row>
    <row r="3802" spans="1:14">
      <c r="A3802" t="s">
        <v>161</v>
      </c>
      <c r="B3802" t="str">
        <f>_xlfn.XLOOKUP(A3802,'[1]Tissue Data'!$A:$A,'[1]Tissue Data'!$C:$C)</f>
        <v>Spill</v>
      </c>
      <c r="C3802" s="2">
        <f>_xlfn.XLOOKUP(A3802,'[1]Tissue Data'!$A:$A,'[1]Tissue Data'!$D:$D)</f>
        <v>44314</v>
      </c>
      <c r="D3802" s="2" t="s">
        <v>122</v>
      </c>
      <c r="E3802" t="str">
        <f>_xlfn.XLOOKUP(A3802,'[1]Tissue Data'!$A:$A,'[1]Tissue Data'!$H:$H)</f>
        <v>Etheostoma</v>
      </c>
      <c r="F3802" t="str">
        <f>_xlfn.XLOOKUP(A3802,'[1]Tissue Data'!$A:$A,'[1]Tissue Data'!$I:$I)</f>
        <v>olmstedi</v>
      </c>
      <c r="G3802" t="str">
        <f>_xlfn.XLOOKUP(A3802,'[1]Tissue Data'!$A:$A,'[1]Tissue Data'!J:J)</f>
        <v>U</v>
      </c>
      <c r="H3802" t="str">
        <f>_xlfn.XLOOKUP(A3802,'[1]Tissue Data'!$A:$A,'[1]Tissue Data'!K:K)</f>
        <v>Whole Body</v>
      </c>
      <c r="I3802">
        <f>_xlfn.XLOOKUP(A3802,'[1]Tissue Data'!$A:$A,'[1]Tissue Data'!L:L)</f>
        <v>7</v>
      </c>
      <c r="J3802">
        <f>_xlfn.XLOOKUP(A3802,'[1]Tissue Data'!$A:$A,'[1]Tissue Data'!M:M)</f>
        <v>3.15</v>
      </c>
      <c r="K3802" t="s">
        <v>12</v>
      </c>
      <c r="L3802" t="str">
        <f>_xlfn.XLOOKUP(K3802,[2]analyte_order!$B:$B,[2]analyte_order!$C:$C)</f>
        <v>375-22-4</v>
      </c>
      <c r="M3802">
        <f>_xlfn.XLOOKUP(L3802,[2]analyte_order!$C:$C,[2]analyte_order!$E:$E)</f>
        <v>1</v>
      </c>
      <c r="N3802">
        <v>0.23949999999999999</v>
      </c>
    </row>
    <row r="3803" spans="1:14">
      <c r="A3803" t="s">
        <v>161</v>
      </c>
      <c r="B3803" t="str">
        <f>_xlfn.XLOOKUP(A3803,'[1]Tissue Data'!$A:$A,'[1]Tissue Data'!$C:$C)</f>
        <v>Spill</v>
      </c>
      <c r="C3803" s="2">
        <f>_xlfn.XLOOKUP(A3803,'[1]Tissue Data'!$A:$A,'[1]Tissue Data'!$D:$D)</f>
        <v>44314</v>
      </c>
      <c r="D3803" s="2" t="s">
        <v>122</v>
      </c>
      <c r="E3803" t="str">
        <f>_xlfn.XLOOKUP(A3803,'[1]Tissue Data'!$A:$A,'[1]Tissue Data'!$H:$H)</f>
        <v>Etheostoma</v>
      </c>
      <c r="F3803" t="str">
        <f>_xlfn.XLOOKUP(A3803,'[1]Tissue Data'!$A:$A,'[1]Tissue Data'!$I:$I)</f>
        <v>olmstedi</v>
      </c>
      <c r="G3803" t="str">
        <f>_xlfn.XLOOKUP(A3803,'[1]Tissue Data'!$A:$A,'[1]Tissue Data'!J:J)</f>
        <v>U</v>
      </c>
      <c r="H3803" t="str">
        <f>_xlfn.XLOOKUP(A3803,'[1]Tissue Data'!$A:$A,'[1]Tissue Data'!K:K)</f>
        <v>Whole Body</v>
      </c>
      <c r="I3803">
        <f>_xlfn.XLOOKUP(A3803,'[1]Tissue Data'!$A:$A,'[1]Tissue Data'!L:L)</f>
        <v>7</v>
      </c>
      <c r="J3803">
        <f>_xlfn.XLOOKUP(A3803,'[1]Tissue Data'!$A:$A,'[1]Tissue Data'!M:M)</f>
        <v>3.15</v>
      </c>
      <c r="K3803" t="s">
        <v>13</v>
      </c>
      <c r="L3803" t="str">
        <f>_xlfn.XLOOKUP(K3803,[2]analyte_order!$B:$B,[2]analyte_order!$C:$C)</f>
        <v>2706-90-3</v>
      </c>
      <c r="M3803">
        <f>_xlfn.XLOOKUP(L3803,[2]analyte_order!$C:$C,[2]analyte_order!$E:$E)</f>
        <v>2</v>
      </c>
      <c r="N3803">
        <v>0.16900000000000001</v>
      </c>
    </row>
    <row r="3804" spans="1:14">
      <c r="A3804" t="s">
        <v>161</v>
      </c>
      <c r="B3804" t="str">
        <f>_xlfn.XLOOKUP(A3804,'[1]Tissue Data'!$A:$A,'[1]Tissue Data'!$C:$C)</f>
        <v>Spill</v>
      </c>
      <c r="C3804" s="2">
        <f>_xlfn.XLOOKUP(A3804,'[1]Tissue Data'!$A:$A,'[1]Tissue Data'!$D:$D)</f>
        <v>44314</v>
      </c>
      <c r="D3804" s="2" t="s">
        <v>122</v>
      </c>
      <c r="E3804" t="str">
        <f>_xlfn.XLOOKUP(A3804,'[1]Tissue Data'!$A:$A,'[1]Tissue Data'!$H:$H)</f>
        <v>Etheostoma</v>
      </c>
      <c r="F3804" t="str">
        <f>_xlfn.XLOOKUP(A3804,'[1]Tissue Data'!$A:$A,'[1]Tissue Data'!$I:$I)</f>
        <v>olmstedi</v>
      </c>
      <c r="G3804" t="str">
        <f>_xlfn.XLOOKUP(A3804,'[1]Tissue Data'!$A:$A,'[1]Tissue Data'!J:J)</f>
        <v>U</v>
      </c>
      <c r="H3804" t="str">
        <f>_xlfn.XLOOKUP(A3804,'[1]Tissue Data'!$A:$A,'[1]Tissue Data'!K:K)</f>
        <v>Whole Body</v>
      </c>
      <c r="I3804">
        <f>_xlfn.XLOOKUP(A3804,'[1]Tissue Data'!$A:$A,'[1]Tissue Data'!L:L)</f>
        <v>7</v>
      </c>
      <c r="J3804">
        <f>_xlfn.XLOOKUP(A3804,'[1]Tissue Data'!$A:$A,'[1]Tissue Data'!M:M)</f>
        <v>3.15</v>
      </c>
      <c r="K3804" t="s">
        <v>14</v>
      </c>
      <c r="L3804" t="str">
        <f>_xlfn.XLOOKUP(K3804,[2]analyte_order!$B:$B,[2]analyte_order!$C:$C)</f>
        <v>307-24-4</v>
      </c>
      <c r="M3804">
        <f>_xlfn.XLOOKUP(L3804,[2]analyte_order!$C:$C,[2]analyte_order!$E:$E)</f>
        <v>3</v>
      </c>
      <c r="N3804">
        <v>0.97499999999999998</v>
      </c>
    </row>
    <row r="3805" spans="1:14">
      <c r="A3805" t="s">
        <v>161</v>
      </c>
      <c r="B3805" t="str">
        <f>_xlfn.XLOOKUP(A3805,'[1]Tissue Data'!$A:$A,'[1]Tissue Data'!$C:$C)</f>
        <v>Spill</v>
      </c>
      <c r="C3805" s="2">
        <f>_xlfn.XLOOKUP(A3805,'[1]Tissue Data'!$A:$A,'[1]Tissue Data'!$D:$D)</f>
        <v>44314</v>
      </c>
      <c r="D3805" s="2" t="s">
        <v>122</v>
      </c>
      <c r="E3805" t="str">
        <f>_xlfn.XLOOKUP(A3805,'[1]Tissue Data'!$A:$A,'[1]Tissue Data'!$H:$H)</f>
        <v>Etheostoma</v>
      </c>
      <c r="F3805" t="str">
        <f>_xlfn.XLOOKUP(A3805,'[1]Tissue Data'!$A:$A,'[1]Tissue Data'!$I:$I)</f>
        <v>olmstedi</v>
      </c>
      <c r="G3805" t="str">
        <f>_xlfn.XLOOKUP(A3805,'[1]Tissue Data'!$A:$A,'[1]Tissue Data'!J:J)</f>
        <v>U</v>
      </c>
      <c r="H3805" t="str">
        <f>_xlfn.XLOOKUP(A3805,'[1]Tissue Data'!$A:$A,'[1]Tissue Data'!K:K)</f>
        <v>Whole Body</v>
      </c>
      <c r="I3805">
        <f>_xlfn.XLOOKUP(A3805,'[1]Tissue Data'!$A:$A,'[1]Tissue Data'!L:L)</f>
        <v>7</v>
      </c>
      <c r="J3805">
        <f>_xlfn.XLOOKUP(A3805,'[1]Tissue Data'!$A:$A,'[1]Tissue Data'!M:M)</f>
        <v>3.15</v>
      </c>
      <c r="K3805" t="s">
        <v>15</v>
      </c>
      <c r="L3805" t="str">
        <f>_xlfn.XLOOKUP(K3805,[2]analyte_order!$B:$B,[2]analyte_order!$C:$C)</f>
        <v>375-85-9</v>
      </c>
      <c r="M3805">
        <f>_xlfn.XLOOKUP(L3805,[2]analyte_order!$C:$C,[2]analyte_order!$E:$E)</f>
        <v>4</v>
      </c>
      <c r="N3805">
        <v>0.217</v>
      </c>
    </row>
    <row r="3806" spans="1:14">
      <c r="A3806" t="s">
        <v>161</v>
      </c>
      <c r="B3806" t="str">
        <f>_xlfn.XLOOKUP(A3806,'[1]Tissue Data'!$A:$A,'[1]Tissue Data'!$C:$C)</f>
        <v>Spill</v>
      </c>
      <c r="C3806" s="2">
        <f>_xlfn.XLOOKUP(A3806,'[1]Tissue Data'!$A:$A,'[1]Tissue Data'!$D:$D)</f>
        <v>44314</v>
      </c>
      <c r="D3806" s="2" t="s">
        <v>122</v>
      </c>
      <c r="E3806" t="str">
        <f>_xlfn.XLOOKUP(A3806,'[1]Tissue Data'!$A:$A,'[1]Tissue Data'!$H:$H)</f>
        <v>Etheostoma</v>
      </c>
      <c r="F3806" t="str">
        <f>_xlfn.XLOOKUP(A3806,'[1]Tissue Data'!$A:$A,'[1]Tissue Data'!$I:$I)</f>
        <v>olmstedi</v>
      </c>
      <c r="G3806" t="str">
        <f>_xlfn.XLOOKUP(A3806,'[1]Tissue Data'!$A:$A,'[1]Tissue Data'!J:J)</f>
        <v>U</v>
      </c>
      <c r="H3806" t="str">
        <f>_xlfn.XLOOKUP(A3806,'[1]Tissue Data'!$A:$A,'[1]Tissue Data'!K:K)</f>
        <v>Whole Body</v>
      </c>
      <c r="I3806">
        <f>_xlfn.XLOOKUP(A3806,'[1]Tissue Data'!$A:$A,'[1]Tissue Data'!L:L)</f>
        <v>7</v>
      </c>
      <c r="J3806">
        <f>_xlfn.XLOOKUP(A3806,'[1]Tissue Data'!$A:$A,'[1]Tissue Data'!M:M)</f>
        <v>3.15</v>
      </c>
      <c r="K3806" t="s">
        <v>16</v>
      </c>
      <c r="L3806" t="str">
        <f>_xlfn.XLOOKUP(K3806,[2]analyte_order!$B:$B,[2]analyte_order!$C:$C)</f>
        <v>335-67-1</v>
      </c>
      <c r="M3806">
        <f>_xlfn.XLOOKUP(L3806,[2]analyte_order!$C:$C,[2]analyte_order!$E:$E)</f>
        <v>5</v>
      </c>
      <c r="N3806">
        <v>3.89</v>
      </c>
    </row>
    <row r="3807" spans="1:14">
      <c r="A3807" t="s">
        <v>161</v>
      </c>
      <c r="B3807" t="str">
        <f>_xlfn.XLOOKUP(A3807,'[1]Tissue Data'!$A:$A,'[1]Tissue Data'!$C:$C)</f>
        <v>Spill</v>
      </c>
      <c r="C3807" s="2">
        <f>_xlfn.XLOOKUP(A3807,'[1]Tissue Data'!$A:$A,'[1]Tissue Data'!$D:$D)</f>
        <v>44314</v>
      </c>
      <c r="D3807" s="2" t="s">
        <v>122</v>
      </c>
      <c r="E3807" t="str">
        <f>_xlfn.XLOOKUP(A3807,'[1]Tissue Data'!$A:$A,'[1]Tissue Data'!$H:$H)</f>
        <v>Etheostoma</v>
      </c>
      <c r="F3807" t="str">
        <f>_xlfn.XLOOKUP(A3807,'[1]Tissue Data'!$A:$A,'[1]Tissue Data'!$I:$I)</f>
        <v>olmstedi</v>
      </c>
      <c r="G3807" t="str">
        <f>_xlfn.XLOOKUP(A3807,'[1]Tissue Data'!$A:$A,'[1]Tissue Data'!J:J)</f>
        <v>U</v>
      </c>
      <c r="H3807" t="str">
        <f>_xlfn.XLOOKUP(A3807,'[1]Tissue Data'!$A:$A,'[1]Tissue Data'!K:K)</f>
        <v>Whole Body</v>
      </c>
      <c r="I3807">
        <f>_xlfn.XLOOKUP(A3807,'[1]Tissue Data'!$A:$A,'[1]Tissue Data'!L:L)</f>
        <v>7</v>
      </c>
      <c r="J3807">
        <f>_xlfn.XLOOKUP(A3807,'[1]Tissue Data'!$A:$A,'[1]Tissue Data'!M:M)</f>
        <v>3.15</v>
      </c>
      <c r="K3807" t="s">
        <v>17</v>
      </c>
      <c r="L3807" t="str">
        <f>_xlfn.XLOOKUP(K3807,[2]analyte_order!$B:$B,[2]analyte_order!$C:$C)</f>
        <v>375-95-1</v>
      </c>
      <c r="M3807">
        <f>_xlfn.XLOOKUP(L3807,[2]analyte_order!$C:$C,[2]analyte_order!$E:$E)</f>
        <v>6</v>
      </c>
      <c r="N3807">
        <v>2.61</v>
      </c>
    </row>
    <row r="3808" spans="1:14">
      <c r="A3808" t="s">
        <v>161</v>
      </c>
      <c r="B3808" t="str">
        <f>_xlfn.XLOOKUP(A3808,'[1]Tissue Data'!$A:$A,'[1]Tissue Data'!$C:$C)</f>
        <v>Spill</v>
      </c>
      <c r="C3808" s="2">
        <f>_xlfn.XLOOKUP(A3808,'[1]Tissue Data'!$A:$A,'[1]Tissue Data'!$D:$D)</f>
        <v>44314</v>
      </c>
      <c r="D3808" s="2" t="s">
        <v>122</v>
      </c>
      <c r="E3808" t="str">
        <f>_xlfn.XLOOKUP(A3808,'[1]Tissue Data'!$A:$A,'[1]Tissue Data'!$H:$H)</f>
        <v>Etheostoma</v>
      </c>
      <c r="F3808" t="str">
        <f>_xlfn.XLOOKUP(A3808,'[1]Tissue Data'!$A:$A,'[1]Tissue Data'!$I:$I)</f>
        <v>olmstedi</v>
      </c>
      <c r="G3808" t="str">
        <f>_xlfn.XLOOKUP(A3808,'[1]Tissue Data'!$A:$A,'[1]Tissue Data'!J:J)</f>
        <v>U</v>
      </c>
      <c r="H3808" t="str">
        <f>_xlfn.XLOOKUP(A3808,'[1]Tissue Data'!$A:$A,'[1]Tissue Data'!K:K)</f>
        <v>Whole Body</v>
      </c>
      <c r="I3808">
        <f>_xlfn.XLOOKUP(A3808,'[1]Tissue Data'!$A:$A,'[1]Tissue Data'!L:L)</f>
        <v>7</v>
      </c>
      <c r="J3808">
        <f>_xlfn.XLOOKUP(A3808,'[1]Tissue Data'!$A:$A,'[1]Tissue Data'!M:M)</f>
        <v>3.15</v>
      </c>
      <c r="K3808" t="s">
        <v>18</v>
      </c>
      <c r="L3808" t="str">
        <f>_xlfn.XLOOKUP(K3808,[2]analyte_order!$B:$B,[2]analyte_order!$C:$C)</f>
        <v>335-76-2</v>
      </c>
      <c r="M3808">
        <f>_xlfn.XLOOKUP(L3808,[2]analyte_order!$C:$C,[2]analyte_order!$E:$E)</f>
        <v>7</v>
      </c>
      <c r="N3808">
        <v>3.33</v>
      </c>
    </row>
    <row r="3809" spans="1:14">
      <c r="A3809" t="s">
        <v>161</v>
      </c>
      <c r="B3809" t="str">
        <f>_xlfn.XLOOKUP(A3809,'[1]Tissue Data'!$A:$A,'[1]Tissue Data'!$C:$C)</f>
        <v>Spill</v>
      </c>
      <c r="C3809" s="2">
        <f>_xlfn.XLOOKUP(A3809,'[1]Tissue Data'!$A:$A,'[1]Tissue Data'!$D:$D)</f>
        <v>44314</v>
      </c>
      <c r="D3809" s="2" t="s">
        <v>122</v>
      </c>
      <c r="E3809" t="str">
        <f>_xlfn.XLOOKUP(A3809,'[1]Tissue Data'!$A:$A,'[1]Tissue Data'!$H:$H)</f>
        <v>Etheostoma</v>
      </c>
      <c r="F3809" t="str">
        <f>_xlfn.XLOOKUP(A3809,'[1]Tissue Data'!$A:$A,'[1]Tissue Data'!$I:$I)</f>
        <v>olmstedi</v>
      </c>
      <c r="G3809" t="str">
        <f>_xlfn.XLOOKUP(A3809,'[1]Tissue Data'!$A:$A,'[1]Tissue Data'!J:J)</f>
        <v>U</v>
      </c>
      <c r="H3809" t="str">
        <f>_xlfn.XLOOKUP(A3809,'[1]Tissue Data'!$A:$A,'[1]Tissue Data'!K:K)</f>
        <v>Whole Body</v>
      </c>
      <c r="I3809">
        <f>_xlfn.XLOOKUP(A3809,'[1]Tissue Data'!$A:$A,'[1]Tissue Data'!L:L)</f>
        <v>7</v>
      </c>
      <c r="J3809">
        <f>_xlfn.XLOOKUP(A3809,'[1]Tissue Data'!$A:$A,'[1]Tissue Data'!M:M)</f>
        <v>3.15</v>
      </c>
      <c r="K3809" t="s">
        <v>19</v>
      </c>
      <c r="L3809" t="str">
        <f>_xlfn.XLOOKUP(K3809,[2]analyte_order!$B:$B,[2]analyte_order!$C:$C)</f>
        <v>2058-94-8</v>
      </c>
      <c r="M3809">
        <f>_xlfn.XLOOKUP(L3809,[2]analyte_order!$C:$C,[2]analyte_order!$E:$E)</f>
        <v>8</v>
      </c>
      <c r="N3809">
        <v>2.99</v>
      </c>
    </row>
    <row r="3810" spans="1:14">
      <c r="A3810" t="s">
        <v>161</v>
      </c>
      <c r="B3810" t="str">
        <f>_xlfn.XLOOKUP(A3810,'[1]Tissue Data'!$A:$A,'[1]Tissue Data'!$C:$C)</f>
        <v>Spill</v>
      </c>
      <c r="C3810" s="2">
        <f>_xlfn.XLOOKUP(A3810,'[1]Tissue Data'!$A:$A,'[1]Tissue Data'!$D:$D)</f>
        <v>44314</v>
      </c>
      <c r="D3810" s="2" t="s">
        <v>122</v>
      </c>
      <c r="E3810" t="str">
        <f>_xlfn.XLOOKUP(A3810,'[1]Tissue Data'!$A:$A,'[1]Tissue Data'!$H:$H)</f>
        <v>Etheostoma</v>
      </c>
      <c r="F3810" t="str">
        <f>_xlfn.XLOOKUP(A3810,'[1]Tissue Data'!$A:$A,'[1]Tissue Data'!$I:$I)</f>
        <v>olmstedi</v>
      </c>
      <c r="G3810" t="str">
        <f>_xlfn.XLOOKUP(A3810,'[1]Tissue Data'!$A:$A,'[1]Tissue Data'!J:J)</f>
        <v>U</v>
      </c>
      <c r="H3810" t="str">
        <f>_xlfn.XLOOKUP(A3810,'[1]Tissue Data'!$A:$A,'[1]Tissue Data'!K:K)</f>
        <v>Whole Body</v>
      </c>
      <c r="I3810">
        <f>_xlfn.XLOOKUP(A3810,'[1]Tissue Data'!$A:$A,'[1]Tissue Data'!L:L)</f>
        <v>7</v>
      </c>
      <c r="J3810">
        <f>_xlfn.XLOOKUP(A3810,'[1]Tissue Data'!$A:$A,'[1]Tissue Data'!M:M)</f>
        <v>3.15</v>
      </c>
      <c r="K3810" t="s">
        <v>20</v>
      </c>
      <c r="L3810" t="str">
        <f>_xlfn.XLOOKUP(K3810,[2]analyte_order!$B:$B,[2]analyte_order!$C:$C)</f>
        <v>307-55-1</v>
      </c>
      <c r="M3810">
        <f>_xlfn.XLOOKUP(L3810,[2]analyte_order!$C:$C,[2]analyte_order!$E:$E)</f>
        <v>9</v>
      </c>
      <c r="N3810">
        <v>4.0599999999999996</v>
      </c>
    </row>
    <row r="3811" spans="1:14">
      <c r="A3811" t="s">
        <v>161</v>
      </c>
      <c r="B3811" t="str">
        <f>_xlfn.XLOOKUP(A3811,'[1]Tissue Data'!$A:$A,'[1]Tissue Data'!$C:$C)</f>
        <v>Spill</v>
      </c>
      <c r="C3811" s="2">
        <f>_xlfn.XLOOKUP(A3811,'[1]Tissue Data'!$A:$A,'[1]Tissue Data'!$D:$D)</f>
        <v>44314</v>
      </c>
      <c r="D3811" s="2" t="s">
        <v>122</v>
      </c>
      <c r="E3811" t="str">
        <f>_xlfn.XLOOKUP(A3811,'[1]Tissue Data'!$A:$A,'[1]Tissue Data'!$H:$H)</f>
        <v>Etheostoma</v>
      </c>
      <c r="F3811" t="str">
        <f>_xlfn.XLOOKUP(A3811,'[1]Tissue Data'!$A:$A,'[1]Tissue Data'!$I:$I)</f>
        <v>olmstedi</v>
      </c>
      <c r="G3811" t="str">
        <f>_xlfn.XLOOKUP(A3811,'[1]Tissue Data'!$A:$A,'[1]Tissue Data'!J:J)</f>
        <v>U</v>
      </c>
      <c r="H3811" t="str">
        <f>_xlfn.XLOOKUP(A3811,'[1]Tissue Data'!$A:$A,'[1]Tissue Data'!K:K)</f>
        <v>Whole Body</v>
      </c>
      <c r="I3811">
        <f>_xlfn.XLOOKUP(A3811,'[1]Tissue Data'!$A:$A,'[1]Tissue Data'!L:L)</f>
        <v>7</v>
      </c>
      <c r="J3811">
        <f>_xlfn.XLOOKUP(A3811,'[1]Tissue Data'!$A:$A,'[1]Tissue Data'!M:M)</f>
        <v>3.15</v>
      </c>
      <c r="K3811" t="s">
        <v>21</v>
      </c>
      <c r="L3811" t="str">
        <f>_xlfn.XLOOKUP(K3811,[2]analyte_order!$B:$B,[2]analyte_order!$C:$C)</f>
        <v>72629-94-8</v>
      </c>
      <c r="M3811">
        <f>_xlfn.XLOOKUP(L3811,[2]analyte_order!$C:$C,[2]analyte_order!$E:$E)</f>
        <v>10</v>
      </c>
      <c r="N3811">
        <v>0.98</v>
      </c>
    </row>
    <row r="3812" spans="1:14">
      <c r="A3812" t="s">
        <v>161</v>
      </c>
      <c r="B3812" t="str">
        <f>_xlfn.XLOOKUP(A3812,'[1]Tissue Data'!$A:$A,'[1]Tissue Data'!$C:$C)</f>
        <v>Spill</v>
      </c>
      <c r="C3812" s="2">
        <f>_xlfn.XLOOKUP(A3812,'[1]Tissue Data'!$A:$A,'[1]Tissue Data'!$D:$D)</f>
        <v>44314</v>
      </c>
      <c r="D3812" s="2" t="s">
        <v>122</v>
      </c>
      <c r="E3812" t="str">
        <f>_xlfn.XLOOKUP(A3812,'[1]Tissue Data'!$A:$A,'[1]Tissue Data'!$H:$H)</f>
        <v>Etheostoma</v>
      </c>
      <c r="F3812" t="str">
        <f>_xlfn.XLOOKUP(A3812,'[1]Tissue Data'!$A:$A,'[1]Tissue Data'!$I:$I)</f>
        <v>olmstedi</v>
      </c>
      <c r="G3812" t="str">
        <f>_xlfn.XLOOKUP(A3812,'[1]Tissue Data'!$A:$A,'[1]Tissue Data'!J:J)</f>
        <v>U</v>
      </c>
      <c r="H3812" t="str">
        <f>_xlfn.XLOOKUP(A3812,'[1]Tissue Data'!$A:$A,'[1]Tissue Data'!K:K)</f>
        <v>Whole Body</v>
      </c>
      <c r="I3812">
        <f>_xlfn.XLOOKUP(A3812,'[1]Tissue Data'!$A:$A,'[1]Tissue Data'!L:L)</f>
        <v>7</v>
      </c>
      <c r="J3812">
        <f>_xlfn.XLOOKUP(A3812,'[1]Tissue Data'!$A:$A,'[1]Tissue Data'!M:M)</f>
        <v>3.15</v>
      </c>
      <c r="K3812" t="s">
        <v>22</v>
      </c>
      <c r="L3812" t="str">
        <f>_xlfn.XLOOKUP(K3812,[2]analyte_order!$B:$B,[2]analyte_order!$C:$C)</f>
        <v>376-06-7</v>
      </c>
      <c r="M3812">
        <f>_xlfn.XLOOKUP(L3812,[2]analyte_order!$C:$C,[2]analyte_order!$E:$E)</f>
        <v>11</v>
      </c>
      <c r="N3812">
        <v>2.09</v>
      </c>
    </row>
    <row r="3813" spans="1:14">
      <c r="A3813" t="s">
        <v>161</v>
      </c>
      <c r="B3813" t="str">
        <f>_xlfn.XLOOKUP(A3813,'[1]Tissue Data'!$A:$A,'[1]Tissue Data'!$C:$C)</f>
        <v>Spill</v>
      </c>
      <c r="C3813" s="2">
        <f>_xlfn.XLOOKUP(A3813,'[1]Tissue Data'!$A:$A,'[1]Tissue Data'!$D:$D)</f>
        <v>44314</v>
      </c>
      <c r="D3813" s="2" t="s">
        <v>122</v>
      </c>
      <c r="E3813" t="str">
        <f>_xlfn.XLOOKUP(A3813,'[1]Tissue Data'!$A:$A,'[1]Tissue Data'!$H:$H)</f>
        <v>Etheostoma</v>
      </c>
      <c r="F3813" t="str">
        <f>_xlfn.XLOOKUP(A3813,'[1]Tissue Data'!$A:$A,'[1]Tissue Data'!$I:$I)</f>
        <v>olmstedi</v>
      </c>
      <c r="G3813" t="str">
        <f>_xlfn.XLOOKUP(A3813,'[1]Tissue Data'!$A:$A,'[1]Tissue Data'!J:J)</f>
        <v>U</v>
      </c>
      <c r="H3813" t="str">
        <f>_xlfn.XLOOKUP(A3813,'[1]Tissue Data'!$A:$A,'[1]Tissue Data'!K:K)</f>
        <v>Whole Body</v>
      </c>
      <c r="I3813">
        <f>_xlfn.XLOOKUP(A3813,'[1]Tissue Data'!$A:$A,'[1]Tissue Data'!L:L)</f>
        <v>7</v>
      </c>
      <c r="J3813">
        <f>_xlfn.XLOOKUP(A3813,'[1]Tissue Data'!$A:$A,'[1]Tissue Data'!M:M)</f>
        <v>3.15</v>
      </c>
      <c r="K3813" t="s">
        <v>23</v>
      </c>
      <c r="L3813" t="str">
        <f>_xlfn.XLOOKUP(K3813,[2]analyte_order!$B:$B,[2]analyte_order!$C:$C)</f>
        <v>67905-19-5</v>
      </c>
      <c r="M3813">
        <f>_xlfn.XLOOKUP(L3813,[2]analyte_order!$C:$C,[2]analyte_order!$E:$E)</f>
        <v>12</v>
      </c>
      <c r="N3813">
        <v>8.6499999999999994E-2</v>
      </c>
    </row>
    <row r="3814" spans="1:14">
      <c r="A3814" t="s">
        <v>161</v>
      </c>
      <c r="B3814" t="str">
        <f>_xlfn.XLOOKUP(A3814,'[1]Tissue Data'!$A:$A,'[1]Tissue Data'!$C:$C)</f>
        <v>Spill</v>
      </c>
      <c r="C3814" s="2">
        <f>_xlfn.XLOOKUP(A3814,'[1]Tissue Data'!$A:$A,'[1]Tissue Data'!$D:$D)</f>
        <v>44314</v>
      </c>
      <c r="D3814" s="2" t="s">
        <v>122</v>
      </c>
      <c r="E3814" t="str">
        <f>_xlfn.XLOOKUP(A3814,'[1]Tissue Data'!$A:$A,'[1]Tissue Data'!$H:$H)</f>
        <v>Etheostoma</v>
      </c>
      <c r="F3814" t="str">
        <f>_xlfn.XLOOKUP(A3814,'[1]Tissue Data'!$A:$A,'[1]Tissue Data'!$I:$I)</f>
        <v>olmstedi</v>
      </c>
      <c r="G3814" t="str">
        <f>_xlfn.XLOOKUP(A3814,'[1]Tissue Data'!$A:$A,'[1]Tissue Data'!J:J)</f>
        <v>U</v>
      </c>
      <c r="H3814" t="str">
        <f>_xlfn.XLOOKUP(A3814,'[1]Tissue Data'!$A:$A,'[1]Tissue Data'!K:K)</f>
        <v>Whole Body</v>
      </c>
      <c r="I3814">
        <f>_xlfn.XLOOKUP(A3814,'[1]Tissue Data'!$A:$A,'[1]Tissue Data'!L:L)</f>
        <v>7</v>
      </c>
      <c r="J3814">
        <f>_xlfn.XLOOKUP(A3814,'[1]Tissue Data'!$A:$A,'[1]Tissue Data'!M:M)</f>
        <v>3.15</v>
      </c>
      <c r="K3814" t="s">
        <v>24</v>
      </c>
      <c r="L3814" t="str">
        <f>_xlfn.XLOOKUP(K3814,[2]analyte_order!$B:$B,[2]analyte_order!$C:$C)</f>
        <v>423-41-6</v>
      </c>
      <c r="M3814">
        <f>_xlfn.XLOOKUP(L3814,[2]analyte_order!$C:$C,[2]analyte_order!$E:$E)</f>
        <v>53</v>
      </c>
      <c r="N3814">
        <v>5.5500000000000001E-2</v>
      </c>
    </row>
    <row r="3815" spans="1:14">
      <c r="A3815" t="s">
        <v>161</v>
      </c>
      <c r="B3815" t="str">
        <f>_xlfn.XLOOKUP(A3815,'[1]Tissue Data'!$A:$A,'[1]Tissue Data'!$C:$C)</f>
        <v>Spill</v>
      </c>
      <c r="C3815" s="2">
        <f>_xlfn.XLOOKUP(A3815,'[1]Tissue Data'!$A:$A,'[1]Tissue Data'!$D:$D)</f>
        <v>44314</v>
      </c>
      <c r="D3815" s="2" t="s">
        <v>122</v>
      </c>
      <c r="E3815" t="str">
        <f>_xlfn.XLOOKUP(A3815,'[1]Tissue Data'!$A:$A,'[1]Tissue Data'!$H:$H)</f>
        <v>Etheostoma</v>
      </c>
      <c r="F3815" t="str">
        <f>_xlfn.XLOOKUP(A3815,'[1]Tissue Data'!$A:$A,'[1]Tissue Data'!$I:$I)</f>
        <v>olmstedi</v>
      </c>
      <c r="G3815" t="str">
        <f>_xlfn.XLOOKUP(A3815,'[1]Tissue Data'!$A:$A,'[1]Tissue Data'!J:J)</f>
        <v>U</v>
      </c>
      <c r="H3815" t="str">
        <f>_xlfn.XLOOKUP(A3815,'[1]Tissue Data'!$A:$A,'[1]Tissue Data'!K:K)</f>
        <v>Whole Body</v>
      </c>
      <c r="I3815">
        <f>_xlfn.XLOOKUP(A3815,'[1]Tissue Data'!$A:$A,'[1]Tissue Data'!L:L)</f>
        <v>7</v>
      </c>
      <c r="J3815">
        <f>_xlfn.XLOOKUP(A3815,'[1]Tissue Data'!$A:$A,'[1]Tissue Data'!M:M)</f>
        <v>3.15</v>
      </c>
      <c r="K3815" t="s">
        <v>25</v>
      </c>
      <c r="L3815" t="str">
        <f>_xlfn.XLOOKUP(K3815,[2]analyte_order!$B:$B,[2]analyte_order!$C:$C)</f>
        <v>375-73-5</v>
      </c>
      <c r="M3815">
        <f>_xlfn.XLOOKUP(L3815,[2]analyte_order!$C:$C,[2]analyte_order!$E:$E)</f>
        <v>14</v>
      </c>
      <c r="N3815">
        <v>0.16300000000000001</v>
      </c>
    </row>
    <row r="3816" spans="1:14">
      <c r="A3816" t="s">
        <v>161</v>
      </c>
      <c r="B3816" t="str">
        <f>_xlfn.XLOOKUP(A3816,'[1]Tissue Data'!$A:$A,'[1]Tissue Data'!$C:$C)</f>
        <v>Spill</v>
      </c>
      <c r="C3816" s="2">
        <f>_xlfn.XLOOKUP(A3816,'[1]Tissue Data'!$A:$A,'[1]Tissue Data'!$D:$D)</f>
        <v>44314</v>
      </c>
      <c r="D3816" s="2" t="s">
        <v>122</v>
      </c>
      <c r="E3816" t="str">
        <f>_xlfn.XLOOKUP(A3816,'[1]Tissue Data'!$A:$A,'[1]Tissue Data'!$H:$H)</f>
        <v>Etheostoma</v>
      </c>
      <c r="F3816" t="str">
        <f>_xlfn.XLOOKUP(A3816,'[1]Tissue Data'!$A:$A,'[1]Tissue Data'!$I:$I)</f>
        <v>olmstedi</v>
      </c>
      <c r="G3816" t="str">
        <f>_xlfn.XLOOKUP(A3816,'[1]Tissue Data'!$A:$A,'[1]Tissue Data'!J:J)</f>
        <v>U</v>
      </c>
      <c r="H3816" t="str">
        <f>_xlfn.XLOOKUP(A3816,'[1]Tissue Data'!$A:$A,'[1]Tissue Data'!K:K)</f>
        <v>Whole Body</v>
      </c>
      <c r="I3816">
        <f>_xlfn.XLOOKUP(A3816,'[1]Tissue Data'!$A:$A,'[1]Tissue Data'!L:L)</f>
        <v>7</v>
      </c>
      <c r="J3816">
        <f>_xlfn.XLOOKUP(A3816,'[1]Tissue Data'!$A:$A,'[1]Tissue Data'!M:M)</f>
        <v>3.15</v>
      </c>
      <c r="K3816" t="s">
        <v>26</v>
      </c>
      <c r="L3816" t="str">
        <f>_xlfn.XLOOKUP(K3816,[2]analyte_order!$B:$B,[2]analyte_order!$C:$C)</f>
        <v>2706-91-4</v>
      </c>
      <c r="M3816">
        <f>_xlfn.XLOOKUP(L3816,[2]analyte_order!$C:$C,[2]analyte_order!$E:$E)</f>
        <v>15</v>
      </c>
      <c r="N3816">
        <v>0.90800000000000003</v>
      </c>
    </row>
    <row r="3817" spans="1:14">
      <c r="A3817" t="s">
        <v>161</v>
      </c>
      <c r="B3817" t="str">
        <f>_xlfn.XLOOKUP(A3817,'[1]Tissue Data'!$A:$A,'[1]Tissue Data'!$C:$C)</f>
        <v>Spill</v>
      </c>
      <c r="C3817" s="2">
        <f>_xlfn.XLOOKUP(A3817,'[1]Tissue Data'!$A:$A,'[1]Tissue Data'!$D:$D)</f>
        <v>44314</v>
      </c>
      <c r="D3817" s="2" t="s">
        <v>122</v>
      </c>
      <c r="E3817" t="str">
        <f>_xlfn.XLOOKUP(A3817,'[1]Tissue Data'!$A:$A,'[1]Tissue Data'!$H:$H)</f>
        <v>Etheostoma</v>
      </c>
      <c r="F3817" t="str">
        <f>_xlfn.XLOOKUP(A3817,'[1]Tissue Data'!$A:$A,'[1]Tissue Data'!$I:$I)</f>
        <v>olmstedi</v>
      </c>
      <c r="G3817" t="str">
        <f>_xlfn.XLOOKUP(A3817,'[1]Tissue Data'!$A:$A,'[1]Tissue Data'!J:J)</f>
        <v>U</v>
      </c>
      <c r="H3817" t="str">
        <f>_xlfn.XLOOKUP(A3817,'[1]Tissue Data'!$A:$A,'[1]Tissue Data'!K:K)</f>
        <v>Whole Body</v>
      </c>
      <c r="I3817">
        <f>_xlfn.XLOOKUP(A3817,'[1]Tissue Data'!$A:$A,'[1]Tissue Data'!L:L)</f>
        <v>7</v>
      </c>
      <c r="J3817">
        <f>_xlfn.XLOOKUP(A3817,'[1]Tissue Data'!$A:$A,'[1]Tissue Data'!M:M)</f>
        <v>3.15</v>
      </c>
      <c r="K3817" t="s">
        <v>27</v>
      </c>
      <c r="L3817" t="str">
        <f>_xlfn.XLOOKUP(K3817,[2]analyte_order!$B:$B,[2]analyte_order!$C:$C)</f>
        <v>355-46-4</v>
      </c>
      <c r="M3817">
        <f>_xlfn.XLOOKUP(L3817,[2]analyte_order!$C:$C,[2]analyte_order!$E:$E)</f>
        <v>16</v>
      </c>
      <c r="N3817">
        <v>49.7</v>
      </c>
    </row>
    <row r="3818" spans="1:14">
      <c r="A3818" t="s">
        <v>161</v>
      </c>
      <c r="B3818" t="str">
        <f>_xlfn.XLOOKUP(A3818,'[1]Tissue Data'!$A:$A,'[1]Tissue Data'!$C:$C)</f>
        <v>Spill</v>
      </c>
      <c r="C3818" s="2">
        <f>_xlfn.XLOOKUP(A3818,'[1]Tissue Data'!$A:$A,'[1]Tissue Data'!$D:$D)</f>
        <v>44314</v>
      </c>
      <c r="D3818" s="2" t="s">
        <v>122</v>
      </c>
      <c r="E3818" t="str">
        <f>_xlfn.XLOOKUP(A3818,'[1]Tissue Data'!$A:$A,'[1]Tissue Data'!$H:$H)</f>
        <v>Etheostoma</v>
      </c>
      <c r="F3818" t="str">
        <f>_xlfn.XLOOKUP(A3818,'[1]Tissue Data'!$A:$A,'[1]Tissue Data'!$I:$I)</f>
        <v>olmstedi</v>
      </c>
      <c r="G3818" t="str">
        <f>_xlfn.XLOOKUP(A3818,'[1]Tissue Data'!$A:$A,'[1]Tissue Data'!J:J)</f>
        <v>U</v>
      </c>
      <c r="H3818" t="str">
        <f>_xlfn.XLOOKUP(A3818,'[1]Tissue Data'!$A:$A,'[1]Tissue Data'!K:K)</f>
        <v>Whole Body</v>
      </c>
      <c r="I3818">
        <f>_xlfn.XLOOKUP(A3818,'[1]Tissue Data'!$A:$A,'[1]Tissue Data'!L:L)</f>
        <v>7</v>
      </c>
      <c r="J3818">
        <f>_xlfn.XLOOKUP(A3818,'[1]Tissue Data'!$A:$A,'[1]Tissue Data'!M:M)</f>
        <v>3.15</v>
      </c>
      <c r="K3818" t="s">
        <v>28</v>
      </c>
      <c r="L3818" t="str">
        <f>_xlfn.XLOOKUP(K3818,[2]analyte_order!$B:$B,[2]analyte_order!$C:$C)</f>
        <v>375-92-8</v>
      </c>
      <c r="M3818">
        <f>_xlfn.XLOOKUP(L3818,[2]analyte_order!$C:$C,[2]analyte_order!$E:$E)</f>
        <v>17</v>
      </c>
      <c r="N3818">
        <v>3.73</v>
      </c>
    </row>
    <row r="3819" spans="1:14">
      <c r="A3819" t="s">
        <v>161</v>
      </c>
      <c r="B3819" t="str">
        <f>_xlfn.XLOOKUP(A3819,'[1]Tissue Data'!$A:$A,'[1]Tissue Data'!$C:$C)</f>
        <v>Spill</v>
      </c>
      <c r="C3819" s="2">
        <f>_xlfn.XLOOKUP(A3819,'[1]Tissue Data'!$A:$A,'[1]Tissue Data'!$D:$D)</f>
        <v>44314</v>
      </c>
      <c r="D3819" s="2" t="s">
        <v>122</v>
      </c>
      <c r="E3819" t="str">
        <f>_xlfn.XLOOKUP(A3819,'[1]Tissue Data'!$A:$A,'[1]Tissue Data'!$H:$H)</f>
        <v>Etheostoma</v>
      </c>
      <c r="F3819" t="str">
        <f>_xlfn.XLOOKUP(A3819,'[1]Tissue Data'!$A:$A,'[1]Tissue Data'!$I:$I)</f>
        <v>olmstedi</v>
      </c>
      <c r="G3819" t="str">
        <f>_xlfn.XLOOKUP(A3819,'[1]Tissue Data'!$A:$A,'[1]Tissue Data'!J:J)</f>
        <v>U</v>
      </c>
      <c r="H3819" t="str">
        <f>_xlfn.XLOOKUP(A3819,'[1]Tissue Data'!$A:$A,'[1]Tissue Data'!K:K)</f>
        <v>Whole Body</v>
      </c>
      <c r="I3819">
        <f>_xlfn.XLOOKUP(A3819,'[1]Tissue Data'!$A:$A,'[1]Tissue Data'!L:L)</f>
        <v>7</v>
      </c>
      <c r="J3819">
        <f>_xlfn.XLOOKUP(A3819,'[1]Tissue Data'!$A:$A,'[1]Tissue Data'!M:M)</f>
        <v>3.15</v>
      </c>
      <c r="K3819" t="s">
        <v>29</v>
      </c>
      <c r="L3819" t="str">
        <f>_xlfn.XLOOKUP(K3819,[2]analyte_order!$B:$B,[2]analyte_order!$C:$C)</f>
        <v>1763-23-1</v>
      </c>
      <c r="M3819">
        <f>_xlfn.XLOOKUP(L3819,[2]analyte_order!$C:$C,[2]analyte_order!$E:$E)</f>
        <v>18</v>
      </c>
      <c r="N3819">
        <v>653</v>
      </c>
    </row>
    <row r="3820" spans="1:14">
      <c r="A3820" t="s">
        <v>161</v>
      </c>
      <c r="B3820" t="str">
        <f>_xlfn.XLOOKUP(A3820,'[1]Tissue Data'!$A:$A,'[1]Tissue Data'!$C:$C)</f>
        <v>Spill</v>
      </c>
      <c r="C3820" s="2">
        <f>_xlfn.XLOOKUP(A3820,'[1]Tissue Data'!$A:$A,'[1]Tissue Data'!$D:$D)</f>
        <v>44314</v>
      </c>
      <c r="D3820" s="2" t="s">
        <v>122</v>
      </c>
      <c r="E3820" t="str">
        <f>_xlfn.XLOOKUP(A3820,'[1]Tissue Data'!$A:$A,'[1]Tissue Data'!$H:$H)</f>
        <v>Etheostoma</v>
      </c>
      <c r="F3820" t="str">
        <f>_xlfn.XLOOKUP(A3820,'[1]Tissue Data'!$A:$A,'[1]Tissue Data'!$I:$I)</f>
        <v>olmstedi</v>
      </c>
      <c r="G3820" t="str">
        <f>_xlfn.XLOOKUP(A3820,'[1]Tissue Data'!$A:$A,'[1]Tissue Data'!J:J)</f>
        <v>U</v>
      </c>
      <c r="H3820" t="str">
        <f>_xlfn.XLOOKUP(A3820,'[1]Tissue Data'!$A:$A,'[1]Tissue Data'!K:K)</f>
        <v>Whole Body</v>
      </c>
      <c r="I3820">
        <f>_xlfn.XLOOKUP(A3820,'[1]Tissue Data'!$A:$A,'[1]Tissue Data'!L:L)</f>
        <v>7</v>
      </c>
      <c r="J3820">
        <f>_xlfn.XLOOKUP(A3820,'[1]Tissue Data'!$A:$A,'[1]Tissue Data'!M:M)</f>
        <v>3.15</v>
      </c>
      <c r="K3820" t="s">
        <v>30</v>
      </c>
      <c r="L3820" t="str">
        <f>_xlfn.XLOOKUP(K3820,[2]analyte_order!$B:$B,[2]analyte_order!$C:$C)</f>
        <v>68259-12-1</v>
      </c>
      <c r="M3820">
        <f>_xlfn.XLOOKUP(L3820,[2]analyte_order!$C:$C,[2]analyte_order!$E:$E)</f>
        <v>19</v>
      </c>
      <c r="N3820">
        <v>0.81200000000000006</v>
      </c>
    </row>
    <row r="3821" spans="1:14">
      <c r="A3821" t="s">
        <v>161</v>
      </c>
      <c r="B3821" t="str">
        <f>_xlfn.XLOOKUP(A3821,'[1]Tissue Data'!$A:$A,'[1]Tissue Data'!$C:$C)</f>
        <v>Spill</v>
      </c>
      <c r="C3821" s="2">
        <f>_xlfn.XLOOKUP(A3821,'[1]Tissue Data'!$A:$A,'[1]Tissue Data'!$D:$D)</f>
        <v>44314</v>
      </c>
      <c r="D3821" s="2" t="s">
        <v>122</v>
      </c>
      <c r="E3821" t="str">
        <f>_xlfn.XLOOKUP(A3821,'[1]Tissue Data'!$A:$A,'[1]Tissue Data'!$H:$H)</f>
        <v>Etheostoma</v>
      </c>
      <c r="F3821" t="str">
        <f>_xlfn.XLOOKUP(A3821,'[1]Tissue Data'!$A:$A,'[1]Tissue Data'!$I:$I)</f>
        <v>olmstedi</v>
      </c>
      <c r="G3821" t="str">
        <f>_xlfn.XLOOKUP(A3821,'[1]Tissue Data'!$A:$A,'[1]Tissue Data'!J:J)</f>
        <v>U</v>
      </c>
      <c r="H3821" t="str">
        <f>_xlfn.XLOOKUP(A3821,'[1]Tissue Data'!$A:$A,'[1]Tissue Data'!K:K)</f>
        <v>Whole Body</v>
      </c>
      <c r="I3821">
        <f>_xlfn.XLOOKUP(A3821,'[1]Tissue Data'!$A:$A,'[1]Tissue Data'!L:L)</f>
        <v>7</v>
      </c>
      <c r="J3821">
        <f>_xlfn.XLOOKUP(A3821,'[1]Tissue Data'!$A:$A,'[1]Tissue Data'!M:M)</f>
        <v>3.15</v>
      </c>
      <c r="K3821" t="s">
        <v>31</v>
      </c>
      <c r="L3821" t="str">
        <f>_xlfn.XLOOKUP(K3821,[2]analyte_order!$B:$B,[2]analyte_order!$C:$C)</f>
        <v>335-77-3</v>
      </c>
      <c r="M3821">
        <f>_xlfn.XLOOKUP(L3821,[2]analyte_order!$C:$C,[2]analyte_order!$E:$E)</f>
        <v>20</v>
      </c>
      <c r="N3821">
        <v>0.56999999999999995</v>
      </c>
    </row>
    <row r="3822" spans="1:14">
      <c r="A3822" t="s">
        <v>161</v>
      </c>
      <c r="B3822" t="str">
        <f>_xlfn.XLOOKUP(A3822,'[1]Tissue Data'!$A:$A,'[1]Tissue Data'!$C:$C)</f>
        <v>Spill</v>
      </c>
      <c r="C3822" s="2">
        <f>_xlfn.XLOOKUP(A3822,'[1]Tissue Data'!$A:$A,'[1]Tissue Data'!$D:$D)</f>
        <v>44314</v>
      </c>
      <c r="D3822" s="2" t="s">
        <v>122</v>
      </c>
      <c r="E3822" t="str">
        <f>_xlfn.XLOOKUP(A3822,'[1]Tissue Data'!$A:$A,'[1]Tissue Data'!$H:$H)</f>
        <v>Etheostoma</v>
      </c>
      <c r="F3822" t="str">
        <f>_xlfn.XLOOKUP(A3822,'[1]Tissue Data'!$A:$A,'[1]Tissue Data'!$I:$I)</f>
        <v>olmstedi</v>
      </c>
      <c r="G3822" t="str">
        <f>_xlfn.XLOOKUP(A3822,'[1]Tissue Data'!$A:$A,'[1]Tissue Data'!J:J)</f>
        <v>U</v>
      </c>
      <c r="H3822" t="str">
        <f>_xlfn.XLOOKUP(A3822,'[1]Tissue Data'!$A:$A,'[1]Tissue Data'!K:K)</f>
        <v>Whole Body</v>
      </c>
      <c r="I3822">
        <f>_xlfn.XLOOKUP(A3822,'[1]Tissue Data'!$A:$A,'[1]Tissue Data'!L:L)</f>
        <v>7</v>
      </c>
      <c r="J3822">
        <f>_xlfn.XLOOKUP(A3822,'[1]Tissue Data'!$A:$A,'[1]Tissue Data'!M:M)</f>
        <v>3.15</v>
      </c>
      <c r="K3822" t="s">
        <v>32</v>
      </c>
      <c r="L3822" t="str">
        <f>_xlfn.XLOOKUP(K3822,[2]analyte_order!$B:$B,[2]analyte_order!$C:$C)</f>
        <v>79780-39-5</v>
      </c>
      <c r="M3822">
        <f>_xlfn.XLOOKUP(L3822,[2]analyte_order!$C:$C,[2]analyte_order!$E:$E)</f>
        <v>21</v>
      </c>
      <c r="N3822">
        <v>0.25600000000000001</v>
      </c>
    </row>
    <row r="3823" spans="1:14">
      <c r="A3823" t="s">
        <v>161</v>
      </c>
      <c r="B3823" t="str">
        <f>_xlfn.XLOOKUP(A3823,'[1]Tissue Data'!$A:$A,'[1]Tissue Data'!$C:$C)</f>
        <v>Spill</v>
      </c>
      <c r="C3823" s="2">
        <f>_xlfn.XLOOKUP(A3823,'[1]Tissue Data'!$A:$A,'[1]Tissue Data'!$D:$D)</f>
        <v>44314</v>
      </c>
      <c r="D3823" s="2" t="s">
        <v>122</v>
      </c>
      <c r="E3823" t="str">
        <f>_xlfn.XLOOKUP(A3823,'[1]Tissue Data'!$A:$A,'[1]Tissue Data'!$H:$H)</f>
        <v>Etheostoma</v>
      </c>
      <c r="F3823" t="str">
        <f>_xlfn.XLOOKUP(A3823,'[1]Tissue Data'!$A:$A,'[1]Tissue Data'!$I:$I)</f>
        <v>olmstedi</v>
      </c>
      <c r="G3823" t="str">
        <f>_xlfn.XLOOKUP(A3823,'[1]Tissue Data'!$A:$A,'[1]Tissue Data'!J:J)</f>
        <v>U</v>
      </c>
      <c r="H3823" t="str">
        <f>_xlfn.XLOOKUP(A3823,'[1]Tissue Data'!$A:$A,'[1]Tissue Data'!K:K)</f>
        <v>Whole Body</v>
      </c>
      <c r="I3823">
        <f>_xlfn.XLOOKUP(A3823,'[1]Tissue Data'!$A:$A,'[1]Tissue Data'!L:L)</f>
        <v>7</v>
      </c>
      <c r="J3823">
        <f>_xlfn.XLOOKUP(A3823,'[1]Tissue Data'!$A:$A,'[1]Tissue Data'!M:M)</f>
        <v>3.15</v>
      </c>
      <c r="K3823" t="s">
        <v>33</v>
      </c>
      <c r="L3823" t="str">
        <f>_xlfn.XLOOKUP(K3823,[2]analyte_order!$B:$B,[2]analyte_order!$C:$C)</f>
        <v>777011-38-8</v>
      </c>
      <c r="M3823">
        <f>_xlfn.XLOOKUP(L3823,[2]analyte_order!$C:$C,[2]analyte_order!$E:$E)</f>
        <v>54</v>
      </c>
      <c r="N3823">
        <v>0.14549999999999999</v>
      </c>
    </row>
    <row r="3824" spans="1:14">
      <c r="A3824" t="s">
        <v>161</v>
      </c>
      <c r="B3824" t="str">
        <f>_xlfn.XLOOKUP(A3824,'[1]Tissue Data'!$A:$A,'[1]Tissue Data'!$C:$C)</f>
        <v>Spill</v>
      </c>
      <c r="C3824" s="2">
        <f>_xlfn.XLOOKUP(A3824,'[1]Tissue Data'!$A:$A,'[1]Tissue Data'!$D:$D)</f>
        <v>44314</v>
      </c>
      <c r="D3824" s="2" t="s">
        <v>122</v>
      </c>
      <c r="E3824" t="str">
        <f>_xlfn.XLOOKUP(A3824,'[1]Tissue Data'!$A:$A,'[1]Tissue Data'!$H:$H)</f>
        <v>Etheostoma</v>
      </c>
      <c r="F3824" t="str">
        <f>_xlfn.XLOOKUP(A3824,'[1]Tissue Data'!$A:$A,'[1]Tissue Data'!$I:$I)</f>
        <v>olmstedi</v>
      </c>
      <c r="G3824" t="str">
        <f>_xlfn.XLOOKUP(A3824,'[1]Tissue Data'!$A:$A,'[1]Tissue Data'!J:J)</f>
        <v>U</v>
      </c>
      <c r="H3824" t="str">
        <f>_xlfn.XLOOKUP(A3824,'[1]Tissue Data'!$A:$A,'[1]Tissue Data'!K:K)</f>
        <v>Whole Body</v>
      </c>
      <c r="I3824">
        <f>_xlfn.XLOOKUP(A3824,'[1]Tissue Data'!$A:$A,'[1]Tissue Data'!L:L)</f>
        <v>7</v>
      </c>
      <c r="J3824">
        <f>_xlfn.XLOOKUP(A3824,'[1]Tissue Data'!$A:$A,'[1]Tissue Data'!M:M)</f>
        <v>3.15</v>
      </c>
      <c r="K3824" t="s">
        <v>34</v>
      </c>
      <c r="L3824" t="str">
        <f>_xlfn.XLOOKUP(K3824,[2]analyte_order!$B:$B,[2]analyte_order!$C:$C)</f>
        <v>646-83-3</v>
      </c>
      <c r="M3824">
        <f>_xlfn.XLOOKUP(L3824,[2]analyte_order!$C:$C,[2]analyte_order!$E:$E)</f>
        <v>55</v>
      </c>
      <c r="N3824">
        <v>0.35199999999999998</v>
      </c>
    </row>
    <row r="3825" spans="1:14">
      <c r="A3825" t="s">
        <v>161</v>
      </c>
      <c r="B3825" t="str">
        <f>_xlfn.XLOOKUP(A3825,'[1]Tissue Data'!$A:$A,'[1]Tissue Data'!$C:$C)</f>
        <v>Spill</v>
      </c>
      <c r="C3825" s="2">
        <f>_xlfn.XLOOKUP(A3825,'[1]Tissue Data'!$A:$A,'[1]Tissue Data'!$D:$D)</f>
        <v>44314</v>
      </c>
      <c r="D3825" s="2" t="s">
        <v>122</v>
      </c>
      <c r="E3825" t="str">
        <f>_xlfn.XLOOKUP(A3825,'[1]Tissue Data'!$A:$A,'[1]Tissue Data'!$H:$H)</f>
        <v>Etheostoma</v>
      </c>
      <c r="F3825" t="str">
        <f>_xlfn.XLOOKUP(A3825,'[1]Tissue Data'!$A:$A,'[1]Tissue Data'!$I:$I)</f>
        <v>olmstedi</v>
      </c>
      <c r="G3825" t="str">
        <f>_xlfn.XLOOKUP(A3825,'[1]Tissue Data'!$A:$A,'[1]Tissue Data'!J:J)</f>
        <v>U</v>
      </c>
      <c r="H3825" t="str">
        <f>_xlfn.XLOOKUP(A3825,'[1]Tissue Data'!$A:$A,'[1]Tissue Data'!K:K)</f>
        <v>Whole Body</v>
      </c>
      <c r="I3825">
        <f>_xlfn.XLOOKUP(A3825,'[1]Tissue Data'!$A:$A,'[1]Tissue Data'!L:L)</f>
        <v>7</v>
      </c>
      <c r="J3825">
        <f>_xlfn.XLOOKUP(A3825,'[1]Tissue Data'!$A:$A,'[1]Tissue Data'!M:M)</f>
        <v>3.15</v>
      </c>
      <c r="K3825" t="s">
        <v>35</v>
      </c>
      <c r="L3825" t="str">
        <f>_xlfn.XLOOKUP(K3825,[2]analyte_order!$B:$B,[2]analyte_order!$C:$C)</f>
        <v>30334-69-1</v>
      </c>
      <c r="M3825">
        <f>_xlfn.XLOOKUP(L3825,[2]analyte_order!$C:$C,[2]analyte_order!$E:$E)</f>
        <v>51</v>
      </c>
      <c r="N3825">
        <v>17.2</v>
      </c>
    </row>
    <row r="3826" spans="1:14">
      <c r="A3826" t="s">
        <v>161</v>
      </c>
      <c r="B3826" t="str">
        <f>_xlfn.XLOOKUP(A3826,'[1]Tissue Data'!$A:$A,'[1]Tissue Data'!$C:$C)</f>
        <v>Spill</v>
      </c>
      <c r="C3826" s="2">
        <f>_xlfn.XLOOKUP(A3826,'[1]Tissue Data'!$A:$A,'[1]Tissue Data'!$D:$D)</f>
        <v>44314</v>
      </c>
      <c r="D3826" s="2" t="s">
        <v>122</v>
      </c>
      <c r="E3826" t="str">
        <f>_xlfn.XLOOKUP(A3826,'[1]Tissue Data'!$A:$A,'[1]Tissue Data'!$H:$H)</f>
        <v>Etheostoma</v>
      </c>
      <c r="F3826" t="str">
        <f>_xlfn.XLOOKUP(A3826,'[1]Tissue Data'!$A:$A,'[1]Tissue Data'!$I:$I)</f>
        <v>olmstedi</v>
      </c>
      <c r="G3826" t="str">
        <f>_xlfn.XLOOKUP(A3826,'[1]Tissue Data'!$A:$A,'[1]Tissue Data'!J:J)</f>
        <v>U</v>
      </c>
      <c r="H3826" t="str">
        <f>_xlfn.XLOOKUP(A3826,'[1]Tissue Data'!$A:$A,'[1]Tissue Data'!K:K)</f>
        <v>Whole Body</v>
      </c>
      <c r="I3826">
        <f>_xlfn.XLOOKUP(A3826,'[1]Tissue Data'!$A:$A,'[1]Tissue Data'!L:L)</f>
        <v>7</v>
      </c>
      <c r="J3826">
        <f>_xlfn.XLOOKUP(A3826,'[1]Tissue Data'!$A:$A,'[1]Tissue Data'!M:M)</f>
        <v>3.15</v>
      </c>
      <c r="K3826" t="s">
        <v>36</v>
      </c>
      <c r="L3826" t="str">
        <f>_xlfn.XLOOKUP(K3826,[2]analyte_order!$B:$B,[2]analyte_order!$C:$C)</f>
        <v>41997-13-1</v>
      </c>
      <c r="M3826">
        <f>_xlfn.XLOOKUP(L3826,[2]analyte_order!$C:$C,[2]analyte_order!$E:$E)</f>
        <v>52</v>
      </c>
      <c r="N3826">
        <v>118</v>
      </c>
    </row>
    <row r="3827" spans="1:14">
      <c r="A3827" t="s">
        <v>161</v>
      </c>
      <c r="B3827" t="str">
        <f>_xlfn.XLOOKUP(A3827,'[1]Tissue Data'!$A:$A,'[1]Tissue Data'!$C:$C)</f>
        <v>Spill</v>
      </c>
      <c r="C3827" s="2">
        <f>_xlfn.XLOOKUP(A3827,'[1]Tissue Data'!$A:$A,'[1]Tissue Data'!$D:$D)</f>
        <v>44314</v>
      </c>
      <c r="D3827" s="2" t="s">
        <v>122</v>
      </c>
      <c r="E3827" t="str">
        <f>_xlfn.XLOOKUP(A3827,'[1]Tissue Data'!$A:$A,'[1]Tissue Data'!$H:$H)</f>
        <v>Etheostoma</v>
      </c>
      <c r="F3827" t="str">
        <f>_xlfn.XLOOKUP(A3827,'[1]Tissue Data'!$A:$A,'[1]Tissue Data'!$I:$I)</f>
        <v>olmstedi</v>
      </c>
      <c r="G3827" t="str">
        <f>_xlfn.XLOOKUP(A3827,'[1]Tissue Data'!$A:$A,'[1]Tissue Data'!J:J)</f>
        <v>U</v>
      </c>
      <c r="H3827" t="str">
        <f>_xlfn.XLOOKUP(A3827,'[1]Tissue Data'!$A:$A,'[1]Tissue Data'!K:K)</f>
        <v>Whole Body</v>
      </c>
      <c r="I3827">
        <f>_xlfn.XLOOKUP(A3827,'[1]Tissue Data'!$A:$A,'[1]Tissue Data'!L:L)</f>
        <v>7</v>
      </c>
      <c r="J3827">
        <f>_xlfn.XLOOKUP(A3827,'[1]Tissue Data'!$A:$A,'[1]Tissue Data'!M:M)</f>
        <v>3.15</v>
      </c>
      <c r="K3827" t="s">
        <v>37</v>
      </c>
      <c r="L3827" t="str">
        <f>_xlfn.XLOOKUP(K3827,[2]analyte_order!$B:$B,[2]analyte_order!$C:$C)</f>
        <v>754-91-6</v>
      </c>
      <c r="M3827">
        <f>_xlfn.XLOOKUP(L3827,[2]analyte_order!$C:$C,[2]analyte_order!$E:$E)</f>
        <v>28</v>
      </c>
      <c r="N3827">
        <v>32</v>
      </c>
    </row>
    <row r="3828" spans="1:14">
      <c r="A3828" t="s">
        <v>161</v>
      </c>
      <c r="B3828" t="str">
        <f>_xlfn.XLOOKUP(A3828,'[1]Tissue Data'!$A:$A,'[1]Tissue Data'!$C:$C)</f>
        <v>Spill</v>
      </c>
      <c r="C3828" s="2">
        <f>_xlfn.XLOOKUP(A3828,'[1]Tissue Data'!$A:$A,'[1]Tissue Data'!$D:$D)</f>
        <v>44314</v>
      </c>
      <c r="D3828" s="2" t="s">
        <v>122</v>
      </c>
      <c r="E3828" t="str">
        <f>_xlfn.XLOOKUP(A3828,'[1]Tissue Data'!$A:$A,'[1]Tissue Data'!$H:$H)</f>
        <v>Etheostoma</v>
      </c>
      <c r="F3828" t="str">
        <f>_xlfn.XLOOKUP(A3828,'[1]Tissue Data'!$A:$A,'[1]Tissue Data'!$I:$I)</f>
        <v>olmstedi</v>
      </c>
      <c r="G3828" t="str">
        <f>_xlfn.XLOOKUP(A3828,'[1]Tissue Data'!$A:$A,'[1]Tissue Data'!J:J)</f>
        <v>U</v>
      </c>
      <c r="H3828" t="str">
        <f>_xlfn.XLOOKUP(A3828,'[1]Tissue Data'!$A:$A,'[1]Tissue Data'!K:K)</f>
        <v>Whole Body</v>
      </c>
      <c r="I3828">
        <f>_xlfn.XLOOKUP(A3828,'[1]Tissue Data'!$A:$A,'[1]Tissue Data'!L:L)</f>
        <v>7</v>
      </c>
      <c r="J3828">
        <f>_xlfn.XLOOKUP(A3828,'[1]Tissue Data'!$A:$A,'[1]Tissue Data'!M:M)</f>
        <v>3.15</v>
      </c>
      <c r="K3828" t="s">
        <v>38</v>
      </c>
      <c r="L3828" t="str">
        <f>_xlfn.XLOOKUP(K3828,[2]analyte_order!$B:$B,[2]analyte_order!$C:$C)</f>
        <v>31506-32-8</v>
      </c>
      <c r="M3828">
        <f>_xlfn.XLOOKUP(L3828,[2]analyte_order!$C:$C,[2]analyte_order!$E:$E)</f>
        <v>30</v>
      </c>
      <c r="N3828">
        <v>5.6000000000000001E-2</v>
      </c>
    </row>
    <row r="3829" spans="1:14">
      <c r="A3829" t="s">
        <v>161</v>
      </c>
      <c r="B3829" t="str">
        <f>_xlfn.XLOOKUP(A3829,'[1]Tissue Data'!$A:$A,'[1]Tissue Data'!$C:$C)</f>
        <v>Spill</v>
      </c>
      <c r="C3829" s="2">
        <f>_xlfn.XLOOKUP(A3829,'[1]Tissue Data'!$A:$A,'[1]Tissue Data'!$D:$D)</f>
        <v>44314</v>
      </c>
      <c r="D3829" s="2" t="s">
        <v>122</v>
      </c>
      <c r="E3829" t="str">
        <f>_xlfn.XLOOKUP(A3829,'[1]Tissue Data'!$A:$A,'[1]Tissue Data'!$H:$H)</f>
        <v>Etheostoma</v>
      </c>
      <c r="F3829" t="str">
        <f>_xlfn.XLOOKUP(A3829,'[1]Tissue Data'!$A:$A,'[1]Tissue Data'!$I:$I)</f>
        <v>olmstedi</v>
      </c>
      <c r="G3829" t="str">
        <f>_xlfn.XLOOKUP(A3829,'[1]Tissue Data'!$A:$A,'[1]Tissue Data'!J:J)</f>
        <v>U</v>
      </c>
      <c r="H3829" t="str">
        <f>_xlfn.XLOOKUP(A3829,'[1]Tissue Data'!$A:$A,'[1]Tissue Data'!K:K)</f>
        <v>Whole Body</v>
      </c>
      <c r="I3829">
        <f>_xlfn.XLOOKUP(A3829,'[1]Tissue Data'!$A:$A,'[1]Tissue Data'!L:L)</f>
        <v>7</v>
      </c>
      <c r="J3829">
        <f>_xlfn.XLOOKUP(A3829,'[1]Tissue Data'!$A:$A,'[1]Tissue Data'!M:M)</f>
        <v>3.15</v>
      </c>
      <c r="K3829" t="s">
        <v>39</v>
      </c>
      <c r="L3829" t="str">
        <f>_xlfn.XLOOKUP(K3829,[2]analyte_order!$B:$B,[2]analyte_order!$C:$C)</f>
        <v>4151-50-2</v>
      </c>
      <c r="M3829">
        <f>_xlfn.XLOOKUP(L3829,[2]analyte_order!$C:$C,[2]analyte_order!$E:$E)</f>
        <v>31</v>
      </c>
      <c r="N3829">
        <v>8.4500000000000006E-2</v>
      </c>
    </row>
    <row r="3830" spans="1:14">
      <c r="A3830" t="s">
        <v>161</v>
      </c>
      <c r="B3830" t="str">
        <f>_xlfn.XLOOKUP(A3830,'[1]Tissue Data'!$A:$A,'[1]Tissue Data'!$C:$C)</f>
        <v>Spill</v>
      </c>
      <c r="C3830" s="2">
        <f>_xlfn.XLOOKUP(A3830,'[1]Tissue Data'!$A:$A,'[1]Tissue Data'!$D:$D)</f>
        <v>44314</v>
      </c>
      <c r="D3830" s="2" t="s">
        <v>122</v>
      </c>
      <c r="E3830" t="str">
        <f>_xlfn.XLOOKUP(A3830,'[1]Tissue Data'!$A:$A,'[1]Tissue Data'!$H:$H)</f>
        <v>Etheostoma</v>
      </c>
      <c r="F3830" t="str">
        <f>_xlfn.XLOOKUP(A3830,'[1]Tissue Data'!$A:$A,'[1]Tissue Data'!$I:$I)</f>
        <v>olmstedi</v>
      </c>
      <c r="G3830" t="str">
        <f>_xlfn.XLOOKUP(A3830,'[1]Tissue Data'!$A:$A,'[1]Tissue Data'!J:J)</f>
        <v>U</v>
      </c>
      <c r="H3830" t="str">
        <f>_xlfn.XLOOKUP(A3830,'[1]Tissue Data'!$A:$A,'[1]Tissue Data'!K:K)</f>
        <v>Whole Body</v>
      </c>
      <c r="I3830">
        <f>_xlfn.XLOOKUP(A3830,'[1]Tissue Data'!$A:$A,'[1]Tissue Data'!L:L)</f>
        <v>7</v>
      </c>
      <c r="J3830">
        <f>_xlfn.XLOOKUP(A3830,'[1]Tissue Data'!$A:$A,'[1]Tissue Data'!M:M)</f>
        <v>3.15</v>
      </c>
      <c r="K3830" t="s">
        <v>40</v>
      </c>
      <c r="L3830" t="str">
        <f>_xlfn.XLOOKUP(K3830,[2]analyte_order!$B:$B,[2]analyte_order!$C:$C)</f>
        <v>2806-24-8</v>
      </c>
      <c r="M3830">
        <f>_xlfn.XLOOKUP(L3830,[2]analyte_order!$C:$C,[2]analyte_order!$E:$E)</f>
        <v>29</v>
      </c>
      <c r="N3830">
        <v>5.7000000000000002E-2</v>
      </c>
    </row>
    <row r="3831" spans="1:14">
      <c r="A3831" t="s">
        <v>161</v>
      </c>
      <c r="B3831" t="str">
        <f>_xlfn.XLOOKUP(A3831,'[1]Tissue Data'!$A:$A,'[1]Tissue Data'!$C:$C)</f>
        <v>Spill</v>
      </c>
      <c r="C3831" s="2">
        <f>_xlfn.XLOOKUP(A3831,'[1]Tissue Data'!$A:$A,'[1]Tissue Data'!$D:$D)</f>
        <v>44314</v>
      </c>
      <c r="D3831" s="2" t="s">
        <v>122</v>
      </c>
      <c r="E3831" t="str">
        <f>_xlfn.XLOOKUP(A3831,'[1]Tissue Data'!$A:$A,'[1]Tissue Data'!$H:$H)</f>
        <v>Etheostoma</v>
      </c>
      <c r="F3831" t="str">
        <f>_xlfn.XLOOKUP(A3831,'[1]Tissue Data'!$A:$A,'[1]Tissue Data'!$I:$I)</f>
        <v>olmstedi</v>
      </c>
      <c r="G3831" t="str">
        <f>_xlfn.XLOOKUP(A3831,'[1]Tissue Data'!$A:$A,'[1]Tissue Data'!J:J)</f>
        <v>U</v>
      </c>
      <c r="H3831" t="str">
        <f>_xlfn.XLOOKUP(A3831,'[1]Tissue Data'!$A:$A,'[1]Tissue Data'!K:K)</f>
        <v>Whole Body</v>
      </c>
      <c r="I3831">
        <f>_xlfn.XLOOKUP(A3831,'[1]Tissue Data'!$A:$A,'[1]Tissue Data'!L:L)</f>
        <v>7</v>
      </c>
      <c r="J3831">
        <f>_xlfn.XLOOKUP(A3831,'[1]Tissue Data'!$A:$A,'[1]Tissue Data'!M:M)</f>
        <v>3.15</v>
      </c>
      <c r="K3831" t="s">
        <v>41</v>
      </c>
      <c r="L3831" t="str">
        <f>_xlfn.XLOOKUP(K3831,[2]analyte_order!$B:$B,[2]analyte_order!$C:$C)</f>
        <v>2355-31-9</v>
      </c>
      <c r="M3831">
        <f>_xlfn.XLOOKUP(L3831,[2]analyte_order!$C:$C,[2]analyte_order!$E:$E)</f>
        <v>26</v>
      </c>
      <c r="N3831">
        <v>0.24099999999999999</v>
      </c>
    </row>
    <row r="3832" spans="1:14">
      <c r="A3832" t="s">
        <v>161</v>
      </c>
      <c r="B3832" t="str">
        <f>_xlfn.XLOOKUP(A3832,'[1]Tissue Data'!$A:$A,'[1]Tissue Data'!$C:$C)</f>
        <v>Spill</v>
      </c>
      <c r="C3832" s="2">
        <f>_xlfn.XLOOKUP(A3832,'[1]Tissue Data'!$A:$A,'[1]Tissue Data'!$D:$D)</f>
        <v>44314</v>
      </c>
      <c r="D3832" s="2" t="s">
        <v>122</v>
      </c>
      <c r="E3832" t="str">
        <f>_xlfn.XLOOKUP(A3832,'[1]Tissue Data'!$A:$A,'[1]Tissue Data'!$H:$H)</f>
        <v>Etheostoma</v>
      </c>
      <c r="F3832" t="str">
        <f>_xlfn.XLOOKUP(A3832,'[1]Tissue Data'!$A:$A,'[1]Tissue Data'!$I:$I)</f>
        <v>olmstedi</v>
      </c>
      <c r="G3832" t="str">
        <f>_xlfn.XLOOKUP(A3832,'[1]Tissue Data'!$A:$A,'[1]Tissue Data'!J:J)</f>
        <v>U</v>
      </c>
      <c r="H3832" t="str">
        <f>_xlfn.XLOOKUP(A3832,'[1]Tissue Data'!$A:$A,'[1]Tissue Data'!K:K)</f>
        <v>Whole Body</v>
      </c>
      <c r="I3832">
        <f>_xlfn.XLOOKUP(A3832,'[1]Tissue Data'!$A:$A,'[1]Tissue Data'!L:L)</f>
        <v>7</v>
      </c>
      <c r="J3832">
        <f>_xlfn.XLOOKUP(A3832,'[1]Tissue Data'!$A:$A,'[1]Tissue Data'!M:M)</f>
        <v>3.15</v>
      </c>
      <c r="K3832" t="s">
        <v>42</v>
      </c>
      <c r="L3832" t="str">
        <f>_xlfn.XLOOKUP(K3832,[2]analyte_order!$B:$B,[2]analyte_order!$C:$C)</f>
        <v>2991-50-6</v>
      </c>
      <c r="M3832">
        <f>_xlfn.XLOOKUP(L3832,[2]analyte_order!$C:$C,[2]analyte_order!$E:$E)</f>
        <v>27</v>
      </c>
      <c r="N3832">
        <v>6.3E-2</v>
      </c>
    </row>
    <row r="3833" spans="1:14">
      <c r="A3833" t="s">
        <v>161</v>
      </c>
      <c r="B3833" t="str">
        <f>_xlfn.XLOOKUP(A3833,'[1]Tissue Data'!$A:$A,'[1]Tissue Data'!$C:$C)</f>
        <v>Spill</v>
      </c>
      <c r="C3833" s="2">
        <f>_xlfn.XLOOKUP(A3833,'[1]Tissue Data'!$A:$A,'[1]Tissue Data'!$D:$D)</f>
        <v>44314</v>
      </c>
      <c r="D3833" s="2" t="s">
        <v>122</v>
      </c>
      <c r="E3833" t="str">
        <f>_xlfn.XLOOKUP(A3833,'[1]Tissue Data'!$A:$A,'[1]Tissue Data'!$H:$H)</f>
        <v>Etheostoma</v>
      </c>
      <c r="F3833" t="str">
        <f>_xlfn.XLOOKUP(A3833,'[1]Tissue Data'!$A:$A,'[1]Tissue Data'!$I:$I)</f>
        <v>olmstedi</v>
      </c>
      <c r="G3833" t="str">
        <f>_xlfn.XLOOKUP(A3833,'[1]Tissue Data'!$A:$A,'[1]Tissue Data'!J:J)</f>
        <v>U</v>
      </c>
      <c r="H3833" t="str">
        <f>_xlfn.XLOOKUP(A3833,'[1]Tissue Data'!$A:$A,'[1]Tissue Data'!K:K)</f>
        <v>Whole Body</v>
      </c>
      <c r="I3833">
        <f>_xlfn.XLOOKUP(A3833,'[1]Tissue Data'!$A:$A,'[1]Tissue Data'!L:L)</f>
        <v>7</v>
      </c>
      <c r="J3833">
        <f>_xlfn.XLOOKUP(A3833,'[1]Tissue Data'!$A:$A,'[1]Tissue Data'!M:M)</f>
        <v>3.15</v>
      </c>
      <c r="K3833" t="s">
        <v>43</v>
      </c>
      <c r="L3833" t="str">
        <f>_xlfn.XLOOKUP(K3833,[2]analyte_order!$B:$B,[2]analyte_order!$C:$C)</f>
        <v>757124-72-4</v>
      </c>
      <c r="M3833">
        <f>_xlfn.XLOOKUP(L3833,[2]analyte_order!$C:$C,[2]analyte_order!$E:$E)</f>
        <v>22</v>
      </c>
      <c r="N3833">
        <v>5.9499999999999997E-2</v>
      </c>
    </row>
    <row r="3834" spans="1:14">
      <c r="A3834" t="s">
        <v>161</v>
      </c>
      <c r="B3834" t="str">
        <f>_xlfn.XLOOKUP(A3834,'[1]Tissue Data'!$A:$A,'[1]Tissue Data'!$C:$C)</f>
        <v>Spill</v>
      </c>
      <c r="C3834" s="2">
        <f>_xlfn.XLOOKUP(A3834,'[1]Tissue Data'!$A:$A,'[1]Tissue Data'!$D:$D)</f>
        <v>44314</v>
      </c>
      <c r="D3834" s="2" t="s">
        <v>122</v>
      </c>
      <c r="E3834" t="str">
        <f>_xlfn.XLOOKUP(A3834,'[1]Tissue Data'!$A:$A,'[1]Tissue Data'!$H:$H)</f>
        <v>Etheostoma</v>
      </c>
      <c r="F3834" t="str">
        <f>_xlfn.XLOOKUP(A3834,'[1]Tissue Data'!$A:$A,'[1]Tissue Data'!$I:$I)</f>
        <v>olmstedi</v>
      </c>
      <c r="G3834" t="str">
        <f>_xlfn.XLOOKUP(A3834,'[1]Tissue Data'!$A:$A,'[1]Tissue Data'!J:J)</f>
        <v>U</v>
      </c>
      <c r="H3834" t="str">
        <f>_xlfn.XLOOKUP(A3834,'[1]Tissue Data'!$A:$A,'[1]Tissue Data'!K:K)</f>
        <v>Whole Body</v>
      </c>
      <c r="I3834">
        <f>_xlfn.XLOOKUP(A3834,'[1]Tissue Data'!$A:$A,'[1]Tissue Data'!L:L)</f>
        <v>7</v>
      </c>
      <c r="J3834">
        <f>_xlfn.XLOOKUP(A3834,'[1]Tissue Data'!$A:$A,'[1]Tissue Data'!M:M)</f>
        <v>3.15</v>
      </c>
      <c r="K3834" t="s">
        <v>44</v>
      </c>
      <c r="L3834" t="str">
        <f>_xlfn.XLOOKUP(K3834,[2]analyte_order!$B:$B,[2]analyte_order!$C:$C)</f>
        <v>27619-97-2</v>
      </c>
      <c r="M3834">
        <f>_xlfn.XLOOKUP(L3834,[2]analyte_order!$C:$C,[2]analyte_order!$E:$E)</f>
        <v>23</v>
      </c>
      <c r="N3834">
        <v>1.99</v>
      </c>
    </row>
    <row r="3835" spans="1:14">
      <c r="A3835" t="s">
        <v>161</v>
      </c>
      <c r="B3835" t="str">
        <f>_xlfn.XLOOKUP(A3835,'[1]Tissue Data'!$A:$A,'[1]Tissue Data'!$C:$C)</f>
        <v>Spill</v>
      </c>
      <c r="C3835" s="2">
        <f>_xlfn.XLOOKUP(A3835,'[1]Tissue Data'!$A:$A,'[1]Tissue Data'!$D:$D)</f>
        <v>44314</v>
      </c>
      <c r="D3835" s="2" t="s">
        <v>122</v>
      </c>
      <c r="E3835" t="str">
        <f>_xlfn.XLOOKUP(A3835,'[1]Tissue Data'!$A:$A,'[1]Tissue Data'!$H:$H)</f>
        <v>Etheostoma</v>
      </c>
      <c r="F3835" t="str">
        <f>_xlfn.XLOOKUP(A3835,'[1]Tissue Data'!$A:$A,'[1]Tissue Data'!$I:$I)</f>
        <v>olmstedi</v>
      </c>
      <c r="G3835" t="str">
        <f>_xlfn.XLOOKUP(A3835,'[1]Tissue Data'!$A:$A,'[1]Tissue Data'!J:J)</f>
        <v>U</v>
      </c>
      <c r="H3835" t="str">
        <f>_xlfn.XLOOKUP(A3835,'[1]Tissue Data'!$A:$A,'[1]Tissue Data'!K:K)</f>
        <v>Whole Body</v>
      </c>
      <c r="I3835">
        <f>_xlfn.XLOOKUP(A3835,'[1]Tissue Data'!$A:$A,'[1]Tissue Data'!L:L)</f>
        <v>7</v>
      </c>
      <c r="J3835">
        <f>_xlfn.XLOOKUP(A3835,'[1]Tissue Data'!$A:$A,'[1]Tissue Data'!M:M)</f>
        <v>3.15</v>
      </c>
      <c r="K3835" t="s">
        <v>45</v>
      </c>
      <c r="L3835" t="str">
        <f>_xlfn.XLOOKUP(K3835,[2]analyte_order!$B:$B,[2]analyte_order!$C:$C)</f>
        <v>39108-34-4</v>
      </c>
      <c r="M3835">
        <f>_xlfn.XLOOKUP(L3835,[2]analyte_order!$C:$C,[2]analyte_order!$E:$E)</f>
        <v>24</v>
      </c>
      <c r="N3835">
        <v>3.99</v>
      </c>
    </row>
    <row r="3836" spans="1:14">
      <c r="A3836" t="s">
        <v>161</v>
      </c>
      <c r="B3836" t="str">
        <f>_xlfn.XLOOKUP(A3836,'[1]Tissue Data'!$A:$A,'[1]Tissue Data'!$C:$C)</f>
        <v>Spill</v>
      </c>
      <c r="C3836" s="2">
        <f>_xlfn.XLOOKUP(A3836,'[1]Tissue Data'!$A:$A,'[1]Tissue Data'!$D:$D)</f>
        <v>44314</v>
      </c>
      <c r="D3836" s="2" t="s">
        <v>122</v>
      </c>
      <c r="E3836" t="str">
        <f>_xlfn.XLOOKUP(A3836,'[1]Tissue Data'!$A:$A,'[1]Tissue Data'!$H:$H)</f>
        <v>Etheostoma</v>
      </c>
      <c r="F3836" t="str">
        <f>_xlfn.XLOOKUP(A3836,'[1]Tissue Data'!$A:$A,'[1]Tissue Data'!$I:$I)</f>
        <v>olmstedi</v>
      </c>
      <c r="G3836" t="str">
        <f>_xlfn.XLOOKUP(A3836,'[1]Tissue Data'!$A:$A,'[1]Tissue Data'!J:J)</f>
        <v>U</v>
      </c>
      <c r="H3836" t="str">
        <f>_xlfn.XLOOKUP(A3836,'[1]Tissue Data'!$A:$A,'[1]Tissue Data'!K:K)</f>
        <v>Whole Body</v>
      </c>
      <c r="I3836">
        <f>_xlfn.XLOOKUP(A3836,'[1]Tissue Data'!$A:$A,'[1]Tissue Data'!L:L)</f>
        <v>7</v>
      </c>
      <c r="J3836">
        <f>_xlfn.XLOOKUP(A3836,'[1]Tissue Data'!$A:$A,'[1]Tissue Data'!M:M)</f>
        <v>3.15</v>
      </c>
      <c r="K3836" t="s">
        <v>46</v>
      </c>
      <c r="L3836" t="str">
        <f>_xlfn.XLOOKUP(K3836,[2]analyte_order!$B:$B,[2]analyte_order!$C:$C)</f>
        <v>120226-60-0</v>
      </c>
      <c r="M3836">
        <f>_xlfn.XLOOKUP(L3836,[2]analyte_order!$C:$C,[2]analyte_order!$E:$E)</f>
        <v>25</v>
      </c>
      <c r="N3836">
        <v>8.2500000000000004E-2</v>
      </c>
    </row>
    <row r="3837" spans="1:14">
      <c r="A3837" t="s">
        <v>161</v>
      </c>
      <c r="B3837" t="str">
        <f>_xlfn.XLOOKUP(A3837,'[1]Tissue Data'!$A:$A,'[1]Tissue Data'!$C:$C)</f>
        <v>Spill</v>
      </c>
      <c r="C3837" s="2">
        <f>_xlfn.XLOOKUP(A3837,'[1]Tissue Data'!$A:$A,'[1]Tissue Data'!$D:$D)</f>
        <v>44314</v>
      </c>
      <c r="D3837" s="2" t="s">
        <v>122</v>
      </c>
      <c r="E3837" t="str">
        <f>_xlfn.XLOOKUP(A3837,'[1]Tissue Data'!$A:$A,'[1]Tissue Data'!$H:$H)</f>
        <v>Etheostoma</v>
      </c>
      <c r="F3837" t="str">
        <f>_xlfn.XLOOKUP(A3837,'[1]Tissue Data'!$A:$A,'[1]Tissue Data'!$I:$I)</f>
        <v>olmstedi</v>
      </c>
      <c r="G3837" t="str">
        <f>_xlfn.XLOOKUP(A3837,'[1]Tissue Data'!$A:$A,'[1]Tissue Data'!J:J)</f>
        <v>U</v>
      </c>
      <c r="H3837" t="str">
        <f>_xlfn.XLOOKUP(A3837,'[1]Tissue Data'!$A:$A,'[1]Tissue Data'!K:K)</f>
        <v>Whole Body</v>
      </c>
      <c r="I3837">
        <f>_xlfn.XLOOKUP(A3837,'[1]Tissue Data'!$A:$A,'[1]Tissue Data'!L:L)</f>
        <v>7</v>
      </c>
      <c r="J3837">
        <f>_xlfn.XLOOKUP(A3837,'[1]Tissue Data'!$A:$A,'[1]Tissue Data'!M:M)</f>
        <v>3.15</v>
      </c>
      <c r="K3837" t="s">
        <v>47</v>
      </c>
      <c r="L3837" t="str">
        <f>_xlfn.XLOOKUP(K3837,[2]analyte_order!$B:$B,[2]analyte_order!$C:$C)</f>
        <v>356-02-5</v>
      </c>
      <c r="M3837">
        <f>_xlfn.XLOOKUP(L3837,[2]analyte_order!$C:$C,[2]analyte_order!$E:$E)</f>
        <v>38</v>
      </c>
      <c r="N3837">
        <v>8.3500000000000005E-2</v>
      </c>
    </row>
    <row r="3838" spans="1:14">
      <c r="A3838" t="s">
        <v>161</v>
      </c>
      <c r="B3838" t="str">
        <f>_xlfn.XLOOKUP(A3838,'[1]Tissue Data'!$A:$A,'[1]Tissue Data'!$C:$C)</f>
        <v>Spill</v>
      </c>
      <c r="C3838" s="2">
        <f>_xlfn.XLOOKUP(A3838,'[1]Tissue Data'!$A:$A,'[1]Tissue Data'!$D:$D)</f>
        <v>44314</v>
      </c>
      <c r="D3838" s="2" t="s">
        <v>122</v>
      </c>
      <c r="E3838" t="str">
        <f>_xlfn.XLOOKUP(A3838,'[1]Tissue Data'!$A:$A,'[1]Tissue Data'!$H:$H)</f>
        <v>Etheostoma</v>
      </c>
      <c r="F3838" t="str">
        <f>_xlfn.XLOOKUP(A3838,'[1]Tissue Data'!$A:$A,'[1]Tissue Data'!$I:$I)</f>
        <v>olmstedi</v>
      </c>
      <c r="G3838" t="str">
        <f>_xlfn.XLOOKUP(A3838,'[1]Tissue Data'!$A:$A,'[1]Tissue Data'!J:J)</f>
        <v>U</v>
      </c>
      <c r="H3838" t="str">
        <f>_xlfn.XLOOKUP(A3838,'[1]Tissue Data'!$A:$A,'[1]Tissue Data'!K:K)</f>
        <v>Whole Body</v>
      </c>
      <c r="I3838">
        <f>_xlfn.XLOOKUP(A3838,'[1]Tissue Data'!$A:$A,'[1]Tissue Data'!L:L)</f>
        <v>7</v>
      </c>
      <c r="J3838">
        <f>_xlfn.XLOOKUP(A3838,'[1]Tissue Data'!$A:$A,'[1]Tissue Data'!M:M)</f>
        <v>3.15</v>
      </c>
      <c r="K3838" t="s">
        <v>48</v>
      </c>
      <c r="L3838" t="str">
        <f>_xlfn.XLOOKUP(K3838,[2]analyte_order!$B:$B,[2]analyte_order!$C:$C)</f>
        <v>914637-49-3</v>
      </c>
      <c r="M3838">
        <f>_xlfn.XLOOKUP(L3838,[2]analyte_order!$C:$C,[2]analyte_order!$E:$E)</f>
        <v>39</v>
      </c>
      <c r="N3838">
        <v>0.56899999999999995</v>
      </c>
    </row>
    <row r="3839" spans="1:14">
      <c r="A3839" t="s">
        <v>161</v>
      </c>
      <c r="B3839" t="str">
        <f>_xlfn.XLOOKUP(A3839,'[1]Tissue Data'!$A:$A,'[1]Tissue Data'!$C:$C)</f>
        <v>Spill</v>
      </c>
      <c r="C3839" s="2">
        <f>_xlfn.XLOOKUP(A3839,'[1]Tissue Data'!$A:$A,'[1]Tissue Data'!$D:$D)</f>
        <v>44314</v>
      </c>
      <c r="D3839" s="2" t="s">
        <v>122</v>
      </c>
      <c r="E3839" t="str">
        <f>_xlfn.XLOOKUP(A3839,'[1]Tissue Data'!$A:$A,'[1]Tissue Data'!$H:$H)</f>
        <v>Etheostoma</v>
      </c>
      <c r="F3839" t="str">
        <f>_xlfn.XLOOKUP(A3839,'[1]Tissue Data'!$A:$A,'[1]Tissue Data'!$I:$I)</f>
        <v>olmstedi</v>
      </c>
      <c r="G3839" t="str">
        <f>_xlfn.XLOOKUP(A3839,'[1]Tissue Data'!$A:$A,'[1]Tissue Data'!J:J)</f>
        <v>U</v>
      </c>
      <c r="H3839" t="str">
        <f>_xlfn.XLOOKUP(A3839,'[1]Tissue Data'!$A:$A,'[1]Tissue Data'!K:K)</f>
        <v>Whole Body</v>
      </c>
      <c r="I3839">
        <f>_xlfn.XLOOKUP(A3839,'[1]Tissue Data'!$A:$A,'[1]Tissue Data'!L:L)</f>
        <v>7</v>
      </c>
      <c r="J3839">
        <f>_xlfn.XLOOKUP(A3839,'[1]Tissue Data'!$A:$A,'[1]Tissue Data'!M:M)</f>
        <v>3.15</v>
      </c>
      <c r="K3839" t="s">
        <v>49</v>
      </c>
      <c r="L3839" t="str">
        <f>_xlfn.XLOOKUP(K3839,[2]analyte_order!$B:$B,[2]analyte_order!$C:$C)</f>
        <v>812-70-4</v>
      </c>
      <c r="M3839">
        <f>_xlfn.XLOOKUP(L3839,[2]analyte_order!$C:$C,[2]analyte_order!$E:$E)</f>
        <v>40</v>
      </c>
      <c r="N3839">
        <v>4.46</v>
      </c>
    </row>
    <row r="3840" spans="1:14">
      <c r="A3840" t="s">
        <v>161</v>
      </c>
      <c r="B3840" t="str">
        <f>_xlfn.XLOOKUP(A3840,'[1]Tissue Data'!$A:$A,'[1]Tissue Data'!$C:$C)</f>
        <v>Spill</v>
      </c>
      <c r="C3840" s="2">
        <f>_xlfn.XLOOKUP(A3840,'[1]Tissue Data'!$A:$A,'[1]Tissue Data'!$D:$D)</f>
        <v>44314</v>
      </c>
      <c r="D3840" s="2" t="s">
        <v>122</v>
      </c>
      <c r="E3840" t="str">
        <f>_xlfn.XLOOKUP(A3840,'[1]Tissue Data'!$A:$A,'[1]Tissue Data'!$H:$H)</f>
        <v>Etheostoma</v>
      </c>
      <c r="F3840" t="str">
        <f>_xlfn.XLOOKUP(A3840,'[1]Tissue Data'!$A:$A,'[1]Tissue Data'!$I:$I)</f>
        <v>olmstedi</v>
      </c>
      <c r="G3840" t="str">
        <f>_xlfn.XLOOKUP(A3840,'[1]Tissue Data'!$A:$A,'[1]Tissue Data'!J:J)</f>
        <v>U</v>
      </c>
      <c r="H3840" t="str">
        <f>_xlfn.XLOOKUP(A3840,'[1]Tissue Data'!$A:$A,'[1]Tissue Data'!K:K)</f>
        <v>Whole Body</v>
      </c>
      <c r="I3840">
        <f>_xlfn.XLOOKUP(A3840,'[1]Tissue Data'!$A:$A,'[1]Tissue Data'!L:L)</f>
        <v>7</v>
      </c>
      <c r="J3840">
        <f>_xlfn.XLOOKUP(A3840,'[1]Tissue Data'!$A:$A,'[1]Tissue Data'!M:M)</f>
        <v>3.15</v>
      </c>
      <c r="K3840" t="s">
        <v>50</v>
      </c>
      <c r="L3840" t="str">
        <f>_xlfn.XLOOKUP(K3840,[2]analyte_order!$B:$B,[2]analyte_order!$C:$C)</f>
        <v>53826-12-3</v>
      </c>
      <c r="M3840">
        <f>_xlfn.XLOOKUP(L3840,[2]analyte_order!$C:$C,[2]analyte_order!$E:$E)</f>
        <v>41</v>
      </c>
      <c r="N3840">
        <v>0.23949999999999999</v>
      </c>
    </row>
    <row r="3841" spans="1:14">
      <c r="A3841" t="s">
        <v>161</v>
      </c>
      <c r="B3841" t="str">
        <f>_xlfn.XLOOKUP(A3841,'[1]Tissue Data'!$A:$A,'[1]Tissue Data'!$C:$C)</f>
        <v>Spill</v>
      </c>
      <c r="C3841" s="2">
        <f>_xlfn.XLOOKUP(A3841,'[1]Tissue Data'!$A:$A,'[1]Tissue Data'!$D:$D)</f>
        <v>44314</v>
      </c>
      <c r="D3841" s="2" t="s">
        <v>122</v>
      </c>
      <c r="E3841" t="str">
        <f>_xlfn.XLOOKUP(A3841,'[1]Tissue Data'!$A:$A,'[1]Tissue Data'!$H:$H)</f>
        <v>Etheostoma</v>
      </c>
      <c r="F3841" t="str">
        <f>_xlfn.XLOOKUP(A3841,'[1]Tissue Data'!$A:$A,'[1]Tissue Data'!$I:$I)</f>
        <v>olmstedi</v>
      </c>
      <c r="G3841" t="str">
        <f>_xlfn.XLOOKUP(A3841,'[1]Tissue Data'!$A:$A,'[1]Tissue Data'!J:J)</f>
        <v>U</v>
      </c>
      <c r="H3841" t="str">
        <f>_xlfn.XLOOKUP(A3841,'[1]Tissue Data'!$A:$A,'[1]Tissue Data'!K:K)</f>
        <v>Whole Body</v>
      </c>
      <c r="I3841">
        <f>_xlfn.XLOOKUP(A3841,'[1]Tissue Data'!$A:$A,'[1]Tissue Data'!L:L)</f>
        <v>7</v>
      </c>
      <c r="J3841">
        <f>_xlfn.XLOOKUP(A3841,'[1]Tissue Data'!$A:$A,'[1]Tissue Data'!M:M)</f>
        <v>3.15</v>
      </c>
      <c r="K3841" t="s">
        <v>51</v>
      </c>
      <c r="L3841" t="str">
        <f>_xlfn.XLOOKUP(K3841,[2]analyte_order!$B:$B,[2]analyte_order!$C:$C)</f>
        <v>27854-31-5</v>
      </c>
      <c r="M3841">
        <f>_xlfn.XLOOKUP(L3841,[2]analyte_order!$C:$C,[2]analyte_order!$E:$E)</f>
        <v>42</v>
      </c>
      <c r="N3841">
        <v>0.73499999999999999</v>
      </c>
    </row>
    <row r="3842" spans="1:14">
      <c r="A3842" t="s">
        <v>161</v>
      </c>
      <c r="B3842" t="str">
        <f>_xlfn.XLOOKUP(A3842,'[1]Tissue Data'!$A:$A,'[1]Tissue Data'!$C:$C)</f>
        <v>Spill</v>
      </c>
      <c r="C3842" s="2">
        <f>_xlfn.XLOOKUP(A3842,'[1]Tissue Data'!$A:$A,'[1]Tissue Data'!$D:$D)</f>
        <v>44314</v>
      </c>
      <c r="D3842" s="2" t="s">
        <v>122</v>
      </c>
      <c r="E3842" t="str">
        <f>_xlfn.XLOOKUP(A3842,'[1]Tissue Data'!$A:$A,'[1]Tissue Data'!$H:$H)</f>
        <v>Etheostoma</v>
      </c>
      <c r="F3842" t="str">
        <f>_xlfn.XLOOKUP(A3842,'[1]Tissue Data'!$A:$A,'[1]Tissue Data'!$I:$I)</f>
        <v>olmstedi</v>
      </c>
      <c r="G3842" t="str">
        <f>_xlfn.XLOOKUP(A3842,'[1]Tissue Data'!$A:$A,'[1]Tissue Data'!J:J)</f>
        <v>U</v>
      </c>
      <c r="H3842" t="str">
        <f>_xlfn.XLOOKUP(A3842,'[1]Tissue Data'!$A:$A,'[1]Tissue Data'!K:K)</f>
        <v>Whole Body</v>
      </c>
      <c r="I3842">
        <f>_xlfn.XLOOKUP(A3842,'[1]Tissue Data'!$A:$A,'[1]Tissue Data'!L:L)</f>
        <v>7</v>
      </c>
      <c r="J3842">
        <f>_xlfn.XLOOKUP(A3842,'[1]Tissue Data'!$A:$A,'[1]Tissue Data'!M:M)</f>
        <v>3.15</v>
      </c>
      <c r="K3842" t="s">
        <v>52</v>
      </c>
      <c r="L3842" t="str">
        <f>_xlfn.XLOOKUP(K3842,[2]analyte_order!$B:$B,[2]analyte_order!$C:$C)</f>
        <v>53826-13-4</v>
      </c>
      <c r="M3842">
        <f>_xlfn.XLOOKUP(L3842,[2]analyte_order!$C:$C,[2]analyte_order!$E:$E)</f>
        <v>43</v>
      </c>
      <c r="N3842">
        <v>0.35699999999999998</v>
      </c>
    </row>
    <row r="3843" spans="1:14">
      <c r="A3843" t="s">
        <v>161</v>
      </c>
      <c r="B3843" t="str">
        <f>_xlfn.XLOOKUP(A3843,'[1]Tissue Data'!$A:$A,'[1]Tissue Data'!$C:$C)</f>
        <v>Spill</v>
      </c>
      <c r="C3843" s="2">
        <f>_xlfn.XLOOKUP(A3843,'[1]Tissue Data'!$A:$A,'[1]Tissue Data'!$D:$D)</f>
        <v>44314</v>
      </c>
      <c r="D3843" s="2" t="s">
        <v>122</v>
      </c>
      <c r="E3843" t="str">
        <f>_xlfn.XLOOKUP(A3843,'[1]Tissue Data'!$A:$A,'[1]Tissue Data'!$H:$H)</f>
        <v>Etheostoma</v>
      </c>
      <c r="F3843" t="str">
        <f>_xlfn.XLOOKUP(A3843,'[1]Tissue Data'!$A:$A,'[1]Tissue Data'!$I:$I)</f>
        <v>olmstedi</v>
      </c>
      <c r="G3843" t="str">
        <f>_xlfn.XLOOKUP(A3843,'[1]Tissue Data'!$A:$A,'[1]Tissue Data'!J:J)</f>
        <v>U</v>
      </c>
      <c r="H3843" t="str">
        <f>_xlfn.XLOOKUP(A3843,'[1]Tissue Data'!$A:$A,'[1]Tissue Data'!K:K)</f>
        <v>Whole Body</v>
      </c>
      <c r="I3843">
        <f>_xlfn.XLOOKUP(A3843,'[1]Tissue Data'!$A:$A,'[1]Tissue Data'!L:L)</f>
        <v>7</v>
      </c>
      <c r="J3843">
        <f>_xlfn.XLOOKUP(A3843,'[1]Tissue Data'!$A:$A,'[1]Tissue Data'!M:M)</f>
        <v>3.15</v>
      </c>
      <c r="K3843" t="s">
        <v>53</v>
      </c>
      <c r="L3843" t="str">
        <f>_xlfn.XLOOKUP(K3843,[2]analyte_order!$B:$B,[2]analyte_order!$C:$C)</f>
        <v>161094-75-3</v>
      </c>
      <c r="M3843">
        <f>_xlfn.XLOOKUP(L3843,[2]analyte_order!$C:$C,[2]analyte_order!$E:$E)</f>
        <v>44</v>
      </c>
      <c r="N3843">
        <v>5.7000000000000002E-2</v>
      </c>
    </row>
    <row r="3844" spans="1:14">
      <c r="A3844" t="s">
        <v>161</v>
      </c>
      <c r="B3844" t="str">
        <f>_xlfn.XLOOKUP(A3844,'[1]Tissue Data'!$A:$A,'[1]Tissue Data'!$C:$C)</f>
        <v>Spill</v>
      </c>
      <c r="C3844" s="2">
        <f>_xlfn.XLOOKUP(A3844,'[1]Tissue Data'!$A:$A,'[1]Tissue Data'!$D:$D)</f>
        <v>44314</v>
      </c>
      <c r="D3844" s="2" t="s">
        <v>122</v>
      </c>
      <c r="E3844" t="str">
        <f>_xlfn.XLOOKUP(A3844,'[1]Tissue Data'!$A:$A,'[1]Tissue Data'!$H:$H)</f>
        <v>Etheostoma</v>
      </c>
      <c r="F3844" t="str">
        <f>_xlfn.XLOOKUP(A3844,'[1]Tissue Data'!$A:$A,'[1]Tissue Data'!$I:$I)</f>
        <v>olmstedi</v>
      </c>
      <c r="G3844" t="str">
        <f>_xlfn.XLOOKUP(A3844,'[1]Tissue Data'!$A:$A,'[1]Tissue Data'!J:J)</f>
        <v>U</v>
      </c>
      <c r="H3844" t="str">
        <f>_xlfn.XLOOKUP(A3844,'[1]Tissue Data'!$A:$A,'[1]Tissue Data'!K:K)</f>
        <v>Whole Body</v>
      </c>
      <c r="I3844">
        <f>_xlfn.XLOOKUP(A3844,'[1]Tissue Data'!$A:$A,'[1]Tissue Data'!L:L)</f>
        <v>7</v>
      </c>
      <c r="J3844">
        <f>_xlfn.XLOOKUP(A3844,'[1]Tissue Data'!$A:$A,'[1]Tissue Data'!M:M)</f>
        <v>3.15</v>
      </c>
      <c r="K3844" t="s">
        <v>54</v>
      </c>
      <c r="L3844" t="str">
        <f>_xlfn.XLOOKUP(K3844,[2]analyte_order!$B:$B,[2]analyte_order!$C:$C)</f>
        <v>70887-84-2</v>
      </c>
      <c r="M3844">
        <f>_xlfn.XLOOKUP(L3844,[2]analyte_order!$C:$C,[2]analyte_order!$E:$E)</f>
        <v>45</v>
      </c>
      <c r="N3844">
        <v>4.3799999999999999E-2</v>
      </c>
    </row>
    <row r="3845" spans="1:14">
      <c r="A3845" t="s">
        <v>161</v>
      </c>
      <c r="B3845" t="str">
        <f>_xlfn.XLOOKUP(A3845,'[1]Tissue Data'!$A:$A,'[1]Tissue Data'!$C:$C)</f>
        <v>Spill</v>
      </c>
      <c r="C3845" s="2">
        <f>_xlfn.XLOOKUP(A3845,'[1]Tissue Data'!$A:$A,'[1]Tissue Data'!$D:$D)</f>
        <v>44314</v>
      </c>
      <c r="D3845" s="2" t="s">
        <v>122</v>
      </c>
      <c r="E3845" t="str">
        <f>_xlfn.XLOOKUP(A3845,'[1]Tissue Data'!$A:$A,'[1]Tissue Data'!$H:$H)</f>
        <v>Etheostoma</v>
      </c>
      <c r="F3845" t="str">
        <f>_xlfn.XLOOKUP(A3845,'[1]Tissue Data'!$A:$A,'[1]Tissue Data'!$I:$I)</f>
        <v>olmstedi</v>
      </c>
      <c r="G3845" t="str">
        <f>_xlfn.XLOOKUP(A3845,'[1]Tissue Data'!$A:$A,'[1]Tissue Data'!J:J)</f>
        <v>U</v>
      </c>
      <c r="H3845" t="str">
        <f>_xlfn.XLOOKUP(A3845,'[1]Tissue Data'!$A:$A,'[1]Tissue Data'!K:K)</f>
        <v>Whole Body</v>
      </c>
      <c r="I3845">
        <f>_xlfn.XLOOKUP(A3845,'[1]Tissue Data'!$A:$A,'[1]Tissue Data'!L:L)</f>
        <v>7</v>
      </c>
      <c r="J3845">
        <f>_xlfn.XLOOKUP(A3845,'[1]Tissue Data'!$A:$A,'[1]Tissue Data'!M:M)</f>
        <v>3.15</v>
      </c>
      <c r="K3845" t="s">
        <v>55</v>
      </c>
      <c r="L3845" t="str">
        <f>_xlfn.XLOOKUP(K3845,[2]analyte_order!$B:$B,[2]analyte_order!$C:$C)</f>
        <v>919005-14-4</v>
      </c>
      <c r="M3845">
        <f>_xlfn.XLOOKUP(L3845,[2]analyte_order!$C:$C,[2]analyte_order!$E:$E)</f>
        <v>35</v>
      </c>
      <c r="N3845">
        <v>7.2499999999999995E-2</v>
      </c>
    </row>
    <row r="3846" spans="1:14">
      <c r="A3846" t="s">
        <v>161</v>
      </c>
      <c r="B3846" t="str">
        <f>_xlfn.XLOOKUP(A3846,'[1]Tissue Data'!$A:$A,'[1]Tissue Data'!$C:$C)</f>
        <v>Spill</v>
      </c>
      <c r="C3846" s="2">
        <f>_xlfn.XLOOKUP(A3846,'[1]Tissue Data'!$A:$A,'[1]Tissue Data'!$D:$D)</f>
        <v>44314</v>
      </c>
      <c r="D3846" s="2" t="s">
        <v>122</v>
      </c>
      <c r="E3846" t="str">
        <f>_xlfn.XLOOKUP(A3846,'[1]Tissue Data'!$A:$A,'[1]Tissue Data'!$H:$H)</f>
        <v>Etheostoma</v>
      </c>
      <c r="F3846" t="str">
        <f>_xlfn.XLOOKUP(A3846,'[1]Tissue Data'!$A:$A,'[1]Tissue Data'!$I:$I)</f>
        <v>olmstedi</v>
      </c>
      <c r="G3846" t="str">
        <f>_xlfn.XLOOKUP(A3846,'[1]Tissue Data'!$A:$A,'[1]Tissue Data'!J:J)</f>
        <v>U</v>
      </c>
      <c r="H3846" t="str">
        <f>_xlfn.XLOOKUP(A3846,'[1]Tissue Data'!$A:$A,'[1]Tissue Data'!K:K)</f>
        <v>Whole Body</v>
      </c>
      <c r="I3846">
        <f>_xlfn.XLOOKUP(A3846,'[1]Tissue Data'!$A:$A,'[1]Tissue Data'!L:L)</f>
        <v>7</v>
      </c>
      <c r="J3846">
        <f>_xlfn.XLOOKUP(A3846,'[1]Tissue Data'!$A:$A,'[1]Tissue Data'!M:M)</f>
        <v>3.15</v>
      </c>
      <c r="K3846" t="s">
        <v>56</v>
      </c>
      <c r="L3846" t="str">
        <f>_xlfn.XLOOKUP(K3846,[2]analyte_order!$B:$B,[2]analyte_order!$C:$C)</f>
        <v>756426-58-1</v>
      </c>
      <c r="M3846">
        <f>_xlfn.XLOOKUP(L3846,[2]analyte_order!$C:$C,[2]analyte_order!$E:$E)</f>
        <v>36</v>
      </c>
      <c r="N3846">
        <v>7.2499999999999995E-2</v>
      </c>
    </row>
    <row r="3847" spans="1:14">
      <c r="A3847" t="s">
        <v>161</v>
      </c>
      <c r="B3847" t="str">
        <f>_xlfn.XLOOKUP(A3847,'[1]Tissue Data'!$A:$A,'[1]Tissue Data'!$C:$C)</f>
        <v>Spill</v>
      </c>
      <c r="C3847" s="2">
        <f>_xlfn.XLOOKUP(A3847,'[1]Tissue Data'!$A:$A,'[1]Tissue Data'!$D:$D)</f>
        <v>44314</v>
      </c>
      <c r="D3847" s="2" t="s">
        <v>122</v>
      </c>
      <c r="E3847" t="str">
        <f>_xlfn.XLOOKUP(A3847,'[1]Tissue Data'!$A:$A,'[1]Tissue Data'!$H:$H)</f>
        <v>Etheostoma</v>
      </c>
      <c r="F3847" t="str">
        <f>_xlfn.XLOOKUP(A3847,'[1]Tissue Data'!$A:$A,'[1]Tissue Data'!$I:$I)</f>
        <v>olmstedi</v>
      </c>
      <c r="G3847" t="str">
        <f>_xlfn.XLOOKUP(A3847,'[1]Tissue Data'!$A:$A,'[1]Tissue Data'!J:J)</f>
        <v>U</v>
      </c>
      <c r="H3847" t="str">
        <f>_xlfn.XLOOKUP(A3847,'[1]Tissue Data'!$A:$A,'[1]Tissue Data'!K:K)</f>
        <v>Whole Body</v>
      </c>
      <c r="I3847">
        <f>_xlfn.XLOOKUP(A3847,'[1]Tissue Data'!$A:$A,'[1]Tissue Data'!L:L)</f>
        <v>7</v>
      </c>
      <c r="J3847">
        <f>_xlfn.XLOOKUP(A3847,'[1]Tissue Data'!$A:$A,'[1]Tissue Data'!M:M)</f>
        <v>3.15</v>
      </c>
      <c r="K3847" t="s">
        <v>57</v>
      </c>
      <c r="L3847" t="str">
        <f>_xlfn.XLOOKUP(K3847,[2]analyte_order!$B:$B,[2]analyte_order!$C:$C)</f>
        <v>763051-92-9</v>
      </c>
      <c r="M3847">
        <f>_xlfn.XLOOKUP(L3847,[2]analyte_order!$C:$C,[2]analyte_order!$E:$E)</f>
        <v>37</v>
      </c>
      <c r="N3847">
        <v>7.2499999999999995E-2</v>
      </c>
    </row>
    <row r="3848" spans="1:14">
      <c r="A3848" t="s">
        <v>161</v>
      </c>
      <c r="B3848" t="str">
        <f>_xlfn.XLOOKUP(A3848,'[1]Tissue Data'!$A:$A,'[1]Tissue Data'!$C:$C)</f>
        <v>Spill</v>
      </c>
      <c r="C3848" s="2">
        <f>_xlfn.XLOOKUP(A3848,'[1]Tissue Data'!$A:$A,'[1]Tissue Data'!$D:$D)</f>
        <v>44314</v>
      </c>
      <c r="D3848" s="2" t="s">
        <v>122</v>
      </c>
      <c r="E3848" t="str">
        <f>_xlfn.XLOOKUP(A3848,'[1]Tissue Data'!$A:$A,'[1]Tissue Data'!$H:$H)</f>
        <v>Etheostoma</v>
      </c>
      <c r="F3848" t="str">
        <f>_xlfn.XLOOKUP(A3848,'[1]Tissue Data'!$A:$A,'[1]Tissue Data'!$I:$I)</f>
        <v>olmstedi</v>
      </c>
      <c r="G3848" t="str">
        <f>_xlfn.XLOOKUP(A3848,'[1]Tissue Data'!$A:$A,'[1]Tissue Data'!J:J)</f>
        <v>U</v>
      </c>
      <c r="H3848" t="str">
        <f>_xlfn.XLOOKUP(A3848,'[1]Tissue Data'!$A:$A,'[1]Tissue Data'!K:K)</f>
        <v>Whole Body</v>
      </c>
      <c r="I3848">
        <f>_xlfn.XLOOKUP(A3848,'[1]Tissue Data'!$A:$A,'[1]Tissue Data'!L:L)</f>
        <v>7</v>
      </c>
      <c r="J3848">
        <f>_xlfn.XLOOKUP(A3848,'[1]Tissue Data'!$A:$A,'[1]Tissue Data'!M:M)</f>
        <v>3.15</v>
      </c>
      <c r="K3848" t="s">
        <v>58</v>
      </c>
      <c r="L3848" t="str">
        <f>_xlfn.XLOOKUP(K3848,[2]analyte_order!$B:$B,[2]analyte_order!$C:$C)</f>
        <v>13252-13-6</v>
      </c>
      <c r="M3848">
        <f>_xlfn.XLOOKUP(L3848,[2]analyte_order!$C:$C,[2]analyte_order!$E:$E)</f>
        <v>34</v>
      </c>
      <c r="N3848">
        <v>0.104</v>
      </c>
    </row>
    <row r="3849" spans="1:14">
      <c r="A3849" t="s">
        <v>161</v>
      </c>
      <c r="B3849" t="str">
        <f>_xlfn.XLOOKUP(A3849,'[1]Tissue Data'!$A:$A,'[1]Tissue Data'!$C:$C)</f>
        <v>Spill</v>
      </c>
      <c r="C3849" s="2">
        <f>_xlfn.XLOOKUP(A3849,'[1]Tissue Data'!$A:$A,'[1]Tissue Data'!$D:$D)</f>
        <v>44314</v>
      </c>
      <c r="D3849" s="2" t="s">
        <v>122</v>
      </c>
      <c r="E3849" t="str">
        <f>_xlfn.XLOOKUP(A3849,'[1]Tissue Data'!$A:$A,'[1]Tissue Data'!$H:$H)</f>
        <v>Etheostoma</v>
      </c>
      <c r="F3849" t="str">
        <f>_xlfn.XLOOKUP(A3849,'[1]Tissue Data'!$A:$A,'[1]Tissue Data'!$I:$I)</f>
        <v>olmstedi</v>
      </c>
      <c r="G3849" t="str">
        <f>_xlfn.XLOOKUP(A3849,'[1]Tissue Data'!$A:$A,'[1]Tissue Data'!J:J)</f>
        <v>U</v>
      </c>
      <c r="H3849" t="str">
        <f>_xlfn.XLOOKUP(A3849,'[1]Tissue Data'!$A:$A,'[1]Tissue Data'!K:K)</f>
        <v>Whole Body</v>
      </c>
      <c r="I3849">
        <f>_xlfn.XLOOKUP(A3849,'[1]Tissue Data'!$A:$A,'[1]Tissue Data'!L:L)</f>
        <v>7</v>
      </c>
      <c r="J3849">
        <f>_xlfn.XLOOKUP(A3849,'[1]Tissue Data'!$A:$A,'[1]Tissue Data'!M:M)</f>
        <v>3.15</v>
      </c>
      <c r="K3849" t="s">
        <v>59</v>
      </c>
      <c r="L3849" t="str">
        <f>_xlfn.XLOOKUP(K3849,[2]analyte_order!$B:$B,[2]analyte_order!$C:$C)</f>
        <v>57677-95-9</v>
      </c>
      <c r="M3849">
        <f>_xlfn.XLOOKUP(L3849,[2]analyte_order!$C:$C,[2]analyte_order!$E:$E)</f>
        <v>46</v>
      </c>
      <c r="N3849">
        <v>7.7499999999999999E-2</v>
      </c>
    </row>
    <row r="3850" spans="1:14">
      <c r="A3850" t="s">
        <v>161</v>
      </c>
      <c r="B3850" t="str">
        <f>_xlfn.XLOOKUP(A3850,'[1]Tissue Data'!$A:$A,'[1]Tissue Data'!$C:$C)</f>
        <v>Spill</v>
      </c>
      <c r="C3850" s="2">
        <f>_xlfn.XLOOKUP(A3850,'[1]Tissue Data'!$A:$A,'[1]Tissue Data'!$D:$D)</f>
        <v>44314</v>
      </c>
      <c r="D3850" s="2" t="s">
        <v>122</v>
      </c>
      <c r="E3850" t="str">
        <f>_xlfn.XLOOKUP(A3850,'[1]Tissue Data'!$A:$A,'[1]Tissue Data'!$H:$H)</f>
        <v>Etheostoma</v>
      </c>
      <c r="F3850" t="str">
        <f>_xlfn.XLOOKUP(A3850,'[1]Tissue Data'!$A:$A,'[1]Tissue Data'!$I:$I)</f>
        <v>olmstedi</v>
      </c>
      <c r="G3850" t="str">
        <f>_xlfn.XLOOKUP(A3850,'[1]Tissue Data'!$A:$A,'[1]Tissue Data'!J:J)</f>
        <v>U</v>
      </c>
      <c r="H3850" t="str">
        <f>_xlfn.XLOOKUP(A3850,'[1]Tissue Data'!$A:$A,'[1]Tissue Data'!K:K)</f>
        <v>Whole Body</v>
      </c>
      <c r="I3850">
        <f>_xlfn.XLOOKUP(A3850,'[1]Tissue Data'!$A:$A,'[1]Tissue Data'!L:L)</f>
        <v>7</v>
      </c>
      <c r="J3850">
        <f>_xlfn.XLOOKUP(A3850,'[1]Tissue Data'!$A:$A,'[1]Tissue Data'!M:M)</f>
        <v>3.15</v>
      </c>
      <c r="K3850" t="s">
        <v>60</v>
      </c>
      <c r="L3850" t="str">
        <f>_xlfn.XLOOKUP(K3850,[2]analyte_order!$B:$B,[2]analyte_order!$C:$C)</f>
        <v>678-41-1</v>
      </c>
      <c r="M3850">
        <f>_xlfn.XLOOKUP(L3850,[2]analyte_order!$C:$C,[2]analyte_order!$E:$E)</f>
        <v>56</v>
      </c>
      <c r="N3850">
        <v>9.6000000000000002E-2</v>
      </c>
    </row>
    <row r="3851" spans="1:14">
      <c r="A3851" t="s">
        <v>161</v>
      </c>
      <c r="B3851" t="str">
        <f>_xlfn.XLOOKUP(A3851,'[1]Tissue Data'!$A:$A,'[1]Tissue Data'!$C:$C)</f>
        <v>Spill</v>
      </c>
      <c r="C3851" s="2">
        <f>_xlfn.XLOOKUP(A3851,'[1]Tissue Data'!$A:$A,'[1]Tissue Data'!$D:$D)</f>
        <v>44314</v>
      </c>
      <c r="D3851" s="2" t="s">
        <v>122</v>
      </c>
      <c r="E3851" t="str">
        <f>_xlfn.XLOOKUP(A3851,'[1]Tissue Data'!$A:$A,'[1]Tissue Data'!$H:$H)</f>
        <v>Etheostoma</v>
      </c>
      <c r="F3851" t="str">
        <f>_xlfn.XLOOKUP(A3851,'[1]Tissue Data'!$A:$A,'[1]Tissue Data'!$I:$I)</f>
        <v>olmstedi</v>
      </c>
      <c r="G3851" t="str">
        <f>_xlfn.XLOOKUP(A3851,'[1]Tissue Data'!$A:$A,'[1]Tissue Data'!J:J)</f>
        <v>U</v>
      </c>
      <c r="H3851" t="str">
        <f>_xlfn.XLOOKUP(A3851,'[1]Tissue Data'!$A:$A,'[1]Tissue Data'!K:K)</f>
        <v>Whole Body</v>
      </c>
      <c r="I3851">
        <f>_xlfn.XLOOKUP(A3851,'[1]Tissue Data'!$A:$A,'[1]Tissue Data'!L:L)</f>
        <v>7</v>
      </c>
      <c r="J3851">
        <f>_xlfn.XLOOKUP(A3851,'[1]Tissue Data'!$A:$A,'[1]Tissue Data'!M:M)</f>
        <v>3.15</v>
      </c>
      <c r="K3851" t="s">
        <v>61</v>
      </c>
      <c r="L3851" t="str">
        <f>_xlfn.XLOOKUP(K3851,[2]analyte_order!$B:$B,[2]analyte_order!$C:$C)</f>
        <v>2965-52-8</v>
      </c>
      <c r="M3851">
        <f>_xlfn.XLOOKUP(L3851,[2]analyte_order!$C:$C,[2]analyte_order!$E:$E)</f>
        <v>57</v>
      </c>
      <c r="N3851">
        <v>0.1275</v>
      </c>
    </row>
    <row r="3852" spans="1:14">
      <c r="A3852" t="s">
        <v>162</v>
      </c>
      <c r="B3852" t="str">
        <f>_xlfn.XLOOKUP(A3852,'[1]Tissue Data'!$A:$A,'[1]Tissue Data'!$C:$C)</f>
        <v>Spill</v>
      </c>
      <c r="C3852" s="2">
        <f>_xlfn.XLOOKUP(A3852,'[1]Tissue Data'!$A:$A,'[1]Tissue Data'!$D:$D)</f>
        <v>44314</v>
      </c>
      <c r="D3852" s="2" t="s">
        <v>122</v>
      </c>
      <c r="E3852" t="str">
        <f>_xlfn.XLOOKUP(A3852,'[1]Tissue Data'!$A:$A,'[1]Tissue Data'!$H:$H)</f>
        <v>Etheostoma</v>
      </c>
      <c r="F3852" t="str">
        <f>_xlfn.XLOOKUP(A3852,'[1]Tissue Data'!$A:$A,'[1]Tissue Data'!$I:$I)</f>
        <v>olmstedi</v>
      </c>
      <c r="G3852" t="str">
        <f>_xlfn.XLOOKUP(A3852,'[1]Tissue Data'!$A:$A,'[1]Tissue Data'!J:J)</f>
        <v>U</v>
      </c>
      <c r="H3852" t="str">
        <f>_xlfn.XLOOKUP(A3852,'[1]Tissue Data'!$A:$A,'[1]Tissue Data'!K:K)</f>
        <v>Whole Body</v>
      </c>
      <c r="I3852">
        <f>_xlfn.XLOOKUP(A3852,'[1]Tissue Data'!$A:$A,'[1]Tissue Data'!L:L)</f>
        <v>6.5</v>
      </c>
      <c r="J3852">
        <f>_xlfn.XLOOKUP(A3852,'[1]Tissue Data'!$A:$A,'[1]Tissue Data'!M:M)</f>
        <v>2.6</v>
      </c>
      <c r="K3852" t="s">
        <v>12</v>
      </c>
      <c r="L3852" t="str">
        <f>_xlfn.XLOOKUP(K3852,[2]analyte_order!$B:$B,[2]analyte_order!$C:$C)</f>
        <v>375-22-4</v>
      </c>
      <c r="M3852">
        <f>_xlfn.XLOOKUP(L3852,[2]analyte_order!$C:$C,[2]analyte_order!$E:$E)</f>
        <v>1</v>
      </c>
      <c r="N3852">
        <v>0.2215</v>
      </c>
    </row>
    <row r="3853" spans="1:14">
      <c r="A3853" t="s">
        <v>162</v>
      </c>
      <c r="B3853" t="str">
        <f>_xlfn.XLOOKUP(A3853,'[1]Tissue Data'!$A:$A,'[1]Tissue Data'!$C:$C)</f>
        <v>Spill</v>
      </c>
      <c r="C3853" s="2">
        <f>_xlfn.XLOOKUP(A3853,'[1]Tissue Data'!$A:$A,'[1]Tissue Data'!$D:$D)</f>
        <v>44314</v>
      </c>
      <c r="D3853" s="2" t="s">
        <v>122</v>
      </c>
      <c r="E3853" t="str">
        <f>_xlfn.XLOOKUP(A3853,'[1]Tissue Data'!$A:$A,'[1]Tissue Data'!$H:$H)</f>
        <v>Etheostoma</v>
      </c>
      <c r="F3853" t="str">
        <f>_xlfn.XLOOKUP(A3853,'[1]Tissue Data'!$A:$A,'[1]Tissue Data'!$I:$I)</f>
        <v>olmstedi</v>
      </c>
      <c r="G3853" t="str">
        <f>_xlfn.XLOOKUP(A3853,'[1]Tissue Data'!$A:$A,'[1]Tissue Data'!J:J)</f>
        <v>U</v>
      </c>
      <c r="H3853" t="str">
        <f>_xlfn.XLOOKUP(A3853,'[1]Tissue Data'!$A:$A,'[1]Tissue Data'!K:K)</f>
        <v>Whole Body</v>
      </c>
      <c r="I3853">
        <f>_xlfn.XLOOKUP(A3853,'[1]Tissue Data'!$A:$A,'[1]Tissue Data'!L:L)</f>
        <v>6.5</v>
      </c>
      <c r="J3853">
        <f>_xlfn.XLOOKUP(A3853,'[1]Tissue Data'!$A:$A,'[1]Tissue Data'!M:M)</f>
        <v>2.6</v>
      </c>
      <c r="K3853" t="s">
        <v>13</v>
      </c>
      <c r="L3853" t="str">
        <f>_xlfn.XLOOKUP(K3853,[2]analyte_order!$B:$B,[2]analyte_order!$C:$C)</f>
        <v>2706-90-3</v>
      </c>
      <c r="M3853">
        <f>_xlfn.XLOOKUP(L3853,[2]analyte_order!$C:$C,[2]analyte_order!$E:$E)</f>
        <v>2</v>
      </c>
      <c r="N3853">
        <v>0.1565</v>
      </c>
    </row>
    <row r="3854" spans="1:14">
      <c r="A3854" t="s">
        <v>162</v>
      </c>
      <c r="B3854" t="str">
        <f>_xlfn.XLOOKUP(A3854,'[1]Tissue Data'!$A:$A,'[1]Tissue Data'!$C:$C)</f>
        <v>Spill</v>
      </c>
      <c r="C3854" s="2">
        <f>_xlfn.XLOOKUP(A3854,'[1]Tissue Data'!$A:$A,'[1]Tissue Data'!$D:$D)</f>
        <v>44314</v>
      </c>
      <c r="D3854" s="2" t="s">
        <v>122</v>
      </c>
      <c r="E3854" t="str">
        <f>_xlfn.XLOOKUP(A3854,'[1]Tissue Data'!$A:$A,'[1]Tissue Data'!$H:$H)</f>
        <v>Etheostoma</v>
      </c>
      <c r="F3854" t="str">
        <f>_xlfn.XLOOKUP(A3854,'[1]Tissue Data'!$A:$A,'[1]Tissue Data'!$I:$I)</f>
        <v>olmstedi</v>
      </c>
      <c r="G3854" t="str">
        <f>_xlfn.XLOOKUP(A3854,'[1]Tissue Data'!$A:$A,'[1]Tissue Data'!J:J)</f>
        <v>U</v>
      </c>
      <c r="H3854" t="str">
        <f>_xlfn.XLOOKUP(A3854,'[1]Tissue Data'!$A:$A,'[1]Tissue Data'!K:K)</f>
        <v>Whole Body</v>
      </c>
      <c r="I3854">
        <f>_xlfn.XLOOKUP(A3854,'[1]Tissue Data'!$A:$A,'[1]Tissue Data'!L:L)</f>
        <v>6.5</v>
      </c>
      <c r="J3854">
        <f>_xlfn.XLOOKUP(A3854,'[1]Tissue Data'!$A:$A,'[1]Tissue Data'!M:M)</f>
        <v>2.6</v>
      </c>
      <c r="K3854" t="s">
        <v>14</v>
      </c>
      <c r="L3854" t="str">
        <f>_xlfn.XLOOKUP(K3854,[2]analyte_order!$B:$B,[2]analyte_order!$C:$C)</f>
        <v>307-24-4</v>
      </c>
      <c r="M3854">
        <f>_xlfn.XLOOKUP(L3854,[2]analyte_order!$C:$C,[2]analyte_order!$E:$E)</f>
        <v>3</v>
      </c>
      <c r="N3854">
        <v>0.751</v>
      </c>
    </row>
    <row r="3855" spans="1:14">
      <c r="A3855" t="s">
        <v>162</v>
      </c>
      <c r="B3855" t="str">
        <f>_xlfn.XLOOKUP(A3855,'[1]Tissue Data'!$A:$A,'[1]Tissue Data'!$C:$C)</f>
        <v>Spill</v>
      </c>
      <c r="C3855" s="2">
        <f>_xlfn.XLOOKUP(A3855,'[1]Tissue Data'!$A:$A,'[1]Tissue Data'!$D:$D)</f>
        <v>44314</v>
      </c>
      <c r="D3855" s="2" t="s">
        <v>122</v>
      </c>
      <c r="E3855" t="str">
        <f>_xlfn.XLOOKUP(A3855,'[1]Tissue Data'!$A:$A,'[1]Tissue Data'!$H:$H)</f>
        <v>Etheostoma</v>
      </c>
      <c r="F3855" t="str">
        <f>_xlfn.XLOOKUP(A3855,'[1]Tissue Data'!$A:$A,'[1]Tissue Data'!$I:$I)</f>
        <v>olmstedi</v>
      </c>
      <c r="G3855" t="str">
        <f>_xlfn.XLOOKUP(A3855,'[1]Tissue Data'!$A:$A,'[1]Tissue Data'!J:J)</f>
        <v>U</v>
      </c>
      <c r="H3855" t="str">
        <f>_xlfn.XLOOKUP(A3855,'[1]Tissue Data'!$A:$A,'[1]Tissue Data'!K:K)</f>
        <v>Whole Body</v>
      </c>
      <c r="I3855">
        <f>_xlfn.XLOOKUP(A3855,'[1]Tissue Data'!$A:$A,'[1]Tissue Data'!L:L)</f>
        <v>6.5</v>
      </c>
      <c r="J3855">
        <f>_xlfn.XLOOKUP(A3855,'[1]Tissue Data'!$A:$A,'[1]Tissue Data'!M:M)</f>
        <v>2.6</v>
      </c>
      <c r="K3855" t="s">
        <v>15</v>
      </c>
      <c r="L3855" t="str">
        <f>_xlfn.XLOOKUP(K3855,[2]analyte_order!$B:$B,[2]analyte_order!$C:$C)</f>
        <v>375-85-9</v>
      </c>
      <c r="M3855">
        <f>_xlfn.XLOOKUP(L3855,[2]analyte_order!$C:$C,[2]analyte_order!$E:$E)</f>
        <v>4</v>
      </c>
      <c r="N3855">
        <v>0.30199999999999999</v>
      </c>
    </row>
    <row r="3856" spans="1:14">
      <c r="A3856" t="s">
        <v>162</v>
      </c>
      <c r="B3856" t="str">
        <f>_xlfn.XLOOKUP(A3856,'[1]Tissue Data'!$A:$A,'[1]Tissue Data'!$C:$C)</f>
        <v>Spill</v>
      </c>
      <c r="C3856" s="2">
        <f>_xlfn.XLOOKUP(A3856,'[1]Tissue Data'!$A:$A,'[1]Tissue Data'!$D:$D)</f>
        <v>44314</v>
      </c>
      <c r="D3856" s="2" t="s">
        <v>122</v>
      </c>
      <c r="E3856" t="str">
        <f>_xlfn.XLOOKUP(A3856,'[1]Tissue Data'!$A:$A,'[1]Tissue Data'!$H:$H)</f>
        <v>Etheostoma</v>
      </c>
      <c r="F3856" t="str">
        <f>_xlfn.XLOOKUP(A3856,'[1]Tissue Data'!$A:$A,'[1]Tissue Data'!$I:$I)</f>
        <v>olmstedi</v>
      </c>
      <c r="G3856" t="str">
        <f>_xlfn.XLOOKUP(A3856,'[1]Tissue Data'!$A:$A,'[1]Tissue Data'!J:J)</f>
        <v>U</v>
      </c>
      <c r="H3856" t="str">
        <f>_xlfn.XLOOKUP(A3856,'[1]Tissue Data'!$A:$A,'[1]Tissue Data'!K:K)</f>
        <v>Whole Body</v>
      </c>
      <c r="I3856">
        <f>_xlfn.XLOOKUP(A3856,'[1]Tissue Data'!$A:$A,'[1]Tissue Data'!L:L)</f>
        <v>6.5</v>
      </c>
      <c r="J3856">
        <f>_xlfn.XLOOKUP(A3856,'[1]Tissue Data'!$A:$A,'[1]Tissue Data'!M:M)</f>
        <v>2.6</v>
      </c>
      <c r="K3856" t="s">
        <v>16</v>
      </c>
      <c r="L3856" t="str">
        <f>_xlfn.XLOOKUP(K3856,[2]analyte_order!$B:$B,[2]analyte_order!$C:$C)</f>
        <v>335-67-1</v>
      </c>
      <c r="M3856">
        <f>_xlfn.XLOOKUP(L3856,[2]analyte_order!$C:$C,[2]analyte_order!$E:$E)</f>
        <v>5</v>
      </c>
      <c r="N3856">
        <v>4.8499999999999996</v>
      </c>
    </row>
    <row r="3857" spans="1:14">
      <c r="A3857" t="s">
        <v>162</v>
      </c>
      <c r="B3857" t="str">
        <f>_xlfn.XLOOKUP(A3857,'[1]Tissue Data'!$A:$A,'[1]Tissue Data'!$C:$C)</f>
        <v>Spill</v>
      </c>
      <c r="C3857" s="2">
        <f>_xlfn.XLOOKUP(A3857,'[1]Tissue Data'!$A:$A,'[1]Tissue Data'!$D:$D)</f>
        <v>44314</v>
      </c>
      <c r="D3857" s="2" t="s">
        <v>122</v>
      </c>
      <c r="E3857" t="str">
        <f>_xlfn.XLOOKUP(A3857,'[1]Tissue Data'!$A:$A,'[1]Tissue Data'!$H:$H)</f>
        <v>Etheostoma</v>
      </c>
      <c r="F3857" t="str">
        <f>_xlfn.XLOOKUP(A3857,'[1]Tissue Data'!$A:$A,'[1]Tissue Data'!$I:$I)</f>
        <v>olmstedi</v>
      </c>
      <c r="G3857" t="str">
        <f>_xlfn.XLOOKUP(A3857,'[1]Tissue Data'!$A:$A,'[1]Tissue Data'!J:J)</f>
        <v>U</v>
      </c>
      <c r="H3857" t="str">
        <f>_xlfn.XLOOKUP(A3857,'[1]Tissue Data'!$A:$A,'[1]Tissue Data'!K:K)</f>
        <v>Whole Body</v>
      </c>
      <c r="I3857">
        <f>_xlfn.XLOOKUP(A3857,'[1]Tissue Data'!$A:$A,'[1]Tissue Data'!L:L)</f>
        <v>6.5</v>
      </c>
      <c r="J3857">
        <f>_xlfn.XLOOKUP(A3857,'[1]Tissue Data'!$A:$A,'[1]Tissue Data'!M:M)</f>
        <v>2.6</v>
      </c>
      <c r="K3857" t="s">
        <v>17</v>
      </c>
      <c r="L3857" t="str">
        <f>_xlfn.XLOOKUP(K3857,[2]analyte_order!$B:$B,[2]analyte_order!$C:$C)</f>
        <v>375-95-1</v>
      </c>
      <c r="M3857">
        <f>_xlfn.XLOOKUP(L3857,[2]analyte_order!$C:$C,[2]analyte_order!$E:$E)</f>
        <v>6</v>
      </c>
      <c r="N3857">
        <v>2.86</v>
      </c>
    </row>
    <row r="3858" spans="1:14">
      <c r="A3858" t="s">
        <v>162</v>
      </c>
      <c r="B3858" t="str">
        <f>_xlfn.XLOOKUP(A3858,'[1]Tissue Data'!$A:$A,'[1]Tissue Data'!$C:$C)</f>
        <v>Spill</v>
      </c>
      <c r="C3858" s="2">
        <f>_xlfn.XLOOKUP(A3858,'[1]Tissue Data'!$A:$A,'[1]Tissue Data'!$D:$D)</f>
        <v>44314</v>
      </c>
      <c r="D3858" s="2" t="s">
        <v>122</v>
      </c>
      <c r="E3858" t="str">
        <f>_xlfn.XLOOKUP(A3858,'[1]Tissue Data'!$A:$A,'[1]Tissue Data'!$H:$H)</f>
        <v>Etheostoma</v>
      </c>
      <c r="F3858" t="str">
        <f>_xlfn.XLOOKUP(A3858,'[1]Tissue Data'!$A:$A,'[1]Tissue Data'!$I:$I)</f>
        <v>olmstedi</v>
      </c>
      <c r="G3858" t="str">
        <f>_xlfn.XLOOKUP(A3858,'[1]Tissue Data'!$A:$A,'[1]Tissue Data'!J:J)</f>
        <v>U</v>
      </c>
      <c r="H3858" t="str">
        <f>_xlfn.XLOOKUP(A3858,'[1]Tissue Data'!$A:$A,'[1]Tissue Data'!K:K)</f>
        <v>Whole Body</v>
      </c>
      <c r="I3858">
        <f>_xlfn.XLOOKUP(A3858,'[1]Tissue Data'!$A:$A,'[1]Tissue Data'!L:L)</f>
        <v>6.5</v>
      </c>
      <c r="J3858">
        <f>_xlfn.XLOOKUP(A3858,'[1]Tissue Data'!$A:$A,'[1]Tissue Data'!M:M)</f>
        <v>2.6</v>
      </c>
      <c r="K3858" t="s">
        <v>18</v>
      </c>
      <c r="L3858" t="str">
        <f>_xlfn.XLOOKUP(K3858,[2]analyte_order!$B:$B,[2]analyte_order!$C:$C)</f>
        <v>335-76-2</v>
      </c>
      <c r="M3858">
        <f>_xlfn.XLOOKUP(L3858,[2]analyte_order!$C:$C,[2]analyte_order!$E:$E)</f>
        <v>7</v>
      </c>
      <c r="N3858">
        <v>3.13</v>
      </c>
    </row>
    <row r="3859" spans="1:14">
      <c r="A3859" t="s">
        <v>162</v>
      </c>
      <c r="B3859" t="str">
        <f>_xlfn.XLOOKUP(A3859,'[1]Tissue Data'!$A:$A,'[1]Tissue Data'!$C:$C)</f>
        <v>Spill</v>
      </c>
      <c r="C3859" s="2">
        <f>_xlfn.XLOOKUP(A3859,'[1]Tissue Data'!$A:$A,'[1]Tissue Data'!$D:$D)</f>
        <v>44314</v>
      </c>
      <c r="D3859" s="2" t="s">
        <v>122</v>
      </c>
      <c r="E3859" t="str">
        <f>_xlfn.XLOOKUP(A3859,'[1]Tissue Data'!$A:$A,'[1]Tissue Data'!$H:$H)</f>
        <v>Etheostoma</v>
      </c>
      <c r="F3859" t="str">
        <f>_xlfn.XLOOKUP(A3859,'[1]Tissue Data'!$A:$A,'[1]Tissue Data'!$I:$I)</f>
        <v>olmstedi</v>
      </c>
      <c r="G3859" t="str">
        <f>_xlfn.XLOOKUP(A3859,'[1]Tissue Data'!$A:$A,'[1]Tissue Data'!J:J)</f>
        <v>U</v>
      </c>
      <c r="H3859" t="str">
        <f>_xlfn.XLOOKUP(A3859,'[1]Tissue Data'!$A:$A,'[1]Tissue Data'!K:K)</f>
        <v>Whole Body</v>
      </c>
      <c r="I3859">
        <f>_xlfn.XLOOKUP(A3859,'[1]Tissue Data'!$A:$A,'[1]Tissue Data'!L:L)</f>
        <v>6.5</v>
      </c>
      <c r="J3859">
        <f>_xlfn.XLOOKUP(A3859,'[1]Tissue Data'!$A:$A,'[1]Tissue Data'!M:M)</f>
        <v>2.6</v>
      </c>
      <c r="K3859" t="s">
        <v>19</v>
      </c>
      <c r="L3859" t="str">
        <f>_xlfn.XLOOKUP(K3859,[2]analyte_order!$B:$B,[2]analyte_order!$C:$C)</f>
        <v>2058-94-8</v>
      </c>
      <c r="M3859">
        <f>_xlfn.XLOOKUP(L3859,[2]analyte_order!$C:$C,[2]analyte_order!$E:$E)</f>
        <v>8</v>
      </c>
      <c r="N3859">
        <v>3.22</v>
      </c>
    </row>
    <row r="3860" spans="1:14">
      <c r="A3860" t="s">
        <v>162</v>
      </c>
      <c r="B3860" t="str">
        <f>_xlfn.XLOOKUP(A3860,'[1]Tissue Data'!$A:$A,'[1]Tissue Data'!$C:$C)</f>
        <v>Spill</v>
      </c>
      <c r="C3860" s="2">
        <f>_xlfn.XLOOKUP(A3860,'[1]Tissue Data'!$A:$A,'[1]Tissue Data'!$D:$D)</f>
        <v>44314</v>
      </c>
      <c r="D3860" s="2" t="s">
        <v>122</v>
      </c>
      <c r="E3860" t="str">
        <f>_xlfn.XLOOKUP(A3860,'[1]Tissue Data'!$A:$A,'[1]Tissue Data'!$H:$H)</f>
        <v>Etheostoma</v>
      </c>
      <c r="F3860" t="str">
        <f>_xlfn.XLOOKUP(A3860,'[1]Tissue Data'!$A:$A,'[1]Tissue Data'!$I:$I)</f>
        <v>olmstedi</v>
      </c>
      <c r="G3860" t="str">
        <f>_xlfn.XLOOKUP(A3860,'[1]Tissue Data'!$A:$A,'[1]Tissue Data'!J:J)</f>
        <v>U</v>
      </c>
      <c r="H3860" t="str">
        <f>_xlfn.XLOOKUP(A3860,'[1]Tissue Data'!$A:$A,'[1]Tissue Data'!K:K)</f>
        <v>Whole Body</v>
      </c>
      <c r="I3860">
        <f>_xlfn.XLOOKUP(A3860,'[1]Tissue Data'!$A:$A,'[1]Tissue Data'!L:L)</f>
        <v>6.5</v>
      </c>
      <c r="J3860">
        <f>_xlfn.XLOOKUP(A3860,'[1]Tissue Data'!$A:$A,'[1]Tissue Data'!M:M)</f>
        <v>2.6</v>
      </c>
      <c r="K3860" t="s">
        <v>20</v>
      </c>
      <c r="L3860" t="str">
        <f>_xlfn.XLOOKUP(K3860,[2]analyte_order!$B:$B,[2]analyte_order!$C:$C)</f>
        <v>307-55-1</v>
      </c>
      <c r="M3860">
        <f>_xlfn.XLOOKUP(L3860,[2]analyte_order!$C:$C,[2]analyte_order!$E:$E)</f>
        <v>9</v>
      </c>
      <c r="N3860">
        <v>6.8</v>
      </c>
    </row>
    <row r="3861" spans="1:14">
      <c r="A3861" t="s">
        <v>162</v>
      </c>
      <c r="B3861" t="str">
        <f>_xlfn.XLOOKUP(A3861,'[1]Tissue Data'!$A:$A,'[1]Tissue Data'!$C:$C)</f>
        <v>Spill</v>
      </c>
      <c r="C3861" s="2">
        <f>_xlfn.XLOOKUP(A3861,'[1]Tissue Data'!$A:$A,'[1]Tissue Data'!$D:$D)</f>
        <v>44314</v>
      </c>
      <c r="D3861" s="2" t="s">
        <v>122</v>
      </c>
      <c r="E3861" t="str">
        <f>_xlfn.XLOOKUP(A3861,'[1]Tissue Data'!$A:$A,'[1]Tissue Data'!$H:$H)</f>
        <v>Etheostoma</v>
      </c>
      <c r="F3861" t="str">
        <f>_xlfn.XLOOKUP(A3861,'[1]Tissue Data'!$A:$A,'[1]Tissue Data'!$I:$I)</f>
        <v>olmstedi</v>
      </c>
      <c r="G3861" t="str">
        <f>_xlfn.XLOOKUP(A3861,'[1]Tissue Data'!$A:$A,'[1]Tissue Data'!J:J)</f>
        <v>U</v>
      </c>
      <c r="H3861" t="str">
        <f>_xlfn.XLOOKUP(A3861,'[1]Tissue Data'!$A:$A,'[1]Tissue Data'!K:K)</f>
        <v>Whole Body</v>
      </c>
      <c r="I3861">
        <f>_xlfn.XLOOKUP(A3861,'[1]Tissue Data'!$A:$A,'[1]Tissue Data'!L:L)</f>
        <v>6.5</v>
      </c>
      <c r="J3861">
        <f>_xlfn.XLOOKUP(A3861,'[1]Tissue Data'!$A:$A,'[1]Tissue Data'!M:M)</f>
        <v>2.6</v>
      </c>
      <c r="K3861" t="s">
        <v>21</v>
      </c>
      <c r="L3861" t="str">
        <f>_xlfn.XLOOKUP(K3861,[2]analyte_order!$B:$B,[2]analyte_order!$C:$C)</f>
        <v>72629-94-8</v>
      </c>
      <c r="M3861">
        <f>_xlfn.XLOOKUP(L3861,[2]analyte_order!$C:$C,[2]analyte_order!$E:$E)</f>
        <v>10</v>
      </c>
      <c r="N3861">
        <v>2.48</v>
      </c>
    </row>
    <row r="3862" spans="1:14">
      <c r="A3862" t="s">
        <v>162</v>
      </c>
      <c r="B3862" t="str">
        <f>_xlfn.XLOOKUP(A3862,'[1]Tissue Data'!$A:$A,'[1]Tissue Data'!$C:$C)</f>
        <v>Spill</v>
      </c>
      <c r="C3862" s="2">
        <f>_xlfn.XLOOKUP(A3862,'[1]Tissue Data'!$A:$A,'[1]Tissue Data'!$D:$D)</f>
        <v>44314</v>
      </c>
      <c r="D3862" s="2" t="s">
        <v>122</v>
      </c>
      <c r="E3862" t="str">
        <f>_xlfn.XLOOKUP(A3862,'[1]Tissue Data'!$A:$A,'[1]Tissue Data'!$H:$H)</f>
        <v>Etheostoma</v>
      </c>
      <c r="F3862" t="str">
        <f>_xlfn.XLOOKUP(A3862,'[1]Tissue Data'!$A:$A,'[1]Tissue Data'!$I:$I)</f>
        <v>olmstedi</v>
      </c>
      <c r="G3862" t="str">
        <f>_xlfn.XLOOKUP(A3862,'[1]Tissue Data'!$A:$A,'[1]Tissue Data'!J:J)</f>
        <v>U</v>
      </c>
      <c r="H3862" t="str">
        <f>_xlfn.XLOOKUP(A3862,'[1]Tissue Data'!$A:$A,'[1]Tissue Data'!K:K)</f>
        <v>Whole Body</v>
      </c>
      <c r="I3862">
        <f>_xlfn.XLOOKUP(A3862,'[1]Tissue Data'!$A:$A,'[1]Tissue Data'!L:L)</f>
        <v>6.5</v>
      </c>
      <c r="J3862">
        <f>_xlfn.XLOOKUP(A3862,'[1]Tissue Data'!$A:$A,'[1]Tissue Data'!M:M)</f>
        <v>2.6</v>
      </c>
      <c r="K3862" t="s">
        <v>22</v>
      </c>
      <c r="L3862" t="str">
        <f>_xlfn.XLOOKUP(K3862,[2]analyte_order!$B:$B,[2]analyte_order!$C:$C)</f>
        <v>376-06-7</v>
      </c>
      <c r="M3862">
        <f>_xlfn.XLOOKUP(L3862,[2]analyte_order!$C:$C,[2]analyte_order!$E:$E)</f>
        <v>11</v>
      </c>
      <c r="N3862">
        <v>1.39</v>
      </c>
    </row>
    <row r="3863" spans="1:14">
      <c r="A3863" t="s">
        <v>162</v>
      </c>
      <c r="B3863" t="str">
        <f>_xlfn.XLOOKUP(A3863,'[1]Tissue Data'!$A:$A,'[1]Tissue Data'!$C:$C)</f>
        <v>Spill</v>
      </c>
      <c r="C3863" s="2">
        <f>_xlfn.XLOOKUP(A3863,'[1]Tissue Data'!$A:$A,'[1]Tissue Data'!$D:$D)</f>
        <v>44314</v>
      </c>
      <c r="D3863" s="2" t="s">
        <v>122</v>
      </c>
      <c r="E3863" t="str">
        <f>_xlfn.XLOOKUP(A3863,'[1]Tissue Data'!$A:$A,'[1]Tissue Data'!$H:$H)</f>
        <v>Etheostoma</v>
      </c>
      <c r="F3863" t="str">
        <f>_xlfn.XLOOKUP(A3863,'[1]Tissue Data'!$A:$A,'[1]Tissue Data'!$I:$I)</f>
        <v>olmstedi</v>
      </c>
      <c r="G3863" t="str">
        <f>_xlfn.XLOOKUP(A3863,'[1]Tissue Data'!$A:$A,'[1]Tissue Data'!J:J)</f>
        <v>U</v>
      </c>
      <c r="H3863" t="str">
        <f>_xlfn.XLOOKUP(A3863,'[1]Tissue Data'!$A:$A,'[1]Tissue Data'!K:K)</f>
        <v>Whole Body</v>
      </c>
      <c r="I3863">
        <f>_xlfn.XLOOKUP(A3863,'[1]Tissue Data'!$A:$A,'[1]Tissue Data'!L:L)</f>
        <v>6.5</v>
      </c>
      <c r="J3863">
        <f>_xlfn.XLOOKUP(A3863,'[1]Tissue Data'!$A:$A,'[1]Tissue Data'!M:M)</f>
        <v>2.6</v>
      </c>
      <c r="K3863" t="s">
        <v>23</v>
      </c>
      <c r="L3863" t="str">
        <f>_xlfn.XLOOKUP(K3863,[2]analyte_order!$B:$B,[2]analyte_order!$C:$C)</f>
        <v>67905-19-5</v>
      </c>
      <c r="M3863">
        <f>_xlfn.XLOOKUP(L3863,[2]analyte_order!$C:$C,[2]analyte_order!$E:$E)</f>
        <v>12</v>
      </c>
      <c r="N3863">
        <v>0.08</v>
      </c>
    </row>
    <row r="3864" spans="1:14">
      <c r="A3864" t="s">
        <v>162</v>
      </c>
      <c r="B3864" t="str">
        <f>_xlfn.XLOOKUP(A3864,'[1]Tissue Data'!$A:$A,'[1]Tissue Data'!$C:$C)</f>
        <v>Spill</v>
      </c>
      <c r="C3864" s="2">
        <f>_xlfn.XLOOKUP(A3864,'[1]Tissue Data'!$A:$A,'[1]Tissue Data'!$D:$D)</f>
        <v>44314</v>
      </c>
      <c r="D3864" s="2" t="s">
        <v>122</v>
      </c>
      <c r="E3864" t="str">
        <f>_xlfn.XLOOKUP(A3864,'[1]Tissue Data'!$A:$A,'[1]Tissue Data'!$H:$H)</f>
        <v>Etheostoma</v>
      </c>
      <c r="F3864" t="str">
        <f>_xlfn.XLOOKUP(A3864,'[1]Tissue Data'!$A:$A,'[1]Tissue Data'!$I:$I)</f>
        <v>olmstedi</v>
      </c>
      <c r="G3864" t="str">
        <f>_xlfn.XLOOKUP(A3864,'[1]Tissue Data'!$A:$A,'[1]Tissue Data'!J:J)</f>
        <v>U</v>
      </c>
      <c r="H3864" t="str">
        <f>_xlfn.XLOOKUP(A3864,'[1]Tissue Data'!$A:$A,'[1]Tissue Data'!K:K)</f>
        <v>Whole Body</v>
      </c>
      <c r="I3864">
        <f>_xlfn.XLOOKUP(A3864,'[1]Tissue Data'!$A:$A,'[1]Tissue Data'!L:L)</f>
        <v>6.5</v>
      </c>
      <c r="J3864">
        <f>_xlfn.XLOOKUP(A3864,'[1]Tissue Data'!$A:$A,'[1]Tissue Data'!M:M)</f>
        <v>2.6</v>
      </c>
      <c r="K3864" t="s">
        <v>24</v>
      </c>
      <c r="L3864" t="str">
        <f>_xlfn.XLOOKUP(K3864,[2]analyte_order!$B:$B,[2]analyte_order!$C:$C)</f>
        <v>423-41-6</v>
      </c>
      <c r="M3864">
        <f>_xlfn.XLOOKUP(L3864,[2]analyte_order!$C:$C,[2]analyte_order!$E:$E)</f>
        <v>53</v>
      </c>
      <c r="N3864">
        <v>5.0999999999999997E-2</v>
      </c>
    </row>
    <row r="3865" spans="1:14">
      <c r="A3865" t="s">
        <v>162</v>
      </c>
      <c r="B3865" t="str">
        <f>_xlfn.XLOOKUP(A3865,'[1]Tissue Data'!$A:$A,'[1]Tissue Data'!$C:$C)</f>
        <v>Spill</v>
      </c>
      <c r="C3865" s="2">
        <f>_xlfn.XLOOKUP(A3865,'[1]Tissue Data'!$A:$A,'[1]Tissue Data'!$D:$D)</f>
        <v>44314</v>
      </c>
      <c r="D3865" s="2" t="s">
        <v>122</v>
      </c>
      <c r="E3865" t="str">
        <f>_xlfn.XLOOKUP(A3865,'[1]Tissue Data'!$A:$A,'[1]Tissue Data'!$H:$H)</f>
        <v>Etheostoma</v>
      </c>
      <c r="F3865" t="str">
        <f>_xlfn.XLOOKUP(A3865,'[1]Tissue Data'!$A:$A,'[1]Tissue Data'!$I:$I)</f>
        <v>olmstedi</v>
      </c>
      <c r="G3865" t="str">
        <f>_xlfn.XLOOKUP(A3865,'[1]Tissue Data'!$A:$A,'[1]Tissue Data'!J:J)</f>
        <v>U</v>
      </c>
      <c r="H3865" t="str">
        <f>_xlfn.XLOOKUP(A3865,'[1]Tissue Data'!$A:$A,'[1]Tissue Data'!K:K)</f>
        <v>Whole Body</v>
      </c>
      <c r="I3865">
        <f>_xlfn.XLOOKUP(A3865,'[1]Tissue Data'!$A:$A,'[1]Tissue Data'!L:L)</f>
        <v>6.5</v>
      </c>
      <c r="J3865">
        <f>_xlfn.XLOOKUP(A3865,'[1]Tissue Data'!$A:$A,'[1]Tissue Data'!M:M)</f>
        <v>2.6</v>
      </c>
      <c r="K3865" t="s">
        <v>25</v>
      </c>
      <c r="L3865" t="str">
        <f>_xlfn.XLOOKUP(K3865,[2]analyte_order!$B:$B,[2]analyte_order!$C:$C)</f>
        <v>375-73-5</v>
      </c>
      <c r="M3865">
        <f>_xlfn.XLOOKUP(L3865,[2]analyte_order!$C:$C,[2]analyte_order!$E:$E)</f>
        <v>14</v>
      </c>
      <c r="N3865">
        <v>0.151</v>
      </c>
    </row>
    <row r="3866" spans="1:14">
      <c r="A3866" t="s">
        <v>162</v>
      </c>
      <c r="B3866" t="str">
        <f>_xlfn.XLOOKUP(A3866,'[1]Tissue Data'!$A:$A,'[1]Tissue Data'!$C:$C)</f>
        <v>Spill</v>
      </c>
      <c r="C3866" s="2">
        <f>_xlfn.XLOOKUP(A3866,'[1]Tissue Data'!$A:$A,'[1]Tissue Data'!$D:$D)</f>
        <v>44314</v>
      </c>
      <c r="D3866" s="2" t="s">
        <v>122</v>
      </c>
      <c r="E3866" t="str">
        <f>_xlfn.XLOOKUP(A3866,'[1]Tissue Data'!$A:$A,'[1]Tissue Data'!$H:$H)</f>
        <v>Etheostoma</v>
      </c>
      <c r="F3866" t="str">
        <f>_xlfn.XLOOKUP(A3866,'[1]Tissue Data'!$A:$A,'[1]Tissue Data'!$I:$I)</f>
        <v>olmstedi</v>
      </c>
      <c r="G3866" t="str">
        <f>_xlfn.XLOOKUP(A3866,'[1]Tissue Data'!$A:$A,'[1]Tissue Data'!J:J)</f>
        <v>U</v>
      </c>
      <c r="H3866" t="str">
        <f>_xlfn.XLOOKUP(A3866,'[1]Tissue Data'!$A:$A,'[1]Tissue Data'!K:K)</f>
        <v>Whole Body</v>
      </c>
      <c r="I3866">
        <f>_xlfn.XLOOKUP(A3866,'[1]Tissue Data'!$A:$A,'[1]Tissue Data'!L:L)</f>
        <v>6.5</v>
      </c>
      <c r="J3866">
        <f>_xlfn.XLOOKUP(A3866,'[1]Tissue Data'!$A:$A,'[1]Tissue Data'!M:M)</f>
        <v>2.6</v>
      </c>
      <c r="K3866" t="s">
        <v>26</v>
      </c>
      <c r="L3866" t="str">
        <f>_xlfn.XLOOKUP(K3866,[2]analyte_order!$B:$B,[2]analyte_order!$C:$C)</f>
        <v>2706-91-4</v>
      </c>
      <c r="M3866">
        <f>_xlfn.XLOOKUP(L3866,[2]analyte_order!$C:$C,[2]analyte_order!$E:$E)</f>
        <v>15</v>
      </c>
      <c r="N3866">
        <v>0.58699999999999997</v>
      </c>
    </row>
    <row r="3867" spans="1:14">
      <c r="A3867" t="s">
        <v>162</v>
      </c>
      <c r="B3867" t="str">
        <f>_xlfn.XLOOKUP(A3867,'[1]Tissue Data'!$A:$A,'[1]Tissue Data'!$C:$C)</f>
        <v>Spill</v>
      </c>
      <c r="C3867" s="2">
        <f>_xlfn.XLOOKUP(A3867,'[1]Tissue Data'!$A:$A,'[1]Tissue Data'!$D:$D)</f>
        <v>44314</v>
      </c>
      <c r="D3867" s="2" t="s">
        <v>122</v>
      </c>
      <c r="E3867" t="str">
        <f>_xlfn.XLOOKUP(A3867,'[1]Tissue Data'!$A:$A,'[1]Tissue Data'!$H:$H)</f>
        <v>Etheostoma</v>
      </c>
      <c r="F3867" t="str">
        <f>_xlfn.XLOOKUP(A3867,'[1]Tissue Data'!$A:$A,'[1]Tissue Data'!$I:$I)</f>
        <v>olmstedi</v>
      </c>
      <c r="G3867" t="str">
        <f>_xlfn.XLOOKUP(A3867,'[1]Tissue Data'!$A:$A,'[1]Tissue Data'!J:J)</f>
        <v>U</v>
      </c>
      <c r="H3867" t="str">
        <f>_xlfn.XLOOKUP(A3867,'[1]Tissue Data'!$A:$A,'[1]Tissue Data'!K:K)</f>
        <v>Whole Body</v>
      </c>
      <c r="I3867">
        <f>_xlfn.XLOOKUP(A3867,'[1]Tissue Data'!$A:$A,'[1]Tissue Data'!L:L)</f>
        <v>6.5</v>
      </c>
      <c r="J3867">
        <f>_xlfn.XLOOKUP(A3867,'[1]Tissue Data'!$A:$A,'[1]Tissue Data'!M:M)</f>
        <v>2.6</v>
      </c>
      <c r="K3867" t="s">
        <v>27</v>
      </c>
      <c r="L3867" t="str">
        <f>_xlfn.XLOOKUP(K3867,[2]analyte_order!$B:$B,[2]analyte_order!$C:$C)</f>
        <v>355-46-4</v>
      </c>
      <c r="M3867">
        <f>_xlfn.XLOOKUP(L3867,[2]analyte_order!$C:$C,[2]analyte_order!$E:$E)</f>
        <v>16</v>
      </c>
      <c r="N3867">
        <v>45.1</v>
      </c>
    </row>
    <row r="3868" spans="1:14">
      <c r="A3868" t="s">
        <v>162</v>
      </c>
      <c r="B3868" t="str">
        <f>_xlfn.XLOOKUP(A3868,'[1]Tissue Data'!$A:$A,'[1]Tissue Data'!$C:$C)</f>
        <v>Spill</v>
      </c>
      <c r="C3868" s="2">
        <f>_xlfn.XLOOKUP(A3868,'[1]Tissue Data'!$A:$A,'[1]Tissue Data'!$D:$D)</f>
        <v>44314</v>
      </c>
      <c r="D3868" s="2" t="s">
        <v>122</v>
      </c>
      <c r="E3868" t="str">
        <f>_xlfn.XLOOKUP(A3868,'[1]Tissue Data'!$A:$A,'[1]Tissue Data'!$H:$H)</f>
        <v>Etheostoma</v>
      </c>
      <c r="F3868" t="str">
        <f>_xlfn.XLOOKUP(A3868,'[1]Tissue Data'!$A:$A,'[1]Tissue Data'!$I:$I)</f>
        <v>olmstedi</v>
      </c>
      <c r="G3868" t="str">
        <f>_xlfn.XLOOKUP(A3868,'[1]Tissue Data'!$A:$A,'[1]Tissue Data'!J:J)</f>
        <v>U</v>
      </c>
      <c r="H3868" t="str">
        <f>_xlfn.XLOOKUP(A3868,'[1]Tissue Data'!$A:$A,'[1]Tissue Data'!K:K)</f>
        <v>Whole Body</v>
      </c>
      <c r="I3868">
        <f>_xlfn.XLOOKUP(A3868,'[1]Tissue Data'!$A:$A,'[1]Tissue Data'!L:L)</f>
        <v>6.5</v>
      </c>
      <c r="J3868">
        <f>_xlfn.XLOOKUP(A3868,'[1]Tissue Data'!$A:$A,'[1]Tissue Data'!M:M)</f>
        <v>2.6</v>
      </c>
      <c r="K3868" t="s">
        <v>28</v>
      </c>
      <c r="L3868" t="str">
        <f>_xlfn.XLOOKUP(K3868,[2]analyte_order!$B:$B,[2]analyte_order!$C:$C)</f>
        <v>375-92-8</v>
      </c>
      <c r="M3868">
        <f>_xlfn.XLOOKUP(L3868,[2]analyte_order!$C:$C,[2]analyte_order!$E:$E)</f>
        <v>17</v>
      </c>
      <c r="N3868">
        <v>3.21</v>
      </c>
    </row>
    <row r="3869" spans="1:14">
      <c r="A3869" t="s">
        <v>162</v>
      </c>
      <c r="B3869" t="str">
        <f>_xlfn.XLOOKUP(A3869,'[1]Tissue Data'!$A:$A,'[1]Tissue Data'!$C:$C)</f>
        <v>Spill</v>
      </c>
      <c r="C3869" s="2">
        <f>_xlfn.XLOOKUP(A3869,'[1]Tissue Data'!$A:$A,'[1]Tissue Data'!$D:$D)</f>
        <v>44314</v>
      </c>
      <c r="D3869" s="2" t="s">
        <v>122</v>
      </c>
      <c r="E3869" t="str">
        <f>_xlfn.XLOOKUP(A3869,'[1]Tissue Data'!$A:$A,'[1]Tissue Data'!$H:$H)</f>
        <v>Etheostoma</v>
      </c>
      <c r="F3869" t="str">
        <f>_xlfn.XLOOKUP(A3869,'[1]Tissue Data'!$A:$A,'[1]Tissue Data'!$I:$I)</f>
        <v>olmstedi</v>
      </c>
      <c r="G3869" t="str">
        <f>_xlfn.XLOOKUP(A3869,'[1]Tissue Data'!$A:$A,'[1]Tissue Data'!J:J)</f>
        <v>U</v>
      </c>
      <c r="H3869" t="str">
        <f>_xlfn.XLOOKUP(A3869,'[1]Tissue Data'!$A:$A,'[1]Tissue Data'!K:K)</f>
        <v>Whole Body</v>
      </c>
      <c r="I3869">
        <f>_xlfn.XLOOKUP(A3869,'[1]Tissue Data'!$A:$A,'[1]Tissue Data'!L:L)</f>
        <v>6.5</v>
      </c>
      <c r="J3869">
        <f>_xlfn.XLOOKUP(A3869,'[1]Tissue Data'!$A:$A,'[1]Tissue Data'!M:M)</f>
        <v>2.6</v>
      </c>
      <c r="K3869" t="s">
        <v>29</v>
      </c>
      <c r="L3869" t="str">
        <f>_xlfn.XLOOKUP(K3869,[2]analyte_order!$B:$B,[2]analyte_order!$C:$C)</f>
        <v>1763-23-1</v>
      </c>
      <c r="M3869">
        <f>_xlfn.XLOOKUP(L3869,[2]analyte_order!$C:$C,[2]analyte_order!$E:$E)</f>
        <v>18</v>
      </c>
      <c r="N3869">
        <v>710</v>
      </c>
    </row>
    <row r="3870" spans="1:14">
      <c r="A3870" t="s">
        <v>162</v>
      </c>
      <c r="B3870" t="str">
        <f>_xlfn.XLOOKUP(A3870,'[1]Tissue Data'!$A:$A,'[1]Tissue Data'!$C:$C)</f>
        <v>Spill</v>
      </c>
      <c r="C3870" s="2">
        <f>_xlfn.XLOOKUP(A3870,'[1]Tissue Data'!$A:$A,'[1]Tissue Data'!$D:$D)</f>
        <v>44314</v>
      </c>
      <c r="D3870" s="2" t="s">
        <v>122</v>
      </c>
      <c r="E3870" t="str">
        <f>_xlfn.XLOOKUP(A3870,'[1]Tissue Data'!$A:$A,'[1]Tissue Data'!$H:$H)</f>
        <v>Etheostoma</v>
      </c>
      <c r="F3870" t="str">
        <f>_xlfn.XLOOKUP(A3870,'[1]Tissue Data'!$A:$A,'[1]Tissue Data'!$I:$I)</f>
        <v>olmstedi</v>
      </c>
      <c r="G3870" t="str">
        <f>_xlfn.XLOOKUP(A3870,'[1]Tissue Data'!$A:$A,'[1]Tissue Data'!J:J)</f>
        <v>U</v>
      </c>
      <c r="H3870" t="str">
        <f>_xlfn.XLOOKUP(A3870,'[1]Tissue Data'!$A:$A,'[1]Tissue Data'!K:K)</f>
        <v>Whole Body</v>
      </c>
      <c r="I3870">
        <f>_xlfn.XLOOKUP(A3870,'[1]Tissue Data'!$A:$A,'[1]Tissue Data'!L:L)</f>
        <v>6.5</v>
      </c>
      <c r="J3870">
        <f>_xlfn.XLOOKUP(A3870,'[1]Tissue Data'!$A:$A,'[1]Tissue Data'!M:M)</f>
        <v>2.6</v>
      </c>
      <c r="K3870" t="s">
        <v>30</v>
      </c>
      <c r="L3870" t="str">
        <f>_xlfn.XLOOKUP(K3870,[2]analyte_order!$B:$B,[2]analyte_order!$C:$C)</f>
        <v>68259-12-1</v>
      </c>
      <c r="M3870">
        <f>_xlfn.XLOOKUP(L3870,[2]analyte_order!$C:$C,[2]analyte_order!$E:$E)</f>
        <v>19</v>
      </c>
      <c r="N3870">
        <v>0.64300000000000002</v>
      </c>
    </row>
    <row r="3871" spans="1:14">
      <c r="A3871" t="s">
        <v>162</v>
      </c>
      <c r="B3871" t="str">
        <f>_xlfn.XLOOKUP(A3871,'[1]Tissue Data'!$A:$A,'[1]Tissue Data'!$C:$C)</f>
        <v>Spill</v>
      </c>
      <c r="C3871" s="2">
        <f>_xlfn.XLOOKUP(A3871,'[1]Tissue Data'!$A:$A,'[1]Tissue Data'!$D:$D)</f>
        <v>44314</v>
      </c>
      <c r="D3871" s="2" t="s">
        <v>122</v>
      </c>
      <c r="E3871" t="str">
        <f>_xlfn.XLOOKUP(A3871,'[1]Tissue Data'!$A:$A,'[1]Tissue Data'!$H:$H)</f>
        <v>Etheostoma</v>
      </c>
      <c r="F3871" t="str">
        <f>_xlfn.XLOOKUP(A3871,'[1]Tissue Data'!$A:$A,'[1]Tissue Data'!$I:$I)</f>
        <v>olmstedi</v>
      </c>
      <c r="G3871" t="str">
        <f>_xlfn.XLOOKUP(A3871,'[1]Tissue Data'!$A:$A,'[1]Tissue Data'!J:J)</f>
        <v>U</v>
      </c>
      <c r="H3871" t="str">
        <f>_xlfn.XLOOKUP(A3871,'[1]Tissue Data'!$A:$A,'[1]Tissue Data'!K:K)</f>
        <v>Whole Body</v>
      </c>
      <c r="I3871">
        <f>_xlfn.XLOOKUP(A3871,'[1]Tissue Data'!$A:$A,'[1]Tissue Data'!L:L)</f>
        <v>6.5</v>
      </c>
      <c r="J3871">
        <f>_xlfn.XLOOKUP(A3871,'[1]Tissue Data'!$A:$A,'[1]Tissue Data'!M:M)</f>
        <v>2.6</v>
      </c>
      <c r="K3871" t="s">
        <v>31</v>
      </c>
      <c r="L3871" t="str">
        <f>_xlfn.XLOOKUP(K3871,[2]analyte_order!$B:$B,[2]analyte_order!$C:$C)</f>
        <v>335-77-3</v>
      </c>
      <c r="M3871">
        <f>_xlfn.XLOOKUP(L3871,[2]analyte_order!$C:$C,[2]analyte_order!$E:$E)</f>
        <v>20</v>
      </c>
      <c r="N3871">
        <v>0.67200000000000004</v>
      </c>
    </row>
    <row r="3872" spans="1:14">
      <c r="A3872" t="s">
        <v>162</v>
      </c>
      <c r="B3872" t="str">
        <f>_xlfn.XLOOKUP(A3872,'[1]Tissue Data'!$A:$A,'[1]Tissue Data'!$C:$C)</f>
        <v>Spill</v>
      </c>
      <c r="C3872" s="2">
        <f>_xlfn.XLOOKUP(A3872,'[1]Tissue Data'!$A:$A,'[1]Tissue Data'!$D:$D)</f>
        <v>44314</v>
      </c>
      <c r="D3872" s="2" t="s">
        <v>122</v>
      </c>
      <c r="E3872" t="str">
        <f>_xlfn.XLOOKUP(A3872,'[1]Tissue Data'!$A:$A,'[1]Tissue Data'!$H:$H)</f>
        <v>Etheostoma</v>
      </c>
      <c r="F3872" t="str">
        <f>_xlfn.XLOOKUP(A3872,'[1]Tissue Data'!$A:$A,'[1]Tissue Data'!$I:$I)</f>
        <v>olmstedi</v>
      </c>
      <c r="G3872" t="str">
        <f>_xlfn.XLOOKUP(A3872,'[1]Tissue Data'!$A:$A,'[1]Tissue Data'!J:J)</f>
        <v>U</v>
      </c>
      <c r="H3872" t="str">
        <f>_xlfn.XLOOKUP(A3872,'[1]Tissue Data'!$A:$A,'[1]Tissue Data'!K:K)</f>
        <v>Whole Body</v>
      </c>
      <c r="I3872">
        <f>_xlfn.XLOOKUP(A3872,'[1]Tissue Data'!$A:$A,'[1]Tissue Data'!L:L)</f>
        <v>6.5</v>
      </c>
      <c r="J3872">
        <f>_xlfn.XLOOKUP(A3872,'[1]Tissue Data'!$A:$A,'[1]Tissue Data'!M:M)</f>
        <v>2.6</v>
      </c>
      <c r="K3872" t="s">
        <v>32</v>
      </c>
      <c r="L3872" t="str">
        <f>_xlfn.XLOOKUP(K3872,[2]analyte_order!$B:$B,[2]analyte_order!$C:$C)</f>
        <v>79780-39-5</v>
      </c>
      <c r="M3872">
        <f>_xlfn.XLOOKUP(L3872,[2]analyte_order!$C:$C,[2]analyte_order!$E:$E)</f>
        <v>21</v>
      </c>
      <c r="N3872">
        <v>0.23699999999999999</v>
      </c>
    </row>
    <row r="3873" spans="1:14">
      <c r="A3873" t="s">
        <v>162</v>
      </c>
      <c r="B3873" t="str">
        <f>_xlfn.XLOOKUP(A3873,'[1]Tissue Data'!$A:$A,'[1]Tissue Data'!$C:$C)</f>
        <v>Spill</v>
      </c>
      <c r="C3873" s="2">
        <f>_xlfn.XLOOKUP(A3873,'[1]Tissue Data'!$A:$A,'[1]Tissue Data'!$D:$D)</f>
        <v>44314</v>
      </c>
      <c r="D3873" s="2" t="s">
        <v>122</v>
      </c>
      <c r="E3873" t="str">
        <f>_xlfn.XLOOKUP(A3873,'[1]Tissue Data'!$A:$A,'[1]Tissue Data'!$H:$H)</f>
        <v>Etheostoma</v>
      </c>
      <c r="F3873" t="str">
        <f>_xlfn.XLOOKUP(A3873,'[1]Tissue Data'!$A:$A,'[1]Tissue Data'!$I:$I)</f>
        <v>olmstedi</v>
      </c>
      <c r="G3873" t="str">
        <f>_xlfn.XLOOKUP(A3873,'[1]Tissue Data'!$A:$A,'[1]Tissue Data'!J:J)</f>
        <v>U</v>
      </c>
      <c r="H3873" t="str">
        <f>_xlfn.XLOOKUP(A3873,'[1]Tissue Data'!$A:$A,'[1]Tissue Data'!K:K)</f>
        <v>Whole Body</v>
      </c>
      <c r="I3873">
        <f>_xlfn.XLOOKUP(A3873,'[1]Tissue Data'!$A:$A,'[1]Tissue Data'!L:L)</f>
        <v>6.5</v>
      </c>
      <c r="J3873">
        <f>_xlfn.XLOOKUP(A3873,'[1]Tissue Data'!$A:$A,'[1]Tissue Data'!M:M)</f>
        <v>2.6</v>
      </c>
      <c r="K3873" t="s">
        <v>33</v>
      </c>
      <c r="L3873" t="str">
        <f>_xlfn.XLOOKUP(K3873,[2]analyte_order!$B:$B,[2]analyte_order!$C:$C)</f>
        <v>777011-38-8</v>
      </c>
      <c r="M3873">
        <f>_xlfn.XLOOKUP(L3873,[2]analyte_order!$C:$C,[2]analyte_order!$E:$E)</f>
        <v>54</v>
      </c>
      <c r="N3873">
        <v>0.13450000000000001</v>
      </c>
    </row>
    <row r="3874" spans="1:14">
      <c r="A3874" t="s">
        <v>162</v>
      </c>
      <c r="B3874" t="str">
        <f>_xlfn.XLOOKUP(A3874,'[1]Tissue Data'!$A:$A,'[1]Tissue Data'!$C:$C)</f>
        <v>Spill</v>
      </c>
      <c r="C3874" s="2">
        <f>_xlfn.XLOOKUP(A3874,'[1]Tissue Data'!$A:$A,'[1]Tissue Data'!$D:$D)</f>
        <v>44314</v>
      </c>
      <c r="D3874" s="2" t="s">
        <v>122</v>
      </c>
      <c r="E3874" t="str">
        <f>_xlfn.XLOOKUP(A3874,'[1]Tissue Data'!$A:$A,'[1]Tissue Data'!$H:$H)</f>
        <v>Etheostoma</v>
      </c>
      <c r="F3874" t="str">
        <f>_xlfn.XLOOKUP(A3874,'[1]Tissue Data'!$A:$A,'[1]Tissue Data'!$I:$I)</f>
        <v>olmstedi</v>
      </c>
      <c r="G3874" t="str">
        <f>_xlfn.XLOOKUP(A3874,'[1]Tissue Data'!$A:$A,'[1]Tissue Data'!J:J)</f>
        <v>U</v>
      </c>
      <c r="H3874" t="str">
        <f>_xlfn.XLOOKUP(A3874,'[1]Tissue Data'!$A:$A,'[1]Tissue Data'!K:K)</f>
        <v>Whole Body</v>
      </c>
      <c r="I3874">
        <f>_xlfn.XLOOKUP(A3874,'[1]Tissue Data'!$A:$A,'[1]Tissue Data'!L:L)</f>
        <v>6.5</v>
      </c>
      <c r="J3874">
        <f>_xlfn.XLOOKUP(A3874,'[1]Tissue Data'!$A:$A,'[1]Tissue Data'!M:M)</f>
        <v>2.6</v>
      </c>
      <c r="K3874" t="s">
        <v>34</v>
      </c>
      <c r="L3874" t="str">
        <f>_xlfn.XLOOKUP(K3874,[2]analyte_order!$B:$B,[2]analyte_order!$C:$C)</f>
        <v>646-83-3</v>
      </c>
      <c r="M3874">
        <f>_xlfn.XLOOKUP(L3874,[2]analyte_order!$C:$C,[2]analyte_order!$E:$E)</f>
        <v>55</v>
      </c>
      <c r="N3874">
        <v>0.3</v>
      </c>
    </row>
    <row r="3875" spans="1:14">
      <c r="A3875" t="s">
        <v>162</v>
      </c>
      <c r="B3875" t="str">
        <f>_xlfn.XLOOKUP(A3875,'[1]Tissue Data'!$A:$A,'[1]Tissue Data'!$C:$C)</f>
        <v>Spill</v>
      </c>
      <c r="C3875" s="2">
        <f>_xlfn.XLOOKUP(A3875,'[1]Tissue Data'!$A:$A,'[1]Tissue Data'!$D:$D)</f>
        <v>44314</v>
      </c>
      <c r="D3875" s="2" t="s">
        <v>122</v>
      </c>
      <c r="E3875" t="str">
        <f>_xlfn.XLOOKUP(A3875,'[1]Tissue Data'!$A:$A,'[1]Tissue Data'!$H:$H)</f>
        <v>Etheostoma</v>
      </c>
      <c r="F3875" t="str">
        <f>_xlfn.XLOOKUP(A3875,'[1]Tissue Data'!$A:$A,'[1]Tissue Data'!$I:$I)</f>
        <v>olmstedi</v>
      </c>
      <c r="G3875" t="str">
        <f>_xlfn.XLOOKUP(A3875,'[1]Tissue Data'!$A:$A,'[1]Tissue Data'!J:J)</f>
        <v>U</v>
      </c>
      <c r="H3875" t="str">
        <f>_xlfn.XLOOKUP(A3875,'[1]Tissue Data'!$A:$A,'[1]Tissue Data'!K:K)</f>
        <v>Whole Body</v>
      </c>
      <c r="I3875">
        <f>_xlfn.XLOOKUP(A3875,'[1]Tissue Data'!$A:$A,'[1]Tissue Data'!L:L)</f>
        <v>6.5</v>
      </c>
      <c r="J3875">
        <f>_xlfn.XLOOKUP(A3875,'[1]Tissue Data'!$A:$A,'[1]Tissue Data'!M:M)</f>
        <v>2.6</v>
      </c>
      <c r="K3875" t="s">
        <v>35</v>
      </c>
      <c r="L3875" t="str">
        <f>_xlfn.XLOOKUP(K3875,[2]analyte_order!$B:$B,[2]analyte_order!$C:$C)</f>
        <v>30334-69-1</v>
      </c>
      <c r="M3875">
        <f>_xlfn.XLOOKUP(L3875,[2]analyte_order!$C:$C,[2]analyte_order!$E:$E)</f>
        <v>51</v>
      </c>
      <c r="N3875">
        <v>24.7</v>
      </c>
    </row>
    <row r="3876" spans="1:14">
      <c r="A3876" t="s">
        <v>162</v>
      </c>
      <c r="B3876" t="str">
        <f>_xlfn.XLOOKUP(A3876,'[1]Tissue Data'!$A:$A,'[1]Tissue Data'!$C:$C)</f>
        <v>Spill</v>
      </c>
      <c r="C3876" s="2">
        <f>_xlfn.XLOOKUP(A3876,'[1]Tissue Data'!$A:$A,'[1]Tissue Data'!$D:$D)</f>
        <v>44314</v>
      </c>
      <c r="D3876" s="2" t="s">
        <v>122</v>
      </c>
      <c r="E3876" t="str">
        <f>_xlfn.XLOOKUP(A3876,'[1]Tissue Data'!$A:$A,'[1]Tissue Data'!$H:$H)</f>
        <v>Etheostoma</v>
      </c>
      <c r="F3876" t="str">
        <f>_xlfn.XLOOKUP(A3876,'[1]Tissue Data'!$A:$A,'[1]Tissue Data'!$I:$I)</f>
        <v>olmstedi</v>
      </c>
      <c r="G3876" t="str">
        <f>_xlfn.XLOOKUP(A3876,'[1]Tissue Data'!$A:$A,'[1]Tissue Data'!J:J)</f>
        <v>U</v>
      </c>
      <c r="H3876" t="str">
        <f>_xlfn.XLOOKUP(A3876,'[1]Tissue Data'!$A:$A,'[1]Tissue Data'!K:K)</f>
        <v>Whole Body</v>
      </c>
      <c r="I3876">
        <f>_xlfn.XLOOKUP(A3876,'[1]Tissue Data'!$A:$A,'[1]Tissue Data'!L:L)</f>
        <v>6.5</v>
      </c>
      <c r="J3876">
        <f>_xlfn.XLOOKUP(A3876,'[1]Tissue Data'!$A:$A,'[1]Tissue Data'!M:M)</f>
        <v>2.6</v>
      </c>
      <c r="K3876" t="s">
        <v>36</v>
      </c>
      <c r="L3876" t="str">
        <f>_xlfn.XLOOKUP(K3876,[2]analyte_order!$B:$B,[2]analyte_order!$C:$C)</f>
        <v>41997-13-1</v>
      </c>
      <c r="M3876">
        <f>_xlfn.XLOOKUP(L3876,[2]analyte_order!$C:$C,[2]analyte_order!$E:$E)</f>
        <v>52</v>
      </c>
      <c r="N3876">
        <v>127</v>
      </c>
    </row>
    <row r="3877" spans="1:14">
      <c r="A3877" t="s">
        <v>162</v>
      </c>
      <c r="B3877" t="str">
        <f>_xlfn.XLOOKUP(A3877,'[1]Tissue Data'!$A:$A,'[1]Tissue Data'!$C:$C)</f>
        <v>Spill</v>
      </c>
      <c r="C3877" s="2">
        <f>_xlfn.XLOOKUP(A3877,'[1]Tissue Data'!$A:$A,'[1]Tissue Data'!$D:$D)</f>
        <v>44314</v>
      </c>
      <c r="D3877" s="2" t="s">
        <v>122</v>
      </c>
      <c r="E3877" t="str">
        <f>_xlfn.XLOOKUP(A3877,'[1]Tissue Data'!$A:$A,'[1]Tissue Data'!$H:$H)</f>
        <v>Etheostoma</v>
      </c>
      <c r="F3877" t="str">
        <f>_xlfn.XLOOKUP(A3877,'[1]Tissue Data'!$A:$A,'[1]Tissue Data'!$I:$I)</f>
        <v>olmstedi</v>
      </c>
      <c r="G3877" t="str">
        <f>_xlfn.XLOOKUP(A3877,'[1]Tissue Data'!$A:$A,'[1]Tissue Data'!J:J)</f>
        <v>U</v>
      </c>
      <c r="H3877" t="str">
        <f>_xlfn.XLOOKUP(A3877,'[1]Tissue Data'!$A:$A,'[1]Tissue Data'!K:K)</f>
        <v>Whole Body</v>
      </c>
      <c r="I3877">
        <f>_xlfn.XLOOKUP(A3877,'[1]Tissue Data'!$A:$A,'[1]Tissue Data'!L:L)</f>
        <v>6.5</v>
      </c>
      <c r="J3877">
        <f>_xlfn.XLOOKUP(A3877,'[1]Tissue Data'!$A:$A,'[1]Tissue Data'!M:M)</f>
        <v>2.6</v>
      </c>
      <c r="K3877" t="s">
        <v>37</v>
      </c>
      <c r="L3877" t="str">
        <f>_xlfn.XLOOKUP(K3877,[2]analyte_order!$B:$B,[2]analyte_order!$C:$C)</f>
        <v>754-91-6</v>
      </c>
      <c r="M3877">
        <f>_xlfn.XLOOKUP(L3877,[2]analyte_order!$C:$C,[2]analyte_order!$E:$E)</f>
        <v>28</v>
      </c>
      <c r="N3877">
        <v>25.8</v>
      </c>
    </row>
    <row r="3878" spans="1:14">
      <c r="A3878" t="s">
        <v>162</v>
      </c>
      <c r="B3878" t="str">
        <f>_xlfn.XLOOKUP(A3878,'[1]Tissue Data'!$A:$A,'[1]Tissue Data'!$C:$C)</f>
        <v>Spill</v>
      </c>
      <c r="C3878" s="2">
        <f>_xlfn.XLOOKUP(A3878,'[1]Tissue Data'!$A:$A,'[1]Tissue Data'!$D:$D)</f>
        <v>44314</v>
      </c>
      <c r="D3878" s="2" t="s">
        <v>122</v>
      </c>
      <c r="E3878" t="str">
        <f>_xlfn.XLOOKUP(A3878,'[1]Tissue Data'!$A:$A,'[1]Tissue Data'!$H:$H)</f>
        <v>Etheostoma</v>
      </c>
      <c r="F3878" t="str">
        <f>_xlfn.XLOOKUP(A3878,'[1]Tissue Data'!$A:$A,'[1]Tissue Data'!$I:$I)</f>
        <v>olmstedi</v>
      </c>
      <c r="G3878" t="str">
        <f>_xlfn.XLOOKUP(A3878,'[1]Tissue Data'!$A:$A,'[1]Tissue Data'!J:J)</f>
        <v>U</v>
      </c>
      <c r="H3878" t="str">
        <f>_xlfn.XLOOKUP(A3878,'[1]Tissue Data'!$A:$A,'[1]Tissue Data'!K:K)</f>
        <v>Whole Body</v>
      </c>
      <c r="I3878">
        <f>_xlfn.XLOOKUP(A3878,'[1]Tissue Data'!$A:$A,'[1]Tissue Data'!L:L)</f>
        <v>6.5</v>
      </c>
      <c r="J3878">
        <f>_xlfn.XLOOKUP(A3878,'[1]Tissue Data'!$A:$A,'[1]Tissue Data'!M:M)</f>
        <v>2.6</v>
      </c>
      <c r="K3878" t="s">
        <v>38</v>
      </c>
      <c r="L3878" t="str">
        <f>_xlfn.XLOOKUP(K3878,[2]analyte_order!$B:$B,[2]analyte_order!$C:$C)</f>
        <v>31506-32-8</v>
      </c>
      <c r="M3878">
        <f>_xlfn.XLOOKUP(L3878,[2]analyte_order!$C:$C,[2]analyte_order!$E:$E)</f>
        <v>30</v>
      </c>
      <c r="N3878">
        <v>5.1499999999999997E-2</v>
      </c>
    </row>
    <row r="3879" spans="1:14">
      <c r="A3879" t="s">
        <v>162</v>
      </c>
      <c r="B3879" t="str">
        <f>_xlfn.XLOOKUP(A3879,'[1]Tissue Data'!$A:$A,'[1]Tissue Data'!$C:$C)</f>
        <v>Spill</v>
      </c>
      <c r="C3879" s="2">
        <f>_xlfn.XLOOKUP(A3879,'[1]Tissue Data'!$A:$A,'[1]Tissue Data'!$D:$D)</f>
        <v>44314</v>
      </c>
      <c r="D3879" s="2" t="s">
        <v>122</v>
      </c>
      <c r="E3879" t="str">
        <f>_xlfn.XLOOKUP(A3879,'[1]Tissue Data'!$A:$A,'[1]Tissue Data'!$H:$H)</f>
        <v>Etheostoma</v>
      </c>
      <c r="F3879" t="str">
        <f>_xlfn.XLOOKUP(A3879,'[1]Tissue Data'!$A:$A,'[1]Tissue Data'!$I:$I)</f>
        <v>olmstedi</v>
      </c>
      <c r="G3879" t="str">
        <f>_xlfn.XLOOKUP(A3879,'[1]Tissue Data'!$A:$A,'[1]Tissue Data'!J:J)</f>
        <v>U</v>
      </c>
      <c r="H3879" t="str">
        <f>_xlfn.XLOOKUP(A3879,'[1]Tissue Data'!$A:$A,'[1]Tissue Data'!K:K)</f>
        <v>Whole Body</v>
      </c>
      <c r="I3879">
        <f>_xlfn.XLOOKUP(A3879,'[1]Tissue Data'!$A:$A,'[1]Tissue Data'!L:L)</f>
        <v>6.5</v>
      </c>
      <c r="J3879">
        <f>_xlfn.XLOOKUP(A3879,'[1]Tissue Data'!$A:$A,'[1]Tissue Data'!M:M)</f>
        <v>2.6</v>
      </c>
      <c r="K3879" t="s">
        <v>39</v>
      </c>
      <c r="L3879" t="str">
        <f>_xlfn.XLOOKUP(K3879,[2]analyte_order!$B:$B,[2]analyte_order!$C:$C)</f>
        <v>4151-50-2</v>
      </c>
      <c r="M3879">
        <f>_xlfn.XLOOKUP(L3879,[2]analyte_order!$C:$C,[2]analyte_order!$E:$E)</f>
        <v>31</v>
      </c>
      <c r="N3879">
        <v>7.85E-2</v>
      </c>
    </row>
    <row r="3880" spans="1:14">
      <c r="A3880" t="s">
        <v>162</v>
      </c>
      <c r="B3880" t="str">
        <f>_xlfn.XLOOKUP(A3880,'[1]Tissue Data'!$A:$A,'[1]Tissue Data'!$C:$C)</f>
        <v>Spill</v>
      </c>
      <c r="C3880" s="2">
        <f>_xlfn.XLOOKUP(A3880,'[1]Tissue Data'!$A:$A,'[1]Tissue Data'!$D:$D)</f>
        <v>44314</v>
      </c>
      <c r="D3880" s="2" t="s">
        <v>122</v>
      </c>
      <c r="E3880" t="str">
        <f>_xlfn.XLOOKUP(A3880,'[1]Tissue Data'!$A:$A,'[1]Tissue Data'!$H:$H)</f>
        <v>Etheostoma</v>
      </c>
      <c r="F3880" t="str">
        <f>_xlfn.XLOOKUP(A3880,'[1]Tissue Data'!$A:$A,'[1]Tissue Data'!$I:$I)</f>
        <v>olmstedi</v>
      </c>
      <c r="G3880" t="str">
        <f>_xlfn.XLOOKUP(A3880,'[1]Tissue Data'!$A:$A,'[1]Tissue Data'!J:J)</f>
        <v>U</v>
      </c>
      <c r="H3880" t="str">
        <f>_xlfn.XLOOKUP(A3880,'[1]Tissue Data'!$A:$A,'[1]Tissue Data'!K:K)</f>
        <v>Whole Body</v>
      </c>
      <c r="I3880">
        <f>_xlfn.XLOOKUP(A3880,'[1]Tissue Data'!$A:$A,'[1]Tissue Data'!L:L)</f>
        <v>6.5</v>
      </c>
      <c r="J3880">
        <f>_xlfn.XLOOKUP(A3880,'[1]Tissue Data'!$A:$A,'[1]Tissue Data'!M:M)</f>
        <v>2.6</v>
      </c>
      <c r="K3880" t="s">
        <v>40</v>
      </c>
      <c r="L3880" t="str">
        <f>_xlfn.XLOOKUP(K3880,[2]analyte_order!$B:$B,[2]analyte_order!$C:$C)</f>
        <v>2806-24-8</v>
      </c>
      <c r="M3880">
        <f>_xlfn.XLOOKUP(L3880,[2]analyte_order!$C:$C,[2]analyte_order!$E:$E)</f>
        <v>29</v>
      </c>
      <c r="N3880">
        <v>5.2999999999999999E-2</v>
      </c>
    </row>
    <row r="3881" spans="1:14">
      <c r="A3881" t="s">
        <v>162</v>
      </c>
      <c r="B3881" t="str">
        <f>_xlfn.XLOOKUP(A3881,'[1]Tissue Data'!$A:$A,'[1]Tissue Data'!$C:$C)</f>
        <v>Spill</v>
      </c>
      <c r="C3881" s="2">
        <f>_xlfn.XLOOKUP(A3881,'[1]Tissue Data'!$A:$A,'[1]Tissue Data'!$D:$D)</f>
        <v>44314</v>
      </c>
      <c r="D3881" s="2" t="s">
        <v>122</v>
      </c>
      <c r="E3881" t="str">
        <f>_xlfn.XLOOKUP(A3881,'[1]Tissue Data'!$A:$A,'[1]Tissue Data'!$H:$H)</f>
        <v>Etheostoma</v>
      </c>
      <c r="F3881" t="str">
        <f>_xlfn.XLOOKUP(A3881,'[1]Tissue Data'!$A:$A,'[1]Tissue Data'!$I:$I)</f>
        <v>olmstedi</v>
      </c>
      <c r="G3881" t="str">
        <f>_xlfn.XLOOKUP(A3881,'[1]Tissue Data'!$A:$A,'[1]Tissue Data'!J:J)</f>
        <v>U</v>
      </c>
      <c r="H3881" t="str">
        <f>_xlfn.XLOOKUP(A3881,'[1]Tissue Data'!$A:$A,'[1]Tissue Data'!K:K)</f>
        <v>Whole Body</v>
      </c>
      <c r="I3881">
        <f>_xlfn.XLOOKUP(A3881,'[1]Tissue Data'!$A:$A,'[1]Tissue Data'!L:L)</f>
        <v>6.5</v>
      </c>
      <c r="J3881">
        <f>_xlfn.XLOOKUP(A3881,'[1]Tissue Data'!$A:$A,'[1]Tissue Data'!M:M)</f>
        <v>2.6</v>
      </c>
      <c r="K3881" t="s">
        <v>41</v>
      </c>
      <c r="L3881" t="str">
        <f>_xlfn.XLOOKUP(K3881,[2]analyte_order!$B:$B,[2]analyte_order!$C:$C)</f>
        <v>2355-31-9</v>
      </c>
      <c r="M3881">
        <f>_xlfn.XLOOKUP(L3881,[2]analyte_order!$C:$C,[2]analyte_order!$E:$E)</f>
        <v>26</v>
      </c>
      <c r="N3881">
        <v>0.223</v>
      </c>
    </row>
    <row r="3882" spans="1:14">
      <c r="A3882" t="s">
        <v>162</v>
      </c>
      <c r="B3882" t="str">
        <f>_xlfn.XLOOKUP(A3882,'[1]Tissue Data'!$A:$A,'[1]Tissue Data'!$C:$C)</f>
        <v>Spill</v>
      </c>
      <c r="C3882" s="2">
        <f>_xlfn.XLOOKUP(A3882,'[1]Tissue Data'!$A:$A,'[1]Tissue Data'!$D:$D)</f>
        <v>44314</v>
      </c>
      <c r="D3882" s="2" t="s">
        <v>122</v>
      </c>
      <c r="E3882" t="str">
        <f>_xlfn.XLOOKUP(A3882,'[1]Tissue Data'!$A:$A,'[1]Tissue Data'!$H:$H)</f>
        <v>Etheostoma</v>
      </c>
      <c r="F3882" t="str">
        <f>_xlfn.XLOOKUP(A3882,'[1]Tissue Data'!$A:$A,'[1]Tissue Data'!$I:$I)</f>
        <v>olmstedi</v>
      </c>
      <c r="G3882" t="str">
        <f>_xlfn.XLOOKUP(A3882,'[1]Tissue Data'!$A:$A,'[1]Tissue Data'!J:J)</f>
        <v>U</v>
      </c>
      <c r="H3882" t="str">
        <f>_xlfn.XLOOKUP(A3882,'[1]Tissue Data'!$A:$A,'[1]Tissue Data'!K:K)</f>
        <v>Whole Body</v>
      </c>
      <c r="I3882">
        <f>_xlfn.XLOOKUP(A3882,'[1]Tissue Data'!$A:$A,'[1]Tissue Data'!L:L)</f>
        <v>6.5</v>
      </c>
      <c r="J3882">
        <f>_xlfn.XLOOKUP(A3882,'[1]Tissue Data'!$A:$A,'[1]Tissue Data'!M:M)</f>
        <v>2.6</v>
      </c>
      <c r="K3882" t="s">
        <v>42</v>
      </c>
      <c r="L3882" t="str">
        <f>_xlfn.XLOOKUP(K3882,[2]analyte_order!$B:$B,[2]analyte_order!$C:$C)</f>
        <v>2991-50-6</v>
      </c>
      <c r="M3882">
        <f>_xlfn.XLOOKUP(L3882,[2]analyte_order!$C:$C,[2]analyte_order!$E:$E)</f>
        <v>27</v>
      </c>
      <c r="N3882">
        <v>5.8500000000000003E-2</v>
      </c>
    </row>
    <row r="3883" spans="1:14">
      <c r="A3883" t="s">
        <v>162</v>
      </c>
      <c r="B3883" t="str">
        <f>_xlfn.XLOOKUP(A3883,'[1]Tissue Data'!$A:$A,'[1]Tissue Data'!$C:$C)</f>
        <v>Spill</v>
      </c>
      <c r="C3883" s="2">
        <f>_xlfn.XLOOKUP(A3883,'[1]Tissue Data'!$A:$A,'[1]Tissue Data'!$D:$D)</f>
        <v>44314</v>
      </c>
      <c r="D3883" s="2" t="s">
        <v>122</v>
      </c>
      <c r="E3883" t="str">
        <f>_xlfn.XLOOKUP(A3883,'[1]Tissue Data'!$A:$A,'[1]Tissue Data'!$H:$H)</f>
        <v>Etheostoma</v>
      </c>
      <c r="F3883" t="str">
        <f>_xlfn.XLOOKUP(A3883,'[1]Tissue Data'!$A:$A,'[1]Tissue Data'!$I:$I)</f>
        <v>olmstedi</v>
      </c>
      <c r="G3883" t="str">
        <f>_xlfn.XLOOKUP(A3883,'[1]Tissue Data'!$A:$A,'[1]Tissue Data'!J:J)</f>
        <v>U</v>
      </c>
      <c r="H3883" t="str">
        <f>_xlfn.XLOOKUP(A3883,'[1]Tissue Data'!$A:$A,'[1]Tissue Data'!K:K)</f>
        <v>Whole Body</v>
      </c>
      <c r="I3883">
        <f>_xlfn.XLOOKUP(A3883,'[1]Tissue Data'!$A:$A,'[1]Tissue Data'!L:L)</f>
        <v>6.5</v>
      </c>
      <c r="J3883">
        <f>_xlfn.XLOOKUP(A3883,'[1]Tissue Data'!$A:$A,'[1]Tissue Data'!M:M)</f>
        <v>2.6</v>
      </c>
      <c r="K3883" t="s">
        <v>43</v>
      </c>
      <c r="L3883" t="str">
        <f>_xlfn.XLOOKUP(K3883,[2]analyte_order!$B:$B,[2]analyte_order!$C:$C)</f>
        <v>757124-72-4</v>
      </c>
      <c r="M3883">
        <f>_xlfn.XLOOKUP(L3883,[2]analyte_order!$C:$C,[2]analyte_order!$E:$E)</f>
        <v>22</v>
      </c>
      <c r="N3883">
        <v>5.5E-2</v>
      </c>
    </row>
    <row r="3884" spans="1:14">
      <c r="A3884" t="s">
        <v>162</v>
      </c>
      <c r="B3884" t="str">
        <f>_xlfn.XLOOKUP(A3884,'[1]Tissue Data'!$A:$A,'[1]Tissue Data'!$C:$C)</f>
        <v>Spill</v>
      </c>
      <c r="C3884" s="2">
        <f>_xlfn.XLOOKUP(A3884,'[1]Tissue Data'!$A:$A,'[1]Tissue Data'!$D:$D)</f>
        <v>44314</v>
      </c>
      <c r="D3884" s="2" t="s">
        <v>122</v>
      </c>
      <c r="E3884" t="str">
        <f>_xlfn.XLOOKUP(A3884,'[1]Tissue Data'!$A:$A,'[1]Tissue Data'!$H:$H)</f>
        <v>Etheostoma</v>
      </c>
      <c r="F3884" t="str">
        <f>_xlfn.XLOOKUP(A3884,'[1]Tissue Data'!$A:$A,'[1]Tissue Data'!$I:$I)</f>
        <v>olmstedi</v>
      </c>
      <c r="G3884" t="str">
        <f>_xlfn.XLOOKUP(A3884,'[1]Tissue Data'!$A:$A,'[1]Tissue Data'!J:J)</f>
        <v>U</v>
      </c>
      <c r="H3884" t="str">
        <f>_xlfn.XLOOKUP(A3884,'[1]Tissue Data'!$A:$A,'[1]Tissue Data'!K:K)</f>
        <v>Whole Body</v>
      </c>
      <c r="I3884">
        <f>_xlfn.XLOOKUP(A3884,'[1]Tissue Data'!$A:$A,'[1]Tissue Data'!L:L)</f>
        <v>6.5</v>
      </c>
      <c r="J3884">
        <f>_xlfn.XLOOKUP(A3884,'[1]Tissue Data'!$A:$A,'[1]Tissue Data'!M:M)</f>
        <v>2.6</v>
      </c>
      <c r="K3884" t="s">
        <v>44</v>
      </c>
      <c r="L3884" t="str">
        <f>_xlfn.XLOOKUP(K3884,[2]analyte_order!$B:$B,[2]analyte_order!$C:$C)</f>
        <v>27619-97-2</v>
      </c>
      <c r="M3884">
        <f>_xlfn.XLOOKUP(L3884,[2]analyte_order!$C:$C,[2]analyte_order!$E:$E)</f>
        <v>23</v>
      </c>
      <c r="N3884">
        <v>2.2599999999999998</v>
      </c>
    </row>
    <row r="3885" spans="1:14">
      <c r="A3885" t="s">
        <v>162</v>
      </c>
      <c r="B3885" t="str">
        <f>_xlfn.XLOOKUP(A3885,'[1]Tissue Data'!$A:$A,'[1]Tissue Data'!$C:$C)</f>
        <v>Spill</v>
      </c>
      <c r="C3885" s="2">
        <f>_xlfn.XLOOKUP(A3885,'[1]Tissue Data'!$A:$A,'[1]Tissue Data'!$D:$D)</f>
        <v>44314</v>
      </c>
      <c r="D3885" s="2" t="s">
        <v>122</v>
      </c>
      <c r="E3885" t="str">
        <f>_xlfn.XLOOKUP(A3885,'[1]Tissue Data'!$A:$A,'[1]Tissue Data'!$H:$H)</f>
        <v>Etheostoma</v>
      </c>
      <c r="F3885" t="str">
        <f>_xlfn.XLOOKUP(A3885,'[1]Tissue Data'!$A:$A,'[1]Tissue Data'!$I:$I)</f>
        <v>olmstedi</v>
      </c>
      <c r="G3885" t="str">
        <f>_xlfn.XLOOKUP(A3885,'[1]Tissue Data'!$A:$A,'[1]Tissue Data'!J:J)</f>
        <v>U</v>
      </c>
      <c r="H3885" t="str">
        <f>_xlfn.XLOOKUP(A3885,'[1]Tissue Data'!$A:$A,'[1]Tissue Data'!K:K)</f>
        <v>Whole Body</v>
      </c>
      <c r="I3885">
        <f>_xlfn.XLOOKUP(A3885,'[1]Tissue Data'!$A:$A,'[1]Tissue Data'!L:L)</f>
        <v>6.5</v>
      </c>
      <c r="J3885">
        <f>_xlfn.XLOOKUP(A3885,'[1]Tissue Data'!$A:$A,'[1]Tissue Data'!M:M)</f>
        <v>2.6</v>
      </c>
      <c r="K3885" t="s">
        <v>45</v>
      </c>
      <c r="L3885" t="str">
        <f>_xlfn.XLOOKUP(K3885,[2]analyte_order!$B:$B,[2]analyte_order!$C:$C)</f>
        <v>39108-34-4</v>
      </c>
      <c r="M3885">
        <f>_xlfn.XLOOKUP(L3885,[2]analyte_order!$C:$C,[2]analyte_order!$E:$E)</f>
        <v>24</v>
      </c>
      <c r="N3885">
        <v>3.42</v>
      </c>
    </row>
    <row r="3886" spans="1:14">
      <c r="A3886" t="s">
        <v>162</v>
      </c>
      <c r="B3886" t="str">
        <f>_xlfn.XLOOKUP(A3886,'[1]Tissue Data'!$A:$A,'[1]Tissue Data'!$C:$C)</f>
        <v>Spill</v>
      </c>
      <c r="C3886" s="2">
        <f>_xlfn.XLOOKUP(A3886,'[1]Tissue Data'!$A:$A,'[1]Tissue Data'!$D:$D)</f>
        <v>44314</v>
      </c>
      <c r="D3886" s="2" t="s">
        <v>122</v>
      </c>
      <c r="E3886" t="str">
        <f>_xlfn.XLOOKUP(A3886,'[1]Tissue Data'!$A:$A,'[1]Tissue Data'!$H:$H)</f>
        <v>Etheostoma</v>
      </c>
      <c r="F3886" t="str">
        <f>_xlfn.XLOOKUP(A3886,'[1]Tissue Data'!$A:$A,'[1]Tissue Data'!$I:$I)</f>
        <v>olmstedi</v>
      </c>
      <c r="G3886" t="str">
        <f>_xlfn.XLOOKUP(A3886,'[1]Tissue Data'!$A:$A,'[1]Tissue Data'!J:J)</f>
        <v>U</v>
      </c>
      <c r="H3886" t="str">
        <f>_xlfn.XLOOKUP(A3886,'[1]Tissue Data'!$A:$A,'[1]Tissue Data'!K:K)</f>
        <v>Whole Body</v>
      </c>
      <c r="I3886">
        <f>_xlfn.XLOOKUP(A3886,'[1]Tissue Data'!$A:$A,'[1]Tissue Data'!L:L)</f>
        <v>6.5</v>
      </c>
      <c r="J3886">
        <f>_xlfn.XLOOKUP(A3886,'[1]Tissue Data'!$A:$A,'[1]Tissue Data'!M:M)</f>
        <v>2.6</v>
      </c>
      <c r="K3886" t="s">
        <v>46</v>
      </c>
      <c r="L3886" t="str">
        <f>_xlfn.XLOOKUP(K3886,[2]analyte_order!$B:$B,[2]analyte_order!$C:$C)</f>
        <v>120226-60-0</v>
      </c>
      <c r="M3886">
        <f>_xlfn.XLOOKUP(L3886,[2]analyte_order!$C:$C,[2]analyte_order!$E:$E)</f>
        <v>25</v>
      </c>
      <c r="N3886">
        <v>0.2515</v>
      </c>
    </row>
    <row r="3887" spans="1:14">
      <c r="A3887" t="s">
        <v>162</v>
      </c>
      <c r="B3887" t="str">
        <f>_xlfn.XLOOKUP(A3887,'[1]Tissue Data'!$A:$A,'[1]Tissue Data'!$C:$C)</f>
        <v>Spill</v>
      </c>
      <c r="C3887" s="2">
        <f>_xlfn.XLOOKUP(A3887,'[1]Tissue Data'!$A:$A,'[1]Tissue Data'!$D:$D)</f>
        <v>44314</v>
      </c>
      <c r="D3887" s="2" t="s">
        <v>122</v>
      </c>
      <c r="E3887" t="str">
        <f>_xlfn.XLOOKUP(A3887,'[1]Tissue Data'!$A:$A,'[1]Tissue Data'!$H:$H)</f>
        <v>Etheostoma</v>
      </c>
      <c r="F3887" t="str">
        <f>_xlfn.XLOOKUP(A3887,'[1]Tissue Data'!$A:$A,'[1]Tissue Data'!$I:$I)</f>
        <v>olmstedi</v>
      </c>
      <c r="G3887" t="str">
        <f>_xlfn.XLOOKUP(A3887,'[1]Tissue Data'!$A:$A,'[1]Tissue Data'!J:J)</f>
        <v>U</v>
      </c>
      <c r="H3887" t="str">
        <f>_xlfn.XLOOKUP(A3887,'[1]Tissue Data'!$A:$A,'[1]Tissue Data'!K:K)</f>
        <v>Whole Body</v>
      </c>
      <c r="I3887">
        <f>_xlfn.XLOOKUP(A3887,'[1]Tissue Data'!$A:$A,'[1]Tissue Data'!L:L)</f>
        <v>6.5</v>
      </c>
      <c r="J3887">
        <f>_xlfn.XLOOKUP(A3887,'[1]Tissue Data'!$A:$A,'[1]Tissue Data'!M:M)</f>
        <v>2.6</v>
      </c>
      <c r="K3887" t="s">
        <v>47</v>
      </c>
      <c r="L3887" t="str">
        <f>_xlfn.XLOOKUP(K3887,[2]analyte_order!$B:$B,[2]analyte_order!$C:$C)</f>
        <v>356-02-5</v>
      </c>
      <c r="M3887">
        <f>_xlfn.XLOOKUP(L3887,[2]analyte_order!$C:$C,[2]analyte_order!$E:$E)</f>
        <v>38</v>
      </c>
      <c r="N3887">
        <v>0.2555</v>
      </c>
    </row>
    <row r="3888" spans="1:14">
      <c r="A3888" t="s">
        <v>162</v>
      </c>
      <c r="B3888" t="str">
        <f>_xlfn.XLOOKUP(A3888,'[1]Tissue Data'!$A:$A,'[1]Tissue Data'!$C:$C)</f>
        <v>Spill</v>
      </c>
      <c r="C3888" s="2">
        <f>_xlfn.XLOOKUP(A3888,'[1]Tissue Data'!$A:$A,'[1]Tissue Data'!$D:$D)</f>
        <v>44314</v>
      </c>
      <c r="D3888" s="2" t="s">
        <v>122</v>
      </c>
      <c r="E3888" t="str">
        <f>_xlfn.XLOOKUP(A3888,'[1]Tissue Data'!$A:$A,'[1]Tissue Data'!$H:$H)</f>
        <v>Etheostoma</v>
      </c>
      <c r="F3888" t="str">
        <f>_xlfn.XLOOKUP(A3888,'[1]Tissue Data'!$A:$A,'[1]Tissue Data'!$I:$I)</f>
        <v>olmstedi</v>
      </c>
      <c r="G3888" t="str">
        <f>_xlfn.XLOOKUP(A3888,'[1]Tissue Data'!$A:$A,'[1]Tissue Data'!J:J)</f>
        <v>U</v>
      </c>
      <c r="H3888" t="str">
        <f>_xlfn.XLOOKUP(A3888,'[1]Tissue Data'!$A:$A,'[1]Tissue Data'!K:K)</f>
        <v>Whole Body</v>
      </c>
      <c r="I3888">
        <f>_xlfn.XLOOKUP(A3888,'[1]Tissue Data'!$A:$A,'[1]Tissue Data'!L:L)</f>
        <v>6.5</v>
      </c>
      <c r="J3888">
        <f>_xlfn.XLOOKUP(A3888,'[1]Tissue Data'!$A:$A,'[1]Tissue Data'!M:M)</f>
        <v>2.6</v>
      </c>
      <c r="K3888" t="s">
        <v>48</v>
      </c>
      <c r="L3888" t="str">
        <f>_xlfn.XLOOKUP(K3888,[2]analyte_order!$B:$B,[2]analyte_order!$C:$C)</f>
        <v>914637-49-3</v>
      </c>
      <c r="M3888">
        <f>_xlfn.XLOOKUP(L3888,[2]analyte_order!$C:$C,[2]analyte_order!$E:$E)</f>
        <v>39</v>
      </c>
      <c r="N3888">
        <v>0.2215</v>
      </c>
    </row>
    <row r="3889" spans="1:14">
      <c r="A3889" t="s">
        <v>162</v>
      </c>
      <c r="B3889" t="str">
        <f>_xlfn.XLOOKUP(A3889,'[1]Tissue Data'!$A:$A,'[1]Tissue Data'!$C:$C)</f>
        <v>Spill</v>
      </c>
      <c r="C3889" s="2">
        <f>_xlfn.XLOOKUP(A3889,'[1]Tissue Data'!$A:$A,'[1]Tissue Data'!$D:$D)</f>
        <v>44314</v>
      </c>
      <c r="D3889" s="2" t="s">
        <v>122</v>
      </c>
      <c r="E3889" t="str">
        <f>_xlfn.XLOOKUP(A3889,'[1]Tissue Data'!$A:$A,'[1]Tissue Data'!$H:$H)</f>
        <v>Etheostoma</v>
      </c>
      <c r="F3889" t="str">
        <f>_xlfn.XLOOKUP(A3889,'[1]Tissue Data'!$A:$A,'[1]Tissue Data'!$I:$I)</f>
        <v>olmstedi</v>
      </c>
      <c r="G3889" t="str">
        <f>_xlfn.XLOOKUP(A3889,'[1]Tissue Data'!$A:$A,'[1]Tissue Data'!J:J)</f>
        <v>U</v>
      </c>
      <c r="H3889" t="str">
        <f>_xlfn.XLOOKUP(A3889,'[1]Tissue Data'!$A:$A,'[1]Tissue Data'!K:K)</f>
        <v>Whole Body</v>
      </c>
      <c r="I3889">
        <f>_xlfn.XLOOKUP(A3889,'[1]Tissue Data'!$A:$A,'[1]Tissue Data'!L:L)</f>
        <v>6.5</v>
      </c>
      <c r="J3889">
        <f>_xlfn.XLOOKUP(A3889,'[1]Tissue Data'!$A:$A,'[1]Tissue Data'!M:M)</f>
        <v>2.6</v>
      </c>
      <c r="K3889" t="s">
        <v>49</v>
      </c>
      <c r="L3889" t="str">
        <f>_xlfn.XLOOKUP(K3889,[2]analyte_order!$B:$B,[2]analyte_order!$C:$C)</f>
        <v>812-70-4</v>
      </c>
      <c r="M3889">
        <f>_xlfn.XLOOKUP(L3889,[2]analyte_order!$C:$C,[2]analyte_order!$E:$E)</f>
        <v>40</v>
      </c>
      <c r="N3889">
        <v>5.18</v>
      </c>
    </row>
    <row r="3890" spans="1:14">
      <c r="A3890" t="s">
        <v>162</v>
      </c>
      <c r="B3890" t="str">
        <f>_xlfn.XLOOKUP(A3890,'[1]Tissue Data'!$A:$A,'[1]Tissue Data'!$C:$C)</f>
        <v>Spill</v>
      </c>
      <c r="C3890" s="2">
        <f>_xlfn.XLOOKUP(A3890,'[1]Tissue Data'!$A:$A,'[1]Tissue Data'!$D:$D)</f>
        <v>44314</v>
      </c>
      <c r="D3890" s="2" t="s">
        <v>122</v>
      </c>
      <c r="E3890" t="str">
        <f>_xlfn.XLOOKUP(A3890,'[1]Tissue Data'!$A:$A,'[1]Tissue Data'!$H:$H)</f>
        <v>Etheostoma</v>
      </c>
      <c r="F3890" t="str">
        <f>_xlfn.XLOOKUP(A3890,'[1]Tissue Data'!$A:$A,'[1]Tissue Data'!$I:$I)</f>
        <v>olmstedi</v>
      </c>
      <c r="G3890" t="str">
        <f>_xlfn.XLOOKUP(A3890,'[1]Tissue Data'!$A:$A,'[1]Tissue Data'!J:J)</f>
        <v>U</v>
      </c>
      <c r="H3890" t="str">
        <f>_xlfn.XLOOKUP(A3890,'[1]Tissue Data'!$A:$A,'[1]Tissue Data'!K:K)</f>
        <v>Whole Body</v>
      </c>
      <c r="I3890">
        <f>_xlfn.XLOOKUP(A3890,'[1]Tissue Data'!$A:$A,'[1]Tissue Data'!L:L)</f>
        <v>6.5</v>
      </c>
      <c r="J3890">
        <f>_xlfn.XLOOKUP(A3890,'[1]Tissue Data'!$A:$A,'[1]Tissue Data'!M:M)</f>
        <v>2.6</v>
      </c>
      <c r="K3890" t="s">
        <v>50</v>
      </c>
      <c r="L3890" t="str">
        <f>_xlfn.XLOOKUP(K3890,[2]analyte_order!$B:$B,[2]analyte_order!$C:$C)</f>
        <v>53826-12-3</v>
      </c>
      <c r="M3890">
        <f>_xlfn.XLOOKUP(L3890,[2]analyte_order!$C:$C,[2]analyte_order!$E:$E)</f>
        <v>41</v>
      </c>
      <c r="N3890">
        <v>6.7000000000000004E-2</v>
      </c>
    </row>
    <row r="3891" spans="1:14">
      <c r="A3891" t="s">
        <v>162</v>
      </c>
      <c r="B3891" t="str">
        <f>_xlfn.XLOOKUP(A3891,'[1]Tissue Data'!$A:$A,'[1]Tissue Data'!$C:$C)</f>
        <v>Spill</v>
      </c>
      <c r="C3891" s="2">
        <f>_xlfn.XLOOKUP(A3891,'[1]Tissue Data'!$A:$A,'[1]Tissue Data'!$D:$D)</f>
        <v>44314</v>
      </c>
      <c r="D3891" s="2" t="s">
        <v>122</v>
      </c>
      <c r="E3891" t="str">
        <f>_xlfn.XLOOKUP(A3891,'[1]Tissue Data'!$A:$A,'[1]Tissue Data'!$H:$H)</f>
        <v>Etheostoma</v>
      </c>
      <c r="F3891" t="str">
        <f>_xlfn.XLOOKUP(A3891,'[1]Tissue Data'!$A:$A,'[1]Tissue Data'!$I:$I)</f>
        <v>olmstedi</v>
      </c>
      <c r="G3891" t="str">
        <f>_xlfn.XLOOKUP(A3891,'[1]Tissue Data'!$A:$A,'[1]Tissue Data'!J:J)</f>
        <v>U</v>
      </c>
      <c r="H3891" t="str">
        <f>_xlfn.XLOOKUP(A3891,'[1]Tissue Data'!$A:$A,'[1]Tissue Data'!K:K)</f>
        <v>Whole Body</v>
      </c>
      <c r="I3891">
        <f>_xlfn.XLOOKUP(A3891,'[1]Tissue Data'!$A:$A,'[1]Tissue Data'!L:L)</f>
        <v>6.5</v>
      </c>
      <c r="J3891">
        <f>_xlfn.XLOOKUP(A3891,'[1]Tissue Data'!$A:$A,'[1]Tissue Data'!M:M)</f>
        <v>2.6</v>
      </c>
      <c r="K3891" t="s">
        <v>51</v>
      </c>
      <c r="L3891" t="str">
        <f>_xlfn.XLOOKUP(K3891,[2]analyte_order!$B:$B,[2]analyte_order!$C:$C)</f>
        <v>27854-31-5</v>
      </c>
      <c r="M3891">
        <f>_xlfn.XLOOKUP(L3891,[2]analyte_order!$C:$C,[2]analyte_order!$E:$E)</f>
        <v>42</v>
      </c>
      <c r="N3891">
        <v>0.61799999999999999</v>
      </c>
    </row>
    <row r="3892" spans="1:14">
      <c r="A3892" t="s">
        <v>162</v>
      </c>
      <c r="B3892" t="str">
        <f>_xlfn.XLOOKUP(A3892,'[1]Tissue Data'!$A:$A,'[1]Tissue Data'!$C:$C)</f>
        <v>Spill</v>
      </c>
      <c r="C3892" s="2">
        <f>_xlfn.XLOOKUP(A3892,'[1]Tissue Data'!$A:$A,'[1]Tissue Data'!$D:$D)</f>
        <v>44314</v>
      </c>
      <c r="D3892" s="2" t="s">
        <v>122</v>
      </c>
      <c r="E3892" t="str">
        <f>_xlfn.XLOOKUP(A3892,'[1]Tissue Data'!$A:$A,'[1]Tissue Data'!$H:$H)</f>
        <v>Etheostoma</v>
      </c>
      <c r="F3892" t="str">
        <f>_xlfn.XLOOKUP(A3892,'[1]Tissue Data'!$A:$A,'[1]Tissue Data'!$I:$I)</f>
        <v>olmstedi</v>
      </c>
      <c r="G3892" t="str">
        <f>_xlfn.XLOOKUP(A3892,'[1]Tissue Data'!$A:$A,'[1]Tissue Data'!J:J)</f>
        <v>U</v>
      </c>
      <c r="H3892" t="str">
        <f>_xlfn.XLOOKUP(A3892,'[1]Tissue Data'!$A:$A,'[1]Tissue Data'!K:K)</f>
        <v>Whole Body</v>
      </c>
      <c r="I3892">
        <f>_xlfn.XLOOKUP(A3892,'[1]Tissue Data'!$A:$A,'[1]Tissue Data'!L:L)</f>
        <v>6.5</v>
      </c>
      <c r="J3892">
        <f>_xlfn.XLOOKUP(A3892,'[1]Tissue Data'!$A:$A,'[1]Tissue Data'!M:M)</f>
        <v>2.6</v>
      </c>
      <c r="K3892" t="s">
        <v>52</v>
      </c>
      <c r="L3892" t="str">
        <f>_xlfn.XLOOKUP(K3892,[2]analyte_order!$B:$B,[2]analyte_order!$C:$C)</f>
        <v>53826-13-4</v>
      </c>
      <c r="M3892">
        <f>_xlfn.XLOOKUP(L3892,[2]analyte_order!$C:$C,[2]analyte_order!$E:$E)</f>
        <v>43</v>
      </c>
      <c r="N3892">
        <v>0.33050000000000002</v>
      </c>
    </row>
    <row r="3893" spans="1:14">
      <c r="A3893" t="s">
        <v>162</v>
      </c>
      <c r="B3893" t="str">
        <f>_xlfn.XLOOKUP(A3893,'[1]Tissue Data'!$A:$A,'[1]Tissue Data'!$C:$C)</f>
        <v>Spill</v>
      </c>
      <c r="C3893" s="2">
        <f>_xlfn.XLOOKUP(A3893,'[1]Tissue Data'!$A:$A,'[1]Tissue Data'!$D:$D)</f>
        <v>44314</v>
      </c>
      <c r="D3893" s="2" t="s">
        <v>122</v>
      </c>
      <c r="E3893" t="str">
        <f>_xlfn.XLOOKUP(A3893,'[1]Tissue Data'!$A:$A,'[1]Tissue Data'!$H:$H)</f>
        <v>Etheostoma</v>
      </c>
      <c r="F3893" t="str">
        <f>_xlfn.XLOOKUP(A3893,'[1]Tissue Data'!$A:$A,'[1]Tissue Data'!$I:$I)</f>
        <v>olmstedi</v>
      </c>
      <c r="G3893" t="str">
        <f>_xlfn.XLOOKUP(A3893,'[1]Tissue Data'!$A:$A,'[1]Tissue Data'!J:J)</f>
        <v>U</v>
      </c>
      <c r="H3893" t="str">
        <f>_xlfn.XLOOKUP(A3893,'[1]Tissue Data'!$A:$A,'[1]Tissue Data'!K:K)</f>
        <v>Whole Body</v>
      </c>
      <c r="I3893">
        <f>_xlfn.XLOOKUP(A3893,'[1]Tissue Data'!$A:$A,'[1]Tissue Data'!L:L)</f>
        <v>6.5</v>
      </c>
      <c r="J3893">
        <f>_xlfn.XLOOKUP(A3893,'[1]Tissue Data'!$A:$A,'[1]Tissue Data'!M:M)</f>
        <v>2.6</v>
      </c>
      <c r="K3893" t="s">
        <v>53</v>
      </c>
      <c r="L3893" t="str">
        <f>_xlfn.XLOOKUP(K3893,[2]analyte_order!$B:$B,[2]analyte_order!$C:$C)</f>
        <v>161094-75-3</v>
      </c>
      <c r="M3893">
        <f>_xlfn.XLOOKUP(L3893,[2]analyte_order!$C:$C,[2]analyte_order!$E:$E)</f>
        <v>44</v>
      </c>
      <c r="N3893">
        <v>5.2499999999999998E-2</v>
      </c>
    </row>
    <row r="3894" spans="1:14">
      <c r="A3894" t="s">
        <v>162</v>
      </c>
      <c r="B3894" t="str">
        <f>_xlfn.XLOOKUP(A3894,'[1]Tissue Data'!$A:$A,'[1]Tissue Data'!$C:$C)</f>
        <v>Spill</v>
      </c>
      <c r="C3894" s="2">
        <f>_xlfn.XLOOKUP(A3894,'[1]Tissue Data'!$A:$A,'[1]Tissue Data'!$D:$D)</f>
        <v>44314</v>
      </c>
      <c r="D3894" s="2" t="s">
        <v>122</v>
      </c>
      <c r="E3894" t="str">
        <f>_xlfn.XLOOKUP(A3894,'[1]Tissue Data'!$A:$A,'[1]Tissue Data'!$H:$H)</f>
        <v>Etheostoma</v>
      </c>
      <c r="F3894" t="str">
        <f>_xlfn.XLOOKUP(A3894,'[1]Tissue Data'!$A:$A,'[1]Tissue Data'!$I:$I)</f>
        <v>olmstedi</v>
      </c>
      <c r="G3894" t="str">
        <f>_xlfn.XLOOKUP(A3894,'[1]Tissue Data'!$A:$A,'[1]Tissue Data'!J:J)</f>
        <v>U</v>
      </c>
      <c r="H3894" t="str">
        <f>_xlfn.XLOOKUP(A3894,'[1]Tissue Data'!$A:$A,'[1]Tissue Data'!K:K)</f>
        <v>Whole Body</v>
      </c>
      <c r="I3894">
        <f>_xlfn.XLOOKUP(A3894,'[1]Tissue Data'!$A:$A,'[1]Tissue Data'!L:L)</f>
        <v>6.5</v>
      </c>
      <c r="J3894">
        <f>_xlfn.XLOOKUP(A3894,'[1]Tissue Data'!$A:$A,'[1]Tissue Data'!M:M)</f>
        <v>2.6</v>
      </c>
      <c r="K3894" t="s">
        <v>54</v>
      </c>
      <c r="L3894" t="str">
        <f>_xlfn.XLOOKUP(K3894,[2]analyte_order!$B:$B,[2]analyte_order!$C:$C)</f>
        <v>70887-84-2</v>
      </c>
      <c r="M3894">
        <f>_xlfn.XLOOKUP(L3894,[2]analyte_order!$C:$C,[2]analyte_order!$E:$E)</f>
        <v>45</v>
      </c>
      <c r="N3894">
        <v>4.0599999999999997E-2</v>
      </c>
    </row>
    <row r="3895" spans="1:14">
      <c r="A3895" t="s">
        <v>162</v>
      </c>
      <c r="B3895" t="str">
        <f>_xlfn.XLOOKUP(A3895,'[1]Tissue Data'!$A:$A,'[1]Tissue Data'!$C:$C)</f>
        <v>Spill</v>
      </c>
      <c r="C3895" s="2">
        <f>_xlfn.XLOOKUP(A3895,'[1]Tissue Data'!$A:$A,'[1]Tissue Data'!$D:$D)</f>
        <v>44314</v>
      </c>
      <c r="D3895" s="2" t="s">
        <v>122</v>
      </c>
      <c r="E3895" t="str">
        <f>_xlfn.XLOOKUP(A3895,'[1]Tissue Data'!$A:$A,'[1]Tissue Data'!$H:$H)</f>
        <v>Etheostoma</v>
      </c>
      <c r="F3895" t="str">
        <f>_xlfn.XLOOKUP(A3895,'[1]Tissue Data'!$A:$A,'[1]Tissue Data'!$I:$I)</f>
        <v>olmstedi</v>
      </c>
      <c r="G3895" t="str">
        <f>_xlfn.XLOOKUP(A3895,'[1]Tissue Data'!$A:$A,'[1]Tissue Data'!J:J)</f>
        <v>U</v>
      </c>
      <c r="H3895" t="str">
        <f>_xlfn.XLOOKUP(A3895,'[1]Tissue Data'!$A:$A,'[1]Tissue Data'!K:K)</f>
        <v>Whole Body</v>
      </c>
      <c r="I3895">
        <f>_xlfn.XLOOKUP(A3895,'[1]Tissue Data'!$A:$A,'[1]Tissue Data'!L:L)</f>
        <v>6.5</v>
      </c>
      <c r="J3895">
        <f>_xlfn.XLOOKUP(A3895,'[1]Tissue Data'!$A:$A,'[1]Tissue Data'!M:M)</f>
        <v>2.6</v>
      </c>
      <c r="K3895" t="s">
        <v>55</v>
      </c>
      <c r="L3895" t="str">
        <f>_xlfn.XLOOKUP(K3895,[2]analyte_order!$B:$B,[2]analyte_order!$C:$C)</f>
        <v>919005-14-4</v>
      </c>
      <c r="M3895">
        <f>_xlfn.XLOOKUP(L3895,[2]analyte_order!$C:$C,[2]analyte_order!$E:$E)</f>
        <v>35</v>
      </c>
      <c r="N3895">
        <v>6.7000000000000004E-2</v>
      </c>
    </row>
    <row r="3896" spans="1:14">
      <c r="A3896" t="s">
        <v>162</v>
      </c>
      <c r="B3896" t="str">
        <f>_xlfn.XLOOKUP(A3896,'[1]Tissue Data'!$A:$A,'[1]Tissue Data'!$C:$C)</f>
        <v>Spill</v>
      </c>
      <c r="C3896" s="2">
        <f>_xlfn.XLOOKUP(A3896,'[1]Tissue Data'!$A:$A,'[1]Tissue Data'!$D:$D)</f>
        <v>44314</v>
      </c>
      <c r="D3896" s="2" t="s">
        <v>122</v>
      </c>
      <c r="E3896" t="str">
        <f>_xlfn.XLOOKUP(A3896,'[1]Tissue Data'!$A:$A,'[1]Tissue Data'!$H:$H)</f>
        <v>Etheostoma</v>
      </c>
      <c r="F3896" t="str">
        <f>_xlfn.XLOOKUP(A3896,'[1]Tissue Data'!$A:$A,'[1]Tissue Data'!$I:$I)</f>
        <v>olmstedi</v>
      </c>
      <c r="G3896" t="str">
        <f>_xlfn.XLOOKUP(A3896,'[1]Tissue Data'!$A:$A,'[1]Tissue Data'!J:J)</f>
        <v>U</v>
      </c>
      <c r="H3896" t="str">
        <f>_xlfn.XLOOKUP(A3896,'[1]Tissue Data'!$A:$A,'[1]Tissue Data'!K:K)</f>
        <v>Whole Body</v>
      </c>
      <c r="I3896">
        <f>_xlfn.XLOOKUP(A3896,'[1]Tissue Data'!$A:$A,'[1]Tissue Data'!L:L)</f>
        <v>6.5</v>
      </c>
      <c r="J3896">
        <f>_xlfn.XLOOKUP(A3896,'[1]Tissue Data'!$A:$A,'[1]Tissue Data'!M:M)</f>
        <v>2.6</v>
      </c>
      <c r="K3896" t="s">
        <v>56</v>
      </c>
      <c r="L3896" t="str">
        <f>_xlfn.XLOOKUP(K3896,[2]analyte_order!$B:$B,[2]analyte_order!$C:$C)</f>
        <v>756426-58-1</v>
      </c>
      <c r="M3896">
        <f>_xlfn.XLOOKUP(L3896,[2]analyte_order!$C:$C,[2]analyte_order!$E:$E)</f>
        <v>36</v>
      </c>
      <c r="N3896">
        <v>6.7000000000000004E-2</v>
      </c>
    </row>
    <row r="3897" spans="1:14">
      <c r="A3897" t="s">
        <v>162</v>
      </c>
      <c r="B3897" t="str">
        <f>_xlfn.XLOOKUP(A3897,'[1]Tissue Data'!$A:$A,'[1]Tissue Data'!$C:$C)</f>
        <v>Spill</v>
      </c>
      <c r="C3897" s="2">
        <f>_xlfn.XLOOKUP(A3897,'[1]Tissue Data'!$A:$A,'[1]Tissue Data'!$D:$D)</f>
        <v>44314</v>
      </c>
      <c r="D3897" s="2" t="s">
        <v>122</v>
      </c>
      <c r="E3897" t="str">
        <f>_xlfn.XLOOKUP(A3897,'[1]Tissue Data'!$A:$A,'[1]Tissue Data'!$H:$H)</f>
        <v>Etheostoma</v>
      </c>
      <c r="F3897" t="str">
        <f>_xlfn.XLOOKUP(A3897,'[1]Tissue Data'!$A:$A,'[1]Tissue Data'!$I:$I)</f>
        <v>olmstedi</v>
      </c>
      <c r="G3897" t="str">
        <f>_xlfn.XLOOKUP(A3897,'[1]Tissue Data'!$A:$A,'[1]Tissue Data'!J:J)</f>
        <v>U</v>
      </c>
      <c r="H3897" t="str">
        <f>_xlfn.XLOOKUP(A3897,'[1]Tissue Data'!$A:$A,'[1]Tissue Data'!K:K)</f>
        <v>Whole Body</v>
      </c>
      <c r="I3897">
        <f>_xlfn.XLOOKUP(A3897,'[1]Tissue Data'!$A:$A,'[1]Tissue Data'!L:L)</f>
        <v>6.5</v>
      </c>
      <c r="J3897">
        <f>_xlfn.XLOOKUP(A3897,'[1]Tissue Data'!$A:$A,'[1]Tissue Data'!M:M)</f>
        <v>2.6</v>
      </c>
      <c r="K3897" t="s">
        <v>57</v>
      </c>
      <c r="L3897" t="str">
        <f>_xlfn.XLOOKUP(K3897,[2]analyte_order!$B:$B,[2]analyte_order!$C:$C)</f>
        <v>763051-92-9</v>
      </c>
      <c r="M3897">
        <f>_xlfn.XLOOKUP(L3897,[2]analyte_order!$C:$C,[2]analyte_order!$E:$E)</f>
        <v>37</v>
      </c>
      <c r="N3897">
        <v>6.7000000000000004E-2</v>
      </c>
    </row>
    <row r="3898" spans="1:14">
      <c r="A3898" t="s">
        <v>162</v>
      </c>
      <c r="B3898" t="str">
        <f>_xlfn.XLOOKUP(A3898,'[1]Tissue Data'!$A:$A,'[1]Tissue Data'!$C:$C)</f>
        <v>Spill</v>
      </c>
      <c r="C3898" s="2">
        <f>_xlfn.XLOOKUP(A3898,'[1]Tissue Data'!$A:$A,'[1]Tissue Data'!$D:$D)</f>
        <v>44314</v>
      </c>
      <c r="D3898" s="2" t="s">
        <v>122</v>
      </c>
      <c r="E3898" t="str">
        <f>_xlfn.XLOOKUP(A3898,'[1]Tissue Data'!$A:$A,'[1]Tissue Data'!$H:$H)</f>
        <v>Etheostoma</v>
      </c>
      <c r="F3898" t="str">
        <f>_xlfn.XLOOKUP(A3898,'[1]Tissue Data'!$A:$A,'[1]Tissue Data'!$I:$I)</f>
        <v>olmstedi</v>
      </c>
      <c r="G3898" t="str">
        <f>_xlfn.XLOOKUP(A3898,'[1]Tissue Data'!$A:$A,'[1]Tissue Data'!J:J)</f>
        <v>U</v>
      </c>
      <c r="H3898" t="str">
        <f>_xlfn.XLOOKUP(A3898,'[1]Tissue Data'!$A:$A,'[1]Tissue Data'!K:K)</f>
        <v>Whole Body</v>
      </c>
      <c r="I3898">
        <f>_xlfn.XLOOKUP(A3898,'[1]Tissue Data'!$A:$A,'[1]Tissue Data'!L:L)</f>
        <v>6.5</v>
      </c>
      <c r="J3898">
        <f>_xlfn.XLOOKUP(A3898,'[1]Tissue Data'!$A:$A,'[1]Tissue Data'!M:M)</f>
        <v>2.6</v>
      </c>
      <c r="K3898" t="s">
        <v>58</v>
      </c>
      <c r="L3898" t="str">
        <f>_xlfn.XLOOKUP(K3898,[2]analyte_order!$B:$B,[2]analyte_order!$C:$C)</f>
        <v>13252-13-6</v>
      </c>
      <c r="M3898">
        <f>_xlfn.XLOOKUP(L3898,[2]analyte_order!$C:$C,[2]analyte_order!$E:$E)</f>
        <v>34</v>
      </c>
      <c r="N3898">
        <v>9.6500000000000002E-2</v>
      </c>
    </row>
    <row r="3899" spans="1:14">
      <c r="A3899" t="s">
        <v>162</v>
      </c>
      <c r="B3899" t="str">
        <f>_xlfn.XLOOKUP(A3899,'[1]Tissue Data'!$A:$A,'[1]Tissue Data'!$C:$C)</f>
        <v>Spill</v>
      </c>
      <c r="C3899" s="2">
        <f>_xlfn.XLOOKUP(A3899,'[1]Tissue Data'!$A:$A,'[1]Tissue Data'!$D:$D)</f>
        <v>44314</v>
      </c>
      <c r="D3899" s="2" t="s">
        <v>122</v>
      </c>
      <c r="E3899" t="str">
        <f>_xlfn.XLOOKUP(A3899,'[1]Tissue Data'!$A:$A,'[1]Tissue Data'!$H:$H)</f>
        <v>Etheostoma</v>
      </c>
      <c r="F3899" t="str">
        <f>_xlfn.XLOOKUP(A3899,'[1]Tissue Data'!$A:$A,'[1]Tissue Data'!$I:$I)</f>
        <v>olmstedi</v>
      </c>
      <c r="G3899" t="str">
        <f>_xlfn.XLOOKUP(A3899,'[1]Tissue Data'!$A:$A,'[1]Tissue Data'!J:J)</f>
        <v>U</v>
      </c>
      <c r="H3899" t="str">
        <f>_xlfn.XLOOKUP(A3899,'[1]Tissue Data'!$A:$A,'[1]Tissue Data'!K:K)</f>
        <v>Whole Body</v>
      </c>
      <c r="I3899">
        <f>_xlfn.XLOOKUP(A3899,'[1]Tissue Data'!$A:$A,'[1]Tissue Data'!L:L)</f>
        <v>6.5</v>
      </c>
      <c r="J3899">
        <f>_xlfn.XLOOKUP(A3899,'[1]Tissue Data'!$A:$A,'[1]Tissue Data'!M:M)</f>
        <v>2.6</v>
      </c>
      <c r="K3899" t="s">
        <v>59</v>
      </c>
      <c r="L3899" t="str">
        <f>_xlfn.XLOOKUP(K3899,[2]analyte_order!$B:$B,[2]analyte_order!$C:$C)</f>
        <v>57677-95-9</v>
      </c>
      <c r="M3899">
        <f>_xlfn.XLOOKUP(L3899,[2]analyte_order!$C:$C,[2]analyte_order!$E:$E)</f>
        <v>46</v>
      </c>
      <c r="N3899">
        <v>7.1499999999999994E-2</v>
      </c>
    </row>
    <row r="3900" spans="1:14">
      <c r="A3900" t="s">
        <v>162</v>
      </c>
      <c r="B3900" t="str">
        <f>_xlfn.XLOOKUP(A3900,'[1]Tissue Data'!$A:$A,'[1]Tissue Data'!$C:$C)</f>
        <v>Spill</v>
      </c>
      <c r="C3900" s="2">
        <f>_xlfn.XLOOKUP(A3900,'[1]Tissue Data'!$A:$A,'[1]Tissue Data'!$D:$D)</f>
        <v>44314</v>
      </c>
      <c r="D3900" s="2" t="s">
        <v>122</v>
      </c>
      <c r="E3900" t="str">
        <f>_xlfn.XLOOKUP(A3900,'[1]Tissue Data'!$A:$A,'[1]Tissue Data'!$H:$H)</f>
        <v>Etheostoma</v>
      </c>
      <c r="F3900" t="str">
        <f>_xlfn.XLOOKUP(A3900,'[1]Tissue Data'!$A:$A,'[1]Tissue Data'!$I:$I)</f>
        <v>olmstedi</v>
      </c>
      <c r="G3900" t="str">
        <f>_xlfn.XLOOKUP(A3900,'[1]Tissue Data'!$A:$A,'[1]Tissue Data'!J:J)</f>
        <v>U</v>
      </c>
      <c r="H3900" t="str">
        <f>_xlfn.XLOOKUP(A3900,'[1]Tissue Data'!$A:$A,'[1]Tissue Data'!K:K)</f>
        <v>Whole Body</v>
      </c>
      <c r="I3900">
        <f>_xlfn.XLOOKUP(A3900,'[1]Tissue Data'!$A:$A,'[1]Tissue Data'!L:L)</f>
        <v>6.5</v>
      </c>
      <c r="J3900">
        <f>_xlfn.XLOOKUP(A3900,'[1]Tissue Data'!$A:$A,'[1]Tissue Data'!M:M)</f>
        <v>2.6</v>
      </c>
      <c r="K3900" t="s">
        <v>60</v>
      </c>
      <c r="L3900" t="str">
        <f>_xlfn.XLOOKUP(K3900,[2]analyte_order!$B:$B,[2]analyte_order!$C:$C)</f>
        <v>678-41-1</v>
      </c>
      <c r="M3900">
        <f>_xlfn.XLOOKUP(L3900,[2]analyte_order!$C:$C,[2]analyte_order!$E:$E)</f>
        <v>56</v>
      </c>
      <c r="N3900">
        <v>8.8999999999999996E-2</v>
      </c>
    </row>
    <row r="3901" spans="1:14">
      <c r="A3901" t="s">
        <v>162</v>
      </c>
      <c r="B3901" t="str">
        <f>_xlfn.XLOOKUP(A3901,'[1]Tissue Data'!$A:$A,'[1]Tissue Data'!$C:$C)</f>
        <v>Spill</v>
      </c>
      <c r="C3901" s="2">
        <f>_xlfn.XLOOKUP(A3901,'[1]Tissue Data'!$A:$A,'[1]Tissue Data'!$D:$D)</f>
        <v>44314</v>
      </c>
      <c r="D3901" s="2" t="s">
        <v>122</v>
      </c>
      <c r="E3901" t="str">
        <f>_xlfn.XLOOKUP(A3901,'[1]Tissue Data'!$A:$A,'[1]Tissue Data'!$H:$H)</f>
        <v>Etheostoma</v>
      </c>
      <c r="F3901" t="str">
        <f>_xlfn.XLOOKUP(A3901,'[1]Tissue Data'!$A:$A,'[1]Tissue Data'!$I:$I)</f>
        <v>olmstedi</v>
      </c>
      <c r="G3901" t="str">
        <f>_xlfn.XLOOKUP(A3901,'[1]Tissue Data'!$A:$A,'[1]Tissue Data'!J:J)</f>
        <v>U</v>
      </c>
      <c r="H3901" t="str">
        <f>_xlfn.XLOOKUP(A3901,'[1]Tissue Data'!$A:$A,'[1]Tissue Data'!K:K)</f>
        <v>Whole Body</v>
      </c>
      <c r="I3901">
        <f>_xlfn.XLOOKUP(A3901,'[1]Tissue Data'!$A:$A,'[1]Tissue Data'!L:L)</f>
        <v>6.5</v>
      </c>
      <c r="J3901">
        <f>_xlfn.XLOOKUP(A3901,'[1]Tissue Data'!$A:$A,'[1]Tissue Data'!M:M)</f>
        <v>2.6</v>
      </c>
      <c r="K3901" t="s">
        <v>61</v>
      </c>
      <c r="L3901" t="str">
        <f>_xlfn.XLOOKUP(K3901,[2]analyte_order!$B:$B,[2]analyte_order!$C:$C)</f>
        <v>2965-52-8</v>
      </c>
      <c r="M3901">
        <f>_xlfn.XLOOKUP(L3901,[2]analyte_order!$C:$C,[2]analyte_order!$E:$E)</f>
        <v>57</v>
      </c>
      <c r="N3901">
        <v>0.11799999999999999</v>
      </c>
    </row>
    <row r="3902" spans="1:14">
      <c r="A3902" t="s">
        <v>220</v>
      </c>
      <c r="B3902" t="str">
        <f>_xlfn.XLOOKUP(A3902,'[1]Tissue Data'!$A:$A,'[1]Tissue Data'!$C:$C)</f>
        <v>Spill</v>
      </c>
      <c r="C3902" s="2">
        <f>_xlfn.XLOOKUP(A3902,'[1]Tissue Data'!$A:$A,'[1]Tissue Data'!$D:$D)</f>
        <v>44314</v>
      </c>
      <c r="D3902" s="2" t="str">
        <f>_xlfn.XLOOKUP(A3902,'[1]Tissue Data'!$A:$A,'[1]Tissue Data'!$F:$F)</f>
        <v>Margined Madtom</v>
      </c>
      <c r="E3902" t="str">
        <f>_xlfn.XLOOKUP(A3902,'[1]Tissue Data'!$A:$A,'[1]Tissue Data'!$H:$H)</f>
        <v>Noturus</v>
      </c>
      <c r="F3902" t="str">
        <f>_xlfn.XLOOKUP(A3902,'[1]Tissue Data'!$A:$A,'[1]Tissue Data'!$I:$I)</f>
        <v>insignis</v>
      </c>
      <c r="G3902" t="str">
        <f>_xlfn.XLOOKUP(A3902,'[1]Tissue Data'!$A:$A,'[1]Tissue Data'!J:J)</f>
        <v>U</v>
      </c>
      <c r="H3902" t="str">
        <f>_xlfn.XLOOKUP(A3902,'[1]Tissue Data'!$A:$A,'[1]Tissue Data'!K:K)</f>
        <v>Whole Body</v>
      </c>
      <c r="I3902">
        <f>_xlfn.XLOOKUP(A3902,'[1]Tissue Data'!$A:$A,'[1]Tissue Data'!L:L)</f>
        <v>5.5</v>
      </c>
      <c r="J3902">
        <f>_xlfn.XLOOKUP(A3902,'[1]Tissue Data'!$A:$A,'[1]Tissue Data'!M:M)</f>
        <v>1.5</v>
      </c>
      <c r="K3902" t="s">
        <v>12</v>
      </c>
      <c r="L3902" t="str">
        <f>_xlfn.XLOOKUP(K3902,[2]analyte_order!$B:$B,[2]analyte_order!$C:$C)</f>
        <v>375-22-4</v>
      </c>
      <c r="M3902">
        <f>_xlfn.XLOOKUP(L3902,[2]analyte_order!$C:$C,[2]analyte_order!$E:$E)</f>
        <v>1</v>
      </c>
      <c r="N3902">
        <v>0.222</v>
      </c>
    </row>
    <row r="3903" spans="1:14">
      <c r="A3903" t="s">
        <v>220</v>
      </c>
      <c r="B3903" t="str">
        <f>_xlfn.XLOOKUP(A3903,'[1]Tissue Data'!$A:$A,'[1]Tissue Data'!$C:$C)</f>
        <v>Spill</v>
      </c>
      <c r="C3903" s="2">
        <f>_xlfn.XLOOKUP(A3903,'[1]Tissue Data'!$A:$A,'[1]Tissue Data'!$D:$D)</f>
        <v>44314</v>
      </c>
      <c r="D3903" s="2" t="str">
        <f>_xlfn.XLOOKUP(A3903,'[1]Tissue Data'!$A:$A,'[1]Tissue Data'!$F:$F)</f>
        <v>Margined Madtom</v>
      </c>
      <c r="E3903" t="str">
        <f>_xlfn.XLOOKUP(A3903,'[1]Tissue Data'!$A:$A,'[1]Tissue Data'!$H:$H)</f>
        <v>Noturus</v>
      </c>
      <c r="F3903" t="str">
        <f>_xlfn.XLOOKUP(A3903,'[1]Tissue Data'!$A:$A,'[1]Tissue Data'!$I:$I)</f>
        <v>insignis</v>
      </c>
      <c r="G3903" t="str">
        <f>_xlfn.XLOOKUP(A3903,'[1]Tissue Data'!$A:$A,'[1]Tissue Data'!J:J)</f>
        <v>U</v>
      </c>
      <c r="H3903" t="str">
        <f>_xlfn.XLOOKUP(A3903,'[1]Tissue Data'!$A:$A,'[1]Tissue Data'!K:K)</f>
        <v>Whole Body</v>
      </c>
      <c r="I3903">
        <f>_xlfn.XLOOKUP(A3903,'[1]Tissue Data'!$A:$A,'[1]Tissue Data'!L:L)</f>
        <v>5.5</v>
      </c>
      <c r="J3903">
        <f>_xlfn.XLOOKUP(A3903,'[1]Tissue Data'!$A:$A,'[1]Tissue Data'!M:M)</f>
        <v>1.5</v>
      </c>
      <c r="K3903" t="s">
        <v>13</v>
      </c>
      <c r="L3903" t="str">
        <f>_xlfn.XLOOKUP(K3903,[2]analyte_order!$B:$B,[2]analyte_order!$C:$C)</f>
        <v>2706-90-3</v>
      </c>
      <c r="M3903">
        <f>_xlfn.XLOOKUP(L3903,[2]analyte_order!$C:$C,[2]analyte_order!$E:$E)</f>
        <v>2</v>
      </c>
      <c r="N3903">
        <v>4.7600000000000003E-2</v>
      </c>
    </row>
    <row r="3904" spans="1:14">
      <c r="A3904" t="s">
        <v>220</v>
      </c>
      <c r="B3904" t="str">
        <f>_xlfn.XLOOKUP(A3904,'[1]Tissue Data'!$A:$A,'[1]Tissue Data'!$C:$C)</f>
        <v>Spill</v>
      </c>
      <c r="C3904" s="2">
        <f>_xlfn.XLOOKUP(A3904,'[1]Tissue Data'!$A:$A,'[1]Tissue Data'!$D:$D)</f>
        <v>44314</v>
      </c>
      <c r="D3904" s="2" t="str">
        <f>_xlfn.XLOOKUP(A3904,'[1]Tissue Data'!$A:$A,'[1]Tissue Data'!$F:$F)</f>
        <v>Margined Madtom</v>
      </c>
      <c r="E3904" t="str">
        <f>_xlfn.XLOOKUP(A3904,'[1]Tissue Data'!$A:$A,'[1]Tissue Data'!$H:$H)</f>
        <v>Noturus</v>
      </c>
      <c r="F3904" t="str">
        <f>_xlfn.XLOOKUP(A3904,'[1]Tissue Data'!$A:$A,'[1]Tissue Data'!$I:$I)</f>
        <v>insignis</v>
      </c>
      <c r="G3904" t="str">
        <f>_xlfn.XLOOKUP(A3904,'[1]Tissue Data'!$A:$A,'[1]Tissue Data'!J:J)</f>
        <v>U</v>
      </c>
      <c r="H3904" t="str">
        <f>_xlfn.XLOOKUP(A3904,'[1]Tissue Data'!$A:$A,'[1]Tissue Data'!K:K)</f>
        <v>Whole Body</v>
      </c>
      <c r="I3904">
        <f>_xlfn.XLOOKUP(A3904,'[1]Tissue Data'!$A:$A,'[1]Tissue Data'!L:L)</f>
        <v>5.5</v>
      </c>
      <c r="J3904">
        <f>_xlfn.XLOOKUP(A3904,'[1]Tissue Data'!$A:$A,'[1]Tissue Data'!M:M)</f>
        <v>1.5</v>
      </c>
      <c r="K3904" t="s">
        <v>14</v>
      </c>
      <c r="L3904" t="str">
        <f>_xlfn.XLOOKUP(K3904,[2]analyte_order!$B:$B,[2]analyte_order!$C:$C)</f>
        <v>307-24-4</v>
      </c>
      <c r="M3904">
        <f>_xlfn.XLOOKUP(L3904,[2]analyte_order!$C:$C,[2]analyte_order!$E:$E)</f>
        <v>3</v>
      </c>
      <c r="N3904">
        <v>0.12</v>
      </c>
    </row>
    <row r="3905" spans="1:14">
      <c r="A3905" t="s">
        <v>220</v>
      </c>
      <c r="B3905" t="str">
        <f>_xlfn.XLOOKUP(A3905,'[1]Tissue Data'!$A:$A,'[1]Tissue Data'!$C:$C)</f>
        <v>Spill</v>
      </c>
      <c r="C3905" s="2">
        <f>_xlfn.XLOOKUP(A3905,'[1]Tissue Data'!$A:$A,'[1]Tissue Data'!$D:$D)</f>
        <v>44314</v>
      </c>
      <c r="D3905" s="2" t="str">
        <f>_xlfn.XLOOKUP(A3905,'[1]Tissue Data'!$A:$A,'[1]Tissue Data'!$F:$F)</f>
        <v>Margined Madtom</v>
      </c>
      <c r="E3905" t="str">
        <f>_xlfn.XLOOKUP(A3905,'[1]Tissue Data'!$A:$A,'[1]Tissue Data'!$H:$H)</f>
        <v>Noturus</v>
      </c>
      <c r="F3905" t="str">
        <f>_xlfn.XLOOKUP(A3905,'[1]Tissue Data'!$A:$A,'[1]Tissue Data'!$I:$I)</f>
        <v>insignis</v>
      </c>
      <c r="G3905" t="str">
        <f>_xlfn.XLOOKUP(A3905,'[1]Tissue Data'!$A:$A,'[1]Tissue Data'!J:J)</f>
        <v>U</v>
      </c>
      <c r="H3905" t="str">
        <f>_xlfn.XLOOKUP(A3905,'[1]Tissue Data'!$A:$A,'[1]Tissue Data'!K:K)</f>
        <v>Whole Body</v>
      </c>
      <c r="I3905">
        <f>_xlfn.XLOOKUP(A3905,'[1]Tissue Data'!$A:$A,'[1]Tissue Data'!L:L)</f>
        <v>5.5</v>
      </c>
      <c r="J3905">
        <f>_xlfn.XLOOKUP(A3905,'[1]Tissue Data'!$A:$A,'[1]Tissue Data'!M:M)</f>
        <v>1.5</v>
      </c>
      <c r="K3905" t="s">
        <v>15</v>
      </c>
      <c r="L3905" t="str">
        <f>_xlfn.XLOOKUP(K3905,[2]analyte_order!$B:$B,[2]analyte_order!$C:$C)</f>
        <v>375-85-9</v>
      </c>
      <c r="M3905">
        <f>_xlfn.XLOOKUP(L3905,[2]analyte_order!$C:$C,[2]analyte_order!$E:$E)</f>
        <v>4</v>
      </c>
      <c r="N3905">
        <v>8.8999999999999996E-2</v>
      </c>
    </row>
    <row r="3906" spans="1:14">
      <c r="A3906" t="s">
        <v>220</v>
      </c>
      <c r="B3906" t="str">
        <f>_xlfn.XLOOKUP(A3906,'[1]Tissue Data'!$A:$A,'[1]Tissue Data'!$C:$C)</f>
        <v>Spill</v>
      </c>
      <c r="C3906" s="2">
        <f>_xlfn.XLOOKUP(A3906,'[1]Tissue Data'!$A:$A,'[1]Tissue Data'!$D:$D)</f>
        <v>44314</v>
      </c>
      <c r="D3906" s="2" t="str">
        <f>_xlfn.XLOOKUP(A3906,'[1]Tissue Data'!$A:$A,'[1]Tissue Data'!$F:$F)</f>
        <v>Margined Madtom</v>
      </c>
      <c r="E3906" t="str">
        <f>_xlfn.XLOOKUP(A3906,'[1]Tissue Data'!$A:$A,'[1]Tissue Data'!$H:$H)</f>
        <v>Noturus</v>
      </c>
      <c r="F3906" t="str">
        <f>_xlfn.XLOOKUP(A3906,'[1]Tissue Data'!$A:$A,'[1]Tissue Data'!$I:$I)</f>
        <v>insignis</v>
      </c>
      <c r="G3906" t="str">
        <f>_xlfn.XLOOKUP(A3906,'[1]Tissue Data'!$A:$A,'[1]Tissue Data'!J:J)</f>
        <v>U</v>
      </c>
      <c r="H3906" t="str">
        <f>_xlfn.XLOOKUP(A3906,'[1]Tissue Data'!$A:$A,'[1]Tissue Data'!K:K)</f>
        <v>Whole Body</v>
      </c>
      <c r="I3906">
        <f>_xlfn.XLOOKUP(A3906,'[1]Tissue Data'!$A:$A,'[1]Tissue Data'!L:L)</f>
        <v>5.5</v>
      </c>
      <c r="J3906">
        <f>_xlfn.XLOOKUP(A3906,'[1]Tissue Data'!$A:$A,'[1]Tissue Data'!M:M)</f>
        <v>1.5</v>
      </c>
      <c r="K3906" t="s">
        <v>16</v>
      </c>
      <c r="L3906" t="str">
        <f>_xlfn.XLOOKUP(K3906,[2]analyte_order!$B:$B,[2]analyte_order!$C:$C)</f>
        <v>335-67-1</v>
      </c>
      <c r="M3906">
        <f>_xlfn.XLOOKUP(L3906,[2]analyte_order!$C:$C,[2]analyte_order!$E:$E)</f>
        <v>5</v>
      </c>
      <c r="N3906">
        <v>0.746</v>
      </c>
    </row>
    <row r="3907" spans="1:14">
      <c r="A3907" t="s">
        <v>220</v>
      </c>
      <c r="B3907" t="str">
        <f>_xlfn.XLOOKUP(A3907,'[1]Tissue Data'!$A:$A,'[1]Tissue Data'!$C:$C)</f>
        <v>Spill</v>
      </c>
      <c r="C3907" s="2">
        <f>_xlfn.XLOOKUP(A3907,'[1]Tissue Data'!$A:$A,'[1]Tissue Data'!$D:$D)</f>
        <v>44314</v>
      </c>
      <c r="D3907" s="2" t="str">
        <f>_xlfn.XLOOKUP(A3907,'[1]Tissue Data'!$A:$A,'[1]Tissue Data'!$F:$F)</f>
        <v>Margined Madtom</v>
      </c>
      <c r="E3907" t="str">
        <f>_xlfn.XLOOKUP(A3907,'[1]Tissue Data'!$A:$A,'[1]Tissue Data'!$H:$H)</f>
        <v>Noturus</v>
      </c>
      <c r="F3907" t="str">
        <f>_xlfn.XLOOKUP(A3907,'[1]Tissue Data'!$A:$A,'[1]Tissue Data'!$I:$I)</f>
        <v>insignis</v>
      </c>
      <c r="G3907" t="str">
        <f>_xlfn.XLOOKUP(A3907,'[1]Tissue Data'!$A:$A,'[1]Tissue Data'!J:J)</f>
        <v>U</v>
      </c>
      <c r="H3907" t="str">
        <f>_xlfn.XLOOKUP(A3907,'[1]Tissue Data'!$A:$A,'[1]Tissue Data'!K:K)</f>
        <v>Whole Body</v>
      </c>
      <c r="I3907">
        <f>_xlfn.XLOOKUP(A3907,'[1]Tissue Data'!$A:$A,'[1]Tissue Data'!L:L)</f>
        <v>5.5</v>
      </c>
      <c r="J3907">
        <f>_xlfn.XLOOKUP(A3907,'[1]Tissue Data'!$A:$A,'[1]Tissue Data'!M:M)</f>
        <v>1.5</v>
      </c>
      <c r="K3907" t="s">
        <v>17</v>
      </c>
      <c r="L3907" t="str">
        <f>_xlfn.XLOOKUP(K3907,[2]analyte_order!$B:$B,[2]analyte_order!$C:$C)</f>
        <v>375-95-1</v>
      </c>
      <c r="M3907">
        <f>_xlfn.XLOOKUP(L3907,[2]analyte_order!$C:$C,[2]analyte_order!$E:$E)</f>
        <v>6</v>
      </c>
      <c r="N3907">
        <v>0.53300000000000003</v>
      </c>
    </row>
    <row r="3908" spans="1:14">
      <c r="A3908" t="s">
        <v>220</v>
      </c>
      <c r="B3908" t="str">
        <f>_xlfn.XLOOKUP(A3908,'[1]Tissue Data'!$A:$A,'[1]Tissue Data'!$C:$C)</f>
        <v>Spill</v>
      </c>
      <c r="C3908" s="2">
        <f>_xlfn.XLOOKUP(A3908,'[1]Tissue Data'!$A:$A,'[1]Tissue Data'!$D:$D)</f>
        <v>44314</v>
      </c>
      <c r="D3908" s="2" t="str">
        <f>_xlfn.XLOOKUP(A3908,'[1]Tissue Data'!$A:$A,'[1]Tissue Data'!$F:$F)</f>
        <v>Margined Madtom</v>
      </c>
      <c r="E3908" t="str">
        <f>_xlfn.XLOOKUP(A3908,'[1]Tissue Data'!$A:$A,'[1]Tissue Data'!$H:$H)</f>
        <v>Noturus</v>
      </c>
      <c r="F3908" t="str">
        <f>_xlfn.XLOOKUP(A3908,'[1]Tissue Data'!$A:$A,'[1]Tissue Data'!$I:$I)</f>
        <v>insignis</v>
      </c>
      <c r="G3908" t="str">
        <f>_xlfn.XLOOKUP(A3908,'[1]Tissue Data'!$A:$A,'[1]Tissue Data'!J:J)</f>
        <v>U</v>
      </c>
      <c r="H3908" t="str">
        <f>_xlfn.XLOOKUP(A3908,'[1]Tissue Data'!$A:$A,'[1]Tissue Data'!K:K)</f>
        <v>Whole Body</v>
      </c>
      <c r="I3908">
        <f>_xlfn.XLOOKUP(A3908,'[1]Tissue Data'!$A:$A,'[1]Tissue Data'!L:L)</f>
        <v>5.5</v>
      </c>
      <c r="J3908">
        <f>_xlfn.XLOOKUP(A3908,'[1]Tissue Data'!$A:$A,'[1]Tissue Data'!M:M)</f>
        <v>1.5</v>
      </c>
      <c r="K3908" t="s">
        <v>18</v>
      </c>
      <c r="L3908" t="str">
        <f>_xlfn.XLOOKUP(K3908,[2]analyte_order!$B:$B,[2]analyte_order!$C:$C)</f>
        <v>335-76-2</v>
      </c>
      <c r="M3908">
        <f>_xlfn.XLOOKUP(L3908,[2]analyte_order!$C:$C,[2]analyte_order!$E:$E)</f>
        <v>7</v>
      </c>
      <c r="N3908">
        <v>3.81</v>
      </c>
    </row>
    <row r="3909" spans="1:14">
      <c r="A3909" t="s">
        <v>220</v>
      </c>
      <c r="B3909" t="str">
        <f>_xlfn.XLOOKUP(A3909,'[1]Tissue Data'!$A:$A,'[1]Tissue Data'!$C:$C)</f>
        <v>Spill</v>
      </c>
      <c r="C3909" s="2">
        <f>_xlfn.XLOOKUP(A3909,'[1]Tissue Data'!$A:$A,'[1]Tissue Data'!$D:$D)</f>
        <v>44314</v>
      </c>
      <c r="D3909" s="2" t="str">
        <f>_xlfn.XLOOKUP(A3909,'[1]Tissue Data'!$A:$A,'[1]Tissue Data'!$F:$F)</f>
        <v>Margined Madtom</v>
      </c>
      <c r="E3909" t="str">
        <f>_xlfn.XLOOKUP(A3909,'[1]Tissue Data'!$A:$A,'[1]Tissue Data'!$H:$H)</f>
        <v>Noturus</v>
      </c>
      <c r="F3909" t="str">
        <f>_xlfn.XLOOKUP(A3909,'[1]Tissue Data'!$A:$A,'[1]Tissue Data'!$I:$I)</f>
        <v>insignis</v>
      </c>
      <c r="G3909" t="str">
        <f>_xlfn.XLOOKUP(A3909,'[1]Tissue Data'!$A:$A,'[1]Tissue Data'!J:J)</f>
        <v>U</v>
      </c>
      <c r="H3909" t="str">
        <f>_xlfn.XLOOKUP(A3909,'[1]Tissue Data'!$A:$A,'[1]Tissue Data'!K:K)</f>
        <v>Whole Body</v>
      </c>
      <c r="I3909">
        <f>_xlfn.XLOOKUP(A3909,'[1]Tissue Data'!$A:$A,'[1]Tissue Data'!L:L)</f>
        <v>5.5</v>
      </c>
      <c r="J3909">
        <f>_xlfn.XLOOKUP(A3909,'[1]Tissue Data'!$A:$A,'[1]Tissue Data'!M:M)</f>
        <v>1.5</v>
      </c>
      <c r="K3909" t="s">
        <v>19</v>
      </c>
      <c r="L3909" t="str">
        <f>_xlfn.XLOOKUP(K3909,[2]analyte_order!$B:$B,[2]analyte_order!$C:$C)</f>
        <v>2058-94-8</v>
      </c>
      <c r="M3909">
        <f>_xlfn.XLOOKUP(L3909,[2]analyte_order!$C:$C,[2]analyte_order!$E:$E)</f>
        <v>8</v>
      </c>
      <c r="N3909">
        <v>7.6</v>
      </c>
    </row>
    <row r="3910" spans="1:14">
      <c r="A3910" t="s">
        <v>220</v>
      </c>
      <c r="B3910" t="str">
        <f>_xlfn.XLOOKUP(A3910,'[1]Tissue Data'!$A:$A,'[1]Tissue Data'!$C:$C)</f>
        <v>Spill</v>
      </c>
      <c r="C3910" s="2">
        <f>_xlfn.XLOOKUP(A3910,'[1]Tissue Data'!$A:$A,'[1]Tissue Data'!$D:$D)</f>
        <v>44314</v>
      </c>
      <c r="D3910" s="2" t="str">
        <f>_xlfn.XLOOKUP(A3910,'[1]Tissue Data'!$A:$A,'[1]Tissue Data'!$F:$F)</f>
        <v>Margined Madtom</v>
      </c>
      <c r="E3910" t="str">
        <f>_xlfn.XLOOKUP(A3910,'[1]Tissue Data'!$A:$A,'[1]Tissue Data'!$H:$H)</f>
        <v>Noturus</v>
      </c>
      <c r="F3910" t="str">
        <f>_xlfn.XLOOKUP(A3910,'[1]Tissue Data'!$A:$A,'[1]Tissue Data'!$I:$I)</f>
        <v>insignis</v>
      </c>
      <c r="G3910" t="str">
        <f>_xlfn.XLOOKUP(A3910,'[1]Tissue Data'!$A:$A,'[1]Tissue Data'!J:J)</f>
        <v>U</v>
      </c>
      <c r="H3910" t="str">
        <f>_xlfn.XLOOKUP(A3910,'[1]Tissue Data'!$A:$A,'[1]Tissue Data'!K:K)</f>
        <v>Whole Body</v>
      </c>
      <c r="I3910">
        <f>_xlfn.XLOOKUP(A3910,'[1]Tissue Data'!$A:$A,'[1]Tissue Data'!L:L)</f>
        <v>5.5</v>
      </c>
      <c r="J3910">
        <f>_xlfn.XLOOKUP(A3910,'[1]Tissue Data'!$A:$A,'[1]Tissue Data'!M:M)</f>
        <v>1.5</v>
      </c>
      <c r="K3910" t="s">
        <v>20</v>
      </c>
      <c r="L3910" t="str">
        <f>_xlfn.XLOOKUP(K3910,[2]analyte_order!$B:$B,[2]analyte_order!$C:$C)</f>
        <v>307-55-1</v>
      </c>
      <c r="M3910">
        <f>_xlfn.XLOOKUP(L3910,[2]analyte_order!$C:$C,[2]analyte_order!$E:$E)</f>
        <v>9</v>
      </c>
      <c r="N3910">
        <v>12.1</v>
      </c>
    </row>
    <row r="3911" spans="1:14">
      <c r="A3911" t="s">
        <v>220</v>
      </c>
      <c r="B3911" t="str">
        <f>_xlfn.XLOOKUP(A3911,'[1]Tissue Data'!$A:$A,'[1]Tissue Data'!$C:$C)</f>
        <v>Spill</v>
      </c>
      <c r="C3911" s="2">
        <f>_xlfn.XLOOKUP(A3911,'[1]Tissue Data'!$A:$A,'[1]Tissue Data'!$D:$D)</f>
        <v>44314</v>
      </c>
      <c r="D3911" s="2" t="str">
        <f>_xlfn.XLOOKUP(A3911,'[1]Tissue Data'!$A:$A,'[1]Tissue Data'!$F:$F)</f>
        <v>Margined Madtom</v>
      </c>
      <c r="E3911" t="str">
        <f>_xlfn.XLOOKUP(A3911,'[1]Tissue Data'!$A:$A,'[1]Tissue Data'!$H:$H)</f>
        <v>Noturus</v>
      </c>
      <c r="F3911" t="str">
        <f>_xlfn.XLOOKUP(A3911,'[1]Tissue Data'!$A:$A,'[1]Tissue Data'!$I:$I)</f>
        <v>insignis</v>
      </c>
      <c r="G3911" t="str">
        <f>_xlfn.XLOOKUP(A3911,'[1]Tissue Data'!$A:$A,'[1]Tissue Data'!J:J)</f>
        <v>U</v>
      </c>
      <c r="H3911" t="str">
        <f>_xlfn.XLOOKUP(A3911,'[1]Tissue Data'!$A:$A,'[1]Tissue Data'!K:K)</f>
        <v>Whole Body</v>
      </c>
      <c r="I3911">
        <f>_xlfn.XLOOKUP(A3911,'[1]Tissue Data'!$A:$A,'[1]Tissue Data'!L:L)</f>
        <v>5.5</v>
      </c>
      <c r="J3911">
        <f>_xlfn.XLOOKUP(A3911,'[1]Tissue Data'!$A:$A,'[1]Tissue Data'!M:M)</f>
        <v>1.5</v>
      </c>
      <c r="K3911" t="s">
        <v>21</v>
      </c>
      <c r="L3911" t="str">
        <f>_xlfn.XLOOKUP(K3911,[2]analyte_order!$B:$B,[2]analyte_order!$C:$C)</f>
        <v>72629-94-8</v>
      </c>
      <c r="M3911">
        <f>_xlfn.XLOOKUP(L3911,[2]analyte_order!$C:$C,[2]analyte_order!$E:$E)</f>
        <v>10</v>
      </c>
      <c r="N3911">
        <v>3</v>
      </c>
    </row>
    <row r="3912" spans="1:14">
      <c r="A3912" t="s">
        <v>220</v>
      </c>
      <c r="B3912" t="str">
        <f>_xlfn.XLOOKUP(A3912,'[1]Tissue Data'!$A:$A,'[1]Tissue Data'!$C:$C)</f>
        <v>Spill</v>
      </c>
      <c r="C3912" s="2">
        <f>_xlfn.XLOOKUP(A3912,'[1]Tissue Data'!$A:$A,'[1]Tissue Data'!$D:$D)</f>
        <v>44314</v>
      </c>
      <c r="D3912" s="2" t="str">
        <f>_xlfn.XLOOKUP(A3912,'[1]Tissue Data'!$A:$A,'[1]Tissue Data'!$F:$F)</f>
        <v>Margined Madtom</v>
      </c>
      <c r="E3912" t="str">
        <f>_xlfn.XLOOKUP(A3912,'[1]Tissue Data'!$A:$A,'[1]Tissue Data'!$H:$H)</f>
        <v>Noturus</v>
      </c>
      <c r="F3912" t="str">
        <f>_xlfn.XLOOKUP(A3912,'[1]Tissue Data'!$A:$A,'[1]Tissue Data'!$I:$I)</f>
        <v>insignis</v>
      </c>
      <c r="G3912" t="str">
        <f>_xlfn.XLOOKUP(A3912,'[1]Tissue Data'!$A:$A,'[1]Tissue Data'!J:J)</f>
        <v>U</v>
      </c>
      <c r="H3912" t="str">
        <f>_xlfn.XLOOKUP(A3912,'[1]Tissue Data'!$A:$A,'[1]Tissue Data'!K:K)</f>
        <v>Whole Body</v>
      </c>
      <c r="I3912">
        <f>_xlfn.XLOOKUP(A3912,'[1]Tissue Data'!$A:$A,'[1]Tissue Data'!L:L)</f>
        <v>5.5</v>
      </c>
      <c r="J3912">
        <f>_xlfn.XLOOKUP(A3912,'[1]Tissue Data'!$A:$A,'[1]Tissue Data'!M:M)</f>
        <v>1.5</v>
      </c>
      <c r="K3912" t="s">
        <v>22</v>
      </c>
      <c r="L3912" t="str">
        <f>_xlfn.XLOOKUP(K3912,[2]analyte_order!$B:$B,[2]analyte_order!$C:$C)</f>
        <v>376-06-7</v>
      </c>
      <c r="M3912">
        <f>_xlfn.XLOOKUP(L3912,[2]analyte_order!$C:$C,[2]analyte_order!$E:$E)</f>
        <v>11</v>
      </c>
      <c r="N3912">
        <v>4.25</v>
      </c>
    </row>
    <row r="3913" spans="1:14">
      <c r="A3913" t="s">
        <v>220</v>
      </c>
      <c r="B3913" t="str">
        <f>_xlfn.XLOOKUP(A3913,'[1]Tissue Data'!$A:$A,'[1]Tissue Data'!$C:$C)</f>
        <v>Spill</v>
      </c>
      <c r="C3913" s="2">
        <f>_xlfn.XLOOKUP(A3913,'[1]Tissue Data'!$A:$A,'[1]Tissue Data'!$D:$D)</f>
        <v>44314</v>
      </c>
      <c r="D3913" s="2" t="str">
        <f>_xlfn.XLOOKUP(A3913,'[1]Tissue Data'!$A:$A,'[1]Tissue Data'!$F:$F)</f>
        <v>Margined Madtom</v>
      </c>
      <c r="E3913" t="str">
        <f>_xlfn.XLOOKUP(A3913,'[1]Tissue Data'!$A:$A,'[1]Tissue Data'!$H:$H)</f>
        <v>Noturus</v>
      </c>
      <c r="F3913" t="str">
        <f>_xlfn.XLOOKUP(A3913,'[1]Tissue Data'!$A:$A,'[1]Tissue Data'!$I:$I)</f>
        <v>insignis</v>
      </c>
      <c r="G3913" t="str">
        <f>_xlfn.XLOOKUP(A3913,'[1]Tissue Data'!$A:$A,'[1]Tissue Data'!J:J)</f>
        <v>U</v>
      </c>
      <c r="H3913" t="str">
        <f>_xlfn.XLOOKUP(A3913,'[1]Tissue Data'!$A:$A,'[1]Tissue Data'!K:K)</f>
        <v>Whole Body</v>
      </c>
      <c r="I3913">
        <f>_xlfn.XLOOKUP(A3913,'[1]Tissue Data'!$A:$A,'[1]Tissue Data'!L:L)</f>
        <v>5.5</v>
      </c>
      <c r="J3913">
        <f>_xlfn.XLOOKUP(A3913,'[1]Tissue Data'!$A:$A,'[1]Tissue Data'!M:M)</f>
        <v>1.5</v>
      </c>
      <c r="K3913" t="s">
        <v>23</v>
      </c>
      <c r="L3913" t="str">
        <f>_xlfn.XLOOKUP(K3913,[2]analyte_order!$B:$B,[2]analyte_order!$C:$C)</f>
        <v>67905-19-5</v>
      </c>
      <c r="M3913">
        <f>_xlfn.XLOOKUP(L3913,[2]analyte_order!$C:$C,[2]analyte_order!$E:$E)</f>
        <v>12</v>
      </c>
      <c r="N3913">
        <v>0.08</v>
      </c>
    </row>
    <row r="3914" spans="1:14">
      <c r="A3914" t="s">
        <v>220</v>
      </c>
      <c r="B3914" t="str">
        <f>_xlfn.XLOOKUP(A3914,'[1]Tissue Data'!$A:$A,'[1]Tissue Data'!$C:$C)</f>
        <v>Spill</v>
      </c>
      <c r="C3914" s="2">
        <f>_xlfn.XLOOKUP(A3914,'[1]Tissue Data'!$A:$A,'[1]Tissue Data'!$D:$D)</f>
        <v>44314</v>
      </c>
      <c r="D3914" s="2" t="str">
        <f>_xlfn.XLOOKUP(A3914,'[1]Tissue Data'!$A:$A,'[1]Tissue Data'!$F:$F)</f>
        <v>Margined Madtom</v>
      </c>
      <c r="E3914" t="str">
        <f>_xlfn.XLOOKUP(A3914,'[1]Tissue Data'!$A:$A,'[1]Tissue Data'!$H:$H)</f>
        <v>Noturus</v>
      </c>
      <c r="F3914" t="str">
        <f>_xlfn.XLOOKUP(A3914,'[1]Tissue Data'!$A:$A,'[1]Tissue Data'!$I:$I)</f>
        <v>insignis</v>
      </c>
      <c r="G3914" t="str">
        <f>_xlfn.XLOOKUP(A3914,'[1]Tissue Data'!$A:$A,'[1]Tissue Data'!J:J)</f>
        <v>U</v>
      </c>
      <c r="H3914" t="str">
        <f>_xlfn.XLOOKUP(A3914,'[1]Tissue Data'!$A:$A,'[1]Tissue Data'!K:K)</f>
        <v>Whole Body</v>
      </c>
      <c r="I3914">
        <f>_xlfn.XLOOKUP(A3914,'[1]Tissue Data'!$A:$A,'[1]Tissue Data'!L:L)</f>
        <v>5.5</v>
      </c>
      <c r="J3914">
        <f>_xlfn.XLOOKUP(A3914,'[1]Tissue Data'!$A:$A,'[1]Tissue Data'!M:M)</f>
        <v>1.5</v>
      </c>
      <c r="K3914" t="s">
        <v>24</v>
      </c>
      <c r="L3914" t="str">
        <f>_xlfn.XLOOKUP(K3914,[2]analyte_order!$B:$B,[2]analyte_order!$C:$C)</f>
        <v>423-41-6</v>
      </c>
      <c r="M3914">
        <f>_xlfn.XLOOKUP(L3914,[2]analyte_order!$C:$C,[2]analyte_order!$E:$E)</f>
        <v>53</v>
      </c>
      <c r="N3914">
        <v>5.1499999999999997E-2</v>
      </c>
    </row>
    <row r="3915" spans="1:14">
      <c r="A3915" t="s">
        <v>220</v>
      </c>
      <c r="B3915" t="str">
        <f>_xlfn.XLOOKUP(A3915,'[1]Tissue Data'!$A:$A,'[1]Tissue Data'!$C:$C)</f>
        <v>Spill</v>
      </c>
      <c r="C3915" s="2">
        <f>_xlfn.XLOOKUP(A3915,'[1]Tissue Data'!$A:$A,'[1]Tissue Data'!$D:$D)</f>
        <v>44314</v>
      </c>
      <c r="D3915" s="2" t="str">
        <f>_xlfn.XLOOKUP(A3915,'[1]Tissue Data'!$A:$A,'[1]Tissue Data'!$F:$F)</f>
        <v>Margined Madtom</v>
      </c>
      <c r="E3915" t="str">
        <f>_xlfn.XLOOKUP(A3915,'[1]Tissue Data'!$A:$A,'[1]Tissue Data'!$H:$H)</f>
        <v>Noturus</v>
      </c>
      <c r="F3915" t="str">
        <f>_xlfn.XLOOKUP(A3915,'[1]Tissue Data'!$A:$A,'[1]Tissue Data'!$I:$I)</f>
        <v>insignis</v>
      </c>
      <c r="G3915" t="str">
        <f>_xlfn.XLOOKUP(A3915,'[1]Tissue Data'!$A:$A,'[1]Tissue Data'!J:J)</f>
        <v>U</v>
      </c>
      <c r="H3915" t="str">
        <f>_xlfn.XLOOKUP(A3915,'[1]Tissue Data'!$A:$A,'[1]Tissue Data'!K:K)</f>
        <v>Whole Body</v>
      </c>
      <c r="I3915">
        <f>_xlfn.XLOOKUP(A3915,'[1]Tissue Data'!$A:$A,'[1]Tissue Data'!L:L)</f>
        <v>5.5</v>
      </c>
      <c r="J3915">
        <f>_xlfn.XLOOKUP(A3915,'[1]Tissue Data'!$A:$A,'[1]Tissue Data'!M:M)</f>
        <v>1.5</v>
      </c>
      <c r="K3915" t="s">
        <v>25</v>
      </c>
      <c r="L3915" t="str">
        <f>_xlfn.XLOOKUP(K3915,[2]analyte_order!$B:$B,[2]analyte_order!$C:$C)</f>
        <v>375-73-5</v>
      </c>
      <c r="M3915">
        <f>_xlfn.XLOOKUP(L3915,[2]analyte_order!$C:$C,[2]analyte_order!$E:$E)</f>
        <v>14</v>
      </c>
      <c r="N3915">
        <v>0.151</v>
      </c>
    </row>
    <row r="3916" spans="1:14">
      <c r="A3916" t="s">
        <v>220</v>
      </c>
      <c r="B3916" t="str">
        <f>_xlfn.XLOOKUP(A3916,'[1]Tissue Data'!$A:$A,'[1]Tissue Data'!$C:$C)</f>
        <v>Spill</v>
      </c>
      <c r="C3916" s="2">
        <f>_xlfn.XLOOKUP(A3916,'[1]Tissue Data'!$A:$A,'[1]Tissue Data'!$D:$D)</f>
        <v>44314</v>
      </c>
      <c r="D3916" s="2" t="str">
        <f>_xlfn.XLOOKUP(A3916,'[1]Tissue Data'!$A:$A,'[1]Tissue Data'!$F:$F)</f>
        <v>Margined Madtom</v>
      </c>
      <c r="E3916" t="str">
        <f>_xlfn.XLOOKUP(A3916,'[1]Tissue Data'!$A:$A,'[1]Tissue Data'!$H:$H)</f>
        <v>Noturus</v>
      </c>
      <c r="F3916" t="str">
        <f>_xlfn.XLOOKUP(A3916,'[1]Tissue Data'!$A:$A,'[1]Tissue Data'!$I:$I)</f>
        <v>insignis</v>
      </c>
      <c r="G3916" t="str">
        <f>_xlfn.XLOOKUP(A3916,'[1]Tissue Data'!$A:$A,'[1]Tissue Data'!J:J)</f>
        <v>U</v>
      </c>
      <c r="H3916" t="str">
        <f>_xlfn.XLOOKUP(A3916,'[1]Tissue Data'!$A:$A,'[1]Tissue Data'!K:K)</f>
        <v>Whole Body</v>
      </c>
      <c r="I3916">
        <f>_xlfn.XLOOKUP(A3916,'[1]Tissue Data'!$A:$A,'[1]Tissue Data'!L:L)</f>
        <v>5.5</v>
      </c>
      <c r="J3916">
        <f>_xlfn.XLOOKUP(A3916,'[1]Tissue Data'!$A:$A,'[1]Tissue Data'!M:M)</f>
        <v>1.5</v>
      </c>
      <c r="K3916" t="s">
        <v>26</v>
      </c>
      <c r="L3916" t="str">
        <f>_xlfn.XLOOKUP(K3916,[2]analyte_order!$B:$B,[2]analyte_order!$C:$C)</f>
        <v>2706-91-4</v>
      </c>
      <c r="M3916">
        <f>_xlfn.XLOOKUP(L3916,[2]analyte_order!$C:$C,[2]analyte_order!$E:$E)</f>
        <v>15</v>
      </c>
      <c r="N3916">
        <v>0.11749999999999999</v>
      </c>
    </row>
    <row r="3917" spans="1:14">
      <c r="A3917" t="s">
        <v>220</v>
      </c>
      <c r="B3917" t="str">
        <f>_xlfn.XLOOKUP(A3917,'[1]Tissue Data'!$A:$A,'[1]Tissue Data'!$C:$C)</f>
        <v>Spill</v>
      </c>
      <c r="C3917" s="2">
        <f>_xlfn.XLOOKUP(A3917,'[1]Tissue Data'!$A:$A,'[1]Tissue Data'!$D:$D)</f>
        <v>44314</v>
      </c>
      <c r="D3917" s="2" t="str">
        <f>_xlfn.XLOOKUP(A3917,'[1]Tissue Data'!$A:$A,'[1]Tissue Data'!$F:$F)</f>
        <v>Margined Madtom</v>
      </c>
      <c r="E3917" t="str">
        <f>_xlfn.XLOOKUP(A3917,'[1]Tissue Data'!$A:$A,'[1]Tissue Data'!$H:$H)</f>
        <v>Noturus</v>
      </c>
      <c r="F3917" t="str">
        <f>_xlfn.XLOOKUP(A3917,'[1]Tissue Data'!$A:$A,'[1]Tissue Data'!$I:$I)</f>
        <v>insignis</v>
      </c>
      <c r="G3917" t="str">
        <f>_xlfn.XLOOKUP(A3917,'[1]Tissue Data'!$A:$A,'[1]Tissue Data'!J:J)</f>
        <v>U</v>
      </c>
      <c r="H3917" t="str">
        <f>_xlfn.XLOOKUP(A3917,'[1]Tissue Data'!$A:$A,'[1]Tissue Data'!K:K)</f>
        <v>Whole Body</v>
      </c>
      <c r="I3917">
        <f>_xlfn.XLOOKUP(A3917,'[1]Tissue Data'!$A:$A,'[1]Tissue Data'!L:L)</f>
        <v>5.5</v>
      </c>
      <c r="J3917">
        <f>_xlfn.XLOOKUP(A3917,'[1]Tissue Data'!$A:$A,'[1]Tissue Data'!M:M)</f>
        <v>1.5</v>
      </c>
      <c r="K3917" t="s">
        <v>27</v>
      </c>
      <c r="L3917" t="str">
        <f>_xlfn.XLOOKUP(K3917,[2]analyte_order!$B:$B,[2]analyte_order!$C:$C)</f>
        <v>355-46-4</v>
      </c>
      <c r="M3917">
        <f>_xlfn.XLOOKUP(L3917,[2]analyte_order!$C:$C,[2]analyte_order!$E:$E)</f>
        <v>16</v>
      </c>
      <c r="N3917">
        <v>19.8</v>
      </c>
    </row>
    <row r="3918" spans="1:14">
      <c r="A3918" t="s">
        <v>220</v>
      </c>
      <c r="B3918" t="str">
        <f>_xlfn.XLOOKUP(A3918,'[1]Tissue Data'!$A:$A,'[1]Tissue Data'!$C:$C)</f>
        <v>Spill</v>
      </c>
      <c r="C3918" s="2">
        <f>_xlfn.XLOOKUP(A3918,'[1]Tissue Data'!$A:$A,'[1]Tissue Data'!$D:$D)</f>
        <v>44314</v>
      </c>
      <c r="D3918" s="2" t="str">
        <f>_xlfn.XLOOKUP(A3918,'[1]Tissue Data'!$A:$A,'[1]Tissue Data'!$F:$F)</f>
        <v>Margined Madtom</v>
      </c>
      <c r="E3918" t="str">
        <f>_xlfn.XLOOKUP(A3918,'[1]Tissue Data'!$A:$A,'[1]Tissue Data'!$H:$H)</f>
        <v>Noturus</v>
      </c>
      <c r="F3918" t="str">
        <f>_xlfn.XLOOKUP(A3918,'[1]Tissue Data'!$A:$A,'[1]Tissue Data'!$I:$I)</f>
        <v>insignis</v>
      </c>
      <c r="G3918" t="str">
        <f>_xlfn.XLOOKUP(A3918,'[1]Tissue Data'!$A:$A,'[1]Tissue Data'!J:J)</f>
        <v>U</v>
      </c>
      <c r="H3918" t="str">
        <f>_xlfn.XLOOKUP(A3918,'[1]Tissue Data'!$A:$A,'[1]Tissue Data'!K:K)</f>
        <v>Whole Body</v>
      </c>
      <c r="I3918">
        <f>_xlfn.XLOOKUP(A3918,'[1]Tissue Data'!$A:$A,'[1]Tissue Data'!L:L)</f>
        <v>5.5</v>
      </c>
      <c r="J3918">
        <f>_xlfn.XLOOKUP(A3918,'[1]Tissue Data'!$A:$A,'[1]Tissue Data'!M:M)</f>
        <v>1.5</v>
      </c>
      <c r="K3918" t="s">
        <v>28</v>
      </c>
      <c r="L3918" t="str">
        <f>_xlfn.XLOOKUP(K3918,[2]analyte_order!$B:$B,[2]analyte_order!$C:$C)</f>
        <v>375-92-8</v>
      </c>
      <c r="M3918">
        <f>_xlfn.XLOOKUP(L3918,[2]analyte_order!$C:$C,[2]analyte_order!$E:$E)</f>
        <v>17</v>
      </c>
      <c r="N3918">
        <v>1.01</v>
      </c>
    </row>
    <row r="3919" spans="1:14">
      <c r="A3919" t="s">
        <v>220</v>
      </c>
      <c r="B3919" t="str">
        <f>_xlfn.XLOOKUP(A3919,'[1]Tissue Data'!$A:$A,'[1]Tissue Data'!$C:$C)</f>
        <v>Spill</v>
      </c>
      <c r="C3919" s="2">
        <f>_xlfn.XLOOKUP(A3919,'[1]Tissue Data'!$A:$A,'[1]Tissue Data'!$D:$D)</f>
        <v>44314</v>
      </c>
      <c r="D3919" s="2" t="str">
        <f>_xlfn.XLOOKUP(A3919,'[1]Tissue Data'!$A:$A,'[1]Tissue Data'!$F:$F)</f>
        <v>Margined Madtom</v>
      </c>
      <c r="E3919" t="str">
        <f>_xlfn.XLOOKUP(A3919,'[1]Tissue Data'!$A:$A,'[1]Tissue Data'!$H:$H)</f>
        <v>Noturus</v>
      </c>
      <c r="F3919" t="str">
        <f>_xlfn.XLOOKUP(A3919,'[1]Tissue Data'!$A:$A,'[1]Tissue Data'!$I:$I)</f>
        <v>insignis</v>
      </c>
      <c r="G3919" t="str">
        <f>_xlfn.XLOOKUP(A3919,'[1]Tissue Data'!$A:$A,'[1]Tissue Data'!J:J)</f>
        <v>U</v>
      </c>
      <c r="H3919" t="str">
        <f>_xlfn.XLOOKUP(A3919,'[1]Tissue Data'!$A:$A,'[1]Tissue Data'!K:K)</f>
        <v>Whole Body</v>
      </c>
      <c r="I3919">
        <f>_xlfn.XLOOKUP(A3919,'[1]Tissue Data'!$A:$A,'[1]Tissue Data'!L:L)</f>
        <v>5.5</v>
      </c>
      <c r="J3919">
        <f>_xlfn.XLOOKUP(A3919,'[1]Tissue Data'!$A:$A,'[1]Tissue Data'!M:M)</f>
        <v>1.5</v>
      </c>
      <c r="K3919" t="s">
        <v>29</v>
      </c>
      <c r="L3919" t="str">
        <f>_xlfn.XLOOKUP(K3919,[2]analyte_order!$B:$B,[2]analyte_order!$C:$C)</f>
        <v>1763-23-1</v>
      </c>
      <c r="M3919">
        <f>_xlfn.XLOOKUP(L3919,[2]analyte_order!$C:$C,[2]analyte_order!$E:$E)</f>
        <v>18</v>
      </c>
      <c r="N3919">
        <v>730</v>
      </c>
    </row>
    <row r="3920" spans="1:14">
      <c r="A3920" t="s">
        <v>220</v>
      </c>
      <c r="B3920" t="str">
        <f>_xlfn.XLOOKUP(A3920,'[1]Tissue Data'!$A:$A,'[1]Tissue Data'!$C:$C)</f>
        <v>Spill</v>
      </c>
      <c r="C3920" s="2">
        <f>_xlfn.XLOOKUP(A3920,'[1]Tissue Data'!$A:$A,'[1]Tissue Data'!$D:$D)</f>
        <v>44314</v>
      </c>
      <c r="D3920" s="2" t="str">
        <f>_xlfn.XLOOKUP(A3920,'[1]Tissue Data'!$A:$A,'[1]Tissue Data'!$F:$F)</f>
        <v>Margined Madtom</v>
      </c>
      <c r="E3920" t="str">
        <f>_xlfn.XLOOKUP(A3920,'[1]Tissue Data'!$A:$A,'[1]Tissue Data'!$H:$H)</f>
        <v>Noturus</v>
      </c>
      <c r="F3920" t="str">
        <f>_xlfn.XLOOKUP(A3920,'[1]Tissue Data'!$A:$A,'[1]Tissue Data'!$I:$I)</f>
        <v>insignis</v>
      </c>
      <c r="G3920" t="str">
        <f>_xlfn.XLOOKUP(A3920,'[1]Tissue Data'!$A:$A,'[1]Tissue Data'!J:J)</f>
        <v>U</v>
      </c>
      <c r="H3920" t="str">
        <f>_xlfn.XLOOKUP(A3920,'[1]Tissue Data'!$A:$A,'[1]Tissue Data'!K:K)</f>
        <v>Whole Body</v>
      </c>
      <c r="I3920">
        <f>_xlfn.XLOOKUP(A3920,'[1]Tissue Data'!$A:$A,'[1]Tissue Data'!L:L)</f>
        <v>5.5</v>
      </c>
      <c r="J3920">
        <f>_xlfn.XLOOKUP(A3920,'[1]Tissue Data'!$A:$A,'[1]Tissue Data'!M:M)</f>
        <v>1.5</v>
      </c>
      <c r="K3920" t="s">
        <v>30</v>
      </c>
      <c r="L3920" t="str">
        <f>_xlfn.XLOOKUP(K3920,[2]analyte_order!$B:$B,[2]analyte_order!$C:$C)</f>
        <v>68259-12-1</v>
      </c>
      <c r="M3920">
        <f>_xlfn.XLOOKUP(L3920,[2]analyte_order!$C:$C,[2]analyte_order!$E:$E)</f>
        <v>19</v>
      </c>
      <c r="N3920">
        <v>0.57799999999999996</v>
      </c>
    </row>
    <row r="3921" spans="1:14">
      <c r="A3921" t="s">
        <v>220</v>
      </c>
      <c r="B3921" t="str">
        <f>_xlfn.XLOOKUP(A3921,'[1]Tissue Data'!$A:$A,'[1]Tissue Data'!$C:$C)</f>
        <v>Spill</v>
      </c>
      <c r="C3921" s="2">
        <f>_xlfn.XLOOKUP(A3921,'[1]Tissue Data'!$A:$A,'[1]Tissue Data'!$D:$D)</f>
        <v>44314</v>
      </c>
      <c r="D3921" s="2" t="str">
        <f>_xlfn.XLOOKUP(A3921,'[1]Tissue Data'!$A:$A,'[1]Tissue Data'!$F:$F)</f>
        <v>Margined Madtom</v>
      </c>
      <c r="E3921" t="str">
        <f>_xlfn.XLOOKUP(A3921,'[1]Tissue Data'!$A:$A,'[1]Tissue Data'!$H:$H)</f>
        <v>Noturus</v>
      </c>
      <c r="F3921" t="str">
        <f>_xlfn.XLOOKUP(A3921,'[1]Tissue Data'!$A:$A,'[1]Tissue Data'!$I:$I)</f>
        <v>insignis</v>
      </c>
      <c r="G3921" t="str">
        <f>_xlfn.XLOOKUP(A3921,'[1]Tissue Data'!$A:$A,'[1]Tissue Data'!J:J)</f>
        <v>U</v>
      </c>
      <c r="H3921" t="str">
        <f>_xlfn.XLOOKUP(A3921,'[1]Tissue Data'!$A:$A,'[1]Tissue Data'!K:K)</f>
        <v>Whole Body</v>
      </c>
      <c r="I3921">
        <f>_xlfn.XLOOKUP(A3921,'[1]Tissue Data'!$A:$A,'[1]Tissue Data'!L:L)</f>
        <v>5.5</v>
      </c>
      <c r="J3921">
        <f>_xlfn.XLOOKUP(A3921,'[1]Tissue Data'!$A:$A,'[1]Tissue Data'!M:M)</f>
        <v>1.5</v>
      </c>
      <c r="K3921" t="s">
        <v>31</v>
      </c>
      <c r="L3921" t="str">
        <f>_xlfn.XLOOKUP(K3921,[2]analyte_order!$B:$B,[2]analyte_order!$C:$C)</f>
        <v>335-77-3</v>
      </c>
      <c r="M3921">
        <f>_xlfn.XLOOKUP(L3921,[2]analyte_order!$C:$C,[2]analyte_order!$E:$E)</f>
        <v>20</v>
      </c>
      <c r="N3921">
        <v>0.83699999999999997</v>
      </c>
    </row>
    <row r="3922" spans="1:14">
      <c r="A3922" t="s">
        <v>220</v>
      </c>
      <c r="B3922" t="str">
        <f>_xlfn.XLOOKUP(A3922,'[1]Tissue Data'!$A:$A,'[1]Tissue Data'!$C:$C)</f>
        <v>Spill</v>
      </c>
      <c r="C3922" s="2">
        <f>_xlfn.XLOOKUP(A3922,'[1]Tissue Data'!$A:$A,'[1]Tissue Data'!$D:$D)</f>
        <v>44314</v>
      </c>
      <c r="D3922" s="2" t="str">
        <f>_xlfn.XLOOKUP(A3922,'[1]Tissue Data'!$A:$A,'[1]Tissue Data'!$F:$F)</f>
        <v>Margined Madtom</v>
      </c>
      <c r="E3922" t="str">
        <f>_xlfn.XLOOKUP(A3922,'[1]Tissue Data'!$A:$A,'[1]Tissue Data'!$H:$H)</f>
        <v>Noturus</v>
      </c>
      <c r="F3922" t="str">
        <f>_xlfn.XLOOKUP(A3922,'[1]Tissue Data'!$A:$A,'[1]Tissue Data'!$I:$I)</f>
        <v>insignis</v>
      </c>
      <c r="G3922" t="str">
        <f>_xlfn.XLOOKUP(A3922,'[1]Tissue Data'!$A:$A,'[1]Tissue Data'!J:J)</f>
        <v>U</v>
      </c>
      <c r="H3922" t="str">
        <f>_xlfn.XLOOKUP(A3922,'[1]Tissue Data'!$A:$A,'[1]Tissue Data'!K:K)</f>
        <v>Whole Body</v>
      </c>
      <c r="I3922">
        <f>_xlfn.XLOOKUP(A3922,'[1]Tissue Data'!$A:$A,'[1]Tissue Data'!L:L)</f>
        <v>5.5</v>
      </c>
      <c r="J3922">
        <f>_xlfn.XLOOKUP(A3922,'[1]Tissue Data'!$A:$A,'[1]Tissue Data'!M:M)</f>
        <v>1.5</v>
      </c>
      <c r="K3922" t="s">
        <v>32</v>
      </c>
      <c r="L3922" t="str">
        <f>_xlfn.XLOOKUP(K3922,[2]analyte_order!$B:$B,[2]analyte_order!$C:$C)</f>
        <v>79780-39-5</v>
      </c>
      <c r="M3922">
        <f>_xlfn.XLOOKUP(L3922,[2]analyte_order!$C:$C,[2]analyte_order!$E:$E)</f>
        <v>21</v>
      </c>
      <c r="N3922">
        <v>0.23749999999999999</v>
      </c>
    </row>
    <row r="3923" spans="1:14">
      <c r="A3923" t="s">
        <v>220</v>
      </c>
      <c r="B3923" t="str">
        <f>_xlfn.XLOOKUP(A3923,'[1]Tissue Data'!$A:$A,'[1]Tissue Data'!$C:$C)</f>
        <v>Spill</v>
      </c>
      <c r="C3923" s="2">
        <f>_xlfn.XLOOKUP(A3923,'[1]Tissue Data'!$A:$A,'[1]Tissue Data'!$D:$D)</f>
        <v>44314</v>
      </c>
      <c r="D3923" s="2" t="str">
        <f>_xlfn.XLOOKUP(A3923,'[1]Tissue Data'!$A:$A,'[1]Tissue Data'!$F:$F)</f>
        <v>Margined Madtom</v>
      </c>
      <c r="E3923" t="str">
        <f>_xlfn.XLOOKUP(A3923,'[1]Tissue Data'!$A:$A,'[1]Tissue Data'!$H:$H)</f>
        <v>Noturus</v>
      </c>
      <c r="F3923" t="str">
        <f>_xlfn.XLOOKUP(A3923,'[1]Tissue Data'!$A:$A,'[1]Tissue Data'!$I:$I)</f>
        <v>insignis</v>
      </c>
      <c r="G3923" t="str">
        <f>_xlfn.XLOOKUP(A3923,'[1]Tissue Data'!$A:$A,'[1]Tissue Data'!J:J)</f>
        <v>U</v>
      </c>
      <c r="H3923" t="str">
        <f>_xlfn.XLOOKUP(A3923,'[1]Tissue Data'!$A:$A,'[1]Tissue Data'!K:K)</f>
        <v>Whole Body</v>
      </c>
      <c r="I3923">
        <f>_xlfn.XLOOKUP(A3923,'[1]Tissue Data'!$A:$A,'[1]Tissue Data'!L:L)</f>
        <v>5.5</v>
      </c>
      <c r="J3923">
        <f>_xlfn.XLOOKUP(A3923,'[1]Tissue Data'!$A:$A,'[1]Tissue Data'!M:M)</f>
        <v>1.5</v>
      </c>
      <c r="K3923" t="s">
        <v>33</v>
      </c>
      <c r="L3923" t="str">
        <f>_xlfn.XLOOKUP(K3923,[2]analyte_order!$B:$B,[2]analyte_order!$C:$C)</f>
        <v>777011-38-8</v>
      </c>
      <c r="M3923">
        <f>_xlfn.XLOOKUP(L3923,[2]analyte_order!$C:$C,[2]analyte_order!$E:$E)</f>
        <v>54</v>
      </c>
      <c r="N3923">
        <v>0.13500000000000001</v>
      </c>
    </row>
    <row r="3924" spans="1:14">
      <c r="A3924" t="s">
        <v>220</v>
      </c>
      <c r="B3924" t="str">
        <f>_xlfn.XLOOKUP(A3924,'[1]Tissue Data'!$A:$A,'[1]Tissue Data'!$C:$C)</f>
        <v>Spill</v>
      </c>
      <c r="C3924" s="2">
        <f>_xlfn.XLOOKUP(A3924,'[1]Tissue Data'!$A:$A,'[1]Tissue Data'!$D:$D)</f>
        <v>44314</v>
      </c>
      <c r="D3924" s="2" t="str">
        <f>_xlfn.XLOOKUP(A3924,'[1]Tissue Data'!$A:$A,'[1]Tissue Data'!$F:$F)</f>
        <v>Margined Madtom</v>
      </c>
      <c r="E3924" t="str">
        <f>_xlfn.XLOOKUP(A3924,'[1]Tissue Data'!$A:$A,'[1]Tissue Data'!$H:$H)</f>
        <v>Noturus</v>
      </c>
      <c r="F3924" t="str">
        <f>_xlfn.XLOOKUP(A3924,'[1]Tissue Data'!$A:$A,'[1]Tissue Data'!$I:$I)</f>
        <v>insignis</v>
      </c>
      <c r="G3924" t="str">
        <f>_xlfn.XLOOKUP(A3924,'[1]Tissue Data'!$A:$A,'[1]Tissue Data'!J:J)</f>
        <v>U</v>
      </c>
      <c r="H3924" t="str">
        <f>_xlfn.XLOOKUP(A3924,'[1]Tissue Data'!$A:$A,'[1]Tissue Data'!K:K)</f>
        <v>Whole Body</v>
      </c>
      <c r="I3924">
        <f>_xlfn.XLOOKUP(A3924,'[1]Tissue Data'!$A:$A,'[1]Tissue Data'!L:L)</f>
        <v>5.5</v>
      </c>
      <c r="J3924">
        <f>_xlfn.XLOOKUP(A3924,'[1]Tissue Data'!$A:$A,'[1]Tissue Data'!M:M)</f>
        <v>1.5</v>
      </c>
      <c r="K3924" t="s">
        <v>34</v>
      </c>
      <c r="L3924" t="str">
        <f>_xlfn.XLOOKUP(K3924,[2]analyte_order!$B:$B,[2]analyte_order!$C:$C)</f>
        <v>646-83-3</v>
      </c>
      <c r="M3924">
        <f>_xlfn.XLOOKUP(L3924,[2]analyte_order!$C:$C,[2]analyte_order!$E:$E)</f>
        <v>55</v>
      </c>
      <c r="N3924">
        <v>8.8999999999999996E-2</v>
      </c>
    </row>
    <row r="3925" spans="1:14">
      <c r="A3925" t="s">
        <v>220</v>
      </c>
      <c r="B3925" t="str">
        <f>_xlfn.XLOOKUP(A3925,'[1]Tissue Data'!$A:$A,'[1]Tissue Data'!$C:$C)</f>
        <v>Spill</v>
      </c>
      <c r="C3925" s="2">
        <f>_xlfn.XLOOKUP(A3925,'[1]Tissue Data'!$A:$A,'[1]Tissue Data'!$D:$D)</f>
        <v>44314</v>
      </c>
      <c r="D3925" s="2" t="str">
        <f>_xlfn.XLOOKUP(A3925,'[1]Tissue Data'!$A:$A,'[1]Tissue Data'!$F:$F)</f>
        <v>Margined Madtom</v>
      </c>
      <c r="E3925" t="str">
        <f>_xlfn.XLOOKUP(A3925,'[1]Tissue Data'!$A:$A,'[1]Tissue Data'!$H:$H)</f>
        <v>Noturus</v>
      </c>
      <c r="F3925" t="str">
        <f>_xlfn.XLOOKUP(A3925,'[1]Tissue Data'!$A:$A,'[1]Tissue Data'!$I:$I)</f>
        <v>insignis</v>
      </c>
      <c r="G3925" t="str">
        <f>_xlfn.XLOOKUP(A3925,'[1]Tissue Data'!$A:$A,'[1]Tissue Data'!J:J)</f>
        <v>U</v>
      </c>
      <c r="H3925" t="str">
        <f>_xlfn.XLOOKUP(A3925,'[1]Tissue Data'!$A:$A,'[1]Tissue Data'!K:K)</f>
        <v>Whole Body</v>
      </c>
      <c r="I3925">
        <f>_xlfn.XLOOKUP(A3925,'[1]Tissue Data'!$A:$A,'[1]Tissue Data'!L:L)</f>
        <v>5.5</v>
      </c>
      <c r="J3925">
        <f>_xlfn.XLOOKUP(A3925,'[1]Tissue Data'!$A:$A,'[1]Tissue Data'!M:M)</f>
        <v>1.5</v>
      </c>
      <c r="K3925" t="s">
        <v>35</v>
      </c>
      <c r="L3925" t="str">
        <f>_xlfn.XLOOKUP(K3925,[2]analyte_order!$B:$B,[2]analyte_order!$C:$C)</f>
        <v>30334-69-1</v>
      </c>
      <c r="M3925">
        <f>_xlfn.XLOOKUP(L3925,[2]analyte_order!$C:$C,[2]analyte_order!$E:$E)</f>
        <v>51</v>
      </c>
      <c r="N3925">
        <v>52.8</v>
      </c>
    </row>
    <row r="3926" spans="1:14">
      <c r="A3926" t="s">
        <v>220</v>
      </c>
      <c r="B3926" t="str">
        <f>_xlfn.XLOOKUP(A3926,'[1]Tissue Data'!$A:$A,'[1]Tissue Data'!$C:$C)</f>
        <v>Spill</v>
      </c>
      <c r="C3926" s="2">
        <f>_xlfn.XLOOKUP(A3926,'[1]Tissue Data'!$A:$A,'[1]Tissue Data'!$D:$D)</f>
        <v>44314</v>
      </c>
      <c r="D3926" s="2" t="str">
        <f>_xlfn.XLOOKUP(A3926,'[1]Tissue Data'!$A:$A,'[1]Tissue Data'!$F:$F)</f>
        <v>Margined Madtom</v>
      </c>
      <c r="E3926" t="str">
        <f>_xlfn.XLOOKUP(A3926,'[1]Tissue Data'!$A:$A,'[1]Tissue Data'!$H:$H)</f>
        <v>Noturus</v>
      </c>
      <c r="F3926" t="str">
        <f>_xlfn.XLOOKUP(A3926,'[1]Tissue Data'!$A:$A,'[1]Tissue Data'!$I:$I)</f>
        <v>insignis</v>
      </c>
      <c r="G3926" t="str">
        <f>_xlfn.XLOOKUP(A3926,'[1]Tissue Data'!$A:$A,'[1]Tissue Data'!J:J)</f>
        <v>U</v>
      </c>
      <c r="H3926" t="str">
        <f>_xlfn.XLOOKUP(A3926,'[1]Tissue Data'!$A:$A,'[1]Tissue Data'!K:K)</f>
        <v>Whole Body</v>
      </c>
      <c r="I3926">
        <f>_xlfn.XLOOKUP(A3926,'[1]Tissue Data'!$A:$A,'[1]Tissue Data'!L:L)</f>
        <v>5.5</v>
      </c>
      <c r="J3926">
        <f>_xlfn.XLOOKUP(A3926,'[1]Tissue Data'!$A:$A,'[1]Tissue Data'!M:M)</f>
        <v>1.5</v>
      </c>
      <c r="K3926" t="s">
        <v>36</v>
      </c>
      <c r="L3926" t="str">
        <f>_xlfn.XLOOKUP(K3926,[2]analyte_order!$B:$B,[2]analyte_order!$C:$C)</f>
        <v>41997-13-1</v>
      </c>
      <c r="M3926">
        <f>_xlfn.XLOOKUP(L3926,[2]analyte_order!$C:$C,[2]analyte_order!$E:$E)</f>
        <v>52</v>
      </c>
      <c r="N3926">
        <v>189</v>
      </c>
    </row>
    <row r="3927" spans="1:14">
      <c r="A3927" t="s">
        <v>220</v>
      </c>
      <c r="B3927" t="str">
        <f>_xlfn.XLOOKUP(A3927,'[1]Tissue Data'!$A:$A,'[1]Tissue Data'!$C:$C)</f>
        <v>Spill</v>
      </c>
      <c r="C3927" s="2">
        <f>_xlfn.XLOOKUP(A3927,'[1]Tissue Data'!$A:$A,'[1]Tissue Data'!$D:$D)</f>
        <v>44314</v>
      </c>
      <c r="D3927" s="2" t="str">
        <f>_xlfn.XLOOKUP(A3927,'[1]Tissue Data'!$A:$A,'[1]Tissue Data'!$F:$F)</f>
        <v>Margined Madtom</v>
      </c>
      <c r="E3927" t="str">
        <f>_xlfn.XLOOKUP(A3927,'[1]Tissue Data'!$A:$A,'[1]Tissue Data'!$H:$H)</f>
        <v>Noturus</v>
      </c>
      <c r="F3927" t="str">
        <f>_xlfn.XLOOKUP(A3927,'[1]Tissue Data'!$A:$A,'[1]Tissue Data'!$I:$I)</f>
        <v>insignis</v>
      </c>
      <c r="G3927" t="str">
        <f>_xlfn.XLOOKUP(A3927,'[1]Tissue Data'!$A:$A,'[1]Tissue Data'!J:J)</f>
        <v>U</v>
      </c>
      <c r="H3927" t="str">
        <f>_xlfn.XLOOKUP(A3927,'[1]Tissue Data'!$A:$A,'[1]Tissue Data'!K:K)</f>
        <v>Whole Body</v>
      </c>
      <c r="I3927">
        <f>_xlfn.XLOOKUP(A3927,'[1]Tissue Data'!$A:$A,'[1]Tissue Data'!L:L)</f>
        <v>5.5</v>
      </c>
      <c r="J3927">
        <f>_xlfn.XLOOKUP(A3927,'[1]Tissue Data'!$A:$A,'[1]Tissue Data'!M:M)</f>
        <v>1.5</v>
      </c>
      <c r="K3927" t="s">
        <v>37</v>
      </c>
      <c r="L3927" t="str">
        <f>_xlfn.XLOOKUP(K3927,[2]analyte_order!$B:$B,[2]analyte_order!$C:$C)</f>
        <v>754-91-6</v>
      </c>
      <c r="M3927">
        <f>_xlfn.XLOOKUP(L3927,[2]analyte_order!$C:$C,[2]analyte_order!$E:$E)</f>
        <v>28</v>
      </c>
      <c r="N3927">
        <v>26.9</v>
      </c>
    </row>
    <row r="3928" spans="1:14">
      <c r="A3928" t="s">
        <v>220</v>
      </c>
      <c r="B3928" t="str">
        <f>_xlfn.XLOOKUP(A3928,'[1]Tissue Data'!$A:$A,'[1]Tissue Data'!$C:$C)</f>
        <v>Spill</v>
      </c>
      <c r="C3928" s="2">
        <f>_xlfn.XLOOKUP(A3928,'[1]Tissue Data'!$A:$A,'[1]Tissue Data'!$D:$D)</f>
        <v>44314</v>
      </c>
      <c r="D3928" s="2" t="str">
        <f>_xlfn.XLOOKUP(A3928,'[1]Tissue Data'!$A:$A,'[1]Tissue Data'!$F:$F)</f>
        <v>Margined Madtom</v>
      </c>
      <c r="E3928" t="str">
        <f>_xlfn.XLOOKUP(A3928,'[1]Tissue Data'!$A:$A,'[1]Tissue Data'!$H:$H)</f>
        <v>Noturus</v>
      </c>
      <c r="F3928" t="str">
        <f>_xlfn.XLOOKUP(A3928,'[1]Tissue Data'!$A:$A,'[1]Tissue Data'!$I:$I)</f>
        <v>insignis</v>
      </c>
      <c r="G3928" t="str">
        <f>_xlfn.XLOOKUP(A3928,'[1]Tissue Data'!$A:$A,'[1]Tissue Data'!J:J)</f>
        <v>U</v>
      </c>
      <c r="H3928" t="str">
        <f>_xlfn.XLOOKUP(A3928,'[1]Tissue Data'!$A:$A,'[1]Tissue Data'!K:K)</f>
        <v>Whole Body</v>
      </c>
      <c r="I3928">
        <f>_xlfn.XLOOKUP(A3928,'[1]Tissue Data'!$A:$A,'[1]Tissue Data'!L:L)</f>
        <v>5.5</v>
      </c>
      <c r="J3928">
        <f>_xlfn.XLOOKUP(A3928,'[1]Tissue Data'!$A:$A,'[1]Tissue Data'!M:M)</f>
        <v>1.5</v>
      </c>
      <c r="K3928" t="s">
        <v>38</v>
      </c>
      <c r="L3928" t="str">
        <f>_xlfn.XLOOKUP(K3928,[2]analyte_order!$B:$B,[2]analyte_order!$C:$C)</f>
        <v>31506-32-8</v>
      </c>
      <c r="M3928">
        <f>_xlfn.XLOOKUP(L3928,[2]analyte_order!$C:$C,[2]analyte_order!$E:$E)</f>
        <v>30</v>
      </c>
      <c r="N3928">
        <v>5.1999999999999998E-2</v>
      </c>
    </row>
    <row r="3929" spans="1:14">
      <c r="A3929" t="s">
        <v>220</v>
      </c>
      <c r="B3929" t="str">
        <f>_xlfn.XLOOKUP(A3929,'[1]Tissue Data'!$A:$A,'[1]Tissue Data'!$C:$C)</f>
        <v>Spill</v>
      </c>
      <c r="C3929" s="2">
        <f>_xlfn.XLOOKUP(A3929,'[1]Tissue Data'!$A:$A,'[1]Tissue Data'!$D:$D)</f>
        <v>44314</v>
      </c>
      <c r="D3929" s="2" t="str">
        <f>_xlfn.XLOOKUP(A3929,'[1]Tissue Data'!$A:$A,'[1]Tissue Data'!$F:$F)</f>
        <v>Margined Madtom</v>
      </c>
      <c r="E3929" t="str">
        <f>_xlfn.XLOOKUP(A3929,'[1]Tissue Data'!$A:$A,'[1]Tissue Data'!$H:$H)</f>
        <v>Noturus</v>
      </c>
      <c r="F3929" t="str">
        <f>_xlfn.XLOOKUP(A3929,'[1]Tissue Data'!$A:$A,'[1]Tissue Data'!$I:$I)</f>
        <v>insignis</v>
      </c>
      <c r="G3929" t="str">
        <f>_xlfn.XLOOKUP(A3929,'[1]Tissue Data'!$A:$A,'[1]Tissue Data'!J:J)</f>
        <v>U</v>
      </c>
      <c r="H3929" t="str">
        <f>_xlfn.XLOOKUP(A3929,'[1]Tissue Data'!$A:$A,'[1]Tissue Data'!K:K)</f>
        <v>Whole Body</v>
      </c>
      <c r="I3929">
        <f>_xlfn.XLOOKUP(A3929,'[1]Tissue Data'!$A:$A,'[1]Tissue Data'!L:L)</f>
        <v>5.5</v>
      </c>
      <c r="J3929">
        <f>_xlfn.XLOOKUP(A3929,'[1]Tissue Data'!$A:$A,'[1]Tissue Data'!M:M)</f>
        <v>1.5</v>
      </c>
      <c r="K3929" t="s">
        <v>39</v>
      </c>
      <c r="L3929" t="str">
        <f>_xlfn.XLOOKUP(K3929,[2]analyte_order!$B:$B,[2]analyte_order!$C:$C)</f>
        <v>4151-50-2</v>
      </c>
      <c r="M3929">
        <f>_xlfn.XLOOKUP(L3929,[2]analyte_order!$C:$C,[2]analyte_order!$E:$E)</f>
        <v>31</v>
      </c>
      <c r="N3929">
        <v>7.85E-2</v>
      </c>
    </row>
    <row r="3930" spans="1:14">
      <c r="A3930" t="s">
        <v>220</v>
      </c>
      <c r="B3930" t="str">
        <f>_xlfn.XLOOKUP(A3930,'[1]Tissue Data'!$A:$A,'[1]Tissue Data'!$C:$C)</f>
        <v>Spill</v>
      </c>
      <c r="C3930" s="2">
        <f>_xlfn.XLOOKUP(A3930,'[1]Tissue Data'!$A:$A,'[1]Tissue Data'!$D:$D)</f>
        <v>44314</v>
      </c>
      <c r="D3930" s="2" t="str">
        <f>_xlfn.XLOOKUP(A3930,'[1]Tissue Data'!$A:$A,'[1]Tissue Data'!$F:$F)</f>
        <v>Margined Madtom</v>
      </c>
      <c r="E3930" t="str">
        <f>_xlfn.XLOOKUP(A3930,'[1]Tissue Data'!$A:$A,'[1]Tissue Data'!$H:$H)</f>
        <v>Noturus</v>
      </c>
      <c r="F3930" t="str">
        <f>_xlfn.XLOOKUP(A3930,'[1]Tissue Data'!$A:$A,'[1]Tissue Data'!$I:$I)</f>
        <v>insignis</v>
      </c>
      <c r="G3930" t="str">
        <f>_xlfn.XLOOKUP(A3930,'[1]Tissue Data'!$A:$A,'[1]Tissue Data'!J:J)</f>
        <v>U</v>
      </c>
      <c r="H3930" t="str">
        <f>_xlfn.XLOOKUP(A3930,'[1]Tissue Data'!$A:$A,'[1]Tissue Data'!K:K)</f>
        <v>Whole Body</v>
      </c>
      <c r="I3930">
        <f>_xlfn.XLOOKUP(A3930,'[1]Tissue Data'!$A:$A,'[1]Tissue Data'!L:L)</f>
        <v>5.5</v>
      </c>
      <c r="J3930">
        <f>_xlfn.XLOOKUP(A3930,'[1]Tissue Data'!$A:$A,'[1]Tissue Data'!M:M)</f>
        <v>1.5</v>
      </c>
      <c r="K3930" t="s">
        <v>40</v>
      </c>
      <c r="L3930" t="str">
        <f>_xlfn.XLOOKUP(K3930,[2]analyte_order!$B:$B,[2]analyte_order!$C:$C)</f>
        <v>2806-24-8</v>
      </c>
      <c r="M3930">
        <f>_xlfn.XLOOKUP(L3930,[2]analyte_order!$C:$C,[2]analyte_order!$E:$E)</f>
        <v>29</v>
      </c>
      <c r="N3930">
        <v>5.2999999999999999E-2</v>
      </c>
    </row>
    <row r="3931" spans="1:14">
      <c r="A3931" t="s">
        <v>220</v>
      </c>
      <c r="B3931" t="str">
        <f>_xlfn.XLOOKUP(A3931,'[1]Tissue Data'!$A:$A,'[1]Tissue Data'!$C:$C)</f>
        <v>Spill</v>
      </c>
      <c r="C3931" s="2">
        <f>_xlfn.XLOOKUP(A3931,'[1]Tissue Data'!$A:$A,'[1]Tissue Data'!$D:$D)</f>
        <v>44314</v>
      </c>
      <c r="D3931" s="2" t="str">
        <f>_xlfn.XLOOKUP(A3931,'[1]Tissue Data'!$A:$A,'[1]Tissue Data'!$F:$F)</f>
        <v>Margined Madtom</v>
      </c>
      <c r="E3931" t="str">
        <f>_xlfn.XLOOKUP(A3931,'[1]Tissue Data'!$A:$A,'[1]Tissue Data'!$H:$H)</f>
        <v>Noturus</v>
      </c>
      <c r="F3931" t="str">
        <f>_xlfn.XLOOKUP(A3931,'[1]Tissue Data'!$A:$A,'[1]Tissue Data'!$I:$I)</f>
        <v>insignis</v>
      </c>
      <c r="G3931" t="str">
        <f>_xlfn.XLOOKUP(A3931,'[1]Tissue Data'!$A:$A,'[1]Tissue Data'!J:J)</f>
        <v>U</v>
      </c>
      <c r="H3931" t="str">
        <f>_xlfn.XLOOKUP(A3931,'[1]Tissue Data'!$A:$A,'[1]Tissue Data'!K:K)</f>
        <v>Whole Body</v>
      </c>
      <c r="I3931">
        <f>_xlfn.XLOOKUP(A3931,'[1]Tissue Data'!$A:$A,'[1]Tissue Data'!L:L)</f>
        <v>5.5</v>
      </c>
      <c r="J3931">
        <f>_xlfn.XLOOKUP(A3931,'[1]Tissue Data'!$A:$A,'[1]Tissue Data'!M:M)</f>
        <v>1.5</v>
      </c>
      <c r="K3931" t="s">
        <v>41</v>
      </c>
      <c r="L3931" t="str">
        <f>_xlfn.XLOOKUP(K3931,[2]analyte_order!$B:$B,[2]analyte_order!$C:$C)</f>
        <v>2355-31-9</v>
      </c>
      <c r="M3931">
        <f>_xlfn.XLOOKUP(L3931,[2]analyte_order!$C:$C,[2]analyte_order!$E:$E)</f>
        <v>26</v>
      </c>
      <c r="N3931">
        <v>0.2235</v>
      </c>
    </row>
    <row r="3932" spans="1:14">
      <c r="A3932" t="s">
        <v>220</v>
      </c>
      <c r="B3932" t="str">
        <f>_xlfn.XLOOKUP(A3932,'[1]Tissue Data'!$A:$A,'[1]Tissue Data'!$C:$C)</f>
        <v>Spill</v>
      </c>
      <c r="C3932" s="2">
        <f>_xlfn.XLOOKUP(A3932,'[1]Tissue Data'!$A:$A,'[1]Tissue Data'!$D:$D)</f>
        <v>44314</v>
      </c>
      <c r="D3932" s="2" t="str">
        <f>_xlfn.XLOOKUP(A3932,'[1]Tissue Data'!$A:$A,'[1]Tissue Data'!$F:$F)</f>
        <v>Margined Madtom</v>
      </c>
      <c r="E3932" t="str">
        <f>_xlfn.XLOOKUP(A3932,'[1]Tissue Data'!$A:$A,'[1]Tissue Data'!$H:$H)</f>
        <v>Noturus</v>
      </c>
      <c r="F3932" t="str">
        <f>_xlfn.XLOOKUP(A3932,'[1]Tissue Data'!$A:$A,'[1]Tissue Data'!$I:$I)</f>
        <v>insignis</v>
      </c>
      <c r="G3932" t="str">
        <f>_xlfn.XLOOKUP(A3932,'[1]Tissue Data'!$A:$A,'[1]Tissue Data'!J:J)</f>
        <v>U</v>
      </c>
      <c r="H3932" t="str">
        <f>_xlfn.XLOOKUP(A3932,'[1]Tissue Data'!$A:$A,'[1]Tissue Data'!K:K)</f>
        <v>Whole Body</v>
      </c>
      <c r="I3932">
        <f>_xlfn.XLOOKUP(A3932,'[1]Tissue Data'!$A:$A,'[1]Tissue Data'!L:L)</f>
        <v>5.5</v>
      </c>
      <c r="J3932">
        <f>_xlfn.XLOOKUP(A3932,'[1]Tissue Data'!$A:$A,'[1]Tissue Data'!M:M)</f>
        <v>1.5</v>
      </c>
      <c r="K3932" t="s">
        <v>42</v>
      </c>
      <c r="L3932" t="str">
        <f>_xlfn.XLOOKUP(K3932,[2]analyte_order!$B:$B,[2]analyte_order!$C:$C)</f>
        <v>2991-50-6</v>
      </c>
      <c r="M3932">
        <f>_xlfn.XLOOKUP(L3932,[2]analyte_order!$C:$C,[2]analyte_order!$E:$E)</f>
        <v>27</v>
      </c>
      <c r="N3932">
        <v>5.8500000000000003E-2</v>
      </c>
    </row>
    <row r="3933" spans="1:14">
      <c r="A3933" t="s">
        <v>220</v>
      </c>
      <c r="B3933" t="str">
        <f>_xlfn.XLOOKUP(A3933,'[1]Tissue Data'!$A:$A,'[1]Tissue Data'!$C:$C)</f>
        <v>Spill</v>
      </c>
      <c r="C3933" s="2">
        <f>_xlfn.XLOOKUP(A3933,'[1]Tissue Data'!$A:$A,'[1]Tissue Data'!$D:$D)</f>
        <v>44314</v>
      </c>
      <c r="D3933" s="2" t="str">
        <f>_xlfn.XLOOKUP(A3933,'[1]Tissue Data'!$A:$A,'[1]Tissue Data'!$F:$F)</f>
        <v>Margined Madtom</v>
      </c>
      <c r="E3933" t="str">
        <f>_xlfn.XLOOKUP(A3933,'[1]Tissue Data'!$A:$A,'[1]Tissue Data'!$H:$H)</f>
        <v>Noturus</v>
      </c>
      <c r="F3933" t="str">
        <f>_xlfn.XLOOKUP(A3933,'[1]Tissue Data'!$A:$A,'[1]Tissue Data'!$I:$I)</f>
        <v>insignis</v>
      </c>
      <c r="G3933" t="str">
        <f>_xlfn.XLOOKUP(A3933,'[1]Tissue Data'!$A:$A,'[1]Tissue Data'!J:J)</f>
        <v>U</v>
      </c>
      <c r="H3933" t="str">
        <f>_xlfn.XLOOKUP(A3933,'[1]Tissue Data'!$A:$A,'[1]Tissue Data'!K:K)</f>
        <v>Whole Body</v>
      </c>
      <c r="I3933">
        <f>_xlfn.XLOOKUP(A3933,'[1]Tissue Data'!$A:$A,'[1]Tissue Data'!L:L)</f>
        <v>5.5</v>
      </c>
      <c r="J3933">
        <f>_xlfn.XLOOKUP(A3933,'[1]Tissue Data'!$A:$A,'[1]Tissue Data'!M:M)</f>
        <v>1.5</v>
      </c>
      <c r="K3933" t="s">
        <v>43</v>
      </c>
      <c r="L3933" t="str">
        <f>_xlfn.XLOOKUP(K3933,[2]analyte_order!$B:$B,[2]analyte_order!$C:$C)</f>
        <v>757124-72-4</v>
      </c>
      <c r="M3933">
        <f>_xlfn.XLOOKUP(L3933,[2]analyte_order!$C:$C,[2]analyte_order!$E:$E)</f>
        <v>22</v>
      </c>
      <c r="N3933">
        <v>5.5500000000000001E-2</v>
      </c>
    </row>
    <row r="3934" spans="1:14">
      <c r="A3934" t="s">
        <v>220</v>
      </c>
      <c r="B3934" t="str">
        <f>_xlfn.XLOOKUP(A3934,'[1]Tissue Data'!$A:$A,'[1]Tissue Data'!$C:$C)</f>
        <v>Spill</v>
      </c>
      <c r="C3934" s="2">
        <f>_xlfn.XLOOKUP(A3934,'[1]Tissue Data'!$A:$A,'[1]Tissue Data'!$D:$D)</f>
        <v>44314</v>
      </c>
      <c r="D3934" s="2" t="str">
        <f>_xlfn.XLOOKUP(A3934,'[1]Tissue Data'!$A:$A,'[1]Tissue Data'!$F:$F)</f>
        <v>Margined Madtom</v>
      </c>
      <c r="E3934" t="str">
        <f>_xlfn.XLOOKUP(A3934,'[1]Tissue Data'!$A:$A,'[1]Tissue Data'!$H:$H)</f>
        <v>Noturus</v>
      </c>
      <c r="F3934" t="str">
        <f>_xlfn.XLOOKUP(A3934,'[1]Tissue Data'!$A:$A,'[1]Tissue Data'!$I:$I)</f>
        <v>insignis</v>
      </c>
      <c r="G3934" t="str">
        <f>_xlfn.XLOOKUP(A3934,'[1]Tissue Data'!$A:$A,'[1]Tissue Data'!J:J)</f>
        <v>U</v>
      </c>
      <c r="H3934" t="str">
        <f>_xlfn.XLOOKUP(A3934,'[1]Tissue Data'!$A:$A,'[1]Tissue Data'!K:K)</f>
        <v>Whole Body</v>
      </c>
      <c r="I3934">
        <f>_xlfn.XLOOKUP(A3934,'[1]Tissue Data'!$A:$A,'[1]Tissue Data'!L:L)</f>
        <v>5.5</v>
      </c>
      <c r="J3934">
        <f>_xlfn.XLOOKUP(A3934,'[1]Tissue Data'!$A:$A,'[1]Tissue Data'!M:M)</f>
        <v>1.5</v>
      </c>
      <c r="K3934" t="s">
        <v>44</v>
      </c>
      <c r="L3934" t="str">
        <f>_xlfn.XLOOKUP(K3934,[2]analyte_order!$B:$B,[2]analyte_order!$C:$C)</f>
        <v>27619-97-2</v>
      </c>
      <c r="M3934">
        <f>_xlfn.XLOOKUP(L3934,[2]analyte_order!$C:$C,[2]analyte_order!$E:$E)</f>
        <v>23</v>
      </c>
      <c r="N3934">
        <v>0.13400000000000001</v>
      </c>
    </row>
    <row r="3935" spans="1:14">
      <c r="A3935" t="s">
        <v>220</v>
      </c>
      <c r="B3935" t="str">
        <f>_xlfn.XLOOKUP(A3935,'[1]Tissue Data'!$A:$A,'[1]Tissue Data'!$C:$C)</f>
        <v>Spill</v>
      </c>
      <c r="C3935" s="2">
        <f>_xlfn.XLOOKUP(A3935,'[1]Tissue Data'!$A:$A,'[1]Tissue Data'!$D:$D)</f>
        <v>44314</v>
      </c>
      <c r="D3935" s="2" t="str">
        <f>_xlfn.XLOOKUP(A3935,'[1]Tissue Data'!$A:$A,'[1]Tissue Data'!$F:$F)</f>
        <v>Margined Madtom</v>
      </c>
      <c r="E3935" t="str">
        <f>_xlfn.XLOOKUP(A3935,'[1]Tissue Data'!$A:$A,'[1]Tissue Data'!$H:$H)</f>
        <v>Noturus</v>
      </c>
      <c r="F3935" t="str">
        <f>_xlfn.XLOOKUP(A3935,'[1]Tissue Data'!$A:$A,'[1]Tissue Data'!$I:$I)</f>
        <v>insignis</v>
      </c>
      <c r="G3935" t="str">
        <f>_xlfn.XLOOKUP(A3935,'[1]Tissue Data'!$A:$A,'[1]Tissue Data'!J:J)</f>
        <v>U</v>
      </c>
      <c r="H3935" t="str">
        <f>_xlfn.XLOOKUP(A3935,'[1]Tissue Data'!$A:$A,'[1]Tissue Data'!K:K)</f>
        <v>Whole Body</v>
      </c>
      <c r="I3935">
        <f>_xlfn.XLOOKUP(A3935,'[1]Tissue Data'!$A:$A,'[1]Tissue Data'!L:L)</f>
        <v>5.5</v>
      </c>
      <c r="J3935">
        <f>_xlfn.XLOOKUP(A3935,'[1]Tissue Data'!$A:$A,'[1]Tissue Data'!M:M)</f>
        <v>1.5</v>
      </c>
      <c r="K3935" t="s">
        <v>45</v>
      </c>
      <c r="L3935" t="str">
        <f>_xlfn.XLOOKUP(K3935,[2]analyte_order!$B:$B,[2]analyte_order!$C:$C)</f>
        <v>39108-34-4</v>
      </c>
      <c r="M3935">
        <f>_xlfn.XLOOKUP(L3935,[2]analyte_order!$C:$C,[2]analyte_order!$E:$E)</f>
        <v>24</v>
      </c>
      <c r="N3935">
        <v>8.09</v>
      </c>
    </row>
    <row r="3936" spans="1:14">
      <c r="A3936" t="s">
        <v>220</v>
      </c>
      <c r="B3936" t="str">
        <f>_xlfn.XLOOKUP(A3936,'[1]Tissue Data'!$A:$A,'[1]Tissue Data'!$C:$C)</f>
        <v>Spill</v>
      </c>
      <c r="C3936" s="2">
        <f>_xlfn.XLOOKUP(A3936,'[1]Tissue Data'!$A:$A,'[1]Tissue Data'!$D:$D)</f>
        <v>44314</v>
      </c>
      <c r="D3936" s="2" t="str">
        <f>_xlfn.XLOOKUP(A3936,'[1]Tissue Data'!$A:$A,'[1]Tissue Data'!$F:$F)</f>
        <v>Margined Madtom</v>
      </c>
      <c r="E3936" t="str">
        <f>_xlfn.XLOOKUP(A3936,'[1]Tissue Data'!$A:$A,'[1]Tissue Data'!$H:$H)</f>
        <v>Noturus</v>
      </c>
      <c r="F3936" t="str">
        <f>_xlfn.XLOOKUP(A3936,'[1]Tissue Data'!$A:$A,'[1]Tissue Data'!$I:$I)</f>
        <v>insignis</v>
      </c>
      <c r="G3936" t="str">
        <f>_xlfn.XLOOKUP(A3936,'[1]Tissue Data'!$A:$A,'[1]Tissue Data'!J:J)</f>
        <v>U</v>
      </c>
      <c r="H3936" t="str">
        <f>_xlfn.XLOOKUP(A3936,'[1]Tissue Data'!$A:$A,'[1]Tissue Data'!K:K)</f>
        <v>Whole Body</v>
      </c>
      <c r="I3936">
        <f>_xlfn.XLOOKUP(A3936,'[1]Tissue Data'!$A:$A,'[1]Tissue Data'!L:L)</f>
        <v>5.5</v>
      </c>
      <c r="J3936">
        <f>_xlfn.XLOOKUP(A3936,'[1]Tissue Data'!$A:$A,'[1]Tissue Data'!M:M)</f>
        <v>1.5</v>
      </c>
      <c r="K3936" t="s">
        <v>46</v>
      </c>
      <c r="L3936" t="str">
        <f>_xlfn.XLOOKUP(K3936,[2]analyte_order!$B:$B,[2]analyte_order!$C:$C)</f>
        <v>120226-60-0</v>
      </c>
      <c r="M3936">
        <f>_xlfn.XLOOKUP(L3936,[2]analyte_order!$C:$C,[2]analyte_order!$E:$E)</f>
        <v>25</v>
      </c>
      <c r="N3936">
        <v>0.252</v>
      </c>
    </row>
    <row r="3937" spans="1:14">
      <c r="A3937" t="s">
        <v>220</v>
      </c>
      <c r="B3937" t="str">
        <f>_xlfn.XLOOKUP(A3937,'[1]Tissue Data'!$A:$A,'[1]Tissue Data'!$C:$C)</f>
        <v>Spill</v>
      </c>
      <c r="C3937" s="2">
        <f>_xlfn.XLOOKUP(A3937,'[1]Tissue Data'!$A:$A,'[1]Tissue Data'!$D:$D)</f>
        <v>44314</v>
      </c>
      <c r="D3937" s="2" t="str">
        <f>_xlfn.XLOOKUP(A3937,'[1]Tissue Data'!$A:$A,'[1]Tissue Data'!$F:$F)</f>
        <v>Margined Madtom</v>
      </c>
      <c r="E3937" t="str">
        <f>_xlfn.XLOOKUP(A3937,'[1]Tissue Data'!$A:$A,'[1]Tissue Data'!$H:$H)</f>
        <v>Noturus</v>
      </c>
      <c r="F3937" t="str">
        <f>_xlfn.XLOOKUP(A3937,'[1]Tissue Data'!$A:$A,'[1]Tissue Data'!$I:$I)</f>
        <v>insignis</v>
      </c>
      <c r="G3937" t="str">
        <f>_xlfn.XLOOKUP(A3937,'[1]Tissue Data'!$A:$A,'[1]Tissue Data'!J:J)</f>
        <v>U</v>
      </c>
      <c r="H3937" t="str">
        <f>_xlfn.XLOOKUP(A3937,'[1]Tissue Data'!$A:$A,'[1]Tissue Data'!K:K)</f>
        <v>Whole Body</v>
      </c>
      <c r="I3937">
        <f>_xlfn.XLOOKUP(A3937,'[1]Tissue Data'!$A:$A,'[1]Tissue Data'!L:L)</f>
        <v>5.5</v>
      </c>
      <c r="J3937">
        <f>_xlfn.XLOOKUP(A3937,'[1]Tissue Data'!$A:$A,'[1]Tissue Data'!M:M)</f>
        <v>1.5</v>
      </c>
      <c r="K3937" t="s">
        <v>47</v>
      </c>
      <c r="L3937" t="str">
        <f>_xlfn.XLOOKUP(K3937,[2]analyte_order!$B:$B,[2]analyte_order!$C:$C)</f>
        <v>356-02-5</v>
      </c>
      <c r="M3937">
        <f>_xlfn.XLOOKUP(L3937,[2]analyte_order!$C:$C,[2]analyte_order!$E:$E)</f>
        <v>38</v>
      </c>
      <c r="N3937">
        <v>0.71799999999999997</v>
      </c>
    </row>
    <row r="3938" spans="1:14">
      <c r="A3938" t="s">
        <v>220</v>
      </c>
      <c r="B3938" t="str">
        <f>_xlfn.XLOOKUP(A3938,'[1]Tissue Data'!$A:$A,'[1]Tissue Data'!$C:$C)</f>
        <v>Spill</v>
      </c>
      <c r="C3938" s="2">
        <f>_xlfn.XLOOKUP(A3938,'[1]Tissue Data'!$A:$A,'[1]Tissue Data'!$D:$D)</f>
        <v>44314</v>
      </c>
      <c r="D3938" s="2" t="str">
        <f>_xlfn.XLOOKUP(A3938,'[1]Tissue Data'!$A:$A,'[1]Tissue Data'!$F:$F)</f>
        <v>Margined Madtom</v>
      </c>
      <c r="E3938" t="str">
        <f>_xlfn.XLOOKUP(A3938,'[1]Tissue Data'!$A:$A,'[1]Tissue Data'!$H:$H)</f>
        <v>Noturus</v>
      </c>
      <c r="F3938" t="str">
        <f>_xlfn.XLOOKUP(A3938,'[1]Tissue Data'!$A:$A,'[1]Tissue Data'!$I:$I)</f>
        <v>insignis</v>
      </c>
      <c r="G3938" t="str">
        <f>_xlfn.XLOOKUP(A3938,'[1]Tissue Data'!$A:$A,'[1]Tissue Data'!J:J)</f>
        <v>U</v>
      </c>
      <c r="H3938" t="str">
        <f>_xlfn.XLOOKUP(A3938,'[1]Tissue Data'!$A:$A,'[1]Tissue Data'!K:K)</f>
        <v>Whole Body</v>
      </c>
      <c r="I3938">
        <f>_xlfn.XLOOKUP(A3938,'[1]Tissue Data'!$A:$A,'[1]Tissue Data'!L:L)</f>
        <v>5.5</v>
      </c>
      <c r="J3938">
        <f>_xlfn.XLOOKUP(A3938,'[1]Tissue Data'!$A:$A,'[1]Tissue Data'!M:M)</f>
        <v>1.5</v>
      </c>
      <c r="K3938" t="s">
        <v>48</v>
      </c>
      <c r="L3938" t="str">
        <f>_xlfn.XLOOKUP(K3938,[2]analyte_order!$B:$B,[2]analyte_order!$C:$C)</f>
        <v>914637-49-3</v>
      </c>
      <c r="M3938">
        <f>_xlfn.XLOOKUP(L3938,[2]analyte_order!$C:$C,[2]analyte_order!$E:$E)</f>
        <v>39</v>
      </c>
      <c r="N3938">
        <v>0.222</v>
      </c>
    </row>
    <row r="3939" spans="1:14">
      <c r="A3939" t="s">
        <v>220</v>
      </c>
      <c r="B3939" t="str">
        <f>_xlfn.XLOOKUP(A3939,'[1]Tissue Data'!$A:$A,'[1]Tissue Data'!$C:$C)</f>
        <v>Spill</v>
      </c>
      <c r="C3939" s="2">
        <f>_xlfn.XLOOKUP(A3939,'[1]Tissue Data'!$A:$A,'[1]Tissue Data'!$D:$D)</f>
        <v>44314</v>
      </c>
      <c r="D3939" s="2" t="str">
        <f>_xlfn.XLOOKUP(A3939,'[1]Tissue Data'!$A:$A,'[1]Tissue Data'!$F:$F)</f>
        <v>Margined Madtom</v>
      </c>
      <c r="E3939" t="str">
        <f>_xlfn.XLOOKUP(A3939,'[1]Tissue Data'!$A:$A,'[1]Tissue Data'!$H:$H)</f>
        <v>Noturus</v>
      </c>
      <c r="F3939" t="str">
        <f>_xlfn.XLOOKUP(A3939,'[1]Tissue Data'!$A:$A,'[1]Tissue Data'!$I:$I)</f>
        <v>insignis</v>
      </c>
      <c r="G3939" t="str">
        <f>_xlfn.XLOOKUP(A3939,'[1]Tissue Data'!$A:$A,'[1]Tissue Data'!J:J)</f>
        <v>U</v>
      </c>
      <c r="H3939" t="str">
        <f>_xlfn.XLOOKUP(A3939,'[1]Tissue Data'!$A:$A,'[1]Tissue Data'!K:K)</f>
        <v>Whole Body</v>
      </c>
      <c r="I3939">
        <f>_xlfn.XLOOKUP(A3939,'[1]Tissue Data'!$A:$A,'[1]Tissue Data'!L:L)</f>
        <v>5.5</v>
      </c>
      <c r="J3939">
        <f>_xlfn.XLOOKUP(A3939,'[1]Tissue Data'!$A:$A,'[1]Tissue Data'!M:M)</f>
        <v>1.5</v>
      </c>
      <c r="K3939" t="s">
        <v>49</v>
      </c>
      <c r="L3939" t="str">
        <f>_xlfn.XLOOKUP(K3939,[2]analyte_order!$B:$B,[2]analyte_order!$C:$C)</f>
        <v>812-70-4</v>
      </c>
      <c r="M3939">
        <f>_xlfn.XLOOKUP(L3939,[2]analyte_order!$C:$C,[2]analyte_order!$E:$E)</f>
        <v>40</v>
      </c>
      <c r="N3939">
        <v>4.1900000000000004</v>
      </c>
    </row>
    <row r="3940" spans="1:14">
      <c r="A3940" t="s">
        <v>220</v>
      </c>
      <c r="B3940" t="str">
        <f>_xlfn.XLOOKUP(A3940,'[1]Tissue Data'!$A:$A,'[1]Tissue Data'!$C:$C)</f>
        <v>Spill</v>
      </c>
      <c r="C3940" s="2">
        <f>_xlfn.XLOOKUP(A3940,'[1]Tissue Data'!$A:$A,'[1]Tissue Data'!$D:$D)</f>
        <v>44314</v>
      </c>
      <c r="D3940" s="2" t="str">
        <f>_xlfn.XLOOKUP(A3940,'[1]Tissue Data'!$A:$A,'[1]Tissue Data'!$F:$F)</f>
        <v>Margined Madtom</v>
      </c>
      <c r="E3940" t="str">
        <f>_xlfn.XLOOKUP(A3940,'[1]Tissue Data'!$A:$A,'[1]Tissue Data'!$H:$H)</f>
        <v>Noturus</v>
      </c>
      <c r="F3940" t="str">
        <f>_xlfn.XLOOKUP(A3940,'[1]Tissue Data'!$A:$A,'[1]Tissue Data'!$I:$I)</f>
        <v>insignis</v>
      </c>
      <c r="G3940" t="str">
        <f>_xlfn.XLOOKUP(A3940,'[1]Tissue Data'!$A:$A,'[1]Tissue Data'!J:J)</f>
        <v>U</v>
      </c>
      <c r="H3940" t="str">
        <f>_xlfn.XLOOKUP(A3940,'[1]Tissue Data'!$A:$A,'[1]Tissue Data'!K:K)</f>
        <v>Whole Body</v>
      </c>
      <c r="I3940">
        <f>_xlfn.XLOOKUP(A3940,'[1]Tissue Data'!$A:$A,'[1]Tissue Data'!L:L)</f>
        <v>5.5</v>
      </c>
      <c r="J3940">
        <f>_xlfn.XLOOKUP(A3940,'[1]Tissue Data'!$A:$A,'[1]Tissue Data'!M:M)</f>
        <v>1.5</v>
      </c>
      <c r="K3940" t="s">
        <v>50</v>
      </c>
      <c r="L3940" t="str">
        <f>_xlfn.XLOOKUP(K3940,[2]analyte_order!$B:$B,[2]analyte_order!$C:$C)</f>
        <v>53826-12-3</v>
      </c>
      <c r="M3940">
        <f>_xlfn.XLOOKUP(L3940,[2]analyte_order!$C:$C,[2]analyte_order!$E:$E)</f>
        <v>41</v>
      </c>
      <c r="N3940">
        <v>0.65800000000000003</v>
      </c>
    </row>
    <row r="3941" spans="1:14">
      <c r="A3941" t="s">
        <v>220</v>
      </c>
      <c r="B3941" t="str">
        <f>_xlfn.XLOOKUP(A3941,'[1]Tissue Data'!$A:$A,'[1]Tissue Data'!$C:$C)</f>
        <v>Spill</v>
      </c>
      <c r="C3941" s="2">
        <f>_xlfn.XLOOKUP(A3941,'[1]Tissue Data'!$A:$A,'[1]Tissue Data'!$D:$D)</f>
        <v>44314</v>
      </c>
      <c r="D3941" s="2" t="str">
        <f>_xlfn.XLOOKUP(A3941,'[1]Tissue Data'!$A:$A,'[1]Tissue Data'!$F:$F)</f>
        <v>Margined Madtom</v>
      </c>
      <c r="E3941" t="str">
        <f>_xlfn.XLOOKUP(A3941,'[1]Tissue Data'!$A:$A,'[1]Tissue Data'!$H:$H)</f>
        <v>Noturus</v>
      </c>
      <c r="F3941" t="str">
        <f>_xlfn.XLOOKUP(A3941,'[1]Tissue Data'!$A:$A,'[1]Tissue Data'!$I:$I)</f>
        <v>insignis</v>
      </c>
      <c r="G3941" t="str">
        <f>_xlfn.XLOOKUP(A3941,'[1]Tissue Data'!$A:$A,'[1]Tissue Data'!J:J)</f>
        <v>U</v>
      </c>
      <c r="H3941" t="str">
        <f>_xlfn.XLOOKUP(A3941,'[1]Tissue Data'!$A:$A,'[1]Tissue Data'!K:K)</f>
        <v>Whole Body</v>
      </c>
      <c r="I3941">
        <f>_xlfn.XLOOKUP(A3941,'[1]Tissue Data'!$A:$A,'[1]Tissue Data'!L:L)</f>
        <v>5.5</v>
      </c>
      <c r="J3941">
        <f>_xlfn.XLOOKUP(A3941,'[1]Tissue Data'!$A:$A,'[1]Tissue Data'!M:M)</f>
        <v>1.5</v>
      </c>
      <c r="K3941" t="s">
        <v>51</v>
      </c>
      <c r="L3941" t="str">
        <f>_xlfn.XLOOKUP(K3941,[2]analyte_order!$B:$B,[2]analyte_order!$C:$C)</f>
        <v>27854-31-5</v>
      </c>
      <c r="M3941">
        <f>_xlfn.XLOOKUP(L3941,[2]analyte_order!$C:$C,[2]analyte_order!$E:$E)</f>
        <v>42</v>
      </c>
      <c r="N3941">
        <v>6.7500000000000004E-2</v>
      </c>
    </row>
    <row r="3942" spans="1:14">
      <c r="A3942" t="s">
        <v>220</v>
      </c>
      <c r="B3942" t="str">
        <f>_xlfn.XLOOKUP(A3942,'[1]Tissue Data'!$A:$A,'[1]Tissue Data'!$C:$C)</f>
        <v>Spill</v>
      </c>
      <c r="C3942" s="2">
        <f>_xlfn.XLOOKUP(A3942,'[1]Tissue Data'!$A:$A,'[1]Tissue Data'!$D:$D)</f>
        <v>44314</v>
      </c>
      <c r="D3942" s="2" t="str">
        <f>_xlfn.XLOOKUP(A3942,'[1]Tissue Data'!$A:$A,'[1]Tissue Data'!$F:$F)</f>
        <v>Margined Madtom</v>
      </c>
      <c r="E3942" t="str">
        <f>_xlfn.XLOOKUP(A3942,'[1]Tissue Data'!$A:$A,'[1]Tissue Data'!$H:$H)</f>
        <v>Noturus</v>
      </c>
      <c r="F3942" t="str">
        <f>_xlfn.XLOOKUP(A3942,'[1]Tissue Data'!$A:$A,'[1]Tissue Data'!$I:$I)</f>
        <v>insignis</v>
      </c>
      <c r="G3942" t="str">
        <f>_xlfn.XLOOKUP(A3942,'[1]Tissue Data'!$A:$A,'[1]Tissue Data'!J:J)</f>
        <v>U</v>
      </c>
      <c r="H3942" t="str">
        <f>_xlfn.XLOOKUP(A3942,'[1]Tissue Data'!$A:$A,'[1]Tissue Data'!K:K)</f>
        <v>Whole Body</v>
      </c>
      <c r="I3942">
        <f>_xlfn.XLOOKUP(A3942,'[1]Tissue Data'!$A:$A,'[1]Tissue Data'!L:L)</f>
        <v>5.5</v>
      </c>
      <c r="J3942">
        <f>_xlfn.XLOOKUP(A3942,'[1]Tissue Data'!$A:$A,'[1]Tissue Data'!M:M)</f>
        <v>1.5</v>
      </c>
      <c r="K3942" t="s">
        <v>52</v>
      </c>
      <c r="L3942" t="str">
        <f>_xlfn.XLOOKUP(K3942,[2]analyte_order!$B:$B,[2]analyte_order!$C:$C)</f>
        <v>53826-13-4</v>
      </c>
      <c r="M3942">
        <f>_xlfn.XLOOKUP(L3942,[2]analyte_order!$C:$C,[2]analyte_order!$E:$E)</f>
        <v>43</v>
      </c>
      <c r="N3942">
        <v>0.90400000000000003</v>
      </c>
    </row>
    <row r="3943" spans="1:14">
      <c r="A3943" t="s">
        <v>220</v>
      </c>
      <c r="B3943" t="str">
        <f>_xlfn.XLOOKUP(A3943,'[1]Tissue Data'!$A:$A,'[1]Tissue Data'!$C:$C)</f>
        <v>Spill</v>
      </c>
      <c r="C3943" s="2">
        <f>_xlfn.XLOOKUP(A3943,'[1]Tissue Data'!$A:$A,'[1]Tissue Data'!$D:$D)</f>
        <v>44314</v>
      </c>
      <c r="D3943" s="2" t="str">
        <f>_xlfn.XLOOKUP(A3943,'[1]Tissue Data'!$A:$A,'[1]Tissue Data'!$F:$F)</f>
        <v>Margined Madtom</v>
      </c>
      <c r="E3943" t="str">
        <f>_xlfn.XLOOKUP(A3943,'[1]Tissue Data'!$A:$A,'[1]Tissue Data'!$H:$H)</f>
        <v>Noturus</v>
      </c>
      <c r="F3943" t="str">
        <f>_xlfn.XLOOKUP(A3943,'[1]Tissue Data'!$A:$A,'[1]Tissue Data'!$I:$I)</f>
        <v>insignis</v>
      </c>
      <c r="G3943" t="str">
        <f>_xlfn.XLOOKUP(A3943,'[1]Tissue Data'!$A:$A,'[1]Tissue Data'!J:J)</f>
        <v>U</v>
      </c>
      <c r="H3943" t="str">
        <f>_xlfn.XLOOKUP(A3943,'[1]Tissue Data'!$A:$A,'[1]Tissue Data'!K:K)</f>
        <v>Whole Body</v>
      </c>
      <c r="I3943">
        <f>_xlfn.XLOOKUP(A3943,'[1]Tissue Data'!$A:$A,'[1]Tissue Data'!L:L)</f>
        <v>5.5</v>
      </c>
      <c r="J3943">
        <f>_xlfn.XLOOKUP(A3943,'[1]Tissue Data'!$A:$A,'[1]Tissue Data'!M:M)</f>
        <v>1.5</v>
      </c>
      <c r="K3943" t="s">
        <v>53</v>
      </c>
      <c r="L3943" t="str">
        <f>_xlfn.XLOOKUP(K3943,[2]analyte_order!$B:$B,[2]analyte_order!$C:$C)</f>
        <v>161094-75-3</v>
      </c>
      <c r="M3943">
        <f>_xlfn.XLOOKUP(L3943,[2]analyte_order!$C:$C,[2]analyte_order!$E:$E)</f>
        <v>44</v>
      </c>
      <c r="N3943">
        <v>5.2999999999999999E-2</v>
      </c>
    </row>
    <row r="3944" spans="1:14">
      <c r="A3944" t="s">
        <v>220</v>
      </c>
      <c r="B3944" t="str">
        <f>_xlfn.XLOOKUP(A3944,'[1]Tissue Data'!$A:$A,'[1]Tissue Data'!$C:$C)</f>
        <v>Spill</v>
      </c>
      <c r="C3944" s="2">
        <f>_xlfn.XLOOKUP(A3944,'[1]Tissue Data'!$A:$A,'[1]Tissue Data'!$D:$D)</f>
        <v>44314</v>
      </c>
      <c r="D3944" s="2" t="str">
        <f>_xlfn.XLOOKUP(A3944,'[1]Tissue Data'!$A:$A,'[1]Tissue Data'!$F:$F)</f>
        <v>Margined Madtom</v>
      </c>
      <c r="E3944" t="str">
        <f>_xlfn.XLOOKUP(A3944,'[1]Tissue Data'!$A:$A,'[1]Tissue Data'!$H:$H)</f>
        <v>Noturus</v>
      </c>
      <c r="F3944" t="str">
        <f>_xlfn.XLOOKUP(A3944,'[1]Tissue Data'!$A:$A,'[1]Tissue Data'!$I:$I)</f>
        <v>insignis</v>
      </c>
      <c r="G3944" t="str">
        <f>_xlfn.XLOOKUP(A3944,'[1]Tissue Data'!$A:$A,'[1]Tissue Data'!J:J)</f>
        <v>U</v>
      </c>
      <c r="H3944" t="str">
        <f>_xlfn.XLOOKUP(A3944,'[1]Tissue Data'!$A:$A,'[1]Tissue Data'!K:K)</f>
        <v>Whole Body</v>
      </c>
      <c r="I3944">
        <f>_xlfn.XLOOKUP(A3944,'[1]Tissue Data'!$A:$A,'[1]Tissue Data'!L:L)</f>
        <v>5.5</v>
      </c>
      <c r="J3944">
        <f>_xlfn.XLOOKUP(A3944,'[1]Tissue Data'!$A:$A,'[1]Tissue Data'!M:M)</f>
        <v>1.5</v>
      </c>
      <c r="K3944" t="s">
        <v>54</v>
      </c>
      <c r="L3944" t="str">
        <f>_xlfn.XLOOKUP(K3944,[2]analyte_order!$B:$B,[2]analyte_order!$C:$C)</f>
        <v>70887-84-2</v>
      </c>
      <c r="M3944">
        <f>_xlfn.XLOOKUP(L3944,[2]analyte_order!$C:$C,[2]analyte_order!$E:$E)</f>
        <v>45</v>
      </c>
      <c r="N3944">
        <v>4.0599999999999997E-2</v>
      </c>
    </row>
    <row r="3945" spans="1:14">
      <c r="A3945" t="s">
        <v>220</v>
      </c>
      <c r="B3945" t="str">
        <f>_xlfn.XLOOKUP(A3945,'[1]Tissue Data'!$A:$A,'[1]Tissue Data'!$C:$C)</f>
        <v>Spill</v>
      </c>
      <c r="C3945" s="2">
        <f>_xlfn.XLOOKUP(A3945,'[1]Tissue Data'!$A:$A,'[1]Tissue Data'!$D:$D)</f>
        <v>44314</v>
      </c>
      <c r="D3945" s="2" t="str">
        <f>_xlfn.XLOOKUP(A3945,'[1]Tissue Data'!$A:$A,'[1]Tissue Data'!$F:$F)</f>
        <v>Margined Madtom</v>
      </c>
      <c r="E3945" t="str">
        <f>_xlfn.XLOOKUP(A3945,'[1]Tissue Data'!$A:$A,'[1]Tissue Data'!$H:$H)</f>
        <v>Noturus</v>
      </c>
      <c r="F3945" t="str">
        <f>_xlfn.XLOOKUP(A3945,'[1]Tissue Data'!$A:$A,'[1]Tissue Data'!$I:$I)</f>
        <v>insignis</v>
      </c>
      <c r="G3945" t="str">
        <f>_xlfn.XLOOKUP(A3945,'[1]Tissue Data'!$A:$A,'[1]Tissue Data'!J:J)</f>
        <v>U</v>
      </c>
      <c r="H3945" t="str">
        <f>_xlfn.XLOOKUP(A3945,'[1]Tissue Data'!$A:$A,'[1]Tissue Data'!K:K)</f>
        <v>Whole Body</v>
      </c>
      <c r="I3945">
        <f>_xlfn.XLOOKUP(A3945,'[1]Tissue Data'!$A:$A,'[1]Tissue Data'!L:L)</f>
        <v>5.5</v>
      </c>
      <c r="J3945">
        <f>_xlfn.XLOOKUP(A3945,'[1]Tissue Data'!$A:$A,'[1]Tissue Data'!M:M)</f>
        <v>1.5</v>
      </c>
      <c r="K3945" t="s">
        <v>55</v>
      </c>
      <c r="L3945" t="str">
        <f>_xlfn.XLOOKUP(K3945,[2]analyte_order!$B:$B,[2]analyte_order!$C:$C)</f>
        <v>919005-14-4</v>
      </c>
      <c r="M3945">
        <f>_xlfn.XLOOKUP(L3945,[2]analyte_order!$C:$C,[2]analyte_order!$E:$E)</f>
        <v>35</v>
      </c>
      <c r="N3945">
        <v>6.7500000000000004E-2</v>
      </c>
    </row>
    <row r="3946" spans="1:14">
      <c r="A3946" t="s">
        <v>220</v>
      </c>
      <c r="B3946" t="str">
        <f>_xlfn.XLOOKUP(A3946,'[1]Tissue Data'!$A:$A,'[1]Tissue Data'!$C:$C)</f>
        <v>Spill</v>
      </c>
      <c r="C3946" s="2">
        <f>_xlfn.XLOOKUP(A3946,'[1]Tissue Data'!$A:$A,'[1]Tissue Data'!$D:$D)</f>
        <v>44314</v>
      </c>
      <c r="D3946" s="2" t="str">
        <f>_xlfn.XLOOKUP(A3946,'[1]Tissue Data'!$A:$A,'[1]Tissue Data'!$F:$F)</f>
        <v>Margined Madtom</v>
      </c>
      <c r="E3946" t="str">
        <f>_xlfn.XLOOKUP(A3946,'[1]Tissue Data'!$A:$A,'[1]Tissue Data'!$H:$H)</f>
        <v>Noturus</v>
      </c>
      <c r="F3946" t="str">
        <f>_xlfn.XLOOKUP(A3946,'[1]Tissue Data'!$A:$A,'[1]Tissue Data'!$I:$I)</f>
        <v>insignis</v>
      </c>
      <c r="G3946" t="str">
        <f>_xlfn.XLOOKUP(A3946,'[1]Tissue Data'!$A:$A,'[1]Tissue Data'!J:J)</f>
        <v>U</v>
      </c>
      <c r="H3946" t="str">
        <f>_xlfn.XLOOKUP(A3946,'[1]Tissue Data'!$A:$A,'[1]Tissue Data'!K:K)</f>
        <v>Whole Body</v>
      </c>
      <c r="I3946">
        <f>_xlfn.XLOOKUP(A3946,'[1]Tissue Data'!$A:$A,'[1]Tissue Data'!L:L)</f>
        <v>5.5</v>
      </c>
      <c r="J3946">
        <f>_xlfn.XLOOKUP(A3946,'[1]Tissue Data'!$A:$A,'[1]Tissue Data'!M:M)</f>
        <v>1.5</v>
      </c>
      <c r="K3946" t="s">
        <v>56</v>
      </c>
      <c r="L3946" t="str">
        <f>_xlfn.XLOOKUP(K3946,[2]analyte_order!$B:$B,[2]analyte_order!$C:$C)</f>
        <v>756426-58-1</v>
      </c>
      <c r="M3946">
        <f>_xlfn.XLOOKUP(L3946,[2]analyte_order!$C:$C,[2]analyte_order!$E:$E)</f>
        <v>36</v>
      </c>
      <c r="N3946">
        <v>6.7500000000000004E-2</v>
      </c>
    </row>
    <row r="3947" spans="1:14">
      <c r="A3947" t="s">
        <v>220</v>
      </c>
      <c r="B3947" t="str">
        <f>_xlfn.XLOOKUP(A3947,'[1]Tissue Data'!$A:$A,'[1]Tissue Data'!$C:$C)</f>
        <v>Spill</v>
      </c>
      <c r="C3947" s="2">
        <f>_xlfn.XLOOKUP(A3947,'[1]Tissue Data'!$A:$A,'[1]Tissue Data'!$D:$D)</f>
        <v>44314</v>
      </c>
      <c r="D3947" s="2" t="str">
        <f>_xlfn.XLOOKUP(A3947,'[1]Tissue Data'!$A:$A,'[1]Tissue Data'!$F:$F)</f>
        <v>Margined Madtom</v>
      </c>
      <c r="E3947" t="str">
        <f>_xlfn.XLOOKUP(A3947,'[1]Tissue Data'!$A:$A,'[1]Tissue Data'!$H:$H)</f>
        <v>Noturus</v>
      </c>
      <c r="F3947" t="str">
        <f>_xlfn.XLOOKUP(A3947,'[1]Tissue Data'!$A:$A,'[1]Tissue Data'!$I:$I)</f>
        <v>insignis</v>
      </c>
      <c r="G3947" t="str">
        <f>_xlfn.XLOOKUP(A3947,'[1]Tissue Data'!$A:$A,'[1]Tissue Data'!J:J)</f>
        <v>U</v>
      </c>
      <c r="H3947" t="str">
        <f>_xlfn.XLOOKUP(A3947,'[1]Tissue Data'!$A:$A,'[1]Tissue Data'!K:K)</f>
        <v>Whole Body</v>
      </c>
      <c r="I3947">
        <f>_xlfn.XLOOKUP(A3947,'[1]Tissue Data'!$A:$A,'[1]Tissue Data'!L:L)</f>
        <v>5.5</v>
      </c>
      <c r="J3947">
        <f>_xlfn.XLOOKUP(A3947,'[1]Tissue Data'!$A:$A,'[1]Tissue Data'!M:M)</f>
        <v>1.5</v>
      </c>
      <c r="K3947" t="s">
        <v>57</v>
      </c>
      <c r="L3947" t="str">
        <f>_xlfn.XLOOKUP(K3947,[2]analyte_order!$B:$B,[2]analyte_order!$C:$C)</f>
        <v>763051-92-9</v>
      </c>
      <c r="M3947">
        <f>_xlfn.XLOOKUP(L3947,[2]analyte_order!$C:$C,[2]analyte_order!$E:$E)</f>
        <v>37</v>
      </c>
      <c r="N3947">
        <v>6.7500000000000004E-2</v>
      </c>
    </row>
    <row r="3948" spans="1:14">
      <c r="A3948" t="s">
        <v>220</v>
      </c>
      <c r="B3948" t="str">
        <f>_xlfn.XLOOKUP(A3948,'[1]Tissue Data'!$A:$A,'[1]Tissue Data'!$C:$C)</f>
        <v>Spill</v>
      </c>
      <c r="C3948" s="2">
        <f>_xlfn.XLOOKUP(A3948,'[1]Tissue Data'!$A:$A,'[1]Tissue Data'!$D:$D)</f>
        <v>44314</v>
      </c>
      <c r="D3948" s="2" t="str">
        <f>_xlfn.XLOOKUP(A3948,'[1]Tissue Data'!$A:$A,'[1]Tissue Data'!$F:$F)</f>
        <v>Margined Madtom</v>
      </c>
      <c r="E3948" t="str">
        <f>_xlfn.XLOOKUP(A3948,'[1]Tissue Data'!$A:$A,'[1]Tissue Data'!$H:$H)</f>
        <v>Noturus</v>
      </c>
      <c r="F3948" t="str">
        <f>_xlfn.XLOOKUP(A3948,'[1]Tissue Data'!$A:$A,'[1]Tissue Data'!$I:$I)</f>
        <v>insignis</v>
      </c>
      <c r="G3948" t="str">
        <f>_xlfn.XLOOKUP(A3948,'[1]Tissue Data'!$A:$A,'[1]Tissue Data'!J:J)</f>
        <v>U</v>
      </c>
      <c r="H3948" t="str">
        <f>_xlfn.XLOOKUP(A3948,'[1]Tissue Data'!$A:$A,'[1]Tissue Data'!K:K)</f>
        <v>Whole Body</v>
      </c>
      <c r="I3948">
        <f>_xlfn.XLOOKUP(A3948,'[1]Tissue Data'!$A:$A,'[1]Tissue Data'!L:L)</f>
        <v>5.5</v>
      </c>
      <c r="J3948">
        <f>_xlfn.XLOOKUP(A3948,'[1]Tissue Data'!$A:$A,'[1]Tissue Data'!M:M)</f>
        <v>1.5</v>
      </c>
      <c r="K3948" t="s">
        <v>58</v>
      </c>
      <c r="L3948" t="str">
        <f>_xlfn.XLOOKUP(K3948,[2]analyte_order!$B:$B,[2]analyte_order!$C:$C)</f>
        <v>13252-13-6</v>
      </c>
      <c r="M3948">
        <f>_xlfn.XLOOKUP(L3948,[2]analyte_order!$C:$C,[2]analyte_order!$E:$E)</f>
        <v>34</v>
      </c>
      <c r="N3948">
        <v>9.6500000000000002E-2</v>
      </c>
    </row>
    <row r="3949" spans="1:14">
      <c r="A3949" t="s">
        <v>220</v>
      </c>
      <c r="B3949" t="str">
        <f>_xlfn.XLOOKUP(A3949,'[1]Tissue Data'!$A:$A,'[1]Tissue Data'!$C:$C)</f>
        <v>Spill</v>
      </c>
      <c r="C3949" s="2">
        <f>_xlfn.XLOOKUP(A3949,'[1]Tissue Data'!$A:$A,'[1]Tissue Data'!$D:$D)</f>
        <v>44314</v>
      </c>
      <c r="D3949" s="2" t="str">
        <f>_xlfn.XLOOKUP(A3949,'[1]Tissue Data'!$A:$A,'[1]Tissue Data'!$F:$F)</f>
        <v>Margined Madtom</v>
      </c>
      <c r="E3949" t="str">
        <f>_xlfn.XLOOKUP(A3949,'[1]Tissue Data'!$A:$A,'[1]Tissue Data'!$H:$H)</f>
        <v>Noturus</v>
      </c>
      <c r="F3949" t="str">
        <f>_xlfn.XLOOKUP(A3949,'[1]Tissue Data'!$A:$A,'[1]Tissue Data'!$I:$I)</f>
        <v>insignis</v>
      </c>
      <c r="G3949" t="str">
        <f>_xlfn.XLOOKUP(A3949,'[1]Tissue Data'!$A:$A,'[1]Tissue Data'!J:J)</f>
        <v>U</v>
      </c>
      <c r="H3949" t="str">
        <f>_xlfn.XLOOKUP(A3949,'[1]Tissue Data'!$A:$A,'[1]Tissue Data'!K:K)</f>
        <v>Whole Body</v>
      </c>
      <c r="I3949">
        <f>_xlfn.XLOOKUP(A3949,'[1]Tissue Data'!$A:$A,'[1]Tissue Data'!L:L)</f>
        <v>5.5</v>
      </c>
      <c r="J3949">
        <f>_xlfn.XLOOKUP(A3949,'[1]Tissue Data'!$A:$A,'[1]Tissue Data'!M:M)</f>
        <v>1.5</v>
      </c>
      <c r="K3949" t="s">
        <v>59</v>
      </c>
      <c r="L3949" t="str">
        <f>_xlfn.XLOOKUP(K3949,[2]analyte_order!$B:$B,[2]analyte_order!$C:$C)</f>
        <v>57677-95-9</v>
      </c>
      <c r="M3949">
        <f>_xlfn.XLOOKUP(L3949,[2]analyte_order!$C:$C,[2]analyte_order!$E:$E)</f>
        <v>46</v>
      </c>
      <c r="N3949">
        <v>7.1499999999999994E-2</v>
      </c>
    </row>
    <row r="3950" spans="1:14">
      <c r="A3950" t="s">
        <v>220</v>
      </c>
      <c r="B3950" t="str">
        <f>_xlfn.XLOOKUP(A3950,'[1]Tissue Data'!$A:$A,'[1]Tissue Data'!$C:$C)</f>
        <v>Spill</v>
      </c>
      <c r="C3950" s="2">
        <f>_xlfn.XLOOKUP(A3950,'[1]Tissue Data'!$A:$A,'[1]Tissue Data'!$D:$D)</f>
        <v>44314</v>
      </c>
      <c r="D3950" s="2" t="str">
        <f>_xlfn.XLOOKUP(A3950,'[1]Tissue Data'!$A:$A,'[1]Tissue Data'!$F:$F)</f>
        <v>Margined Madtom</v>
      </c>
      <c r="E3950" t="str">
        <f>_xlfn.XLOOKUP(A3950,'[1]Tissue Data'!$A:$A,'[1]Tissue Data'!$H:$H)</f>
        <v>Noturus</v>
      </c>
      <c r="F3950" t="str">
        <f>_xlfn.XLOOKUP(A3950,'[1]Tissue Data'!$A:$A,'[1]Tissue Data'!$I:$I)</f>
        <v>insignis</v>
      </c>
      <c r="G3950" t="str">
        <f>_xlfn.XLOOKUP(A3950,'[1]Tissue Data'!$A:$A,'[1]Tissue Data'!J:J)</f>
        <v>U</v>
      </c>
      <c r="H3950" t="str">
        <f>_xlfn.XLOOKUP(A3950,'[1]Tissue Data'!$A:$A,'[1]Tissue Data'!K:K)</f>
        <v>Whole Body</v>
      </c>
      <c r="I3950">
        <f>_xlfn.XLOOKUP(A3950,'[1]Tissue Data'!$A:$A,'[1]Tissue Data'!L:L)</f>
        <v>5.5</v>
      </c>
      <c r="J3950">
        <f>_xlfn.XLOOKUP(A3950,'[1]Tissue Data'!$A:$A,'[1]Tissue Data'!M:M)</f>
        <v>1.5</v>
      </c>
      <c r="K3950" t="s">
        <v>60</v>
      </c>
      <c r="L3950" t="str">
        <f>_xlfn.XLOOKUP(K3950,[2]analyte_order!$B:$B,[2]analyte_order!$C:$C)</f>
        <v>678-41-1</v>
      </c>
      <c r="M3950">
        <f>_xlfn.XLOOKUP(L3950,[2]analyte_order!$C:$C,[2]analyte_order!$E:$E)</f>
        <v>56</v>
      </c>
      <c r="N3950">
        <v>8.8999999999999996E-2</v>
      </c>
    </row>
    <row r="3951" spans="1:14">
      <c r="A3951" t="s">
        <v>220</v>
      </c>
      <c r="B3951" t="str">
        <f>_xlfn.XLOOKUP(A3951,'[1]Tissue Data'!$A:$A,'[1]Tissue Data'!$C:$C)</f>
        <v>Spill</v>
      </c>
      <c r="C3951" s="2">
        <f>_xlfn.XLOOKUP(A3951,'[1]Tissue Data'!$A:$A,'[1]Tissue Data'!$D:$D)</f>
        <v>44314</v>
      </c>
      <c r="D3951" s="2" t="str">
        <f>_xlfn.XLOOKUP(A3951,'[1]Tissue Data'!$A:$A,'[1]Tissue Data'!$F:$F)</f>
        <v>Margined Madtom</v>
      </c>
      <c r="E3951" t="str">
        <f>_xlfn.XLOOKUP(A3951,'[1]Tissue Data'!$A:$A,'[1]Tissue Data'!$H:$H)</f>
        <v>Noturus</v>
      </c>
      <c r="F3951" t="str">
        <f>_xlfn.XLOOKUP(A3951,'[1]Tissue Data'!$A:$A,'[1]Tissue Data'!$I:$I)</f>
        <v>insignis</v>
      </c>
      <c r="G3951" t="str">
        <f>_xlfn.XLOOKUP(A3951,'[1]Tissue Data'!$A:$A,'[1]Tissue Data'!J:J)</f>
        <v>U</v>
      </c>
      <c r="H3951" t="str">
        <f>_xlfn.XLOOKUP(A3951,'[1]Tissue Data'!$A:$A,'[1]Tissue Data'!K:K)</f>
        <v>Whole Body</v>
      </c>
      <c r="I3951">
        <f>_xlfn.XLOOKUP(A3951,'[1]Tissue Data'!$A:$A,'[1]Tissue Data'!L:L)</f>
        <v>5.5</v>
      </c>
      <c r="J3951">
        <f>_xlfn.XLOOKUP(A3951,'[1]Tissue Data'!$A:$A,'[1]Tissue Data'!M:M)</f>
        <v>1.5</v>
      </c>
      <c r="K3951" t="s">
        <v>61</v>
      </c>
      <c r="L3951" t="str">
        <f>_xlfn.XLOOKUP(K3951,[2]analyte_order!$B:$B,[2]analyte_order!$C:$C)</f>
        <v>2965-52-8</v>
      </c>
      <c r="M3951">
        <f>_xlfn.XLOOKUP(L3951,[2]analyte_order!$C:$C,[2]analyte_order!$E:$E)</f>
        <v>57</v>
      </c>
      <c r="N3951">
        <v>0.11849999999999999</v>
      </c>
    </row>
    <row r="3952" spans="1:14">
      <c r="A3952" t="s">
        <v>221</v>
      </c>
      <c r="B3952" t="str">
        <f>_xlfn.XLOOKUP(A3952,'[1]Tissue Data'!$A:$A,'[1]Tissue Data'!$C:$C)</f>
        <v>Spill</v>
      </c>
      <c r="C3952" s="2">
        <f>_xlfn.XLOOKUP(A3952,'[1]Tissue Data'!$A:$A,'[1]Tissue Data'!$D:$D)</f>
        <v>44314</v>
      </c>
      <c r="D3952" s="2" t="str">
        <f>_xlfn.XLOOKUP(A3952,'[1]Tissue Data'!$A:$A,'[1]Tissue Data'!$F:$F)</f>
        <v>Margined Madtom</v>
      </c>
      <c r="E3952" t="str">
        <f>_xlfn.XLOOKUP(A3952,'[1]Tissue Data'!$A:$A,'[1]Tissue Data'!$H:$H)</f>
        <v>Noturus</v>
      </c>
      <c r="F3952" t="str">
        <f>_xlfn.XLOOKUP(A3952,'[1]Tissue Data'!$A:$A,'[1]Tissue Data'!$I:$I)</f>
        <v>insignis</v>
      </c>
      <c r="G3952" t="str">
        <f>_xlfn.XLOOKUP(A3952,'[1]Tissue Data'!$A:$A,'[1]Tissue Data'!J:J)</f>
        <v>U</v>
      </c>
      <c r="H3952" t="str">
        <f>_xlfn.XLOOKUP(A3952,'[1]Tissue Data'!$A:$A,'[1]Tissue Data'!K:K)</f>
        <v>Whole Body</v>
      </c>
      <c r="I3952">
        <f>_xlfn.XLOOKUP(A3952,'[1]Tissue Data'!$A:$A,'[1]Tissue Data'!L:L)</f>
        <v>12</v>
      </c>
      <c r="J3952">
        <f>_xlfn.XLOOKUP(A3952,'[1]Tissue Data'!$A:$A,'[1]Tissue Data'!M:M)</f>
        <v>15.8</v>
      </c>
      <c r="K3952" t="s">
        <v>12</v>
      </c>
      <c r="L3952" t="str">
        <f>_xlfn.XLOOKUP(K3952,[2]analyte_order!$B:$B,[2]analyte_order!$C:$C)</f>
        <v>375-22-4</v>
      </c>
      <c r="M3952">
        <f>_xlfn.XLOOKUP(L3952,[2]analyte_order!$C:$C,[2]analyte_order!$E:$E)</f>
        <v>1</v>
      </c>
      <c r="N3952">
        <v>0.22800000000000001</v>
      </c>
    </row>
    <row r="3953" spans="1:14">
      <c r="A3953" t="s">
        <v>221</v>
      </c>
      <c r="B3953" t="str">
        <f>_xlfn.XLOOKUP(A3953,'[1]Tissue Data'!$A:$A,'[1]Tissue Data'!$C:$C)</f>
        <v>Spill</v>
      </c>
      <c r="C3953" s="2">
        <f>_xlfn.XLOOKUP(A3953,'[1]Tissue Data'!$A:$A,'[1]Tissue Data'!$D:$D)</f>
        <v>44314</v>
      </c>
      <c r="D3953" s="2" t="str">
        <f>_xlfn.XLOOKUP(A3953,'[1]Tissue Data'!$A:$A,'[1]Tissue Data'!$F:$F)</f>
        <v>Margined Madtom</v>
      </c>
      <c r="E3953" t="str">
        <f>_xlfn.XLOOKUP(A3953,'[1]Tissue Data'!$A:$A,'[1]Tissue Data'!$H:$H)</f>
        <v>Noturus</v>
      </c>
      <c r="F3953" t="str">
        <f>_xlfn.XLOOKUP(A3953,'[1]Tissue Data'!$A:$A,'[1]Tissue Data'!$I:$I)</f>
        <v>insignis</v>
      </c>
      <c r="G3953" t="str">
        <f>_xlfn.XLOOKUP(A3953,'[1]Tissue Data'!$A:$A,'[1]Tissue Data'!J:J)</f>
        <v>U</v>
      </c>
      <c r="H3953" t="str">
        <f>_xlfn.XLOOKUP(A3953,'[1]Tissue Data'!$A:$A,'[1]Tissue Data'!K:K)</f>
        <v>Whole Body</v>
      </c>
      <c r="I3953">
        <f>_xlfn.XLOOKUP(A3953,'[1]Tissue Data'!$A:$A,'[1]Tissue Data'!L:L)</f>
        <v>12</v>
      </c>
      <c r="J3953">
        <f>_xlfn.XLOOKUP(A3953,'[1]Tissue Data'!$A:$A,'[1]Tissue Data'!M:M)</f>
        <v>15.8</v>
      </c>
      <c r="K3953" t="s">
        <v>13</v>
      </c>
      <c r="L3953" t="str">
        <f>_xlfn.XLOOKUP(K3953,[2]analyte_order!$B:$B,[2]analyte_order!$C:$C)</f>
        <v>2706-90-3</v>
      </c>
      <c r="M3953">
        <f>_xlfn.XLOOKUP(L3953,[2]analyte_order!$C:$C,[2]analyte_order!$E:$E)</f>
        <v>2</v>
      </c>
      <c r="N3953">
        <v>4.8800000000000003E-2</v>
      </c>
    </row>
    <row r="3954" spans="1:14">
      <c r="A3954" t="s">
        <v>221</v>
      </c>
      <c r="B3954" t="str">
        <f>_xlfn.XLOOKUP(A3954,'[1]Tissue Data'!$A:$A,'[1]Tissue Data'!$C:$C)</f>
        <v>Spill</v>
      </c>
      <c r="C3954" s="2">
        <f>_xlfn.XLOOKUP(A3954,'[1]Tissue Data'!$A:$A,'[1]Tissue Data'!$D:$D)</f>
        <v>44314</v>
      </c>
      <c r="D3954" s="2" t="str">
        <f>_xlfn.XLOOKUP(A3954,'[1]Tissue Data'!$A:$A,'[1]Tissue Data'!$F:$F)</f>
        <v>Margined Madtom</v>
      </c>
      <c r="E3954" t="str">
        <f>_xlfn.XLOOKUP(A3954,'[1]Tissue Data'!$A:$A,'[1]Tissue Data'!$H:$H)</f>
        <v>Noturus</v>
      </c>
      <c r="F3954" t="str">
        <f>_xlfn.XLOOKUP(A3954,'[1]Tissue Data'!$A:$A,'[1]Tissue Data'!$I:$I)</f>
        <v>insignis</v>
      </c>
      <c r="G3954" t="str">
        <f>_xlfn.XLOOKUP(A3954,'[1]Tissue Data'!$A:$A,'[1]Tissue Data'!J:J)</f>
        <v>U</v>
      </c>
      <c r="H3954" t="str">
        <f>_xlfn.XLOOKUP(A3954,'[1]Tissue Data'!$A:$A,'[1]Tissue Data'!K:K)</f>
        <v>Whole Body</v>
      </c>
      <c r="I3954">
        <f>_xlfn.XLOOKUP(A3954,'[1]Tissue Data'!$A:$A,'[1]Tissue Data'!L:L)</f>
        <v>12</v>
      </c>
      <c r="J3954">
        <f>_xlfn.XLOOKUP(A3954,'[1]Tissue Data'!$A:$A,'[1]Tissue Data'!M:M)</f>
        <v>15.8</v>
      </c>
      <c r="K3954" t="s">
        <v>14</v>
      </c>
      <c r="L3954" t="str">
        <f>_xlfn.XLOOKUP(K3954,[2]analyte_order!$B:$B,[2]analyte_order!$C:$C)</f>
        <v>307-24-4</v>
      </c>
      <c r="M3954">
        <f>_xlfn.XLOOKUP(L3954,[2]analyte_order!$C:$C,[2]analyte_order!$E:$E)</f>
        <v>3</v>
      </c>
      <c r="N3954">
        <v>3.7249999999999998E-2</v>
      </c>
    </row>
    <row r="3955" spans="1:14">
      <c r="A3955" t="s">
        <v>221</v>
      </c>
      <c r="B3955" t="str">
        <f>_xlfn.XLOOKUP(A3955,'[1]Tissue Data'!$A:$A,'[1]Tissue Data'!$C:$C)</f>
        <v>Spill</v>
      </c>
      <c r="C3955" s="2">
        <f>_xlfn.XLOOKUP(A3955,'[1]Tissue Data'!$A:$A,'[1]Tissue Data'!$D:$D)</f>
        <v>44314</v>
      </c>
      <c r="D3955" s="2" t="str">
        <f>_xlfn.XLOOKUP(A3955,'[1]Tissue Data'!$A:$A,'[1]Tissue Data'!$F:$F)</f>
        <v>Margined Madtom</v>
      </c>
      <c r="E3955" t="str">
        <f>_xlfn.XLOOKUP(A3955,'[1]Tissue Data'!$A:$A,'[1]Tissue Data'!$H:$H)</f>
        <v>Noturus</v>
      </c>
      <c r="F3955" t="str">
        <f>_xlfn.XLOOKUP(A3955,'[1]Tissue Data'!$A:$A,'[1]Tissue Data'!$I:$I)</f>
        <v>insignis</v>
      </c>
      <c r="G3955" t="str">
        <f>_xlfn.XLOOKUP(A3955,'[1]Tissue Data'!$A:$A,'[1]Tissue Data'!J:J)</f>
        <v>U</v>
      </c>
      <c r="H3955" t="str">
        <f>_xlfn.XLOOKUP(A3955,'[1]Tissue Data'!$A:$A,'[1]Tissue Data'!K:K)</f>
        <v>Whole Body</v>
      </c>
      <c r="I3955">
        <f>_xlfn.XLOOKUP(A3955,'[1]Tissue Data'!$A:$A,'[1]Tissue Data'!L:L)</f>
        <v>12</v>
      </c>
      <c r="J3955">
        <f>_xlfn.XLOOKUP(A3955,'[1]Tissue Data'!$A:$A,'[1]Tissue Data'!M:M)</f>
        <v>15.8</v>
      </c>
      <c r="K3955" t="s">
        <v>15</v>
      </c>
      <c r="L3955" t="str">
        <f>_xlfn.XLOOKUP(K3955,[2]analyte_order!$B:$B,[2]analyte_order!$C:$C)</f>
        <v>375-85-9</v>
      </c>
      <c r="M3955">
        <f>_xlfn.XLOOKUP(L3955,[2]analyte_order!$C:$C,[2]analyte_order!$E:$E)</f>
        <v>4</v>
      </c>
      <c r="N3955">
        <v>9.0999999999999998E-2</v>
      </c>
    </row>
    <row r="3956" spans="1:14">
      <c r="A3956" t="s">
        <v>221</v>
      </c>
      <c r="B3956" t="str">
        <f>_xlfn.XLOOKUP(A3956,'[1]Tissue Data'!$A:$A,'[1]Tissue Data'!$C:$C)</f>
        <v>Spill</v>
      </c>
      <c r="C3956" s="2">
        <f>_xlfn.XLOOKUP(A3956,'[1]Tissue Data'!$A:$A,'[1]Tissue Data'!$D:$D)</f>
        <v>44314</v>
      </c>
      <c r="D3956" s="2" t="str">
        <f>_xlfn.XLOOKUP(A3956,'[1]Tissue Data'!$A:$A,'[1]Tissue Data'!$F:$F)</f>
        <v>Margined Madtom</v>
      </c>
      <c r="E3956" t="str">
        <f>_xlfn.XLOOKUP(A3956,'[1]Tissue Data'!$A:$A,'[1]Tissue Data'!$H:$H)</f>
        <v>Noturus</v>
      </c>
      <c r="F3956" t="str">
        <f>_xlfn.XLOOKUP(A3956,'[1]Tissue Data'!$A:$A,'[1]Tissue Data'!$I:$I)</f>
        <v>insignis</v>
      </c>
      <c r="G3956" t="str">
        <f>_xlfn.XLOOKUP(A3956,'[1]Tissue Data'!$A:$A,'[1]Tissue Data'!J:J)</f>
        <v>U</v>
      </c>
      <c r="H3956" t="str">
        <f>_xlfn.XLOOKUP(A3956,'[1]Tissue Data'!$A:$A,'[1]Tissue Data'!K:K)</f>
        <v>Whole Body</v>
      </c>
      <c r="I3956">
        <f>_xlfn.XLOOKUP(A3956,'[1]Tissue Data'!$A:$A,'[1]Tissue Data'!L:L)</f>
        <v>12</v>
      </c>
      <c r="J3956">
        <f>_xlfn.XLOOKUP(A3956,'[1]Tissue Data'!$A:$A,'[1]Tissue Data'!M:M)</f>
        <v>15.8</v>
      </c>
      <c r="K3956" t="s">
        <v>16</v>
      </c>
      <c r="L3956" t="str">
        <f>_xlfn.XLOOKUP(K3956,[2]analyte_order!$B:$B,[2]analyte_order!$C:$C)</f>
        <v>335-67-1</v>
      </c>
      <c r="M3956">
        <f>_xlfn.XLOOKUP(L3956,[2]analyte_order!$C:$C,[2]analyte_order!$E:$E)</f>
        <v>5</v>
      </c>
      <c r="N3956">
        <v>0.75900000000000001</v>
      </c>
    </row>
    <row r="3957" spans="1:14">
      <c r="A3957" t="s">
        <v>221</v>
      </c>
      <c r="B3957" t="str">
        <f>_xlfn.XLOOKUP(A3957,'[1]Tissue Data'!$A:$A,'[1]Tissue Data'!$C:$C)</f>
        <v>Spill</v>
      </c>
      <c r="C3957" s="2">
        <f>_xlfn.XLOOKUP(A3957,'[1]Tissue Data'!$A:$A,'[1]Tissue Data'!$D:$D)</f>
        <v>44314</v>
      </c>
      <c r="D3957" s="2" t="str">
        <f>_xlfn.XLOOKUP(A3957,'[1]Tissue Data'!$A:$A,'[1]Tissue Data'!$F:$F)</f>
        <v>Margined Madtom</v>
      </c>
      <c r="E3957" t="str">
        <f>_xlfn.XLOOKUP(A3957,'[1]Tissue Data'!$A:$A,'[1]Tissue Data'!$H:$H)</f>
        <v>Noturus</v>
      </c>
      <c r="F3957" t="str">
        <f>_xlfn.XLOOKUP(A3957,'[1]Tissue Data'!$A:$A,'[1]Tissue Data'!$I:$I)</f>
        <v>insignis</v>
      </c>
      <c r="G3957" t="str">
        <f>_xlfn.XLOOKUP(A3957,'[1]Tissue Data'!$A:$A,'[1]Tissue Data'!J:J)</f>
        <v>U</v>
      </c>
      <c r="H3957" t="str">
        <f>_xlfn.XLOOKUP(A3957,'[1]Tissue Data'!$A:$A,'[1]Tissue Data'!K:K)</f>
        <v>Whole Body</v>
      </c>
      <c r="I3957">
        <f>_xlfn.XLOOKUP(A3957,'[1]Tissue Data'!$A:$A,'[1]Tissue Data'!L:L)</f>
        <v>12</v>
      </c>
      <c r="J3957">
        <f>_xlfn.XLOOKUP(A3957,'[1]Tissue Data'!$A:$A,'[1]Tissue Data'!M:M)</f>
        <v>15.8</v>
      </c>
      <c r="K3957" t="s">
        <v>17</v>
      </c>
      <c r="L3957" t="str">
        <f>_xlfn.XLOOKUP(K3957,[2]analyte_order!$B:$B,[2]analyte_order!$C:$C)</f>
        <v>375-95-1</v>
      </c>
      <c r="M3957">
        <f>_xlfn.XLOOKUP(L3957,[2]analyte_order!$C:$C,[2]analyte_order!$E:$E)</f>
        <v>6</v>
      </c>
      <c r="N3957">
        <v>0.47299999999999998</v>
      </c>
    </row>
    <row r="3958" spans="1:14">
      <c r="A3958" t="s">
        <v>221</v>
      </c>
      <c r="B3958" t="str">
        <f>_xlfn.XLOOKUP(A3958,'[1]Tissue Data'!$A:$A,'[1]Tissue Data'!$C:$C)</f>
        <v>Spill</v>
      </c>
      <c r="C3958" s="2">
        <f>_xlfn.XLOOKUP(A3958,'[1]Tissue Data'!$A:$A,'[1]Tissue Data'!$D:$D)</f>
        <v>44314</v>
      </c>
      <c r="D3958" s="2" t="str">
        <f>_xlfn.XLOOKUP(A3958,'[1]Tissue Data'!$A:$A,'[1]Tissue Data'!$F:$F)</f>
        <v>Margined Madtom</v>
      </c>
      <c r="E3958" t="str">
        <f>_xlfn.XLOOKUP(A3958,'[1]Tissue Data'!$A:$A,'[1]Tissue Data'!$H:$H)</f>
        <v>Noturus</v>
      </c>
      <c r="F3958" t="str">
        <f>_xlfn.XLOOKUP(A3958,'[1]Tissue Data'!$A:$A,'[1]Tissue Data'!$I:$I)</f>
        <v>insignis</v>
      </c>
      <c r="G3958" t="str">
        <f>_xlfn.XLOOKUP(A3958,'[1]Tissue Data'!$A:$A,'[1]Tissue Data'!J:J)</f>
        <v>U</v>
      </c>
      <c r="H3958" t="str">
        <f>_xlfn.XLOOKUP(A3958,'[1]Tissue Data'!$A:$A,'[1]Tissue Data'!K:K)</f>
        <v>Whole Body</v>
      </c>
      <c r="I3958">
        <f>_xlfn.XLOOKUP(A3958,'[1]Tissue Data'!$A:$A,'[1]Tissue Data'!L:L)</f>
        <v>12</v>
      </c>
      <c r="J3958">
        <f>_xlfn.XLOOKUP(A3958,'[1]Tissue Data'!$A:$A,'[1]Tissue Data'!M:M)</f>
        <v>15.8</v>
      </c>
      <c r="K3958" t="s">
        <v>18</v>
      </c>
      <c r="L3958" t="str">
        <f>_xlfn.XLOOKUP(K3958,[2]analyte_order!$B:$B,[2]analyte_order!$C:$C)</f>
        <v>335-76-2</v>
      </c>
      <c r="M3958">
        <f>_xlfn.XLOOKUP(L3958,[2]analyte_order!$C:$C,[2]analyte_order!$E:$E)</f>
        <v>7</v>
      </c>
      <c r="N3958">
        <v>5.47</v>
      </c>
    </row>
    <row r="3959" spans="1:14">
      <c r="A3959" t="s">
        <v>221</v>
      </c>
      <c r="B3959" t="str">
        <f>_xlfn.XLOOKUP(A3959,'[1]Tissue Data'!$A:$A,'[1]Tissue Data'!$C:$C)</f>
        <v>Spill</v>
      </c>
      <c r="C3959" s="2">
        <f>_xlfn.XLOOKUP(A3959,'[1]Tissue Data'!$A:$A,'[1]Tissue Data'!$D:$D)</f>
        <v>44314</v>
      </c>
      <c r="D3959" s="2" t="str">
        <f>_xlfn.XLOOKUP(A3959,'[1]Tissue Data'!$A:$A,'[1]Tissue Data'!$F:$F)</f>
        <v>Margined Madtom</v>
      </c>
      <c r="E3959" t="str">
        <f>_xlfn.XLOOKUP(A3959,'[1]Tissue Data'!$A:$A,'[1]Tissue Data'!$H:$H)</f>
        <v>Noturus</v>
      </c>
      <c r="F3959" t="str">
        <f>_xlfn.XLOOKUP(A3959,'[1]Tissue Data'!$A:$A,'[1]Tissue Data'!$I:$I)</f>
        <v>insignis</v>
      </c>
      <c r="G3959" t="str">
        <f>_xlfn.XLOOKUP(A3959,'[1]Tissue Data'!$A:$A,'[1]Tissue Data'!J:J)</f>
        <v>U</v>
      </c>
      <c r="H3959" t="str">
        <f>_xlfn.XLOOKUP(A3959,'[1]Tissue Data'!$A:$A,'[1]Tissue Data'!K:K)</f>
        <v>Whole Body</v>
      </c>
      <c r="I3959">
        <f>_xlfn.XLOOKUP(A3959,'[1]Tissue Data'!$A:$A,'[1]Tissue Data'!L:L)</f>
        <v>12</v>
      </c>
      <c r="J3959">
        <f>_xlfn.XLOOKUP(A3959,'[1]Tissue Data'!$A:$A,'[1]Tissue Data'!M:M)</f>
        <v>15.8</v>
      </c>
      <c r="K3959" t="s">
        <v>19</v>
      </c>
      <c r="L3959" t="str">
        <f>_xlfn.XLOOKUP(K3959,[2]analyte_order!$B:$B,[2]analyte_order!$C:$C)</f>
        <v>2058-94-8</v>
      </c>
      <c r="M3959">
        <f>_xlfn.XLOOKUP(L3959,[2]analyte_order!$C:$C,[2]analyte_order!$E:$E)</f>
        <v>8</v>
      </c>
      <c r="N3959">
        <v>9.26</v>
      </c>
    </row>
    <row r="3960" spans="1:14">
      <c r="A3960" t="s">
        <v>221</v>
      </c>
      <c r="B3960" t="str">
        <f>_xlfn.XLOOKUP(A3960,'[1]Tissue Data'!$A:$A,'[1]Tissue Data'!$C:$C)</f>
        <v>Spill</v>
      </c>
      <c r="C3960" s="2">
        <f>_xlfn.XLOOKUP(A3960,'[1]Tissue Data'!$A:$A,'[1]Tissue Data'!$D:$D)</f>
        <v>44314</v>
      </c>
      <c r="D3960" s="2" t="str">
        <f>_xlfn.XLOOKUP(A3960,'[1]Tissue Data'!$A:$A,'[1]Tissue Data'!$F:$F)</f>
        <v>Margined Madtom</v>
      </c>
      <c r="E3960" t="str">
        <f>_xlfn.XLOOKUP(A3960,'[1]Tissue Data'!$A:$A,'[1]Tissue Data'!$H:$H)</f>
        <v>Noturus</v>
      </c>
      <c r="F3960" t="str">
        <f>_xlfn.XLOOKUP(A3960,'[1]Tissue Data'!$A:$A,'[1]Tissue Data'!$I:$I)</f>
        <v>insignis</v>
      </c>
      <c r="G3960" t="str">
        <f>_xlfn.XLOOKUP(A3960,'[1]Tissue Data'!$A:$A,'[1]Tissue Data'!J:J)</f>
        <v>U</v>
      </c>
      <c r="H3960" t="str">
        <f>_xlfn.XLOOKUP(A3960,'[1]Tissue Data'!$A:$A,'[1]Tissue Data'!K:K)</f>
        <v>Whole Body</v>
      </c>
      <c r="I3960">
        <f>_xlfn.XLOOKUP(A3960,'[1]Tissue Data'!$A:$A,'[1]Tissue Data'!L:L)</f>
        <v>12</v>
      </c>
      <c r="J3960">
        <f>_xlfn.XLOOKUP(A3960,'[1]Tissue Data'!$A:$A,'[1]Tissue Data'!M:M)</f>
        <v>15.8</v>
      </c>
      <c r="K3960" t="s">
        <v>20</v>
      </c>
      <c r="L3960" t="str">
        <f>_xlfn.XLOOKUP(K3960,[2]analyte_order!$B:$B,[2]analyte_order!$C:$C)</f>
        <v>307-55-1</v>
      </c>
      <c r="M3960">
        <f>_xlfn.XLOOKUP(L3960,[2]analyte_order!$C:$C,[2]analyte_order!$E:$E)</f>
        <v>9</v>
      </c>
      <c r="N3960">
        <v>14.8</v>
      </c>
    </row>
    <row r="3961" spans="1:14">
      <c r="A3961" t="s">
        <v>221</v>
      </c>
      <c r="B3961" t="str">
        <f>_xlfn.XLOOKUP(A3961,'[1]Tissue Data'!$A:$A,'[1]Tissue Data'!$C:$C)</f>
        <v>Spill</v>
      </c>
      <c r="C3961" s="2">
        <f>_xlfn.XLOOKUP(A3961,'[1]Tissue Data'!$A:$A,'[1]Tissue Data'!$D:$D)</f>
        <v>44314</v>
      </c>
      <c r="D3961" s="2" t="str">
        <f>_xlfn.XLOOKUP(A3961,'[1]Tissue Data'!$A:$A,'[1]Tissue Data'!$F:$F)</f>
        <v>Margined Madtom</v>
      </c>
      <c r="E3961" t="str">
        <f>_xlfn.XLOOKUP(A3961,'[1]Tissue Data'!$A:$A,'[1]Tissue Data'!$H:$H)</f>
        <v>Noturus</v>
      </c>
      <c r="F3961" t="str">
        <f>_xlfn.XLOOKUP(A3961,'[1]Tissue Data'!$A:$A,'[1]Tissue Data'!$I:$I)</f>
        <v>insignis</v>
      </c>
      <c r="G3961" t="str">
        <f>_xlfn.XLOOKUP(A3961,'[1]Tissue Data'!$A:$A,'[1]Tissue Data'!J:J)</f>
        <v>U</v>
      </c>
      <c r="H3961" t="str">
        <f>_xlfn.XLOOKUP(A3961,'[1]Tissue Data'!$A:$A,'[1]Tissue Data'!K:K)</f>
        <v>Whole Body</v>
      </c>
      <c r="I3961">
        <f>_xlfn.XLOOKUP(A3961,'[1]Tissue Data'!$A:$A,'[1]Tissue Data'!L:L)</f>
        <v>12</v>
      </c>
      <c r="J3961">
        <f>_xlfn.XLOOKUP(A3961,'[1]Tissue Data'!$A:$A,'[1]Tissue Data'!M:M)</f>
        <v>15.8</v>
      </c>
      <c r="K3961" t="s">
        <v>21</v>
      </c>
      <c r="L3961" t="str">
        <f>_xlfn.XLOOKUP(K3961,[2]analyte_order!$B:$B,[2]analyte_order!$C:$C)</f>
        <v>72629-94-8</v>
      </c>
      <c r="M3961">
        <f>_xlfn.XLOOKUP(L3961,[2]analyte_order!$C:$C,[2]analyte_order!$E:$E)</f>
        <v>10</v>
      </c>
      <c r="N3961">
        <v>6.05</v>
      </c>
    </row>
    <row r="3962" spans="1:14">
      <c r="A3962" t="s">
        <v>221</v>
      </c>
      <c r="B3962" t="str">
        <f>_xlfn.XLOOKUP(A3962,'[1]Tissue Data'!$A:$A,'[1]Tissue Data'!$C:$C)</f>
        <v>Spill</v>
      </c>
      <c r="C3962" s="2">
        <f>_xlfn.XLOOKUP(A3962,'[1]Tissue Data'!$A:$A,'[1]Tissue Data'!$D:$D)</f>
        <v>44314</v>
      </c>
      <c r="D3962" s="2" t="str">
        <f>_xlfn.XLOOKUP(A3962,'[1]Tissue Data'!$A:$A,'[1]Tissue Data'!$F:$F)</f>
        <v>Margined Madtom</v>
      </c>
      <c r="E3962" t="str">
        <f>_xlfn.XLOOKUP(A3962,'[1]Tissue Data'!$A:$A,'[1]Tissue Data'!$H:$H)</f>
        <v>Noturus</v>
      </c>
      <c r="F3962" t="str">
        <f>_xlfn.XLOOKUP(A3962,'[1]Tissue Data'!$A:$A,'[1]Tissue Data'!$I:$I)</f>
        <v>insignis</v>
      </c>
      <c r="G3962" t="str">
        <f>_xlfn.XLOOKUP(A3962,'[1]Tissue Data'!$A:$A,'[1]Tissue Data'!J:J)</f>
        <v>U</v>
      </c>
      <c r="H3962" t="str">
        <f>_xlfn.XLOOKUP(A3962,'[1]Tissue Data'!$A:$A,'[1]Tissue Data'!K:K)</f>
        <v>Whole Body</v>
      </c>
      <c r="I3962">
        <f>_xlfn.XLOOKUP(A3962,'[1]Tissue Data'!$A:$A,'[1]Tissue Data'!L:L)</f>
        <v>12</v>
      </c>
      <c r="J3962">
        <f>_xlfn.XLOOKUP(A3962,'[1]Tissue Data'!$A:$A,'[1]Tissue Data'!M:M)</f>
        <v>15.8</v>
      </c>
      <c r="K3962" t="s">
        <v>22</v>
      </c>
      <c r="L3962" t="str">
        <f>_xlfn.XLOOKUP(K3962,[2]analyte_order!$B:$B,[2]analyte_order!$C:$C)</f>
        <v>376-06-7</v>
      </c>
      <c r="M3962">
        <f>_xlfn.XLOOKUP(L3962,[2]analyte_order!$C:$C,[2]analyte_order!$E:$E)</f>
        <v>11</v>
      </c>
      <c r="N3962">
        <v>12.2</v>
      </c>
    </row>
    <row r="3963" spans="1:14">
      <c r="A3963" t="s">
        <v>221</v>
      </c>
      <c r="B3963" t="str">
        <f>_xlfn.XLOOKUP(A3963,'[1]Tissue Data'!$A:$A,'[1]Tissue Data'!$C:$C)</f>
        <v>Spill</v>
      </c>
      <c r="C3963" s="2">
        <f>_xlfn.XLOOKUP(A3963,'[1]Tissue Data'!$A:$A,'[1]Tissue Data'!$D:$D)</f>
        <v>44314</v>
      </c>
      <c r="D3963" s="2" t="str">
        <f>_xlfn.XLOOKUP(A3963,'[1]Tissue Data'!$A:$A,'[1]Tissue Data'!$F:$F)</f>
        <v>Margined Madtom</v>
      </c>
      <c r="E3963" t="str">
        <f>_xlfn.XLOOKUP(A3963,'[1]Tissue Data'!$A:$A,'[1]Tissue Data'!$H:$H)</f>
        <v>Noturus</v>
      </c>
      <c r="F3963" t="str">
        <f>_xlfn.XLOOKUP(A3963,'[1]Tissue Data'!$A:$A,'[1]Tissue Data'!$I:$I)</f>
        <v>insignis</v>
      </c>
      <c r="G3963" t="str">
        <f>_xlfn.XLOOKUP(A3963,'[1]Tissue Data'!$A:$A,'[1]Tissue Data'!J:J)</f>
        <v>U</v>
      </c>
      <c r="H3963" t="str">
        <f>_xlfn.XLOOKUP(A3963,'[1]Tissue Data'!$A:$A,'[1]Tissue Data'!K:K)</f>
        <v>Whole Body</v>
      </c>
      <c r="I3963">
        <f>_xlfn.XLOOKUP(A3963,'[1]Tissue Data'!$A:$A,'[1]Tissue Data'!L:L)</f>
        <v>12</v>
      </c>
      <c r="J3963">
        <f>_xlfn.XLOOKUP(A3963,'[1]Tissue Data'!$A:$A,'[1]Tissue Data'!M:M)</f>
        <v>15.8</v>
      </c>
      <c r="K3963" t="s">
        <v>23</v>
      </c>
      <c r="L3963" t="str">
        <f>_xlfn.XLOOKUP(K3963,[2]analyte_order!$B:$B,[2]analyte_order!$C:$C)</f>
        <v>67905-19-5</v>
      </c>
      <c r="M3963">
        <f>_xlfn.XLOOKUP(L3963,[2]analyte_order!$C:$C,[2]analyte_order!$E:$E)</f>
        <v>12</v>
      </c>
      <c r="N3963">
        <v>8.2500000000000004E-2</v>
      </c>
    </row>
    <row r="3964" spans="1:14">
      <c r="A3964" t="s">
        <v>221</v>
      </c>
      <c r="B3964" t="str">
        <f>_xlfn.XLOOKUP(A3964,'[1]Tissue Data'!$A:$A,'[1]Tissue Data'!$C:$C)</f>
        <v>Spill</v>
      </c>
      <c r="C3964" s="2">
        <f>_xlfn.XLOOKUP(A3964,'[1]Tissue Data'!$A:$A,'[1]Tissue Data'!$D:$D)</f>
        <v>44314</v>
      </c>
      <c r="D3964" s="2" t="str">
        <f>_xlfn.XLOOKUP(A3964,'[1]Tissue Data'!$A:$A,'[1]Tissue Data'!$F:$F)</f>
        <v>Margined Madtom</v>
      </c>
      <c r="E3964" t="str">
        <f>_xlfn.XLOOKUP(A3964,'[1]Tissue Data'!$A:$A,'[1]Tissue Data'!$H:$H)</f>
        <v>Noturus</v>
      </c>
      <c r="F3964" t="str">
        <f>_xlfn.XLOOKUP(A3964,'[1]Tissue Data'!$A:$A,'[1]Tissue Data'!$I:$I)</f>
        <v>insignis</v>
      </c>
      <c r="G3964" t="str">
        <f>_xlfn.XLOOKUP(A3964,'[1]Tissue Data'!$A:$A,'[1]Tissue Data'!J:J)</f>
        <v>U</v>
      </c>
      <c r="H3964" t="str">
        <f>_xlfn.XLOOKUP(A3964,'[1]Tissue Data'!$A:$A,'[1]Tissue Data'!K:K)</f>
        <v>Whole Body</v>
      </c>
      <c r="I3964">
        <f>_xlfn.XLOOKUP(A3964,'[1]Tissue Data'!$A:$A,'[1]Tissue Data'!L:L)</f>
        <v>12</v>
      </c>
      <c r="J3964">
        <f>_xlfn.XLOOKUP(A3964,'[1]Tissue Data'!$A:$A,'[1]Tissue Data'!M:M)</f>
        <v>15.8</v>
      </c>
      <c r="K3964" t="s">
        <v>24</v>
      </c>
      <c r="L3964" t="str">
        <f>_xlfn.XLOOKUP(K3964,[2]analyte_order!$B:$B,[2]analyte_order!$C:$C)</f>
        <v>423-41-6</v>
      </c>
      <c r="M3964">
        <f>_xlfn.XLOOKUP(L3964,[2]analyte_order!$C:$C,[2]analyte_order!$E:$E)</f>
        <v>53</v>
      </c>
      <c r="N3964">
        <v>5.2499999999999998E-2</v>
      </c>
    </row>
    <row r="3965" spans="1:14">
      <c r="A3965" t="s">
        <v>221</v>
      </c>
      <c r="B3965" t="str">
        <f>_xlfn.XLOOKUP(A3965,'[1]Tissue Data'!$A:$A,'[1]Tissue Data'!$C:$C)</f>
        <v>Spill</v>
      </c>
      <c r="C3965" s="2">
        <f>_xlfn.XLOOKUP(A3965,'[1]Tissue Data'!$A:$A,'[1]Tissue Data'!$D:$D)</f>
        <v>44314</v>
      </c>
      <c r="D3965" s="2" t="str">
        <f>_xlfn.XLOOKUP(A3965,'[1]Tissue Data'!$A:$A,'[1]Tissue Data'!$F:$F)</f>
        <v>Margined Madtom</v>
      </c>
      <c r="E3965" t="str">
        <f>_xlfn.XLOOKUP(A3965,'[1]Tissue Data'!$A:$A,'[1]Tissue Data'!$H:$H)</f>
        <v>Noturus</v>
      </c>
      <c r="F3965" t="str">
        <f>_xlfn.XLOOKUP(A3965,'[1]Tissue Data'!$A:$A,'[1]Tissue Data'!$I:$I)</f>
        <v>insignis</v>
      </c>
      <c r="G3965" t="str">
        <f>_xlfn.XLOOKUP(A3965,'[1]Tissue Data'!$A:$A,'[1]Tissue Data'!J:J)</f>
        <v>U</v>
      </c>
      <c r="H3965" t="str">
        <f>_xlfn.XLOOKUP(A3965,'[1]Tissue Data'!$A:$A,'[1]Tissue Data'!K:K)</f>
        <v>Whole Body</v>
      </c>
      <c r="I3965">
        <f>_xlfn.XLOOKUP(A3965,'[1]Tissue Data'!$A:$A,'[1]Tissue Data'!L:L)</f>
        <v>12</v>
      </c>
      <c r="J3965">
        <f>_xlfn.XLOOKUP(A3965,'[1]Tissue Data'!$A:$A,'[1]Tissue Data'!M:M)</f>
        <v>15.8</v>
      </c>
      <c r="K3965" t="s">
        <v>25</v>
      </c>
      <c r="L3965" t="str">
        <f>_xlfn.XLOOKUP(K3965,[2]analyte_order!$B:$B,[2]analyte_order!$C:$C)</f>
        <v>375-73-5</v>
      </c>
      <c r="M3965">
        <f>_xlfn.XLOOKUP(L3965,[2]analyte_order!$C:$C,[2]analyte_order!$E:$E)</f>
        <v>14</v>
      </c>
      <c r="N3965">
        <v>0.155</v>
      </c>
    </row>
    <row r="3966" spans="1:14">
      <c r="A3966" t="s">
        <v>221</v>
      </c>
      <c r="B3966" t="str">
        <f>_xlfn.XLOOKUP(A3966,'[1]Tissue Data'!$A:$A,'[1]Tissue Data'!$C:$C)</f>
        <v>Spill</v>
      </c>
      <c r="C3966" s="2">
        <f>_xlfn.XLOOKUP(A3966,'[1]Tissue Data'!$A:$A,'[1]Tissue Data'!$D:$D)</f>
        <v>44314</v>
      </c>
      <c r="D3966" s="2" t="str">
        <f>_xlfn.XLOOKUP(A3966,'[1]Tissue Data'!$A:$A,'[1]Tissue Data'!$F:$F)</f>
        <v>Margined Madtom</v>
      </c>
      <c r="E3966" t="str">
        <f>_xlfn.XLOOKUP(A3966,'[1]Tissue Data'!$A:$A,'[1]Tissue Data'!$H:$H)</f>
        <v>Noturus</v>
      </c>
      <c r="F3966" t="str">
        <f>_xlfn.XLOOKUP(A3966,'[1]Tissue Data'!$A:$A,'[1]Tissue Data'!$I:$I)</f>
        <v>insignis</v>
      </c>
      <c r="G3966" t="str">
        <f>_xlfn.XLOOKUP(A3966,'[1]Tissue Data'!$A:$A,'[1]Tissue Data'!J:J)</f>
        <v>U</v>
      </c>
      <c r="H3966" t="str">
        <f>_xlfn.XLOOKUP(A3966,'[1]Tissue Data'!$A:$A,'[1]Tissue Data'!K:K)</f>
        <v>Whole Body</v>
      </c>
      <c r="I3966">
        <f>_xlfn.XLOOKUP(A3966,'[1]Tissue Data'!$A:$A,'[1]Tissue Data'!L:L)</f>
        <v>12</v>
      </c>
      <c r="J3966">
        <f>_xlfn.XLOOKUP(A3966,'[1]Tissue Data'!$A:$A,'[1]Tissue Data'!M:M)</f>
        <v>15.8</v>
      </c>
      <c r="K3966" t="s">
        <v>26</v>
      </c>
      <c r="L3966" t="str">
        <f>_xlfn.XLOOKUP(K3966,[2]analyte_order!$B:$B,[2]analyte_order!$C:$C)</f>
        <v>2706-91-4</v>
      </c>
      <c r="M3966">
        <f>_xlfn.XLOOKUP(L3966,[2]analyte_order!$C:$C,[2]analyte_order!$E:$E)</f>
        <v>15</v>
      </c>
      <c r="N3966">
        <v>0.1205</v>
      </c>
    </row>
    <row r="3967" spans="1:14">
      <c r="A3967" t="s">
        <v>221</v>
      </c>
      <c r="B3967" t="str">
        <f>_xlfn.XLOOKUP(A3967,'[1]Tissue Data'!$A:$A,'[1]Tissue Data'!$C:$C)</f>
        <v>Spill</v>
      </c>
      <c r="C3967" s="2">
        <f>_xlfn.XLOOKUP(A3967,'[1]Tissue Data'!$A:$A,'[1]Tissue Data'!$D:$D)</f>
        <v>44314</v>
      </c>
      <c r="D3967" s="2" t="str">
        <f>_xlfn.XLOOKUP(A3967,'[1]Tissue Data'!$A:$A,'[1]Tissue Data'!$F:$F)</f>
        <v>Margined Madtom</v>
      </c>
      <c r="E3967" t="str">
        <f>_xlfn.XLOOKUP(A3967,'[1]Tissue Data'!$A:$A,'[1]Tissue Data'!$H:$H)</f>
        <v>Noturus</v>
      </c>
      <c r="F3967" t="str">
        <f>_xlfn.XLOOKUP(A3967,'[1]Tissue Data'!$A:$A,'[1]Tissue Data'!$I:$I)</f>
        <v>insignis</v>
      </c>
      <c r="G3967" t="str">
        <f>_xlfn.XLOOKUP(A3967,'[1]Tissue Data'!$A:$A,'[1]Tissue Data'!J:J)</f>
        <v>U</v>
      </c>
      <c r="H3967" t="str">
        <f>_xlfn.XLOOKUP(A3967,'[1]Tissue Data'!$A:$A,'[1]Tissue Data'!K:K)</f>
        <v>Whole Body</v>
      </c>
      <c r="I3967">
        <f>_xlfn.XLOOKUP(A3967,'[1]Tissue Data'!$A:$A,'[1]Tissue Data'!L:L)</f>
        <v>12</v>
      </c>
      <c r="J3967">
        <f>_xlfn.XLOOKUP(A3967,'[1]Tissue Data'!$A:$A,'[1]Tissue Data'!M:M)</f>
        <v>15.8</v>
      </c>
      <c r="K3967" t="s">
        <v>27</v>
      </c>
      <c r="L3967" t="str">
        <f>_xlfn.XLOOKUP(K3967,[2]analyte_order!$B:$B,[2]analyte_order!$C:$C)</f>
        <v>355-46-4</v>
      </c>
      <c r="M3967">
        <f>_xlfn.XLOOKUP(L3967,[2]analyte_order!$C:$C,[2]analyte_order!$E:$E)</f>
        <v>16</v>
      </c>
      <c r="N3967">
        <v>19.7</v>
      </c>
    </row>
    <row r="3968" spans="1:14">
      <c r="A3968" t="s">
        <v>221</v>
      </c>
      <c r="B3968" t="str">
        <f>_xlfn.XLOOKUP(A3968,'[1]Tissue Data'!$A:$A,'[1]Tissue Data'!$C:$C)</f>
        <v>Spill</v>
      </c>
      <c r="C3968" s="2">
        <f>_xlfn.XLOOKUP(A3968,'[1]Tissue Data'!$A:$A,'[1]Tissue Data'!$D:$D)</f>
        <v>44314</v>
      </c>
      <c r="D3968" s="2" t="str">
        <f>_xlfn.XLOOKUP(A3968,'[1]Tissue Data'!$A:$A,'[1]Tissue Data'!$F:$F)</f>
        <v>Margined Madtom</v>
      </c>
      <c r="E3968" t="str">
        <f>_xlfn.XLOOKUP(A3968,'[1]Tissue Data'!$A:$A,'[1]Tissue Data'!$H:$H)</f>
        <v>Noturus</v>
      </c>
      <c r="F3968" t="str">
        <f>_xlfn.XLOOKUP(A3968,'[1]Tissue Data'!$A:$A,'[1]Tissue Data'!$I:$I)</f>
        <v>insignis</v>
      </c>
      <c r="G3968" t="str">
        <f>_xlfn.XLOOKUP(A3968,'[1]Tissue Data'!$A:$A,'[1]Tissue Data'!J:J)</f>
        <v>U</v>
      </c>
      <c r="H3968" t="str">
        <f>_xlfn.XLOOKUP(A3968,'[1]Tissue Data'!$A:$A,'[1]Tissue Data'!K:K)</f>
        <v>Whole Body</v>
      </c>
      <c r="I3968">
        <f>_xlfn.XLOOKUP(A3968,'[1]Tissue Data'!$A:$A,'[1]Tissue Data'!L:L)</f>
        <v>12</v>
      </c>
      <c r="J3968">
        <f>_xlfn.XLOOKUP(A3968,'[1]Tissue Data'!$A:$A,'[1]Tissue Data'!M:M)</f>
        <v>15.8</v>
      </c>
      <c r="K3968" t="s">
        <v>28</v>
      </c>
      <c r="L3968" t="str">
        <f>_xlfn.XLOOKUP(K3968,[2]analyte_order!$B:$B,[2]analyte_order!$C:$C)</f>
        <v>375-92-8</v>
      </c>
      <c r="M3968">
        <f>_xlfn.XLOOKUP(L3968,[2]analyte_order!$C:$C,[2]analyte_order!$E:$E)</f>
        <v>17</v>
      </c>
      <c r="N3968">
        <v>1.03</v>
      </c>
    </row>
    <row r="3969" spans="1:14">
      <c r="A3969" t="s">
        <v>221</v>
      </c>
      <c r="B3969" t="str">
        <f>_xlfn.XLOOKUP(A3969,'[1]Tissue Data'!$A:$A,'[1]Tissue Data'!$C:$C)</f>
        <v>Spill</v>
      </c>
      <c r="C3969" s="2">
        <f>_xlfn.XLOOKUP(A3969,'[1]Tissue Data'!$A:$A,'[1]Tissue Data'!$D:$D)</f>
        <v>44314</v>
      </c>
      <c r="D3969" s="2" t="str">
        <f>_xlfn.XLOOKUP(A3969,'[1]Tissue Data'!$A:$A,'[1]Tissue Data'!$F:$F)</f>
        <v>Margined Madtom</v>
      </c>
      <c r="E3969" t="str">
        <f>_xlfn.XLOOKUP(A3969,'[1]Tissue Data'!$A:$A,'[1]Tissue Data'!$H:$H)</f>
        <v>Noturus</v>
      </c>
      <c r="F3969" t="str">
        <f>_xlfn.XLOOKUP(A3969,'[1]Tissue Data'!$A:$A,'[1]Tissue Data'!$I:$I)</f>
        <v>insignis</v>
      </c>
      <c r="G3969" t="str">
        <f>_xlfn.XLOOKUP(A3969,'[1]Tissue Data'!$A:$A,'[1]Tissue Data'!J:J)</f>
        <v>U</v>
      </c>
      <c r="H3969" t="str">
        <f>_xlfn.XLOOKUP(A3969,'[1]Tissue Data'!$A:$A,'[1]Tissue Data'!K:K)</f>
        <v>Whole Body</v>
      </c>
      <c r="I3969">
        <f>_xlfn.XLOOKUP(A3969,'[1]Tissue Data'!$A:$A,'[1]Tissue Data'!L:L)</f>
        <v>12</v>
      </c>
      <c r="J3969">
        <f>_xlfn.XLOOKUP(A3969,'[1]Tissue Data'!$A:$A,'[1]Tissue Data'!M:M)</f>
        <v>15.8</v>
      </c>
      <c r="K3969" t="s">
        <v>29</v>
      </c>
      <c r="L3969" t="str">
        <f>_xlfn.XLOOKUP(K3969,[2]analyte_order!$B:$B,[2]analyte_order!$C:$C)</f>
        <v>1763-23-1</v>
      </c>
      <c r="M3969">
        <f>_xlfn.XLOOKUP(L3969,[2]analyte_order!$C:$C,[2]analyte_order!$E:$E)</f>
        <v>18</v>
      </c>
      <c r="N3969">
        <v>822</v>
      </c>
    </row>
    <row r="3970" spans="1:14">
      <c r="A3970" t="s">
        <v>221</v>
      </c>
      <c r="B3970" t="str">
        <f>_xlfn.XLOOKUP(A3970,'[1]Tissue Data'!$A:$A,'[1]Tissue Data'!$C:$C)</f>
        <v>Spill</v>
      </c>
      <c r="C3970" s="2">
        <f>_xlfn.XLOOKUP(A3970,'[1]Tissue Data'!$A:$A,'[1]Tissue Data'!$D:$D)</f>
        <v>44314</v>
      </c>
      <c r="D3970" s="2" t="str">
        <f>_xlfn.XLOOKUP(A3970,'[1]Tissue Data'!$A:$A,'[1]Tissue Data'!$F:$F)</f>
        <v>Margined Madtom</v>
      </c>
      <c r="E3970" t="str">
        <f>_xlfn.XLOOKUP(A3970,'[1]Tissue Data'!$A:$A,'[1]Tissue Data'!$H:$H)</f>
        <v>Noturus</v>
      </c>
      <c r="F3970" t="str">
        <f>_xlfn.XLOOKUP(A3970,'[1]Tissue Data'!$A:$A,'[1]Tissue Data'!$I:$I)</f>
        <v>insignis</v>
      </c>
      <c r="G3970" t="str">
        <f>_xlfn.XLOOKUP(A3970,'[1]Tissue Data'!$A:$A,'[1]Tissue Data'!J:J)</f>
        <v>U</v>
      </c>
      <c r="H3970" t="str">
        <f>_xlfn.XLOOKUP(A3970,'[1]Tissue Data'!$A:$A,'[1]Tissue Data'!K:K)</f>
        <v>Whole Body</v>
      </c>
      <c r="I3970">
        <f>_xlfn.XLOOKUP(A3970,'[1]Tissue Data'!$A:$A,'[1]Tissue Data'!L:L)</f>
        <v>12</v>
      </c>
      <c r="J3970">
        <f>_xlfn.XLOOKUP(A3970,'[1]Tissue Data'!$A:$A,'[1]Tissue Data'!M:M)</f>
        <v>15.8</v>
      </c>
      <c r="K3970" t="s">
        <v>30</v>
      </c>
      <c r="L3970" t="str">
        <f>_xlfn.XLOOKUP(K3970,[2]analyte_order!$B:$B,[2]analyte_order!$C:$C)</f>
        <v>68259-12-1</v>
      </c>
      <c r="M3970">
        <f>_xlfn.XLOOKUP(L3970,[2]analyte_order!$C:$C,[2]analyte_order!$E:$E)</f>
        <v>19</v>
      </c>
      <c r="N3970">
        <v>0.70399999999999996</v>
      </c>
    </row>
    <row r="3971" spans="1:14">
      <c r="A3971" t="s">
        <v>221</v>
      </c>
      <c r="B3971" t="str">
        <f>_xlfn.XLOOKUP(A3971,'[1]Tissue Data'!$A:$A,'[1]Tissue Data'!$C:$C)</f>
        <v>Spill</v>
      </c>
      <c r="C3971" s="2">
        <f>_xlfn.XLOOKUP(A3971,'[1]Tissue Data'!$A:$A,'[1]Tissue Data'!$D:$D)</f>
        <v>44314</v>
      </c>
      <c r="D3971" s="2" t="str">
        <f>_xlfn.XLOOKUP(A3971,'[1]Tissue Data'!$A:$A,'[1]Tissue Data'!$F:$F)</f>
        <v>Margined Madtom</v>
      </c>
      <c r="E3971" t="str">
        <f>_xlfn.XLOOKUP(A3971,'[1]Tissue Data'!$A:$A,'[1]Tissue Data'!$H:$H)</f>
        <v>Noturus</v>
      </c>
      <c r="F3971" t="str">
        <f>_xlfn.XLOOKUP(A3971,'[1]Tissue Data'!$A:$A,'[1]Tissue Data'!$I:$I)</f>
        <v>insignis</v>
      </c>
      <c r="G3971" t="str">
        <f>_xlfn.XLOOKUP(A3971,'[1]Tissue Data'!$A:$A,'[1]Tissue Data'!J:J)</f>
        <v>U</v>
      </c>
      <c r="H3971" t="str">
        <f>_xlfn.XLOOKUP(A3971,'[1]Tissue Data'!$A:$A,'[1]Tissue Data'!K:K)</f>
        <v>Whole Body</v>
      </c>
      <c r="I3971">
        <f>_xlfn.XLOOKUP(A3971,'[1]Tissue Data'!$A:$A,'[1]Tissue Data'!L:L)</f>
        <v>12</v>
      </c>
      <c r="J3971">
        <f>_xlfn.XLOOKUP(A3971,'[1]Tissue Data'!$A:$A,'[1]Tissue Data'!M:M)</f>
        <v>15.8</v>
      </c>
      <c r="K3971" t="s">
        <v>31</v>
      </c>
      <c r="L3971" t="str">
        <f>_xlfn.XLOOKUP(K3971,[2]analyte_order!$B:$B,[2]analyte_order!$C:$C)</f>
        <v>335-77-3</v>
      </c>
      <c r="M3971">
        <f>_xlfn.XLOOKUP(L3971,[2]analyte_order!$C:$C,[2]analyte_order!$E:$E)</f>
        <v>20</v>
      </c>
      <c r="N3971">
        <v>1.43</v>
      </c>
    </row>
    <row r="3972" spans="1:14">
      <c r="A3972" t="s">
        <v>221</v>
      </c>
      <c r="B3972" t="str">
        <f>_xlfn.XLOOKUP(A3972,'[1]Tissue Data'!$A:$A,'[1]Tissue Data'!$C:$C)</f>
        <v>Spill</v>
      </c>
      <c r="C3972" s="2">
        <f>_xlfn.XLOOKUP(A3972,'[1]Tissue Data'!$A:$A,'[1]Tissue Data'!$D:$D)</f>
        <v>44314</v>
      </c>
      <c r="D3972" s="2" t="str">
        <f>_xlfn.XLOOKUP(A3972,'[1]Tissue Data'!$A:$A,'[1]Tissue Data'!$F:$F)</f>
        <v>Margined Madtom</v>
      </c>
      <c r="E3972" t="str">
        <f>_xlfn.XLOOKUP(A3972,'[1]Tissue Data'!$A:$A,'[1]Tissue Data'!$H:$H)</f>
        <v>Noturus</v>
      </c>
      <c r="F3972" t="str">
        <f>_xlfn.XLOOKUP(A3972,'[1]Tissue Data'!$A:$A,'[1]Tissue Data'!$I:$I)</f>
        <v>insignis</v>
      </c>
      <c r="G3972" t="str">
        <f>_xlfn.XLOOKUP(A3972,'[1]Tissue Data'!$A:$A,'[1]Tissue Data'!J:J)</f>
        <v>U</v>
      </c>
      <c r="H3972" t="str">
        <f>_xlfn.XLOOKUP(A3972,'[1]Tissue Data'!$A:$A,'[1]Tissue Data'!K:K)</f>
        <v>Whole Body</v>
      </c>
      <c r="I3972">
        <f>_xlfn.XLOOKUP(A3972,'[1]Tissue Data'!$A:$A,'[1]Tissue Data'!L:L)</f>
        <v>12</v>
      </c>
      <c r="J3972">
        <f>_xlfn.XLOOKUP(A3972,'[1]Tissue Data'!$A:$A,'[1]Tissue Data'!M:M)</f>
        <v>15.8</v>
      </c>
      <c r="K3972" t="s">
        <v>32</v>
      </c>
      <c r="L3972" t="str">
        <f>_xlfn.XLOOKUP(K3972,[2]analyte_order!$B:$B,[2]analyte_order!$C:$C)</f>
        <v>79780-39-5</v>
      </c>
      <c r="M3972">
        <f>_xlfn.XLOOKUP(L3972,[2]analyte_order!$C:$C,[2]analyte_order!$E:$E)</f>
        <v>21</v>
      </c>
      <c r="N3972">
        <v>0.76300000000000001</v>
      </c>
    </row>
    <row r="3973" spans="1:14">
      <c r="A3973" t="s">
        <v>221</v>
      </c>
      <c r="B3973" t="str">
        <f>_xlfn.XLOOKUP(A3973,'[1]Tissue Data'!$A:$A,'[1]Tissue Data'!$C:$C)</f>
        <v>Spill</v>
      </c>
      <c r="C3973" s="2">
        <f>_xlfn.XLOOKUP(A3973,'[1]Tissue Data'!$A:$A,'[1]Tissue Data'!$D:$D)</f>
        <v>44314</v>
      </c>
      <c r="D3973" s="2" t="str">
        <f>_xlfn.XLOOKUP(A3973,'[1]Tissue Data'!$A:$A,'[1]Tissue Data'!$F:$F)</f>
        <v>Margined Madtom</v>
      </c>
      <c r="E3973" t="str">
        <f>_xlfn.XLOOKUP(A3973,'[1]Tissue Data'!$A:$A,'[1]Tissue Data'!$H:$H)</f>
        <v>Noturus</v>
      </c>
      <c r="F3973" t="str">
        <f>_xlfn.XLOOKUP(A3973,'[1]Tissue Data'!$A:$A,'[1]Tissue Data'!$I:$I)</f>
        <v>insignis</v>
      </c>
      <c r="G3973" t="str">
        <f>_xlfn.XLOOKUP(A3973,'[1]Tissue Data'!$A:$A,'[1]Tissue Data'!J:J)</f>
        <v>U</v>
      </c>
      <c r="H3973" t="str">
        <f>_xlfn.XLOOKUP(A3973,'[1]Tissue Data'!$A:$A,'[1]Tissue Data'!K:K)</f>
        <v>Whole Body</v>
      </c>
      <c r="I3973">
        <f>_xlfn.XLOOKUP(A3973,'[1]Tissue Data'!$A:$A,'[1]Tissue Data'!L:L)</f>
        <v>12</v>
      </c>
      <c r="J3973">
        <f>_xlfn.XLOOKUP(A3973,'[1]Tissue Data'!$A:$A,'[1]Tissue Data'!M:M)</f>
        <v>15.8</v>
      </c>
      <c r="K3973" t="s">
        <v>33</v>
      </c>
      <c r="L3973" t="str">
        <f>_xlfn.XLOOKUP(K3973,[2]analyte_order!$B:$B,[2]analyte_order!$C:$C)</f>
        <v>777011-38-8</v>
      </c>
      <c r="M3973">
        <f>_xlfn.XLOOKUP(L3973,[2]analyte_order!$C:$C,[2]analyte_order!$E:$E)</f>
        <v>54</v>
      </c>
      <c r="N3973">
        <v>0.13850000000000001</v>
      </c>
    </row>
    <row r="3974" spans="1:14">
      <c r="A3974" t="s">
        <v>221</v>
      </c>
      <c r="B3974" t="str">
        <f>_xlfn.XLOOKUP(A3974,'[1]Tissue Data'!$A:$A,'[1]Tissue Data'!$C:$C)</f>
        <v>Spill</v>
      </c>
      <c r="C3974" s="2">
        <f>_xlfn.XLOOKUP(A3974,'[1]Tissue Data'!$A:$A,'[1]Tissue Data'!$D:$D)</f>
        <v>44314</v>
      </c>
      <c r="D3974" s="2" t="str">
        <f>_xlfn.XLOOKUP(A3974,'[1]Tissue Data'!$A:$A,'[1]Tissue Data'!$F:$F)</f>
        <v>Margined Madtom</v>
      </c>
      <c r="E3974" t="str">
        <f>_xlfn.XLOOKUP(A3974,'[1]Tissue Data'!$A:$A,'[1]Tissue Data'!$H:$H)</f>
        <v>Noturus</v>
      </c>
      <c r="F3974" t="str">
        <f>_xlfn.XLOOKUP(A3974,'[1]Tissue Data'!$A:$A,'[1]Tissue Data'!$I:$I)</f>
        <v>insignis</v>
      </c>
      <c r="G3974" t="str">
        <f>_xlfn.XLOOKUP(A3974,'[1]Tissue Data'!$A:$A,'[1]Tissue Data'!J:J)</f>
        <v>U</v>
      </c>
      <c r="H3974" t="str">
        <f>_xlfn.XLOOKUP(A3974,'[1]Tissue Data'!$A:$A,'[1]Tissue Data'!K:K)</f>
        <v>Whole Body</v>
      </c>
      <c r="I3974">
        <f>_xlfn.XLOOKUP(A3974,'[1]Tissue Data'!$A:$A,'[1]Tissue Data'!L:L)</f>
        <v>12</v>
      </c>
      <c r="J3974">
        <f>_xlfn.XLOOKUP(A3974,'[1]Tissue Data'!$A:$A,'[1]Tissue Data'!M:M)</f>
        <v>15.8</v>
      </c>
      <c r="K3974" t="s">
        <v>34</v>
      </c>
      <c r="L3974" t="str">
        <f>_xlfn.XLOOKUP(K3974,[2]analyte_order!$B:$B,[2]analyte_order!$C:$C)</f>
        <v>646-83-3</v>
      </c>
      <c r="M3974">
        <f>_xlfn.XLOOKUP(L3974,[2]analyte_order!$C:$C,[2]analyte_order!$E:$E)</f>
        <v>55</v>
      </c>
      <c r="N3974">
        <v>9.0999999999999998E-2</v>
      </c>
    </row>
    <row r="3975" spans="1:14">
      <c r="A3975" t="s">
        <v>221</v>
      </c>
      <c r="B3975" t="str">
        <f>_xlfn.XLOOKUP(A3975,'[1]Tissue Data'!$A:$A,'[1]Tissue Data'!$C:$C)</f>
        <v>Spill</v>
      </c>
      <c r="C3975" s="2">
        <f>_xlfn.XLOOKUP(A3975,'[1]Tissue Data'!$A:$A,'[1]Tissue Data'!$D:$D)</f>
        <v>44314</v>
      </c>
      <c r="D3975" s="2" t="str">
        <f>_xlfn.XLOOKUP(A3975,'[1]Tissue Data'!$A:$A,'[1]Tissue Data'!$F:$F)</f>
        <v>Margined Madtom</v>
      </c>
      <c r="E3975" t="str">
        <f>_xlfn.XLOOKUP(A3975,'[1]Tissue Data'!$A:$A,'[1]Tissue Data'!$H:$H)</f>
        <v>Noturus</v>
      </c>
      <c r="F3975" t="str">
        <f>_xlfn.XLOOKUP(A3975,'[1]Tissue Data'!$A:$A,'[1]Tissue Data'!$I:$I)</f>
        <v>insignis</v>
      </c>
      <c r="G3975" t="str">
        <f>_xlfn.XLOOKUP(A3975,'[1]Tissue Data'!$A:$A,'[1]Tissue Data'!J:J)</f>
        <v>U</v>
      </c>
      <c r="H3975" t="str">
        <f>_xlfn.XLOOKUP(A3975,'[1]Tissue Data'!$A:$A,'[1]Tissue Data'!K:K)</f>
        <v>Whole Body</v>
      </c>
      <c r="I3975">
        <f>_xlfn.XLOOKUP(A3975,'[1]Tissue Data'!$A:$A,'[1]Tissue Data'!L:L)</f>
        <v>12</v>
      </c>
      <c r="J3975">
        <f>_xlfn.XLOOKUP(A3975,'[1]Tissue Data'!$A:$A,'[1]Tissue Data'!M:M)</f>
        <v>15.8</v>
      </c>
      <c r="K3975" t="s">
        <v>35</v>
      </c>
      <c r="L3975" t="str">
        <f>_xlfn.XLOOKUP(K3975,[2]analyte_order!$B:$B,[2]analyte_order!$C:$C)</f>
        <v>30334-69-1</v>
      </c>
      <c r="M3975">
        <f>_xlfn.XLOOKUP(L3975,[2]analyte_order!$C:$C,[2]analyte_order!$E:$E)</f>
        <v>51</v>
      </c>
      <c r="N3975">
        <v>52.9</v>
      </c>
    </row>
    <row r="3976" spans="1:14">
      <c r="A3976" t="s">
        <v>221</v>
      </c>
      <c r="B3976" t="str">
        <f>_xlfn.XLOOKUP(A3976,'[1]Tissue Data'!$A:$A,'[1]Tissue Data'!$C:$C)</f>
        <v>Spill</v>
      </c>
      <c r="C3976" s="2">
        <f>_xlfn.XLOOKUP(A3976,'[1]Tissue Data'!$A:$A,'[1]Tissue Data'!$D:$D)</f>
        <v>44314</v>
      </c>
      <c r="D3976" s="2" t="str">
        <f>_xlfn.XLOOKUP(A3976,'[1]Tissue Data'!$A:$A,'[1]Tissue Data'!$F:$F)</f>
        <v>Margined Madtom</v>
      </c>
      <c r="E3976" t="str">
        <f>_xlfn.XLOOKUP(A3976,'[1]Tissue Data'!$A:$A,'[1]Tissue Data'!$H:$H)</f>
        <v>Noturus</v>
      </c>
      <c r="F3976" t="str">
        <f>_xlfn.XLOOKUP(A3976,'[1]Tissue Data'!$A:$A,'[1]Tissue Data'!$I:$I)</f>
        <v>insignis</v>
      </c>
      <c r="G3976" t="str">
        <f>_xlfn.XLOOKUP(A3976,'[1]Tissue Data'!$A:$A,'[1]Tissue Data'!J:J)</f>
        <v>U</v>
      </c>
      <c r="H3976" t="str">
        <f>_xlfn.XLOOKUP(A3976,'[1]Tissue Data'!$A:$A,'[1]Tissue Data'!K:K)</f>
        <v>Whole Body</v>
      </c>
      <c r="I3976">
        <f>_xlfn.XLOOKUP(A3976,'[1]Tissue Data'!$A:$A,'[1]Tissue Data'!L:L)</f>
        <v>12</v>
      </c>
      <c r="J3976">
        <f>_xlfn.XLOOKUP(A3976,'[1]Tissue Data'!$A:$A,'[1]Tissue Data'!M:M)</f>
        <v>15.8</v>
      </c>
      <c r="K3976" t="s">
        <v>36</v>
      </c>
      <c r="L3976" t="str">
        <f>_xlfn.XLOOKUP(K3976,[2]analyte_order!$B:$B,[2]analyte_order!$C:$C)</f>
        <v>41997-13-1</v>
      </c>
      <c r="M3976">
        <f>_xlfn.XLOOKUP(L3976,[2]analyte_order!$C:$C,[2]analyte_order!$E:$E)</f>
        <v>52</v>
      </c>
      <c r="N3976">
        <v>188</v>
      </c>
    </row>
    <row r="3977" spans="1:14">
      <c r="A3977" t="s">
        <v>221</v>
      </c>
      <c r="B3977" t="str">
        <f>_xlfn.XLOOKUP(A3977,'[1]Tissue Data'!$A:$A,'[1]Tissue Data'!$C:$C)</f>
        <v>Spill</v>
      </c>
      <c r="C3977" s="2">
        <f>_xlfn.XLOOKUP(A3977,'[1]Tissue Data'!$A:$A,'[1]Tissue Data'!$D:$D)</f>
        <v>44314</v>
      </c>
      <c r="D3977" s="2" t="str">
        <f>_xlfn.XLOOKUP(A3977,'[1]Tissue Data'!$A:$A,'[1]Tissue Data'!$F:$F)</f>
        <v>Margined Madtom</v>
      </c>
      <c r="E3977" t="str">
        <f>_xlfn.XLOOKUP(A3977,'[1]Tissue Data'!$A:$A,'[1]Tissue Data'!$H:$H)</f>
        <v>Noturus</v>
      </c>
      <c r="F3977" t="str">
        <f>_xlfn.XLOOKUP(A3977,'[1]Tissue Data'!$A:$A,'[1]Tissue Data'!$I:$I)</f>
        <v>insignis</v>
      </c>
      <c r="G3977" t="str">
        <f>_xlfn.XLOOKUP(A3977,'[1]Tissue Data'!$A:$A,'[1]Tissue Data'!J:J)</f>
        <v>U</v>
      </c>
      <c r="H3977" t="str">
        <f>_xlfn.XLOOKUP(A3977,'[1]Tissue Data'!$A:$A,'[1]Tissue Data'!K:K)</f>
        <v>Whole Body</v>
      </c>
      <c r="I3977">
        <f>_xlfn.XLOOKUP(A3977,'[1]Tissue Data'!$A:$A,'[1]Tissue Data'!L:L)</f>
        <v>12</v>
      </c>
      <c r="J3977">
        <f>_xlfn.XLOOKUP(A3977,'[1]Tissue Data'!$A:$A,'[1]Tissue Data'!M:M)</f>
        <v>15.8</v>
      </c>
      <c r="K3977" t="s">
        <v>37</v>
      </c>
      <c r="L3977" t="str">
        <f>_xlfn.XLOOKUP(K3977,[2]analyte_order!$B:$B,[2]analyte_order!$C:$C)</f>
        <v>754-91-6</v>
      </c>
      <c r="M3977">
        <f>_xlfn.XLOOKUP(L3977,[2]analyte_order!$C:$C,[2]analyte_order!$E:$E)</f>
        <v>28</v>
      </c>
      <c r="N3977">
        <v>31.7</v>
      </c>
    </row>
    <row r="3978" spans="1:14">
      <c r="A3978" t="s">
        <v>221</v>
      </c>
      <c r="B3978" t="str">
        <f>_xlfn.XLOOKUP(A3978,'[1]Tissue Data'!$A:$A,'[1]Tissue Data'!$C:$C)</f>
        <v>Spill</v>
      </c>
      <c r="C3978" s="2">
        <f>_xlfn.XLOOKUP(A3978,'[1]Tissue Data'!$A:$A,'[1]Tissue Data'!$D:$D)</f>
        <v>44314</v>
      </c>
      <c r="D3978" s="2" t="str">
        <f>_xlfn.XLOOKUP(A3978,'[1]Tissue Data'!$A:$A,'[1]Tissue Data'!$F:$F)</f>
        <v>Margined Madtom</v>
      </c>
      <c r="E3978" t="str">
        <f>_xlfn.XLOOKUP(A3978,'[1]Tissue Data'!$A:$A,'[1]Tissue Data'!$H:$H)</f>
        <v>Noturus</v>
      </c>
      <c r="F3978" t="str">
        <f>_xlfn.XLOOKUP(A3978,'[1]Tissue Data'!$A:$A,'[1]Tissue Data'!$I:$I)</f>
        <v>insignis</v>
      </c>
      <c r="G3978" t="str">
        <f>_xlfn.XLOOKUP(A3978,'[1]Tissue Data'!$A:$A,'[1]Tissue Data'!J:J)</f>
        <v>U</v>
      </c>
      <c r="H3978" t="str">
        <f>_xlfn.XLOOKUP(A3978,'[1]Tissue Data'!$A:$A,'[1]Tissue Data'!K:K)</f>
        <v>Whole Body</v>
      </c>
      <c r="I3978">
        <f>_xlfn.XLOOKUP(A3978,'[1]Tissue Data'!$A:$A,'[1]Tissue Data'!L:L)</f>
        <v>12</v>
      </c>
      <c r="J3978">
        <f>_xlfn.XLOOKUP(A3978,'[1]Tissue Data'!$A:$A,'[1]Tissue Data'!M:M)</f>
        <v>15.8</v>
      </c>
      <c r="K3978" t="s">
        <v>38</v>
      </c>
      <c r="L3978" t="str">
        <f>_xlfn.XLOOKUP(K3978,[2]analyte_order!$B:$B,[2]analyte_order!$C:$C)</f>
        <v>31506-32-8</v>
      </c>
      <c r="M3978">
        <f>_xlfn.XLOOKUP(L3978,[2]analyte_order!$C:$C,[2]analyte_order!$E:$E)</f>
        <v>30</v>
      </c>
      <c r="N3978">
        <v>5.2999999999999999E-2</v>
      </c>
    </row>
    <row r="3979" spans="1:14">
      <c r="A3979" t="s">
        <v>221</v>
      </c>
      <c r="B3979" t="str">
        <f>_xlfn.XLOOKUP(A3979,'[1]Tissue Data'!$A:$A,'[1]Tissue Data'!$C:$C)</f>
        <v>Spill</v>
      </c>
      <c r="C3979" s="2">
        <f>_xlfn.XLOOKUP(A3979,'[1]Tissue Data'!$A:$A,'[1]Tissue Data'!$D:$D)</f>
        <v>44314</v>
      </c>
      <c r="D3979" s="2" t="str">
        <f>_xlfn.XLOOKUP(A3979,'[1]Tissue Data'!$A:$A,'[1]Tissue Data'!$F:$F)</f>
        <v>Margined Madtom</v>
      </c>
      <c r="E3979" t="str">
        <f>_xlfn.XLOOKUP(A3979,'[1]Tissue Data'!$A:$A,'[1]Tissue Data'!$H:$H)</f>
        <v>Noturus</v>
      </c>
      <c r="F3979" t="str">
        <f>_xlfn.XLOOKUP(A3979,'[1]Tissue Data'!$A:$A,'[1]Tissue Data'!$I:$I)</f>
        <v>insignis</v>
      </c>
      <c r="G3979" t="str">
        <f>_xlfn.XLOOKUP(A3979,'[1]Tissue Data'!$A:$A,'[1]Tissue Data'!J:J)</f>
        <v>U</v>
      </c>
      <c r="H3979" t="str">
        <f>_xlfn.XLOOKUP(A3979,'[1]Tissue Data'!$A:$A,'[1]Tissue Data'!K:K)</f>
        <v>Whole Body</v>
      </c>
      <c r="I3979">
        <f>_xlfn.XLOOKUP(A3979,'[1]Tissue Data'!$A:$A,'[1]Tissue Data'!L:L)</f>
        <v>12</v>
      </c>
      <c r="J3979">
        <f>_xlfn.XLOOKUP(A3979,'[1]Tissue Data'!$A:$A,'[1]Tissue Data'!M:M)</f>
        <v>15.8</v>
      </c>
      <c r="K3979" t="s">
        <v>39</v>
      </c>
      <c r="L3979" t="str">
        <f>_xlfn.XLOOKUP(K3979,[2]analyte_order!$B:$B,[2]analyte_order!$C:$C)</f>
        <v>4151-50-2</v>
      </c>
      <c r="M3979">
        <f>_xlfn.XLOOKUP(L3979,[2]analyte_order!$C:$C,[2]analyte_order!$E:$E)</f>
        <v>31</v>
      </c>
      <c r="N3979">
        <v>8.0500000000000002E-2</v>
      </c>
    </row>
    <row r="3980" spans="1:14">
      <c r="A3980" t="s">
        <v>221</v>
      </c>
      <c r="B3980" t="str">
        <f>_xlfn.XLOOKUP(A3980,'[1]Tissue Data'!$A:$A,'[1]Tissue Data'!$C:$C)</f>
        <v>Spill</v>
      </c>
      <c r="C3980" s="2">
        <f>_xlfn.XLOOKUP(A3980,'[1]Tissue Data'!$A:$A,'[1]Tissue Data'!$D:$D)</f>
        <v>44314</v>
      </c>
      <c r="D3980" s="2" t="str">
        <f>_xlfn.XLOOKUP(A3980,'[1]Tissue Data'!$A:$A,'[1]Tissue Data'!$F:$F)</f>
        <v>Margined Madtom</v>
      </c>
      <c r="E3980" t="str">
        <f>_xlfn.XLOOKUP(A3980,'[1]Tissue Data'!$A:$A,'[1]Tissue Data'!$H:$H)</f>
        <v>Noturus</v>
      </c>
      <c r="F3980" t="str">
        <f>_xlfn.XLOOKUP(A3980,'[1]Tissue Data'!$A:$A,'[1]Tissue Data'!$I:$I)</f>
        <v>insignis</v>
      </c>
      <c r="G3980" t="str">
        <f>_xlfn.XLOOKUP(A3980,'[1]Tissue Data'!$A:$A,'[1]Tissue Data'!J:J)</f>
        <v>U</v>
      </c>
      <c r="H3980" t="str">
        <f>_xlfn.XLOOKUP(A3980,'[1]Tissue Data'!$A:$A,'[1]Tissue Data'!K:K)</f>
        <v>Whole Body</v>
      </c>
      <c r="I3980">
        <f>_xlfn.XLOOKUP(A3980,'[1]Tissue Data'!$A:$A,'[1]Tissue Data'!L:L)</f>
        <v>12</v>
      </c>
      <c r="J3980">
        <f>_xlfn.XLOOKUP(A3980,'[1]Tissue Data'!$A:$A,'[1]Tissue Data'!M:M)</f>
        <v>15.8</v>
      </c>
      <c r="K3980" t="s">
        <v>40</v>
      </c>
      <c r="L3980" t="str">
        <f>_xlfn.XLOOKUP(K3980,[2]analyte_order!$B:$B,[2]analyte_order!$C:$C)</f>
        <v>2806-24-8</v>
      </c>
      <c r="M3980">
        <f>_xlfn.XLOOKUP(L3980,[2]analyte_order!$C:$C,[2]analyte_order!$E:$E)</f>
        <v>29</v>
      </c>
      <c r="N3980">
        <v>5.45E-2</v>
      </c>
    </row>
    <row r="3981" spans="1:14">
      <c r="A3981" t="s">
        <v>221</v>
      </c>
      <c r="B3981" t="str">
        <f>_xlfn.XLOOKUP(A3981,'[1]Tissue Data'!$A:$A,'[1]Tissue Data'!$C:$C)</f>
        <v>Spill</v>
      </c>
      <c r="C3981" s="2">
        <f>_xlfn.XLOOKUP(A3981,'[1]Tissue Data'!$A:$A,'[1]Tissue Data'!$D:$D)</f>
        <v>44314</v>
      </c>
      <c r="D3981" s="2" t="str">
        <f>_xlfn.XLOOKUP(A3981,'[1]Tissue Data'!$A:$A,'[1]Tissue Data'!$F:$F)</f>
        <v>Margined Madtom</v>
      </c>
      <c r="E3981" t="str">
        <f>_xlfn.XLOOKUP(A3981,'[1]Tissue Data'!$A:$A,'[1]Tissue Data'!$H:$H)</f>
        <v>Noturus</v>
      </c>
      <c r="F3981" t="str">
        <f>_xlfn.XLOOKUP(A3981,'[1]Tissue Data'!$A:$A,'[1]Tissue Data'!$I:$I)</f>
        <v>insignis</v>
      </c>
      <c r="G3981" t="str">
        <f>_xlfn.XLOOKUP(A3981,'[1]Tissue Data'!$A:$A,'[1]Tissue Data'!J:J)</f>
        <v>U</v>
      </c>
      <c r="H3981" t="str">
        <f>_xlfn.XLOOKUP(A3981,'[1]Tissue Data'!$A:$A,'[1]Tissue Data'!K:K)</f>
        <v>Whole Body</v>
      </c>
      <c r="I3981">
        <f>_xlfn.XLOOKUP(A3981,'[1]Tissue Data'!$A:$A,'[1]Tissue Data'!L:L)</f>
        <v>12</v>
      </c>
      <c r="J3981">
        <f>_xlfn.XLOOKUP(A3981,'[1]Tissue Data'!$A:$A,'[1]Tissue Data'!M:M)</f>
        <v>15.8</v>
      </c>
      <c r="K3981" t="s">
        <v>41</v>
      </c>
      <c r="L3981" t="str">
        <f>_xlfn.XLOOKUP(K3981,[2]analyte_order!$B:$B,[2]analyte_order!$C:$C)</f>
        <v>2355-31-9</v>
      </c>
      <c r="M3981">
        <f>_xlfn.XLOOKUP(L3981,[2]analyte_order!$C:$C,[2]analyte_order!$E:$E)</f>
        <v>26</v>
      </c>
      <c r="N3981">
        <v>0.69899999999999995</v>
      </c>
    </row>
    <row r="3982" spans="1:14">
      <c r="A3982" t="s">
        <v>221</v>
      </c>
      <c r="B3982" t="str">
        <f>_xlfn.XLOOKUP(A3982,'[1]Tissue Data'!$A:$A,'[1]Tissue Data'!$C:$C)</f>
        <v>Spill</v>
      </c>
      <c r="C3982" s="2">
        <f>_xlfn.XLOOKUP(A3982,'[1]Tissue Data'!$A:$A,'[1]Tissue Data'!$D:$D)</f>
        <v>44314</v>
      </c>
      <c r="D3982" s="2" t="str">
        <f>_xlfn.XLOOKUP(A3982,'[1]Tissue Data'!$A:$A,'[1]Tissue Data'!$F:$F)</f>
        <v>Margined Madtom</v>
      </c>
      <c r="E3982" t="str">
        <f>_xlfn.XLOOKUP(A3982,'[1]Tissue Data'!$A:$A,'[1]Tissue Data'!$H:$H)</f>
        <v>Noturus</v>
      </c>
      <c r="F3982" t="str">
        <f>_xlfn.XLOOKUP(A3982,'[1]Tissue Data'!$A:$A,'[1]Tissue Data'!$I:$I)</f>
        <v>insignis</v>
      </c>
      <c r="G3982" t="str">
        <f>_xlfn.XLOOKUP(A3982,'[1]Tissue Data'!$A:$A,'[1]Tissue Data'!J:J)</f>
        <v>U</v>
      </c>
      <c r="H3982" t="str">
        <f>_xlfn.XLOOKUP(A3982,'[1]Tissue Data'!$A:$A,'[1]Tissue Data'!K:K)</f>
        <v>Whole Body</v>
      </c>
      <c r="I3982">
        <f>_xlfn.XLOOKUP(A3982,'[1]Tissue Data'!$A:$A,'[1]Tissue Data'!L:L)</f>
        <v>12</v>
      </c>
      <c r="J3982">
        <f>_xlfn.XLOOKUP(A3982,'[1]Tissue Data'!$A:$A,'[1]Tissue Data'!M:M)</f>
        <v>15.8</v>
      </c>
      <c r="K3982" t="s">
        <v>42</v>
      </c>
      <c r="L3982" t="str">
        <f>_xlfn.XLOOKUP(K3982,[2]analyte_order!$B:$B,[2]analyte_order!$C:$C)</f>
        <v>2991-50-6</v>
      </c>
      <c r="M3982">
        <f>_xlfn.XLOOKUP(L3982,[2]analyte_order!$C:$C,[2]analyte_order!$E:$E)</f>
        <v>27</v>
      </c>
      <c r="N3982">
        <v>0.06</v>
      </c>
    </row>
    <row r="3983" spans="1:14">
      <c r="A3983" t="s">
        <v>221</v>
      </c>
      <c r="B3983" t="str">
        <f>_xlfn.XLOOKUP(A3983,'[1]Tissue Data'!$A:$A,'[1]Tissue Data'!$C:$C)</f>
        <v>Spill</v>
      </c>
      <c r="C3983" s="2">
        <f>_xlfn.XLOOKUP(A3983,'[1]Tissue Data'!$A:$A,'[1]Tissue Data'!$D:$D)</f>
        <v>44314</v>
      </c>
      <c r="D3983" s="2" t="str">
        <f>_xlfn.XLOOKUP(A3983,'[1]Tissue Data'!$A:$A,'[1]Tissue Data'!$F:$F)</f>
        <v>Margined Madtom</v>
      </c>
      <c r="E3983" t="str">
        <f>_xlfn.XLOOKUP(A3983,'[1]Tissue Data'!$A:$A,'[1]Tissue Data'!$H:$H)</f>
        <v>Noturus</v>
      </c>
      <c r="F3983" t="str">
        <f>_xlfn.XLOOKUP(A3983,'[1]Tissue Data'!$A:$A,'[1]Tissue Data'!$I:$I)</f>
        <v>insignis</v>
      </c>
      <c r="G3983" t="str">
        <f>_xlfn.XLOOKUP(A3983,'[1]Tissue Data'!$A:$A,'[1]Tissue Data'!J:J)</f>
        <v>U</v>
      </c>
      <c r="H3983" t="str">
        <f>_xlfn.XLOOKUP(A3983,'[1]Tissue Data'!$A:$A,'[1]Tissue Data'!K:K)</f>
        <v>Whole Body</v>
      </c>
      <c r="I3983">
        <f>_xlfn.XLOOKUP(A3983,'[1]Tissue Data'!$A:$A,'[1]Tissue Data'!L:L)</f>
        <v>12</v>
      </c>
      <c r="J3983">
        <f>_xlfn.XLOOKUP(A3983,'[1]Tissue Data'!$A:$A,'[1]Tissue Data'!M:M)</f>
        <v>15.8</v>
      </c>
      <c r="K3983" t="s">
        <v>43</v>
      </c>
      <c r="L3983" t="str">
        <f>_xlfn.XLOOKUP(K3983,[2]analyte_order!$B:$B,[2]analyte_order!$C:$C)</f>
        <v>757124-72-4</v>
      </c>
      <c r="M3983">
        <f>_xlfn.XLOOKUP(L3983,[2]analyte_order!$C:$C,[2]analyte_order!$E:$E)</f>
        <v>22</v>
      </c>
      <c r="N3983">
        <v>5.7000000000000002E-2</v>
      </c>
    </row>
    <row r="3984" spans="1:14">
      <c r="A3984" t="s">
        <v>221</v>
      </c>
      <c r="B3984" t="str">
        <f>_xlfn.XLOOKUP(A3984,'[1]Tissue Data'!$A:$A,'[1]Tissue Data'!$C:$C)</f>
        <v>Spill</v>
      </c>
      <c r="C3984" s="2">
        <f>_xlfn.XLOOKUP(A3984,'[1]Tissue Data'!$A:$A,'[1]Tissue Data'!$D:$D)</f>
        <v>44314</v>
      </c>
      <c r="D3984" s="2" t="str">
        <f>_xlfn.XLOOKUP(A3984,'[1]Tissue Data'!$A:$A,'[1]Tissue Data'!$F:$F)</f>
        <v>Margined Madtom</v>
      </c>
      <c r="E3984" t="str">
        <f>_xlfn.XLOOKUP(A3984,'[1]Tissue Data'!$A:$A,'[1]Tissue Data'!$H:$H)</f>
        <v>Noturus</v>
      </c>
      <c r="F3984" t="str">
        <f>_xlfn.XLOOKUP(A3984,'[1]Tissue Data'!$A:$A,'[1]Tissue Data'!$I:$I)</f>
        <v>insignis</v>
      </c>
      <c r="G3984" t="str">
        <f>_xlfn.XLOOKUP(A3984,'[1]Tissue Data'!$A:$A,'[1]Tissue Data'!J:J)</f>
        <v>U</v>
      </c>
      <c r="H3984" t="str">
        <f>_xlfn.XLOOKUP(A3984,'[1]Tissue Data'!$A:$A,'[1]Tissue Data'!K:K)</f>
        <v>Whole Body</v>
      </c>
      <c r="I3984">
        <f>_xlfn.XLOOKUP(A3984,'[1]Tissue Data'!$A:$A,'[1]Tissue Data'!L:L)</f>
        <v>12</v>
      </c>
      <c r="J3984">
        <f>_xlfn.XLOOKUP(A3984,'[1]Tissue Data'!$A:$A,'[1]Tissue Data'!M:M)</f>
        <v>15.8</v>
      </c>
      <c r="K3984" t="s">
        <v>44</v>
      </c>
      <c r="L3984" t="str">
        <f>_xlfn.XLOOKUP(K3984,[2]analyte_order!$B:$B,[2]analyte_order!$C:$C)</f>
        <v>27619-97-2</v>
      </c>
      <c r="M3984">
        <f>_xlfn.XLOOKUP(L3984,[2]analyte_order!$C:$C,[2]analyte_order!$E:$E)</f>
        <v>23</v>
      </c>
      <c r="N3984">
        <v>0.13750000000000001</v>
      </c>
    </row>
    <row r="3985" spans="1:14">
      <c r="A3985" t="s">
        <v>221</v>
      </c>
      <c r="B3985" t="str">
        <f>_xlfn.XLOOKUP(A3985,'[1]Tissue Data'!$A:$A,'[1]Tissue Data'!$C:$C)</f>
        <v>Spill</v>
      </c>
      <c r="C3985" s="2">
        <f>_xlfn.XLOOKUP(A3985,'[1]Tissue Data'!$A:$A,'[1]Tissue Data'!$D:$D)</f>
        <v>44314</v>
      </c>
      <c r="D3985" s="2" t="str">
        <f>_xlfn.XLOOKUP(A3985,'[1]Tissue Data'!$A:$A,'[1]Tissue Data'!$F:$F)</f>
        <v>Margined Madtom</v>
      </c>
      <c r="E3985" t="str">
        <f>_xlfn.XLOOKUP(A3985,'[1]Tissue Data'!$A:$A,'[1]Tissue Data'!$H:$H)</f>
        <v>Noturus</v>
      </c>
      <c r="F3985" t="str">
        <f>_xlfn.XLOOKUP(A3985,'[1]Tissue Data'!$A:$A,'[1]Tissue Data'!$I:$I)</f>
        <v>insignis</v>
      </c>
      <c r="G3985" t="str">
        <f>_xlfn.XLOOKUP(A3985,'[1]Tissue Data'!$A:$A,'[1]Tissue Data'!J:J)</f>
        <v>U</v>
      </c>
      <c r="H3985" t="str">
        <f>_xlfn.XLOOKUP(A3985,'[1]Tissue Data'!$A:$A,'[1]Tissue Data'!K:K)</f>
        <v>Whole Body</v>
      </c>
      <c r="I3985">
        <f>_xlfn.XLOOKUP(A3985,'[1]Tissue Data'!$A:$A,'[1]Tissue Data'!L:L)</f>
        <v>12</v>
      </c>
      <c r="J3985">
        <f>_xlfn.XLOOKUP(A3985,'[1]Tissue Data'!$A:$A,'[1]Tissue Data'!M:M)</f>
        <v>15.8</v>
      </c>
      <c r="K3985" t="s">
        <v>45</v>
      </c>
      <c r="L3985" t="str">
        <f>_xlfn.XLOOKUP(K3985,[2]analyte_order!$B:$B,[2]analyte_order!$C:$C)</f>
        <v>39108-34-4</v>
      </c>
      <c r="M3985">
        <f>_xlfn.XLOOKUP(L3985,[2]analyte_order!$C:$C,[2]analyte_order!$E:$E)</f>
        <v>24</v>
      </c>
      <c r="N3985">
        <v>8.25</v>
      </c>
    </row>
    <row r="3986" spans="1:14">
      <c r="A3986" t="s">
        <v>221</v>
      </c>
      <c r="B3986" t="str">
        <f>_xlfn.XLOOKUP(A3986,'[1]Tissue Data'!$A:$A,'[1]Tissue Data'!$C:$C)</f>
        <v>Spill</v>
      </c>
      <c r="C3986" s="2">
        <f>_xlfn.XLOOKUP(A3986,'[1]Tissue Data'!$A:$A,'[1]Tissue Data'!$D:$D)</f>
        <v>44314</v>
      </c>
      <c r="D3986" s="2" t="str">
        <f>_xlfn.XLOOKUP(A3986,'[1]Tissue Data'!$A:$A,'[1]Tissue Data'!$F:$F)</f>
        <v>Margined Madtom</v>
      </c>
      <c r="E3986" t="str">
        <f>_xlfn.XLOOKUP(A3986,'[1]Tissue Data'!$A:$A,'[1]Tissue Data'!$H:$H)</f>
        <v>Noturus</v>
      </c>
      <c r="F3986" t="str">
        <f>_xlfn.XLOOKUP(A3986,'[1]Tissue Data'!$A:$A,'[1]Tissue Data'!$I:$I)</f>
        <v>insignis</v>
      </c>
      <c r="G3986" t="str">
        <f>_xlfn.XLOOKUP(A3986,'[1]Tissue Data'!$A:$A,'[1]Tissue Data'!J:J)</f>
        <v>U</v>
      </c>
      <c r="H3986" t="str">
        <f>_xlfn.XLOOKUP(A3986,'[1]Tissue Data'!$A:$A,'[1]Tissue Data'!K:K)</f>
        <v>Whole Body</v>
      </c>
      <c r="I3986">
        <f>_xlfn.XLOOKUP(A3986,'[1]Tissue Data'!$A:$A,'[1]Tissue Data'!L:L)</f>
        <v>12</v>
      </c>
      <c r="J3986">
        <f>_xlfn.XLOOKUP(A3986,'[1]Tissue Data'!$A:$A,'[1]Tissue Data'!M:M)</f>
        <v>15.8</v>
      </c>
      <c r="K3986" t="s">
        <v>46</v>
      </c>
      <c r="L3986" t="str">
        <f>_xlfn.XLOOKUP(K3986,[2]analyte_order!$B:$B,[2]analyte_order!$C:$C)</f>
        <v>120226-60-0</v>
      </c>
      <c r="M3986">
        <f>_xlfn.XLOOKUP(L3986,[2]analyte_order!$C:$C,[2]analyte_order!$E:$E)</f>
        <v>25</v>
      </c>
      <c r="N3986">
        <v>0.25900000000000001</v>
      </c>
    </row>
    <row r="3987" spans="1:14">
      <c r="A3987" t="s">
        <v>221</v>
      </c>
      <c r="B3987" t="str">
        <f>_xlfn.XLOOKUP(A3987,'[1]Tissue Data'!$A:$A,'[1]Tissue Data'!$C:$C)</f>
        <v>Spill</v>
      </c>
      <c r="C3987" s="2">
        <f>_xlfn.XLOOKUP(A3987,'[1]Tissue Data'!$A:$A,'[1]Tissue Data'!$D:$D)</f>
        <v>44314</v>
      </c>
      <c r="D3987" s="2" t="str">
        <f>_xlfn.XLOOKUP(A3987,'[1]Tissue Data'!$A:$A,'[1]Tissue Data'!$F:$F)</f>
        <v>Margined Madtom</v>
      </c>
      <c r="E3987" t="str">
        <f>_xlfn.XLOOKUP(A3987,'[1]Tissue Data'!$A:$A,'[1]Tissue Data'!$H:$H)</f>
        <v>Noturus</v>
      </c>
      <c r="F3987" t="str">
        <f>_xlfn.XLOOKUP(A3987,'[1]Tissue Data'!$A:$A,'[1]Tissue Data'!$I:$I)</f>
        <v>insignis</v>
      </c>
      <c r="G3987" t="str">
        <f>_xlfn.XLOOKUP(A3987,'[1]Tissue Data'!$A:$A,'[1]Tissue Data'!J:J)</f>
        <v>U</v>
      </c>
      <c r="H3987" t="str">
        <f>_xlfn.XLOOKUP(A3987,'[1]Tissue Data'!$A:$A,'[1]Tissue Data'!K:K)</f>
        <v>Whole Body</v>
      </c>
      <c r="I3987">
        <f>_xlfn.XLOOKUP(A3987,'[1]Tissue Data'!$A:$A,'[1]Tissue Data'!L:L)</f>
        <v>12</v>
      </c>
      <c r="J3987">
        <f>_xlfn.XLOOKUP(A3987,'[1]Tissue Data'!$A:$A,'[1]Tissue Data'!M:M)</f>
        <v>15.8</v>
      </c>
      <c r="K3987" t="s">
        <v>47</v>
      </c>
      <c r="L3987" t="str">
        <f>_xlfn.XLOOKUP(K3987,[2]analyte_order!$B:$B,[2]analyte_order!$C:$C)</f>
        <v>356-02-5</v>
      </c>
      <c r="M3987">
        <f>_xlfn.XLOOKUP(L3987,[2]analyte_order!$C:$C,[2]analyte_order!$E:$E)</f>
        <v>38</v>
      </c>
      <c r="N3987">
        <v>7.9500000000000001E-2</v>
      </c>
    </row>
    <row r="3988" spans="1:14">
      <c r="A3988" t="s">
        <v>221</v>
      </c>
      <c r="B3988" t="str">
        <f>_xlfn.XLOOKUP(A3988,'[1]Tissue Data'!$A:$A,'[1]Tissue Data'!$C:$C)</f>
        <v>Spill</v>
      </c>
      <c r="C3988" s="2">
        <f>_xlfn.XLOOKUP(A3988,'[1]Tissue Data'!$A:$A,'[1]Tissue Data'!$D:$D)</f>
        <v>44314</v>
      </c>
      <c r="D3988" s="2" t="str">
        <f>_xlfn.XLOOKUP(A3988,'[1]Tissue Data'!$A:$A,'[1]Tissue Data'!$F:$F)</f>
        <v>Margined Madtom</v>
      </c>
      <c r="E3988" t="str">
        <f>_xlfn.XLOOKUP(A3988,'[1]Tissue Data'!$A:$A,'[1]Tissue Data'!$H:$H)</f>
        <v>Noturus</v>
      </c>
      <c r="F3988" t="str">
        <f>_xlfn.XLOOKUP(A3988,'[1]Tissue Data'!$A:$A,'[1]Tissue Data'!$I:$I)</f>
        <v>insignis</v>
      </c>
      <c r="G3988" t="str">
        <f>_xlfn.XLOOKUP(A3988,'[1]Tissue Data'!$A:$A,'[1]Tissue Data'!J:J)</f>
        <v>U</v>
      </c>
      <c r="H3988" t="str">
        <f>_xlfn.XLOOKUP(A3988,'[1]Tissue Data'!$A:$A,'[1]Tissue Data'!K:K)</f>
        <v>Whole Body</v>
      </c>
      <c r="I3988">
        <f>_xlfn.XLOOKUP(A3988,'[1]Tissue Data'!$A:$A,'[1]Tissue Data'!L:L)</f>
        <v>12</v>
      </c>
      <c r="J3988">
        <f>_xlfn.XLOOKUP(A3988,'[1]Tissue Data'!$A:$A,'[1]Tissue Data'!M:M)</f>
        <v>15.8</v>
      </c>
      <c r="K3988" t="s">
        <v>48</v>
      </c>
      <c r="L3988" t="str">
        <f>_xlfn.XLOOKUP(K3988,[2]analyte_order!$B:$B,[2]analyte_order!$C:$C)</f>
        <v>914637-49-3</v>
      </c>
      <c r="M3988">
        <f>_xlfn.XLOOKUP(L3988,[2]analyte_order!$C:$C,[2]analyte_order!$E:$E)</f>
        <v>39</v>
      </c>
      <c r="N3988">
        <v>2.96</v>
      </c>
    </row>
    <row r="3989" spans="1:14">
      <c r="A3989" t="s">
        <v>221</v>
      </c>
      <c r="B3989" t="str">
        <f>_xlfn.XLOOKUP(A3989,'[1]Tissue Data'!$A:$A,'[1]Tissue Data'!$C:$C)</f>
        <v>Spill</v>
      </c>
      <c r="C3989" s="2">
        <f>_xlfn.XLOOKUP(A3989,'[1]Tissue Data'!$A:$A,'[1]Tissue Data'!$D:$D)</f>
        <v>44314</v>
      </c>
      <c r="D3989" s="2" t="str">
        <f>_xlfn.XLOOKUP(A3989,'[1]Tissue Data'!$A:$A,'[1]Tissue Data'!$F:$F)</f>
        <v>Margined Madtom</v>
      </c>
      <c r="E3989" t="str">
        <f>_xlfn.XLOOKUP(A3989,'[1]Tissue Data'!$A:$A,'[1]Tissue Data'!$H:$H)</f>
        <v>Noturus</v>
      </c>
      <c r="F3989" t="str">
        <f>_xlfn.XLOOKUP(A3989,'[1]Tissue Data'!$A:$A,'[1]Tissue Data'!$I:$I)</f>
        <v>insignis</v>
      </c>
      <c r="G3989" t="str">
        <f>_xlfn.XLOOKUP(A3989,'[1]Tissue Data'!$A:$A,'[1]Tissue Data'!J:J)</f>
        <v>U</v>
      </c>
      <c r="H3989" t="str">
        <f>_xlfn.XLOOKUP(A3989,'[1]Tissue Data'!$A:$A,'[1]Tissue Data'!K:K)</f>
        <v>Whole Body</v>
      </c>
      <c r="I3989">
        <f>_xlfn.XLOOKUP(A3989,'[1]Tissue Data'!$A:$A,'[1]Tissue Data'!L:L)</f>
        <v>12</v>
      </c>
      <c r="J3989">
        <f>_xlfn.XLOOKUP(A3989,'[1]Tissue Data'!$A:$A,'[1]Tissue Data'!M:M)</f>
        <v>15.8</v>
      </c>
      <c r="K3989" t="s">
        <v>49</v>
      </c>
      <c r="L3989" t="str">
        <f>_xlfn.XLOOKUP(K3989,[2]analyte_order!$B:$B,[2]analyte_order!$C:$C)</f>
        <v>812-70-4</v>
      </c>
      <c r="M3989">
        <f>_xlfn.XLOOKUP(L3989,[2]analyte_order!$C:$C,[2]analyte_order!$E:$E)</f>
        <v>40</v>
      </c>
      <c r="N3989">
        <v>8.51</v>
      </c>
    </row>
    <row r="3990" spans="1:14">
      <c r="A3990" t="s">
        <v>221</v>
      </c>
      <c r="B3990" t="str">
        <f>_xlfn.XLOOKUP(A3990,'[1]Tissue Data'!$A:$A,'[1]Tissue Data'!$C:$C)</f>
        <v>Spill</v>
      </c>
      <c r="C3990" s="2">
        <f>_xlfn.XLOOKUP(A3990,'[1]Tissue Data'!$A:$A,'[1]Tissue Data'!$D:$D)</f>
        <v>44314</v>
      </c>
      <c r="D3990" s="2" t="str">
        <f>_xlfn.XLOOKUP(A3990,'[1]Tissue Data'!$A:$A,'[1]Tissue Data'!$F:$F)</f>
        <v>Margined Madtom</v>
      </c>
      <c r="E3990" t="str">
        <f>_xlfn.XLOOKUP(A3990,'[1]Tissue Data'!$A:$A,'[1]Tissue Data'!$H:$H)</f>
        <v>Noturus</v>
      </c>
      <c r="F3990" t="str">
        <f>_xlfn.XLOOKUP(A3990,'[1]Tissue Data'!$A:$A,'[1]Tissue Data'!$I:$I)</f>
        <v>insignis</v>
      </c>
      <c r="G3990" t="str">
        <f>_xlfn.XLOOKUP(A3990,'[1]Tissue Data'!$A:$A,'[1]Tissue Data'!J:J)</f>
        <v>U</v>
      </c>
      <c r="H3990" t="str">
        <f>_xlfn.XLOOKUP(A3990,'[1]Tissue Data'!$A:$A,'[1]Tissue Data'!K:K)</f>
        <v>Whole Body</v>
      </c>
      <c r="I3990">
        <f>_xlfn.XLOOKUP(A3990,'[1]Tissue Data'!$A:$A,'[1]Tissue Data'!L:L)</f>
        <v>12</v>
      </c>
      <c r="J3990">
        <f>_xlfn.XLOOKUP(A3990,'[1]Tissue Data'!$A:$A,'[1]Tissue Data'!M:M)</f>
        <v>15.8</v>
      </c>
      <c r="K3990" t="s">
        <v>50</v>
      </c>
      <c r="L3990" t="str">
        <f>_xlfn.XLOOKUP(K3990,[2]analyte_order!$B:$B,[2]analyte_order!$C:$C)</f>
        <v>53826-12-3</v>
      </c>
      <c r="M3990">
        <f>_xlfn.XLOOKUP(L3990,[2]analyte_order!$C:$C,[2]analyte_order!$E:$E)</f>
        <v>41</v>
      </c>
      <c r="N3990">
        <v>6.9000000000000006E-2</v>
      </c>
    </row>
    <row r="3991" spans="1:14">
      <c r="A3991" t="s">
        <v>221</v>
      </c>
      <c r="B3991" t="str">
        <f>_xlfn.XLOOKUP(A3991,'[1]Tissue Data'!$A:$A,'[1]Tissue Data'!$C:$C)</f>
        <v>Spill</v>
      </c>
      <c r="C3991" s="2">
        <f>_xlfn.XLOOKUP(A3991,'[1]Tissue Data'!$A:$A,'[1]Tissue Data'!$D:$D)</f>
        <v>44314</v>
      </c>
      <c r="D3991" s="2" t="str">
        <f>_xlfn.XLOOKUP(A3991,'[1]Tissue Data'!$A:$A,'[1]Tissue Data'!$F:$F)</f>
        <v>Margined Madtom</v>
      </c>
      <c r="E3991" t="str">
        <f>_xlfn.XLOOKUP(A3991,'[1]Tissue Data'!$A:$A,'[1]Tissue Data'!$H:$H)</f>
        <v>Noturus</v>
      </c>
      <c r="F3991" t="str">
        <f>_xlfn.XLOOKUP(A3991,'[1]Tissue Data'!$A:$A,'[1]Tissue Data'!$I:$I)</f>
        <v>insignis</v>
      </c>
      <c r="G3991" t="str">
        <f>_xlfn.XLOOKUP(A3991,'[1]Tissue Data'!$A:$A,'[1]Tissue Data'!J:J)</f>
        <v>U</v>
      </c>
      <c r="H3991" t="str">
        <f>_xlfn.XLOOKUP(A3991,'[1]Tissue Data'!$A:$A,'[1]Tissue Data'!K:K)</f>
        <v>Whole Body</v>
      </c>
      <c r="I3991">
        <f>_xlfn.XLOOKUP(A3991,'[1]Tissue Data'!$A:$A,'[1]Tissue Data'!L:L)</f>
        <v>12</v>
      </c>
      <c r="J3991">
        <f>_xlfn.XLOOKUP(A3991,'[1]Tissue Data'!$A:$A,'[1]Tissue Data'!M:M)</f>
        <v>15.8</v>
      </c>
      <c r="K3991" t="s">
        <v>51</v>
      </c>
      <c r="L3991" t="str">
        <f>_xlfn.XLOOKUP(K3991,[2]analyte_order!$B:$B,[2]analyte_order!$C:$C)</f>
        <v>27854-31-5</v>
      </c>
      <c r="M3991">
        <f>_xlfn.XLOOKUP(L3991,[2]analyte_order!$C:$C,[2]analyte_order!$E:$E)</f>
        <v>42</v>
      </c>
      <c r="N3991">
        <v>6.9000000000000006E-2</v>
      </c>
    </row>
    <row r="3992" spans="1:14">
      <c r="A3992" t="s">
        <v>221</v>
      </c>
      <c r="B3992" t="str">
        <f>_xlfn.XLOOKUP(A3992,'[1]Tissue Data'!$A:$A,'[1]Tissue Data'!$C:$C)</f>
        <v>Spill</v>
      </c>
      <c r="C3992" s="2">
        <f>_xlfn.XLOOKUP(A3992,'[1]Tissue Data'!$A:$A,'[1]Tissue Data'!$D:$D)</f>
        <v>44314</v>
      </c>
      <c r="D3992" s="2" t="str">
        <f>_xlfn.XLOOKUP(A3992,'[1]Tissue Data'!$A:$A,'[1]Tissue Data'!$F:$F)</f>
        <v>Margined Madtom</v>
      </c>
      <c r="E3992" t="str">
        <f>_xlfn.XLOOKUP(A3992,'[1]Tissue Data'!$A:$A,'[1]Tissue Data'!$H:$H)</f>
        <v>Noturus</v>
      </c>
      <c r="F3992" t="str">
        <f>_xlfn.XLOOKUP(A3992,'[1]Tissue Data'!$A:$A,'[1]Tissue Data'!$I:$I)</f>
        <v>insignis</v>
      </c>
      <c r="G3992" t="str">
        <f>_xlfn.XLOOKUP(A3992,'[1]Tissue Data'!$A:$A,'[1]Tissue Data'!J:J)</f>
        <v>U</v>
      </c>
      <c r="H3992" t="str">
        <f>_xlfn.XLOOKUP(A3992,'[1]Tissue Data'!$A:$A,'[1]Tissue Data'!K:K)</f>
        <v>Whole Body</v>
      </c>
      <c r="I3992">
        <f>_xlfn.XLOOKUP(A3992,'[1]Tissue Data'!$A:$A,'[1]Tissue Data'!L:L)</f>
        <v>12</v>
      </c>
      <c r="J3992">
        <f>_xlfn.XLOOKUP(A3992,'[1]Tissue Data'!$A:$A,'[1]Tissue Data'!M:M)</f>
        <v>15.8</v>
      </c>
      <c r="K3992" t="s">
        <v>52</v>
      </c>
      <c r="L3992" t="str">
        <f>_xlfn.XLOOKUP(K3992,[2]analyte_order!$B:$B,[2]analyte_order!$C:$C)</f>
        <v>53826-13-4</v>
      </c>
      <c r="M3992">
        <f>_xlfn.XLOOKUP(L3992,[2]analyte_order!$C:$C,[2]analyte_order!$E:$E)</f>
        <v>43</v>
      </c>
      <c r="N3992">
        <v>0.77500000000000002</v>
      </c>
    </row>
    <row r="3993" spans="1:14">
      <c r="A3993" t="s">
        <v>221</v>
      </c>
      <c r="B3993" t="str">
        <f>_xlfn.XLOOKUP(A3993,'[1]Tissue Data'!$A:$A,'[1]Tissue Data'!$C:$C)</f>
        <v>Spill</v>
      </c>
      <c r="C3993" s="2">
        <f>_xlfn.XLOOKUP(A3993,'[1]Tissue Data'!$A:$A,'[1]Tissue Data'!$D:$D)</f>
        <v>44314</v>
      </c>
      <c r="D3993" s="2" t="str">
        <f>_xlfn.XLOOKUP(A3993,'[1]Tissue Data'!$A:$A,'[1]Tissue Data'!$F:$F)</f>
        <v>Margined Madtom</v>
      </c>
      <c r="E3993" t="str">
        <f>_xlfn.XLOOKUP(A3993,'[1]Tissue Data'!$A:$A,'[1]Tissue Data'!$H:$H)</f>
        <v>Noturus</v>
      </c>
      <c r="F3993" t="str">
        <f>_xlfn.XLOOKUP(A3993,'[1]Tissue Data'!$A:$A,'[1]Tissue Data'!$I:$I)</f>
        <v>insignis</v>
      </c>
      <c r="G3993" t="str">
        <f>_xlfn.XLOOKUP(A3993,'[1]Tissue Data'!$A:$A,'[1]Tissue Data'!J:J)</f>
        <v>U</v>
      </c>
      <c r="H3993" t="str">
        <f>_xlfn.XLOOKUP(A3993,'[1]Tissue Data'!$A:$A,'[1]Tissue Data'!K:K)</f>
        <v>Whole Body</v>
      </c>
      <c r="I3993">
        <f>_xlfn.XLOOKUP(A3993,'[1]Tissue Data'!$A:$A,'[1]Tissue Data'!L:L)</f>
        <v>12</v>
      </c>
      <c r="J3993">
        <f>_xlfn.XLOOKUP(A3993,'[1]Tissue Data'!$A:$A,'[1]Tissue Data'!M:M)</f>
        <v>15.8</v>
      </c>
      <c r="K3993" t="s">
        <v>53</v>
      </c>
      <c r="L3993" t="str">
        <f>_xlfn.XLOOKUP(K3993,[2]analyte_order!$B:$B,[2]analyte_order!$C:$C)</f>
        <v>161094-75-3</v>
      </c>
      <c r="M3993">
        <f>_xlfn.XLOOKUP(L3993,[2]analyte_order!$C:$C,[2]analyte_order!$E:$E)</f>
        <v>44</v>
      </c>
      <c r="N3993">
        <v>5.3999999999999999E-2</v>
      </c>
    </row>
    <row r="3994" spans="1:14">
      <c r="A3994" t="s">
        <v>221</v>
      </c>
      <c r="B3994" t="str">
        <f>_xlfn.XLOOKUP(A3994,'[1]Tissue Data'!$A:$A,'[1]Tissue Data'!$C:$C)</f>
        <v>Spill</v>
      </c>
      <c r="C3994" s="2">
        <f>_xlfn.XLOOKUP(A3994,'[1]Tissue Data'!$A:$A,'[1]Tissue Data'!$D:$D)</f>
        <v>44314</v>
      </c>
      <c r="D3994" s="2" t="str">
        <f>_xlfn.XLOOKUP(A3994,'[1]Tissue Data'!$A:$A,'[1]Tissue Data'!$F:$F)</f>
        <v>Margined Madtom</v>
      </c>
      <c r="E3994" t="str">
        <f>_xlfn.XLOOKUP(A3994,'[1]Tissue Data'!$A:$A,'[1]Tissue Data'!$H:$H)</f>
        <v>Noturus</v>
      </c>
      <c r="F3994" t="str">
        <f>_xlfn.XLOOKUP(A3994,'[1]Tissue Data'!$A:$A,'[1]Tissue Data'!$I:$I)</f>
        <v>insignis</v>
      </c>
      <c r="G3994" t="str">
        <f>_xlfn.XLOOKUP(A3994,'[1]Tissue Data'!$A:$A,'[1]Tissue Data'!J:J)</f>
        <v>U</v>
      </c>
      <c r="H3994" t="str">
        <f>_xlfn.XLOOKUP(A3994,'[1]Tissue Data'!$A:$A,'[1]Tissue Data'!K:K)</f>
        <v>Whole Body</v>
      </c>
      <c r="I3994">
        <f>_xlfn.XLOOKUP(A3994,'[1]Tissue Data'!$A:$A,'[1]Tissue Data'!L:L)</f>
        <v>12</v>
      </c>
      <c r="J3994">
        <f>_xlfn.XLOOKUP(A3994,'[1]Tissue Data'!$A:$A,'[1]Tissue Data'!M:M)</f>
        <v>15.8</v>
      </c>
      <c r="K3994" t="s">
        <v>54</v>
      </c>
      <c r="L3994" t="str">
        <f>_xlfn.XLOOKUP(K3994,[2]analyte_order!$B:$B,[2]analyte_order!$C:$C)</f>
        <v>70887-84-2</v>
      </c>
      <c r="M3994">
        <f>_xlfn.XLOOKUP(L3994,[2]analyte_order!$C:$C,[2]analyte_order!$E:$E)</f>
        <v>45</v>
      </c>
      <c r="N3994">
        <v>4.1799999999999997E-2</v>
      </c>
    </row>
    <row r="3995" spans="1:14">
      <c r="A3995" t="s">
        <v>221</v>
      </c>
      <c r="B3995" t="str">
        <f>_xlfn.XLOOKUP(A3995,'[1]Tissue Data'!$A:$A,'[1]Tissue Data'!$C:$C)</f>
        <v>Spill</v>
      </c>
      <c r="C3995" s="2">
        <f>_xlfn.XLOOKUP(A3995,'[1]Tissue Data'!$A:$A,'[1]Tissue Data'!$D:$D)</f>
        <v>44314</v>
      </c>
      <c r="D3995" s="2" t="str">
        <f>_xlfn.XLOOKUP(A3995,'[1]Tissue Data'!$A:$A,'[1]Tissue Data'!$F:$F)</f>
        <v>Margined Madtom</v>
      </c>
      <c r="E3995" t="str">
        <f>_xlfn.XLOOKUP(A3995,'[1]Tissue Data'!$A:$A,'[1]Tissue Data'!$H:$H)</f>
        <v>Noturus</v>
      </c>
      <c r="F3995" t="str">
        <f>_xlfn.XLOOKUP(A3995,'[1]Tissue Data'!$A:$A,'[1]Tissue Data'!$I:$I)</f>
        <v>insignis</v>
      </c>
      <c r="G3995" t="str">
        <f>_xlfn.XLOOKUP(A3995,'[1]Tissue Data'!$A:$A,'[1]Tissue Data'!J:J)</f>
        <v>U</v>
      </c>
      <c r="H3995" t="str">
        <f>_xlfn.XLOOKUP(A3995,'[1]Tissue Data'!$A:$A,'[1]Tissue Data'!K:K)</f>
        <v>Whole Body</v>
      </c>
      <c r="I3995">
        <f>_xlfn.XLOOKUP(A3995,'[1]Tissue Data'!$A:$A,'[1]Tissue Data'!L:L)</f>
        <v>12</v>
      </c>
      <c r="J3995">
        <f>_xlfn.XLOOKUP(A3995,'[1]Tissue Data'!$A:$A,'[1]Tissue Data'!M:M)</f>
        <v>15.8</v>
      </c>
      <c r="K3995" t="s">
        <v>55</v>
      </c>
      <c r="L3995" t="str">
        <f>_xlfn.XLOOKUP(K3995,[2]analyte_order!$B:$B,[2]analyte_order!$C:$C)</f>
        <v>919005-14-4</v>
      </c>
      <c r="M3995">
        <f>_xlfn.XLOOKUP(L3995,[2]analyte_order!$C:$C,[2]analyte_order!$E:$E)</f>
        <v>35</v>
      </c>
      <c r="N3995">
        <v>6.9000000000000006E-2</v>
      </c>
    </row>
    <row r="3996" spans="1:14">
      <c r="A3996" t="s">
        <v>221</v>
      </c>
      <c r="B3996" t="str">
        <f>_xlfn.XLOOKUP(A3996,'[1]Tissue Data'!$A:$A,'[1]Tissue Data'!$C:$C)</f>
        <v>Spill</v>
      </c>
      <c r="C3996" s="2">
        <f>_xlfn.XLOOKUP(A3996,'[1]Tissue Data'!$A:$A,'[1]Tissue Data'!$D:$D)</f>
        <v>44314</v>
      </c>
      <c r="D3996" s="2" t="str">
        <f>_xlfn.XLOOKUP(A3996,'[1]Tissue Data'!$A:$A,'[1]Tissue Data'!$F:$F)</f>
        <v>Margined Madtom</v>
      </c>
      <c r="E3996" t="str">
        <f>_xlfn.XLOOKUP(A3996,'[1]Tissue Data'!$A:$A,'[1]Tissue Data'!$H:$H)</f>
        <v>Noturus</v>
      </c>
      <c r="F3996" t="str">
        <f>_xlfn.XLOOKUP(A3996,'[1]Tissue Data'!$A:$A,'[1]Tissue Data'!$I:$I)</f>
        <v>insignis</v>
      </c>
      <c r="G3996" t="str">
        <f>_xlfn.XLOOKUP(A3996,'[1]Tissue Data'!$A:$A,'[1]Tissue Data'!J:J)</f>
        <v>U</v>
      </c>
      <c r="H3996" t="str">
        <f>_xlfn.XLOOKUP(A3996,'[1]Tissue Data'!$A:$A,'[1]Tissue Data'!K:K)</f>
        <v>Whole Body</v>
      </c>
      <c r="I3996">
        <f>_xlfn.XLOOKUP(A3996,'[1]Tissue Data'!$A:$A,'[1]Tissue Data'!L:L)</f>
        <v>12</v>
      </c>
      <c r="J3996">
        <f>_xlfn.XLOOKUP(A3996,'[1]Tissue Data'!$A:$A,'[1]Tissue Data'!M:M)</f>
        <v>15.8</v>
      </c>
      <c r="K3996" t="s">
        <v>56</v>
      </c>
      <c r="L3996" t="str">
        <f>_xlfn.XLOOKUP(K3996,[2]analyte_order!$B:$B,[2]analyte_order!$C:$C)</f>
        <v>756426-58-1</v>
      </c>
      <c r="M3996">
        <f>_xlfn.XLOOKUP(L3996,[2]analyte_order!$C:$C,[2]analyte_order!$E:$E)</f>
        <v>36</v>
      </c>
      <c r="N3996">
        <v>6.9000000000000006E-2</v>
      </c>
    </row>
    <row r="3997" spans="1:14">
      <c r="A3997" t="s">
        <v>221</v>
      </c>
      <c r="B3997" t="str">
        <f>_xlfn.XLOOKUP(A3997,'[1]Tissue Data'!$A:$A,'[1]Tissue Data'!$C:$C)</f>
        <v>Spill</v>
      </c>
      <c r="C3997" s="2">
        <f>_xlfn.XLOOKUP(A3997,'[1]Tissue Data'!$A:$A,'[1]Tissue Data'!$D:$D)</f>
        <v>44314</v>
      </c>
      <c r="D3997" s="2" t="str">
        <f>_xlfn.XLOOKUP(A3997,'[1]Tissue Data'!$A:$A,'[1]Tissue Data'!$F:$F)</f>
        <v>Margined Madtom</v>
      </c>
      <c r="E3997" t="str">
        <f>_xlfn.XLOOKUP(A3997,'[1]Tissue Data'!$A:$A,'[1]Tissue Data'!$H:$H)</f>
        <v>Noturus</v>
      </c>
      <c r="F3997" t="str">
        <f>_xlfn.XLOOKUP(A3997,'[1]Tissue Data'!$A:$A,'[1]Tissue Data'!$I:$I)</f>
        <v>insignis</v>
      </c>
      <c r="G3997" t="str">
        <f>_xlfn.XLOOKUP(A3997,'[1]Tissue Data'!$A:$A,'[1]Tissue Data'!J:J)</f>
        <v>U</v>
      </c>
      <c r="H3997" t="str">
        <f>_xlfn.XLOOKUP(A3997,'[1]Tissue Data'!$A:$A,'[1]Tissue Data'!K:K)</f>
        <v>Whole Body</v>
      </c>
      <c r="I3997">
        <f>_xlfn.XLOOKUP(A3997,'[1]Tissue Data'!$A:$A,'[1]Tissue Data'!L:L)</f>
        <v>12</v>
      </c>
      <c r="J3997">
        <f>_xlfn.XLOOKUP(A3997,'[1]Tissue Data'!$A:$A,'[1]Tissue Data'!M:M)</f>
        <v>15.8</v>
      </c>
      <c r="K3997" t="s">
        <v>57</v>
      </c>
      <c r="L3997" t="str">
        <f>_xlfn.XLOOKUP(K3997,[2]analyte_order!$B:$B,[2]analyte_order!$C:$C)</f>
        <v>763051-92-9</v>
      </c>
      <c r="M3997">
        <f>_xlfn.XLOOKUP(L3997,[2]analyte_order!$C:$C,[2]analyte_order!$E:$E)</f>
        <v>37</v>
      </c>
      <c r="N3997">
        <v>6.9000000000000006E-2</v>
      </c>
    </row>
    <row r="3998" spans="1:14">
      <c r="A3998" t="s">
        <v>221</v>
      </c>
      <c r="B3998" t="str">
        <f>_xlfn.XLOOKUP(A3998,'[1]Tissue Data'!$A:$A,'[1]Tissue Data'!$C:$C)</f>
        <v>Spill</v>
      </c>
      <c r="C3998" s="2">
        <f>_xlfn.XLOOKUP(A3998,'[1]Tissue Data'!$A:$A,'[1]Tissue Data'!$D:$D)</f>
        <v>44314</v>
      </c>
      <c r="D3998" s="2" t="str">
        <f>_xlfn.XLOOKUP(A3998,'[1]Tissue Data'!$A:$A,'[1]Tissue Data'!$F:$F)</f>
        <v>Margined Madtom</v>
      </c>
      <c r="E3998" t="str">
        <f>_xlfn.XLOOKUP(A3998,'[1]Tissue Data'!$A:$A,'[1]Tissue Data'!$H:$H)</f>
        <v>Noturus</v>
      </c>
      <c r="F3998" t="str">
        <f>_xlfn.XLOOKUP(A3998,'[1]Tissue Data'!$A:$A,'[1]Tissue Data'!$I:$I)</f>
        <v>insignis</v>
      </c>
      <c r="G3998" t="str">
        <f>_xlfn.XLOOKUP(A3998,'[1]Tissue Data'!$A:$A,'[1]Tissue Data'!J:J)</f>
        <v>U</v>
      </c>
      <c r="H3998" t="str">
        <f>_xlfn.XLOOKUP(A3998,'[1]Tissue Data'!$A:$A,'[1]Tissue Data'!K:K)</f>
        <v>Whole Body</v>
      </c>
      <c r="I3998">
        <f>_xlfn.XLOOKUP(A3998,'[1]Tissue Data'!$A:$A,'[1]Tissue Data'!L:L)</f>
        <v>12</v>
      </c>
      <c r="J3998">
        <f>_xlfn.XLOOKUP(A3998,'[1]Tissue Data'!$A:$A,'[1]Tissue Data'!M:M)</f>
        <v>15.8</v>
      </c>
      <c r="K3998" t="s">
        <v>58</v>
      </c>
      <c r="L3998" t="str">
        <f>_xlfn.XLOOKUP(K3998,[2]analyte_order!$B:$B,[2]analyte_order!$C:$C)</f>
        <v>13252-13-6</v>
      </c>
      <c r="M3998">
        <f>_xlfn.XLOOKUP(L3998,[2]analyte_order!$C:$C,[2]analyte_order!$E:$E)</f>
        <v>34</v>
      </c>
      <c r="N3998">
        <v>9.9000000000000005E-2</v>
      </c>
    </row>
    <row r="3999" spans="1:14">
      <c r="A3999" t="s">
        <v>221</v>
      </c>
      <c r="B3999" t="str">
        <f>_xlfn.XLOOKUP(A3999,'[1]Tissue Data'!$A:$A,'[1]Tissue Data'!$C:$C)</f>
        <v>Spill</v>
      </c>
      <c r="C3999" s="2">
        <f>_xlfn.XLOOKUP(A3999,'[1]Tissue Data'!$A:$A,'[1]Tissue Data'!$D:$D)</f>
        <v>44314</v>
      </c>
      <c r="D3999" s="2" t="str">
        <f>_xlfn.XLOOKUP(A3999,'[1]Tissue Data'!$A:$A,'[1]Tissue Data'!$F:$F)</f>
        <v>Margined Madtom</v>
      </c>
      <c r="E3999" t="str">
        <f>_xlfn.XLOOKUP(A3999,'[1]Tissue Data'!$A:$A,'[1]Tissue Data'!$H:$H)</f>
        <v>Noturus</v>
      </c>
      <c r="F3999" t="str">
        <f>_xlfn.XLOOKUP(A3999,'[1]Tissue Data'!$A:$A,'[1]Tissue Data'!$I:$I)</f>
        <v>insignis</v>
      </c>
      <c r="G3999" t="str">
        <f>_xlfn.XLOOKUP(A3999,'[1]Tissue Data'!$A:$A,'[1]Tissue Data'!J:J)</f>
        <v>U</v>
      </c>
      <c r="H3999" t="str">
        <f>_xlfn.XLOOKUP(A3999,'[1]Tissue Data'!$A:$A,'[1]Tissue Data'!K:K)</f>
        <v>Whole Body</v>
      </c>
      <c r="I3999">
        <f>_xlfn.XLOOKUP(A3999,'[1]Tissue Data'!$A:$A,'[1]Tissue Data'!L:L)</f>
        <v>12</v>
      </c>
      <c r="J3999">
        <f>_xlfn.XLOOKUP(A3999,'[1]Tissue Data'!$A:$A,'[1]Tissue Data'!M:M)</f>
        <v>15.8</v>
      </c>
      <c r="K3999" t="s">
        <v>59</v>
      </c>
      <c r="L3999" t="str">
        <f>_xlfn.XLOOKUP(K3999,[2]analyte_order!$B:$B,[2]analyte_order!$C:$C)</f>
        <v>57677-95-9</v>
      </c>
      <c r="M3999">
        <f>_xlfn.XLOOKUP(L3999,[2]analyte_order!$C:$C,[2]analyte_order!$E:$E)</f>
        <v>46</v>
      </c>
      <c r="N3999">
        <v>7.3499999999999996E-2</v>
      </c>
    </row>
    <row r="4000" spans="1:14">
      <c r="A4000" t="s">
        <v>221</v>
      </c>
      <c r="B4000" t="str">
        <f>_xlfn.XLOOKUP(A4000,'[1]Tissue Data'!$A:$A,'[1]Tissue Data'!$C:$C)</f>
        <v>Spill</v>
      </c>
      <c r="C4000" s="2">
        <f>_xlfn.XLOOKUP(A4000,'[1]Tissue Data'!$A:$A,'[1]Tissue Data'!$D:$D)</f>
        <v>44314</v>
      </c>
      <c r="D4000" s="2" t="str">
        <f>_xlfn.XLOOKUP(A4000,'[1]Tissue Data'!$A:$A,'[1]Tissue Data'!$F:$F)</f>
        <v>Margined Madtom</v>
      </c>
      <c r="E4000" t="str">
        <f>_xlfn.XLOOKUP(A4000,'[1]Tissue Data'!$A:$A,'[1]Tissue Data'!$H:$H)</f>
        <v>Noturus</v>
      </c>
      <c r="F4000" t="str">
        <f>_xlfn.XLOOKUP(A4000,'[1]Tissue Data'!$A:$A,'[1]Tissue Data'!$I:$I)</f>
        <v>insignis</v>
      </c>
      <c r="G4000" t="str">
        <f>_xlfn.XLOOKUP(A4000,'[1]Tissue Data'!$A:$A,'[1]Tissue Data'!J:J)</f>
        <v>U</v>
      </c>
      <c r="H4000" t="str">
        <f>_xlfn.XLOOKUP(A4000,'[1]Tissue Data'!$A:$A,'[1]Tissue Data'!K:K)</f>
        <v>Whole Body</v>
      </c>
      <c r="I4000">
        <f>_xlfn.XLOOKUP(A4000,'[1]Tissue Data'!$A:$A,'[1]Tissue Data'!L:L)</f>
        <v>12</v>
      </c>
      <c r="J4000">
        <f>_xlfn.XLOOKUP(A4000,'[1]Tissue Data'!$A:$A,'[1]Tissue Data'!M:M)</f>
        <v>15.8</v>
      </c>
      <c r="K4000" t="s">
        <v>60</v>
      </c>
      <c r="L4000" t="str">
        <f>_xlfn.XLOOKUP(K4000,[2]analyte_order!$B:$B,[2]analyte_order!$C:$C)</f>
        <v>678-41-1</v>
      </c>
      <c r="M4000">
        <f>_xlfn.XLOOKUP(L4000,[2]analyte_order!$C:$C,[2]analyte_order!$E:$E)</f>
        <v>56</v>
      </c>
      <c r="N4000">
        <v>9.1499999999999998E-2</v>
      </c>
    </row>
    <row r="4001" spans="1:14">
      <c r="A4001" t="s">
        <v>221</v>
      </c>
      <c r="B4001" t="str">
        <f>_xlfn.XLOOKUP(A4001,'[1]Tissue Data'!$A:$A,'[1]Tissue Data'!$C:$C)</f>
        <v>Spill</v>
      </c>
      <c r="C4001" s="2">
        <f>_xlfn.XLOOKUP(A4001,'[1]Tissue Data'!$A:$A,'[1]Tissue Data'!$D:$D)</f>
        <v>44314</v>
      </c>
      <c r="D4001" s="2" t="str">
        <f>_xlfn.XLOOKUP(A4001,'[1]Tissue Data'!$A:$A,'[1]Tissue Data'!$F:$F)</f>
        <v>Margined Madtom</v>
      </c>
      <c r="E4001" t="str">
        <f>_xlfn.XLOOKUP(A4001,'[1]Tissue Data'!$A:$A,'[1]Tissue Data'!$H:$H)</f>
        <v>Noturus</v>
      </c>
      <c r="F4001" t="str">
        <f>_xlfn.XLOOKUP(A4001,'[1]Tissue Data'!$A:$A,'[1]Tissue Data'!$I:$I)</f>
        <v>insignis</v>
      </c>
      <c r="G4001" t="str">
        <f>_xlfn.XLOOKUP(A4001,'[1]Tissue Data'!$A:$A,'[1]Tissue Data'!J:J)</f>
        <v>U</v>
      </c>
      <c r="H4001" t="str">
        <f>_xlfn.XLOOKUP(A4001,'[1]Tissue Data'!$A:$A,'[1]Tissue Data'!K:K)</f>
        <v>Whole Body</v>
      </c>
      <c r="I4001">
        <f>_xlfn.XLOOKUP(A4001,'[1]Tissue Data'!$A:$A,'[1]Tissue Data'!L:L)</f>
        <v>12</v>
      </c>
      <c r="J4001">
        <f>_xlfn.XLOOKUP(A4001,'[1]Tissue Data'!$A:$A,'[1]Tissue Data'!M:M)</f>
        <v>15.8</v>
      </c>
      <c r="K4001" t="s">
        <v>61</v>
      </c>
      <c r="L4001" t="str">
        <f>_xlfn.XLOOKUP(K4001,[2]analyte_order!$B:$B,[2]analyte_order!$C:$C)</f>
        <v>2965-52-8</v>
      </c>
      <c r="M4001">
        <f>_xlfn.XLOOKUP(L4001,[2]analyte_order!$C:$C,[2]analyte_order!$E:$E)</f>
        <v>57</v>
      </c>
      <c r="N4001">
        <v>0.1215</v>
      </c>
    </row>
    <row r="4002" spans="1:14">
      <c r="A4002" t="s">
        <v>113</v>
      </c>
      <c r="B4002" t="str">
        <f>_xlfn.XLOOKUP(A4002,'[1]Tissue Data'!$A:$A,'[1]Tissue Data'!$C:$C)</f>
        <v>Spill</v>
      </c>
      <c r="C4002" s="2">
        <f>_xlfn.XLOOKUP(A4002,'[1]Tissue Data'!$A:$A,'[1]Tissue Data'!$D:$D)</f>
        <v>44314</v>
      </c>
      <c r="D4002" s="2" t="str">
        <f>_xlfn.XLOOKUP(A4002,'[1]Tissue Data'!$A:$A,'[1]Tissue Data'!$F:$F)</f>
        <v>Banded Killifish</v>
      </c>
      <c r="E4002" t="str">
        <f>_xlfn.XLOOKUP(A4002,'[1]Tissue Data'!$A:$A,'[1]Tissue Data'!$H:$H)</f>
        <v>Fundulus</v>
      </c>
      <c r="F4002" t="str">
        <f>_xlfn.XLOOKUP(A4002,'[1]Tissue Data'!$A:$A,'[1]Tissue Data'!$I:$I)</f>
        <v>diaphanus</v>
      </c>
      <c r="G4002" t="str">
        <f>_xlfn.XLOOKUP(A4002,'[1]Tissue Data'!$A:$A,'[1]Tissue Data'!J:J)</f>
        <v>U</v>
      </c>
      <c r="H4002" t="str">
        <f>_xlfn.XLOOKUP(A4002,'[1]Tissue Data'!$A:$A,'[1]Tissue Data'!K:K)</f>
        <v>Whole Body</v>
      </c>
      <c r="I4002">
        <f>_xlfn.XLOOKUP(A4002,'[1]Tissue Data'!$A:$A,'[1]Tissue Data'!L:L)</f>
        <v>9</v>
      </c>
      <c r="J4002">
        <f>_xlfn.XLOOKUP(A4002,'[1]Tissue Data'!$A:$A,'[1]Tissue Data'!M:M)</f>
        <v>6.75</v>
      </c>
      <c r="K4002" t="s">
        <v>12</v>
      </c>
      <c r="L4002" t="str">
        <f>_xlfn.XLOOKUP(K4002,[2]analyte_order!$B:$B,[2]analyte_order!$C:$C)</f>
        <v>375-22-4</v>
      </c>
      <c r="M4002">
        <f>_xlfn.XLOOKUP(L4002,[2]analyte_order!$C:$C,[2]analyte_order!$E:$E)</f>
        <v>1</v>
      </c>
      <c r="N4002">
        <v>0.217</v>
      </c>
    </row>
    <row r="4003" spans="1:14">
      <c r="A4003" t="s">
        <v>113</v>
      </c>
      <c r="B4003" t="str">
        <f>_xlfn.XLOOKUP(A4003,'[1]Tissue Data'!$A:$A,'[1]Tissue Data'!$C:$C)</f>
        <v>Spill</v>
      </c>
      <c r="C4003" s="2">
        <f>_xlfn.XLOOKUP(A4003,'[1]Tissue Data'!$A:$A,'[1]Tissue Data'!$D:$D)</f>
        <v>44314</v>
      </c>
      <c r="D4003" s="2" t="str">
        <f>_xlfn.XLOOKUP(A4003,'[1]Tissue Data'!$A:$A,'[1]Tissue Data'!$F:$F)</f>
        <v>Banded Killifish</v>
      </c>
      <c r="E4003" t="str">
        <f>_xlfn.XLOOKUP(A4003,'[1]Tissue Data'!$A:$A,'[1]Tissue Data'!$H:$H)</f>
        <v>Fundulus</v>
      </c>
      <c r="F4003" t="str">
        <f>_xlfn.XLOOKUP(A4003,'[1]Tissue Data'!$A:$A,'[1]Tissue Data'!$I:$I)</f>
        <v>diaphanus</v>
      </c>
      <c r="G4003" t="str">
        <f>_xlfn.XLOOKUP(A4003,'[1]Tissue Data'!$A:$A,'[1]Tissue Data'!J:J)</f>
        <v>U</v>
      </c>
      <c r="H4003" t="str">
        <f>_xlfn.XLOOKUP(A4003,'[1]Tissue Data'!$A:$A,'[1]Tissue Data'!K:K)</f>
        <v>Whole Body</v>
      </c>
      <c r="I4003">
        <f>_xlfn.XLOOKUP(A4003,'[1]Tissue Data'!$A:$A,'[1]Tissue Data'!L:L)</f>
        <v>9</v>
      </c>
      <c r="J4003">
        <f>_xlfn.XLOOKUP(A4003,'[1]Tissue Data'!$A:$A,'[1]Tissue Data'!M:M)</f>
        <v>6.75</v>
      </c>
      <c r="K4003" t="s">
        <v>13</v>
      </c>
      <c r="L4003" t="str">
        <f>_xlfn.XLOOKUP(K4003,[2]analyte_order!$B:$B,[2]analyte_order!$C:$C)</f>
        <v>2706-90-3</v>
      </c>
      <c r="M4003">
        <f>_xlfn.XLOOKUP(L4003,[2]analyte_order!$C:$C,[2]analyte_order!$E:$E)</f>
        <v>2</v>
      </c>
      <c r="N4003">
        <v>4.6350000000000002E-2</v>
      </c>
    </row>
    <row r="4004" spans="1:14">
      <c r="A4004" t="s">
        <v>113</v>
      </c>
      <c r="B4004" t="str">
        <f>_xlfn.XLOOKUP(A4004,'[1]Tissue Data'!$A:$A,'[1]Tissue Data'!$C:$C)</f>
        <v>Spill</v>
      </c>
      <c r="C4004" s="2">
        <f>_xlfn.XLOOKUP(A4004,'[1]Tissue Data'!$A:$A,'[1]Tissue Data'!$D:$D)</f>
        <v>44314</v>
      </c>
      <c r="D4004" s="2" t="str">
        <f>_xlfn.XLOOKUP(A4004,'[1]Tissue Data'!$A:$A,'[1]Tissue Data'!$F:$F)</f>
        <v>Banded Killifish</v>
      </c>
      <c r="E4004" t="str">
        <f>_xlfn.XLOOKUP(A4004,'[1]Tissue Data'!$A:$A,'[1]Tissue Data'!$H:$H)</f>
        <v>Fundulus</v>
      </c>
      <c r="F4004" t="str">
        <f>_xlfn.XLOOKUP(A4004,'[1]Tissue Data'!$A:$A,'[1]Tissue Data'!$I:$I)</f>
        <v>diaphanus</v>
      </c>
      <c r="G4004" t="str">
        <f>_xlfn.XLOOKUP(A4004,'[1]Tissue Data'!$A:$A,'[1]Tissue Data'!J:J)</f>
        <v>U</v>
      </c>
      <c r="H4004" t="str">
        <f>_xlfn.XLOOKUP(A4004,'[1]Tissue Data'!$A:$A,'[1]Tissue Data'!K:K)</f>
        <v>Whole Body</v>
      </c>
      <c r="I4004">
        <f>_xlfn.XLOOKUP(A4004,'[1]Tissue Data'!$A:$A,'[1]Tissue Data'!L:L)</f>
        <v>9</v>
      </c>
      <c r="J4004">
        <f>_xlfn.XLOOKUP(A4004,'[1]Tissue Data'!$A:$A,'[1]Tissue Data'!M:M)</f>
        <v>6.75</v>
      </c>
      <c r="K4004" t="s">
        <v>14</v>
      </c>
      <c r="L4004" t="str">
        <f>_xlfn.XLOOKUP(K4004,[2]analyte_order!$B:$B,[2]analyte_order!$C:$C)</f>
        <v>307-24-4</v>
      </c>
      <c r="M4004">
        <f>_xlfn.XLOOKUP(L4004,[2]analyte_order!$C:$C,[2]analyte_order!$E:$E)</f>
        <v>3</v>
      </c>
      <c r="N4004">
        <v>0.11700000000000001</v>
      </c>
    </row>
    <row r="4005" spans="1:14">
      <c r="A4005" t="s">
        <v>113</v>
      </c>
      <c r="B4005" t="str">
        <f>_xlfn.XLOOKUP(A4005,'[1]Tissue Data'!$A:$A,'[1]Tissue Data'!$C:$C)</f>
        <v>Spill</v>
      </c>
      <c r="C4005" s="2">
        <f>_xlfn.XLOOKUP(A4005,'[1]Tissue Data'!$A:$A,'[1]Tissue Data'!$D:$D)</f>
        <v>44314</v>
      </c>
      <c r="D4005" s="2" t="str">
        <f>_xlfn.XLOOKUP(A4005,'[1]Tissue Data'!$A:$A,'[1]Tissue Data'!$F:$F)</f>
        <v>Banded Killifish</v>
      </c>
      <c r="E4005" t="str">
        <f>_xlfn.XLOOKUP(A4005,'[1]Tissue Data'!$A:$A,'[1]Tissue Data'!$H:$H)</f>
        <v>Fundulus</v>
      </c>
      <c r="F4005" t="str">
        <f>_xlfn.XLOOKUP(A4005,'[1]Tissue Data'!$A:$A,'[1]Tissue Data'!$I:$I)</f>
        <v>diaphanus</v>
      </c>
      <c r="G4005" t="str">
        <f>_xlfn.XLOOKUP(A4005,'[1]Tissue Data'!$A:$A,'[1]Tissue Data'!J:J)</f>
        <v>U</v>
      </c>
      <c r="H4005" t="str">
        <f>_xlfn.XLOOKUP(A4005,'[1]Tissue Data'!$A:$A,'[1]Tissue Data'!K:K)</f>
        <v>Whole Body</v>
      </c>
      <c r="I4005">
        <f>_xlfn.XLOOKUP(A4005,'[1]Tissue Data'!$A:$A,'[1]Tissue Data'!L:L)</f>
        <v>9</v>
      </c>
      <c r="J4005">
        <f>_xlfn.XLOOKUP(A4005,'[1]Tissue Data'!$A:$A,'[1]Tissue Data'!M:M)</f>
        <v>6.75</v>
      </c>
      <c r="K4005" t="s">
        <v>15</v>
      </c>
      <c r="L4005" t="str">
        <f>_xlfn.XLOOKUP(K4005,[2]analyte_order!$B:$B,[2]analyte_order!$C:$C)</f>
        <v>375-85-9</v>
      </c>
      <c r="M4005">
        <f>_xlfn.XLOOKUP(L4005,[2]analyte_order!$C:$C,[2]analyte_order!$E:$E)</f>
        <v>4</v>
      </c>
      <c r="N4005">
        <v>8.6999999999999994E-2</v>
      </c>
    </row>
    <row r="4006" spans="1:14">
      <c r="A4006" t="s">
        <v>113</v>
      </c>
      <c r="B4006" t="str">
        <f>_xlfn.XLOOKUP(A4006,'[1]Tissue Data'!$A:$A,'[1]Tissue Data'!$C:$C)</f>
        <v>Spill</v>
      </c>
      <c r="C4006" s="2">
        <f>_xlfn.XLOOKUP(A4006,'[1]Tissue Data'!$A:$A,'[1]Tissue Data'!$D:$D)</f>
        <v>44314</v>
      </c>
      <c r="D4006" s="2" t="str">
        <f>_xlfn.XLOOKUP(A4006,'[1]Tissue Data'!$A:$A,'[1]Tissue Data'!$F:$F)</f>
        <v>Banded Killifish</v>
      </c>
      <c r="E4006" t="str">
        <f>_xlfn.XLOOKUP(A4006,'[1]Tissue Data'!$A:$A,'[1]Tissue Data'!$H:$H)</f>
        <v>Fundulus</v>
      </c>
      <c r="F4006" t="str">
        <f>_xlfn.XLOOKUP(A4006,'[1]Tissue Data'!$A:$A,'[1]Tissue Data'!$I:$I)</f>
        <v>diaphanus</v>
      </c>
      <c r="G4006" t="str">
        <f>_xlfn.XLOOKUP(A4006,'[1]Tissue Data'!$A:$A,'[1]Tissue Data'!J:J)</f>
        <v>U</v>
      </c>
      <c r="H4006" t="str">
        <f>_xlfn.XLOOKUP(A4006,'[1]Tissue Data'!$A:$A,'[1]Tissue Data'!K:K)</f>
        <v>Whole Body</v>
      </c>
      <c r="I4006">
        <f>_xlfn.XLOOKUP(A4006,'[1]Tissue Data'!$A:$A,'[1]Tissue Data'!L:L)</f>
        <v>9</v>
      </c>
      <c r="J4006">
        <f>_xlfn.XLOOKUP(A4006,'[1]Tissue Data'!$A:$A,'[1]Tissue Data'!M:M)</f>
        <v>6.75</v>
      </c>
      <c r="K4006" t="s">
        <v>16</v>
      </c>
      <c r="L4006" t="str">
        <f>_xlfn.XLOOKUP(K4006,[2]analyte_order!$B:$B,[2]analyte_order!$C:$C)</f>
        <v>335-67-1</v>
      </c>
      <c r="M4006">
        <f>_xlfn.XLOOKUP(L4006,[2]analyte_order!$C:$C,[2]analyte_order!$E:$E)</f>
        <v>5</v>
      </c>
      <c r="N4006">
        <v>1.83</v>
      </c>
    </row>
    <row r="4007" spans="1:14">
      <c r="A4007" t="s">
        <v>113</v>
      </c>
      <c r="B4007" t="str">
        <f>_xlfn.XLOOKUP(A4007,'[1]Tissue Data'!$A:$A,'[1]Tissue Data'!$C:$C)</f>
        <v>Spill</v>
      </c>
      <c r="C4007" s="2">
        <f>_xlfn.XLOOKUP(A4007,'[1]Tissue Data'!$A:$A,'[1]Tissue Data'!$D:$D)</f>
        <v>44314</v>
      </c>
      <c r="D4007" s="2" t="str">
        <f>_xlfn.XLOOKUP(A4007,'[1]Tissue Data'!$A:$A,'[1]Tissue Data'!$F:$F)</f>
        <v>Banded Killifish</v>
      </c>
      <c r="E4007" t="str">
        <f>_xlfn.XLOOKUP(A4007,'[1]Tissue Data'!$A:$A,'[1]Tissue Data'!$H:$H)</f>
        <v>Fundulus</v>
      </c>
      <c r="F4007" t="str">
        <f>_xlfn.XLOOKUP(A4007,'[1]Tissue Data'!$A:$A,'[1]Tissue Data'!$I:$I)</f>
        <v>diaphanus</v>
      </c>
      <c r="G4007" t="str">
        <f>_xlfn.XLOOKUP(A4007,'[1]Tissue Data'!$A:$A,'[1]Tissue Data'!J:J)</f>
        <v>U</v>
      </c>
      <c r="H4007" t="str">
        <f>_xlfn.XLOOKUP(A4007,'[1]Tissue Data'!$A:$A,'[1]Tissue Data'!K:K)</f>
        <v>Whole Body</v>
      </c>
      <c r="I4007">
        <f>_xlfn.XLOOKUP(A4007,'[1]Tissue Data'!$A:$A,'[1]Tissue Data'!L:L)</f>
        <v>9</v>
      </c>
      <c r="J4007">
        <f>_xlfn.XLOOKUP(A4007,'[1]Tissue Data'!$A:$A,'[1]Tissue Data'!M:M)</f>
        <v>6.75</v>
      </c>
      <c r="K4007" t="s">
        <v>17</v>
      </c>
      <c r="L4007" t="str">
        <f>_xlfn.XLOOKUP(K4007,[2]analyte_order!$B:$B,[2]analyte_order!$C:$C)</f>
        <v>375-95-1</v>
      </c>
      <c r="M4007">
        <f>_xlfn.XLOOKUP(L4007,[2]analyte_order!$C:$C,[2]analyte_order!$E:$E)</f>
        <v>6</v>
      </c>
      <c r="N4007">
        <v>4.3899999999999997</v>
      </c>
    </row>
    <row r="4008" spans="1:14">
      <c r="A4008" t="s">
        <v>113</v>
      </c>
      <c r="B4008" t="str">
        <f>_xlfn.XLOOKUP(A4008,'[1]Tissue Data'!$A:$A,'[1]Tissue Data'!$C:$C)</f>
        <v>Spill</v>
      </c>
      <c r="C4008" s="2">
        <f>_xlfn.XLOOKUP(A4008,'[1]Tissue Data'!$A:$A,'[1]Tissue Data'!$D:$D)</f>
        <v>44314</v>
      </c>
      <c r="D4008" s="2" t="str">
        <f>_xlfn.XLOOKUP(A4008,'[1]Tissue Data'!$A:$A,'[1]Tissue Data'!$F:$F)</f>
        <v>Banded Killifish</v>
      </c>
      <c r="E4008" t="str">
        <f>_xlfn.XLOOKUP(A4008,'[1]Tissue Data'!$A:$A,'[1]Tissue Data'!$H:$H)</f>
        <v>Fundulus</v>
      </c>
      <c r="F4008" t="str">
        <f>_xlfn.XLOOKUP(A4008,'[1]Tissue Data'!$A:$A,'[1]Tissue Data'!$I:$I)</f>
        <v>diaphanus</v>
      </c>
      <c r="G4008" t="str">
        <f>_xlfn.XLOOKUP(A4008,'[1]Tissue Data'!$A:$A,'[1]Tissue Data'!J:J)</f>
        <v>U</v>
      </c>
      <c r="H4008" t="str">
        <f>_xlfn.XLOOKUP(A4008,'[1]Tissue Data'!$A:$A,'[1]Tissue Data'!K:K)</f>
        <v>Whole Body</v>
      </c>
      <c r="I4008">
        <f>_xlfn.XLOOKUP(A4008,'[1]Tissue Data'!$A:$A,'[1]Tissue Data'!L:L)</f>
        <v>9</v>
      </c>
      <c r="J4008">
        <f>_xlfn.XLOOKUP(A4008,'[1]Tissue Data'!$A:$A,'[1]Tissue Data'!M:M)</f>
        <v>6.75</v>
      </c>
      <c r="K4008" t="s">
        <v>18</v>
      </c>
      <c r="L4008" t="str">
        <f>_xlfn.XLOOKUP(K4008,[2]analyte_order!$B:$B,[2]analyte_order!$C:$C)</f>
        <v>335-76-2</v>
      </c>
      <c r="M4008">
        <f>_xlfn.XLOOKUP(L4008,[2]analyte_order!$C:$C,[2]analyte_order!$E:$E)</f>
        <v>7</v>
      </c>
      <c r="N4008">
        <v>6.11</v>
      </c>
    </row>
    <row r="4009" spans="1:14">
      <c r="A4009" t="s">
        <v>113</v>
      </c>
      <c r="B4009" t="str">
        <f>_xlfn.XLOOKUP(A4009,'[1]Tissue Data'!$A:$A,'[1]Tissue Data'!$C:$C)</f>
        <v>Spill</v>
      </c>
      <c r="C4009" s="2">
        <f>_xlfn.XLOOKUP(A4009,'[1]Tissue Data'!$A:$A,'[1]Tissue Data'!$D:$D)</f>
        <v>44314</v>
      </c>
      <c r="D4009" s="2" t="str">
        <f>_xlfn.XLOOKUP(A4009,'[1]Tissue Data'!$A:$A,'[1]Tissue Data'!$F:$F)</f>
        <v>Banded Killifish</v>
      </c>
      <c r="E4009" t="str">
        <f>_xlfn.XLOOKUP(A4009,'[1]Tissue Data'!$A:$A,'[1]Tissue Data'!$H:$H)</f>
        <v>Fundulus</v>
      </c>
      <c r="F4009" t="str">
        <f>_xlfn.XLOOKUP(A4009,'[1]Tissue Data'!$A:$A,'[1]Tissue Data'!$I:$I)</f>
        <v>diaphanus</v>
      </c>
      <c r="G4009" t="str">
        <f>_xlfn.XLOOKUP(A4009,'[1]Tissue Data'!$A:$A,'[1]Tissue Data'!J:J)</f>
        <v>U</v>
      </c>
      <c r="H4009" t="str">
        <f>_xlfn.XLOOKUP(A4009,'[1]Tissue Data'!$A:$A,'[1]Tissue Data'!K:K)</f>
        <v>Whole Body</v>
      </c>
      <c r="I4009">
        <f>_xlfn.XLOOKUP(A4009,'[1]Tissue Data'!$A:$A,'[1]Tissue Data'!L:L)</f>
        <v>9</v>
      </c>
      <c r="J4009">
        <f>_xlfn.XLOOKUP(A4009,'[1]Tissue Data'!$A:$A,'[1]Tissue Data'!M:M)</f>
        <v>6.75</v>
      </c>
      <c r="K4009" t="s">
        <v>19</v>
      </c>
      <c r="L4009" t="str">
        <f>_xlfn.XLOOKUP(K4009,[2]analyte_order!$B:$B,[2]analyte_order!$C:$C)</f>
        <v>2058-94-8</v>
      </c>
      <c r="M4009">
        <f>_xlfn.XLOOKUP(L4009,[2]analyte_order!$C:$C,[2]analyte_order!$E:$E)</f>
        <v>8</v>
      </c>
      <c r="N4009">
        <v>7.39</v>
      </c>
    </row>
    <row r="4010" spans="1:14">
      <c r="A4010" t="s">
        <v>113</v>
      </c>
      <c r="B4010" t="str">
        <f>_xlfn.XLOOKUP(A4010,'[1]Tissue Data'!$A:$A,'[1]Tissue Data'!$C:$C)</f>
        <v>Spill</v>
      </c>
      <c r="C4010" s="2">
        <f>_xlfn.XLOOKUP(A4010,'[1]Tissue Data'!$A:$A,'[1]Tissue Data'!$D:$D)</f>
        <v>44314</v>
      </c>
      <c r="D4010" s="2" t="str">
        <f>_xlfn.XLOOKUP(A4010,'[1]Tissue Data'!$A:$A,'[1]Tissue Data'!$F:$F)</f>
        <v>Banded Killifish</v>
      </c>
      <c r="E4010" t="str">
        <f>_xlfn.XLOOKUP(A4010,'[1]Tissue Data'!$A:$A,'[1]Tissue Data'!$H:$H)</f>
        <v>Fundulus</v>
      </c>
      <c r="F4010" t="str">
        <f>_xlfn.XLOOKUP(A4010,'[1]Tissue Data'!$A:$A,'[1]Tissue Data'!$I:$I)</f>
        <v>diaphanus</v>
      </c>
      <c r="G4010" t="str">
        <f>_xlfn.XLOOKUP(A4010,'[1]Tissue Data'!$A:$A,'[1]Tissue Data'!J:J)</f>
        <v>U</v>
      </c>
      <c r="H4010" t="str">
        <f>_xlfn.XLOOKUP(A4010,'[1]Tissue Data'!$A:$A,'[1]Tissue Data'!K:K)</f>
        <v>Whole Body</v>
      </c>
      <c r="I4010">
        <f>_xlfn.XLOOKUP(A4010,'[1]Tissue Data'!$A:$A,'[1]Tissue Data'!L:L)</f>
        <v>9</v>
      </c>
      <c r="J4010">
        <f>_xlfn.XLOOKUP(A4010,'[1]Tissue Data'!$A:$A,'[1]Tissue Data'!M:M)</f>
        <v>6.75</v>
      </c>
      <c r="K4010" t="s">
        <v>20</v>
      </c>
      <c r="L4010" t="str">
        <f>_xlfn.XLOOKUP(K4010,[2]analyte_order!$B:$B,[2]analyte_order!$C:$C)</f>
        <v>307-55-1</v>
      </c>
      <c r="M4010">
        <f>_xlfn.XLOOKUP(L4010,[2]analyte_order!$C:$C,[2]analyte_order!$E:$E)</f>
        <v>9</v>
      </c>
      <c r="N4010">
        <v>7.73</v>
      </c>
    </row>
    <row r="4011" spans="1:14">
      <c r="A4011" t="s">
        <v>113</v>
      </c>
      <c r="B4011" t="str">
        <f>_xlfn.XLOOKUP(A4011,'[1]Tissue Data'!$A:$A,'[1]Tissue Data'!$C:$C)</f>
        <v>Spill</v>
      </c>
      <c r="C4011" s="2">
        <f>_xlfn.XLOOKUP(A4011,'[1]Tissue Data'!$A:$A,'[1]Tissue Data'!$D:$D)</f>
        <v>44314</v>
      </c>
      <c r="D4011" s="2" t="str">
        <f>_xlfn.XLOOKUP(A4011,'[1]Tissue Data'!$A:$A,'[1]Tissue Data'!$F:$F)</f>
        <v>Banded Killifish</v>
      </c>
      <c r="E4011" t="str">
        <f>_xlfn.XLOOKUP(A4011,'[1]Tissue Data'!$A:$A,'[1]Tissue Data'!$H:$H)</f>
        <v>Fundulus</v>
      </c>
      <c r="F4011" t="str">
        <f>_xlfn.XLOOKUP(A4011,'[1]Tissue Data'!$A:$A,'[1]Tissue Data'!$I:$I)</f>
        <v>diaphanus</v>
      </c>
      <c r="G4011" t="str">
        <f>_xlfn.XLOOKUP(A4011,'[1]Tissue Data'!$A:$A,'[1]Tissue Data'!J:J)</f>
        <v>U</v>
      </c>
      <c r="H4011" t="str">
        <f>_xlfn.XLOOKUP(A4011,'[1]Tissue Data'!$A:$A,'[1]Tissue Data'!K:K)</f>
        <v>Whole Body</v>
      </c>
      <c r="I4011">
        <f>_xlfn.XLOOKUP(A4011,'[1]Tissue Data'!$A:$A,'[1]Tissue Data'!L:L)</f>
        <v>9</v>
      </c>
      <c r="J4011">
        <f>_xlfn.XLOOKUP(A4011,'[1]Tissue Data'!$A:$A,'[1]Tissue Data'!M:M)</f>
        <v>6.75</v>
      </c>
      <c r="K4011" t="s">
        <v>21</v>
      </c>
      <c r="L4011" t="str">
        <f>_xlfn.XLOOKUP(K4011,[2]analyte_order!$B:$B,[2]analyte_order!$C:$C)</f>
        <v>72629-94-8</v>
      </c>
      <c r="M4011">
        <f>_xlfn.XLOOKUP(L4011,[2]analyte_order!$C:$C,[2]analyte_order!$E:$E)</f>
        <v>10</v>
      </c>
      <c r="N4011">
        <v>2.4900000000000002</v>
      </c>
    </row>
    <row r="4012" spans="1:14">
      <c r="A4012" t="s">
        <v>113</v>
      </c>
      <c r="B4012" t="str">
        <f>_xlfn.XLOOKUP(A4012,'[1]Tissue Data'!$A:$A,'[1]Tissue Data'!$C:$C)</f>
        <v>Spill</v>
      </c>
      <c r="C4012" s="2">
        <f>_xlfn.XLOOKUP(A4012,'[1]Tissue Data'!$A:$A,'[1]Tissue Data'!$D:$D)</f>
        <v>44314</v>
      </c>
      <c r="D4012" s="2" t="str">
        <f>_xlfn.XLOOKUP(A4012,'[1]Tissue Data'!$A:$A,'[1]Tissue Data'!$F:$F)</f>
        <v>Banded Killifish</v>
      </c>
      <c r="E4012" t="str">
        <f>_xlfn.XLOOKUP(A4012,'[1]Tissue Data'!$A:$A,'[1]Tissue Data'!$H:$H)</f>
        <v>Fundulus</v>
      </c>
      <c r="F4012" t="str">
        <f>_xlfn.XLOOKUP(A4012,'[1]Tissue Data'!$A:$A,'[1]Tissue Data'!$I:$I)</f>
        <v>diaphanus</v>
      </c>
      <c r="G4012" t="str">
        <f>_xlfn.XLOOKUP(A4012,'[1]Tissue Data'!$A:$A,'[1]Tissue Data'!J:J)</f>
        <v>U</v>
      </c>
      <c r="H4012" t="str">
        <f>_xlfn.XLOOKUP(A4012,'[1]Tissue Data'!$A:$A,'[1]Tissue Data'!K:K)</f>
        <v>Whole Body</v>
      </c>
      <c r="I4012">
        <f>_xlfn.XLOOKUP(A4012,'[1]Tissue Data'!$A:$A,'[1]Tissue Data'!L:L)</f>
        <v>9</v>
      </c>
      <c r="J4012">
        <f>_xlfn.XLOOKUP(A4012,'[1]Tissue Data'!$A:$A,'[1]Tissue Data'!M:M)</f>
        <v>6.75</v>
      </c>
      <c r="K4012" t="s">
        <v>22</v>
      </c>
      <c r="L4012" t="str">
        <f>_xlfn.XLOOKUP(K4012,[2]analyte_order!$B:$B,[2]analyte_order!$C:$C)</f>
        <v>376-06-7</v>
      </c>
      <c r="M4012">
        <f>_xlfn.XLOOKUP(L4012,[2]analyte_order!$C:$C,[2]analyte_order!$E:$E)</f>
        <v>11</v>
      </c>
      <c r="N4012">
        <v>5.78</v>
      </c>
    </row>
    <row r="4013" spans="1:14">
      <c r="A4013" t="s">
        <v>113</v>
      </c>
      <c r="B4013" t="str">
        <f>_xlfn.XLOOKUP(A4013,'[1]Tissue Data'!$A:$A,'[1]Tissue Data'!$C:$C)</f>
        <v>Spill</v>
      </c>
      <c r="C4013" s="2">
        <f>_xlfn.XLOOKUP(A4013,'[1]Tissue Data'!$A:$A,'[1]Tissue Data'!$D:$D)</f>
        <v>44314</v>
      </c>
      <c r="D4013" s="2" t="str">
        <f>_xlfn.XLOOKUP(A4013,'[1]Tissue Data'!$A:$A,'[1]Tissue Data'!$F:$F)</f>
        <v>Banded Killifish</v>
      </c>
      <c r="E4013" t="str">
        <f>_xlfn.XLOOKUP(A4013,'[1]Tissue Data'!$A:$A,'[1]Tissue Data'!$H:$H)</f>
        <v>Fundulus</v>
      </c>
      <c r="F4013" t="str">
        <f>_xlfn.XLOOKUP(A4013,'[1]Tissue Data'!$A:$A,'[1]Tissue Data'!$I:$I)</f>
        <v>diaphanus</v>
      </c>
      <c r="G4013" t="str">
        <f>_xlfn.XLOOKUP(A4013,'[1]Tissue Data'!$A:$A,'[1]Tissue Data'!J:J)</f>
        <v>U</v>
      </c>
      <c r="H4013" t="str">
        <f>_xlfn.XLOOKUP(A4013,'[1]Tissue Data'!$A:$A,'[1]Tissue Data'!K:K)</f>
        <v>Whole Body</v>
      </c>
      <c r="I4013">
        <f>_xlfn.XLOOKUP(A4013,'[1]Tissue Data'!$A:$A,'[1]Tissue Data'!L:L)</f>
        <v>9</v>
      </c>
      <c r="J4013">
        <f>_xlfn.XLOOKUP(A4013,'[1]Tissue Data'!$A:$A,'[1]Tissue Data'!M:M)</f>
        <v>6.75</v>
      </c>
      <c r="K4013" t="s">
        <v>23</v>
      </c>
      <c r="L4013" t="str">
        <f>_xlfn.XLOOKUP(K4013,[2]analyte_order!$B:$B,[2]analyte_order!$C:$C)</f>
        <v>67905-19-5</v>
      </c>
      <c r="M4013">
        <f>_xlfn.XLOOKUP(L4013,[2]analyte_order!$C:$C,[2]analyte_order!$E:$E)</f>
        <v>12</v>
      </c>
      <c r="N4013">
        <v>7.85E-2</v>
      </c>
    </row>
    <row r="4014" spans="1:14">
      <c r="A4014" t="s">
        <v>113</v>
      </c>
      <c r="B4014" t="str">
        <f>_xlfn.XLOOKUP(A4014,'[1]Tissue Data'!$A:$A,'[1]Tissue Data'!$C:$C)</f>
        <v>Spill</v>
      </c>
      <c r="C4014" s="2">
        <f>_xlfn.XLOOKUP(A4014,'[1]Tissue Data'!$A:$A,'[1]Tissue Data'!$D:$D)</f>
        <v>44314</v>
      </c>
      <c r="D4014" s="2" t="str">
        <f>_xlfn.XLOOKUP(A4014,'[1]Tissue Data'!$A:$A,'[1]Tissue Data'!$F:$F)</f>
        <v>Banded Killifish</v>
      </c>
      <c r="E4014" t="str">
        <f>_xlfn.XLOOKUP(A4014,'[1]Tissue Data'!$A:$A,'[1]Tissue Data'!$H:$H)</f>
        <v>Fundulus</v>
      </c>
      <c r="F4014" t="str">
        <f>_xlfn.XLOOKUP(A4014,'[1]Tissue Data'!$A:$A,'[1]Tissue Data'!$I:$I)</f>
        <v>diaphanus</v>
      </c>
      <c r="G4014" t="str">
        <f>_xlfn.XLOOKUP(A4014,'[1]Tissue Data'!$A:$A,'[1]Tissue Data'!J:J)</f>
        <v>U</v>
      </c>
      <c r="H4014" t="str">
        <f>_xlfn.XLOOKUP(A4014,'[1]Tissue Data'!$A:$A,'[1]Tissue Data'!K:K)</f>
        <v>Whole Body</v>
      </c>
      <c r="I4014">
        <f>_xlfn.XLOOKUP(A4014,'[1]Tissue Data'!$A:$A,'[1]Tissue Data'!L:L)</f>
        <v>9</v>
      </c>
      <c r="J4014">
        <f>_xlfn.XLOOKUP(A4014,'[1]Tissue Data'!$A:$A,'[1]Tissue Data'!M:M)</f>
        <v>6.75</v>
      </c>
      <c r="K4014" t="s">
        <v>24</v>
      </c>
      <c r="L4014" t="str">
        <f>_xlfn.XLOOKUP(K4014,[2]analyte_order!$B:$B,[2]analyte_order!$C:$C)</f>
        <v>423-41-6</v>
      </c>
      <c r="M4014">
        <f>_xlfn.XLOOKUP(L4014,[2]analyte_order!$C:$C,[2]analyte_order!$E:$E)</f>
        <v>53</v>
      </c>
      <c r="N4014">
        <v>0.05</v>
      </c>
    </row>
    <row r="4015" spans="1:14">
      <c r="A4015" t="s">
        <v>113</v>
      </c>
      <c r="B4015" t="str">
        <f>_xlfn.XLOOKUP(A4015,'[1]Tissue Data'!$A:$A,'[1]Tissue Data'!$C:$C)</f>
        <v>Spill</v>
      </c>
      <c r="C4015" s="2">
        <f>_xlfn.XLOOKUP(A4015,'[1]Tissue Data'!$A:$A,'[1]Tissue Data'!$D:$D)</f>
        <v>44314</v>
      </c>
      <c r="D4015" s="2" t="str">
        <f>_xlfn.XLOOKUP(A4015,'[1]Tissue Data'!$A:$A,'[1]Tissue Data'!$F:$F)</f>
        <v>Banded Killifish</v>
      </c>
      <c r="E4015" t="str">
        <f>_xlfn.XLOOKUP(A4015,'[1]Tissue Data'!$A:$A,'[1]Tissue Data'!$H:$H)</f>
        <v>Fundulus</v>
      </c>
      <c r="F4015" t="str">
        <f>_xlfn.XLOOKUP(A4015,'[1]Tissue Data'!$A:$A,'[1]Tissue Data'!$I:$I)</f>
        <v>diaphanus</v>
      </c>
      <c r="G4015" t="str">
        <f>_xlfn.XLOOKUP(A4015,'[1]Tissue Data'!$A:$A,'[1]Tissue Data'!J:J)</f>
        <v>U</v>
      </c>
      <c r="H4015" t="str">
        <f>_xlfn.XLOOKUP(A4015,'[1]Tissue Data'!$A:$A,'[1]Tissue Data'!K:K)</f>
        <v>Whole Body</v>
      </c>
      <c r="I4015">
        <f>_xlfn.XLOOKUP(A4015,'[1]Tissue Data'!$A:$A,'[1]Tissue Data'!L:L)</f>
        <v>9</v>
      </c>
      <c r="J4015">
        <f>_xlfn.XLOOKUP(A4015,'[1]Tissue Data'!$A:$A,'[1]Tissue Data'!M:M)</f>
        <v>6.75</v>
      </c>
      <c r="K4015" t="s">
        <v>25</v>
      </c>
      <c r="L4015" t="str">
        <f>_xlfn.XLOOKUP(K4015,[2]analyte_order!$B:$B,[2]analyte_order!$C:$C)</f>
        <v>375-73-5</v>
      </c>
      <c r="M4015">
        <f>_xlfn.XLOOKUP(L4015,[2]analyte_order!$C:$C,[2]analyte_order!$E:$E)</f>
        <v>14</v>
      </c>
      <c r="N4015">
        <v>0.14749999999999999</v>
      </c>
    </row>
    <row r="4016" spans="1:14">
      <c r="A4016" t="s">
        <v>113</v>
      </c>
      <c r="B4016" t="str">
        <f>_xlfn.XLOOKUP(A4016,'[1]Tissue Data'!$A:$A,'[1]Tissue Data'!$C:$C)</f>
        <v>Spill</v>
      </c>
      <c r="C4016" s="2">
        <f>_xlfn.XLOOKUP(A4016,'[1]Tissue Data'!$A:$A,'[1]Tissue Data'!$D:$D)</f>
        <v>44314</v>
      </c>
      <c r="D4016" s="2" t="str">
        <f>_xlfn.XLOOKUP(A4016,'[1]Tissue Data'!$A:$A,'[1]Tissue Data'!$F:$F)</f>
        <v>Banded Killifish</v>
      </c>
      <c r="E4016" t="str">
        <f>_xlfn.XLOOKUP(A4016,'[1]Tissue Data'!$A:$A,'[1]Tissue Data'!$H:$H)</f>
        <v>Fundulus</v>
      </c>
      <c r="F4016" t="str">
        <f>_xlfn.XLOOKUP(A4016,'[1]Tissue Data'!$A:$A,'[1]Tissue Data'!$I:$I)</f>
        <v>diaphanus</v>
      </c>
      <c r="G4016" t="str">
        <f>_xlfn.XLOOKUP(A4016,'[1]Tissue Data'!$A:$A,'[1]Tissue Data'!J:J)</f>
        <v>U</v>
      </c>
      <c r="H4016" t="str">
        <f>_xlfn.XLOOKUP(A4016,'[1]Tissue Data'!$A:$A,'[1]Tissue Data'!K:K)</f>
        <v>Whole Body</v>
      </c>
      <c r="I4016">
        <f>_xlfn.XLOOKUP(A4016,'[1]Tissue Data'!$A:$A,'[1]Tissue Data'!L:L)</f>
        <v>9</v>
      </c>
      <c r="J4016">
        <f>_xlfn.XLOOKUP(A4016,'[1]Tissue Data'!$A:$A,'[1]Tissue Data'!M:M)</f>
        <v>6.75</v>
      </c>
      <c r="K4016" t="s">
        <v>26</v>
      </c>
      <c r="L4016" t="str">
        <f>_xlfn.XLOOKUP(K4016,[2]analyte_order!$B:$B,[2]analyte_order!$C:$C)</f>
        <v>2706-91-4</v>
      </c>
      <c r="M4016">
        <f>_xlfn.XLOOKUP(L4016,[2]analyte_order!$C:$C,[2]analyte_order!$E:$E)</f>
        <v>15</v>
      </c>
      <c r="N4016">
        <v>0.77900000000000003</v>
      </c>
    </row>
    <row r="4017" spans="1:14">
      <c r="A4017" t="s">
        <v>113</v>
      </c>
      <c r="B4017" t="str">
        <f>_xlfn.XLOOKUP(A4017,'[1]Tissue Data'!$A:$A,'[1]Tissue Data'!$C:$C)</f>
        <v>Spill</v>
      </c>
      <c r="C4017" s="2">
        <f>_xlfn.XLOOKUP(A4017,'[1]Tissue Data'!$A:$A,'[1]Tissue Data'!$D:$D)</f>
        <v>44314</v>
      </c>
      <c r="D4017" s="2" t="str">
        <f>_xlfn.XLOOKUP(A4017,'[1]Tissue Data'!$A:$A,'[1]Tissue Data'!$F:$F)</f>
        <v>Banded Killifish</v>
      </c>
      <c r="E4017" t="str">
        <f>_xlfn.XLOOKUP(A4017,'[1]Tissue Data'!$A:$A,'[1]Tissue Data'!$H:$H)</f>
        <v>Fundulus</v>
      </c>
      <c r="F4017" t="str">
        <f>_xlfn.XLOOKUP(A4017,'[1]Tissue Data'!$A:$A,'[1]Tissue Data'!$I:$I)</f>
        <v>diaphanus</v>
      </c>
      <c r="G4017" t="str">
        <f>_xlfn.XLOOKUP(A4017,'[1]Tissue Data'!$A:$A,'[1]Tissue Data'!J:J)</f>
        <v>U</v>
      </c>
      <c r="H4017" t="str">
        <f>_xlfn.XLOOKUP(A4017,'[1]Tissue Data'!$A:$A,'[1]Tissue Data'!K:K)</f>
        <v>Whole Body</v>
      </c>
      <c r="I4017">
        <f>_xlfn.XLOOKUP(A4017,'[1]Tissue Data'!$A:$A,'[1]Tissue Data'!L:L)</f>
        <v>9</v>
      </c>
      <c r="J4017">
        <f>_xlfn.XLOOKUP(A4017,'[1]Tissue Data'!$A:$A,'[1]Tissue Data'!M:M)</f>
        <v>6.75</v>
      </c>
      <c r="K4017" t="s">
        <v>27</v>
      </c>
      <c r="L4017" t="str">
        <f>_xlfn.XLOOKUP(K4017,[2]analyte_order!$B:$B,[2]analyte_order!$C:$C)</f>
        <v>355-46-4</v>
      </c>
      <c r="M4017">
        <f>_xlfn.XLOOKUP(L4017,[2]analyte_order!$C:$C,[2]analyte_order!$E:$E)</f>
        <v>16</v>
      </c>
      <c r="N4017">
        <v>35.1</v>
      </c>
    </row>
    <row r="4018" spans="1:14">
      <c r="A4018" t="s">
        <v>113</v>
      </c>
      <c r="B4018" t="str">
        <f>_xlfn.XLOOKUP(A4018,'[1]Tissue Data'!$A:$A,'[1]Tissue Data'!$C:$C)</f>
        <v>Spill</v>
      </c>
      <c r="C4018" s="2">
        <f>_xlfn.XLOOKUP(A4018,'[1]Tissue Data'!$A:$A,'[1]Tissue Data'!$D:$D)</f>
        <v>44314</v>
      </c>
      <c r="D4018" s="2" t="str">
        <f>_xlfn.XLOOKUP(A4018,'[1]Tissue Data'!$A:$A,'[1]Tissue Data'!$F:$F)</f>
        <v>Banded Killifish</v>
      </c>
      <c r="E4018" t="str">
        <f>_xlfn.XLOOKUP(A4018,'[1]Tissue Data'!$A:$A,'[1]Tissue Data'!$H:$H)</f>
        <v>Fundulus</v>
      </c>
      <c r="F4018" t="str">
        <f>_xlfn.XLOOKUP(A4018,'[1]Tissue Data'!$A:$A,'[1]Tissue Data'!$I:$I)</f>
        <v>diaphanus</v>
      </c>
      <c r="G4018" t="str">
        <f>_xlfn.XLOOKUP(A4018,'[1]Tissue Data'!$A:$A,'[1]Tissue Data'!J:J)</f>
        <v>U</v>
      </c>
      <c r="H4018" t="str">
        <f>_xlfn.XLOOKUP(A4018,'[1]Tissue Data'!$A:$A,'[1]Tissue Data'!K:K)</f>
        <v>Whole Body</v>
      </c>
      <c r="I4018">
        <f>_xlfn.XLOOKUP(A4018,'[1]Tissue Data'!$A:$A,'[1]Tissue Data'!L:L)</f>
        <v>9</v>
      </c>
      <c r="J4018">
        <f>_xlfn.XLOOKUP(A4018,'[1]Tissue Data'!$A:$A,'[1]Tissue Data'!M:M)</f>
        <v>6.75</v>
      </c>
      <c r="K4018" t="s">
        <v>28</v>
      </c>
      <c r="L4018" t="str">
        <f>_xlfn.XLOOKUP(K4018,[2]analyte_order!$B:$B,[2]analyte_order!$C:$C)</f>
        <v>375-92-8</v>
      </c>
      <c r="M4018">
        <f>_xlfn.XLOOKUP(L4018,[2]analyte_order!$C:$C,[2]analyte_order!$E:$E)</f>
        <v>17</v>
      </c>
      <c r="N4018">
        <v>5.23</v>
      </c>
    </row>
    <row r="4019" spans="1:14">
      <c r="A4019" t="s">
        <v>113</v>
      </c>
      <c r="B4019" t="str">
        <f>_xlfn.XLOOKUP(A4019,'[1]Tissue Data'!$A:$A,'[1]Tissue Data'!$C:$C)</f>
        <v>Spill</v>
      </c>
      <c r="C4019" s="2">
        <f>_xlfn.XLOOKUP(A4019,'[1]Tissue Data'!$A:$A,'[1]Tissue Data'!$D:$D)</f>
        <v>44314</v>
      </c>
      <c r="D4019" s="2" t="str">
        <f>_xlfn.XLOOKUP(A4019,'[1]Tissue Data'!$A:$A,'[1]Tissue Data'!$F:$F)</f>
        <v>Banded Killifish</v>
      </c>
      <c r="E4019" t="str">
        <f>_xlfn.XLOOKUP(A4019,'[1]Tissue Data'!$A:$A,'[1]Tissue Data'!$H:$H)</f>
        <v>Fundulus</v>
      </c>
      <c r="F4019" t="str">
        <f>_xlfn.XLOOKUP(A4019,'[1]Tissue Data'!$A:$A,'[1]Tissue Data'!$I:$I)</f>
        <v>diaphanus</v>
      </c>
      <c r="G4019" t="str">
        <f>_xlfn.XLOOKUP(A4019,'[1]Tissue Data'!$A:$A,'[1]Tissue Data'!J:J)</f>
        <v>U</v>
      </c>
      <c r="H4019" t="str">
        <f>_xlfn.XLOOKUP(A4019,'[1]Tissue Data'!$A:$A,'[1]Tissue Data'!K:K)</f>
        <v>Whole Body</v>
      </c>
      <c r="I4019">
        <f>_xlfn.XLOOKUP(A4019,'[1]Tissue Data'!$A:$A,'[1]Tissue Data'!L:L)</f>
        <v>9</v>
      </c>
      <c r="J4019">
        <f>_xlfn.XLOOKUP(A4019,'[1]Tissue Data'!$A:$A,'[1]Tissue Data'!M:M)</f>
        <v>6.75</v>
      </c>
      <c r="K4019" t="s">
        <v>29</v>
      </c>
      <c r="L4019" t="str">
        <f>_xlfn.XLOOKUP(K4019,[2]analyte_order!$B:$B,[2]analyte_order!$C:$C)</f>
        <v>1763-23-1</v>
      </c>
      <c r="M4019">
        <f>_xlfn.XLOOKUP(L4019,[2]analyte_order!$C:$C,[2]analyte_order!$E:$E)</f>
        <v>18</v>
      </c>
      <c r="N4019">
        <v>1670</v>
      </c>
    </row>
    <row r="4020" spans="1:14">
      <c r="A4020" t="s">
        <v>113</v>
      </c>
      <c r="B4020" t="str">
        <f>_xlfn.XLOOKUP(A4020,'[1]Tissue Data'!$A:$A,'[1]Tissue Data'!$C:$C)</f>
        <v>Spill</v>
      </c>
      <c r="C4020" s="2">
        <f>_xlfn.XLOOKUP(A4020,'[1]Tissue Data'!$A:$A,'[1]Tissue Data'!$D:$D)</f>
        <v>44314</v>
      </c>
      <c r="D4020" s="2" t="str">
        <f>_xlfn.XLOOKUP(A4020,'[1]Tissue Data'!$A:$A,'[1]Tissue Data'!$F:$F)</f>
        <v>Banded Killifish</v>
      </c>
      <c r="E4020" t="str">
        <f>_xlfn.XLOOKUP(A4020,'[1]Tissue Data'!$A:$A,'[1]Tissue Data'!$H:$H)</f>
        <v>Fundulus</v>
      </c>
      <c r="F4020" t="str">
        <f>_xlfn.XLOOKUP(A4020,'[1]Tissue Data'!$A:$A,'[1]Tissue Data'!$I:$I)</f>
        <v>diaphanus</v>
      </c>
      <c r="G4020" t="str">
        <f>_xlfn.XLOOKUP(A4020,'[1]Tissue Data'!$A:$A,'[1]Tissue Data'!J:J)</f>
        <v>U</v>
      </c>
      <c r="H4020" t="str">
        <f>_xlfn.XLOOKUP(A4020,'[1]Tissue Data'!$A:$A,'[1]Tissue Data'!K:K)</f>
        <v>Whole Body</v>
      </c>
      <c r="I4020">
        <f>_xlfn.XLOOKUP(A4020,'[1]Tissue Data'!$A:$A,'[1]Tissue Data'!L:L)</f>
        <v>9</v>
      </c>
      <c r="J4020">
        <f>_xlfn.XLOOKUP(A4020,'[1]Tissue Data'!$A:$A,'[1]Tissue Data'!M:M)</f>
        <v>6.75</v>
      </c>
      <c r="K4020" t="s">
        <v>30</v>
      </c>
      <c r="L4020" t="str">
        <f>_xlfn.XLOOKUP(K4020,[2]analyte_order!$B:$B,[2]analyte_order!$C:$C)</f>
        <v>68259-12-1</v>
      </c>
      <c r="M4020">
        <f>_xlfn.XLOOKUP(L4020,[2]analyte_order!$C:$C,[2]analyte_order!$E:$E)</f>
        <v>19</v>
      </c>
      <c r="N4020">
        <v>3.25</v>
      </c>
    </row>
    <row r="4021" spans="1:14">
      <c r="A4021" t="s">
        <v>113</v>
      </c>
      <c r="B4021" t="str">
        <f>_xlfn.XLOOKUP(A4021,'[1]Tissue Data'!$A:$A,'[1]Tissue Data'!$C:$C)</f>
        <v>Spill</v>
      </c>
      <c r="C4021" s="2">
        <f>_xlfn.XLOOKUP(A4021,'[1]Tissue Data'!$A:$A,'[1]Tissue Data'!$D:$D)</f>
        <v>44314</v>
      </c>
      <c r="D4021" s="2" t="str">
        <f>_xlfn.XLOOKUP(A4021,'[1]Tissue Data'!$A:$A,'[1]Tissue Data'!$F:$F)</f>
        <v>Banded Killifish</v>
      </c>
      <c r="E4021" t="str">
        <f>_xlfn.XLOOKUP(A4021,'[1]Tissue Data'!$A:$A,'[1]Tissue Data'!$H:$H)</f>
        <v>Fundulus</v>
      </c>
      <c r="F4021" t="str">
        <f>_xlfn.XLOOKUP(A4021,'[1]Tissue Data'!$A:$A,'[1]Tissue Data'!$I:$I)</f>
        <v>diaphanus</v>
      </c>
      <c r="G4021" t="str">
        <f>_xlfn.XLOOKUP(A4021,'[1]Tissue Data'!$A:$A,'[1]Tissue Data'!J:J)</f>
        <v>U</v>
      </c>
      <c r="H4021" t="str">
        <f>_xlfn.XLOOKUP(A4021,'[1]Tissue Data'!$A:$A,'[1]Tissue Data'!K:K)</f>
        <v>Whole Body</v>
      </c>
      <c r="I4021">
        <f>_xlfn.XLOOKUP(A4021,'[1]Tissue Data'!$A:$A,'[1]Tissue Data'!L:L)</f>
        <v>9</v>
      </c>
      <c r="J4021">
        <f>_xlfn.XLOOKUP(A4021,'[1]Tissue Data'!$A:$A,'[1]Tissue Data'!M:M)</f>
        <v>6.75</v>
      </c>
      <c r="K4021" t="s">
        <v>31</v>
      </c>
      <c r="L4021" t="str">
        <f>_xlfn.XLOOKUP(K4021,[2]analyte_order!$B:$B,[2]analyte_order!$C:$C)</f>
        <v>335-77-3</v>
      </c>
      <c r="M4021">
        <f>_xlfn.XLOOKUP(L4021,[2]analyte_order!$C:$C,[2]analyte_order!$E:$E)</f>
        <v>20</v>
      </c>
      <c r="N4021">
        <v>4.49</v>
      </c>
    </row>
    <row r="4022" spans="1:14">
      <c r="A4022" t="s">
        <v>113</v>
      </c>
      <c r="B4022" t="str">
        <f>_xlfn.XLOOKUP(A4022,'[1]Tissue Data'!$A:$A,'[1]Tissue Data'!$C:$C)</f>
        <v>Spill</v>
      </c>
      <c r="C4022" s="2">
        <f>_xlfn.XLOOKUP(A4022,'[1]Tissue Data'!$A:$A,'[1]Tissue Data'!$D:$D)</f>
        <v>44314</v>
      </c>
      <c r="D4022" s="2" t="str">
        <f>_xlfn.XLOOKUP(A4022,'[1]Tissue Data'!$A:$A,'[1]Tissue Data'!$F:$F)</f>
        <v>Banded Killifish</v>
      </c>
      <c r="E4022" t="str">
        <f>_xlfn.XLOOKUP(A4022,'[1]Tissue Data'!$A:$A,'[1]Tissue Data'!$H:$H)</f>
        <v>Fundulus</v>
      </c>
      <c r="F4022" t="str">
        <f>_xlfn.XLOOKUP(A4022,'[1]Tissue Data'!$A:$A,'[1]Tissue Data'!$I:$I)</f>
        <v>diaphanus</v>
      </c>
      <c r="G4022" t="str">
        <f>_xlfn.XLOOKUP(A4022,'[1]Tissue Data'!$A:$A,'[1]Tissue Data'!J:J)</f>
        <v>U</v>
      </c>
      <c r="H4022" t="str">
        <f>_xlfn.XLOOKUP(A4022,'[1]Tissue Data'!$A:$A,'[1]Tissue Data'!K:K)</f>
        <v>Whole Body</v>
      </c>
      <c r="I4022">
        <f>_xlfn.XLOOKUP(A4022,'[1]Tissue Data'!$A:$A,'[1]Tissue Data'!L:L)</f>
        <v>9</v>
      </c>
      <c r="J4022">
        <f>_xlfn.XLOOKUP(A4022,'[1]Tissue Data'!$A:$A,'[1]Tissue Data'!M:M)</f>
        <v>6.75</v>
      </c>
      <c r="K4022" t="s">
        <v>32</v>
      </c>
      <c r="L4022" t="str">
        <f>_xlfn.XLOOKUP(K4022,[2]analyte_order!$B:$B,[2]analyte_order!$C:$C)</f>
        <v>79780-39-5</v>
      </c>
      <c r="M4022">
        <f>_xlfn.XLOOKUP(L4022,[2]analyte_order!$C:$C,[2]analyte_order!$E:$E)</f>
        <v>21</v>
      </c>
      <c r="N4022">
        <v>2.91</v>
      </c>
    </row>
    <row r="4023" spans="1:14">
      <c r="A4023" t="s">
        <v>113</v>
      </c>
      <c r="B4023" t="str">
        <f>_xlfn.XLOOKUP(A4023,'[1]Tissue Data'!$A:$A,'[1]Tissue Data'!$C:$C)</f>
        <v>Spill</v>
      </c>
      <c r="C4023" s="2">
        <f>_xlfn.XLOOKUP(A4023,'[1]Tissue Data'!$A:$A,'[1]Tissue Data'!$D:$D)</f>
        <v>44314</v>
      </c>
      <c r="D4023" s="2" t="str">
        <f>_xlfn.XLOOKUP(A4023,'[1]Tissue Data'!$A:$A,'[1]Tissue Data'!$F:$F)</f>
        <v>Banded Killifish</v>
      </c>
      <c r="E4023" t="str">
        <f>_xlfn.XLOOKUP(A4023,'[1]Tissue Data'!$A:$A,'[1]Tissue Data'!$H:$H)</f>
        <v>Fundulus</v>
      </c>
      <c r="F4023" t="str">
        <f>_xlfn.XLOOKUP(A4023,'[1]Tissue Data'!$A:$A,'[1]Tissue Data'!$I:$I)</f>
        <v>diaphanus</v>
      </c>
      <c r="G4023" t="str">
        <f>_xlfn.XLOOKUP(A4023,'[1]Tissue Data'!$A:$A,'[1]Tissue Data'!J:J)</f>
        <v>U</v>
      </c>
      <c r="H4023" t="str">
        <f>_xlfn.XLOOKUP(A4023,'[1]Tissue Data'!$A:$A,'[1]Tissue Data'!K:K)</f>
        <v>Whole Body</v>
      </c>
      <c r="I4023">
        <f>_xlfn.XLOOKUP(A4023,'[1]Tissue Data'!$A:$A,'[1]Tissue Data'!L:L)</f>
        <v>9</v>
      </c>
      <c r="J4023">
        <f>_xlfn.XLOOKUP(A4023,'[1]Tissue Data'!$A:$A,'[1]Tissue Data'!M:M)</f>
        <v>6.75</v>
      </c>
      <c r="K4023" t="s">
        <v>33</v>
      </c>
      <c r="L4023" t="str">
        <f>_xlfn.XLOOKUP(K4023,[2]analyte_order!$B:$B,[2]analyte_order!$C:$C)</f>
        <v>777011-38-8</v>
      </c>
      <c r="M4023">
        <f>_xlfn.XLOOKUP(L4023,[2]analyte_order!$C:$C,[2]analyte_order!$E:$E)</f>
        <v>54</v>
      </c>
      <c r="N4023">
        <v>0.48199999999999998</v>
      </c>
    </row>
    <row r="4024" spans="1:14">
      <c r="A4024" t="s">
        <v>113</v>
      </c>
      <c r="B4024" t="str">
        <f>_xlfn.XLOOKUP(A4024,'[1]Tissue Data'!$A:$A,'[1]Tissue Data'!$C:$C)</f>
        <v>Spill</v>
      </c>
      <c r="C4024" s="2">
        <f>_xlfn.XLOOKUP(A4024,'[1]Tissue Data'!$A:$A,'[1]Tissue Data'!$D:$D)</f>
        <v>44314</v>
      </c>
      <c r="D4024" s="2" t="str">
        <f>_xlfn.XLOOKUP(A4024,'[1]Tissue Data'!$A:$A,'[1]Tissue Data'!$F:$F)</f>
        <v>Banded Killifish</v>
      </c>
      <c r="E4024" t="str">
        <f>_xlfn.XLOOKUP(A4024,'[1]Tissue Data'!$A:$A,'[1]Tissue Data'!$H:$H)</f>
        <v>Fundulus</v>
      </c>
      <c r="F4024" t="str">
        <f>_xlfn.XLOOKUP(A4024,'[1]Tissue Data'!$A:$A,'[1]Tissue Data'!$I:$I)</f>
        <v>diaphanus</v>
      </c>
      <c r="G4024" t="str">
        <f>_xlfn.XLOOKUP(A4024,'[1]Tissue Data'!$A:$A,'[1]Tissue Data'!J:J)</f>
        <v>U</v>
      </c>
      <c r="H4024" t="str">
        <f>_xlfn.XLOOKUP(A4024,'[1]Tissue Data'!$A:$A,'[1]Tissue Data'!K:K)</f>
        <v>Whole Body</v>
      </c>
      <c r="I4024">
        <f>_xlfn.XLOOKUP(A4024,'[1]Tissue Data'!$A:$A,'[1]Tissue Data'!L:L)</f>
        <v>9</v>
      </c>
      <c r="J4024">
        <f>_xlfn.XLOOKUP(A4024,'[1]Tissue Data'!$A:$A,'[1]Tissue Data'!M:M)</f>
        <v>6.75</v>
      </c>
      <c r="K4024" t="s">
        <v>34</v>
      </c>
      <c r="L4024" t="str">
        <f>_xlfn.XLOOKUP(K4024,[2]analyte_order!$B:$B,[2]analyte_order!$C:$C)</f>
        <v>646-83-3</v>
      </c>
      <c r="M4024">
        <f>_xlfn.XLOOKUP(L4024,[2]analyte_order!$C:$C,[2]analyte_order!$E:$E)</f>
        <v>55</v>
      </c>
      <c r="N4024">
        <v>0.48699999999999999</v>
      </c>
    </row>
    <row r="4025" spans="1:14">
      <c r="A4025" t="s">
        <v>113</v>
      </c>
      <c r="B4025" t="str">
        <f>_xlfn.XLOOKUP(A4025,'[1]Tissue Data'!$A:$A,'[1]Tissue Data'!$C:$C)</f>
        <v>Spill</v>
      </c>
      <c r="C4025" s="2">
        <f>_xlfn.XLOOKUP(A4025,'[1]Tissue Data'!$A:$A,'[1]Tissue Data'!$D:$D)</f>
        <v>44314</v>
      </c>
      <c r="D4025" s="2" t="str">
        <f>_xlfn.XLOOKUP(A4025,'[1]Tissue Data'!$A:$A,'[1]Tissue Data'!$F:$F)</f>
        <v>Banded Killifish</v>
      </c>
      <c r="E4025" t="str">
        <f>_xlfn.XLOOKUP(A4025,'[1]Tissue Data'!$A:$A,'[1]Tissue Data'!$H:$H)</f>
        <v>Fundulus</v>
      </c>
      <c r="F4025" t="str">
        <f>_xlfn.XLOOKUP(A4025,'[1]Tissue Data'!$A:$A,'[1]Tissue Data'!$I:$I)</f>
        <v>diaphanus</v>
      </c>
      <c r="G4025" t="str">
        <f>_xlfn.XLOOKUP(A4025,'[1]Tissue Data'!$A:$A,'[1]Tissue Data'!J:J)</f>
        <v>U</v>
      </c>
      <c r="H4025" t="str">
        <f>_xlfn.XLOOKUP(A4025,'[1]Tissue Data'!$A:$A,'[1]Tissue Data'!K:K)</f>
        <v>Whole Body</v>
      </c>
      <c r="I4025">
        <f>_xlfn.XLOOKUP(A4025,'[1]Tissue Data'!$A:$A,'[1]Tissue Data'!L:L)</f>
        <v>9</v>
      </c>
      <c r="J4025">
        <f>_xlfn.XLOOKUP(A4025,'[1]Tissue Data'!$A:$A,'[1]Tissue Data'!M:M)</f>
        <v>6.75</v>
      </c>
      <c r="K4025" t="s">
        <v>35</v>
      </c>
      <c r="L4025" t="str">
        <f>_xlfn.XLOOKUP(K4025,[2]analyte_order!$B:$B,[2]analyte_order!$C:$C)</f>
        <v>30334-69-1</v>
      </c>
      <c r="M4025">
        <f>_xlfn.XLOOKUP(L4025,[2]analyte_order!$C:$C,[2]analyte_order!$E:$E)</f>
        <v>51</v>
      </c>
      <c r="N4025">
        <v>25.3</v>
      </c>
    </row>
    <row r="4026" spans="1:14">
      <c r="A4026" t="s">
        <v>113</v>
      </c>
      <c r="B4026" t="str">
        <f>_xlfn.XLOOKUP(A4026,'[1]Tissue Data'!$A:$A,'[1]Tissue Data'!$C:$C)</f>
        <v>Spill</v>
      </c>
      <c r="C4026" s="2">
        <f>_xlfn.XLOOKUP(A4026,'[1]Tissue Data'!$A:$A,'[1]Tissue Data'!$D:$D)</f>
        <v>44314</v>
      </c>
      <c r="D4026" s="2" t="str">
        <f>_xlfn.XLOOKUP(A4026,'[1]Tissue Data'!$A:$A,'[1]Tissue Data'!$F:$F)</f>
        <v>Banded Killifish</v>
      </c>
      <c r="E4026" t="str">
        <f>_xlfn.XLOOKUP(A4026,'[1]Tissue Data'!$A:$A,'[1]Tissue Data'!$H:$H)</f>
        <v>Fundulus</v>
      </c>
      <c r="F4026" t="str">
        <f>_xlfn.XLOOKUP(A4026,'[1]Tissue Data'!$A:$A,'[1]Tissue Data'!$I:$I)</f>
        <v>diaphanus</v>
      </c>
      <c r="G4026" t="str">
        <f>_xlfn.XLOOKUP(A4026,'[1]Tissue Data'!$A:$A,'[1]Tissue Data'!J:J)</f>
        <v>U</v>
      </c>
      <c r="H4026" t="str">
        <f>_xlfn.XLOOKUP(A4026,'[1]Tissue Data'!$A:$A,'[1]Tissue Data'!K:K)</f>
        <v>Whole Body</v>
      </c>
      <c r="I4026">
        <f>_xlfn.XLOOKUP(A4026,'[1]Tissue Data'!$A:$A,'[1]Tissue Data'!L:L)</f>
        <v>9</v>
      </c>
      <c r="J4026">
        <f>_xlfn.XLOOKUP(A4026,'[1]Tissue Data'!$A:$A,'[1]Tissue Data'!M:M)</f>
        <v>6.75</v>
      </c>
      <c r="K4026" t="s">
        <v>36</v>
      </c>
      <c r="L4026" t="str">
        <f>_xlfn.XLOOKUP(K4026,[2]analyte_order!$B:$B,[2]analyte_order!$C:$C)</f>
        <v>41997-13-1</v>
      </c>
      <c r="M4026">
        <f>_xlfn.XLOOKUP(L4026,[2]analyte_order!$C:$C,[2]analyte_order!$E:$E)</f>
        <v>52</v>
      </c>
      <c r="N4026">
        <v>105</v>
      </c>
    </row>
    <row r="4027" spans="1:14">
      <c r="A4027" t="s">
        <v>113</v>
      </c>
      <c r="B4027" t="str">
        <f>_xlfn.XLOOKUP(A4027,'[1]Tissue Data'!$A:$A,'[1]Tissue Data'!$C:$C)</f>
        <v>Spill</v>
      </c>
      <c r="C4027" s="2">
        <f>_xlfn.XLOOKUP(A4027,'[1]Tissue Data'!$A:$A,'[1]Tissue Data'!$D:$D)</f>
        <v>44314</v>
      </c>
      <c r="D4027" s="2" t="str">
        <f>_xlfn.XLOOKUP(A4027,'[1]Tissue Data'!$A:$A,'[1]Tissue Data'!$F:$F)</f>
        <v>Banded Killifish</v>
      </c>
      <c r="E4027" t="str">
        <f>_xlfn.XLOOKUP(A4027,'[1]Tissue Data'!$A:$A,'[1]Tissue Data'!$H:$H)</f>
        <v>Fundulus</v>
      </c>
      <c r="F4027" t="str">
        <f>_xlfn.XLOOKUP(A4027,'[1]Tissue Data'!$A:$A,'[1]Tissue Data'!$I:$I)</f>
        <v>diaphanus</v>
      </c>
      <c r="G4027" t="str">
        <f>_xlfn.XLOOKUP(A4027,'[1]Tissue Data'!$A:$A,'[1]Tissue Data'!J:J)</f>
        <v>U</v>
      </c>
      <c r="H4027" t="str">
        <f>_xlfn.XLOOKUP(A4027,'[1]Tissue Data'!$A:$A,'[1]Tissue Data'!K:K)</f>
        <v>Whole Body</v>
      </c>
      <c r="I4027">
        <f>_xlfn.XLOOKUP(A4027,'[1]Tissue Data'!$A:$A,'[1]Tissue Data'!L:L)</f>
        <v>9</v>
      </c>
      <c r="J4027">
        <f>_xlfn.XLOOKUP(A4027,'[1]Tissue Data'!$A:$A,'[1]Tissue Data'!M:M)</f>
        <v>6.75</v>
      </c>
      <c r="K4027" t="s">
        <v>37</v>
      </c>
      <c r="L4027" t="str">
        <f>_xlfn.XLOOKUP(K4027,[2]analyte_order!$B:$B,[2]analyte_order!$C:$C)</f>
        <v>754-91-6</v>
      </c>
      <c r="M4027">
        <f>_xlfn.XLOOKUP(L4027,[2]analyte_order!$C:$C,[2]analyte_order!$E:$E)</f>
        <v>28</v>
      </c>
      <c r="N4027">
        <v>48</v>
      </c>
    </row>
    <row r="4028" spans="1:14">
      <c r="A4028" t="s">
        <v>113</v>
      </c>
      <c r="B4028" t="str">
        <f>_xlfn.XLOOKUP(A4028,'[1]Tissue Data'!$A:$A,'[1]Tissue Data'!$C:$C)</f>
        <v>Spill</v>
      </c>
      <c r="C4028" s="2">
        <f>_xlfn.XLOOKUP(A4028,'[1]Tissue Data'!$A:$A,'[1]Tissue Data'!$D:$D)</f>
        <v>44314</v>
      </c>
      <c r="D4028" s="2" t="str">
        <f>_xlfn.XLOOKUP(A4028,'[1]Tissue Data'!$A:$A,'[1]Tissue Data'!$F:$F)</f>
        <v>Banded Killifish</v>
      </c>
      <c r="E4028" t="str">
        <f>_xlfn.XLOOKUP(A4028,'[1]Tissue Data'!$A:$A,'[1]Tissue Data'!$H:$H)</f>
        <v>Fundulus</v>
      </c>
      <c r="F4028" t="str">
        <f>_xlfn.XLOOKUP(A4028,'[1]Tissue Data'!$A:$A,'[1]Tissue Data'!$I:$I)</f>
        <v>diaphanus</v>
      </c>
      <c r="G4028" t="str">
        <f>_xlfn.XLOOKUP(A4028,'[1]Tissue Data'!$A:$A,'[1]Tissue Data'!J:J)</f>
        <v>U</v>
      </c>
      <c r="H4028" t="str">
        <f>_xlfn.XLOOKUP(A4028,'[1]Tissue Data'!$A:$A,'[1]Tissue Data'!K:K)</f>
        <v>Whole Body</v>
      </c>
      <c r="I4028">
        <f>_xlfn.XLOOKUP(A4028,'[1]Tissue Data'!$A:$A,'[1]Tissue Data'!L:L)</f>
        <v>9</v>
      </c>
      <c r="J4028">
        <f>_xlfn.XLOOKUP(A4028,'[1]Tissue Data'!$A:$A,'[1]Tissue Data'!M:M)</f>
        <v>6.75</v>
      </c>
      <c r="K4028" t="s">
        <v>38</v>
      </c>
      <c r="L4028" t="str">
        <f>_xlfn.XLOOKUP(K4028,[2]analyte_order!$B:$B,[2]analyte_order!$C:$C)</f>
        <v>31506-32-8</v>
      </c>
      <c r="M4028">
        <f>_xlfn.XLOOKUP(L4028,[2]analyte_order!$C:$C,[2]analyte_order!$E:$E)</f>
        <v>30</v>
      </c>
      <c r="N4028">
        <v>5.0500000000000003E-2</v>
      </c>
    </row>
    <row r="4029" spans="1:14">
      <c r="A4029" t="s">
        <v>113</v>
      </c>
      <c r="B4029" t="str">
        <f>_xlfn.XLOOKUP(A4029,'[1]Tissue Data'!$A:$A,'[1]Tissue Data'!$C:$C)</f>
        <v>Spill</v>
      </c>
      <c r="C4029" s="2">
        <f>_xlfn.XLOOKUP(A4029,'[1]Tissue Data'!$A:$A,'[1]Tissue Data'!$D:$D)</f>
        <v>44314</v>
      </c>
      <c r="D4029" s="2" t="str">
        <f>_xlfn.XLOOKUP(A4029,'[1]Tissue Data'!$A:$A,'[1]Tissue Data'!$F:$F)</f>
        <v>Banded Killifish</v>
      </c>
      <c r="E4029" t="str">
        <f>_xlfn.XLOOKUP(A4029,'[1]Tissue Data'!$A:$A,'[1]Tissue Data'!$H:$H)</f>
        <v>Fundulus</v>
      </c>
      <c r="F4029" t="str">
        <f>_xlfn.XLOOKUP(A4029,'[1]Tissue Data'!$A:$A,'[1]Tissue Data'!$I:$I)</f>
        <v>diaphanus</v>
      </c>
      <c r="G4029" t="str">
        <f>_xlfn.XLOOKUP(A4029,'[1]Tissue Data'!$A:$A,'[1]Tissue Data'!J:J)</f>
        <v>U</v>
      </c>
      <c r="H4029" t="str">
        <f>_xlfn.XLOOKUP(A4029,'[1]Tissue Data'!$A:$A,'[1]Tissue Data'!K:K)</f>
        <v>Whole Body</v>
      </c>
      <c r="I4029">
        <f>_xlfn.XLOOKUP(A4029,'[1]Tissue Data'!$A:$A,'[1]Tissue Data'!L:L)</f>
        <v>9</v>
      </c>
      <c r="J4029">
        <f>_xlfn.XLOOKUP(A4029,'[1]Tissue Data'!$A:$A,'[1]Tissue Data'!M:M)</f>
        <v>6.75</v>
      </c>
      <c r="K4029" t="s">
        <v>39</v>
      </c>
      <c r="L4029" t="str">
        <f>_xlfn.XLOOKUP(K4029,[2]analyte_order!$B:$B,[2]analyte_order!$C:$C)</f>
        <v>4151-50-2</v>
      </c>
      <c r="M4029">
        <f>_xlfn.XLOOKUP(L4029,[2]analyte_order!$C:$C,[2]analyte_order!$E:$E)</f>
        <v>31</v>
      </c>
      <c r="N4029">
        <v>7.6499999999999999E-2</v>
      </c>
    </row>
    <row r="4030" spans="1:14">
      <c r="A4030" t="s">
        <v>113</v>
      </c>
      <c r="B4030" t="str">
        <f>_xlfn.XLOOKUP(A4030,'[1]Tissue Data'!$A:$A,'[1]Tissue Data'!$C:$C)</f>
        <v>Spill</v>
      </c>
      <c r="C4030" s="2">
        <f>_xlfn.XLOOKUP(A4030,'[1]Tissue Data'!$A:$A,'[1]Tissue Data'!$D:$D)</f>
        <v>44314</v>
      </c>
      <c r="D4030" s="2" t="str">
        <f>_xlfn.XLOOKUP(A4030,'[1]Tissue Data'!$A:$A,'[1]Tissue Data'!$F:$F)</f>
        <v>Banded Killifish</v>
      </c>
      <c r="E4030" t="str">
        <f>_xlfn.XLOOKUP(A4030,'[1]Tissue Data'!$A:$A,'[1]Tissue Data'!$H:$H)</f>
        <v>Fundulus</v>
      </c>
      <c r="F4030" t="str">
        <f>_xlfn.XLOOKUP(A4030,'[1]Tissue Data'!$A:$A,'[1]Tissue Data'!$I:$I)</f>
        <v>diaphanus</v>
      </c>
      <c r="G4030" t="str">
        <f>_xlfn.XLOOKUP(A4030,'[1]Tissue Data'!$A:$A,'[1]Tissue Data'!J:J)</f>
        <v>U</v>
      </c>
      <c r="H4030" t="str">
        <f>_xlfn.XLOOKUP(A4030,'[1]Tissue Data'!$A:$A,'[1]Tissue Data'!K:K)</f>
        <v>Whole Body</v>
      </c>
      <c r="I4030">
        <f>_xlfn.XLOOKUP(A4030,'[1]Tissue Data'!$A:$A,'[1]Tissue Data'!L:L)</f>
        <v>9</v>
      </c>
      <c r="J4030">
        <f>_xlfn.XLOOKUP(A4030,'[1]Tissue Data'!$A:$A,'[1]Tissue Data'!M:M)</f>
        <v>6.75</v>
      </c>
      <c r="K4030" t="s">
        <v>40</v>
      </c>
      <c r="L4030" t="str">
        <f>_xlfn.XLOOKUP(K4030,[2]analyte_order!$B:$B,[2]analyte_order!$C:$C)</f>
        <v>2806-24-8</v>
      </c>
      <c r="M4030">
        <f>_xlfn.XLOOKUP(L4030,[2]analyte_order!$C:$C,[2]analyte_order!$E:$E)</f>
        <v>29</v>
      </c>
      <c r="N4030">
        <v>5.1999999999999998E-2</v>
      </c>
    </row>
    <row r="4031" spans="1:14">
      <c r="A4031" t="s">
        <v>113</v>
      </c>
      <c r="B4031" t="str">
        <f>_xlfn.XLOOKUP(A4031,'[1]Tissue Data'!$A:$A,'[1]Tissue Data'!$C:$C)</f>
        <v>Spill</v>
      </c>
      <c r="C4031" s="2">
        <f>_xlfn.XLOOKUP(A4031,'[1]Tissue Data'!$A:$A,'[1]Tissue Data'!$D:$D)</f>
        <v>44314</v>
      </c>
      <c r="D4031" s="2" t="str">
        <f>_xlfn.XLOOKUP(A4031,'[1]Tissue Data'!$A:$A,'[1]Tissue Data'!$F:$F)</f>
        <v>Banded Killifish</v>
      </c>
      <c r="E4031" t="str">
        <f>_xlfn.XLOOKUP(A4031,'[1]Tissue Data'!$A:$A,'[1]Tissue Data'!$H:$H)</f>
        <v>Fundulus</v>
      </c>
      <c r="F4031" t="str">
        <f>_xlfn.XLOOKUP(A4031,'[1]Tissue Data'!$A:$A,'[1]Tissue Data'!$I:$I)</f>
        <v>diaphanus</v>
      </c>
      <c r="G4031" t="str">
        <f>_xlfn.XLOOKUP(A4031,'[1]Tissue Data'!$A:$A,'[1]Tissue Data'!J:J)</f>
        <v>U</v>
      </c>
      <c r="H4031" t="str">
        <f>_xlfn.XLOOKUP(A4031,'[1]Tissue Data'!$A:$A,'[1]Tissue Data'!K:K)</f>
        <v>Whole Body</v>
      </c>
      <c r="I4031">
        <f>_xlfn.XLOOKUP(A4031,'[1]Tissue Data'!$A:$A,'[1]Tissue Data'!L:L)</f>
        <v>9</v>
      </c>
      <c r="J4031">
        <f>_xlfn.XLOOKUP(A4031,'[1]Tissue Data'!$A:$A,'[1]Tissue Data'!M:M)</f>
        <v>6.75</v>
      </c>
      <c r="K4031" t="s">
        <v>41</v>
      </c>
      <c r="L4031" t="str">
        <f>_xlfn.XLOOKUP(K4031,[2]analyte_order!$B:$B,[2]analyte_order!$C:$C)</f>
        <v>2355-31-9</v>
      </c>
      <c r="M4031">
        <f>_xlfn.XLOOKUP(L4031,[2]analyte_order!$C:$C,[2]analyte_order!$E:$E)</f>
        <v>26</v>
      </c>
      <c r="N4031">
        <v>0.82</v>
      </c>
    </row>
    <row r="4032" spans="1:14">
      <c r="A4032" t="s">
        <v>113</v>
      </c>
      <c r="B4032" t="str">
        <f>_xlfn.XLOOKUP(A4032,'[1]Tissue Data'!$A:$A,'[1]Tissue Data'!$C:$C)</f>
        <v>Spill</v>
      </c>
      <c r="C4032" s="2">
        <f>_xlfn.XLOOKUP(A4032,'[1]Tissue Data'!$A:$A,'[1]Tissue Data'!$D:$D)</f>
        <v>44314</v>
      </c>
      <c r="D4032" s="2" t="str">
        <f>_xlfn.XLOOKUP(A4032,'[1]Tissue Data'!$A:$A,'[1]Tissue Data'!$F:$F)</f>
        <v>Banded Killifish</v>
      </c>
      <c r="E4032" t="str">
        <f>_xlfn.XLOOKUP(A4032,'[1]Tissue Data'!$A:$A,'[1]Tissue Data'!$H:$H)</f>
        <v>Fundulus</v>
      </c>
      <c r="F4032" t="str">
        <f>_xlfn.XLOOKUP(A4032,'[1]Tissue Data'!$A:$A,'[1]Tissue Data'!$I:$I)</f>
        <v>diaphanus</v>
      </c>
      <c r="G4032" t="str">
        <f>_xlfn.XLOOKUP(A4032,'[1]Tissue Data'!$A:$A,'[1]Tissue Data'!J:J)</f>
        <v>U</v>
      </c>
      <c r="H4032" t="str">
        <f>_xlfn.XLOOKUP(A4032,'[1]Tissue Data'!$A:$A,'[1]Tissue Data'!K:K)</f>
        <v>Whole Body</v>
      </c>
      <c r="I4032">
        <f>_xlfn.XLOOKUP(A4032,'[1]Tissue Data'!$A:$A,'[1]Tissue Data'!L:L)</f>
        <v>9</v>
      </c>
      <c r="J4032">
        <f>_xlfn.XLOOKUP(A4032,'[1]Tissue Data'!$A:$A,'[1]Tissue Data'!M:M)</f>
        <v>6.75</v>
      </c>
      <c r="K4032" t="s">
        <v>42</v>
      </c>
      <c r="L4032" t="str">
        <f>_xlfn.XLOOKUP(K4032,[2]analyte_order!$B:$B,[2]analyte_order!$C:$C)</f>
        <v>2991-50-6</v>
      </c>
      <c r="M4032">
        <f>_xlfn.XLOOKUP(L4032,[2]analyte_order!$C:$C,[2]analyte_order!$E:$E)</f>
        <v>27</v>
      </c>
      <c r="N4032">
        <v>5.7000000000000002E-2</v>
      </c>
    </row>
    <row r="4033" spans="1:14">
      <c r="A4033" t="s">
        <v>113</v>
      </c>
      <c r="B4033" t="str">
        <f>_xlfn.XLOOKUP(A4033,'[1]Tissue Data'!$A:$A,'[1]Tissue Data'!$C:$C)</f>
        <v>Spill</v>
      </c>
      <c r="C4033" s="2">
        <f>_xlfn.XLOOKUP(A4033,'[1]Tissue Data'!$A:$A,'[1]Tissue Data'!$D:$D)</f>
        <v>44314</v>
      </c>
      <c r="D4033" s="2" t="str">
        <f>_xlfn.XLOOKUP(A4033,'[1]Tissue Data'!$A:$A,'[1]Tissue Data'!$F:$F)</f>
        <v>Banded Killifish</v>
      </c>
      <c r="E4033" t="str">
        <f>_xlfn.XLOOKUP(A4033,'[1]Tissue Data'!$A:$A,'[1]Tissue Data'!$H:$H)</f>
        <v>Fundulus</v>
      </c>
      <c r="F4033" t="str">
        <f>_xlfn.XLOOKUP(A4033,'[1]Tissue Data'!$A:$A,'[1]Tissue Data'!$I:$I)</f>
        <v>diaphanus</v>
      </c>
      <c r="G4033" t="str">
        <f>_xlfn.XLOOKUP(A4033,'[1]Tissue Data'!$A:$A,'[1]Tissue Data'!J:J)</f>
        <v>U</v>
      </c>
      <c r="H4033" t="str">
        <f>_xlfn.XLOOKUP(A4033,'[1]Tissue Data'!$A:$A,'[1]Tissue Data'!K:K)</f>
        <v>Whole Body</v>
      </c>
      <c r="I4033">
        <f>_xlfn.XLOOKUP(A4033,'[1]Tissue Data'!$A:$A,'[1]Tissue Data'!L:L)</f>
        <v>9</v>
      </c>
      <c r="J4033">
        <f>_xlfn.XLOOKUP(A4033,'[1]Tissue Data'!$A:$A,'[1]Tissue Data'!M:M)</f>
        <v>6.75</v>
      </c>
      <c r="K4033" t="s">
        <v>43</v>
      </c>
      <c r="L4033" t="str">
        <f>_xlfn.XLOOKUP(K4033,[2]analyte_order!$B:$B,[2]analyte_order!$C:$C)</f>
        <v>757124-72-4</v>
      </c>
      <c r="M4033">
        <f>_xlfn.XLOOKUP(L4033,[2]analyte_order!$C:$C,[2]analyte_order!$E:$E)</f>
        <v>22</v>
      </c>
      <c r="N4033">
        <v>5.3999999999999999E-2</v>
      </c>
    </row>
    <row r="4034" spans="1:14">
      <c r="A4034" t="s">
        <v>113</v>
      </c>
      <c r="B4034" t="str">
        <f>_xlfn.XLOOKUP(A4034,'[1]Tissue Data'!$A:$A,'[1]Tissue Data'!$C:$C)</f>
        <v>Spill</v>
      </c>
      <c r="C4034" s="2">
        <f>_xlfn.XLOOKUP(A4034,'[1]Tissue Data'!$A:$A,'[1]Tissue Data'!$D:$D)</f>
        <v>44314</v>
      </c>
      <c r="D4034" s="2" t="str">
        <f>_xlfn.XLOOKUP(A4034,'[1]Tissue Data'!$A:$A,'[1]Tissue Data'!$F:$F)</f>
        <v>Banded Killifish</v>
      </c>
      <c r="E4034" t="str">
        <f>_xlfn.XLOOKUP(A4034,'[1]Tissue Data'!$A:$A,'[1]Tissue Data'!$H:$H)</f>
        <v>Fundulus</v>
      </c>
      <c r="F4034" t="str">
        <f>_xlfn.XLOOKUP(A4034,'[1]Tissue Data'!$A:$A,'[1]Tissue Data'!$I:$I)</f>
        <v>diaphanus</v>
      </c>
      <c r="G4034" t="str">
        <f>_xlfn.XLOOKUP(A4034,'[1]Tissue Data'!$A:$A,'[1]Tissue Data'!J:J)</f>
        <v>U</v>
      </c>
      <c r="H4034" t="str">
        <f>_xlfn.XLOOKUP(A4034,'[1]Tissue Data'!$A:$A,'[1]Tissue Data'!K:K)</f>
        <v>Whole Body</v>
      </c>
      <c r="I4034">
        <f>_xlfn.XLOOKUP(A4034,'[1]Tissue Data'!$A:$A,'[1]Tissue Data'!L:L)</f>
        <v>9</v>
      </c>
      <c r="J4034">
        <f>_xlfn.XLOOKUP(A4034,'[1]Tissue Data'!$A:$A,'[1]Tissue Data'!M:M)</f>
        <v>6.75</v>
      </c>
      <c r="K4034" t="s">
        <v>44</v>
      </c>
      <c r="L4034" t="str">
        <f>_xlfn.XLOOKUP(K4034,[2]analyte_order!$B:$B,[2]analyte_order!$C:$C)</f>
        <v>27619-97-2</v>
      </c>
      <c r="M4034">
        <f>_xlfn.XLOOKUP(L4034,[2]analyte_order!$C:$C,[2]analyte_order!$E:$E)</f>
        <v>23</v>
      </c>
      <c r="N4034">
        <v>0.82199999999999995</v>
      </c>
    </row>
    <row r="4035" spans="1:14">
      <c r="A4035" t="s">
        <v>113</v>
      </c>
      <c r="B4035" t="str">
        <f>_xlfn.XLOOKUP(A4035,'[1]Tissue Data'!$A:$A,'[1]Tissue Data'!$C:$C)</f>
        <v>Spill</v>
      </c>
      <c r="C4035" s="2">
        <f>_xlfn.XLOOKUP(A4035,'[1]Tissue Data'!$A:$A,'[1]Tissue Data'!$D:$D)</f>
        <v>44314</v>
      </c>
      <c r="D4035" s="2" t="str">
        <f>_xlfn.XLOOKUP(A4035,'[1]Tissue Data'!$A:$A,'[1]Tissue Data'!$F:$F)</f>
        <v>Banded Killifish</v>
      </c>
      <c r="E4035" t="str">
        <f>_xlfn.XLOOKUP(A4035,'[1]Tissue Data'!$A:$A,'[1]Tissue Data'!$H:$H)</f>
        <v>Fundulus</v>
      </c>
      <c r="F4035" t="str">
        <f>_xlfn.XLOOKUP(A4035,'[1]Tissue Data'!$A:$A,'[1]Tissue Data'!$I:$I)</f>
        <v>diaphanus</v>
      </c>
      <c r="G4035" t="str">
        <f>_xlfn.XLOOKUP(A4035,'[1]Tissue Data'!$A:$A,'[1]Tissue Data'!J:J)</f>
        <v>U</v>
      </c>
      <c r="H4035" t="str">
        <f>_xlfn.XLOOKUP(A4035,'[1]Tissue Data'!$A:$A,'[1]Tissue Data'!K:K)</f>
        <v>Whole Body</v>
      </c>
      <c r="I4035">
        <f>_xlfn.XLOOKUP(A4035,'[1]Tissue Data'!$A:$A,'[1]Tissue Data'!L:L)</f>
        <v>9</v>
      </c>
      <c r="J4035">
        <f>_xlfn.XLOOKUP(A4035,'[1]Tissue Data'!$A:$A,'[1]Tissue Data'!M:M)</f>
        <v>6.75</v>
      </c>
      <c r="K4035" t="s">
        <v>45</v>
      </c>
      <c r="L4035" t="str">
        <f>_xlfn.XLOOKUP(K4035,[2]analyte_order!$B:$B,[2]analyte_order!$C:$C)</f>
        <v>39108-34-4</v>
      </c>
      <c r="M4035">
        <f>_xlfn.XLOOKUP(L4035,[2]analyte_order!$C:$C,[2]analyte_order!$E:$E)</f>
        <v>24</v>
      </c>
      <c r="N4035">
        <v>6.73</v>
      </c>
    </row>
    <row r="4036" spans="1:14">
      <c r="A4036" t="s">
        <v>113</v>
      </c>
      <c r="B4036" t="str">
        <f>_xlfn.XLOOKUP(A4036,'[1]Tissue Data'!$A:$A,'[1]Tissue Data'!$C:$C)</f>
        <v>Spill</v>
      </c>
      <c r="C4036" s="2">
        <f>_xlfn.XLOOKUP(A4036,'[1]Tissue Data'!$A:$A,'[1]Tissue Data'!$D:$D)</f>
        <v>44314</v>
      </c>
      <c r="D4036" s="2" t="str">
        <f>_xlfn.XLOOKUP(A4036,'[1]Tissue Data'!$A:$A,'[1]Tissue Data'!$F:$F)</f>
        <v>Banded Killifish</v>
      </c>
      <c r="E4036" t="str">
        <f>_xlfn.XLOOKUP(A4036,'[1]Tissue Data'!$A:$A,'[1]Tissue Data'!$H:$H)</f>
        <v>Fundulus</v>
      </c>
      <c r="F4036" t="str">
        <f>_xlfn.XLOOKUP(A4036,'[1]Tissue Data'!$A:$A,'[1]Tissue Data'!$I:$I)</f>
        <v>diaphanus</v>
      </c>
      <c r="G4036" t="str">
        <f>_xlfn.XLOOKUP(A4036,'[1]Tissue Data'!$A:$A,'[1]Tissue Data'!J:J)</f>
        <v>U</v>
      </c>
      <c r="H4036" t="str">
        <f>_xlfn.XLOOKUP(A4036,'[1]Tissue Data'!$A:$A,'[1]Tissue Data'!K:K)</f>
        <v>Whole Body</v>
      </c>
      <c r="I4036">
        <f>_xlfn.XLOOKUP(A4036,'[1]Tissue Data'!$A:$A,'[1]Tissue Data'!L:L)</f>
        <v>9</v>
      </c>
      <c r="J4036">
        <f>_xlfn.XLOOKUP(A4036,'[1]Tissue Data'!$A:$A,'[1]Tissue Data'!M:M)</f>
        <v>6.75</v>
      </c>
      <c r="K4036" t="s">
        <v>46</v>
      </c>
      <c r="L4036" t="str">
        <f>_xlfn.XLOOKUP(K4036,[2]analyte_order!$B:$B,[2]analyte_order!$C:$C)</f>
        <v>120226-60-0</v>
      </c>
      <c r="M4036">
        <f>_xlfn.XLOOKUP(L4036,[2]analyte_order!$C:$C,[2]analyte_order!$E:$E)</f>
        <v>25</v>
      </c>
      <c r="N4036">
        <v>0.59099999999999997</v>
      </c>
    </row>
    <row r="4037" spans="1:14">
      <c r="A4037" t="s">
        <v>113</v>
      </c>
      <c r="B4037" t="str">
        <f>_xlfn.XLOOKUP(A4037,'[1]Tissue Data'!$A:$A,'[1]Tissue Data'!$C:$C)</f>
        <v>Spill</v>
      </c>
      <c r="C4037" s="2">
        <f>_xlfn.XLOOKUP(A4037,'[1]Tissue Data'!$A:$A,'[1]Tissue Data'!$D:$D)</f>
        <v>44314</v>
      </c>
      <c r="D4037" s="2" t="str">
        <f>_xlfn.XLOOKUP(A4037,'[1]Tissue Data'!$A:$A,'[1]Tissue Data'!$F:$F)</f>
        <v>Banded Killifish</v>
      </c>
      <c r="E4037" t="str">
        <f>_xlfn.XLOOKUP(A4037,'[1]Tissue Data'!$A:$A,'[1]Tissue Data'!$H:$H)</f>
        <v>Fundulus</v>
      </c>
      <c r="F4037" t="str">
        <f>_xlfn.XLOOKUP(A4037,'[1]Tissue Data'!$A:$A,'[1]Tissue Data'!$I:$I)</f>
        <v>diaphanus</v>
      </c>
      <c r="G4037" t="str">
        <f>_xlfn.XLOOKUP(A4037,'[1]Tissue Data'!$A:$A,'[1]Tissue Data'!J:J)</f>
        <v>U</v>
      </c>
      <c r="H4037" t="str">
        <f>_xlfn.XLOOKUP(A4037,'[1]Tissue Data'!$A:$A,'[1]Tissue Data'!K:K)</f>
        <v>Whole Body</v>
      </c>
      <c r="I4037">
        <f>_xlfn.XLOOKUP(A4037,'[1]Tissue Data'!$A:$A,'[1]Tissue Data'!L:L)</f>
        <v>9</v>
      </c>
      <c r="J4037">
        <f>_xlfn.XLOOKUP(A4037,'[1]Tissue Data'!$A:$A,'[1]Tissue Data'!M:M)</f>
        <v>6.75</v>
      </c>
      <c r="K4037" t="s">
        <v>47</v>
      </c>
      <c r="L4037" t="str">
        <f>_xlfn.XLOOKUP(K4037,[2]analyte_order!$B:$B,[2]analyte_order!$C:$C)</f>
        <v>356-02-5</v>
      </c>
      <c r="M4037">
        <f>_xlfn.XLOOKUP(L4037,[2]analyte_order!$C:$C,[2]analyte_order!$E:$E)</f>
        <v>38</v>
      </c>
      <c r="N4037">
        <v>7.5999999999999998E-2</v>
      </c>
    </row>
    <row r="4038" spans="1:14">
      <c r="A4038" t="s">
        <v>113</v>
      </c>
      <c r="B4038" t="str">
        <f>_xlfn.XLOOKUP(A4038,'[1]Tissue Data'!$A:$A,'[1]Tissue Data'!$C:$C)</f>
        <v>Spill</v>
      </c>
      <c r="C4038" s="2">
        <f>_xlfn.XLOOKUP(A4038,'[1]Tissue Data'!$A:$A,'[1]Tissue Data'!$D:$D)</f>
        <v>44314</v>
      </c>
      <c r="D4038" s="2" t="str">
        <f>_xlfn.XLOOKUP(A4038,'[1]Tissue Data'!$A:$A,'[1]Tissue Data'!$F:$F)</f>
        <v>Banded Killifish</v>
      </c>
      <c r="E4038" t="str">
        <f>_xlfn.XLOOKUP(A4038,'[1]Tissue Data'!$A:$A,'[1]Tissue Data'!$H:$H)</f>
        <v>Fundulus</v>
      </c>
      <c r="F4038" t="str">
        <f>_xlfn.XLOOKUP(A4038,'[1]Tissue Data'!$A:$A,'[1]Tissue Data'!$I:$I)</f>
        <v>diaphanus</v>
      </c>
      <c r="G4038" t="str">
        <f>_xlfn.XLOOKUP(A4038,'[1]Tissue Data'!$A:$A,'[1]Tissue Data'!J:J)</f>
        <v>U</v>
      </c>
      <c r="H4038" t="str">
        <f>_xlfn.XLOOKUP(A4038,'[1]Tissue Data'!$A:$A,'[1]Tissue Data'!K:K)</f>
        <v>Whole Body</v>
      </c>
      <c r="I4038">
        <f>_xlfn.XLOOKUP(A4038,'[1]Tissue Data'!$A:$A,'[1]Tissue Data'!L:L)</f>
        <v>9</v>
      </c>
      <c r="J4038">
        <f>_xlfn.XLOOKUP(A4038,'[1]Tissue Data'!$A:$A,'[1]Tissue Data'!M:M)</f>
        <v>6.75</v>
      </c>
      <c r="K4038" t="s">
        <v>48</v>
      </c>
      <c r="L4038" t="str">
        <f>_xlfn.XLOOKUP(K4038,[2]analyte_order!$B:$B,[2]analyte_order!$C:$C)</f>
        <v>914637-49-3</v>
      </c>
      <c r="M4038">
        <f>_xlfn.XLOOKUP(L4038,[2]analyte_order!$C:$C,[2]analyte_order!$E:$E)</f>
        <v>39</v>
      </c>
      <c r="N4038">
        <v>12.4</v>
      </c>
    </row>
    <row r="4039" spans="1:14">
      <c r="A4039" t="s">
        <v>113</v>
      </c>
      <c r="B4039" t="str">
        <f>_xlfn.XLOOKUP(A4039,'[1]Tissue Data'!$A:$A,'[1]Tissue Data'!$C:$C)</f>
        <v>Spill</v>
      </c>
      <c r="C4039" s="2">
        <f>_xlfn.XLOOKUP(A4039,'[1]Tissue Data'!$A:$A,'[1]Tissue Data'!$D:$D)</f>
        <v>44314</v>
      </c>
      <c r="D4039" s="2" t="str">
        <f>_xlfn.XLOOKUP(A4039,'[1]Tissue Data'!$A:$A,'[1]Tissue Data'!$F:$F)</f>
        <v>Banded Killifish</v>
      </c>
      <c r="E4039" t="str">
        <f>_xlfn.XLOOKUP(A4039,'[1]Tissue Data'!$A:$A,'[1]Tissue Data'!$H:$H)</f>
        <v>Fundulus</v>
      </c>
      <c r="F4039" t="str">
        <f>_xlfn.XLOOKUP(A4039,'[1]Tissue Data'!$A:$A,'[1]Tissue Data'!$I:$I)</f>
        <v>diaphanus</v>
      </c>
      <c r="G4039" t="str">
        <f>_xlfn.XLOOKUP(A4039,'[1]Tissue Data'!$A:$A,'[1]Tissue Data'!J:J)</f>
        <v>U</v>
      </c>
      <c r="H4039" t="str">
        <f>_xlfn.XLOOKUP(A4039,'[1]Tissue Data'!$A:$A,'[1]Tissue Data'!K:K)</f>
        <v>Whole Body</v>
      </c>
      <c r="I4039">
        <f>_xlfn.XLOOKUP(A4039,'[1]Tissue Data'!$A:$A,'[1]Tissue Data'!L:L)</f>
        <v>9</v>
      </c>
      <c r="J4039">
        <f>_xlfn.XLOOKUP(A4039,'[1]Tissue Data'!$A:$A,'[1]Tissue Data'!M:M)</f>
        <v>6.75</v>
      </c>
      <c r="K4039" t="s">
        <v>49</v>
      </c>
      <c r="L4039" t="str">
        <f>_xlfn.XLOOKUP(K4039,[2]analyte_order!$B:$B,[2]analyte_order!$C:$C)</f>
        <v>812-70-4</v>
      </c>
      <c r="M4039">
        <f>_xlfn.XLOOKUP(L4039,[2]analyte_order!$C:$C,[2]analyte_order!$E:$E)</f>
        <v>40</v>
      </c>
      <c r="N4039">
        <v>9.48</v>
      </c>
    </row>
    <row r="4040" spans="1:14">
      <c r="A4040" t="s">
        <v>113</v>
      </c>
      <c r="B4040" t="str">
        <f>_xlfn.XLOOKUP(A4040,'[1]Tissue Data'!$A:$A,'[1]Tissue Data'!$C:$C)</f>
        <v>Spill</v>
      </c>
      <c r="C4040" s="2">
        <f>_xlfn.XLOOKUP(A4040,'[1]Tissue Data'!$A:$A,'[1]Tissue Data'!$D:$D)</f>
        <v>44314</v>
      </c>
      <c r="D4040" s="2" t="str">
        <f>_xlfn.XLOOKUP(A4040,'[1]Tissue Data'!$A:$A,'[1]Tissue Data'!$F:$F)</f>
        <v>Banded Killifish</v>
      </c>
      <c r="E4040" t="str">
        <f>_xlfn.XLOOKUP(A4040,'[1]Tissue Data'!$A:$A,'[1]Tissue Data'!$H:$H)</f>
        <v>Fundulus</v>
      </c>
      <c r="F4040" t="str">
        <f>_xlfn.XLOOKUP(A4040,'[1]Tissue Data'!$A:$A,'[1]Tissue Data'!$I:$I)</f>
        <v>diaphanus</v>
      </c>
      <c r="G4040" t="str">
        <f>_xlfn.XLOOKUP(A4040,'[1]Tissue Data'!$A:$A,'[1]Tissue Data'!J:J)</f>
        <v>U</v>
      </c>
      <c r="H4040" t="str">
        <f>_xlfn.XLOOKUP(A4040,'[1]Tissue Data'!$A:$A,'[1]Tissue Data'!K:K)</f>
        <v>Whole Body</v>
      </c>
      <c r="I4040">
        <f>_xlfn.XLOOKUP(A4040,'[1]Tissue Data'!$A:$A,'[1]Tissue Data'!L:L)</f>
        <v>9</v>
      </c>
      <c r="J4040">
        <f>_xlfn.XLOOKUP(A4040,'[1]Tissue Data'!$A:$A,'[1]Tissue Data'!M:M)</f>
        <v>6.75</v>
      </c>
      <c r="K4040" t="s">
        <v>50</v>
      </c>
      <c r="L4040" t="str">
        <f>_xlfn.XLOOKUP(K4040,[2]analyte_order!$B:$B,[2]analyte_order!$C:$C)</f>
        <v>53826-12-3</v>
      </c>
      <c r="M4040">
        <f>_xlfn.XLOOKUP(L4040,[2]analyte_order!$C:$C,[2]analyte_order!$E:$E)</f>
        <v>41</v>
      </c>
      <c r="N4040">
        <v>6.6000000000000003E-2</v>
      </c>
    </row>
    <row r="4041" spans="1:14">
      <c r="A4041" t="s">
        <v>113</v>
      </c>
      <c r="B4041" t="str">
        <f>_xlfn.XLOOKUP(A4041,'[1]Tissue Data'!$A:$A,'[1]Tissue Data'!$C:$C)</f>
        <v>Spill</v>
      </c>
      <c r="C4041" s="2">
        <f>_xlfn.XLOOKUP(A4041,'[1]Tissue Data'!$A:$A,'[1]Tissue Data'!$D:$D)</f>
        <v>44314</v>
      </c>
      <c r="D4041" s="2" t="str">
        <f>_xlfn.XLOOKUP(A4041,'[1]Tissue Data'!$A:$A,'[1]Tissue Data'!$F:$F)</f>
        <v>Banded Killifish</v>
      </c>
      <c r="E4041" t="str">
        <f>_xlfn.XLOOKUP(A4041,'[1]Tissue Data'!$A:$A,'[1]Tissue Data'!$H:$H)</f>
        <v>Fundulus</v>
      </c>
      <c r="F4041" t="str">
        <f>_xlfn.XLOOKUP(A4041,'[1]Tissue Data'!$A:$A,'[1]Tissue Data'!$I:$I)</f>
        <v>diaphanus</v>
      </c>
      <c r="G4041" t="str">
        <f>_xlfn.XLOOKUP(A4041,'[1]Tissue Data'!$A:$A,'[1]Tissue Data'!J:J)</f>
        <v>U</v>
      </c>
      <c r="H4041" t="str">
        <f>_xlfn.XLOOKUP(A4041,'[1]Tissue Data'!$A:$A,'[1]Tissue Data'!K:K)</f>
        <v>Whole Body</v>
      </c>
      <c r="I4041">
        <f>_xlfn.XLOOKUP(A4041,'[1]Tissue Data'!$A:$A,'[1]Tissue Data'!L:L)</f>
        <v>9</v>
      </c>
      <c r="J4041">
        <f>_xlfn.XLOOKUP(A4041,'[1]Tissue Data'!$A:$A,'[1]Tissue Data'!M:M)</f>
        <v>6.75</v>
      </c>
      <c r="K4041" t="s">
        <v>51</v>
      </c>
      <c r="L4041" t="str">
        <f>_xlfn.XLOOKUP(K4041,[2]analyte_order!$B:$B,[2]analyte_order!$C:$C)</f>
        <v>27854-31-5</v>
      </c>
      <c r="M4041">
        <f>_xlfn.XLOOKUP(L4041,[2]analyte_order!$C:$C,[2]analyte_order!$E:$E)</f>
        <v>42</v>
      </c>
      <c r="N4041">
        <v>6.6000000000000003E-2</v>
      </c>
    </row>
    <row r="4042" spans="1:14">
      <c r="A4042" t="s">
        <v>113</v>
      </c>
      <c r="B4042" t="str">
        <f>_xlfn.XLOOKUP(A4042,'[1]Tissue Data'!$A:$A,'[1]Tissue Data'!$C:$C)</f>
        <v>Spill</v>
      </c>
      <c r="C4042" s="2">
        <f>_xlfn.XLOOKUP(A4042,'[1]Tissue Data'!$A:$A,'[1]Tissue Data'!$D:$D)</f>
        <v>44314</v>
      </c>
      <c r="D4042" s="2" t="str">
        <f>_xlfn.XLOOKUP(A4042,'[1]Tissue Data'!$A:$A,'[1]Tissue Data'!$F:$F)</f>
        <v>Banded Killifish</v>
      </c>
      <c r="E4042" t="str">
        <f>_xlfn.XLOOKUP(A4042,'[1]Tissue Data'!$A:$A,'[1]Tissue Data'!$H:$H)</f>
        <v>Fundulus</v>
      </c>
      <c r="F4042" t="str">
        <f>_xlfn.XLOOKUP(A4042,'[1]Tissue Data'!$A:$A,'[1]Tissue Data'!$I:$I)</f>
        <v>diaphanus</v>
      </c>
      <c r="G4042" t="str">
        <f>_xlfn.XLOOKUP(A4042,'[1]Tissue Data'!$A:$A,'[1]Tissue Data'!J:J)</f>
        <v>U</v>
      </c>
      <c r="H4042" t="str">
        <f>_xlfn.XLOOKUP(A4042,'[1]Tissue Data'!$A:$A,'[1]Tissue Data'!K:K)</f>
        <v>Whole Body</v>
      </c>
      <c r="I4042">
        <f>_xlfn.XLOOKUP(A4042,'[1]Tissue Data'!$A:$A,'[1]Tissue Data'!L:L)</f>
        <v>9</v>
      </c>
      <c r="J4042">
        <f>_xlfn.XLOOKUP(A4042,'[1]Tissue Data'!$A:$A,'[1]Tissue Data'!M:M)</f>
        <v>6.75</v>
      </c>
      <c r="K4042" t="s">
        <v>52</v>
      </c>
      <c r="L4042" t="str">
        <f>_xlfn.XLOOKUP(K4042,[2]analyte_order!$B:$B,[2]analyte_order!$C:$C)</f>
        <v>53826-13-4</v>
      </c>
      <c r="M4042">
        <f>_xlfn.XLOOKUP(L4042,[2]analyte_order!$C:$C,[2]analyte_order!$E:$E)</f>
        <v>43</v>
      </c>
      <c r="N4042">
        <v>1.82</v>
      </c>
    </row>
    <row r="4043" spans="1:14">
      <c r="A4043" t="s">
        <v>113</v>
      </c>
      <c r="B4043" t="str">
        <f>_xlfn.XLOOKUP(A4043,'[1]Tissue Data'!$A:$A,'[1]Tissue Data'!$C:$C)</f>
        <v>Spill</v>
      </c>
      <c r="C4043" s="2">
        <f>_xlfn.XLOOKUP(A4043,'[1]Tissue Data'!$A:$A,'[1]Tissue Data'!$D:$D)</f>
        <v>44314</v>
      </c>
      <c r="D4043" s="2" t="str">
        <f>_xlfn.XLOOKUP(A4043,'[1]Tissue Data'!$A:$A,'[1]Tissue Data'!$F:$F)</f>
        <v>Banded Killifish</v>
      </c>
      <c r="E4043" t="str">
        <f>_xlfn.XLOOKUP(A4043,'[1]Tissue Data'!$A:$A,'[1]Tissue Data'!$H:$H)</f>
        <v>Fundulus</v>
      </c>
      <c r="F4043" t="str">
        <f>_xlfn.XLOOKUP(A4043,'[1]Tissue Data'!$A:$A,'[1]Tissue Data'!$I:$I)</f>
        <v>diaphanus</v>
      </c>
      <c r="G4043" t="str">
        <f>_xlfn.XLOOKUP(A4043,'[1]Tissue Data'!$A:$A,'[1]Tissue Data'!J:J)</f>
        <v>U</v>
      </c>
      <c r="H4043" t="str">
        <f>_xlfn.XLOOKUP(A4043,'[1]Tissue Data'!$A:$A,'[1]Tissue Data'!K:K)</f>
        <v>Whole Body</v>
      </c>
      <c r="I4043">
        <f>_xlfn.XLOOKUP(A4043,'[1]Tissue Data'!$A:$A,'[1]Tissue Data'!L:L)</f>
        <v>9</v>
      </c>
      <c r="J4043">
        <f>_xlfn.XLOOKUP(A4043,'[1]Tissue Data'!$A:$A,'[1]Tissue Data'!M:M)</f>
        <v>6.75</v>
      </c>
      <c r="K4043" t="s">
        <v>53</v>
      </c>
      <c r="L4043" t="str">
        <f>_xlfn.XLOOKUP(K4043,[2]analyte_order!$B:$B,[2]analyte_order!$C:$C)</f>
        <v>161094-75-3</v>
      </c>
      <c r="M4043">
        <f>_xlfn.XLOOKUP(L4043,[2]analyte_order!$C:$C,[2]analyte_order!$E:$E)</f>
        <v>44</v>
      </c>
      <c r="N4043">
        <v>5.1499999999999997E-2</v>
      </c>
    </row>
    <row r="4044" spans="1:14">
      <c r="A4044" t="s">
        <v>113</v>
      </c>
      <c r="B4044" t="str">
        <f>_xlfn.XLOOKUP(A4044,'[1]Tissue Data'!$A:$A,'[1]Tissue Data'!$C:$C)</f>
        <v>Spill</v>
      </c>
      <c r="C4044" s="2">
        <f>_xlfn.XLOOKUP(A4044,'[1]Tissue Data'!$A:$A,'[1]Tissue Data'!$D:$D)</f>
        <v>44314</v>
      </c>
      <c r="D4044" s="2" t="str">
        <f>_xlfn.XLOOKUP(A4044,'[1]Tissue Data'!$A:$A,'[1]Tissue Data'!$F:$F)</f>
        <v>Banded Killifish</v>
      </c>
      <c r="E4044" t="str">
        <f>_xlfn.XLOOKUP(A4044,'[1]Tissue Data'!$A:$A,'[1]Tissue Data'!$H:$H)</f>
        <v>Fundulus</v>
      </c>
      <c r="F4044" t="str">
        <f>_xlfn.XLOOKUP(A4044,'[1]Tissue Data'!$A:$A,'[1]Tissue Data'!$I:$I)</f>
        <v>diaphanus</v>
      </c>
      <c r="G4044" t="str">
        <f>_xlfn.XLOOKUP(A4044,'[1]Tissue Data'!$A:$A,'[1]Tissue Data'!J:J)</f>
        <v>U</v>
      </c>
      <c r="H4044" t="str">
        <f>_xlfn.XLOOKUP(A4044,'[1]Tissue Data'!$A:$A,'[1]Tissue Data'!K:K)</f>
        <v>Whole Body</v>
      </c>
      <c r="I4044">
        <f>_xlfn.XLOOKUP(A4044,'[1]Tissue Data'!$A:$A,'[1]Tissue Data'!L:L)</f>
        <v>9</v>
      </c>
      <c r="J4044">
        <f>_xlfn.XLOOKUP(A4044,'[1]Tissue Data'!$A:$A,'[1]Tissue Data'!M:M)</f>
        <v>6.75</v>
      </c>
      <c r="K4044" t="s">
        <v>54</v>
      </c>
      <c r="L4044" t="str">
        <f>_xlfn.XLOOKUP(K4044,[2]analyte_order!$B:$B,[2]analyte_order!$C:$C)</f>
        <v>70887-84-2</v>
      </c>
      <c r="M4044">
        <f>_xlfn.XLOOKUP(L4044,[2]analyte_order!$C:$C,[2]analyte_order!$E:$E)</f>
        <v>45</v>
      </c>
      <c r="N4044">
        <v>3.9699999999999999E-2</v>
      </c>
    </row>
    <row r="4045" spans="1:14">
      <c r="A4045" t="s">
        <v>113</v>
      </c>
      <c r="B4045" t="str">
        <f>_xlfn.XLOOKUP(A4045,'[1]Tissue Data'!$A:$A,'[1]Tissue Data'!$C:$C)</f>
        <v>Spill</v>
      </c>
      <c r="C4045" s="2">
        <f>_xlfn.XLOOKUP(A4045,'[1]Tissue Data'!$A:$A,'[1]Tissue Data'!$D:$D)</f>
        <v>44314</v>
      </c>
      <c r="D4045" s="2" t="str">
        <f>_xlfn.XLOOKUP(A4045,'[1]Tissue Data'!$A:$A,'[1]Tissue Data'!$F:$F)</f>
        <v>Banded Killifish</v>
      </c>
      <c r="E4045" t="str">
        <f>_xlfn.XLOOKUP(A4045,'[1]Tissue Data'!$A:$A,'[1]Tissue Data'!$H:$H)</f>
        <v>Fundulus</v>
      </c>
      <c r="F4045" t="str">
        <f>_xlfn.XLOOKUP(A4045,'[1]Tissue Data'!$A:$A,'[1]Tissue Data'!$I:$I)</f>
        <v>diaphanus</v>
      </c>
      <c r="G4045" t="str">
        <f>_xlfn.XLOOKUP(A4045,'[1]Tissue Data'!$A:$A,'[1]Tissue Data'!J:J)</f>
        <v>U</v>
      </c>
      <c r="H4045" t="str">
        <f>_xlfn.XLOOKUP(A4045,'[1]Tissue Data'!$A:$A,'[1]Tissue Data'!K:K)</f>
        <v>Whole Body</v>
      </c>
      <c r="I4045">
        <f>_xlfn.XLOOKUP(A4045,'[1]Tissue Data'!$A:$A,'[1]Tissue Data'!L:L)</f>
        <v>9</v>
      </c>
      <c r="J4045">
        <f>_xlfn.XLOOKUP(A4045,'[1]Tissue Data'!$A:$A,'[1]Tissue Data'!M:M)</f>
        <v>6.75</v>
      </c>
      <c r="K4045" t="s">
        <v>55</v>
      </c>
      <c r="L4045" t="str">
        <f>_xlfn.XLOOKUP(K4045,[2]analyte_order!$B:$B,[2]analyte_order!$C:$C)</f>
        <v>919005-14-4</v>
      </c>
      <c r="M4045">
        <f>_xlfn.XLOOKUP(L4045,[2]analyte_order!$C:$C,[2]analyte_order!$E:$E)</f>
        <v>35</v>
      </c>
      <c r="N4045">
        <v>6.6000000000000003E-2</v>
      </c>
    </row>
    <row r="4046" spans="1:14">
      <c r="A4046" t="s">
        <v>113</v>
      </c>
      <c r="B4046" t="str">
        <f>_xlfn.XLOOKUP(A4046,'[1]Tissue Data'!$A:$A,'[1]Tissue Data'!$C:$C)</f>
        <v>Spill</v>
      </c>
      <c r="C4046" s="2">
        <f>_xlfn.XLOOKUP(A4046,'[1]Tissue Data'!$A:$A,'[1]Tissue Data'!$D:$D)</f>
        <v>44314</v>
      </c>
      <c r="D4046" s="2" t="str">
        <f>_xlfn.XLOOKUP(A4046,'[1]Tissue Data'!$A:$A,'[1]Tissue Data'!$F:$F)</f>
        <v>Banded Killifish</v>
      </c>
      <c r="E4046" t="str">
        <f>_xlfn.XLOOKUP(A4046,'[1]Tissue Data'!$A:$A,'[1]Tissue Data'!$H:$H)</f>
        <v>Fundulus</v>
      </c>
      <c r="F4046" t="str">
        <f>_xlfn.XLOOKUP(A4046,'[1]Tissue Data'!$A:$A,'[1]Tissue Data'!$I:$I)</f>
        <v>diaphanus</v>
      </c>
      <c r="G4046" t="str">
        <f>_xlfn.XLOOKUP(A4046,'[1]Tissue Data'!$A:$A,'[1]Tissue Data'!J:J)</f>
        <v>U</v>
      </c>
      <c r="H4046" t="str">
        <f>_xlfn.XLOOKUP(A4046,'[1]Tissue Data'!$A:$A,'[1]Tissue Data'!K:K)</f>
        <v>Whole Body</v>
      </c>
      <c r="I4046">
        <f>_xlfn.XLOOKUP(A4046,'[1]Tissue Data'!$A:$A,'[1]Tissue Data'!L:L)</f>
        <v>9</v>
      </c>
      <c r="J4046">
        <f>_xlfn.XLOOKUP(A4046,'[1]Tissue Data'!$A:$A,'[1]Tissue Data'!M:M)</f>
        <v>6.75</v>
      </c>
      <c r="K4046" t="s">
        <v>56</v>
      </c>
      <c r="L4046" t="str">
        <f>_xlfn.XLOOKUP(K4046,[2]analyte_order!$B:$B,[2]analyte_order!$C:$C)</f>
        <v>756426-58-1</v>
      </c>
      <c r="M4046">
        <f>_xlfn.XLOOKUP(L4046,[2]analyte_order!$C:$C,[2]analyte_order!$E:$E)</f>
        <v>36</v>
      </c>
      <c r="N4046">
        <v>6.6000000000000003E-2</v>
      </c>
    </row>
    <row r="4047" spans="1:14">
      <c r="A4047" t="s">
        <v>113</v>
      </c>
      <c r="B4047" t="str">
        <f>_xlfn.XLOOKUP(A4047,'[1]Tissue Data'!$A:$A,'[1]Tissue Data'!$C:$C)</f>
        <v>Spill</v>
      </c>
      <c r="C4047" s="2">
        <f>_xlfn.XLOOKUP(A4047,'[1]Tissue Data'!$A:$A,'[1]Tissue Data'!$D:$D)</f>
        <v>44314</v>
      </c>
      <c r="D4047" s="2" t="str">
        <f>_xlfn.XLOOKUP(A4047,'[1]Tissue Data'!$A:$A,'[1]Tissue Data'!$F:$F)</f>
        <v>Banded Killifish</v>
      </c>
      <c r="E4047" t="str">
        <f>_xlfn.XLOOKUP(A4047,'[1]Tissue Data'!$A:$A,'[1]Tissue Data'!$H:$H)</f>
        <v>Fundulus</v>
      </c>
      <c r="F4047" t="str">
        <f>_xlfn.XLOOKUP(A4047,'[1]Tissue Data'!$A:$A,'[1]Tissue Data'!$I:$I)</f>
        <v>diaphanus</v>
      </c>
      <c r="G4047" t="str">
        <f>_xlfn.XLOOKUP(A4047,'[1]Tissue Data'!$A:$A,'[1]Tissue Data'!J:J)</f>
        <v>U</v>
      </c>
      <c r="H4047" t="str">
        <f>_xlfn.XLOOKUP(A4047,'[1]Tissue Data'!$A:$A,'[1]Tissue Data'!K:K)</f>
        <v>Whole Body</v>
      </c>
      <c r="I4047">
        <f>_xlfn.XLOOKUP(A4047,'[1]Tissue Data'!$A:$A,'[1]Tissue Data'!L:L)</f>
        <v>9</v>
      </c>
      <c r="J4047">
        <f>_xlfn.XLOOKUP(A4047,'[1]Tissue Data'!$A:$A,'[1]Tissue Data'!M:M)</f>
        <v>6.75</v>
      </c>
      <c r="K4047" t="s">
        <v>57</v>
      </c>
      <c r="L4047" t="str">
        <f>_xlfn.XLOOKUP(K4047,[2]analyte_order!$B:$B,[2]analyte_order!$C:$C)</f>
        <v>763051-92-9</v>
      </c>
      <c r="M4047">
        <f>_xlfn.XLOOKUP(L4047,[2]analyte_order!$C:$C,[2]analyte_order!$E:$E)</f>
        <v>37</v>
      </c>
      <c r="N4047">
        <v>6.6000000000000003E-2</v>
      </c>
    </row>
    <row r="4048" spans="1:14">
      <c r="A4048" t="s">
        <v>113</v>
      </c>
      <c r="B4048" t="str">
        <f>_xlfn.XLOOKUP(A4048,'[1]Tissue Data'!$A:$A,'[1]Tissue Data'!$C:$C)</f>
        <v>Spill</v>
      </c>
      <c r="C4048" s="2">
        <f>_xlfn.XLOOKUP(A4048,'[1]Tissue Data'!$A:$A,'[1]Tissue Data'!$D:$D)</f>
        <v>44314</v>
      </c>
      <c r="D4048" s="2" t="str">
        <f>_xlfn.XLOOKUP(A4048,'[1]Tissue Data'!$A:$A,'[1]Tissue Data'!$F:$F)</f>
        <v>Banded Killifish</v>
      </c>
      <c r="E4048" t="str">
        <f>_xlfn.XLOOKUP(A4048,'[1]Tissue Data'!$A:$A,'[1]Tissue Data'!$H:$H)</f>
        <v>Fundulus</v>
      </c>
      <c r="F4048" t="str">
        <f>_xlfn.XLOOKUP(A4048,'[1]Tissue Data'!$A:$A,'[1]Tissue Data'!$I:$I)</f>
        <v>diaphanus</v>
      </c>
      <c r="G4048" t="str">
        <f>_xlfn.XLOOKUP(A4048,'[1]Tissue Data'!$A:$A,'[1]Tissue Data'!J:J)</f>
        <v>U</v>
      </c>
      <c r="H4048" t="str">
        <f>_xlfn.XLOOKUP(A4048,'[1]Tissue Data'!$A:$A,'[1]Tissue Data'!K:K)</f>
        <v>Whole Body</v>
      </c>
      <c r="I4048">
        <f>_xlfn.XLOOKUP(A4048,'[1]Tissue Data'!$A:$A,'[1]Tissue Data'!L:L)</f>
        <v>9</v>
      </c>
      <c r="J4048">
        <f>_xlfn.XLOOKUP(A4048,'[1]Tissue Data'!$A:$A,'[1]Tissue Data'!M:M)</f>
        <v>6.75</v>
      </c>
      <c r="K4048" t="s">
        <v>58</v>
      </c>
      <c r="L4048" t="str">
        <f>_xlfn.XLOOKUP(K4048,[2]analyte_order!$B:$B,[2]analyte_order!$C:$C)</f>
        <v>13252-13-6</v>
      </c>
      <c r="M4048">
        <f>_xlfn.XLOOKUP(L4048,[2]analyte_order!$C:$C,[2]analyte_order!$E:$E)</f>
        <v>34</v>
      </c>
      <c r="N4048">
        <v>9.4E-2</v>
      </c>
    </row>
    <row r="4049" spans="1:14">
      <c r="A4049" t="s">
        <v>113</v>
      </c>
      <c r="B4049" t="str">
        <f>_xlfn.XLOOKUP(A4049,'[1]Tissue Data'!$A:$A,'[1]Tissue Data'!$C:$C)</f>
        <v>Spill</v>
      </c>
      <c r="C4049" s="2">
        <f>_xlfn.XLOOKUP(A4049,'[1]Tissue Data'!$A:$A,'[1]Tissue Data'!$D:$D)</f>
        <v>44314</v>
      </c>
      <c r="D4049" s="2" t="str">
        <f>_xlfn.XLOOKUP(A4049,'[1]Tissue Data'!$A:$A,'[1]Tissue Data'!$F:$F)</f>
        <v>Banded Killifish</v>
      </c>
      <c r="E4049" t="str">
        <f>_xlfn.XLOOKUP(A4049,'[1]Tissue Data'!$A:$A,'[1]Tissue Data'!$H:$H)</f>
        <v>Fundulus</v>
      </c>
      <c r="F4049" t="str">
        <f>_xlfn.XLOOKUP(A4049,'[1]Tissue Data'!$A:$A,'[1]Tissue Data'!$I:$I)</f>
        <v>diaphanus</v>
      </c>
      <c r="G4049" t="str">
        <f>_xlfn.XLOOKUP(A4049,'[1]Tissue Data'!$A:$A,'[1]Tissue Data'!J:J)</f>
        <v>U</v>
      </c>
      <c r="H4049" t="str">
        <f>_xlfn.XLOOKUP(A4049,'[1]Tissue Data'!$A:$A,'[1]Tissue Data'!K:K)</f>
        <v>Whole Body</v>
      </c>
      <c r="I4049">
        <f>_xlfn.XLOOKUP(A4049,'[1]Tissue Data'!$A:$A,'[1]Tissue Data'!L:L)</f>
        <v>9</v>
      </c>
      <c r="J4049">
        <f>_xlfn.XLOOKUP(A4049,'[1]Tissue Data'!$A:$A,'[1]Tissue Data'!M:M)</f>
        <v>6.75</v>
      </c>
      <c r="K4049" t="s">
        <v>59</v>
      </c>
      <c r="L4049" t="str">
        <f>_xlfn.XLOOKUP(K4049,[2]analyte_order!$B:$B,[2]analyte_order!$C:$C)</f>
        <v>57677-95-9</v>
      </c>
      <c r="M4049">
        <f>_xlfn.XLOOKUP(L4049,[2]analyte_order!$C:$C,[2]analyte_order!$E:$E)</f>
        <v>46</v>
      </c>
      <c r="N4049">
        <v>7.0000000000000007E-2</v>
      </c>
    </row>
    <row r="4050" spans="1:14">
      <c r="A4050" t="s">
        <v>113</v>
      </c>
      <c r="B4050" t="str">
        <f>_xlfn.XLOOKUP(A4050,'[1]Tissue Data'!$A:$A,'[1]Tissue Data'!$C:$C)</f>
        <v>Spill</v>
      </c>
      <c r="C4050" s="2">
        <f>_xlfn.XLOOKUP(A4050,'[1]Tissue Data'!$A:$A,'[1]Tissue Data'!$D:$D)</f>
        <v>44314</v>
      </c>
      <c r="D4050" s="2" t="str">
        <f>_xlfn.XLOOKUP(A4050,'[1]Tissue Data'!$A:$A,'[1]Tissue Data'!$F:$F)</f>
        <v>Banded Killifish</v>
      </c>
      <c r="E4050" t="str">
        <f>_xlfn.XLOOKUP(A4050,'[1]Tissue Data'!$A:$A,'[1]Tissue Data'!$H:$H)</f>
        <v>Fundulus</v>
      </c>
      <c r="F4050" t="str">
        <f>_xlfn.XLOOKUP(A4050,'[1]Tissue Data'!$A:$A,'[1]Tissue Data'!$I:$I)</f>
        <v>diaphanus</v>
      </c>
      <c r="G4050" t="str">
        <f>_xlfn.XLOOKUP(A4050,'[1]Tissue Data'!$A:$A,'[1]Tissue Data'!J:J)</f>
        <v>U</v>
      </c>
      <c r="H4050" t="str">
        <f>_xlfn.XLOOKUP(A4050,'[1]Tissue Data'!$A:$A,'[1]Tissue Data'!K:K)</f>
        <v>Whole Body</v>
      </c>
      <c r="I4050">
        <f>_xlfn.XLOOKUP(A4050,'[1]Tissue Data'!$A:$A,'[1]Tissue Data'!L:L)</f>
        <v>9</v>
      </c>
      <c r="J4050">
        <f>_xlfn.XLOOKUP(A4050,'[1]Tissue Data'!$A:$A,'[1]Tissue Data'!M:M)</f>
        <v>6.75</v>
      </c>
      <c r="K4050" t="s">
        <v>60</v>
      </c>
      <c r="L4050" t="str">
        <f>_xlfn.XLOOKUP(K4050,[2]analyte_order!$B:$B,[2]analyte_order!$C:$C)</f>
        <v>678-41-1</v>
      </c>
      <c r="M4050">
        <f>_xlfn.XLOOKUP(L4050,[2]analyte_order!$C:$C,[2]analyte_order!$E:$E)</f>
        <v>56</v>
      </c>
      <c r="N4050">
        <v>8.6999999999999994E-2</v>
      </c>
    </row>
    <row r="4051" spans="1:14">
      <c r="A4051" t="s">
        <v>113</v>
      </c>
      <c r="B4051" t="str">
        <f>_xlfn.XLOOKUP(A4051,'[1]Tissue Data'!$A:$A,'[1]Tissue Data'!$C:$C)</f>
        <v>Spill</v>
      </c>
      <c r="C4051" s="2">
        <f>_xlfn.XLOOKUP(A4051,'[1]Tissue Data'!$A:$A,'[1]Tissue Data'!$D:$D)</f>
        <v>44314</v>
      </c>
      <c r="D4051" s="2" t="str">
        <f>_xlfn.XLOOKUP(A4051,'[1]Tissue Data'!$A:$A,'[1]Tissue Data'!$F:$F)</f>
        <v>Banded Killifish</v>
      </c>
      <c r="E4051" t="str">
        <f>_xlfn.XLOOKUP(A4051,'[1]Tissue Data'!$A:$A,'[1]Tissue Data'!$H:$H)</f>
        <v>Fundulus</v>
      </c>
      <c r="F4051" t="str">
        <f>_xlfn.XLOOKUP(A4051,'[1]Tissue Data'!$A:$A,'[1]Tissue Data'!$I:$I)</f>
        <v>diaphanus</v>
      </c>
      <c r="G4051" t="str">
        <f>_xlfn.XLOOKUP(A4051,'[1]Tissue Data'!$A:$A,'[1]Tissue Data'!J:J)</f>
        <v>U</v>
      </c>
      <c r="H4051" t="str">
        <f>_xlfn.XLOOKUP(A4051,'[1]Tissue Data'!$A:$A,'[1]Tissue Data'!K:K)</f>
        <v>Whole Body</v>
      </c>
      <c r="I4051">
        <f>_xlfn.XLOOKUP(A4051,'[1]Tissue Data'!$A:$A,'[1]Tissue Data'!L:L)</f>
        <v>9</v>
      </c>
      <c r="J4051">
        <f>_xlfn.XLOOKUP(A4051,'[1]Tissue Data'!$A:$A,'[1]Tissue Data'!M:M)</f>
        <v>6.75</v>
      </c>
      <c r="K4051" t="s">
        <v>61</v>
      </c>
      <c r="L4051" t="str">
        <f>_xlfn.XLOOKUP(K4051,[2]analyte_order!$B:$B,[2]analyte_order!$C:$C)</f>
        <v>2965-52-8</v>
      </c>
      <c r="M4051">
        <f>_xlfn.XLOOKUP(L4051,[2]analyte_order!$C:$C,[2]analyte_order!$E:$E)</f>
        <v>57</v>
      </c>
      <c r="N4051">
        <v>0.11550000000000001</v>
      </c>
    </row>
    <row r="4052" spans="1:14">
      <c r="A4052" t="s">
        <v>260</v>
      </c>
      <c r="B4052" t="str">
        <f>_xlfn.XLOOKUP(A4052,'[1]Tissue Data'!$A:$A,'[1]Tissue Data'!$C:$C)</f>
        <v>Spill</v>
      </c>
      <c r="C4052" s="2">
        <f>_xlfn.XLOOKUP(A4052,'[1]Tissue Data'!$A:$A,'[1]Tissue Data'!$D:$D)</f>
        <v>44393</v>
      </c>
      <c r="D4052" s="2" t="str">
        <f>_xlfn.XLOOKUP(A4052,'[1]Tissue Data'!$A:$A,'[1]Tissue Data'!$F:$F)</f>
        <v>Pumpkinseed</v>
      </c>
      <c r="E4052" t="str">
        <f>_xlfn.XLOOKUP(A4052,'[1]Tissue Data'!$A:$A,'[1]Tissue Data'!$H:$H)</f>
        <v>Lepomis</v>
      </c>
      <c r="F4052" t="str">
        <f>_xlfn.XLOOKUP(A4052,'[1]Tissue Data'!$A:$A,'[1]Tissue Data'!$I:$I)</f>
        <v>gibbosus</v>
      </c>
      <c r="G4052" t="str">
        <f>_xlfn.XLOOKUP(A4052,'[1]Tissue Data'!$A:$A,'[1]Tissue Data'!J:J)</f>
        <v>U</v>
      </c>
      <c r="H4052" t="str">
        <f>_xlfn.XLOOKUP(A4052,'[1]Tissue Data'!$A:$A,'[1]Tissue Data'!K:K)</f>
        <v>Whole Body</v>
      </c>
      <c r="I4052">
        <f>_xlfn.XLOOKUP(A4052,'[1]Tissue Data'!$A:$A,'[1]Tissue Data'!L:L)</f>
        <v>9.5</v>
      </c>
      <c r="J4052">
        <f>_xlfn.XLOOKUP(A4052,'[1]Tissue Data'!$A:$A,'[1]Tissue Data'!M:M)</f>
        <v>18.28</v>
      </c>
      <c r="K4052" t="s">
        <v>12</v>
      </c>
      <c r="L4052" t="str">
        <f>_xlfn.XLOOKUP(K4052,[2]analyte_order!$B:$B,[2]analyte_order!$C:$C)</f>
        <v>375-22-4</v>
      </c>
      <c r="M4052">
        <f>_xlfn.XLOOKUP(L4052,[2]analyte_order!$C:$C,[2]analyte_order!$E:$E)</f>
        <v>1</v>
      </c>
      <c r="N4052">
        <v>0.23150000000000001</v>
      </c>
    </row>
    <row r="4053" spans="1:14">
      <c r="A4053" t="s">
        <v>260</v>
      </c>
      <c r="B4053" t="str">
        <f>_xlfn.XLOOKUP(A4053,'[1]Tissue Data'!$A:$A,'[1]Tissue Data'!$C:$C)</f>
        <v>Spill</v>
      </c>
      <c r="C4053" s="2">
        <f>_xlfn.XLOOKUP(A4053,'[1]Tissue Data'!$A:$A,'[1]Tissue Data'!$D:$D)</f>
        <v>44393</v>
      </c>
      <c r="D4053" s="2" t="str">
        <f>_xlfn.XLOOKUP(A4053,'[1]Tissue Data'!$A:$A,'[1]Tissue Data'!$F:$F)</f>
        <v>Pumpkinseed</v>
      </c>
      <c r="E4053" t="str">
        <f>_xlfn.XLOOKUP(A4053,'[1]Tissue Data'!$A:$A,'[1]Tissue Data'!$H:$H)</f>
        <v>Lepomis</v>
      </c>
      <c r="F4053" t="str">
        <f>_xlfn.XLOOKUP(A4053,'[1]Tissue Data'!$A:$A,'[1]Tissue Data'!$I:$I)</f>
        <v>gibbosus</v>
      </c>
      <c r="G4053" t="str">
        <f>_xlfn.XLOOKUP(A4053,'[1]Tissue Data'!$A:$A,'[1]Tissue Data'!J:J)</f>
        <v>U</v>
      </c>
      <c r="H4053" t="str">
        <f>_xlfn.XLOOKUP(A4053,'[1]Tissue Data'!$A:$A,'[1]Tissue Data'!K:K)</f>
        <v>Whole Body</v>
      </c>
      <c r="I4053">
        <f>_xlfn.XLOOKUP(A4053,'[1]Tissue Data'!$A:$A,'[1]Tissue Data'!L:L)</f>
        <v>9.5</v>
      </c>
      <c r="J4053">
        <f>_xlfn.XLOOKUP(A4053,'[1]Tissue Data'!$A:$A,'[1]Tissue Data'!M:M)</f>
        <v>18.28</v>
      </c>
      <c r="K4053" t="s">
        <v>13</v>
      </c>
      <c r="L4053" t="str">
        <f>_xlfn.XLOOKUP(K4053,[2]analyte_order!$B:$B,[2]analyte_order!$C:$C)</f>
        <v>2706-90-3</v>
      </c>
      <c r="M4053">
        <f>_xlfn.XLOOKUP(L4053,[2]analyte_order!$C:$C,[2]analyte_order!$E:$E)</f>
        <v>2</v>
      </c>
      <c r="N4053">
        <v>4.9549999999999997E-2</v>
      </c>
    </row>
    <row r="4054" spans="1:14">
      <c r="A4054" t="s">
        <v>260</v>
      </c>
      <c r="B4054" t="str">
        <f>_xlfn.XLOOKUP(A4054,'[1]Tissue Data'!$A:$A,'[1]Tissue Data'!$C:$C)</f>
        <v>Spill</v>
      </c>
      <c r="C4054" s="2">
        <f>_xlfn.XLOOKUP(A4054,'[1]Tissue Data'!$A:$A,'[1]Tissue Data'!$D:$D)</f>
        <v>44393</v>
      </c>
      <c r="D4054" s="2" t="str">
        <f>_xlfn.XLOOKUP(A4054,'[1]Tissue Data'!$A:$A,'[1]Tissue Data'!$F:$F)</f>
        <v>Pumpkinseed</v>
      </c>
      <c r="E4054" t="str">
        <f>_xlfn.XLOOKUP(A4054,'[1]Tissue Data'!$A:$A,'[1]Tissue Data'!$H:$H)</f>
        <v>Lepomis</v>
      </c>
      <c r="F4054" t="str">
        <f>_xlfn.XLOOKUP(A4054,'[1]Tissue Data'!$A:$A,'[1]Tissue Data'!$I:$I)</f>
        <v>gibbosus</v>
      </c>
      <c r="G4054" t="str">
        <f>_xlfn.XLOOKUP(A4054,'[1]Tissue Data'!$A:$A,'[1]Tissue Data'!J:J)</f>
        <v>U</v>
      </c>
      <c r="H4054" t="str">
        <f>_xlfn.XLOOKUP(A4054,'[1]Tissue Data'!$A:$A,'[1]Tissue Data'!K:K)</f>
        <v>Whole Body</v>
      </c>
      <c r="I4054">
        <f>_xlfn.XLOOKUP(A4054,'[1]Tissue Data'!$A:$A,'[1]Tissue Data'!L:L)</f>
        <v>9.5</v>
      </c>
      <c r="J4054">
        <f>_xlfn.XLOOKUP(A4054,'[1]Tissue Data'!$A:$A,'[1]Tissue Data'!M:M)</f>
        <v>18.28</v>
      </c>
      <c r="K4054" t="s">
        <v>14</v>
      </c>
      <c r="L4054" t="str">
        <f>_xlfn.XLOOKUP(K4054,[2]analyte_order!$B:$B,[2]analyte_order!$C:$C)</f>
        <v>307-24-4</v>
      </c>
      <c r="M4054">
        <f>_xlfn.XLOOKUP(L4054,[2]analyte_order!$C:$C,[2]analyte_order!$E:$E)</f>
        <v>3</v>
      </c>
      <c r="N4054">
        <v>3.7900000000000003E-2</v>
      </c>
    </row>
    <row r="4055" spans="1:14">
      <c r="A4055" t="s">
        <v>260</v>
      </c>
      <c r="B4055" t="str">
        <f>_xlfn.XLOOKUP(A4055,'[1]Tissue Data'!$A:$A,'[1]Tissue Data'!$C:$C)</f>
        <v>Spill</v>
      </c>
      <c r="C4055" s="2">
        <f>_xlfn.XLOOKUP(A4055,'[1]Tissue Data'!$A:$A,'[1]Tissue Data'!$D:$D)</f>
        <v>44393</v>
      </c>
      <c r="D4055" s="2" t="str">
        <f>_xlfn.XLOOKUP(A4055,'[1]Tissue Data'!$A:$A,'[1]Tissue Data'!$F:$F)</f>
        <v>Pumpkinseed</v>
      </c>
      <c r="E4055" t="str">
        <f>_xlfn.XLOOKUP(A4055,'[1]Tissue Data'!$A:$A,'[1]Tissue Data'!$H:$H)</f>
        <v>Lepomis</v>
      </c>
      <c r="F4055" t="str">
        <f>_xlfn.XLOOKUP(A4055,'[1]Tissue Data'!$A:$A,'[1]Tissue Data'!$I:$I)</f>
        <v>gibbosus</v>
      </c>
      <c r="G4055" t="str">
        <f>_xlfn.XLOOKUP(A4055,'[1]Tissue Data'!$A:$A,'[1]Tissue Data'!J:J)</f>
        <v>U</v>
      </c>
      <c r="H4055" t="str">
        <f>_xlfn.XLOOKUP(A4055,'[1]Tissue Data'!$A:$A,'[1]Tissue Data'!K:K)</f>
        <v>Whole Body</v>
      </c>
      <c r="I4055">
        <f>_xlfn.XLOOKUP(A4055,'[1]Tissue Data'!$A:$A,'[1]Tissue Data'!L:L)</f>
        <v>9.5</v>
      </c>
      <c r="J4055">
        <f>_xlfn.XLOOKUP(A4055,'[1]Tissue Data'!$A:$A,'[1]Tissue Data'!M:M)</f>
        <v>18.28</v>
      </c>
      <c r="K4055" t="s">
        <v>15</v>
      </c>
      <c r="L4055" t="str">
        <f>_xlfn.XLOOKUP(K4055,[2]analyte_order!$B:$B,[2]analyte_order!$C:$C)</f>
        <v>375-85-9</v>
      </c>
      <c r="M4055">
        <f>_xlfn.XLOOKUP(L4055,[2]analyte_order!$C:$C,[2]analyte_order!$E:$E)</f>
        <v>4</v>
      </c>
      <c r="N4055">
        <v>9.2499999999999999E-2</v>
      </c>
    </row>
    <row r="4056" spans="1:14">
      <c r="A4056" t="s">
        <v>260</v>
      </c>
      <c r="B4056" t="str">
        <f>_xlfn.XLOOKUP(A4056,'[1]Tissue Data'!$A:$A,'[1]Tissue Data'!$C:$C)</f>
        <v>Spill</v>
      </c>
      <c r="C4056" s="2">
        <f>_xlfn.XLOOKUP(A4056,'[1]Tissue Data'!$A:$A,'[1]Tissue Data'!$D:$D)</f>
        <v>44393</v>
      </c>
      <c r="D4056" s="2" t="str">
        <f>_xlfn.XLOOKUP(A4056,'[1]Tissue Data'!$A:$A,'[1]Tissue Data'!$F:$F)</f>
        <v>Pumpkinseed</v>
      </c>
      <c r="E4056" t="str">
        <f>_xlfn.XLOOKUP(A4056,'[1]Tissue Data'!$A:$A,'[1]Tissue Data'!$H:$H)</f>
        <v>Lepomis</v>
      </c>
      <c r="F4056" t="str">
        <f>_xlfn.XLOOKUP(A4056,'[1]Tissue Data'!$A:$A,'[1]Tissue Data'!$I:$I)</f>
        <v>gibbosus</v>
      </c>
      <c r="G4056" t="str">
        <f>_xlfn.XLOOKUP(A4056,'[1]Tissue Data'!$A:$A,'[1]Tissue Data'!J:J)</f>
        <v>U</v>
      </c>
      <c r="H4056" t="str">
        <f>_xlfn.XLOOKUP(A4056,'[1]Tissue Data'!$A:$A,'[1]Tissue Data'!K:K)</f>
        <v>Whole Body</v>
      </c>
      <c r="I4056">
        <f>_xlfn.XLOOKUP(A4056,'[1]Tissue Data'!$A:$A,'[1]Tissue Data'!L:L)</f>
        <v>9.5</v>
      </c>
      <c r="J4056">
        <f>_xlfn.XLOOKUP(A4056,'[1]Tissue Data'!$A:$A,'[1]Tissue Data'!M:M)</f>
        <v>18.28</v>
      </c>
      <c r="K4056" t="s">
        <v>16</v>
      </c>
      <c r="L4056" t="str">
        <f>_xlfn.XLOOKUP(K4056,[2]analyte_order!$B:$B,[2]analyte_order!$C:$C)</f>
        <v>335-67-1</v>
      </c>
      <c r="M4056">
        <f>_xlfn.XLOOKUP(L4056,[2]analyte_order!$C:$C,[2]analyte_order!$E:$E)</f>
        <v>5</v>
      </c>
      <c r="N4056">
        <v>0.60799999999999998</v>
      </c>
    </row>
    <row r="4057" spans="1:14">
      <c r="A4057" t="s">
        <v>260</v>
      </c>
      <c r="B4057" t="str">
        <f>_xlfn.XLOOKUP(A4057,'[1]Tissue Data'!$A:$A,'[1]Tissue Data'!$C:$C)</f>
        <v>Spill</v>
      </c>
      <c r="C4057" s="2">
        <f>_xlfn.XLOOKUP(A4057,'[1]Tissue Data'!$A:$A,'[1]Tissue Data'!$D:$D)</f>
        <v>44393</v>
      </c>
      <c r="D4057" s="2" t="str">
        <f>_xlfn.XLOOKUP(A4057,'[1]Tissue Data'!$A:$A,'[1]Tissue Data'!$F:$F)</f>
        <v>Pumpkinseed</v>
      </c>
      <c r="E4057" t="str">
        <f>_xlfn.XLOOKUP(A4057,'[1]Tissue Data'!$A:$A,'[1]Tissue Data'!$H:$H)</f>
        <v>Lepomis</v>
      </c>
      <c r="F4057" t="str">
        <f>_xlfn.XLOOKUP(A4057,'[1]Tissue Data'!$A:$A,'[1]Tissue Data'!$I:$I)</f>
        <v>gibbosus</v>
      </c>
      <c r="G4057" t="str">
        <f>_xlfn.XLOOKUP(A4057,'[1]Tissue Data'!$A:$A,'[1]Tissue Data'!J:J)</f>
        <v>U</v>
      </c>
      <c r="H4057" t="str">
        <f>_xlfn.XLOOKUP(A4057,'[1]Tissue Data'!$A:$A,'[1]Tissue Data'!K:K)</f>
        <v>Whole Body</v>
      </c>
      <c r="I4057">
        <f>_xlfn.XLOOKUP(A4057,'[1]Tissue Data'!$A:$A,'[1]Tissue Data'!L:L)</f>
        <v>9.5</v>
      </c>
      <c r="J4057">
        <f>_xlfn.XLOOKUP(A4057,'[1]Tissue Data'!$A:$A,'[1]Tissue Data'!M:M)</f>
        <v>18.28</v>
      </c>
      <c r="K4057" t="s">
        <v>17</v>
      </c>
      <c r="L4057" t="str">
        <f>_xlfn.XLOOKUP(K4057,[2]analyte_order!$B:$B,[2]analyte_order!$C:$C)</f>
        <v>375-95-1</v>
      </c>
      <c r="M4057">
        <f>_xlfn.XLOOKUP(L4057,[2]analyte_order!$C:$C,[2]analyte_order!$E:$E)</f>
        <v>6</v>
      </c>
      <c r="N4057">
        <v>0.53700000000000003</v>
      </c>
    </row>
    <row r="4058" spans="1:14">
      <c r="A4058" t="s">
        <v>260</v>
      </c>
      <c r="B4058" t="str">
        <f>_xlfn.XLOOKUP(A4058,'[1]Tissue Data'!$A:$A,'[1]Tissue Data'!$C:$C)</f>
        <v>Spill</v>
      </c>
      <c r="C4058" s="2">
        <f>_xlfn.XLOOKUP(A4058,'[1]Tissue Data'!$A:$A,'[1]Tissue Data'!$D:$D)</f>
        <v>44393</v>
      </c>
      <c r="D4058" s="2" t="str">
        <f>_xlfn.XLOOKUP(A4058,'[1]Tissue Data'!$A:$A,'[1]Tissue Data'!$F:$F)</f>
        <v>Pumpkinseed</v>
      </c>
      <c r="E4058" t="str">
        <f>_xlfn.XLOOKUP(A4058,'[1]Tissue Data'!$A:$A,'[1]Tissue Data'!$H:$H)</f>
        <v>Lepomis</v>
      </c>
      <c r="F4058" t="str">
        <f>_xlfn.XLOOKUP(A4058,'[1]Tissue Data'!$A:$A,'[1]Tissue Data'!$I:$I)</f>
        <v>gibbosus</v>
      </c>
      <c r="G4058" t="str">
        <f>_xlfn.XLOOKUP(A4058,'[1]Tissue Data'!$A:$A,'[1]Tissue Data'!J:J)</f>
        <v>U</v>
      </c>
      <c r="H4058" t="str">
        <f>_xlfn.XLOOKUP(A4058,'[1]Tissue Data'!$A:$A,'[1]Tissue Data'!K:K)</f>
        <v>Whole Body</v>
      </c>
      <c r="I4058">
        <f>_xlfn.XLOOKUP(A4058,'[1]Tissue Data'!$A:$A,'[1]Tissue Data'!L:L)</f>
        <v>9.5</v>
      </c>
      <c r="J4058">
        <f>_xlfn.XLOOKUP(A4058,'[1]Tissue Data'!$A:$A,'[1]Tissue Data'!M:M)</f>
        <v>18.28</v>
      </c>
      <c r="K4058" t="s">
        <v>18</v>
      </c>
      <c r="L4058" t="str">
        <f>_xlfn.XLOOKUP(K4058,[2]analyte_order!$B:$B,[2]analyte_order!$C:$C)</f>
        <v>335-76-2</v>
      </c>
      <c r="M4058">
        <f>_xlfn.XLOOKUP(L4058,[2]analyte_order!$C:$C,[2]analyte_order!$E:$E)</f>
        <v>7</v>
      </c>
      <c r="N4058">
        <v>5.0199999999999996</v>
      </c>
    </row>
    <row r="4059" spans="1:14">
      <c r="A4059" t="s">
        <v>260</v>
      </c>
      <c r="B4059" t="str">
        <f>_xlfn.XLOOKUP(A4059,'[1]Tissue Data'!$A:$A,'[1]Tissue Data'!$C:$C)</f>
        <v>Spill</v>
      </c>
      <c r="C4059" s="2">
        <f>_xlfn.XLOOKUP(A4059,'[1]Tissue Data'!$A:$A,'[1]Tissue Data'!$D:$D)</f>
        <v>44393</v>
      </c>
      <c r="D4059" s="2" t="str">
        <f>_xlfn.XLOOKUP(A4059,'[1]Tissue Data'!$A:$A,'[1]Tissue Data'!$F:$F)</f>
        <v>Pumpkinseed</v>
      </c>
      <c r="E4059" t="str">
        <f>_xlfn.XLOOKUP(A4059,'[1]Tissue Data'!$A:$A,'[1]Tissue Data'!$H:$H)</f>
        <v>Lepomis</v>
      </c>
      <c r="F4059" t="str">
        <f>_xlfn.XLOOKUP(A4059,'[1]Tissue Data'!$A:$A,'[1]Tissue Data'!$I:$I)</f>
        <v>gibbosus</v>
      </c>
      <c r="G4059" t="str">
        <f>_xlfn.XLOOKUP(A4059,'[1]Tissue Data'!$A:$A,'[1]Tissue Data'!J:J)</f>
        <v>U</v>
      </c>
      <c r="H4059" t="str">
        <f>_xlfn.XLOOKUP(A4059,'[1]Tissue Data'!$A:$A,'[1]Tissue Data'!K:K)</f>
        <v>Whole Body</v>
      </c>
      <c r="I4059">
        <f>_xlfn.XLOOKUP(A4059,'[1]Tissue Data'!$A:$A,'[1]Tissue Data'!L:L)</f>
        <v>9.5</v>
      </c>
      <c r="J4059">
        <f>_xlfn.XLOOKUP(A4059,'[1]Tissue Data'!$A:$A,'[1]Tissue Data'!M:M)</f>
        <v>18.28</v>
      </c>
      <c r="K4059" t="s">
        <v>19</v>
      </c>
      <c r="L4059" t="str">
        <f>_xlfn.XLOOKUP(K4059,[2]analyte_order!$B:$B,[2]analyte_order!$C:$C)</f>
        <v>2058-94-8</v>
      </c>
      <c r="M4059">
        <f>_xlfn.XLOOKUP(L4059,[2]analyte_order!$C:$C,[2]analyte_order!$E:$E)</f>
        <v>8</v>
      </c>
      <c r="N4059">
        <v>9.6300000000000008</v>
      </c>
    </row>
    <row r="4060" spans="1:14">
      <c r="A4060" t="s">
        <v>260</v>
      </c>
      <c r="B4060" t="str">
        <f>_xlfn.XLOOKUP(A4060,'[1]Tissue Data'!$A:$A,'[1]Tissue Data'!$C:$C)</f>
        <v>Spill</v>
      </c>
      <c r="C4060" s="2">
        <f>_xlfn.XLOOKUP(A4060,'[1]Tissue Data'!$A:$A,'[1]Tissue Data'!$D:$D)</f>
        <v>44393</v>
      </c>
      <c r="D4060" s="2" t="str">
        <f>_xlfn.XLOOKUP(A4060,'[1]Tissue Data'!$A:$A,'[1]Tissue Data'!$F:$F)</f>
        <v>Pumpkinseed</v>
      </c>
      <c r="E4060" t="str">
        <f>_xlfn.XLOOKUP(A4060,'[1]Tissue Data'!$A:$A,'[1]Tissue Data'!$H:$H)</f>
        <v>Lepomis</v>
      </c>
      <c r="F4060" t="str">
        <f>_xlfn.XLOOKUP(A4060,'[1]Tissue Data'!$A:$A,'[1]Tissue Data'!$I:$I)</f>
        <v>gibbosus</v>
      </c>
      <c r="G4060" t="str">
        <f>_xlfn.XLOOKUP(A4060,'[1]Tissue Data'!$A:$A,'[1]Tissue Data'!J:J)</f>
        <v>U</v>
      </c>
      <c r="H4060" t="str">
        <f>_xlfn.XLOOKUP(A4060,'[1]Tissue Data'!$A:$A,'[1]Tissue Data'!K:K)</f>
        <v>Whole Body</v>
      </c>
      <c r="I4060">
        <f>_xlfn.XLOOKUP(A4060,'[1]Tissue Data'!$A:$A,'[1]Tissue Data'!L:L)</f>
        <v>9.5</v>
      </c>
      <c r="J4060">
        <f>_xlfn.XLOOKUP(A4060,'[1]Tissue Data'!$A:$A,'[1]Tissue Data'!M:M)</f>
        <v>18.28</v>
      </c>
      <c r="K4060" t="s">
        <v>20</v>
      </c>
      <c r="L4060" t="str">
        <f>_xlfn.XLOOKUP(K4060,[2]analyte_order!$B:$B,[2]analyte_order!$C:$C)</f>
        <v>307-55-1</v>
      </c>
      <c r="M4060">
        <f>_xlfn.XLOOKUP(L4060,[2]analyte_order!$C:$C,[2]analyte_order!$E:$E)</f>
        <v>9</v>
      </c>
      <c r="N4060">
        <v>20.100000000000001</v>
      </c>
    </row>
    <row r="4061" spans="1:14">
      <c r="A4061" t="s">
        <v>260</v>
      </c>
      <c r="B4061" t="str">
        <f>_xlfn.XLOOKUP(A4061,'[1]Tissue Data'!$A:$A,'[1]Tissue Data'!$C:$C)</f>
        <v>Spill</v>
      </c>
      <c r="C4061" s="2">
        <f>_xlfn.XLOOKUP(A4061,'[1]Tissue Data'!$A:$A,'[1]Tissue Data'!$D:$D)</f>
        <v>44393</v>
      </c>
      <c r="D4061" s="2" t="str">
        <f>_xlfn.XLOOKUP(A4061,'[1]Tissue Data'!$A:$A,'[1]Tissue Data'!$F:$F)</f>
        <v>Pumpkinseed</v>
      </c>
      <c r="E4061" t="str">
        <f>_xlfn.XLOOKUP(A4061,'[1]Tissue Data'!$A:$A,'[1]Tissue Data'!$H:$H)</f>
        <v>Lepomis</v>
      </c>
      <c r="F4061" t="str">
        <f>_xlfn.XLOOKUP(A4061,'[1]Tissue Data'!$A:$A,'[1]Tissue Data'!$I:$I)</f>
        <v>gibbosus</v>
      </c>
      <c r="G4061" t="str">
        <f>_xlfn.XLOOKUP(A4061,'[1]Tissue Data'!$A:$A,'[1]Tissue Data'!J:J)</f>
        <v>U</v>
      </c>
      <c r="H4061" t="str">
        <f>_xlfn.XLOOKUP(A4061,'[1]Tissue Data'!$A:$A,'[1]Tissue Data'!K:K)</f>
        <v>Whole Body</v>
      </c>
      <c r="I4061">
        <f>_xlfn.XLOOKUP(A4061,'[1]Tissue Data'!$A:$A,'[1]Tissue Data'!L:L)</f>
        <v>9.5</v>
      </c>
      <c r="J4061">
        <f>_xlfn.XLOOKUP(A4061,'[1]Tissue Data'!$A:$A,'[1]Tissue Data'!M:M)</f>
        <v>18.28</v>
      </c>
      <c r="K4061" t="s">
        <v>21</v>
      </c>
      <c r="L4061" t="str">
        <f>_xlfn.XLOOKUP(K4061,[2]analyte_order!$B:$B,[2]analyte_order!$C:$C)</f>
        <v>72629-94-8</v>
      </c>
      <c r="M4061">
        <f>_xlfn.XLOOKUP(L4061,[2]analyte_order!$C:$C,[2]analyte_order!$E:$E)</f>
        <v>10</v>
      </c>
      <c r="N4061">
        <v>5.7</v>
      </c>
    </row>
    <row r="4062" spans="1:14">
      <c r="A4062" t="s">
        <v>260</v>
      </c>
      <c r="B4062" t="str">
        <f>_xlfn.XLOOKUP(A4062,'[1]Tissue Data'!$A:$A,'[1]Tissue Data'!$C:$C)</f>
        <v>Spill</v>
      </c>
      <c r="C4062" s="2">
        <f>_xlfn.XLOOKUP(A4062,'[1]Tissue Data'!$A:$A,'[1]Tissue Data'!$D:$D)</f>
        <v>44393</v>
      </c>
      <c r="D4062" s="2" t="str">
        <f>_xlfn.XLOOKUP(A4062,'[1]Tissue Data'!$A:$A,'[1]Tissue Data'!$F:$F)</f>
        <v>Pumpkinseed</v>
      </c>
      <c r="E4062" t="str">
        <f>_xlfn.XLOOKUP(A4062,'[1]Tissue Data'!$A:$A,'[1]Tissue Data'!$H:$H)</f>
        <v>Lepomis</v>
      </c>
      <c r="F4062" t="str">
        <f>_xlfn.XLOOKUP(A4062,'[1]Tissue Data'!$A:$A,'[1]Tissue Data'!$I:$I)</f>
        <v>gibbosus</v>
      </c>
      <c r="G4062" t="str">
        <f>_xlfn.XLOOKUP(A4062,'[1]Tissue Data'!$A:$A,'[1]Tissue Data'!J:J)</f>
        <v>U</v>
      </c>
      <c r="H4062" t="str">
        <f>_xlfn.XLOOKUP(A4062,'[1]Tissue Data'!$A:$A,'[1]Tissue Data'!K:K)</f>
        <v>Whole Body</v>
      </c>
      <c r="I4062">
        <f>_xlfn.XLOOKUP(A4062,'[1]Tissue Data'!$A:$A,'[1]Tissue Data'!L:L)</f>
        <v>9.5</v>
      </c>
      <c r="J4062">
        <f>_xlfn.XLOOKUP(A4062,'[1]Tissue Data'!$A:$A,'[1]Tissue Data'!M:M)</f>
        <v>18.28</v>
      </c>
      <c r="K4062" t="s">
        <v>22</v>
      </c>
      <c r="L4062" t="str">
        <f>_xlfn.XLOOKUP(K4062,[2]analyte_order!$B:$B,[2]analyte_order!$C:$C)</f>
        <v>376-06-7</v>
      </c>
      <c r="M4062">
        <f>_xlfn.XLOOKUP(L4062,[2]analyte_order!$C:$C,[2]analyte_order!$E:$E)</f>
        <v>11</v>
      </c>
      <c r="N4062">
        <v>11.7</v>
      </c>
    </row>
    <row r="4063" spans="1:14">
      <c r="A4063" t="s">
        <v>260</v>
      </c>
      <c r="B4063" t="str">
        <f>_xlfn.XLOOKUP(A4063,'[1]Tissue Data'!$A:$A,'[1]Tissue Data'!$C:$C)</f>
        <v>Spill</v>
      </c>
      <c r="C4063" s="2">
        <f>_xlfn.XLOOKUP(A4063,'[1]Tissue Data'!$A:$A,'[1]Tissue Data'!$D:$D)</f>
        <v>44393</v>
      </c>
      <c r="D4063" s="2" t="str">
        <f>_xlfn.XLOOKUP(A4063,'[1]Tissue Data'!$A:$A,'[1]Tissue Data'!$F:$F)</f>
        <v>Pumpkinseed</v>
      </c>
      <c r="E4063" t="str">
        <f>_xlfn.XLOOKUP(A4063,'[1]Tissue Data'!$A:$A,'[1]Tissue Data'!$H:$H)</f>
        <v>Lepomis</v>
      </c>
      <c r="F4063" t="str">
        <f>_xlfn.XLOOKUP(A4063,'[1]Tissue Data'!$A:$A,'[1]Tissue Data'!$I:$I)</f>
        <v>gibbosus</v>
      </c>
      <c r="G4063" t="str">
        <f>_xlfn.XLOOKUP(A4063,'[1]Tissue Data'!$A:$A,'[1]Tissue Data'!J:J)</f>
        <v>U</v>
      </c>
      <c r="H4063" t="str">
        <f>_xlfn.XLOOKUP(A4063,'[1]Tissue Data'!$A:$A,'[1]Tissue Data'!K:K)</f>
        <v>Whole Body</v>
      </c>
      <c r="I4063">
        <f>_xlfn.XLOOKUP(A4063,'[1]Tissue Data'!$A:$A,'[1]Tissue Data'!L:L)</f>
        <v>9.5</v>
      </c>
      <c r="J4063">
        <f>_xlfn.XLOOKUP(A4063,'[1]Tissue Data'!$A:$A,'[1]Tissue Data'!M:M)</f>
        <v>18.28</v>
      </c>
      <c r="K4063" t="s">
        <v>23</v>
      </c>
      <c r="L4063" t="str">
        <f>_xlfn.XLOOKUP(K4063,[2]analyte_order!$B:$B,[2]analyte_order!$C:$C)</f>
        <v>67905-19-5</v>
      </c>
      <c r="M4063">
        <f>_xlfn.XLOOKUP(L4063,[2]analyte_order!$C:$C,[2]analyte_order!$E:$E)</f>
        <v>12</v>
      </c>
      <c r="N4063">
        <v>8.3500000000000005E-2</v>
      </c>
    </row>
    <row r="4064" spans="1:14">
      <c r="A4064" t="s">
        <v>260</v>
      </c>
      <c r="B4064" t="str">
        <f>_xlfn.XLOOKUP(A4064,'[1]Tissue Data'!$A:$A,'[1]Tissue Data'!$C:$C)</f>
        <v>Spill</v>
      </c>
      <c r="C4064" s="2">
        <f>_xlfn.XLOOKUP(A4064,'[1]Tissue Data'!$A:$A,'[1]Tissue Data'!$D:$D)</f>
        <v>44393</v>
      </c>
      <c r="D4064" s="2" t="str">
        <f>_xlfn.XLOOKUP(A4064,'[1]Tissue Data'!$A:$A,'[1]Tissue Data'!$F:$F)</f>
        <v>Pumpkinseed</v>
      </c>
      <c r="E4064" t="str">
        <f>_xlfn.XLOOKUP(A4064,'[1]Tissue Data'!$A:$A,'[1]Tissue Data'!$H:$H)</f>
        <v>Lepomis</v>
      </c>
      <c r="F4064" t="str">
        <f>_xlfn.XLOOKUP(A4064,'[1]Tissue Data'!$A:$A,'[1]Tissue Data'!$I:$I)</f>
        <v>gibbosus</v>
      </c>
      <c r="G4064" t="str">
        <f>_xlfn.XLOOKUP(A4064,'[1]Tissue Data'!$A:$A,'[1]Tissue Data'!J:J)</f>
        <v>U</v>
      </c>
      <c r="H4064" t="str">
        <f>_xlfn.XLOOKUP(A4064,'[1]Tissue Data'!$A:$A,'[1]Tissue Data'!K:K)</f>
        <v>Whole Body</v>
      </c>
      <c r="I4064">
        <f>_xlfn.XLOOKUP(A4064,'[1]Tissue Data'!$A:$A,'[1]Tissue Data'!L:L)</f>
        <v>9.5</v>
      </c>
      <c r="J4064">
        <f>_xlfn.XLOOKUP(A4064,'[1]Tissue Data'!$A:$A,'[1]Tissue Data'!M:M)</f>
        <v>18.28</v>
      </c>
      <c r="K4064" t="s">
        <v>24</v>
      </c>
      <c r="L4064" t="str">
        <f>_xlfn.XLOOKUP(K4064,[2]analyte_order!$B:$B,[2]analyte_order!$C:$C)</f>
        <v>423-41-6</v>
      </c>
      <c r="M4064">
        <f>_xlfn.XLOOKUP(L4064,[2]analyte_order!$C:$C,[2]analyte_order!$E:$E)</f>
        <v>53</v>
      </c>
      <c r="N4064">
        <v>5.3499999999999999E-2</v>
      </c>
    </row>
    <row r="4065" spans="1:14">
      <c r="A4065" t="s">
        <v>260</v>
      </c>
      <c r="B4065" t="str">
        <f>_xlfn.XLOOKUP(A4065,'[1]Tissue Data'!$A:$A,'[1]Tissue Data'!$C:$C)</f>
        <v>Spill</v>
      </c>
      <c r="C4065" s="2">
        <f>_xlfn.XLOOKUP(A4065,'[1]Tissue Data'!$A:$A,'[1]Tissue Data'!$D:$D)</f>
        <v>44393</v>
      </c>
      <c r="D4065" s="2" t="str">
        <f>_xlfn.XLOOKUP(A4065,'[1]Tissue Data'!$A:$A,'[1]Tissue Data'!$F:$F)</f>
        <v>Pumpkinseed</v>
      </c>
      <c r="E4065" t="str">
        <f>_xlfn.XLOOKUP(A4065,'[1]Tissue Data'!$A:$A,'[1]Tissue Data'!$H:$H)</f>
        <v>Lepomis</v>
      </c>
      <c r="F4065" t="str">
        <f>_xlfn.XLOOKUP(A4065,'[1]Tissue Data'!$A:$A,'[1]Tissue Data'!$I:$I)</f>
        <v>gibbosus</v>
      </c>
      <c r="G4065" t="str">
        <f>_xlfn.XLOOKUP(A4065,'[1]Tissue Data'!$A:$A,'[1]Tissue Data'!J:J)</f>
        <v>U</v>
      </c>
      <c r="H4065" t="str">
        <f>_xlfn.XLOOKUP(A4065,'[1]Tissue Data'!$A:$A,'[1]Tissue Data'!K:K)</f>
        <v>Whole Body</v>
      </c>
      <c r="I4065">
        <f>_xlfn.XLOOKUP(A4065,'[1]Tissue Data'!$A:$A,'[1]Tissue Data'!L:L)</f>
        <v>9.5</v>
      </c>
      <c r="J4065">
        <f>_xlfn.XLOOKUP(A4065,'[1]Tissue Data'!$A:$A,'[1]Tissue Data'!M:M)</f>
        <v>18.28</v>
      </c>
      <c r="K4065" t="s">
        <v>25</v>
      </c>
      <c r="L4065" t="str">
        <f>_xlfn.XLOOKUP(K4065,[2]analyte_order!$B:$B,[2]analyte_order!$C:$C)</f>
        <v>375-73-5</v>
      </c>
      <c r="M4065">
        <f>_xlfn.XLOOKUP(L4065,[2]analyte_order!$C:$C,[2]analyte_order!$E:$E)</f>
        <v>14</v>
      </c>
      <c r="N4065">
        <v>0.1575</v>
      </c>
    </row>
    <row r="4066" spans="1:14">
      <c r="A4066" t="s">
        <v>260</v>
      </c>
      <c r="B4066" t="str">
        <f>_xlfn.XLOOKUP(A4066,'[1]Tissue Data'!$A:$A,'[1]Tissue Data'!$C:$C)</f>
        <v>Spill</v>
      </c>
      <c r="C4066" s="2">
        <f>_xlfn.XLOOKUP(A4066,'[1]Tissue Data'!$A:$A,'[1]Tissue Data'!$D:$D)</f>
        <v>44393</v>
      </c>
      <c r="D4066" s="2" t="str">
        <f>_xlfn.XLOOKUP(A4066,'[1]Tissue Data'!$A:$A,'[1]Tissue Data'!$F:$F)</f>
        <v>Pumpkinseed</v>
      </c>
      <c r="E4066" t="str">
        <f>_xlfn.XLOOKUP(A4066,'[1]Tissue Data'!$A:$A,'[1]Tissue Data'!$H:$H)</f>
        <v>Lepomis</v>
      </c>
      <c r="F4066" t="str">
        <f>_xlfn.XLOOKUP(A4066,'[1]Tissue Data'!$A:$A,'[1]Tissue Data'!$I:$I)</f>
        <v>gibbosus</v>
      </c>
      <c r="G4066" t="str">
        <f>_xlfn.XLOOKUP(A4066,'[1]Tissue Data'!$A:$A,'[1]Tissue Data'!J:J)</f>
        <v>U</v>
      </c>
      <c r="H4066" t="str">
        <f>_xlfn.XLOOKUP(A4066,'[1]Tissue Data'!$A:$A,'[1]Tissue Data'!K:K)</f>
        <v>Whole Body</v>
      </c>
      <c r="I4066">
        <f>_xlfn.XLOOKUP(A4066,'[1]Tissue Data'!$A:$A,'[1]Tissue Data'!L:L)</f>
        <v>9.5</v>
      </c>
      <c r="J4066">
        <f>_xlfn.XLOOKUP(A4066,'[1]Tissue Data'!$A:$A,'[1]Tissue Data'!M:M)</f>
        <v>18.28</v>
      </c>
      <c r="K4066" t="s">
        <v>26</v>
      </c>
      <c r="L4066" t="str">
        <f>_xlfn.XLOOKUP(K4066,[2]analyte_order!$B:$B,[2]analyte_order!$C:$C)</f>
        <v>2706-91-4</v>
      </c>
      <c r="M4066">
        <f>_xlfn.XLOOKUP(L4066,[2]analyte_order!$C:$C,[2]analyte_order!$E:$E)</f>
        <v>15</v>
      </c>
      <c r="N4066">
        <v>0.1225</v>
      </c>
    </row>
    <row r="4067" spans="1:14">
      <c r="A4067" t="s">
        <v>260</v>
      </c>
      <c r="B4067" t="str">
        <f>_xlfn.XLOOKUP(A4067,'[1]Tissue Data'!$A:$A,'[1]Tissue Data'!$C:$C)</f>
        <v>Spill</v>
      </c>
      <c r="C4067" s="2">
        <f>_xlfn.XLOOKUP(A4067,'[1]Tissue Data'!$A:$A,'[1]Tissue Data'!$D:$D)</f>
        <v>44393</v>
      </c>
      <c r="D4067" s="2" t="str">
        <f>_xlfn.XLOOKUP(A4067,'[1]Tissue Data'!$A:$A,'[1]Tissue Data'!$F:$F)</f>
        <v>Pumpkinseed</v>
      </c>
      <c r="E4067" t="str">
        <f>_xlfn.XLOOKUP(A4067,'[1]Tissue Data'!$A:$A,'[1]Tissue Data'!$H:$H)</f>
        <v>Lepomis</v>
      </c>
      <c r="F4067" t="str">
        <f>_xlfn.XLOOKUP(A4067,'[1]Tissue Data'!$A:$A,'[1]Tissue Data'!$I:$I)</f>
        <v>gibbosus</v>
      </c>
      <c r="G4067" t="str">
        <f>_xlfn.XLOOKUP(A4067,'[1]Tissue Data'!$A:$A,'[1]Tissue Data'!J:J)</f>
        <v>U</v>
      </c>
      <c r="H4067" t="str">
        <f>_xlfn.XLOOKUP(A4067,'[1]Tissue Data'!$A:$A,'[1]Tissue Data'!K:K)</f>
        <v>Whole Body</v>
      </c>
      <c r="I4067">
        <f>_xlfn.XLOOKUP(A4067,'[1]Tissue Data'!$A:$A,'[1]Tissue Data'!L:L)</f>
        <v>9.5</v>
      </c>
      <c r="J4067">
        <f>_xlfn.XLOOKUP(A4067,'[1]Tissue Data'!$A:$A,'[1]Tissue Data'!M:M)</f>
        <v>18.28</v>
      </c>
      <c r="K4067" t="s">
        <v>27</v>
      </c>
      <c r="L4067" t="str">
        <f>_xlfn.XLOOKUP(K4067,[2]analyte_order!$B:$B,[2]analyte_order!$C:$C)</f>
        <v>355-46-4</v>
      </c>
      <c r="M4067">
        <f>_xlfn.XLOOKUP(L4067,[2]analyte_order!$C:$C,[2]analyte_order!$E:$E)</f>
        <v>16</v>
      </c>
      <c r="N4067">
        <v>8.17</v>
      </c>
    </row>
    <row r="4068" spans="1:14">
      <c r="A4068" t="s">
        <v>260</v>
      </c>
      <c r="B4068" t="str">
        <f>_xlfn.XLOOKUP(A4068,'[1]Tissue Data'!$A:$A,'[1]Tissue Data'!$C:$C)</f>
        <v>Spill</v>
      </c>
      <c r="C4068" s="2">
        <f>_xlfn.XLOOKUP(A4068,'[1]Tissue Data'!$A:$A,'[1]Tissue Data'!$D:$D)</f>
        <v>44393</v>
      </c>
      <c r="D4068" s="2" t="str">
        <f>_xlfn.XLOOKUP(A4068,'[1]Tissue Data'!$A:$A,'[1]Tissue Data'!$F:$F)</f>
        <v>Pumpkinseed</v>
      </c>
      <c r="E4068" t="str">
        <f>_xlfn.XLOOKUP(A4068,'[1]Tissue Data'!$A:$A,'[1]Tissue Data'!$H:$H)</f>
        <v>Lepomis</v>
      </c>
      <c r="F4068" t="str">
        <f>_xlfn.XLOOKUP(A4068,'[1]Tissue Data'!$A:$A,'[1]Tissue Data'!$I:$I)</f>
        <v>gibbosus</v>
      </c>
      <c r="G4068" t="str">
        <f>_xlfn.XLOOKUP(A4068,'[1]Tissue Data'!$A:$A,'[1]Tissue Data'!J:J)</f>
        <v>U</v>
      </c>
      <c r="H4068" t="str">
        <f>_xlfn.XLOOKUP(A4068,'[1]Tissue Data'!$A:$A,'[1]Tissue Data'!K:K)</f>
        <v>Whole Body</v>
      </c>
      <c r="I4068">
        <f>_xlfn.XLOOKUP(A4068,'[1]Tissue Data'!$A:$A,'[1]Tissue Data'!L:L)</f>
        <v>9.5</v>
      </c>
      <c r="J4068">
        <f>_xlfn.XLOOKUP(A4068,'[1]Tissue Data'!$A:$A,'[1]Tissue Data'!M:M)</f>
        <v>18.28</v>
      </c>
      <c r="K4068" t="s">
        <v>28</v>
      </c>
      <c r="L4068" t="str">
        <f>_xlfn.XLOOKUP(K4068,[2]analyte_order!$B:$B,[2]analyte_order!$C:$C)</f>
        <v>375-92-8</v>
      </c>
      <c r="M4068">
        <f>_xlfn.XLOOKUP(L4068,[2]analyte_order!$C:$C,[2]analyte_order!$E:$E)</f>
        <v>17</v>
      </c>
      <c r="N4068">
        <v>1.18</v>
      </c>
    </row>
    <row r="4069" spans="1:14">
      <c r="A4069" t="s">
        <v>260</v>
      </c>
      <c r="B4069" t="str">
        <f>_xlfn.XLOOKUP(A4069,'[1]Tissue Data'!$A:$A,'[1]Tissue Data'!$C:$C)</f>
        <v>Spill</v>
      </c>
      <c r="C4069" s="2">
        <f>_xlfn.XLOOKUP(A4069,'[1]Tissue Data'!$A:$A,'[1]Tissue Data'!$D:$D)</f>
        <v>44393</v>
      </c>
      <c r="D4069" s="2" t="str">
        <f>_xlfn.XLOOKUP(A4069,'[1]Tissue Data'!$A:$A,'[1]Tissue Data'!$F:$F)</f>
        <v>Pumpkinseed</v>
      </c>
      <c r="E4069" t="str">
        <f>_xlfn.XLOOKUP(A4069,'[1]Tissue Data'!$A:$A,'[1]Tissue Data'!$H:$H)</f>
        <v>Lepomis</v>
      </c>
      <c r="F4069" t="str">
        <f>_xlfn.XLOOKUP(A4069,'[1]Tissue Data'!$A:$A,'[1]Tissue Data'!$I:$I)</f>
        <v>gibbosus</v>
      </c>
      <c r="G4069" t="str">
        <f>_xlfn.XLOOKUP(A4069,'[1]Tissue Data'!$A:$A,'[1]Tissue Data'!J:J)</f>
        <v>U</v>
      </c>
      <c r="H4069" t="str">
        <f>_xlfn.XLOOKUP(A4069,'[1]Tissue Data'!$A:$A,'[1]Tissue Data'!K:K)</f>
        <v>Whole Body</v>
      </c>
      <c r="I4069">
        <f>_xlfn.XLOOKUP(A4069,'[1]Tissue Data'!$A:$A,'[1]Tissue Data'!L:L)</f>
        <v>9.5</v>
      </c>
      <c r="J4069">
        <f>_xlfn.XLOOKUP(A4069,'[1]Tissue Data'!$A:$A,'[1]Tissue Data'!M:M)</f>
        <v>18.28</v>
      </c>
      <c r="K4069" t="s">
        <v>29</v>
      </c>
      <c r="L4069" t="str">
        <f>_xlfn.XLOOKUP(K4069,[2]analyte_order!$B:$B,[2]analyte_order!$C:$C)</f>
        <v>1763-23-1</v>
      </c>
      <c r="M4069">
        <f>_xlfn.XLOOKUP(L4069,[2]analyte_order!$C:$C,[2]analyte_order!$E:$E)</f>
        <v>18</v>
      </c>
      <c r="N4069">
        <v>1250</v>
      </c>
    </row>
    <row r="4070" spans="1:14">
      <c r="A4070" t="s">
        <v>260</v>
      </c>
      <c r="B4070" t="str">
        <f>_xlfn.XLOOKUP(A4070,'[1]Tissue Data'!$A:$A,'[1]Tissue Data'!$C:$C)</f>
        <v>Spill</v>
      </c>
      <c r="C4070" s="2">
        <f>_xlfn.XLOOKUP(A4070,'[1]Tissue Data'!$A:$A,'[1]Tissue Data'!$D:$D)</f>
        <v>44393</v>
      </c>
      <c r="D4070" s="2" t="str">
        <f>_xlfn.XLOOKUP(A4070,'[1]Tissue Data'!$A:$A,'[1]Tissue Data'!$F:$F)</f>
        <v>Pumpkinseed</v>
      </c>
      <c r="E4070" t="str">
        <f>_xlfn.XLOOKUP(A4070,'[1]Tissue Data'!$A:$A,'[1]Tissue Data'!$H:$H)</f>
        <v>Lepomis</v>
      </c>
      <c r="F4070" t="str">
        <f>_xlfn.XLOOKUP(A4070,'[1]Tissue Data'!$A:$A,'[1]Tissue Data'!$I:$I)</f>
        <v>gibbosus</v>
      </c>
      <c r="G4070" t="str">
        <f>_xlfn.XLOOKUP(A4070,'[1]Tissue Data'!$A:$A,'[1]Tissue Data'!J:J)</f>
        <v>U</v>
      </c>
      <c r="H4070" t="str">
        <f>_xlfn.XLOOKUP(A4070,'[1]Tissue Data'!$A:$A,'[1]Tissue Data'!K:K)</f>
        <v>Whole Body</v>
      </c>
      <c r="I4070">
        <f>_xlfn.XLOOKUP(A4070,'[1]Tissue Data'!$A:$A,'[1]Tissue Data'!L:L)</f>
        <v>9.5</v>
      </c>
      <c r="J4070">
        <f>_xlfn.XLOOKUP(A4070,'[1]Tissue Data'!$A:$A,'[1]Tissue Data'!M:M)</f>
        <v>18.28</v>
      </c>
      <c r="K4070" t="s">
        <v>30</v>
      </c>
      <c r="L4070" t="str">
        <f>_xlfn.XLOOKUP(K4070,[2]analyte_order!$B:$B,[2]analyte_order!$C:$C)</f>
        <v>68259-12-1</v>
      </c>
      <c r="M4070">
        <f>_xlfn.XLOOKUP(L4070,[2]analyte_order!$C:$C,[2]analyte_order!$E:$E)</f>
        <v>19</v>
      </c>
      <c r="N4070">
        <v>1.32</v>
      </c>
    </row>
    <row r="4071" spans="1:14">
      <c r="A4071" t="s">
        <v>260</v>
      </c>
      <c r="B4071" t="str">
        <f>_xlfn.XLOOKUP(A4071,'[1]Tissue Data'!$A:$A,'[1]Tissue Data'!$C:$C)</f>
        <v>Spill</v>
      </c>
      <c r="C4071" s="2">
        <f>_xlfn.XLOOKUP(A4071,'[1]Tissue Data'!$A:$A,'[1]Tissue Data'!$D:$D)</f>
        <v>44393</v>
      </c>
      <c r="D4071" s="2" t="str">
        <f>_xlfn.XLOOKUP(A4071,'[1]Tissue Data'!$A:$A,'[1]Tissue Data'!$F:$F)</f>
        <v>Pumpkinseed</v>
      </c>
      <c r="E4071" t="str">
        <f>_xlfn.XLOOKUP(A4071,'[1]Tissue Data'!$A:$A,'[1]Tissue Data'!$H:$H)</f>
        <v>Lepomis</v>
      </c>
      <c r="F4071" t="str">
        <f>_xlfn.XLOOKUP(A4071,'[1]Tissue Data'!$A:$A,'[1]Tissue Data'!$I:$I)</f>
        <v>gibbosus</v>
      </c>
      <c r="G4071" t="str">
        <f>_xlfn.XLOOKUP(A4071,'[1]Tissue Data'!$A:$A,'[1]Tissue Data'!J:J)</f>
        <v>U</v>
      </c>
      <c r="H4071" t="str">
        <f>_xlfn.XLOOKUP(A4071,'[1]Tissue Data'!$A:$A,'[1]Tissue Data'!K:K)</f>
        <v>Whole Body</v>
      </c>
      <c r="I4071">
        <f>_xlfn.XLOOKUP(A4071,'[1]Tissue Data'!$A:$A,'[1]Tissue Data'!L:L)</f>
        <v>9.5</v>
      </c>
      <c r="J4071">
        <f>_xlfn.XLOOKUP(A4071,'[1]Tissue Data'!$A:$A,'[1]Tissue Data'!M:M)</f>
        <v>18.28</v>
      </c>
      <c r="K4071" t="s">
        <v>31</v>
      </c>
      <c r="L4071" t="str">
        <f>_xlfn.XLOOKUP(K4071,[2]analyte_order!$B:$B,[2]analyte_order!$C:$C)</f>
        <v>335-77-3</v>
      </c>
      <c r="M4071">
        <f>_xlfn.XLOOKUP(L4071,[2]analyte_order!$C:$C,[2]analyte_order!$E:$E)</f>
        <v>20</v>
      </c>
      <c r="N4071">
        <v>1.62</v>
      </c>
    </row>
    <row r="4072" spans="1:14">
      <c r="A4072" t="s">
        <v>260</v>
      </c>
      <c r="B4072" t="str">
        <f>_xlfn.XLOOKUP(A4072,'[1]Tissue Data'!$A:$A,'[1]Tissue Data'!$C:$C)</f>
        <v>Spill</v>
      </c>
      <c r="C4072" s="2">
        <f>_xlfn.XLOOKUP(A4072,'[1]Tissue Data'!$A:$A,'[1]Tissue Data'!$D:$D)</f>
        <v>44393</v>
      </c>
      <c r="D4072" s="2" t="str">
        <f>_xlfn.XLOOKUP(A4072,'[1]Tissue Data'!$A:$A,'[1]Tissue Data'!$F:$F)</f>
        <v>Pumpkinseed</v>
      </c>
      <c r="E4072" t="str">
        <f>_xlfn.XLOOKUP(A4072,'[1]Tissue Data'!$A:$A,'[1]Tissue Data'!$H:$H)</f>
        <v>Lepomis</v>
      </c>
      <c r="F4072" t="str">
        <f>_xlfn.XLOOKUP(A4072,'[1]Tissue Data'!$A:$A,'[1]Tissue Data'!$I:$I)</f>
        <v>gibbosus</v>
      </c>
      <c r="G4072" t="str">
        <f>_xlfn.XLOOKUP(A4072,'[1]Tissue Data'!$A:$A,'[1]Tissue Data'!J:J)</f>
        <v>U</v>
      </c>
      <c r="H4072" t="str">
        <f>_xlfn.XLOOKUP(A4072,'[1]Tissue Data'!$A:$A,'[1]Tissue Data'!K:K)</f>
        <v>Whole Body</v>
      </c>
      <c r="I4072">
        <f>_xlfn.XLOOKUP(A4072,'[1]Tissue Data'!$A:$A,'[1]Tissue Data'!L:L)</f>
        <v>9.5</v>
      </c>
      <c r="J4072">
        <f>_xlfn.XLOOKUP(A4072,'[1]Tissue Data'!$A:$A,'[1]Tissue Data'!M:M)</f>
        <v>18.28</v>
      </c>
      <c r="K4072" t="s">
        <v>32</v>
      </c>
      <c r="L4072" t="str">
        <f>_xlfn.XLOOKUP(K4072,[2]analyte_order!$B:$B,[2]analyte_order!$C:$C)</f>
        <v>79780-39-5</v>
      </c>
      <c r="M4072">
        <f>_xlfn.XLOOKUP(L4072,[2]analyte_order!$C:$C,[2]analyte_order!$E:$E)</f>
        <v>21</v>
      </c>
      <c r="N4072">
        <v>1.1100000000000001</v>
      </c>
    </row>
    <row r="4073" spans="1:14">
      <c r="A4073" t="s">
        <v>260</v>
      </c>
      <c r="B4073" t="str">
        <f>_xlfn.XLOOKUP(A4073,'[1]Tissue Data'!$A:$A,'[1]Tissue Data'!$C:$C)</f>
        <v>Spill</v>
      </c>
      <c r="C4073" s="2">
        <f>_xlfn.XLOOKUP(A4073,'[1]Tissue Data'!$A:$A,'[1]Tissue Data'!$D:$D)</f>
        <v>44393</v>
      </c>
      <c r="D4073" s="2" t="str">
        <f>_xlfn.XLOOKUP(A4073,'[1]Tissue Data'!$A:$A,'[1]Tissue Data'!$F:$F)</f>
        <v>Pumpkinseed</v>
      </c>
      <c r="E4073" t="str">
        <f>_xlfn.XLOOKUP(A4073,'[1]Tissue Data'!$A:$A,'[1]Tissue Data'!$H:$H)</f>
        <v>Lepomis</v>
      </c>
      <c r="F4073" t="str">
        <f>_xlfn.XLOOKUP(A4073,'[1]Tissue Data'!$A:$A,'[1]Tissue Data'!$I:$I)</f>
        <v>gibbosus</v>
      </c>
      <c r="G4073" t="str">
        <f>_xlfn.XLOOKUP(A4073,'[1]Tissue Data'!$A:$A,'[1]Tissue Data'!J:J)</f>
        <v>U</v>
      </c>
      <c r="H4073" t="str">
        <f>_xlfn.XLOOKUP(A4073,'[1]Tissue Data'!$A:$A,'[1]Tissue Data'!K:K)</f>
        <v>Whole Body</v>
      </c>
      <c r="I4073">
        <f>_xlfn.XLOOKUP(A4073,'[1]Tissue Data'!$A:$A,'[1]Tissue Data'!L:L)</f>
        <v>9.5</v>
      </c>
      <c r="J4073">
        <f>_xlfn.XLOOKUP(A4073,'[1]Tissue Data'!$A:$A,'[1]Tissue Data'!M:M)</f>
        <v>18.28</v>
      </c>
      <c r="K4073" t="s">
        <v>33</v>
      </c>
      <c r="L4073" t="str">
        <f>_xlfn.XLOOKUP(K4073,[2]analyte_order!$B:$B,[2]analyte_order!$C:$C)</f>
        <v>777011-38-8</v>
      </c>
      <c r="M4073">
        <f>_xlfn.XLOOKUP(L4073,[2]analyte_order!$C:$C,[2]analyte_order!$E:$E)</f>
        <v>54</v>
      </c>
      <c r="N4073">
        <v>0.14099999999999999</v>
      </c>
    </row>
    <row r="4074" spans="1:14">
      <c r="A4074" t="s">
        <v>260</v>
      </c>
      <c r="B4074" t="str">
        <f>_xlfn.XLOOKUP(A4074,'[1]Tissue Data'!$A:$A,'[1]Tissue Data'!$C:$C)</f>
        <v>Spill</v>
      </c>
      <c r="C4074" s="2">
        <f>_xlfn.XLOOKUP(A4074,'[1]Tissue Data'!$A:$A,'[1]Tissue Data'!$D:$D)</f>
        <v>44393</v>
      </c>
      <c r="D4074" s="2" t="str">
        <f>_xlfn.XLOOKUP(A4074,'[1]Tissue Data'!$A:$A,'[1]Tissue Data'!$F:$F)</f>
        <v>Pumpkinseed</v>
      </c>
      <c r="E4074" t="str">
        <f>_xlfn.XLOOKUP(A4074,'[1]Tissue Data'!$A:$A,'[1]Tissue Data'!$H:$H)</f>
        <v>Lepomis</v>
      </c>
      <c r="F4074" t="str">
        <f>_xlfn.XLOOKUP(A4074,'[1]Tissue Data'!$A:$A,'[1]Tissue Data'!$I:$I)</f>
        <v>gibbosus</v>
      </c>
      <c r="G4074" t="str">
        <f>_xlfn.XLOOKUP(A4074,'[1]Tissue Data'!$A:$A,'[1]Tissue Data'!J:J)</f>
        <v>U</v>
      </c>
      <c r="H4074" t="str">
        <f>_xlfn.XLOOKUP(A4074,'[1]Tissue Data'!$A:$A,'[1]Tissue Data'!K:K)</f>
        <v>Whole Body</v>
      </c>
      <c r="I4074">
        <f>_xlfn.XLOOKUP(A4074,'[1]Tissue Data'!$A:$A,'[1]Tissue Data'!L:L)</f>
        <v>9.5</v>
      </c>
      <c r="J4074">
        <f>_xlfn.XLOOKUP(A4074,'[1]Tissue Data'!$A:$A,'[1]Tissue Data'!M:M)</f>
        <v>18.28</v>
      </c>
      <c r="K4074" t="s">
        <v>34</v>
      </c>
      <c r="L4074" t="str">
        <f>_xlfn.XLOOKUP(K4074,[2]analyte_order!$B:$B,[2]analyte_order!$C:$C)</f>
        <v>646-83-3</v>
      </c>
      <c r="M4074">
        <f>_xlfn.XLOOKUP(L4074,[2]analyte_order!$C:$C,[2]analyte_order!$E:$E)</f>
        <v>55</v>
      </c>
      <c r="N4074">
        <v>9.2499999999999999E-2</v>
      </c>
    </row>
    <row r="4075" spans="1:14">
      <c r="A4075" t="s">
        <v>260</v>
      </c>
      <c r="B4075" t="str">
        <f>_xlfn.XLOOKUP(A4075,'[1]Tissue Data'!$A:$A,'[1]Tissue Data'!$C:$C)</f>
        <v>Spill</v>
      </c>
      <c r="C4075" s="2">
        <f>_xlfn.XLOOKUP(A4075,'[1]Tissue Data'!$A:$A,'[1]Tissue Data'!$D:$D)</f>
        <v>44393</v>
      </c>
      <c r="D4075" s="2" t="str">
        <f>_xlfn.XLOOKUP(A4075,'[1]Tissue Data'!$A:$A,'[1]Tissue Data'!$F:$F)</f>
        <v>Pumpkinseed</v>
      </c>
      <c r="E4075" t="str">
        <f>_xlfn.XLOOKUP(A4075,'[1]Tissue Data'!$A:$A,'[1]Tissue Data'!$H:$H)</f>
        <v>Lepomis</v>
      </c>
      <c r="F4075" t="str">
        <f>_xlfn.XLOOKUP(A4075,'[1]Tissue Data'!$A:$A,'[1]Tissue Data'!$I:$I)</f>
        <v>gibbosus</v>
      </c>
      <c r="G4075" t="str">
        <f>_xlfn.XLOOKUP(A4075,'[1]Tissue Data'!$A:$A,'[1]Tissue Data'!J:J)</f>
        <v>U</v>
      </c>
      <c r="H4075" t="str">
        <f>_xlfn.XLOOKUP(A4075,'[1]Tissue Data'!$A:$A,'[1]Tissue Data'!K:K)</f>
        <v>Whole Body</v>
      </c>
      <c r="I4075">
        <f>_xlfn.XLOOKUP(A4075,'[1]Tissue Data'!$A:$A,'[1]Tissue Data'!L:L)</f>
        <v>9.5</v>
      </c>
      <c r="J4075">
        <f>_xlfn.XLOOKUP(A4075,'[1]Tissue Data'!$A:$A,'[1]Tissue Data'!M:M)</f>
        <v>18.28</v>
      </c>
      <c r="K4075" t="s">
        <v>35</v>
      </c>
      <c r="L4075" t="str">
        <f>_xlfn.XLOOKUP(K4075,[2]analyte_order!$B:$B,[2]analyte_order!$C:$C)</f>
        <v>30334-69-1</v>
      </c>
      <c r="M4075">
        <f>_xlfn.XLOOKUP(L4075,[2]analyte_order!$C:$C,[2]analyte_order!$E:$E)</f>
        <v>51</v>
      </c>
      <c r="N4075">
        <v>30.4</v>
      </c>
    </row>
    <row r="4076" spans="1:14">
      <c r="A4076" t="s">
        <v>260</v>
      </c>
      <c r="B4076" t="str">
        <f>_xlfn.XLOOKUP(A4076,'[1]Tissue Data'!$A:$A,'[1]Tissue Data'!$C:$C)</f>
        <v>Spill</v>
      </c>
      <c r="C4076" s="2">
        <f>_xlfn.XLOOKUP(A4076,'[1]Tissue Data'!$A:$A,'[1]Tissue Data'!$D:$D)</f>
        <v>44393</v>
      </c>
      <c r="D4076" s="2" t="str">
        <f>_xlfn.XLOOKUP(A4076,'[1]Tissue Data'!$A:$A,'[1]Tissue Data'!$F:$F)</f>
        <v>Pumpkinseed</v>
      </c>
      <c r="E4076" t="str">
        <f>_xlfn.XLOOKUP(A4076,'[1]Tissue Data'!$A:$A,'[1]Tissue Data'!$H:$H)</f>
        <v>Lepomis</v>
      </c>
      <c r="F4076" t="str">
        <f>_xlfn.XLOOKUP(A4076,'[1]Tissue Data'!$A:$A,'[1]Tissue Data'!$I:$I)</f>
        <v>gibbosus</v>
      </c>
      <c r="G4076" t="str">
        <f>_xlfn.XLOOKUP(A4076,'[1]Tissue Data'!$A:$A,'[1]Tissue Data'!J:J)</f>
        <v>U</v>
      </c>
      <c r="H4076" t="str">
        <f>_xlfn.XLOOKUP(A4076,'[1]Tissue Data'!$A:$A,'[1]Tissue Data'!K:K)</f>
        <v>Whole Body</v>
      </c>
      <c r="I4076">
        <f>_xlfn.XLOOKUP(A4076,'[1]Tissue Data'!$A:$A,'[1]Tissue Data'!L:L)</f>
        <v>9.5</v>
      </c>
      <c r="J4076">
        <f>_xlfn.XLOOKUP(A4076,'[1]Tissue Data'!$A:$A,'[1]Tissue Data'!M:M)</f>
        <v>18.28</v>
      </c>
      <c r="K4076" t="s">
        <v>36</v>
      </c>
      <c r="L4076" t="str">
        <f>_xlfn.XLOOKUP(K4076,[2]analyte_order!$B:$B,[2]analyte_order!$C:$C)</f>
        <v>41997-13-1</v>
      </c>
      <c r="M4076">
        <f>_xlfn.XLOOKUP(L4076,[2]analyte_order!$C:$C,[2]analyte_order!$E:$E)</f>
        <v>52</v>
      </c>
      <c r="N4076">
        <v>65.8</v>
      </c>
    </row>
    <row r="4077" spans="1:14">
      <c r="A4077" t="s">
        <v>260</v>
      </c>
      <c r="B4077" t="str">
        <f>_xlfn.XLOOKUP(A4077,'[1]Tissue Data'!$A:$A,'[1]Tissue Data'!$C:$C)</f>
        <v>Spill</v>
      </c>
      <c r="C4077" s="2">
        <f>_xlfn.XLOOKUP(A4077,'[1]Tissue Data'!$A:$A,'[1]Tissue Data'!$D:$D)</f>
        <v>44393</v>
      </c>
      <c r="D4077" s="2" t="str">
        <f>_xlfn.XLOOKUP(A4077,'[1]Tissue Data'!$A:$A,'[1]Tissue Data'!$F:$F)</f>
        <v>Pumpkinseed</v>
      </c>
      <c r="E4077" t="str">
        <f>_xlfn.XLOOKUP(A4077,'[1]Tissue Data'!$A:$A,'[1]Tissue Data'!$H:$H)</f>
        <v>Lepomis</v>
      </c>
      <c r="F4077" t="str">
        <f>_xlfn.XLOOKUP(A4077,'[1]Tissue Data'!$A:$A,'[1]Tissue Data'!$I:$I)</f>
        <v>gibbosus</v>
      </c>
      <c r="G4077" t="str">
        <f>_xlfn.XLOOKUP(A4077,'[1]Tissue Data'!$A:$A,'[1]Tissue Data'!J:J)</f>
        <v>U</v>
      </c>
      <c r="H4077" t="str">
        <f>_xlfn.XLOOKUP(A4077,'[1]Tissue Data'!$A:$A,'[1]Tissue Data'!K:K)</f>
        <v>Whole Body</v>
      </c>
      <c r="I4077">
        <f>_xlfn.XLOOKUP(A4077,'[1]Tissue Data'!$A:$A,'[1]Tissue Data'!L:L)</f>
        <v>9.5</v>
      </c>
      <c r="J4077">
        <f>_xlfn.XLOOKUP(A4077,'[1]Tissue Data'!$A:$A,'[1]Tissue Data'!M:M)</f>
        <v>18.28</v>
      </c>
      <c r="K4077" t="s">
        <v>37</v>
      </c>
      <c r="L4077" t="str">
        <f>_xlfn.XLOOKUP(K4077,[2]analyte_order!$B:$B,[2]analyte_order!$C:$C)</f>
        <v>754-91-6</v>
      </c>
      <c r="M4077">
        <f>_xlfn.XLOOKUP(L4077,[2]analyte_order!$C:$C,[2]analyte_order!$E:$E)</f>
        <v>28</v>
      </c>
      <c r="N4077">
        <v>11.2</v>
      </c>
    </row>
    <row r="4078" spans="1:14">
      <c r="A4078" t="s">
        <v>260</v>
      </c>
      <c r="B4078" t="str">
        <f>_xlfn.XLOOKUP(A4078,'[1]Tissue Data'!$A:$A,'[1]Tissue Data'!$C:$C)</f>
        <v>Spill</v>
      </c>
      <c r="C4078" s="2">
        <f>_xlfn.XLOOKUP(A4078,'[1]Tissue Data'!$A:$A,'[1]Tissue Data'!$D:$D)</f>
        <v>44393</v>
      </c>
      <c r="D4078" s="2" t="str">
        <f>_xlfn.XLOOKUP(A4078,'[1]Tissue Data'!$A:$A,'[1]Tissue Data'!$F:$F)</f>
        <v>Pumpkinseed</v>
      </c>
      <c r="E4078" t="str">
        <f>_xlfn.XLOOKUP(A4078,'[1]Tissue Data'!$A:$A,'[1]Tissue Data'!$H:$H)</f>
        <v>Lepomis</v>
      </c>
      <c r="F4078" t="str">
        <f>_xlfn.XLOOKUP(A4078,'[1]Tissue Data'!$A:$A,'[1]Tissue Data'!$I:$I)</f>
        <v>gibbosus</v>
      </c>
      <c r="G4078" t="str">
        <f>_xlfn.XLOOKUP(A4078,'[1]Tissue Data'!$A:$A,'[1]Tissue Data'!J:J)</f>
        <v>U</v>
      </c>
      <c r="H4078" t="str">
        <f>_xlfn.XLOOKUP(A4078,'[1]Tissue Data'!$A:$A,'[1]Tissue Data'!K:K)</f>
        <v>Whole Body</v>
      </c>
      <c r="I4078">
        <f>_xlfn.XLOOKUP(A4078,'[1]Tissue Data'!$A:$A,'[1]Tissue Data'!L:L)</f>
        <v>9.5</v>
      </c>
      <c r="J4078">
        <f>_xlfn.XLOOKUP(A4078,'[1]Tissue Data'!$A:$A,'[1]Tissue Data'!M:M)</f>
        <v>18.28</v>
      </c>
      <c r="K4078" t="s">
        <v>38</v>
      </c>
      <c r="L4078" t="str">
        <f>_xlfn.XLOOKUP(K4078,[2]analyte_order!$B:$B,[2]analyte_order!$C:$C)</f>
        <v>31506-32-8</v>
      </c>
      <c r="M4078">
        <f>_xlfn.XLOOKUP(L4078,[2]analyte_order!$C:$C,[2]analyte_order!$E:$E)</f>
        <v>30</v>
      </c>
      <c r="N4078">
        <v>5.3999999999999999E-2</v>
      </c>
    </row>
    <row r="4079" spans="1:14">
      <c r="A4079" t="s">
        <v>260</v>
      </c>
      <c r="B4079" t="str">
        <f>_xlfn.XLOOKUP(A4079,'[1]Tissue Data'!$A:$A,'[1]Tissue Data'!$C:$C)</f>
        <v>Spill</v>
      </c>
      <c r="C4079" s="2">
        <f>_xlfn.XLOOKUP(A4079,'[1]Tissue Data'!$A:$A,'[1]Tissue Data'!$D:$D)</f>
        <v>44393</v>
      </c>
      <c r="D4079" s="2" t="str">
        <f>_xlfn.XLOOKUP(A4079,'[1]Tissue Data'!$A:$A,'[1]Tissue Data'!$F:$F)</f>
        <v>Pumpkinseed</v>
      </c>
      <c r="E4079" t="str">
        <f>_xlfn.XLOOKUP(A4079,'[1]Tissue Data'!$A:$A,'[1]Tissue Data'!$H:$H)</f>
        <v>Lepomis</v>
      </c>
      <c r="F4079" t="str">
        <f>_xlfn.XLOOKUP(A4079,'[1]Tissue Data'!$A:$A,'[1]Tissue Data'!$I:$I)</f>
        <v>gibbosus</v>
      </c>
      <c r="G4079" t="str">
        <f>_xlfn.XLOOKUP(A4079,'[1]Tissue Data'!$A:$A,'[1]Tissue Data'!J:J)</f>
        <v>U</v>
      </c>
      <c r="H4079" t="str">
        <f>_xlfn.XLOOKUP(A4079,'[1]Tissue Data'!$A:$A,'[1]Tissue Data'!K:K)</f>
        <v>Whole Body</v>
      </c>
      <c r="I4079">
        <f>_xlfn.XLOOKUP(A4079,'[1]Tissue Data'!$A:$A,'[1]Tissue Data'!L:L)</f>
        <v>9.5</v>
      </c>
      <c r="J4079">
        <f>_xlfn.XLOOKUP(A4079,'[1]Tissue Data'!$A:$A,'[1]Tissue Data'!M:M)</f>
        <v>18.28</v>
      </c>
      <c r="K4079" t="s">
        <v>39</v>
      </c>
      <c r="L4079" t="str">
        <f>_xlfn.XLOOKUP(K4079,[2]analyte_order!$B:$B,[2]analyte_order!$C:$C)</f>
        <v>4151-50-2</v>
      </c>
      <c r="M4079">
        <f>_xlfn.XLOOKUP(L4079,[2]analyte_order!$C:$C,[2]analyte_order!$E:$E)</f>
        <v>31</v>
      </c>
      <c r="N4079">
        <v>8.2000000000000003E-2</v>
      </c>
    </row>
    <row r="4080" spans="1:14">
      <c r="A4080" t="s">
        <v>260</v>
      </c>
      <c r="B4080" t="str">
        <f>_xlfn.XLOOKUP(A4080,'[1]Tissue Data'!$A:$A,'[1]Tissue Data'!$C:$C)</f>
        <v>Spill</v>
      </c>
      <c r="C4080" s="2">
        <f>_xlfn.XLOOKUP(A4080,'[1]Tissue Data'!$A:$A,'[1]Tissue Data'!$D:$D)</f>
        <v>44393</v>
      </c>
      <c r="D4080" s="2" t="str">
        <f>_xlfn.XLOOKUP(A4080,'[1]Tissue Data'!$A:$A,'[1]Tissue Data'!$F:$F)</f>
        <v>Pumpkinseed</v>
      </c>
      <c r="E4080" t="str">
        <f>_xlfn.XLOOKUP(A4080,'[1]Tissue Data'!$A:$A,'[1]Tissue Data'!$H:$H)</f>
        <v>Lepomis</v>
      </c>
      <c r="F4080" t="str">
        <f>_xlfn.XLOOKUP(A4080,'[1]Tissue Data'!$A:$A,'[1]Tissue Data'!$I:$I)</f>
        <v>gibbosus</v>
      </c>
      <c r="G4080" t="str">
        <f>_xlfn.XLOOKUP(A4080,'[1]Tissue Data'!$A:$A,'[1]Tissue Data'!J:J)</f>
        <v>U</v>
      </c>
      <c r="H4080" t="str">
        <f>_xlfn.XLOOKUP(A4080,'[1]Tissue Data'!$A:$A,'[1]Tissue Data'!K:K)</f>
        <v>Whole Body</v>
      </c>
      <c r="I4080">
        <f>_xlfn.XLOOKUP(A4080,'[1]Tissue Data'!$A:$A,'[1]Tissue Data'!L:L)</f>
        <v>9.5</v>
      </c>
      <c r="J4080">
        <f>_xlfn.XLOOKUP(A4080,'[1]Tissue Data'!$A:$A,'[1]Tissue Data'!M:M)</f>
        <v>18.28</v>
      </c>
      <c r="K4080" t="s">
        <v>40</v>
      </c>
      <c r="L4080" t="str">
        <f>_xlfn.XLOOKUP(K4080,[2]analyte_order!$B:$B,[2]analyte_order!$C:$C)</f>
        <v>2806-24-8</v>
      </c>
      <c r="M4080">
        <f>_xlfn.XLOOKUP(L4080,[2]analyte_order!$C:$C,[2]analyte_order!$E:$E)</f>
        <v>29</v>
      </c>
      <c r="N4080">
        <v>5.5500000000000001E-2</v>
      </c>
    </row>
    <row r="4081" spans="1:14">
      <c r="A4081" t="s">
        <v>260</v>
      </c>
      <c r="B4081" t="str">
        <f>_xlfn.XLOOKUP(A4081,'[1]Tissue Data'!$A:$A,'[1]Tissue Data'!$C:$C)</f>
        <v>Spill</v>
      </c>
      <c r="C4081" s="2">
        <f>_xlfn.XLOOKUP(A4081,'[1]Tissue Data'!$A:$A,'[1]Tissue Data'!$D:$D)</f>
        <v>44393</v>
      </c>
      <c r="D4081" s="2" t="str">
        <f>_xlfn.XLOOKUP(A4081,'[1]Tissue Data'!$A:$A,'[1]Tissue Data'!$F:$F)</f>
        <v>Pumpkinseed</v>
      </c>
      <c r="E4081" t="str">
        <f>_xlfn.XLOOKUP(A4081,'[1]Tissue Data'!$A:$A,'[1]Tissue Data'!$H:$H)</f>
        <v>Lepomis</v>
      </c>
      <c r="F4081" t="str">
        <f>_xlfn.XLOOKUP(A4081,'[1]Tissue Data'!$A:$A,'[1]Tissue Data'!$I:$I)</f>
        <v>gibbosus</v>
      </c>
      <c r="G4081" t="str">
        <f>_xlfn.XLOOKUP(A4081,'[1]Tissue Data'!$A:$A,'[1]Tissue Data'!J:J)</f>
        <v>U</v>
      </c>
      <c r="H4081" t="str">
        <f>_xlfn.XLOOKUP(A4081,'[1]Tissue Data'!$A:$A,'[1]Tissue Data'!K:K)</f>
        <v>Whole Body</v>
      </c>
      <c r="I4081">
        <f>_xlfn.XLOOKUP(A4081,'[1]Tissue Data'!$A:$A,'[1]Tissue Data'!L:L)</f>
        <v>9.5</v>
      </c>
      <c r="J4081">
        <f>_xlfn.XLOOKUP(A4081,'[1]Tissue Data'!$A:$A,'[1]Tissue Data'!M:M)</f>
        <v>18.28</v>
      </c>
      <c r="K4081" t="s">
        <v>41</v>
      </c>
      <c r="L4081" t="str">
        <f>_xlfn.XLOOKUP(K4081,[2]analyte_order!$B:$B,[2]analyte_order!$C:$C)</f>
        <v>2355-31-9</v>
      </c>
      <c r="M4081">
        <f>_xlfn.XLOOKUP(L4081,[2]analyte_order!$C:$C,[2]analyte_order!$E:$E)</f>
        <v>26</v>
      </c>
      <c r="N4081">
        <v>1.43</v>
      </c>
    </row>
    <row r="4082" spans="1:14">
      <c r="A4082" t="s">
        <v>260</v>
      </c>
      <c r="B4082" t="str">
        <f>_xlfn.XLOOKUP(A4082,'[1]Tissue Data'!$A:$A,'[1]Tissue Data'!$C:$C)</f>
        <v>Spill</v>
      </c>
      <c r="C4082" s="2">
        <f>_xlfn.XLOOKUP(A4082,'[1]Tissue Data'!$A:$A,'[1]Tissue Data'!$D:$D)</f>
        <v>44393</v>
      </c>
      <c r="D4082" s="2" t="str">
        <f>_xlfn.XLOOKUP(A4082,'[1]Tissue Data'!$A:$A,'[1]Tissue Data'!$F:$F)</f>
        <v>Pumpkinseed</v>
      </c>
      <c r="E4082" t="str">
        <f>_xlfn.XLOOKUP(A4082,'[1]Tissue Data'!$A:$A,'[1]Tissue Data'!$H:$H)</f>
        <v>Lepomis</v>
      </c>
      <c r="F4082" t="str">
        <f>_xlfn.XLOOKUP(A4082,'[1]Tissue Data'!$A:$A,'[1]Tissue Data'!$I:$I)</f>
        <v>gibbosus</v>
      </c>
      <c r="G4082" t="str">
        <f>_xlfn.XLOOKUP(A4082,'[1]Tissue Data'!$A:$A,'[1]Tissue Data'!J:J)</f>
        <v>U</v>
      </c>
      <c r="H4082" t="str">
        <f>_xlfn.XLOOKUP(A4082,'[1]Tissue Data'!$A:$A,'[1]Tissue Data'!K:K)</f>
        <v>Whole Body</v>
      </c>
      <c r="I4082">
        <f>_xlfn.XLOOKUP(A4082,'[1]Tissue Data'!$A:$A,'[1]Tissue Data'!L:L)</f>
        <v>9.5</v>
      </c>
      <c r="J4082">
        <f>_xlfn.XLOOKUP(A4082,'[1]Tissue Data'!$A:$A,'[1]Tissue Data'!M:M)</f>
        <v>18.28</v>
      </c>
      <c r="K4082" t="s">
        <v>42</v>
      </c>
      <c r="L4082" t="str">
        <f>_xlfn.XLOOKUP(K4082,[2]analyte_order!$B:$B,[2]analyte_order!$C:$C)</f>
        <v>2991-50-6</v>
      </c>
      <c r="M4082">
        <f>_xlfn.XLOOKUP(L4082,[2]analyte_order!$C:$C,[2]analyte_order!$E:$E)</f>
        <v>27</v>
      </c>
      <c r="N4082">
        <v>6.0999999999999999E-2</v>
      </c>
    </row>
    <row r="4083" spans="1:14">
      <c r="A4083" t="s">
        <v>260</v>
      </c>
      <c r="B4083" t="str">
        <f>_xlfn.XLOOKUP(A4083,'[1]Tissue Data'!$A:$A,'[1]Tissue Data'!$C:$C)</f>
        <v>Spill</v>
      </c>
      <c r="C4083" s="2">
        <f>_xlfn.XLOOKUP(A4083,'[1]Tissue Data'!$A:$A,'[1]Tissue Data'!$D:$D)</f>
        <v>44393</v>
      </c>
      <c r="D4083" s="2" t="str">
        <f>_xlfn.XLOOKUP(A4083,'[1]Tissue Data'!$A:$A,'[1]Tissue Data'!$F:$F)</f>
        <v>Pumpkinseed</v>
      </c>
      <c r="E4083" t="str">
        <f>_xlfn.XLOOKUP(A4083,'[1]Tissue Data'!$A:$A,'[1]Tissue Data'!$H:$H)</f>
        <v>Lepomis</v>
      </c>
      <c r="F4083" t="str">
        <f>_xlfn.XLOOKUP(A4083,'[1]Tissue Data'!$A:$A,'[1]Tissue Data'!$I:$I)</f>
        <v>gibbosus</v>
      </c>
      <c r="G4083" t="str">
        <f>_xlfn.XLOOKUP(A4083,'[1]Tissue Data'!$A:$A,'[1]Tissue Data'!J:J)</f>
        <v>U</v>
      </c>
      <c r="H4083" t="str">
        <f>_xlfn.XLOOKUP(A4083,'[1]Tissue Data'!$A:$A,'[1]Tissue Data'!K:K)</f>
        <v>Whole Body</v>
      </c>
      <c r="I4083">
        <f>_xlfn.XLOOKUP(A4083,'[1]Tissue Data'!$A:$A,'[1]Tissue Data'!L:L)</f>
        <v>9.5</v>
      </c>
      <c r="J4083">
        <f>_xlfn.XLOOKUP(A4083,'[1]Tissue Data'!$A:$A,'[1]Tissue Data'!M:M)</f>
        <v>18.28</v>
      </c>
      <c r="K4083" t="s">
        <v>43</v>
      </c>
      <c r="L4083" t="str">
        <f>_xlfn.XLOOKUP(K4083,[2]analyte_order!$B:$B,[2]analyte_order!$C:$C)</f>
        <v>757124-72-4</v>
      </c>
      <c r="M4083">
        <f>_xlfn.XLOOKUP(L4083,[2]analyte_order!$C:$C,[2]analyte_order!$E:$E)</f>
        <v>22</v>
      </c>
      <c r="N4083">
        <v>5.7500000000000002E-2</v>
      </c>
    </row>
    <row r="4084" spans="1:14">
      <c r="A4084" t="s">
        <v>260</v>
      </c>
      <c r="B4084" t="str">
        <f>_xlfn.XLOOKUP(A4084,'[1]Tissue Data'!$A:$A,'[1]Tissue Data'!$C:$C)</f>
        <v>Spill</v>
      </c>
      <c r="C4084" s="2">
        <f>_xlfn.XLOOKUP(A4084,'[1]Tissue Data'!$A:$A,'[1]Tissue Data'!$D:$D)</f>
        <v>44393</v>
      </c>
      <c r="D4084" s="2" t="str">
        <f>_xlfn.XLOOKUP(A4084,'[1]Tissue Data'!$A:$A,'[1]Tissue Data'!$F:$F)</f>
        <v>Pumpkinseed</v>
      </c>
      <c r="E4084" t="str">
        <f>_xlfn.XLOOKUP(A4084,'[1]Tissue Data'!$A:$A,'[1]Tissue Data'!$H:$H)</f>
        <v>Lepomis</v>
      </c>
      <c r="F4084" t="str">
        <f>_xlfn.XLOOKUP(A4084,'[1]Tissue Data'!$A:$A,'[1]Tissue Data'!$I:$I)</f>
        <v>gibbosus</v>
      </c>
      <c r="G4084" t="str">
        <f>_xlfn.XLOOKUP(A4084,'[1]Tissue Data'!$A:$A,'[1]Tissue Data'!J:J)</f>
        <v>U</v>
      </c>
      <c r="H4084" t="str">
        <f>_xlfn.XLOOKUP(A4084,'[1]Tissue Data'!$A:$A,'[1]Tissue Data'!K:K)</f>
        <v>Whole Body</v>
      </c>
      <c r="I4084">
        <f>_xlfn.XLOOKUP(A4084,'[1]Tissue Data'!$A:$A,'[1]Tissue Data'!L:L)</f>
        <v>9.5</v>
      </c>
      <c r="J4084">
        <f>_xlfn.XLOOKUP(A4084,'[1]Tissue Data'!$A:$A,'[1]Tissue Data'!M:M)</f>
        <v>18.28</v>
      </c>
      <c r="K4084" t="s">
        <v>44</v>
      </c>
      <c r="L4084" t="str">
        <f>_xlfn.XLOOKUP(K4084,[2]analyte_order!$B:$B,[2]analyte_order!$C:$C)</f>
        <v>27619-97-2</v>
      </c>
      <c r="M4084">
        <f>_xlfn.XLOOKUP(L4084,[2]analyte_order!$C:$C,[2]analyte_order!$E:$E)</f>
        <v>23</v>
      </c>
      <c r="N4084">
        <v>0.14000000000000001</v>
      </c>
    </row>
    <row r="4085" spans="1:14">
      <c r="A4085" t="s">
        <v>260</v>
      </c>
      <c r="B4085" t="str">
        <f>_xlfn.XLOOKUP(A4085,'[1]Tissue Data'!$A:$A,'[1]Tissue Data'!$C:$C)</f>
        <v>Spill</v>
      </c>
      <c r="C4085" s="2">
        <f>_xlfn.XLOOKUP(A4085,'[1]Tissue Data'!$A:$A,'[1]Tissue Data'!$D:$D)</f>
        <v>44393</v>
      </c>
      <c r="D4085" s="2" t="str">
        <f>_xlfn.XLOOKUP(A4085,'[1]Tissue Data'!$A:$A,'[1]Tissue Data'!$F:$F)</f>
        <v>Pumpkinseed</v>
      </c>
      <c r="E4085" t="str">
        <f>_xlfn.XLOOKUP(A4085,'[1]Tissue Data'!$A:$A,'[1]Tissue Data'!$H:$H)</f>
        <v>Lepomis</v>
      </c>
      <c r="F4085" t="str">
        <f>_xlfn.XLOOKUP(A4085,'[1]Tissue Data'!$A:$A,'[1]Tissue Data'!$I:$I)</f>
        <v>gibbosus</v>
      </c>
      <c r="G4085" t="str">
        <f>_xlfn.XLOOKUP(A4085,'[1]Tissue Data'!$A:$A,'[1]Tissue Data'!J:J)</f>
        <v>U</v>
      </c>
      <c r="H4085" t="str">
        <f>_xlfn.XLOOKUP(A4085,'[1]Tissue Data'!$A:$A,'[1]Tissue Data'!K:K)</f>
        <v>Whole Body</v>
      </c>
      <c r="I4085">
        <f>_xlfn.XLOOKUP(A4085,'[1]Tissue Data'!$A:$A,'[1]Tissue Data'!L:L)</f>
        <v>9.5</v>
      </c>
      <c r="J4085">
        <f>_xlfn.XLOOKUP(A4085,'[1]Tissue Data'!$A:$A,'[1]Tissue Data'!M:M)</f>
        <v>18.28</v>
      </c>
      <c r="K4085" t="s">
        <v>45</v>
      </c>
      <c r="L4085" t="str">
        <f>_xlfn.XLOOKUP(K4085,[2]analyte_order!$B:$B,[2]analyte_order!$C:$C)</f>
        <v>39108-34-4</v>
      </c>
      <c r="M4085">
        <f>_xlfn.XLOOKUP(L4085,[2]analyte_order!$C:$C,[2]analyte_order!$E:$E)</f>
        <v>24</v>
      </c>
      <c r="N4085">
        <v>3.85</v>
      </c>
    </row>
    <row r="4086" spans="1:14">
      <c r="A4086" t="s">
        <v>260</v>
      </c>
      <c r="B4086" t="str">
        <f>_xlfn.XLOOKUP(A4086,'[1]Tissue Data'!$A:$A,'[1]Tissue Data'!$C:$C)</f>
        <v>Spill</v>
      </c>
      <c r="C4086" s="2">
        <f>_xlfn.XLOOKUP(A4086,'[1]Tissue Data'!$A:$A,'[1]Tissue Data'!$D:$D)</f>
        <v>44393</v>
      </c>
      <c r="D4086" s="2" t="str">
        <f>_xlfn.XLOOKUP(A4086,'[1]Tissue Data'!$A:$A,'[1]Tissue Data'!$F:$F)</f>
        <v>Pumpkinseed</v>
      </c>
      <c r="E4086" t="str">
        <f>_xlfn.XLOOKUP(A4086,'[1]Tissue Data'!$A:$A,'[1]Tissue Data'!$H:$H)</f>
        <v>Lepomis</v>
      </c>
      <c r="F4086" t="str">
        <f>_xlfn.XLOOKUP(A4086,'[1]Tissue Data'!$A:$A,'[1]Tissue Data'!$I:$I)</f>
        <v>gibbosus</v>
      </c>
      <c r="G4086" t="str">
        <f>_xlfn.XLOOKUP(A4086,'[1]Tissue Data'!$A:$A,'[1]Tissue Data'!J:J)</f>
        <v>U</v>
      </c>
      <c r="H4086" t="str">
        <f>_xlfn.XLOOKUP(A4086,'[1]Tissue Data'!$A:$A,'[1]Tissue Data'!K:K)</f>
        <v>Whole Body</v>
      </c>
      <c r="I4086">
        <f>_xlfn.XLOOKUP(A4086,'[1]Tissue Data'!$A:$A,'[1]Tissue Data'!L:L)</f>
        <v>9.5</v>
      </c>
      <c r="J4086">
        <f>_xlfn.XLOOKUP(A4086,'[1]Tissue Data'!$A:$A,'[1]Tissue Data'!M:M)</f>
        <v>18.28</v>
      </c>
      <c r="K4086" t="s">
        <v>46</v>
      </c>
      <c r="L4086" t="str">
        <f>_xlfn.XLOOKUP(K4086,[2]analyte_order!$B:$B,[2]analyte_order!$C:$C)</f>
        <v>120226-60-0</v>
      </c>
      <c r="M4086">
        <f>_xlfn.XLOOKUP(L4086,[2]analyte_order!$C:$C,[2]analyte_order!$E:$E)</f>
        <v>25</v>
      </c>
      <c r="N4086">
        <v>0.26300000000000001</v>
      </c>
    </row>
    <row r="4087" spans="1:14">
      <c r="A4087" t="s">
        <v>260</v>
      </c>
      <c r="B4087" t="str">
        <f>_xlfn.XLOOKUP(A4087,'[1]Tissue Data'!$A:$A,'[1]Tissue Data'!$C:$C)</f>
        <v>Spill</v>
      </c>
      <c r="C4087" s="2">
        <f>_xlfn.XLOOKUP(A4087,'[1]Tissue Data'!$A:$A,'[1]Tissue Data'!$D:$D)</f>
        <v>44393</v>
      </c>
      <c r="D4087" s="2" t="str">
        <f>_xlfn.XLOOKUP(A4087,'[1]Tissue Data'!$A:$A,'[1]Tissue Data'!$F:$F)</f>
        <v>Pumpkinseed</v>
      </c>
      <c r="E4087" t="str">
        <f>_xlfn.XLOOKUP(A4087,'[1]Tissue Data'!$A:$A,'[1]Tissue Data'!$H:$H)</f>
        <v>Lepomis</v>
      </c>
      <c r="F4087" t="str">
        <f>_xlfn.XLOOKUP(A4087,'[1]Tissue Data'!$A:$A,'[1]Tissue Data'!$I:$I)</f>
        <v>gibbosus</v>
      </c>
      <c r="G4087" t="str">
        <f>_xlfn.XLOOKUP(A4087,'[1]Tissue Data'!$A:$A,'[1]Tissue Data'!J:J)</f>
        <v>U</v>
      </c>
      <c r="H4087" t="str">
        <f>_xlfn.XLOOKUP(A4087,'[1]Tissue Data'!$A:$A,'[1]Tissue Data'!K:K)</f>
        <v>Whole Body</v>
      </c>
      <c r="I4087">
        <f>_xlfn.XLOOKUP(A4087,'[1]Tissue Data'!$A:$A,'[1]Tissue Data'!L:L)</f>
        <v>9.5</v>
      </c>
      <c r="J4087">
        <f>_xlfn.XLOOKUP(A4087,'[1]Tissue Data'!$A:$A,'[1]Tissue Data'!M:M)</f>
        <v>18.28</v>
      </c>
      <c r="K4087" t="s">
        <v>47</v>
      </c>
      <c r="L4087" t="str">
        <f>_xlfn.XLOOKUP(K4087,[2]analyte_order!$B:$B,[2]analyte_order!$C:$C)</f>
        <v>356-02-5</v>
      </c>
      <c r="M4087">
        <f>_xlfn.XLOOKUP(L4087,[2]analyte_order!$C:$C,[2]analyte_order!$E:$E)</f>
        <v>38</v>
      </c>
      <c r="N4087">
        <v>8.1000000000000003E-2</v>
      </c>
    </row>
    <row r="4088" spans="1:14">
      <c r="A4088" t="s">
        <v>260</v>
      </c>
      <c r="B4088" t="str">
        <f>_xlfn.XLOOKUP(A4088,'[1]Tissue Data'!$A:$A,'[1]Tissue Data'!$C:$C)</f>
        <v>Spill</v>
      </c>
      <c r="C4088" s="2">
        <f>_xlfn.XLOOKUP(A4088,'[1]Tissue Data'!$A:$A,'[1]Tissue Data'!$D:$D)</f>
        <v>44393</v>
      </c>
      <c r="D4088" s="2" t="str">
        <f>_xlfn.XLOOKUP(A4088,'[1]Tissue Data'!$A:$A,'[1]Tissue Data'!$F:$F)</f>
        <v>Pumpkinseed</v>
      </c>
      <c r="E4088" t="str">
        <f>_xlfn.XLOOKUP(A4088,'[1]Tissue Data'!$A:$A,'[1]Tissue Data'!$H:$H)</f>
        <v>Lepomis</v>
      </c>
      <c r="F4088" t="str">
        <f>_xlfn.XLOOKUP(A4088,'[1]Tissue Data'!$A:$A,'[1]Tissue Data'!$I:$I)</f>
        <v>gibbosus</v>
      </c>
      <c r="G4088" t="str">
        <f>_xlfn.XLOOKUP(A4088,'[1]Tissue Data'!$A:$A,'[1]Tissue Data'!J:J)</f>
        <v>U</v>
      </c>
      <c r="H4088" t="str">
        <f>_xlfn.XLOOKUP(A4088,'[1]Tissue Data'!$A:$A,'[1]Tissue Data'!K:K)</f>
        <v>Whole Body</v>
      </c>
      <c r="I4088">
        <f>_xlfn.XLOOKUP(A4088,'[1]Tissue Data'!$A:$A,'[1]Tissue Data'!L:L)</f>
        <v>9.5</v>
      </c>
      <c r="J4088">
        <f>_xlfn.XLOOKUP(A4088,'[1]Tissue Data'!$A:$A,'[1]Tissue Data'!M:M)</f>
        <v>18.28</v>
      </c>
      <c r="K4088" t="s">
        <v>48</v>
      </c>
      <c r="L4088" t="str">
        <f>_xlfn.XLOOKUP(K4088,[2]analyte_order!$B:$B,[2]analyte_order!$C:$C)</f>
        <v>914637-49-3</v>
      </c>
      <c r="M4088">
        <f>_xlfn.XLOOKUP(L4088,[2]analyte_order!$C:$C,[2]analyte_order!$E:$E)</f>
        <v>39</v>
      </c>
      <c r="N4088">
        <v>2.15</v>
      </c>
    </row>
    <row r="4089" spans="1:14">
      <c r="A4089" t="s">
        <v>260</v>
      </c>
      <c r="B4089" t="str">
        <f>_xlfn.XLOOKUP(A4089,'[1]Tissue Data'!$A:$A,'[1]Tissue Data'!$C:$C)</f>
        <v>Spill</v>
      </c>
      <c r="C4089" s="2">
        <f>_xlfn.XLOOKUP(A4089,'[1]Tissue Data'!$A:$A,'[1]Tissue Data'!$D:$D)</f>
        <v>44393</v>
      </c>
      <c r="D4089" s="2" t="str">
        <f>_xlfn.XLOOKUP(A4089,'[1]Tissue Data'!$A:$A,'[1]Tissue Data'!$F:$F)</f>
        <v>Pumpkinseed</v>
      </c>
      <c r="E4089" t="str">
        <f>_xlfn.XLOOKUP(A4089,'[1]Tissue Data'!$A:$A,'[1]Tissue Data'!$H:$H)</f>
        <v>Lepomis</v>
      </c>
      <c r="F4089" t="str">
        <f>_xlfn.XLOOKUP(A4089,'[1]Tissue Data'!$A:$A,'[1]Tissue Data'!$I:$I)</f>
        <v>gibbosus</v>
      </c>
      <c r="G4089" t="str">
        <f>_xlfn.XLOOKUP(A4089,'[1]Tissue Data'!$A:$A,'[1]Tissue Data'!J:J)</f>
        <v>U</v>
      </c>
      <c r="H4089" t="str">
        <f>_xlfn.XLOOKUP(A4089,'[1]Tissue Data'!$A:$A,'[1]Tissue Data'!K:K)</f>
        <v>Whole Body</v>
      </c>
      <c r="I4089">
        <f>_xlfn.XLOOKUP(A4089,'[1]Tissue Data'!$A:$A,'[1]Tissue Data'!L:L)</f>
        <v>9.5</v>
      </c>
      <c r="J4089">
        <f>_xlfn.XLOOKUP(A4089,'[1]Tissue Data'!$A:$A,'[1]Tissue Data'!M:M)</f>
        <v>18.28</v>
      </c>
      <c r="K4089" t="s">
        <v>49</v>
      </c>
      <c r="L4089" t="str">
        <f>_xlfn.XLOOKUP(K4089,[2]analyte_order!$B:$B,[2]analyte_order!$C:$C)</f>
        <v>812-70-4</v>
      </c>
      <c r="M4089">
        <f>_xlfn.XLOOKUP(L4089,[2]analyte_order!$C:$C,[2]analyte_order!$E:$E)</f>
        <v>40</v>
      </c>
      <c r="N4089">
        <v>1.44</v>
      </c>
    </row>
    <row r="4090" spans="1:14">
      <c r="A4090" t="s">
        <v>260</v>
      </c>
      <c r="B4090" t="str">
        <f>_xlfn.XLOOKUP(A4090,'[1]Tissue Data'!$A:$A,'[1]Tissue Data'!$C:$C)</f>
        <v>Spill</v>
      </c>
      <c r="C4090" s="2">
        <f>_xlfn.XLOOKUP(A4090,'[1]Tissue Data'!$A:$A,'[1]Tissue Data'!$D:$D)</f>
        <v>44393</v>
      </c>
      <c r="D4090" s="2" t="str">
        <f>_xlfn.XLOOKUP(A4090,'[1]Tissue Data'!$A:$A,'[1]Tissue Data'!$F:$F)</f>
        <v>Pumpkinseed</v>
      </c>
      <c r="E4090" t="str">
        <f>_xlfn.XLOOKUP(A4090,'[1]Tissue Data'!$A:$A,'[1]Tissue Data'!$H:$H)</f>
        <v>Lepomis</v>
      </c>
      <c r="F4090" t="str">
        <f>_xlfn.XLOOKUP(A4090,'[1]Tissue Data'!$A:$A,'[1]Tissue Data'!$I:$I)</f>
        <v>gibbosus</v>
      </c>
      <c r="G4090" t="str">
        <f>_xlfn.XLOOKUP(A4090,'[1]Tissue Data'!$A:$A,'[1]Tissue Data'!J:J)</f>
        <v>U</v>
      </c>
      <c r="H4090" t="str">
        <f>_xlfn.XLOOKUP(A4090,'[1]Tissue Data'!$A:$A,'[1]Tissue Data'!K:K)</f>
        <v>Whole Body</v>
      </c>
      <c r="I4090">
        <f>_xlfn.XLOOKUP(A4090,'[1]Tissue Data'!$A:$A,'[1]Tissue Data'!L:L)</f>
        <v>9.5</v>
      </c>
      <c r="J4090">
        <f>_xlfn.XLOOKUP(A4090,'[1]Tissue Data'!$A:$A,'[1]Tissue Data'!M:M)</f>
        <v>18.28</v>
      </c>
      <c r="K4090" t="s">
        <v>50</v>
      </c>
      <c r="L4090" t="str">
        <f>_xlfn.XLOOKUP(K4090,[2]analyte_order!$B:$B,[2]analyte_order!$C:$C)</f>
        <v>53826-12-3</v>
      </c>
      <c r="M4090">
        <f>_xlfn.XLOOKUP(L4090,[2]analyte_order!$C:$C,[2]analyte_order!$E:$E)</f>
        <v>41</v>
      </c>
      <c r="N4090">
        <v>0.66900000000000004</v>
      </c>
    </row>
    <row r="4091" spans="1:14">
      <c r="A4091" t="s">
        <v>260</v>
      </c>
      <c r="B4091" t="str">
        <f>_xlfn.XLOOKUP(A4091,'[1]Tissue Data'!$A:$A,'[1]Tissue Data'!$C:$C)</f>
        <v>Spill</v>
      </c>
      <c r="C4091" s="2">
        <f>_xlfn.XLOOKUP(A4091,'[1]Tissue Data'!$A:$A,'[1]Tissue Data'!$D:$D)</f>
        <v>44393</v>
      </c>
      <c r="D4091" s="2" t="str">
        <f>_xlfn.XLOOKUP(A4091,'[1]Tissue Data'!$A:$A,'[1]Tissue Data'!$F:$F)</f>
        <v>Pumpkinseed</v>
      </c>
      <c r="E4091" t="str">
        <f>_xlfn.XLOOKUP(A4091,'[1]Tissue Data'!$A:$A,'[1]Tissue Data'!$H:$H)</f>
        <v>Lepomis</v>
      </c>
      <c r="F4091" t="str">
        <f>_xlfn.XLOOKUP(A4091,'[1]Tissue Data'!$A:$A,'[1]Tissue Data'!$I:$I)</f>
        <v>gibbosus</v>
      </c>
      <c r="G4091" t="str">
        <f>_xlfn.XLOOKUP(A4091,'[1]Tissue Data'!$A:$A,'[1]Tissue Data'!J:J)</f>
        <v>U</v>
      </c>
      <c r="H4091" t="str">
        <f>_xlfn.XLOOKUP(A4091,'[1]Tissue Data'!$A:$A,'[1]Tissue Data'!K:K)</f>
        <v>Whole Body</v>
      </c>
      <c r="I4091">
        <f>_xlfn.XLOOKUP(A4091,'[1]Tissue Data'!$A:$A,'[1]Tissue Data'!L:L)</f>
        <v>9.5</v>
      </c>
      <c r="J4091">
        <f>_xlfn.XLOOKUP(A4091,'[1]Tissue Data'!$A:$A,'[1]Tissue Data'!M:M)</f>
        <v>18.28</v>
      </c>
      <c r="K4091" t="s">
        <v>51</v>
      </c>
      <c r="L4091" t="str">
        <f>_xlfn.XLOOKUP(K4091,[2]analyte_order!$B:$B,[2]analyte_order!$C:$C)</f>
        <v>27854-31-5</v>
      </c>
      <c r="M4091">
        <f>_xlfn.XLOOKUP(L4091,[2]analyte_order!$C:$C,[2]analyte_order!$E:$E)</f>
        <v>42</v>
      </c>
      <c r="N4091">
        <v>7.0000000000000007E-2</v>
      </c>
    </row>
    <row r="4092" spans="1:14">
      <c r="A4092" t="s">
        <v>260</v>
      </c>
      <c r="B4092" t="str">
        <f>_xlfn.XLOOKUP(A4092,'[1]Tissue Data'!$A:$A,'[1]Tissue Data'!$C:$C)</f>
        <v>Spill</v>
      </c>
      <c r="C4092" s="2">
        <f>_xlfn.XLOOKUP(A4092,'[1]Tissue Data'!$A:$A,'[1]Tissue Data'!$D:$D)</f>
        <v>44393</v>
      </c>
      <c r="D4092" s="2" t="str">
        <f>_xlfn.XLOOKUP(A4092,'[1]Tissue Data'!$A:$A,'[1]Tissue Data'!$F:$F)</f>
        <v>Pumpkinseed</v>
      </c>
      <c r="E4092" t="str">
        <f>_xlfn.XLOOKUP(A4092,'[1]Tissue Data'!$A:$A,'[1]Tissue Data'!$H:$H)</f>
        <v>Lepomis</v>
      </c>
      <c r="F4092" t="str">
        <f>_xlfn.XLOOKUP(A4092,'[1]Tissue Data'!$A:$A,'[1]Tissue Data'!$I:$I)</f>
        <v>gibbosus</v>
      </c>
      <c r="G4092" t="str">
        <f>_xlfn.XLOOKUP(A4092,'[1]Tissue Data'!$A:$A,'[1]Tissue Data'!J:J)</f>
        <v>U</v>
      </c>
      <c r="H4092" t="str">
        <f>_xlfn.XLOOKUP(A4092,'[1]Tissue Data'!$A:$A,'[1]Tissue Data'!K:K)</f>
        <v>Whole Body</v>
      </c>
      <c r="I4092">
        <f>_xlfn.XLOOKUP(A4092,'[1]Tissue Data'!$A:$A,'[1]Tissue Data'!L:L)</f>
        <v>9.5</v>
      </c>
      <c r="J4092">
        <f>_xlfn.XLOOKUP(A4092,'[1]Tissue Data'!$A:$A,'[1]Tissue Data'!M:M)</f>
        <v>18.28</v>
      </c>
      <c r="K4092" t="s">
        <v>52</v>
      </c>
      <c r="L4092" t="str">
        <f>_xlfn.XLOOKUP(K4092,[2]analyte_order!$B:$B,[2]analyte_order!$C:$C)</f>
        <v>53826-13-4</v>
      </c>
      <c r="M4092">
        <f>_xlfn.XLOOKUP(L4092,[2]analyte_order!$C:$C,[2]analyte_order!$E:$E)</f>
        <v>43</v>
      </c>
      <c r="N4092">
        <v>1.38</v>
      </c>
    </row>
    <row r="4093" spans="1:14">
      <c r="A4093" t="s">
        <v>260</v>
      </c>
      <c r="B4093" t="str">
        <f>_xlfn.XLOOKUP(A4093,'[1]Tissue Data'!$A:$A,'[1]Tissue Data'!$C:$C)</f>
        <v>Spill</v>
      </c>
      <c r="C4093" s="2">
        <f>_xlfn.XLOOKUP(A4093,'[1]Tissue Data'!$A:$A,'[1]Tissue Data'!$D:$D)</f>
        <v>44393</v>
      </c>
      <c r="D4093" s="2" t="str">
        <f>_xlfn.XLOOKUP(A4093,'[1]Tissue Data'!$A:$A,'[1]Tissue Data'!$F:$F)</f>
        <v>Pumpkinseed</v>
      </c>
      <c r="E4093" t="str">
        <f>_xlfn.XLOOKUP(A4093,'[1]Tissue Data'!$A:$A,'[1]Tissue Data'!$H:$H)</f>
        <v>Lepomis</v>
      </c>
      <c r="F4093" t="str">
        <f>_xlfn.XLOOKUP(A4093,'[1]Tissue Data'!$A:$A,'[1]Tissue Data'!$I:$I)</f>
        <v>gibbosus</v>
      </c>
      <c r="G4093" t="str">
        <f>_xlfn.XLOOKUP(A4093,'[1]Tissue Data'!$A:$A,'[1]Tissue Data'!J:J)</f>
        <v>U</v>
      </c>
      <c r="H4093" t="str">
        <f>_xlfn.XLOOKUP(A4093,'[1]Tissue Data'!$A:$A,'[1]Tissue Data'!K:K)</f>
        <v>Whole Body</v>
      </c>
      <c r="I4093">
        <f>_xlfn.XLOOKUP(A4093,'[1]Tissue Data'!$A:$A,'[1]Tissue Data'!L:L)</f>
        <v>9.5</v>
      </c>
      <c r="J4093">
        <f>_xlfn.XLOOKUP(A4093,'[1]Tissue Data'!$A:$A,'[1]Tissue Data'!M:M)</f>
        <v>18.28</v>
      </c>
      <c r="K4093" t="s">
        <v>53</v>
      </c>
      <c r="L4093" t="str">
        <f>_xlfn.XLOOKUP(K4093,[2]analyte_order!$B:$B,[2]analyte_order!$C:$C)</f>
        <v>161094-75-3</v>
      </c>
      <c r="M4093">
        <f>_xlfn.XLOOKUP(L4093,[2]analyte_order!$C:$C,[2]analyte_order!$E:$E)</f>
        <v>44</v>
      </c>
      <c r="N4093">
        <v>5.5E-2</v>
      </c>
    </row>
    <row r="4094" spans="1:14">
      <c r="A4094" t="s">
        <v>260</v>
      </c>
      <c r="B4094" t="str">
        <f>_xlfn.XLOOKUP(A4094,'[1]Tissue Data'!$A:$A,'[1]Tissue Data'!$C:$C)</f>
        <v>Spill</v>
      </c>
      <c r="C4094" s="2">
        <f>_xlfn.XLOOKUP(A4094,'[1]Tissue Data'!$A:$A,'[1]Tissue Data'!$D:$D)</f>
        <v>44393</v>
      </c>
      <c r="D4094" s="2" t="str">
        <f>_xlfn.XLOOKUP(A4094,'[1]Tissue Data'!$A:$A,'[1]Tissue Data'!$F:$F)</f>
        <v>Pumpkinseed</v>
      </c>
      <c r="E4094" t="str">
        <f>_xlfn.XLOOKUP(A4094,'[1]Tissue Data'!$A:$A,'[1]Tissue Data'!$H:$H)</f>
        <v>Lepomis</v>
      </c>
      <c r="F4094" t="str">
        <f>_xlfn.XLOOKUP(A4094,'[1]Tissue Data'!$A:$A,'[1]Tissue Data'!$I:$I)</f>
        <v>gibbosus</v>
      </c>
      <c r="G4094" t="str">
        <f>_xlfn.XLOOKUP(A4094,'[1]Tissue Data'!$A:$A,'[1]Tissue Data'!J:J)</f>
        <v>U</v>
      </c>
      <c r="H4094" t="str">
        <f>_xlfn.XLOOKUP(A4094,'[1]Tissue Data'!$A:$A,'[1]Tissue Data'!K:K)</f>
        <v>Whole Body</v>
      </c>
      <c r="I4094">
        <f>_xlfn.XLOOKUP(A4094,'[1]Tissue Data'!$A:$A,'[1]Tissue Data'!L:L)</f>
        <v>9.5</v>
      </c>
      <c r="J4094">
        <f>_xlfn.XLOOKUP(A4094,'[1]Tissue Data'!$A:$A,'[1]Tissue Data'!M:M)</f>
        <v>18.28</v>
      </c>
      <c r="K4094" t="s">
        <v>54</v>
      </c>
      <c r="L4094" t="str">
        <f>_xlfn.XLOOKUP(K4094,[2]analyte_order!$B:$B,[2]analyte_order!$C:$C)</f>
        <v>70887-84-2</v>
      </c>
      <c r="M4094">
        <f>_xlfn.XLOOKUP(L4094,[2]analyte_order!$C:$C,[2]analyte_order!$E:$E)</f>
        <v>45</v>
      </c>
      <c r="N4094">
        <v>4.24E-2</v>
      </c>
    </row>
    <row r="4095" spans="1:14">
      <c r="A4095" t="s">
        <v>260</v>
      </c>
      <c r="B4095" t="str">
        <f>_xlfn.XLOOKUP(A4095,'[1]Tissue Data'!$A:$A,'[1]Tissue Data'!$C:$C)</f>
        <v>Spill</v>
      </c>
      <c r="C4095" s="2">
        <f>_xlfn.XLOOKUP(A4095,'[1]Tissue Data'!$A:$A,'[1]Tissue Data'!$D:$D)</f>
        <v>44393</v>
      </c>
      <c r="D4095" s="2" t="str">
        <f>_xlfn.XLOOKUP(A4095,'[1]Tissue Data'!$A:$A,'[1]Tissue Data'!$F:$F)</f>
        <v>Pumpkinseed</v>
      </c>
      <c r="E4095" t="str">
        <f>_xlfn.XLOOKUP(A4095,'[1]Tissue Data'!$A:$A,'[1]Tissue Data'!$H:$H)</f>
        <v>Lepomis</v>
      </c>
      <c r="F4095" t="str">
        <f>_xlfn.XLOOKUP(A4095,'[1]Tissue Data'!$A:$A,'[1]Tissue Data'!$I:$I)</f>
        <v>gibbosus</v>
      </c>
      <c r="G4095" t="str">
        <f>_xlfn.XLOOKUP(A4095,'[1]Tissue Data'!$A:$A,'[1]Tissue Data'!J:J)</f>
        <v>U</v>
      </c>
      <c r="H4095" t="str">
        <f>_xlfn.XLOOKUP(A4095,'[1]Tissue Data'!$A:$A,'[1]Tissue Data'!K:K)</f>
        <v>Whole Body</v>
      </c>
      <c r="I4095">
        <f>_xlfn.XLOOKUP(A4095,'[1]Tissue Data'!$A:$A,'[1]Tissue Data'!L:L)</f>
        <v>9.5</v>
      </c>
      <c r="J4095">
        <f>_xlfn.XLOOKUP(A4095,'[1]Tissue Data'!$A:$A,'[1]Tissue Data'!M:M)</f>
        <v>18.28</v>
      </c>
      <c r="K4095" t="s">
        <v>55</v>
      </c>
      <c r="L4095" t="str">
        <f>_xlfn.XLOOKUP(K4095,[2]analyte_order!$B:$B,[2]analyte_order!$C:$C)</f>
        <v>919005-14-4</v>
      </c>
      <c r="M4095">
        <f>_xlfn.XLOOKUP(L4095,[2]analyte_order!$C:$C,[2]analyte_order!$E:$E)</f>
        <v>35</v>
      </c>
      <c r="N4095">
        <v>7.0000000000000007E-2</v>
      </c>
    </row>
    <row r="4096" spans="1:14">
      <c r="A4096" t="s">
        <v>260</v>
      </c>
      <c r="B4096" t="str">
        <f>_xlfn.XLOOKUP(A4096,'[1]Tissue Data'!$A:$A,'[1]Tissue Data'!$C:$C)</f>
        <v>Spill</v>
      </c>
      <c r="C4096" s="2">
        <f>_xlfn.XLOOKUP(A4096,'[1]Tissue Data'!$A:$A,'[1]Tissue Data'!$D:$D)</f>
        <v>44393</v>
      </c>
      <c r="D4096" s="2" t="str">
        <f>_xlfn.XLOOKUP(A4096,'[1]Tissue Data'!$A:$A,'[1]Tissue Data'!$F:$F)</f>
        <v>Pumpkinseed</v>
      </c>
      <c r="E4096" t="str">
        <f>_xlfn.XLOOKUP(A4096,'[1]Tissue Data'!$A:$A,'[1]Tissue Data'!$H:$H)</f>
        <v>Lepomis</v>
      </c>
      <c r="F4096" t="str">
        <f>_xlfn.XLOOKUP(A4096,'[1]Tissue Data'!$A:$A,'[1]Tissue Data'!$I:$I)</f>
        <v>gibbosus</v>
      </c>
      <c r="G4096" t="str">
        <f>_xlfn.XLOOKUP(A4096,'[1]Tissue Data'!$A:$A,'[1]Tissue Data'!J:J)</f>
        <v>U</v>
      </c>
      <c r="H4096" t="str">
        <f>_xlfn.XLOOKUP(A4096,'[1]Tissue Data'!$A:$A,'[1]Tissue Data'!K:K)</f>
        <v>Whole Body</v>
      </c>
      <c r="I4096">
        <f>_xlfn.XLOOKUP(A4096,'[1]Tissue Data'!$A:$A,'[1]Tissue Data'!L:L)</f>
        <v>9.5</v>
      </c>
      <c r="J4096">
        <f>_xlfn.XLOOKUP(A4096,'[1]Tissue Data'!$A:$A,'[1]Tissue Data'!M:M)</f>
        <v>18.28</v>
      </c>
      <c r="K4096" t="s">
        <v>56</v>
      </c>
      <c r="L4096" t="str">
        <f>_xlfn.XLOOKUP(K4096,[2]analyte_order!$B:$B,[2]analyte_order!$C:$C)</f>
        <v>756426-58-1</v>
      </c>
      <c r="M4096">
        <f>_xlfn.XLOOKUP(L4096,[2]analyte_order!$C:$C,[2]analyte_order!$E:$E)</f>
        <v>36</v>
      </c>
      <c r="N4096">
        <v>7.0000000000000007E-2</v>
      </c>
    </row>
    <row r="4097" spans="1:14">
      <c r="A4097" t="s">
        <v>260</v>
      </c>
      <c r="B4097" t="str">
        <f>_xlfn.XLOOKUP(A4097,'[1]Tissue Data'!$A:$A,'[1]Tissue Data'!$C:$C)</f>
        <v>Spill</v>
      </c>
      <c r="C4097" s="2">
        <f>_xlfn.XLOOKUP(A4097,'[1]Tissue Data'!$A:$A,'[1]Tissue Data'!$D:$D)</f>
        <v>44393</v>
      </c>
      <c r="D4097" s="2" t="str">
        <f>_xlfn.XLOOKUP(A4097,'[1]Tissue Data'!$A:$A,'[1]Tissue Data'!$F:$F)</f>
        <v>Pumpkinseed</v>
      </c>
      <c r="E4097" t="str">
        <f>_xlfn.XLOOKUP(A4097,'[1]Tissue Data'!$A:$A,'[1]Tissue Data'!$H:$H)</f>
        <v>Lepomis</v>
      </c>
      <c r="F4097" t="str">
        <f>_xlfn.XLOOKUP(A4097,'[1]Tissue Data'!$A:$A,'[1]Tissue Data'!$I:$I)</f>
        <v>gibbosus</v>
      </c>
      <c r="G4097" t="str">
        <f>_xlfn.XLOOKUP(A4097,'[1]Tissue Data'!$A:$A,'[1]Tissue Data'!J:J)</f>
        <v>U</v>
      </c>
      <c r="H4097" t="str">
        <f>_xlfn.XLOOKUP(A4097,'[1]Tissue Data'!$A:$A,'[1]Tissue Data'!K:K)</f>
        <v>Whole Body</v>
      </c>
      <c r="I4097">
        <f>_xlfn.XLOOKUP(A4097,'[1]Tissue Data'!$A:$A,'[1]Tissue Data'!L:L)</f>
        <v>9.5</v>
      </c>
      <c r="J4097">
        <f>_xlfn.XLOOKUP(A4097,'[1]Tissue Data'!$A:$A,'[1]Tissue Data'!M:M)</f>
        <v>18.28</v>
      </c>
      <c r="K4097" t="s">
        <v>57</v>
      </c>
      <c r="L4097" t="str">
        <f>_xlfn.XLOOKUP(K4097,[2]analyte_order!$B:$B,[2]analyte_order!$C:$C)</f>
        <v>763051-92-9</v>
      </c>
      <c r="M4097">
        <f>_xlfn.XLOOKUP(L4097,[2]analyte_order!$C:$C,[2]analyte_order!$E:$E)</f>
        <v>37</v>
      </c>
      <c r="N4097">
        <v>7.0000000000000007E-2</v>
      </c>
    </row>
    <row r="4098" spans="1:14">
      <c r="A4098" t="s">
        <v>260</v>
      </c>
      <c r="B4098" t="str">
        <f>_xlfn.XLOOKUP(A4098,'[1]Tissue Data'!$A:$A,'[1]Tissue Data'!$C:$C)</f>
        <v>Spill</v>
      </c>
      <c r="C4098" s="2">
        <f>_xlfn.XLOOKUP(A4098,'[1]Tissue Data'!$A:$A,'[1]Tissue Data'!$D:$D)</f>
        <v>44393</v>
      </c>
      <c r="D4098" s="2" t="str">
        <f>_xlfn.XLOOKUP(A4098,'[1]Tissue Data'!$A:$A,'[1]Tissue Data'!$F:$F)</f>
        <v>Pumpkinseed</v>
      </c>
      <c r="E4098" t="str">
        <f>_xlfn.XLOOKUP(A4098,'[1]Tissue Data'!$A:$A,'[1]Tissue Data'!$H:$H)</f>
        <v>Lepomis</v>
      </c>
      <c r="F4098" t="str">
        <f>_xlfn.XLOOKUP(A4098,'[1]Tissue Data'!$A:$A,'[1]Tissue Data'!$I:$I)</f>
        <v>gibbosus</v>
      </c>
      <c r="G4098" t="str">
        <f>_xlfn.XLOOKUP(A4098,'[1]Tissue Data'!$A:$A,'[1]Tissue Data'!J:J)</f>
        <v>U</v>
      </c>
      <c r="H4098" t="str">
        <f>_xlfn.XLOOKUP(A4098,'[1]Tissue Data'!$A:$A,'[1]Tissue Data'!K:K)</f>
        <v>Whole Body</v>
      </c>
      <c r="I4098">
        <f>_xlfn.XLOOKUP(A4098,'[1]Tissue Data'!$A:$A,'[1]Tissue Data'!L:L)</f>
        <v>9.5</v>
      </c>
      <c r="J4098">
        <f>_xlfn.XLOOKUP(A4098,'[1]Tissue Data'!$A:$A,'[1]Tissue Data'!M:M)</f>
        <v>18.28</v>
      </c>
      <c r="K4098" t="s">
        <v>58</v>
      </c>
      <c r="L4098" t="str">
        <f>_xlfn.XLOOKUP(K4098,[2]analyte_order!$B:$B,[2]analyte_order!$C:$C)</f>
        <v>13252-13-6</v>
      </c>
      <c r="M4098">
        <f>_xlfn.XLOOKUP(L4098,[2]analyte_order!$C:$C,[2]analyte_order!$E:$E)</f>
        <v>34</v>
      </c>
      <c r="N4098">
        <v>0.10100000000000001</v>
      </c>
    </row>
    <row r="4099" spans="1:14">
      <c r="A4099" t="s">
        <v>260</v>
      </c>
      <c r="B4099" t="str">
        <f>_xlfn.XLOOKUP(A4099,'[1]Tissue Data'!$A:$A,'[1]Tissue Data'!$C:$C)</f>
        <v>Spill</v>
      </c>
      <c r="C4099" s="2">
        <f>_xlfn.XLOOKUP(A4099,'[1]Tissue Data'!$A:$A,'[1]Tissue Data'!$D:$D)</f>
        <v>44393</v>
      </c>
      <c r="D4099" s="2" t="str">
        <f>_xlfn.XLOOKUP(A4099,'[1]Tissue Data'!$A:$A,'[1]Tissue Data'!$F:$F)</f>
        <v>Pumpkinseed</v>
      </c>
      <c r="E4099" t="str">
        <f>_xlfn.XLOOKUP(A4099,'[1]Tissue Data'!$A:$A,'[1]Tissue Data'!$H:$H)</f>
        <v>Lepomis</v>
      </c>
      <c r="F4099" t="str">
        <f>_xlfn.XLOOKUP(A4099,'[1]Tissue Data'!$A:$A,'[1]Tissue Data'!$I:$I)</f>
        <v>gibbosus</v>
      </c>
      <c r="G4099" t="str">
        <f>_xlfn.XLOOKUP(A4099,'[1]Tissue Data'!$A:$A,'[1]Tissue Data'!J:J)</f>
        <v>U</v>
      </c>
      <c r="H4099" t="str">
        <f>_xlfn.XLOOKUP(A4099,'[1]Tissue Data'!$A:$A,'[1]Tissue Data'!K:K)</f>
        <v>Whole Body</v>
      </c>
      <c r="I4099">
        <f>_xlfn.XLOOKUP(A4099,'[1]Tissue Data'!$A:$A,'[1]Tissue Data'!L:L)</f>
        <v>9.5</v>
      </c>
      <c r="J4099">
        <f>_xlfn.XLOOKUP(A4099,'[1]Tissue Data'!$A:$A,'[1]Tissue Data'!M:M)</f>
        <v>18.28</v>
      </c>
      <c r="K4099" t="s">
        <v>59</v>
      </c>
      <c r="L4099" t="str">
        <f>_xlfn.XLOOKUP(K4099,[2]analyte_order!$B:$B,[2]analyte_order!$C:$C)</f>
        <v>57677-95-9</v>
      </c>
      <c r="M4099">
        <f>_xlfn.XLOOKUP(L4099,[2]analyte_order!$C:$C,[2]analyte_order!$E:$E)</f>
        <v>46</v>
      </c>
      <c r="N4099">
        <v>7.4499999999999997E-2</v>
      </c>
    </row>
    <row r="4100" spans="1:14">
      <c r="A4100" t="s">
        <v>260</v>
      </c>
      <c r="B4100" t="str">
        <f>_xlfn.XLOOKUP(A4100,'[1]Tissue Data'!$A:$A,'[1]Tissue Data'!$C:$C)</f>
        <v>Spill</v>
      </c>
      <c r="C4100" s="2">
        <f>_xlfn.XLOOKUP(A4100,'[1]Tissue Data'!$A:$A,'[1]Tissue Data'!$D:$D)</f>
        <v>44393</v>
      </c>
      <c r="D4100" s="2" t="str">
        <f>_xlfn.XLOOKUP(A4100,'[1]Tissue Data'!$A:$A,'[1]Tissue Data'!$F:$F)</f>
        <v>Pumpkinseed</v>
      </c>
      <c r="E4100" t="str">
        <f>_xlfn.XLOOKUP(A4100,'[1]Tissue Data'!$A:$A,'[1]Tissue Data'!$H:$H)</f>
        <v>Lepomis</v>
      </c>
      <c r="F4100" t="str">
        <f>_xlfn.XLOOKUP(A4100,'[1]Tissue Data'!$A:$A,'[1]Tissue Data'!$I:$I)</f>
        <v>gibbosus</v>
      </c>
      <c r="G4100" t="str">
        <f>_xlfn.XLOOKUP(A4100,'[1]Tissue Data'!$A:$A,'[1]Tissue Data'!J:J)</f>
        <v>U</v>
      </c>
      <c r="H4100" t="str">
        <f>_xlfn.XLOOKUP(A4100,'[1]Tissue Data'!$A:$A,'[1]Tissue Data'!K:K)</f>
        <v>Whole Body</v>
      </c>
      <c r="I4100">
        <f>_xlfn.XLOOKUP(A4100,'[1]Tissue Data'!$A:$A,'[1]Tissue Data'!L:L)</f>
        <v>9.5</v>
      </c>
      <c r="J4100">
        <f>_xlfn.XLOOKUP(A4100,'[1]Tissue Data'!$A:$A,'[1]Tissue Data'!M:M)</f>
        <v>18.28</v>
      </c>
      <c r="K4100" t="s">
        <v>60</v>
      </c>
      <c r="L4100" t="str">
        <f>_xlfn.XLOOKUP(K4100,[2]analyte_order!$B:$B,[2]analyte_order!$C:$C)</f>
        <v>678-41-1</v>
      </c>
      <c r="M4100">
        <f>_xlfn.XLOOKUP(L4100,[2]analyte_order!$C:$C,[2]analyte_order!$E:$E)</f>
        <v>56</v>
      </c>
      <c r="N4100">
        <v>9.2999999999999999E-2</v>
      </c>
    </row>
    <row r="4101" spans="1:14">
      <c r="A4101" t="s">
        <v>260</v>
      </c>
      <c r="B4101" t="str">
        <f>_xlfn.XLOOKUP(A4101,'[1]Tissue Data'!$A:$A,'[1]Tissue Data'!$C:$C)</f>
        <v>Spill</v>
      </c>
      <c r="C4101" s="2">
        <f>_xlfn.XLOOKUP(A4101,'[1]Tissue Data'!$A:$A,'[1]Tissue Data'!$D:$D)</f>
        <v>44393</v>
      </c>
      <c r="D4101" s="2" t="str">
        <f>_xlfn.XLOOKUP(A4101,'[1]Tissue Data'!$A:$A,'[1]Tissue Data'!$F:$F)</f>
        <v>Pumpkinseed</v>
      </c>
      <c r="E4101" t="str">
        <f>_xlfn.XLOOKUP(A4101,'[1]Tissue Data'!$A:$A,'[1]Tissue Data'!$H:$H)</f>
        <v>Lepomis</v>
      </c>
      <c r="F4101" t="str">
        <f>_xlfn.XLOOKUP(A4101,'[1]Tissue Data'!$A:$A,'[1]Tissue Data'!$I:$I)</f>
        <v>gibbosus</v>
      </c>
      <c r="G4101" t="str">
        <f>_xlfn.XLOOKUP(A4101,'[1]Tissue Data'!$A:$A,'[1]Tissue Data'!J:J)</f>
        <v>U</v>
      </c>
      <c r="H4101" t="str">
        <f>_xlfn.XLOOKUP(A4101,'[1]Tissue Data'!$A:$A,'[1]Tissue Data'!K:K)</f>
        <v>Whole Body</v>
      </c>
      <c r="I4101">
        <f>_xlfn.XLOOKUP(A4101,'[1]Tissue Data'!$A:$A,'[1]Tissue Data'!L:L)</f>
        <v>9.5</v>
      </c>
      <c r="J4101">
        <f>_xlfn.XLOOKUP(A4101,'[1]Tissue Data'!$A:$A,'[1]Tissue Data'!M:M)</f>
        <v>18.28</v>
      </c>
      <c r="K4101" t="s">
        <v>61</v>
      </c>
      <c r="L4101" t="str">
        <f>_xlfn.XLOOKUP(K4101,[2]analyte_order!$B:$B,[2]analyte_order!$C:$C)</f>
        <v>2965-52-8</v>
      </c>
      <c r="M4101">
        <f>_xlfn.XLOOKUP(L4101,[2]analyte_order!$C:$C,[2]analyte_order!$E:$E)</f>
        <v>57</v>
      </c>
      <c r="N4101">
        <v>0.1235</v>
      </c>
    </row>
    <row r="4102" spans="1:14">
      <c r="A4102" t="s">
        <v>261</v>
      </c>
      <c r="B4102" t="str">
        <f>_xlfn.XLOOKUP(A4102,'[1]Tissue Data'!$A:$A,'[1]Tissue Data'!$C:$C)</f>
        <v>Spill</v>
      </c>
      <c r="C4102" s="2">
        <f>_xlfn.XLOOKUP(A4102,'[1]Tissue Data'!$A:$A,'[1]Tissue Data'!$D:$D)</f>
        <v>44393</v>
      </c>
      <c r="D4102" s="2" t="str">
        <f>_xlfn.XLOOKUP(A4102,'[1]Tissue Data'!$A:$A,'[1]Tissue Data'!$F:$F)</f>
        <v>Pumpkinseed</v>
      </c>
      <c r="E4102" t="str">
        <f>_xlfn.XLOOKUP(A4102,'[1]Tissue Data'!$A:$A,'[1]Tissue Data'!$H:$H)</f>
        <v>Lepomis</v>
      </c>
      <c r="F4102" t="str">
        <f>_xlfn.XLOOKUP(A4102,'[1]Tissue Data'!$A:$A,'[1]Tissue Data'!$I:$I)</f>
        <v>gibbosus</v>
      </c>
      <c r="G4102" t="str">
        <f>_xlfn.XLOOKUP(A4102,'[1]Tissue Data'!$A:$A,'[1]Tissue Data'!J:J)</f>
        <v>U</v>
      </c>
      <c r="H4102" t="str">
        <f>_xlfn.XLOOKUP(A4102,'[1]Tissue Data'!$A:$A,'[1]Tissue Data'!K:K)</f>
        <v>Whole Body</v>
      </c>
      <c r="I4102">
        <f>_xlfn.XLOOKUP(A4102,'[1]Tissue Data'!$A:$A,'[1]Tissue Data'!L:L)</f>
        <v>9</v>
      </c>
      <c r="J4102">
        <f>_xlfn.XLOOKUP(A4102,'[1]Tissue Data'!$A:$A,'[1]Tissue Data'!M:M)</f>
        <v>19.45</v>
      </c>
      <c r="K4102" t="s">
        <v>12</v>
      </c>
      <c r="L4102" t="str">
        <f>_xlfn.XLOOKUP(K4102,[2]analyte_order!$B:$B,[2]analyte_order!$C:$C)</f>
        <v>375-22-4</v>
      </c>
      <c r="M4102">
        <f>_xlfn.XLOOKUP(L4102,[2]analyte_order!$C:$C,[2]analyte_order!$E:$E)</f>
        <v>1</v>
      </c>
      <c r="N4102">
        <v>6.8500000000000005E-2</v>
      </c>
    </row>
    <row r="4103" spans="1:14">
      <c r="A4103" t="s">
        <v>261</v>
      </c>
      <c r="B4103" t="str">
        <f>_xlfn.XLOOKUP(A4103,'[1]Tissue Data'!$A:$A,'[1]Tissue Data'!$C:$C)</f>
        <v>Spill</v>
      </c>
      <c r="C4103" s="2">
        <f>_xlfn.XLOOKUP(A4103,'[1]Tissue Data'!$A:$A,'[1]Tissue Data'!$D:$D)</f>
        <v>44393</v>
      </c>
      <c r="D4103" s="2" t="str">
        <f>_xlfn.XLOOKUP(A4103,'[1]Tissue Data'!$A:$A,'[1]Tissue Data'!$F:$F)</f>
        <v>Pumpkinseed</v>
      </c>
      <c r="E4103" t="str">
        <f>_xlfn.XLOOKUP(A4103,'[1]Tissue Data'!$A:$A,'[1]Tissue Data'!$H:$H)</f>
        <v>Lepomis</v>
      </c>
      <c r="F4103" t="str">
        <f>_xlfn.XLOOKUP(A4103,'[1]Tissue Data'!$A:$A,'[1]Tissue Data'!$I:$I)</f>
        <v>gibbosus</v>
      </c>
      <c r="G4103" t="str">
        <f>_xlfn.XLOOKUP(A4103,'[1]Tissue Data'!$A:$A,'[1]Tissue Data'!J:J)</f>
        <v>U</v>
      </c>
      <c r="H4103" t="str">
        <f>_xlfn.XLOOKUP(A4103,'[1]Tissue Data'!$A:$A,'[1]Tissue Data'!K:K)</f>
        <v>Whole Body</v>
      </c>
      <c r="I4103">
        <f>_xlfn.XLOOKUP(A4103,'[1]Tissue Data'!$A:$A,'[1]Tissue Data'!L:L)</f>
        <v>9</v>
      </c>
      <c r="J4103">
        <f>_xlfn.XLOOKUP(A4103,'[1]Tissue Data'!$A:$A,'[1]Tissue Data'!M:M)</f>
        <v>19.45</v>
      </c>
      <c r="K4103" t="s">
        <v>13</v>
      </c>
      <c r="L4103" t="str">
        <f>_xlfn.XLOOKUP(K4103,[2]analyte_order!$B:$B,[2]analyte_order!$C:$C)</f>
        <v>2706-90-3</v>
      </c>
      <c r="M4103">
        <f>_xlfn.XLOOKUP(L4103,[2]analyte_order!$C:$C,[2]analyte_order!$E:$E)</f>
        <v>2</v>
      </c>
      <c r="N4103">
        <v>4.8500000000000001E-2</v>
      </c>
    </row>
    <row r="4104" spans="1:14">
      <c r="A4104" t="s">
        <v>261</v>
      </c>
      <c r="B4104" t="str">
        <f>_xlfn.XLOOKUP(A4104,'[1]Tissue Data'!$A:$A,'[1]Tissue Data'!$C:$C)</f>
        <v>Spill</v>
      </c>
      <c r="C4104" s="2">
        <f>_xlfn.XLOOKUP(A4104,'[1]Tissue Data'!$A:$A,'[1]Tissue Data'!$D:$D)</f>
        <v>44393</v>
      </c>
      <c r="D4104" s="2" t="str">
        <f>_xlfn.XLOOKUP(A4104,'[1]Tissue Data'!$A:$A,'[1]Tissue Data'!$F:$F)</f>
        <v>Pumpkinseed</v>
      </c>
      <c r="E4104" t="str">
        <f>_xlfn.XLOOKUP(A4104,'[1]Tissue Data'!$A:$A,'[1]Tissue Data'!$H:$H)</f>
        <v>Lepomis</v>
      </c>
      <c r="F4104" t="str">
        <f>_xlfn.XLOOKUP(A4104,'[1]Tissue Data'!$A:$A,'[1]Tissue Data'!$I:$I)</f>
        <v>gibbosus</v>
      </c>
      <c r="G4104" t="str">
        <f>_xlfn.XLOOKUP(A4104,'[1]Tissue Data'!$A:$A,'[1]Tissue Data'!J:J)</f>
        <v>U</v>
      </c>
      <c r="H4104" t="str">
        <f>_xlfn.XLOOKUP(A4104,'[1]Tissue Data'!$A:$A,'[1]Tissue Data'!K:K)</f>
        <v>Whole Body</v>
      </c>
      <c r="I4104">
        <f>_xlfn.XLOOKUP(A4104,'[1]Tissue Data'!$A:$A,'[1]Tissue Data'!L:L)</f>
        <v>9</v>
      </c>
      <c r="J4104">
        <f>_xlfn.XLOOKUP(A4104,'[1]Tissue Data'!$A:$A,'[1]Tissue Data'!M:M)</f>
        <v>19.45</v>
      </c>
      <c r="K4104" t="s">
        <v>14</v>
      </c>
      <c r="L4104" t="str">
        <f>_xlfn.XLOOKUP(K4104,[2]analyte_order!$B:$B,[2]analyte_order!$C:$C)</f>
        <v>307-24-4</v>
      </c>
      <c r="M4104">
        <f>_xlfn.XLOOKUP(L4104,[2]analyte_order!$C:$C,[2]analyte_order!$E:$E)</f>
        <v>3</v>
      </c>
      <c r="N4104">
        <v>0.1225</v>
      </c>
    </row>
    <row r="4105" spans="1:14">
      <c r="A4105" t="s">
        <v>261</v>
      </c>
      <c r="B4105" t="str">
        <f>_xlfn.XLOOKUP(A4105,'[1]Tissue Data'!$A:$A,'[1]Tissue Data'!$C:$C)</f>
        <v>Spill</v>
      </c>
      <c r="C4105" s="2">
        <f>_xlfn.XLOOKUP(A4105,'[1]Tissue Data'!$A:$A,'[1]Tissue Data'!$D:$D)</f>
        <v>44393</v>
      </c>
      <c r="D4105" s="2" t="str">
        <f>_xlfn.XLOOKUP(A4105,'[1]Tissue Data'!$A:$A,'[1]Tissue Data'!$F:$F)</f>
        <v>Pumpkinseed</v>
      </c>
      <c r="E4105" t="str">
        <f>_xlfn.XLOOKUP(A4105,'[1]Tissue Data'!$A:$A,'[1]Tissue Data'!$H:$H)</f>
        <v>Lepomis</v>
      </c>
      <c r="F4105" t="str">
        <f>_xlfn.XLOOKUP(A4105,'[1]Tissue Data'!$A:$A,'[1]Tissue Data'!$I:$I)</f>
        <v>gibbosus</v>
      </c>
      <c r="G4105" t="str">
        <f>_xlfn.XLOOKUP(A4105,'[1]Tissue Data'!$A:$A,'[1]Tissue Data'!J:J)</f>
        <v>U</v>
      </c>
      <c r="H4105" t="str">
        <f>_xlfn.XLOOKUP(A4105,'[1]Tissue Data'!$A:$A,'[1]Tissue Data'!K:K)</f>
        <v>Whole Body</v>
      </c>
      <c r="I4105">
        <f>_xlfn.XLOOKUP(A4105,'[1]Tissue Data'!$A:$A,'[1]Tissue Data'!L:L)</f>
        <v>9</v>
      </c>
      <c r="J4105">
        <f>_xlfn.XLOOKUP(A4105,'[1]Tissue Data'!$A:$A,'[1]Tissue Data'!M:M)</f>
        <v>19.45</v>
      </c>
      <c r="K4105" t="s">
        <v>15</v>
      </c>
      <c r="L4105" t="str">
        <f>_xlfn.XLOOKUP(K4105,[2]analyte_order!$B:$B,[2]analyte_order!$C:$C)</f>
        <v>375-85-9</v>
      </c>
      <c r="M4105">
        <f>_xlfn.XLOOKUP(L4105,[2]analyte_order!$C:$C,[2]analyte_order!$E:$E)</f>
        <v>4</v>
      </c>
      <c r="N4105">
        <v>9.0499999999999997E-2</v>
      </c>
    </row>
    <row r="4106" spans="1:14">
      <c r="A4106" t="s">
        <v>261</v>
      </c>
      <c r="B4106" t="str">
        <f>_xlfn.XLOOKUP(A4106,'[1]Tissue Data'!$A:$A,'[1]Tissue Data'!$C:$C)</f>
        <v>Spill</v>
      </c>
      <c r="C4106" s="2">
        <f>_xlfn.XLOOKUP(A4106,'[1]Tissue Data'!$A:$A,'[1]Tissue Data'!$D:$D)</f>
        <v>44393</v>
      </c>
      <c r="D4106" s="2" t="str">
        <f>_xlfn.XLOOKUP(A4106,'[1]Tissue Data'!$A:$A,'[1]Tissue Data'!$F:$F)</f>
        <v>Pumpkinseed</v>
      </c>
      <c r="E4106" t="str">
        <f>_xlfn.XLOOKUP(A4106,'[1]Tissue Data'!$A:$A,'[1]Tissue Data'!$H:$H)</f>
        <v>Lepomis</v>
      </c>
      <c r="F4106" t="str">
        <f>_xlfn.XLOOKUP(A4106,'[1]Tissue Data'!$A:$A,'[1]Tissue Data'!$I:$I)</f>
        <v>gibbosus</v>
      </c>
      <c r="G4106" t="str">
        <f>_xlfn.XLOOKUP(A4106,'[1]Tissue Data'!$A:$A,'[1]Tissue Data'!J:J)</f>
        <v>U</v>
      </c>
      <c r="H4106" t="str">
        <f>_xlfn.XLOOKUP(A4106,'[1]Tissue Data'!$A:$A,'[1]Tissue Data'!K:K)</f>
        <v>Whole Body</v>
      </c>
      <c r="I4106">
        <f>_xlfn.XLOOKUP(A4106,'[1]Tissue Data'!$A:$A,'[1]Tissue Data'!L:L)</f>
        <v>9</v>
      </c>
      <c r="J4106">
        <f>_xlfn.XLOOKUP(A4106,'[1]Tissue Data'!$A:$A,'[1]Tissue Data'!M:M)</f>
        <v>19.45</v>
      </c>
      <c r="K4106" t="s">
        <v>16</v>
      </c>
      <c r="L4106" t="str">
        <f>_xlfn.XLOOKUP(K4106,[2]analyte_order!$B:$B,[2]analyte_order!$C:$C)</f>
        <v>335-67-1</v>
      </c>
      <c r="M4106">
        <f>_xlfn.XLOOKUP(L4106,[2]analyte_order!$C:$C,[2]analyte_order!$E:$E)</f>
        <v>5</v>
      </c>
      <c r="N4106">
        <v>0.33500000000000002</v>
      </c>
    </row>
    <row r="4107" spans="1:14">
      <c r="A4107" t="s">
        <v>261</v>
      </c>
      <c r="B4107" t="str">
        <f>_xlfn.XLOOKUP(A4107,'[1]Tissue Data'!$A:$A,'[1]Tissue Data'!$C:$C)</f>
        <v>Spill</v>
      </c>
      <c r="C4107" s="2">
        <f>_xlfn.XLOOKUP(A4107,'[1]Tissue Data'!$A:$A,'[1]Tissue Data'!$D:$D)</f>
        <v>44393</v>
      </c>
      <c r="D4107" s="2" t="str">
        <f>_xlfn.XLOOKUP(A4107,'[1]Tissue Data'!$A:$A,'[1]Tissue Data'!$F:$F)</f>
        <v>Pumpkinseed</v>
      </c>
      <c r="E4107" t="str">
        <f>_xlfn.XLOOKUP(A4107,'[1]Tissue Data'!$A:$A,'[1]Tissue Data'!$H:$H)</f>
        <v>Lepomis</v>
      </c>
      <c r="F4107" t="str">
        <f>_xlfn.XLOOKUP(A4107,'[1]Tissue Data'!$A:$A,'[1]Tissue Data'!$I:$I)</f>
        <v>gibbosus</v>
      </c>
      <c r="G4107" t="str">
        <f>_xlfn.XLOOKUP(A4107,'[1]Tissue Data'!$A:$A,'[1]Tissue Data'!J:J)</f>
        <v>U</v>
      </c>
      <c r="H4107" t="str">
        <f>_xlfn.XLOOKUP(A4107,'[1]Tissue Data'!$A:$A,'[1]Tissue Data'!K:K)</f>
        <v>Whole Body</v>
      </c>
      <c r="I4107">
        <f>_xlfn.XLOOKUP(A4107,'[1]Tissue Data'!$A:$A,'[1]Tissue Data'!L:L)</f>
        <v>9</v>
      </c>
      <c r="J4107">
        <f>_xlfn.XLOOKUP(A4107,'[1]Tissue Data'!$A:$A,'[1]Tissue Data'!M:M)</f>
        <v>19.45</v>
      </c>
      <c r="K4107" t="s">
        <v>17</v>
      </c>
      <c r="L4107" t="str">
        <f>_xlfn.XLOOKUP(K4107,[2]analyte_order!$B:$B,[2]analyte_order!$C:$C)</f>
        <v>375-95-1</v>
      </c>
      <c r="M4107">
        <f>_xlfn.XLOOKUP(L4107,[2]analyte_order!$C:$C,[2]analyte_order!$E:$E)</f>
        <v>6</v>
      </c>
      <c r="N4107">
        <v>0.157</v>
      </c>
    </row>
    <row r="4108" spans="1:14">
      <c r="A4108" t="s">
        <v>261</v>
      </c>
      <c r="B4108" t="str">
        <f>_xlfn.XLOOKUP(A4108,'[1]Tissue Data'!$A:$A,'[1]Tissue Data'!$C:$C)</f>
        <v>Spill</v>
      </c>
      <c r="C4108" s="2">
        <f>_xlfn.XLOOKUP(A4108,'[1]Tissue Data'!$A:$A,'[1]Tissue Data'!$D:$D)</f>
        <v>44393</v>
      </c>
      <c r="D4108" s="2" t="str">
        <f>_xlfn.XLOOKUP(A4108,'[1]Tissue Data'!$A:$A,'[1]Tissue Data'!$F:$F)</f>
        <v>Pumpkinseed</v>
      </c>
      <c r="E4108" t="str">
        <f>_xlfn.XLOOKUP(A4108,'[1]Tissue Data'!$A:$A,'[1]Tissue Data'!$H:$H)</f>
        <v>Lepomis</v>
      </c>
      <c r="F4108" t="str">
        <f>_xlfn.XLOOKUP(A4108,'[1]Tissue Data'!$A:$A,'[1]Tissue Data'!$I:$I)</f>
        <v>gibbosus</v>
      </c>
      <c r="G4108" t="str">
        <f>_xlfn.XLOOKUP(A4108,'[1]Tissue Data'!$A:$A,'[1]Tissue Data'!J:J)</f>
        <v>U</v>
      </c>
      <c r="H4108" t="str">
        <f>_xlfn.XLOOKUP(A4108,'[1]Tissue Data'!$A:$A,'[1]Tissue Data'!K:K)</f>
        <v>Whole Body</v>
      </c>
      <c r="I4108">
        <f>_xlfn.XLOOKUP(A4108,'[1]Tissue Data'!$A:$A,'[1]Tissue Data'!L:L)</f>
        <v>9</v>
      </c>
      <c r="J4108">
        <f>_xlfn.XLOOKUP(A4108,'[1]Tissue Data'!$A:$A,'[1]Tissue Data'!M:M)</f>
        <v>19.45</v>
      </c>
      <c r="K4108" t="s">
        <v>18</v>
      </c>
      <c r="L4108" t="str">
        <f>_xlfn.XLOOKUP(K4108,[2]analyte_order!$B:$B,[2]analyte_order!$C:$C)</f>
        <v>335-76-2</v>
      </c>
      <c r="M4108">
        <f>_xlfn.XLOOKUP(L4108,[2]analyte_order!$C:$C,[2]analyte_order!$E:$E)</f>
        <v>7</v>
      </c>
      <c r="N4108">
        <v>4.37</v>
      </c>
    </row>
    <row r="4109" spans="1:14">
      <c r="A4109" t="s">
        <v>261</v>
      </c>
      <c r="B4109" t="str">
        <f>_xlfn.XLOOKUP(A4109,'[1]Tissue Data'!$A:$A,'[1]Tissue Data'!$C:$C)</f>
        <v>Spill</v>
      </c>
      <c r="C4109" s="2">
        <f>_xlfn.XLOOKUP(A4109,'[1]Tissue Data'!$A:$A,'[1]Tissue Data'!$D:$D)</f>
        <v>44393</v>
      </c>
      <c r="D4109" s="2" t="str">
        <f>_xlfn.XLOOKUP(A4109,'[1]Tissue Data'!$A:$A,'[1]Tissue Data'!$F:$F)</f>
        <v>Pumpkinseed</v>
      </c>
      <c r="E4109" t="str">
        <f>_xlfn.XLOOKUP(A4109,'[1]Tissue Data'!$A:$A,'[1]Tissue Data'!$H:$H)</f>
        <v>Lepomis</v>
      </c>
      <c r="F4109" t="str">
        <f>_xlfn.XLOOKUP(A4109,'[1]Tissue Data'!$A:$A,'[1]Tissue Data'!$I:$I)</f>
        <v>gibbosus</v>
      </c>
      <c r="G4109" t="str">
        <f>_xlfn.XLOOKUP(A4109,'[1]Tissue Data'!$A:$A,'[1]Tissue Data'!J:J)</f>
        <v>U</v>
      </c>
      <c r="H4109" t="str">
        <f>_xlfn.XLOOKUP(A4109,'[1]Tissue Data'!$A:$A,'[1]Tissue Data'!K:K)</f>
        <v>Whole Body</v>
      </c>
      <c r="I4109">
        <f>_xlfn.XLOOKUP(A4109,'[1]Tissue Data'!$A:$A,'[1]Tissue Data'!L:L)</f>
        <v>9</v>
      </c>
      <c r="J4109">
        <f>_xlfn.XLOOKUP(A4109,'[1]Tissue Data'!$A:$A,'[1]Tissue Data'!M:M)</f>
        <v>19.45</v>
      </c>
      <c r="K4109" t="s">
        <v>19</v>
      </c>
      <c r="L4109" t="str">
        <f>_xlfn.XLOOKUP(K4109,[2]analyte_order!$B:$B,[2]analyte_order!$C:$C)</f>
        <v>2058-94-8</v>
      </c>
      <c r="M4109">
        <f>_xlfn.XLOOKUP(L4109,[2]analyte_order!$C:$C,[2]analyte_order!$E:$E)</f>
        <v>8</v>
      </c>
      <c r="N4109">
        <v>8.2799999999999994</v>
      </c>
    </row>
    <row r="4110" spans="1:14">
      <c r="A4110" t="s">
        <v>261</v>
      </c>
      <c r="B4110" t="str">
        <f>_xlfn.XLOOKUP(A4110,'[1]Tissue Data'!$A:$A,'[1]Tissue Data'!$C:$C)</f>
        <v>Spill</v>
      </c>
      <c r="C4110" s="2">
        <f>_xlfn.XLOOKUP(A4110,'[1]Tissue Data'!$A:$A,'[1]Tissue Data'!$D:$D)</f>
        <v>44393</v>
      </c>
      <c r="D4110" s="2" t="str">
        <f>_xlfn.XLOOKUP(A4110,'[1]Tissue Data'!$A:$A,'[1]Tissue Data'!$F:$F)</f>
        <v>Pumpkinseed</v>
      </c>
      <c r="E4110" t="str">
        <f>_xlfn.XLOOKUP(A4110,'[1]Tissue Data'!$A:$A,'[1]Tissue Data'!$H:$H)</f>
        <v>Lepomis</v>
      </c>
      <c r="F4110" t="str">
        <f>_xlfn.XLOOKUP(A4110,'[1]Tissue Data'!$A:$A,'[1]Tissue Data'!$I:$I)</f>
        <v>gibbosus</v>
      </c>
      <c r="G4110" t="str">
        <f>_xlfn.XLOOKUP(A4110,'[1]Tissue Data'!$A:$A,'[1]Tissue Data'!J:J)</f>
        <v>U</v>
      </c>
      <c r="H4110" t="str">
        <f>_xlfn.XLOOKUP(A4110,'[1]Tissue Data'!$A:$A,'[1]Tissue Data'!K:K)</f>
        <v>Whole Body</v>
      </c>
      <c r="I4110">
        <f>_xlfn.XLOOKUP(A4110,'[1]Tissue Data'!$A:$A,'[1]Tissue Data'!L:L)</f>
        <v>9</v>
      </c>
      <c r="J4110">
        <f>_xlfn.XLOOKUP(A4110,'[1]Tissue Data'!$A:$A,'[1]Tissue Data'!M:M)</f>
        <v>19.45</v>
      </c>
      <c r="K4110" t="s">
        <v>20</v>
      </c>
      <c r="L4110" t="str">
        <f>_xlfn.XLOOKUP(K4110,[2]analyte_order!$B:$B,[2]analyte_order!$C:$C)</f>
        <v>307-55-1</v>
      </c>
      <c r="M4110">
        <f>_xlfn.XLOOKUP(L4110,[2]analyte_order!$C:$C,[2]analyte_order!$E:$E)</f>
        <v>9</v>
      </c>
      <c r="N4110">
        <v>21.9</v>
      </c>
    </row>
    <row r="4111" spans="1:14">
      <c r="A4111" t="s">
        <v>261</v>
      </c>
      <c r="B4111" t="str">
        <f>_xlfn.XLOOKUP(A4111,'[1]Tissue Data'!$A:$A,'[1]Tissue Data'!$C:$C)</f>
        <v>Spill</v>
      </c>
      <c r="C4111" s="2">
        <f>_xlfn.XLOOKUP(A4111,'[1]Tissue Data'!$A:$A,'[1]Tissue Data'!$D:$D)</f>
        <v>44393</v>
      </c>
      <c r="D4111" s="2" t="str">
        <f>_xlfn.XLOOKUP(A4111,'[1]Tissue Data'!$A:$A,'[1]Tissue Data'!$F:$F)</f>
        <v>Pumpkinseed</v>
      </c>
      <c r="E4111" t="str">
        <f>_xlfn.XLOOKUP(A4111,'[1]Tissue Data'!$A:$A,'[1]Tissue Data'!$H:$H)</f>
        <v>Lepomis</v>
      </c>
      <c r="F4111" t="str">
        <f>_xlfn.XLOOKUP(A4111,'[1]Tissue Data'!$A:$A,'[1]Tissue Data'!$I:$I)</f>
        <v>gibbosus</v>
      </c>
      <c r="G4111" t="str">
        <f>_xlfn.XLOOKUP(A4111,'[1]Tissue Data'!$A:$A,'[1]Tissue Data'!J:J)</f>
        <v>U</v>
      </c>
      <c r="H4111" t="str">
        <f>_xlfn.XLOOKUP(A4111,'[1]Tissue Data'!$A:$A,'[1]Tissue Data'!K:K)</f>
        <v>Whole Body</v>
      </c>
      <c r="I4111">
        <f>_xlfn.XLOOKUP(A4111,'[1]Tissue Data'!$A:$A,'[1]Tissue Data'!L:L)</f>
        <v>9</v>
      </c>
      <c r="J4111">
        <f>_xlfn.XLOOKUP(A4111,'[1]Tissue Data'!$A:$A,'[1]Tissue Data'!M:M)</f>
        <v>19.45</v>
      </c>
      <c r="K4111" t="s">
        <v>21</v>
      </c>
      <c r="L4111" t="str">
        <f>_xlfn.XLOOKUP(K4111,[2]analyte_order!$B:$B,[2]analyte_order!$C:$C)</f>
        <v>72629-94-8</v>
      </c>
      <c r="M4111">
        <f>_xlfn.XLOOKUP(L4111,[2]analyte_order!$C:$C,[2]analyte_order!$E:$E)</f>
        <v>10</v>
      </c>
      <c r="N4111">
        <v>3.55</v>
      </c>
    </row>
    <row r="4112" spans="1:14">
      <c r="A4112" t="s">
        <v>261</v>
      </c>
      <c r="B4112" t="str">
        <f>_xlfn.XLOOKUP(A4112,'[1]Tissue Data'!$A:$A,'[1]Tissue Data'!$C:$C)</f>
        <v>Spill</v>
      </c>
      <c r="C4112" s="2">
        <f>_xlfn.XLOOKUP(A4112,'[1]Tissue Data'!$A:$A,'[1]Tissue Data'!$D:$D)</f>
        <v>44393</v>
      </c>
      <c r="D4112" s="2" t="str">
        <f>_xlfn.XLOOKUP(A4112,'[1]Tissue Data'!$A:$A,'[1]Tissue Data'!$F:$F)</f>
        <v>Pumpkinseed</v>
      </c>
      <c r="E4112" t="str">
        <f>_xlfn.XLOOKUP(A4112,'[1]Tissue Data'!$A:$A,'[1]Tissue Data'!$H:$H)</f>
        <v>Lepomis</v>
      </c>
      <c r="F4112" t="str">
        <f>_xlfn.XLOOKUP(A4112,'[1]Tissue Data'!$A:$A,'[1]Tissue Data'!$I:$I)</f>
        <v>gibbosus</v>
      </c>
      <c r="G4112" t="str">
        <f>_xlfn.XLOOKUP(A4112,'[1]Tissue Data'!$A:$A,'[1]Tissue Data'!J:J)</f>
        <v>U</v>
      </c>
      <c r="H4112" t="str">
        <f>_xlfn.XLOOKUP(A4112,'[1]Tissue Data'!$A:$A,'[1]Tissue Data'!K:K)</f>
        <v>Whole Body</v>
      </c>
      <c r="I4112">
        <f>_xlfn.XLOOKUP(A4112,'[1]Tissue Data'!$A:$A,'[1]Tissue Data'!L:L)</f>
        <v>9</v>
      </c>
      <c r="J4112">
        <f>_xlfn.XLOOKUP(A4112,'[1]Tissue Data'!$A:$A,'[1]Tissue Data'!M:M)</f>
        <v>19.45</v>
      </c>
      <c r="K4112" t="s">
        <v>22</v>
      </c>
      <c r="L4112" t="str">
        <f>_xlfn.XLOOKUP(K4112,[2]analyte_order!$B:$B,[2]analyte_order!$C:$C)</f>
        <v>376-06-7</v>
      </c>
      <c r="M4112">
        <f>_xlfn.XLOOKUP(L4112,[2]analyte_order!$C:$C,[2]analyte_order!$E:$E)</f>
        <v>11</v>
      </c>
      <c r="N4112">
        <v>16.8</v>
      </c>
    </row>
    <row r="4113" spans="1:14">
      <c r="A4113" t="s">
        <v>261</v>
      </c>
      <c r="B4113" t="str">
        <f>_xlfn.XLOOKUP(A4113,'[1]Tissue Data'!$A:$A,'[1]Tissue Data'!$C:$C)</f>
        <v>Spill</v>
      </c>
      <c r="C4113" s="2">
        <f>_xlfn.XLOOKUP(A4113,'[1]Tissue Data'!$A:$A,'[1]Tissue Data'!$D:$D)</f>
        <v>44393</v>
      </c>
      <c r="D4113" s="2" t="str">
        <f>_xlfn.XLOOKUP(A4113,'[1]Tissue Data'!$A:$A,'[1]Tissue Data'!$F:$F)</f>
        <v>Pumpkinseed</v>
      </c>
      <c r="E4113" t="str">
        <f>_xlfn.XLOOKUP(A4113,'[1]Tissue Data'!$A:$A,'[1]Tissue Data'!$H:$H)</f>
        <v>Lepomis</v>
      </c>
      <c r="F4113" t="str">
        <f>_xlfn.XLOOKUP(A4113,'[1]Tissue Data'!$A:$A,'[1]Tissue Data'!$I:$I)</f>
        <v>gibbosus</v>
      </c>
      <c r="G4113" t="str">
        <f>_xlfn.XLOOKUP(A4113,'[1]Tissue Data'!$A:$A,'[1]Tissue Data'!J:J)</f>
        <v>U</v>
      </c>
      <c r="H4113" t="str">
        <f>_xlfn.XLOOKUP(A4113,'[1]Tissue Data'!$A:$A,'[1]Tissue Data'!K:K)</f>
        <v>Whole Body</v>
      </c>
      <c r="I4113">
        <f>_xlfn.XLOOKUP(A4113,'[1]Tissue Data'!$A:$A,'[1]Tissue Data'!L:L)</f>
        <v>9</v>
      </c>
      <c r="J4113">
        <f>_xlfn.XLOOKUP(A4113,'[1]Tissue Data'!$A:$A,'[1]Tissue Data'!M:M)</f>
        <v>19.45</v>
      </c>
      <c r="K4113" t="s">
        <v>23</v>
      </c>
      <c r="L4113" t="str">
        <f>_xlfn.XLOOKUP(K4113,[2]analyte_order!$B:$B,[2]analyte_order!$C:$C)</f>
        <v>67905-19-5</v>
      </c>
      <c r="M4113">
        <f>_xlfn.XLOOKUP(L4113,[2]analyte_order!$C:$C,[2]analyte_order!$E:$E)</f>
        <v>12</v>
      </c>
      <c r="N4113">
        <v>8.2000000000000003E-2</v>
      </c>
    </row>
    <row r="4114" spans="1:14">
      <c r="A4114" t="s">
        <v>261</v>
      </c>
      <c r="B4114" t="str">
        <f>_xlfn.XLOOKUP(A4114,'[1]Tissue Data'!$A:$A,'[1]Tissue Data'!$C:$C)</f>
        <v>Spill</v>
      </c>
      <c r="C4114" s="2">
        <f>_xlfn.XLOOKUP(A4114,'[1]Tissue Data'!$A:$A,'[1]Tissue Data'!$D:$D)</f>
        <v>44393</v>
      </c>
      <c r="D4114" s="2" t="str">
        <f>_xlfn.XLOOKUP(A4114,'[1]Tissue Data'!$A:$A,'[1]Tissue Data'!$F:$F)</f>
        <v>Pumpkinseed</v>
      </c>
      <c r="E4114" t="str">
        <f>_xlfn.XLOOKUP(A4114,'[1]Tissue Data'!$A:$A,'[1]Tissue Data'!$H:$H)</f>
        <v>Lepomis</v>
      </c>
      <c r="F4114" t="str">
        <f>_xlfn.XLOOKUP(A4114,'[1]Tissue Data'!$A:$A,'[1]Tissue Data'!$I:$I)</f>
        <v>gibbosus</v>
      </c>
      <c r="G4114" t="str">
        <f>_xlfn.XLOOKUP(A4114,'[1]Tissue Data'!$A:$A,'[1]Tissue Data'!J:J)</f>
        <v>U</v>
      </c>
      <c r="H4114" t="str">
        <f>_xlfn.XLOOKUP(A4114,'[1]Tissue Data'!$A:$A,'[1]Tissue Data'!K:K)</f>
        <v>Whole Body</v>
      </c>
      <c r="I4114">
        <f>_xlfn.XLOOKUP(A4114,'[1]Tissue Data'!$A:$A,'[1]Tissue Data'!L:L)</f>
        <v>9</v>
      </c>
      <c r="J4114">
        <f>_xlfn.XLOOKUP(A4114,'[1]Tissue Data'!$A:$A,'[1]Tissue Data'!M:M)</f>
        <v>19.45</v>
      </c>
      <c r="K4114" t="s">
        <v>24</v>
      </c>
      <c r="L4114" t="str">
        <f>_xlfn.XLOOKUP(K4114,[2]analyte_order!$B:$B,[2]analyte_order!$C:$C)</f>
        <v>423-41-6</v>
      </c>
      <c r="M4114">
        <f>_xlfn.XLOOKUP(L4114,[2]analyte_order!$C:$C,[2]analyte_order!$E:$E)</f>
        <v>53</v>
      </c>
      <c r="N4114">
        <v>5.2499999999999998E-2</v>
      </c>
    </row>
    <row r="4115" spans="1:14">
      <c r="A4115" t="s">
        <v>261</v>
      </c>
      <c r="B4115" t="str">
        <f>_xlfn.XLOOKUP(A4115,'[1]Tissue Data'!$A:$A,'[1]Tissue Data'!$C:$C)</f>
        <v>Spill</v>
      </c>
      <c r="C4115" s="2">
        <f>_xlfn.XLOOKUP(A4115,'[1]Tissue Data'!$A:$A,'[1]Tissue Data'!$D:$D)</f>
        <v>44393</v>
      </c>
      <c r="D4115" s="2" t="str">
        <f>_xlfn.XLOOKUP(A4115,'[1]Tissue Data'!$A:$A,'[1]Tissue Data'!$F:$F)</f>
        <v>Pumpkinseed</v>
      </c>
      <c r="E4115" t="str">
        <f>_xlfn.XLOOKUP(A4115,'[1]Tissue Data'!$A:$A,'[1]Tissue Data'!$H:$H)</f>
        <v>Lepomis</v>
      </c>
      <c r="F4115" t="str">
        <f>_xlfn.XLOOKUP(A4115,'[1]Tissue Data'!$A:$A,'[1]Tissue Data'!$I:$I)</f>
        <v>gibbosus</v>
      </c>
      <c r="G4115" t="str">
        <f>_xlfn.XLOOKUP(A4115,'[1]Tissue Data'!$A:$A,'[1]Tissue Data'!J:J)</f>
        <v>U</v>
      </c>
      <c r="H4115" t="str">
        <f>_xlfn.XLOOKUP(A4115,'[1]Tissue Data'!$A:$A,'[1]Tissue Data'!K:K)</f>
        <v>Whole Body</v>
      </c>
      <c r="I4115">
        <f>_xlfn.XLOOKUP(A4115,'[1]Tissue Data'!$A:$A,'[1]Tissue Data'!L:L)</f>
        <v>9</v>
      </c>
      <c r="J4115">
        <f>_xlfn.XLOOKUP(A4115,'[1]Tissue Data'!$A:$A,'[1]Tissue Data'!M:M)</f>
        <v>19.45</v>
      </c>
      <c r="K4115" t="s">
        <v>25</v>
      </c>
      <c r="L4115" t="str">
        <f>_xlfn.XLOOKUP(K4115,[2]analyte_order!$B:$B,[2]analyte_order!$C:$C)</f>
        <v>375-73-5</v>
      </c>
      <c r="M4115">
        <f>_xlfn.XLOOKUP(L4115,[2]analyte_order!$C:$C,[2]analyte_order!$E:$E)</f>
        <v>14</v>
      </c>
      <c r="N4115">
        <v>0.154</v>
      </c>
    </row>
    <row r="4116" spans="1:14">
      <c r="A4116" t="s">
        <v>261</v>
      </c>
      <c r="B4116" t="str">
        <f>_xlfn.XLOOKUP(A4116,'[1]Tissue Data'!$A:$A,'[1]Tissue Data'!$C:$C)</f>
        <v>Spill</v>
      </c>
      <c r="C4116" s="2">
        <f>_xlfn.XLOOKUP(A4116,'[1]Tissue Data'!$A:$A,'[1]Tissue Data'!$D:$D)</f>
        <v>44393</v>
      </c>
      <c r="D4116" s="2" t="str">
        <f>_xlfn.XLOOKUP(A4116,'[1]Tissue Data'!$A:$A,'[1]Tissue Data'!$F:$F)</f>
        <v>Pumpkinseed</v>
      </c>
      <c r="E4116" t="str">
        <f>_xlfn.XLOOKUP(A4116,'[1]Tissue Data'!$A:$A,'[1]Tissue Data'!$H:$H)</f>
        <v>Lepomis</v>
      </c>
      <c r="F4116" t="str">
        <f>_xlfn.XLOOKUP(A4116,'[1]Tissue Data'!$A:$A,'[1]Tissue Data'!$I:$I)</f>
        <v>gibbosus</v>
      </c>
      <c r="G4116" t="str">
        <f>_xlfn.XLOOKUP(A4116,'[1]Tissue Data'!$A:$A,'[1]Tissue Data'!J:J)</f>
        <v>U</v>
      </c>
      <c r="H4116" t="str">
        <f>_xlfn.XLOOKUP(A4116,'[1]Tissue Data'!$A:$A,'[1]Tissue Data'!K:K)</f>
        <v>Whole Body</v>
      </c>
      <c r="I4116">
        <f>_xlfn.XLOOKUP(A4116,'[1]Tissue Data'!$A:$A,'[1]Tissue Data'!L:L)</f>
        <v>9</v>
      </c>
      <c r="J4116">
        <f>_xlfn.XLOOKUP(A4116,'[1]Tissue Data'!$A:$A,'[1]Tissue Data'!M:M)</f>
        <v>19.45</v>
      </c>
      <c r="K4116" t="s">
        <v>26</v>
      </c>
      <c r="L4116" t="str">
        <f>_xlfn.XLOOKUP(K4116,[2]analyte_order!$B:$B,[2]analyte_order!$C:$C)</f>
        <v>2706-91-4</v>
      </c>
      <c r="M4116">
        <f>_xlfn.XLOOKUP(L4116,[2]analyte_order!$C:$C,[2]analyte_order!$E:$E)</f>
        <v>15</v>
      </c>
      <c r="N4116">
        <v>0.12</v>
      </c>
    </row>
    <row r="4117" spans="1:14">
      <c r="A4117" t="s">
        <v>261</v>
      </c>
      <c r="B4117" t="str">
        <f>_xlfn.XLOOKUP(A4117,'[1]Tissue Data'!$A:$A,'[1]Tissue Data'!$C:$C)</f>
        <v>Spill</v>
      </c>
      <c r="C4117" s="2">
        <f>_xlfn.XLOOKUP(A4117,'[1]Tissue Data'!$A:$A,'[1]Tissue Data'!$D:$D)</f>
        <v>44393</v>
      </c>
      <c r="D4117" s="2" t="str">
        <f>_xlfn.XLOOKUP(A4117,'[1]Tissue Data'!$A:$A,'[1]Tissue Data'!$F:$F)</f>
        <v>Pumpkinseed</v>
      </c>
      <c r="E4117" t="str">
        <f>_xlfn.XLOOKUP(A4117,'[1]Tissue Data'!$A:$A,'[1]Tissue Data'!$H:$H)</f>
        <v>Lepomis</v>
      </c>
      <c r="F4117" t="str">
        <f>_xlfn.XLOOKUP(A4117,'[1]Tissue Data'!$A:$A,'[1]Tissue Data'!$I:$I)</f>
        <v>gibbosus</v>
      </c>
      <c r="G4117" t="str">
        <f>_xlfn.XLOOKUP(A4117,'[1]Tissue Data'!$A:$A,'[1]Tissue Data'!J:J)</f>
        <v>U</v>
      </c>
      <c r="H4117" t="str">
        <f>_xlfn.XLOOKUP(A4117,'[1]Tissue Data'!$A:$A,'[1]Tissue Data'!K:K)</f>
        <v>Whole Body</v>
      </c>
      <c r="I4117">
        <f>_xlfn.XLOOKUP(A4117,'[1]Tissue Data'!$A:$A,'[1]Tissue Data'!L:L)</f>
        <v>9</v>
      </c>
      <c r="J4117">
        <f>_xlfn.XLOOKUP(A4117,'[1]Tissue Data'!$A:$A,'[1]Tissue Data'!M:M)</f>
        <v>19.45</v>
      </c>
      <c r="K4117" t="s">
        <v>27</v>
      </c>
      <c r="L4117" t="str">
        <f>_xlfn.XLOOKUP(K4117,[2]analyte_order!$B:$B,[2]analyte_order!$C:$C)</f>
        <v>355-46-4</v>
      </c>
      <c r="M4117">
        <f>_xlfn.XLOOKUP(L4117,[2]analyte_order!$C:$C,[2]analyte_order!$E:$E)</f>
        <v>16</v>
      </c>
      <c r="N4117">
        <v>12.1</v>
      </c>
    </row>
    <row r="4118" spans="1:14">
      <c r="A4118" t="s">
        <v>261</v>
      </c>
      <c r="B4118" t="str">
        <f>_xlfn.XLOOKUP(A4118,'[1]Tissue Data'!$A:$A,'[1]Tissue Data'!$C:$C)</f>
        <v>Spill</v>
      </c>
      <c r="C4118" s="2">
        <f>_xlfn.XLOOKUP(A4118,'[1]Tissue Data'!$A:$A,'[1]Tissue Data'!$D:$D)</f>
        <v>44393</v>
      </c>
      <c r="D4118" s="2" t="str">
        <f>_xlfn.XLOOKUP(A4118,'[1]Tissue Data'!$A:$A,'[1]Tissue Data'!$F:$F)</f>
        <v>Pumpkinseed</v>
      </c>
      <c r="E4118" t="str">
        <f>_xlfn.XLOOKUP(A4118,'[1]Tissue Data'!$A:$A,'[1]Tissue Data'!$H:$H)</f>
        <v>Lepomis</v>
      </c>
      <c r="F4118" t="str">
        <f>_xlfn.XLOOKUP(A4118,'[1]Tissue Data'!$A:$A,'[1]Tissue Data'!$I:$I)</f>
        <v>gibbosus</v>
      </c>
      <c r="G4118" t="str">
        <f>_xlfn.XLOOKUP(A4118,'[1]Tissue Data'!$A:$A,'[1]Tissue Data'!J:J)</f>
        <v>U</v>
      </c>
      <c r="H4118" t="str">
        <f>_xlfn.XLOOKUP(A4118,'[1]Tissue Data'!$A:$A,'[1]Tissue Data'!K:K)</f>
        <v>Whole Body</v>
      </c>
      <c r="I4118">
        <f>_xlfn.XLOOKUP(A4118,'[1]Tissue Data'!$A:$A,'[1]Tissue Data'!L:L)</f>
        <v>9</v>
      </c>
      <c r="J4118">
        <f>_xlfn.XLOOKUP(A4118,'[1]Tissue Data'!$A:$A,'[1]Tissue Data'!M:M)</f>
        <v>19.45</v>
      </c>
      <c r="K4118" t="s">
        <v>28</v>
      </c>
      <c r="L4118" t="str">
        <f>_xlfn.XLOOKUP(K4118,[2]analyte_order!$B:$B,[2]analyte_order!$C:$C)</f>
        <v>375-92-8</v>
      </c>
      <c r="M4118">
        <f>_xlfn.XLOOKUP(L4118,[2]analyte_order!$C:$C,[2]analyte_order!$E:$E)</f>
        <v>17</v>
      </c>
      <c r="N4118">
        <v>1.21</v>
      </c>
    </row>
    <row r="4119" spans="1:14">
      <c r="A4119" t="s">
        <v>261</v>
      </c>
      <c r="B4119" t="str">
        <f>_xlfn.XLOOKUP(A4119,'[1]Tissue Data'!$A:$A,'[1]Tissue Data'!$C:$C)</f>
        <v>Spill</v>
      </c>
      <c r="C4119" s="2">
        <f>_xlfn.XLOOKUP(A4119,'[1]Tissue Data'!$A:$A,'[1]Tissue Data'!$D:$D)</f>
        <v>44393</v>
      </c>
      <c r="D4119" s="2" t="str">
        <f>_xlfn.XLOOKUP(A4119,'[1]Tissue Data'!$A:$A,'[1]Tissue Data'!$F:$F)</f>
        <v>Pumpkinseed</v>
      </c>
      <c r="E4119" t="str">
        <f>_xlfn.XLOOKUP(A4119,'[1]Tissue Data'!$A:$A,'[1]Tissue Data'!$H:$H)</f>
        <v>Lepomis</v>
      </c>
      <c r="F4119" t="str">
        <f>_xlfn.XLOOKUP(A4119,'[1]Tissue Data'!$A:$A,'[1]Tissue Data'!$I:$I)</f>
        <v>gibbosus</v>
      </c>
      <c r="G4119" t="str">
        <f>_xlfn.XLOOKUP(A4119,'[1]Tissue Data'!$A:$A,'[1]Tissue Data'!J:J)</f>
        <v>U</v>
      </c>
      <c r="H4119" t="str">
        <f>_xlfn.XLOOKUP(A4119,'[1]Tissue Data'!$A:$A,'[1]Tissue Data'!K:K)</f>
        <v>Whole Body</v>
      </c>
      <c r="I4119">
        <f>_xlfn.XLOOKUP(A4119,'[1]Tissue Data'!$A:$A,'[1]Tissue Data'!L:L)</f>
        <v>9</v>
      </c>
      <c r="J4119">
        <f>_xlfn.XLOOKUP(A4119,'[1]Tissue Data'!$A:$A,'[1]Tissue Data'!M:M)</f>
        <v>19.45</v>
      </c>
      <c r="K4119" t="s">
        <v>29</v>
      </c>
      <c r="L4119" t="str">
        <f>_xlfn.XLOOKUP(K4119,[2]analyte_order!$B:$B,[2]analyte_order!$C:$C)</f>
        <v>1763-23-1</v>
      </c>
      <c r="M4119">
        <f>_xlfn.XLOOKUP(L4119,[2]analyte_order!$C:$C,[2]analyte_order!$E:$E)</f>
        <v>18</v>
      </c>
      <c r="N4119">
        <v>1150</v>
      </c>
    </row>
    <row r="4120" spans="1:14">
      <c r="A4120" t="s">
        <v>261</v>
      </c>
      <c r="B4120" t="str">
        <f>_xlfn.XLOOKUP(A4120,'[1]Tissue Data'!$A:$A,'[1]Tissue Data'!$C:$C)</f>
        <v>Spill</v>
      </c>
      <c r="C4120" s="2">
        <f>_xlfn.XLOOKUP(A4120,'[1]Tissue Data'!$A:$A,'[1]Tissue Data'!$D:$D)</f>
        <v>44393</v>
      </c>
      <c r="D4120" s="2" t="str">
        <f>_xlfn.XLOOKUP(A4120,'[1]Tissue Data'!$A:$A,'[1]Tissue Data'!$F:$F)</f>
        <v>Pumpkinseed</v>
      </c>
      <c r="E4120" t="str">
        <f>_xlfn.XLOOKUP(A4120,'[1]Tissue Data'!$A:$A,'[1]Tissue Data'!$H:$H)</f>
        <v>Lepomis</v>
      </c>
      <c r="F4120" t="str">
        <f>_xlfn.XLOOKUP(A4120,'[1]Tissue Data'!$A:$A,'[1]Tissue Data'!$I:$I)</f>
        <v>gibbosus</v>
      </c>
      <c r="G4120" t="str">
        <f>_xlfn.XLOOKUP(A4120,'[1]Tissue Data'!$A:$A,'[1]Tissue Data'!J:J)</f>
        <v>U</v>
      </c>
      <c r="H4120" t="str">
        <f>_xlfn.XLOOKUP(A4120,'[1]Tissue Data'!$A:$A,'[1]Tissue Data'!K:K)</f>
        <v>Whole Body</v>
      </c>
      <c r="I4120">
        <f>_xlfn.XLOOKUP(A4120,'[1]Tissue Data'!$A:$A,'[1]Tissue Data'!L:L)</f>
        <v>9</v>
      </c>
      <c r="J4120">
        <f>_xlfn.XLOOKUP(A4120,'[1]Tissue Data'!$A:$A,'[1]Tissue Data'!M:M)</f>
        <v>19.45</v>
      </c>
      <c r="K4120" t="s">
        <v>30</v>
      </c>
      <c r="L4120" t="str">
        <f>_xlfn.XLOOKUP(K4120,[2]analyte_order!$B:$B,[2]analyte_order!$C:$C)</f>
        <v>68259-12-1</v>
      </c>
      <c r="M4120">
        <f>_xlfn.XLOOKUP(L4120,[2]analyte_order!$C:$C,[2]analyte_order!$E:$E)</f>
        <v>19</v>
      </c>
      <c r="N4120">
        <v>1.6</v>
      </c>
    </row>
    <row r="4121" spans="1:14">
      <c r="A4121" t="s">
        <v>261</v>
      </c>
      <c r="B4121" t="str">
        <f>_xlfn.XLOOKUP(A4121,'[1]Tissue Data'!$A:$A,'[1]Tissue Data'!$C:$C)</f>
        <v>Spill</v>
      </c>
      <c r="C4121" s="2">
        <f>_xlfn.XLOOKUP(A4121,'[1]Tissue Data'!$A:$A,'[1]Tissue Data'!$D:$D)</f>
        <v>44393</v>
      </c>
      <c r="D4121" s="2" t="str">
        <f>_xlfn.XLOOKUP(A4121,'[1]Tissue Data'!$A:$A,'[1]Tissue Data'!$F:$F)</f>
        <v>Pumpkinseed</v>
      </c>
      <c r="E4121" t="str">
        <f>_xlfn.XLOOKUP(A4121,'[1]Tissue Data'!$A:$A,'[1]Tissue Data'!$H:$H)</f>
        <v>Lepomis</v>
      </c>
      <c r="F4121" t="str">
        <f>_xlfn.XLOOKUP(A4121,'[1]Tissue Data'!$A:$A,'[1]Tissue Data'!$I:$I)</f>
        <v>gibbosus</v>
      </c>
      <c r="G4121" t="str">
        <f>_xlfn.XLOOKUP(A4121,'[1]Tissue Data'!$A:$A,'[1]Tissue Data'!J:J)</f>
        <v>U</v>
      </c>
      <c r="H4121" t="str">
        <f>_xlfn.XLOOKUP(A4121,'[1]Tissue Data'!$A:$A,'[1]Tissue Data'!K:K)</f>
        <v>Whole Body</v>
      </c>
      <c r="I4121">
        <f>_xlfn.XLOOKUP(A4121,'[1]Tissue Data'!$A:$A,'[1]Tissue Data'!L:L)</f>
        <v>9</v>
      </c>
      <c r="J4121">
        <f>_xlfn.XLOOKUP(A4121,'[1]Tissue Data'!$A:$A,'[1]Tissue Data'!M:M)</f>
        <v>19.45</v>
      </c>
      <c r="K4121" t="s">
        <v>31</v>
      </c>
      <c r="L4121" t="str">
        <f>_xlfn.XLOOKUP(K4121,[2]analyte_order!$B:$B,[2]analyte_order!$C:$C)</f>
        <v>335-77-3</v>
      </c>
      <c r="M4121">
        <f>_xlfn.XLOOKUP(L4121,[2]analyte_order!$C:$C,[2]analyte_order!$E:$E)</f>
        <v>20</v>
      </c>
      <c r="N4121">
        <v>1.79</v>
      </c>
    </row>
    <row r="4122" spans="1:14">
      <c r="A4122" t="s">
        <v>261</v>
      </c>
      <c r="B4122" t="str">
        <f>_xlfn.XLOOKUP(A4122,'[1]Tissue Data'!$A:$A,'[1]Tissue Data'!$C:$C)</f>
        <v>Spill</v>
      </c>
      <c r="C4122" s="2">
        <f>_xlfn.XLOOKUP(A4122,'[1]Tissue Data'!$A:$A,'[1]Tissue Data'!$D:$D)</f>
        <v>44393</v>
      </c>
      <c r="D4122" s="2" t="str">
        <f>_xlfn.XLOOKUP(A4122,'[1]Tissue Data'!$A:$A,'[1]Tissue Data'!$F:$F)</f>
        <v>Pumpkinseed</v>
      </c>
      <c r="E4122" t="str">
        <f>_xlfn.XLOOKUP(A4122,'[1]Tissue Data'!$A:$A,'[1]Tissue Data'!$H:$H)</f>
        <v>Lepomis</v>
      </c>
      <c r="F4122" t="str">
        <f>_xlfn.XLOOKUP(A4122,'[1]Tissue Data'!$A:$A,'[1]Tissue Data'!$I:$I)</f>
        <v>gibbosus</v>
      </c>
      <c r="G4122" t="str">
        <f>_xlfn.XLOOKUP(A4122,'[1]Tissue Data'!$A:$A,'[1]Tissue Data'!J:J)</f>
        <v>U</v>
      </c>
      <c r="H4122" t="str">
        <f>_xlfn.XLOOKUP(A4122,'[1]Tissue Data'!$A:$A,'[1]Tissue Data'!K:K)</f>
        <v>Whole Body</v>
      </c>
      <c r="I4122">
        <f>_xlfn.XLOOKUP(A4122,'[1]Tissue Data'!$A:$A,'[1]Tissue Data'!L:L)</f>
        <v>9</v>
      </c>
      <c r="J4122">
        <f>_xlfn.XLOOKUP(A4122,'[1]Tissue Data'!$A:$A,'[1]Tissue Data'!M:M)</f>
        <v>19.45</v>
      </c>
      <c r="K4122" t="s">
        <v>32</v>
      </c>
      <c r="L4122" t="str">
        <f>_xlfn.XLOOKUP(K4122,[2]analyte_order!$B:$B,[2]analyte_order!$C:$C)</f>
        <v>79780-39-5</v>
      </c>
      <c r="M4122">
        <f>_xlfn.XLOOKUP(L4122,[2]analyte_order!$C:$C,[2]analyte_order!$E:$E)</f>
        <v>21</v>
      </c>
      <c r="N4122">
        <v>0.24249999999999999</v>
      </c>
    </row>
    <row r="4123" spans="1:14">
      <c r="A4123" t="s">
        <v>261</v>
      </c>
      <c r="B4123" t="str">
        <f>_xlfn.XLOOKUP(A4123,'[1]Tissue Data'!$A:$A,'[1]Tissue Data'!$C:$C)</f>
        <v>Spill</v>
      </c>
      <c r="C4123" s="2">
        <f>_xlfn.XLOOKUP(A4123,'[1]Tissue Data'!$A:$A,'[1]Tissue Data'!$D:$D)</f>
        <v>44393</v>
      </c>
      <c r="D4123" s="2" t="str">
        <f>_xlfn.XLOOKUP(A4123,'[1]Tissue Data'!$A:$A,'[1]Tissue Data'!$F:$F)</f>
        <v>Pumpkinseed</v>
      </c>
      <c r="E4123" t="str">
        <f>_xlfn.XLOOKUP(A4123,'[1]Tissue Data'!$A:$A,'[1]Tissue Data'!$H:$H)</f>
        <v>Lepomis</v>
      </c>
      <c r="F4123" t="str">
        <f>_xlfn.XLOOKUP(A4123,'[1]Tissue Data'!$A:$A,'[1]Tissue Data'!$I:$I)</f>
        <v>gibbosus</v>
      </c>
      <c r="G4123" t="str">
        <f>_xlfn.XLOOKUP(A4123,'[1]Tissue Data'!$A:$A,'[1]Tissue Data'!J:J)</f>
        <v>U</v>
      </c>
      <c r="H4123" t="str">
        <f>_xlfn.XLOOKUP(A4123,'[1]Tissue Data'!$A:$A,'[1]Tissue Data'!K:K)</f>
        <v>Whole Body</v>
      </c>
      <c r="I4123">
        <f>_xlfn.XLOOKUP(A4123,'[1]Tissue Data'!$A:$A,'[1]Tissue Data'!L:L)</f>
        <v>9</v>
      </c>
      <c r="J4123">
        <f>_xlfn.XLOOKUP(A4123,'[1]Tissue Data'!$A:$A,'[1]Tissue Data'!M:M)</f>
        <v>19.45</v>
      </c>
      <c r="K4123" t="s">
        <v>33</v>
      </c>
      <c r="L4123" t="str">
        <f>_xlfn.XLOOKUP(K4123,[2]analyte_order!$B:$B,[2]analyte_order!$C:$C)</f>
        <v>777011-38-8</v>
      </c>
      <c r="M4123">
        <f>_xlfn.XLOOKUP(L4123,[2]analyte_order!$C:$C,[2]analyte_order!$E:$E)</f>
        <v>54</v>
      </c>
      <c r="N4123">
        <v>0.13750000000000001</v>
      </c>
    </row>
    <row r="4124" spans="1:14">
      <c r="A4124" t="s">
        <v>261</v>
      </c>
      <c r="B4124" t="str">
        <f>_xlfn.XLOOKUP(A4124,'[1]Tissue Data'!$A:$A,'[1]Tissue Data'!$C:$C)</f>
        <v>Spill</v>
      </c>
      <c r="C4124" s="2">
        <f>_xlfn.XLOOKUP(A4124,'[1]Tissue Data'!$A:$A,'[1]Tissue Data'!$D:$D)</f>
        <v>44393</v>
      </c>
      <c r="D4124" s="2" t="str">
        <f>_xlfn.XLOOKUP(A4124,'[1]Tissue Data'!$A:$A,'[1]Tissue Data'!$F:$F)</f>
        <v>Pumpkinseed</v>
      </c>
      <c r="E4124" t="str">
        <f>_xlfn.XLOOKUP(A4124,'[1]Tissue Data'!$A:$A,'[1]Tissue Data'!$H:$H)</f>
        <v>Lepomis</v>
      </c>
      <c r="F4124" t="str">
        <f>_xlfn.XLOOKUP(A4124,'[1]Tissue Data'!$A:$A,'[1]Tissue Data'!$I:$I)</f>
        <v>gibbosus</v>
      </c>
      <c r="G4124" t="str">
        <f>_xlfn.XLOOKUP(A4124,'[1]Tissue Data'!$A:$A,'[1]Tissue Data'!J:J)</f>
        <v>U</v>
      </c>
      <c r="H4124" t="str">
        <f>_xlfn.XLOOKUP(A4124,'[1]Tissue Data'!$A:$A,'[1]Tissue Data'!K:K)</f>
        <v>Whole Body</v>
      </c>
      <c r="I4124">
        <f>_xlfn.XLOOKUP(A4124,'[1]Tissue Data'!$A:$A,'[1]Tissue Data'!L:L)</f>
        <v>9</v>
      </c>
      <c r="J4124">
        <f>_xlfn.XLOOKUP(A4124,'[1]Tissue Data'!$A:$A,'[1]Tissue Data'!M:M)</f>
        <v>19.45</v>
      </c>
      <c r="K4124" t="s">
        <v>34</v>
      </c>
      <c r="L4124" t="str">
        <f>_xlfn.XLOOKUP(K4124,[2]analyte_order!$B:$B,[2]analyte_order!$C:$C)</f>
        <v>646-83-3</v>
      </c>
      <c r="M4124">
        <f>_xlfn.XLOOKUP(L4124,[2]analyte_order!$C:$C,[2]analyte_order!$E:$E)</f>
        <v>55</v>
      </c>
      <c r="N4124">
        <v>0.22500000000000001</v>
      </c>
    </row>
    <row r="4125" spans="1:14">
      <c r="A4125" t="s">
        <v>261</v>
      </c>
      <c r="B4125" t="str">
        <f>_xlfn.XLOOKUP(A4125,'[1]Tissue Data'!$A:$A,'[1]Tissue Data'!$C:$C)</f>
        <v>Spill</v>
      </c>
      <c r="C4125" s="2">
        <f>_xlfn.XLOOKUP(A4125,'[1]Tissue Data'!$A:$A,'[1]Tissue Data'!$D:$D)</f>
        <v>44393</v>
      </c>
      <c r="D4125" s="2" t="str">
        <f>_xlfn.XLOOKUP(A4125,'[1]Tissue Data'!$A:$A,'[1]Tissue Data'!$F:$F)</f>
        <v>Pumpkinseed</v>
      </c>
      <c r="E4125" t="str">
        <f>_xlfn.XLOOKUP(A4125,'[1]Tissue Data'!$A:$A,'[1]Tissue Data'!$H:$H)</f>
        <v>Lepomis</v>
      </c>
      <c r="F4125" t="str">
        <f>_xlfn.XLOOKUP(A4125,'[1]Tissue Data'!$A:$A,'[1]Tissue Data'!$I:$I)</f>
        <v>gibbosus</v>
      </c>
      <c r="G4125" t="str">
        <f>_xlfn.XLOOKUP(A4125,'[1]Tissue Data'!$A:$A,'[1]Tissue Data'!J:J)</f>
        <v>U</v>
      </c>
      <c r="H4125" t="str">
        <f>_xlfn.XLOOKUP(A4125,'[1]Tissue Data'!$A:$A,'[1]Tissue Data'!K:K)</f>
        <v>Whole Body</v>
      </c>
      <c r="I4125">
        <f>_xlfn.XLOOKUP(A4125,'[1]Tissue Data'!$A:$A,'[1]Tissue Data'!L:L)</f>
        <v>9</v>
      </c>
      <c r="J4125">
        <f>_xlfn.XLOOKUP(A4125,'[1]Tissue Data'!$A:$A,'[1]Tissue Data'!M:M)</f>
        <v>19.45</v>
      </c>
      <c r="K4125" t="s">
        <v>35</v>
      </c>
      <c r="L4125" t="str">
        <f>_xlfn.XLOOKUP(K4125,[2]analyte_order!$B:$B,[2]analyte_order!$C:$C)</f>
        <v>30334-69-1</v>
      </c>
      <c r="M4125">
        <f>_xlfn.XLOOKUP(L4125,[2]analyte_order!$C:$C,[2]analyte_order!$E:$E)</f>
        <v>51</v>
      </c>
      <c r="N4125">
        <v>25</v>
      </c>
    </row>
    <row r="4126" spans="1:14">
      <c r="A4126" t="s">
        <v>261</v>
      </c>
      <c r="B4126" t="str">
        <f>_xlfn.XLOOKUP(A4126,'[1]Tissue Data'!$A:$A,'[1]Tissue Data'!$C:$C)</f>
        <v>Spill</v>
      </c>
      <c r="C4126" s="2">
        <f>_xlfn.XLOOKUP(A4126,'[1]Tissue Data'!$A:$A,'[1]Tissue Data'!$D:$D)</f>
        <v>44393</v>
      </c>
      <c r="D4126" s="2" t="str">
        <f>_xlfn.XLOOKUP(A4126,'[1]Tissue Data'!$A:$A,'[1]Tissue Data'!$F:$F)</f>
        <v>Pumpkinseed</v>
      </c>
      <c r="E4126" t="str">
        <f>_xlfn.XLOOKUP(A4126,'[1]Tissue Data'!$A:$A,'[1]Tissue Data'!$H:$H)</f>
        <v>Lepomis</v>
      </c>
      <c r="F4126" t="str">
        <f>_xlfn.XLOOKUP(A4126,'[1]Tissue Data'!$A:$A,'[1]Tissue Data'!$I:$I)</f>
        <v>gibbosus</v>
      </c>
      <c r="G4126" t="str">
        <f>_xlfn.XLOOKUP(A4126,'[1]Tissue Data'!$A:$A,'[1]Tissue Data'!J:J)</f>
        <v>U</v>
      </c>
      <c r="H4126" t="str">
        <f>_xlfn.XLOOKUP(A4126,'[1]Tissue Data'!$A:$A,'[1]Tissue Data'!K:K)</f>
        <v>Whole Body</v>
      </c>
      <c r="I4126">
        <f>_xlfn.XLOOKUP(A4126,'[1]Tissue Data'!$A:$A,'[1]Tissue Data'!L:L)</f>
        <v>9</v>
      </c>
      <c r="J4126">
        <f>_xlfn.XLOOKUP(A4126,'[1]Tissue Data'!$A:$A,'[1]Tissue Data'!M:M)</f>
        <v>19.45</v>
      </c>
      <c r="K4126" t="s">
        <v>36</v>
      </c>
      <c r="L4126" t="str">
        <f>_xlfn.XLOOKUP(K4126,[2]analyte_order!$B:$B,[2]analyte_order!$C:$C)</f>
        <v>41997-13-1</v>
      </c>
      <c r="M4126">
        <f>_xlfn.XLOOKUP(L4126,[2]analyte_order!$C:$C,[2]analyte_order!$E:$E)</f>
        <v>52</v>
      </c>
      <c r="N4126">
        <v>31.2</v>
      </c>
    </row>
    <row r="4127" spans="1:14">
      <c r="A4127" t="s">
        <v>261</v>
      </c>
      <c r="B4127" t="str">
        <f>_xlfn.XLOOKUP(A4127,'[1]Tissue Data'!$A:$A,'[1]Tissue Data'!$C:$C)</f>
        <v>Spill</v>
      </c>
      <c r="C4127" s="2">
        <f>_xlfn.XLOOKUP(A4127,'[1]Tissue Data'!$A:$A,'[1]Tissue Data'!$D:$D)</f>
        <v>44393</v>
      </c>
      <c r="D4127" s="2" t="str">
        <f>_xlfn.XLOOKUP(A4127,'[1]Tissue Data'!$A:$A,'[1]Tissue Data'!$F:$F)</f>
        <v>Pumpkinseed</v>
      </c>
      <c r="E4127" t="str">
        <f>_xlfn.XLOOKUP(A4127,'[1]Tissue Data'!$A:$A,'[1]Tissue Data'!$H:$H)</f>
        <v>Lepomis</v>
      </c>
      <c r="F4127" t="str">
        <f>_xlfn.XLOOKUP(A4127,'[1]Tissue Data'!$A:$A,'[1]Tissue Data'!$I:$I)</f>
        <v>gibbosus</v>
      </c>
      <c r="G4127" t="str">
        <f>_xlfn.XLOOKUP(A4127,'[1]Tissue Data'!$A:$A,'[1]Tissue Data'!J:J)</f>
        <v>U</v>
      </c>
      <c r="H4127" t="str">
        <f>_xlfn.XLOOKUP(A4127,'[1]Tissue Data'!$A:$A,'[1]Tissue Data'!K:K)</f>
        <v>Whole Body</v>
      </c>
      <c r="I4127">
        <f>_xlfn.XLOOKUP(A4127,'[1]Tissue Data'!$A:$A,'[1]Tissue Data'!L:L)</f>
        <v>9</v>
      </c>
      <c r="J4127">
        <f>_xlfn.XLOOKUP(A4127,'[1]Tissue Data'!$A:$A,'[1]Tissue Data'!M:M)</f>
        <v>19.45</v>
      </c>
      <c r="K4127" t="s">
        <v>37</v>
      </c>
      <c r="L4127" t="str">
        <f>_xlfn.XLOOKUP(K4127,[2]analyte_order!$B:$B,[2]analyte_order!$C:$C)</f>
        <v>754-91-6</v>
      </c>
      <c r="M4127">
        <f>_xlfn.XLOOKUP(L4127,[2]analyte_order!$C:$C,[2]analyte_order!$E:$E)</f>
        <v>28</v>
      </c>
      <c r="N4127">
        <v>8.6</v>
      </c>
    </row>
    <row r="4128" spans="1:14">
      <c r="A4128" t="s">
        <v>261</v>
      </c>
      <c r="B4128" t="str">
        <f>_xlfn.XLOOKUP(A4128,'[1]Tissue Data'!$A:$A,'[1]Tissue Data'!$C:$C)</f>
        <v>Spill</v>
      </c>
      <c r="C4128" s="2">
        <f>_xlfn.XLOOKUP(A4128,'[1]Tissue Data'!$A:$A,'[1]Tissue Data'!$D:$D)</f>
        <v>44393</v>
      </c>
      <c r="D4128" s="2" t="str">
        <f>_xlfn.XLOOKUP(A4128,'[1]Tissue Data'!$A:$A,'[1]Tissue Data'!$F:$F)</f>
        <v>Pumpkinseed</v>
      </c>
      <c r="E4128" t="str">
        <f>_xlfn.XLOOKUP(A4128,'[1]Tissue Data'!$A:$A,'[1]Tissue Data'!$H:$H)</f>
        <v>Lepomis</v>
      </c>
      <c r="F4128" t="str">
        <f>_xlfn.XLOOKUP(A4128,'[1]Tissue Data'!$A:$A,'[1]Tissue Data'!$I:$I)</f>
        <v>gibbosus</v>
      </c>
      <c r="G4128" t="str">
        <f>_xlfn.XLOOKUP(A4128,'[1]Tissue Data'!$A:$A,'[1]Tissue Data'!J:J)</f>
        <v>U</v>
      </c>
      <c r="H4128" t="str">
        <f>_xlfn.XLOOKUP(A4128,'[1]Tissue Data'!$A:$A,'[1]Tissue Data'!K:K)</f>
        <v>Whole Body</v>
      </c>
      <c r="I4128">
        <f>_xlfn.XLOOKUP(A4128,'[1]Tissue Data'!$A:$A,'[1]Tissue Data'!L:L)</f>
        <v>9</v>
      </c>
      <c r="J4128">
        <f>_xlfn.XLOOKUP(A4128,'[1]Tissue Data'!$A:$A,'[1]Tissue Data'!M:M)</f>
        <v>19.45</v>
      </c>
      <c r="K4128" t="s">
        <v>38</v>
      </c>
      <c r="L4128" t="str">
        <f>_xlfn.XLOOKUP(K4128,[2]analyte_order!$B:$B,[2]analyte_order!$C:$C)</f>
        <v>31506-32-8</v>
      </c>
      <c r="M4128">
        <f>_xlfn.XLOOKUP(L4128,[2]analyte_order!$C:$C,[2]analyte_order!$E:$E)</f>
        <v>30</v>
      </c>
      <c r="N4128">
        <v>5.2999999999999999E-2</v>
      </c>
    </row>
    <row r="4129" spans="1:14">
      <c r="A4129" t="s">
        <v>261</v>
      </c>
      <c r="B4129" t="str">
        <f>_xlfn.XLOOKUP(A4129,'[1]Tissue Data'!$A:$A,'[1]Tissue Data'!$C:$C)</f>
        <v>Spill</v>
      </c>
      <c r="C4129" s="2">
        <f>_xlfn.XLOOKUP(A4129,'[1]Tissue Data'!$A:$A,'[1]Tissue Data'!$D:$D)</f>
        <v>44393</v>
      </c>
      <c r="D4129" s="2" t="str">
        <f>_xlfn.XLOOKUP(A4129,'[1]Tissue Data'!$A:$A,'[1]Tissue Data'!$F:$F)</f>
        <v>Pumpkinseed</v>
      </c>
      <c r="E4129" t="str">
        <f>_xlfn.XLOOKUP(A4129,'[1]Tissue Data'!$A:$A,'[1]Tissue Data'!$H:$H)</f>
        <v>Lepomis</v>
      </c>
      <c r="F4129" t="str">
        <f>_xlfn.XLOOKUP(A4129,'[1]Tissue Data'!$A:$A,'[1]Tissue Data'!$I:$I)</f>
        <v>gibbosus</v>
      </c>
      <c r="G4129" t="str">
        <f>_xlfn.XLOOKUP(A4129,'[1]Tissue Data'!$A:$A,'[1]Tissue Data'!J:J)</f>
        <v>U</v>
      </c>
      <c r="H4129" t="str">
        <f>_xlfn.XLOOKUP(A4129,'[1]Tissue Data'!$A:$A,'[1]Tissue Data'!K:K)</f>
        <v>Whole Body</v>
      </c>
      <c r="I4129">
        <f>_xlfn.XLOOKUP(A4129,'[1]Tissue Data'!$A:$A,'[1]Tissue Data'!L:L)</f>
        <v>9</v>
      </c>
      <c r="J4129">
        <f>_xlfn.XLOOKUP(A4129,'[1]Tissue Data'!$A:$A,'[1]Tissue Data'!M:M)</f>
        <v>19.45</v>
      </c>
      <c r="K4129" t="s">
        <v>39</v>
      </c>
      <c r="L4129" t="str">
        <f>_xlfn.XLOOKUP(K4129,[2]analyte_order!$B:$B,[2]analyte_order!$C:$C)</f>
        <v>4151-50-2</v>
      </c>
      <c r="M4129">
        <f>_xlfn.XLOOKUP(L4129,[2]analyte_order!$C:$C,[2]analyte_order!$E:$E)</f>
        <v>31</v>
      </c>
      <c r="N4129">
        <v>0.08</v>
      </c>
    </row>
    <row r="4130" spans="1:14">
      <c r="A4130" t="s">
        <v>261</v>
      </c>
      <c r="B4130" t="str">
        <f>_xlfn.XLOOKUP(A4130,'[1]Tissue Data'!$A:$A,'[1]Tissue Data'!$C:$C)</f>
        <v>Spill</v>
      </c>
      <c r="C4130" s="2">
        <f>_xlfn.XLOOKUP(A4130,'[1]Tissue Data'!$A:$A,'[1]Tissue Data'!$D:$D)</f>
        <v>44393</v>
      </c>
      <c r="D4130" s="2" t="str">
        <f>_xlfn.XLOOKUP(A4130,'[1]Tissue Data'!$A:$A,'[1]Tissue Data'!$F:$F)</f>
        <v>Pumpkinseed</v>
      </c>
      <c r="E4130" t="str">
        <f>_xlfn.XLOOKUP(A4130,'[1]Tissue Data'!$A:$A,'[1]Tissue Data'!$H:$H)</f>
        <v>Lepomis</v>
      </c>
      <c r="F4130" t="str">
        <f>_xlfn.XLOOKUP(A4130,'[1]Tissue Data'!$A:$A,'[1]Tissue Data'!$I:$I)</f>
        <v>gibbosus</v>
      </c>
      <c r="G4130" t="str">
        <f>_xlfn.XLOOKUP(A4130,'[1]Tissue Data'!$A:$A,'[1]Tissue Data'!J:J)</f>
        <v>U</v>
      </c>
      <c r="H4130" t="str">
        <f>_xlfn.XLOOKUP(A4130,'[1]Tissue Data'!$A:$A,'[1]Tissue Data'!K:K)</f>
        <v>Whole Body</v>
      </c>
      <c r="I4130">
        <f>_xlfn.XLOOKUP(A4130,'[1]Tissue Data'!$A:$A,'[1]Tissue Data'!L:L)</f>
        <v>9</v>
      </c>
      <c r="J4130">
        <f>_xlfn.XLOOKUP(A4130,'[1]Tissue Data'!$A:$A,'[1]Tissue Data'!M:M)</f>
        <v>19.45</v>
      </c>
      <c r="K4130" t="s">
        <v>40</v>
      </c>
      <c r="L4130" t="str">
        <f>_xlfn.XLOOKUP(K4130,[2]analyte_order!$B:$B,[2]analyte_order!$C:$C)</f>
        <v>2806-24-8</v>
      </c>
      <c r="M4130">
        <f>_xlfn.XLOOKUP(L4130,[2]analyte_order!$C:$C,[2]analyte_order!$E:$E)</f>
        <v>29</v>
      </c>
      <c r="N4130">
        <v>5.3999999999999999E-2</v>
      </c>
    </row>
    <row r="4131" spans="1:14">
      <c r="A4131" t="s">
        <v>261</v>
      </c>
      <c r="B4131" t="str">
        <f>_xlfn.XLOOKUP(A4131,'[1]Tissue Data'!$A:$A,'[1]Tissue Data'!$C:$C)</f>
        <v>Spill</v>
      </c>
      <c r="C4131" s="2">
        <f>_xlfn.XLOOKUP(A4131,'[1]Tissue Data'!$A:$A,'[1]Tissue Data'!$D:$D)</f>
        <v>44393</v>
      </c>
      <c r="D4131" s="2" t="str">
        <f>_xlfn.XLOOKUP(A4131,'[1]Tissue Data'!$A:$A,'[1]Tissue Data'!$F:$F)</f>
        <v>Pumpkinseed</v>
      </c>
      <c r="E4131" t="str">
        <f>_xlfn.XLOOKUP(A4131,'[1]Tissue Data'!$A:$A,'[1]Tissue Data'!$H:$H)</f>
        <v>Lepomis</v>
      </c>
      <c r="F4131" t="str">
        <f>_xlfn.XLOOKUP(A4131,'[1]Tissue Data'!$A:$A,'[1]Tissue Data'!$I:$I)</f>
        <v>gibbosus</v>
      </c>
      <c r="G4131" t="str">
        <f>_xlfn.XLOOKUP(A4131,'[1]Tissue Data'!$A:$A,'[1]Tissue Data'!J:J)</f>
        <v>U</v>
      </c>
      <c r="H4131" t="str">
        <f>_xlfn.XLOOKUP(A4131,'[1]Tissue Data'!$A:$A,'[1]Tissue Data'!K:K)</f>
        <v>Whole Body</v>
      </c>
      <c r="I4131">
        <f>_xlfn.XLOOKUP(A4131,'[1]Tissue Data'!$A:$A,'[1]Tissue Data'!L:L)</f>
        <v>9</v>
      </c>
      <c r="J4131">
        <f>_xlfn.XLOOKUP(A4131,'[1]Tissue Data'!$A:$A,'[1]Tissue Data'!M:M)</f>
        <v>19.45</v>
      </c>
      <c r="K4131" t="s">
        <v>41</v>
      </c>
      <c r="L4131" t="str">
        <f>_xlfn.XLOOKUP(K4131,[2]analyte_order!$B:$B,[2]analyte_order!$C:$C)</f>
        <v>2355-31-9</v>
      </c>
      <c r="M4131">
        <f>_xlfn.XLOOKUP(L4131,[2]analyte_order!$C:$C,[2]analyte_order!$E:$E)</f>
        <v>26</v>
      </c>
      <c r="N4131">
        <v>0.72099999999999997</v>
      </c>
    </row>
    <row r="4132" spans="1:14">
      <c r="A4132" t="s">
        <v>261</v>
      </c>
      <c r="B4132" t="str">
        <f>_xlfn.XLOOKUP(A4132,'[1]Tissue Data'!$A:$A,'[1]Tissue Data'!$C:$C)</f>
        <v>Spill</v>
      </c>
      <c r="C4132" s="2">
        <f>_xlfn.XLOOKUP(A4132,'[1]Tissue Data'!$A:$A,'[1]Tissue Data'!$D:$D)</f>
        <v>44393</v>
      </c>
      <c r="D4132" s="2" t="str">
        <f>_xlfn.XLOOKUP(A4132,'[1]Tissue Data'!$A:$A,'[1]Tissue Data'!$F:$F)</f>
        <v>Pumpkinseed</v>
      </c>
      <c r="E4132" t="str">
        <f>_xlfn.XLOOKUP(A4132,'[1]Tissue Data'!$A:$A,'[1]Tissue Data'!$H:$H)</f>
        <v>Lepomis</v>
      </c>
      <c r="F4132" t="str">
        <f>_xlfn.XLOOKUP(A4132,'[1]Tissue Data'!$A:$A,'[1]Tissue Data'!$I:$I)</f>
        <v>gibbosus</v>
      </c>
      <c r="G4132" t="str">
        <f>_xlfn.XLOOKUP(A4132,'[1]Tissue Data'!$A:$A,'[1]Tissue Data'!J:J)</f>
        <v>U</v>
      </c>
      <c r="H4132" t="str">
        <f>_xlfn.XLOOKUP(A4132,'[1]Tissue Data'!$A:$A,'[1]Tissue Data'!K:K)</f>
        <v>Whole Body</v>
      </c>
      <c r="I4132">
        <f>_xlfn.XLOOKUP(A4132,'[1]Tissue Data'!$A:$A,'[1]Tissue Data'!L:L)</f>
        <v>9</v>
      </c>
      <c r="J4132">
        <f>_xlfn.XLOOKUP(A4132,'[1]Tissue Data'!$A:$A,'[1]Tissue Data'!M:M)</f>
        <v>19.45</v>
      </c>
      <c r="K4132" t="s">
        <v>42</v>
      </c>
      <c r="L4132" t="str">
        <f>_xlfn.XLOOKUP(K4132,[2]analyte_order!$B:$B,[2]analyte_order!$C:$C)</f>
        <v>2991-50-6</v>
      </c>
      <c r="M4132">
        <f>_xlfn.XLOOKUP(L4132,[2]analyte_order!$C:$C,[2]analyte_order!$E:$E)</f>
        <v>27</v>
      </c>
      <c r="N4132">
        <v>5.9499999999999997E-2</v>
      </c>
    </row>
    <row r="4133" spans="1:14">
      <c r="A4133" t="s">
        <v>261</v>
      </c>
      <c r="B4133" t="str">
        <f>_xlfn.XLOOKUP(A4133,'[1]Tissue Data'!$A:$A,'[1]Tissue Data'!$C:$C)</f>
        <v>Spill</v>
      </c>
      <c r="C4133" s="2">
        <f>_xlfn.XLOOKUP(A4133,'[1]Tissue Data'!$A:$A,'[1]Tissue Data'!$D:$D)</f>
        <v>44393</v>
      </c>
      <c r="D4133" s="2" t="str">
        <f>_xlfn.XLOOKUP(A4133,'[1]Tissue Data'!$A:$A,'[1]Tissue Data'!$F:$F)</f>
        <v>Pumpkinseed</v>
      </c>
      <c r="E4133" t="str">
        <f>_xlfn.XLOOKUP(A4133,'[1]Tissue Data'!$A:$A,'[1]Tissue Data'!$H:$H)</f>
        <v>Lepomis</v>
      </c>
      <c r="F4133" t="str">
        <f>_xlfn.XLOOKUP(A4133,'[1]Tissue Data'!$A:$A,'[1]Tissue Data'!$I:$I)</f>
        <v>gibbosus</v>
      </c>
      <c r="G4133" t="str">
        <f>_xlfn.XLOOKUP(A4133,'[1]Tissue Data'!$A:$A,'[1]Tissue Data'!J:J)</f>
        <v>U</v>
      </c>
      <c r="H4133" t="str">
        <f>_xlfn.XLOOKUP(A4133,'[1]Tissue Data'!$A:$A,'[1]Tissue Data'!K:K)</f>
        <v>Whole Body</v>
      </c>
      <c r="I4133">
        <f>_xlfn.XLOOKUP(A4133,'[1]Tissue Data'!$A:$A,'[1]Tissue Data'!L:L)</f>
        <v>9</v>
      </c>
      <c r="J4133">
        <f>_xlfn.XLOOKUP(A4133,'[1]Tissue Data'!$A:$A,'[1]Tissue Data'!M:M)</f>
        <v>19.45</v>
      </c>
      <c r="K4133" t="s">
        <v>43</v>
      </c>
      <c r="L4133" t="str">
        <f>_xlfn.XLOOKUP(K4133,[2]analyte_order!$B:$B,[2]analyte_order!$C:$C)</f>
        <v>757124-72-4</v>
      </c>
      <c r="M4133">
        <f>_xlfn.XLOOKUP(L4133,[2]analyte_order!$C:$C,[2]analyte_order!$E:$E)</f>
        <v>22</v>
      </c>
      <c r="N4133">
        <v>5.6500000000000002E-2</v>
      </c>
    </row>
    <row r="4134" spans="1:14">
      <c r="A4134" t="s">
        <v>261</v>
      </c>
      <c r="B4134" t="str">
        <f>_xlfn.XLOOKUP(A4134,'[1]Tissue Data'!$A:$A,'[1]Tissue Data'!$C:$C)</f>
        <v>Spill</v>
      </c>
      <c r="C4134" s="2">
        <f>_xlfn.XLOOKUP(A4134,'[1]Tissue Data'!$A:$A,'[1]Tissue Data'!$D:$D)</f>
        <v>44393</v>
      </c>
      <c r="D4134" s="2" t="str">
        <f>_xlfn.XLOOKUP(A4134,'[1]Tissue Data'!$A:$A,'[1]Tissue Data'!$F:$F)</f>
        <v>Pumpkinseed</v>
      </c>
      <c r="E4134" t="str">
        <f>_xlfn.XLOOKUP(A4134,'[1]Tissue Data'!$A:$A,'[1]Tissue Data'!$H:$H)</f>
        <v>Lepomis</v>
      </c>
      <c r="F4134" t="str">
        <f>_xlfn.XLOOKUP(A4134,'[1]Tissue Data'!$A:$A,'[1]Tissue Data'!$I:$I)</f>
        <v>gibbosus</v>
      </c>
      <c r="G4134" t="str">
        <f>_xlfn.XLOOKUP(A4134,'[1]Tissue Data'!$A:$A,'[1]Tissue Data'!J:J)</f>
        <v>U</v>
      </c>
      <c r="H4134" t="str">
        <f>_xlfn.XLOOKUP(A4134,'[1]Tissue Data'!$A:$A,'[1]Tissue Data'!K:K)</f>
        <v>Whole Body</v>
      </c>
      <c r="I4134">
        <f>_xlfn.XLOOKUP(A4134,'[1]Tissue Data'!$A:$A,'[1]Tissue Data'!L:L)</f>
        <v>9</v>
      </c>
      <c r="J4134">
        <f>_xlfn.XLOOKUP(A4134,'[1]Tissue Data'!$A:$A,'[1]Tissue Data'!M:M)</f>
        <v>19.45</v>
      </c>
      <c r="K4134" t="s">
        <v>44</v>
      </c>
      <c r="L4134" t="str">
        <f>_xlfn.XLOOKUP(K4134,[2]analyte_order!$B:$B,[2]analyte_order!$C:$C)</f>
        <v>27619-97-2</v>
      </c>
      <c r="M4134">
        <f>_xlfn.XLOOKUP(L4134,[2]analyte_order!$C:$C,[2]analyte_order!$E:$E)</f>
        <v>23</v>
      </c>
      <c r="N4134">
        <v>0.13700000000000001</v>
      </c>
    </row>
    <row r="4135" spans="1:14">
      <c r="A4135" t="s">
        <v>261</v>
      </c>
      <c r="B4135" t="str">
        <f>_xlfn.XLOOKUP(A4135,'[1]Tissue Data'!$A:$A,'[1]Tissue Data'!$C:$C)</f>
        <v>Spill</v>
      </c>
      <c r="C4135" s="2">
        <f>_xlfn.XLOOKUP(A4135,'[1]Tissue Data'!$A:$A,'[1]Tissue Data'!$D:$D)</f>
        <v>44393</v>
      </c>
      <c r="D4135" s="2" t="str">
        <f>_xlfn.XLOOKUP(A4135,'[1]Tissue Data'!$A:$A,'[1]Tissue Data'!$F:$F)</f>
        <v>Pumpkinseed</v>
      </c>
      <c r="E4135" t="str">
        <f>_xlfn.XLOOKUP(A4135,'[1]Tissue Data'!$A:$A,'[1]Tissue Data'!$H:$H)</f>
        <v>Lepomis</v>
      </c>
      <c r="F4135" t="str">
        <f>_xlfn.XLOOKUP(A4135,'[1]Tissue Data'!$A:$A,'[1]Tissue Data'!$I:$I)</f>
        <v>gibbosus</v>
      </c>
      <c r="G4135" t="str">
        <f>_xlfn.XLOOKUP(A4135,'[1]Tissue Data'!$A:$A,'[1]Tissue Data'!J:J)</f>
        <v>U</v>
      </c>
      <c r="H4135" t="str">
        <f>_xlfn.XLOOKUP(A4135,'[1]Tissue Data'!$A:$A,'[1]Tissue Data'!K:K)</f>
        <v>Whole Body</v>
      </c>
      <c r="I4135">
        <f>_xlfn.XLOOKUP(A4135,'[1]Tissue Data'!$A:$A,'[1]Tissue Data'!L:L)</f>
        <v>9</v>
      </c>
      <c r="J4135">
        <f>_xlfn.XLOOKUP(A4135,'[1]Tissue Data'!$A:$A,'[1]Tissue Data'!M:M)</f>
        <v>19.45</v>
      </c>
      <c r="K4135" t="s">
        <v>45</v>
      </c>
      <c r="L4135" t="str">
        <f>_xlfn.XLOOKUP(K4135,[2]analyte_order!$B:$B,[2]analyte_order!$C:$C)</f>
        <v>39108-34-4</v>
      </c>
      <c r="M4135">
        <f>_xlfn.XLOOKUP(L4135,[2]analyte_order!$C:$C,[2]analyte_order!$E:$E)</f>
        <v>24</v>
      </c>
      <c r="N4135">
        <v>4.8600000000000003</v>
      </c>
    </row>
    <row r="4136" spans="1:14">
      <c r="A4136" t="s">
        <v>261</v>
      </c>
      <c r="B4136" t="str">
        <f>_xlfn.XLOOKUP(A4136,'[1]Tissue Data'!$A:$A,'[1]Tissue Data'!$C:$C)</f>
        <v>Spill</v>
      </c>
      <c r="C4136" s="2">
        <f>_xlfn.XLOOKUP(A4136,'[1]Tissue Data'!$A:$A,'[1]Tissue Data'!$D:$D)</f>
        <v>44393</v>
      </c>
      <c r="D4136" s="2" t="str">
        <f>_xlfn.XLOOKUP(A4136,'[1]Tissue Data'!$A:$A,'[1]Tissue Data'!$F:$F)</f>
        <v>Pumpkinseed</v>
      </c>
      <c r="E4136" t="str">
        <f>_xlfn.XLOOKUP(A4136,'[1]Tissue Data'!$A:$A,'[1]Tissue Data'!$H:$H)</f>
        <v>Lepomis</v>
      </c>
      <c r="F4136" t="str">
        <f>_xlfn.XLOOKUP(A4136,'[1]Tissue Data'!$A:$A,'[1]Tissue Data'!$I:$I)</f>
        <v>gibbosus</v>
      </c>
      <c r="G4136" t="str">
        <f>_xlfn.XLOOKUP(A4136,'[1]Tissue Data'!$A:$A,'[1]Tissue Data'!J:J)</f>
        <v>U</v>
      </c>
      <c r="H4136" t="str">
        <f>_xlfn.XLOOKUP(A4136,'[1]Tissue Data'!$A:$A,'[1]Tissue Data'!K:K)</f>
        <v>Whole Body</v>
      </c>
      <c r="I4136">
        <f>_xlfn.XLOOKUP(A4136,'[1]Tissue Data'!$A:$A,'[1]Tissue Data'!L:L)</f>
        <v>9</v>
      </c>
      <c r="J4136">
        <f>_xlfn.XLOOKUP(A4136,'[1]Tissue Data'!$A:$A,'[1]Tissue Data'!M:M)</f>
        <v>19.45</v>
      </c>
      <c r="K4136" t="s">
        <v>46</v>
      </c>
      <c r="L4136" t="str">
        <f>_xlfn.XLOOKUP(K4136,[2]analyte_order!$B:$B,[2]analyte_order!$C:$C)</f>
        <v>120226-60-0</v>
      </c>
      <c r="M4136">
        <f>_xlfn.XLOOKUP(L4136,[2]analyte_order!$C:$C,[2]analyte_order!$E:$E)</f>
        <v>25</v>
      </c>
      <c r="N4136">
        <v>0.25750000000000001</v>
      </c>
    </row>
    <row r="4137" spans="1:14">
      <c r="A4137" t="s">
        <v>261</v>
      </c>
      <c r="B4137" t="str">
        <f>_xlfn.XLOOKUP(A4137,'[1]Tissue Data'!$A:$A,'[1]Tissue Data'!$C:$C)</f>
        <v>Spill</v>
      </c>
      <c r="C4137" s="2">
        <f>_xlfn.XLOOKUP(A4137,'[1]Tissue Data'!$A:$A,'[1]Tissue Data'!$D:$D)</f>
        <v>44393</v>
      </c>
      <c r="D4137" s="2" t="str">
        <f>_xlfn.XLOOKUP(A4137,'[1]Tissue Data'!$A:$A,'[1]Tissue Data'!$F:$F)</f>
        <v>Pumpkinseed</v>
      </c>
      <c r="E4137" t="str">
        <f>_xlfn.XLOOKUP(A4137,'[1]Tissue Data'!$A:$A,'[1]Tissue Data'!$H:$H)</f>
        <v>Lepomis</v>
      </c>
      <c r="F4137" t="str">
        <f>_xlfn.XLOOKUP(A4137,'[1]Tissue Data'!$A:$A,'[1]Tissue Data'!$I:$I)</f>
        <v>gibbosus</v>
      </c>
      <c r="G4137" t="str">
        <f>_xlfn.XLOOKUP(A4137,'[1]Tissue Data'!$A:$A,'[1]Tissue Data'!J:J)</f>
        <v>U</v>
      </c>
      <c r="H4137" t="str">
        <f>_xlfn.XLOOKUP(A4137,'[1]Tissue Data'!$A:$A,'[1]Tissue Data'!K:K)</f>
        <v>Whole Body</v>
      </c>
      <c r="I4137">
        <f>_xlfn.XLOOKUP(A4137,'[1]Tissue Data'!$A:$A,'[1]Tissue Data'!L:L)</f>
        <v>9</v>
      </c>
      <c r="J4137">
        <f>_xlfn.XLOOKUP(A4137,'[1]Tissue Data'!$A:$A,'[1]Tissue Data'!M:M)</f>
        <v>19.45</v>
      </c>
      <c r="K4137" t="s">
        <v>47</v>
      </c>
      <c r="L4137" t="str">
        <f>_xlfn.XLOOKUP(K4137,[2]analyte_order!$B:$B,[2]analyte_order!$C:$C)</f>
        <v>356-02-5</v>
      </c>
      <c r="M4137">
        <f>_xlfn.XLOOKUP(L4137,[2]analyte_order!$C:$C,[2]analyte_order!$E:$E)</f>
        <v>38</v>
      </c>
      <c r="N4137">
        <v>7.9000000000000001E-2</v>
      </c>
    </row>
    <row r="4138" spans="1:14">
      <c r="A4138" t="s">
        <v>261</v>
      </c>
      <c r="B4138" t="str">
        <f>_xlfn.XLOOKUP(A4138,'[1]Tissue Data'!$A:$A,'[1]Tissue Data'!$C:$C)</f>
        <v>Spill</v>
      </c>
      <c r="C4138" s="2">
        <f>_xlfn.XLOOKUP(A4138,'[1]Tissue Data'!$A:$A,'[1]Tissue Data'!$D:$D)</f>
        <v>44393</v>
      </c>
      <c r="D4138" s="2" t="str">
        <f>_xlfn.XLOOKUP(A4138,'[1]Tissue Data'!$A:$A,'[1]Tissue Data'!$F:$F)</f>
        <v>Pumpkinseed</v>
      </c>
      <c r="E4138" t="str">
        <f>_xlfn.XLOOKUP(A4138,'[1]Tissue Data'!$A:$A,'[1]Tissue Data'!$H:$H)</f>
        <v>Lepomis</v>
      </c>
      <c r="F4138" t="str">
        <f>_xlfn.XLOOKUP(A4138,'[1]Tissue Data'!$A:$A,'[1]Tissue Data'!$I:$I)</f>
        <v>gibbosus</v>
      </c>
      <c r="G4138" t="str">
        <f>_xlfn.XLOOKUP(A4138,'[1]Tissue Data'!$A:$A,'[1]Tissue Data'!J:J)</f>
        <v>U</v>
      </c>
      <c r="H4138" t="str">
        <f>_xlfn.XLOOKUP(A4138,'[1]Tissue Data'!$A:$A,'[1]Tissue Data'!K:K)</f>
        <v>Whole Body</v>
      </c>
      <c r="I4138">
        <f>_xlfn.XLOOKUP(A4138,'[1]Tissue Data'!$A:$A,'[1]Tissue Data'!L:L)</f>
        <v>9</v>
      </c>
      <c r="J4138">
        <f>_xlfn.XLOOKUP(A4138,'[1]Tissue Data'!$A:$A,'[1]Tissue Data'!M:M)</f>
        <v>19.45</v>
      </c>
      <c r="K4138" t="s">
        <v>48</v>
      </c>
      <c r="L4138" t="str">
        <f>_xlfn.XLOOKUP(K4138,[2]analyte_order!$B:$B,[2]analyte_order!$C:$C)</f>
        <v>914637-49-3</v>
      </c>
      <c r="M4138">
        <f>_xlfn.XLOOKUP(L4138,[2]analyte_order!$C:$C,[2]analyte_order!$E:$E)</f>
        <v>39</v>
      </c>
      <c r="N4138">
        <v>0.22650000000000001</v>
      </c>
    </row>
    <row r="4139" spans="1:14">
      <c r="A4139" t="s">
        <v>261</v>
      </c>
      <c r="B4139" t="str">
        <f>_xlfn.XLOOKUP(A4139,'[1]Tissue Data'!$A:$A,'[1]Tissue Data'!$C:$C)</f>
        <v>Spill</v>
      </c>
      <c r="C4139" s="2">
        <f>_xlfn.XLOOKUP(A4139,'[1]Tissue Data'!$A:$A,'[1]Tissue Data'!$D:$D)</f>
        <v>44393</v>
      </c>
      <c r="D4139" s="2" t="str">
        <f>_xlfn.XLOOKUP(A4139,'[1]Tissue Data'!$A:$A,'[1]Tissue Data'!$F:$F)</f>
        <v>Pumpkinseed</v>
      </c>
      <c r="E4139" t="str">
        <f>_xlfn.XLOOKUP(A4139,'[1]Tissue Data'!$A:$A,'[1]Tissue Data'!$H:$H)</f>
        <v>Lepomis</v>
      </c>
      <c r="F4139" t="str">
        <f>_xlfn.XLOOKUP(A4139,'[1]Tissue Data'!$A:$A,'[1]Tissue Data'!$I:$I)</f>
        <v>gibbosus</v>
      </c>
      <c r="G4139" t="str">
        <f>_xlfn.XLOOKUP(A4139,'[1]Tissue Data'!$A:$A,'[1]Tissue Data'!J:J)</f>
        <v>U</v>
      </c>
      <c r="H4139" t="str">
        <f>_xlfn.XLOOKUP(A4139,'[1]Tissue Data'!$A:$A,'[1]Tissue Data'!K:K)</f>
        <v>Whole Body</v>
      </c>
      <c r="I4139">
        <f>_xlfn.XLOOKUP(A4139,'[1]Tissue Data'!$A:$A,'[1]Tissue Data'!L:L)</f>
        <v>9</v>
      </c>
      <c r="J4139">
        <f>_xlfn.XLOOKUP(A4139,'[1]Tissue Data'!$A:$A,'[1]Tissue Data'!M:M)</f>
        <v>19.45</v>
      </c>
      <c r="K4139" t="s">
        <v>49</v>
      </c>
      <c r="L4139" t="str">
        <f>_xlfn.XLOOKUP(K4139,[2]analyte_order!$B:$B,[2]analyte_order!$C:$C)</f>
        <v>812-70-4</v>
      </c>
      <c r="M4139">
        <f>_xlfn.XLOOKUP(L4139,[2]analyte_order!$C:$C,[2]analyte_order!$E:$E)</f>
        <v>40</v>
      </c>
      <c r="N4139">
        <v>0.96199999999999997</v>
      </c>
    </row>
    <row r="4140" spans="1:14">
      <c r="A4140" t="s">
        <v>261</v>
      </c>
      <c r="B4140" t="str">
        <f>_xlfn.XLOOKUP(A4140,'[1]Tissue Data'!$A:$A,'[1]Tissue Data'!$C:$C)</f>
        <v>Spill</v>
      </c>
      <c r="C4140" s="2">
        <f>_xlfn.XLOOKUP(A4140,'[1]Tissue Data'!$A:$A,'[1]Tissue Data'!$D:$D)</f>
        <v>44393</v>
      </c>
      <c r="D4140" s="2" t="str">
        <f>_xlfn.XLOOKUP(A4140,'[1]Tissue Data'!$A:$A,'[1]Tissue Data'!$F:$F)</f>
        <v>Pumpkinseed</v>
      </c>
      <c r="E4140" t="str">
        <f>_xlfn.XLOOKUP(A4140,'[1]Tissue Data'!$A:$A,'[1]Tissue Data'!$H:$H)</f>
        <v>Lepomis</v>
      </c>
      <c r="F4140" t="str">
        <f>_xlfn.XLOOKUP(A4140,'[1]Tissue Data'!$A:$A,'[1]Tissue Data'!$I:$I)</f>
        <v>gibbosus</v>
      </c>
      <c r="G4140" t="str">
        <f>_xlfn.XLOOKUP(A4140,'[1]Tissue Data'!$A:$A,'[1]Tissue Data'!J:J)</f>
        <v>U</v>
      </c>
      <c r="H4140" t="str">
        <f>_xlfn.XLOOKUP(A4140,'[1]Tissue Data'!$A:$A,'[1]Tissue Data'!K:K)</f>
        <v>Whole Body</v>
      </c>
      <c r="I4140">
        <f>_xlfn.XLOOKUP(A4140,'[1]Tissue Data'!$A:$A,'[1]Tissue Data'!L:L)</f>
        <v>9</v>
      </c>
      <c r="J4140">
        <f>_xlfn.XLOOKUP(A4140,'[1]Tissue Data'!$A:$A,'[1]Tissue Data'!M:M)</f>
        <v>19.45</v>
      </c>
      <c r="K4140" t="s">
        <v>50</v>
      </c>
      <c r="L4140" t="str">
        <f>_xlfn.XLOOKUP(K4140,[2]analyte_order!$B:$B,[2]analyte_order!$C:$C)</f>
        <v>53826-12-3</v>
      </c>
      <c r="M4140">
        <f>_xlfn.XLOOKUP(L4140,[2]analyte_order!$C:$C,[2]analyte_order!$E:$E)</f>
        <v>41</v>
      </c>
      <c r="N4140">
        <v>6.8500000000000005E-2</v>
      </c>
    </row>
    <row r="4141" spans="1:14">
      <c r="A4141" t="s">
        <v>261</v>
      </c>
      <c r="B4141" t="str">
        <f>_xlfn.XLOOKUP(A4141,'[1]Tissue Data'!$A:$A,'[1]Tissue Data'!$C:$C)</f>
        <v>Spill</v>
      </c>
      <c r="C4141" s="2">
        <f>_xlfn.XLOOKUP(A4141,'[1]Tissue Data'!$A:$A,'[1]Tissue Data'!$D:$D)</f>
        <v>44393</v>
      </c>
      <c r="D4141" s="2" t="str">
        <f>_xlfn.XLOOKUP(A4141,'[1]Tissue Data'!$A:$A,'[1]Tissue Data'!$F:$F)</f>
        <v>Pumpkinseed</v>
      </c>
      <c r="E4141" t="str">
        <f>_xlfn.XLOOKUP(A4141,'[1]Tissue Data'!$A:$A,'[1]Tissue Data'!$H:$H)</f>
        <v>Lepomis</v>
      </c>
      <c r="F4141" t="str">
        <f>_xlfn.XLOOKUP(A4141,'[1]Tissue Data'!$A:$A,'[1]Tissue Data'!$I:$I)</f>
        <v>gibbosus</v>
      </c>
      <c r="G4141" t="str">
        <f>_xlfn.XLOOKUP(A4141,'[1]Tissue Data'!$A:$A,'[1]Tissue Data'!J:J)</f>
        <v>U</v>
      </c>
      <c r="H4141" t="str">
        <f>_xlfn.XLOOKUP(A4141,'[1]Tissue Data'!$A:$A,'[1]Tissue Data'!K:K)</f>
        <v>Whole Body</v>
      </c>
      <c r="I4141">
        <f>_xlfn.XLOOKUP(A4141,'[1]Tissue Data'!$A:$A,'[1]Tissue Data'!L:L)</f>
        <v>9</v>
      </c>
      <c r="J4141">
        <f>_xlfn.XLOOKUP(A4141,'[1]Tissue Data'!$A:$A,'[1]Tissue Data'!M:M)</f>
        <v>19.45</v>
      </c>
      <c r="K4141" t="s">
        <v>51</v>
      </c>
      <c r="L4141" t="str">
        <f>_xlfn.XLOOKUP(K4141,[2]analyte_order!$B:$B,[2]analyte_order!$C:$C)</f>
        <v>27854-31-5</v>
      </c>
      <c r="M4141">
        <f>_xlfn.XLOOKUP(L4141,[2]analyte_order!$C:$C,[2]analyte_order!$E:$E)</f>
        <v>42</v>
      </c>
      <c r="N4141">
        <v>0.22650000000000001</v>
      </c>
    </row>
    <row r="4142" spans="1:14">
      <c r="A4142" t="s">
        <v>261</v>
      </c>
      <c r="B4142" t="str">
        <f>_xlfn.XLOOKUP(A4142,'[1]Tissue Data'!$A:$A,'[1]Tissue Data'!$C:$C)</f>
        <v>Spill</v>
      </c>
      <c r="C4142" s="2">
        <f>_xlfn.XLOOKUP(A4142,'[1]Tissue Data'!$A:$A,'[1]Tissue Data'!$D:$D)</f>
        <v>44393</v>
      </c>
      <c r="D4142" s="2" t="str">
        <f>_xlfn.XLOOKUP(A4142,'[1]Tissue Data'!$A:$A,'[1]Tissue Data'!$F:$F)</f>
        <v>Pumpkinseed</v>
      </c>
      <c r="E4142" t="str">
        <f>_xlfn.XLOOKUP(A4142,'[1]Tissue Data'!$A:$A,'[1]Tissue Data'!$H:$H)</f>
        <v>Lepomis</v>
      </c>
      <c r="F4142" t="str">
        <f>_xlfn.XLOOKUP(A4142,'[1]Tissue Data'!$A:$A,'[1]Tissue Data'!$I:$I)</f>
        <v>gibbosus</v>
      </c>
      <c r="G4142" t="str">
        <f>_xlfn.XLOOKUP(A4142,'[1]Tissue Data'!$A:$A,'[1]Tissue Data'!J:J)</f>
        <v>U</v>
      </c>
      <c r="H4142" t="str">
        <f>_xlfn.XLOOKUP(A4142,'[1]Tissue Data'!$A:$A,'[1]Tissue Data'!K:K)</f>
        <v>Whole Body</v>
      </c>
      <c r="I4142">
        <f>_xlfn.XLOOKUP(A4142,'[1]Tissue Data'!$A:$A,'[1]Tissue Data'!L:L)</f>
        <v>9</v>
      </c>
      <c r="J4142">
        <f>_xlfn.XLOOKUP(A4142,'[1]Tissue Data'!$A:$A,'[1]Tissue Data'!M:M)</f>
        <v>19.45</v>
      </c>
      <c r="K4142" t="s">
        <v>52</v>
      </c>
      <c r="L4142" t="str">
        <f>_xlfn.XLOOKUP(K4142,[2]analyte_order!$B:$B,[2]analyte_order!$C:$C)</f>
        <v>53826-13-4</v>
      </c>
      <c r="M4142">
        <f>_xlfn.XLOOKUP(L4142,[2]analyte_order!$C:$C,[2]analyte_order!$E:$E)</f>
        <v>43</v>
      </c>
      <c r="N4142">
        <v>0.33800000000000002</v>
      </c>
    </row>
    <row r="4143" spans="1:14">
      <c r="A4143" t="s">
        <v>261</v>
      </c>
      <c r="B4143" t="str">
        <f>_xlfn.XLOOKUP(A4143,'[1]Tissue Data'!$A:$A,'[1]Tissue Data'!$C:$C)</f>
        <v>Spill</v>
      </c>
      <c r="C4143" s="2">
        <f>_xlfn.XLOOKUP(A4143,'[1]Tissue Data'!$A:$A,'[1]Tissue Data'!$D:$D)</f>
        <v>44393</v>
      </c>
      <c r="D4143" s="2" t="str">
        <f>_xlfn.XLOOKUP(A4143,'[1]Tissue Data'!$A:$A,'[1]Tissue Data'!$F:$F)</f>
        <v>Pumpkinseed</v>
      </c>
      <c r="E4143" t="str">
        <f>_xlfn.XLOOKUP(A4143,'[1]Tissue Data'!$A:$A,'[1]Tissue Data'!$H:$H)</f>
        <v>Lepomis</v>
      </c>
      <c r="F4143" t="str">
        <f>_xlfn.XLOOKUP(A4143,'[1]Tissue Data'!$A:$A,'[1]Tissue Data'!$I:$I)</f>
        <v>gibbosus</v>
      </c>
      <c r="G4143" t="str">
        <f>_xlfn.XLOOKUP(A4143,'[1]Tissue Data'!$A:$A,'[1]Tissue Data'!J:J)</f>
        <v>U</v>
      </c>
      <c r="H4143" t="str">
        <f>_xlfn.XLOOKUP(A4143,'[1]Tissue Data'!$A:$A,'[1]Tissue Data'!K:K)</f>
        <v>Whole Body</v>
      </c>
      <c r="I4143">
        <f>_xlfn.XLOOKUP(A4143,'[1]Tissue Data'!$A:$A,'[1]Tissue Data'!L:L)</f>
        <v>9</v>
      </c>
      <c r="J4143">
        <f>_xlfn.XLOOKUP(A4143,'[1]Tissue Data'!$A:$A,'[1]Tissue Data'!M:M)</f>
        <v>19.45</v>
      </c>
      <c r="K4143" t="s">
        <v>53</v>
      </c>
      <c r="L4143" t="str">
        <f>_xlfn.XLOOKUP(K4143,[2]analyte_order!$B:$B,[2]analyte_order!$C:$C)</f>
        <v>161094-75-3</v>
      </c>
      <c r="M4143">
        <f>_xlfn.XLOOKUP(L4143,[2]analyte_order!$C:$C,[2]analyte_order!$E:$E)</f>
        <v>44</v>
      </c>
      <c r="N4143">
        <v>5.3999999999999999E-2</v>
      </c>
    </row>
    <row r="4144" spans="1:14">
      <c r="A4144" t="s">
        <v>261</v>
      </c>
      <c r="B4144" t="str">
        <f>_xlfn.XLOOKUP(A4144,'[1]Tissue Data'!$A:$A,'[1]Tissue Data'!$C:$C)</f>
        <v>Spill</v>
      </c>
      <c r="C4144" s="2">
        <f>_xlfn.XLOOKUP(A4144,'[1]Tissue Data'!$A:$A,'[1]Tissue Data'!$D:$D)</f>
        <v>44393</v>
      </c>
      <c r="D4144" s="2" t="str">
        <f>_xlfn.XLOOKUP(A4144,'[1]Tissue Data'!$A:$A,'[1]Tissue Data'!$F:$F)</f>
        <v>Pumpkinseed</v>
      </c>
      <c r="E4144" t="str">
        <f>_xlfn.XLOOKUP(A4144,'[1]Tissue Data'!$A:$A,'[1]Tissue Data'!$H:$H)</f>
        <v>Lepomis</v>
      </c>
      <c r="F4144" t="str">
        <f>_xlfn.XLOOKUP(A4144,'[1]Tissue Data'!$A:$A,'[1]Tissue Data'!$I:$I)</f>
        <v>gibbosus</v>
      </c>
      <c r="G4144" t="str">
        <f>_xlfn.XLOOKUP(A4144,'[1]Tissue Data'!$A:$A,'[1]Tissue Data'!J:J)</f>
        <v>U</v>
      </c>
      <c r="H4144" t="str">
        <f>_xlfn.XLOOKUP(A4144,'[1]Tissue Data'!$A:$A,'[1]Tissue Data'!K:K)</f>
        <v>Whole Body</v>
      </c>
      <c r="I4144">
        <f>_xlfn.XLOOKUP(A4144,'[1]Tissue Data'!$A:$A,'[1]Tissue Data'!L:L)</f>
        <v>9</v>
      </c>
      <c r="J4144">
        <f>_xlfn.XLOOKUP(A4144,'[1]Tissue Data'!$A:$A,'[1]Tissue Data'!M:M)</f>
        <v>19.45</v>
      </c>
      <c r="K4144" t="s">
        <v>54</v>
      </c>
      <c r="L4144" t="str">
        <f>_xlfn.XLOOKUP(K4144,[2]analyte_order!$B:$B,[2]analyte_order!$C:$C)</f>
        <v>70887-84-2</v>
      </c>
      <c r="M4144">
        <f>_xlfn.XLOOKUP(L4144,[2]analyte_order!$C:$C,[2]analyte_order!$E:$E)</f>
        <v>45</v>
      </c>
      <c r="N4144">
        <v>4.1500000000000002E-2</v>
      </c>
    </row>
    <row r="4145" spans="1:14">
      <c r="A4145" t="s">
        <v>261</v>
      </c>
      <c r="B4145" t="str">
        <f>_xlfn.XLOOKUP(A4145,'[1]Tissue Data'!$A:$A,'[1]Tissue Data'!$C:$C)</f>
        <v>Spill</v>
      </c>
      <c r="C4145" s="2">
        <f>_xlfn.XLOOKUP(A4145,'[1]Tissue Data'!$A:$A,'[1]Tissue Data'!$D:$D)</f>
        <v>44393</v>
      </c>
      <c r="D4145" s="2" t="str">
        <f>_xlfn.XLOOKUP(A4145,'[1]Tissue Data'!$A:$A,'[1]Tissue Data'!$F:$F)</f>
        <v>Pumpkinseed</v>
      </c>
      <c r="E4145" t="str">
        <f>_xlfn.XLOOKUP(A4145,'[1]Tissue Data'!$A:$A,'[1]Tissue Data'!$H:$H)</f>
        <v>Lepomis</v>
      </c>
      <c r="F4145" t="str">
        <f>_xlfn.XLOOKUP(A4145,'[1]Tissue Data'!$A:$A,'[1]Tissue Data'!$I:$I)</f>
        <v>gibbosus</v>
      </c>
      <c r="G4145" t="str">
        <f>_xlfn.XLOOKUP(A4145,'[1]Tissue Data'!$A:$A,'[1]Tissue Data'!J:J)</f>
        <v>U</v>
      </c>
      <c r="H4145" t="str">
        <f>_xlfn.XLOOKUP(A4145,'[1]Tissue Data'!$A:$A,'[1]Tissue Data'!K:K)</f>
        <v>Whole Body</v>
      </c>
      <c r="I4145">
        <f>_xlfn.XLOOKUP(A4145,'[1]Tissue Data'!$A:$A,'[1]Tissue Data'!L:L)</f>
        <v>9</v>
      </c>
      <c r="J4145">
        <f>_xlfn.XLOOKUP(A4145,'[1]Tissue Data'!$A:$A,'[1]Tissue Data'!M:M)</f>
        <v>19.45</v>
      </c>
      <c r="K4145" t="s">
        <v>55</v>
      </c>
      <c r="L4145" t="str">
        <f>_xlfn.XLOOKUP(K4145,[2]analyte_order!$B:$B,[2]analyte_order!$C:$C)</f>
        <v>919005-14-4</v>
      </c>
      <c r="M4145">
        <f>_xlfn.XLOOKUP(L4145,[2]analyte_order!$C:$C,[2]analyte_order!$E:$E)</f>
        <v>35</v>
      </c>
      <c r="N4145">
        <v>6.8500000000000005E-2</v>
      </c>
    </row>
    <row r="4146" spans="1:14">
      <c r="A4146" t="s">
        <v>261</v>
      </c>
      <c r="B4146" t="str">
        <f>_xlfn.XLOOKUP(A4146,'[1]Tissue Data'!$A:$A,'[1]Tissue Data'!$C:$C)</f>
        <v>Spill</v>
      </c>
      <c r="C4146" s="2">
        <f>_xlfn.XLOOKUP(A4146,'[1]Tissue Data'!$A:$A,'[1]Tissue Data'!$D:$D)</f>
        <v>44393</v>
      </c>
      <c r="D4146" s="2" t="str">
        <f>_xlfn.XLOOKUP(A4146,'[1]Tissue Data'!$A:$A,'[1]Tissue Data'!$F:$F)</f>
        <v>Pumpkinseed</v>
      </c>
      <c r="E4146" t="str">
        <f>_xlfn.XLOOKUP(A4146,'[1]Tissue Data'!$A:$A,'[1]Tissue Data'!$H:$H)</f>
        <v>Lepomis</v>
      </c>
      <c r="F4146" t="str">
        <f>_xlfn.XLOOKUP(A4146,'[1]Tissue Data'!$A:$A,'[1]Tissue Data'!$I:$I)</f>
        <v>gibbosus</v>
      </c>
      <c r="G4146" t="str">
        <f>_xlfn.XLOOKUP(A4146,'[1]Tissue Data'!$A:$A,'[1]Tissue Data'!J:J)</f>
        <v>U</v>
      </c>
      <c r="H4146" t="str">
        <f>_xlfn.XLOOKUP(A4146,'[1]Tissue Data'!$A:$A,'[1]Tissue Data'!K:K)</f>
        <v>Whole Body</v>
      </c>
      <c r="I4146">
        <f>_xlfn.XLOOKUP(A4146,'[1]Tissue Data'!$A:$A,'[1]Tissue Data'!L:L)</f>
        <v>9</v>
      </c>
      <c r="J4146">
        <f>_xlfn.XLOOKUP(A4146,'[1]Tissue Data'!$A:$A,'[1]Tissue Data'!M:M)</f>
        <v>19.45</v>
      </c>
      <c r="K4146" t="s">
        <v>56</v>
      </c>
      <c r="L4146" t="str">
        <f>_xlfn.XLOOKUP(K4146,[2]analyte_order!$B:$B,[2]analyte_order!$C:$C)</f>
        <v>756426-58-1</v>
      </c>
      <c r="M4146">
        <f>_xlfn.XLOOKUP(L4146,[2]analyte_order!$C:$C,[2]analyte_order!$E:$E)</f>
        <v>36</v>
      </c>
      <c r="N4146">
        <v>6.8500000000000005E-2</v>
      </c>
    </row>
    <row r="4147" spans="1:14">
      <c r="A4147" t="s">
        <v>261</v>
      </c>
      <c r="B4147" t="str">
        <f>_xlfn.XLOOKUP(A4147,'[1]Tissue Data'!$A:$A,'[1]Tissue Data'!$C:$C)</f>
        <v>Spill</v>
      </c>
      <c r="C4147" s="2">
        <f>_xlfn.XLOOKUP(A4147,'[1]Tissue Data'!$A:$A,'[1]Tissue Data'!$D:$D)</f>
        <v>44393</v>
      </c>
      <c r="D4147" s="2" t="str">
        <f>_xlfn.XLOOKUP(A4147,'[1]Tissue Data'!$A:$A,'[1]Tissue Data'!$F:$F)</f>
        <v>Pumpkinseed</v>
      </c>
      <c r="E4147" t="str">
        <f>_xlfn.XLOOKUP(A4147,'[1]Tissue Data'!$A:$A,'[1]Tissue Data'!$H:$H)</f>
        <v>Lepomis</v>
      </c>
      <c r="F4147" t="str">
        <f>_xlfn.XLOOKUP(A4147,'[1]Tissue Data'!$A:$A,'[1]Tissue Data'!$I:$I)</f>
        <v>gibbosus</v>
      </c>
      <c r="G4147" t="str">
        <f>_xlfn.XLOOKUP(A4147,'[1]Tissue Data'!$A:$A,'[1]Tissue Data'!J:J)</f>
        <v>U</v>
      </c>
      <c r="H4147" t="str">
        <f>_xlfn.XLOOKUP(A4147,'[1]Tissue Data'!$A:$A,'[1]Tissue Data'!K:K)</f>
        <v>Whole Body</v>
      </c>
      <c r="I4147">
        <f>_xlfn.XLOOKUP(A4147,'[1]Tissue Data'!$A:$A,'[1]Tissue Data'!L:L)</f>
        <v>9</v>
      </c>
      <c r="J4147">
        <f>_xlfn.XLOOKUP(A4147,'[1]Tissue Data'!$A:$A,'[1]Tissue Data'!M:M)</f>
        <v>19.45</v>
      </c>
      <c r="K4147" t="s">
        <v>57</v>
      </c>
      <c r="L4147" t="str">
        <f>_xlfn.XLOOKUP(K4147,[2]analyte_order!$B:$B,[2]analyte_order!$C:$C)</f>
        <v>763051-92-9</v>
      </c>
      <c r="M4147">
        <f>_xlfn.XLOOKUP(L4147,[2]analyte_order!$C:$C,[2]analyte_order!$E:$E)</f>
        <v>37</v>
      </c>
      <c r="N4147">
        <v>6.8500000000000005E-2</v>
      </c>
    </row>
    <row r="4148" spans="1:14">
      <c r="A4148" t="s">
        <v>261</v>
      </c>
      <c r="B4148" t="str">
        <f>_xlfn.XLOOKUP(A4148,'[1]Tissue Data'!$A:$A,'[1]Tissue Data'!$C:$C)</f>
        <v>Spill</v>
      </c>
      <c r="C4148" s="2">
        <f>_xlfn.XLOOKUP(A4148,'[1]Tissue Data'!$A:$A,'[1]Tissue Data'!$D:$D)</f>
        <v>44393</v>
      </c>
      <c r="D4148" s="2" t="str">
        <f>_xlfn.XLOOKUP(A4148,'[1]Tissue Data'!$A:$A,'[1]Tissue Data'!$F:$F)</f>
        <v>Pumpkinseed</v>
      </c>
      <c r="E4148" t="str">
        <f>_xlfn.XLOOKUP(A4148,'[1]Tissue Data'!$A:$A,'[1]Tissue Data'!$H:$H)</f>
        <v>Lepomis</v>
      </c>
      <c r="F4148" t="str">
        <f>_xlfn.XLOOKUP(A4148,'[1]Tissue Data'!$A:$A,'[1]Tissue Data'!$I:$I)</f>
        <v>gibbosus</v>
      </c>
      <c r="G4148" t="str">
        <f>_xlfn.XLOOKUP(A4148,'[1]Tissue Data'!$A:$A,'[1]Tissue Data'!J:J)</f>
        <v>U</v>
      </c>
      <c r="H4148" t="str">
        <f>_xlfn.XLOOKUP(A4148,'[1]Tissue Data'!$A:$A,'[1]Tissue Data'!K:K)</f>
        <v>Whole Body</v>
      </c>
      <c r="I4148">
        <f>_xlfn.XLOOKUP(A4148,'[1]Tissue Data'!$A:$A,'[1]Tissue Data'!L:L)</f>
        <v>9</v>
      </c>
      <c r="J4148">
        <f>_xlfn.XLOOKUP(A4148,'[1]Tissue Data'!$A:$A,'[1]Tissue Data'!M:M)</f>
        <v>19.45</v>
      </c>
      <c r="K4148" t="s">
        <v>58</v>
      </c>
      <c r="L4148" t="str">
        <f>_xlfn.XLOOKUP(K4148,[2]analyte_order!$B:$B,[2]analyte_order!$C:$C)</f>
        <v>13252-13-6</v>
      </c>
      <c r="M4148">
        <f>_xlfn.XLOOKUP(L4148,[2]analyte_order!$C:$C,[2]analyte_order!$E:$E)</f>
        <v>34</v>
      </c>
      <c r="N4148">
        <v>9.8500000000000004E-2</v>
      </c>
    </row>
    <row r="4149" spans="1:14">
      <c r="A4149" t="s">
        <v>261</v>
      </c>
      <c r="B4149" t="str">
        <f>_xlfn.XLOOKUP(A4149,'[1]Tissue Data'!$A:$A,'[1]Tissue Data'!$C:$C)</f>
        <v>Spill</v>
      </c>
      <c r="C4149" s="2">
        <f>_xlfn.XLOOKUP(A4149,'[1]Tissue Data'!$A:$A,'[1]Tissue Data'!$D:$D)</f>
        <v>44393</v>
      </c>
      <c r="D4149" s="2" t="str">
        <f>_xlfn.XLOOKUP(A4149,'[1]Tissue Data'!$A:$A,'[1]Tissue Data'!$F:$F)</f>
        <v>Pumpkinseed</v>
      </c>
      <c r="E4149" t="str">
        <f>_xlfn.XLOOKUP(A4149,'[1]Tissue Data'!$A:$A,'[1]Tissue Data'!$H:$H)</f>
        <v>Lepomis</v>
      </c>
      <c r="F4149" t="str">
        <f>_xlfn.XLOOKUP(A4149,'[1]Tissue Data'!$A:$A,'[1]Tissue Data'!$I:$I)</f>
        <v>gibbosus</v>
      </c>
      <c r="G4149" t="str">
        <f>_xlfn.XLOOKUP(A4149,'[1]Tissue Data'!$A:$A,'[1]Tissue Data'!J:J)</f>
        <v>U</v>
      </c>
      <c r="H4149" t="str">
        <f>_xlfn.XLOOKUP(A4149,'[1]Tissue Data'!$A:$A,'[1]Tissue Data'!K:K)</f>
        <v>Whole Body</v>
      </c>
      <c r="I4149">
        <f>_xlfn.XLOOKUP(A4149,'[1]Tissue Data'!$A:$A,'[1]Tissue Data'!L:L)</f>
        <v>9</v>
      </c>
      <c r="J4149">
        <f>_xlfn.XLOOKUP(A4149,'[1]Tissue Data'!$A:$A,'[1]Tissue Data'!M:M)</f>
        <v>19.45</v>
      </c>
      <c r="K4149" t="s">
        <v>59</v>
      </c>
      <c r="L4149" t="str">
        <f>_xlfn.XLOOKUP(K4149,[2]analyte_order!$B:$B,[2]analyte_order!$C:$C)</f>
        <v>57677-95-9</v>
      </c>
      <c r="M4149">
        <f>_xlfn.XLOOKUP(L4149,[2]analyte_order!$C:$C,[2]analyte_order!$E:$E)</f>
        <v>46</v>
      </c>
      <c r="N4149">
        <v>1.35</v>
      </c>
    </row>
    <row r="4150" spans="1:14">
      <c r="A4150" t="s">
        <v>261</v>
      </c>
      <c r="B4150" t="str">
        <f>_xlfn.XLOOKUP(A4150,'[1]Tissue Data'!$A:$A,'[1]Tissue Data'!$C:$C)</f>
        <v>Spill</v>
      </c>
      <c r="C4150" s="2">
        <f>_xlfn.XLOOKUP(A4150,'[1]Tissue Data'!$A:$A,'[1]Tissue Data'!$D:$D)</f>
        <v>44393</v>
      </c>
      <c r="D4150" s="2" t="str">
        <f>_xlfn.XLOOKUP(A4150,'[1]Tissue Data'!$A:$A,'[1]Tissue Data'!$F:$F)</f>
        <v>Pumpkinseed</v>
      </c>
      <c r="E4150" t="str">
        <f>_xlfn.XLOOKUP(A4150,'[1]Tissue Data'!$A:$A,'[1]Tissue Data'!$H:$H)</f>
        <v>Lepomis</v>
      </c>
      <c r="F4150" t="str">
        <f>_xlfn.XLOOKUP(A4150,'[1]Tissue Data'!$A:$A,'[1]Tissue Data'!$I:$I)</f>
        <v>gibbosus</v>
      </c>
      <c r="G4150" t="str">
        <f>_xlfn.XLOOKUP(A4150,'[1]Tissue Data'!$A:$A,'[1]Tissue Data'!J:J)</f>
        <v>U</v>
      </c>
      <c r="H4150" t="str">
        <f>_xlfn.XLOOKUP(A4150,'[1]Tissue Data'!$A:$A,'[1]Tissue Data'!K:K)</f>
        <v>Whole Body</v>
      </c>
      <c r="I4150">
        <f>_xlfn.XLOOKUP(A4150,'[1]Tissue Data'!$A:$A,'[1]Tissue Data'!L:L)</f>
        <v>9</v>
      </c>
      <c r="J4150">
        <f>_xlfn.XLOOKUP(A4150,'[1]Tissue Data'!$A:$A,'[1]Tissue Data'!M:M)</f>
        <v>19.45</v>
      </c>
      <c r="K4150" t="s">
        <v>60</v>
      </c>
      <c r="L4150" t="str">
        <f>_xlfn.XLOOKUP(K4150,[2]analyte_order!$B:$B,[2]analyte_order!$C:$C)</f>
        <v>678-41-1</v>
      </c>
      <c r="M4150">
        <f>_xlfn.XLOOKUP(L4150,[2]analyte_order!$C:$C,[2]analyte_order!$E:$E)</f>
        <v>56</v>
      </c>
      <c r="N4150">
        <v>9.0999999999999998E-2</v>
      </c>
    </row>
    <row r="4151" spans="1:14">
      <c r="A4151" t="s">
        <v>261</v>
      </c>
      <c r="B4151" t="str">
        <f>_xlfn.XLOOKUP(A4151,'[1]Tissue Data'!$A:$A,'[1]Tissue Data'!$C:$C)</f>
        <v>Spill</v>
      </c>
      <c r="C4151" s="2">
        <f>_xlfn.XLOOKUP(A4151,'[1]Tissue Data'!$A:$A,'[1]Tissue Data'!$D:$D)</f>
        <v>44393</v>
      </c>
      <c r="D4151" s="2" t="str">
        <f>_xlfn.XLOOKUP(A4151,'[1]Tissue Data'!$A:$A,'[1]Tissue Data'!$F:$F)</f>
        <v>Pumpkinseed</v>
      </c>
      <c r="E4151" t="str">
        <f>_xlfn.XLOOKUP(A4151,'[1]Tissue Data'!$A:$A,'[1]Tissue Data'!$H:$H)</f>
        <v>Lepomis</v>
      </c>
      <c r="F4151" t="str">
        <f>_xlfn.XLOOKUP(A4151,'[1]Tissue Data'!$A:$A,'[1]Tissue Data'!$I:$I)</f>
        <v>gibbosus</v>
      </c>
      <c r="G4151" t="str">
        <f>_xlfn.XLOOKUP(A4151,'[1]Tissue Data'!$A:$A,'[1]Tissue Data'!J:J)</f>
        <v>U</v>
      </c>
      <c r="H4151" t="str">
        <f>_xlfn.XLOOKUP(A4151,'[1]Tissue Data'!$A:$A,'[1]Tissue Data'!K:K)</f>
        <v>Whole Body</v>
      </c>
      <c r="I4151">
        <f>_xlfn.XLOOKUP(A4151,'[1]Tissue Data'!$A:$A,'[1]Tissue Data'!L:L)</f>
        <v>9</v>
      </c>
      <c r="J4151">
        <f>_xlfn.XLOOKUP(A4151,'[1]Tissue Data'!$A:$A,'[1]Tissue Data'!M:M)</f>
        <v>19.45</v>
      </c>
      <c r="K4151" t="s">
        <v>61</v>
      </c>
      <c r="L4151" t="str">
        <f>_xlfn.XLOOKUP(K4151,[2]analyte_order!$B:$B,[2]analyte_order!$C:$C)</f>
        <v>2965-52-8</v>
      </c>
      <c r="M4151">
        <f>_xlfn.XLOOKUP(L4151,[2]analyte_order!$C:$C,[2]analyte_order!$E:$E)</f>
        <v>57</v>
      </c>
      <c r="N4151">
        <v>0.121</v>
      </c>
    </row>
    <row r="4152" spans="1:14">
      <c r="A4152" t="s">
        <v>262</v>
      </c>
      <c r="B4152" t="str">
        <f>_xlfn.XLOOKUP(A4152,'[1]Tissue Data'!$A:$A,'[1]Tissue Data'!$C:$C)</f>
        <v>Spill</v>
      </c>
      <c r="C4152" s="2">
        <f>_xlfn.XLOOKUP(A4152,'[1]Tissue Data'!$A:$A,'[1]Tissue Data'!$D:$D)</f>
        <v>44393</v>
      </c>
      <c r="D4152" s="2" t="str">
        <f>_xlfn.XLOOKUP(A4152,'[1]Tissue Data'!$A:$A,'[1]Tissue Data'!$F:$F)</f>
        <v>Pumpkinseed</v>
      </c>
      <c r="E4152" t="str">
        <f>_xlfn.XLOOKUP(A4152,'[1]Tissue Data'!$A:$A,'[1]Tissue Data'!$H:$H)</f>
        <v>Lepomis</v>
      </c>
      <c r="F4152" t="str">
        <f>_xlfn.XLOOKUP(A4152,'[1]Tissue Data'!$A:$A,'[1]Tissue Data'!$I:$I)</f>
        <v>gibbosus</v>
      </c>
      <c r="G4152" t="str">
        <f>_xlfn.XLOOKUP(A4152,'[1]Tissue Data'!$A:$A,'[1]Tissue Data'!J:J)</f>
        <v>U</v>
      </c>
      <c r="H4152" t="str">
        <f>_xlfn.XLOOKUP(A4152,'[1]Tissue Data'!$A:$A,'[1]Tissue Data'!K:K)</f>
        <v>Whole Body</v>
      </c>
      <c r="I4152">
        <f>_xlfn.XLOOKUP(A4152,'[1]Tissue Data'!$A:$A,'[1]Tissue Data'!L:L)</f>
        <v>5</v>
      </c>
      <c r="J4152">
        <f>_xlfn.XLOOKUP(A4152,'[1]Tissue Data'!$A:$A,'[1]Tissue Data'!M:M)</f>
        <v>6.29</v>
      </c>
      <c r="K4152" t="s">
        <v>12</v>
      </c>
      <c r="L4152" t="str">
        <f>_xlfn.XLOOKUP(K4152,[2]analyte_order!$B:$B,[2]analyte_order!$C:$C)</f>
        <v>375-22-4</v>
      </c>
      <c r="M4152">
        <f>_xlfn.XLOOKUP(L4152,[2]analyte_order!$C:$C,[2]analyte_order!$E:$E)</f>
        <v>1</v>
      </c>
      <c r="N4152">
        <v>0.216</v>
      </c>
    </row>
    <row r="4153" spans="1:14">
      <c r="A4153" t="s">
        <v>262</v>
      </c>
      <c r="B4153" t="str">
        <f>_xlfn.XLOOKUP(A4153,'[1]Tissue Data'!$A:$A,'[1]Tissue Data'!$C:$C)</f>
        <v>Spill</v>
      </c>
      <c r="C4153" s="2">
        <f>_xlfn.XLOOKUP(A4153,'[1]Tissue Data'!$A:$A,'[1]Tissue Data'!$D:$D)</f>
        <v>44393</v>
      </c>
      <c r="D4153" s="2" t="str">
        <f>_xlfn.XLOOKUP(A4153,'[1]Tissue Data'!$A:$A,'[1]Tissue Data'!$F:$F)</f>
        <v>Pumpkinseed</v>
      </c>
      <c r="E4153" t="str">
        <f>_xlfn.XLOOKUP(A4153,'[1]Tissue Data'!$A:$A,'[1]Tissue Data'!$H:$H)</f>
        <v>Lepomis</v>
      </c>
      <c r="F4153" t="str">
        <f>_xlfn.XLOOKUP(A4153,'[1]Tissue Data'!$A:$A,'[1]Tissue Data'!$I:$I)</f>
        <v>gibbosus</v>
      </c>
      <c r="G4153" t="str">
        <f>_xlfn.XLOOKUP(A4153,'[1]Tissue Data'!$A:$A,'[1]Tissue Data'!J:J)</f>
        <v>U</v>
      </c>
      <c r="H4153" t="str">
        <f>_xlfn.XLOOKUP(A4153,'[1]Tissue Data'!$A:$A,'[1]Tissue Data'!K:K)</f>
        <v>Whole Body</v>
      </c>
      <c r="I4153">
        <f>_xlfn.XLOOKUP(A4153,'[1]Tissue Data'!$A:$A,'[1]Tissue Data'!L:L)</f>
        <v>5</v>
      </c>
      <c r="J4153">
        <f>_xlfn.XLOOKUP(A4153,'[1]Tissue Data'!$A:$A,'[1]Tissue Data'!M:M)</f>
        <v>6.29</v>
      </c>
      <c r="K4153" t="s">
        <v>13</v>
      </c>
      <c r="L4153" t="str">
        <f>_xlfn.XLOOKUP(K4153,[2]analyte_order!$B:$B,[2]analyte_order!$C:$C)</f>
        <v>2706-90-3</v>
      </c>
      <c r="M4153">
        <f>_xlfn.XLOOKUP(L4153,[2]analyte_order!$C:$C,[2]analyte_order!$E:$E)</f>
        <v>2</v>
      </c>
      <c r="N4153">
        <v>4.6199999999999998E-2</v>
      </c>
    </row>
    <row r="4154" spans="1:14">
      <c r="A4154" t="s">
        <v>262</v>
      </c>
      <c r="B4154" t="str">
        <f>_xlfn.XLOOKUP(A4154,'[1]Tissue Data'!$A:$A,'[1]Tissue Data'!$C:$C)</f>
        <v>Spill</v>
      </c>
      <c r="C4154" s="2">
        <f>_xlfn.XLOOKUP(A4154,'[1]Tissue Data'!$A:$A,'[1]Tissue Data'!$D:$D)</f>
        <v>44393</v>
      </c>
      <c r="D4154" s="2" t="str">
        <f>_xlfn.XLOOKUP(A4154,'[1]Tissue Data'!$A:$A,'[1]Tissue Data'!$F:$F)</f>
        <v>Pumpkinseed</v>
      </c>
      <c r="E4154" t="str">
        <f>_xlfn.XLOOKUP(A4154,'[1]Tissue Data'!$A:$A,'[1]Tissue Data'!$H:$H)</f>
        <v>Lepomis</v>
      </c>
      <c r="F4154" t="str">
        <f>_xlfn.XLOOKUP(A4154,'[1]Tissue Data'!$A:$A,'[1]Tissue Data'!$I:$I)</f>
        <v>gibbosus</v>
      </c>
      <c r="G4154" t="str">
        <f>_xlfn.XLOOKUP(A4154,'[1]Tissue Data'!$A:$A,'[1]Tissue Data'!J:J)</f>
        <v>U</v>
      </c>
      <c r="H4154" t="str">
        <f>_xlfn.XLOOKUP(A4154,'[1]Tissue Data'!$A:$A,'[1]Tissue Data'!K:K)</f>
        <v>Whole Body</v>
      </c>
      <c r="I4154">
        <f>_xlfn.XLOOKUP(A4154,'[1]Tissue Data'!$A:$A,'[1]Tissue Data'!L:L)</f>
        <v>5</v>
      </c>
      <c r="J4154">
        <f>_xlfn.XLOOKUP(A4154,'[1]Tissue Data'!$A:$A,'[1]Tissue Data'!M:M)</f>
        <v>6.29</v>
      </c>
      <c r="K4154" t="s">
        <v>14</v>
      </c>
      <c r="L4154" t="str">
        <f>_xlfn.XLOOKUP(K4154,[2]analyte_order!$B:$B,[2]analyte_order!$C:$C)</f>
        <v>307-24-4</v>
      </c>
      <c r="M4154">
        <f>_xlfn.XLOOKUP(L4154,[2]analyte_order!$C:$C,[2]analyte_order!$E:$E)</f>
        <v>3</v>
      </c>
      <c r="N4154">
        <v>0.11650000000000001</v>
      </c>
    </row>
    <row r="4155" spans="1:14">
      <c r="A4155" t="s">
        <v>262</v>
      </c>
      <c r="B4155" t="str">
        <f>_xlfn.XLOOKUP(A4155,'[1]Tissue Data'!$A:$A,'[1]Tissue Data'!$C:$C)</f>
        <v>Spill</v>
      </c>
      <c r="C4155" s="2">
        <f>_xlfn.XLOOKUP(A4155,'[1]Tissue Data'!$A:$A,'[1]Tissue Data'!$D:$D)</f>
        <v>44393</v>
      </c>
      <c r="D4155" s="2" t="str">
        <f>_xlfn.XLOOKUP(A4155,'[1]Tissue Data'!$A:$A,'[1]Tissue Data'!$F:$F)</f>
        <v>Pumpkinseed</v>
      </c>
      <c r="E4155" t="str">
        <f>_xlfn.XLOOKUP(A4155,'[1]Tissue Data'!$A:$A,'[1]Tissue Data'!$H:$H)</f>
        <v>Lepomis</v>
      </c>
      <c r="F4155" t="str">
        <f>_xlfn.XLOOKUP(A4155,'[1]Tissue Data'!$A:$A,'[1]Tissue Data'!$I:$I)</f>
        <v>gibbosus</v>
      </c>
      <c r="G4155" t="str">
        <f>_xlfn.XLOOKUP(A4155,'[1]Tissue Data'!$A:$A,'[1]Tissue Data'!J:J)</f>
        <v>U</v>
      </c>
      <c r="H4155" t="str">
        <f>_xlfn.XLOOKUP(A4155,'[1]Tissue Data'!$A:$A,'[1]Tissue Data'!K:K)</f>
        <v>Whole Body</v>
      </c>
      <c r="I4155">
        <f>_xlfn.XLOOKUP(A4155,'[1]Tissue Data'!$A:$A,'[1]Tissue Data'!L:L)</f>
        <v>5</v>
      </c>
      <c r="J4155">
        <f>_xlfn.XLOOKUP(A4155,'[1]Tissue Data'!$A:$A,'[1]Tissue Data'!M:M)</f>
        <v>6.29</v>
      </c>
      <c r="K4155" t="s">
        <v>15</v>
      </c>
      <c r="L4155" t="str">
        <f>_xlfn.XLOOKUP(K4155,[2]analyte_order!$B:$B,[2]analyte_order!$C:$C)</f>
        <v>375-85-9</v>
      </c>
      <c r="M4155">
        <f>_xlfn.XLOOKUP(L4155,[2]analyte_order!$C:$C,[2]analyte_order!$E:$E)</f>
        <v>4</v>
      </c>
      <c r="N4155">
        <v>8.6499999999999994E-2</v>
      </c>
    </row>
    <row r="4156" spans="1:14">
      <c r="A4156" t="s">
        <v>262</v>
      </c>
      <c r="B4156" t="str">
        <f>_xlfn.XLOOKUP(A4156,'[1]Tissue Data'!$A:$A,'[1]Tissue Data'!$C:$C)</f>
        <v>Spill</v>
      </c>
      <c r="C4156" s="2">
        <f>_xlfn.XLOOKUP(A4156,'[1]Tissue Data'!$A:$A,'[1]Tissue Data'!$D:$D)</f>
        <v>44393</v>
      </c>
      <c r="D4156" s="2" t="str">
        <f>_xlfn.XLOOKUP(A4156,'[1]Tissue Data'!$A:$A,'[1]Tissue Data'!$F:$F)</f>
        <v>Pumpkinseed</v>
      </c>
      <c r="E4156" t="str">
        <f>_xlfn.XLOOKUP(A4156,'[1]Tissue Data'!$A:$A,'[1]Tissue Data'!$H:$H)</f>
        <v>Lepomis</v>
      </c>
      <c r="F4156" t="str">
        <f>_xlfn.XLOOKUP(A4156,'[1]Tissue Data'!$A:$A,'[1]Tissue Data'!$I:$I)</f>
        <v>gibbosus</v>
      </c>
      <c r="G4156" t="str">
        <f>_xlfn.XLOOKUP(A4156,'[1]Tissue Data'!$A:$A,'[1]Tissue Data'!J:J)</f>
        <v>U</v>
      </c>
      <c r="H4156" t="str">
        <f>_xlfn.XLOOKUP(A4156,'[1]Tissue Data'!$A:$A,'[1]Tissue Data'!K:K)</f>
        <v>Whole Body</v>
      </c>
      <c r="I4156">
        <f>_xlfn.XLOOKUP(A4156,'[1]Tissue Data'!$A:$A,'[1]Tissue Data'!L:L)</f>
        <v>5</v>
      </c>
      <c r="J4156">
        <f>_xlfn.XLOOKUP(A4156,'[1]Tissue Data'!$A:$A,'[1]Tissue Data'!M:M)</f>
        <v>6.29</v>
      </c>
      <c r="K4156" t="s">
        <v>16</v>
      </c>
      <c r="L4156" t="str">
        <f>_xlfn.XLOOKUP(K4156,[2]analyte_order!$B:$B,[2]analyte_order!$C:$C)</f>
        <v>335-67-1</v>
      </c>
      <c r="M4156">
        <f>_xlfn.XLOOKUP(L4156,[2]analyte_order!$C:$C,[2]analyte_order!$E:$E)</f>
        <v>5</v>
      </c>
      <c r="N4156">
        <v>0.49</v>
      </c>
    </row>
    <row r="4157" spans="1:14">
      <c r="A4157" t="s">
        <v>262</v>
      </c>
      <c r="B4157" t="str">
        <f>_xlfn.XLOOKUP(A4157,'[1]Tissue Data'!$A:$A,'[1]Tissue Data'!$C:$C)</f>
        <v>Spill</v>
      </c>
      <c r="C4157" s="2">
        <f>_xlfn.XLOOKUP(A4157,'[1]Tissue Data'!$A:$A,'[1]Tissue Data'!$D:$D)</f>
        <v>44393</v>
      </c>
      <c r="D4157" s="2" t="str">
        <f>_xlfn.XLOOKUP(A4157,'[1]Tissue Data'!$A:$A,'[1]Tissue Data'!$F:$F)</f>
        <v>Pumpkinseed</v>
      </c>
      <c r="E4157" t="str">
        <f>_xlfn.XLOOKUP(A4157,'[1]Tissue Data'!$A:$A,'[1]Tissue Data'!$H:$H)</f>
        <v>Lepomis</v>
      </c>
      <c r="F4157" t="str">
        <f>_xlfn.XLOOKUP(A4157,'[1]Tissue Data'!$A:$A,'[1]Tissue Data'!$I:$I)</f>
        <v>gibbosus</v>
      </c>
      <c r="G4157" t="str">
        <f>_xlfn.XLOOKUP(A4157,'[1]Tissue Data'!$A:$A,'[1]Tissue Data'!J:J)</f>
        <v>U</v>
      </c>
      <c r="H4157" t="str">
        <f>_xlfn.XLOOKUP(A4157,'[1]Tissue Data'!$A:$A,'[1]Tissue Data'!K:K)</f>
        <v>Whole Body</v>
      </c>
      <c r="I4157">
        <f>_xlfn.XLOOKUP(A4157,'[1]Tissue Data'!$A:$A,'[1]Tissue Data'!L:L)</f>
        <v>5</v>
      </c>
      <c r="J4157">
        <f>_xlfn.XLOOKUP(A4157,'[1]Tissue Data'!$A:$A,'[1]Tissue Data'!M:M)</f>
        <v>6.29</v>
      </c>
      <c r="K4157" t="s">
        <v>17</v>
      </c>
      <c r="L4157" t="str">
        <f>_xlfn.XLOOKUP(K4157,[2]analyte_order!$B:$B,[2]analyte_order!$C:$C)</f>
        <v>375-95-1</v>
      </c>
      <c r="M4157">
        <f>_xlfn.XLOOKUP(L4157,[2]analyte_order!$C:$C,[2]analyte_order!$E:$E)</f>
        <v>6</v>
      </c>
      <c r="N4157">
        <v>0.14949999999999999</v>
      </c>
    </row>
    <row r="4158" spans="1:14">
      <c r="A4158" t="s">
        <v>262</v>
      </c>
      <c r="B4158" t="str">
        <f>_xlfn.XLOOKUP(A4158,'[1]Tissue Data'!$A:$A,'[1]Tissue Data'!$C:$C)</f>
        <v>Spill</v>
      </c>
      <c r="C4158" s="2">
        <f>_xlfn.XLOOKUP(A4158,'[1]Tissue Data'!$A:$A,'[1]Tissue Data'!$D:$D)</f>
        <v>44393</v>
      </c>
      <c r="D4158" s="2" t="str">
        <f>_xlfn.XLOOKUP(A4158,'[1]Tissue Data'!$A:$A,'[1]Tissue Data'!$F:$F)</f>
        <v>Pumpkinseed</v>
      </c>
      <c r="E4158" t="str">
        <f>_xlfn.XLOOKUP(A4158,'[1]Tissue Data'!$A:$A,'[1]Tissue Data'!$H:$H)</f>
        <v>Lepomis</v>
      </c>
      <c r="F4158" t="str">
        <f>_xlfn.XLOOKUP(A4158,'[1]Tissue Data'!$A:$A,'[1]Tissue Data'!$I:$I)</f>
        <v>gibbosus</v>
      </c>
      <c r="G4158" t="str">
        <f>_xlfn.XLOOKUP(A4158,'[1]Tissue Data'!$A:$A,'[1]Tissue Data'!J:J)</f>
        <v>U</v>
      </c>
      <c r="H4158" t="str">
        <f>_xlfn.XLOOKUP(A4158,'[1]Tissue Data'!$A:$A,'[1]Tissue Data'!K:K)</f>
        <v>Whole Body</v>
      </c>
      <c r="I4158">
        <f>_xlfn.XLOOKUP(A4158,'[1]Tissue Data'!$A:$A,'[1]Tissue Data'!L:L)</f>
        <v>5</v>
      </c>
      <c r="J4158">
        <f>_xlfn.XLOOKUP(A4158,'[1]Tissue Data'!$A:$A,'[1]Tissue Data'!M:M)</f>
        <v>6.29</v>
      </c>
      <c r="K4158" t="s">
        <v>18</v>
      </c>
      <c r="L4158" t="str">
        <f>_xlfn.XLOOKUP(K4158,[2]analyte_order!$B:$B,[2]analyte_order!$C:$C)</f>
        <v>335-76-2</v>
      </c>
      <c r="M4158">
        <f>_xlfn.XLOOKUP(L4158,[2]analyte_order!$C:$C,[2]analyte_order!$E:$E)</f>
        <v>7</v>
      </c>
      <c r="N4158">
        <v>1.24</v>
      </c>
    </row>
    <row r="4159" spans="1:14">
      <c r="A4159" t="s">
        <v>262</v>
      </c>
      <c r="B4159" t="str">
        <f>_xlfn.XLOOKUP(A4159,'[1]Tissue Data'!$A:$A,'[1]Tissue Data'!$C:$C)</f>
        <v>Spill</v>
      </c>
      <c r="C4159" s="2">
        <f>_xlfn.XLOOKUP(A4159,'[1]Tissue Data'!$A:$A,'[1]Tissue Data'!$D:$D)</f>
        <v>44393</v>
      </c>
      <c r="D4159" s="2" t="str">
        <f>_xlfn.XLOOKUP(A4159,'[1]Tissue Data'!$A:$A,'[1]Tissue Data'!$F:$F)</f>
        <v>Pumpkinseed</v>
      </c>
      <c r="E4159" t="str">
        <f>_xlfn.XLOOKUP(A4159,'[1]Tissue Data'!$A:$A,'[1]Tissue Data'!$H:$H)</f>
        <v>Lepomis</v>
      </c>
      <c r="F4159" t="str">
        <f>_xlfn.XLOOKUP(A4159,'[1]Tissue Data'!$A:$A,'[1]Tissue Data'!$I:$I)</f>
        <v>gibbosus</v>
      </c>
      <c r="G4159" t="str">
        <f>_xlfn.XLOOKUP(A4159,'[1]Tissue Data'!$A:$A,'[1]Tissue Data'!J:J)</f>
        <v>U</v>
      </c>
      <c r="H4159" t="str">
        <f>_xlfn.XLOOKUP(A4159,'[1]Tissue Data'!$A:$A,'[1]Tissue Data'!K:K)</f>
        <v>Whole Body</v>
      </c>
      <c r="I4159">
        <f>_xlfn.XLOOKUP(A4159,'[1]Tissue Data'!$A:$A,'[1]Tissue Data'!L:L)</f>
        <v>5</v>
      </c>
      <c r="J4159">
        <f>_xlfn.XLOOKUP(A4159,'[1]Tissue Data'!$A:$A,'[1]Tissue Data'!M:M)</f>
        <v>6.29</v>
      </c>
      <c r="K4159" t="s">
        <v>19</v>
      </c>
      <c r="L4159" t="str">
        <f>_xlfn.XLOOKUP(K4159,[2]analyte_order!$B:$B,[2]analyte_order!$C:$C)</f>
        <v>2058-94-8</v>
      </c>
      <c r="M4159">
        <f>_xlfn.XLOOKUP(L4159,[2]analyte_order!$C:$C,[2]analyte_order!$E:$E)</f>
        <v>8</v>
      </c>
      <c r="N4159">
        <v>2.57</v>
      </c>
    </row>
    <row r="4160" spans="1:14">
      <c r="A4160" t="s">
        <v>262</v>
      </c>
      <c r="B4160" t="str">
        <f>_xlfn.XLOOKUP(A4160,'[1]Tissue Data'!$A:$A,'[1]Tissue Data'!$C:$C)</f>
        <v>Spill</v>
      </c>
      <c r="C4160" s="2">
        <f>_xlfn.XLOOKUP(A4160,'[1]Tissue Data'!$A:$A,'[1]Tissue Data'!$D:$D)</f>
        <v>44393</v>
      </c>
      <c r="D4160" s="2" t="str">
        <f>_xlfn.XLOOKUP(A4160,'[1]Tissue Data'!$A:$A,'[1]Tissue Data'!$F:$F)</f>
        <v>Pumpkinseed</v>
      </c>
      <c r="E4160" t="str">
        <f>_xlfn.XLOOKUP(A4160,'[1]Tissue Data'!$A:$A,'[1]Tissue Data'!$H:$H)</f>
        <v>Lepomis</v>
      </c>
      <c r="F4160" t="str">
        <f>_xlfn.XLOOKUP(A4160,'[1]Tissue Data'!$A:$A,'[1]Tissue Data'!$I:$I)</f>
        <v>gibbosus</v>
      </c>
      <c r="G4160" t="str">
        <f>_xlfn.XLOOKUP(A4160,'[1]Tissue Data'!$A:$A,'[1]Tissue Data'!J:J)</f>
        <v>U</v>
      </c>
      <c r="H4160" t="str">
        <f>_xlfn.XLOOKUP(A4160,'[1]Tissue Data'!$A:$A,'[1]Tissue Data'!K:K)</f>
        <v>Whole Body</v>
      </c>
      <c r="I4160">
        <f>_xlfn.XLOOKUP(A4160,'[1]Tissue Data'!$A:$A,'[1]Tissue Data'!L:L)</f>
        <v>5</v>
      </c>
      <c r="J4160">
        <f>_xlfn.XLOOKUP(A4160,'[1]Tissue Data'!$A:$A,'[1]Tissue Data'!M:M)</f>
        <v>6.29</v>
      </c>
      <c r="K4160" t="s">
        <v>20</v>
      </c>
      <c r="L4160" t="str">
        <f>_xlfn.XLOOKUP(K4160,[2]analyte_order!$B:$B,[2]analyte_order!$C:$C)</f>
        <v>307-55-1</v>
      </c>
      <c r="M4160">
        <f>_xlfn.XLOOKUP(L4160,[2]analyte_order!$C:$C,[2]analyte_order!$E:$E)</f>
        <v>9</v>
      </c>
      <c r="N4160">
        <v>5.21</v>
      </c>
    </row>
    <row r="4161" spans="1:14">
      <c r="A4161" t="s">
        <v>262</v>
      </c>
      <c r="B4161" t="str">
        <f>_xlfn.XLOOKUP(A4161,'[1]Tissue Data'!$A:$A,'[1]Tissue Data'!$C:$C)</f>
        <v>Spill</v>
      </c>
      <c r="C4161" s="2">
        <f>_xlfn.XLOOKUP(A4161,'[1]Tissue Data'!$A:$A,'[1]Tissue Data'!$D:$D)</f>
        <v>44393</v>
      </c>
      <c r="D4161" s="2" t="str">
        <f>_xlfn.XLOOKUP(A4161,'[1]Tissue Data'!$A:$A,'[1]Tissue Data'!$F:$F)</f>
        <v>Pumpkinseed</v>
      </c>
      <c r="E4161" t="str">
        <f>_xlfn.XLOOKUP(A4161,'[1]Tissue Data'!$A:$A,'[1]Tissue Data'!$H:$H)</f>
        <v>Lepomis</v>
      </c>
      <c r="F4161" t="str">
        <f>_xlfn.XLOOKUP(A4161,'[1]Tissue Data'!$A:$A,'[1]Tissue Data'!$I:$I)</f>
        <v>gibbosus</v>
      </c>
      <c r="G4161" t="str">
        <f>_xlfn.XLOOKUP(A4161,'[1]Tissue Data'!$A:$A,'[1]Tissue Data'!J:J)</f>
        <v>U</v>
      </c>
      <c r="H4161" t="str">
        <f>_xlfn.XLOOKUP(A4161,'[1]Tissue Data'!$A:$A,'[1]Tissue Data'!K:K)</f>
        <v>Whole Body</v>
      </c>
      <c r="I4161">
        <f>_xlfn.XLOOKUP(A4161,'[1]Tissue Data'!$A:$A,'[1]Tissue Data'!L:L)</f>
        <v>5</v>
      </c>
      <c r="J4161">
        <f>_xlfn.XLOOKUP(A4161,'[1]Tissue Data'!$A:$A,'[1]Tissue Data'!M:M)</f>
        <v>6.29</v>
      </c>
      <c r="K4161" t="s">
        <v>21</v>
      </c>
      <c r="L4161" t="str">
        <f>_xlfn.XLOOKUP(K4161,[2]analyte_order!$B:$B,[2]analyte_order!$C:$C)</f>
        <v>72629-94-8</v>
      </c>
      <c r="M4161">
        <f>_xlfn.XLOOKUP(L4161,[2]analyte_order!$C:$C,[2]analyte_order!$E:$E)</f>
        <v>10</v>
      </c>
      <c r="N4161">
        <v>2.5099999999999998</v>
      </c>
    </row>
    <row r="4162" spans="1:14">
      <c r="A4162" t="s">
        <v>262</v>
      </c>
      <c r="B4162" t="str">
        <f>_xlfn.XLOOKUP(A4162,'[1]Tissue Data'!$A:$A,'[1]Tissue Data'!$C:$C)</f>
        <v>Spill</v>
      </c>
      <c r="C4162" s="2">
        <f>_xlfn.XLOOKUP(A4162,'[1]Tissue Data'!$A:$A,'[1]Tissue Data'!$D:$D)</f>
        <v>44393</v>
      </c>
      <c r="D4162" s="2" t="str">
        <f>_xlfn.XLOOKUP(A4162,'[1]Tissue Data'!$A:$A,'[1]Tissue Data'!$F:$F)</f>
        <v>Pumpkinseed</v>
      </c>
      <c r="E4162" t="str">
        <f>_xlfn.XLOOKUP(A4162,'[1]Tissue Data'!$A:$A,'[1]Tissue Data'!$H:$H)</f>
        <v>Lepomis</v>
      </c>
      <c r="F4162" t="str">
        <f>_xlfn.XLOOKUP(A4162,'[1]Tissue Data'!$A:$A,'[1]Tissue Data'!$I:$I)</f>
        <v>gibbosus</v>
      </c>
      <c r="G4162" t="str">
        <f>_xlfn.XLOOKUP(A4162,'[1]Tissue Data'!$A:$A,'[1]Tissue Data'!J:J)</f>
        <v>U</v>
      </c>
      <c r="H4162" t="str">
        <f>_xlfn.XLOOKUP(A4162,'[1]Tissue Data'!$A:$A,'[1]Tissue Data'!K:K)</f>
        <v>Whole Body</v>
      </c>
      <c r="I4162">
        <f>_xlfn.XLOOKUP(A4162,'[1]Tissue Data'!$A:$A,'[1]Tissue Data'!L:L)</f>
        <v>5</v>
      </c>
      <c r="J4162">
        <f>_xlfn.XLOOKUP(A4162,'[1]Tissue Data'!$A:$A,'[1]Tissue Data'!M:M)</f>
        <v>6.29</v>
      </c>
      <c r="K4162" t="s">
        <v>22</v>
      </c>
      <c r="L4162" t="str">
        <f>_xlfn.XLOOKUP(K4162,[2]analyte_order!$B:$B,[2]analyte_order!$C:$C)</f>
        <v>376-06-7</v>
      </c>
      <c r="M4162">
        <f>_xlfn.XLOOKUP(L4162,[2]analyte_order!$C:$C,[2]analyte_order!$E:$E)</f>
        <v>11</v>
      </c>
      <c r="N4162">
        <v>6.78</v>
      </c>
    </row>
    <row r="4163" spans="1:14">
      <c r="A4163" t="s">
        <v>262</v>
      </c>
      <c r="B4163" t="str">
        <f>_xlfn.XLOOKUP(A4163,'[1]Tissue Data'!$A:$A,'[1]Tissue Data'!$C:$C)</f>
        <v>Spill</v>
      </c>
      <c r="C4163" s="2">
        <f>_xlfn.XLOOKUP(A4163,'[1]Tissue Data'!$A:$A,'[1]Tissue Data'!$D:$D)</f>
        <v>44393</v>
      </c>
      <c r="D4163" s="2" t="str">
        <f>_xlfn.XLOOKUP(A4163,'[1]Tissue Data'!$A:$A,'[1]Tissue Data'!$F:$F)</f>
        <v>Pumpkinseed</v>
      </c>
      <c r="E4163" t="str">
        <f>_xlfn.XLOOKUP(A4163,'[1]Tissue Data'!$A:$A,'[1]Tissue Data'!$H:$H)</f>
        <v>Lepomis</v>
      </c>
      <c r="F4163" t="str">
        <f>_xlfn.XLOOKUP(A4163,'[1]Tissue Data'!$A:$A,'[1]Tissue Data'!$I:$I)</f>
        <v>gibbosus</v>
      </c>
      <c r="G4163" t="str">
        <f>_xlfn.XLOOKUP(A4163,'[1]Tissue Data'!$A:$A,'[1]Tissue Data'!J:J)</f>
        <v>U</v>
      </c>
      <c r="H4163" t="str">
        <f>_xlfn.XLOOKUP(A4163,'[1]Tissue Data'!$A:$A,'[1]Tissue Data'!K:K)</f>
        <v>Whole Body</v>
      </c>
      <c r="I4163">
        <f>_xlfn.XLOOKUP(A4163,'[1]Tissue Data'!$A:$A,'[1]Tissue Data'!L:L)</f>
        <v>5</v>
      </c>
      <c r="J4163">
        <f>_xlfn.XLOOKUP(A4163,'[1]Tissue Data'!$A:$A,'[1]Tissue Data'!M:M)</f>
        <v>6.29</v>
      </c>
      <c r="K4163" t="s">
        <v>23</v>
      </c>
      <c r="L4163" t="str">
        <f>_xlfn.XLOOKUP(K4163,[2]analyte_order!$B:$B,[2]analyte_order!$C:$C)</f>
        <v>67905-19-5</v>
      </c>
      <c r="M4163">
        <f>_xlfn.XLOOKUP(L4163,[2]analyte_order!$C:$C,[2]analyte_order!$E:$E)</f>
        <v>12</v>
      </c>
      <c r="N4163">
        <v>7.8E-2</v>
      </c>
    </row>
    <row r="4164" spans="1:14">
      <c r="A4164" t="s">
        <v>262</v>
      </c>
      <c r="B4164" t="str">
        <f>_xlfn.XLOOKUP(A4164,'[1]Tissue Data'!$A:$A,'[1]Tissue Data'!$C:$C)</f>
        <v>Spill</v>
      </c>
      <c r="C4164" s="2">
        <f>_xlfn.XLOOKUP(A4164,'[1]Tissue Data'!$A:$A,'[1]Tissue Data'!$D:$D)</f>
        <v>44393</v>
      </c>
      <c r="D4164" s="2" t="str">
        <f>_xlfn.XLOOKUP(A4164,'[1]Tissue Data'!$A:$A,'[1]Tissue Data'!$F:$F)</f>
        <v>Pumpkinseed</v>
      </c>
      <c r="E4164" t="str">
        <f>_xlfn.XLOOKUP(A4164,'[1]Tissue Data'!$A:$A,'[1]Tissue Data'!$H:$H)</f>
        <v>Lepomis</v>
      </c>
      <c r="F4164" t="str">
        <f>_xlfn.XLOOKUP(A4164,'[1]Tissue Data'!$A:$A,'[1]Tissue Data'!$I:$I)</f>
        <v>gibbosus</v>
      </c>
      <c r="G4164" t="str">
        <f>_xlfn.XLOOKUP(A4164,'[1]Tissue Data'!$A:$A,'[1]Tissue Data'!J:J)</f>
        <v>U</v>
      </c>
      <c r="H4164" t="str">
        <f>_xlfn.XLOOKUP(A4164,'[1]Tissue Data'!$A:$A,'[1]Tissue Data'!K:K)</f>
        <v>Whole Body</v>
      </c>
      <c r="I4164">
        <f>_xlfn.XLOOKUP(A4164,'[1]Tissue Data'!$A:$A,'[1]Tissue Data'!L:L)</f>
        <v>5</v>
      </c>
      <c r="J4164">
        <f>_xlfn.XLOOKUP(A4164,'[1]Tissue Data'!$A:$A,'[1]Tissue Data'!M:M)</f>
        <v>6.29</v>
      </c>
      <c r="K4164" t="s">
        <v>24</v>
      </c>
      <c r="L4164" t="str">
        <f>_xlfn.XLOOKUP(K4164,[2]analyte_order!$B:$B,[2]analyte_order!$C:$C)</f>
        <v>423-41-6</v>
      </c>
      <c r="M4164">
        <f>_xlfn.XLOOKUP(L4164,[2]analyte_order!$C:$C,[2]analyte_order!$E:$E)</f>
        <v>53</v>
      </c>
      <c r="N4164">
        <v>0.16500000000000001</v>
      </c>
    </row>
    <row r="4165" spans="1:14">
      <c r="A4165" t="s">
        <v>262</v>
      </c>
      <c r="B4165" t="str">
        <f>_xlfn.XLOOKUP(A4165,'[1]Tissue Data'!$A:$A,'[1]Tissue Data'!$C:$C)</f>
        <v>Spill</v>
      </c>
      <c r="C4165" s="2">
        <f>_xlfn.XLOOKUP(A4165,'[1]Tissue Data'!$A:$A,'[1]Tissue Data'!$D:$D)</f>
        <v>44393</v>
      </c>
      <c r="D4165" s="2" t="str">
        <f>_xlfn.XLOOKUP(A4165,'[1]Tissue Data'!$A:$A,'[1]Tissue Data'!$F:$F)</f>
        <v>Pumpkinseed</v>
      </c>
      <c r="E4165" t="str">
        <f>_xlfn.XLOOKUP(A4165,'[1]Tissue Data'!$A:$A,'[1]Tissue Data'!$H:$H)</f>
        <v>Lepomis</v>
      </c>
      <c r="F4165" t="str">
        <f>_xlfn.XLOOKUP(A4165,'[1]Tissue Data'!$A:$A,'[1]Tissue Data'!$I:$I)</f>
        <v>gibbosus</v>
      </c>
      <c r="G4165" t="str">
        <f>_xlfn.XLOOKUP(A4165,'[1]Tissue Data'!$A:$A,'[1]Tissue Data'!J:J)</f>
        <v>U</v>
      </c>
      <c r="H4165" t="str">
        <f>_xlfn.XLOOKUP(A4165,'[1]Tissue Data'!$A:$A,'[1]Tissue Data'!K:K)</f>
        <v>Whole Body</v>
      </c>
      <c r="I4165">
        <f>_xlfn.XLOOKUP(A4165,'[1]Tissue Data'!$A:$A,'[1]Tissue Data'!L:L)</f>
        <v>5</v>
      </c>
      <c r="J4165">
        <f>_xlfn.XLOOKUP(A4165,'[1]Tissue Data'!$A:$A,'[1]Tissue Data'!M:M)</f>
        <v>6.29</v>
      </c>
      <c r="K4165" t="s">
        <v>25</v>
      </c>
      <c r="L4165" t="str">
        <f>_xlfn.XLOOKUP(K4165,[2]analyte_order!$B:$B,[2]analyte_order!$C:$C)</f>
        <v>375-73-5</v>
      </c>
      <c r="M4165">
        <f>_xlfn.XLOOKUP(L4165,[2]analyte_order!$C:$C,[2]analyte_order!$E:$E)</f>
        <v>14</v>
      </c>
      <c r="N4165">
        <v>0.14699999999999999</v>
      </c>
    </row>
    <row r="4166" spans="1:14">
      <c r="A4166" t="s">
        <v>262</v>
      </c>
      <c r="B4166" t="str">
        <f>_xlfn.XLOOKUP(A4166,'[1]Tissue Data'!$A:$A,'[1]Tissue Data'!$C:$C)</f>
        <v>Spill</v>
      </c>
      <c r="C4166" s="2">
        <f>_xlfn.XLOOKUP(A4166,'[1]Tissue Data'!$A:$A,'[1]Tissue Data'!$D:$D)</f>
        <v>44393</v>
      </c>
      <c r="D4166" s="2" t="str">
        <f>_xlfn.XLOOKUP(A4166,'[1]Tissue Data'!$A:$A,'[1]Tissue Data'!$F:$F)</f>
        <v>Pumpkinseed</v>
      </c>
      <c r="E4166" t="str">
        <f>_xlfn.XLOOKUP(A4166,'[1]Tissue Data'!$A:$A,'[1]Tissue Data'!$H:$H)</f>
        <v>Lepomis</v>
      </c>
      <c r="F4166" t="str">
        <f>_xlfn.XLOOKUP(A4166,'[1]Tissue Data'!$A:$A,'[1]Tissue Data'!$I:$I)</f>
        <v>gibbosus</v>
      </c>
      <c r="G4166" t="str">
        <f>_xlfn.XLOOKUP(A4166,'[1]Tissue Data'!$A:$A,'[1]Tissue Data'!J:J)</f>
        <v>U</v>
      </c>
      <c r="H4166" t="str">
        <f>_xlfn.XLOOKUP(A4166,'[1]Tissue Data'!$A:$A,'[1]Tissue Data'!K:K)</f>
        <v>Whole Body</v>
      </c>
      <c r="I4166">
        <f>_xlfn.XLOOKUP(A4166,'[1]Tissue Data'!$A:$A,'[1]Tissue Data'!L:L)</f>
        <v>5</v>
      </c>
      <c r="J4166">
        <f>_xlfn.XLOOKUP(A4166,'[1]Tissue Data'!$A:$A,'[1]Tissue Data'!M:M)</f>
        <v>6.29</v>
      </c>
      <c r="K4166" t="s">
        <v>26</v>
      </c>
      <c r="L4166" t="str">
        <f>_xlfn.XLOOKUP(K4166,[2]analyte_order!$B:$B,[2]analyte_order!$C:$C)</f>
        <v>2706-91-4</v>
      </c>
      <c r="M4166">
        <f>_xlfn.XLOOKUP(L4166,[2]analyte_order!$C:$C,[2]analyte_order!$E:$E)</f>
        <v>15</v>
      </c>
      <c r="N4166">
        <v>0.1145</v>
      </c>
    </row>
    <row r="4167" spans="1:14">
      <c r="A4167" t="s">
        <v>262</v>
      </c>
      <c r="B4167" t="str">
        <f>_xlfn.XLOOKUP(A4167,'[1]Tissue Data'!$A:$A,'[1]Tissue Data'!$C:$C)</f>
        <v>Spill</v>
      </c>
      <c r="C4167" s="2">
        <f>_xlfn.XLOOKUP(A4167,'[1]Tissue Data'!$A:$A,'[1]Tissue Data'!$D:$D)</f>
        <v>44393</v>
      </c>
      <c r="D4167" s="2" t="str">
        <f>_xlfn.XLOOKUP(A4167,'[1]Tissue Data'!$A:$A,'[1]Tissue Data'!$F:$F)</f>
        <v>Pumpkinseed</v>
      </c>
      <c r="E4167" t="str">
        <f>_xlfn.XLOOKUP(A4167,'[1]Tissue Data'!$A:$A,'[1]Tissue Data'!$H:$H)</f>
        <v>Lepomis</v>
      </c>
      <c r="F4167" t="str">
        <f>_xlfn.XLOOKUP(A4167,'[1]Tissue Data'!$A:$A,'[1]Tissue Data'!$I:$I)</f>
        <v>gibbosus</v>
      </c>
      <c r="G4167" t="str">
        <f>_xlfn.XLOOKUP(A4167,'[1]Tissue Data'!$A:$A,'[1]Tissue Data'!J:J)</f>
        <v>U</v>
      </c>
      <c r="H4167" t="str">
        <f>_xlfn.XLOOKUP(A4167,'[1]Tissue Data'!$A:$A,'[1]Tissue Data'!K:K)</f>
        <v>Whole Body</v>
      </c>
      <c r="I4167">
        <f>_xlfn.XLOOKUP(A4167,'[1]Tissue Data'!$A:$A,'[1]Tissue Data'!L:L)</f>
        <v>5</v>
      </c>
      <c r="J4167">
        <f>_xlfn.XLOOKUP(A4167,'[1]Tissue Data'!$A:$A,'[1]Tissue Data'!M:M)</f>
        <v>6.29</v>
      </c>
      <c r="K4167" t="s">
        <v>27</v>
      </c>
      <c r="L4167" t="str">
        <f>_xlfn.XLOOKUP(K4167,[2]analyte_order!$B:$B,[2]analyte_order!$C:$C)</f>
        <v>355-46-4</v>
      </c>
      <c r="M4167">
        <f>_xlfn.XLOOKUP(L4167,[2]analyte_order!$C:$C,[2]analyte_order!$E:$E)</f>
        <v>16</v>
      </c>
      <c r="N4167">
        <v>6.76</v>
      </c>
    </row>
    <row r="4168" spans="1:14">
      <c r="A4168" t="s">
        <v>262</v>
      </c>
      <c r="B4168" t="str">
        <f>_xlfn.XLOOKUP(A4168,'[1]Tissue Data'!$A:$A,'[1]Tissue Data'!$C:$C)</f>
        <v>Spill</v>
      </c>
      <c r="C4168" s="2">
        <f>_xlfn.XLOOKUP(A4168,'[1]Tissue Data'!$A:$A,'[1]Tissue Data'!$D:$D)</f>
        <v>44393</v>
      </c>
      <c r="D4168" s="2" t="str">
        <f>_xlfn.XLOOKUP(A4168,'[1]Tissue Data'!$A:$A,'[1]Tissue Data'!$F:$F)</f>
        <v>Pumpkinseed</v>
      </c>
      <c r="E4168" t="str">
        <f>_xlfn.XLOOKUP(A4168,'[1]Tissue Data'!$A:$A,'[1]Tissue Data'!$H:$H)</f>
        <v>Lepomis</v>
      </c>
      <c r="F4168" t="str">
        <f>_xlfn.XLOOKUP(A4168,'[1]Tissue Data'!$A:$A,'[1]Tissue Data'!$I:$I)</f>
        <v>gibbosus</v>
      </c>
      <c r="G4168" t="str">
        <f>_xlfn.XLOOKUP(A4168,'[1]Tissue Data'!$A:$A,'[1]Tissue Data'!J:J)</f>
        <v>U</v>
      </c>
      <c r="H4168" t="str">
        <f>_xlfn.XLOOKUP(A4168,'[1]Tissue Data'!$A:$A,'[1]Tissue Data'!K:K)</f>
        <v>Whole Body</v>
      </c>
      <c r="I4168">
        <f>_xlfn.XLOOKUP(A4168,'[1]Tissue Data'!$A:$A,'[1]Tissue Data'!L:L)</f>
        <v>5</v>
      </c>
      <c r="J4168">
        <f>_xlfn.XLOOKUP(A4168,'[1]Tissue Data'!$A:$A,'[1]Tissue Data'!M:M)</f>
        <v>6.29</v>
      </c>
      <c r="K4168" t="s">
        <v>28</v>
      </c>
      <c r="L4168" t="str">
        <f>_xlfn.XLOOKUP(K4168,[2]analyte_order!$B:$B,[2]analyte_order!$C:$C)</f>
        <v>375-92-8</v>
      </c>
      <c r="M4168">
        <f>_xlfn.XLOOKUP(L4168,[2]analyte_order!$C:$C,[2]analyte_order!$E:$E)</f>
        <v>17</v>
      </c>
      <c r="N4168">
        <v>1.22</v>
      </c>
    </row>
    <row r="4169" spans="1:14">
      <c r="A4169" t="s">
        <v>262</v>
      </c>
      <c r="B4169" t="str">
        <f>_xlfn.XLOOKUP(A4169,'[1]Tissue Data'!$A:$A,'[1]Tissue Data'!$C:$C)</f>
        <v>Spill</v>
      </c>
      <c r="C4169" s="2">
        <f>_xlfn.XLOOKUP(A4169,'[1]Tissue Data'!$A:$A,'[1]Tissue Data'!$D:$D)</f>
        <v>44393</v>
      </c>
      <c r="D4169" s="2" t="str">
        <f>_xlfn.XLOOKUP(A4169,'[1]Tissue Data'!$A:$A,'[1]Tissue Data'!$F:$F)</f>
        <v>Pumpkinseed</v>
      </c>
      <c r="E4169" t="str">
        <f>_xlfn.XLOOKUP(A4169,'[1]Tissue Data'!$A:$A,'[1]Tissue Data'!$H:$H)</f>
        <v>Lepomis</v>
      </c>
      <c r="F4169" t="str">
        <f>_xlfn.XLOOKUP(A4169,'[1]Tissue Data'!$A:$A,'[1]Tissue Data'!$I:$I)</f>
        <v>gibbosus</v>
      </c>
      <c r="G4169" t="str">
        <f>_xlfn.XLOOKUP(A4169,'[1]Tissue Data'!$A:$A,'[1]Tissue Data'!J:J)</f>
        <v>U</v>
      </c>
      <c r="H4169" t="str">
        <f>_xlfn.XLOOKUP(A4169,'[1]Tissue Data'!$A:$A,'[1]Tissue Data'!K:K)</f>
        <v>Whole Body</v>
      </c>
      <c r="I4169">
        <f>_xlfn.XLOOKUP(A4169,'[1]Tissue Data'!$A:$A,'[1]Tissue Data'!L:L)</f>
        <v>5</v>
      </c>
      <c r="J4169">
        <f>_xlfn.XLOOKUP(A4169,'[1]Tissue Data'!$A:$A,'[1]Tissue Data'!M:M)</f>
        <v>6.29</v>
      </c>
      <c r="K4169" t="s">
        <v>29</v>
      </c>
      <c r="L4169" t="str">
        <f>_xlfn.XLOOKUP(K4169,[2]analyte_order!$B:$B,[2]analyte_order!$C:$C)</f>
        <v>1763-23-1</v>
      </c>
      <c r="M4169">
        <f>_xlfn.XLOOKUP(L4169,[2]analyte_order!$C:$C,[2]analyte_order!$E:$E)</f>
        <v>18</v>
      </c>
      <c r="N4169">
        <v>493</v>
      </c>
    </row>
    <row r="4170" spans="1:14">
      <c r="A4170" t="s">
        <v>262</v>
      </c>
      <c r="B4170" t="str">
        <f>_xlfn.XLOOKUP(A4170,'[1]Tissue Data'!$A:$A,'[1]Tissue Data'!$C:$C)</f>
        <v>Spill</v>
      </c>
      <c r="C4170" s="2">
        <f>_xlfn.XLOOKUP(A4170,'[1]Tissue Data'!$A:$A,'[1]Tissue Data'!$D:$D)</f>
        <v>44393</v>
      </c>
      <c r="D4170" s="2" t="str">
        <f>_xlfn.XLOOKUP(A4170,'[1]Tissue Data'!$A:$A,'[1]Tissue Data'!$F:$F)</f>
        <v>Pumpkinseed</v>
      </c>
      <c r="E4170" t="str">
        <f>_xlfn.XLOOKUP(A4170,'[1]Tissue Data'!$A:$A,'[1]Tissue Data'!$H:$H)</f>
        <v>Lepomis</v>
      </c>
      <c r="F4170" t="str">
        <f>_xlfn.XLOOKUP(A4170,'[1]Tissue Data'!$A:$A,'[1]Tissue Data'!$I:$I)</f>
        <v>gibbosus</v>
      </c>
      <c r="G4170" t="str">
        <f>_xlfn.XLOOKUP(A4170,'[1]Tissue Data'!$A:$A,'[1]Tissue Data'!J:J)</f>
        <v>U</v>
      </c>
      <c r="H4170" t="str">
        <f>_xlfn.XLOOKUP(A4170,'[1]Tissue Data'!$A:$A,'[1]Tissue Data'!K:K)</f>
        <v>Whole Body</v>
      </c>
      <c r="I4170">
        <f>_xlfn.XLOOKUP(A4170,'[1]Tissue Data'!$A:$A,'[1]Tissue Data'!L:L)</f>
        <v>5</v>
      </c>
      <c r="J4170">
        <f>_xlfn.XLOOKUP(A4170,'[1]Tissue Data'!$A:$A,'[1]Tissue Data'!M:M)</f>
        <v>6.29</v>
      </c>
      <c r="K4170" t="s">
        <v>30</v>
      </c>
      <c r="L4170" t="str">
        <f>_xlfn.XLOOKUP(K4170,[2]analyte_order!$B:$B,[2]analyte_order!$C:$C)</f>
        <v>68259-12-1</v>
      </c>
      <c r="M4170">
        <f>_xlfn.XLOOKUP(L4170,[2]analyte_order!$C:$C,[2]analyte_order!$E:$E)</f>
        <v>19</v>
      </c>
      <c r="N4170">
        <v>0.93500000000000005</v>
      </c>
    </row>
    <row r="4171" spans="1:14">
      <c r="A4171" t="s">
        <v>262</v>
      </c>
      <c r="B4171" t="str">
        <f>_xlfn.XLOOKUP(A4171,'[1]Tissue Data'!$A:$A,'[1]Tissue Data'!$C:$C)</f>
        <v>Spill</v>
      </c>
      <c r="C4171" s="2">
        <f>_xlfn.XLOOKUP(A4171,'[1]Tissue Data'!$A:$A,'[1]Tissue Data'!$D:$D)</f>
        <v>44393</v>
      </c>
      <c r="D4171" s="2" t="str">
        <f>_xlfn.XLOOKUP(A4171,'[1]Tissue Data'!$A:$A,'[1]Tissue Data'!$F:$F)</f>
        <v>Pumpkinseed</v>
      </c>
      <c r="E4171" t="str">
        <f>_xlfn.XLOOKUP(A4171,'[1]Tissue Data'!$A:$A,'[1]Tissue Data'!$H:$H)</f>
        <v>Lepomis</v>
      </c>
      <c r="F4171" t="str">
        <f>_xlfn.XLOOKUP(A4171,'[1]Tissue Data'!$A:$A,'[1]Tissue Data'!$I:$I)</f>
        <v>gibbosus</v>
      </c>
      <c r="G4171" t="str">
        <f>_xlfn.XLOOKUP(A4171,'[1]Tissue Data'!$A:$A,'[1]Tissue Data'!J:J)</f>
        <v>U</v>
      </c>
      <c r="H4171" t="str">
        <f>_xlfn.XLOOKUP(A4171,'[1]Tissue Data'!$A:$A,'[1]Tissue Data'!K:K)</f>
        <v>Whole Body</v>
      </c>
      <c r="I4171">
        <f>_xlfn.XLOOKUP(A4171,'[1]Tissue Data'!$A:$A,'[1]Tissue Data'!L:L)</f>
        <v>5</v>
      </c>
      <c r="J4171">
        <f>_xlfn.XLOOKUP(A4171,'[1]Tissue Data'!$A:$A,'[1]Tissue Data'!M:M)</f>
        <v>6.29</v>
      </c>
      <c r="K4171" t="s">
        <v>31</v>
      </c>
      <c r="L4171" t="str">
        <f>_xlfn.XLOOKUP(K4171,[2]analyte_order!$B:$B,[2]analyte_order!$C:$C)</f>
        <v>335-77-3</v>
      </c>
      <c r="M4171">
        <f>_xlfn.XLOOKUP(L4171,[2]analyte_order!$C:$C,[2]analyte_order!$E:$E)</f>
        <v>20</v>
      </c>
      <c r="N4171">
        <v>1.28</v>
      </c>
    </row>
    <row r="4172" spans="1:14">
      <c r="A4172" t="s">
        <v>262</v>
      </c>
      <c r="B4172" t="str">
        <f>_xlfn.XLOOKUP(A4172,'[1]Tissue Data'!$A:$A,'[1]Tissue Data'!$C:$C)</f>
        <v>Spill</v>
      </c>
      <c r="C4172" s="2">
        <f>_xlfn.XLOOKUP(A4172,'[1]Tissue Data'!$A:$A,'[1]Tissue Data'!$D:$D)</f>
        <v>44393</v>
      </c>
      <c r="D4172" s="2" t="str">
        <f>_xlfn.XLOOKUP(A4172,'[1]Tissue Data'!$A:$A,'[1]Tissue Data'!$F:$F)</f>
        <v>Pumpkinseed</v>
      </c>
      <c r="E4172" t="str">
        <f>_xlfn.XLOOKUP(A4172,'[1]Tissue Data'!$A:$A,'[1]Tissue Data'!$H:$H)</f>
        <v>Lepomis</v>
      </c>
      <c r="F4172" t="str">
        <f>_xlfn.XLOOKUP(A4172,'[1]Tissue Data'!$A:$A,'[1]Tissue Data'!$I:$I)</f>
        <v>gibbosus</v>
      </c>
      <c r="G4172" t="str">
        <f>_xlfn.XLOOKUP(A4172,'[1]Tissue Data'!$A:$A,'[1]Tissue Data'!J:J)</f>
        <v>U</v>
      </c>
      <c r="H4172" t="str">
        <f>_xlfn.XLOOKUP(A4172,'[1]Tissue Data'!$A:$A,'[1]Tissue Data'!K:K)</f>
        <v>Whole Body</v>
      </c>
      <c r="I4172">
        <f>_xlfn.XLOOKUP(A4172,'[1]Tissue Data'!$A:$A,'[1]Tissue Data'!L:L)</f>
        <v>5</v>
      </c>
      <c r="J4172">
        <f>_xlfn.XLOOKUP(A4172,'[1]Tissue Data'!$A:$A,'[1]Tissue Data'!M:M)</f>
        <v>6.29</v>
      </c>
      <c r="K4172" t="s">
        <v>32</v>
      </c>
      <c r="L4172" t="str">
        <f>_xlfn.XLOOKUP(K4172,[2]analyte_order!$B:$B,[2]analyte_order!$C:$C)</f>
        <v>79780-39-5</v>
      </c>
      <c r="M4172">
        <f>_xlfn.XLOOKUP(L4172,[2]analyte_order!$C:$C,[2]analyte_order!$E:$E)</f>
        <v>21</v>
      </c>
      <c r="N4172">
        <v>0.23100000000000001</v>
      </c>
    </row>
    <row r="4173" spans="1:14">
      <c r="A4173" t="s">
        <v>262</v>
      </c>
      <c r="B4173" t="str">
        <f>_xlfn.XLOOKUP(A4173,'[1]Tissue Data'!$A:$A,'[1]Tissue Data'!$C:$C)</f>
        <v>Spill</v>
      </c>
      <c r="C4173" s="2">
        <f>_xlfn.XLOOKUP(A4173,'[1]Tissue Data'!$A:$A,'[1]Tissue Data'!$D:$D)</f>
        <v>44393</v>
      </c>
      <c r="D4173" s="2" t="str">
        <f>_xlfn.XLOOKUP(A4173,'[1]Tissue Data'!$A:$A,'[1]Tissue Data'!$F:$F)</f>
        <v>Pumpkinseed</v>
      </c>
      <c r="E4173" t="str">
        <f>_xlfn.XLOOKUP(A4173,'[1]Tissue Data'!$A:$A,'[1]Tissue Data'!$H:$H)</f>
        <v>Lepomis</v>
      </c>
      <c r="F4173" t="str">
        <f>_xlfn.XLOOKUP(A4173,'[1]Tissue Data'!$A:$A,'[1]Tissue Data'!$I:$I)</f>
        <v>gibbosus</v>
      </c>
      <c r="G4173" t="str">
        <f>_xlfn.XLOOKUP(A4173,'[1]Tissue Data'!$A:$A,'[1]Tissue Data'!J:J)</f>
        <v>U</v>
      </c>
      <c r="H4173" t="str">
        <f>_xlfn.XLOOKUP(A4173,'[1]Tissue Data'!$A:$A,'[1]Tissue Data'!K:K)</f>
        <v>Whole Body</v>
      </c>
      <c r="I4173">
        <f>_xlfn.XLOOKUP(A4173,'[1]Tissue Data'!$A:$A,'[1]Tissue Data'!L:L)</f>
        <v>5</v>
      </c>
      <c r="J4173">
        <f>_xlfn.XLOOKUP(A4173,'[1]Tissue Data'!$A:$A,'[1]Tissue Data'!M:M)</f>
        <v>6.29</v>
      </c>
      <c r="K4173" t="s">
        <v>33</v>
      </c>
      <c r="L4173" t="str">
        <f>_xlfn.XLOOKUP(K4173,[2]analyte_order!$B:$B,[2]analyte_order!$C:$C)</f>
        <v>777011-38-8</v>
      </c>
      <c r="M4173">
        <f>_xlfn.XLOOKUP(L4173,[2]analyte_order!$C:$C,[2]analyte_order!$E:$E)</f>
        <v>54</v>
      </c>
      <c r="N4173">
        <v>0.13150000000000001</v>
      </c>
    </row>
    <row r="4174" spans="1:14">
      <c r="A4174" t="s">
        <v>262</v>
      </c>
      <c r="B4174" t="str">
        <f>_xlfn.XLOOKUP(A4174,'[1]Tissue Data'!$A:$A,'[1]Tissue Data'!$C:$C)</f>
        <v>Spill</v>
      </c>
      <c r="C4174" s="2">
        <f>_xlfn.XLOOKUP(A4174,'[1]Tissue Data'!$A:$A,'[1]Tissue Data'!$D:$D)</f>
        <v>44393</v>
      </c>
      <c r="D4174" s="2" t="str">
        <f>_xlfn.XLOOKUP(A4174,'[1]Tissue Data'!$A:$A,'[1]Tissue Data'!$F:$F)</f>
        <v>Pumpkinseed</v>
      </c>
      <c r="E4174" t="str">
        <f>_xlfn.XLOOKUP(A4174,'[1]Tissue Data'!$A:$A,'[1]Tissue Data'!$H:$H)</f>
        <v>Lepomis</v>
      </c>
      <c r="F4174" t="str">
        <f>_xlfn.XLOOKUP(A4174,'[1]Tissue Data'!$A:$A,'[1]Tissue Data'!$I:$I)</f>
        <v>gibbosus</v>
      </c>
      <c r="G4174" t="str">
        <f>_xlfn.XLOOKUP(A4174,'[1]Tissue Data'!$A:$A,'[1]Tissue Data'!J:J)</f>
        <v>U</v>
      </c>
      <c r="H4174" t="str">
        <f>_xlfn.XLOOKUP(A4174,'[1]Tissue Data'!$A:$A,'[1]Tissue Data'!K:K)</f>
        <v>Whole Body</v>
      </c>
      <c r="I4174">
        <f>_xlfn.XLOOKUP(A4174,'[1]Tissue Data'!$A:$A,'[1]Tissue Data'!L:L)</f>
        <v>5</v>
      </c>
      <c r="J4174">
        <f>_xlfn.XLOOKUP(A4174,'[1]Tissue Data'!$A:$A,'[1]Tissue Data'!M:M)</f>
        <v>6.29</v>
      </c>
      <c r="K4174" t="s">
        <v>34</v>
      </c>
      <c r="L4174" t="str">
        <f>_xlfn.XLOOKUP(K4174,[2]analyte_order!$B:$B,[2]analyte_order!$C:$C)</f>
        <v>646-83-3</v>
      </c>
      <c r="M4174">
        <f>_xlfn.XLOOKUP(L4174,[2]analyte_order!$C:$C,[2]analyte_order!$E:$E)</f>
        <v>55</v>
      </c>
      <c r="N4174">
        <v>8.6499999999999994E-2</v>
      </c>
    </row>
    <row r="4175" spans="1:14">
      <c r="A4175" t="s">
        <v>262</v>
      </c>
      <c r="B4175" t="str">
        <f>_xlfn.XLOOKUP(A4175,'[1]Tissue Data'!$A:$A,'[1]Tissue Data'!$C:$C)</f>
        <v>Spill</v>
      </c>
      <c r="C4175" s="2">
        <f>_xlfn.XLOOKUP(A4175,'[1]Tissue Data'!$A:$A,'[1]Tissue Data'!$D:$D)</f>
        <v>44393</v>
      </c>
      <c r="D4175" s="2" t="str">
        <f>_xlfn.XLOOKUP(A4175,'[1]Tissue Data'!$A:$A,'[1]Tissue Data'!$F:$F)</f>
        <v>Pumpkinseed</v>
      </c>
      <c r="E4175" t="str">
        <f>_xlfn.XLOOKUP(A4175,'[1]Tissue Data'!$A:$A,'[1]Tissue Data'!$H:$H)</f>
        <v>Lepomis</v>
      </c>
      <c r="F4175" t="str">
        <f>_xlfn.XLOOKUP(A4175,'[1]Tissue Data'!$A:$A,'[1]Tissue Data'!$I:$I)</f>
        <v>gibbosus</v>
      </c>
      <c r="G4175" t="str">
        <f>_xlfn.XLOOKUP(A4175,'[1]Tissue Data'!$A:$A,'[1]Tissue Data'!J:J)</f>
        <v>U</v>
      </c>
      <c r="H4175" t="str">
        <f>_xlfn.XLOOKUP(A4175,'[1]Tissue Data'!$A:$A,'[1]Tissue Data'!K:K)</f>
        <v>Whole Body</v>
      </c>
      <c r="I4175">
        <f>_xlfn.XLOOKUP(A4175,'[1]Tissue Data'!$A:$A,'[1]Tissue Data'!L:L)</f>
        <v>5</v>
      </c>
      <c r="J4175">
        <f>_xlfn.XLOOKUP(A4175,'[1]Tissue Data'!$A:$A,'[1]Tissue Data'!M:M)</f>
        <v>6.29</v>
      </c>
      <c r="K4175" t="s">
        <v>35</v>
      </c>
      <c r="L4175" t="str">
        <f>_xlfn.XLOOKUP(K4175,[2]analyte_order!$B:$B,[2]analyte_order!$C:$C)</f>
        <v>30334-69-1</v>
      </c>
      <c r="M4175">
        <f>_xlfn.XLOOKUP(L4175,[2]analyte_order!$C:$C,[2]analyte_order!$E:$E)</f>
        <v>51</v>
      </c>
      <c r="N4175">
        <v>4.42</v>
      </c>
    </row>
    <row r="4176" spans="1:14">
      <c r="A4176" t="s">
        <v>262</v>
      </c>
      <c r="B4176" t="str">
        <f>_xlfn.XLOOKUP(A4176,'[1]Tissue Data'!$A:$A,'[1]Tissue Data'!$C:$C)</f>
        <v>Spill</v>
      </c>
      <c r="C4176" s="2">
        <f>_xlfn.XLOOKUP(A4176,'[1]Tissue Data'!$A:$A,'[1]Tissue Data'!$D:$D)</f>
        <v>44393</v>
      </c>
      <c r="D4176" s="2" t="str">
        <f>_xlfn.XLOOKUP(A4176,'[1]Tissue Data'!$A:$A,'[1]Tissue Data'!$F:$F)</f>
        <v>Pumpkinseed</v>
      </c>
      <c r="E4176" t="str">
        <f>_xlfn.XLOOKUP(A4176,'[1]Tissue Data'!$A:$A,'[1]Tissue Data'!$H:$H)</f>
        <v>Lepomis</v>
      </c>
      <c r="F4176" t="str">
        <f>_xlfn.XLOOKUP(A4176,'[1]Tissue Data'!$A:$A,'[1]Tissue Data'!$I:$I)</f>
        <v>gibbosus</v>
      </c>
      <c r="G4176" t="str">
        <f>_xlfn.XLOOKUP(A4176,'[1]Tissue Data'!$A:$A,'[1]Tissue Data'!J:J)</f>
        <v>U</v>
      </c>
      <c r="H4176" t="str">
        <f>_xlfn.XLOOKUP(A4176,'[1]Tissue Data'!$A:$A,'[1]Tissue Data'!K:K)</f>
        <v>Whole Body</v>
      </c>
      <c r="I4176">
        <f>_xlfn.XLOOKUP(A4176,'[1]Tissue Data'!$A:$A,'[1]Tissue Data'!L:L)</f>
        <v>5</v>
      </c>
      <c r="J4176">
        <f>_xlfn.XLOOKUP(A4176,'[1]Tissue Data'!$A:$A,'[1]Tissue Data'!M:M)</f>
        <v>6.29</v>
      </c>
      <c r="K4176" t="s">
        <v>36</v>
      </c>
      <c r="L4176" t="str">
        <f>_xlfn.XLOOKUP(K4176,[2]analyte_order!$B:$B,[2]analyte_order!$C:$C)</f>
        <v>41997-13-1</v>
      </c>
      <c r="M4176">
        <f>_xlfn.XLOOKUP(L4176,[2]analyte_order!$C:$C,[2]analyte_order!$E:$E)</f>
        <v>52</v>
      </c>
      <c r="N4176">
        <v>25.5</v>
      </c>
    </row>
    <row r="4177" spans="1:14">
      <c r="A4177" t="s">
        <v>262</v>
      </c>
      <c r="B4177" t="str">
        <f>_xlfn.XLOOKUP(A4177,'[1]Tissue Data'!$A:$A,'[1]Tissue Data'!$C:$C)</f>
        <v>Spill</v>
      </c>
      <c r="C4177" s="2">
        <f>_xlfn.XLOOKUP(A4177,'[1]Tissue Data'!$A:$A,'[1]Tissue Data'!$D:$D)</f>
        <v>44393</v>
      </c>
      <c r="D4177" s="2" t="str">
        <f>_xlfn.XLOOKUP(A4177,'[1]Tissue Data'!$A:$A,'[1]Tissue Data'!$F:$F)</f>
        <v>Pumpkinseed</v>
      </c>
      <c r="E4177" t="str">
        <f>_xlfn.XLOOKUP(A4177,'[1]Tissue Data'!$A:$A,'[1]Tissue Data'!$H:$H)</f>
        <v>Lepomis</v>
      </c>
      <c r="F4177" t="str">
        <f>_xlfn.XLOOKUP(A4177,'[1]Tissue Data'!$A:$A,'[1]Tissue Data'!$I:$I)</f>
        <v>gibbosus</v>
      </c>
      <c r="G4177" t="str">
        <f>_xlfn.XLOOKUP(A4177,'[1]Tissue Data'!$A:$A,'[1]Tissue Data'!J:J)</f>
        <v>U</v>
      </c>
      <c r="H4177" t="str">
        <f>_xlfn.XLOOKUP(A4177,'[1]Tissue Data'!$A:$A,'[1]Tissue Data'!K:K)</f>
        <v>Whole Body</v>
      </c>
      <c r="I4177">
        <f>_xlfn.XLOOKUP(A4177,'[1]Tissue Data'!$A:$A,'[1]Tissue Data'!L:L)</f>
        <v>5</v>
      </c>
      <c r="J4177">
        <f>_xlfn.XLOOKUP(A4177,'[1]Tissue Data'!$A:$A,'[1]Tissue Data'!M:M)</f>
        <v>6.29</v>
      </c>
      <c r="K4177" t="s">
        <v>37</v>
      </c>
      <c r="L4177" t="str">
        <f>_xlfn.XLOOKUP(K4177,[2]analyte_order!$B:$B,[2]analyte_order!$C:$C)</f>
        <v>754-91-6</v>
      </c>
      <c r="M4177">
        <f>_xlfn.XLOOKUP(L4177,[2]analyte_order!$C:$C,[2]analyte_order!$E:$E)</f>
        <v>28</v>
      </c>
      <c r="N4177">
        <v>5.94</v>
      </c>
    </row>
    <row r="4178" spans="1:14">
      <c r="A4178" t="s">
        <v>262</v>
      </c>
      <c r="B4178" t="str">
        <f>_xlfn.XLOOKUP(A4178,'[1]Tissue Data'!$A:$A,'[1]Tissue Data'!$C:$C)</f>
        <v>Spill</v>
      </c>
      <c r="C4178" s="2">
        <f>_xlfn.XLOOKUP(A4178,'[1]Tissue Data'!$A:$A,'[1]Tissue Data'!$D:$D)</f>
        <v>44393</v>
      </c>
      <c r="D4178" s="2" t="str">
        <f>_xlfn.XLOOKUP(A4178,'[1]Tissue Data'!$A:$A,'[1]Tissue Data'!$F:$F)</f>
        <v>Pumpkinseed</v>
      </c>
      <c r="E4178" t="str">
        <f>_xlfn.XLOOKUP(A4178,'[1]Tissue Data'!$A:$A,'[1]Tissue Data'!$H:$H)</f>
        <v>Lepomis</v>
      </c>
      <c r="F4178" t="str">
        <f>_xlfn.XLOOKUP(A4178,'[1]Tissue Data'!$A:$A,'[1]Tissue Data'!$I:$I)</f>
        <v>gibbosus</v>
      </c>
      <c r="G4178" t="str">
        <f>_xlfn.XLOOKUP(A4178,'[1]Tissue Data'!$A:$A,'[1]Tissue Data'!J:J)</f>
        <v>U</v>
      </c>
      <c r="H4178" t="str">
        <f>_xlfn.XLOOKUP(A4178,'[1]Tissue Data'!$A:$A,'[1]Tissue Data'!K:K)</f>
        <v>Whole Body</v>
      </c>
      <c r="I4178">
        <f>_xlfn.XLOOKUP(A4178,'[1]Tissue Data'!$A:$A,'[1]Tissue Data'!L:L)</f>
        <v>5</v>
      </c>
      <c r="J4178">
        <f>_xlfn.XLOOKUP(A4178,'[1]Tissue Data'!$A:$A,'[1]Tissue Data'!M:M)</f>
        <v>6.29</v>
      </c>
      <c r="K4178" t="s">
        <v>38</v>
      </c>
      <c r="L4178" t="str">
        <f>_xlfn.XLOOKUP(K4178,[2]analyte_order!$B:$B,[2]analyte_order!$C:$C)</f>
        <v>31506-32-8</v>
      </c>
      <c r="M4178">
        <f>_xlfn.XLOOKUP(L4178,[2]analyte_order!$C:$C,[2]analyte_order!$E:$E)</f>
        <v>30</v>
      </c>
      <c r="N4178">
        <v>5.0500000000000003E-2</v>
      </c>
    </row>
    <row r="4179" spans="1:14">
      <c r="A4179" t="s">
        <v>262</v>
      </c>
      <c r="B4179" t="str">
        <f>_xlfn.XLOOKUP(A4179,'[1]Tissue Data'!$A:$A,'[1]Tissue Data'!$C:$C)</f>
        <v>Spill</v>
      </c>
      <c r="C4179" s="2">
        <f>_xlfn.XLOOKUP(A4179,'[1]Tissue Data'!$A:$A,'[1]Tissue Data'!$D:$D)</f>
        <v>44393</v>
      </c>
      <c r="D4179" s="2" t="str">
        <f>_xlfn.XLOOKUP(A4179,'[1]Tissue Data'!$A:$A,'[1]Tissue Data'!$F:$F)</f>
        <v>Pumpkinseed</v>
      </c>
      <c r="E4179" t="str">
        <f>_xlfn.XLOOKUP(A4179,'[1]Tissue Data'!$A:$A,'[1]Tissue Data'!$H:$H)</f>
        <v>Lepomis</v>
      </c>
      <c r="F4179" t="str">
        <f>_xlfn.XLOOKUP(A4179,'[1]Tissue Data'!$A:$A,'[1]Tissue Data'!$I:$I)</f>
        <v>gibbosus</v>
      </c>
      <c r="G4179" t="str">
        <f>_xlfn.XLOOKUP(A4179,'[1]Tissue Data'!$A:$A,'[1]Tissue Data'!J:J)</f>
        <v>U</v>
      </c>
      <c r="H4179" t="str">
        <f>_xlfn.XLOOKUP(A4179,'[1]Tissue Data'!$A:$A,'[1]Tissue Data'!K:K)</f>
        <v>Whole Body</v>
      </c>
      <c r="I4179">
        <f>_xlfn.XLOOKUP(A4179,'[1]Tissue Data'!$A:$A,'[1]Tissue Data'!L:L)</f>
        <v>5</v>
      </c>
      <c r="J4179">
        <f>_xlfn.XLOOKUP(A4179,'[1]Tissue Data'!$A:$A,'[1]Tissue Data'!M:M)</f>
        <v>6.29</v>
      </c>
      <c r="K4179" t="s">
        <v>39</v>
      </c>
      <c r="L4179" t="str">
        <f>_xlfn.XLOOKUP(K4179,[2]analyte_order!$B:$B,[2]analyte_order!$C:$C)</f>
        <v>4151-50-2</v>
      </c>
      <c r="M4179">
        <f>_xlfn.XLOOKUP(L4179,[2]analyte_order!$C:$C,[2]analyte_order!$E:$E)</f>
        <v>31</v>
      </c>
      <c r="N4179">
        <v>7.6499999999999999E-2</v>
      </c>
    </row>
    <row r="4180" spans="1:14">
      <c r="A4180" t="s">
        <v>262</v>
      </c>
      <c r="B4180" t="str">
        <f>_xlfn.XLOOKUP(A4180,'[1]Tissue Data'!$A:$A,'[1]Tissue Data'!$C:$C)</f>
        <v>Spill</v>
      </c>
      <c r="C4180" s="2">
        <f>_xlfn.XLOOKUP(A4180,'[1]Tissue Data'!$A:$A,'[1]Tissue Data'!$D:$D)</f>
        <v>44393</v>
      </c>
      <c r="D4180" s="2" t="str">
        <f>_xlfn.XLOOKUP(A4180,'[1]Tissue Data'!$A:$A,'[1]Tissue Data'!$F:$F)</f>
        <v>Pumpkinseed</v>
      </c>
      <c r="E4180" t="str">
        <f>_xlfn.XLOOKUP(A4180,'[1]Tissue Data'!$A:$A,'[1]Tissue Data'!$H:$H)</f>
        <v>Lepomis</v>
      </c>
      <c r="F4180" t="str">
        <f>_xlfn.XLOOKUP(A4180,'[1]Tissue Data'!$A:$A,'[1]Tissue Data'!$I:$I)</f>
        <v>gibbosus</v>
      </c>
      <c r="G4180" t="str">
        <f>_xlfn.XLOOKUP(A4180,'[1]Tissue Data'!$A:$A,'[1]Tissue Data'!J:J)</f>
        <v>U</v>
      </c>
      <c r="H4180" t="str">
        <f>_xlfn.XLOOKUP(A4180,'[1]Tissue Data'!$A:$A,'[1]Tissue Data'!K:K)</f>
        <v>Whole Body</v>
      </c>
      <c r="I4180">
        <f>_xlfn.XLOOKUP(A4180,'[1]Tissue Data'!$A:$A,'[1]Tissue Data'!L:L)</f>
        <v>5</v>
      </c>
      <c r="J4180">
        <f>_xlfn.XLOOKUP(A4180,'[1]Tissue Data'!$A:$A,'[1]Tissue Data'!M:M)</f>
        <v>6.29</v>
      </c>
      <c r="K4180" t="s">
        <v>40</v>
      </c>
      <c r="L4180" t="str">
        <f>_xlfn.XLOOKUP(K4180,[2]analyte_order!$B:$B,[2]analyte_order!$C:$C)</f>
        <v>2806-24-8</v>
      </c>
      <c r="M4180">
        <f>_xlfn.XLOOKUP(L4180,[2]analyte_order!$C:$C,[2]analyte_order!$E:$E)</f>
        <v>29</v>
      </c>
      <c r="N4180">
        <v>5.1499999999999997E-2</v>
      </c>
    </row>
    <row r="4181" spans="1:14">
      <c r="A4181" t="s">
        <v>262</v>
      </c>
      <c r="B4181" t="str">
        <f>_xlfn.XLOOKUP(A4181,'[1]Tissue Data'!$A:$A,'[1]Tissue Data'!$C:$C)</f>
        <v>Spill</v>
      </c>
      <c r="C4181" s="2">
        <f>_xlfn.XLOOKUP(A4181,'[1]Tissue Data'!$A:$A,'[1]Tissue Data'!$D:$D)</f>
        <v>44393</v>
      </c>
      <c r="D4181" s="2" t="str">
        <f>_xlfn.XLOOKUP(A4181,'[1]Tissue Data'!$A:$A,'[1]Tissue Data'!$F:$F)</f>
        <v>Pumpkinseed</v>
      </c>
      <c r="E4181" t="str">
        <f>_xlfn.XLOOKUP(A4181,'[1]Tissue Data'!$A:$A,'[1]Tissue Data'!$H:$H)</f>
        <v>Lepomis</v>
      </c>
      <c r="F4181" t="str">
        <f>_xlfn.XLOOKUP(A4181,'[1]Tissue Data'!$A:$A,'[1]Tissue Data'!$I:$I)</f>
        <v>gibbosus</v>
      </c>
      <c r="G4181" t="str">
        <f>_xlfn.XLOOKUP(A4181,'[1]Tissue Data'!$A:$A,'[1]Tissue Data'!J:J)</f>
        <v>U</v>
      </c>
      <c r="H4181" t="str">
        <f>_xlfn.XLOOKUP(A4181,'[1]Tissue Data'!$A:$A,'[1]Tissue Data'!K:K)</f>
        <v>Whole Body</v>
      </c>
      <c r="I4181">
        <f>_xlfn.XLOOKUP(A4181,'[1]Tissue Data'!$A:$A,'[1]Tissue Data'!L:L)</f>
        <v>5</v>
      </c>
      <c r="J4181">
        <f>_xlfn.XLOOKUP(A4181,'[1]Tissue Data'!$A:$A,'[1]Tissue Data'!M:M)</f>
        <v>6.29</v>
      </c>
      <c r="K4181" t="s">
        <v>41</v>
      </c>
      <c r="L4181" t="str">
        <f>_xlfn.XLOOKUP(K4181,[2]analyte_order!$B:$B,[2]analyte_order!$C:$C)</f>
        <v>2355-31-9</v>
      </c>
      <c r="M4181">
        <f>_xlfn.XLOOKUP(L4181,[2]analyte_order!$C:$C,[2]analyte_order!$E:$E)</f>
        <v>26</v>
      </c>
      <c r="N4181">
        <v>0.2175</v>
      </c>
    </row>
    <row r="4182" spans="1:14">
      <c r="A4182" t="s">
        <v>262</v>
      </c>
      <c r="B4182" t="str">
        <f>_xlfn.XLOOKUP(A4182,'[1]Tissue Data'!$A:$A,'[1]Tissue Data'!$C:$C)</f>
        <v>Spill</v>
      </c>
      <c r="C4182" s="2">
        <f>_xlfn.XLOOKUP(A4182,'[1]Tissue Data'!$A:$A,'[1]Tissue Data'!$D:$D)</f>
        <v>44393</v>
      </c>
      <c r="D4182" s="2" t="str">
        <f>_xlfn.XLOOKUP(A4182,'[1]Tissue Data'!$A:$A,'[1]Tissue Data'!$F:$F)</f>
        <v>Pumpkinseed</v>
      </c>
      <c r="E4182" t="str">
        <f>_xlfn.XLOOKUP(A4182,'[1]Tissue Data'!$A:$A,'[1]Tissue Data'!$H:$H)</f>
        <v>Lepomis</v>
      </c>
      <c r="F4182" t="str">
        <f>_xlfn.XLOOKUP(A4182,'[1]Tissue Data'!$A:$A,'[1]Tissue Data'!$I:$I)</f>
        <v>gibbosus</v>
      </c>
      <c r="G4182" t="str">
        <f>_xlfn.XLOOKUP(A4182,'[1]Tissue Data'!$A:$A,'[1]Tissue Data'!J:J)</f>
        <v>U</v>
      </c>
      <c r="H4182" t="str">
        <f>_xlfn.XLOOKUP(A4182,'[1]Tissue Data'!$A:$A,'[1]Tissue Data'!K:K)</f>
        <v>Whole Body</v>
      </c>
      <c r="I4182">
        <f>_xlfn.XLOOKUP(A4182,'[1]Tissue Data'!$A:$A,'[1]Tissue Data'!L:L)</f>
        <v>5</v>
      </c>
      <c r="J4182">
        <f>_xlfn.XLOOKUP(A4182,'[1]Tissue Data'!$A:$A,'[1]Tissue Data'!M:M)</f>
        <v>6.29</v>
      </c>
      <c r="K4182" t="s">
        <v>42</v>
      </c>
      <c r="L4182" t="str">
        <f>_xlfn.XLOOKUP(K4182,[2]analyte_order!$B:$B,[2]analyte_order!$C:$C)</f>
        <v>2991-50-6</v>
      </c>
      <c r="M4182">
        <f>_xlfn.XLOOKUP(L4182,[2]analyte_order!$C:$C,[2]analyte_order!$E:$E)</f>
        <v>27</v>
      </c>
      <c r="N4182">
        <v>5.7000000000000002E-2</v>
      </c>
    </row>
    <row r="4183" spans="1:14">
      <c r="A4183" t="s">
        <v>262</v>
      </c>
      <c r="B4183" t="str">
        <f>_xlfn.XLOOKUP(A4183,'[1]Tissue Data'!$A:$A,'[1]Tissue Data'!$C:$C)</f>
        <v>Spill</v>
      </c>
      <c r="C4183" s="2">
        <f>_xlfn.XLOOKUP(A4183,'[1]Tissue Data'!$A:$A,'[1]Tissue Data'!$D:$D)</f>
        <v>44393</v>
      </c>
      <c r="D4183" s="2" t="str">
        <f>_xlfn.XLOOKUP(A4183,'[1]Tissue Data'!$A:$A,'[1]Tissue Data'!$F:$F)</f>
        <v>Pumpkinseed</v>
      </c>
      <c r="E4183" t="str">
        <f>_xlfn.XLOOKUP(A4183,'[1]Tissue Data'!$A:$A,'[1]Tissue Data'!$H:$H)</f>
        <v>Lepomis</v>
      </c>
      <c r="F4183" t="str">
        <f>_xlfn.XLOOKUP(A4183,'[1]Tissue Data'!$A:$A,'[1]Tissue Data'!$I:$I)</f>
        <v>gibbosus</v>
      </c>
      <c r="G4183" t="str">
        <f>_xlfn.XLOOKUP(A4183,'[1]Tissue Data'!$A:$A,'[1]Tissue Data'!J:J)</f>
        <v>U</v>
      </c>
      <c r="H4183" t="str">
        <f>_xlfn.XLOOKUP(A4183,'[1]Tissue Data'!$A:$A,'[1]Tissue Data'!K:K)</f>
        <v>Whole Body</v>
      </c>
      <c r="I4183">
        <f>_xlfn.XLOOKUP(A4183,'[1]Tissue Data'!$A:$A,'[1]Tissue Data'!L:L)</f>
        <v>5</v>
      </c>
      <c r="J4183">
        <f>_xlfn.XLOOKUP(A4183,'[1]Tissue Data'!$A:$A,'[1]Tissue Data'!M:M)</f>
        <v>6.29</v>
      </c>
      <c r="K4183" t="s">
        <v>43</v>
      </c>
      <c r="L4183" t="str">
        <f>_xlfn.XLOOKUP(K4183,[2]analyte_order!$B:$B,[2]analyte_order!$C:$C)</f>
        <v>757124-72-4</v>
      </c>
      <c r="M4183">
        <f>_xlfn.XLOOKUP(L4183,[2]analyte_order!$C:$C,[2]analyte_order!$E:$E)</f>
        <v>22</v>
      </c>
      <c r="N4183">
        <v>5.3999999999999999E-2</v>
      </c>
    </row>
    <row r="4184" spans="1:14">
      <c r="A4184" t="s">
        <v>262</v>
      </c>
      <c r="B4184" t="str">
        <f>_xlfn.XLOOKUP(A4184,'[1]Tissue Data'!$A:$A,'[1]Tissue Data'!$C:$C)</f>
        <v>Spill</v>
      </c>
      <c r="C4184" s="2">
        <f>_xlfn.XLOOKUP(A4184,'[1]Tissue Data'!$A:$A,'[1]Tissue Data'!$D:$D)</f>
        <v>44393</v>
      </c>
      <c r="D4184" s="2" t="str">
        <f>_xlfn.XLOOKUP(A4184,'[1]Tissue Data'!$A:$A,'[1]Tissue Data'!$F:$F)</f>
        <v>Pumpkinseed</v>
      </c>
      <c r="E4184" t="str">
        <f>_xlfn.XLOOKUP(A4184,'[1]Tissue Data'!$A:$A,'[1]Tissue Data'!$H:$H)</f>
        <v>Lepomis</v>
      </c>
      <c r="F4184" t="str">
        <f>_xlfn.XLOOKUP(A4184,'[1]Tissue Data'!$A:$A,'[1]Tissue Data'!$I:$I)</f>
        <v>gibbosus</v>
      </c>
      <c r="G4184" t="str">
        <f>_xlfn.XLOOKUP(A4184,'[1]Tissue Data'!$A:$A,'[1]Tissue Data'!J:J)</f>
        <v>U</v>
      </c>
      <c r="H4184" t="str">
        <f>_xlfn.XLOOKUP(A4184,'[1]Tissue Data'!$A:$A,'[1]Tissue Data'!K:K)</f>
        <v>Whole Body</v>
      </c>
      <c r="I4184">
        <f>_xlfn.XLOOKUP(A4184,'[1]Tissue Data'!$A:$A,'[1]Tissue Data'!L:L)</f>
        <v>5</v>
      </c>
      <c r="J4184">
        <f>_xlfn.XLOOKUP(A4184,'[1]Tissue Data'!$A:$A,'[1]Tissue Data'!M:M)</f>
        <v>6.29</v>
      </c>
      <c r="K4184" t="s">
        <v>44</v>
      </c>
      <c r="L4184" t="str">
        <f>_xlfn.XLOOKUP(K4184,[2]analyte_order!$B:$B,[2]analyte_order!$C:$C)</f>
        <v>27619-97-2</v>
      </c>
      <c r="M4184">
        <f>_xlfn.XLOOKUP(L4184,[2]analyte_order!$C:$C,[2]analyte_order!$E:$E)</f>
        <v>23</v>
      </c>
      <c r="N4184">
        <v>0.27800000000000002</v>
      </c>
    </row>
    <row r="4185" spans="1:14">
      <c r="A4185" t="s">
        <v>262</v>
      </c>
      <c r="B4185" t="str">
        <f>_xlfn.XLOOKUP(A4185,'[1]Tissue Data'!$A:$A,'[1]Tissue Data'!$C:$C)</f>
        <v>Spill</v>
      </c>
      <c r="C4185" s="2">
        <f>_xlfn.XLOOKUP(A4185,'[1]Tissue Data'!$A:$A,'[1]Tissue Data'!$D:$D)</f>
        <v>44393</v>
      </c>
      <c r="D4185" s="2" t="str">
        <f>_xlfn.XLOOKUP(A4185,'[1]Tissue Data'!$A:$A,'[1]Tissue Data'!$F:$F)</f>
        <v>Pumpkinseed</v>
      </c>
      <c r="E4185" t="str">
        <f>_xlfn.XLOOKUP(A4185,'[1]Tissue Data'!$A:$A,'[1]Tissue Data'!$H:$H)</f>
        <v>Lepomis</v>
      </c>
      <c r="F4185" t="str">
        <f>_xlfn.XLOOKUP(A4185,'[1]Tissue Data'!$A:$A,'[1]Tissue Data'!$I:$I)</f>
        <v>gibbosus</v>
      </c>
      <c r="G4185" t="str">
        <f>_xlfn.XLOOKUP(A4185,'[1]Tissue Data'!$A:$A,'[1]Tissue Data'!J:J)</f>
        <v>U</v>
      </c>
      <c r="H4185" t="str">
        <f>_xlfn.XLOOKUP(A4185,'[1]Tissue Data'!$A:$A,'[1]Tissue Data'!K:K)</f>
        <v>Whole Body</v>
      </c>
      <c r="I4185">
        <f>_xlfn.XLOOKUP(A4185,'[1]Tissue Data'!$A:$A,'[1]Tissue Data'!L:L)</f>
        <v>5</v>
      </c>
      <c r="J4185">
        <f>_xlfn.XLOOKUP(A4185,'[1]Tissue Data'!$A:$A,'[1]Tissue Data'!M:M)</f>
        <v>6.29</v>
      </c>
      <c r="K4185" t="s">
        <v>45</v>
      </c>
      <c r="L4185" t="str">
        <f>_xlfn.XLOOKUP(K4185,[2]analyte_order!$B:$B,[2]analyte_order!$C:$C)</f>
        <v>39108-34-4</v>
      </c>
      <c r="M4185">
        <f>_xlfn.XLOOKUP(L4185,[2]analyte_order!$C:$C,[2]analyte_order!$E:$E)</f>
        <v>24</v>
      </c>
      <c r="N4185">
        <v>1.58</v>
      </c>
    </row>
    <row r="4186" spans="1:14">
      <c r="A4186" t="s">
        <v>262</v>
      </c>
      <c r="B4186" t="str">
        <f>_xlfn.XLOOKUP(A4186,'[1]Tissue Data'!$A:$A,'[1]Tissue Data'!$C:$C)</f>
        <v>Spill</v>
      </c>
      <c r="C4186" s="2">
        <f>_xlfn.XLOOKUP(A4186,'[1]Tissue Data'!$A:$A,'[1]Tissue Data'!$D:$D)</f>
        <v>44393</v>
      </c>
      <c r="D4186" s="2" t="str">
        <f>_xlfn.XLOOKUP(A4186,'[1]Tissue Data'!$A:$A,'[1]Tissue Data'!$F:$F)</f>
        <v>Pumpkinseed</v>
      </c>
      <c r="E4186" t="str">
        <f>_xlfn.XLOOKUP(A4186,'[1]Tissue Data'!$A:$A,'[1]Tissue Data'!$H:$H)</f>
        <v>Lepomis</v>
      </c>
      <c r="F4186" t="str">
        <f>_xlfn.XLOOKUP(A4186,'[1]Tissue Data'!$A:$A,'[1]Tissue Data'!$I:$I)</f>
        <v>gibbosus</v>
      </c>
      <c r="G4186" t="str">
        <f>_xlfn.XLOOKUP(A4186,'[1]Tissue Data'!$A:$A,'[1]Tissue Data'!J:J)</f>
        <v>U</v>
      </c>
      <c r="H4186" t="str">
        <f>_xlfn.XLOOKUP(A4186,'[1]Tissue Data'!$A:$A,'[1]Tissue Data'!K:K)</f>
        <v>Whole Body</v>
      </c>
      <c r="I4186">
        <f>_xlfn.XLOOKUP(A4186,'[1]Tissue Data'!$A:$A,'[1]Tissue Data'!L:L)</f>
        <v>5</v>
      </c>
      <c r="J4186">
        <f>_xlfn.XLOOKUP(A4186,'[1]Tissue Data'!$A:$A,'[1]Tissue Data'!M:M)</f>
        <v>6.29</v>
      </c>
      <c r="K4186" t="s">
        <v>46</v>
      </c>
      <c r="L4186" t="str">
        <f>_xlfn.XLOOKUP(K4186,[2]analyte_order!$B:$B,[2]analyte_order!$C:$C)</f>
        <v>120226-60-0</v>
      </c>
      <c r="M4186">
        <f>_xlfn.XLOOKUP(L4186,[2]analyte_order!$C:$C,[2]analyte_order!$E:$E)</f>
        <v>25</v>
      </c>
      <c r="N4186">
        <v>7.4499999999999997E-2</v>
      </c>
    </row>
    <row r="4187" spans="1:14">
      <c r="A4187" t="s">
        <v>262</v>
      </c>
      <c r="B4187" t="str">
        <f>_xlfn.XLOOKUP(A4187,'[1]Tissue Data'!$A:$A,'[1]Tissue Data'!$C:$C)</f>
        <v>Spill</v>
      </c>
      <c r="C4187" s="2">
        <f>_xlfn.XLOOKUP(A4187,'[1]Tissue Data'!$A:$A,'[1]Tissue Data'!$D:$D)</f>
        <v>44393</v>
      </c>
      <c r="D4187" s="2" t="str">
        <f>_xlfn.XLOOKUP(A4187,'[1]Tissue Data'!$A:$A,'[1]Tissue Data'!$F:$F)</f>
        <v>Pumpkinseed</v>
      </c>
      <c r="E4187" t="str">
        <f>_xlfn.XLOOKUP(A4187,'[1]Tissue Data'!$A:$A,'[1]Tissue Data'!$H:$H)</f>
        <v>Lepomis</v>
      </c>
      <c r="F4187" t="str">
        <f>_xlfn.XLOOKUP(A4187,'[1]Tissue Data'!$A:$A,'[1]Tissue Data'!$I:$I)</f>
        <v>gibbosus</v>
      </c>
      <c r="G4187" t="str">
        <f>_xlfn.XLOOKUP(A4187,'[1]Tissue Data'!$A:$A,'[1]Tissue Data'!J:J)</f>
        <v>U</v>
      </c>
      <c r="H4187" t="str">
        <f>_xlfn.XLOOKUP(A4187,'[1]Tissue Data'!$A:$A,'[1]Tissue Data'!K:K)</f>
        <v>Whole Body</v>
      </c>
      <c r="I4187">
        <f>_xlfn.XLOOKUP(A4187,'[1]Tissue Data'!$A:$A,'[1]Tissue Data'!L:L)</f>
        <v>5</v>
      </c>
      <c r="J4187">
        <f>_xlfn.XLOOKUP(A4187,'[1]Tissue Data'!$A:$A,'[1]Tissue Data'!M:M)</f>
        <v>6.29</v>
      </c>
      <c r="K4187" t="s">
        <v>47</v>
      </c>
      <c r="L4187" t="str">
        <f>_xlfn.XLOOKUP(K4187,[2]analyte_order!$B:$B,[2]analyte_order!$C:$C)</f>
        <v>356-02-5</v>
      </c>
      <c r="M4187">
        <f>_xlfn.XLOOKUP(L4187,[2]analyte_order!$C:$C,[2]analyte_order!$E:$E)</f>
        <v>38</v>
      </c>
      <c r="N4187">
        <v>7.5499999999999998E-2</v>
      </c>
    </row>
    <row r="4188" spans="1:14">
      <c r="A4188" t="s">
        <v>262</v>
      </c>
      <c r="B4188" t="str">
        <f>_xlfn.XLOOKUP(A4188,'[1]Tissue Data'!$A:$A,'[1]Tissue Data'!$C:$C)</f>
        <v>Spill</v>
      </c>
      <c r="C4188" s="2">
        <f>_xlfn.XLOOKUP(A4188,'[1]Tissue Data'!$A:$A,'[1]Tissue Data'!$D:$D)</f>
        <v>44393</v>
      </c>
      <c r="D4188" s="2" t="str">
        <f>_xlfn.XLOOKUP(A4188,'[1]Tissue Data'!$A:$A,'[1]Tissue Data'!$F:$F)</f>
        <v>Pumpkinseed</v>
      </c>
      <c r="E4188" t="str">
        <f>_xlfn.XLOOKUP(A4188,'[1]Tissue Data'!$A:$A,'[1]Tissue Data'!$H:$H)</f>
        <v>Lepomis</v>
      </c>
      <c r="F4188" t="str">
        <f>_xlfn.XLOOKUP(A4188,'[1]Tissue Data'!$A:$A,'[1]Tissue Data'!$I:$I)</f>
        <v>gibbosus</v>
      </c>
      <c r="G4188" t="str">
        <f>_xlfn.XLOOKUP(A4188,'[1]Tissue Data'!$A:$A,'[1]Tissue Data'!J:J)</f>
        <v>U</v>
      </c>
      <c r="H4188" t="str">
        <f>_xlfn.XLOOKUP(A4188,'[1]Tissue Data'!$A:$A,'[1]Tissue Data'!K:K)</f>
        <v>Whole Body</v>
      </c>
      <c r="I4188">
        <f>_xlfn.XLOOKUP(A4188,'[1]Tissue Data'!$A:$A,'[1]Tissue Data'!L:L)</f>
        <v>5</v>
      </c>
      <c r="J4188">
        <f>_xlfn.XLOOKUP(A4188,'[1]Tissue Data'!$A:$A,'[1]Tissue Data'!M:M)</f>
        <v>6.29</v>
      </c>
      <c r="K4188" t="s">
        <v>48</v>
      </c>
      <c r="L4188" t="str">
        <f>_xlfn.XLOOKUP(K4188,[2]analyte_order!$B:$B,[2]analyte_order!$C:$C)</f>
        <v>914637-49-3</v>
      </c>
      <c r="M4188">
        <f>_xlfn.XLOOKUP(L4188,[2]analyte_order!$C:$C,[2]analyte_order!$E:$E)</f>
        <v>39</v>
      </c>
      <c r="N4188">
        <v>0.57999999999999996</v>
      </c>
    </row>
    <row r="4189" spans="1:14">
      <c r="A4189" t="s">
        <v>262</v>
      </c>
      <c r="B4189" t="str">
        <f>_xlfn.XLOOKUP(A4189,'[1]Tissue Data'!$A:$A,'[1]Tissue Data'!$C:$C)</f>
        <v>Spill</v>
      </c>
      <c r="C4189" s="2">
        <f>_xlfn.XLOOKUP(A4189,'[1]Tissue Data'!$A:$A,'[1]Tissue Data'!$D:$D)</f>
        <v>44393</v>
      </c>
      <c r="D4189" s="2" t="str">
        <f>_xlfn.XLOOKUP(A4189,'[1]Tissue Data'!$A:$A,'[1]Tissue Data'!$F:$F)</f>
        <v>Pumpkinseed</v>
      </c>
      <c r="E4189" t="str">
        <f>_xlfn.XLOOKUP(A4189,'[1]Tissue Data'!$A:$A,'[1]Tissue Data'!$H:$H)</f>
        <v>Lepomis</v>
      </c>
      <c r="F4189" t="str">
        <f>_xlfn.XLOOKUP(A4189,'[1]Tissue Data'!$A:$A,'[1]Tissue Data'!$I:$I)</f>
        <v>gibbosus</v>
      </c>
      <c r="G4189" t="str">
        <f>_xlfn.XLOOKUP(A4189,'[1]Tissue Data'!$A:$A,'[1]Tissue Data'!J:J)</f>
        <v>U</v>
      </c>
      <c r="H4189" t="str">
        <f>_xlfn.XLOOKUP(A4189,'[1]Tissue Data'!$A:$A,'[1]Tissue Data'!K:K)</f>
        <v>Whole Body</v>
      </c>
      <c r="I4189">
        <f>_xlfn.XLOOKUP(A4189,'[1]Tissue Data'!$A:$A,'[1]Tissue Data'!L:L)</f>
        <v>5</v>
      </c>
      <c r="J4189">
        <f>_xlfn.XLOOKUP(A4189,'[1]Tissue Data'!$A:$A,'[1]Tissue Data'!M:M)</f>
        <v>6.29</v>
      </c>
      <c r="K4189" t="s">
        <v>49</v>
      </c>
      <c r="L4189" t="str">
        <f>_xlfn.XLOOKUP(K4189,[2]analyte_order!$B:$B,[2]analyte_order!$C:$C)</f>
        <v>812-70-4</v>
      </c>
      <c r="M4189">
        <f>_xlfn.XLOOKUP(L4189,[2]analyte_order!$C:$C,[2]analyte_order!$E:$E)</f>
        <v>40</v>
      </c>
      <c r="N4189">
        <v>1.29</v>
      </c>
    </row>
    <row r="4190" spans="1:14">
      <c r="A4190" t="s">
        <v>262</v>
      </c>
      <c r="B4190" t="str">
        <f>_xlfn.XLOOKUP(A4190,'[1]Tissue Data'!$A:$A,'[1]Tissue Data'!$C:$C)</f>
        <v>Spill</v>
      </c>
      <c r="C4190" s="2">
        <f>_xlfn.XLOOKUP(A4190,'[1]Tissue Data'!$A:$A,'[1]Tissue Data'!$D:$D)</f>
        <v>44393</v>
      </c>
      <c r="D4190" s="2" t="str">
        <f>_xlfn.XLOOKUP(A4190,'[1]Tissue Data'!$A:$A,'[1]Tissue Data'!$F:$F)</f>
        <v>Pumpkinseed</v>
      </c>
      <c r="E4190" t="str">
        <f>_xlfn.XLOOKUP(A4190,'[1]Tissue Data'!$A:$A,'[1]Tissue Data'!$H:$H)</f>
        <v>Lepomis</v>
      </c>
      <c r="F4190" t="str">
        <f>_xlfn.XLOOKUP(A4190,'[1]Tissue Data'!$A:$A,'[1]Tissue Data'!$I:$I)</f>
        <v>gibbosus</v>
      </c>
      <c r="G4190" t="str">
        <f>_xlfn.XLOOKUP(A4190,'[1]Tissue Data'!$A:$A,'[1]Tissue Data'!J:J)</f>
        <v>U</v>
      </c>
      <c r="H4190" t="str">
        <f>_xlfn.XLOOKUP(A4190,'[1]Tissue Data'!$A:$A,'[1]Tissue Data'!K:K)</f>
        <v>Whole Body</v>
      </c>
      <c r="I4190">
        <f>_xlfn.XLOOKUP(A4190,'[1]Tissue Data'!$A:$A,'[1]Tissue Data'!L:L)</f>
        <v>5</v>
      </c>
      <c r="J4190">
        <f>_xlfn.XLOOKUP(A4190,'[1]Tissue Data'!$A:$A,'[1]Tissue Data'!M:M)</f>
        <v>6.29</v>
      </c>
      <c r="K4190" t="s">
        <v>50</v>
      </c>
      <c r="L4190" t="str">
        <f>_xlfn.XLOOKUP(K4190,[2]analyte_order!$B:$B,[2]analyte_order!$C:$C)</f>
        <v>53826-12-3</v>
      </c>
      <c r="M4190">
        <f>_xlfn.XLOOKUP(L4190,[2]analyte_order!$C:$C,[2]analyte_order!$E:$E)</f>
        <v>41</v>
      </c>
      <c r="N4190">
        <v>6.5500000000000003E-2</v>
      </c>
    </row>
    <row r="4191" spans="1:14">
      <c r="A4191" t="s">
        <v>262</v>
      </c>
      <c r="B4191" t="str">
        <f>_xlfn.XLOOKUP(A4191,'[1]Tissue Data'!$A:$A,'[1]Tissue Data'!$C:$C)</f>
        <v>Spill</v>
      </c>
      <c r="C4191" s="2">
        <f>_xlfn.XLOOKUP(A4191,'[1]Tissue Data'!$A:$A,'[1]Tissue Data'!$D:$D)</f>
        <v>44393</v>
      </c>
      <c r="D4191" s="2" t="str">
        <f>_xlfn.XLOOKUP(A4191,'[1]Tissue Data'!$A:$A,'[1]Tissue Data'!$F:$F)</f>
        <v>Pumpkinseed</v>
      </c>
      <c r="E4191" t="str">
        <f>_xlfn.XLOOKUP(A4191,'[1]Tissue Data'!$A:$A,'[1]Tissue Data'!$H:$H)</f>
        <v>Lepomis</v>
      </c>
      <c r="F4191" t="str">
        <f>_xlfn.XLOOKUP(A4191,'[1]Tissue Data'!$A:$A,'[1]Tissue Data'!$I:$I)</f>
        <v>gibbosus</v>
      </c>
      <c r="G4191" t="str">
        <f>_xlfn.XLOOKUP(A4191,'[1]Tissue Data'!$A:$A,'[1]Tissue Data'!J:J)</f>
        <v>U</v>
      </c>
      <c r="H4191" t="str">
        <f>_xlfn.XLOOKUP(A4191,'[1]Tissue Data'!$A:$A,'[1]Tissue Data'!K:K)</f>
        <v>Whole Body</v>
      </c>
      <c r="I4191">
        <f>_xlfn.XLOOKUP(A4191,'[1]Tissue Data'!$A:$A,'[1]Tissue Data'!L:L)</f>
        <v>5</v>
      </c>
      <c r="J4191">
        <f>_xlfn.XLOOKUP(A4191,'[1]Tissue Data'!$A:$A,'[1]Tissue Data'!M:M)</f>
        <v>6.29</v>
      </c>
      <c r="K4191" t="s">
        <v>51</v>
      </c>
      <c r="L4191" t="str">
        <f>_xlfn.XLOOKUP(K4191,[2]analyte_order!$B:$B,[2]analyte_order!$C:$C)</f>
        <v>27854-31-5</v>
      </c>
      <c r="M4191">
        <f>_xlfn.XLOOKUP(L4191,[2]analyte_order!$C:$C,[2]analyte_order!$E:$E)</f>
        <v>42</v>
      </c>
      <c r="N4191">
        <v>1.53</v>
      </c>
    </row>
    <row r="4192" spans="1:14">
      <c r="A4192" t="s">
        <v>262</v>
      </c>
      <c r="B4192" t="str">
        <f>_xlfn.XLOOKUP(A4192,'[1]Tissue Data'!$A:$A,'[1]Tissue Data'!$C:$C)</f>
        <v>Spill</v>
      </c>
      <c r="C4192" s="2">
        <f>_xlfn.XLOOKUP(A4192,'[1]Tissue Data'!$A:$A,'[1]Tissue Data'!$D:$D)</f>
        <v>44393</v>
      </c>
      <c r="D4192" s="2" t="str">
        <f>_xlfn.XLOOKUP(A4192,'[1]Tissue Data'!$A:$A,'[1]Tissue Data'!$F:$F)</f>
        <v>Pumpkinseed</v>
      </c>
      <c r="E4192" t="str">
        <f>_xlfn.XLOOKUP(A4192,'[1]Tissue Data'!$A:$A,'[1]Tissue Data'!$H:$H)</f>
        <v>Lepomis</v>
      </c>
      <c r="F4192" t="str">
        <f>_xlfn.XLOOKUP(A4192,'[1]Tissue Data'!$A:$A,'[1]Tissue Data'!$I:$I)</f>
        <v>gibbosus</v>
      </c>
      <c r="G4192" t="str">
        <f>_xlfn.XLOOKUP(A4192,'[1]Tissue Data'!$A:$A,'[1]Tissue Data'!J:J)</f>
        <v>U</v>
      </c>
      <c r="H4192" t="str">
        <f>_xlfn.XLOOKUP(A4192,'[1]Tissue Data'!$A:$A,'[1]Tissue Data'!K:K)</f>
        <v>Whole Body</v>
      </c>
      <c r="I4192">
        <f>_xlfn.XLOOKUP(A4192,'[1]Tissue Data'!$A:$A,'[1]Tissue Data'!L:L)</f>
        <v>5</v>
      </c>
      <c r="J4192">
        <f>_xlfn.XLOOKUP(A4192,'[1]Tissue Data'!$A:$A,'[1]Tissue Data'!M:M)</f>
        <v>6.29</v>
      </c>
      <c r="K4192" t="s">
        <v>52</v>
      </c>
      <c r="L4192" t="str">
        <f>_xlfn.XLOOKUP(K4192,[2]analyte_order!$B:$B,[2]analyte_order!$C:$C)</f>
        <v>53826-13-4</v>
      </c>
      <c r="M4192">
        <f>_xlfn.XLOOKUP(L4192,[2]analyte_order!$C:$C,[2]analyte_order!$E:$E)</f>
        <v>43</v>
      </c>
      <c r="N4192">
        <v>9.7500000000000003E-2</v>
      </c>
    </row>
    <row r="4193" spans="1:14">
      <c r="A4193" t="s">
        <v>262</v>
      </c>
      <c r="B4193" t="str">
        <f>_xlfn.XLOOKUP(A4193,'[1]Tissue Data'!$A:$A,'[1]Tissue Data'!$C:$C)</f>
        <v>Spill</v>
      </c>
      <c r="C4193" s="2">
        <f>_xlfn.XLOOKUP(A4193,'[1]Tissue Data'!$A:$A,'[1]Tissue Data'!$D:$D)</f>
        <v>44393</v>
      </c>
      <c r="D4193" s="2" t="str">
        <f>_xlfn.XLOOKUP(A4193,'[1]Tissue Data'!$A:$A,'[1]Tissue Data'!$F:$F)</f>
        <v>Pumpkinseed</v>
      </c>
      <c r="E4193" t="str">
        <f>_xlfn.XLOOKUP(A4193,'[1]Tissue Data'!$A:$A,'[1]Tissue Data'!$H:$H)</f>
        <v>Lepomis</v>
      </c>
      <c r="F4193" t="str">
        <f>_xlfn.XLOOKUP(A4193,'[1]Tissue Data'!$A:$A,'[1]Tissue Data'!$I:$I)</f>
        <v>gibbosus</v>
      </c>
      <c r="G4193" t="str">
        <f>_xlfn.XLOOKUP(A4193,'[1]Tissue Data'!$A:$A,'[1]Tissue Data'!J:J)</f>
        <v>U</v>
      </c>
      <c r="H4193" t="str">
        <f>_xlfn.XLOOKUP(A4193,'[1]Tissue Data'!$A:$A,'[1]Tissue Data'!K:K)</f>
        <v>Whole Body</v>
      </c>
      <c r="I4193">
        <f>_xlfn.XLOOKUP(A4193,'[1]Tissue Data'!$A:$A,'[1]Tissue Data'!L:L)</f>
        <v>5</v>
      </c>
      <c r="J4193">
        <f>_xlfn.XLOOKUP(A4193,'[1]Tissue Data'!$A:$A,'[1]Tissue Data'!M:M)</f>
        <v>6.29</v>
      </c>
      <c r="K4193" t="s">
        <v>53</v>
      </c>
      <c r="L4193" t="str">
        <f>_xlfn.XLOOKUP(K4193,[2]analyte_order!$B:$B,[2]analyte_order!$C:$C)</f>
        <v>161094-75-3</v>
      </c>
      <c r="M4193">
        <f>_xlfn.XLOOKUP(L4193,[2]analyte_order!$C:$C,[2]analyte_order!$E:$E)</f>
        <v>44</v>
      </c>
      <c r="N4193">
        <v>5.1499999999999997E-2</v>
      </c>
    </row>
    <row r="4194" spans="1:14">
      <c r="A4194" t="s">
        <v>262</v>
      </c>
      <c r="B4194" t="str">
        <f>_xlfn.XLOOKUP(A4194,'[1]Tissue Data'!$A:$A,'[1]Tissue Data'!$C:$C)</f>
        <v>Spill</v>
      </c>
      <c r="C4194" s="2">
        <f>_xlfn.XLOOKUP(A4194,'[1]Tissue Data'!$A:$A,'[1]Tissue Data'!$D:$D)</f>
        <v>44393</v>
      </c>
      <c r="D4194" s="2" t="str">
        <f>_xlfn.XLOOKUP(A4194,'[1]Tissue Data'!$A:$A,'[1]Tissue Data'!$F:$F)</f>
        <v>Pumpkinseed</v>
      </c>
      <c r="E4194" t="str">
        <f>_xlfn.XLOOKUP(A4194,'[1]Tissue Data'!$A:$A,'[1]Tissue Data'!$H:$H)</f>
        <v>Lepomis</v>
      </c>
      <c r="F4194" t="str">
        <f>_xlfn.XLOOKUP(A4194,'[1]Tissue Data'!$A:$A,'[1]Tissue Data'!$I:$I)</f>
        <v>gibbosus</v>
      </c>
      <c r="G4194" t="str">
        <f>_xlfn.XLOOKUP(A4194,'[1]Tissue Data'!$A:$A,'[1]Tissue Data'!J:J)</f>
        <v>U</v>
      </c>
      <c r="H4194" t="str">
        <f>_xlfn.XLOOKUP(A4194,'[1]Tissue Data'!$A:$A,'[1]Tissue Data'!K:K)</f>
        <v>Whole Body</v>
      </c>
      <c r="I4194">
        <f>_xlfn.XLOOKUP(A4194,'[1]Tissue Data'!$A:$A,'[1]Tissue Data'!L:L)</f>
        <v>5</v>
      </c>
      <c r="J4194">
        <f>_xlfn.XLOOKUP(A4194,'[1]Tissue Data'!$A:$A,'[1]Tissue Data'!M:M)</f>
        <v>6.29</v>
      </c>
      <c r="K4194" t="s">
        <v>54</v>
      </c>
      <c r="L4194" t="str">
        <f>_xlfn.XLOOKUP(K4194,[2]analyte_order!$B:$B,[2]analyte_order!$C:$C)</f>
        <v>70887-84-2</v>
      </c>
      <c r="M4194">
        <f>_xlfn.XLOOKUP(L4194,[2]analyte_order!$C:$C,[2]analyte_order!$E:$E)</f>
        <v>45</v>
      </c>
      <c r="N4194">
        <v>3.9550000000000002E-2</v>
      </c>
    </row>
    <row r="4195" spans="1:14">
      <c r="A4195" t="s">
        <v>262</v>
      </c>
      <c r="B4195" t="str">
        <f>_xlfn.XLOOKUP(A4195,'[1]Tissue Data'!$A:$A,'[1]Tissue Data'!$C:$C)</f>
        <v>Spill</v>
      </c>
      <c r="C4195" s="2">
        <f>_xlfn.XLOOKUP(A4195,'[1]Tissue Data'!$A:$A,'[1]Tissue Data'!$D:$D)</f>
        <v>44393</v>
      </c>
      <c r="D4195" s="2" t="str">
        <f>_xlfn.XLOOKUP(A4195,'[1]Tissue Data'!$A:$A,'[1]Tissue Data'!$F:$F)</f>
        <v>Pumpkinseed</v>
      </c>
      <c r="E4195" t="str">
        <f>_xlfn.XLOOKUP(A4195,'[1]Tissue Data'!$A:$A,'[1]Tissue Data'!$H:$H)</f>
        <v>Lepomis</v>
      </c>
      <c r="F4195" t="str">
        <f>_xlfn.XLOOKUP(A4195,'[1]Tissue Data'!$A:$A,'[1]Tissue Data'!$I:$I)</f>
        <v>gibbosus</v>
      </c>
      <c r="G4195" t="str">
        <f>_xlfn.XLOOKUP(A4195,'[1]Tissue Data'!$A:$A,'[1]Tissue Data'!J:J)</f>
        <v>U</v>
      </c>
      <c r="H4195" t="str">
        <f>_xlfn.XLOOKUP(A4195,'[1]Tissue Data'!$A:$A,'[1]Tissue Data'!K:K)</f>
        <v>Whole Body</v>
      </c>
      <c r="I4195">
        <f>_xlfn.XLOOKUP(A4195,'[1]Tissue Data'!$A:$A,'[1]Tissue Data'!L:L)</f>
        <v>5</v>
      </c>
      <c r="J4195">
        <f>_xlfn.XLOOKUP(A4195,'[1]Tissue Data'!$A:$A,'[1]Tissue Data'!M:M)</f>
        <v>6.29</v>
      </c>
      <c r="K4195" t="s">
        <v>55</v>
      </c>
      <c r="L4195" t="str">
        <f>_xlfn.XLOOKUP(K4195,[2]analyte_order!$B:$B,[2]analyte_order!$C:$C)</f>
        <v>919005-14-4</v>
      </c>
      <c r="M4195">
        <f>_xlfn.XLOOKUP(L4195,[2]analyte_order!$C:$C,[2]analyte_order!$E:$E)</f>
        <v>35</v>
      </c>
      <c r="N4195">
        <v>6.5500000000000003E-2</v>
      </c>
    </row>
    <row r="4196" spans="1:14">
      <c r="A4196" t="s">
        <v>262</v>
      </c>
      <c r="B4196" t="str">
        <f>_xlfn.XLOOKUP(A4196,'[1]Tissue Data'!$A:$A,'[1]Tissue Data'!$C:$C)</f>
        <v>Spill</v>
      </c>
      <c r="C4196" s="2">
        <f>_xlfn.XLOOKUP(A4196,'[1]Tissue Data'!$A:$A,'[1]Tissue Data'!$D:$D)</f>
        <v>44393</v>
      </c>
      <c r="D4196" s="2" t="str">
        <f>_xlfn.XLOOKUP(A4196,'[1]Tissue Data'!$A:$A,'[1]Tissue Data'!$F:$F)</f>
        <v>Pumpkinseed</v>
      </c>
      <c r="E4196" t="str">
        <f>_xlfn.XLOOKUP(A4196,'[1]Tissue Data'!$A:$A,'[1]Tissue Data'!$H:$H)</f>
        <v>Lepomis</v>
      </c>
      <c r="F4196" t="str">
        <f>_xlfn.XLOOKUP(A4196,'[1]Tissue Data'!$A:$A,'[1]Tissue Data'!$I:$I)</f>
        <v>gibbosus</v>
      </c>
      <c r="G4196" t="str">
        <f>_xlfn.XLOOKUP(A4196,'[1]Tissue Data'!$A:$A,'[1]Tissue Data'!J:J)</f>
        <v>U</v>
      </c>
      <c r="H4196" t="str">
        <f>_xlfn.XLOOKUP(A4196,'[1]Tissue Data'!$A:$A,'[1]Tissue Data'!K:K)</f>
        <v>Whole Body</v>
      </c>
      <c r="I4196">
        <f>_xlfn.XLOOKUP(A4196,'[1]Tissue Data'!$A:$A,'[1]Tissue Data'!L:L)</f>
        <v>5</v>
      </c>
      <c r="J4196">
        <f>_xlfn.XLOOKUP(A4196,'[1]Tissue Data'!$A:$A,'[1]Tissue Data'!M:M)</f>
        <v>6.29</v>
      </c>
      <c r="K4196" t="s">
        <v>56</v>
      </c>
      <c r="L4196" t="str">
        <f>_xlfn.XLOOKUP(K4196,[2]analyte_order!$B:$B,[2]analyte_order!$C:$C)</f>
        <v>756426-58-1</v>
      </c>
      <c r="M4196">
        <f>_xlfn.XLOOKUP(L4196,[2]analyte_order!$C:$C,[2]analyte_order!$E:$E)</f>
        <v>36</v>
      </c>
      <c r="N4196">
        <v>6.5500000000000003E-2</v>
      </c>
    </row>
    <row r="4197" spans="1:14">
      <c r="A4197" t="s">
        <v>262</v>
      </c>
      <c r="B4197" t="str">
        <f>_xlfn.XLOOKUP(A4197,'[1]Tissue Data'!$A:$A,'[1]Tissue Data'!$C:$C)</f>
        <v>Spill</v>
      </c>
      <c r="C4197" s="2">
        <f>_xlfn.XLOOKUP(A4197,'[1]Tissue Data'!$A:$A,'[1]Tissue Data'!$D:$D)</f>
        <v>44393</v>
      </c>
      <c r="D4197" s="2" t="str">
        <f>_xlfn.XLOOKUP(A4197,'[1]Tissue Data'!$A:$A,'[1]Tissue Data'!$F:$F)</f>
        <v>Pumpkinseed</v>
      </c>
      <c r="E4197" t="str">
        <f>_xlfn.XLOOKUP(A4197,'[1]Tissue Data'!$A:$A,'[1]Tissue Data'!$H:$H)</f>
        <v>Lepomis</v>
      </c>
      <c r="F4197" t="str">
        <f>_xlfn.XLOOKUP(A4197,'[1]Tissue Data'!$A:$A,'[1]Tissue Data'!$I:$I)</f>
        <v>gibbosus</v>
      </c>
      <c r="G4197" t="str">
        <f>_xlfn.XLOOKUP(A4197,'[1]Tissue Data'!$A:$A,'[1]Tissue Data'!J:J)</f>
        <v>U</v>
      </c>
      <c r="H4197" t="str">
        <f>_xlfn.XLOOKUP(A4197,'[1]Tissue Data'!$A:$A,'[1]Tissue Data'!K:K)</f>
        <v>Whole Body</v>
      </c>
      <c r="I4197">
        <f>_xlfn.XLOOKUP(A4197,'[1]Tissue Data'!$A:$A,'[1]Tissue Data'!L:L)</f>
        <v>5</v>
      </c>
      <c r="J4197">
        <f>_xlfn.XLOOKUP(A4197,'[1]Tissue Data'!$A:$A,'[1]Tissue Data'!M:M)</f>
        <v>6.29</v>
      </c>
      <c r="K4197" t="s">
        <v>57</v>
      </c>
      <c r="L4197" t="str">
        <f>_xlfn.XLOOKUP(K4197,[2]analyte_order!$B:$B,[2]analyte_order!$C:$C)</f>
        <v>763051-92-9</v>
      </c>
      <c r="M4197">
        <f>_xlfn.XLOOKUP(L4197,[2]analyte_order!$C:$C,[2]analyte_order!$E:$E)</f>
        <v>37</v>
      </c>
      <c r="N4197">
        <v>6.5500000000000003E-2</v>
      </c>
    </row>
    <row r="4198" spans="1:14">
      <c r="A4198" t="s">
        <v>262</v>
      </c>
      <c r="B4198" t="str">
        <f>_xlfn.XLOOKUP(A4198,'[1]Tissue Data'!$A:$A,'[1]Tissue Data'!$C:$C)</f>
        <v>Spill</v>
      </c>
      <c r="C4198" s="2">
        <f>_xlfn.XLOOKUP(A4198,'[1]Tissue Data'!$A:$A,'[1]Tissue Data'!$D:$D)</f>
        <v>44393</v>
      </c>
      <c r="D4198" s="2" t="str">
        <f>_xlfn.XLOOKUP(A4198,'[1]Tissue Data'!$A:$A,'[1]Tissue Data'!$F:$F)</f>
        <v>Pumpkinseed</v>
      </c>
      <c r="E4198" t="str">
        <f>_xlfn.XLOOKUP(A4198,'[1]Tissue Data'!$A:$A,'[1]Tissue Data'!$H:$H)</f>
        <v>Lepomis</v>
      </c>
      <c r="F4198" t="str">
        <f>_xlfn.XLOOKUP(A4198,'[1]Tissue Data'!$A:$A,'[1]Tissue Data'!$I:$I)</f>
        <v>gibbosus</v>
      </c>
      <c r="G4198" t="str">
        <f>_xlfn.XLOOKUP(A4198,'[1]Tissue Data'!$A:$A,'[1]Tissue Data'!J:J)</f>
        <v>U</v>
      </c>
      <c r="H4198" t="str">
        <f>_xlfn.XLOOKUP(A4198,'[1]Tissue Data'!$A:$A,'[1]Tissue Data'!K:K)</f>
        <v>Whole Body</v>
      </c>
      <c r="I4198">
        <f>_xlfn.XLOOKUP(A4198,'[1]Tissue Data'!$A:$A,'[1]Tissue Data'!L:L)</f>
        <v>5</v>
      </c>
      <c r="J4198">
        <f>_xlfn.XLOOKUP(A4198,'[1]Tissue Data'!$A:$A,'[1]Tissue Data'!M:M)</f>
        <v>6.29</v>
      </c>
      <c r="K4198" t="s">
        <v>58</v>
      </c>
      <c r="L4198" t="str">
        <f>_xlfn.XLOOKUP(K4198,[2]analyte_order!$B:$B,[2]analyte_order!$C:$C)</f>
        <v>13252-13-6</v>
      </c>
      <c r="M4198">
        <f>_xlfn.XLOOKUP(L4198,[2]analyte_order!$C:$C,[2]analyte_order!$E:$E)</f>
        <v>34</v>
      </c>
      <c r="N4198">
        <v>9.4E-2</v>
      </c>
    </row>
    <row r="4199" spans="1:14">
      <c r="A4199" t="s">
        <v>262</v>
      </c>
      <c r="B4199" t="str">
        <f>_xlfn.XLOOKUP(A4199,'[1]Tissue Data'!$A:$A,'[1]Tissue Data'!$C:$C)</f>
        <v>Spill</v>
      </c>
      <c r="C4199" s="2">
        <f>_xlfn.XLOOKUP(A4199,'[1]Tissue Data'!$A:$A,'[1]Tissue Data'!$D:$D)</f>
        <v>44393</v>
      </c>
      <c r="D4199" s="2" t="str">
        <f>_xlfn.XLOOKUP(A4199,'[1]Tissue Data'!$A:$A,'[1]Tissue Data'!$F:$F)</f>
        <v>Pumpkinseed</v>
      </c>
      <c r="E4199" t="str">
        <f>_xlfn.XLOOKUP(A4199,'[1]Tissue Data'!$A:$A,'[1]Tissue Data'!$H:$H)</f>
        <v>Lepomis</v>
      </c>
      <c r="F4199" t="str">
        <f>_xlfn.XLOOKUP(A4199,'[1]Tissue Data'!$A:$A,'[1]Tissue Data'!$I:$I)</f>
        <v>gibbosus</v>
      </c>
      <c r="G4199" t="str">
        <f>_xlfn.XLOOKUP(A4199,'[1]Tissue Data'!$A:$A,'[1]Tissue Data'!J:J)</f>
        <v>U</v>
      </c>
      <c r="H4199" t="str">
        <f>_xlfn.XLOOKUP(A4199,'[1]Tissue Data'!$A:$A,'[1]Tissue Data'!K:K)</f>
        <v>Whole Body</v>
      </c>
      <c r="I4199">
        <f>_xlfn.XLOOKUP(A4199,'[1]Tissue Data'!$A:$A,'[1]Tissue Data'!L:L)</f>
        <v>5</v>
      </c>
      <c r="J4199">
        <f>_xlfn.XLOOKUP(A4199,'[1]Tissue Data'!$A:$A,'[1]Tissue Data'!M:M)</f>
        <v>6.29</v>
      </c>
      <c r="K4199" t="s">
        <v>59</v>
      </c>
      <c r="L4199" t="str">
        <f>_xlfn.XLOOKUP(K4199,[2]analyte_order!$B:$B,[2]analyte_order!$C:$C)</f>
        <v>57677-95-9</v>
      </c>
      <c r="M4199">
        <f>_xlfn.XLOOKUP(L4199,[2]analyte_order!$C:$C,[2]analyte_order!$E:$E)</f>
        <v>46</v>
      </c>
      <c r="N4199">
        <v>6.9500000000000006E-2</v>
      </c>
    </row>
    <row r="4200" spans="1:14">
      <c r="A4200" t="s">
        <v>262</v>
      </c>
      <c r="B4200" t="str">
        <f>_xlfn.XLOOKUP(A4200,'[1]Tissue Data'!$A:$A,'[1]Tissue Data'!$C:$C)</f>
        <v>Spill</v>
      </c>
      <c r="C4200" s="2">
        <f>_xlfn.XLOOKUP(A4200,'[1]Tissue Data'!$A:$A,'[1]Tissue Data'!$D:$D)</f>
        <v>44393</v>
      </c>
      <c r="D4200" s="2" t="str">
        <f>_xlfn.XLOOKUP(A4200,'[1]Tissue Data'!$A:$A,'[1]Tissue Data'!$F:$F)</f>
        <v>Pumpkinseed</v>
      </c>
      <c r="E4200" t="str">
        <f>_xlfn.XLOOKUP(A4200,'[1]Tissue Data'!$A:$A,'[1]Tissue Data'!$H:$H)</f>
        <v>Lepomis</v>
      </c>
      <c r="F4200" t="str">
        <f>_xlfn.XLOOKUP(A4200,'[1]Tissue Data'!$A:$A,'[1]Tissue Data'!$I:$I)</f>
        <v>gibbosus</v>
      </c>
      <c r="G4200" t="str">
        <f>_xlfn.XLOOKUP(A4200,'[1]Tissue Data'!$A:$A,'[1]Tissue Data'!J:J)</f>
        <v>U</v>
      </c>
      <c r="H4200" t="str">
        <f>_xlfn.XLOOKUP(A4200,'[1]Tissue Data'!$A:$A,'[1]Tissue Data'!K:K)</f>
        <v>Whole Body</v>
      </c>
      <c r="I4200">
        <f>_xlfn.XLOOKUP(A4200,'[1]Tissue Data'!$A:$A,'[1]Tissue Data'!L:L)</f>
        <v>5</v>
      </c>
      <c r="J4200">
        <f>_xlfn.XLOOKUP(A4200,'[1]Tissue Data'!$A:$A,'[1]Tissue Data'!M:M)</f>
        <v>6.29</v>
      </c>
      <c r="K4200" t="s">
        <v>60</v>
      </c>
      <c r="L4200" t="str">
        <f>_xlfn.XLOOKUP(K4200,[2]analyte_order!$B:$B,[2]analyte_order!$C:$C)</f>
        <v>678-41-1</v>
      </c>
      <c r="M4200">
        <f>_xlfn.XLOOKUP(L4200,[2]analyte_order!$C:$C,[2]analyte_order!$E:$E)</f>
        <v>56</v>
      </c>
      <c r="N4200">
        <v>8.6999999999999994E-2</v>
      </c>
    </row>
    <row r="4201" spans="1:14">
      <c r="A4201" t="s">
        <v>262</v>
      </c>
      <c r="B4201" t="str">
        <f>_xlfn.XLOOKUP(A4201,'[1]Tissue Data'!$A:$A,'[1]Tissue Data'!$C:$C)</f>
        <v>Spill</v>
      </c>
      <c r="C4201" s="2">
        <f>_xlfn.XLOOKUP(A4201,'[1]Tissue Data'!$A:$A,'[1]Tissue Data'!$D:$D)</f>
        <v>44393</v>
      </c>
      <c r="D4201" s="2" t="str">
        <f>_xlfn.XLOOKUP(A4201,'[1]Tissue Data'!$A:$A,'[1]Tissue Data'!$F:$F)</f>
        <v>Pumpkinseed</v>
      </c>
      <c r="E4201" t="str">
        <f>_xlfn.XLOOKUP(A4201,'[1]Tissue Data'!$A:$A,'[1]Tissue Data'!$H:$H)</f>
        <v>Lepomis</v>
      </c>
      <c r="F4201" t="str">
        <f>_xlfn.XLOOKUP(A4201,'[1]Tissue Data'!$A:$A,'[1]Tissue Data'!$I:$I)</f>
        <v>gibbosus</v>
      </c>
      <c r="G4201" t="str">
        <f>_xlfn.XLOOKUP(A4201,'[1]Tissue Data'!$A:$A,'[1]Tissue Data'!J:J)</f>
        <v>U</v>
      </c>
      <c r="H4201" t="str">
        <f>_xlfn.XLOOKUP(A4201,'[1]Tissue Data'!$A:$A,'[1]Tissue Data'!K:K)</f>
        <v>Whole Body</v>
      </c>
      <c r="I4201">
        <f>_xlfn.XLOOKUP(A4201,'[1]Tissue Data'!$A:$A,'[1]Tissue Data'!L:L)</f>
        <v>5</v>
      </c>
      <c r="J4201">
        <f>_xlfn.XLOOKUP(A4201,'[1]Tissue Data'!$A:$A,'[1]Tissue Data'!M:M)</f>
        <v>6.29</v>
      </c>
      <c r="K4201" t="s">
        <v>61</v>
      </c>
      <c r="L4201" t="str">
        <f>_xlfn.XLOOKUP(K4201,[2]analyte_order!$B:$B,[2]analyte_order!$C:$C)</f>
        <v>2965-52-8</v>
      </c>
      <c r="M4201">
        <f>_xlfn.XLOOKUP(L4201,[2]analyte_order!$C:$C,[2]analyte_order!$E:$E)</f>
        <v>57</v>
      </c>
      <c r="N4201">
        <v>0.115</v>
      </c>
    </row>
    <row r="4202" spans="1:14">
      <c r="A4202" t="s">
        <v>263</v>
      </c>
      <c r="B4202" t="str">
        <f>_xlfn.XLOOKUP(A4202,'[1]Tissue Data'!$A:$A,'[1]Tissue Data'!$C:$C)</f>
        <v>Spill</v>
      </c>
      <c r="C4202" s="2">
        <f>_xlfn.XLOOKUP(A4202,'[1]Tissue Data'!$A:$A,'[1]Tissue Data'!$D:$D)</f>
        <v>44393</v>
      </c>
      <c r="D4202" s="2" t="str">
        <f>_xlfn.XLOOKUP(A4202,'[1]Tissue Data'!$A:$A,'[1]Tissue Data'!$F:$F)</f>
        <v>Pumpkinseed</v>
      </c>
      <c r="E4202" t="str">
        <f>_xlfn.XLOOKUP(A4202,'[1]Tissue Data'!$A:$A,'[1]Tissue Data'!$H:$H)</f>
        <v>Lepomis</v>
      </c>
      <c r="F4202" t="str">
        <f>_xlfn.XLOOKUP(A4202,'[1]Tissue Data'!$A:$A,'[1]Tissue Data'!$I:$I)</f>
        <v>gibbosus</v>
      </c>
      <c r="G4202" t="str">
        <f>_xlfn.XLOOKUP(A4202,'[1]Tissue Data'!$A:$A,'[1]Tissue Data'!J:J)</f>
        <v>U</v>
      </c>
      <c r="H4202" t="str">
        <f>_xlfn.XLOOKUP(A4202,'[1]Tissue Data'!$A:$A,'[1]Tissue Data'!K:K)</f>
        <v>Whole Body</v>
      </c>
      <c r="I4202">
        <f>_xlfn.XLOOKUP(A4202,'[1]Tissue Data'!$A:$A,'[1]Tissue Data'!L:L)</f>
        <v>7.5</v>
      </c>
      <c r="J4202">
        <f>_xlfn.XLOOKUP(A4202,'[1]Tissue Data'!$A:$A,'[1]Tissue Data'!M:M)</f>
        <v>10.95</v>
      </c>
      <c r="K4202" t="s">
        <v>12</v>
      </c>
      <c r="L4202" t="str">
        <f>_xlfn.XLOOKUP(K4202,[2]analyte_order!$B:$B,[2]analyte_order!$C:$C)</f>
        <v>375-22-4</v>
      </c>
      <c r="M4202">
        <f>_xlfn.XLOOKUP(L4202,[2]analyte_order!$C:$C,[2]analyte_order!$E:$E)</f>
        <v>1</v>
      </c>
      <c r="N4202">
        <v>6.7500000000000004E-2</v>
      </c>
    </row>
    <row r="4203" spans="1:14">
      <c r="A4203" t="s">
        <v>263</v>
      </c>
      <c r="B4203" t="str">
        <f>_xlfn.XLOOKUP(A4203,'[1]Tissue Data'!$A:$A,'[1]Tissue Data'!$C:$C)</f>
        <v>Spill</v>
      </c>
      <c r="C4203" s="2">
        <f>_xlfn.XLOOKUP(A4203,'[1]Tissue Data'!$A:$A,'[1]Tissue Data'!$D:$D)</f>
        <v>44393</v>
      </c>
      <c r="D4203" s="2" t="str">
        <f>_xlfn.XLOOKUP(A4203,'[1]Tissue Data'!$A:$A,'[1]Tissue Data'!$F:$F)</f>
        <v>Pumpkinseed</v>
      </c>
      <c r="E4203" t="str">
        <f>_xlfn.XLOOKUP(A4203,'[1]Tissue Data'!$A:$A,'[1]Tissue Data'!$H:$H)</f>
        <v>Lepomis</v>
      </c>
      <c r="F4203" t="str">
        <f>_xlfn.XLOOKUP(A4203,'[1]Tissue Data'!$A:$A,'[1]Tissue Data'!$I:$I)</f>
        <v>gibbosus</v>
      </c>
      <c r="G4203" t="str">
        <f>_xlfn.XLOOKUP(A4203,'[1]Tissue Data'!$A:$A,'[1]Tissue Data'!J:J)</f>
        <v>U</v>
      </c>
      <c r="H4203" t="str">
        <f>_xlfn.XLOOKUP(A4203,'[1]Tissue Data'!$A:$A,'[1]Tissue Data'!K:K)</f>
        <v>Whole Body</v>
      </c>
      <c r="I4203">
        <f>_xlfn.XLOOKUP(A4203,'[1]Tissue Data'!$A:$A,'[1]Tissue Data'!L:L)</f>
        <v>7.5</v>
      </c>
      <c r="J4203">
        <f>_xlfn.XLOOKUP(A4203,'[1]Tissue Data'!$A:$A,'[1]Tissue Data'!M:M)</f>
        <v>10.95</v>
      </c>
      <c r="K4203" t="s">
        <v>13</v>
      </c>
      <c r="L4203" t="str">
        <f>_xlfn.XLOOKUP(K4203,[2]analyte_order!$B:$B,[2]analyte_order!$C:$C)</f>
        <v>2706-90-3</v>
      </c>
      <c r="M4203">
        <f>_xlfn.XLOOKUP(L4203,[2]analyte_order!$C:$C,[2]analyte_order!$E:$E)</f>
        <v>2</v>
      </c>
      <c r="N4203">
        <v>4.7600000000000003E-2</v>
      </c>
    </row>
    <row r="4204" spans="1:14">
      <c r="A4204" t="s">
        <v>263</v>
      </c>
      <c r="B4204" t="str">
        <f>_xlfn.XLOOKUP(A4204,'[1]Tissue Data'!$A:$A,'[1]Tissue Data'!$C:$C)</f>
        <v>Spill</v>
      </c>
      <c r="C4204" s="2">
        <f>_xlfn.XLOOKUP(A4204,'[1]Tissue Data'!$A:$A,'[1]Tissue Data'!$D:$D)</f>
        <v>44393</v>
      </c>
      <c r="D4204" s="2" t="str">
        <f>_xlfn.XLOOKUP(A4204,'[1]Tissue Data'!$A:$A,'[1]Tissue Data'!$F:$F)</f>
        <v>Pumpkinseed</v>
      </c>
      <c r="E4204" t="str">
        <f>_xlfn.XLOOKUP(A4204,'[1]Tissue Data'!$A:$A,'[1]Tissue Data'!$H:$H)</f>
        <v>Lepomis</v>
      </c>
      <c r="F4204" t="str">
        <f>_xlfn.XLOOKUP(A4204,'[1]Tissue Data'!$A:$A,'[1]Tissue Data'!$I:$I)</f>
        <v>gibbosus</v>
      </c>
      <c r="G4204" t="str">
        <f>_xlfn.XLOOKUP(A4204,'[1]Tissue Data'!$A:$A,'[1]Tissue Data'!J:J)</f>
        <v>U</v>
      </c>
      <c r="H4204" t="str">
        <f>_xlfn.XLOOKUP(A4204,'[1]Tissue Data'!$A:$A,'[1]Tissue Data'!K:K)</f>
        <v>Whole Body</v>
      </c>
      <c r="I4204">
        <f>_xlfn.XLOOKUP(A4204,'[1]Tissue Data'!$A:$A,'[1]Tissue Data'!L:L)</f>
        <v>7.5</v>
      </c>
      <c r="J4204">
        <f>_xlfn.XLOOKUP(A4204,'[1]Tissue Data'!$A:$A,'[1]Tissue Data'!M:M)</f>
        <v>10.95</v>
      </c>
      <c r="K4204" t="s">
        <v>14</v>
      </c>
      <c r="L4204" t="str">
        <f>_xlfn.XLOOKUP(K4204,[2]analyte_order!$B:$B,[2]analyte_order!$C:$C)</f>
        <v>307-24-4</v>
      </c>
      <c r="M4204">
        <f>_xlfn.XLOOKUP(L4204,[2]analyte_order!$C:$C,[2]analyte_order!$E:$E)</f>
        <v>3</v>
      </c>
      <c r="N4204">
        <v>0.12</v>
      </c>
    </row>
    <row r="4205" spans="1:14">
      <c r="A4205" t="s">
        <v>263</v>
      </c>
      <c r="B4205" t="str">
        <f>_xlfn.XLOOKUP(A4205,'[1]Tissue Data'!$A:$A,'[1]Tissue Data'!$C:$C)</f>
        <v>Spill</v>
      </c>
      <c r="C4205" s="2">
        <f>_xlfn.XLOOKUP(A4205,'[1]Tissue Data'!$A:$A,'[1]Tissue Data'!$D:$D)</f>
        <v>44393</v>
      </c>
      <c r="D4205" s="2" t="str">
        <f>_xlfn.XLOOKUP(A4205,'[1]Tissue Data'!$A:$A,'[1]Tissue Data'!$F:$F)</f>
        <v>Pumpkinseed</v>
      </c>
      <c r="E4205" t="str">
        <f>_xlfn.XLOOKUP(A4205,'[1]Tissue Data'!$A:$A,'[1]Tissue Data'!$H:$H)</f>
        <v>Lepomis</v>
      </c>
      <c r="F4205" t="str">
        <f>_xlfn.XLOOKUP(A4205,'[1]Tissue Data'!$A:$A,'[1]Tissue Data'!$I:$I)</f>
        <v>gibbosus</v>
      </c>
      <c r="G4205" t="str">
        <f>_xlfn.XLOOKUP(A4205,'[1]Tissue Data'!$A:$A,'[1]Tissue Data'!J:J)</f>
        <v>U</v>
      </c>
      <c r="H4205" t="str">
        <f>_xlfn.XLOOKUP(A4205,'[1]Tissue Data'!$A:$A,'[1]Tissue Data'!K:K)</f>
        <v>Whole Body</v>
      </c>
      <c r="I4205">
        <f>_xlfn.XLOOKUP(A4205,'[1]Tissue Data'!$A:$A,'[1]Tissue Data'!L:L)</f>
        <v>7.5</v>
      </c>
      <c r="J4205">
        <f>_xlfn.XLOOKUP(A4205,'[1]Tissue Data'!$A:$A,'[1]Tissue Data'!M:M)</f>
        <v>10.95</v>
      </c>
      <c r="K4205" t="s">
        <v>15</v>
      </c>
      <c r="L4205" t="str">
        <f>_xlfn.XLOOKUP(K4205,[2]analyte_order!$B:$B,[2]analyte_order!$C:$C)</f>
        <v>375-85-9</v>
      </c>
      <c r="M4205">
        <f>_xlfn.XLOOKUP(L4205,[2]analyte_order!$C:$C,[2]analyte_order!$E:$E)</f>
        <v>4</v>
      </c>
      <c r="N4205">
        <v>8.8999999999999996E-2</v>
      </c>
    </row>
    <row r="4206" spans="1:14">
      <c r="A4206" t="s">
        <v>263</v>
      </c>
      <c r="B4206" t="str">
        <f>_xlfn.XLOOKUP(A4206,'[1]Tissue Data'!$A:$A,'[1]Tissue Data'!$C:$C)</f>
        <v>Spill</v>
      </c>
      <c r="C4206" s="2">
        <f>_xlfn.XLOOKUP(A4206,'[1]Tissue Data'!$A:$A,'[1]Tissue Data'!$D:$D)</f>
        <v>44393</v>
      </c>
      <c r="D4206" s="2" t="str">
        <f>_xlfn.XLOOKUP(A4206,'[1]Tissue Data'!$A:$A,'[1]Tissue Data'!$F:$F)</f>
        <v>Pumpkinseed</v>
      </c>
      <c r="E4206" t="str">
        <f>_xlfn.XLOOKUP(A4206,'[1]Tissue Data'!$A:$A,'[1]Tissue Data'!$H:$H)</f>
        <v>Lepomis</v>
      </c>
      <c r="F4206" t="str">
        <f>_xlfn.XLOOKUP(A4206,'[1]Tissue Data'!$A:$A,'[1]Tissue Data'!$I:$I)</f>
        <v>gibbosus</v>
      </c>
      <c r="G4206" t="str">
        <f>_xlfn.XLOOKUP(A4206,'[1]Tissue Data'!$A:$A,'[1]Tissue Data'!J:J)</f>
        <v>U</v>
      </c>
      <c r="H4206" t="str">
        <f>_xlfn.XLOOKUP(A4206,'[1]Tissue Data'!$A:$A,'[1]Tissue Data'!K:K)</f>
        <v>Whole Body</v>
      </c>
      <c r="I4206">
        <f>_xlfn.XLOOKUP(A4206,'[1]Tissue Data'!$A:$A,'[1]Tissue Data'!L:L)</f>
        <v>7.5</v>
      </c>
      <c r="J4206">
        <f>_xlfn.XLOOKUP(A4206,'[1]Tissue Data'!$A:$A,'[1]Tissue Data'!M:M)</f>
        <v>10.95</v>
      </c>
      <c r="K4206" t="s">
        <v>16</v>
      </c>
      <c r="L4206" t="str">
        <f>_xlfn.XLOOKUP(K4206,[2]analyte_order!$B:$B,[2]analyte_order!$C:$C)</f>
        <v>335-67-1</v>
      </c>
      <c r="M4206">
        <f>_xlfn.XLOOKUP(L4206,[2]analyte_order!$C:$C,[2]analyte_order!$E:$E)</f>
        <v>5</v>
      </c>
      <c r="N4206">
        <v>0.63800000000000001</v>
      </c>
    </row>
    <row r="4207" spans="1:14">
      <c r="A4207" t="s">
        <v>263</v>
      </c>
      <c r="B4207" t="str">
        <f>_xlfn.XLOOKUP(A4207,'[1]Tissue Data'!$A:$A,'[1]Tissue Data'!$C:$C)</f>
        <v>Spill</v>
      </c>
      <c r="C4207" s="2">
        <f>_xlfn.XLOOKUP(A4207,'[1]Tissue Data'!$A:$A,'[1]Tissue Data'!$D:$D)</f>
        <v>44393</v>
      </c>
      <c r="D4207" s="2" t="str">
        <f>_xlfn.XLOOKUP(A4207,'[1]Tissue Data'!$A:$A,'[1]Tissue Data'!$F:$F)</f>
        <v>Pumpkinseed</v>
      </c>
      <c r="E4207" t="str">
        <f>_xlfn.XLOOKUP(A4207,'[1]Tissue Data'!$A:$A,'[1]Tissue Data'!$H:$H)</f>
        <v>Lepomis</v>
      </c>
      <c r="F4207" t="str">
        <f>_xlfn.XLOOKUP(A4207,'[1]Tissue Data'!$A:$A,'[1]Tissue Data'!$I:$I)</f>
        <v>gibbosus</v>
      </c>
      <c r="G4207" t="str">
        <f>_xlfn.XLOOKUP(A4207,'[1]Tissue Data'!$A:$A,'[1]Tissue Data'!J:J)</f>
        <v>U</v>
      </c>
      <c r="H4207" t="str">
        <f>_xlfn.XLOOKUP(A4207,'[1]Tissue Data'!$A:$A,'[1]Tissue Data'!K:K)</f>
        <v>Whole Body</v>
      </c>
      <c r="I4207">
        <f>_xlfn.XLOOKUP(A4207,'[1]Tissue Data'!$A:$A,'[1]Tissue Data'!L:L)</f>
        <v>7.5</v>
      </c>
      <c r="J4207">
        <f>_xlfn.XLOOKUP(A4207,'[1]Tissue Data'!$A:$A,'[1]Tissue Data'!M:M)</f>
        <v>10.95</v>
      </c>
      <c r="K4207" t="s">
        <v>17</v>
      </c>
      <c r="L4207" t="str">
        <f>_xlfn.XLOOKUP(K4207,[2]analyte_order!$B:$B,[2]analyte_order!$C:$C)</f>
        <v>375-95-1</v>
      </c>
      <c r="M4207">
        <f>_xlfn.XLOOKUP(L4207,[2]analyte_order!$C:$C,[2]analyte_order!$E:$E)</f>
        <v>6</v>
      </c>
      <c r="N4207">
        <v>0.309</v>
      </c>
    </row>
    <row r="4208" spans="1:14">
      <c r="A4208" t="s">
        <v>263</v>
      </c>
      <c r="B4208" t="str">
        <f>_xlfn.XLOOKUP(A4208,'[1]Tissue Data'!$A:$A,'[1]Tissue Data'!$C:$C)</f>
        <v>Spill</v>
      </c>
      <c r="C4208" s="2">
        <f>_xlfn.XLOOKUP(A4208,'[1]Tissue Data'!$A:$A,'[1]Tissue Data'!$D:$D)</f>
        <v>44393</v>
      </c>
      <c r="D4208" s="2" t="str">
        <f>_xlfn.XLOOKUP(A4208,'[1]Tissue Data'!$A:$A,'[1]Tissue Data'!$F:$F)</f>
        <v>Pumpkinseed</v>
      </c>
      <c r="E4208" t="str">
        <f>_xlfn.XLOOKUP(A4208,'[1]Tissue Data'!$A:$A,'[1]Tissue Data'!$H:$H)</f>
        <v>Lepomis</v>
      </c>
      <c r="F4208" t="str">
        <f>_xlfn.XLOOKUP(A4208,'[1]Tissue Data'!$A:$A,'[1]Tissue Data'!$I:$I)</f>
        <v>gibbosus</v>
      </c>
      <c r="G4208" t="str">
        <f>_xlfn.XLOOKUP(A4208,'[1]Tissue Data'!$A:$A,'[1]Tissue Data'!J:J)</f>
        <v>U</v>
      </c>
      <c r="H4208" t="str">
        <f>_xlfn.XLOOKUP(A4208,'[1]Tissue Data'!$A:$A,'[1]Tissue Data'!K:K)</f>
        <v>Whole Body</v>
      </c>
      <c r="I4208">
        <f>_xlfn.XLOOKUP(A4208,'[1]Tissue Data'!$A:$A,'[1]Tissue Data'!L:L)</f>
        <v>7.5</v>
      </c>
      <c r="J4208">
        <f>_xlfn.XLOOKUP(A4208,'[1]Tissue Data'!$A:$A,'[1]Tissue Data'!M:M)</f>
        <v>10.95</v>
      </c>
      <c r="K4208" t="s">
        <v>18</v>
      </c>
      <c r="L4208" t="str">
        <f>_xlfn.XLOOKUP(K4208,[2]analyte_order!$B:$B,[2]analyte_order!$C:$C)</f>
        <v>335-76-2</v>
      </c>
      <c r="M4208">
        <f>_xlfn.XLOOKUP(L4208,[2]analyte_order!$C:$C,[2]analyte_order!$E:$E)</f>
        <v>7</v>
      </c>
      <c r="N4208">
        <v>3.66</v>
      </c>
    </row>
    <row r="4209" spans="1:14">
      <c r="A4209" t="s">
        <v>263</v>
      </c>
      <c r="B4209" t="str">
        <f>_xlfn.XLOOKUP(A4209,'[1]Tissue Data'!$A:$A,'[1]Tissue Data'!$C:$C)</f>
        <v>Spill</v>
      </c>
      <c r="C4209" s="2">
        <f>_xlfn.XLOOKUP(A4209,'[1]Tissue Data'!$A:$A,'[1]Tissue Data'!$D:$D)</f>
        <v>44393</v>
      </c>
      <c r="D4209" s="2" t="str">
        <f>_xlfn.XLOOKUP(A4209,'[1]Tissue Data'!$A:$A,'[1]Tissue Data'!$F:$F)</f>
        <v>Pumpkinseed</v>
      </c>
      <c r="E4209" t="str">
        <f>_xlfn.XLOOKUP(A4209,'[1]Tissue Data'!$A:$A,'[1]Tissue Data'!$H:$H)</f>
        <v>Lepomis</v>
      </c>
      <c r="F4209" t="str">
        <f>_xlfn.XLOOKUP(A4209,'[1]Tissue Data'!$A:$A,'[1]Tissue Data'!$I:$I)</f>
        <v>gibbosus</v>
      </c>
      <c r="G4209" t="str">
        <f>_xlfn.XLOOKUP(A4209,'[1]Tissue Data'!$A:$A,'[1]Tissue Data'!J:J)</f>
        <v>U</v>
      </c>
      <c r="H4209" t="str">
        <f>_xlfn.XLOOKUP(A4209,'[1]Tissue Data'!$A:$A,'[1]Tissue Data'!K:K)</f>
        <v>Whole Body</v>
      </c>
      <c r="I4209">
        <f>_xlfn.XLOOKUP(A4209,'[1]Tissue Data'!$A:$A,'[1]Tissue Data'!L:L)</f>
        <v>7.5</v>
      </c>
      <c r="J4209">
        <f>_xlfn.XLOOKUP(A4209,'[1]Tissue Data'!$A:$A,'[1]Tissue Data'!M:M)</f>
        <v>10.95</v>
      </c>
      <c r="K4209" t="s">
        <v>19</v>
      </c>
      <c r="L4209" t="str">
        <f>_xlfn.XLOOKUP(K4209,[2]analyte_order!$B:$B,[2]analyte_order!$C:$C)</f>
        <v>2058-94-8</v>
      </c>
      <c r="M4209">
        <f>_xlfn.XLOOKUP(L4209,[2]analyte_order!$C:$C,[2]analyte_order!$E:$E)</f>
        <v>8</v>
      </c>
      <c r="N4209">
        <v>4.08</v>
      </c>
    </row>
    <row r="4210" spans="1:14">
      <c r="A4210" t="s">
        <v>263</v>
      </c>
      <c r="B4210" t="str">
        <f>_xlfn.XLOOKUP(A4210,'[1]Tissue Data'!$A:$A,'[1]Tissue Data'!$C:$C)</f>
        <v>Spill</v>
      </c>
      <c r="C4210" s="2">
        <f>_xlfn.XLOOKUP(A4210,'[1]Tissue Data'!$A:$A,'[1]Tissue Data'!$D:$D)</f>
        <v>44393</v>
      </c>
      <c r="D4210" s="2" t="str">
        <f>_xlfn.XLOOKUP(A4210,'[1]Tissue Data'!$A:$A,'[1]Tissue Data'!$F:$F)</f>
        <v>Pumpkinseed</v>
      </c>
      <c r="E4210" t="str">
        <f>_xlfn.XLOOKUP(A4210,'[1]Tissue Data'!$A:$A,'[1]Tissue Data'!$H:$H)</f>
        <v>Lepomis</v>
      </c>
      <c r="F4210" t="str">
        <f>_xlfn.XLOOKUP(A4210,'[1]Tissue Data'!$A:$A,'[1]Tissue Data'!$I:$I)</f>
        <v>gibbosus</v>
      </c>
      <c r="G4210" t="str">
        <f>_xlfn.XLOOKUP(A4210,'[1]Tissue Data'!$A:$A,'[1]Tissue Data'!J:J)</f>
        <v>U</v>
      </c>
      <c r="H4210" t="str">
        <f>_xlfn.XLOOKUP(A4210,'[1]Tissue Data'!$A:$A,'[1]Tissue Data'!K:K)</f>
        <v>Whole Body</v>
      </c>
      <c r="I4210">
        <f>_xlfn.XLOOKUP(A4210,'[1]Tissue Data'!$A:$A,'[1]Tissue Data'!L:L)</f>
        <v>7.5</v>
      </c>
      <c r="J4210">
        <f>_xlfn.XLOOKUP(A4210,'[1]Tissue Data'!$A:$A,'[1]Tissue Data'!M:M)</f>
        <v>10.95</v>
      </c>
      <c r="K4210" t="s">
        <v>20</v>
      </c>
      <c r="L4210" t="str">
        <f>_xlfn.XLOOKUP(K4210,[2]analyte_order!$B:$B,[2]analyte_order!$C:$C)</f>
        <v>307-55-1</v>
      </c>
      <c r="M4210">
        <f>_xlfn.XLOOKUP(L4210,[2]analyte_order!$C:$C,[2]analyte_order!$E:$E)</f>
        <v>9</v>
      </c>
      <c r="N4210">
        <v>7.58</v>
      </c>
    </row>
    <row r="4211" spans="1:14">
      <c r="A4211" t="s">
        <v>263</v>
      </c>
      <c r="B4211" t="str">
        <f>_xlfn.XLOOKUP(A4211,'[1]Tissue Data'!$A:$A,'[1]Tissue Data'!$C:$C)</f>
        <v>Spill</v>
      </c>
      <c r="C4211" s="2">
        <f>_xlfn.XLOOKUP(A4211,'[1]Tissue Data'!$A:$A,'[1]Tissue Data'!$D:$D)</f>
        <v>44393</v>
      </c>
      <c r="D4211" s="2" t="str">
        <f>_xlfn.XLOOKUP(A4211,'[1]Tissue Data'!$A:$A,'[1]Tissue Data'!$F:$F)</f>
        <v>Pumpkinseed</v>
      </c>
      <c r="E4211" t="str">
        <f>_xlfn.XLOOKUP(A4211,'[1]Tissue Data'!$A:$A,'[1]Tissue Data'!$H:$H)</f>
        <v>Lepomis</v>
      </c>
      <c r="F4211" t="str">
        <f>_xlfn.XLOOKUP(A4211,'[1]Tissue Data'!$A:$A,'[1]Tissue Data'!$I:$I)</f>
        <v>gibbosus</v>
      </c>
      <c r="G4211" t="str">
        <f>_xlfn.XLOOKUP(A4211,'[1]Tissue Data'!$A:$A,'[1]Tissue Data'!J:J)</f>
        <v>U</v>
      </c>
      <c r="H4211" t="str">
        <f>_xlfn.XLOOKUP(A4211,'[1]Tissue Data'!$A:$A,'[1]Tissue Data'!K:K)</f>
        <v>Whole Body</v>
      </c>
      <c r="I4211">
        <f>_xlfn.XLOOKUP(A4211,'[1]Tissue Data'!$A:$A,'[1]Tissue Data'!L:L)</f>
        <v>7.5</v>
      </c>
      <c r="J4211">
        <f>_xlfn.XLOOKUP(A4211,'[1]Tissue Data'!$A:$A,'[1]Tissue Data'!M:M)</f>
        <v>10.95</v>
      </c>
      <c r="K4211" t="s">
        <v>21</v>
      </c>
      <c r="L4211" t="str">
        <f>_xlfn.XLOOKUP(K4211,[2]analyte_order!$B:$B,[2]analyte_order!$C:$C)</f>
        <v>72629-94-8</v>
      </c>
      <c r="M4211">
        <f>_xlfn.XLOOKUP(L4211,[2]analyte_order!$C:$C,[2]analyte_order!$E:$E)</f>
        <v>10</v>
      </c>
      <c r="N4211">
        <v>1.97</v>
      </c>
    </row>
    <row r="4212" spans="1:14">
      <c r="A4212" t="s">
        <v>263</v>
      </c>
      <c r="B4212" t="str">
        <f>_xlfn.XLOOKUP(A4212,'[1]Tissue Data'!$A:$A,'[1]Tissue Data'!$C:$C)</f>
        <v>Spill</v>
      </c>
      <c r="C4212" s="2">
        <f>_xlfn.XLOOKUP(A4212,'[1]Tissue Data'!$A:$A,'[1]Tissue Data'!$D:$D)</f>
        <v>44393</v>
      </c>
      <c r="D4212" s="2" t="str">
        <f>_xlfn.XLOOKUP(A4212,'[1]Tissue Data'!$A:$A,'[1]Tissue Data'!$F:$F)</f>
        <v>Pumpkinseed</v>
      </c>
      <c r="E4212" t="str">
        <f>_xlfn.XLOOKUP(A4212,'[1]Tissue Data'!$A:$A,'[1]Tissue Data'!$H:$H)</f>
        <v>Lepomis</v>
      </c>
      <c r="F4212" t="str">
        <f>_xlfn.XLOOKUP(A4212,'[1]Tissue Data'!$A:$A,'[1]Tissue Data'!$I:$I)</f>
        <v>gibbosus</v>
      </c>
      <c r="G4212" t="str">
        <f>_xlfn.XLOOKUP(A4212,'[1]Tissue Data'!$A:$A,'[1]Tissue Data'!J:J)</f>
        <v>U</v>
      </c>
      <c r="H4212" t="str">
        <f>_xlfn.XLOOKUP(A4212,'[1]Tissue Data'!$A:$A,'[1]Tissue Data'!K:K)</f>
        <v>Whole Body</v>
      </c>
      <c r="I4212">
        <f>_xlfn.XLOOKUP(A4212,'[1]Tissue Data'!$A:$A,'[1]Tissue Data'!L:L)</f>
        <v>7.5</v>
      </c>
      <c r="J4212">
        <f>_xlfn.XLOOKUP(A4212,'[1]Tissue Data'!$A:$A,'[1]Tissue Data'!M:M)</f>
        <v>10.95</v>
      </c>
      <c r="K4212" t="s">
        <v>22</v>
      </c>
      <c r="L4212" t="str">
        <f>_xlfn.XLOOKUP(K4212,[2]analyte_order!$B:$B,[2]analyte_order!$C:$C)</f>
        <v>376-06-7</v>
      </c>
      <c r="M4212">
        <f>_xlfn.XLOOKUP(L4212,[2]analyte_order!$C:$C,[2]analyte_order!$E:$E)</f>
        <v>11</v>
      </c>
      <c r="N4212">
        <v>6.91</v>
      </c>
    </row>
    <row r="4213" spans="1:14">
      <c r="A4213" t="s">
        <v>263</v>
      </c>
      <c r="B4213" t="str">
        <f>_xlfn.XLOOKUP(A4213,'[1]Tissue Data'!$A:$A,'[1]Tissue Data'!$C:$C)</f>
        <v>Spill</v>
      </c>
      <c r="C4213" s="2">
        <f>_xlfn.XLOOKUP(A4213,'[1]Tissue Data'!$A:$A,'[1]Tissue Data'!$D:$D)</f>
        <v>44393</v>
      </c>
      <c r="D4213" s="2" t="str">
        <f>_xlfn.XLOOKUP(A4213,'[1]Tissue Data'!$A:$A,'[1]Tissue Data'!$F:$F)</f>
        <v>Pumpkinseed</v>
      </c>
      <c r="E4213" t="str">
        <f>_xlfn.XLOOKUP(A4213,'[1]Tissue Data'!$A:$A,'[1]Tissue Data'!$H:$H)</f>
        <v>Lepomis</v>
      </c>
      <c r="F4213" t="str">
        <f>_xlfn.XLOOKUP(A4213,'[1]Tissue Data'!$A:$A,'[1]Tissue Data'!$I:$I)</f>
        <v>gibbosus</v>
      </c>
      <c r="G4213" t="str">
        <f>_xlfn.XLOOKUP(A4213,'[1]Tissue Data'!$A:$A,'[1]Tissue Data'!J:J)</f>
        <v>U</v>
      </c>
      <c r="H4213" t="str">
        <f>_xlfn.XLOOKUP(A4213,'[1]Tissue Data'!$A:$A,'[1]Tissue Data'!K:K)</f>
        <v>Whole Body</v>
      </c>
      <c r="I4213">
        <f>_xlfn.XLOOKUP(A4213,'[1]Tissue Data'!$A:$A,'[1]Tissue Data'!L:L)</f>
        <v>7.5</v>
      </c>
      <c r="J4213">
        <f>_xlfn.XLOOKUP(A4213,'[1]Tissue Data'!$A:$A,'[1]Tissue Data'!M:M)</f>
        <v>10.95</v>
      </c>
      <c r="K4213" t="s">
        <v>23</v>
      </c>
      <c r="L4213" t="str">
        <f>_xlfn.XLOOKUP(K4213,[2]analyte_order!$B:$B,[2]analyte_order!$C:$C)</f>
        <v>67905-19-5</v>
      </c>
      <c r="M4213">
        <f>_xlfn.XLOOKUP(L4213,[2]analyte_order!$C:$C,[2]analyte_order!$E:$E)</f>
        <v>12</v>
      </c>
      <c r="N4213">
        <v>8.0500000000000002E-2</v>
      </c>
    </row>
    <row r="4214" spans="1:14">
      <c r="A4214" t="s">
        <v>263</v>
      </c>
      <c r="B4214" t="str">
        <f>_xlfn.XLOOKUP(A4214,'[1]Tissue Data'!$A:$A,'[1]Tissue Data'!$C:$C)</f>
        <v>Spill</v>
      </c>
      <c r="C4214" s="2">
        <f>_xlfn.XLOOKUP(A4214,'[1]Tissue Data'!$A:$A,'[1]Tissue Data'!$D:$D)</f>
        <v>44393</v>
      </c>
      <c r="D4214" s="2" t="str">
        <f>_xlfn.XLOOKUP(A4214,'[1]Tissue Data'!$A:$A,'[1]Tissue Data'!$F:$F)</f>
        <v>Pumpkinseed</v>
      </c>
      <c r="E4214" t="str">
        <f>_xlfn.XLOOKUP(A4214,'[1]Tissue Data'!$A:$A,'[1]Tissue Data'!$H:$H)</f>
        <v>Lepomis</v>
      </c>
      <c r="F4214" t="str">
        <f>_xlfn.XLOOKUP(A4214,'[1]Tissue Data'!$A:$A,'[1]Tissue Data'!$I:$I)</f>
        <v>gibbosus</v>
      </c>
      <c r="G4214" t="str">
        <f>_xlfn.XLOOKUP(A4214,'[1]Tissue Data'!$A:$A,'[1]Tissue Data'!J:J)</f>
        <v>U</v>
      </c>
      <c r="H4214" t="str">
        <f>_xlfn.XLOOKUP(A4214,'[1]Tissue Data'!$A:$A,'[1]Tissue Data'!K:K)</f>
        <v>Whole Body</v>
      </c>
      <c r="I4214">
        <f>_xlfn.XLOOKUP(A4214,'[1]Tissue Data'!$A:$A,'[1]Tissue Data'!L:L)</f>
        <v>7.5</v>
      </c>
      <c r="J4214">
        <f>_xlfn.XLOOKUP(A4214,'[1]Tissue Data'!$A:$A,'[1]Tissue Data'!M:M)</f>
        <v>10.95</v>
      </c>
      <c r="K4214" t="s">
        <v>24</v>
      </c>
      <c r="L4214" t="str">
        <f>_xlfn.XLOOKUP(K4214,[2]analyte_order!$B:$B,[2]analyte_order!$C:$C)</f>
        <v>423-41-6</v>
      </c>
      <c r="M4214">
        <f>_xlfn.XLOOKUP(L4214,[2]analyte_order!$C:$C,[2]analyte_order!$E:$E)</f>
        <v>53</v>
      </c>
      <c r="N4214">
        <v>5.1499999999999997E-2</v>
      </c>
    </row>
    <row r="4215" spans="1:14">
      <c r="A4215" t="s">
        <v>263</v>
      </c>
      <c r="B4215" t="str">
        <f>_xlfn.XLOOKUP(A4215,'[1]Tissue Data'!$A:$A,'[1]Tissue Data'!$C:$C)</f>
        <v>Spill</v>
      </c>
      <c r="C4215" s="2">
        <f>_xlfn.XLOOKUP(A4215,'[1]Tissue Data'!$A:$A,'[1]Tissue Data'!$D:$D)</f>
        <v>44393</v>
      </c>
      <c r="D4215" s="2" t="str">
        <f>_xlfn.XLOOKUP(A4215,'[1]Tissue Data'!$A:$A,'[1]Tissue Data'!$F:$F)</f>
        <v>Pumpkinseed</v>
      </c>
      <c r="E4215" t="str">
        <f>_xlfn.XLOOKUP(A4215,'[1]Tissue Data'!$A:$A,'[1]Tissue Data'!$H:$H)</f>
        <v>Lepomis</v>
      </c>
      <c r="F4215" t="str">
        <f>_xlfn.XLOOKUP(A4215,'[1]Tissue Data'!$A:$A,'[1]Tissue Data'!$I:$I)</f>
        <v>gibbosus</v>
      </c>
      <c r="G4215" t="str">
        <f>_xlfn.XLOOKUP(A4215,'[1]Tissue Data'!$A:$A,'[1]Tissue Data'!J:J)</f>
        <v>U</v>
      </c>
      <c r="H4215" t="str">
        <f>_xlfn.XLOOKUP(A4215,'[1]Tissue Data'!$A:$A,'[1]Tissue Data'!K:K)</f>
        <v>Whole Body</v>
      </c>
      <c r="I4215">
        <f>_xlfn.XLOOKUP(A4215,'[1]Tissue Data'!$A:$A,'[1]Tissue Data'!L:L)</f>
        <v>7.5</v>
      </c>
      <c r="J4215">
        <f>_xlfn.XLOOKUP(A4215,'[1]Tissue Data'!$A:$A,'[1]Tissue Data'!M:M)</f>
        <v>10.95</v>
      </c>
      <c r="K4215" t="s">
        <v>25</v>
      </c>
      <c r="L4215" t="str">
        <f>_xlfn.XLOOKUP(K4215,[2]analyte_order!$B:$B,[2]analyte_order!$C:$C)</f>
        <v>375-73-5</v>
      </c>
      <c r="M4215">
        <f>_xlfn.XLOOKUP(L4215,[2]analyte_order!$C:$C,[2]analyte_order!$E:$E)</f>
        <v>14</v>
      </c>
      <c r="N4215">
        <v>0.1515</v>
      </c>
    </row>
    <row r="4216" spans="1:14">
      <c r="A4216" t="s">
        <v>263</v>
      </c>
      <c r="B4216" t="str">
        <f>_xlfn.XLOOKUP(A4216,'[1]Tissue Data'!$A:$A,'[1]Tissue Data'!$C:$C)</f>
        <v>Spill</v>
      </c>
      <c r="C4216" s="2">
        <f>_xlfn.XLOOKUP(A4216,'[1]Tissue Data'!$A:$A,'[1]Tissue Data'!$D:$D)</f>
        <v>44393</v>
      </c>
      <c r="D4216" s="2" t="str">
        <f>_xlfn.XLOOKUP(A4216,'[1]Tissue Data'!$A:$A,'[1]Tissue Data'!$F:$F)</f>
        <v>Pumpkinseed</v>
      </c>
      <c r="E4216" t="str">
        <f>_xlfn.XLOOKUP(A4216,'[1]Tissue Data'!$A:$A,'[1]Tissue Data'!$H:$H)</f>
        <v>Lepomis</v>
      </c>
      <c r="F4216" t="str">
        <f>_xlfn.XLOOKUP(A4216,'[1]Tissue Data'!$A:$A,'[1]Tissue Data'!$I:$I)</f>
        <v>gibbosus</v>
      </c>
      <c r="G4216" t="str">
        <f>_xlfn.XLOOKUP(A4216,'[1]Tissue Data'!$A:$A,'[1]Tissue Data'!J:J)</f>
        <v>U</v>
      </c>
      <c r="H4216" t="str">
        <f>_xlfn.XLOOKUP(A4216,'[1]Tissue Data'!$A:$A,'[1]Tissue Data'!K:K)</f>
        <v>Whole Body</v>
      </c>
      <c r="I4216">
        <f>_xlfn.XLOOKUP(A4216,'[1]Tissue Data'!$A:$A,'[1]Tissue Data'!L:L)</f>
        <v>7.5</v>
      </c>
      <c r="J4216">
        <f>_xlfn.XLOOKUP(A4216,'[1]Tissue Data'!$A:$A,'[1]Tissue Data'!M:M)</f>
        <v>10.95</v>
      </c>
      <c r="K4216" t="s">
        <v>26</v>
      </c>
      <c r="L4216" t="str">
        <f>_xlfn.XLOOKUP(K4216,[2]analyte_order!$B:$B,[2]analyte_order!$C:$C)</f>
        <v>2706-91-4</v>
      </c>
      <c r="M4216">
        <f>_xlfn.XLOOKUP(L4216,[2]analyte_order!$C:$C,[2]analyte_order!$E:$E)</f>
        <v>15</v>
      </c>
      <c r="N4216">
        <v>0.11799999999999999</v>
      </c>
    </row>
    <row r="4217" spans="1:14">
      <c r="A4217" t="s">
        <v>263</v>
      </c>
      <c r="B4217" t="str">
        <f>_xlfn.XLOOKUP(A4217,'[1]Tissue Data'!$A:$A,'[1]Tissue Data'!$C:$C)</f>
        <v>Spill</v>
      </c>
      <c r="C4217" s="2">
        <f>_xlfn.XLOOKUP(A4217,'[1]Tissue Data'!$A:$A,'[1]Tissue Data'!$D:$D)</f>
        <v>44393</v>
      </c>
      <c r="D4217" s="2" t="str">
        <f>_xlfn.XLOOKUP(A4217,'[1]Tissue Data'!$A:$A,'[1]Tissue Data'!$F:$F)</f>
        <v>Pumpkinseed</v>
      </c>
      <c r="E4217" t="str">
        <f>_xlfn.XLOOKUP(A4217,'[1]Tissue Data'!$A:$A,'[1]Tissue Data'!$H:$H)</f>
        <v>Lepomis</v>
      </c>
      <c r="F4217" t="str">
        <f>_xlfn.XLOOKUP(A4217,'[1]Tissue Data'!$A:$A,'[1]Tissue Data'!$I:$I)</f>
        <v>gibbosus</v>
      </c>
      <c r="G4217" t="str">
        <f>_xlfn.XLOOKUP(A4217,'[1]Tissue Data'!$A:$A,'[1]Tissue Data'!J:J)</f>
        <v>U</v>
      </c>
      <c r="H4217" t="str">
        <f>_xlfn.XLOOKUP(A4217,'[1]Tissue Data'!$A:$A,'[1]Tissue Data'!K:K)</f>
        <v>Whole Body</v>
      </c>
      <c r="I4217">
        <f>_xlfn.XLOOKUP(A4217,'[1]Tissue Data'!$A:$A,'[1]Tissue Data'!L:L)</f>
        <v>7.5</v>
      </c>
      <c r="J4217">
        <f>_xlfn.XLOOKUP(A4217,'[1]Tissue Data'!$A:$A,'[1]Tissue Data'!M:M)</f>
        <v>10.95</v>
      </c>
      <c r="K4217" t="s">
        <v>27</v>
      </c>
      <c r="L4217" t="str">
        <f>_xlfn.XLOOKUP(K4217,[2]analyte_order!$B:$B,[2]analyte_order!$C:$C)</f>
        <v>355-46-4</v>
      </c>
      <c r="M4217">
        <f>_xlfn.XLOOKUP(L4217,[2]analyte_order!$C:$C,[2]analyte_order!$E:$E)</f>
        <v>16</v>
      </c>
      <c r="N4217">
        <v>9.4600000000000009</v>
      </c>
    </row>
    <row r="4218" spans="1:14">
      <c r="A4218" t="s">
        <v>263</v>
      </c>
      <c r="B4218" t="str">
        <f>_xlfn.XLOOKUP(A4218,'[1]Tissue Data'!$A:$A,'[1]Tissue Data'!$C:$C)</f>
        <v>Spill</v>
      </c>
      <c r="C4218" s="2">
        <f>_xlfn.XLOOKUP(A4218,'[1]Tissue Data'!$A:$A,'[1]Tissue Data'!$D:$D)</f>
        <v>44393</v>
      </c>
      <c r="D4218" s="2" t="str">
        <f>_xlfn.XLOOKUP(A4218,'[1]Tissue Data'!$A:$A,'[1]Tissue Data'!$F:$F)</f>
        <v>Pumpkinseed</v>
      </c>
      <c r="E4218" t="str">
        <f>_xlfn.XLOOKUP(A4218,'[1]Tissue Data'!$A:$A,'[1]Tissue Data'!$H:$H)</f>
        <v>Lepomis</v>
      </c>
      <c r="F4218" t="str">
        <f>_xlfn.XLOOKUP(A4218,'[1]Tissue Data'!$A:$A,'[1]Tissue Data'!$I:$I)</f>
        <v>gibbosus</v>
      </c>
      <c r="G4218" t="str">
        <f>_xlfn.XLOOKUP(A4218,'[1]Tissue Data'!$A:$A,'[1]Tissue Data'!J:J)</f>
        <v>U</v>
      </c>
      <c r="H4218" t="str">
        <f>_xlfn.XLOOKUP(A4218,'[1]Tissue Data'!$A:$A,'[1]Tissue Data'!K:K)</f>
        <v>Whole Body</v>
      </c>
      <c r="I4218">
        <f>_xlfn.XLOOKUP(A4218,'[1]Tissue Data'!$A:$A,'[1]Tissue Data'!L:L)</f>
        <v>7.5</v>
      </c>
      <c r="J4218">
        <f>_xlfn.XLOOKUP(A4218,'[1]Tissue Data'!$A:$A,'[1]Tissue Data'!M:M)</f>
        <v>10.95</v>
      </c>
      <c r="K4218" t="s">
        <v>28</v>
      </c>
      <c r="L4218" t="str">
        <f>_xlfn.XLOOKUP(K4218,[2]analyte_order!$B:$B,[2]analyte_order!$C:$C)</f>
        <v>375-92-8</v>
      </c>
      <c r="M4218">
        <f>_xlfn.XLOOKUP(L4218,[2]analyte_order!$C:$C,[2]analyte_order!$E:$E)</f>
        <v>17</v>
      </c>
      <c r="N4218">
        <v>2</v>
      </c>
    </row>
    <row r="4219" spans="1:14">
      <c r="A4219" t="s">
        <v>263</v>
      </c>
      <c r="B4219" t="str">
        <f>_xlfn.XLOOKUP(A4219,'[1]Tissue Data'!$A:$A,'[1]Tissue Data'!$C:$C)</f>
        <v>Spill</v>
      </c>
      <c r="C4219" s="2">
        <f>_xlfn.XLOOKUP(A4219,'[1]Tissue Data'!$A:$A,'[1]Tissue Data'!$D:$D)</f>
        <v>44393</v>
      </c>
      <c r="D4219" s="2" t="str">
        <f>_xlfn.XLOOKUP(A4219,'[1]Tissue Data'!$A:$A,'[1]Tissue Data'!$F:$F)</f>
        <v>Pumpkinseed</v>
      </c>
      <c r="E4219" t="str">
        <f>_xlfn.XLOOKUP(A4219,'[1]Tissue Data'!$A:$A,'[1]Tissue Data'!$H:$H)</f>
        <v>Lepomis</v>
      </c>
      <c r="F4219" t="str">
        <f>_xlfn.XLOOKUP(A4219,'[1]Tissue Data'!$A:$A,'[1]Tissue Data'!$I:$I)</f>
        <v>gibbosus</v>
      </c>
      <c r="G4219" t="str">
        <f>_xlfn.XLOOKUP(A4219,'[1]Tissue Data'!$A:$A,'[1]Tissue Data'!J:J)</f>
        <v>U</v>
      </c>
      <c r="H4219" t="str">
        <f>_xlfn.XLOOKUP(A4219,'[1]Tissue Data'!$A:$A,'[1]Tissue Data'!K:K)</f>
        <v>Whole Body</v>
      </c>
      <c r="I4219">
        <f>_xlfn.XLOOKUP(A4219,'[1]Tissue Data'!$A:$A,'[1]Tissue Data'!L:L)</f>
        <v>7.5</v>
      </c>
      <c r="J4219">
        <f>_xlfn.XLOOKUP(A4219,'[1]Tissue Data'!$A:$A,'[1]Tissue Data'!M:M)</f>
        <v>10.95</v>
      </c>
      <c r="K4219" t="s">
        <v>29</v>
      </c>
      <c r="L4219" t="str">
        <f>_xlfn.XLOOKUP(K4219,[2]analyte_order!$B:$B,[2]analyte_order!$C:$C)</f>
        <v>1763-23-1</v>
      </c>
      <c r="M4219">
        <f>_xlfn.XLOOKUP(L4219,[2]analyte_order!$C:$C,[2]analyte_order!$E:$E)</f>
        <v>18</v>
      </c>
      <c r="N4219">
        <v>825</v>
      </c>
    </row>
    <row r="4220" spans="1:14">
      <c r="A4220" t="s">
        <v>263</v>
      </c>
      <c r="B4220" t="str">
        <f>_xlfn.XLOOKUP(A4220,'[1]Tissue Data'!$A:$A,'[1]Tissue Data'!$C:$C)</f>
        <v>Spill</v>
      </c>
      <c r="C4220" s="2">
        <f>_xlfn.XLOOKUP(A4220,'[1]Tissue Data'!$A:$A,'[1]Tissue Data'!$D:$D)</f>
        <v>44393</v>
      </c>
      <c r="D4220" s="2" t="str">
        <f>_xlfn.XLOOKUP(A4220,'[1]Tissue Data'!$A:$A,'[1]Tissue Data'!$F:$F)</f>
        <v>Pumpkinseed</v>
      </c>
      <c r="E4220" t="str">
        <f>_xlfn.XLOOKUP(A4220,'[1]Tissue Data'!$A:$A,'[1]Tissue Data'!$H:$H)</f>
        <v>Lepomis</v>
      </c>
      <c r="F4220" t="str">
        <f>_xlfn.XLOOKUP(A4220,'[1]Tissue Data'!$A:$A,'[1]Tissue Data'!$I:$I)</f>
        <v>gibbosus</v>
      </c>
      <c r="G4220" t="str">
        <f>_xlfn.XLOOKUP(A4220,'[1]Tissue Data'!$A:$A,'[1]Tissue Data'!J:J)</f>
        <v>U</v>
      </c>
      <c r="H4220" t="str">
        <f>_xlfn.XLOOKUP(A4220,'[1]Tissue Data'!$A:$A,'[1]Tissue Data'!K:K)</f>
        <v>Whole Body</v>
      </c>
      <c r="I4220">
        <f>_xlfn.XLOOKUP(A4220,'[1]Tissue Data'!$A:$A,'[1]Tissue Data'!L:L)</f>
        <v>7.5</v>
      </c>
      <c r="J4220">
        <f>_xlfn.XLOOKUP(A4220,'[1]Tissue Data'!$A:$A,'[1]Tissue Data'!M:M)</f>
        <v>10.95</v>
      </c>
      <c r="K4220" t="s">
        <v>30</v>
      </c>
      <c r="L4220" t="str">
        <f>_xlfn.XLOOKUP(K4220,[2]analyte_order!$B:$B,[2]analyte_order!$C:$C)</f>
        <v>68259-12-1</v>
      </c>
      <c r="M4220">
        <f>_xlfn.XLOOKUP(L4220,[2]analyte_order!$C:$C,[2]analyte_order!$E:$E)</f>
        <v>19</v>
      </c>
      <c r="N4220">
        <v>1.1499999999999999</v>
      </c>
    </row>
    <row r="4221" spans="1:14">
      <c r="A4221" t="s">
        <v>263</v>
      </c>
      <c r="B4221" t="str">
        <f>_xlfn.XLOOKUP(A4221,'[1]Tissue Data'!$A:$A,'[1]Tissue Data'!$C:$C)</f>
        <v>Spill</v>
      </c>
      <c r="C4221" s="2">
        <f>_xlfn.XLOOKUP(A4221,'[1]Tissue Data'!$A:$A,'[1]Tissue Data'!$D:$D)</f>
        <v>44393</v>
      </c>
      <c r="D4221" s="2" t="str">
        <f>_xlfn.XLOOKUP(A4221,'[1]Tissue Data'!$A:$A,'[1]Tissue Data'!$F:$F)</f>
        <v>Pumpkinseed</v>
      </c>
      <c r="E4221" t="str">
        <f>_xlfn.XLOOKUP(A4221,'[1]Tissue Data'!$A:$A,'[1]Tissue Data'!$H:$H)</f>
        <v>Lepomis</v>
      </c>
      <c r="F4221" t="str">
        <f>_xlfn.XLOOKUP(A4221,'[1]Tissue Data'!$A:$A,'[1]Tissue Data'!$I:$I)</f>
        <v>gibbosus</v>
      </c>
      <c r="G4221" t="str">
        <f>_xlfn.XLOOKUP(A4221,'[1]Tissue Data'!$A:$A,'[1]Tissue Data'!J:J)</f>
        <v>U</v>
      </c>
      <c r="H4221" t="str">
        <f>_xlfn.XLOOKUP(A4221,'[1]Tissue Data'!$A:$A,'[1]Tissue Data'!K:K)</f>
        <v>Whole Body</v>
      </c>
      <c r="I4221">
        <f>_xlfn.XLOOKUP(A4221,'[1]Tissue Data'!$A:$A,'[1]Tissue Data'!L:L)</f>
        <v>7.5</v>
      </c>
      <c r="J4221">
        <f>_xlfn.XLOOKUP(A4221,'[1]Tissue Data'!$A:$A,'[1]Tissue Data'!M:M)</f>
        <v>10.95</v>
      </c>
      <c r="K4221" t="s">
        <v>31</v>
      </c>
      <c r="L4221" t="str">
        <f>_xlfn.XLOOKUP(K4221,[2]analyte_order!$B:$B,[2]analyte_order!$C:$C)</f>
        <v>335-77-3</v>
      </c>
      <c r="M4221">
        <f>_xlfn.XLOOKUP(L4221,[2]analyte_order!$C:$C,[2]analyte_order!$E:$E)</f>
        <v>20</v>
      </c>
      <c r="N4221">
        <v>0.92</v>
      </c>
    </row>
    <row r="4222" spans="1:14">
      <c r="A4222" t="s">
        <v>263</v>
      </c>
      <c r="B4222" t="str">
        <f>_xlfn.XLOOKUP(A4222,'[1]Tissue Data'!$A:$A,'[1]Tissue Data'!$C:$C)</f>
        <v>Spill</v>
      </c>
      <c r="C4222" s="2">
        <f>_xlfn.XLOOKUP(A4222,'[1]Tissue Data'!$A:$A,'[1]Tissue Data'!$D:$D)</f>
        <v>44393</v>
      </c>
      <c r="D4222" s="2" t="str">
        <f>_xlfn.XLOOKUP(A4222,'[1]Tissue Data'!$A:$A,'[1]Tissue Data'!$F:$F)</f>
        <v>Pumpkinseed</v>
      </c>
      <c r="E4222" t="str">
        <f>_xlfn.XLOOKUP(A4222,'[1]Tissue Data'!$A:$A,'[1]Tissue Data'!$H:$H)</f>
        <v>Lepomis</v>
      </c>
      <c r="F4222" t="str">
        <f>_xlfn.XLOOKUP(A4222,'[1]Tissue Data'!$A:$A,'[1]Tissue Data'!$I:$I)</f>
        <v>gibbosus</v>
      </c>
      <c r="G4222" t="str">
        <f>_xlfn.XLOOKUP(A4222,'[1]Tissue Data'!$A:$A,'[1]Tissue Data'!J:J)</f>
        <v>U</v>
      </c>
      <c r="H4222" t="str">
        <f>_xlfn.XLOOKUP(A4222,'[1]Tissue Data'!$A:$A,'[1]Tissue Data'!K:K)</f>
        <v>Whole Body</v>
      </c>
      <c r="I4222">
        <f>_xlfn.XLOOKUP(A4222,'[1]Tissue Data'!$A:$A,'[1]Tissue Data'!L:L)</f>
        <v>7.5</v>
      </c>
      <c r="J4222">
        <f>_xlfn.XLOOKUP(A4222,'[1]Tissue Data'!$A:$A,'[1]Tissue Data'!M:M)</f>
        <v>10.95</v>
      </c>
      <c r="K4222" t="s">
        <v>32</v>
      </c>
      <c r="L4222" t="str">
        <f>_xlfn.XLOOKUP(K4222,[2]analyte_order!$B:$B,[2]analyte_order!$C:$C)</f>
        <v>79780-39-5</v>
      </c>
      <c r="M4222">
        <f>_xlfn.XLOOKUP(L4222,[2]analyte_order!$C:$C,[2]analyte_order!$E:$E)</f>
        <v>21</v>
      </c>
      <c r="N4222">
        <v>0.23799999999999999</v>
      </c>
    </row>
    <row r="4223" spans="1:14">
      <c r="A4223" t="s">
        <v>263</v>
      </c>
      <c r="B4223" t="str">
        <f>_xlfn.XLOOKUP(A4223,'[1]Tissue Data'!$A:$A,'[1]Tissue Data'!$C:$C)</f>
        <v>Spill</v>
      </c>
      <c r="C4223" s="2">
        <f>_xlfn.XLOOKUP(A4223,'[1]Tissue Data'!$A:$A,'[1]Tissue Data'!$D:$D)</f>
        <v>44393</v>
      </c>
      <c r="D4223" s="2" t="str">
        <f>_xlfn.XLOOKUP(A4223,'[1]Tissue Data'!$A:$A,'[1]Tissue Data'!$F:$F)</f>
        <v>Pumpkinseed</v>
      </c>
      <c r="E4223" t="str">
        <f>_xlfn.XLOOKUP(A4223,'[1]Tissue Data'!$A:$A,'[1]Tissue Data'!$H:$H)</f>
        <v>Lepomis</v>
      </c>
      <c r="F4223" t="str">
        <f>_xlfn.XLOOKUP(A4223,'[1]Tissue Data'!$A:$A,'[1]Tissue Data'!$I:$I)</f>
        <v>gibbosus</v>
      </c>
      <c r="G4223" t="str">
        <f>_xlfn.XLOOKUP(A4223,'[1]Tissue Data'!$A:$A,'[1]Tissue Data'!J:J)</f>
        <v>U</v>
      </c>
      <c r="H4223" t="str">
        <f>_xlfn.XLOOKUP(A4223,'[1]Tissue Data'!$A:$A,'[1]Tissue Data'!K:K)</f>
        <v>Whole Body</v>
      </c>
      <c r="I4223">
        <f>_xlfn.XLOOKUP(A4223,'[1]Tissue Data'!$A:$A,'[1]Tissue Data'!L:L)</f>
        <v>7.5</v>
      </c>
      <c r="J4223">
        <f>_xlfn.XLOOKUP(A4223,'[1]Tissue Data'!$A:$A,'[1]Tissue Data'!M:M)</f>
        <v>10.95</v>
      </c>
      <c r="K4223" t="s">
        <v>33</v>
      </c>
      <c r="L4223" t="str">
        <f>_xlfn.XLOOKUP(K4223,[2]analyte_order!$B:$B,[2]analyte_order!$C:$C)</f>
        <v>777011-38-8</v>
      </c>
      <c r="M4223">
        <f>_xlfn.XLOOKUP(L4223,[2]analyte_order!$C:$C,[2]analyte_order!$E:$E)</f>
        <v>54</v>
      </c>
      <c r="N4223">
        <v>0.13500000000000001</v>
      </c>
    </row>
    <row r="4224" spans="1:14">
      <c r="A4224" t="s">
        <v>263</v>
      </c>
      <c r="B4224" t="str">
        <f>_xlfn.XLOOKUP(A4224,'[1]Tissue Data'!$A:$A,'[1]Tissue Data'!$C:$C)</f>
        <v>Spill</v>
      </c>
      <c r="C4224" s="2">
        <f>_xlfn.XLOOKUP(A4224,'[1]Tissue Data'!$A:$A,'[1]Tissue Data'!$D:$D)</f>
        <v>44393</v>
      </c>
      <c r="D4224" s="2" t="str">
        <f>_xlfn.XLOOKUP(A4224,'[1]Tissue Data'!$A:$A,'[1]Tissue Data'!$F:$F)</f>
        <v>Pumpkinseed</v>
      </c>
      <c r="E4224" t="str">
        <f>_xlfn.XLOOKUP(A4224,'[1]Tissue Data'!$A:$A,'[1]Tissue Data'!$H:$H)</f>
        <v>Lepomis</v>
      </c>
      <c r="F4224" t="str">
        <f>_xlfn.XLOOKUP(A4224,'[1]Tissue Data'!$A:$A,'[1]Tissue Data'!$I:$I)</f>
        <v>gibbosus</v>
      </c>
      <c r="G4224" t="str">
        <f>_xlfn.XLOOKUP(A4224,'[1]Tissue Data'!$A:$A,'[1]Tissue Data'!J:J)</f>
        <v>U</v>
      </c>
      <c r="H4224" t="str">
        <f>_xlfn.XLOOKUP(A4224,'[1]Tissue Data'!$A:$A,'[1]Tissue Data'!K:K)</f>
        <v>Whole Body</v>
      </c>
      <c r="I4224">
        <f>_xlfn.XLOOKUP(A4224,'[1]Tissue Data'!$A:$A,'[1]Tissue Data'!L:L)</f>
        <v>7.5</v>
      </c>
      <c r="J4224">
        <f>_xlfn.XLOOKUP(A4224,'[1]Tissue Data'!$A:$A,'[1]Tissue Data'!M:M)</f>
        <v>10.95</v>
      </c>
      <c r="K4224" t="s">
        <v>34</v>
      </c>
      <c r="L4224" t="str">
        <f>_xlfn.XLOOKUP(K4224,[2]analyte_order!$B:$B,[2]analyte_order!$C:$C)</f>
        <v>646-83-3</v>
      </c>
      <c r="M4224">
        <f>_xlfn.XLOOKUP(L4224,[2]analyte_order!$C:$C,[2]analyte_order!$E:$E)</f>
        <v>55</v>
      </c>
      <c r="N4224">
        <v>8.8999999999999996E-2</v>
      </c>
    </row>
    <row r="4225" spans="1:14">
      <c r="A4225" t="s">
        <v>263</v>
      </c>
      <c r="B4225" t="str">
        <f>_xlfn.XLOOKUP(A4225,'[1]Tissue Data'!$A:$A,'[1]Tissue Data'!$C:$C)</f>
        <v>Spill</v>
      </c>
      <c r="C4225" s="2">
        <f>_xlfn.XLOOKUP(A4225,'[1]Tissue Data'!$A:$A,'[1]Tissue Data'!$D:$D)</f>
        <v>44393</v>
      </c>
      <c r="D4225" s="2" t="str">
        <f>_xlfn.XLOOKUP(A4225,'[1]Tissue Data'!$A:$A,'[1]Tissue Data'!$F:$F)</f>
        <v>Pumpkinseed</v>
      </c>
      <c r="E4225" t="str">
        <f>_xlfn.XLOOKUP(A4225,'[1]Tissue Data'!$A:$A,'[1]Tissue Data'!$H:$H)</f>
        <v>Lepomis</v>
      </c>
      <c r="F4225" t="str">
        <f>_xlfn.XLOOKUP(A4225,'[1]Tissue Data'!$A:$A,'[1]Tissue Data'!$I:$I)</f>
        <v>gibbosus</v>
      </c>
      <c r="G4225" t="str">
        <f>_xlfn.XLOOKUP(A4225,'[1]Tissue Data'!$A:$A,'[1]Tissue Data'!J:J)</f>
        <v>U</v>
      </c>
      <c r="H4225" t="str">
        <f>_xlfn.XLOOKUP(A4225,'[1]Tissue Data'!$A:$A,'[1]Tissue Data'!K:K)</f>
        <v>Whole Body</v>
      </c>
      <c r="I4225">
        <f>_xlfn.XLOOKUP(A4225,'[1]Tissue Data'!$A:$A,'[1]Tissue Data'!L:L)</f>
        <v>7.5</v>
      </c>
      <c r="J4225">
        <f>_xlfn.XLOOKUP(A4225,'[1]Tissue Data'!$A:$A,'[1]Tissue Data'!M:M)</f>
        <v>10.95</v>
      </c>
      <c r="K4225" t="s">
        <v>35</v>
      </c>
      <c r="L4225" t="str">
        <f>_xlfn.XLOOKUP(K4225,[2]analyte_order!$B:$B,[2]analyte_order!$C:$C)</f>
        <v>30334-69-1</v>
      </c>
      <c r="M4225">
        <f>_xlfn.XLOOKUP(L4225,[2]analyte_order!$C:$C,[2]analyte_order!$E:$E)</f>
        <v>51</v>
      </c>
      <c r="N4225">
        <v>19.100000000000001</v>
      </c>
    </row>
    <row r="4226" spans="1:14">
      <c r="A4226" t="s">
        <v>263</v>
      </c>
      <c r="B4226" t="str">
        <f>_xlfn.XLOOKUP(A4226,'[1]Tissue Data'!$A:$A,'[1]Tissue Data'!$C:$C)</f>
        <v>Spill</v>
      </c>
      <c r="C4226" s="2">
        <f>_xlfn.XLOOKUP(A4226,'[1]Tissue Data'!$A:$A,'[1]Tissue Data'!$D:$D)</f>
        <v>44393</v>
      </c>
      <c r="D4226" s="2" t="str">
        <f>_xlfn.XLOOKUP(A4226,'[1]Tissue Data'!$A:$A,'[1]Tissue Data'!$F:$F)</f>
        <v>Pumpkinseed</v>
      </c>
      <c r="E4226" t="str">
        <f>_xlfn.XLOOKUP(A4226,'[1]Tissue Data'!$A:$A,'[1]Tissue Data'!$H:$H)</f>
        <v>Lepomis</v>
      </c>
      <c r="F4226" t="str">
        <f>_xlfn.XLOOKUP(A4226,'[1]Tissue Data'!$A:$A,'[1]Tissue Data'!$I:$I)</f>
        <v>gibbosus</v>
      </c>
      <c r="G4226" t="str">
        <f>_xlfn.XLOOKUP(A4226,'[1]Tissue Data'!$A:$A,'[1]Tissue Data'!J:J)</f>
        <v>U</v>
      </c>
      <c r="H4226" t="str">
        <f>_xlfn.XLOOKUP(A4226,'[1]Tissue Data'!$A:$A,'[1]Tissue Data'!K:K)</f>
        <v>Whole Body</v>
      </c>
      <c r="I4226">
        <f>_xlfn.XLOOKUP(A4226,'[1]Tissue Data'!$A:$A,'[1]Tissue Data'!L:L)</f>
        <v>7.5</v>
      </c>
      <c r="J4226">
        <f>_xlfn.XLOOKUP(A4226,'[1]Tissue Data'!$A:$A,'[1]Tissue Data'!M:M)</f>
        <v>10.95</v>
      </c>
      <c r="K4226" t="s">
        <v>36</v>
      </c>
      <c r="L4226" t="str">
        <f>_xlfn.XLOOKUP(K4226,[2]analyte_order!$B:$B,[2]analyte_order!$C:$C)</f>
        <v>41997-13-1</v>
      </c>
      <c r="M4226">
        <f>_xlfn.XLOOKUP(L4226,[2]analyte_order!$C:$C,[2]analyte_order!$E:$E)</f>
        <v>52</v>
      </c>
      <c r="N4226">
        <v>84.3</v>
      </c>
    </row>
    <row r="4227" spans="1:14">
      <c r="A4227" t="s">
        <v>263</v>
      </c>
      <c r="B4227" t="str">
        <f>_xlfn.XLOOKUP(A4227,'[1]Tissue Data'!$A:$A,'[1]Tissue Data'!$C:$C)</f>
        <v>Spill</v>
      </c>
      <c r="C4227" s="2">
        <f>_xlfn.XLOOKUP(A4227,'[1]Tissue Data'!$A:$A,'[1]Tissue Data'!$D:$D)</f>
        <v>44393</v>
      </c>
      <c r="D4227" s="2" t="str">
        <f>_xlfn.XLOOKUP(A4227,'[1]Tissue Data'!$A:$A,'[1]Tissue Data'!$F:$F)</f>
        <v>Pumpkinseed</v>
      </c>
      <c r="E4227" t="str">
        <f>_xlfn.XLOOKUP(A4227,'[1]Tissue Data'!$A:$A,'[1]Tissue Data'!$H:$H)</f>
        <v>Lepomis</v>
      </c>
      <c r="F4227" t="str">
        <f>_xlfn.XLOOKUP(A4227,'[1]Tissue Data'!$A:$A,'[1]Tissue Data'!$I:$I)</f>
        <v>gibbosus</v>
      </c>
      <c r="G4227" t="str">
        <f>_xlfn.XLOOKUP(A4227,'[1]Tissue Data'!$A:$A,'[1]Tissue Data'!J:J)</f>
        <v>U</v>
      </c>
      <c r="H4227" t="str">
        <f>_xlfn.XLOOKUP(A4227,'[1]Tissue Data'!$A:$A,'[1]Tissue Data'!K:K)</f>
        <v>Whole Body</v>
      </c>
      <c r="I4227">
        <f>_xlfn.XLOOKUP(A4227,'[1]Tissue Data'!$A:$A,'[1]Tissue Data'!L:L)</f>
        <v>7.5</v>
      </c>
      <c r="J4227">
        <f>_xlfn.XLOOKUP(A4227,'[1]Tissue Data'!$A:$A,'[1]Tissue Data'!M:M)</f>
        <v>10.95</v>
      </c>
      <c r="K4227" t="s">
        <v>37</v>
      </c>
      <c r="L4227" t="str">
        <f>_xlfn.XLOOKUP(K4227,[2]analyte_order!$B:$B,[2]analyte_order!$C:$C)</f>
        <v>754-91-6</v>
      </c>
      <c r="M4227">
        <f>_xlfn.XLOOKUP(L4227,[2]analyte_order!$C:$C,[2]analyte_order!$E:$E)</f>
        <v>28</v>
      </c>
      <c r="N4227">
        <v>6.93</v>
      </c>
    </row>
    <row r="4228" spans="1:14">
      <c r="A4228" t="s">
        <v>263</v>
      </c>
      <c r="B4228" t="str">
        <f>_xlfn.XLOOKUP(A4228,'[1]Tissue Data'!$A:$A,'[1]Tissue Data'!$C:$C)</f>
        <v>Spill</v>
      </c>
      <c r="C4228" s="2">
        <f>_xlfn.XLOOKUP(A4228,'[1]Tissue Data'!$A:$A,'[1]Tissue Data'!$D:$D)</f>
        <v>44393</v>
      </c>
      <c r="D4228" s="2" t="str">
        <f>_xlfn.XLOOKUP(A4228,'[1]Tissue Data'!$A:$A,'[1]Tissue Data'!$F:$F)</f>
        <v>Pumpkinseed</v>
      </c>
      <c r="E4228" t="str">
        <f>_xlfn.XLOOKUP(A4228,'[1]Tissue Data'!$A:$A,'[1]Tissue Data'!$H:$H)</f>
        <v>Lepomis</v>
      </c>
      <c r="F4228" t="str">
        <f>_xlfn.XLOOKUP(A4228,'[1]Tissue Data'!$A:$A,'[1]Tissue Data'!$I:$I)</f>
        <v>gibbosus</v>
      </c>
      <c r="G4228" t="str">
        <f>_xlfn.XLOOKUP(A4228,'[1]Tissue Data'!$A:$A,'[1]Tissue Data'!J:J)</f>
        <v>U</v>
      </c>
      <c r="H4228" t="str">
        <f>_xlfn.XLOOKUP(A4228,'[1]Tissue Data'!$A:$A,'[1]Tissue Data'!K:K)</f>
        <v>Whole Body</v>
      </c>
      <c r="I4228">
        <f>_xlfn.XLOOKUP(A4228,'[1]Tissue Data'!$A:$A,'[1]Tissue Data'!L:L)</f>
        <v>7.5</v>
      </c>
      <c r="J4228">
        <f>_xlfn.XLOOKUP(A4228,'[1]Tissue Data'!$A:$A,'[1]Tissue Data'!M:M)</f>
        <v>10.95</v>
      </c>
      <c r="K4228" t="s">
        <v>38</v>
      </c>
      <c r="L4228" t="str">
        <f>_xlfn.XLOOKUP(K4228,[2]analyte_order!$B:$B,[2]analyte_order!$C:$C)</f>
        <v>31506-32-8</v>
      </c>
      <c r="M4228">
        <f>_xlfn.XLOOKUP(L4228,[2]analyte_order!$C:$C,[2]analyte_order!$E:$E)</f>
        <v>30</v>
      </c>
      <c r="N4228">
        <v>5.1999999999999998E-2</v>
      </c>
    </row>
    <row r="4229" spans="1:14">
      <c r="A4229" t="s">
        <v>263</v>
      </c>
      <c r="B4229" t="str">
        <f>_xlfn.XLOOKUP(A4229,'[1]Tissue Data'!$A:$A,'[1]Tissue Data'!$C:$C)</f>
        <v>Spill</v>
      </c>
      <c r="C4229" s="2">
        <f>_xlfn.XLOOKUP(A4229,'[1]Tissue Data'!$A:$A,'[1]Tissue Data'!$D:$D)</f>
        <v>44393</v>
      </c>
      <c r="D4229" s="2" t="str">
        <f>_xlfn.XLOOKUP(A4229,'[1]Tissue Data'!$A:$A,'[1]Tissue Data'!$F:$F)</f>
        <v>Pumpkinseed</v>
      </c>
      <c r="E4229" t="str">
        <f>_xlfn.XLOOKUP(A4229,'[1]Tissue Data'!$A:$A,'[1]Tissue Data'!$H:$H)</f>
        <v>Lepomis</v>
      </c>
      <c r="F4229" t="str">
        <f>_xlfn.XLOOKUP(A4229,'[1]Tissue Data'!$A:$A,'[1]Tissue Data'!$I:$I)</f>
        <v>gibbosus</v>
      </c>
      <c r="G4229" t="str">
        <f>_xlfn.XLOOKUP(A4229,'[1]Tissue Data'!$A:$A,'[1]Tissue Data'!J:J)</f>
        <v>U</v>
      </c>
      <c r="H4229" t="str">
        <f>_xlfn.XLOOKUP(A4229,'[1]Tissue Data'!$A:$A,'[1]Tissue Data'!K:K)</f>
        <v>Whole Body</v>
      </c>
      <c r="I4229">
        <f>_xlfn.XLOOKUP(A4229,'[1]Tissue Data'!$A:$A,'[1]Tissue Data'!L:L)</f>
        <v>7.5</v>
      </c>
      <c r="J4229">
        <f>_xlfn.XLOOKUP(A4229,'[1]Tissue Data'!$A:$A,'[1]Tissue Data'!M:M)</f>
        <v>10.95</v>
      </c>
      <c r="K4229" t="s">
        <v>39</v>
      </c>
      <c r="L4229" t="str">
        <f>_xlfn.XLOOKUP(K4229,[2]analyte_order!$B:$B,[2]analyte_order!$C:$C)</f>
        <v>4151-50-2</v>
      </c>
      <c r="M4229">
        <f>_xlfn.XLOOKUP(L4229,[2]analyte_order!$C:$C,[2]analyte_order!$E:$E)</f>
        <v>31</v>
      </c>
      <c r="N4229">
        <v>7.85E-2</v>
      </c>
    </row>
    <row r="4230" spans="1:14">
      <c r="A4230" t="s">
        <v>263</v>
      </c>
      <c r="B4230" t="str">
        <f>_xlfn.XLOOKUP(A4230,'[1]Tissue Data'!$A:$A,'[1]Tissue Data'!$C:$C)</f>
        <v>Spill</v>
      </c>
      <c r="C4230" s="2">
        <f>_xlfn.XLOOKUP(A4230,'[1]Tissue Data'!$A:$A,'[1]Tissue Data'!$D:$D)</f>
        <v>44393</v>
      </c>
      <c r="D4230" s="2" t="str">
        <f>_xlfn.XLOOKUP(A4230,'[1]Tissue Data'!$A:$A,'[1]Tissue Data'!$F:$F)</f>
        <v>Pumpkinseed</v>
      </c>
      <c r="E4230" t="str">
        <f>_xlfn.XLOOKUP(A4230,'[1]Tissue Data'!$A:$A,'[1]Tissue Data'!$H:$H)</f>
        <v>Lepomis</v>
      </c>
      <c r="F4230" t="str">
        <f>_xlfn.XLOOKUP(A4230,'[1]Tissue Data'!$A:$A,'[1]Tissue Data'!$I:$I)</f>
        <v>gibbosus</v>
      </c>
      <c r="G4230" t="str">
        <f>_xlfn.XLOOKUP(A4230,'[1]Tissue Data'!$A:$A,'[1]Tissue Data'!J:J)</f>
        <v>U</v>
      </c>
      <c r="H4230" t="str">
        <f>_xlfn.XLOOKUP(A4230,'[1]Tissue Data'!$A:$A,'[1]Tissue Data'!K:K)</f>
        <v>Whole Body</v>
      </c>
      <c r="I4230">
        <f>_xlfn.XLOOKUP(A4230,'[1]Tissue Data'!$A:$A,'[1]Tissue Data'!L:L)</f>
        <v>7.5</v>
      </c>
      <c r="J4230">
        <f>_xlfn.XLOOKUP(A4230,'[1]Tissue Data'!$A:$A,'[1]Tissue Data'!M:M)</f>
        <v>10.95</v>
      </c>
      <c r="K4230" t="s">
        <v>40</v>
      </c>
      <c r="L4230" t="str">
        <f>_xlfn.XLOOKUP(K4230,[2]analyte_order!$B:$B,[2]analyte_order!$C:$C)</f>
        <v>2806-24-8</v>
      </c>
      <c r="M4230">
        <f>_xlfn.XLOOKUP(L4230,[2]analyte_order!$C:$C,[2]analyte_order!$E:$E)</f>
        <v>29</v>
      </c>
      <c r="N4230">
        <v>5.2999999999999999E-2</v>
      </c>
    </row>
    <row r="4231" spans="1:14">
      <c r="A4231" t="s">
        <v>263</v>
      </c>
      <c r="B4231" t="str">
        <f>_xlfn.XLOOKUP(A4231,'[1]Tissue Data'!$A:$A,'[1]Tissue Data'!$C:$C)</f>
        <v>Spill</v>
      </c>
      <c r="C4231" s="2">
        <f>_xlfn.XLOOKUP(A4231,'[1]Tissue Data'!$A:$A,'[1]Tissue Data'!$D:$D)</f>
        <v>44393</v>
      </c>
      <c r="D4231" s="2" t="str">
        <f>_xlfn.XLOOKUP(A4231,'[1]Tissue Data'!$A:$A,'[1]Tissue Data'!$F:$F)</f>
        <v>Pumpkinseed</v>
      </c>
      <c r="E4231" t="str">
        <f>_xlfn.XLOOKUP(A4231,'[1]Tissue Data'!$A:$A,'[1]Tissue Data'!$H:$H)</f>
        <v>Lepomis</v>
      </c>
      <c r="F4231" t="str">
        <f>_xlfn.XLOOKUP(A4231,'[1]Tissue Data'!$A:$A,'[1]Tissue Data'!$I:$I)</f>
        <v>gibbosus</v>
      </c>
      <c r="G4231" t="str">
        <f>_xlfn.XLOOKUP(A4231,'[1]Tissue Data'!$A:$A,'[1]Tissue Data'!J:J)</f>
        <v>U</v>
      </c>
      <c r="H4231" t="str">
        <f>_xlfn.XLOOKUP(A4231,'[1]Tissue Data'!$A:$A,'[1]Tissue Data'!K:K)</f>
        <v>Whole Body</v>
      </c>
      <c r="I4231">
        <f>_xlfn.XLOOKUP(A4231,'[1]Tissue Data'!$A:$A,'[1]Tissue Data'!L:L)</f>
        <v>7.5</v>
      </c>
      <c r="J4231">
        <f>_xlfn.XLOOKUP(A4231,'[1]Tissue Data'!$A:$A,'[1]Tissue Data'!M:M)</f>
        <v>10.95</v>
      </c>
      <c r="K4231" t="s">
        <v>41</v>
      </c>
      <c r="L4231" t="str">
        <f>_xlfn.XLOOKUP(K4231,[2]analyte_order!$B:$B,[2]analyte_order!$C:$C)</f>
        <v>2355-31-9</v>
      </c>
      <c r="M4231">
        <f>_xlfn.XLOOKUP(L4231,[2]analyte_order!$C:$C,[2]analyte_order!$E:$E)</f>
        <v>26</v>
      </c>
      <c r="N4231">
        <v>0.224</v>
      </c>
    </row>
    <row r="4232" spans="1:14">
      <c r="A4232" t="s">
        <v>263</v>
      </c>
      <c r="B4232" t="str">
        <f>_xlfn.XLOOKUP(A4232,'[1]Tissue Data'!$A:$A,'[1]Tissue Data'!$C:$C)</f>
        <v>Spill</v>
      </c>
      <c r="C4232" s="2">
        <f>_xlfn.XLOOKUP(A4232,'[1]Tissue Data'!$A:$A,'[1]Tissue Data'!$D:$D)</f>
        <v>44393</v>
      </c>
      <c r="D4232" s="2" t="str">
        <f>_xlfn.XLOOKUP(A4232,'[1]Tissue Data'!$A:$A,'[1]Tissue Data'!$F:$F)</f>
        <v>Pumpkinseed</v>
      </c>
      <c r="E4232" t="str">
        <f>_xlfn.XLOOKUP(A4232,'[1]Tissue Data'!$A:$A,'[1]Tissue Data'!$H:$H)</f>
        <v>Lepomis</v>
      </c>
      <c r="F4232" t="str">
        <f>_xlfn.XLOOKUP(A4232,'[1]Tissue Data'!$A:$A,'[1]Tissue Data'!$I:$I)</f>
        <v>gibbosus</v>
      </c>
      <c r="G4232" t="str">
        <f>_xlfn.XLOOKUP(A4232,'[1]Tissue Data'!$A:$A,'[1]Tissue Data'!J:J)</f>
        <v>U</v>
      </c>
      <c r="H4232" t="str">
        <f>_xlfn.XLOOKUP(A4232,'[1]Tissue Data'!$A:$A,'[1]Tissue Data'!K:K)</f>
        <v>Whole Body</v>
      </c>
      <c r="I4232">
        <f>_xlfn.XLOOKUP(A4232,'[1]Tissue Data'!$A:$A,'[1]Tissue Data'!L:L)</f>
        <v>7.5</v>
      </c>
      <c r="J4232">
        <f>_xlfn.XLOOKUP(A4232,'[1]Tissue Data'!$A:$A,'[1]Tissue Data'!M:M)</f>
        <v>10.95</v>
      </c>
      <c r="K4232" t="s">
        <v>42</v>
      </c>
      <c r="L4232" t="str">
        <f>_xlfn.XLOOKUP(K4232,[2]analyte_order!$B:$B,[2]analyte_order!$C:$C)</f>
        <v>2991-50-6</v>
      </c>
      <c r="M4232">
        <f>_xlfn.XLOOKUP(L4232,[2]analyte_order!$C:$C,[2]analyte_order!$E:$E)</f>
        <v>27</v>
      </c>
      <c r="N4232">
        <v>5.8500000000000003E-2</v>
      </c>
    </row>
    <row r="4233" spans="1:14">
      <c r="A4233" t="s">
        <v>263</v>
      </c>
      <c r="B4233" t="str">
        <f>_xlfn.XLOOKUP(A4233,'[1]Tissue Data'!$A:$A,'[1]Tissue Data'!$C:$C)</f>
        <v>Spill</v>
      </c>
      <c r="C4233" s="2">
        <f>_xlfn.XLOOKUP(A4233,'[1]Tissue Data'!$A:$A,'[1]Tissue Data'!$D:$D)</f>
        <v>44393</v>
      </c>
      <c r="D4233" s="2" t="str">
        <f>_xlfn.XLOOKUP(A4233,'[1]Tissue Data'!$A:$A,'[1]Tissue Data'!$F:$F)</f>
        <v>Pumpkinseed</v>
      </c>
      <c r="E4233" t="str">
        <f>_xlfn.XLOOKUP(A4233,'[1]Tissue Data'!$A:$A,'[1]Tissue Data'!$H:$H)</f>
        <v>Lepomis</v>
      </c>
      <c r="F4233" t="str">
        <f>_xlfn.XLOOKUP(A4233,'[1]Tissue Data'!$A:$A,'[1]Tissue Data'!$I:$I)</f>
        <v>gibbosus</v>
      </c>
      <c r="G4233" t="str">
        <f>_xlfn.XLOOKUP(A4233,'[1]Tissue Data'!$A:$A,'[1]Tissue Data'!J:J)</f>
        <v>U</v>
      </c>
      <c r="H4233" t="str">
        <f>_xlfn.XLOOKUP(A4233,'[1]Tissue Data'!$A:$A,'[1]Tissue Data'!K:K)</f>
        <v>Whole Body</v>
      </c>
      <c r="I4233">
        <f>_xlfn.XLOOKUP(A4233,'[1]Tissue Data'!$A:$A,'[1]Tissue Data'!L:L)</f>
        <v>7.5</v>
      </c>
      <c r="J4233">
        <f>_xlfn.XLOOKUP(A4233,'[1]Tissue Data'!$A:$A,'[1]Tissue Data'!M:M)</f>
        <v>10.95</v>
      </c>
      <c r="K4233" t="s">
        <v>43</v>
      </c>
      <c r="L4233" t="str">
        <f>_xlfn.XLOOKUP(K4233,[2]analyte_order!$B:$B,[2]analyte_order!$C:$C)</f>
        <v>757124-72-4</v>
      </c>
      <c r="M4233">
        <f>_xlfn.XLOOKUP(L4233,[2]analyte_order!$C:$C,[2]analyte_order!$E:$E)</f>
        <v>22</v>
      </c>
      <c r="N4233">
        <v>5.5500000000000001E-2</v>
      </c>
    </row>
    <row r="4234" spans="1:14">
      <c r="A4234" t="s">
        <v>263</v>
      </c>
      <c r="B4234" t="str">
        <f>_xlfn.XLOOKUP(A4234,'[1]Tissue Data'!$A:$A,'[1]Tissue Data'!$C:$C)</f>
        <v>Spill</v>
      </c>
      <c r="C4234" s="2">
        <f>_xlfn.XLOOKUP(A4234,'[1]Tissue Data'!$A:$A,'[1]Tissue Data'!$D:$D)</f>
        <v>44393</v>
      </c>
      <c r="D4234" s="2" t="str">
        <f>_xlfn.XLOOKUP(A4234,'[1]Tissue Data'!$A:$A,'[1]Tissue Data'!$F:$F)</f>
        <v>Pumpkinseed</v>
      </c>
      <c r="E4234" t="str">
        <f>_xlfn.XLOOKUP(A4234,'[1]Tissue Data'!$A:$A,'[1]Tissue Data'!$H:$H)</f>
        <v>Lepomis</v>
      </c>
      <c r="F4234" t="str">
        <f>_xlfn.XLOOKUP(A4234,'[1]Tissue Data'!$A:$A,'[1]Tissue Data'!$I:$I)</f>
        <v>gibbosus</v>
      </c>
      <c r="G4234" t="str">
        <f>_xlfn.XLOOKUP(A4234,'[1]Tissue Data'!$A:$A,'[1]Tissue Data'!J:J)</f>
        <v>U</v>
      </c>
      <c r="H4234" t="str">
        <f>_xlfn.XLOOKUP(A4234,'[1]Tissue Data'!$A:$A,'[1]Tissue Data'!K:K)</f>
        <v>Whole Body</v>
      </c>
      <c r="I4234">
        <f>_xlfn.XLOOKUP(A4234,'[1]Tissue Data'!$A:$A,'[1]Tissue Data'!L:L)</f>
        <v>7.5</v>
      </c>
      <c r="J4234">
        <f>_xlfn.XLOOKUP(A4234,'[1]Tissue Data'!$A:$A,'[1]Tissue Data'!M:M)</f>
        <v>10.95</v>
      </c>
      <c r="K4234" t="s">
        <v>44</v>
      </c>
      <c r="L4234" t="str">
        <f>_xlfn.XLOOKUP(K4234,[2]analyte_order!$B:$B,[2]analyte_order!$C:$C)</f>
        <v>27619-97-2</v>
      </c>
      <c r="M4234">
        <f>_xlfn.XLOOKUP(L4234,[2]analyte_order!$C:$C,[2]analyte_order!$E:$E)</f>
        <v>23</v>
      </c>
      <c r="N4234">
        <v>0.13450000000000001</v>
      </c>
    </row>
    <row r="4235" spans="1:14">
      <c r="A4235" t="s">
        <v>263</v>
      </c>
      <c r="B4235" t="str">
        <f>_xlfn.XLOOKUP(A4235,'[1]Tissue Data'!$A:$A,'[1]Tissue Data'!$C:$C)</f>
        <v>Spill</v>
      </c>
      <c r="C4235" s="2">
        <f>_xlfn.XLOOKUP(A4235,'[1]Tissue Data'!$A:$A,'[1]Tissue Data'!$D:$D)</f>
        <v>44393</v>
      </c>
      <c r="D4235" s="2" t="str">
        <f>_xlfn.XLOOKUP(A4235,'[1]Tissue Data'!$A:$A,'[1]Tissue Data'!$F:$F)</f>
        <v>Pumpkinseed</v>
      </c>
      <c r="E4235" t="str">
        <f>_xlfn.XLOOKUP(A4235,'[1]Tissue Data'!$A:$A,'[1]Tissue Data'!$H:$H)</f>
        <v>Lepomis</v>
      </c>
      <c r="F4235" t="str">
        <f>_xlfn.XLOOKUP(A4235,'[1]Tissue Data'!$A:$A,'[1]Tissue Data'!$I:$I)</f>
        <v>gibbosus</v>
      </c>
      <c r="G4235" t="str">
        <f>_xlfn.XLOOKUP(A4235,'[1]Tissue Data'!$A:$A,'[1]Tissue Data'!J:J)</f>
        <v>U</v>
      </c>
      <c r="H4235" t="str">
        <f>_xlfn.XLOOKUP(A4235,'[1]Tissue Data'!$A:$A,'[1]Tissue Data'!K:K)</f>
        <v>Whole Body</v>
      </c>
      <c r="I4235">
        <f>_xlfn.XLOOKUP(A4235,'[1]Tissue Data'!$A:$A,'[1]Tissue Data'!L:L)</f>
        <v>7.5</v>
      </c>
      <c r="J4235">
        <f>_xlfn.XLOOKUP(A4235,'[1]Tissue Data'!$A:$A,'[1]Tissue Data'!M:M)</f>
        <v>10.95</v>
      </c>
      <c r="K4235" t="s">
        <v>45</v>
      </c>
      <c r="L4235" t="str">
        <f>_xlfn.XLOOKUP(K4235,[2]analyte_order!$B:$B,[2]analyte_order!$C:$C)</f>
        <v>39108-34-4</v>
      </c>
      <c r="M4235">
        <f>_xlfn.XLOOKUP(L4235,[2]analyte_order!$C:$C,[2]analyte_order!$E:$E)</f>
        <v>24</v>
      </c>
      <c r="N4235">
        <v>3.03</v>
      </c>
    </row>
    <row r="4236" spans="1:14">
      <c r="A4236" t="s">
        <v>263</v>
      </c>
      <c r="B4236" t="str">
        <f>_xlfn.XLOOKUP(A4236,'[1]Tissue Data'!$A:$A,'[1]Tissue Data'!$C:$C)</f>
        <v>Spill</v>
      </c>
      <c r="C4236" s="2">
        <f>_xlfn.XLOOKUP(A4236,'[1]Tissue Data'!$A:$A,'[1]Tissue Data'!$D:$D)</f>
        <v>44393</v>
      </c>
      <c r="D4236" s="2" t="str">
        <f>_xlfn.XLOOKUP(A4236,'[1]Tissue Data'!$A:$A,'[1]Tissue Data'!$F:$F)</f>
        <v>Pumpkinseed</v>
      </c>
      <c r="E4236" t="str">
        <f>_xlfn.XLOOKUP(A4236,'[1]Tissue Data'!$A:$A,'[1]Tissue Data'!$H:$H)</f>
        <v>Lepomis</v>
      </c>
      <c r="F4236" t="str">
        <f>_xlfn.XLOOKUP(A4236,'[1]Tissue Data'!$A:$A,'[1]Tissue Data'!$I:$I)</f>
        <v>gibbosus</v>
      </c>
      <c r="G4236" t="str">
        <f>_xlfn.XLOOKUP(A4236,'[1]Tissue Data'!$A:$A,'[1]Tissue Data'!J:J)</f>
        <v>U</v>
      </c>
      <c r="H4236" t="str">
        <f>_xlfn.XLOOKUP(A4236,'[1]Tissue Data'!$A:$A,'[1]Tissue Data'!K:K)</f>
        <v>Whole Body</v>
      </c>
      <c r="I4236">
        <f>_xlfn.XLOOKUP(A4236,'[1]Tissue Data'!$A:$A,'[1]Tissue Data'!L:L)</f>
        <v>7.5</v>
      </c>
      <c r="J4236">
        <f>_xlfn.XLOOKUP(A4236,'[1]Tissue Data'!$A:$A,'[1]Tissue Data'!M:M)</f>
        <v>10.95</v>
      </c>
      <c r="K4236" t="s">
        <v>46</v>
      </c>
      <c r="L4236" t="str">
        <f>_xlfn.XLOOKUP(K4236,[2]analyte_order!$B:$B,[2]analyte_order!$C:$C)</f>
        <v>120226-60-0</v>
      </c>
      <c r="M4236">
        <f>_xlfn.XLOOKUP(L4236,[2]analyte_order!$C:$C,[2]analyte_order!$E:$E)</f>
        <v>25</v>
      </c>
      <c r="N4236">
        <v>0.2525</v>
      </c>
    </row>
    <row r="4237" spans="1:14">
      <c r="A4237" t="s">
        <v>263</v>
      </c>
      <c r="B4237" t="str">
        <f>_xlfn.XLOOKUP(A4237,'[1]Tissue Data'!$A:$A,'[1]Tissue Data'!$C:$C)</f>
        <v>Spill</v>
      </c>
      <c r="C4237" s="2">
        <f>_xlfn.XLOOKUP(A4237,'[1]Tissue Data'!$A:$A,'[1]Tissue Data'!$D:$D)</f>
        <v>44393</v>
      </c>
      <c r="D4237" s="2" t="str">
        <f>_xlfn.XLOOKUP(A4237,'[1]Tissue Data'!$A:$A,'[1]Tissue Data'!$F:$F)</f>
        <v>Pumpkinseed</v>
      </c>
      <c r="E4237" t="str">
        <f>_xlfn.XLOOKUP(A4237,'[1]Tissue Data'!$A:$A,'[1]Tissue Data'!$H:$H)</f>
        <v>Lepomis</v>
      </c>
      <c r="F4237" t="str">
        <f>_xlfn.XLOOKUP(A4237,'[1]Tissue Data'!$A:$A,'[1]Tissue Data'!$I:$I)</f>
        <v>gibbosus</v>
      </c>
      <c r="G4237" t="str">
        <f>_xlfn.XLOOKUP(A4237,'[1]Tissue Data'!$A:$A,'[1]Tissue Data'!J:J)</f>
        <v>U</v>
      </c>
      <c r="H4237" t="str">
        <f>_xlfn.XLOOKUP(A4237,'[1]Tissue Data'!$A:$A,'[1]Tissue Data'!K:K)</f>
        <v>Whole Body</v>
      </c>
      <c r="I4237">
        <f>_xlfn.XLOOKUP(A4237,'[1]Tissue Data'!$A:$A,'[1]Tissue Data'!L:L)</f>
        <v>7.5</v>
      </c>
      <c r="J4237">
        <f>_xlfn.XLOOKUP(A4237,'[1]Tissue Data'!$A:$A,'[1]Tissue Data'!M:M)</f>
        <v>10.95</v>
      </c>
      <c r="K4237" t="s">
        <v>47</v>
      </c>
      <c r="L4237" t="str">
        <f>_xlfn.XLOOKUP(K4237,[2]analyte_order!$B:$B,[2]analyte_order!$C:$C)</f>
        <v>356-02-5</v>
      </c>
      <c r="M4237">
        <f>_xlfn.XLOOKUP(L4237,[2]analyte_order!$C:$C,[2]analyte_order!$E:$E)</f>
        <v>38</v>
      </c>
      <c r="N4237">
        <v>7.7499999999999999E-2</v>
      </c>
    </row>
    <row r="4238" spans="1:14">
      <c r="A4238" t="s">
        <v>263</v>
      </c>
      <c r="B4238" t="str">
        <f>_xlfn.XLOOKUP(A4238,'[1]Tissue Data'!$A:$A,'[1]Tissue Data'!$C:$C)</f>
        <v>Spill</v>
      </c>
      <c r="C4238" s="2">
        <f>_xlfn.XLOOKUP(A4238,'[1]Tissue Data'!$A:$A,'[1]Tissue Data'!$D:$D)</f>
        <v>44393</v>
      </c>
      <c r="D4238" s="2" t="str">
        <f>_xlfn.XLOOKUP(A4238,'[1]Tissue Data'!$A:$A,'[1]Tissue Data'!$F:$F)</f>
        <v>Pumpkinseed</v>
      </c>
      <c r="E4238" t="str">
        <f>_xlfn.XLOOKUP(A4238,'[1]Tissue Data'!$A:$A,'[1]Tissue Data'!$H:$H)</f>
        <v>Lepomis</v>
      </c>
      <c r="F4238" t="str">
        <f>_xlfn.XLOOKUP(A4238,'[1]Tissue Data'!$A:$A,'[1]Tissue Data'!$I:$I)</f>
        <v>gibbosus</v>
      </c>
      <c r="G4238" t="str">
        <f>_xlfn.XLOOKUP(A4238,'[1]Tissue Data'!$A:$A,'[1]Tissue Data'!J:J)</f>
        <v>U</v>
      </c>
      <c r="H4238" t="str">
        <f>_xlfn.XLOOKUP(A4238,'[1]Tissue Data'!$A:$A,'[1]Tissue Data'!K:K)</f>
        <v>Whole Body</v>
      </c>
      <c r="I4238">
        <f>_xlfn.XLOOKUP(A4238,'[1]Tissue Data'!$A:$A,'[1]Tissue Data'!L:L)</f>
        <v>7.5</v>
      </c>
      <c r="J4238">
        <f>_xlfn.XLOOKUP(A4238,'[1]Tissue Data'!$A:$A,'[1]Tissue Data'!M:M)</f>
        <v>10.95</v>
      </c>
      <c r="K4238" t="s">
        <v>48</v>
      </c>
      <c r="L4238" t="str">
        <f>_xlfn.XLOOKUP(K4238,[2]analyte_order!$B:$B,[2]analyte_order!$C:$C)</f>
        <v>914637-49-3</v>
      </c>
      <c r="M4238">
        <f>_xlfn.XLOOKUP(L4238,[2]analyte_order!$C:$C,[2]analyte_order!$E:$E)</f>
        <v>39</v>
      </c>
      <c r="N4238">
        <v>0.2225</v>
      </c>
    </row>
    <row r="4239" spans="1:14">
      <c r="A4239" t="s">
        <v>263</v>
      </c>
      <c r="B4239" t="str">
        <f>_xlfn.XLOOKUP(A4239,'[1]Tissue Data'!$A:$A,'[1]Tissue Data'!$C:$C)</f>
        <v>Spill</v>
      </c>
      <c r="C4239" s="2">
        <f>_xlfn.XLOOKUP(A4239,'[1]Tissue Data'!$A:$A,'[1]Tissue Data'!$D:$D)</f>
        <v>44393</v>
      </c>
      <c r="D4239" s="2" t="str">
        <f>_xlfn.XLOOKUP(A4239,'[1]Tissue Data'!$A:$A,'[1]Tissue Data'!$F:$F)</f>
        <v>Pumpkinseed</v>
      </c>
      <c r="E4239" t="str">
        <f>_xlfn.XLOOKUP(A4239,'[1]Tissue Data'!$A:$A,'[1]Tissue Data'!$H:$H)</f>
        <v>Lepomis</v>
      </c>
      <c r="F4239" t="str">
        <f>_xlfn.XLOOKUP(A4239,'[1]Tissue Data'!$A:$A,'[1]Tissue Data'!$I:$I)</f>
        <v>gibbosus</v>
      </c>
      <c r="G4239" t="str">
        <f>_xlfn.XLOOKUP(A4239,'[1]Tissue Data'!$A:$A,'[1]Tissue Data'!J:J)</f>
        <v>U</v>
      </c>
      <c r="H4239" t="str">
        <f>_xlfn.XLOOKUP(A4239,'[1]Tissue Data'!$A:$A,'[1]Tissue Data'!K:K)</f>
        <v>Whole Body</v>
      </c>
      <c r="I4239">
        <f>_xlfn.XLOOKUP(A4239,'[1]Tissue Data'!$A:$A,'[1]Tissue Data'!L:L)</f>
        <v>7.5</v>
      </c>
      <c r="J4239">
        <f>_xlfn.XLOOKUP(A4239,'[1]Tissue Data'!$A:$A,'[1]Tissue Data'!M:M)</f>
        <v>10.95</v>
      </c>
      <c r="K4239" t="s">
        <v>49</v>
      </c>
      <c r="L4239" t="str">
        <f>_xlfn.XLOOKUP(K4239,[2]analyte_order!$B:$B,[2]analyte_order!$C:$C)</f>
        <v>812-70-4</v>
      </c>
      <c r="M4239">
        <f>_xlfn.XLOOKUP(L4239,[2]analyte_order!$C:$C,[2]analyte_order!$E:$E)</f>
        <v>40</v>
      </c>
      <c r="N4239">
        <v>1.35</v>
      </c>
    </row>
    <row r="4240" spans="1:14">
      <c r="A4240" t="s">
        <v>263</v>
      </c>
      <c r="B4240" t="str">
        <f>_xlfn.XLOOKUP(A4240,'[1]Tissue Data'!$A:$A,'[1]Tissue Data'!$C:$C)</f>
        <v>Spill</v>
      </c>
      <c r="C4240" s="2">
        <f>_xlfn.XLOOKUP(A4240,'[1]Tissue Data'!$A:$A,'[1]Tissue Data'!$D:$D)</f>
        <v>44393</v>
      </c>
      <c r="D4240" s="2" t="str">
        <f>_xlfn.XLOOKUP(A4240,'[1]Tissue Data'!$A:$A,'[1]Tissue Data'!$F:$F)</f>
        <v>Pumpkinseed</v>
      </c>
      <c r="E4240" t="str">
        <f>_xlfn.XLOOKUP(A4240,'[1]Tissue Data'!$A:$A,'[1]Tissue Data'!$H:$H)</f>
        <v>Lepomis</v>
      </c>
      <c r="F4240" t="str">
        <f>_xlfn.XLOOKUP(A4240,'[1]Tissue Data'!$A:$A,'[1]Tissue Data'!$I:$I)</f>
        <v>gibbosus</v>
      </c>
      <c r="G4240" t="str">
        <f>_xlfn.XLOOKUP(A4240,'[1]Tissue Data'!$A:$A,'[1]Tissue Data'!J:J)</f>
        <v>U</v>
      </c>
      <c r="H4240" t="str">
        <f>_xlfn.XLOOKUP(A4240,'[1]Tissue Data'!$A:$A,'[1]Tissue Data'!K:K)</f>
        <v>Whole Body</v>
      </c>
      <c r="I4240">
        <f>_xlfn.XLOOKUP(A4240,'[1]Tissue Data'!$A:$A,'[1]Tissue Data'!L:L)</f>
        <v>7.5</v>
      </c>
      <c r="J4240">
        <f>_xlfn.XLOOKUP(A4240,'[1]Tissue Data'!$A:$A,'[1]Tissue Data'!M:M)</f>
        <v>10.95</v>
      </c>
      <c r="K4240" t="s">
        <v>50</v>
      </c>
      <c r="L4240" t="str">
        <f>_xlfn.XLOOKUP(K4240,[2]analyte_order!$B:$B,[2]analyte_order!$C:$C)</f>
        <v>53826-12-3</v>
      </c>
      <c r="M4240">
        <f>_xlfn.XLOOKUP(L4240,[2]analyte_order!$C:$C,[2]analyte_order!$E:$E)</f>
        <v>41</v>
      </c>
      <c r="N4240">
        <v>6.7500000000000004E-2</v>
      </c>
    </row>
    <row r="4241" spans="1:14">
      <c r="A4241" t="s">
        <v>263</v>
      </c>
      <c r="B4241" t="str">
        <f>_xlfn.XLOOKUP(A4241,'[1]Tissue Data'!$A:$A,'[1]Tissue Data'!$C:$C)</f>
        <v>Spill</v>
      </c>
      <c r="C4241" s="2">
        <f>_xlfn.XLOOKUP(A4241,'[1]Tissue Data'!$A:$A,'[1]Tissue Data'!$D:$D)</f>
        <v>44393</v>
      </c>
      <c r="D4241" s="2" t="str">
        <f>_xlfn.XLOOKUP(A4241,'[1]Tissue Data'!$A:$A,'[1]Tissue Data'!$F:$F)</f>
        <v>Pumpkinseed</v>
      </c>
      <c r="E4241" t="str">
        <f>_xlfn.XLOOKUP(A4241,'[1]Tissue Data'!$A:$A,'[1]Tissue Data'!$H:$H)</f>
        <v>Lepomis</v>
      </c>
      <c r="F4241" t="str">
        <f>_xlfn.XLOOKUP(A4241,'[1]Tissue Data'!$A:$A,'[1]Tissue Data'!$I:$I)</f>
        <v>gibbosus</v>
      </c>
      <c r="G4241" t="str">
        <f>_xlfn.XLOOKUP(A4241,'[1]Tissue Data'!$A:$A,'[1]Tissue Data'!J:J)</f>
        <v>U</v>
      </c>
      <c r="H4241" t="str">
        <f>_xlfn.XLOOKUP(A4241,'[1]Tissue Data'!$A:$A,'[1]Tissue Data'!K:K)</f>
        <v>Whole Body</v>
      </c>
      <c r="I4241">
        <f>_xlfn.XLOOKUP(A4241,'[1]Tissue Data'!$A:$A,'[1]Tissue Data'!L:L)</f>
        <v>7.5</v>
      </c>
      <c r="J4241">
        <f>_xlfn.XLOOKUP(A4241,'[1]Tissue Data'!$A:$A,'[1]Tissue Data'!M:M)</f>
        <v>10.95</v>
      </c>
      <c r="K4241" t="s">
        <v>51</v>
      </c>
      <c r="L4241" t="str">
        <f>_xlfn.XLOOKUP(K4241,[2]analyte_order!$B:$B,[2]analyte_order!$C:$C)</f>
        <v>27854-31-5</v>
      </c>
      <c r="M4241">
        <f>_xlfn.XLOOKUP(L4241,[2]analyte_order!$C:$C,[2]analyte_order!$E:$E)</f>
        <v>42</v>
      </c>
      <c r="N4241">
        <v>2.02</v>
      </c>
    </row>
    <row r="4242" spans="1:14">
      <c r="A4242" t="s">
        <v>263</v>
      </c>
      <c r="B4242" t="str">
        <f>_xlfn.XLOOKUP(A4242,'[1]Tissue Data'!$A:$A,'[1]Tissue Data'!$C:$C)</f>
        <v>Spill</v>
      </c>
      <c r="C4242" s="2">
        <f>_xlfn.XLOOKUP(A4242,'[1]Tissue Data'!$A:$A,'[1]Tissue Data'!$D:$D)</f>
        <v>44393</v>
      </c>
      <c r="D4242" s="2" t="str">
        <f>_xlfn.XLOOKUP(A4242,'[1]Tissue Data'!$A:$A,'[1]Tissue Data'!$F:$F)</f>
        <v>Pumpkinseed</v>
      </c>
      <c r="E4242" t="str">
        <f>_xlfn.XLOOKUP(A4242,'[1]Tissue Data'!$A:$A,'[1]Tissue Data'!$H:$H)</f>
        <v>Lepomis</v>
      </c>
      <c r="F4242" t="str">
        <f>_xlfn.XLOOKUP(A4242,'[1]Tissue Data'!$A:$A,'[1]Tissue Data'!$I:$I)</f>
        <v>gibbosus</v>
      </c>
      <c r="G4242" t="str">
        <f>_xlfn.XLOOKUP(A4242,'[1]Tissue Data'!$A:$A,'[1]Tissue Data'!J:J)</f>
        <v>U</v>
      </c>
      <c r="H4242" t="str">
        <f>_xlfn.XLOOKUP(A4242,'[1]Tissue Data'!$A:$A,'[1]Tissue Data'!K:K)</f>
        <v>Whole Body</v>
      </c>
      <c r="I4242">
        <f>_xlfn.XLOOKUP(A4242,'[1]Tissue Data'!$A:$A,'[1]Tissue Data'!L:L)</f>
        <v>7.5</v>
      </c>
      <c r="J4242">
        <f>_xlfn.XLOOKUP(A4242,'[1]Tissue Data'!$A:$A,'[1]Tissue Data'!M:M)</f>
        <v>10.95</v>
      </c>
      <c r="K4242" t="s">
        <v>52</v>
      </c>
      <c r="L4242" t="str">
        <f>_xlfn.XLOOKUP(K4242,[2]analyte_order!$B:$B,[2]analyte_order!$C:$C)</f>
        <v>53826-13-4</v>
      </c>
      <c r="M4242">
        <f>_xlfn.XLOOKUP(L4242,[2]analyte_order!$C:$C,[2]analyte_order!$E:$E)</f>
        <v>43</v>
      </c>
      <c r="N4242">
        <v>0.33200000000000002</v>
      </c>
    </row>
    <row r="4243" spans="1:14">
      <c r="A4243" t="s">
        <v>263</v>
      </c>
      <c r="B4243" t="str">
        <f>_xlfn.XLOOKUP(A4243,'[1]Tissue Data'!$A:$A,'[1]Tissue Data'!$C:$C)</f>
        <v>Spill</v>
      </c>
      <c r="C4243" s="2">
        <f>_xlfn.XLOOKUP(A4243,'[1]Tissue Data'!$A:$A,'[1]Tissue Data'!$D:$D)</f>
        <v>44393</v>
      </c>
      <c r="D4243" s="2" t="str">
        <f>_xlfn.XLOOKUP(A4243,'[1]Tissue Data'!$A:$A,'[1]Tissue Data'!$F:$F)</f>
        <v>Pumpkinseed</v>
      </c>
      <c r="E4243" t="str">
        <f>_xlfn.XLOOKUP(A4243,'[1]Tissue Data'!$A:$A,'[1]Tissue Data'!$H:$H)</f>
        <v>Lepomis</v>
      </c>
      <c r="F4243" t="str">
        <f>_xlfn.XLOOKUP(A4243,'[1]Tissue Data'!$A:$A,'[1]Tissue Data'!$I:$I)</f>
        <v>gibbosus</v>
      </c>
      <c r="G4243" t="str">
        <f>_xlfn.XLOOKUP(A4243,'[1]Tissue Data'!$A:$A,'[1]Tissue Data'!J:J)</f>
        <v>U</v>
      </c>
      <c r="H4243" t="str">
        <f>_xlfn.XLOOKUP(A4243,'[1]Tissue Data'!$A:$A,'[1]Tissue Data'!K:K)</f>
        <v>Whole Body</v>
      </c>
      <c r="I4243">
        <f>_xlfn.XLOOKUP(A4243,'[1]Tissue Data'!$A:$A,'[1]Tissue Data'!L:L)</f>
        <v>7.5</v>
      </c>
      <c r="J4243">
        <f>_xlfn.XLOOKUP(A4243,'[1]Tissue Data'!$A:$A,'[1]Tissue Data'!M:M)</f>
        <v>10.95</v>
      </c>
      <c r="K4243" t="s">
        <v>53</v>
      </c>
      <c r="L4243" t="str">
        <f>_xlfn.XLOOKUP(K4243,[2]analyte_order!$B:$B,[2]analyte_order!$C:$C)</f>
        <v>161094-75-3</v>
      </c>
      <c r="M4243">
        <f>_xlfn.XLOOKUP(L4243,[2]analyte_order!$C:$C,[2]analyte_order!$E:$E)</f>
        <v>44</v>
      </c>
      <c r="N4243">
        <v>5.2999999999999999E-2</v>
      </c>
    </row>
    <row r="4244" spans="1:14">
      <c r="A4244" t="s">
        <v>263</v>
      </c>
      <c r="B4244" t="str">
        <f>_xlfn.XLOOKUP(A4244,'[1]Tissue Data'!$A:$A,'[1]Tissue Data'!$C:$C)</f>
        <v>Spill</v>
      </c>
      <c r="C4244" s="2">
        <f>_xlfn.XLOOKUP(A4244,'[1]Tissue Data'!$A:$A,'[1]Tissue Data'!$D:$D)</f>
        <v>44393</v>
      </c>
      <c r="D4244" s="2" t="str">
        <f>_xlfn.XLOOKUP(A4244,'[1]Tissue Data'!$A:$A,'[1]Tissue Data'!$F:$F)</f>
        <v>Pumpkinseed</v>
      </c>
      <c r="E4244" t="str">
        <f>_xlfn.XLOOKUP(A4244,'[1]Tissue Data'!$A:$A,'[1]Tissue Data'!$H:$H)</f>
        <v>Lepomis</v>
      </c>
      <c r="F4244" t="str">
        <f>_xlfn.XLOOKUP(A4244,'[1]Tissue Data'!$A:$A,'[1]Tissue Data'!$I:$I)</f>
        <v>gibbosus</v>
      </c>
      <c r="G4244" t="str">
        <f>_xlfn.XLOOKUP(A4244,'[1]Tissue Data'!$A:$A,'[1]Tissue Data'!J:J)</f>
        <v>U</v>
      </c>
      <c r="H4244" t="str">
        <f>_xlfn.XLOOKUP(A4244,'[1]Tissue Data'!$A:$A,'[1]Tissue Data'!K:K)</f>
        <v>Whole Body</v>
      </c>
      <c r="I4244">
        <f>_xlfn.XLOOKUP(A4244,'[1]Tissue Data'!$A:$A,'[1]Tissue Data'!L:L)</f>
        <v>7.5</v>
      </c>
      <c r="J4244">
        <f>_xlfn.XLOOKUP(A4244,'[1]Tissue Data'!$A:$A,'[1]Tissue Data'!M:M)</f>
        <v>10.95</v>
      </c>
      <c r="K4244" t="s">
        <v>54</v>
      </c>
      <c r="L4244" t="str">
        <f>_xlfn.XLOOKUP(K4244,[2]analyte_order!$B:$B,[2]analyte_order!$C:$C)</f>
        <v>70887-84-2</v>
      </c>
      <c r="M4244">
        <f>_xlfn.XLOOKUP(L4244,[2]analyte_order!$C:$C,[2]analyte_order!$E:$E)</f>
        <v>45</v>
      </c>
      <c r="N4244">
        <v>4.0750000000000001E-2</v>
      </c>
    </row>
    <row r="4245" spans="1:14">
      <c r="A4245" t="s">
        <v>263</v>
      </c>
      <c r="B4245" t="str">
        <f>_xlfn.XLOOKUP(A4245,'[1]Tissue Data'!$A:$A,'[1]Tissue Data'!$C:$C)</f>
        <v>Spill</v>
      </c>
      <c r="C4245" s="2">
        <f>_xlfn.XLOOKUP(A4245,'[1]Tissue Data'!$A:$A,'[1]Tissue Data'!$D:$D)</f>
        <v>44393</v>
      </c>
      <c r="D4245" s="2" t="str">
        <f>_xlfn.XLOOKUP(A4245,'[1]Tissue Data'!$A:$A,'[1]Tissue Data'!$F:$F)</f>
        <v>Pumpkinseed</v>
      </c>
      <c r="E4245" t="str">
        <f>_xlfn.XLOOKUP(A4245,'[1]Tissue Data'!$A:$A,'[1]Tissue Data'!$H:$H)</f>
        <v>Lepomis</v>
      </c>
      <c r="F4245" t="str">
        <f>_xlfn.XLOOKUP(A4245,'[1]Tissue Data'!$A:$A,'[1]Tissue Data'!$I:$I)</f>
        <v>gibbosus</v>
      </c>
      <c r="G4245" t="str">
        <f>_xlfn.XLOOKUP(A4245,'[1]Tissue Data'!$A:$A,'[1]Tissue Data'!J:J)</f>
        <v>U</v>
      </c>
      <c r="H4245" t="str">
        <f>_xlfn.XLOOKUP(A4245,'[1]Tissue Data'!$A:$A,'[1]Tissue Data'!K:K)</f>
        <v>Whole Body</v>
      </c>
      <c r="I4245">
        <f>_xlfn.XLOOKUP(A4245,'[1]Tissue Data'!$A:$A,'[1]Tissue Data'!L:L)</f>
        <v>7.5</v>
      </c>
      <c r="J4245">
        <f>_xlfn.XLOOKUP(A4245,'[1]Tissue Data'!$A:$A,'[1]Tissue Data'!M:M)</f>
        <v>10.95</v>
      </c>
      <c r="K4245" t="s">
        <v>55</v>
      </c>
      <c r="L4245" t="str">
        <f>_xlfn.XLOOKUP(K4245,[2]analyte_order!$B:$B,[2]analyte_order!$C:$C)</f>
        <v>919005-14-4</v>
      </c>
      <c r="M4245">
        <f>_xlfn.XLOOKUP(L4245,[2]analyte_order!$C:$C,[2]analyte_order!$E:$E)</f>
        <v>35</v>
      </c>
      <c r="N4245">
        <v>6.7500000000000004E-2</v>
      </c>
    </row>
    <row r="4246" spans="1:14">
      <c r="A4246" t="s">
        <v>263</v>
      </c>
      <c r="B4246" t="str">
        <f>_xlfn.XLOOKUP(A4246,'[1]Tissue Data'!$A:$A,'[1]Tissue Data'!$C:$C)</f>
        <v>Spill</v>
      </c>
      <c r="C4246" s="2">
        <f>_xlfn.XLOOKUP(A4246,'[1]Tissue Data'!$A:$A,'[1]Tissue Data'!$D:$D)</f>
        <v>44393</v>
      </c>
      <c r="D4246" s="2" t="str">
        <f>_xlfn.XLOOKUP(A4246,'[1]Tissue Data'!$A:$A,'[1]Tissue Data'!$F:$F)</f>
        <v>Pumpkinseed</v>
      </c>
      <c r="E4246" t="str">
        <f>_xlfn.XLOOKUP(A4246,'[1]Tissue Data'!$A:$A,'[1]Tissue Data'!$H:$H)</f>
        <v>Lepomis</v>
      </c>
      <c r="F4246" t="str">
        <f>_xlfn.XLOOKUP(A4246,'[1]Tissue Data'!$A:$A,'[1]Tissue Data'!$I:$I)</f>
        <v>gibbosus</v>
      </c>
      <c r="G4246" t="str">
        <f>_xlfn.XLOOKUP(A4246,'[1]Tissue Data'!$A:$A,'[1]Tissue Data'!J:J)</f>
        <v>U</v>
      </c>
      <c r="H4246" t="str">
        <f>_xlfn.XLOOKUP(A4246,'[1]Tissue Data'!$A:$A,'[1]Tissue Data'!K:K)</f>
        <v>Whole Body</v>
      </c>
      <c r="I4246">
        <f>_xlfn.XLOOKUP(A4246,'[1]Tissue Data'!$A:$A,'[1]Tissue Data'!L:L)</f>
        <v>7.5</v>
      </c>
      <c r="J4246">
        <f>_xlfn.XLOOKUP(A4246,'[1]Tissue Data'!$A:$A,'[1]Tissue Data'!M:M)</f>
        <v>10.95</v>
      </c>
      <c r="K4246" t="s">
        <v>56</v>
      </c>
      <c r="L4246" t="str">
        <f>_xlfn.XLOOKUP(K4246,[2]analyte_order!$B:$B,[2]analyte_order!$C:$C)</f>
        <v>756426-58-1</v>
      </c>
      <c r="M4246">
        <f>_xlfn.XLOOKUP(L4246,[2]analyte_order!$C:$C,[2]analyte_order!$E:$E)</f>
        <v>36</v>
      </c>
      <c r="N4246">
        <v>6.7500000000000004E-2</v>
      </c>
    </row>
    <row r="4247" spans="1:14">
      <c r="A4247" t="s">
        <v>263</v>
      </c>
      <c r="B4247" t="str">
        <f>_xlfn.XLOOKUP(A4247,'[1]Tissue Data'!$A:$A,'[1]Tissue Data'!$C:$C)</f>
        <v>Spill</v>
      </c>
      <c r="C4247" s="2">
        <f>_xlfn.XLOOKUP(A4247,'[1]Tissue Data'!$A:$A,'[1]Tissue Data'!$D:$D)</f>
        <v>44393</v>
      </c>
      <c r="D4247" s="2" t="str">
        <f>_xlfn.XLOOKUP(A4247,'[1]Tissue Data'!$A:$A,'[1]Tissue Data'!$F:$F)</f>
        <v>Pumpkinseed</v>
      </c>
      <c r="E4247" t="str">
        <f>_xlfn.XLOOKUP(A4247,'[1]Tissue Data'!$A:$A,'[1]Tissue Data'!$H:$H)</f>
        <v>Lepomis</v>
      </c>
      <c r="F4247" t="str">
        <f>_xlfn.XLOOKUP(A4247,'[1]Tissue Data'!$A:$A,'[1]Tissue Data'!$I:$I)</f>
        <v>gibbosus</v>
      </c>
      <c r="G4247" t="str">
        <f>_xlfn.XLOOKUP(A4247,'[1]Tissue Data'!$A:$A,'[1]Tissue Data'!J:J)</f>
        <v>U</v>
      </c>
      <c r="H4247" t="str">
        <f>_xlfn.XLOOKUP(A4247,'[1]Tissue Data'!$A:$A,'[1]Tissue Data'!K:K)</f>
        <v>Whole Body</v>
      </c>
      <c r="I4247">
        <f>_xlfn.XLOOKUP(A4247,'[1]Tissue Data'!$A:$A,'[1]Tissue Data'!L:L)</f>
        <v>7.5</v>
      </c>
      <c r="J4247">
        <f>_xlfn.XLOOKUP(A4247,'[1]Tissue Data'!$A:$A,'[1]Tissue Data'!M:M)</f>
        <v>10.95</v>
      </c>
      <c r="K4247" t="s">
        <v>57</v>
      </c>
      <c r="L4247" t="str">
        <f>_xlfn.XLOOKUP(K4247,[2]analyte_order!$B:$B,[2]analyte_order!$C:$C)</f>
        <v>763051-92-9</v>
      </c>
      <c r="M4247">
        <f>_xlfn.XLOOKUP(L4247,[2]analyte_order!$C:$C,[2]analyte_order!$E:$E)</f>
        <v>37</v>
      </c>
      <c r="N4247">
        <v>6.7500000000000004E-2</v>
      </c>
    </row>
    <row r="4248" spans="1:14">
      <c r="A4248" t="s">
        <v>263</v>
      </c>
      <c r="B4248" t="str">
        <f>_xlfn.XLOOKUP(A4248,'[1]Tissue Data'!$A:$A,'[1]Tissue Data'!$C:$C)</f>
        <v>Spill</v>
      </c>
      <c r="C4248" s="2">
        <f>_xlfn.XLOOKUP(A4248,'[1]Tissue Data'!$A:$A,'[1]Tissue Data'!$D:$D)</f>
        <v>44393</v>
      </c>
      <c r="D4248" s="2" t="str">
        <f>_xlfn.XLOOKUP(A4248,'[1]Tissue Data'!$A:$A,'[1]Tissue Data'!$F:$F)</f>
        <v>Pumpkinseed</v>
      </c>
      <c r="E4248" t="str">
        <f>_xlfn.XLOOKUP(A4248,'[1]Tissue Data'!$A:$A,'[1]Tissue Data'!$H:$H)</f>
        <v>Lepomis</v>
      </c>
      <c r="F4248" t="str">
        <f>_xlfn.XLOOKUP(A4248,'[1]Tissue Data'!$A:$A,'[1]Tissue Data'!$I:$I)</f>
        <v>gibbosus</v>
      </c>
      <c r="G4248" t="str">
        <f>_xlfn.XLOOKUP(A4248,'[1]Tissue Data'!$A:$A,'[1]Tissue Data'!J:J)</f>
        <v>U</v>
      </c>
      <c r="H4248" t="str">
        <f>_xlfn.XLOOKUP(A4248,'[1]Tissue Data'!$A:$A,'[1]Tissue Data'!K:K)</f>
        <v>Whole Body</v>
      </c>
      <c r="I4248">
        <f>_xlfn.XLOOKUP(A4248,'[1]Tissue Data'!$A:$A,'[1]Tissue Data'!L:L)</f>
        <v>7.5</v>
      </c>
      <c r="J4248">
        <f>_xlfn.XLOOKUP(A4248,'[1]Tissue Data'!$A:$A,'[1]Tissue Data'!M:M)</f>
        <v>10.95</v>
      </c>
      <c r="K4248" t="s">
        <v>58</v>
      </c>
      <c r="L4248" t="str">
        <f>_xlfn.XLOOKUP(K4248,[2]analyte_order!$B:$B,[2]analyte_order!$C:$C)</f>
        <v>13252-13-6</v>
      </c>
      <c r="M4248">
        <f>_xlfn.XLOOKUP(L4248,[2]analyte_order!$C:$C,[2]analyte_order!$E:$E)</f>
        <v>34</v>
      </c>
      <c r="N4248">
        <v>9.7000000000000003E-2</v>
      </c>
    </row>
    <row r="4249" spans="1:14">
      <c r="A4249" t="s">
        <v>263</v>
      </c>
      <c r="B4249" t="str">
        <f>_xlfn.XLOOKUP(A4249,'[1]Tissue Data'!$A:$A,'[1]Tissue Data'!$C:$C)</f>
        <v>Spill</v>
      </c>
      <c r="C4249" s="2">
        <f>_xlfn.XLOOKUP(A4249,'[1]Tissue Data'!$A:$A,'[1]Tissue Data'!$D:$D)</f>
        <v>44393</v>
      </c>
      <c r="D4249" s="2" t="str">
        <f>_xlfn.XLOOKUP(A4249,'[1]Tissue Data'!$A:$A,'[1]Tissue Data'!$F:$F)</f>
        <v>Pumpkinseed</v>
      </c>
      <c r="E4249" t="str">
        <f>_xlfn.XLOOKUP(A4249,'[1]Tissue Data'!$A:$A,'[1]Tissue Data'!$H:$H)</f>
        <v>Lepomis</v>
      </c>
      <c r="F4249" t="str">
        <f>_xlfn.XLOOKUP(A4249,'[1]Tissue Data'!$A:$A,'[1]Tissue Data'!$I:$I)</f>
        <v>gibbosus</v>
      </c>
      <c r="G4249" t="str">
        <f>_xlfn.XLOOKUP(A4249,'[1]Tissue Data'!$A:$A,'[1]Tissue Data'!J:J)</f>
        <v>U</v>
      </c>
      <c r="H4249" t="str">
        <f>_xlfn.XLOOKUP(A4249,'[1]Tissue Data'!$A:$A,'[1]Tissue Data'!K:K)</f>
        <v>Whole Body</v>
      </c>
      <c r="I4249">
        <f>_xlfn.XLOOKUP(A4249,'[1]Tissue Data'!$A:$A,'[1]Tissue Data'!L:L)</f>
        <v>7.5</v>
      </c>
      <c r="J4249">
        <f>_xlfn.XLOOKUP(A4249,'[1]Tissue Data'!$A:$A,'[1]Tissue Data'!M:M)</f>
        <v>10.95</v>
      </c>
      <c r="K4249" t="s">
        <v>59</v>
      </c>
      <c r="L4249" t="str">
        <f>_xlfn.XLOOKUP(K4249,[2]analyte_order!$B:$B,[2]analyte_order!$C:$C)</f>
        <v>57677-95-9</v>
      </c>
      <c r="M4249">
        <f>_xlfn.XLOOKUP(L4249,[2]analyte_order!$C:$C,[2]analyte_order!$E:$E)</f>
        <v>46</v>
      </c>
      <c r="N4249">
        <v>7.1999999999999995E-2</v>
      </c>
    </row>
    <row r="4250" spans="1:14">
      <c r="A4250" t="s">
        <v>263</v>
      </c>
      <c r="B4250" t="str">
        <f>_xlfn.XLOOKUP(A4250,'[1]Tissue Data'!$A:$A,'[1]Tissue Data'!$C:$C)</f>
        <v>Spill</v>
      </c>
      <c r="C4250" s="2">
        <f>_xlfn.XLOOKUP(A4250,'[1]Tissue Data'!$A:$A,'[1]Tissue Data'!$D:$D)</f>
        <v>44393</v>
      </c>
      <c r="D4250" s="2" t="str">
        <f>_xlfn.XLOOKUP(A4250,'[1]Tissue Data'!$A:$A,'[1]Tissue Data'!$F:$F)</f>
        <v>Pumpkinseed</v>
      </c>
      <c r="E4250" t="str">
        <f>_xlfn.XLOOKUP(A4250,'[1]Tissue Data'!$A:$A,'[1]Tissue Data'!$H:$H)</f>
        <v>Lepomis</v>
      </c>
      <c r="F4250" t="str">
        <f>_xlfn.XLOOKUP(A4250,'[1]Tissue Data'!$A:$A,'[1]Tissue Data'!$I:$I)</f>
        <v>gibbosus</v>
      </c>
      <c r="G4250" t="str">
        <f>_xlfn.XLOOKUP(A4250,'[1]Tissue Data'!$A:$A,'[1]Tissue Data'!J:J)</f>
        <v>U</v>
      </c>
      <c r="H4250" t="str">
        <f>_xlfn.XLOOKUP(A4250,'[1]Tissue Data'!$A:$A,'[1]Tissue Data'!K:K)</f>
        <v>Whole Body</v>
      </c>
      <c r="I4250">
        <f>_xlfn.XLOOKUP(A4250,'[1]Tissue Data'!$A:$A,'[1]Tissue Data'!L:L)</f>
        <v>7.5</v>
      </c>
      <c r="J4250">
        <f>_xlfn.XLOOKUP(A4250,'[1]Tissue Data'!$A:$A,'[1]Tissue Data'!M:M)</f>
        <v>10.95</v>
      </c>
      <c r="K4250" t="s">
        <v>60</v>
      </c>
      <c r="L4250" t="str">
        <f>_xlfn.XLOOKUP(K4250,[2]analyte_order!$B:$B,[2]analyte_order!$C:$C)</f>
        <v>678-41-1</v>
      </c>
      <c r="M4250">
        <f>_xlfn.XLOOKUP(L4250,[2]analyte_order!$C:$C,[2]analyte_order!$E:$E)</f>
        <v>56</v>
      </c>
      <c r="N4250">
        <v>8.9499999999999996E-2</v>
      </c>
    </row>
    <row r="4251" spans="1:14">
      <c r="A4251" t="s">
        <v>263</v>
      </c>
      <c r="B4251" t="str">
        <f>_xlfn.XLOOKUP(A4251,'[1]Tissue Data'!$A:$A,'[1]Tissue Data'!$C:$C)</f>
        <v>Spill</v>
      </c>
      <c r="C4251" s="2">
        <f>_xlfn.XLOOKUP(A4251,'[1]Tissue Data'!$A:$A,'[1]Tissue Data'!$D:$D)</f>
        <v>44393</v>
      </c>
      <c r="D4251" s="2" t="str">
        <f>_xlfn.XLOOKUP(A4251,'[1]Tissue Data'!$A:$A,'[1]Tissue Data'!$F:$F)</f>
        <v>Pumpkinseed</v>
      </c>
      <c r="E4251" t="str">
        <f>_xlfn.XLOOKUP(A4251,'[1]Tissue Data'!$A:$A,'[1]Tissue Data'!$H:$H)</f>
        <v>Lepomis</v>
      </c>
      <c r="F4251" t="str">
        <f>_xlfn.XLOOKUP(A4251,'[1]Tissue Data'!$A:$A,'[1]Tissue Data'!$I:$I)</f>
        <v>gibbosus</v>
      </c>
      <c r="G4251" t="str">
        <f>_xlfn.XLOOKUP(A4251,'[1]Tissue Data'!$A:$A,'[1]Tissue Data'!J:J)</f>
        <v>U</v>
      </c>
      <c r="H4251" t="str">
        <f>_xlfn.XLOOKUP(A4251,'[1]Tissue Data'!$A:$A,'[1]Tissue Data'!K:K)</f>
        <v>Whole Body</v>
      </c>
      <c r="I4251">
        <f>_xlfn.XLOOKUP(A4251,'[1]Tissue Data'!$A:$A,'[1]Tissue Data'!L:L)</f>
        <v>7.5</v>
      </c>
      <c r="J4251">
        <f>_xlfn.XLOOKUP(A4251,'[1]Tissue Data'!$A:$A,'[1]Tissue Data'!M:M)</f>
        <v>10.95</v>
      </c>
      <c r="K4251" t="s">
        <v>61</v>
      </c>
      <c r="L4251" t="str">
        <f>_xlfn.XLOOKUP(K4251,[2]analyte_order!$B:$B,[2]analyte_order!$C:$C)</f>
        <v>2965-52-8</v>
      </c>
      <c r="M4251">
        <f>_xlfn.XLOOKUP(L4251,[2]analyte_order!$C:$C,[2]analyte_order!$E:$E)</f>
        <v>57</v>
      </c>
      <c r="N4251">
        <v>0.11849999999999999</v>
      </c>
    </row>
    <row r="4252" spans="1:14">
      <c r="A4252" t="s">
        <v>264</v>
      </c>
      <c r="B4252" t="str">
        <f>_xlfn.XLOOKUP(A4252,'[1]Tissue Data'!$A:$A,'[1]Tissue Data'!$C:$C)</f>
        <v>Spill</v>
      </c>
      <c r="C4252" s="2">
        <f>_xlfn.XLOOKUP(A4252,'[1]Tissue Data'!$A:$A,'[1]Tissue Data'!$D:$D)</f>
        <v>44393</v>
      </c>
      <c r="D4252" s="2" t="str">
        <f>_xlfn.XLOOKUP(A4252,'[1]Tissue Data'!$A:$A,'[1]Tissue Data'!$F:$F)</f>
        <v>Pumpkinseed</v>
      </c>
      <c r="E4252" t="str">
        <f>_xlfn.XLOOKUP(A4252,'[1]Tissue Data'!$A:$A,'[1]Tissue Data'!$H:$H)</f>
        <v>Lepomis</v>
      </c>
      <c r="F4252" t="str">
        <f>_xlfn.XLOOKUP(A4252,'[1]Tissue Data'!$A:$A,'[1]Tissue Data'!$I:$I)</f>
        <v>gibbosus</v>
      </c>
      <c r="G4252" t="str">
        <f>_xlfn.XLOOKUP(A4252,'[1]Tissue Data'!$A:$A,'[1]Tissue Data'!J:J)</f>
        <v>U</v>
      </c>
      <c r="H4252" t="str">
        <f>_xlfn.XLOOKUP(A4252,'[1]Tissue Data'!$A:$A,'[1]Tissue Data'!K:K)</f>
        <v>Whole Body</v>
      </c>
      <c r="I4252">
        <f>_xlfn.XLOOKUP(A4252,'[1]Tissue Data'!$A:$A,'[1]Tissue Data'!L:L)</f>
        <v>6</v>
      </c>
      <c r="J4252">
        <f>_xlfn.XLOOKUP(A4252,'[1]Tissue Data'!$A:$A,'[1]Tissue Data'!M:M)</f>
        <v>6.99</v>
      </c>
      <c r="K4252" t="s">
        <v>12</v>
      </c>
      <c r="L4252" t="str">
        <f>_xlfn.XLOOKUP(K4252,[2]analyte_order!$B:$B,[2]analyte_order!$C:$C)</f>
        <v>375-22-4</v>
      </c>
      <c r="M4252">
        <f>_xlfn.XLOOKUP(L4252,[2]analyte_order!$C:$C,[2]analyte_order!$E:$E)</f>
        <v>1</v>
      </c>
      <c r="N4252">
        <v>0.219</v>
      </c>
    </row>
    <row r="4253" spans="1:14">
      <c r="A4253" t="s">
        <v>264</v>
      </c>
      <c r="B4253" t="str">
        <f>_xlfn.XLOOKUP(A4253,'[1]Tissue Data'!$A:$A,'[1]Tissue Data'!$C:$C)</f>
        <v>Spill</v>
      </c>
      <c r="C4253" s="2">
        <f>_xlfn.XLOOKUP(A4253,'[1]Tissue Data'!$A:$A,'[1]Tissue Data'!$D:$D)</f>
        <v>44393</v>
      </c>
      <c r="D4253" s="2" t="str">
        <f>_xlfn.XLOOKUP(A4253,'[1]Tissue Data'!$A:$A,'[1]Tissue Data'!$F:$F)</f>
        <v>Pumpkinseed</v>
      </c>
      <c r="E4253" t="str">
        <f>_xlfn.XLOOKUP(A4253,'[1]Tissue Data'!$A:$A,'[1]Tissue Data'!$H:$H)</f>
        <v>Lepomis</v>
      </c>
      <c r="F4253" t="str">
        <f>_xlfn.XLOOKUP(A4253,'[1]Tissue Data'!$A:$A,'[1]Tissue Data'!$I:$I)</f>
        <v>gibbosus</v>
      </c>
      <c r="G4253" t="str">
        <f>_xlfn.XLOOKUP(A4253,'[1]Tissue Data'!$A:$A,'[1]Tissue Data'!J:J)</f>
        <v>U</v>
      </c>
      <c r="H4253" t="str">
        <f>_xlfn.XLOOKUP(A4253,'[1]Tissue Data'!$A:$A,'[1]Tissue Data'!K:K)</f>
        <v>Whole Body</v>
      </c>
      <c r="I4253">
        <f>_xlfn.XLOOKUP(A4253,'[1]Tissue Data'!$A:$A,'[1]Tissue Data'!L:L)</f>
        <v>6</v>
      </c>
      <c r="J4253">
        <f>_xlfn.XLOOKUP(A4253,'[1]Tissue Data'!$A:$A,'[1]Tissue Data'!M:M)</f>
        <v>6.99</v>
      </c>
      <c r="K4253" t="s">
        <v>13</v>
      </c>
      <c r="L4253" t="str">
        <f>_xlfn.XLOOKUP(K4253,[2]analyte_order!$B:$B,[2]analyte_order!$C:$C)</f>
        <v>2706-90-3</v>
      </c>
      <c r="M4253">
        <f>_xlfn.XLOOKUP(L4253,[2]analyte_order!$C:$C,[2]analyte_order!$E:$E)</f>
        <v>2</v>
      </c>
      <c r="N4253">
        <v>4.6800000000000001E-2</v>
      </c>
    </row>
    <row r="4254" spans="1:14">
      <c r="A4254" t="s">
        <v>264</v>
      </c>
      <c r="B4254" t="str">
        <f>_xlfn.XLOOKUP(A4254,'[1]Tissue Data'!$A:$A,'[1]Tissue Data'!$C:$C)</f>
        <v>Spill</v>
      </c>
      <c r="C4254" s="2">
        <f>_xlfn.XLOOKUP(A4254,'[1]Tissue Data'!$A:$A,'[1]Tissue Data'!$D:$D)</f>
        <v>44393</v>
      </c>
      <c r="D4254" s="2" t="str">
        <f>_xlfn.XLOOKUP(A4254,'[1]Tissue Data'!$A:$A,'[1]Tissue Data'!$F:$F)</f>
        <v>Pumpkinseed</v>
      </c>
      <c r="E4254" t="str">
        <f>_xlfn.XLOOKUP(A4254,'[1]Tissue Data'!$A:$A,'[1]Tissue Data'!$H:$H)</f>
        <v>Lepomis</v>
      </c>
      <c r="F4254" t="str">
        <f>_xlfn.XLOOKUP(A4254,'[1]Tissue Data'!$A:$A,'[1]Tissue Data'!$I:$I)</f>
        <v>gibbosus</v>
      </c>
      <c r="G4254" t="str">
        <f>_xlfn.XLOOKUP(A4254,'[1]Tissue Data'!$A:$A,'[1]Tissue Data'!J:J)</f>
        <v>U</v>
      </c>
      <c r="H4254" t="str">
        <f>_xlfn.XLOOKUP(A4254,'[1]Tissue Data'!$A:$A,'[1]Tissue Data'!K:K)</f>
        <v>Whole Body</v>
      </c>
      <c r="I4254">
        <f>_xlfn.XLOOKUP(A4254,'[1]Tissue Data'!$A:$A,'[1]Tissue Data'!L:L)</f>
        <v>6</v>
      </c>
      <c r="J4254">
        <f>_xlfn.XLOOKUP(A4254,'[1]Tissue Data'!$A:$A,'[1]Tissue Data'!M:M)</f>
        <v>6.99</v>
      </c>
      <c r="K4254" t="s">
        <v>14</v>
      </c>
      <c r="L4254" t="str">
        <f>_xlfn.XLOOKUP(K4254,[2]analyte_order!$B:$B,[2]analyte_order!$C:$C)</f>
        <v>307-24-4</v>
      </c>
      <c r="M4254">
        <f>_xlfn.XLOOKUP(L4254,[2]analyte_order!$C:$C,[2]analyte_order!$E:$E)</f>
        <v>3</v>
      </c>
      <c r="N4254">
        <v>3.5749999999999997E-2</v>
      </c>
    </row>
    <row r="4255" spans="1:14">
      <c r="A4255" t="s">
        <v>264</v>
      </c>
      <c r="B4255" t="str">
        <f>_xlfn.XLOOKUP(A4255,'[1]Tissue Data'!$A:$A,'[1]Tissue Data'!$C:$C)</f>
        <v>Spill</v>
      </c>
      <c r="C4255" s="2">
        <f>_xlfn.XLOOKUP(A4255,'[1]Tissue Data'!$A:$A,'[1]Tissue Data'!$D:$D)</f>
        <v>44393</v>
      </c>
      <c r="D4255" s="2" t="str">
        <f>_xlfn.XLOOKUP(A4255,'[1]Tissue Data'!$A:$A,'[1]Tissue Data'!$F:$F)</f>
        <v>Pumpkinseed</v>
      </c>
      <c r="E4255" t="str">
        <f>_xlfn.XLOOKUP(A4255,'[1]Tissue Data'!$A:$A,'[1]Tissue Data'!$H:$H)</f>
        <v>Lepomis</v>
      </c>
      <c r="F4255" t="str">
        <f>_xlfn.XLOOKUP(A4255,'[1]Tissue Data'!$A:$A,'[1]Tissue Data'!$I:$I)</f>
        <v>gibbosus</v>
      </c>
      <c r="G4255" t="str">
        <f>_xlfn.XLOOKUP(A4255,'[1]Tissue Data'!$A:$A,'[1]Tissue Data'!J:J)</f>
        <v>U</v>
      </c>
      <c r="H4255" t="str">
        <f>_xlfn.XLOOKUP(A4255,'[1]Tissue Data'!$A:$A,'[1]Tissue Data'!K:K)</f>
        <v>Whole Body</v>
      </c>
      <c r="I4255">
        <f>_xlfn.XLOOKUP(A4255,'[1]Tissue Data'!$A:$A,'[1]Tissue Data'!L:L)</f>
        <v>6</v>
      </c>
      <c r="J4255">
        <f>_xlfn.XLOOKUP(A4255,'[1]Tissue Data'!$A:$A,'[1]Tissue Data'!M:M)</f>
        <v>6.99</v>
      </c>
      <c r="K4255" t="s">
        <v>15</v>
      </c>
      <c r="L4255" t="str">
        <f>_xlfn.XLOOKUP(K4255,[2]analyte_order!$B:$B,[2]analyte_order!$C:$C)</f>
        <v>375-85-9</v>
      </c>
      <c r="M4255">
        <f>_xlfn.XLOOKUP(L4255,[2]analyte_order!$C:$C,[2]analyte_order!$E:$E)</f>
        <v>4</v>
      </c>
      <c r="N4255">
        <v>2.6499999999999999E-2</v>
      </c>
    </row>
    <row r="4256" spans="1:14">
      <c r="A4256" t="s">
        <v>264</v>
      </c>
      <c r="B4256" t="str">
        <f>_xlfn.XLOOKUP(A4256,'[1]Tissue Data'!$A:$A,'[1]Tissue Data'!$C:$C)</f>
        <v>Spill</v>
      </c>
      <c r="C4256" s="2">
        <f>_xlfn.XLOOKUP(A4256,'[1]Tissue Data'!$A:$A,'[1]Tissue Data'!$D:$D)</f>
        <v>44393</v>
      </c>
      <c r="D4256" s="2" t="str">
        <f>_xlfn.XLOOKUP(A4256,'[1]Tissue Data'!$A:$A,'[1]Tissue Data'!$F:$F)</f>
        <v>Pumpkinseed</v>
      </c>
      <c r="E4256" t="str">
        <f>_xlfn.XLOOKUP(A4256,'[1]Tissue Data'!$A:$A,'[1]Tissue Data'!$H:$H)</f>
        <v>Lepomis</v>
      </c>
      <c r="F4256" t="str">
        <f>_xlfn.XLOOKUP(A4256,'[1]Tissue Data'!$A:$A,'[1]Tissue Data'!$I:$I)</f>
        <v>gibbosus</v>
      </c>
      <c r="G4256" t="str">
        <f>_xlfn.XLOOKUP(A4256,'[1]Tissue Data'!$A:$A,'[1]Tissue Data'!J:J)</f>
        <v>U</v>
      </c>
      <c r="H4256" t="str">
        <f>_xlfn.XLOOKUP(A4256,'[1]Tissue Data'!$A:$A,'[1]Tissue Data'!K:K)</f>
        <v>Whole Body</v>
      </c>
      <c r="I4256">
        <f>_xlfn.XLOOKUP(A4256,'[1]Tissue Data'!$A:$A,'[1]Tissue Data'!L:L)</f>
        <v>6</v>
      </c>
      <c r="J4256">
        <f>_xlfn.XLOOKUP(A4256,'[1]Tissue Data'!$A:$A,'[1]Tissue Data'!M:M)</f>
        <v>6.99</v>
      </c>
      <c r="K4256" t="s">
        <v>16</v>
      </c>
      <c r="L4256" t="str">
        <f>_xlfn.XLOOKUP(K4256,[2]analyte_order!$B:$B,[2]analyte_order!$C:$C)</f>
        <v>335-67-1</v>
      </c>
      <c r="M4256">
        <f>_xlfn.XLOOKUP(L4256,[2]analyte_order!$C:$C,[2]analyte_order!$E:$E)</f>
        <v>5</v>
      </c>
      <c r="N4256">
        <v>1.1599999999999999</v>
      </c>
    </row>
    <row r="4257" spans="1:14">
      <c r="A4257" t="s">
        <v>264</v>
      </c>
      <c r="B4257" t="str">
        <f>_xlfn.XLOOKUP(A4257,'[1]Tissue Data'!$A:$A,'[1]Tissue Data'!$C:$C)</f>
        <v>Spill</v>
      </c>
      <c r="C4257" s="2">
        <f>_xlfn.XLOOKUP(A4257,'[1]Tissue Data'!$A:$A,'[1]Tissue Data'!$D:$D)</f>
        <v>44393</v>
      </c>
      <c r="D4257" s="2" t="str">
        <f>_xlfn.XLOOKUP(A4257,'[1]Tissue Data'!$A:$A,'[1]Tissue Data'!$F:$F)</f>
        <v>Pumpkinseed</v>
      </c>
      <c r="E4257" t="str">
        <f>_xlfn.XLOOKUP(A4257,'[1]Tissue Data'!$A:$A,'[1]Tissue Data'!$H:$H)</f>
        <v>Lepomis</v>
      </c>
      <c r="F4257" t="str">
        <f>_xlfn.XLOOKUP(A4257,'[1]Tissue Data'!$A:$A,'[1]Tissue Data'!$I:$I)</f>
        <v>gibbosus</v>
      </c>
      <c r="G4257" t="str">
        <f>_xlfn.XLOOKUP(A4257,'[1]Tissue Data'!$A:$A,'[1]Tissue Data'!J:J)</f>
        <v>U</v>
      </c>
      <c r="H4257" t="str">
        <f>_xlfn.XLOOKUP(A4257,'[1]Tissue Data'!$A:$A,'[1]Tissue Data'!K:K)</f>
        <v>Whole Body</v>
      </c>
      <c r="I4257">
        <f>_xlfn.XLOOKUP(A4257,'[1]Tissue Data'!$A:$A,'[1]Tissue Data'!L:L)</f>
        <v>6</v>
      </c>
      <c r="J4257">
        <f>_xlfn.XLOOKUP(A4257,'[1]Tissue Data'!$A:$A,'[1]Tissue Data'!M:M)</f>
        <v>6.99</v>
      </c>
      <c r="K4257" t="s">
        <v>17</v>
      </c>
      <c r="L4257" t="str">
        <f>_xlfn.XLOOKUP(K4257,[2]analyte_order!$B:$B,[2]analyte_order!$C:$C)</f>
        <v>375-95-1</v>
      </c>
      <c r="M4257">
        <f>_xlfn.XLOOKUP(L4257,[2]analyte_order!$C:$C,[2]analyte_order!$E:$E)</f>
        <v>6</v>
      </c>
      <c r="N4257">
        <v>0.47699999999999998</v>
      </c>
    </row>
    <row r="4258" spans="1:14">
      <c r="A4258" t="s">
        <v>264</v>
      </c>
      <c r="B4258" t="str">
        <f>_xlfn.XLOOKUP(A4258,'[1]Tissue Data'!$A:$A,'[1]Tissue Data'!$C:$C)</f>
        <v>Spill</v>
      </c>
      <c r="C4258" s="2">
        <f>_xlfn.XLOOKUP(A4258,'[1]Tissue Data'!$A:$A,'[1]Tissue Data'!$D:$D)</f>
        <v>44393</v>
      </c>
      <c r="D4258" s="2" t="str">
        <f>_xlfn.XLOOKUP(A4258,'[1]Tissue Data'!$A:$A,'[1]Tissue Data'!$F:$F)</f>
        <v>Pumpkinseed</v>
      </c>
      <c r="E4258" t="str">
        <f>_xlfn.XLOOKUP(A4258,'[1]Tissue Data'!$A:$A,'[1]Tissue Data'!$H:$H)</f>
        <v>Lepomis</v>
      </c>
      <c r="F4258" t="str">
        <f>_xlfn.XLOOKUP(A4258,'[1]Tissue Data'!$A:$A,'[1]Tissue Data'!$I:$I)</f>
        <v>gibbosus</v>
      </c>
      <c r="G4258" t="str">
        <f>_xlfn.XLOOKUP(A4258,'[1]Tissue Data'!$A:$A,'[1]Tissue Data'!J:J)</f>
        <v>U</v>
      </c>
      <c r="H4258" t="str">
        <f>_xlfn.XLOOKUP(A4258,'[1]Tissue Data'!$A:$A,'[1]Tissue Data'!K:K)</f>
        <v>Whole Body</v>
      </c>
      <c r="I4258">
        <f>_xlfn.XLOOKUP(A4258,'[1]Tissue Data'!$A:$A,'[1]Tissue Data'!L:L)</f>
        <v>6</v>
      </c>
      <c r="J4258">
        <f>_xlfn.XLOOKUP(A4258,'[1]Tissue Data'!$A:$A,'[1]Tissue Data'!M:M)</f>
        <v>6.99</v>
      </c>
      <c r="K4258" t="s">
        <v>18</v>
      </c>
      <c r="L4258" t="str">
        <f>_xlfn.XLOOKUP(K4258,[2]analyte_order!$B:$B,[2]analyte_order!$C:$C)</f>
        <v>335-76-2</v>
      </c>
      <c r="M4258">
        <f>_xlfn.XLOOKUP(L4258,[2]analyte_order!$C:$C,[2]analyte_order!$E:$E)</f>
        <v>7</v>
      </c>
      <c r="N4258">
        <v>1.46</v>
      </c>
    </row>
    <row r="4259" spans="1:14">
      <c r="A4259" t="s">
        <v>264</v>
      </c>
      <c r="B4259" t="str">
        <f>_xlfn.XLOOKUP(A4259,'[1]Tissue Data'!$A:$A,'[1]Tissue Data'!$C:$C)</f>
        <v>Spill</v>
      </c>
      <c r="C4259" s="2">
        <f>_xlfn.XLOOKUP(A4259,'[1]Tissue Data'!$A:$A,'[1]Tissue Data'!$D:$D)</f>
        <v>44393</v>
      </c>
      <c r="D4259" s="2" t="str">
        <f>_xlfn.XLOOKUP(A4259,'[1]Tissue Data'!$A:$A,'[1]Tissue Data'!$F:$F)</f>
        <v>Pumpkinseed</v>
      </c>
      <c r="E4259" t="str">
        <f>_xlfn.XLOOKUP(A4259,'[1]Tissue Data'!$A:$A,'[1]Tissue Data'!$H:$H)</f>
        <v>Lepomis</v>
      </c>
      <c r="F4259" t="str">
        <f>_xlfn.XLOOKUP(A4259,'[1]Tissue Data'!$A:$A,'[1]Tissue Data'!$I:$I)</f>
        <v>gibbosus</v>
      </c>
      <c r="G4259" t="str">
        <f>_xlfn.XLOOKUP(A4259,'[1]Tissue Data'!$A:$A,'[1]Tissue Data'!J:J)</f>
        <v>U</v>
      </c>
      <c r="H4259" t="str">
        <f>_xlfn.XLOOKUP(A4259,'[1]Tissue Data'!$A:$A,'[1]Tissue Data'!K:K)</f>
        <v>Whole Body</v>
      </c>
      <c r="I4259">
        <f>_xlfn.XLOOKUP(A4259,'[1]Tissue Data'!$A:$A,'[1]Tissue Data'!L:L)</f>
        <v>6</v>
      </c>
      <c r="J4259">
        <f>_xlfn.XLOOKUP(A4259,'[1]Tissue Data'!$A:$A,'[1]Tissue Data'!M:M)</f>
        <v>6.99</v>
      </c>
      <c r="K4259" t="s">
        <v>19</v>
      </c>
      <c r="L4259" t="str">
        <f>_xlfn.XLOOKUP(K4259,[2]analyte_order!$B:$B,[2]analyte_order!$C:$C)</f>
        <v>2058-94-8</v>
      </c>
      <c r="M4259">
        <f>_xlfn.XLOOKUP(L4259,[2]analyte_order!$C:$C,[2]analyte_order!$E:$E)</f>
        <v>8</v>
      </c>
      <c r="N4259">
        <v>2.16</v>
      </c>
    </row>
    <row r="4260" spans="1:14">
      <c r="A4260" t="s">
        <v>264</v>
      </c>
      <c r="B4260" t="str">
        <f>_xlfn.XLOOKUP(A4260,'[1]Tissue Data'!$A:$A,'[1]Tissue Data'!$C:$C)</f>
        <v>Spill</v>
      </c>
      <c r="C4260" s="2">
        <f>_xlfn.XLOOKUP(A4260,'[1]Tissue Data'!$A:$A,'[1]Tissue Data'!$D:$D)</f>
        <v>44393</v>
      </c>
      <c r="D4260" s="2" t="str">
        <f>_xlfn.XLOOKUP(A4260,'[1]Tissue Data'!$A:$A,'[1]Tissue Data'!$F:$F)</f>
        <v>Pumpkinseed</v>
      </c>
      <c r="E4260" t="str">
        <f>_xlfn.XLOOKUP(A4260,'[1]Tissue Data'!$A:$A,'[1]Tissue Data'!$H:$H)</f>
        <v>Lepomis</v>
      </c>
      <c r="F4260" t="str">
        <f>_xlfn.XLOOKUP(A4260,'[1]Tissue Data'!$A:$A,'[1]Tissue Data'!$I:$I)</f>
        <v>gibbosus</v>
      </c>
      <c r="G4260" t="str">
        <f>_xlfn.XLOOKUP(A4260,'[1]Tissue Data'!$A:$A,'[1]Tissue Data'!J:J)</f>
        <v>U</v>
      </c>
      <c r="H4260" t="str">
        <f>_xlfn.XLOOKUP(A4260,'[1]Tissue Data'!$A:$A,'[1]Tissue Data'!K:K)</f>
        <v>Whole Body</v>
      </c>
      <c r="I4260">
        <f>_xlfn.XLOOKUP(A4260,'[1]Tissue Data'!$A:$A,'[1]Tissue Data'!L:L)</f>
        <v>6</v>
      </c>
      <c r="J4260">
        <f>_xlfn.XLOOKUP(A4260,'[1]Tissue Data'!$A:$A,'[1]Tissue Data'!M:M)</f>
        <v>6.99</v>
      </c>
      <c r="K4260" t="s">
        <v>20</v>
      </c>
      <c r="L4260" t="str">
        <f>_xlfn.XLOOKUP(K4260,[2]analyte_order!$B:$B,[2]analyte_order!$C:$C)</f>
        <v>307-55-1</v>
      </c>
      <c r="M4260">
        <f>_xlfn.XLOOKUP(L4260,[2]analyte_order!$C:$C,[2]analyte_order!$E:$E)</f>
        <v>9</v>
      </c>
      <c r="N4260">
        <v>9.58</v>
      </c>
    </row>
    <row r="4261" spans="1:14">
      <c r="A4261" t="s">
        <v>264</v>
      </c>
      <c r="B4261" t="str">
        <f>_xlfn.XLOOKUP(A4261,'[1]Tissue Data'!$A:$A,'[1]Tissue Data'!$C:$C)</f>
        <v>Spill</v>
      </c>
      <c r="C4261" s="2">
        <f>_xlfn.XLOOKUP(A4261,'[1]Tissue Data'!$A:$A,'[1]Tissue Data'!$D:$D)</f>
        <v>44393</v>
      </c>
      <c r="D4261" s="2" t="str">
        <f>_xlfn.XLOOKUP(A4261,'[1]Tissue Data'!$A:$A,'[1]Tissue Data'!$F:$F)</f>
        <v>Pumpkinseed</v>
      </c>
      <c r="E4261" t="str">
        <f>_xlfn.XLOOKUP(A4261,'[1]Tissue Data'!$A:$A,'[1]Tissue Data'!$H:$H)</f>
        <v>Lepomis</v>
      </c>
      <c r="F4261" t="str">
        <f>_xlfn.XLOOKUP(A4261,'[1]Tissue Data'!$A:$A,'[1]Tissue Data'!$I:$I)</f>
        <v>gibbosus</v>
      </c>
      <c r="G4261" t="str">
        <f>_xlfn.XLOOKUP(A4261,'[1]Tissue Data'!$A:$A,'[1]Tissue Data'!J:J)</f>
        <v>U</v>
      </c>
      <c r="H4261" t="str">
        <f>_xlfn.XLOOKUP(A4261,'[1]Tissue Data'!$A:$A,'[1]Tissue Data'!K:K)</f>
        <v>Whole Body</v>
      </c>
      <c r="I4261">
        <f>_xlfn.XLOOKUP(A4261,'[1]Tissue Data'!$A:$A,'[1]Tissue Data'!L:L)</f>
        <v>6</v>
      </c>
      <c r="J4261">
        <f>_xlfn.XLOOKUP(A4261,'[1]Tissue Data'!$A:$A,'[1]Tissue Data'!M:M)</f>
        <v>6.99</v>
      </c>
      <c r="K4261" t="s">
        <v>21</v>
      </c>
      <c r="L4261" t="str">
        <f>_xlfn.XLOOKUP(K4261,[2]analyte_order!$B:$B,[2]analyte_order!$C:$C)</f>
        <v>72629-94-8</v>
      </c>
      <c r="M4261">
        <f>_xlfn.XLOOKUP(L4261,[2]analyte_order!$C:$C,[2]analyte_order!$E:$E)</f>
        <v>10</v>
      </c>
      <c r="N4261">
        <v>2.81</v>
      </c>
    </row>
    <row r="4262" spans="1:14">
      <c r="A4262" t="s">
        <v>264</v>
      </c>
      <c r="B4262" t="str">
        <f>_xlfn.XLOOKUP(A4262,'[1]Tissue Data'!$A:$A,'[1]Tissue Data'!$C:$C)</f>
        <v>Spill</v>
      </c>
      <c r="C4262" s="2">
        <f>_xlfn.XLOOKUP(A4262,'[1]Tissue Data'!$A:$A,'[1]Tissue Data'!$D:$D)</f>
        <v>44393</v>
      </c>
      <c r="D4262" s="2" t="str">
        <f>_xlfn.XLOOKUP(A4262,'[1]Tissue Data'!$A:$A,'[1]Tissue Data'!$F:$F)</f>
        <v>Pumpkinseed</v>
      </c>
      <c r="E4262" t="str">
        <f>_xlfn.XLOOKUP(A4262,'[1]Tissue Data'!$A:$A,'[1]Tissue Data'!$H:$H)</f>
        <v>Lepomis</v>
      </c>
      <c r="F4262" t="str">
        <f>_xlfn.XLOOKUP(A4262,'[1]Tissue Data'!$A:$A,'[1]Tissue Data'!$I:$I)</f>
        <v>gibbosus</v>
      </c>
      <c r="G4262" t="str">
        <f>_xlfn.XLOOKUP(A4262,'[1]Tissue Data'!$A:$A,'[1]Tissue Data'!J:J)</f>
        <v>U</v>
      </c>
      <c r="H4262" t="str">
        <f>_xlfn.XLOOKUP(A4262,'[1]Tissue Data'!$A:$A,'[1]Tissue Data'!K:K)</f>
        <v>Whole Body</v>
      </c>
      <c r="I4262">
        <f>_xlfn.XLOOKUP(A4262,'[1]Tissue Data'!$A:$A,'[1]Tissue Data'!L:L)</f>
        <v>6</v>
      </c>
      <c r="J4262">
        <f>_xlfn.XLOOKUP(A4262,'[1]Tissue Data'!$A:$A,'[1]Tissue Data'!M:M)</f>
        <v>6.99</v>
      </c>
      <c r="K4262" t="s">
        <v>22</v>
      </c>
      <c r="L4262" t="str">
        <f>_xlfn.XLOOKUP(K4262,[2]analyte_order!$B:$B,[2]analyte_order!$C:$C)</f>
        <v>376-06-7</v>
      </c>
      <c r="M4262">
        <f>_xlfn.XLOOKUP(L4262,[2]analyte_order!$C:$C,[2]analyte_order!$E:$E)</f>
        <v>11</v>
      </c>
      <c r="N4262">
        <v>7.96</v>
      </c>
    </row>
    <row r="4263" spans="1:14">
      <c r="A4263" t="s">
        <v>264</v>
      </c>
      <c r="B4263" t="str">
        <f>_xlfn.XLOOKUP(A4263,'[1]Tissue Data'!$A:$A,'[1]Tissue Data'!$C:$C)</f>
        <v>Spill</v>
      </c>
      <c r="C4263" s="2">
        <f>_xlfn.XLOOKUP(A4263,'[1]Tissue Data'!$A:$A,'[1]Tissue Data'!$D:$D)</f>
        <v>44393</v>
      </c>
      <c r="D4263" s="2" t="str">
        <f>_xlfn.XLOOKUP(A4263,'[1]Tissue Data'!$A:$A,'[1]Tissue Data'!$F:$F)</f>
        <v>Pumpkinseed</v>
      </c>
      <c r="E4263" t="str">
        <f>_xlfn.XLOOKUP(A4263,'[1]Tissue Data'!$A:$A,'[1]Tissue Data'!$H:$H)</f>
        <v>Lepomis</v>
      </c>
      <c r="F4263" t="str">
        <f>_xlfn.XLOOKUP(A4263,'[1]Tissue Data'!$A:$A,'[1]Tissue Data'!$I:$I)</f>
        <v>gibbosus</v>
      </c>
      <c r="G4263" t="str">
        <f>_xlfn.XLOOKUP(A4263,'[1]Tissue Data'!$A:$A,'[1]Tissue Data'!J:J)</f>
        <v>U</v>
      </c>
      <c r="H4263" t="str">
        <f>_xlfn.XLOOKUP(A4263,'[1]Tissue Data'!$A:$A,'[1]Tissue Data'!K:K)</f>
        <v>Whole Body</v>
      </c>
      <c r="I4263">
        <f>_xlfn.XLOOKUP(A4263,'[1]Tissue Data'!$A:$A,'[1]Tissue Data'!L:L)</f>
        <v>6</v>
      </c>
      <c r="J4263">
        <f>_xlfn.XLOOKUP(A4263,'[1]Tissue Data'!$A:$A,'[1]Tissue Data'!M:M)</f>
        <v>6.99</v>
      </c>
      <c r="K4263" t="s">
        <v>23</v>
      </c>
      <c r="L4263" t="str">
        <f>_xlfn.XLOOKUP(K4263,[2]analyte_order!$B:$B,[2]analyte_order!$C:$C)</f>
        <v>67905-19-5</v>
      </c>
      <c r="M4263">
        <f>_xlfn.XLOOKUP(L4263,[2]analyte_order!$C:$C,[2]analyte_order!$E:$E)</f>
        <v>12</v>
      </c>
      <c r="N4263">
        <v>7.9000000000000001E-2</v>
      </c>
    </row>
    <row r="4264" spans="1:14">
      <c r="A4264" t="s">
        <v>264</v>
      </c>
      <c r="B4264" t="str">
        <f>_xlfn.XLOOKUP(A4264,'[1]Tissue Data'!$A:$A,'[1]Tissue Data'!$C:$C)</f>
        <v>Spill</v>
      </c>
      <c r="C4264" s="2">
        <f>_xlfn.XLOOKUP(A4264,'[1]Tissue Data'!$A:$A,'[1]Tissue Data'!$D:$D)</f>
        <v>44393</v>
      </c>
      <c r="D4264" s="2" t="str">
        <f>_xlfn.XLOOKUP(A4264,'[1]Tissue Data'!$A:$A,'[1]Tissue Data'!$F:$F)</f>
        <v>Pumpkinseed</v>
      </c>
      <c r="E4264" t="str">
        <f>_xlfn.XLOOKUP(A4264,'[1]Tissue Data'!$A:$A,'[1]Tissue Data'!$H:$H)</f>
        <v>Lepomis</v>
      </c>
      <c r="F4264" t="str">
        <f>_xlfn.XLOOKUP(A4264,'[1]Tissue Data'!$A:$A,'[1]Tissue Data'!$I:$I)</f>
        <v>gibbosus</v>
      </c>
      <c r="G4264" t="str">
        <f>_xlfn.XLOOKUP(A4264,'[1]Tissue Data'!$A:$A,'[1]Tissue Data'!J:J)</f>
        <v>U</v>
      </c>
      <c r="H4264" t="str">
        <f>_xlfn.XLOOKUP(A4264,'[1]Tissue Data'!$A:$A,'[1]Tissue Data'!K:K)</f>
        <v>Whole Body</v>
      </c>
      <c r="I4264">
        <f>_xlfn.XLOOKUP(A4264,'[1]Tissue Data'!$A:$A,'[1]Tissue Data'!L:L)</f>
        <v>6</v>
      </c>
      <c r="J4264">
        <f>_xlfn.XLOOKUP(A4264,'[1]Tissue Data'!$A:$A,'[1]Tissue Data'!M:M)</f>
        <v>6.99</v>
      </c>
      <c r="K4264" t="s">
        <v>24</v>
      </c>
      <c r="L4264" t="str">
        <f>_xlfn.XLOOKUP(K4264,[2]analyte_order!$B:$B,[2]analyte_order!$C:$C)</f>
        <v>423-41-6</v>
      </c>
      <c r="M4264">
        <f>_xlfn.XLOOKUP(L4264,[2]analyte_order!$C:$C,[2]analyte_order!$E:$E)</f>
        <v>53</v>
      </c>
      <c r="N4264">
        <v>5.0500000000000003E-2</v>
      </c>
    </row>
    <row r="4265" spans="1:14">
      <c r="A4265" t="s">
        <v>264</v>
      </c>
      <c r="B4265" t="str">
        <f>_xlfn.XLOOKUP(A4265,'[1]Tissue Data'!$A:$A,'[1]Tissue Data'!$C:$C)</f>
        <v>Spill</v>
      </c>
      <c r="C4265" s="2">
        <f>_xlfn.XLOOKUP(A4265,'[1]Tissue Data'!$A:$A,'[1]Tissue Data'!$D:$D)</f>
        <v>44393</v>
      </c>
      <c r="D4265" s="2" t="str">
        <f>_xlfn.XLOOKUP(A4265,'[1]Tissue Data'!$A:$A,'[1]Tissue Data'!$F:$F)</f>
        <v>Pumpkinseed</v>
      </c>
      <c r="E4265" t="str">
        <f>_xlfn.XLOOKUP(A4265,'[1]Tissue Data'!$A:$A,'[1]Tissue Data'!$H:$H)</f>
        <v>Lepomis</v>
      </c>
      <c r="F4265" t="str">
        <f>_xlfn.XLOOKUP(A4265,'[1]Tissue Data'!$A:$A,'[1]Tissue Data'!$I:$I)</f>
        <v>gibbosus</v>
      </c>
      <c r="G4265" t="str">
        <f>_xlfn.XLOOKUP(A4265,'[1]Tissue Data'!$A:$A,'[1]Tissue Data'!J:J)</f>
        <v>U</v>
      </c>
      <c r="H4265" t="str">
        <f>_xlfn.XLOOKUP(A4265,'[1]Tissue Data'!$A:$A,'[1]Tissue Data'!K:K)</f>
        <v>Whole Body</v>
      </c>
      <c r="I4265">
        <f>_xlfn.XLOOKUP(A4265,'[1]Tissue Data'!$A:$A,'[1]Tissue Data'!L:L)</f>
        <v>6</v>
      </c>
      <c r="J4265">
        <f>_xlfn.XLOOKUP(A4265,'[1]Tissue Data'!$A:$A,'[1]Tissue Data'!M:M)</f>
        <v>6.99</v>
      </c>
      <c r="K4265" t="s">
        <v>25</v>
      </c>
      <c r="L4265" t="str">
        <f>_xlfn.XLOOKUP(K4265,[2]analyte_order!$B:$B,[2]analyte_order!$C:$C)</f>
        <v>375-73-5</v>
      </c>
      <c r="M4265">
        <f>_xlfn.XLOOKUP(L4265,[2]analyte_order!$C:$C,[2]analyte_order!$E:$E)</f>
        <v>14</v>
      </c>
      <c r="N4265">
        <v>0.14899999999999999</v>
      </c>
    </row>
    <row r="4266" spans="1:14">
      <c r="A4266" t="s">
        <v>264</v>
      </c>
      <c r="B4266" t="str">
        <f>_xlfn.XLOOKUP(A4266,'[1]Tissue Data'!$A:$A,'[1]Tissue Data'!$C:$C)</f>
        <v>Spill</v>
      </c>
      <c r="C4266" s="2">
        <f>_xlfn.XLOOKUP(A4266,'[1]Tissue Data'!$A:$A,'[1]Tissue Data'!$D:$D)</f>
        <v>44393</v>
      </c>
      <c r="D4266" s="2" t="str">
        <f>_xlfn.XLOOKUP(A4266,'[1]Tissue Data'!$A:$A,'[1]Tissue Data'!$F:$F)</f>
        <v>Pumpkinseed</v>
      </c>
      <c r="E4266" t="str">
        <f>_xlfn.XLOOKUP(A4266,'[1]Tissue Data'!$A:$A,'[1]Tissue Data'!$H:$H)</f>
        <v>Lepomis</v>
      </c>
      <c r="F4266" t="str">
        <f>_xlfn.XLOOKUP(A4266,'[1]Tissue Data'!$A:$A,'[1]Tissue Data'!$I:$I)</f>
        <v>gibbosus</v>
      </c>
      <c r="G4266" t="str">
        <f>_xlfn.XLOOKUP(A4266,'[1]Tissue Data'!$A:$A,'[1]Tissue Data'!J:J)</f>
        <v>U</v>
      </c>
      <c r="H4266" t="str">
        <f>_xlfn.XLOOKUP(A4266,'[1]Tissue Data'!$A:$A,'[1]Tissue Data'!K:K)</f>
        <v>Whole Body</v>
      </c>
      <c r="I4266">
        <f>_xlfn.XLOOKUP(A4266,'[1]Tissue Data'!$A:$A,'[1]Tissue Data'!L:L)</f>
        <v>6</v>
      </c>
      <c r="J4266">
        <f>_xlfn.XLOOKUP(A4266,'[1]Tissue Data'!$A:$A,'[1]Tissue Data'!M:M)</f>
        <v>6.99</v>
      </c>
      <c r="K4266" t="s">
        <v>26</v>
      </c>
      <c r="L4266" t="str">
        <f>_xlfn.XLOOKUP(K4266,[2]analyte_order!$B:$B,[2]analyte_order!$C:$C)</f>
        <v>2706-91-4</v>
      </c>
      <c r="M4266">
        <f>_xlfn.XLOOKUP(L4266,[2]analyte_order!$C:$C,[2]analyte_order!$E:$E)</f>
        <v>15</v>
      </c>
      <c r="N4266">
        <v>0.48199999999999998</v>
      </c>
    </row>
    <row r="4267" spans="1:14">
      <c r="A4267" t="s">
        <v>264</v>
      </c>
      <c r="B4267" t="str">
        <f>_xlfn.XLOOKUP(A4267,'[1]Tissue Data'!$A:$A,'[1]Tissue Data'!$C:$C)</f>
        <v>Spill</v>
      </c>
      <c r="C4267" s="2">
        <f>_xlfn.XLOOKUP(A4267,'[1]Tissue Data'!$A:$A,'[1]Tissue Data'!$D:$D)</f>
        <v>44393</v>
      </c>
      <c r="D4267" s="2" t="str">
        <f>_xlfn.XLOOKUP(A4267,'[1]Tissue Data'!$A:$A,'[1]Tissue Data'!$F:$F)</f>
        <v>Pumpkinseed</v>
      </c>
      <c r="E4267" t="str">
        <f>_xlfn.XLOOKUP(A4267,'[1]Tissue Data'!$A:$A,'[1]Tissue Data'!$H:$H)</f>
        <v>Lepomis</v>
      </c>
      <c r="F4267" t="str">
        <f>_xlfn.XLOOKUP(A4267,'[1]Tissue Data'!$A:$A,'[1]Tissue Data'!$I:$I)</f>
        <v>gibbosus</v>
      </c>
      <c r="G4267" t="str">
        <f>_xlfn.XLOOKUP(A4267,'[1]Tissue Data'!$A:$A,'[1]Tissue Data'!J:J)</f>
        <v>U</v>
      </c>
      <c r="H4267" t="str">
        <f>_xlfn.XLOOKUP(A4267,'[1]Tissue Data'!$A:$A,'[1]Tissue Data'!K:K)</f>
        <v>Whole Body</v>
      </c>
      <c r="I4267">
        <f>_xlfn.XLOOKUP(A4267,'[1]Tissue Data'!$A:$A,'[1]Tissue Data'!L:L)</f>
        <v>6</v>
      </c>
      <c r="J4267">
        <f>_xlfn.XLOOKUP(A4267,'[1]Tissue Data'!$A:$A,'[1]Tissue Data'!M:M)</f>
        <v>6.99</v>
      </c>
      <c r="K4267" t="s">
        <v>27</v>
      </c>
      <c r="L4267" t="str">
        <f>_xlfn.XLOOKUP(K4267,[2]analyte_order!$B:$B,[2]analyte_order!$C:$C)</f>
        <v>355-46-4</v>
      </c>
      <c r="M4267">
        <f>_xlfn.XLOOKUP(L4267,[2]analyte_order!$C:$C,[2]analyte_order!$E:$E)</f>
        <v>16</v>
      </c>
      <c r="N4267">
        <v>52.7</v>
      </c>
    </row>
    <row r="4268" spans="1:14">
      <c r="A4268" t="s">
        <v>264</v>
      </c>
      <c r="B4268" t="str">
        <f>_xlfn.XLOOKUP(A4268,'[1]Tissue Data'!$A:$A,'[1]Tissue Data'!$C:$C)</f>
        <v>Spill</v>
      </c>
      <c r="C4268" s="2">
        <f>_xlfn.XLOOKUP(A4268,'[1]Tissue Data'!$A:$A,'[1]Tissue Data'!$D:$D)</f>
        <v>44393</v>
      </c>
      <c r="D4268" s="2" t="str">
        <f>_xlfn.XLOOKUP(A4268,'[1]Tissue Data'!$A:$A,'[1]Tissue Data'!$F:$F)</f>
        <v>Pumpkinseed</v>
      </c>
      <c r="E4268" t="str">
        <f>_xlfn.XLOOKUP(A4268,'[1]Tissue Data'!$A:$A,'[1]Tissue Data'!$H:$H)</f>
        <v>Lepomis</v>
      </c>
      <c r="F4268" t="str">
        <f>_xlfn.XLOOKUP(A4268,'[1]Tissue Data'!$A:$A,'[1]Tissue Data'!$I:$I)</f>
        <v>gibbosus</v>
      </c>
      <c r="G4268" t="str">
        <f>_xlfn.XLOOKUP(A4268,'[1]Tissue Data'!$A:$A,'[1]Tissue Data'!J:J)</f>
        <v>U</v>
      </c>
      <c r="H4268" t="str">
        <f>_xlfn.XLOOKUP(A4268,'[1]Tissue Data'!$A:$A,'[1]Tissue Data'!K:K)</f>
        <v>Whole Body</v>
      </c>
      <c r="I4268">
        <f>_xlfn.XLOOKUP(A4268,'[1]Tissue Data'!$A:$A,'[1]Tissue Data'!L:L)</f>
        <v>6</v>
      </c>
      <c r="J4268">
        <f>_xlfn.XLOOKUP(A4268,'[1]Tissue Data'!$A:$A,'[1]Tissue Data'!M:M)</f>
        <v>6.99</v>
      </c>
      <c r="K4268" t="s">
        <v>28</v>
      </c>
      <c r="L4268" t="str">
        <f>_xlfn.XLOOKUP(K4268,[2]analyte_order!$B:$B,[2]analyte_order!$C:$C)</f>
        <v>375-92-8</v>
      </c>
      <c r="M4268">
        <f>_xlfn.XLOOKUP(L4268,[2]analyte_order!$C:$C,[2]analyte_order!$E:$E)</f>
        <v>17</v>
      </c>
      <c r="N4268">
        <v>3.41</v>
      </c>
    </row>
    <row r="4269" spans="1:14">
      <c r="A4269" t="s">
        <v>264</v>
      </c>
      <c r="B4269" t="str">
        <f>_xlfn.XLOOKUP(A4269,'[1]Tissue Data'!$A:$A,'[1]Tissue Data'!$C:$C)</f>
        <v>Spill</v>
      </c>
      <c r="C4269" s="2">
        <f>_xlfn.XLOOKUP(A4269,'[1]Tissue Data'!$A:$A,'[1]Tissue Data'!$D:$D)</f>
        <v>44393</v>
      </c>
      <c r="D4269" s="2" t="str">
        <f>_xlfn.XLOOKUP(A4269,'[1]Tissue Data'!$A:$A,'[1]Tissue Data'!$F:$F)</f>
        <v>Pumpkinseed</v>
      </c>
      <c r="E4269" t="str">
        <f>_xlfn.XLOOKUP(A4269,'[1]Tissue Data'!$A:$A,'[1]Tissue Data'!$H:$H)</f>
        <v>Lepomis</v>
      </c>
      <c r="F4269" t="str">
        <f>_xlfn.XLOOKUP(A4269,'[1]Tissue Data'!$A:$A,'[1]Tissue Data'!$I:$I)</f>
        <v>gibbosus</v>
      </c>
      <c r="G4269" t="str">
        <f>_xlfn.XLOOKUP(A4269,'[1]Tissue Data'!$A:$A,'[1]Tissue Data'!J:J)</f>
        <v>U</v>
      </c>
      <c r="H4269" t="str">
        <f>_xlfn.XLOOKUP(A4269,'[1]Tissue Data'!$A:$A,'[1]Tissue Data'!K:K)</f>
        <v>Whole Body</v>
      </c>
      <c r="I4269">
        <f>_xlfn.XLOOKUP(A4269,'[1]Tissue Data'!$A:$A,'[1]Tissue Data'!L:L)</f>
        <v>6</v>
      </c>
      <c r="J4269">
        <f>_xlfn.XLOOKUP(A4269,'[1]Tissue Data'!$A:$A,'[1]Tissue Data'!M:M)</f>
        <v>6.99</v>
      </c>
      <c r="K4269" t="s">
        <v>29</v>
      </c>
      <c r="L4269" t="str">
        <f>_xlfn.XLOOKUP(K4269,[2]analyte_order!$B:$B,[2]analyte_order!$C:$C)</f>
        <v>1763-23-1</v>
      </c>
      <c r="M4269">
        <f>_xlfn.XLOOKUP(L4269,[2]analyte_order!$C:$C,[2]analyte_order!$E:$E)</f>
        <v>18</v>
      </c>
      <c r="N4269">
        <v>614</v>
      </c>
    </row>
    <row r="4270" spans="1:14">
      <c r="A4270" t="s">
        <v>264</v>
      </c>
      <c r="B4270" t="str">
        <f>_xlfn.XLOOKUP(A4270,'[1]Tissue Data'!$A:$A,'[1]Tissue Data'!$C:$C)</f>
        <v>Spill</v>
      </c>
      <c r="C4270" s="2">
        <f>_xlfn.XLOOKUP(A4270,'[1]Tissue Data'!$A:$A,'[1]Tissue Data'!$D:$D)</f>
        <v>44393</v>
      </c>
      <c r="D4270" s="2" t="str">
        <f>_xlfn.XLOOKUP(A4270,'[1]Tissue Data'!$A:$A,'[1]Tissue Data'!$F:$F)</f>
        <v>Pumpkinseed</v>
      </c>
      <c r="E4270" t="str">
        <f>_xlfn.XLOOKUP(A4270,'[1]Tissue Data'!$A:$A,'[1]Tissue Data'!$H:$H)</f>
        <v>Lepomis</v>
      </c>
      <c r="F4270" t="str">
        <f>_xlfn.XLOOKUP(A4270,'[1]Tissue Data'!$A:$A,'[1]Tissue Data'!$I:$I)</f>
        <v>gibbosus</v>
      </c>
      <c r="G4270" t="str">
        <f>_xlfn.XLOOKUP(A4270,'[1]Tissue Data'!$A:$A,'[1]Tissue Data'!J:J)</f>
        <v>U</v>
      </c>
      <c r="H4270" t="str">
        <f>_xlfn.XLOOKUP(A4270,'[1]Tissue Data'!$A:$A,'[1]Tissue Data'!K:K)</f>
        <v>Whole Body</v>
      </c>
      <c r="I4270">
        <f>_xlfn.XLOOKUP(A4270,'[1]Tissue Data'!$A:$A,'[1]Tissue Data'!L:L)</f>
        <v>6</v>
      </c>
      <c r="J4270">
        <f>_xlfn.XLOOKUP(A4270,'[1]Tissue Data'!$A:$A,'[1]Tissue Data'!M:M)</f>
        <v>6.99</v>
      </c>
      <c r="K4270" t="s">
        <v>30</v>
      </c>
      <c r="L4270" t="str">
        <f>_xlfn.XLOOKUP(K4270,[2]analyte_order!$B:$B,[2]analyte_order!$C:$C)</f>
        <v>68259-12-1</v>
      </c>
      <c r="M4270">
        <f>_xlfn.XLOOKUP(L4270,[2]analyte_order!$C:$C,[2]analyte_order!$E:$E)</f>
        <v>19</v>
      </c>
      <c r="N4270">
        <v>0.79900000000000004</v>
      </c>
    </row>
    <row r="4271" spans="1:14">
      <c r="A4271" t="s">
        <v>264</v>
      </c>
      <c r="B4271" t="str">
        <f>_xlfn.XLOOKUP(A4271,'[1]Tissue Data'!$A:$A,'[1]Tissue Data'!$C:$C)</f>
        <v>Spill</v>
      </c>
      <c r="C4271" s="2">
        <f>_xlfn.XLOOKUP(A4271,'[1]Tissue Data'!$A:$A,'[1]Tissue Data'!$D:$D)</f>
        <v>44393</v>
      </c>
      <c r="D4271" s="2" t="str">
        <f>_xlfn.XLOOKUP(A4271,'[1]Tissue Data'!$A:$A,'[1]Tissue Data'!$F:$F)</f>
        <v>Pumpkinseed</v>
      </c>
      <c r="E4271" t="str">
        <f>_xlfn.XLOOKUP(A4271,'[1]Tissue Data'!$A:$A,'[1]Tissue Data'!$H:$H)</f>
        <v>Lepomis</v>
      </c>
      <c r="F4271" t="str">
        <f>_xlfn.XLOOKUP(A4271,'[1]Tissue Data'!$A:$A,'[1]Tissue Data'!$I:$I)</f>
        <v>gibbosus</v>
      </c>
      <c r="G4271" t="str">
        <f>_xlfn.XLOOKUP(A4271,'[1]Tissue Data'!$A:$A,'[1]Tissue Data'!J:J)</f>
        <v>U</v>
      </c>
      <c r="H4271" t="str">
        <f>_xlfn.XLOOKUP(A4271,'[1]Tissue Data'!$A:$A,'[1]Tissue Data'!K:K)</f>
        <v>Whole Body</v>
      </c>
      <c r="I4271">
        <f>_xlfn.XLOOKUP(A4271,'[1]Tissue Data'!$A:$A,'[1]Tissue Data'!L:L)</f>
        <v>6</v>
      </c>
      <c r="J4271">
        <f>_xlfn.XLOOKUP(A4271,'[1]Tissue Data'!$A:$A,'[1]Tissue Data'!M:M)</f>
        <v>6.99</v>
      </c>
      <c r="K4271" t="s">
        <v>31</v>
      </c>
      <c r="L4271" t="str">
        <f>_xlfn.XLOOKUP(K4271,[2]analyte_order!$B:$B,[2]analyte_order!$C:$C)</f>
        <v>335-77-3</v>
      </c>
      <c r="M4271">
        <f>_xlfn.XLOOKUP(L4271,[2]analyte_order!$C:$C,[2]analyte_order!$E:$E)</f>
        <v>20</v>
      </c>
      <c r="N4271">
        <v>0.70699999999999996</v>
      </c>
    </row>
    <row r="4272" spans="1:14">
      <c r="A4272" t="s">
        <v>264</v>
      </c>
      <c r="B4272" t="str">
        <f>_xlfn.XLOOKUP(A4272,'[1]Tissue Data'!$A:$A,'[1]Tissue Data'!$C:$C)</f>
        <v>Spill</v>
      </c>
      <c r="C4272" s="2">
        <f>_xlfn.XLOOKUP(A4272,'[1]Tissue Data'!$A:$A,'[1]Tissue Data'!$D:$D)</f>
        <v>44393</v>
      </c>
      <c r="D4272" s="2" t="str">
        <f>_xlfn.XLOOKUP(A4272,'[1]Tissue Data'!$A:$A,'[1]Tissue Data'!$F:$F)</f>
        <v>Pumpkinseed</v>
      </c>
      <c r="E4272" t="str">
        <f>_xlfn.XLOOKUP(A4272,'[1]Tissue Data'!$A:$A,'[1]Tissue Data'!$H:$H)</f>
        <v>Lepomis</v>
      </c>
      <c r="F4272" t="str">
        <f>_xlfn.XLOOKUP(A4272,'[1]Tissue Data'!$A:$A,'[1]Tissue Data'!$I:$I)</f>
        <v>gibbosus</v>
      </c>
      <c r="G4272" t="str">
        <f>_xlfn.XLOOKUP(A4272,'[1]Tissue Data'!$A:$A,'[1]Tissue Data'!J:J)</f>
        <v>U</v>
      </c>
      <c r="H4272" t="str">
        <f>_xlfn.XLOOKUP(A4272,'[1]Tissue Data'!$A:$A,'[1]Tissue Data'!K:K)</f>
        <v>Whole Body</v>
      </c>
      <c r="I4272">
        <f>_xlfn.XLOOKUP(A4272,'[1]Tissue Data'!$A:$A,'[1]Tissue Data'!L:L)</f>
        <v>6</v>
      </c>
      <c r="J4272">
        <f>_xlfn.XLOOKUP(A4272,'[1]Tissue Data'!$A:$A,'[1]Tissue Data'!M:M)</f>
        <v>6.99</v>
      </c>
      <c r="K4272" t="s">
        <v>32</v>
      </c>
      <c r="L4272" t="str">
        <f>_xlfn.XLOOKUP(K4272,[2]analyte_order!$B:$B,[2]analyte_order!$C:$C)</f>
        <v>79780-39-5</v>
      </c>
      <c r="M4272">
        <f>_xlfn.XLOOKUP(L4272,[2]analyte_order!$C:$C,[2]analyte_order!$E:$E)</f>
        <v>21</v>
      </c>
      <c r="N4272">
        <v>0.23400000000000001</v>
      </c>
    </row>
    <row r="4273" spans="1:14">
      <c r="A4273" t="s">
        <v>264</v>
      </c>
      <c r="B4273" t="str">
        <f>_xlfn.XLOOKUP(A4273,'[1]Tissue Data'!$A:$A,'[1]Tissue Data'!$C:$C)</f>
        <v>Spill</v>
      </c>
      <c r="C4273" s="2">
        <f>_xlfn.XLOOKUP(A4273,'[1]Tissue Data'!$A:$A,'[1]Tissue Data'!$D:$D)</f>
        <v>44393</v>
      </c>
      <c r="D4273" s="2" t="str">
        <f>_xlfn.XLOOKUP(A4273,'[1]Tissue Data'!$A:$A,'[1]Tissue Data'!$F:$F)</f>
        <v>Pumpkinseed</v>
      </c>
      <c r="E4273" t="str">
        <f>_xlfn.XLOOKUP(A4273,'[1]Tissue Data'!$A:$A,'[1]Tissue Data'!$H:$H)</f>
        <v>Lepomis</v>
      </c>
      <c r="F4273" t="str">
        <f>_xlfn.XLOOKUP(A4273,'[1]Tissue Data'!$A:$A,'[1]Tissue Data'!$I:$I)</f>
        <v>gibbosus</v>
      </c>
      <c r="G4273" t="str">
        <f>_xlfn.XLOOKUP(A4273,'[1]Tissue Data'!$A:$A,'[1]Tissue Data'!J:J)</f>
        <v>U</v>
      </c>
      <c r="H4273" t="str">
        <f>_xlfn.XLOOKUP(A4273,'[1]Tissue Data'!$A:$A,'[1]Tissue Data'!K:K)</f>
        <v>Whole Body</v>
      </c>
      <c r="I4273">
        <f>_xlfn.XLOOKUP(A4273,'[1]Tissue Data'!$A:$A,'[1]Tissue Data'!L:L)</f>
        <v>6</v>
      </c>
      <c r="J4273">
        <f>_xlfn.XLOOKUP(A4273,'[1]Tissue Data'!$A:$A,'[1]Tissue Data'!M:M)</f>
        <v>6.99</v>
      </c>
      <c r="K4273" t="s">
        <v>33</v>
      </c>
      <c r="L4273" t="str">
        <f>_xlfn.XLOOKUP(K4273,[2]analyte_order!$B:$B,[2]analyte_order!$C:$C)</f>
        <v>777011-38-8</v>
      </c>
      <c r="M4273">
        <f>_xlfn.XLOOKUP(L4273,[2]analyte_order!$C:$C,[2]analyte_order!$E:$E)</f>
        <v>54</v>
      </c>
      <c r="N4273">
        <v>0.13300000000000001</v>
      </c>
    </row>
    <row r="4274" spans="1:14">
      <c r="A4274" t="s">
        <v>264</v>
      </c>
      <c r="B4274" t="str">
        <f>_xlfn.XLOOKUP(A4274,'[1]Tissue Data'!$A:$A,'[1]Tissue Data'!$C:$C)</f>
        <v>Spill</v>
      </c>
      <c r="C4274" s="2">
        <f>_xlfn.XLOOKUP(A4274,'[1]Tissue Data'!$A:$A,'[1]Tissue Data'!$D:$D)</f>
        <v>44393</v>
      </c>
      <c r="D4274" s="2" t="str">
        <f>_xlfn.XLOOKUP(A4274,'[1]Tissue Data'!$A:$A,'[1]Tissue Data'!$F:$F)</f>
        <v>Pumpkinseed</v>
      </c>
      <c r="E4274" t="str">
        <f>_xlfn.XLOOKUP(A4274,'[1]Tissue Data'!$A:$A,'[1]Tissue Data'!$H:$H)</f>
        <v>Lepomis</v>
      </c>
      <c r="F4274" t="str">
        <f>_xlfn.XLOOKUP(A4274,'[1]Tissue Data'!$A:$A,'[1]Tissue Data'!$I:$I)</f>
        <v>gibbosus</v>
      </c>
      <c r="G4274" t="str">
        <f>_xlfn.XLOOKUP(A4274,'[1]Tissue Data'!$A:$A,'[1]Tissue Data'!J:J)</f>
        <v>U</v>
      </c>
      <c r="H4274" t="str">
        <f>_xlfn.XLOOKUP(A4274,'[1]Tissue Data'!$A:$A,'[1]Tissue Data'!K:K)</f>
        <v>Whole Body</v>
      </c>
      <c r="I4274">
        <f>_xlfn.XLOOKUP(A4274,'[1]Tissue Data'!$A:$A,'[1]Tissue Data'!L:L)</f>
        <v>6</v>
      </c>
      <c r="J4274">
        <f>_xlfn.XLOOKUP(A4274,'[1]Tissue Data'!$A:$A,'[1]Tissue Data'!M:M)</f>
        <v>6.99</v>
      </c>
      <c r="K4274" t="s">
        <v>34</v>
      </c>
      <c r="L4274" t="str">
        <f>_xlfn.XLOOKUP(K4274,[2]analyte_order!$B:$B,[2]analyte_order!$C:$C)</f>
        <v>646-83-3</v>
      </c>
      <c r="M4274">
        <f>_xlfn.XLOOKUP(L4274,[2]analyte_order!$C:$C,[2]analyte_order!$E:$E)</f>
        <v>55</v>
      </c>
      <c r="N4274">
        <v>8.7499999999999994E-2</v>
      </c>
    </row>
    <row r="4275" spans="1:14">
      <c r="A4275" t="s">
        <v>264</v>
      </c>
      <c r="B4275" t="str">
        <f>_xlfn.XLOOKUP(A4275,'[1]Tissue Data'!$A:$A,'[1]Tissue Data'!$C:$C)</f>
        <v>Spill</v>
      </c>
      <c r="C4275" s="2">
        <f>_xlfn.XLOOKUP(A4275,'[1]Tissue Data'!$A:$A,'[1]Tissue Data'!$D:$D)</f>
        <v>44393</v>
      </c>
      <c r="D4275" s="2" t="str">
        <f>_xlfn.XLOOKUP(A4275,'[1]Tissue Data'!$A:$A,'[1]Tissue Data'!$F:$F)</f>
        <v>Pumpkinseed</v>
      </c>
      <c r="E4275" t="str">
        <f>_xlfn.XLOOKUP(A4275,'[1]Tissue Data'!$A:$A,'[1]Tissue Data'!$H:$H)</f>
        <v>Lepomis</v>
      </c>
      <c r="F4275" t="str">
        <f>_xlfn.XLOOKUP(A4275,'[1]Tissue Data'!$A:$A,'[1]Tissue Data'!$I:$I)</f>
        <v>gibbosus</v>
      </c>
      <c r="G4275" t="str">
        <f>_xlfn.XLOOKUP(A4275,'[1]Tissue Data'!$A:$A,'[1]Tissue Data'!J:J)</f>
        <v>U</v>
      </c>
      <c r="H4275" t="str">
        <f>_xlfn.XLOOKUP(A4275,'[1]Tissue Data'!$A:$A,'[1]Tissue Data'!K:K)</f>
        <v>Whole Body</v>
      </c>
      <c r="I4275">
        <f>_xlfn.XLOOKUP(A4275,'[1]Tissue Data'!$A:$A,'[1]Tissue Data'!L:L)</f>
        <v>6</v>
      </c>
      <c r="J4275">
        <f>_xlfn.XLOOKUP(A4275,'[1]Tissue Data'!$A:$A,'[1]Tissue Data'!M:M)</f>
        <v>6.99</v>
      </c>
      <c r="K4275" t="s">
        <v>35</v>
      </c>
      <c r="L4275" t="str">
        <f>_xlfn.XLOOKUP(K4275,[2]analyte_order!$B:$B,[2]analyte_order!$C:$C)</f>
        <v>30334-69-1</v>
      </c>
      <c r="M4275">
        <f>_xlfn.XLOOKUP(L4275,[2]analyte_order!$C:$C,[2]analyte_order!$E:$E)</f>
        <v>51</v>
      </c>
      <c r="N4275">
        <v>15.9</v>
      </c>
    </row>
    <row r="4276" spans="1:14">
      <c r="A4276" t="s">
        <v>264</v>
      </c>
      <c r="B4276" t="str">
        <f>_xlfn.XLOOKUP(A4276,'[1]Tissue Data'!$A:$A,'[1]Tissue Data'!$C:$C)</f>
        <v>Spill</v>
      </c>
      <c r="C4276" s="2">
        <f>_xlfn.XLOOKUP(A4276,'[1]Tissue Data'!$A:$A,'[1]Tissue Data'!$D:$D)</f>
        <v>44393</v>
      </c>
      <c r="D4276" s="2" t="str">
        <f>_xlfn.XLOOKUP(A4276,'[1]Tissue Data'!$A:$A,'[1]Tissue Data'!$F:$F)</f>
        <v>Pumpkinseed</v>
      </c>
      <c r="E4276" t="str">
        <f>_xlfn.XLOOKUP(A4276,'[1]Tissue Data'!$A:$A,'[1]Tissue Data'!$H:$H)</f>
        <v>Lepomis</v>
      </c>
      <c r="F4276" t="str">
        <f>_xlfn.XLOOKUP(A4276,'[1]Tissue Data'!$A:$A,'[1]Tissue Data'!$I:$I)</f>
        <v>gibbosus</v>
      </c>
      <c r="G4276" t="str">
        <f>_xlfn.XLOOKUP(A4276,'[1]Tissue Data'!$A:$A,'[1]Tissue Data'!J:J)</f>
        <v>U</v>
      </c>
      <c r="H4276" t="str">
        <f>_xlfn.XLOOKUP(A4276,'[1]Tissue Data'!$A:$A,'[1]Tissue Data'!K:K)</f>
        <v>Whole Body</v>
      </c>
      <c r="I4276">
        <f>_xlfn.XLOOKUP(A4276,'[1]Tissue Data'!$A:$A,'[1]Tissue Data'!L:L)</f>
        <v>6</v>
      </c>
      <c r="J4276">
        <f>_xlfn.XLOOKUP(A4276,'[1]Tissue Data'!$A:$A,'[1]Tissue Data'!M:M)</f>
        <v>6.99</v>
      </c>
      <c r="K4276" t="s">
        <v>36</v>
      </c>
      <c r="L4276" t="str">
        <f>_xlfn.XLOOKUP(K4276,[2]analyte_order!$B:$B,[2]analyte_order!$C:$C)</f>
        <v>41997-13-1</v>
      </c>
      <c r="M4276">
        <f>_xlfn.XLOOKUP(L4276,[2]analyte_order!$C:$C,[2]analyte_order!$E:$E)</f>
        <v>52</v>
      </c>
      <c r="N4276">
        <v>68.5</v>
      </c>
    </row>
    <row r="4277" spans="1:14">
      <c r="A4277" t="s">
        <v>264</v>
      </c>
      <c r="B4277" t="str">
        <f>_xlfn.XLOOKUP(A4277,'[1]Tissue Data'!$A:$A,'[1]Tissue Data'!$C:$C)</f>
        <v>Spill</v>
      </c>
      <c r="C4277" s="2">
        <f>_xlfn.XLOOKUP(A4277,'[1]Tissue Data'!$A:$A,'[1]Tissue Data'!$D:$D)</f>
        <v>44393</v>
      </c>
      <c r="D4277" s="2" t="str">
        <f>_xlfn.XLOOKUP(A4277,'[1]Tissue Data'!$A:$A,'[1]Tissue Data'!$F:$F)</f>
        <v>Pumpkinseed</v>
      </c>
      <c r="E4277" t="str">
        <f>_xlfn.XLOOKUP(A4277,'[1]Tissue Data'!$A:$A,'[1]Tissue Data'!$H:$H)</f>
        <v>Lepomis</v>
      </c>
      <c r="F4277" t="str">
        <f>_xlfn.XLOOKUP(A4277,'[1]Tissue Data'!$A:$A,'[1]Tissue Data'!$I:$I)</f>
        <v>gibbosus</v>
      </c>
      <c r="G4277" t="str">
        <f>_xlfn.XLOOKUP(A4277,'[1]Tissue Data'!$A:$A,'[1]Tissue Data'!J:J)</f>
        <v>U</v>
      </c>
      <c r="H4277" t="str">
        <f>_xlfn.XLOOKUP(A4277,'[1]Tissue Data'!$A:$A,'[1]Tissue Data'!K:K)</f>
        <v>Whole Body</v>
      </c>
      <c r="I4277">
        <f>_xlfn.XLOOKUP(A4277,'[1]Tissue Data'!$A:$A,'[1]Tissue Data'!L:L)</f>
        <v>6</v>
      </c>
      <c r="J4277">
        <f>_xlfn.XLOOKUP(A4277,'[1]Tissue Data'!$A:$A,'[1]Tissue Data'!M:M)</f>
        <v>6.99</v>
      </c>
      <c r="K4277" t="s">
        <v>37</v>
      </c>
      <c r="L4277" t="str">
        <f>_xlfn.XLOOKUP(K4277,[2]analyte_order!$B:$B,[2]analyte_order!$C:$C)</f>
        <v>754-91-6</v>
      </c>
      <c r="M4277">
        <f>_xlfn.XLOOKUP(L4277,[2]analyte_order!$C:$C,[2]analyte_order!$E:$E)</f>
        <v>28</v>
      </c>
      <c r="N4277">
        <v>5.7</v>
      </c>
    </row>
    <row r="4278" spans="1:14">
      <c r="A4278" t="s">
        <v>264</v>
      </c>
      <c r="B4278" t="str">
        <f>_xlfn.XLOOKUP(A4278,'[1]Tissue Data'!$A:$A,'[1]Tissue Data'!$C:$C)</f>
        <v>Spill</v>
      </c>
      <c r="C4278" s="2">
        <f>_xlfn.XLOOKUP(A4278,'[1]Tissue Data'!$A:$A,'[1]Tissue Data'!$D:$D)</f>
        <v>44393</v>
      </c>
      <c r="D4278" s="2" t="str">
        <f>_xlfn.XLOOKUP(A4278,'[1]Tissue Data'!$A:$A,'[1]Tissue Data'!$F:$F)</f>
        <v>Pumpkinseed</v>
      </c>
      <c r="E4278" t="str">
        <f>_xlfn.XLOOKUP(A4278,'[1]Tissue Data'!$A:$A,'[1]Tissue Data'!$H:$H)</f>
        <v>Lepomis</v>
      </c>
      <c r="F4278" t="str">
        <f>_xlfn.XLOOKUP(A4278,'[1]Tissue Data'!$A:$A,'[1]Tissue Data'!$I:$I)</f>
        <v>gibbosus</v>
      </c>
      <c r="G4278" t="str">
        <f>_xlfn.XLOOKUP(A4278,'[1]Tissue Data'!$A:$A,'[1]Tissue Data'!J:J)</f>
        <v>U</v>
      </c>
      <c r="H4278" t="str">
        <f>_xlfn.XLOOKUP(A4278,'[1]Tissue Data'!$A:$A,'[1]Tissue Data'!K:K)</f>
        <v>Whole Body</v>
      </c>
      <c r="I4278">
        <f>_xlfn.XLOOKUP(A4278,'[1]Tissue Data'!$A:$A,'[1]Tissue Data'!L:L)</f>
        <v>6</v>
      </c>
      <c r="J4278">
        <f>_xlfn.XLOOKUP(A4278,'[1]Tissue Data'!$A:$A,'[1]Tissue Data'!M:M)</f>
        <v>6.99</v>
      </c>
      <c r="K4278" t="s">
        <v>38</v>
      </c>
      <c r="L4278" t="str">
        <f>_xlfn.XLOOKUP(K4278,[2]analyte_order!$B:$B,[2]analyte_order!$C:$C)</f>
        <v>31506-32-8</v>
      </c>
      <c r="M4278">
        <f>_xlfn.XLOOKUP(L4278,[2]analyte_order!$C:$C,[2]analyte_order!$E:$E)</f>
        <v>30</v>
      </c>
      <c r="N4278">
        <v>5.0999999999999997E-2</v>
      </c>
    </row>
    <row r="4279" spans="1:14">
      <c r="A4279" t="s">
        <v>264</v>
      </c>
      <c r="B4279" t="str">
        <f>_xlfn.XLOOKUP(A4279,'[1]Tissue Data'!$A:$A,'[1]Tissue Data'!$C:$C)</f>
        <v>Spill</v>
      </c>
      <c r="C4279" s="2">
        <f>_xlfn.XLOOKUP(A4279,'[1]Tissue Data'!$A:$A,'[1]Tissue Data'!$D:$D)</f>
        <v>44393</v>
      </c>
      <c r="D4279" s="2" t="str">
        <f>_xlfn.XLOOKUP(A4279,'[1]Tissue Data'!$A:$A,'[1]Tissue Data'!$F:$F)</f>
        <v>Pumpkinseed</v>
      </c>
      <c r="E4279" t="str">
        <f>_xlfn.XLOOKUP(A4279,'[1]Tissue Data'!$A:$A,'[1]Tissue Data'!$H:$H)</f>
        <v>Lepomis</v>
      </c>
      <c r="F4279" t="str">
        <f>_xlfn.XLOOKUP(A4279,'[1]Tissue Data'!$A:$A,'[1]Tissue Data'!$I:$I)</f>
        <v>gibbosus</v>
      </c>
      <c r="G4279" t="str">
        <f>_xlfn.XLOOKUP(A4279,'[1]Tissue Data'!$A:$A,'[1]Tissue Data'!J:J)</f>
        <v>U</v>
      </c>
      <c r="H4279" t="str">
        <f>_xlfn.XLOOKUP(A4279,'[1]Tissue Data'!$A:$A,'[1]Tissue Data'!K:K)</f>
        <v>Whole Body</v>
      </c>
      <c r="I4279">
        <f>_xlfn.XLOOKUP(A4279,'[1]Tissue Data'!$A:$A,'[1]Tissue Data'!L:L)</f>
        <v>6</v>
      </c>
      <c r="J4279">
        <f>_xlfn.XLOOKUP(A4279,'[1]Tissue Data'!$A:$A,'[1]Tissue Data'!M:M)</f>
        <v>6.99</v>
      </c>
      <c r="K4279" t="s">
        <v>39</v>
      </c>
      <c r="L4279" t="str">
        <f>_xlfn.XLOOKUP(K4279,[2]analyte_order!$B:$B,[2]analyte_order!$C:$C)</f>
        <v>4151-50-2</v>
      </c>
      <c r="M4279">
        <f>_xlfn.XLOOKUP(L4279,[2]analyte_order!$C:$C,[2]analyte_order!$E:$E)</f>
        <v>31</v>
      </c>
      <c r="N4279">
        <v>7.7499999999999999E-2</v>
      </c>
    </row>
    <row r="4280" spans="1:14">
      <c r="A4280" t="s">
        <v>264</v>
      </c>
      <c r="B4280" t="str">
        <f>_xlfn.XLOOKUP(A4280,'[1]Tissue Data'!$A:$A,'[1]Tissue Data'!$C:$C)</f>
        <v>Spill</v>
      </c>
      <c r="C4280" s="2">
        <f>_xlfn.XLOOKUP(A4280,'[1]Tissue Data'!$A:$A,'[1]Tissue Data'!$D:$D)</f>
        <v>44393</v>
      </c>
      <c r="D4280" s="2" t="str">
        <f>_xlfn.XLOOKUP(A4280,'[1]Tissue Data'!$A:$A,'[1]Tissue Data'!$F:$F)</f>
        <v>Pumpkinseed</v>
      </c>
      <c r="E4280" t="str">
        <f>_xlfn.XLOOKUP(A4280,'[1]Tissue Data'!$A:$A,'[1]Tissue Data'!$H:$H)</f>
        <v>Lepomis</v>
      </c>
      <c r="F4280" t="str">
        <f>_xlfn.XLOOKUP(A4280,'[1]Tissue Data'!$A:$A,'[1]Tissue Data'!$I:$I)</f>
        <v>gibbosus</v>
      </c>
      <c r="G4280" t="str">
        <f>_xlfn.XLOOKUP(A4280,'[1]Tissue Data'!$A:$A,'[1]Tissue Data'!J:J)</f>
        <v>U</v>
      </c>
      <c r="H4280" t="str">
        <f>_xlfn.XLOOKUP(A4280,'[1]Tissue Data'!$A:$A,'[1]Tissue Data'!K:K)</f>
        <v>Whole Body</v>
      </c>
      <c r="I4280">
        <f>_xlfn.XLOOKUP(A4280,'[1]Tissue Data'!$A:$A,'[1]Tissue Data'!L:L)</f>
        <v>6</v>
      </c>
      <c r="J4280">
        <f>_xlfn.XLOOKUP(A4280,'[1]Tissue Data'!$A:$A,'[1]Tissue Data'!M:M)</f>
        <v>6.99</v>
      </c>
      <c r="K4280" t="s">
        <v>40</v>
      </c>
      <c r="L4280" t="str">
        <f>_xlfn.XLOOKUP(K4280,[2]analyte_order!$B:$B,[2]analyte_order!$C:$C)</f>
        <v>2806-24-8</v>
      </c>
      <c r="M4280">
        <f>_xlfn.XLOOKUP(L4280,[2]analyte_order!$C:$C,[2]analyte_order!$E:$E)</f>
        <v>29</v>
      </c>
      <c r="N4280">
        <v>5.2499999999999998E-2</v>
      </c>
    </row>
    <row r="4281" spans="1:14">
      <c r="A4281" t="s">
        <v>264</v>
      </c>
      <c r="B4281" t="str">
        <f>_xlfn.XLOOKUP(A4281,'[1]Tissue Data'!$A:$A,'[1]Tissue Data'!$C:$C)</f>
        <v>Spill</v>
      </c>
      <c r="C4281" s="2">
        <f>_xlfn.XLOOKUP(A4281,'[1]Tissue Data'!$A:$A,'[1]Tissue Data'!$D:$D)</f>
        <v>44393</v>
      </c>
      <c r="D4281" s="2" t="str">
        <f>_xlfn.XLOOKUP(A4281,'[1]Tissue Data'!$A:$A,'[1]Tissue Data'!$F:$F)</f>
        <v>Pumpkinseed</v>
      </c>
      <c r="E4281" t="str">
        <f>_xlfn.XLOOKUP(A4281,'[1]Tissue Data'!$A:$A,'[1]Tissue Data'!$H:$H)</f>
        <v>Lepomis</v>
      </c>
      <c r="F4281" t="str">
        <f>_xlfn.XLOOKUP(A4281,'[1]Tissue Data'!$A:$A,'[1]Tissue Data'!$I:$I)</f>
        <v>gibbosus</v>
      </c>
      <c r="G4281" t="str">
        <f>_xlfn.XLOOKUP(A4281,'[1]Tissue Data'!$A:$A,'[1]Tissue Data'!J:J)</f>
        <v>U</v>
      </c>
      <c r="H4281" t="str">
        <f>_xlfn.XLOOKUP(A4281,'[1]Tissue Data'!$A:$A,'[1]Tissue Data'!K:K)</f>
        <v>Whole Body</v>
      </c>
      <c r="I4281">
        <f>_xlfn.XLOOKUP(A4281,'[1]Tissue Data'!$A:$A,'[1]Tissue Data'!L:L)</f>
        <v>6</v>
      </c>
      <c r="J4281">
        <f>_xlfn.XLOOKUP(A4281,'[1]Tissue Data'!$A:$A,'[1]Tissue Data'!M:M)</f>
        <v>6.99</v>
      </c>
      <c r="K4281" t="s">
        <v>41</v>
      </c>
      <c r="L4281" t="str">
        <f>_xlfn.XLOOKUP(K4281,[2]analyte_order!$B:$B,[2]analyte_order!$C:$C)</f>
        <v>2355-31-9</v>
      </c>
      <c r="M4281">
        <f>_xlfn.XLOOKUP(L4281,[2]analyte_order!$C:$C,[2]analyte_order!$E:$E)</f>
        <v>26</v>
      </c>
      <c r="N4281">
        <v>0.22</v>
      </c>
    </row>
    <row r="4282" spans="1:14">
      <c r="A4282" t="s">
        <v>264</v>
      </c>
      <c r="B4282" t="str">
        <f>_xlfn.XLOOKUP(A4282,'[1]Tissue Data'!$A:$A,'[1]Tissue Data'!$C:$C)</f>
        <v>Spill</v>
      </c>
      <c r="C4282" s="2">
        <f>_xlfn.XLOOKUP(A4282,'[1]Tissue Data'!$A:$A,'[1]Tissue Data'!$D:$D)</f>
        <v>44393</v>
      </c>
      <c r="D4282" s="2" t="str">
        <f>_xlfn.XLOOKUP(A4282,'[1]Tissue Data'!$A:$A,'[1]Tissue Data'!$F:$F)</f>
        <v>Pumpkinseed</v>
      </c>
      <c r="E4282" t="str">
        <f>_xlfn.XLOOKUP(A4282,'[1]Tissue Data'!$A:$A,'[1]Tissue Data'!$H:$H)</f>
        <v>Lepomis</v>
      </c>
      <c r="F4282" t="str">
        <f>_xlfn.XLOOKUP(A4282,'[1]Tissue Data'!$A:$A,'[1]Tissue Data'!$I:$I)</f>
        <v>gibbosus</v>
      </c>
      <c r="G4282" t="str">
        <f>_xlfn.XLOOKUP(A4282,'[1]Tissue Data'!$A:$A,'[1]Tissue Data'!J:J)</f>
        <v>U</v>
      </c>
      <c r="H4282" t="str">
        <f>_xlfn.XLOOKUP(A4282,'[1]Tissue Data'!$A:$A,'[1]Tissue Data'!K:K)</f>
        <v>Whole Body</v>
      </c>
      <c r="I4282">
        <f>_xlfn.XLOOKUP(A4282,'[1]Tissue Data'!$A:$A,'[1]Tissue Data'!L:L)</f>
        <v>6</v>
      </c>
      <c r="J4282">
        <f>_xlfn.XLOOKUP(A4282,'[1]Tissue Data'!$A:$A,'[1]Tissue Data'!M:M)</f>
        <v>6.99</v>
      </c>
      <c r="K4282" t="s">
        <v>42</v>
      </c>
      <c r="L4282" t="str">
        <f>_xlfn.XLOOKUP(K4282,[2]analyte_order!$B:$B,[2]analyte_order!$C:$C)</f>
        <v>2991-50-6</v>
      </c>
      <c r="M4282">
        <f>_xlfn.XLOOKUP(L4282,[2]analyte_order!$C:$C,[2]analyte_order!$E:$E)</f>
        <v>27</v>
      </c>
      <c r="N4282">
        <v>5.7500000000000002E-2</v>
      </c>
    </row>
    <row r="4283" spans="1:14">
      <c r="A4283" t="s">
        <v>264</v>
      </c>
      <c r="B4283" t="str">
        <f>_xlfn.XLOOKUP(A4283,'[1]Tissue Data'!$A:$A,'[1]Tissue Data'!$C:$C)</f>
        <v>Spill</v>
      </c>
      <c r="C4283" s="2">
        <f>_xlfn.XLOOKUP(A4283,'[1]Tissue Data'!$A:$A,'[1]Tissue Data'!$D:$D)</f>
        <v>44393</v>
      </c>
      <c r="D4283" s="2" t="str">
        <f>_xlfn.XLOOKUP(A4283,'[1]Tissue Data'!$A:$A,'[1]Tissue Data'!$F:$F)</f>
        <v>Pumpkinseed</v>
      </c>
      <c r="E4283" t="str">
        <f>_xlfn.XLOOKUP(A4283,'[1]Tissue Data'!$A:$A,'[1]Tissue Data'!$H:$H)</f>
        <v>Lepomis</v>
      </c>
      <c r="F4283" t="str">
        <f>_xlfn.XLOOKUP(A4283,'[1]Tissue Data'!$A:$A,'[1]Tissue Data'!$I:$I)</f>
        <v>gibbosus</v>
      </c>
      <c r="G4283" t="str">
        <f>_xlfn.XLOOKUP(A4283,'[1]Tissue Data'!$A:$A,'[1]Tissue Data'!J:J)</f>
        <v>U</v>
      </c>
      <c r="H4283" t="str">
        <f>_xlfn.XLOOKUP(A4283,'[1]Tissue Data'!$A:$A,'[1]Tissue Data'!K:K)</f>
        <v>Whole Body</v>
      </c>
      <c r="I4283">
        <f>_xlfn.XLOOKUP(A4283,'[1]Tissue Data'!$A:$A,'[1]Tissue Data'!L:L)</f>
        <v>6</v>
      </c>
      <c r="J4283">
        <f>_xlfn.XLOOKUP(A4283,'[1]Tissue Data'!$A:$A,'[1]Tissue Data'!M:M)</f>
        <v>6.99</v>
      </c>
      <c r="K4283" t="s">
        <v>43</v>
      </c>
      <c r="L4283" t="str">
        <f>_xlfn.XLOOKUP(K4283,[2]analyte_order!$B:$B,[2]analyte_order!$C:$C)</f>
        <v>757124-72-4</v>
      </c>
      <c r="M4283">
        <f>_xlfn.XLOOKUP(L4283,[2]analyte_order!$C:$C,[2]analyte_order!$E:$E)</f>
        <v>22</v>
      </c>
      <c r="N4283">
        <v>5.45E-2</v>
      </c>
    </row>
    <row r="4284" spans="1:14">
      <c r="A4284" t="s">
        <v>264</v>
      </c>
      <c r="B4284" t="str">
        <f>_xlfn.XLOOKUP(A4284,'[1]Tissue Data'!$A:$A,'[1]Tissue Data'!$C:$C)</f>
        <v>Spill</v>
      </c>
      <c r="C4284" s="2">
        <f>_xlfn.XLOOKUP(A4284,'[1]Tissue Data'!$A:$A,'[1]Tissue Data'!$D:$D)</f>
        <v>44393</v>
      </c>
      <c r="D4284" s="2" t="str">
        <f>_xlfn.XLOOKUP(A4284,'[1]Tissue Data'!$A:$A,'[1]Tissue Data'!$F:$F)</f>
        <v>Pumpkinseed</v>
      </c>
      <c r="E4284" t="str">
        <f>_xlfn.XLOOKUP(A4284,'[1]Tissue Data'!$A:$A,'[1]Tissue Data'!$H:$H)</f>
        <v>Lepomis</v>
      </c>
      <c r="F4284" t="str">
        <f>_xlfn.XLOOKUP(A4284,'[1]Tissue Data'!$A:$A,'[1]Tissue Data'!$I:$I)</f>
        <v>gibbosus</v>
      </c>
      <c r="G4284" t="str">
        <f>_xlfn.XLOOKUP(A4284,'[1]Tissue Data'!$A:$A,'[1]Tissue Data'!J:J)</f>
        <v>U</v>
      </c>
      <c r="H4284" t="str">
        <f>_xlfn.XLOOKUP(A4284,'[1]Tissue Data'!$A:$A,'[1]Tissue Data'!K:K)</f>
        <v>Whole Body</v>
      </c>
      <c r="I4284">
        <f>_xlfn.XLOOKUP(A4284,'[1]Tissue Data'!$A:$A,'[1]Tissue Data'!L:L)</f>
        <v>6</v>
      </c>
      <c r="J4284">
        <f>_xlfn.XLOOKUP(A4284,'[1]Tissue Data'!$A:$A,'[1]Tissue Data'!M:M)</f>
        <v>6.99</v>
      </c>
      <c r="K4284" t="s">
        <v>44</v>
      </c>
      <c r="L4284" t="str">
        <f>_xlfn.XLOOKUP(K4284,[2]analyte_order!$B:$B,[2]analyte_order!$C:$C)</f>
        <v>27619-97-2</v>
      </c>
      <c r="M4284">
        <f>_xlfn.XLOOKUP(L4284,[2]analyte_order!$C:$C,[2]analyte_order!$E:$E)</f>
        <v>23</v>
      </c>
      <c r="N4284">
        <v>0.627</v>
      </c>
    </row>
    <row r="4285" spans="1:14">
      <c r="A4285" t="s">
        <v>264</v>
      </c>
      <c r="B4285" t="str">
        <f>_xlfn.XLOOKUP(A4285,'[1]Tissue Data'!$A:$A,'[1]Tissue Data'!$C:$C)</f>
        <v>Spill</v>
      </c>
      <c r="C4285" s="2">
        <f>_xlfn.XLOOKUP(A4285,'[1]Tissue Data'!$A:$A,'[1]Tissue Data'!$D:$D)</f>
        <v>44393</v>
      </c>
      <c r="D4285" s="2" t="str">
        <f>_xlfn.XLOOKUP(A4285,'[1]Tissue Data'!$A:$A,'[1]Tissue Data'!$F:$F)</f>
        <v>Pumpkinseed</v>
      </c>
      <c r="E4285" t="str">
        <f>_xlfn.XLOOKUP(A4285,'[1]Tissue Data'!$A:$A,'[1]Tissue Data'!$H:$H)</f>
        <v>Lepomis</v>
      </c>
      <c r="F4285" t="str">
        <f>_xlfn.XLOOKUP(A4285,'[1]Tissue Data'!$A:$A,'[1]Tissue Data'!$I:$I)</f>
        <v>gibbosus</v>
      </c>
      <c r="G4285" t="str">
        <f>_xlfn.XLOOKUP(A4285,'[1]Tissue Data'!$A:$A,'[1]Tissue Data'!J:J)</f>
        <v>U</v>
      </c>
      <c r="H4285" t="str">
        <f>_xlfn.XLOOKUP(A4285,'[1]Tissue Data'!$A:$A,'[1]Tissue Data'!K:K)</f>
        <v>Whole Body</v>
      </c>
      <c r="I4285">
        <f>_xlfn.XLOOKUP(A4285,'[1]Tissue Data'!$A:$A,'[1]Tissue Data'!L:L)</f>
        <v>6</v>
      </c>
      <c r="J4285">
        <f>_xlfn.XLOOKUP(A4285,'[1]Tissue Data'!$A:$A,'[1]Tissue Data'!M:M)</f>
        <v>6.99</v>
      </c>
      <c r="K4285" t="s">
        <v>45</v>
      </c>
      <c r="L4285" t="str">
        <f>_xlfn.XLOOKUP(K4285,[2]analyte_order!$B:$B,[2]analyte_order!$C:$C)</f>
        <v>39108-34-4</v>
      </c>
      <c r="M4285">
        <f>_xlfn.XLOOKUP(L4285,[2]analyte_order!$C:$C,[2]analyte_order!$E:$E)</f>
        <v>24</v>
      </c>
      <c r="N4285">
        <v>1.1499999999999999</v>
      </c>
    </row>
    <row r="4286" spans="1:14">
      <c r="A4286" t="s">
        <v>264</v>
      </c>
      <c r="B4286" t="str">
        <f>_xlfn.XLOOKUP(A4286,'[1]Tissue Data'!$A:$A,'[1]Tissue Data'!$C:$C)</f>
        <v>Spill</v>
      </c>
      <c r="C4286" s="2">
        <f>_xlfn.XLOOKUP(A4286,'[1]Tissue Data'!$A:$A,'[1]Tissue Data'!$D:$D)</f>
        <v>44393</v>
      </c>
      <c r="D4286" s="2" t="str">
        <f>_xlfn.XLOOKUP(A4286,'[1]Tissue Data'!$A:$A,'[1]Tissue Data'!$F:$F)</f>
        <v>Pumpkinseed</v>
      </c>
      <c r="E4286" t="str">
        <f>_xlfn.XLOOKUP(A4286,'[1]Tissue Data'!$A:$A,'[1]Tissue Data'!$H:$H)</f>
        <v>Lepomis</v>
      </c>
      <c r="F4286" t="str">
        <f>_xlfn.XLOOKUP(A4286,'[1]Tissue Data'!$A:$A,'[1]Tissue Data'!$I:$I)</f>
        <v>gibbosus</v>
      </c>
      <c r="G4286" t="str">
        <f>_xlfn.XLOOKUP(A4286,'[1]Tissue Data'!$A:$A,'[1]Tissue Data'!J:J)</f>
        <v>U</v>
      </c>
      <c r="H4286" t="str">
        <f>_xlfn.XLOOKUP(A4286,'[1]Tissue Data'!$A:$A,'[1]Tissue Data'!K:K)</f>
        <v>Whole Body</v>
      </c>
      <c r="I4286">
        <f>_xlfn.XLOOKUP(A4286,'[1]Tissue Data'!$A:$A,'[1]Tissue Data'!L:L)</f>
        <v>6</v>
      </c>
      <c r="J4286">
        <f>_xlfn.XLOOKUP(A4286,'[1]Tissue Data'!$A:$A,'[1]Tissue Data'!M:M)</f>
        <v>6.99</v>
      </c>
      <c r="K4286" t="s">
        <v>46</v>
      </c>
      <c r="L4286" t="str">
        <f>_xlfn.XLOOKUP(K4286,[2]analyte_order!$B:$B,[2]analyte_order!$C:$C)</f>
        <v>120226-60-0</v>
      </c>
      <c r="M4286">
        <f>_xlfn.XLOOKUP(L4286,[2]analyte_order!$C:$C,[2]analyte_order!$E:$E)</f>
        <v>25</v>
      </c>
      <c r="N4286">
        <v>0.2485</v>
      </c>
    </row>
    <row r="4287" spans="1:14">
      <c r="A4287" t="s">
        <v>264</v>
      </c>
      <c r="B4287" t="str">
        <f>_xlfn.XLOOKUP(A4287,'[1]Tissue Data'!$A:$A,'[1]Tissue Data'!$C:$C)</f>
        <v>Spill</v>
      </c>
      <c r="C4287" s="2">
        <f>_xlfn.XLOOKUP(A4287,'[1]Tissue Data'!$A:$A,'[1]Tissue Data'!$D:$D)</f>
        <v>44393</v>
      </c>
      <c r="D4287" s="2" t="str">
        <f>_xlfn.XLOOKUP(A4287,'[1]Tissue Data'!$A:$A,'[1]Tissue Data'!$F:$F)</f>
        <v>Pumpkinseed</v>
      </c>
      <c r="E4287" t="str">
        <f>_xlfn.XLOOKUP(A4287,'[1]Tissue Data'!$A:$A,'[1]Tissue Data'!$H:$H)</f>
        <v>Lepomis</v>
      </c>
      <c r="F4287" t="str">
        <f>_xlfn.XLOOKUP(A4287,'[1]Tissue Data'!$A:$A,'[1]Tissue Data'!$I:$I)</f>
        <v>gibbosus</v>
      </c>
      <c r="G4287" t="str">
        <f>_xlfn.XLOOKUP(A4287,'[1]Tissue Data'!$A:$A,'[1]Tissue Data'!J:J)</f>
        <v>U</v>
      </c>
      <c r="H4287" t="str">
        <f>_xlfn.XLOOKUP(A4287,'[1]Tissue Data'!$A:$A,'[1]Tissue Data'!K:K)</f>
        <v>Whole Body</v>
      </c>
      <c r="I4287">
        <f>_xlfn.XLOOKUP(A4287,'[1]Tissue Data'!$A:$A,'[1]Tissue Data'!L:L)</f>
        <v>6</v>
      </c>
      <c r="J4287">
        <f>_xlfn.XLOOKUP(A4287,'[1]Tissue Data'!$A:$A,'[1]Tissue Data'!M:M)</f>
        <v>6.99</v>
      </c>
      <c r="K4287" t="s">
        <v>47</v>
      </c>
      <c r="L4287" t="str">
        <f>_xlfn.XLOOKUP(K4287,[2]analyte_order!$B:$B,[2]analyte_order!$C:$C)</f>
        <v>356-02-5</v>
      </c>
      <c r="M4287">
        <f>_xlfn.XLOOKUP(L4287,[2]analyte_order!$C:$C,[2]analyte_order!$E:$E)</f>
        <v>38</v>
      </c>
      <c r="N4287">
        <v>7.6499999999999999E-2</v>
      </c>
    </row>
    <row r="4288" spans="1:14">
      <c r="A4288" t="s">
        <v>264</v>
      </c>
      <c r="B4288" t="str">
        <f>_xlfn.XLOOKUP(A4288,'[1]Tissue Data'!$A:$A,'[1]Tissue Data'!$C:$C)</f>
        <v>Spill</v>
      </c>
      <c r="C4288" s="2">
        <f>_xlfn.XLOOKUP(A4288,'[1]Tissue Data'!$A:$A,'[1]Tissue Data'!$D:$D)</f>
        <v>44393</v>
      </c>
      <c r="D4288" s="2" t="str">
        <f>_xlfn.XLOOKUP(A4288,'[1]Tissue Data'!$A:$A,'[1]Tissue Data'!$F:$F)</f>
        <v>Pumpkinseed</v>
      </c>
      <c r="E4288" t="str">
        <f>_xlfn.XLOOKUP(A4288,'[1]Tissue Data'!$A:$A,'[1]Tissue Data'!$H:$H)</f>
        <v>Lepomis</v>
      </c>
      <c r="F4288" t="str">
        <f>_xlfn.XLOOKUP(A4288,'[1]Tissue Data'!$A:$A,'[1]Tissue Data'!$I:$I)</f>
        <v>gibbosus</v>
      </c>
      <c r="G4288" t="str">
        <f>_xlfn.XLOOKUP(A4288,'[1]Tissue Data'!$A:$A,'[1]Tissue Data'!J:J)</f>
        <v>U</v>
      </c>
      <c r="H4288" t="str">
        <f>_xlfn.XLOOKUP(A4288,'[1]Tissue Data'!$A:$A,'[1]Tissue Data'!K:K)</f>
        <v>Whole Body</v>
      </c>
      <c r="I4288">
        <f>_xlfn.XLOOKUP(A4288,'[1]Tissue Data'!$A:$A,'[1]Tissue Data'!L:L)</f>
        <v>6</v>
      </c>
      <c r="J4288">
        <f>_xlfn.XLOOKUP(A4288,'[1]Tissue Data'!$A:$A,'[1]Tissue Data'!M:M)</f>
        <v>6.99</v>
      </c>
      <c r="K4288" t="s">
        <v>48</v>
      </c>
      <c r="L4288" t="str">
        <f>_xlfn.XLOOKUP(K4288,[2]analyte_order!$B:$B,[2]analyte_order!$C:$C)</f>
        <v>914637-49-3</v>
      </c>
      <c r="M4288">
        <f>_xlfn.XLOOKUP(L4288,[2]analyte_order!$C:$C,[2]analyte_order!$E:$E)</f>
        <v>39</v>
      </c>
      <c r="N4288">
        <v>0.219</v>
      </c>
    </row>
    <row r="4289" spans="1:14">
      <c r="A4289" t="s">
        <v>264</v>
      </c>
      <c r="B4289" t="str">
        <f>_xlfn.XLOOKUP(A4289,'[1]Tissue Data'!$A:$A,'[1]Tissue Data'!$C:$C)</f>
        <v>Spill</v>
      </c>
      <c r="C4289" s="2">
        <f>_xlfn.XLOOKUP(A4289,'[1]Tissue Data'!$A:$A,'[1]Tissue Data'!$D:$D)</f>
        <v>44393</v>
      </c>
      <c r="D4289" s="2" t="str">
        <f>_xlfn.XLOOKUP(A4289,'[1]Tissue Data'!$A:$A,'[1]Tissue Data'!$F:$F)</f>
        <v>Pumpkinseed</v>
      </c>
      <c r="E4289" t="str">
        <f>_xlfn.XLOOKUP(A4289,'[1]Tissue Data'!$A:$A,'[1]Tissue Data'!$H:$H)</f>
        <v>Lepomis</v>
      </c>
      <c r="F4289" t="str">
        <f>_xlfn.XLOOKUP(A4289,'[1]Tissue Data'!$A:$A,'[1]Tissue Data'!$I:$I)</f>
        <v>gibbosus</v>
      </c>
      <c r="G4289" t="str">
        <f>_xlfn.XLOOKUP(A4289,'[1]Tissue Data'!$A:$A,'[1]Tissue Data'!J:J)</f>
        <v>U</v>
      </c>
      <c r="H4289" t="str">
        <f>_xlfn.XLOOKUP(A4289,'[1]Tissue Data'!$A:$A,'[1]Tissue Data'!K:K)</f>
        <v>Whole Body</v>
      </c>
      <c r="I4289">
        <f>_xlfn.XLOOKUP(A4289,'[1]Tissue Data'!$A:$A,'[1]Tissue Data'!L:L)</f>
        <v>6</v>
      </c>
      <c r="J4289">
        <f>_xlfn.XLOOKUP(A4289,'[1]Tissue Data'!$A:$A,'[1]Tissue Data'!M:M)</f>
        <v>6.99</v>
      </c>
      <c r="K4289" t="s">
        <v>49</v>
      </c>
      <c r="L4289" t="str">
        <f>_xlfn.XLOOKUP(K4289,[2]analyte_order!$B:$B,[2]analyte_order!$C:$C)</f>
        <v>812-70-4</v>
      </c>
      <c r="M4289">
        <f>_xlfn.XLOOKUP(L4289,[2]analyte_order!$C:$C,[2]analyte_order!$E:$E)</f>
        <v>40</v>
      </c>
      <c r="N4289">
        <v>1.53</v>
      </c>
    </row>
    <row r="4290" spans="1:14">
      <c r="A4290" t="s">
        <v>264</v>
      </c>
      <c r="B4290" t="str">
        <f>_xlfn.XLOOKUP(A4290,'[1]Tissue Data'!$A:$A,'[1]Tissue Data'!$C:$C)</f>
        <v>Spill</v>
      </c>
      <c r="C4290" s="2">
        <f>_xlfn.XLOOKUP(A4290,'[1]Tissue Data'!$A:$A,'[1]Tissue Data'!$D:$D)</f>
        <v>44393</v>
      </c>
      <c r="D4290" s="2" t="str">
        <f>_xlfn.XLOOKUP(A4290,'[1]Tissue Data'!$A:$A,'[1]Tissue Data'!$F:$F)</f>
        <v>Pumpkinseed</v>
      </c>
      <c r="E4290" t="str">
        <f>_xlfn.XLOOKUP(A4290,'[1]Tissue Data'!$A:$A,'[1]Tissue Data'!$H:$H)</f>
        <v>Lepomis</v>
      </c>
      <c r="F4290" t="str">
        <f>_xlfn.XLOOKUP(A4290,'[1]Tissue Data'!$A:$A,'[1]Tissue Data'!$I:$I)</f>
        <v>gibbosus</v>
      </c>
      <c r="G4290" t="str">
        <f>_xlfn.XLOOKUP(A4290,'[1]Tissue Data'!$A:$A,'[1]Tissue Data'!J:J)</f>
        <v>U</v>
      </c>
      <c r="H4290" t="str">
        <f>_xlfn.XLOOKUP(A4290,'[1]Tissue Data'!$A:$A,'[1]Tissue Data'!K:K)</f>
        <v>Whole Body</v>
      </c>
      <c r="I4290">
        <f>_xlfn.XLOOKUP(A4290,'[1]Tissue Data'!$A:$A,'[1]Tissue Data'!L:L)</f>
        <v>6</v>
      </c>
      <c r="J4290">
        <f>_xlfn.XLOOKUP(A4290,'[1]Tissue Data'!$A:$A,'[1]Tissue Data'!M:M)</f>
        <v>6.99</v>
      </c>
      <c r="K4290" t="s">
        <v>50</v>
      </c>
      <c r="L4290" t="str">
        <f>_xlfn.XLOOKUP(K4290,[2]analyte_order!$B:$B,[2]analyte_order!$C:$C)</f>
        <v>53826-12-3</v>
      </c>
      <c r="M4290">
        <f>_xlfn.XLOOKUP(L4290,[2]analyte_order!$C:$C,[2]analyte_order!$E:$E)</f>
        <v>41</v>
      </c>
      <c r="N4290">
        <v>6.6500000000000004E-2</v>
      </c>
    </row>
    <row r="4291" spans="1:14">
      <c r="A4291" t="s">
        <v>264</v>
      </c>
      <c r="B4291" t="str">
        <f>_xlfn.XLOOKUP(A4291,'[1]Tissue Data'!$A:$A,'[1]Tissue Data'!$C:$C)</f>
        <v>Spill</v>
      </c>
      <c r="C4291" s="2">
        <f>_xlfn.XLOOKUP(A4291,'[1]Tissue Data'!$A:$A,'[1]Tissue Data'!$D:$D)</f>
        <v>44393</v>
      </c>
      <c r="D4291" s="2" t="str">
        <f>_xlfn.XLOOKUP(A4291,'[1]Tissue Data'!$A:$A,'[1]Tissue Data'!$F:$F)</f>
        <v>Pumpkinseed</v>
      </c>
      <c r="E4291" t="str">
        <f>_xlfn.XLOOKUP(A4291,'[1]Tissue Data'!$A:$A,'[1]Tissue Data'!$H:$H)</f>
        <v>Lepomis</v>
      </c>
      <c r="F4291" t="str">
        <f>_xlfn.XLOOKUP(A4291,'[1]Tissue Data'!$A:$A,'[1]Tissue Data'!$I:$I)</f>
        <v>gibbosus</v>
      </c>
      <c r="G4291" t="str">
        <f>_xlfn.XLOOKUP(A4291,'[1]Tissue Data'!$A:$A,'[1]Tissue Data'!J:J)</f>
        <v>U</v>
      </c>
      <c r="H4291" t="str">
        <f>_xlfn.XLOOKUP(A4291,'[1]Tissue Data'!$A:$A,'[1]Tissue Data'!K:K)</f>
        <v>Whole Body</v>
      </c>
      <c r="I4291">
        <f>_xlfn.XLOOKUP(A4291,'[1]Tissue Data'!$A:$A,'[1]Tissue Data'!L:L)</f>
        <v>6</v>
      </c>
      <c r="J4291">
        <f>_xlfn.XLOOKUP(A4291,'[1]Tissue Data'!$A:$A,'[1]Tissue Data'!M:M)</f>
        <v>6.99</v>
      </c>
      <c r="K4291" t="s">
        <v>51</v>
      </c>
      <c r="L4291" t="str">
        <f>_xlfn.XLOOKUP(K4291,[2]analyte_order!$B:$B,[2]analyte_order!$C:$C)</f>
        <v>27854-31-5</v>
      </c>
      <c r="M4291">
        <f>_xlfn.XLOOKUP(L4291,[2]analyte_order!$C:$C,[2]analyte_order!$E:$E)</f>
        <v>42</v>
      </c>
      <c r="N4291">
        <v>1.18</v>
      </c>
    </row>
    <row r="4292" spans="1:14">
      <c r="A4292" t="s">
        <v>264</v>
      </c>
      <c r="B4292" t="str">
        <f>_xlfn.XLOOKUP(A4292,'[1]Tissue Data'!$A:$A,'[1]Tissue Data'!$C:$C)</f>
        <v>Spill</v>
      </c>
      <c r="C4292" s="2">
        <f>_xlfn.XLOOKUP(A4292,'[1]Tissue Data'!$A:$A,'[1]Tissue Data'!$D:$D)</f>
        <v>44393</v>
      </c>
      <c r="D4292" s="2" t="str">
        <f>_xlfn.XLOOKUP(A4292,'[1]Tissue Data'!$A:$A,'[1]Tissue Data'!$F:$F)</f>
        <v>Pumpkinseed</v>
      </c>
      <c r="E4292" t="str">
        <f>_xlfn.XLOOKUP(A4292,'[1]Tissue Data'!$A:$A,'[1]Tissue Data'!$H:$H)</f>
        <v>Lepomis</v>
      </c>
      <c r="F4292" t="str">
        <f>_xlfn.XLOOKUP(A4292,'[1]Tissue Data'!$A:$A,'[1]Tissue Data'!$I:$I)</f>
        <v>gibbosus</v>
      </c>
      <c r="G4292" t="str">
        <f>_xlfn.XLOOKUP(A4292,'[1]Tissue Data'!$A:$A,'[1]Tissue Data'!J:J)</f>
        <v>U</v>
      </c>
      <c r="H4292" t="str">
        <f>_xlfn.XLOOKUP(A4292,'[1]Tissue Data'!$A:$A,'[1]Tissue Data'!K:K)</f>
        <v>Whole Body</v>
      </c>
      <c r="I4292">
        <f>_xlfn.XLOOKUP(A4292,'[1]Tissue Data'!$A:$A,'[1]Tissue Data'!L:L)</f>
        <v>6</v>
      </c>
      <c r="J4292">
        <f>_xlfn.XLOOKUP(A4292,'[1]Tissue Data'!$A:$A,'[1]Tissue Data'!M:M)</f>
        <v>6.99</v>
      </c>
      <c r="K4292" t="s">
        <v>52</v>
      </c>
      <c r="L4292" t="str">
        <f>_xlfn.XLOOKUP(K4292,[2]analyte_order!$B:$B,[2]analyte_order!$C:$C)</f>
        <v>53826-13-4</v>
      </c>
      <c r="M4292">
        <f>_xlfn.XLOOKUP(L4292,[2]analyte_order!$C:$C,[2]analyte_order!$E:$E)</f>
        <v>43</v>
      </c>
      <c r="N4292">
        <v>9.9000000000000005E-2</v>
      </c>
    </row>
    <row r="4293" spans="1:14">
      <c r="A4293" t="s">
        <v>264</v>
      </c>
      <c r="B4293" t="str">
        <f>_xlfn.XLOOKUP(A4293,'[1]Tissue Data'!$A:$A,'[1]Tissue Data'!$C:$C)</f>
        <v>Spill</v>
      </c>
      <c r="C4293" s="2">
        <f>_xlfn.XLOOKUP(A4293,'[1]Tissue Data'!$A:$A,'[1]Tissue Data'!$D:$D)</f>
        <v>44393</v>
      </c>
      <c r="D4293" s="2" t="str">
        <f>_xlfn.XLOOKUP(A4293,'[1]Tissue Data'!$A:$A,'[1]Tissue Data'!$F:$F)</f>
        <v>Pumpkinseed</v>
      </c>
      <c r="E4293" t="str">
        <f>_xlfn.XLOOKUP(A4293,'[1]Tissue Data'!$A:$A,'[1]Tissue Data'!$H:$H)</f>
        <v>Lepomis</v>
      </c>
      <c r="F4293" t="str">
        <f>_xlfn.XLOOKUP(A4293,'[1]Tissue Data'!$A:$A,'[1]Tissue Data'!$I:$I)</f>
        <v>gibbosus</v>
      </c>
      <c r="G4293" t="str">
        <f>_xlfn.XLOOKUP(A4293,'[1]Tissue Data'!$A:$A,'[1]Tissue Data'!J:J)</f>
        <v>U</v>
      </c>
      <c r="H4293" t="str">
        <f>_xlfn.XLOOKUP(A4293,'[1]Tissue Data'!$A:$A,'[1]Tissue Data'!K:K)</f>
        <v>Whole Body</v>
      </c>
      <c r="I4293">
        <f>_xlfn.XLOOKUP(A4293,'[1]Tissue Data'!$A:$A,'[1]Tissue Data'!L:L)</f>
        <v>6</v>
      </c>
      <c r="J4293">
        <f>_xlfn.XLOOKUP(A4293,'[1]Tissue Data'!$A:$A,'[1]Tissue Data'!M:M)</f>
        <v>6.99</v>
      </c>
      <c r="K4293" t="s">
        <v>53</v>
      </c>
      <c r="L4293" t="str">
        <f>_xlfn.XLOOKUP(K4293,[2]analyte_order!$B:$B,[2]analyte_order!$C:$C)</f>
        <v>161094-75-3</v>
      </c>
      <c r="M4293">
        <f>_xlfn.XLOOKUP(L4293,[2]analyte_order!$C:$C,[2]analyte_order!$E:$E)</f>
        <v>44</v>
      </c>
      <c r="N4293">
        <v>5.1999999999999998E-2</v>
      </c>
    </row>
    <row r="4294" spans="1:14">
      <c r="A4294" t="s">
        <v>264</v>
      </c>
      <c r="B4294" t="str">
        <f>_xlfn.XLOOKUP(A4294,'[1]Tissue Data'!$A:$A,'[1]Tissue Data'!$C:$C)</f>
        <v>Spill</v>
      </c>
      <c r="C4294" s="2">
        <f>_xlfn.XLOOKUP(A4294,'[1]Tissue Data'!$A:$A,'[1]Tissue Data'!$D:$D)</f>
        <v>44393</v>
      </c>
      <c r="D4294" s="2" t="str">
        <f>_xlfn.XLOOKUP(A4294,'[1]Tissue Data'!$A:$A,'[1]Tissue Data'!$F:$F)</f>
        <v>Pumpkinseed</v>
      </c>
      <c r="E4294" t="str">
        <f>_xlfn.XLOOKUP(A4294,'[1]Tissue Data'!$A:$A,'[1]Tissue Data'!$H:$H)</f>
        <v>Lepomis</v>
      </c>
      <c r="F4294" t="str">
        <f>_xlfn.XLOOKUP(A4294,'[1]Tissue Data'!$A:$A,'[1]Tissue Data'!$I:$I)</f>
        <v>gibbosus</v>
      </c>
      <c r="G4294" t="str">
        <f>_xlfn.XLOOKUP(A4294,'[1]Tissue Data'!$A:$A,'[1]Tissue Data'!J:J)</f>
        <v>U</v>
      </c>
      <c r="H4294" t="str">
        <f>_xlfn.XLOOKUP(A4294,'[1]Tissue Data'!$A:$A,'[1]Tissue Data'!K:K)</f>
        <v>Whole Body</v>
      </c>
      <c r="I4294">
        <f>_xlfn.XLOOKUP(A4294,'[1]Tissue Data'!$A:$A,'[1]Tissue Data'!L:L)</f>
        <v>6</v>
      </c>
      <c r="J4294">
        <f>_xlfn.XLOOKUP(A4294,'[1]Tissue Data'!$A:$A,'[1]Tissue Data'!M:M)</f>
        <v>6.99</v>
      </c>
      <c r="K4294" t="s">
        <v>54</v>
      </c>
      <c r="L4294" t="str">
        <f>_xlfn.XLOOKUP(K4294,[2]analyte_order!$B:$B,[2]analyte_order!$C:$C)</f>
        <v>70887-84-2</v>
      </c>
      <c r="M4294">
        <f>_xlfn.XLOOKUP(L4294,[2]analyte_order!$C:$C,[2]analyte_order!$E:$E)</f>
        <v>45</v>
      </c>
      <c r="N4294">
        <v>4.0149999999999998E-2</v>
      </c>
    </row>
    <row r="4295" spans="1:14">
      <c r="A4295" t="s">
        <v>264</v>
      </c>
      <c r="B4295" t="str">
        <f>_xlfn.XLOOKUP(A4295,'[1]Tissue Data'!$A:$A,'[1]Tissue Data'!$C:$C)</f>
        <v>Spill</v>
      </c>
      <c r="C4295" s="2">
        <f>_xlfn.XLOOKUP(A4295,'[1]Tissue Data'!$A:$A,'[1]Tissue Data'!$D:$D)</f>
        <v>44393</v>
      </c>
      <c r="D4295" s="2" t="str">
        <f>_xlfn.XLOOKUP(A4295,'[1]Tissue Data'!$A:$A,'[1]Tissue Data'!$F:$F)</f>
        <v>Pumpkinseed</v>
      </c>
      <c r="E4295" t="str">
        <f>_xlfn.XLOOKUP(A4295,'[1]Tissue Data'!$A:$A,'[1]Tissue Data'!$H:$H)</f>
        <v>Lepomis</v>
      </c>
      <c r="F4295" t="str">
        <f>_xlfn.XLOOKUP(A4295,'[1]Tissue Data'!$A:$A,'[1]Tissue Data'!$I:$I)</f>
        <v>gibbosus</v>
      </c>
      <c r="G4295" t="str">
        <f>_xlfn.XLOOKUP(A4295,'[1]Tissue Data'!$A:$A,'[1]Tissue Data'!J:J)</f>
        <v>U</v>
      </c>
      <c r="H4295" t="str">
        <f>_xlfn.XLOOKUP(A4295,'[1]Tissue Data'!$A:$A,'[1]Tissue Data'!K:K)</f>
        <v>Whole Body</v>
      </c>
      <c r="I4295">
        <f>_xlfn.XLOOKUP(A4295,'[1]Tissue Data'!$A:$A,'[1]Tissue Data'!L:L)</f>
        <v>6</v>
      </c>
      <c r="J4295">
        <f>_xlfn.XLOOKUP(A4295,'[1]Tissue Data'!$A:$A,'[1]Tissue Data'!M:M)</f>
        <v>6.99</v>
      </c>
      <c r="K4295" t="s">
        <v>55</v>
      </c>
      <c r="L4295" t="str">
        <f>_xlfn.XLOOKUP(K4295,[2]analyte_order!$B:$B,[2]analyte_order!$C:$C)</f>
        <v>919005-14-4</v>
      </c>
      <c r="M4295">
        <f>_xlfn.XLOOKUP(L4295,[2]analyte_order!$C:$C,[2]analyte_order!$E:$E)</f>
        <v>35</v>
      </c>
      <c r="N4295">
        <v>6.6500000000000004E-2</v>
      </c>
    </row>
    <row r="4296" spans="1:14">
      <c r="A4296" t="s">
        <v>264</v>
      </c>
      <c r="B4296" t="str">
        <f>_xlfn.XLOOKUP(A4296,'[1]Tissue Data'!$A:$A,'[1]Tissue Data'!$C:$C)</f>
        <v>Spill</v>
      </c>
      <c r="C4296" s="2">
        <f>_xlfn.XLOOKUP(A4296,'[1]Tissue Data'!$A:$A,'[1]Tissue Data'!$D:$D)</f>
        <v>44393</v>
      </c>
      <c r="D4296" s="2" t="str">
        <f>_xlfn.XLOOKUP(A4296,'[1]Tissue Data'!$A:$A,'[1]Tissue Data'!$F:$F)</f>
        <v>Pumpkinseed</v>
      </c>
      <c r="E4296" t="str">
        <f>_xlfn.XLOOKUP(A4296,'[1]Tissue Data'!$A:$A,'[1]Tissue Data'!$H:$H)</f>
        <v>Lepomis</v>
      </c>
      <c r="F4296" t="str">
        <f>_xlfn.XLOOKUP(A4296,'[1]Tissue Data'!$A:$A,'[1]Tissue Data'!$I:$I)</f>
        <v>gibbosus</v>
      </c>
      <c r="G4296" t="str">
        <f>_xlfn.XLOOKUP(A4296,'[1]Tissue Data'!$A:$A,'[1]Tissue Data'!J:J)</f>
        <v>U</v>
      </c>
      <c r="H4296" t="str">
        <f>_xlfn.XLOOKUP(A4296,'[1]Tissue Data'!$A:$A,'[1]Tissue Data'!K:K)</f>
        <v>Whole Body</v>
      </c>
      <c r="I4296">
        <f>_xlfn.XLOOKUP(A4296,'[1]Tissue Data'!$A:$A,'[1]Tissue Data'!L:L)</f>
        <v>6</v>
      </c>
      <c r="J4296">
        <f>_xlfn.XLOOKUP(A4296,'[1]Tissue Data'!$A:$A,'[1]Tissue Data'!M:M)</f>
        <v>6.99</v>
      </c>
      <c r="K4296" t="s">
        <v>56</v>
      </c>
      <c r="L4296" t="str">
        <f>_xlfn.XLOOKUP(K4296,[2]analyte_order!$B:$B,[2]analyte_order!$C:$C)</f>
        <v>756426-58-1</v>
      </c>
      <c r="M4296">
        <f>_xlfn.XLOOKUP(L4296,[2]analyte_order!$C:$C,[2]analyte_order!$E:$E)</f>
        <v>36</v>
      </c>
      <c r="N4296">
        <v>6.6500000000000004E-2</v>
      </c>
    </row>
    <row r="4297" spans="1:14">
      <c r="A4297" t="s">
        <v>264</v>
      </c>
      <c r="B4297" t="str">
        <f>_xlfn.XLOOKUP(A4297,'[1]Tissue Data'!$A:$A,'[1]Tissue Data'!$C:$C)</f>
        <v>Spill</v>
      </c>
      <c r="C4297" s="2">
        <f>_xlfn.XLOOKUP(A4297,'[1]Tissue Data'!$A:$A,'[1]Tissue Data'!$D:$D)</f>
        <v>44393</v>
      </c>
      <c r="D4297" s="2" t="str">
        <f>_xlfn.XLOOKUP(A4297,'[1]Tissue Data'!$A:$A,'[1]Tissue Data'!$F:$F)</f>
        <v>Pumpkinseed</v>
      </c>
      <c r="E4297" t="str">
        <f>_xlfn.XLOOKUP(A4297,'[1]Tissue Data'!$A:$A,'[1]Tissue Data'!$H:$H)</f>
        <v>Lepomis</v>
      </c>
      <c r="F4297" t="str">
        <f>_xlfn.XLOOKUP(A4297,'[1]Tissue Data'!$A:$A,'[1]Tissue Data'!$I:$I)</f>
        <v>gibbosus</v>
      </c>
      <c r="G4297" t="str">
        <f>_xlfn.XLOOKUP(A4297,'[1]Tissue Data'!$A:$A,'[1]Tissue Data'!J:J)</f>
        <v>U</v>
      </c>
      <c r="H4297" t="str">
        <f>_xlfn.XLOOKUP(A4297,'[1]Tissue Data'!$A:$A,'[1]Tissue Data'!K:K)</f>
        <v>Whole Body</v>
      </c>
      <c r="I4297">
        <f>_xlfn.XLOOKUP(A4297,'[1]Tissue Data'!$A:$A,'[1]Tissue Data'!L:L)</f>
        <v>6</v>
      </c>
      <c r="J4297">
        <f>_xlfn.XLOOKUP(A4297,'[1]Tissue Data'!$A:$A,'[1]Tissue Data'!M:M)</f>
        <v>6.99</v>
      </c>
      <c r="K4297" t="s">
        <v>57</v>
      </c>
      <c r="L4297" t="str">
        <f>_xlfn.XLOOKUP(K4297,[2]analyte_order!$B:$B,[2]analyte_order!$C:$C)</f>
        <v>763051-92-9</v>
      </c>
      <c r="M4297">
        <f>_xlfn.XLOOKUP(L4297,[2]analyte_order!$C:$C,[2]analyte_order!$E:$E)</f>
        <v>37</v>
      </c>
      <c r="N4297">
        <v>6.6500000000000004E-2</v>
      </c>
    </row>
    <row r="4298" spans="1:14">
      <c r="A4298" t="s">
        <v>264</v>
      </c>
      <c r="B4298" t="str">
        <f>_xlfn.XLOOKUP(A4298,'[1]Tissue Data'!$A:$A,'[1]Tissue Data'!$C:$C)</f>
        <v>Spill</v>
      </c>
      <c r="C4298" s="2">
        <f>_xlfn.XLOOKUP(A4298,'[1]Tissue Data'!$A:$A,'[1]Tissue Data'!$D:$D)</f>
        <v>44393</v>
      </c>
      <c r="D4298" s="2" t="str">
        <f>_xlfn.XLOOKUP(A4298,'[1]Tissue Data'!$A:$A,'[1]Tissue Data'!$F:$F)</f>
        <v>Pumpkinseed</v>
      </c>
      <c r="E4298" t="str">
        <f>_xlfn.XLOOKUP(A4298,'[1]Tissue Data'!$A:$A,'[1]Tissue Data'!$H:$H)</f>
        <v>Lepomis</v>
      </c>
      <c r="F4298" t="str">
        <f>_xlfn.XLOOKUP(A4298,'[1]Tissue Data'!$A:$A,'[1]Tissue Data'!$I:$I)</f>
        <v>gibbosus</v>
      </c>
      <c r="G4298" t="str">
        <f>_xlfn.XLOOKUP(A4298,'[1]Tissue Data'!$A:$A,'[1]Tissue Data'!J:J)</f>
        <v>U</v>
      </c>
      <c r="H4298" t="str">
        <f>_xlfn.XLOOKUP(A4298,'[1]Tissue Data'!$A:$A,'[1]Tissue Data'!K:K)</f>
        <v>Whole Body</v>
      </c>
      <c r="I4298">
        <f>_xlfn.XLOOKUP(A4298,'[1]Tissue Data'!$A:$A,'[1]Tissue Data'!L:L)</f>
        <v>6</v>
      </c>
      <c r="J4298">
        <f>_xlfn.XLOOKUP(A4298,'[1]Tissue Data'!$A:$A,'[1]Tissue Data'!M:M)</f>
        <v>6.99</v>
      </c>
      <c r="K4298" t="s">
        <v>58</v>
      </c>
      <c r="L4298" t="str">
        <f>_xlfn.XLOOKUP(K4298,[2]analyte_order!$B:$B,[2]analyte_order!$C:$C)</f>
        <v>13252-13-6</v>
      </c>
      <c r="M4298">
        <f>_xlfn.XLOOKUP(L4298,[2]analyte_order!$C:$C,[2]analyte_order!$E:$E)</f>
        <v>34</v>
      </c>
      <c r="N4298">
        <v>9.5000000000000001E-2</v>
      </c>
    </row>
    <row r="4299" spans="1:14">
      <c r="A4299" t="s">
        <v>264</v>
      </c>
      <c r="B4299" t="str">
        <f>_xlfn.XLOOKUP(A4299,'[1]Tissue Data'!$A:$A,'[1]Tissue Data'!$C:$C)</f>
        <v>Spill</v>
      </c>
      <c r="C4299" s="2">
        <f>_xlfn.XLOOKUP(A4299,'[1]Tissue Data'!$A:$A,'[1]Tissue Data'!$D:$D)</f>
        <v>44393</v>
      </c>
      <c r="D4299" s="2" t="str">
        <f>_xlfn.XLOOKUP(A4299,'[1]Tissue Data'!$A:$A,'[1]Tissue Data'!$F:$F)</f>
        <v>Pumpkinseed</v>
      </c>
      <c r="E4299" t="str">
        <f>_xlfn.XLOOKUP(A4299,'[1]Tissue Data'!$A:$A,'[1]Tissue Data'!$H:$H)</f>
        <v>Lepomis</v>
      </c>
      <c r="F4299" t="str">
        <f>_xlfn.XLOOKUP(A4299,'[1]Tissue Data'!$A:$A,'[1]Tissue Data'!$I:$I)</f>
        <v>gibbosus</v>
      </c>
      <c r="G4299" t="str">
        <f>_xlfn.XLOOKUP(A4299,'[1]Tissue Data'!$A:$A,'[1]Tissue Data'!J:J)</f>
        <v>U</v>
      </c>
      <c r="H4299" t="str">
        <f>_xlfn.XLOOKUP(A4299,'[1]Tissue Data'!$A:$A,'[1]Tissue Data'!K:K)</f>
        <v>Whole Body</v>
      </c>
      <c r="I4299">
        <f>_xlfn.XLOOKUP(A4299,'[1]Tissue Data'!$A:$A,'[1]Tissue Data'!L:L)</f>
        <v>6</v>
      </c>
      <c r="J4299">
        <f>_xlfn.XLOOKUP(A4299,'[1]Tissue Data'!$A:$A,'[1]Tissue Data'!M:M)</f>
        <v>6.99</v>
      </c>
      <c r="K4299" t="s">
        <v>59</v>
      </c>
      <c r="L4299" t="str">
        <f>_xlfn.XLOOKUP(K4299,[2]analyte_order!$B:$B,[2]analyte_order!$C:$C)</f>
        <v>57677-95-9</v>
      </c>
      <c r="M4299">
        <f>_xlfn.XLOOKUP(L4299,[2]analyte_order!$C:$C,[2]analyte_order!$E:$E)</f>
        <v>46</v>
      </c>
      <c r="N4299">
        <v>7.0499999999999993E-2</v>
      </c>
    </row>
    <row r="4300" spans="1:14">
      <c r="A4300" t="s">
        <v>264</v>
      </c>
      <c r="B4300" t="str">
        <f>_xlfn.XLOOKUP(A4300,'[1]Tissue Data'!$A:$A,'[1]Tissue Data'!$C:$C)</f>
        <v>Spill</v>
      </c>
      <c r="C4300" s="2">
        <f>_xlfn.XLOOKUP(A4300,'[1]Tissue Data'!$A:$A,'[1]Tissue Data'!$D:$D)</f>
        <v>44393</v>
      </c>
      <c r="D4300" s="2" t="str">
        <f>_xlfn.XLOOKUP(A4300,'[1]Tissue Data'!$A:$A,'[1]Tissue Data'!$F:$F)</f>
        <v>Pumpkinseed</v>
      </c>
      <c r="E4300" t="str">
        <f>_xlfn.XLOOKUP(A4300,'[1]Tissue Data'!$A:$A,'[1]Tissue Data'!$H:$H)</f>
        <v>Lepomis</v>
      </c>
      <c r="F4300" t="str">
        <f>_xlfn.XLOOKUP(A4300,'[1]Tissue Data'!$A:$A,'[1]Tissue Data'!$I:$I)</f>
        <v>gibbosus</v>
      </c>
      <c r="G4300" t="str">
        <f>_xlfn.XLOOKUP(A4300,'[1]Tissue Data'!$A:$A,'[1]Tissue Data'!J:J)</f>
        <v>U</v>
      </c>
      <c r="H4300" t="str">
        <f>_xlfn.XLOOKUP(A4300,'[1]Tissue Data'!$A:$A,'[1]Tissue Data'!K:K)</f>
        <v>Whole Body</v>
      </c>
      <c r="I4300">
        <f>_xlfn.XLOOKUP(A4300,'[1]Tissue Data'!$A:$A,'[1]Tissue Data'!L:L)</f>
        <v>6</v>
      </c>
      <c r="J4300">
        <f>_xlfn.XLOOKUP(A4300,'[1]Tissue Data'!$A:$A,'[1]Tissue Data'!M:M)</f>
        <v>6.99</v>
      </c>
      <c r="K4300" t="s">
        <v>60</v>
      </c>
      <c r="L4300" t="str">
        <f>_xlfn.XLOOKUP(K4300,[2]analyte_order!$B:$B,[2]analyte_order!$C:$C)</f>
        <v>678-41-1</v>
      </c>
      <c r="M4300">
        <f>_xlfn.XLOOKUP(L4300,[2]analyte_order!$C:$C,[2]analyte_order!$E:$E)</f>
        <v>56</v>
      </c>
      <c r="N4300">
        <v>8.7999999999999995E-2</v>
      </c>
    </row>
    <row r="4301" spans="1:14">
      <c r="A4301" t="s">
        <v>264</v>
      </c>
      <c r="B4301" t="str">
        <f>_xlfn.XLOOKUP(A4301,'[1]Tissue Data'!$A:$A,'[1]Tissue Data'!$C:$C)</f>
        <v>Spill</v>
      </c>
      <c r="C4301" s="2">
        <f>_xlfn.XLOOKUP(A4301,'[1]Tissue Data'!$A:$A,'[1]Tissue Data'!$D:$D)</f>
        <v>44393</v>
      </c>
      <c r="D4301" s="2" t="str">
        <f>_xlfn.XLOOKUP(A4301,'[1]Tissue Data'!$A:$A,'[1]Tissue Data'!$F:$F)</f>
        <v>Pumpkinseed</v>
      </c>
      <c r="E4301" t="str">
        <f>_xlfn.XLOOKUP(A4301,'[1]Tissue Data'!$A:$A,'[1]Tissue Data'!$H:$H)</f>
        <v>Lepomis</v>
      </c>
      <c r="F4301" t="str">
        <f>_xlfn.XLOOKUP(A4301,'[1]Tissue Data'!$A:$A,'[1]Tissue Data'!$I:$I)</f>
        <v>gibbosus</v>
      </c>
      <c r="G4301" t="str">
        <f>_xlfn.XLOOKUP(A4301,'[1]Tissue Data'!$A:$A,'[1]Tissue Data'!J:J)</f>
        <v>U</v>
      </c>
      <c r="H4301" t="str">
        <f>_xlfn.XLOOKUP(A4301,'[1]Tissue Data'!$A:$A,'[1]Tissue Data'!K:K)</f>
        <v>Whole Body</v>
      </c>
      <c r="I4301">
        <f>_xlfn.XLOOKUP(A4301,'[1]Tissue Data'!$A:$A,'[1]Tissue Data'!L:L)</f>
        <v>6</v>
      </c>
      <c r="J4301">
        <f>_xlfn.XLOOKUP(A4301,'[1]Tissue Data'!$A:$A,'[1]Tissue Data'!M:M)</f>
        <v>6.99</v>
      </c>
      <c r="K4301" t="s">
        <v>61</v>
      </c>
      <c r="L4301" t="str">
        <f>_xlfn.XLOOKUP(K4301,[2]analyte_order!$B:$B,[2]analyte_order!$C:$C)</f>
        <v>2965-52-8</v>
      </c>
      <c r="M4301">
        <f>_xlfn.XLOOKUP(L4301,[2]analyte_order!$C:$C,[2]analyte_order!$E:$E)</f>
        <v>57</v>
      </c>
      <c r="N4301">
        <v>0.11700000000000001</v>
      </c>
    </row>
    <row r="4302" spans="1:14">
      <c r="A4302" t="s">
        <v>265</v>
      </c>
      <c r="B4302" t="str">
        <f>_xlfn.XLOOKUP(A4302,'[1]Tissue Data'!$A:$A,'[1]Tissue Data'!$C:$C)</f>
        <v>Spill</v>
      </c>
      <c r="C4302" s="2">
        <f>_xlfn.XLOOKUP(A4302,'[1]Tissue Data'!$A:$A,'[1]Tissue Data'!$D:$D)</f>
        <v>44393</v>
      </c>
      <c r="D4302" s="2" t="str">
        <f>_xlfn.XLOOKUP(A4302,'[1]Tissue Data'!$A:$A,'[1]Tissue Data'!$F:$F)</f>
        <v>Pumpkinseed</v>
      </c>
      <c r="E4302" t="str">
        <f>_xlfn.XLOOKUP(A4302,'[1]Tissue Data'!$A:$A,'[1]Tissue Data'!$H:$H)</f>
        <v>Lepomis</v>
      </c>
      <c r="F4302" t="str">
        <f>_xlfn.XLOOKUP(A4302,'[1]Tissue Data'!$A:$A,'[1]Tissue Data'!$I:$I)</f>
        <v>gibbosus</v>
      </c>
      <c r="G4302" t="str">
        <f>_xlfn.XLOOKUP(A4302,'[1]Tissue Data'!$A:$A,'[1]Tissue Data'!J:J)</f>
        <v>U</v>
      </c>
      <c r="H4302" t="str">
        <f>_xlfn.XLOOKUP(A4302,'[1]Tissue Data'!$A:$A,'[1]Tissue Data'!K:K)</f>
        <v>Whole Body</v>
      </c>
      <c r="I4302">
        <f>_xlfn.XLOOKUP(A4302,'[1]Tissue Data'!$A:$A,'[1]Tissue Data'!L:L)</f>
        <v>5.5</v>
      </c>
      <c r="J4302">
        <f>_xlfn.XLOOKUP(A4302,'[1]Tissue Data'!$A:$A,'[1]Tissue Data'!M:M)</f>
        <v>5.14</v>
      </c>
      <c r="K4302" t="s">
        <v>12</v>
      </c>
      <c r="L4302" t="str">
        <f>_xlfn.XLOOKUP(K4302,[2]analyte_order!$B:$B,[2]analyte_order!$C:$C)</f>
        <v>375-22-4</v>
      </c>
      <c r="M4302">
        <f>_xlfn.XLOOKUP(L4302,[2]analyte_order!$C:$C,[2]analyte_order!$E:$E)</f>
        <v>1</v>
      </c>
      <c r="N4302">
        <v>0.22700000000000001</v>
      </c>
    </row>
    <row r="4303" spans="1:14">
      <c r="A4303" t="s">
        <v>265</v>
      </c>
      <c r="B4303" t="str">
        <f>_xlfn.XLOOKUP(A4303,'[1]Tissue Data'!$A:$A,'[1]Tissue Data'!$C:$C)</f>
        <v>Spill</v>
      </c>
      <c r="C4303" s="2">
        <f>_xlfn.XLOOKUP(A4303,'[1]Tissue Data'!$A:$A,'[1]Tissue Data'!$D:$D)</f>
        <v>44393</v>
      </c>
      <c r="D4303" s="2" t="str">
        <f>_xlfn.XLOOKUP(A4303,'[1]Tissue Data'!$A:$A,'[1]Tissue Data'!$F:$F)</f>
        <v>Pumpkinseed</v>
      </c>
      <c r="E4303" t="str">
        <f>_xlfn.XLOOKUP(A4303,'[1]Tissue Data'!$A:$A,'[1]Tissue Data'!$H:$H)</f>
        <v>Lepomis</v>
      </c>
      <c r="F4303" t="str">
        <f>_xlfn.XLOOKUP(A4303,'[1]Tissue Data'!$A:$A,'[1]Tissue Data'!$I:$I)</f>
        <v>gibbosus</v>
      </c>
      <c r="G4303" t="str">
        <f>_xlfn.XLOOKUP(A4303,'[1]Tissue Data'!$A:$A,'[1]Tissue Data'!J:J)</f>
        <v>U</v>
      </c>
      <c r="H4303" t="str">
        <f>_xlfn.XLOOKUP(A4303,'[1]Tissue Data'!$A:$A,'[1]Tissue Data'!K:K)</f>
        <v>Whole Body</v>
      </c>
      <c r="I4303">
        <f>_xlfn.XLOOKUP(A4303,'[1]Tissue Data'!$A:$A,'[1]Tissue Data'!L:L)</f>
        <v>5.5</v>
      </c>
      <c r="J4303">
        <f>_xlfn.XLOOKUP(A4303,'[1]Tissue Data'!$A:$A,'[1]Tissue Data'!M:M)</f>
        <v>5.14</v>
      </c>
      <c r="K4303" t="s">
        <v>13</v>
      </c>
      <c r="L4303" t="str">
        <f>_xlfn.XLOOKUP(K4303,[2]analyte_order!$B:$B,[2]analyte_order!$C:$C)</f>
        <v>2706-90-3</v>
      </c>
      <c r="M4303">
        <f>_xlfn.XLOOKUP(L4303,[2]analyte_order!$C:$C,[2]analyte_order!$E:$E)</f>
        <v>2</v>
      </c>
      <c r="N4303">
        <v>4.8649999999999999E-2</v>
      </c>
    </row>
    <row r="4304" spans="1:14">
      <c r="A4304" t="s">
        <v>265</v>
      </c>
      <c r="B4304" t="str">
        <f>_xlfn.XLOOKUP(A4304,'[1]Tissue Data'!$A:$A,'[1]Tissue Data'!$C:$C)</f>
        <v>Spill</v>
      </c>
      <c r="C4304" s="2">
        <f>_xlfn.XLOOKUP(A4304,'[1]Tissue Data'!$A:$A,'[1]Tissue Data'!$D:$D)</f>
        <v>44393</v>
      </c>
      <c r="D4304" s="2" t="str">
        <f>_xlfn.XLOOKUP(A4304,'[1]Tissue Data'!$A:$A,'[1]Tissue Data'!$F:$F)</f>
        <v>Pumpkinseed</v>
      </c>
      <c r="E4304" t="str">
        <f>_xlfn.XLOOKUP(A4304,'[1]Tissue Data'!$A:$A,'[1]Tissue Data'!$H:$H)</f>
        <v>Lepomis</v>
      </c>
      <c r="F4304" t="str">
        <f>_xlfn.XLOOKUP(A4304,'[1]Tissue Data'!$A:$A,'[1]Tissue Data'!$I:$I)</f>
        <v>gibbosus</v>
      </c>
      <c r="G4304" t="str">
        <f>_xlfn.XLOOKUP(A4304,'[1]Tissue Data'!$A:$A,'[1]Tissue Data'!J:J)</f>
        <v>U</v>
      </c>
      <c r="H4304" t="str">
        <f>_xlfn.XLOOKUP(A4304,'[1]Tissue Data'!$A:$A,'[1]Tissue Data'!K:K)</f>
        <v>Whole Body</v>
      </c>
      <c r="I4304">
        <f>_xlfn.XLOOKUP(A4304,'[1]Tissue Data'!$A:$A,'[1]Tissue Data'!L:L)</f>
        <v>5.5</v>
      </c>
      <c r="J4304">
        <f>_xlfn.XLOOKUP(A4304,'[1]Tissue Data'!$A:$A,'[1]Tissue Data'!M:M)</f>
        <v>5.14</v>
      </c>
      <c r="K4304" t="s">
        <v>14</v>
      </c>
      <c r="L4304" t="str">
        <f>_xlfn.XLOOKUP(K4304,[2]analyte_order!$B:$B,[2]analyte_order!$C:$C)</f>
        <v>307-24-4</v>
      </c>
      <c r="M4304">
        <f>_xlfn.XLOOKUP(L4304,[2]analyte_order!$C:$C,[2]analyte_order!$E:$E)</f>
        <v>3</v>
      </c>
      <c r="N4304">
        <v>0.1225</v>
      </c>
    </row>
    <row r="4305" spans="1:14">
      <c r="A4305" t="s">
        <v>265</v>
      </c>
      <c r="B4305" t="str">
        <f>_xlfn.XLOOKUP(A4305,'[1]Tissue Data'!$A:$A,'[1]Tissue Data'!$C:$C)</f>
        <v>Spill</v>
      </c>
      <c r="C4305" s="2">
        <f>_xlfn.XLOOKUP(A4305,'[1]Tissue Data'!$A:$A,'[1]Tissue Data'!$D:$D)</f>
        <v>44393</v>
      </c>
      <c r="D4305" s="2" t="str">
        <f>_xlfn.XLOOKUP(A4305,'[1]Tissue Data'!$A:$A,'[1]Tissue Data'!$F:$F)</f>
        <v>Pumpkinseed</v>
      </c>
      <c r="E4305" t="str">
        <f>_xlfn.XLOOKUP(A4305,'[1]Tissue Data'!$A:$A,'[1]Tissue Data'!$H:$H)</f>
        <v>Lepomis</v>
      </c>
      <c r="F4305" t="str">
        <f>_xlfn.XLOOKUP(A4305,'[1]Tissue Data'!$A:$A,'[1]Tissue Data'!$I:$I)</f>
        <v>gibbosus</v>
      </c>
      <c r="G4305" t="str">
        <f>_xlfn.XLOOKUP(A4305,'[1]Tissue Data'!$A:$A,'[1]Tissue Data'!J:J)</f>
        <v>U</v>
      </c>
      <c r="H4305" t="str">
        <f>_xlfn.XLOOKUP(A4305,'[1]Tissue Data'!$A:$A,'[1]Tissue Data'!K:K)</f>
        <v>Whole Body</v>
      </c>
      <c r="I4305">
        <f>_xlfn.XLOOKUP(A4305,'[1]Tissue Data'!$A:$A,'[1]Tissue Data'!L:L)</f>
        <v>5.5</v>
      </c>
      <c r="J4305">
        <f>_xlfn.XLOOKUP(A4305,'[1]Tissue Data'!$A:$A,'[1]Tissue Data'!M:M)</f>
        <v>5.14</v>
      </c>
      <c r="K4305" t="s">
        <v>15</v>
      </c>
      <c r="L4305" t="str">
        <f>_xlfn.XLOOKUP(K4305,[2]analyte_order!$B:$B,[2]analyte_order!$C:$C)</f>
        <v>375-85-9</v>
      </c>
      <c r="M4305">
        <f>_xlfn.XLOOKUP(L4305,[2]analyte_order!$C:$C,[2]analyte_order!$E:$E)</f>
        <v>4</v>
      </c>
      <c r="N4305">
        <v>9.0999999999999998E-2</v>
      </c>
    </row>
    <row r="4306" spans="1:14">
      <c r="A4306" t="s">
        <v>265</v>
      </c>
      <c r="B4306" t="str">
        <f>_xlfn.XLOOKUP(A4306,'[1]Tissue Data'!$A:$A,'[1]Tissue Data'!$C:$C)</f>
        <v>Spill</v>
      </c>
      <c r="C4306" s="2">
        <f>_xlfn.XLOOKUP(A4306,'[1]Tissue Data'!$A:$A,'[1]Tissue Data'!$D:$D)</f>
        <v>44393</v>
      </c>
      <c r="D4306" s="2" t="str">
        <f>_xlfn.XLOOKUP(A4306,'[1]Tissue Data'!$A:$A,'[1]Tissue Data'!$F:$F)</f>
        <v>Pumpkinseed</v>
      </c>
      <c r="E4306" t="str">
        <f>_xlfn.XLOOKUP(A4306,'[1]Tissue Data'!$A:$A,'[1]Tissue Data'!$H:$H)</f>
        <v>Lepomis</v>
      </c>
      <c r="F4306" t="str">
        <f>_xlfn.XLOOKUP(A4306,'[1]Tissue Data'!$A:$A,'[1]Tissue Data'!$I:$I)</f>
        <v>gibbosus</v>
      </c>
      <c r="G4306" t="str">
        <f>_xlfn.XLOOKUP(A4306,'[1]Tissue Data'!$A:$A,'[1]Tissue Data'!J:J)</f>
        <v>U</v>
      </c>
      <c r="H4306" t="str">
        <f>_xlfn.XLOOKUP(A4306,'[1]Tissue Data'!$A:$A,'[1]Tissue Data'!K:K)</f>
        <v>Whole Body</v>
      </c>
      <c r="I4306">
        <f>_xlfn.XLOOKUP(A4306,'[1]Tissue Data'!$A:$A,'[1]Tissue Data'!L:L)</f>
        <v>5.5</v>
      </c>
      <c r="J4306">
        <f>_xlfn.XLOOKUP(A4306,'[1]Tissue Data'!$A:$A,'[1]Tissue Data'!M:M)</f>
        <v>5.14</v>
      </c>
      <c r="K4306" t="s">
        <v>16</v>
      </c>
      <c r="L4306" t="str">
        <f>_xlfn.XLOOKUP(K4306,[2]analyte_order!$B:$B,[2]analyte_order!$C:$C)</f>
        <v>335-67-1</v>
      </c>
      <c r="M4306">
        <f>_xlfn.XLOOKUP(L4306,[2]analyte_order!$C:$C,[2]analyte_order!$E:$E)</f>
        <v>5</v>
      </c>
      <c r="N4306">
        <v>0.32500000000000001</v>
      </c>
    </row>
    <row r="4307" spans="1:14">
      <c r="A4307" t="s">
        <v>265</v>
      </c>
      <c r="B4307" t="str">
        <f>_xlfn.XLOOKUP(A4307,'[1]Tissue Data'!$A:$A,'[1]Tissue Data'!$C:$C)</f>
        <v>Spill</v>
      </c>
      <c r="C4307" s="2">
        <f>_xlfn.XLOOKUP(A4307,'[1]Tissue Data'!$A:$A,'[1]Tissue Data'!$D:$D)</f>
        <v>44393</v>
      </c>
      <c r="D4307" s="2" t="str">
        <f>_xlfn.XLOOKUP(A4307,'[1]Tissue Data'!$A:$A,'[1]Tissue Data'!$F:$F)</f>
        <v>Pumpkinseed</v>
      </c>
      <c r="E4307" t="str">
        <f>_xlfn.XLOOKUP(A4307,'[1]Tissue Data'!$A:$A,'[1]Tissue Data'!$H:$H)</f>
        <v>Lepomis</v>
      </c>
      <c r="F4307" t="str">
        <f>_xlfn.XLOOKUP(A4307,'[1]Tissue Data'!$A:$A,'[1]Tissue Data'!$I:$I)</f>
        <v>gibbosus</v>
      </c>
      <c r="G4307" t="str">
        <f>_xlfn.XLOOKUP(A4307,'[1]Tissue Data'!$A:$A,'[1]Tissue Data'!J:J)</f>
        <v>U</v>
      </c>
      <c r="H4307" t="str">
        <f>_xlfn.XLOOKUP(A4307,'[1]Tissue Data'!$A:$A,'[1]Tissue Data'!K:K)</f>
        <v>Whole Body</v>
      </c>
      <c r="I4307">
        <f>_xlfn.XLOOKUP(A4307,'[1]Tissue Data'!$A:$A,'[1]Tissue Data'!L:L)</f>
        <v>5.5</v>
      </c>
      <c r="J4307">
        <f>_xlfn.XLOOKUP(A4307,'[1]Tissue Data'!$A:$A,'[1]Tissue Data'!M:M)</f>
        <v>5.14</v>
      </c>
      <c r="K4307" t="s">
        <v>17</v>
      </c>
      <c r="L4307" t="str">
        <f>_xlfn.XLOOKUP(K4307,[2]analyte_order!$B:$B,[2]analyte_order!$C:$C)</f>
        <v>375-95-1</v>
      </c>
      <c r="M4307">
        <f>_xlfn.XLOOKUP(L4307,[2]analyte_order!$C:$C,[2]analyte_order!$E:$E)</f>
        <v>6</v>
      </c>
      <c r="N4307">
        <v>0.157</v>
      </c>
    </row>
    <row r="4308" spans="1:14">
      <c r="A4308" t="s">
        <v>265</v>
      </c>
      <c r="B4308" t="str">
        <f>_xlfn.XLOOKUP(A4308,'[1]Tissue Data'!$A:$A,'[1]Tissue Data'!$C:$C)</f>
        <v>Spill</v>
      </c>
      <c r="C4308" s="2">
        <f>_xlfn.XLOOKUP(A4308,'[1]Tissue Data'!$A:$A,'[1]Tissue Data'!$D:$D)</f>
        <v>44393</v>
      </c>
      <c r="D4308" s="2" t="str">
        <f>_xlfn.XLOOKUP(A4308,'[1]Tissue Data'!$A:$A,'[1]Tissue Data'!$F:$F)</f>
        <v>Pumpkinseed</v>
      </c>
      <c r="E4308" t="str">
        <f>_xlfn.XLOOKUP(A4308,'[1]Tissue Data'!$A:$A,'[1]Tissue Data'!$H:$H)</f>
        <v>Lepomis</v>
      </c>
      <c r="F4308" t="str">
        <f>_xlfn.XLOOKUP(A4308,'[1]Tissue Data'!$A:$A,'[1]Tissue Data'!$I:$I)</f>
        <v>gibbosus</v>
      </c>
      <c r="G4308" t="str">
        <f>_xlfn.XLOOKUP(A4308,'[1]Tissue Data'!$A:$A,'[1]Tissue Data'!J:J)</f>
        <v>U</v>
      </c>
      <c r="H4308" t="str">
        <f>_xlfn.XLOOKUP(A4308,'[1]Tissue Data'!$A:$A,'[1]Tissue Data'!K:K)</f>
        <v>Whole Body</v>
      </c>
      <c r="I4308">
        <f>_xlfn.XLOOKUP(A4308,'[1]Tissue Data'!$A:$A,'[1]Tissue Data'!L:L)</f>
        <v>5.5</v>
      </c>
      <c r="J4308">
        <f>_xlfn.XLOOKUP(A4308,'[1]Tissue Data'!$A:$A,'[1]Tissue Data'!M:M)</f>
        <v>5.14</v>
      </c>
      <c r="K4308" t="s">
        <v>18</v>
      </c>
      <c r="L4308" t="str">
        <f>_xlfn.XLOOKUP(K4308,[2]analyte_order!$B:$B,[2]analyte_order!$C:$C)</f>
        <v>335-76-2</v>
      </c>
      <c r="M4308">
        <f>_xlfn.XLOOKUP(L4308,[2]analyte_order!$C:$C,[2]analyte_order!$E:$E)</f>
        <v>7</v>
      </c>
      <c r="N4308">
        <v>3.74</v>
      </c>
    </row>
    <row r="4309" spans="1:14">
      <c r="A4309" t="s">
        <v>265</v>
      </c>
      <c r="B4309" t="str">
        <f>_xlfn.XLOOKUP(A4309,'[1]Tissue Data'!$A:$A,'[1]Tissue Data'!$C:$C)</f>
        <v>Spill</v>
      </c>
      <c r="C4309" s="2">
        <f>_xlfn.XLOOKUP(A4309,'[1]Tissue Data'!$A:$A,'[1]Tissue Data'!$D:$D)</f>
        <v>44393</v>
      </c>
      <c r="D4309" s="2" t="str">
        <f>_xlfn.XLOOKUP(A4309,'[1]Tissue Data'!$A:$A,'[1]Tissue Data'!$F:$F)</f>
        <v>Pumpkinseed</v>
      </c>
      <c r="E4309" t="str">
        <f>_xlfn.XLOOKUP(A4309,'[1]Tissue Data'!$A:$A,'[1]Tissue Data'!$H:$H)</f>
        <v>Lepomis</v>
      </c>
      <c r="F4309" t="str">
        <f>_xlfn.XLOOKUP(A4309,'[1]Tissue Data'!$A:$A,'[1]Tissue Data'!$I:$I)</f>
        <v>gibbosus</v>
      </c>
      <c r="G4309" t="str">
        <f>_xlfn.XLOOKUP(A4309,'[1]Tissue Data'!$A:$A,'[1]Tissue Data'!J:J)</f>
        <v>U</v>
      </c>
      <c r="H4309" t="str">
        <f>_xlfn.XLOOKUP(A4309,'[1]Tissue Data'!$A:$A,'[1]Tissue Data'!K:K)</f>
        <v>Whole Body</v>
      </c>
      <c r="I4309">
        <f>_xlfn.XLOOKUP(A4309,'[1]Tissue Data'!$A:$A,'[1]Tissue Data'!L:L)</f>
        <v>5.5</v>
      </c>
      <c r="J4309">
        <f>_xlfn.XLOOKUP(A4309,'[1]Tissue Data'!$A:$A,'[1]Tissue Data'!M:M)</f>
        <v>5.14</v>
      </c>
      <c r="K4309" t="s">
        <v>19</v>
      </c>
      <c r="L4309" t="str">
        <f>_xlfn.XLOOKUP(K4309,[2]analyte_order!$B:$B,[2]analyte_order!$C:$C)</f>
        <v>2058-94-8</v>
      </c>
      <c r="M4309">
        <f>_xlfn.XLOOKUP(L4309,[2]analyte_order!$C:$C,[2]analyte_order!$E:$E)</f>
        <v>8</v>
      </c>
      <c r="N4309">
        <v>7.06</v>
      </c>
    </row>
    <row r="4310" spans="1:14">
      <c r="A4310" t="s">
        <v>265</v>
      </c>
      <c r="B4310" t="str">
        <f>_xlfn.XLOOKUP(A4310,'[1]Tissue Data'!$A:$A,'[1]Tissue Data'!$C:$C)</f>
        <v>Spill</v>
      </c>
      <c r="C4310" s="2">
        <f>_xlfn.XLOOKUP(A4310,'[1]Tissue Data'!$A:$A,'[1]Tissue Data'!$D:$D)</f>
        <v>44393</v>
      </c>
      <c r="D4310" s="2" t="str">
        <f>_xlfn.XLOOKUP(A4310,'[1]Tissue Data'!$A:$A,'[1]Tissue Data'!$F:$F)</f>
        <v>Pumpkinseed</v>
      </c>
      <c r="E4310" t="str">
        <f>_xlfn.XLOOKUP(A4310,'[1]Tissue Data'!$A:$A,'[1]Tissue Data'!$H:$H)</f>
        <v>Lepomis</v>
      </c>
      <c r="F4310" t="str">
        <f>_xlfn.XLOOKUP(A4310,'[1]Tissue Data'!$A:$A,'[1]Tissue Data'!$I:$I)</f>
        <v>gibbosus</v>
      </c>
      <c r="G4310" t="str">
        <f>_xlfn.XLOOKUP(A4310,'[1]Tissue Data'!$A:$A,'[1]Tissue Data'!J:J)</f>
        <v>U</v>
      </c>
      <c r="H4310" t="str">
        <f>_xlfn.XLOOKUP(A4310,'[1]Tissue Data'!$A:$A,'[1]Tissue Data'!K:K)</f>
        <v>Whole Body</v>
      </c>
      <c r="I4310">
        <f>_xlfn.XLOOKUP(A4310,'[1]Tissue Data'!$A:$A,'[1]Tissue Data'!L:L)</f>
        <v>5.5</v>
      </c>
      <c r="J4310">
        <f>_xlfn.XLOOKUP(A4310,'[1]Tissue Data'!$A:$A,'[1]Tissue Data'!M:M)</f>
        <v>5.14</v>
      </c>
      <c r="K4310" t="s">
        <v>20</v>
      </c>
      <c r="L4310" t="str">
        <f>_xlfn.XLOOKUP(K4310,[2]analyte_order!$B:$B,[2]analyte_order!$C:$C)</f>
        <v>307-55-1</v>
      </c>
      <c r="M4310">
        <f>_xlfn.XLOOKUP(L4310,[2]analyte_order!$C:$C,[2]analyte_order!$E:$E)</f>
        <v>9</v>
      </c>
      <c r="N4310">
        <v>19.600000000000001</v>
      </c>
    </row>
    <row r="4311" spans="1:14">
      <c r="A4311" t="s">
        <v>265</v>
      </c>
      <c r="B4311" t="str">
        <f>_xlfn.XLOOKUP(A4311,'[1]Tissue Data'!$A:$A,'[1]Tissue Data'!$C:$C)</f>
        <v>Spill</v>
      </c>
      <c r="C4311" s="2">
        <f>_xlfn.XLOOKUP(A4311,'[1]Tissue Data'!$A:$A,'[1]Tissue Data'!$D:$D)</f>
        <v>44393</v>
      </c>
      <c r="D4311" s="2" t="str">
        <f>_xlfn.XLOOKUP(A4311,'[1]Tissue Data'!$A:$A,'[1]Tissue Data'!$F:$F)</f>
        <v>Pumpkinseed</v>
      </c>
      <c r="E4311" t="str">
        <f>_xlfn.XLOOKUP(A4311,'[1]Tissue Data'!$A:$A,'[1]Tissue Data'!$H:$H)</f>
        <v>Lepomis</v>
      </c>
      <c r="F4311" t="str">
        <f>_xlfn.XLOOKUP(A4311,'[1]Tissue Data'!$A:$A,'[1]Tissue Data'!$I:$I)</f>
        <v>gibbosus</v>
      </c>
      <c r="G4311" t="str">
        <f>_xlfn.XLOOKUP(A4311,'[1]Tissue Data'!$A:$A,'[1]Tissue Data'!J:J)</f>
        <v>U</v>
      </c>
      <c r="H4311" t="str">
        <f>_xlfn.XLOOKUP(A4311,'[1]Tissue Data'!$A:$A,'[1]Tissue Data'!K:K)</f>
        <v>Whole Body</v>
      </c>
      <c r="I4311">
        <f>_xlfn.XLOOKUP(A4311,'[1]Tissue Data'!$A:$A,'[1]Tissue Data'!L:L)</f>
        <v>5.5</v>
      </c>
      <c r="J4311">
        <f>_xlfn.XLOOKUP(A4311,'[1]Tissue Data'!$A:$A,'[1]Tissue Data'!M:M)</f>
        <v>5.14</v>
      </c>
      <c r="K4311" t="s">
        <v>21</v>
      </c>
      <c r="L4311" t="str">
        <f>_xlfn.XLOOKUP(K4311,[2]analyte_order!$B:$B,[2]analyte_order!$C:$C)</f>
        <v>72629-94-8</v>
      </c>
      <c r="M4311">
        <f>_xlfn.XLOOKUP(L4311,[2]analyte_order!$C:$C,[2]analyte_order!$E:$E)</f>
        <v>10</v>
      </c>
      <c r="N4311">
        <v>3.57</v>
      </c>
    </row>
    <row r="4312" spans="1:14">
      <c r="A4312" t="s">
        <v>265</v>
      </c>
      <c r="B4312" t="str">
        <f>_xlfn.XLOOKUP(A4312,'[1]Tissue Data'!$A:$A,'[1]Tissue Data'!$C:$C)</f>
        <v>Spill</v>
      </c>
      <c r="C4312" s="2">
        <f>_xlfn.XLOOKUP(A4312,'[1]Tissue Data'!$A:$A,'[1]Tissue Data'!$D:$D)</f>
        <v>44393</v>
      </c>
      <c r="D4312" s="2" t="str">
        <f>_xlfn.XLOOKUP(A4312,'[1]Tissue Data'!$A:$A,'[1]Tissue Data'!$F:$F)</f>
        <v>Pumpkinseed</v>
      </c>
      <c r="E4312" t="str">
        <f>_xlfn.XLOOKUP(A4312,'[1]Tissue Data'!$A:$A,'[1]Tissue Data'!$H:$H)</f>
        <v>Lepomis</v>
      </c>
      <c r="F4312" t="str">
        <f>_xlfn.XLOOKUP(A4312,'[1]Tissue Data'!$A:$A,'[1]Tissue Data'!$I:$I)</f>
        <v>gibbosus</v>
      </c>
      <c r="G4312" t="str">
        <f>_xlfn.XLOOKUP(A4312,'[1]Tissue Data'!$A:$A,'[1]Tissue Data'!J:J)</f>
        <v>U</v>
      </c>
      <c r="H4312" t="str">
        <f>_xlfn.XLOOKUP(A4312,'[1]Tissue Data'!$A:$A,'[1]Tissue Data'!K:K)</f>
        <v>Whole Body</v>
      </c>
      <c r="I4312">
        <f>_xlfn.XLOOKUP(A4312,'[1]Tissue Data'!$A:$A,'[1]Tissue Data'!L:L)</f>
        <v>5.5</v>
      </c>
      <c r="J4312">
        <f>_xlfn.XLOOKUP(A4312,'[1]Tissue Data'!$A:$A,'[1]Tissue Data'!M:M)</f>
        <v>5.14</v>
      </c>
      <c r="K4312" t="s">
        <v>22</v>
      </c>
      <c r="L4312" t="str">
        <f>_xlfn.XLOOKUP(K4312,[2]analyte_order!$B:$B,[2]analyte_order!$C:$C)</f>
        <v>376-06-7</v>
      </c>
      <c r="M4312">
        <f>_xlfn.XLOOKUP(L4312,[2]analyte_order!$C:$C,[2]analyte_order!$E:$E)</f>
        <v>11</v>
      </c>
      <c r="N4312">
        <v>21.4</v>
      </c>
    </row>
    <row r="4313" spans="1:14">
      <c r="A4313" t="s">
        <v>265</v>
      </c>
      <c r="B4313" t="str">
        <f>_xlfn.XLOOKUP(A4313,'[1]Tissue Data'!$A:$A,'[1]Tissue Data'!$C:$C)</f>
        <v>Spill</v>
      </c>
      <c r="C4313" s="2">
        <f>_xlfn.XLOOKUP(A4313,'[1]Tissue Data'!$A:$A,'[1]Tissue Data'!$D:$D)</f>
        <v>44393</v>
      </c>
      <c r="D4313" s="2" t="str">
        <f>_xlfn.XLOOKUP(A4313,'[1]Tissue Data'!$A:$A,'[1]Tissue Data'!$F:$F)</f>
        <v>Pumpkinseed</v>
      </c>
      <c r="E4313" t="str">
        <f>_xlfn.XLOOKUP(A4313,'[1]Tissue Data'!$A:$A,'[1]Tissue Data'!$H:$H)</f>
        <v>Lepomis</v>
      </c>
      <c r="F4313" t="str">
        <f>_xlfn.XLOOKUP(A4313,'[1]Tissue Data'!$A:$A,'[1]Tissue Data'!$I:$I)</f>
        <v>gibbosus</v>
      </c>
      <c r="G4313" t="str">
        <f>_xlfn.XLOOKUP(A4313,'[1]Tissue Data'!$A:$A,'[1]Tissue Data'!J:J)</f>
        <v>U</v>
      </c>
      <c r="H4313" t="str">
        <f>_xlfn.XLOOKUP(A4313,'[1]Tissue Data'!$A:$A,'[1]Tissue Data'!K:K)</f>
        <v>Whole Body</v>
      </c>
      <c r="I4313">
        <f>_xlfn.XLOOKUP(A4313,'[1]Tissue Data'!$A:$A,'[1]Tissue Data'!L:L)</f>
        <v>5.5</v>
      </c>
      <c r="J4313">
        <f>_xlfn.XLOOKUP(A4313,'[1]Tissue Data'!$A:$A,'[1]Tissue Data'!M:M)</f>
        <v>5.14</v>
      </c>
      <c r="K4313" t="s">
        <v>23</v>
      </c>
      <c r="L4313" t="str">
        <f>_xlfn.XLOOKUP(K4313,[2]analyte_order!$B:$B,[2]analyte_order!$C:$C)</f>
        <v>67905-19-5</v>
      </c>
      <c r="M4313">
        <f>_xlfn.XLOOKUP(L4313,[2]analyte_order!$C:$C,[2]analyte_order!$E:$E)</f>
        <v>12</v>
      </c>
      <c r="N4313">
        <v>8.2000000000000003E-2</v>
      </c>
    </row>
    <row r="4314" spans="1:14">
      <c r="A4314" t="s">
        <v>265</v>
      </c>
      <c r="B4314" t="str">
        <f>_xlfn.XLOOKUP(A4314,'[1]Tissue Data'!$A:$A,'[1]Tissue Data'!$C:$C)</f>
        <v>Spill</v>
      </c>
      <c r="C4314" s="2">
        <f>_xlfn.XLOOKUP(A4314,'[1]Tissue Data'!$A:$A,'[1]Tissue Data'!$D:$D)</f>
        <v>44393</v>
      </c>
      <c r="D4314" s="2" t="str">
        <f>_xlfn.XLOOKUP(A4314,'[1]Tissue Data'!$A:$A,'[1]Tissue Data'!$F:$F)</f>
        <v>Pumpkinseed</v>
      </c>
      <c r="E4314" t="str">
        <f>_xlfn.XLOOKUP(A4314,'[1]Tissue Data'!$A:$A,'[1]Tissue Data'!$H:$H)</f>
        <v>Lepomis</v>
      </c>
      <c r="F4314" t="str">
        <f>_xlfn.XLOOKUP(A4314,'[1]Tissue Data'!$A:$A,'[1]Tissue Data'!$I:$I)</f>
        <v>gibbosus</v>
      </c>
      <c r="G4314" t="str">
        <f>_xlfn.XLOOKUP(A4314,'[1]Tissue Data'!$A:$A,'[1]Tissue Data'!J:J)</f>
        <v>U</v>
      </c>
      <c r="H4314" t="str">
        <f>_xlfn.XLOOKUP(A4314,'[1]Tissue Data'!$A:$A,'[1]Tissue Data'!K:K)</f>
        <v>Whole Body</v>
      </c>
      <c r="I4314">
        <f>_xlfn.XLOOKUP(A4314,'[1]Tissue Data'!$A:$A,'[1]Tissue Data'!L:L)</f>
        <v>5.5</v>
      </c>
      <c r="J4314">
        <f>_xlfn.XLOOKUP(A4314,'[1]Tissue Data'!$A:$A,'[1]Tissue Data'!M:M)</f>
        <v>5.14</v>
      </c>
      <c r="K4314" t="s">
        <v>24</v>
      </c>
      <c r="L4314" t="str">
        <f>_xlfn.XLOOKUP(K4314,[2]analyte_order!$B:$B,[2]analyte_order!$C:$C)</f>
        <v>423-41-6</v>
      </c>
      <c r="M4314">
        <f>_xlfn.XLOOKUP(L4314,[2]analyte_order!$C:$C,[2]analyte_order!$E:$E)</f>
        <v>53</v>
      </c>
      <c r="N4314">
        <v>5.2499999999999998E-2</v>
      </c>
    </row>
    <row r="4315" spans="1:14">
      <c r="A4315" t="s">
        <v>265</v>
      </c>
      <c r="B4315" t="str">
        <f>_xlfn.XLOOKUP(A4315,'[1]Tissue Data'!$A:$A,'[1]Tissue Data'!$C:$C)</f>
        <v>Spill</v>
      </c>
      <c r="C4315" s="2">
        <f>_xlfn.XLOOKUP(A4315,'[1]Tissue Data'!$A:$A,'[1]Tissue Data'!$D:$D)</f>
        <v>44393</v>
      </c>
      <c r="D4315" s="2" t="str">
        <f>_xlfn.XLOOKUP(A4315,'[1]Tissue Data'!$A:$A,'[1]Tissue Data'!$F:$F)</f>
        <v>Pumpkinseed</v>
      </c>
      <c r="E4315" t="str">
        <f>_xlfn.XLOOKUP(A4315,'[1]Tissue Data'!$A:$A,'[1]Tissue Data'!$H:$H)</f>
        <v>Lepomis</v>
      </c>
      <c r="F4315" t="str">
        <f>_xlfn.XLOOKUP(A4315,'[1]Tissue Data'!$A:$A,'[1]Tissue Data'!$I:$I)</f>
        <v>gibbosus</v>
      </c>
      <c r="G4315" t="str">
        <f>_xlfn.XLOOKUP(A4315,'[1]Tissue Data'!$A:$A,'[1]Tissue Data'!J:J)</f>
        <v>U</v>
      </c>
      <c r="H4315" t="str">
        <f>_xlfn.XLOOKUP(A4315,'[1]Tissue Data'!$A:$A,'[1]Tissue Data'!K:K)</f>
        <v>Whole Body</v>
      </c>
      <c r="I4315">
        <f>_xlfn.XLOOKUP(A4315,'[1]Tissue Data'!$A:$A,'[1]Tissue Data'!L:L)</f>
        <v>5.5</v>
      </c>
      <c r="J4315">
        <f>_xlfn.XLOOKUP(A4315,'[1]Tissue Data'!$A:$A,'[1]Tissue Data'!M:M)</f>
        <v>5.14</v>
      </c>
      <c r="K4315" t="s">
        <v>25</v>
      </c>
      <c r="L4315" t="str">
        <f>_xlfn.XLOOKUP(K4315,[2]analyte_order!$B:$B,[2]analyte_order!$C:$C)</f>
        <v>375-73-5</v>
      </c>
      <c r="M4315">
        <f>_xlfn.XLOOKUP(L4315,[2]analyte_order!$C:$C,[2]analyte_order!$E:$E)</f>
        <v>14</v>
      </c>
      <c r="N4315">
        <v>0.1545</v>
      </c>
    </row>
    <row r="4316" spans="1:14">
      <c r="A4316" t="s">
        <v>265</v>
      </c>
      <c r="B4316" t="str">
        <f>_xlfn.XLOOKUP(A4316,'[1]Tissue Data'!$A:$A,'[1]Tissue Data'!$C:$C)</f>
        <v>Spill</v>
      </c>
      <c r="C4316" s="2">
        <f>_xlfn.XLOOKUP(A4316,'[1]Tissue Data'!$A:$A,'[1]Tissue Data'!$D:$D)</f>
        <v>44393</v>
      </c>
      <c r="D4316" s="2" t="str">
        <f>_xlfn.XLOOKUP(A4316,'[1]Tissue Data'!$A:$A,'[1]Tissue Data'!$F:$F)</f>
        <v>Pumpkinseed</v>
      </c>
      <c r="E4316" t="str">
        <f>_xlfn.XLOOKUP(A4316,'[1]Tissue Data'!$A:$A,'[1]Tissue Data'!$H:$H)</f>
        <v>Lepomis</v>
      </c>
      <c r="F4316" t="str">
        <f>_xlfn.XLOOKUP(A4316,'[1]Tissue Data'!$A:$A,'[1]Tissue Data'!$I:$I)</f>
        <v>gibbosus</v>
      </c>
      <c r="G4316" t="str">
        <f>_xlfn.XLOOKUP(A4316,'[1]Tissue Data'!$A:$A,'[1]Tissue Data'!J:J)</f>
        <v>U</v>
      </c>
      <c r="H4316" t="str">
        <f>_xlfn.XLOOKUP(A4316,'[1]Tissue Data'!$A:$A,'[1]Tissue Data'!K:K)</f>
        <v>Whole Body</v>
      </c>
      <c r="I4316">
        <f>_xlfn.XLOOKUP(A4316,'[1]Tissue Data'!$A:$A,'[1]Tissue Data'!L:L)</f>
        <v>5.5</v>
      </c>
      <c r="J4316">
        <f>_xlfn.XLOOKUP(A4316,'[1]Tissue Data'!$A:$A,'[1]Tissue Data'!M:M)</f>
        <v>5.14</v>
      </c>
      <c r="K4316" t="s">
        <v>26</v>
      </c>
      <c r="L4316" t="str">
        <f>_xlfn.XLOOKUP(K4316,[2]analyte_order!$B:$B,[2]analyte_order!$C:$C)</f>
        <v>2706-91-4</v>
      </c>
      <c r="M4316">
        <f>_xlfn.XLOOKUP(L4316,[2]analyte_order!$C:$C,[2]analyte_order!$E:$E)</f>
        <v>15</v>
      </c>
      <c r="N4316">
        <v>0.12</v>
      </c>
    </row>
    <row r="4317" spans="1:14">
      <c r="A4317" t="s">
        <v>265</v>
      </c>
      <c r="B4317" t="str">
        <f>_xlfn.XLOOKUP(A4317,'[1]Tissue Data'!$A:$A,'[1]Tissue Data'!$C:$C)</f>
        <v>Spill</v>
      </c>
      <c r="C4317" s="2">
        <f>_xlfn.XLOOKUP(A4317,'[1]Tissue Data'!$A:$A,'[1]Tissue Data'!$D:$D)</f>
        <v>44393</v>
      </c>
      <c r="D4317" s="2" t="str">
        <f>_xlfn.XLOOKUP(A4317,'[1]Tissue Data'!$A:$A,'[1]Tissue Data'!$F:$F)</f>
        <v>Pumpkinseed</v>
      </c>
      <c r="E4317" t="str">
        <f>_xlfn.XLOOKUP(A4317,'[1]Tissue Data'!$A:$A,'[1]Tissue Data'!$H:$H)</f>
        <v>Lepomis</v>
      </c>
      <c r="F4317" t="str">
        <f>_xlfn.XLOOKUP(A4317,'[1]Tissue Data'!$A:$A,'[1]Tissue Data'!$I:$I)</f>
        <v>gibbosus</v>
      </c>
      <c r="G4317" t="str">
        <f>_xlfn.XLOOKUP(A4317,'[1]Tissue Data'!$A:$A,'[1]Tissue Data'!J:J)</f>
        <v>U</v>
      </c>
      <c r="H4317" t="str">
        <f>_xlfn.XLOOKUP(A4317,'[1]Tissue Data'!$A:$A,'[1]Tissue Data'!K:K)</f>
        <v>Whole Body</v>
      </c>
      <c r="I4317">
        <f>_xlfn.XLOOKUP(A4317,'[1]Tissue Data'!$A:$A,'[1]Tissue Data'!L:L)</f>
        <v>5.5</v>
      </c>
      <c r="J4317">
        <f>_xlfn.XLOOKUP(A4317,'[1]Tissue Data'!$A:$A,'[1]Tissue Data'!M:M)</f>
        <v>5.14</v>
      </c>
      <c r="K4317" t="s">
        <v>27</v>
      </c>
      <c r="L4317" t="str">
        <f>_xlfn.XLOOKUP(K4317,[2]analyte_order!$B:$B,[2]analyte_order!$C:$C)</f>
        <v>355-46-4</v>
      </c>
      <c r="M4317">
        <f>_xlfn.XLOOKUP(L4317,[2]analyte_order!$C:$C,[2]analyte_order!$E:$E)</f>
        <v>16</v>
      </c>
      <c r="N4317">
        <v>6.74</v>
      </c>
    </row>
    <row r="4318" spans="1:14">
      <c r="A4318" t="s">
        <v>265</v>
      </c>
      <c r="B4318" t="str">
        <f>_xlfn.XLOOKUP(A4318,'[1]Tissue Data'!$A:$A,'[1]Tissue Data'!$C:$C)</f>
        <v>Spill</v>
      </c>
      <c r="C4318" s="2">
        <f>_xlfn.XLOOKUP(A4318,'[1]Tissue Data'!$A:$A,'[1]Tissue Data'!$D:$D)</f>
        <v>44393</v>
      </c>
      <c r="D4318" s="2" t="str">
        <f>_xlfn.XLOOKUP(A4318,'[1]Tissue Data'!$A:$A,'[1]Tissue Data'!$F:$F)</f>
        <v>Pumpkinseed</v>
      </c>
      <c r="E4318" t="str">
        <f>_xlfn.XLOOKUP(A4318,'[1]Tissue Data'!$A:$A,'[1]Tissue Data'!$H:$H)</f>
        <v>Lepomis</v>
      </c>
      <c r="F4318" t="str">
        <f>_xlfn.XLOOKUP(A4318,'[1]Tissue Data'!$A:$A,'[1]Tissue Data'!$I:$I)</f>
        <v>gibbosus</v>
      </c>
      <c r="G4318" t="str">
        <f>_xlfn.XLOOKUP(A4318,'[1]Tissue Data'!$A:$A,'[1]Tissue Data'!J:J)</f>
        <v>U</v>
      </c>
      <c r="H4318" t="str">
        <f>_xlfn.XLOOKUP(A4318,'[1]Tissue Data'!$A:$A,'[1]Tissue Data'!K:K)</f>
        <v>Whole Body</v>
      </c>
      <c r="I4318">
        <f>_xlfn.XLOOKUP(A4318,'[1]Tissue Data'!$A:$A,'[1]Tissue Data'!L:L)</f>
        <v>5.5</v>
      </c>
      <c r="J4318">
        <f>_xlfn.XLOOKUP(A4318,'[1]Tissue Data'!$A:$A,'[1]Tissue Data'!M:M)</f>
        <v>5.14</v>
      </c>
      <c r="K4318" t="s">
        <v>28</v>
      </c>
      <c r="L4318" t="str">
        <f>_xlfn.XLOOKUP(K4318,[2]analyte_order!$B:$B,[2]analyte_order!$C:$C)</f>
        <v>375-92-8</v>
      </c>
      <c r="M4318">
        <f>_xlfn.XLOOKUP(L4318,[2]analyte_order!$C:$C,[2]analyte_order!$E:$E)</f>
        <v>17</v>
      </c>
      <c r="N4318">
        <v>1.08</v>
      </c>
    </row>
    <row r="4319" spans="1:14">
      <c r="A4319" t="s">
        <v>265</v>
      </c>
      <c r="B4319" t="str">
        <f>_xlfn.XLOOKUP(A4319,'[1]Tissue Data'!$A:$A,'[1]Tissue Data'!$C:$C)</f>
        <v>Spill</v>
      </c>
      <c r="C4319" s="2">
        <f>_xlfn.XLOOKUP(A4319,'[1]Tissue Data'!$A:$A,'[1]Tissue Data'!$D:$D)</f>
        <v>44393</v>
      </c>
      <c r="D4319" s="2" t="str">
        <f>_xlfn.XLOOKUP(A4319,'[1]Tissue Data'!$A:$A,'[1]Tissue Data'!$F:$F)</f>
        <v>Pumpkinseed</v>
      </c>
      <c r="E4319" t="str">
        <f>_xlfn.XLOOKUP(A4319,'[1]Tissue Data'!$A:$A,'[1]Tissue Data'!$H:$H)</f>
        <v>Lepomis</v>
      </c>
      <c r="F4319" t="str">
        <f>_xlfn.XLOOKUP(A4319,'[1]Tissue Data'!$A:$A,'[1]Tissue Data'!$I:$I)</f>
        <v>gibbosus</v>
      </c>
      <c r="G4319" t="str">
        <f>_xlfn.XLOOKUP(A4319,'[1]Tissue Data'!$A:$A,'[1]Tissue Data'!J:J)</f>
        <v>U</v>
      </c>
      <c r="H4319" t="str">
        <f>_xlfn.XLOOKUP(A4319,'[1]Tissue Data'!$A:$A,'[1]Tissue Data'!K:K)</f>
        <v>Whole Body</v>
      </c>
      <c r="I4319">
        <f>_xlfn.XLOOKUP(A4319,'[1]Tissue Data'!$A:$A,'[1]Tissue Data'!L:L)</f>
        <v>5.5</v>
      </c>
      <c r="J4319">
        <f>_xlfn.XLOOKUP(A4319,'[1]Tissue Data'!$A:$A,'[1]Tissue Data'!M:M)</f>
        <v>5.14</v>
      </c>
      <c r="K4319" t="s">
        <v>29</v>
      </c>
      <c r="L4319" t="str">
        <f>_xlfn.XLOOKUP(K4319,[2]analyte_order!$B:$B,[2]analyte_order!$C:$C)</f>
        <v>1763-23-1</v>
      </c>
      <c r="M4319">
        <f>_xlfn.XLOOKUP(L4319,[2]analyte_order!$C:$C,[2]analyte_order!$E:$E)</f>
        <v>18</v>
      </c>
      <c r="N4319">
        <v>920</v>
      </c>
    </row>
    <row r="4320" spans="1:14">
      <c r="A4320" t="s">
        <v>265</v>
      </c>
      <c r="B4320" t="str">
        <f>_xlfn.XLOOKUP(A4320,'[1]Tissue Data'!$A:$A,'[1]Tissue Data'!$C:$C)</f>
        <v>Spill</v>
      </c>
      <c r="C4320" s="2">
        <f>_xlfn.XLOOKUP(A4320,'[1]Tissue Data'!$A:$A,'[1]Tissue Data'!$D:$D)</f>
        <v>44393</v>
      </c>
      <c r="D4320" s="2" t="str">
        <f>_xlfn.XLOOKUP(A4320,'[1]Tissue Data'!$A:$A,'[1]Tissue Data'!$F:$F)</f>
        <v>Pumpkinseed</v>
      </c>
      <c r="E4320" t="str">
        <f>_xlfn.XLOOKUP(A4320,'[1]Tissue Data'!$A:$A,'[1]Tissue Data'!$H:$H)</f>
        <v>Lepomis</v>
      </c>
      <c r="F4320" t="str">
        <f>_xlfn.XLOOKUP(A4320,'[1]Tissue Data'!$A:$A,'[1]Tissue Data'!$I:$I)</f>
        <v>gibbosus</v>
      </c>
      <c r="G4320" t="str">
        <f>_xlfn.XLOOKUP(A4320,'[1]Tissue Data'!$A:$A,'[1]Tissue Data'!J:J)</f>
        <v>U</v>
      </c>
      <c r="H4320" t="str">
        <f>_xlfn.XLOOKUP(A4320,'[1]Tissue Data'!$A:$A,'[1]Tissue Data'!K:K)</f>
        <v>Whole Body</v>
      </c>
      <c r="I4320">
        <f>_xlfn.XLOOKUP(A4320,'[1]Tissue Data'!$A:$A,'[1]Tissue Data'!L:L)</f>
        <v>5.5</v>
      </c>
      <c r="J4320">
        <f>_xlfn.XLOOKUP(A4320,'[1]Tissue Data'!$A:$A,'[1]Tissue Data'!M:M)</f>
        <v>5.14</v>
      </c>
      <c r="K4320" t="s">
        <v>30</v>
      </c>
      <c r="L4320" t="str">
        <f>_xlfn.XLOOKUP(K4320,[2]analyte_order!$B:$B,[2]analyte_order!$C:$C)</f>
        <v>68259-12-1</v>
      </c>
      <c r="M4320">
        <f>_xlfn.XLOOKUP(L4320,[2]analyte_order!$C:$C,[2]analyte_order!$E:$E)</f>
        <v>19</v>
      </c>
      <c r="N4320">
        <v>0.747</v>
      </c>
    </row>
    <row r="4321" spans="1:14">
      <c r="A4321" t="s">
        <v>265</v>
      </c>
      <c r="B4321" t="str">
        <f>_xlfn.XLOOKUP(A4321,'[1]Tissue Data'!$A:$A,'[1]Tissue Data'!$C:$C)</f>
        <v>Spill</v>
      </c>
      <c r="C4321" s="2">
        <f>_xlfn.XLOOKUP(A4321,'[1]Tissue Data'!$A:$A,'[1]Tissue Data'!$D:$D)</f>
        <v>44393</v>
      </c>
      <c r="D4321" s="2" t="str">
        <f>_xlfn.XLOOKUP(A4321,'[1]Tissue Data'!$A:$A,'[1]Tissue Data'!$F:$F)</f>
        <v>Pumpkinseed</v>
      </c>
      <c r="E4321" t="str">
        <f>_xlfn.XLOOKUP(A4321,'[1]Tissue Data'!$A:$A,'[1]Tissue Data'!$H:$H)</f>
        <v>Lepomis</v>
      </c>
      <c r="F4321" t="str">
        <f>_xlfn.XLOOKUP(A4321,'[1]Tissue Data'!$A:$A,'[1]Tissue Data'!$I:$I)</f>
        <v>gibbosus</v>
      </c>
      <c r="G4321" t="str">
        <f>_xlfn.XLOOKUP(A4321,'[1]Tissue Data'!$A:$A,'[1]Tissue Data'!J:J)</f>
        <v>U</v>
      </c>
      <c r="H4321" t="str">
        <f>_xlfn.XLOOKUP(A4321,'[1]Tissue Data'!$A:$A,'[1]Tissue Data'!K:K)</f>
        <v>Whole Body</v>
      </c>
      <c r="I4321">
        <f>_xlfn.XLOOKUP(A4321,'[1]Tissue Data'!$A:$A,'[1]Tissue Data'!L:L)</f>
        <v>5.5</v>
      </c>
      <c r="J4321">
        <f>_xlfn.XLOOKUP(A4321,'[1]Tissue Data'!$A:$A,'[1]Tissue Data'!M:M)</f>
        <v>5.14</v>
      </c>
      <c r="K4321" t="s">
        <v>31</v>
      </c>
      <c r="L4321" t="str">
        <f>_xlfn.XLOOKUP(K4321,[2]analyte_order!$B:$B,[2]analyte_order!$C:$C)</f>
        <v>335-77-3</v>
      </c>
      <c r="M4321">
        <f>_xlfn.XLOOKUP(L4321,[2]analyte_order!$C:$C,[2]analyte_order!$E:$E)</f>
        <v>20</v>
      </c>
      <c r="N4321">
        <v>0.67400000000000004</v>
      </c>
    </row>
    <row r="4322" spans="1:14">
      <c r="A4322" t="s">
        <v>265</v>
      </c>
      <c r="B4322" t="str">
        <f>_xlfn.XLOOKUP(A4322,'[1]Tissue Data'!$A:$A,'[1]Tissue Data'!$C:$C)</f>
        <v>Spill</v>
      </c>
      <c r="C4322" s="2">
        <f>_xlfn.XLOOKUP(A4322,'[1]Tissue Data'!$A:$A,'[1]Tissue Data'!$D:$D)</f>
        <v>44393</v>
      </c>
      <c r="D4322" s="2" t="str">
        <f>_xlfn.XLOOKUP(A4322,'[1]Tissue Data'!$A:$A,'[1]Tissue Data'!$F:$F)</f>
        <v>Pumpkinseed</v>
      </c>
      <c r="E4322" t="str">
        <f>_xlfn.XLOOKUP(A4322,'[1]Tissue Data'!$A:$A,'[1]Tissue Data'!$H:$H)</f>
        <v>Lepomis</v>
      </c>
      <c r="F4322" t="str">
        <f>_xlfn.XLOOKUP(A4322,'[1]Tissue Data'!$A:$A,'[1]Tissue Data'!$I:$I)</f>
        <v>gibbosus</v>
      </c>
      <c r="G4322" t="str">
        <f>_xlfn.XLOOKUP(A4322,'[1]Tissue Data'!$A:$A,'[1]Tissue Data'!J:J)</f>
        <v>U</v>
      </c>
      <c r="H4322" t="str">
        <f>_xlfn.XLOOKUP(A4322,'[1]Tissue Data'!$A:$A,'[1]Tissue Data'!K:K)</f>
        <v>Whole Body</v>
      </c>
      <c r="I4322">
        <f>_xlfn.XLOOKUP(A4322,'[1]Tissue Data'!$A:$A,'[1]Tissue Data'!L:L)</f>
        <v>5.5</v>
      </c>
      <c r="J4322">
        <f>_xlfn.XLOOKUP(A4322,'[1]Tissue Data'!$A:$A,'[1]Tissue Data'!M:M)</f>
        <v>5.14</v>
      </c>
      <c r="K4322" t="s">
        <v>32</v>
      </c>
      <c r="L4322" t="str">
        <f>_xlfn.XLOOKUP(K4322,[2]analyte_order!$B:$B,[2]analyte_order!$C:$C)</f>
        <v>79780-39-5</v>
      </c>
      <c r="M4322">
        <f>_xlfn.XLOOKUP(L4322,[2]analyte_order!$C:$C,[2]analyte_order!$E:$E)</f>
        <v>21</v>
      </c>
      <c r="N4322">
        <v>0.24249999999999999</v>
      </c>
    </row>
    <row r="4323" spans="1:14">
      <c r="A4323" t="s">
        <v>265</v>
      </c>
      <c r="B4323" t="str">
        <f>_xlfn.XLOOKUP(A4323,'[1]Tissue Data'!$A:$A,'[1]Tissue Data'!$C:$C)</f>
        <v>Spill</v>
      </c>
      <c r="C4323" s="2">
        <f>_xlfn.XLOOKUP(A4323,'[1]Tissue Data'!$A:$A,'[1]Tissue Data'!$D:$D)</f>
        <v>44393</v>
      </c>
      <c r="D4323" s="2" t="str">
        <f>_xlfn.XLOOKUP(A4323,'[1]Tissue Data'!$A:$A,'[1]Tissue Data'!$F:$F)</f>
        <v>Pumpkinseed</v>
      </c>
      <c r="E4323" t="str">
        <f>_xlfn.XLOOKUP(A4323,'[1]Tissue Data'!$A:$A,'[1]Tissue Data'!$H:$H)</f>
        <v>Lepomis</v>
      </c>
      <c r="F4323" t="str">
        <f>_xlfn.XLOOKUP(A4323,'[1]Tissue Data'!$A:$A,'[1]Tissue Data'!$I:$I)</f>
        <v>gibbosus</v>
      </c>
      <c r="G4323" t="str">
        <f>_xlfn.XLOOKUP(A4323,'[1]Tissue Data'!$A:$A,'[1]Tissue Data'!J:J)</f>
        <v>U</v>
      </c>
      <c r="H4323" t="str">
        <f>_xlfn.XLOOKUP(A4323,'[1]Tissue Data'!$A:$A,'[1]Tissue Data'!K:K)</f>
        <v>Whole Body</v>
      </c>
      <c r="I4323">
        <f>_xlfn.XLOOKUP(A4323,'[1]Tissue Data'!$A:$A,'[1]Tissue Data'!L:L)</f>
        <v>5.5</v>
      </c>
      <c r="J4323">
        <f>_xlfn.XLOOKUP(A4323,'[1]Tissue Data'!$A:$A,'[1]Tissue Data'!M:M)</f>
        <v>5.14</v>
      </c>
      <c r="K4323" t="s">
        <v>33</v>
      </c>
      <c r="L4323" t="str">
        <f>_xlfn.XLOOKUP(K4323,[2]analyte_order!$B:$B,[2]analyte_order!$C:$C)</f>
        <v>777011-38-8</v>
      </c>
      <c r="M4323">
        <f>_xlfn.XLOOKUP(L4323,[2]analyte_order!$C:$C,[2]analyte_order!$E:$E)</f>
        <v>54</v>
      </c>
      <c r="N4323">
        <v>0.13800000000000001</v>
      </c>
    </row>
    <row r="4324" spans="1:14">
      <c r="A4324" t="s">
        <v>265</v>
      </c>
      <c r="B4324" t="str">
        <f>_xlfn.XLOOKUP(A4324,'[1]Tissue Data'!$A:$A,'[1]Tissue Data'!$C:$C)</f>
        <v>Spill</v>
      </c>
      <c r="C4324" s="2">
        <f>_xlfn.XLOOKUP(A4324,'[1]Tissue Data'!$A:$A,'[1]Tissue Data'!$D:$D)</f>
        <v>44393</v>
      </c>
      <c r="D4324" s="2" t="str">
        <f>_xlfn.XLOOKUP(A4324,'[1]Tissue Data'!$A:$A,'[1]Tissue Data'!$F:$F)</f>
        <v>Pumpkinseed</v>
      </c>
      <c r="E4324" t="str">
        <f>_xlfn.XLOOKUP(A4324,'[1]Tissue Data'!$A:$A,'[1]Tissue Data'!$H:$H)</f>
        <v>Lepomis</v>
      </c>
      <c r="F4324" t="str">
        <f>_xlfn.XLOOKUP(A4324,'[1]Tissue Data'!$A:$A,'[1]Tissue Data'!$I:$I)</f>
        <v>gibbosus</v>
      </c>
      <c r="G4324" t="str">
        <f>_xlfn.XLOOKUP(A4324,'[1]Tissue Data'!$A:$A,'[1]Tissue Data'!J:J)</f>
        <v>U</v>
      </c>
      <c r="H4324" t="str">
        <f>_xlfn.XLOOKUP(A4324,'[1]Tissue Data'!$A:$A,'[1]Tissue Data'!K:K)</f>
        <v>Whole Body</v>
      </c>
      <c r="I4324">
        <f>_xlfn.XLOOKUP(A4324,'[1]Tissue Data'!$A:$A,'[1]Tissue Data'!L:L)</f>
        <v>5.5</v>
      </c>
      <c r="J4324">
        <f>_xlfn.XLOOKUP(A4324,'[1]Tissue Data'!$A:$A,'[1]Tissue Data'!M:M)</f>
        <v>5.14</v>
      </c>
      <c r="K4324" t="s">
        <v>34</v>
      </c>
      <c r="L4324" t="str">
        <f>_xlfn.XLOOKUP(K4324,[2]analyte_order!$B:$B,[2]analyte_order!$C:$C)</f>
        <v>646-83-3</v>
      </c>
      <c r="M4324">
        <f>_xlfn.XLOOKUP(L4324,[2]analyte_order!$C:$C,[2]analyte_order!$E:$E)</f>
        <v>55</v>
      </c>
      <c r="N4324">
        <v>9.0999999999999998E-2</v>
      </c>
    </row>
    <row r="4325" spans="1:14">
      <c r="A4325" t="s">
        <v>265</v>
      </c>
      <c r="B4325" t="str">
        <f>_xlfn.XLOOKUP(A4325,'[1]Tissue Data'!$A:$A,'[1]Tissue Data'!$C:$C)</f>
        <v>Spill</v>
      </c>
      <c r="C4325" s="2">
        <f>_xlfn.XLOOKUP(A4325,'[1]Tissue Data'!$A:$A,'[1]Tissue Data'!$D:$D)</f>
        <v>44393</v>
      </c>
      <c r="D4325" s="2" t="str">
        <f>_xlfn.XLOOKUP(A4325,'[1]Tissue Data'!$A:$A,'[1]Tissue Data'!$F:$F)</f>
        <v>Pumpkinseed</v>
      </c>
      <c r="E4325" t="str">
        <f>_xlfn.XLOOKUP(A4325,'[1]Tissue Data'!$A:$A,'[1]Tissue Data'!$H:$H)</f>
        <v>Lepomis</v>
      </c>
      <c r="F4325" t="str">
        <f>_xlfn.XLOOKUP(A4325,'[1]Tissue Data'!$A:$A,'[1]Tissue Data'!$I:$I)</f>
        <v>gibbosus</v>
      </c>
      <c r="G4325" t="str">
        <f>_xlfn.XLOOKUP(A4325,'[1]Tissue Data'!$A:$A,'[1]Tissue Data'!J:J)</f>
        <v>U</v>
      </c>
      <c r="H4325" t="str">
        <f>_xlfn.XLOOKUP(A4325,'[1]Tissue Data'!$A:$A,'[1]Tissue Data'!K:K)</f>
        <v>Whole Body</v>
      </c>
      <c r="I4325">
        <f>_xlfn.XLOOKUP(A4325,'[1]Tissue Data'!$A:$A,'[1]Tissue Data'!L:L)</f>
        <v>5.5</v>
      </c>
      <c r="J4325">
        <f>_xlfn.XLOOKUP(A4325,'[1]Tissue Data'!$A:$A,'[1]Tissue Data'!M:M)</f>
        <v>5.14</v>
      </c>
      <c r="K4325" t="s">
        <v>35</v>
      </c>
      <c r="L4325" t="str">
        <f>_xlfn.XLOOKUP(K4325,[2]analyte_order!$B:$B,[2]analyte_order!$C:$C)</f>
        <v>30334-69-1</v>
      </c>
      <c r="M4325">
        <f>_xlfn.XLOOKUP(L4325,[2]analyte_order!$C:$C,[2]analyte_order!$E:$E)</f>
        <v>51</v>
      </c>
      <c r="N4325">
        <v>41.4</v>
      </c>
    </row>
    <row r="4326" spans="1:14">
      <c r="A4326" t="s">
        <v>265</v>
      </c>
      <c r="B4326" t="str">
        <f>_xlfn.XLOOKUP(A4326,'[1]Tissue Data'!$A:$A,'[1]Tissue Data'!$C:$C)</f>
        <v>Spill</v>
      </c>
      <c r="C4326" s="2">
        <f>_xlfn.XLOOKUP(A4326,'[1]Tissue Data'!$A:$A,'[1]Tissue Data'!$D:$D)</f>
        <v>44393</v>
      </c>
      <c r="D4326" s="2" t="str">
        <f>_xlfn.XLOOKUP(A4326,'[1]Tissue Data'!$A:$A,'[1]Tissue Data'!$F:$F)</f>
        <v>Pumpkinseed</v>
      </c>
      <c r="E4326" t="str">
        <f>_xlfn.XLOOKUP(A4326,'[1]Tissue Data'!$A:$A,'[1]Tissue Data'!$H:$H)</f>
        <v>Lepomis</v>
      </c>
      <c r="F4326" t="str">
        <f>_xlfn.XLOOKUP(A4326,'[1]Tissue Data'!$A:$A,'[1]Tissue Data'!$I:$I)</f>
        <v>gibbosus</v>
      </c>
      <c r="G4326" t="str">
        <f>_xlfn.XLOOKUP(A4326,'[1]Tissue Data'!$A:$A,'[1]Tissue Data'!J:J)</f>
        <v>U</v>
      </c>
      <c r="H4326" t="str">
        <f>_xlfn.XLOOKUP(A4326,'[1]Tissue Data'!$A:$A,'[1]Tissue Data'!K:K)</f>
        <v>Whole Body</v>
      </c>
      <c r="I4326">
        <f>_xlfn.XLOOKUP(A4326,'[1]Tissue Data'!$A:$A,'[1]Tissue Data'!L:L)</f>
        <v>5.5</v>
      </c>
      <c r="J4326">
        <f>_xlfn.XLOOKUP(A4326,'[1]Tissue Data'!$A:$A,'[1]Tissue Data'!M:M)</f>
        <v>5.14</v>
      </c>
      <c r="K4326" t="s">
        <v>36</v>
      </c>
      <c r="L4326" t="str">
        <f>_xlfn.XLOOKUP(K4326,[2]analyte_order!$B:$B,[2]analyte_order!$C:$C)</f>
        <v>41997-13-1</v>
      </c>
      <c r="M4326">
        <f>_xlfn.XLOOKUP(L4326,[2]analyte_order!$C:$C,[2]analyte_order!$E:$E)</f>
        <v>52</v>
      </c>
      <c r="N4326">
        <v>96.3</v>
      </c>
    </row>
    <row r="4327" spans="1:14">
      <c r="A4327" t="s">
        <v>265</v>
      </c>
      <c r="B4327" t="str">
        <f>_xlfn.XLOOKUP(A4327,'[1]Tissue Data'!$A:$A,'[1]Tissue Data'!$C:$C)</f>
        <v>Spill</v>
      </c>
      <c r="C4327" s="2">
        <f>_xlfn.XLOOKUP(A4327,'[1]Tissue Data'!$A:$A,'[1]Tissue Data'!$D:$D)</f>
        <v>44393</v>
      </c>
      <c r="D4327" s="2" t="str">
        <f>_xlfn.XLOOKUP(A4327,'[1]Tissue Data'!$A:$A,'[1]Tissue Data'!$F:$F)</f>
        <v>Pumpkinseed</v>
      </c>
      <c r="E4327" t="str">
        <f>_xlfn.XLOOKUP(A4327,'[1]Tissue Data'!$A:$A,'[1]Tissue Data'!$H:$H)</f>
        <v>Lepomis</v>
      </c>
      <c r="F4327" t="str">
        <f>_xlfn.XLOOKUP(A4327,'[1]Tissue Data'!$A:$A,'[1]Tissue Data'!$I:$I)</f>
        <v>gibbosus</v>
      </c>
      <c r="G4327" t="str">
        <f>_xlfn.XLOOKUP(A4327,'[1]Tissue Data'!$A:$A,'[1]Tissue Data'!J:J)</f>
        <v>U</v>
      </c>
      <c r="H4327" t="str">
        <f>_xlfn.XLOOKUP(A4327,'[1]Tissue Data'!$A:$A,'[1]Tissue Data'!K:K)</f>
        <v>Whole Body</v>
      </c>
      <c r="I4327">
        <f>_xlfn.XLOOKUP(A4327,'[1]Tissue Data'!$A:$A,'[1]Tissue Data'!L:L)</f>
        <v>5.5</v>
      </c>
      <c r="J4327">
        <f>_xlfn.XLOOKUP(A4327,'[1]Tissue Data'!$A:$A,'[1]Tissue Data'!M:M)</f>
        <v>5.14</v>
      </c>
      <c r="K4327" t="s">
        <v>37</v>
      </c>
      <c r="L4327" t="str">
        <f>_xlfn.XLOOKUP(K4327,[2]analyte_order!$B:$B,[2]analyte_order!$C:$C)</f>
        <v>754-91-6</v>
      </c>
      <c r="M4327">
        <f>_xlfn.XLOOKUP(L4327,[2]analyte_order!$C:$C,[2]analyte_order!$E:$E)</f>
        <v>28</v>
      </c>
      <c r="N4327">
        <v>16.399999999999999</v>
      </c>
    </row>
    <row r="4328" spans="1:14">
      <c r="A4328" t="s">
        <v>265</v>
      </c>
      <c r="B4328" t="str">
        <f>_xlfn.XLOOKUP(A4328,'[1]Tissue Data'!$A:$A,'[1]Tissue Data'!$C:$C)</f>
        <v>Spill</v>
      </c>
      <c r="C4328" s="2">
        <f>_xlfn.XLOOKUP(A4328,'[1]Tissue Data'!$A:$A,'[1]Tissue Data'!$D:$D)</f>
        <v>44393</v>
      </c>
      <c r="D4328" s="2" t="str">
        <f>_xlfn.XLOOKUP(A4328,'[1]Tissue Data'!$A:$A,'[1]Tissue Data'!$F:$F)</f>
        <v>Pumpkinseed</v>
      </c>
      <c r="E4328" t="str">
        <f>_xlfn.XLOOKUP(A4328,'[1]Tissue Data'!$A:$A,'[1]Tissue Data'!$H:$H)</f>
        <v>Lepomis</v>
      </c>
      <c r="F4328" t="str">
        <f>_xlfn.XLOOKUP(A4328,'[1]Tissue Data'!$A:$A,'[1]Tissue Data'!$I:$I)</f>
        <v>gibbosus</v>
      </c>
      <c r="G4328" t="str">
        <f>_xlfn.XLOOKUP(A4328,'[1]Tissue Data'!$A:$A,'[1]Tissue Data'!J:J)</f>
        <v>U</v>
      </c>
      <c r="H4328" t="str">
        <f>_xlfn.XLOOKUP(A4328,'[1]Tissue Data'!$A:$A,'[1]Tissue Data'!K:K)</f>
        <v>Whole Body</v>
      </c>
      <c r="I4328">
        <f>_xlfn.XLOOKUP(A4328,'[1]Tissue Data'!$A:$A,'[1]Tissue Data'!L:L)</f>
        <v>5.5</v>
      </c>
      <c r="J4328">
        <f>_xlfn.XLOOKUP(A4328,'[1]Tissue Data'!$A:$A,'[1]Tissue Data'!M:M)</f>
        <v>5.14</v>
      </c>
      <c r="K4328" t="s">
        <v>38</v>
      </c>
      <c r="L4328" t="str">
        <f>_xlfn.XLOOKUP(K4328,[2]analyte_order!$B:$B,[2]analyte_order!$C:$C)</f>
        <v>31506-32-8</v>
      </c>
      <c r="M4328">
        <f>_xlfn.XLOOKUP(L4328,[2]analyte_order!$C:$C,[2]analyte_order!$E:$E)</f>
        <v>30</v>
      </c>
      <c r="N4328">
        <v>5.2999999999999999E-2</v>
      </c>
    </row>
    <row r="4329" spans="1:14">
      <c r="A4329" t="s">
        <v>265</v>
      </c>
      <c r="B4329" t="str">
        <f>_xlfn.XLOOKUP(A4329,'[1]Tissue Data'!$A:$A,'[1]Tissue Data'!$C:$C)</f>
        <v>Spill</v>
      </c>
      <c r="C4329" s="2">
        <f>_xlfn.XLOOKUP(A4329,'[1]Tissue Data'!$A:$A,'[1]Tissue Data'!$D:$D)</f>
        <v>44393</v>
      </c>
      <c r="D4329" s="2" t="str">
        <f>_xlfn.XLOOKUP(A4329,'[1]Tissue Data'!$A:$A,'[1]Tissue Data'!$F:$F)</f>
        <v>Pumpkinseed</v>
      </c>
      <c r="E4329" t="str">
        <f>_xlfn.XLOOKUP(A4329,'[1]Tissue Data'!$A:$A,'[1]Tissue Data'!$H:$H)</f>
        <v>Lepomis</v>
      </c>
      <c r="F4329" t="str">
        <f>_xlfn.XLOOKUP(A4329,'[1]Tissue Data'!$A:$A,'[1]Tissue Data'!$I:$I)</f>
        <v>gibbosus</v>
      </c>
      <c r="G4329" t="str">
        <f>_xlfn.XLOOKUP(A4329,'[1]Tissue Data'!$A:$A,'[1]Tissue Data'!J:J)</f>
        <v>U</v>
      </c>
      <c r="H4329" t="str">
        <f>_xlfn.XLOOKUP(A4329,'[1]Tissue Data'!$A:$A,'[1]Tissue Data'!K:K)</f>
        <v>Whole Body</v>
      </c>
      <c r="I4329">
        <f>_xlfn.XLOOKUP(A4329,'[1]Tissue Data'!$A:$A,'[1]Tissue Data'!L:L)</f>
        <v>5.5</v>
      </c>
      <c r="J4329">
        <f>_xlfn.XLOOKUP(A4329,'[1]Tissue Data'!$A:$A,'[1]Tissue Data'!M:M)</f>
        <v>5.14</v>
      </c>
      <c r="K4329" t="s">
        <v>39</v>
      </c>
      <c r="L4329" t="str">
        <f>_xlfn.XLOOKUP(K4329,[2]analyte_order!$B:$B,[2]analyte_order!$C:$C)</f>
        <v>4151-50-2</v>
      </c>
      <c r="M4329">
        <f>_xlfn.XLOOKUP(L4329,[2]analyte_order!$C:$C,[2]analyte_order!$E:$E)</f>
        <v>31</v>
      </c>
      <c r="N4329">
        <v>8.0500000000000002E-2</v>
      </c>
    </row>
    <row r="4330" spans="1:14">
      <c r="A4330" t="s">
        <v>265</v>
      </c>
      <c r="B4330" t="str">
        <f>_xlfn.XLOOKUP(A4330,'[1]Tissue Data'!$A:$A,'[1]Tissue Data'!$C:$C)</f>
        <v>Spill</v>
      </c>
      <c r="C4330" s="2">
        <f>_xlfn.XLOOKUP(A4330,'[1]Tissue Data'!$A:$A,'[1]Tissue Data'!$D:$D)</f>
        <v>44393</v>
      </c>
      <c r="D4330" s="2" t="str">
        <f>_xlfn.XLOOKUP(A4330,'[1]Tissue Data'!$A:$A,'[1]Tissue Data'!$F:$F)</f>
        <v>Pumpkinseed</v>
      </c>
      <c r="E4330" t="str">
        <f>_xlfn.XLOOKUP(A4330,'[1]Tissue Data'!$A:$A,'[1]Tissue Data'!$H:$H)</f>
        <v>Lepomis</v>
      </c>
      <c r="F4330" t="str">
        <f>_xlfn.XLOOKUP(A4330,'[1]Tissue Data'!$A:$A,'[1]Tissue Data'!$I:$I)</f>
        <v>gibbosus</v>
      </c>
      <c r="G4330" t="str">
        <f>_xlfn.XLOOKUP(A4330,'[1]Tissue Data'!$A:$A,'[1]Tissue Data'!J:J)</f>
        <v>U</v>
      </c>
      <c r="H4330" t="str">
        <f>_xlfn.XLOOKUP(A4330,'[1]Tissue Data'!$A:$A,'[1]Tissue Data'!K:K)</f>
        <v>Whole Body</v>
      </c>
      <c r="I4330">
        <f>_xlfn.XLOOKUP(A4330,'[1]Tissue Data'!$A:$A,'[1]Tissue Data'!L:L)</f>
        <v>5.5</v>
      </c>
      <c r="J4330">
        <f>_xlfn.XLOOKUP(A4330,'[1]Tissue Data'!$A:$A,'[1]Tissue Data'!M:M)</f>
        <v>5.14</v>
      </c>
      <c r="K4330" t="s">
        <v>40</v>
      </c>
      <c r="L4330" t="str">
        <f>_xlfn.XLOOKUP(K4330,[2]analyte_order!$B:$B,[2]analyte_order!$C:$C)</f>
        <v>2806-24-8</v>
      </c>
      <c r="M4330">
        <f>_xlfn.XLOOKUP(L4330,[2]analyte_order!$C:$C,[2]analyte_order!$E:$E)</f>
        <v>29</v>
      </c>
      <c r="N4330">
        <v>5.3999999999999999E-2</v>
      </c>
    </row>
    <row r="4331" spans="1:14">
      <c r="A4331" t="s">
        <v>265</v>
      </c>
      <c r="B4331" t="str">
        <f>_xlfn.XLOOKUP(A4331,'[1]Tissue Data'!$A:$A,'[1]Tissue Data'!$C:$C)</f>
        <v>Spill</v>
      </c>
      <c r="C4331" s="2">
        <f>_xlfn.XLOOKUP(A4331,'[1]Tissue Data'!$A:$A,'[1]Tissue Data'!$D:$D)</f>
        <v>44393</v>
      </c>
      <c r="D4331" s="2" t="str">
        <f>_xlfn.XLOOKUP(A4331,'[1]Tissue Data'!$A:$A,'[1]Tissue Data'!$F:$F)</f>
        <v>Pumpkinseed</v>
      </c>
      <c r="E4331" t="str">
        <f>_xlfn.XLOOKUP(A4331,'[1]Tissue Data'!$A:$A,'[1]Tissue Data'!$H:$H)</f>
        <v>Lepomis</v>
      </c>
      <c r="F4331" t="str">
        <f>_xlfn.XLOOKUP(A4331,'[1]Tissue Data'!$A:$A,'[1]Tissue Data'!$I:$I)</f>
        <v>gibbosus</v>
      </c>
      <c r="G4331" t="str">
        <f>_xlfn.XLOOKUP(A4331,'[1]Tissue Data'!$A:$A,'[1]Tissue Data'!J:J)</f>
        <v>U</v>
      </c>
      <c r="H4331" t="str">
        <f>_xlfn.XLOOKUP(A4331,'[1]Tissue Data'!$A:$A,'[1]Tissue Data'!K:K)</f>
        <v>Whole Body</v>
      </c>
      <c r="I4331">
        <f>_xlfn.XLOOKUP(A4331,'[1]Tissue Data'!$A:$A,'[1]Tissue Data'!L:L)</f>
        <v>5.5</v>
      </c>
      <c r="J4331">
        <f>_xlfn.XLOOKUP(A4331,'[1]Tissue Data'!$A:$A,'[1]Tissue Data'!M:M)</f>
        <v>5.14</v>
      </c>
      <c r="K4331" t="s">
        <v>41</v>
      </c>
      <c r="L4331" t="str">
        <f>_xlfn.XLOOKUP(K4331,[2]analyte_order!$B:$B,[2]analyte_order!$C:$C)</f>
        <v>2355-31-9</v>
      </c>
      <c r="M4331">
        <f>_xlfn.XLOOKUP(L4331,[2]analyte_order!$C:$C,[2]analyte_order!$E:$E)</f>
        <v>26</v>
      </c>
      <c r="N4331">
        <v>0.81</v>
      </c>
    </row>
    <row r="4332" spans="1:14">
      <c r="A4332" t="s">
        <v>265</v>
      </c>
      <c r="B4332" t="str">
        <f>_xlfn.XLOOKUP(A4332,'[1]Tissue Data'!$A:$A,'[1]Tissue Data'!$C:$C)</f>
        <v>Spill</v>
      </c>
      <c r="C4332" s="2">
        <f>_xlfn.XLOOKUP(A4332,'[1]Tissue Data'!$A:$A,'[1]Tissue Data'!$D:$D)</f>
        <v>44393</v>
      </c>
      <c r="D4332" s="2" t="str">
        <f>_xlfn.XLOOKUP(A4332,'[1]Tissue Data'!$A:$A,'[1]Tissue Data'!$F:$F)</f>
        <v>Pumpkinseed</v>
      </c>
      <c r="E4332" t="str">
        <f>_xlfn.XLOOKUP(A4332,'[1]Tissue Data'!$A:$A,'[1]Tissue Data'!$H:$H)</f>
        <v>Lepomis</v>
      </c>
      <c r="F4332" t="str">
        <f>_xlfn.XLOOKUP(A4332,'[1]Tissue Data'!$A:$A,'[1]Tissue Data'!$I:$I)</f>
        <v>gibbosus</v>
      </c>
      <c r="G4332" t="str">
        <f>_xlfn.XLOOKUP(A4332,'[1]Tissue Data'!$A:$A,'[1]Tissue Data'!J:J)</f>
        <v>U</v>
      </c>
      <c r="H4332" t="str">
        <f>_xlfn.XLOOKUP(A4332,'[1]Tissue Data'!$A:$A,'[1]Tissue Data'!K:K)</f>
        <v>Whole Body</v>
      </c>
      <c r="I4332">
        <f>_xlfn.XLOOKUP(A4332,'[1]Tissue Data'!$A:$A,'[1]Tissue Data'!L:L)</f>
        <v>5.5</v>
      </c>
      <c r="J4332">
        <f>_xlfn.XLOOKUP(A4332,'[1]Tissue Data'!$A:$A,'[1]Tissue Data'!M:M)</f>
        <v>5.14</v>
      </c>
      <c r="K4332" t="s">
        <v>42</v>
      </c>
      <c r="L4332" t="str">
        <f>_xlfn.XLOOKUP(K4332,[2]analyte_order!$B:$B,[2]analyte_order!$C:$C)</f>
        <v>2991-50-6</v>
      </c>
      <c r="M4332">
        <f>_xlfn.XLOOKUP(L4332,[2]analyte_order!$C:$C,[2]analyte_order!$E:$E)</f>
        <v>27</v>
      </c>
      <c r="N4332">
        <v>5.9499999999999997E-2</v>
      </c>
    </row>
    <row r="4333" spans="1:14">
      <c r="A4333" t="s">
        <v>265</v>
      </c>
      <c r="B4333" t="str">
        <f>_xlfn.XLOOKUP(A4333,'[1]Tissue Data'!$A:$A,'[1]Tissue Data'!$C:$C)</f>
        <v>Spill</v>
      </c>
      <c r="C4333" s="2">
        <f>_xlfn.XLOOKUP(A4333,'[1]Tissue Data'!$A:$A,'[1]Tissue Data'!$D:$D)</f>
        <v>44393</v>
      </c>
      <c r="D4333" s="2" t="str">
        <f>_xlfn.XLOOKUP(A4333,'[1]Tissue Data'!$A:$A,'[1]Tissue Data'!$F:$F)</f>
        <v>Pumpkinseed</v>
      </c>
      <c r="E4333" t="str">
        <f>_xlfn.XLOOKUP(A4333,'[1]Tissue Data'!$A:$A,'[1]Tissue Data'!$H:$H)</f>
        <v>Lepomis</v>
      </c>
      <c r="F4333" t="str">
        <f>_xlfn.XLOOKUP(A4333,'[1]Tissue Data'!$A:$A,'[1]Tissue Data'!$I:$I)</f>
        <v>gibbosus</v>
      </c>
      <c r="G4333" t="str">
        <f>_xlfn.XLOOKUP(A4333,'[1]Tissue Data'!$A:$A,'[1]Tissue Data'!J:J)</f>
        <v>U</v>
      </c>
      <c r="H4333" t="str">
        <f>_xlfn.XLOOKUP(A4333,'[1]Tissue Data'!$A:$A,'[1]Tissue Data'!K:K)</f>
        <v>Whole Body</v>
      </c>
      <c r="I4333">
        <f>_xlfn.XLOOKUP(A4333,'[1]Tissue Data'!$A:$A,'[1]Tissue Data'!L:L)</f>
        <v>5.5</v>
      </c>
      <c r="J4333">
        <f>_xlfn.XLOOKUP(A4333,'[1]Tissue Data'!$A:$A,'[1]Tissue Data'!M:M)</f>
        <v>5.14</v>
      </c>
      <c r="K4333" t="s">
        <v>43</v>
      </c>
      <c r="L4333" t="str">
        <f>_xlfn.XLOOKUP(K4333,[2]analyte_order!$B:$B,[2]analyte_order!$C:$C)</f>
        <v>757124-72-4</v>
      </c>
      <c r="M4333">
        <f>_xlfn.XLOOKUP(L4333,[2]analyte_order!$C:$C,[2]analyte_order!$E:$E)</f>
        <v>22</v>
      </c>
      <c r="N4333">
        <v>5.6500000000000002E-2</v>
      </c>
    </row>
    <row r="4334" spans="1:14">
      <c r="A4334" t="s">
        <v>265</v>
      </c>
      <c r="B4334" t="str">
        <f>_xlfn.XLOOKUP(A4334,'[1]Tissue Data'!$A:$A,'[1]Tissue Data'!$C:$C)</f>
        <v>Spill</v>
      </c>
      <c r="C4334" s="2">
        <f>_xlfn.XLOOKUP(A4334,'[1]Tissue Data'!$A:$A,'[1]Tissue Data'!$D:$D)</f>
        <v>44393</v>
      </c>
      <c r="D4334" s="2" t="str">
        <f>_xlfn.XLOOKUP(A4334,'[1]Tissue Data'!$A:$A,'[1]Tissue Data'!$F:$F)</f>
        <v>Pumpkinseed</v>
      </c>
      <c r="E4334" t="str">
        <f>_xlfn.XLOOKUP(A4334,'[1]Tissue Data'!$A:$A,'[1]Tissue Data'!$H:$H)</f>
        <v>Lepomis</v>
      </c>
      <c r="F4334" t="str">
        <f>_xlfn.XLOOKUP(A4334,'[1]Tissue Data'!$A:$A,'[1]Tissue Data'!$I:$I)</f>
        <v>gibbosus</v>
      </c>
      <c r="G4334" t="str">
        <f>_xlfn.XLOOKUP(A4334,'[1]Tissue Data'!$A:$A,'[1]Tissue Data'!J:J)</f>
        <v>U</v>
      </c>
      <c r="H4334" t="str">
        <f>_xlfn.XLOOKUP(A4334,'[1]Tissue Data'!$A:$A,'[1]Tissue Data'!K:K)</f>
        <v>Whole Body</v>
      </c>
      <c r="I4334">
        <f>_xlfn.XLOOKUP(A4334,'[1]Tissue Data'!$A:$A,'[1]Tissue Data'!L:L)</f>
        <v>5.5</v>
      </c>
      <c r="J4334">
        <f>_xlfn.XLOOKUP(A4334,'[1]Tissue Data'!$A:$A,'[1]Tissue Data'!M:M)</f>
        <v>5.14</v>
      </c>
      <c r="K4334" t="s">
        <v>44</v>
      </c>
      <c r="L4334" t="str">
        <f>_xlfn.XLOOKUP(K4334,[2]analyte_order!$B:$B,[2]analyte_order!$C:$C)</f>
        <v>27619-97-2</v>
      </c>
      <c r="M4334">
        <f>_xlfn.XLOOKUP(L4334,[2]analyte_order!$C:$C,[2]analyte_order!$E:$E)</f>
        <v>23</v>
      </c>
      <c r="N4334">
        <v>0.13700000000000001</v>
      </c>
    </row>
    <row r="4335" spans="1:14">
      <c r="A4335" t="s">
        <v>265</v>
      </c>
      <c r="B4335" t="str">
        <f>_xlfn.XLOOKUP(A4335,'[1]Tissue Data'!$A:$A,'[1]Tissue Data'!$C:$C)</f>
        <v>Spill</v>
      </c>
      <c r="C4335" s="2">
        <f>_xlfn.XLOOKUP(A4335,'[1]Tissue Data'!$A:$A,'[1]Tissue Data'!$D:$D)</f>
        <v>44393</v>
      </c>
      <c r="D4335" s="2" t="str">
        <f>_xlfn.XLOOKUP(A4335,'[1]Tissue Data'!$A:$A,'[1]Tissue Data'!$F:$F)</f>
        <v>Pumpkinseed</v>
      </c>
      <c r="E4335" t="str">
        <f>_xlfn.XLOOKUP(A4335,'[1]Tissue Data'!$A:$A,'[1]Tissue Data'!$H:$H)</f>
        <v>Lepomis</v>
      </c>
      <c r="F4335" t="str">
        <f>_xlfn.XLOOKUP(A4335,'[1]Tissue Data'!$A:$A,'[1]Tissue Data'!$I:$I)</f>
        <v>gibbosus</v>
      </c>
      <c r="G4335" t="str">
        <f>_xlfn.XLOOKUP(A4335,'[1]Tissue Data'!$A:$A,'[1]Tissue Data'!J:J)</f>
        <v>U</v>
      </c>
      <c r="H4335" t="str">
        <f>_xlfn.XLOOKUP(A4335,'[1]Tissue Data'!$A:$A,'[1]Tissue Data'!K:K)</f>
        <v>Whole Body</v>
      </c>
      <c r="I4335">
        <f>_xlfn.XLOOKUP(A4335,'[1]Tissue Data'!$A:$A,'[1]Tissue Data'!L:L)</f>
        <v>5.5</v>
      </c>
      <c r="J4335">
        <f>_xlfn.XLOOKUP(A4335,'[1]Tissue Data'!$A:$A,'[1]Tissue Data'!M:M)</f>
        <v>5.14</v>
      </c>
      <c r="K4335" t="s">
        <v>45</v>
      </c>
      <c r="L4335" t="str">
        <f>_xlfn.XLOOKUP(K4335,[2]analyte_order!$B:$B,[2]analyte_order!$C:$C)</f>
        <v>39108-34-4</v>
      </c>
      <c r="M4335">
        <f>_xlfn.XLOOKUP(L4335,[2]analyte_order!$C:$C,[2]analyte_order!$E:$E)</f>
        <v>24</v>
      </c>
      <c r="N4335">
        <v>0.59199999999999997</v>
      </c>
    </row>
    <row r="4336" spans="1:14">
      <c r="A4336" t="s">
        <v>265</v>
      </c>
      <c r="B4336" t="str">
        <f>_xlfn.XLOOKUP(A4336,'[1]Tissue Data'!$A:$A,'[1]Tissue Data'!$C:$C)</f>
        <v>Spill</v>
      </c>
      <c r="C4336" s="2">
        <f>_xlfn.XLOOKUP(A4336,'[1]Tissue Data'!$A:$A,'[1]Tissue Data'!$D:$D)</f>
        <v>44393</v>
      </c>
      <c r="D4336" s="2" t="str">
        <f>_xlfn.XLOOKUP(A4336,'[1]Tissue Data'!$A:$A,'[1]Tissue Data'!$F:$F)</f>
        <v>Pumpkinseed</v>
      </c>
      <c r="E4336" t="str">
        <f>_xlfn.XLOOKUP(A4336,'[1]Tissue Data'!$A:$A,'[1]Tissue Data'!$H:$H)</f>
        <v>Lepomis</v>
      </c>
      <c r="F4336" t="str">
        <f>_xlfn.XLOOKUP(A4336,'[1]Tissue Data'!$A:$A,'[1]Tissue Data'!$I:$I)</f>
        <v>gibbosus</v>
      </c>
      <c r="G4336" t="str">
        <f>_xlfn.XLOOKUP(A4336,'[1]Tissue Data'!$A:$A,'[1]Tissue Data'!J:J)</f>
        <v>U</v>
      </c>
      <c r="H4336" t="str">
        <f>_xlfn.XLOOKUP(A4336,'[1]Tissue Data'!$A:$A,'[1]Tissue Data'!K:K)</f>
        <v>Whole Body</v>
      </c>
      <c r="I4336">
        <f>_xlfn.XLOOKUP(A4336,'[1]Tissue Data'!$A:$A,'[1]Tissue Data'!L:L)</f>
        <v>5.5</v>
      </c>
      <c r="J4336">
        <f>_xlfn.XLOOKUP(A4336,'[1]Tissue Data'!$A:$A,'[1]Tissue Data'!M:M)</f>
        <v>5.14</v>
      </c>
      <c r="K4336" t="s">
        <v>46</v>
      </c>
      <c r="L4336" t="str">
        <f>_xlfn.XLOOKUP(K4336,[2]analyte_order!$B:$B,[2]analyte_order!$C:$C)</f>
        <v>120226-60-0</v>
      </c>
      <c r="M4336">
        <f>_xlfn.XLOOKUP(L4336,[2]analyte_order!$C:$C,[2]analyte_order!$E:$E)</f>
        <v>25</v>
      </c>
      <c r="N4336">
        <v>0.25750000000000001</v>
      </c>
    </row>
    <row r="4337" spans="1:14">
      <c r="A4337" t="s">
        <v>265</v>
      </c>
      <c r="B4337" t="str">
        <f>_xlfn.XLOOKUP(A4337,'[1]Tissue Data'!$A:$A,'[1]Tissue Data'!$C:$C)</f>
        <v>Spill</v>
      </c>
      <c r="C4337" s="2">
        <f>_xlfn.XLOOKUP(A4337,'[1]Tissue Data'!$A:$A,'[1]Tissue Data'!$D:$D)</f>
        <v>44393</v>
      </c>
      <c r="D4337" s="2" t="str">
        <f>_xlfn.XLOOKUP(A4337,'[1]Tissue Data'!$A:$A,'[1]Tissue Data'!$F:$F)</f>
        <v>Pumpkinseed</v>
      </c>
      <c r="E4337" t="str">
        <f>_xlfn.XLOOKUP(A4337,'[1]Tissue Data'!$A:$A,'[1]Tissue Data'!$H:$H)</f>
        <v>Lepomis</v>
      </c>
      <c r="F4337" t="str">
        <f>_xlfn.XLOOKUP(A4337,'[1]Tissue Data'!$A:$A,'[1]Tissue Data'!$I:$I)</f>
        <v>gibbosus</v>
      </c>
      <c r="G4337" t="str">
        <f>_xlfn.XLOOKUP(A4337,'[1]Tissue Data'!$A:$A,'[1]Tissue Data'!J:J)</f>
        <v>U</v>
      </c>
      <c r="H4337" t="str">
        <f>_xlfn.XLOOKUP(A4337,'[1]Tissue Data'!$A:$A,'[1]Tissue Data'!K:K)</f>
        <v>Whole Body</v>
      </c>
      <c r="I4337">
        <f>_xlfn.XLOOKUP(A4337,'[1]Tissue Data'!$A:$A,'[1]Tissue Data'!L:L)</f>
        <v>5.5</v>
      </c>
      <c r="J4337">
        <f>_xlfn.XLOOKUP(A4337,'[1]Tissue Data'!$A:$A,'[1]Tissue Data'!M:M)</f>
        <v>5.14</v>
      </c>
      <c r="K4337" t="s">
        <v>47</v>
      </c>
      <c r="L4337" t="str">
        <f>_xlfn.XLOOKUP(K4337,[2]analyte_order!$B:$B,[2]analyte_order!$C:$C)</f>
        <v>356-02-5</v>
      </c>
      <c r="M4337">
        <f>_xlfn.XLOOKUP(L4337,[2]analyte_order!$C:$C,[2]analyte_order!$E:$E)</f>
        <v>38</v>
      </c>
      <c r="N4337">
        <v>7.9500000000000001E-2</v>
      </c>
    </row>
    <row r="4338" spans="1:14">
      <c r="A4338" t="s">
        <v>265</v>
      </c>
      <c r="B4338" t="str">
        <f>_xlfn.XLOOKUP(A4338,'[1]Tissue Data'!$A:$A,'[1]Tissue Data'!$C:$C)</f>
        <v>Spill</v>
      </c>
      <c r="C4338" s="2">
        <f>_xlfn.XLOOKUP(A4338,'[1]Tissue Data'!$A:$A,'[1]Tissue Data'!$D:$D)</f>
        <v>44393</v>
      </c>
      <c r="D4338" s="2" t="str">
        <f>_xlfn.XLOOKUP(A4338,'[1]Tissue Data'!$A:$A,'[1]Tissue Data'!$F:$F)</f>
        <v>Pumpkinseed</v>
      </c>
      <c r="E4338" t="str">
        <f>_xlfn.XLOOKUP(A4338,'[1]Tissue Data'!$A:$A,'[1]Tissue Data'!$H:$H)</f>
        <v>Lepomis</v>
      </c>
      <c r="F4338" t="str">
        <f>_xlfn.XLOOKUP(A4338,'[1]Tissue Data'!$A:$A,'[1]Tissue Data'!$I:$I)</f>
        <v>gibbosus</v>
      </c>
      <c r="G4338" t="str">
        <f>_xlfn.XLOOKUP(A4338,'[1]Tissue Data'!$A:$A,'[1]Tissue Data'!J:J)</f>
        <v>U</v>
      </c>
      <c r="H4338" t="str">
        <f>_xlfn.XLOOKUP(A4338,'[1]Tissue Data'!$A:$A,'[1]Tissue Data'!K:K)</f>
        <v>Whole Body</v>
      </c>
      <c r="I4338">
        <f>_xlfn.XLOOKUP(A4338,'[1]Tissue Data'!$A:$A,'[1]Tissue Data'!L:L)</f>
        <v>5.5</v>
      </c>
      <c r="J4338">
        <f>_xlfn.XLOOKUP(A4338,'[1]Tissue Data'!$A:$A,'[1]Tissue Data'!M:M)</f>
        <v>5.14</v>
      </c>
      <c r="K4338" t="s">
        <v>48</v>
      </c>
      <c r="L4338" t="str">
        <f>_xlfn.XLOOKUP(K4338,[2]analyte_order!$B:$B,[2]analyte_order!$C:$C)</f>
        <v>914637-49-3</v>
      </c>
      <c r="M4338">
        <f>_xlfn.XLOOKUP(L4338,[2]analyte_order!$C:$C,[2]analyte_order!$E:$E)</f>
        <v>39</v>
      </c>
      <c r="N4338">
        <v>0.85699999999999998</v>
      </c>
    </row>
    <row r="4339" spans="1:14">
      <c r="A4339" t="s">
        <v>265</v>
      </c>
      <c r="B4339" t="str">
        <f>_xlfn.XLOOKUP(A4339,'[1]Tissue Data'!$A:$A,'[1]Tissue Data'!$C:$C)</f>
        <v>Spill</v>
      </c>
      <c r="C4339" s="2">
        <f>_xlfn.XLOOKUP(A4339,'[1]Tissue Data'!$A:$A,'[1]Tissue Data'!$D:$D)</f>
        <v>44393</v>
      </c>
      <c r="D4339" s="2" t="str">
        <f>_xlfn.XLOOKUP(A4339,'[1]Tissue Data'!$A:$A,'[1]Tissue Data'!$F:$F)</f>
        <v>Pumpkinseed</v>
      </c>
      <c r="E4339" t="str">
        <f>_xlfn.XLOOKUP(A4339,'[1]Tissue Data'!$A:$A,'[1]Tissue Data'!$H:$H)</f>
        <v>Lepomis</v>
      </c>
      <c r="F4339" t="str">
        <f>_xlfn.XLOOKUP(A4339,'[1]Tissue Data'!$A:$A,'[1]Tissue Data'!$I:$I)</f>
        <v>gibbosus</v>
      </c>
      <c r="G4339" t="str">
        <f>_xlfn.XLOOKUP(A4339,'[1]Tissue Data'!$A:$A,'[1]Tissue Data'!J:J)</f>
        <v>U</v>
      </c>
      <c r="H4339" t="str">
        <f>_xlfn.XLOOKUP(A4339,'[1]Tissue Data'!$A:$A,'[1]Tissue Data'!K:K)</f>
        <v>Whole Body</v>
      </c>
      <c r="I4339">
        <f>_xlfn.XLOOKUP(A4339,'[1]Tissue Data'!$A:$A,'[1]Tissue Data'!L:L)</f>
        <v>5.5</v>
      </c>
      <c r="J4339">
        <f>_xlfn.XLOOKUP(A4339,'[1]Tissue Data'!$A:$A,'[1]Tissue Data'!M:M)</f>
        <v>5.14</v>
      </c>
      <c r="K4339" t="s">
        <v>49</v>
      </c>
      <c r="L4339" t="str">
        <f>_xlfn.XLOOKUP(K4339,[2]analyte_order!$B:$B,[2]analyte_order!$C:$C)</f>
        <v>812-70-4</v>
      </c>
      <c r="M4339">
        <f>_xlfn.XLOOKUP(L4339,[2]analyte_order!$C:$C,[2]analyte_order!$E:$E)</f>
        <v>40</v>
      </c>
      <c r="N4339">
        <v>18.399999999999999</v>
      </c>
    </row>
    <row r="4340" spans="1:14">
      <c r="A4340" t="s">
        <v>265</v>
      </c>
      <c r="B4340" t="str">
        <f>_xlfn.XLOOKUP(A4340,'[1]Tissue Data'!$A:$A,'[1]Tissue Data'!$C:$C)</f>
        <v>Spill</v>
      </c>
      <c r="C4340" s="2">
        <f>_xlfn.XLOOKUP(A4340,'[1]Tissue Data'!$A:$A,'[1]Tissue Data'!$D:$D)</f>
        <v>44393</v>
      </c>
      <c r="D4340" s="2" t="str">
        <f>_xlfn.XLOOKUP(A4340,'[1]Tissue Data'!$A:$A,'[1]Tissue Data'!$F:$F)</f>
        <v>Pumpkinseed</v>
      </c>
      <c r="E4340" t="str">
        <f>_xlfn.XLOOKUP(A4340,'[1]Tissue Data'!$A:$A,'[1]Tissue Data'!$H:$H)</f>
        <v>Lepomis</v>
      </c>
      <c r="F4340" t="str">
        <f>_xlfn.XLOOKUP(A4340,'[1]Tissue Data'!$A:$A,'[1]Tissue Data'!$I:$I)</f>
        <v>gibbosus</v>
      </c>
      <c r="G4340" t="str">
        <f>_xlfn.XLOOKUP(A4340,'[1]Tissue Data'!$A:$A,'[1]Tissue Data'!J:J)</f>
        <v>U</v>
      </c>
      <c r="H4340" t="str">
        <f>_xlfn.XLOOKUP(A4340,'[1]Tissue Data'!$A:$A,'[1]Tissue Data'!K:K)</f>
        <v>Whole Body</v>
      </c>
      <c r="I4340">
        <f>_xlfn.XLOOKUP(A4340,'[1]Tissue Data'!$A:$A,'[1]Tissue Data'!L:L)</f>
        <v>5.5</v>
      </c>
      <c r="J4340">
        <f>_xlfn.XLOOKUP(A4340,'[1]Tissue Data'!$A:$A,'[1]Tissue Data'!M:M)</f>
        <v>5.14</v>
      </c>
      <c r="K4340" t="s">
        <v>50</v>
      </c>
      <c r="L4340" t="str">
        <f>_xlfn.XLOOKUP(K4340,[2]analyte_order!$B:$B,[2]analyte_order!$C:$C)</f>
        <v>53826-12-3</v>
      </c>
      <c r="M4340">
        <f>_xlfn.XLOOKUP(L4340,[2]analyte_order!$C:$C,[2]analyte_order!$E:$E)</f>
        <v>41</v>
      </c>
      <c r="N4340">
        <v>6.9000000000000006E-2</v>
      </c>
    </row>
    <row r="4341" spans="1:14">
      <c r="A4341" t="s">
        <v>265</v>
      </c>
      <c r="B4341" t="str">
        <f>_xlfn.XLOOKUP(A4341,'[1]Tissue Data'!$A:$A,'[1]Tissue Data'!$C:$C)</f>
        <v>Spill</v>
      </c>
      <c r="C4341" s="2">
        <f>_xlfn.XLOOKUP(A4341,'[1]Tissue Data'!$A:$A,'[1]Tissue Data'!$D:$D)</f>
        <v>44393</v>
      </c>
      <c r="D4341" s="2" t="str">
        <f>_xlfn.XLOOKUP(A4341,'[1]Tissue Data'!$A:$A,'[1]Tissue Data'!$F:$F)</f>
        <v>Pumpkinseed</v>
      </c>
      <c r="E4341" t="str">
        <f>_xlfn.XLOOKUP(A4341,'[1]Tissue Data'!$A:$A,'[1]Tissue Data'!$H:$H)</f>
        <v>Lepomis</v>
      </c>
      <c r="F4341" t="str">
        <f>_xlfn.XLOOKUP(A4341,'[1]Tissue Data'!$A:$A,'[1]Tissue Data'!$I:$I)</f>
        <v>gibbosus</v>
      </c>
      <c r="G4341" t="str">
        <f>_xlfn.XLOOKUP(A4341,'[1]Tissue Data'!$A:$A,'[1]Tissue Data'!J:J)</f>
        <v>U</v>
      </c>
      <c r="H4341" t="str">
        <f>_xlfn.XLOOKUP(A4341,'[1]Tissue Data'!$A:$A,'[1]Tissue Data'!K:K)</f>
        <v>Whole Body</v>
      </c>
      <c r="I4341">
        <f>_xlfn.XLOOKUP(A4341,'[1]Tissue Data'!$A:$A,'[1]Tissue Data'!L:L)</f>
        <v>5.5</v>
      </c>
      <c r="J4341">
        <f>_xlfn.XLOOKUP(A4341,'[1]Tissue Data'!$A:$A,'[1]Tissue Data'!M:M)</f>
        <v>5.14</v>
      </c>
      <c r="K4341" t="s">
        <v>51</v>
      </c>
      <c r="L4341" t="str">
        <f>_xlfn.XLOOKUP(K4341,[2]analyte_order!$B:$B,[2]analyte_order!$C:$C)</f>
        <v>27854-31-5</v>
      </c>
      <c r="M4341">
        <f>_xlfn.XLOOKUP(L4341,[2]analyte_order!$C:$C,[2]analyte_order!$E:$E)</f>
        <v>42</v>
      </c>
      <c r="N4341">
        <v>6.9000000000000006E-2</v>
      </c>
    </row>
    <row r="4342" spans="1:14">
      <c r="A4342" t="s">
        <v>265</v>
      </c>
      <c r="B4342" t="str">
        <f>_xlfn.XLOOKUP(A4342,'[1]Tissue Data'!$A:$A,'[1]Tissue Data'!$C:$C)</f>
        <v>Spill</v>
      </c>
      <c r="C4342" s="2">
        <f>_xlfn.XLOOKUP(A4342,'[1]Tissue Data'!$A:$A,'[1]Tissue Data'!$D:$D)</f>
        <v>44393</v>
      </c>
      <c r="D4342" s="2" t="str">
        <f>_xlfn.XLOOKUP(A4342,'[1]Tissue Data'!$A:$A,'[1]Tissue Data'!$F:$F)</f>
        <v>Pumpkinseed</v>
      </c>
      <c r="E4342" t="str">
        <f>_xlfn.XLOOKUP(A4342,'[1]Tissue Data'!$A:$A,'[1]Tissue Data'!$H:$H)</f>
        <v>Lepomis</v>
      </c>
      <c r="F4342" t="str">
        <f>_xlfn.XLOOKUP(A4342,'[1]Tissue Data'!$A:$A,'[1]Tissue Data'!$I:$I)</f>
        <v>gibbosus</v>
      </c>
      <c r="G4342" t="str">
        <f>_xlfn.XLOOKUP(A4342,'[1]Tissue Data'!$A:$A,'[1]Tissue Data'!J:J)</f>
        <v>U</v>
      </c>
      <c r="H4342" t="str">
        <f>_xlfn.XLOOKUP(A4342,'[1]Tissue Data'!$A:$A,'[1]Tissue Data'!K:K)</f>
        <v>Whole Body</v>
      </c>
      <c r="I4342">
        <f>_xlfn.XLOOKUP(A4342,'[1]Tissue Data'!$A:$A,'[1]Tissue Data'!L:L)</f>
        <v>5.5</v>
      </c>
      <c r="J4342">
        <f>_xlfn.XLOOKUP(A4342,'[1]Tissue Data'!$A:$A,'[1]Tissue Data'!M:M)</f>
        <v>5.14</v>
      </c>
      <c r="K4342" t="s">
        <v>52</v>
      </c>
      <c r="L4342" t="str">
        <f>_xlfn.XLOOKUP(K4342,[2]analyte_order!$B:$B,[2]analyte_order!$C:$C)</f>
        <v>53826-13-4</v>
      </c>
      <c r="M4342">
        <f>_xlfn.XLOOKUP(L4342,[2]analyte_order!$C:$C,[2]analyte_order!$E:$E)</f>
        <v>43</v>
      </c>
      <c r="N4342">
        <v>0.81799999999999995</v>
      </c>
    </row>
    <row r="4343" spans="1:14">
      <c r="A4343" t="s">
        <v>265</v>
      </c>
      <c r="B4343" t="str">
        <f>_xlfn.XLOOKUP(A4343,'[1]Tissue Data'!$A:$A,'[1]Tissue Data'!$C:$C)</f>
        <v>Spill</v>
      </c>
      <c r="C4343" s="2">
        <f>_xlfn.XLOOKUP(A4343,'[1]Tissue Data'!$A:$A,'[1]Tissue Data'!$D:$D)</f>
        <v>44393</v>
      </c>
      <c r="D4343" s="2" t="str">
        <f>_xlfn.XLOOKUP(A4343,'[1]Tissue Data'!$A:$A,'[1]Tissue Data'!$F:$F)</f>
        <v>Pumpkinseed</v>
      </c>
      <c r="E4343" t="str">
        <f>_xlfn.XLOOKUP(A4343,'[1]Tissue Data'!$A:$A,'[1]Tissue Data'!$H:$H)</f>
        <v>Lepomis</v>
      </c>
      <c r="F4343" t="str">
        <f>_xlfn.XLOOKUP(A4343,'[1]Tissue Data'!$A:$A,'[1]Tissue Data'!$I:$I)</f>
        <v>gibbosus</v>
      </c>
      <c r="G4343" t="str">
        <f>_xlfn.XLOOKUP(A4343,'[1]Tissue Data'!$A:$A,'[1]Tissue Data'!J:J)</f>
        <v>U</v>
      </c>
      <c r="H4343" t="str">
        <f>_xlfn.XLOOKUP(A4343,'[1]Tissue Data'!$A:$A,'[1]Tissue Data'!K:K)</f>
        <v>Whole Body</v>
      </c>
      <c r="I4343">
        <f>_xlfn.XLOOKUP(A4343,'[1]Tissue Data'!$A:$A,'[1]Tissue Data'!L:L)</f>
        <v>5.5</v>
      </c>
      <c r="J4343">
        <f>_xlfn.XLOOKUP(A4343,'[1]Tissue Data'!$A:$A,'[1]Tissue Data'!M:M)</f>
        <v>5.14</v>
      </c>
      <c r="K4343" t="s">
        <v>53</v>
      </c>
      <c r="L4343" t="str">
        <f>_xlfn.XLOOKUP(K4343,[2]analyte_order!$B:$B,[2]analyte_order!$C:$C)</f>
        <v>161094-75-3</v>
      </c>
      <c r="M4343">
        <f>_xlfn.XLOOKUP(L4343,[2]analyte_order!$C:$C,[2]analyte_order!$E:$E)</f>
        <v>44</v>
      </c>
      <c r="N4343">
        <v>5.3999999999999999E-2</v>
      </c>
    </row>
    <row r="4344" spans="1:14">
      <c r="A4344" t="s">
        <v>265</v>
      </c>
      <c r="B4344" t="str">
        <f>_xlfn.XLOOKUP(A4344,'[1]Tissue Data'!$A:$A,'[1]Tissue Data'!$C:$C)</f>
        <v>Spill</v>
      </c>
      <c r="C4344" s="2">
        <f>_xlfn.XLOOKUP(A4344,'[1]Tissue Data'!$A:$A,'[1]Tissue Data'!$D:$D)</f>
        <v>44393</v>
      </c>
      <c r="D4344" s="2" t="str">
        <f>_xlfn.XLOOKUP(A4344,'[1]Tissue Data'!$A:$A,'[1]Tissue Data'!$F:$F)</f>
        <v>Pumpkinseed</v>
      </c>
      <c r="E4344" t="str">
        <f>_xlfn.XLOOKUP(A4344,'[1]Tissue Data'!$A:$A,'[1]Tissue Data'!$H:$H)</f>
        <v>Lepomis</v>
      </c>
      <c r="F4344" t="str">
        <f>_xlfn.XLOOKUP(A4344,'[1]Tissue Data'!$A:$A,'[1]Tissue Data'!$I:$I)</f>
        <v>gibbosus</v>
      </c>
      <c r="G4344" t="str">
        <f>_xlfn.XLOOKUP(A4344,'[1]Tissue Data'!$A:$A,'[1]Tissue Data'!J:J)</f>
        <v>U</v>
      </c>
      <c r="H4344" t="str">
        <f>_xlfn.XLOOKUP(A4344,'[1]Tissue Data'!$A:$A,'[1]Tissue Data'!K:K)</f>
        <v>Whole Body</v>
      </c>
      <c r="I4344">
        <f>_xlfn.XLOOKUP(A4344,'[1]Tissue Data'!$A:$A,'[1]Tissue Data'!L:L)</f>
        <v>5.5</v>
      </c>
      <c r="J4344">
        <f>_xlfn.XLOOKUP(A4344,'[1]Tissue Data'!$A:$A,'[1]Tissue Data'!M:M)</f>
        <v>5.14</v>
      </c>
      <c r="K4344" t="s">
        <v>54</v>
      </c>
      <c r="L4344" t="str">
        <f>_xlfn.XLOOKUP(K4344,[2]analyte_order!$B:$B,[2]analyte_order!$C:$C)</f>
        <v>70887-84-2</v>
      </c>
      <c r="M4344">
        <f>_xlfn.XLOOKUP(L4344,[2]analyte_order!$C:$C,[2]analyte_order!$E:$E)</f>
        <v>45</v>
      </c>
      <c r="N4344">
        <v>4.1500000000000002E-2</v>
      </c>
    </row>
    <row r="4345" spans="1:14">
      <c r="A4345" t="s">
        <v>265</v>
      </c>
      <c r="B4345" t="str">
        <f>_xlfn.XLOOKUP(A4345,'[1]Tissue Data'!$A:$A,'[1]Tissue Data'!$C:$C)</f>
        <v>Spill</v>
      </c>
      <c r="C4345" s="2">
        <f>_xlfn.XLOOKUP(A4345,'[1]Tissue Data'!$A:$A,'[1]Tissue Data'!$D:$D)</f>
        <v>44393</v>
      </c>
      <c r="D4345" s="2" t="str">
        <f>_xlfn.XLOOKUP(A4345,'[1]Tissue Data'!$A:$A,'[1]Tissue Data'!$F:$F)</f>
        <v>Pumpkinseed</v>
      </c>
      <c r="E4345" t="str">
        <f>_xlfn.XLOOKUP(A4345,'[1]Tissue Data'!$A:$A,'[1]Tissue Data'!$H:$H)</f>
        <v>Lepomis</v>
      </c>
      <c r="F4345" t="str">
        <f>_xlfn.XLOOKUP(A4345,'[1]Tissue Data'!$A:$A,'[1]Tissue Data'!$I:$I)</f>
        <v>gibbosus</v>
      </c>
      <c r="G4345" t="str">
        <f>_xlfn.XLOOKUP(A4345,'[1]Tissue Data'!$A:$A,'[1]Tissue Data'!J:J)</f>
        <v>U</v>
      </c>
      <c r="H4345" t="str">
        <f>_xlfn.XLOOKUP(A4345,'[1]Tissue Data'!$A:$A,'[1]Tissue Data'!K:K)</f>
        <v>Whole Body</v>
      </c>
      <c r="I4345">
        <f>_xlfn.XLOOKUP(A4345,'[1]Tissue Data'!$A:$A,'[1]Tissue Data'!L:L)</f>
        <v>5.5</v>
      </c>
      <c r="J4345">
        <f>_xlfn.XLOOKUP(A4345,'[1]Tissue Data'!$A:$A,'[1]Tissue Data'!M:M)</f>
        <v>5.14</v>
      </c>
      <c r="K4345" t="s">
        <v>55</v>
      </c>
      <c r="L4345" t="str">
        <f>_xlfn.XLOOKUP(K4345,[2]analyte_order!$B:$B,[2]analyte_order!$C:$C)</f>
        <v>919005-14-4</v>
      </c>
      <c r="M4345">
        <f>_xlfn.XLOOKUP(L4345,[2]analyte_order!$C:$C,[2]analyte_order!$E:$E)</f>
        <v>35</v>
      </c>
      <c r="N4345">
        <v>6.9000000000000006E-2</v>
      </c>
    </row>
    <row r="4346" spans="1:14">
      <c r="A4346" t="s">
        <v>265</v>
      </c>
      <c r="B4346" t="str">
        <f>_xlfn.XLOOKUP(A4346,'[1]Tissue Data'!$A:$A,'[1]Tissue Data'!$C:$C)</f>
        <v>Spill</v>
      </c>
      <c r="C4346" s="2">
        <f>_xlfn.XLOOKUP(A4346,'[1]Tissue Data'!$A:$A,'[1]Tissue Data'!$D:$D)</f>
        <v>44393</v>
      </c>
      <c r="D4346" s="2" t="str">
        <f>_xlfn.XLOOKUP(A4346,'[1]Tissue Data'!$A:$A,'[1]Tissue Data'!$F:$F)</f>
        <v>Pumpkinseed</v>
      </c>
      <c r="E4346" t="str">
        <f>_xlfn.XLOOKUP(A4346,'[1]Tissue Data'!$A:$A,'[1]Tissue Data'!$H:$H)</f>
        <v>Lepomis</v>
      </c>
      <c r="F4346" t="str">
        <f>_xlfn.XLOOKUP(A4346,'[1]Tissue Data'!$A:$A,'[1]Tissue Data'!$I:$I)</f>
        <v>gibbosus</v>
      </c>
      <c r="G4346" t="str">
        <f>_xlfn.XLOOKUP(A4346,'[1]Tissue Data'!$A:$A,'[1]Tissue Data'!J:J)</f>
        <v>U</v>
      </c>
      <c r="H4346" t="str">
        <f>_xlfn.XLOOKUP(A4346,'[1]Tissue Data'!$A:$A,'[1]Tissue Data'!K:K)</f>
        <v>Whole Body</v>
      </c>
      <c r="I4346">
        <f>_xlfn.XLOOKUP(A4346,'[1]Tissue Data'!$A:$A,'[1]Tissue Data'!L:L)</f>
        <v>5.5</v>
      </c>
      <c r="J4346">
        <f>_xlfn.XLOOKUP(A4346,'[1]Tissue Data'!$A:$A,'[1]Tissue Data'!M:M)</f>
        <v>5.14</v>
      </c>
      <c r="K4346" t="s">
        <v>56</v>
      </c>
      <c r="L4346" t="str">
        <f>_xlfn.XLOOKUP(K4346,[2]analyte_order!$B:$B,[2]analyte_order!$C:$C)</f>
        <v>756426-58-1</v>
      </c>
      <c r="M4346">
        <f>_xlfn.XLOOKUP(L4346,[2]analyte_order!$C:$C,[2]analyte_order!$E:$E)</f>
        <v>36</v>
      </c>
      <c r="N4346">
        <v>6.9000000000000006E-2</v>
      </c>
    </row>
    <row r="4347" spans="1:14">
      <c r="A4347" t="s">
        <v>265</v>
      </c>
      <c r="B4347" t="str">
        <f>_xlfn.XLOOKUP(A4347,'[1]Tissue Data'!$A:$A,'[1]Tissue Data'!$C:$C)</f>
        <v>Spill</v>
      </c>
      <c r="C4347" s="2">
        <f>_xlfn.XLOOKUP(A4347,'[1]Tissue Data'!$A:$A,'[1]Tissue Data'!$D:$D)</f>
        <v>44393</v>
      </c>
      <c r="D4347" s="2" t="str">
        <f>_xlfn.XLOOKUP(A4347,'[1]Tissue Data'!$A:$A,'[1]Tissue Data'!$F:$F)</f>
        <v>Pumpkinseed</v>
      </c>
      <c r="E4347" t="str">
        <f>_xlfn.XLOOKUP(A4347,'[1]Tissue Data'!$A:$A,'[1]Tissue Data'!$H:$H)</f>
        <v>Lepomis</v>
      </c>
      <c r="F4347" t="str">
        <f>_xlfn.XLOOKUP(A4347,'[1]Tissue Data'!$A:$A,'[1]Tissue Data'!$I:$I)</f>
        <v>gibbosus</v>
      </c>
      <c r="G4347" t="str">
        <f>_xlfn.XLOOKUP(A4347,'[1]Tissue Data'!$A:$A,'[1]Tissue Data'!J:J)</f>
        <v>U</v>
      </c>
      <c r="H4347" t="str">
        <f>_xlfn.XLOOKUP(A4347,'[1]Tissue Data'!$A:$A,'[1]Tissue Data'!K:K)</f>
        <v>Whole Body</v>
      </c>
      <c r="I4347">
        <f>_xlfn.XLOOKUP(A4347,'[1]Tissue Data'!$A:$A,'[1]Tissue Data'!L:L)</f>
        <v>5.5</v>
      </c>
      <c r="J4347">
        <f>_xlfn.XLOOKUP(A4347,'[1]Tissue Data'!$A:$A,'[1]Tissue Data'!M:M)</f>
        <v>5.14</v>
      </c>
      <c r="K4347" t="s">
        <v>57</v>
      </c>
      <c r="L4347" t="str">
        <f>_xlfn.XLOOKUP(K4347,[2]analyte_order!$B:$B,[2]analyte_order!$C:$C)</f>
        <v>763051-92-9</v>
      </c>
      <c r="M4347">
        <f>_xlfn.XLOOKUP(L4347,[2]analyte_order!$C:$C,[2]analyte_order!$E:$E)</f>
        <v>37</v>
      </c>
      <c r="N4347">
        <v>6.9000000000000006E-2</v>
      </c>
    </row>
    <row r="4348" spans="1:14">
      <c r="A4348" t="s">
        <v>265</v>
      </c>
      <c r="B4348" t="str">
        <f>_xlfn.XLOOKUP(A4348,'[1]Tissue Data'!$A:$A,'[1]Tissue Data'!$C:$C)</f>
        <v>Spill</v>
      </c>
      <c r="C4348" s="2">
        <f>_xlfn.XLOOKUP(A4348,'[1]Tissue Data'!$A:$A,'[1]Tissue Data'!$D:$D)</f>
        <v>44393</v>
      </c>
      <c r="D4348" s="2" t="str">
        <f>_xlfn.XLOOKUP(A4348,'[1]Tissue Data'!$A:$A,'[1]Tissue Data'!$F:$F)</f>
        <v>Pumpkinseed</v>
      </c>
      <c r="E4348" t="str">
        <f>_xlfn.XLOOKUP(A4348,'[1]Tissue Data'!$A:$A,'[1]Tissue Data'!$H:$H)</f>
        <v>Lepomis</v>
      </c>
      <c r="F4348" t="str">
        <f>_xlfn.XLOOKUP(A4348,'[1]Tissue Data'!$A:$A,'[1]Tissue Data'!$I:$I)</f>
        <v>gibbosus</v>
      </c>
      <c r="G4348" t="str">
        <f>_xlfn.XLOOKUP(A4348,'[1]Tissue Data'!$A:$A,'[1]Tissue Data'!J:J)</f>
        <v>U</v>
      </c>
      <c r="H4348" t="str">
        <f>_xlfn.XLOOKUP(A4348,'[1]Tissue Data'!$A:$A,'[1]Tissue Data'!K:K)</f>
        <v>Whole Body</v>
      </c>
      <c r="I4348">
        <f>_xlfn.XLOOKUP(A4348,'[1]Tissue Data'!$A:$A,'[1]Tissue Data'!L:L)</f>
        <v>5.5</v>
      </c>
      <c r="J4348">
        <f>_xlfn.XLOOKUP(A4348,'[1]Tissue Data'!$A:$A,'[1]Tissue Data'!M:M)</f>
        <v>5.14</v>
      </c>
      <c r="K4348" t="s">
        <v>58</v>
      </c>
      <c r="L4348" t="str">
        <f>_xlfn.XLOOKUP(K4348,[2]analyte_order!$B:$B,[2]analyte_order!$C:$C)</f>
        <v>13252-13-6</v>
      </c>
      <c r="M4348">
        <f>_xlfn.XLOOKUP(L4348,[2]analyte_order!$C:$C,[2]analyte_order!$E:$E)</f>
        <v>34</v>
      </c>
      <c r="N4348">
        <v>9.8500000000000004E-2</v>
      </c>
    </row>
    <row r="4349" spans="1:14">
      <c r="A4349" t="s">
        <v>265</v>
      </c>
      <c r="B4349" t="str">
        <f>_xlfn.XLOOKUP(A4349,'[1]Tissue Data'!$A:$A,'[1]Tissue Data'!$C:$C)</f>
        <v>Spill</v>
      </c>
      <c r="C4349" s="2">
        <f>_xlfn.XLOOKUP(A4349,'[1]Tissue Data'!$A:$A,'[1]Tissue Data'!$D:$D)</f>
        <v>44393</v>
      </c>
      <c r="D4349" s="2" t="str">
        <f>_xlfn.XLOOKUP(A4349,'[1]Tissue Data'!$A:$A,'[1]Tissue Data'!$F:$F)</f>
        <v>Pumpkinseed</v>
      </c>
      <c r="E4349" t="str">
        <f>_xlfn.XLOOKUP(A4349,'[1]Tissue Data'!$A:$A,'[1]Tissue Data'!$H:$H)</f>
        <v>Lepomis</v>
      </c>
      <c r="F4349" t="str">
        <f>_xlfn.XLOOKUP(A4349,'[1]Tissue Data'!$A:$A,'[1]Tissue Data'!$I:$I)</f>
        <v>gibbosus</v>
      </c>
      <c r="G4349" t="str">
        <f>_xlfn.XLOOKUP(A4349,'[1]Tissue Data'!$A:$A,'[1]Tissue Data'!J:J)</f>
        <v>U</v>
      </c>
      <c r="H4349" t="str">
        <f>_xlfn.XLOOKUP(A4349,'[1]Tissue Data'!$A:$A,'[1]Tissue Data'!K:K)</f>
        <v>Whole Body</v>
      </c>
      <c r="I4349">
        <f>_xlfn.XLOOKUP(A4349,'[1]Tissue Data'!$A:$A,'[1]Tissue Data'!L:L)</f>
        <v>5.5</v>
      </c>
      <c r="J4349">
        <f>_xlfn.XLOOKUP(A4349,'[1]Tissue Data'!$A:$A,'[1]Tissue Data'!M:M)</f>
        <v>5.14</v>
      </c>
      <c r="K4349" t="s">
        <v>59</v>
      </c>
      <c r="L4349" t="str">
        <f>_xlfn.XLOOKUP(K4349,[2]analyte_order!$B:$B,[2]analyte_order!$C:$C)</f>
        <v>57677-95-9</v>
      </c>
      <c r="M4349">
        <f>_xlfn.XLOOKUP(L4349,[2]analyte_order!$C:$C,[2]analyte_order!$E:$E)</f>
        <v>46</v>
      </c>
      <c r="N4349">
        <v>7.2999999999999995E-2</v>
      </c>
    </row>
    <row r="4350" spans="1:14">
      <c r="A4350" t="s">
        <v>265</v>
      </c>
      <c r="B4350" t="str">
        <f>_xlfn.XLOOKUP(A4350,'[1]Tissue Data'!$A:$A,'[1]Tissue Data'!$C:$C)</f>
        <v>Spill</v>
      </c>
      <c r="C4350" s="2">
        <f>_xlfn.XLOOKUP(A4350,'[1]Tissue Data'!$A:$A,'[1]Tissue Data'!$D:$D)</f>
        <v>44393</v>
      </c>
      <c r="D4350" s="2" t="str">
        <f>_xlfn.XLOOKUP(A4350,'[1]Tissue Data'!$A:$A,'[1]Tissue Data'!$F:$F)</f>
        <v>Pumpkinseed</v>
      </c>
      <c r="E4350" t="str">
        <f>_xlfn.XLOOKUP(A4350,'[1]Tissue Data'!$A:$A,'[1]Tissue Data'!$H:$H)</f>
        <v>Lepomis</v>
      </c>
      <c r="F4350" t="str">
        <f>_xlfn.XLOOKUP(A4350,'[1]Tissue Data'!$A:$A,'[1]Tissue Data'!$I:$I)</f>
        <v>gibbosus</v>
      </c>
      <c r="G4350" t="str">
        <f>_xlfn.XLOOKUP(A4350,'[1]Tissue Data'!$A:$A,'[1]Tissue Data'!J:J)</f>
        <v>U</v>
      </c>
      <c r="H4350" t="str">
        <f>_xlfn.XLOOKUP(A4350,'[1]Tissue Data'!$A:$A,'[1]Tissue Data'!K:K)</f>
        <v>Whole Body</v>
      </c>
      <c r="I4350">
        <f>_xlfn.XLOOKUP(A4350,'[1]Tissue Data'!$A:$A,'[1]Tissue Data'!L:L)</f>
        <v>5.5</v>
      </c>
      <c r="J4350">
        <f>_xlfn.XLOOKUP(A4350,'[1]Tissue Data'!$A:$A,'[1]Tissue Data'!M:M)</f>
        <v>5.14</v>
      </c>
      <c r="K4350" t="s">
        <v>60</v>
      </c>
      <c r="L4350" t="str">
        <f>_xlfn.XLOOKUP(K4350,[2]analyte_order!$B:$B,[2]analyte_order!$C:$C)</f>
        <v>678-41-1</v>
      </c>
      <c r="M4350">
        <f>_xlfn.XLOOKUP(L4350,[2]analyte_order!$C:$C,[2]analyte_order!$E:$E)</f>
        <v>56</v>
      </c>
      <c r="N4350">
        <v>9.0999999999999998E-2</v>
      </c>
    </row>
    <row r="4351" spans="1:14">
      <c r="A4351" t="s">
        <v>265</v>
      </c>
      <c r="B4351" t="str">
        <f>_xlfn.XLOOKUP(A4351,'[1]Tissue Data'!$A:$A,'[1]Tissue Data'!$C:$C)</f>
        <v>Spill</v>
      </c>
      <c r="C4351" s="2">
        <f>_xlfn.XLOOKUP(A4351,'[1]Tissue Data'!$A:$A,'[1]Tissue Data'!$D:$D)</f>
        <v>44393</v>
      </c>
      <c r="D4351" s="2" t="str">
        <f>_xlfn.XLOOKUP(A4351,'[1]Tissue Data'!$A:$A,'[1]Tissue Data'!$F:$F)</f>
        <v>Pumpkinseed</v>
      </c>
      <c r="E4351" t="str">
        <f>_xlfn.XLOOKUP(A4351,'[1]Tissue Data'!$A:$A,'[1]Tissue Data'!$H:$H)</f>
        <v>Lepomis</v>
      </c>
      <c r="F4351" t="str">
        <f>_xlfn.XLOOKUP(A4351,'[1]Tissue Data'!$A:$A,'[1]Tissue Data'!$I:$I)</f>
        <v>gibbosus</v>
      </c>
      <c r="G4351" t="str">
        <f>_xlfn.XLOOKUP(A4351,'[1]Tissue Data'!$A:$A,'[1]Tissue Data'!J:J)</f>
        <v>U</v>
      </c>
      <c r="H4351" t="str">
        <f>_xlfn.XLOOKUP(A4351,'[1]Tissue Data'!$A:$A,'[1]Tissue Data'!K:K)</f>
        <v>Whole Body</v>
      </c>
      <c r="I4351">
        <f>_xlfn.XLOOKUP(A4351,'[1]Tissue Data'!$A:$A,'[1]Tissue Data'!L:L)</f>
        <v>5.5</v>
      </c>
      <c r="J4351">
        <f>_xlfn.XLOOKUP(A4351,'[1]Tissue Data'!$A:$A,'[1]Tissue Data'!M:M)</f>
        <v>5.14</v>
      </c>
      <c r="K4351" t="s">
        <v>61</v>
      </c>
      <c r="L4351" t="str">
        <f>_xlfn.XLOOKUP(K4351,[2]analyte_order!$B:$B,[2]analyte_order!$C:$C)</f>
        <v>2965-52-8</v>
      </c>
      <c r="M4351">
        <f>_xlfn.XLOOKUP(L4351,[2]analyte_order!$C:$C,[2]analyte_order!$E:$E)</f>
        <v>57</v>
      </c>
      <c r="N4351">
        <v>0.121</v>
      </c>
    </row>
    <row r="4352" spans="1:14">
      <c r="A4352" t="s">
        <v>266</v>
      </c>
      <c r="B4352" t="str">
        <f>_xlfn.XLOOKUP(A4352,'[1]Tissue Data'!$A:$A,'[1]Tissue Data'!$C:$C)</f>
        <v>Spill</v>
      </c>
      <c r="C4352" s="2">
        <f>_xlfn.XLOOKUP(A4352,'[1]Tissue Data'!$A:$A,'[1]Tissue Data'!$D:$D)</f>
        <v>44393</v>
      </c>
      <c r="D4352" s="2" t="str">
        <f>_xlfn.XLOOKUP(A4352,'[1]Tissue Data'!$A:$A,'[1]Tissue Data'!$F:$F)</f>
        <v>Pumpkinseed</v>
      </c>
      <c r="E4352" t="str">
        <f>_xlfn.XLOOKUP(A4352,'[1]Tissue Data'!$A:$A,'[1]Tissue Data'!$H:$H)</f>
        <v>Lepomis</v>
      </c>
      <c r="F4352" t="str">
        <f>_xlfn.XLOOKUP(A4352,'[1]Tissue Data'!$A:$A,'[1]Tissue Data'!$I:$I)</f>
        <v>gibbosus</v>
      </c>
      <c r="G4352" t="str">
        <f>_xlfn.XLOOKUP(A4352,'[1]Tissue Data'!$A:$A,'[1]Tissue Data'!J:J)</f>
        <v>U</v>
      </c>
      <c r="H4352" t="str">
        <f>_xlfn.XLOOKUP(A4352,'[1]Tissue Data'!$A:$A,'[1]Tissue Data'!K:K)</f>
        <v>Whole Body</v>
      </c>
      <c r="I4352">
        <f>_xlfn.XLOOKUP(A4352,'[1]Tissue Data'!$A:$A,'[1]Tissue Data'!L:L)</f>
        <v>7</v>
      </c>
      <c r="J4352">
        <f>_xlfn.XLOOKUP(A4352,'[1]Tissue Data'!$A:$A,'[1]Tissue Data'!M:M)</f>
        <v>10.31</v>
      </c>
      <c r="K4352" t="s">
        <v>12</v>
      </c>
      <c r="L4352" t="str">
        <f>_xlfn.XLOOKUP(K4352,[2]analyte_order!$B:$B,[2]analyte_order!$C:$C)</f>
        <v>375-22-4</v>
      </c>
      <c r="M4352">
        <f>_xlfn.XLOOKUP(L4352,[2]analyte_order!$C:$C,[2]analyte_order!$E:$E)</f>
        <v>1</v>
      </c>
      <c r="N4352">
        <v>0.223</v>
      </c>
    </row>
    <row r="4353" spans="1:14">
      <c r="A4353" t="s">
        <v>266</v>
      </c>
      <c r="B4353" t="str">
        <f>_xlfn.XLOOKUP(A4353,'[1]Tissue Data'!$A:$A,'[1]Tissue Data'!$C:$C)</f>
        <v>Spill</v>
      </c>
      <c r="C4353" s="2">
        <f>_xlfn.XLOOKUP(A4353,'[1]Tissue Data'!$A:$A,'[1]Tissue Data'!$D:$D)</f>
        <v>44393</v>
      </c>
      <c r="D4353" s="2" t="str">
        <f>_xlfn.XLOOKUP(A4353,'[1]Tissue Data'!$A:$A,'[1]Tissue Data'!$F:$F)</f>
        <v>Pumpkinseed</v>
      </c>
      <c r="E4353" t="str">
        <f>_xlfn.XLOOKUP(A4353,'[1]Tissue Data'!$A:$A,'[1]Tissue Data'!$H:$H)</f>
        <v>Lepomis</v>
      </c>
      <c r="F4353" t="str">
        <f>_xlfn.XLOOKUP(A4353,'[1]Tissue Data'!$A:$A,'[1]Tissue Data'!$I:$I)</f>
        <v>gibbosus</v>
      </c>
      <c r="G4353" t="str">
        <f>_xlfn.XLOOKUP(A4353,'[1]Tissue Data'!$A:$A,'[1]Tissue Data'!J:J)</f>
        <v>U</v>
      </c>
      <c r="H4353" t="str">
        <f>_xlfn.XLOOKUP(A4353,'[1]Tissue Data'!$A:$A,'[1]Tissue Data'!K:K)</f>
        <v>Whole Body</v>
      </c>
      <c r="I4353">
        <f>_xlfn.XLOOKUP(A4353,'[1]Tissue Data'!$A:$A,'[1]Tissue Data'!L:L)</f>
        <v>7</v>
      </c>
      <c r="J4353">
        <f>_xlfn.XLOOKUP(A4353,'[1]Tissue Data'!$A:$A,'[1]Tissue Data'!M:M)</f>
        <v>10.31</v>
      </c>
      <c r="K4353" t="s">
        <v>13</v>
      </c>
      <c r="L4353" t="str">
        <f>_xlfn.XLOOKUP(K4353,[2]analyte_order!$B:$B,[2]analyte_order!$C:$C)</f>
        <v>2706-90-3</v>
      </c>
      <c r="M4353">
        <f>_xlfn.XLOOKUP(L4353,[2]analyte_order!$C:$C,[2]analyte_order!$E:$E)</f>
        <v>2</v>
      </c>
      <c r="N4353">
        <v>4.7750000000000001E-2</v>
      </c>
    </row>
    <row r="4354" spans="1:14">
      <c r="A4354" t="s">
        <v>266</v>
      </c>
      <c r="B4354" t="str">
        <f>_xlfn.XLOOKUP(A4354,'[1]Tissue Data'!$A:$A,'[1]Tissue Data'!$C:$C)</f>
        <v>Spill</v>
      </c>
      <c r="C4354" s="2">
        <f>_xlfn.XLOOKUP(A4354,'[1]Tissue Data'!$A:$A,'[1]Tissue Data'!$D:$D)</f>
        <v>44393</v>
      </c>
      <c r="D4354" s="2" t="str">
        <f>_xlfn.XLOOKUP(A4354,'[1]Tissue Data'!$A:$A,'[1]Tissue Data'!$F:$F)</f>
        <v>Pumpkinseed</v>
      </c>
      <c r="E4354" t="str">
        <f>_xlfn.XLOOKUP(A4354,'[1]Tissue Data'!$A:$A,'[1]Tissue Data'!$H:$H)</f>
        <v>Lepomis</v>
      </c>
      <c r="F4354" t="str">
        <f>_xlfn.XLOOKUP(A4354,'[1]Tissue Data'!$A:$A,'[1]Tissue Data'!$I:$I)</f>
        <v>gibbosus</v>
      </c>
      <c r="G4354" t="str">
        <f>_xlfn.XLOOKUP(A4354,'[1]Tissue Data'!$A:$A,'[1]Tissue Data'!J:J)</f>
        <v>U</v>
      </c>
      <c r="H4354" t="str">
        <f>_xlfn.XLOOKUP(A4354,'[1]Tissue Data'!$A:$A,'[1]Tissue Data'!K:K)</f>
        <v>Whole Body</v>
      </c>
      <c r="I4354">
        <f>_xlfn.XLOOKUP(A4354,'[1]Tissue Data'!$A:$A,'[1]Tissue Data'!L:L)</f>
        <v>7</v>
      </c>
      <c r="J4354">
        <f>_xlfn.XLOOKUP(A4354,'[1]Tissue Data'!$A:$A,'[1]Tissue Data'!M:M)</f>
        <v>10.31</v>
      </c>
      <c r="K4354" t="s">
        <v>14</v>
      </c>
      <c r="L4354" t="str">
        <f>_xlfn.XLOOKUP(K4354,[2]analyte_order!$B:$B,[2]analyte_order!$C:$C)</f>
        <v>307-24-4</v>
      </c>
      <c r="M4354">
        <f>_xlfn.XLOOKUP(L4354,[2]analyte_order!$C:$C,[2]analyte_order!$E:$E)</f>
        <v>3</v>
      </c>
      <c r="N4354">
        <v>3.6499999999999998E-2</v>
      </c>
    </row>
    <row r="4355" spans="1:14">
      <c r="A4355" t="s">
        <v>266</v>
      </c>
      <c r="B4355" t="str">
        <f>_xlfn.XLOOKUP(A4355,'[1]Tissue Data'!$A:$A,'[1]Tissue Data'!$C:$C)</f>
        <v>Spill</v>
      </c>
      <c r="C4355" s="2">
        <f>_xlfn.XLOOKUP(A4355,'[1]Tissue Data'!$A:$A,'[1]Tissue Data'!$D:$D)</f>
        <v>44393</v>
      </c>
      <c r="D4355" s="2" t="str">
        <f>_xlfn.XLOOKUP(A4355,'[1]Tissue Data'!$A:$A,'[1]Tissue Data'!$F:$F)</f>
        <v>Pumpkinseed</v>
      </c>
      <c r="E4355" t="str">
        <f>_xlfn.XLOOKUP(A4355,'[1]Tissue Data'!$A:$A,'[1]Tissue Data'!$H:$H)</f>
        <v>Lepomis</v>
      </c>
      <c r="F4355" t="str">
        <f>_xlfn.XLOOKUP(A4355,'[1]Tissue Data'!$A:$A,'[1]Tissue Data'!$I:$I)</f>
        <v>gibbosus</v>
      </c>
      <c r="G4355" t="str">
        <f>_xlfn.XLOOKUP(A4355,'[1]Tissue Data'!$A:$A,'[1]Tissue Data'!J:J)</f>
        <v>U</v>
      </c>
      <c r="H4355" t="str">
        <f>_xlfn.XLOOKUP(A4355,'[1]Tissue Data'!$A:$A,'[1]Tissue Data'!K:K)</f>
        <v>Whole Body</v>
      </c>
      <c r="I4355">
        <f>_xlfn.XLOOKUP(A4355,'[1]Tissue Data'!$A:$A,'[1]Tissue Data'!L:L)</f>
        <v>7</v>
      </c>
      <c r="J4355">
        <f>_xlfn.XLOOKUP(A4355,'[1]Tissue Data'!$A:$A,'[1]Tissue Data'!M:M)</f>
        <v>10.31</v>
      </c>
      <c r="K4355" t="s">
        <v>15</v>
      </c>
      <c r="L4355" t="str">
        <f>_xlfn.XLOOKUP(K4355,[2]analyte_order!$B:$B,[2]analyte_order!$C:$C)</f>
        <v>375-85-9</v>
      </c>
      <c r="M4355">
        <f>_xlfn.XLOOKUP(L4355,[2]analyte_order!$C:$C,[2]analyte_order!$E:$E)</f>
        <v>4</v>
      </c>
      <c r="N4355">
        <v>8.8999999999999996E-2</v>
      </c>
    </row>
    <row r="4356" spans="1:14">
      <c r="A4356" t="s">
        <v>266</v>
      </c>
      <c r="B4356" t="str">
        <f>_xlfn.XLOOKUP(A4356,'[1]Tissue Data'!$A:$A,'[1]Tissue Data'!$C:$C)</f>
        <v>Spill</v>
      </c>
      <c r="C4356" s="2">
        <f>_xlfn.XLOOKUP(A4356,'[1]Tissue Data'!$A:$A,'[1]Tissue Data'!$D:$D)</f>
        <v>44393</v>
      </c>
      <c r="D4356" s="2" t="str">
        <f>_xlfn.XLOOKUP(A4356,'[1]Tissue Data'!$A:$A,'[1]Tissue Data'!$F:$F)</f>
        <v>Pumpkinseed</v>
      </c>
      <c r="E4356" t="str">
        <f>_xlfn.XLOOKUP(A4356,'[1]Tissue Data'!$A:$A,'[1]Tissue Data'!$H:$H)</f>
        <v>Lepomis</v>
      </c>
      <c r="F4356" t="str">
        <f>_xlfn.XLOOKUP(A4356,'[1]Tissue Data'!$A:$A,'[1]Tissue Data'!$I:$I)</f>
        <v>gibbosus</v>
      </c>
      <c r="G4356" t="str">
        <f>_xlfn.XLOOKUP(A4356,'[1]Tissue Data'!$A:$A,'[1]Tissue Data'!J:J)</f>
        <v>U</v>
      </c>
      <c r="H4356" t="str">
        <f>_xlfn.XLOOKUP(A4356,'[1]Tissue Data'!$A:$A,'[1]Tissue Data'!K:K)</f>
        <v>Whole Body</v>
      </c>
      <c r="I4356">
        <f>_xlfn.XLOOKUP(A4356,'[1]Tissue Data'!$A:$A,'[1]Tissue Data'!L:L)</f>
        <v>7</v>
      </c>
      <c r="J4356">
        <f>_xlfn.XLOOKUP(A4356,'[1]Tissue Data'!$A:$A,'[1]Tissue Data'!M:M)</f>
        <v>10.31</v>
      </c>
      <c r="K4356" t="s">
        <v>16</v>
      </c>
      <c r="L4356" t="str">
        <f>_xlfn.XLOOKUP(K4356,[2]analyte_order!$B:$B,[2]analyte_order!$C:$C)</f>
        <v>335-67-1</v>
      </c>
      <c r="M4356">
        <f>_xlfn.XLOOKUP(L4356,[2]analyte_order!$C:$C,[2]analyte_order!$E:$E)</f>
        <v>5</v>
      </c>
      <c r="N4356">
        <v>1.24</v>
      </c>
    </row>
    <row r="4357" spans="1:14">
      <c r="A4357" t="s">
        <v>266</v>
      </c>
      <c r="B4357" t="str">
        <f>_xlfn.XLOOKUP(A4357,'[1]Tissue Data'!$A:$A,'[1]Tissue Data'!$C:$C)</f>
        <v>Spill</v>
      </c>
      <c r="C4357" s="2">
        <f>_xlfn.XLOOKUP(A4357,'[1]Tissue Data'!$A:$A,'[1]Tissue Data'!$D:$D)</f>
        <v>44393</v>
      </c>
      <c r="D4357" s="2" t="str">
        <f>_xlfn.XLOOKUP(A4357,'[1]Tissue Data'!$A:$A,'[1]Tissue Data'!$F:$F)</f>
        <v>Pumpkinseed</v>
      </c>
      <c r="E4357" t="str">
        <f>_xlfn.XLOOKUP(A4357,'[1]Tissue Data'!$A:$A,'[1]Tissue Data'!$H:$H)</f>
        <v>Lepomis</v>
      </c>
      <c r="F4357" t="str">
        <f>_xlfn.XLOOKUP(A4357,'[1]Tissue Data'!$A:$A,'[1]Tissue Data'!$I:$I)</f>
        <v>gibbosus</v>
      </c>
      <c r="G4357" t="str">
        <f>_xlfn.XLOOKUP(A4357,'[1]Tissue Data'!$A:$A,'[1]Tissue Data'!J:J)</f>
        <v>U</v>
      </c>
      <c r="H4357" t="str">
        <f>_xlfn.XLOOKUP(A4357,'[1]Tissue Data'!$A:$A,'[1]Tissue Data'!K:K)</f>
        <v>Whole Body</v>
      </c>
      <c r="I4357">
        <f>_xlfn.XLOOKUP(A4357,'[1]Tissue Data'!$A:$A,'[1]Tissue Data'!L:L)</f>
        <v>7</v>
      </c>
      <c r="J4357">
        <f>_xlfn.XLOOKUP(A4357,'[1]Tissue Data'!$A:$A,'[1]Tissue Data'!M:M)</f>
        <v>10.31</v>
      </c>
      <c r="K4357" t="s">
        <v>17</v>
      </c>
      <c r="L4357" t="str">
        <f>_xlfn.XLOOKUP(K4357,[2]analyte_order!$B:$B,[2]analyte_order!$C:$C)</f>
        <v>375-95-1</v>
      </c>
      <c r="M4357">
        <f>_xlfn.XLOOKUP(L4357,[2]analyte_order!$C:$C,[2]analyte_order!$E:$E)</f>
        <v>6</v>
      </c>
      <c r="N4357">
        <v>0.66400000000000003</v>
      </c>
    </row>
    <row r="4358" spans="1:14">
      <c r="A4358" t="s">
        <v>266</v>
      </c>
      <c r="B4358" t="str">
        <f>_xlfn.XLOOKUP(A4358,'[1]Tissue Data'!$A:$A,'[1]Tissue Data'!$C:$C)</f>
        <v>Spill</v>
      </c>
      <c r="C4358" s="2">
        <f>_xlfn.XLOOKUP(A4358,'[1]Tissue Data'!$A:$A,'[1]Tissue Data'!$D:$D)</f>
        <v>44393</v>
      </c>
      <c r="D4358" s="2" t="str">
        <f>_xlfn.XLOOKUP(A4358,'[1]Tissue Data'!$A:$A,'[1]Tissue Data'!$F:$F)</f>
        <v>Pumpkinseed</v>
      </c>
      <c r="E4358" t="str">
        <f>_xlfn.XLOOKUP(A4358,'[1]Tissue Data'!$A:$A,'[1]Tissue Data'!$H:$H)</f>
        <v>Lepomis</v>
      </c>
      <c r="F4358" t="str">
        <f>_xlfn.XLOOKUP(A4358,'[1]Tissue Data'!$A:$A,'[1]Tissue Data'!$I:$I)</f>
        <v>gibbosus</v>
      </c>
      <c r="G4358" t="str">
        <f>_xlfn.XLOOKUP(A4358,'[1]Tissue Data'!$A:$A,'[1]Tissue Data'!J:J)</f>
        <v>U</v>
      </c>
      <c r="H4358" t="str">
        <f>_xlfn.XLOOKUP(A4358,'[1]Tissue Data'!$A:$A,'[1]Tissue Data'!K:K)</f>
        <v>Whole Body</v>
      </c>
      <c r="I4358">
        <f>_xlfn.XLOOKUP(A4358,'[1]Tissue Data'!$A:$A,'[1]Tissue Data'!L:L)</f>
        <v>7</v>
      </c>
      <c r="J4358">
        <f>_xlfn.XLOOKUP(A4358,'[1]Tissue Data'!$A:$A,'[1]Tissue Data'!M:M)</f>
        <v>10.31</v>
      </c>
      <c r="K4358" t="s">
        <v>18</v>
      </c>
      <c r="L4358" t="str">
        <f>_xlfn.XLOOKUP(K4358,[2]analyte_order!$B:$B,[2]analyte_order!$C:$C)</f>
        <v>335-76-2</v>
      </c>
      <c r="M4358">
        <f>_xlfn.XLOOKUP(L4358,[2]analyte_order!$C:$C,[2]analyte_order!$E:$E)</f>
        <v>7</v>
      </c>
      <c r="N4358">
        <v>5</v>
      </c>
    </row>
    <row r="4359" spans="1:14">
      <c r="A4359" t="s">
        <v>266</v>
      </c>
      <c r="B4359" t="str">
        <f>_xlfn.XLOOKUP(A4359,'[1]Tissue Data'!$A:$A,'[1]Tissue Data'!$C:$C)</f>
        <v>Spill</v>
      </c>
      <c r="C4359" s="2">
        <f>_xlfn.XLOOKUP(A4359,'[1]Tissue Data'!$A:$A,'[1]Tissue Data'!$D:$D)</f>
        <v>44393</v>
      </c>
      <c r="D4359" s="2" t="str">
        <f>_xlfn.XLOOKUP(A4359,'[1]Tissue Data'!$A:$A,'[1]Tissue Data'!$F:$F)</f>
        <v>Pumpkinseed</v>
      </c>
      <c r="E4359" t="str">
        <f>_xlfn.XLOOKUP(A4359,'[1]Tissue Data'!$A:$A,'[1]Tissue Data'!$H:$H)</f>
        <v>Lepomis</v>
      </c>
      <c r="F4359" t="str">
        <f>_xlfn.XLOOKUP(A4359,'[1]Tissue Data'!$A:$A,'[1]Tissue Data'!$I:$I)</f>
        <v>gibbosus</v>
      </c>
      <c r="G4359" t="str">
        <f>_xlfn.XLOOKUP(A4359,'[1]Tissue Data'!$A:$A,'[1]Tissue Data'!J:J)</f>
        <v>U</v>
      </c>
      <c r="H4359" t="str">
        <f>_xlfn.XLOOKUP(A4359,'[1]Tissue Data'!$A:$A,'[1]Tissue Data'!K:K)</f>
        <v>Whole Body</v>
      </c>
      <c r="I4359">
        <f>_xlfn.XLOOKUP(A4359,'[1]Tissue Data'!$A:$A,'[1]Tissue Data'!L:L)</f>
        <v>7</v>
      </c>
      <c r="J4359">
        <f>_xlfn.XLOOKUP(A4359,'[1]Tissue Data'!$A:$A,'[1]Tissue Data'!M:M)</f>
        <v>10.31</v>
      </c>
      <c r="K4359" t="s">
        <v>19</v>
      </c>
      <c r="L4359" t="str">
        <f>_xlfn.XLOOKUP(K4359,[2]analyte_order!$B:$B,[2]analyte_order!$C:$C)</f>
        <v>2058-94-8</v>
      </c>
      <c r="M4359">
        <f>_xlfn.XLOOKUP(L4359,[2]analyte_order!$C:$C,[2]analyte_order!$E:$E)</f>
        <v>8</v>
      </c>
      <c r="N4359">
        <v>5.09</v>
      </c>
    </row>
    <row r="4360" spans="1:14">
      <c r="A4360" t="s">
        <v>266</v>
      </c>
      <c r="B4360" t="str">
        <f>_xlfn.XLOOKUP(A4360,'[1]Tissue Data'!$A:$A,'[1]Tissue Data'!$C:$C)</f>
        <v>Spill</v>
      </c>
      <c r="C4360" s="2">
        <f>_xlfn.XLOOKUP(A4360,'[1]Tissue Data'!$A:$A,'[1]Tissue Data'!$D:$D)</f>
        <v>44393</v>
      </c>
      <c r="D4360" s="2" t="str">
        <f>_xlfn.XLOOKUP(A4360,'[1]Tissue Data'!$A:$A,'[1]Tissue Data'!$F:$F)</f>
        <v>Pumpkinseed</v>
      </c>
      <c r="E4360" t="str">
        <f>_xlfn.XLOOKUP(A4360,'[1]Tissue Data'!$A:$A,'[1]Tissue Data'!$H:$H)</f>
        <v>Lepomis</v>
      </c>
      <c r="F4360" t="str">
        <f>_xlfn.XLOOKUP(A4360,'[1]Tissue Data'!$A:$A,'[1]Tissue Data'!$I:$I)</f>
        <v>gibbosus</v>
      </c>
      <c r="G4360" t="str">
        <f>_xlfn.XLOOKUP(A4360,'[1]Tissue Data'!$A:$A,'[1]Tissue Data'!J:J)</f>
        <v>U</v>
      </c>
      <c r="H4360" t="str">
        <f>_xlfn.XLOOKUP(A4360,'[1]Tissue Data'!$A:$A,'[1]Tissue Data'!K:K)</f>
        <v>Whole Body</v>
      </c>
      <c r="I4360">
        <f>_xlfn.XLOOKUP(A4360,'[1]Tissue Data'!$A:$A,'[1]Tissue Data'!L:L)</f>
        <v>7</v>
      </c>
      <c r="J4360">
        <f>_xlfn.XLOOKUP(A4360,'[1]Tissue Data'!$A:$A,'[1]Tissue Data'!M:M)</f>
        <v>10.31</v>
      </c>
      <c r="K4360" t="s">
        <v>20</v>
      </c>
      <c r="L4360" t="str">
        <f>_xlfn.XLOOKUP(K4360,[2]analyte_order!$B:$B,[2]analyte_order!$C:$C)</f>
        <v>307-55-1</v>
      </c>
      <c r="M4360">
        <f>_xlfn.XLOOKUP(L4360,[2]analyte_order!$C:$C,[2]analyte_order!$E:$E)</f>
        <v>9</v>
      </c>
      <c r="N4360">
        <v>7.32</v>
      </c>
    </row>
    <row r="4361" spans="1:14">
      <c r="A4361" t="s">
        <v>266</v>
      </c>
      <c r="B4361" t="str">
        <f>_xlfn.XLOOKUP(A4361,'[1]Tissue Data'!$A:$A,'[1]Tissue Data'!$C:$C)</f>
        <v>Spill</v>
      </c>
      <c r="C4361" s="2">
        <f>_xlfn.XLOOKUP(A4361,'[1]Tissue Data'!$A:$A,'[1]Tissue Data'!$D:$D)</f>
        <v>44393</v>
      </c>
      <c r="D4361" s="2" t="str">
        <f>_xlfn.XLOOKUP(A4361,'[1]Tissue Data'!$A:$A,'[1]Tissue Data'!$F:$F)</f>
        <v>Pumpkinseed</v>
      </c>
      <c r="E4361" t="str">
        <f>_xlfn.XLOOKUP(A4361,'[1]Tissue Data'!$A:$A,'[1]Tissue Data'!$H:$H)</f>
        <v>Lepomis</v>
      </c>
      <c r="F4361" t="str">
        <f>_xlfn.XLOOKUP(A4361,'[1]Tissue Data'!$A:$A,'[1]Tissue Data'!$I:$I)</f>
        <v>gibbosus</v>
      </c>
      <c r="G4361" t="str">
        <f>_xlfn.XLOOKUP(A4361,'[1]Tissue Data'!$A:$A,'[1]Tissue Data'!J:J)</f>
        <v>U</v>
      </c>
      <c r="H4361" t="str">
        <f>_xlfn.XLOOKUP(A4361,'[1]Tissue Data'!$A:$A,'[1]Tissue Data'!K:K)</f>
        <v>Whole Body</v>
      </c>
      <c r="I4361">
        <f>_xlfn.XLOOKUP(A4361,'[1]Tissue Data'!$A:$A,'[1]Tissue Data'!L:L)</f>
        <v>7</v>
      </c>
      <c r="J4361">
        <f>_xlfn.XLOOKUP(A4361,'[1]Tissue Data'!$A:$A,'[1]Tissue Data'!M:M)</f>
        <v>10.31</v>
      </c>
      <c r="K4361" t="s">
        <v>21</v>
      </c>
      <c r="L4361" t="str">
        <f>_xlfn.XLOOKUP(K4361,[2]analyte_order!$B:$B,[2]analyte_order!$C:$C)</f>
        <v>72629-94-8</v>
      </c>
      <c r="M4361">
        <f>_xlfn.XLOOKUP(L4361,[2]analyte_order!$C:$C,[2]analyte_order!$E:$E)</f>
        <v>10</v>
      </c>
      <c r="N4361">
        <v>1.72</v>
      </c>
    </row>
    <row r="4362" spans="1:14">
      <c r="A4362" t="s">
        <v>266</v>
      </c>
      <c r="B4362" t="str">
        <f>_xlfn.XLOOKUP(A4362,'[1]Tissue Data'!$A:$A,'[1]Tissue Data'!$C:$C)</f>
        <v>Spill</v>
      </c>
      <c r="C4362" s="2">
        <f>_xlfn.XLOOKUP(A4362,'[1]Tissue Data'!$A:$A,'[1]Tissue Data'!$D:$D)</f>
        <v>44393</v>
      </c>
      <c r="D4362" s="2" t="str">
        <f>_xlfn.XLOOKUP(A4362,'[1]Tissue Data'!$A:$A,'[1]Tissue Data'!$F:$F)</f>
        <v>Pumpkinseed</v>
      </c>
      <c r="E4362" t="str">
        <f>_xlfn.XLOOKUP(A4362,'[1]Tissue Data'!$A:$A,'[1]Tissue Data'!$H:$H)</f>
        <v>Lepomis</v>
      </c>
      <c r="F4362" t="str">
        <f>_xlfn.XLOOKUP(A4362,'[1]Tissue Data'!$A:$A,'[1]Tissue Data'!$I:$I)</f>
        <v>gibbosus</v>
      </c>
      <c r="G4362" t="str">
        <f>_xlfn.XLOOKUP(A4362,'[1]Tissue Data'!$A:$A,'[1]Tissue Data'!J:J)</f>
        <v>U</v>
      </c>
      <c r="H4362" t="str">
        <f>_xlfn.XLOOKUP(A4362,'[1]Tissue Data'!$A:$A,'[1]Tissue Data'!K:K)</f>
        <v>Whole Body</v>
      </c>
      <c r="I4362">
        <f>_xlfn.XLOOKUP(A4362,'[1]Tissue Data'!$A:$A,'[1]Tissue Data'!L:L)</f>
        <v>7</v>
      </c>
      <c r="J4362">
        <f>_xlfn.XLOOKUP(A4362,'[1]Tissue Data'!$A:$A,'[1]Tissue Data'!M:M)</f>
        <v>10.31</v>
      </c>
      <c r="K4362" t="s">
        <v>22</v>
      </c>
      <c r="L4362" t="str">
        <f>_xlfn.XLOOKUP(K4362,[2]analyte_order!$B:$B,[2]analyte_order!$C:$C)</f>
        <v>376-06-7</v>
      </c>
      <c r="M4362">
        <f>_xlfn.XLOOKUP(L4362,[2]analyte_order!$C:$C,[2]analyte_order!$E:$E)</f>
        <v>11</v>
      </c>
      <c r="N4362">
        <v>5.7</v>
      </c>
    </row>
    <row r="4363" spans="1:14">
      <c r="A4363" t="s">
        <v>266</v>
      </c>
      <c r="B4363" t="str">
        <f>_xlfn.XLOOKUP(A4363,'[1]Tissue Data'!$A:$A,'[1]Tissue Data'!$C:$C)</f>
        <v>Spill</v>
      </c>
      <c r="C4363" s="2">
        <f>_xlfn.XLOOKUP(A4363,'[1]Tissue Data'!$A:$A,'[1]Tissue Data'!$D:$D)</f>
        <v>44393</v>
      </c>
      <c r="D4363" s="2" t="str">
        <f>_xlfn.XLOOKUP(A4363,'[1]Tissue Data'!$A:$A,'[1]Tissue Data'!$F:$F)</f>
        <v>Pumpkinseed</v>
      </c>
      <c r="E4363" t="str">
        <f>_xlfn.XLOOKUP(A4363,'[1]Tissue Data'!$A:$A,'[1]Tissue Data'!$H:$H)</f>
        <v>Lepomis</v>
      </c>
      <c r="F4363" t="str">
        <f>_xlfn.XLOOKUP(A4363,'[1]Tissue Data'!$A:$A,'[1]Tissue Data'!$I:$I)</f>
        <v>gibbosus</v>
      </c>
      <c r="G4363" t="str">
        <f>_xlfn.XLOOKUP(A4363,'[1]Tissue Data'!$A:$A,'[1]Tissue Data'!J:J)</f>
        <v>U</v>
      </c>
      <c r="H4363" t="str">
        <f>_xlfn.XLOOKUP(A4363,'[1]Tissue Data'!$A:$A,'[1]Tissue Data'!K:K)</f>
        <v>Whole Body</v>
      </c>
      <c r="I4363">
        <f>_xlfn.XLOOKUP(A4363,'[1]Tissue Data'!$A:$A,'[1]Tissue Data'!L:L)</f>
        <v>7</v>
      </c>
      <c r="J4363">
        <f>_xlfn.XLOOKUP(A4363,'[1]Tissue Data'!$A:$A,'[1]Tissue Data'!M:M)</f>
        <v>10.31</v>
      </c>
      <c r="K4363" t="s">
        <v>23</v>
      </c>
      <c r="L4363" t="str">
        <f>_xlfn.XLOOKUP(K4363,[2]analyte_order!$B:$B,[2]analyte_order!$C:$C)</f>
        <v>67905-19-5</v>
      </c>
      <c r="M4363">
        <f>_xlfn.XLOOKUP(L4363,[2]analyte_order!$C:$C,[2]analyte_order!$E:$E)</f>
        <v>12</v>
      </c>
      <c r="N4363">
        <v>8.0500000000000002E-2</v>
      </c>
    </row>
    <row r="4364" spans="1:14">
      <c r="A4364" t="s">
        <v>266</v>
      </c>
      <c r="B4364" t="str">
        <f>_xlfn.XLOOKUP(A4364,'[1]Tissue Data'!$A:$A,'[1]Tissue Data'!$C:$C)</f>
        <v>Spill</v>
      </c>
      <c r="C4364" s="2">
        <f>_xlfn.XLOOKUP(A4364,'[1]Tissue Data'!$A:$A,'[1]Tissue Data'!$D:$D)</f>
        <v>44393</v>
      </c>
      <c r="D4364" s="2" t="str">
        <f>_xlfn.XLOOKUP(A4364,'[1]Tissue Data'!$A:$A,'[1]Tissue Data'!$F:$F)</f>
        <v>Pumpkinseed</v>
      </c>
      <c r="E4364" t="str">
        <f>_xlfn.XLOOKUP(A4364,'[1]Tissue Data'!$A:$A,'[1]Tissue Data'!$H:$H)</f>
        <v>Lepomis</v>
      </c>
      <c r="F4364" t="str">
        <f>_xlfn.XLOOKUP(A4364,'[1]Tissue Data'!$A:$A,'[1]Tissue Data'!$I:$I)</f>
        <v>gibbosus</v>
      </c>
      <c r="G4364" t="str">
        <f>_xlfn.XLOOKUP(A4364,'[1]Tissue Data'!$A:$A,'[1]Tissue Data'!J:J)</f>
        <v>U</v>
      </c>
      <c r="H4364" t="str">
        <f>_xlfn.XLOOKUP(A4364,'[1]Tissue Data'!$A:$A,'[1]Tissue Data'!K:K)</f>
        <v>Whole Body</v>
      </c>
      <c r="I4364">
        <f>_xlfn.XLOOKUP(A4364,'[1]Tissue Data'!$A:$A,'[1]Tissue Data'!L:L)</f>
        <v>7</v>
      </c>
      <c r="J4364">
        <f>_xlfn.XLOOKUP(A4364,'[1]Tissue Data'!$A:$A,'[1]Tissue Data'!M:M)</f>
        <v>10.31</v>
      </c>
      <c r="K4364" t="s">
        <v>24</v>
      </c>
      <c r="L4364" t="str">
        <f>_xlfn.XLOOKUP(K4364,[2]analyte_order!$B:$B,[2]analyte_order!$C:$C)</f>
        <v>423-41-6</v>
      </c>
      <c r="M4364">
        <f>_xlfn.XLOOKUP(L4364,[2]analyte_order!$C:$C,[2]analyte_order!$E:$E)</f>
        <v>53</v>
      </c>
      <c r="N4364">
        <v>5.1499999999999997E-2</v>
      </c>
    </row>
    <row r="4365" spans="1:14">
      <c r="A4365" t="s">
        <v>266</v>
      </c>
      <c r="B4365" t="str">
        <f>_xlfn.XLOOKUP(A4365,'[1]Tissue Data'!$A:$A,'[1]Tissue Data'!$C:$C)</f>
        <v>Spill</v>
      </c>
      <c r="C4365" s="2">
        <f>_xlfn.XLOOKUP(A4365,'[1]Tissue Data'!$A:$A,'[1]Tissue Data'!$D:$D)</f>
        <v>44393</v>
      </c>
      <c r="D4365" s="2" t="str">
        <f>_xlfn.XLOOKUP(A4365,'[1]Tissue Data'!$A:$A,'[1]Tissue Data'!$F:$F)</f>
        <v>Pumpkinseed</v>
      </c>
      <c r="E4365" t="str">
        <f>_xlfn.XLOOKUP(A4365,'[1]Tissue Data'!$A:$A,'[1]Tissue Data'!$H:$H)</f>
        <v>Lepomis</v>
      </c>
      <c r="F4365" t="str">
        <f>_xlfn.XLOOKUP(A4365,'[1]Tissue Data'!$A:$A,'[1]Tissue Data'!$I:$I)</f>
        <v>gibbosus</v>
      </c>
      <c r="G4365" t="str">
        <f>_xlfn.XLOOKUP(A4365,'[1]Tissue Data'!$A:$A,'[1]Tissue Data'!J:J)</f>
        <v>U</v>
      </c>
      <c r="H4365" t="str">
        <f>_xlfn.XLOOKUP(A4365,'[1]Tissue Data'!$A:$A,'[1]Tissue Data'!K:K)</f>
        <v>Whole Body</v>
      </c>
      <c r="I4365">
        <f>_xlfn.XLOOKUP(A4365,'[1]Tissue Data'!$A:$A,'[1]Tissue Data'!L:L)</f>
        <v>7</v>
      </c>
      <c r="J4365">
        <f>_xlfn.XLOOKUP(A4365,'[1]Tissue Data'!$A:$A,'[1]Tissue Data'!M:M)</f>
        <v>10.31</v>
      </c>
      <c r="K4365" t="s">
        <v>25</v>
      </c>
      <c r="L4365" t="str">
        <f>_xlfn.XLOOKUP(K4365,[2]analyte_order!$B:$B,[2]analyte_order!$C:$C)</f>
        <v>375-73-5</v>
      </c>
      <c r="M4365">
        <f>_xlfn.XLOOKUP(L4365,[2]analyte_order!$C:$C,[2]analyte_order!$E:$E)</f>
        <v>14</v>
      </c>
      <c r="N4365">
        <v>0.1515</v>
      </c>
    </row>
    <row r="4366" spans="1:14">
      <c r="A4366" t="s">
        <v>266</v>
      </c>
      <c r="B4366" t="str">
        <f>_xlfn.XLOOKUP(A4366,'[1]Tissue Data'!$A:$A,'[1]Tissue Data'!$C:$C)</f>
        <v>Spill</v>
      </c>
      <c r="C4366" s="2">
        <f>_xlfn.XLOOKUP(A4366,'[1]Tissue Data'!$A:$A,'[1]Tissue Data'!$D:$D)</f>
        <v>44393</v>
      </c>
      <c r="D4366" s="2" t="str">
        <f>_xlfn.XLOOKUP(A4366,'[1]Tissue Data'!$A:$A,'[1]Tissue Data'!$F:$F)</f>
        <v>Pumpkinseed</v>
      </c>
      <c r="E4366" t="str">
        <f>_xlfn.XLOOKUP(A4366,'[1]Tissue Data'!$A:$A,'[1]Tissue Data'!$H:$H)</f>
        <v>Lepomis</v>
      </c>
      <c r="F4366" t="str">
        <f>_xlfn.XLOOKUP(A4366,'[1]Tissue Data'!$A:$A,'[1]Tissue Data'!$I:$I)</f>
        <v>gibbosus</v>
      </c>
      <c r="G4366" t="str">
        <f>_xlfn.XLOOKUP(A4366,'[1]Tissue Data'!$A:$A,'[1]Tissue Data'!J:J)</f>
        <v>U</v>
      </c>
      <c r="H4366" t="str">
        <f>_xlfn.XLOOKUP(A4366,'[1]Tissue Data'!$A:$A,'[1]Tissue Data'!K:K)</f>
        <v>Whole Body</v>
      </c>
      <c r="I4366">
        <f>_xlfn.XLOOKUP(A4366,'[1]Tissue Data'!$A:$A,'[1]Tissue Data'!L:L)</f>
        <v>7</v>
      </c>
      <c r="J4366">
        <f>_xlfn.XLOOKUP(A4366,'[1]Tissue Data'!$A:$A,'[1]Tissue Data'!M:M)</f>
        <v>10.31</v>
      </c>
      <c r="K4366" t="s">
        <v>26</v>
      </c>
      <c r="L4366" t="str">
        <f>_xlfn.XLOOKUP(K4366,[2]analyte_order!$B:$B,[2]analyte_order!$C:$C)</f>
        <v>2706-91-4</v>
      </c>
      <c r="M4366">
        <f>_xlfn.XLOOKUP(L4366,[2]analyte_order!$C:$C,[2]analyte_order!$E:$E)</f>
        <v>15</v>
      </c>
      <c r="N4366">
        <v>0.11799999999999999</v>
      </c>
    </row>
    <row r="4367" spans="1:14">
      <c r="A4367" t="s">
        <v>266</v>
      </c>
      <c r="B4367" t="str">
        <f>_xlfn.XLOOKUP(A4367,'[1]Tissue Data'!$A:$A,'[1]Tissue Data'!$C:$C)</f>
        <v>Spill</v>
      </c>
      <c r="C4367" s="2">
        <f>_xlfn.XLOOKUP(A4367,'[1]Tissue Data'!$A:$A,'[1]Tissue Data'!$D:$D)</f>
        <v>44393</v>
      </c>
      <c r="D4367" s="2" t="str">
        <f>_xlfn.XLOOKUP(A4367,'[1]Tissue Data'!$A:$A,'[1]Tissue Data'!$F:$F)</f>
        <v>Pumpkinseed</v>
      </c>
      <c r="E4367" t="str">
        <f>_xlfn.XLOOKUP(A4367,'[1]Tissue Data'!$A:$A,'[1]Tissue Data'!$H:$H)</f>
        <v>Lepomis</v>
      </c>
      <c r="F4367" t="str">
        <f>_xlfn.XLOOKUP(A4367,'[1]Tissue Data'!$A:$A,'[1]Tissue Data'!$I:$I)</f>
        <v>gibbosus</v>
      </c>
      <c r="G4367" t="str">
        <f>_xlfn.XLOOKUP(A4367,'[1]Tissue Data'!$A:$A,'[1]Tissue Data'!J:J)</f>
        <v>U</v>
      </c>
      <c r="H4367" t="str">
        <f>_xlfn.XLOOKUP(A4367,'[1]Tissue Data'!$A:$A,'[1]Tissue Data'!K:K)</f>
        <v>Whole Body</v>
      </c>
      <c r="I4367">
        <f>_xlfn.XLOOKUP(A4367,'[1]Tissue Data'!$A:$A,'[1]Tissue Data'!L:L)</f>
        <v>7</v>
      </c>
      <c r="J4367">
        <f>_xlfn.XLOOKUP(A4367,'[1]Tissue Data'!$A:$A,'[1]Tissue Data'!M:M)</f>
        <v>10.31</v>
      </c>
      <c r="K4367" t="s">
        <v>27</v>
      </c>
      <c r="L4367" t="str">
        <f>_xlfn.XLOOKUP(K4367,[2]analyte_order!$B:$B,[2]analyte_order!$C:$C)</f>
        <v>355-46-4</v>
      </c>
      <c r="M4367">
        <f>_xlfn.XLOOKUP(L4367,[2]analyte_order!$C:$C,[2]analyte_order!$E:$E)</f>
        <v>16</v>
      </c>
      <c r="N4367">
        <v>12.5</v>
      </c>
    </row>
    <row r="4368" spans="1:14">
      <c r="A4368" t="s">
        <v>266</v>
      </c>
      <c r="B4368" t="str">
        <f>_xlfn.XLOOKUP(A4368,'[1]Tissue Data'!$A:$A,'[1]Tissue Data'!$C:$C)</f>
        <v>Spill</v>
      </c>
      <c r="C4368" s="2">
        <f>_xlfn.XLOOKUP(A4368,'[1]Tissue Data'!$A:$A,'[1]Tissue Data'!$D:$D)</f>
        <v>44393</v>
      </c>
      <c r="D4368" s="2" t="str">
        <f>_xlfn.XLOOKUP(A4368,'[1]Tissue Data'!$A:$A,'[1]Tissue Data'!$F:$F)</f>
        <v>Pumpkinseed</v>
      </c>
      <c r="E4368" t="str">
        <f>_xlfn.XLOOKUP(A4368,'[1]Tissue Data'!$A:$A,'[1]Tissue Data'!$H:$H)</f>
        <v>Lepomis</v>
      </c>
      <c r="F4368" t="str">
        <f>_xlfn.XLOOKUP(A4368,'[1]Tissue Data'!$A:$A,'[1]Tissue Data'!$I:$I)</f>
        <v>gibbosus</v>
      </c>
      <c r="G4368" t="str">
        <f>_xlfn.XLOOKUP(A4368,'[1]Tissue Data'!$A:$A,'[1]Tissue Data'!J:J)</f>
        <v>U</v>
      </c>
      <c r="H4368" t="str">
        <f>_xlfn.XLOOKUP(A4368,'[1]Tissue Data'!$A:$A,'[1]Tissue Data'!K:K)</f>
        <v>Whole Body</v>
      </c>
      <c r="I4368">
        <f>_xlfn.XLOOKUP(A4368,'[1]Tissue Data'!$A:$A,'[1]Tissue Data'!L:L)</f>
        <v>7</v>
      </c>
      <c r="J4368">
        <f>_xlfn.XLOOKUP(A4368,'[1]Tissue Data'!$A:$A,'[1]Tissue Data'!M:M)</f>
        <v>10.31</v>
      </c>
      <c r="K4368" t="s">
        <v>28</v>
      </c>
      <c r="L4368" t="str">
        <f>_xlfn.XLOOKUP(K4368,[2]analyte_order!$B:$B,[2]analyte_order!$C:$C)</f>
        <v>375-92-8</v>
      </c>
      <c r="M4368">
        <f>_xlfn.XLOOKUP(L4368,[2]analyte_order!$C:$C,[2]analyte_order!$E:$E)</f>
        <v>17</v>
      </c>
      <c r="N4368">
        <v>1.67</v>
      </c>
    </row>
    <row r="4369" spans="1:14">
      <c r="A4369" t="s">
        <v>266</v>
      </c>
      <c r="B4369" t="str">
        <f>_xlfn.XLOOKUP(A4369,'[1]Tissue Data'!$A:$A,'[1]Tissue Data'!$C:$C)</f>
        <v>Spill</v>
      </c>
      <c r="C4369" s="2">
        <f>_xlfn.XLOOKUP(A4369,'[1]Tissue Data'!$A:$A,'[1]Tissue Data'!$D:$D)</f>
        <v>44393</v>
      </c>
      <c r="D4369" s="2" t="str">
        <f>_xlfn.XLOOKUP(A4369,'[1]Tissue Data'!$A:$A,'[1]Tissue Data'!$F:$F)</f>
        <v>Pumpkinseed</v>
      </c>
      <c r="E4369" t="str">
        <f>_xlfn.XLOOKUP(A4369,'[1]Tissue Data'!$A:$A,'[1]Tissue Data'!$H:$H)</f>
        <v>Lepomis</v>
      </c>
      <c r="F4369" t="str">
        <f>_xlfn.XLOOKUP(A4369,'[1]Tissue Data'!$A:$A,'[1]Tissue Data'!$I:$I)</f>
        <v>gibbosus</v>
      </c>
      <c r="G4369" t="str">
        <f>_xlfn.XLOOKUP(A4369,'[1]Tissue Data'!$A:$A,'[1]Tissue Data'!J:J)</f>
        <v>U</v>
      </c>
      <c r="H4369" t="str">
        <f>_xlfn.XLOOKUP(A4369,'[1]Tissue Data'!$A:$A,'[1]Tissue Data'!K:K)</f>
        <v>Whole Body</v>
      </c>
      <c r="I4369">
        <f>_xlfn.XLOOKUP(A4369,'[1]Tissue Data'!$A:$A,'[1]Tissue Data'!L:L)</f>
        <v>7</v>
      </c>
      <c r="J4369">
        <f>_xlfn.XLOOKUP(A4369,'[1]Tissue Data'!$A:$A,'[1]Tissue Data'!M:M)</f>
        <v>10.31</v>
      </c>
      <c r="K4369" t="s">
        <v>29</v>
      </c>
      <c r="L4369" t="str">
        <f>_xlfn.XLOOKUP(K4369,[2]analyte_order!$B:$B,[2]analyte_order!$C:$C)</f>
        <v>1763-23-1</v>
      </c>
      <c r="M4369">
        <f>_xlfn.XLOOKUP(L4369,[2]analyte_order!$C:$C,[2]analyte_order!$E:$E)</f>
        <v>18</v>
      </c>
      <c r="N4369">
        <v>1290</v>
      </c>
    </row>
    <row r="4370" spans="1:14">
      <c r="A4370" t="s">
        <v>266</v>
      </c>
      <c r="B4370" t="str">
        <f>_xlfn.XLOOKUP(A4370,'[1]Tissue Data'!$A:$A,'[1]Tissue Data'!$C:$C)</f>
        <v>Spill</v>
      </c>
      <c r="C4370" s="2">
        <f>_xlfn.XLOOKUP(A4370,'[1]Tissue Data'!$A:$A,'[1]Tissue Data'!$D:$D)</f>
        <v>44393</v>
      </c>
      <c r="D4370" s="2" t="str">
        <f>_xlfn.XLOOKUP(A4370,'[1]Tissue Data'!$A:$A,'[1]Tissue Data'!$F:$F)</f>
        <v>Pumpkinseed</v>
      </c>
      <c r="E4370" t="str">
        <f>_xlfn.XLOOKUP(A4370,'[1]Tissue Data'!$A:$A,'[1]Tissue Data'!$H:$H)</f>
        <v>Lepomis</v>
      </c>
      <c r="F4370" t="str">
        <f>_xlfn.XLOOKUP(A4370,'[1]Tissue Data'!$A:$A,'[1]Tissue Data'!$I:$I)</f>
        <v>gibbosus</v>
      </c>
      <c r="G4370" t="str">
        <f>_xlfn.XLOOKUP(A4370,'[1]Tissue Data'!$A:$A,'[1]Tissue Data'!J:J)</f>
        <v>U</v>
      </c>
      <c r="H4370" t="str">
        <f>_xlfn.XLOOKUP(A4370,'[1]Tissue Data'!$A:$A,'[1]Tissue Data'!K:K)</f>
        <v>Whole Body</v>
      </c>
      <c r="I4370">
        <f>_xlfn.XLOOKUP(A4370,'[1]Tissue Data'!$A:$A,'[1]Tissue Data'!L:L)</f>
        <v>7</v>
      </c>
      <c r="J4370">
        <f>_xlfn.XLOOKUP(A4370,'[1]Tissue Data'!$A:$A,'[1]Tissue Data'!M:M)</f>
        <v>10.31</v>
      </c>
      <c r="K4370" t="s">
        <v>30</v>
      </c>
      <c r="L4370" t="str">
        <f>_xlfn.XLOOKUP(K4370,[2]analyte_order!$B:$B,[2]analyte_order!$C:$C)</f>
        <v>68259-12-1</v>
      </c>
      <c r="M4370">
        <f>_xlfn.XLOOKUP(L4370,[2]analyte_order!$C:$C,[2]analyte_order!$E:$E)</f>
        <v>19</v>
      </c>
      <c r="N4370">
        <v>1.58</v>
      </c>
    </row>
    <row r="4371" spans="1:14">
      <c r="A4371" t="s">
        <v>266</v>
      </c>
      <c r="B4371" t="str">
        <f>_xlfn.XLOOKUP(A4371,'[1]Tissue Data'!$A:$A,'[1]Tissue Data'!$C:$C)</f>
        <v>Spill</v>
      </c>
      <c r="C4371" s="2">
        <f>_xlfn.XLOOKUP(A4371,'[1]Tissue Data'!$A:$A,'[1]Tissue Data'!$D:$D)</f>
        <v>44393</v>
      </c>
      <c r="D4371" s="2" t="str">
        <f>_xlfn.XLOOKUP(A4371,'[1]Tissue Data'!$A:$A,'[1]Tissue Data'!$F:$F)</f>
        <v>Pumpkinseed</v>
      </c>
      <c r="E4371" t="str">
        <f>_xlfn.XLOOKUP(A4371,'[1]Tissue Data'!$A:$A,'[1]Tissue Data'!$H:$H)</f>
        <v>Lepomis</v>
      </c>
      <c r="F4371" t="str">
        <f>_xlfn.XLOOKUP(A4371,'[1]Tissue Data'!$A:$A,'[1]Tissue Data'!$I:$I)</f>
        <v>gibbosus</v>
      </c>
      <c r="G4371" t="str">
        <f>_xlfn.XLOOKUP(A4371,'[1]Tissue Data'!$A:$A,'[1]Tissue Data'!J:J)</f>
        <v>U</v>
      </c>
      <c r="H4371" t="str">
        <f>_xlfn.XLOOKUP(A4371,'[1]Tissue Data'!$A:$A,'[1]Tissue Data'!K:K)</f>
        <v>Whole Body</v>
      </c>
      <c r="I4371">
        <f>_xlfn.XLOOKUP(A4371,'[1]Tissue Data'!$A:$A,'[1]Tissue Data'!L:L)</f>
        <v>7</v>
      </c>
      <c r="J4371">
        <f>_xlfn.XLOOKUP(A4371,'[1]Tissue Data'!$A:$A,'[1]Tissue Data'!M:M)</f>
        <v>10.31</v>
      </c>
      <c r="K4371" t="s">
        <v>31</v>
      </c>
      <c r="L4371" t="str">
        <f>_xlfn.XLOOKUP(K4371,[2]analyte_order!$B:$B,[2]analyte_order!$C:$C)</f>
        <v>335-77-3</v>
      </c>
      <c r="M4371">
        <f>_xlfn.XLOOKUP(L4371,[2]analyte_order!$C:$C,[2]analyte_order!$E:$E)</f>
        <v>20</v>
      </c>
      <c r="N4371">
        <v>1.1000000000000001</v>
      </c>
    </row>
    <row r="4372" spans="1:14">
      <c r="A4372" t="s">
        <v>266</v>
      </c>
      <c r="B4372" t="str">
        <f>_xlfn.XLOOKUP(A4372,'[1]Tissue Data'!$A:$A,'[1]Tissue Data'!$C:$C)</f>
        <v>Spill</v>
      </c>
      <c r="C4372" s="2">
        <f>_xlfn.XLOOKUP(A4372,'[1]Tissue Data'!$A:$A,'[1]Tissue Data'!$D:$D)</f>
        <v>44393</v>
      </c>
      <c r="D4372" s="2" t="str">
        <f>_xlfn.XLOOKUP(A4372,'[1]Tissue Data'!$A:$A,'[1]Tissue Data'!$F:$F)</f>
        <v>Pumpkinseed</v>
      </c>
      <c r="E4372" t="str">
        <f>_xlfn.XLOOKUP(A4372,'[1]Tissue Data'!$A:$A,'[1]Tissue Data'!$H:$H)</f>
        <v>Lepomis</v>
      </c>
      <c r="F4372" t="str">
        <f>_xlfn.XLOOKUP(A4372,'[1]Tissue Data'!$A:$A,'[1]Tissue Data'!$I:$I)</f>
        <v>gibbosus</v>
      </c>
      <c r="G4372" t="str">
        <f>_xlfn.XLOOKUP(A4372,'[1]Tissue Data'!$A:$A,'[1]Tissue Data'!J:J)</f>
        <v>U</v>
      </c>
      <c r="H4372" t="str">
        <f>_xlfn.XLOOKUP(A4372,'[1]Tissue Data'!$A:$A,'[1]Tissue Data'!K:K)</f>
        <v>Whole Body</v>
      </c>
      <c r="I4372">
        <f>_xlfn.XLOOKUP(A4372,'[1]Tissue Data'!$A:$A,'[1]Tissue Data'!L:L)</f>
        <v>7</v>
      </c>
      <c r="J4372">
        <f>_xlfn.XLOOKUP(A4372,'[1]Tissue Data'!$A:$A,'[1]Tissue Data'!M:M)</f>
        <v>10.31</v>
      </c>
      <c r="K4372" t="s">
        <v>32</v>
      </c>
      <c r="L4372" t="str">
        <f>_xlfn.XLOOKUP(K4372,[2]analyte_order!$B:$B,[2]analyte_order!$C:$C)</f>
        <v>79780-39-5</v>
      </c>
      <c r="M4372">
        <f>_xlfn.XLOOKUP(L4372,[2]analyte_order!$C:$C,[2]analyte_order!$E:$E)</f>
        <v>21</v>
      </c>
      <c r="N4372">
        <v>0.23849999999999999</v>
      </c>
    </row>
    <row r="4373" spans="1:14">
      <c r="A4373" t="s">
        <v>266</v>
      </c>
      <c r="B4373" t="str">
        <f>_xlfn.XLOOKUP(A4373,'[1]Tissue Data'!$A:$A,'[1]Tissue Data'!$C:$C)</f>
        <v>Spill</v>
      </c>
      <c r="C4373" s="2">
        <f>_xlfn.XLOOKUP(A4373,'[1]Tissue Data'!$A:$A,'[1]Tissue Data'!$D:$D)</f>
        <v>44393</v>
      </c>
      <c r="D4373" s="2" t="str">
        <f>_xlfn.XLOOKUP(A4373,'[1]Tissue Data'!$A:$A,'[1]Tissue Data'!$F:$F)</f>
        <v>Pumpkinseed</v>
      </c>
      <c r="E4373" t="str">
        <f>_xlfn.XLOOKUP(A4373,'[1]Tissue Data'!$A:$A,'[1]Tissue Data'!$H:$H)</f>
        <v>Lepomis</v>
      </c>
      <c r="F4373" t="str">
        <f>_xlfn.XLOOKUP(A4373,'[1]Tissue Data'!$A:$A,'[1]Tissue Data'!$I:$I)</f>
        <v>gibbosus</v>
      </c>
      <c r="G4373" t="str">
        <f>_xlfn.XLOOKUP(A4373,'[1]Tissue Data'!$A:$A,'[1]Tissue Data'!J:J)</f>
        <v>U</v>
      </c>
      <c r="H4373" t="str">
        <f>_xlfn.XLOOKUP(A4373,'[1]Tissue Data'!$A:$A,'[1]Tissue Data'!K:K)</f>
        <v>Whole Body</v>
      </c>
      <c r="I4373">
        <f>_xlfn.XLOOKUP(A4373,'[1]Tissue Data'!$A:$A,'[1]Tissue Data'!L:L)</f>
        <v>7</v>
      </c>
      <c r="J4373">
        <f>_xlfn.XLOOKUP(A4373,'[1]Tissue Data'!$A:$A,'[1]Tissue Data'!M:M)</f>
        <v>10.31</v>
      </c>
      <c r="K4373" t="s">
        <v>33</v>
      </c>
      <c r="L4373" t="str">
        <f>_xlfn.XLOOKUP(K4373,[2]analyte_order!$B:$B,[2]analyte_order!$C:$C)</f>
        <v>777011-38-8</v>
      </c>
      <c r="M4373">
        <f>_xlfn.XLOOKUP(L4373,[2]analyte_order!$C:$C,[2]analyte_order!$E:$E)</f>
        <v>54</v>
      </c>
      <c r="N4373">
        <v>0.13550000000000001</v>
      </c>
    </row>
    <row r="4374" spans="1:14">
      <c r="A4374" t="s">
        <v>266</v>
      </c>
      <c r="B4374" t="str">
        <f>_xlfn.XLOOKUP(A4374,'[1]Tissue Data'!$A:$A,'[1]Tissue Data'!$C:$C)</f>
        <v>Spill</v>
      </c>
      <c r="C4374" s="2">
        <f>_xlfn.XLOOKUP(A4374,'[1]Tissue Data'!$A:$A,'[1]Tissue Data'!$D:$D)</f>
        <v>44393</v>
      </c>
      <c r="D4374" s="2" t="str">
        <f>_xlfn.XLOOKUP(A4374,'[1]Tissue Data'!$A:$A,'[1]Tissue Data'!$F:$F)</f>
        <v>Pumpkinseed</v>
      </c>
      <c r="E4374" t="str">
        <f>_xlfn.XLOOKUP(A4374,'[1]Tissue Data'!$A:$A,'[1]Tissue Data'!$H:$H)</f>
        <v>Lepomis</v>
      </c>
      <c r="F4374" t="str">
        <f>_xlfn.XLOOKUP(A4374,'[1]Tissue Data'!$A:$A,'[1]Tissue Data'!$I:$I)</f>
        <v>gibbosus</v>
      </c>
      <c r="G4374" t="str">
        <f>_xlfn.XLOOKUP(A4374,'[1]Tissue Data'!$A:$A,'[1]Tissue Data'!J:J)</f>
        <v>U</v>
      </c>
      <c r="H4374" t="str">
        <f>_xlfn.XLOOKUP(A4374,'[1]Tissue Data'!$A:$A,'[1]Tissue Data'!K:K)</f>
        <v>Whole Body</v>
      </c>
      <c r="I4374">
        <f>_xlfn.XLOOKUP(A4374,'[1]Tissue Data'!$A:$A,'[1]Tissue Data'!L:L)</f>
        <v>7</v>
      </c>
      <c r="J4374">
        <f>_xlfn.XLOOKUP(A4374,'[1]Tissue Data'!$A:$A,'[1]Tissue Data'!M:M)</f>
        <v>10.31</v>
      </c>
      <c r="K4374" t="s">
        <v>34</v>
      </c>
      <c r="L4374" t="str">
        <f>_xlfn.XLOOKUP(K4374,[2]analyte_order!$B:$B,[2]analyte_order!$C:$C)</f>
        <v>646-83-3</v>
      </c>
      <c r="M4374">
        <f>_xlfn.XLOOKUP(L4374,[2]analyte_order!$C:$C,[2]analyte_order!$E:$E)</f>
        <v>55</v>
      </c>
      <c r="N4374">
        <v>0.183</v>
      </c>
    </row>
    <row r="4375" spans="1:14">
      <c r="A4375" t="s">
        <v>266</v>
      </c>
      <c r="B4375" t="str">
        <f>_xlfn.XLOOKUP(A4375,'[1]Tissue Data'!$A:$A,'[1]Tissue Data'!$C:$C)</f>
        <v>Spill</v>
      </c>
      <c r="C4375" s="2">
        <f>_xlfn.XLOOKUP(A4375,'[1]Tissue Data'!$A:$A,'[1]Tissue Data'!$D:$D)</f>
        <v>44393</v>
      </c>
      <c r="D4375" s="2" t="str">
        <f>_xlfn.XLOOKUP(A4375,'[1]Tissue Data'!$A:$A,'[1]Tissue Data'!$F:$F)</f>
        <v>Pumpkinseed</v>
      </c>
      <c r="E4375" t="str">
        <f>_xlfn.XLOOKUP(A4375,'[1]Tissue Data'!$A:$A,'[1]Tissue Data'!$H:$H)</f>
        <v>Lepomis</v>
      </c>
      <c r="F4375" t="str">
        <f>_xlfn.XLOOKUP(A4375,'[1]Tissue Data'!$A:$A,'[1]Tissue Data'!$I:$I)</f>
        <v>gibbosus</v>
      </c>
      <c r="G4375" t="str">
        <f>_xlfn.XLOOKUP(A4375,'[1]Tissue Data'!$A:$A,'[1]Tissue Data'!J:J)</f>
        <v>U</v>
      </c>
      <c r="H4375" t="str">
        <f>_xlfn.XLOOKUP(A4375,'[1]Tissue Data'!$A:$A,'[1]Tissue Data'!K:K)</f>
        <v>Whole Body</v>
      </c>
      <c r="I4375">
        <f>_xlfn.XLOOKUP(A4375,'[1]Tissue Data'!$A:$A,'[1]Tissue Data'!L:L)</f>
        <v>7</v>
      </c>
      <c r="J4375">
        <f>_xlfn.XLOOKUP(A4375,'[1]Tissue Data'!$A:$A,'[1]Tissue Data'!M:M)</f>
        <v>10.31</v>
      </c>
      <c r="K4375" t="s">
        <v>35</v>
      </c>
      <c r="L4375" t="str">
        <f>_xlfn.XLOOKUP(K4375,[2]analyte_order!$B:$B,[2]analyte_order!$C:$C)</f>
        <v>30334-69-1</v>
      </c>
      <c r="M4375">
        <f>_xlfn.XLOOKUP(L4375,[2]analyte_order!$C:$C,[2]analyte_order!$E:$E)</f>
        <v>51</v>
      </c>
      <c r="N4375">
        <v>25.8</v>
      </c>
    </row>
    <row r="4376" spans="1:14">
      <c r="A4376" t="s">
        <v>266</v>
      </c>
      <c r="B4376" t="str">
        <f>_xlfn.XLOOKUP(A4376,'[1]Tissue Data'!$A:$A,'[1]Tissue Data'!$C:$C)</f>
        <v>Spill</v>
      </c>
      <c r="C4376" s="2">
        <f>_xlfn.XLOOKUP(A4376,'[1]Tissue Data'!$A:$A,'[1]Tissue Data'!$D:$D)</f>
        <v>44393</v>
      </c>
      <c r="D4376" s="2" t="str">
        <f>_xlfn.XLOOKUP(A4376,'[1]Tissue Data'!$A:$A,'[1]Tissue Data'!$F:$F)</f>
        <v>Pumpkinseed</v>
      </c>
      <c r="E4376" t="str">
        <f>_xlfn.XLOOKUP(A4376,'[1]Tissue Data'!$A:$A,'[1]Tissue Data'!$H:$H)</f>
        <v>Lepomis</v>
      </c>
      <c r="F4376" t="str">
        <f>_xlfn.XLOOKUP(A4376,'[1]Tissue Data'!$A:$A,'[1]Tissue Data'!$I:$I)</f>
        <v>gibbosus</v>
      </c>
      <c r="G4376" t="str">
        <f>_xlfn.XLOOKUP(A4376,'[1]Tissue Data'!$A:$A,'[1]Tissue Data'!J:J)</f>
        <v>U</v>
      </c>
      <c r="H4376" t="str">
        <f>_xlfn.XLOOKUP(A4376,'[1]Tissue Data'!$A:$A,'[1]Tissue Data'!K:K)</f>
        <v>Whole Body</v>
      </c>
      <c r="I4376">
        <f>_xlfn.XLOOKUP(A4376,'[1]Tissue Data'!$A:$A,'[1]Tissue Data'!L:L)</f>
        <v>7</v>
      </c>
      <c r="J4376">
        <f>_xlfn.XLOOKUP(A4376,'[1]Tissue Data'!$A:$A,'[1]Tissue Data'!M:M)</f>
        <v>10.31</v>
      </c>
      <c r="K4376" t="s">
        <v>36</v>
      </c>
      <c r="L4376" t="str">
        <f>_xlfn.XLOOKUP(K4376,[2]analyte_order!$B:$B,[2]analyte_order!$C:$C)</f>
        <v>41997-13-1</v>
      </c>
      <c r="M4376">
        <f>_xlfn.XLOOKUP(L4376,[2]analyte_order!$C:$C,[2]analyte_order!$E:$E)</f>
        <v>52</v>
      </c>
      <c r="N4376">
        <v>82.7</v>
      </c>
    </row>
    <row r="4377" spans="1:14">
      <c r="A4377" t="s">
        <v>266</v>
      </c>
      <c r="B4377" t="str">
        <f>_xlfn.XLOOKUP(A4377,'[1]Tissue Data'!$A:$A,'[1]Tissue Data'!$C:$C)</f>
        <v>Spill</v>
      </c>
      <c r="C4377" s="2">
        <f>_xlfn.XLOOKUP(A4377,'[1]Tissue Data'!$A:$A,'[1]Tissue Data'!$D:$D)</f>
        <v>44393</v>
      </c>
      <c r="D4377" s="2" t="str">
        <f>_xlfn.XLOOKUP(A4377,'[1]Tissue Data'!$A:$A,'[1]Tissue Data'!$F:$F)</f>
        <v>Pumpkinseed</v>
      </c>
      <c r="E4377" t="str">
        <f>_xlfn.XLOOKUP(A4377,'[1]Tissue Data'!$A:$A,'[1]Tissue Data'!$H:$H)</f>
        <v>Lepomis</v>
      </c>
      <c r="F4377" t="str">
        <f>_xlfn.XLOOKUP(A4377,'[1]Tissue Data'!$A:$A,'[1]Tissue Data'!$I:$I)</f>
        <v>gibbosus</v>
      </c>
      <c r="G4377" t="str">
        <f>_xlfn.XLOOKUP(A4377,'[1]Tissue Data'!$A:$A,'[1]Tissue Data'!J:J)</f>
        <v>U</v>
      </c>
      <c r="H4377" t="str">
        <f>_xlfn.XLOOKUP(A4377,'[1]Tissue Data'!$A:$A,'[1]Tissue Data'!K:K)</f>
        <v>Whole Body</v>
      </c>
      <c r="I4377">
        <f>_xlfn.XLOOKUP(A4377,'[1]Tissue Data'!$A:$A,'[1]Tissue Data'!L:L)</f>
        <v>7</v>
      </c>
      <c r="J4377">
        <f>_xlfn.XLOOKUP(A4377,'[1]Tissue Data'!$A:$A,'[1]Tissue Data'!M:M)</f>
        <v>10.31</v>
      </c>
      <c r="K4377" t="s">
        <v>37</v>
      </c>
      <c r="L4377" t="str">
        <f>_xlfn.XLOOKUP(K4377,[2]analyte_order!$B:$B,[2]analyte_order!$C:$C)</f>
        <v>754-91-6</v>
      </c>
      <c r="M4377">
        <f>_xlfn.XLOOKUP(L4377,[2]analyte_order!$C:$C,[2]analyte_order!$E:$E)</f>
        <v>28</v>
      </c>
      <c r="N4377">
        <v>12.2</v>
      </c>
    </row>
    <row r="4378" spans="1:14">
      <c r="A4378" t="s">
        <v>266</v>
      </c>
      <c r="B4378" t="str">
        <f>_xlfn.XLOOKUP(A4378,'[1]Tissue Data'!$A:$A,'[1]Tissue Data'!$C:$C)</f>
        <v>Spill</v>
      </c>
      <c r="C4378" s="2">
        <f>_xlfn.XLOOKUP(A4378,'[1]Tissue Data'!$A:$A,'[1]Tissue Data'!$D:$D)</f>
        <v>44393</v>
      </c>
      <c r="D4378" s="2" t="str">
        <f>_xlfn.XLOOKUP(A4378,'[1]Tissue Data'!$A:$A,'[1]Tissue Data'!$F:$F)</f>
        <v>Pumpkinseed</v>
      </c>
      <c r="E4378" t="str">
        <f>_xlfn.XLOOKUP(A4378,'[1]Tissue Data'!$A:$A,'[1]Tissue Data'!$H:$H)</f>
        <v>Lepomis</v>
      </c>
      <c r="F4378" t="str">
        <f>_xlfn.XLOOKUP(A4378,'[1]Tissue Data'!$A:$A,'[1]Tissue Data'!$I:$I)</f>
        <v>gibbosus</v>
      </c>
      <c r="G4378" t="str">
        <f>_xlfn.XLOOKUP(A4378,'[1]Tissue Data'!$A:$A,'[1]Tissue Data'!J:J)</f>
        <v>U</v>
      </c>
      <c r="H4378" t="str">
        <f>_xlfn.XLOOKUP(A4378,'[1]Tissue Data'!$A:$A,'[1]Tissue Data'!K:K)</f>
        <v>Whole Body</v>
      </c>
      <c r="I4378">
        <f>_xlfn.XLOOKUP(A4378,'[1]Tissue Data'!$A:$A,'[1]Tissue Data'!L:L)</f>
        <v>7</v>
      </c>
      <c r="J4378">
        <f>_xlfn.XLOOKUP(A4378,'[1]Tissue Data'!$A:$A,'[1]Tissue Data'!M:M)</f>
        <v>10.31</v>
      </c>
      <c r="K4378" t="s">
        <v>38</v>
      </c>
      <c r="L4378" t="str">
        <f>_xlfn.XLOOKUP(K4378,[2]analyte_order!$B:$B,[2]analyte_order!$C:$C)</f>
        <v>31506-32-8</v>
      </c>
      <c r="M4378">
        <f>_xlfn.XLOOKUP(L4378,[2]analyte_order!$C:$C,[2]analyte_order!$E:$E)</f>
        <v>30</v>
      </c>
      <c r="N4378">
        <v>5.1999999999999998E-2</v>
      </c>
    </row>
    <row r="4379" spans="1:14">
      <c r="A4379" t="s">
        <v>266</v>
      </c>
      <c r="B4379" t="str">
        <f>_xlfn.XLOOKUP(A4379,'[1]Tissue Data'!$A:$A,'[1]Tissue Data'!$C:$C)</f>
        <v>Spill</v>
      </c>
      <c r="C4379" s="2">
        <f>_xlfn.XLOOKUP(A4379,'[1]Tissue Data'!$A:$A,'[1]Tissue Data'!$D:$D)</f>
        <v>44393</v>
      </c>
      <c r="D4379" s="2" t="str">
        <f>_xlfn.XLOOKUP(A4379,'[1]Tissue Data'!$A:$A,'[1]Tissue Data'!$F:$F)</f>
        <v>Pumpkinseed</v>
      </c>
      <c r="E4379" t="str">
        <f>_xlfn.XLOOKUP(A4379,'[1]Tissue Data'!$A:$A,'[1]Tissue Data'!$H:$H)</f>
        <v>Lepomis</v>
      </c>
      <c r="F4379" t="str">
        <f>_xlfn.XLOOKUP(A4379,'[1]Tissue Data'!$A:$A,'[1]Tissue Data'!$I:$I)</f>
        <v>gibbosus</v>
      </c>
      <c r="G4379" t="str">
        <f>_xlfn.XLOOKUP(A4379,'[1]Tissue Data'!$A:$A,'[1]Tissue Data'!J:J)</f>
        <v>U</v>
      </c>
      <c r="H4379" t="str">
        <f>_xlfn.XLOOKUP(A4379,'[1]Tissue Data'!$A:$A,'[1]Tissue Data'!K:K)</f>
        <v>Whole Body</v>
      </c>
      <c r="I4379">
        <f>_xlfn.XLOOKUP(A4379,'[1]Tissue Data'!$A:$A,'[1]Tissue Data'!L:L)</f>
        <v>7</v>
      </c>
      <c r="J4379">
        <f>_xlfn.XLOOKUP(A4379,'[1]Tissue Data'!$A:$A,'[1]Tissue Data'!M:M)</f>
        <v>10.31</v>
      </c>
      <c r="K4379" t="s">
        <v>39</v>
      </c>
      <c r="L4379" t="str">
        <f>_xlfn.XLOOKUP(K4379,[2]analyte_order!$B:$B,[2]analyte_order!$C:$C)</f>
        <v>4151-50-2</v>
      </c>
      <c r="M4379">
        <f>_xlfn.XLOOKUP(L4379,[2]analyte_order!$C:$C,[2]analyte_order!$E:$E)</f>
        <v>31</v>
      </c>
      <c r="N4379">
        <v>7.9000000000000001E-2</v>
      </c>
    </row>
    <row r="4380" spans="1:14">
      <c r="A4380" t="s">
        <v>266</v>
      </c>
      <c r="B4380" t="str">
        <f>_xlfn.XLOOKUP(A4380,'[1]Tissue Data'!$A:$A,'[1]Tissue Data'!$C:$C)</f>
        <v>Spill</v>
      </c>
      <c r="C4380" s="2">
        <f>_xlfn.XLOOKUP(A4380,'[1]Tissue Data'!$A:$A,'[1]Tissue Data'!$D:$D)</f>
        <v>44393</v>
      </c>
      <c r="D4380" s="2" t="str">
        <f>_xlfn.XLOOKUP(A4380,'[1]Tissue Data'!$A:$A,'[1]Tissue Data'!$F:$F)</f>
        <v>Pumpkinseed</v>
      </c>
      <c r="E4380" t="str">
        <f>_xlfn.XLOOKUP(A4380,'[1]Tissue Data'!$A:$A,'[1]Tissue Data'!$H:$H)</f>
        <v>Lepomis</v>
      </c>
      <c r="F4380" t="str">
        <f>_xlfn.XLOOKUP(A4380,'[1]Tissue Data'!$A:$A,'[1]Tissue Data'!$I:$I)</f>
        <v>gibbosus</v>
      </c>
      <c r="G4380" t="str">
        <f>_xlfn.XLOOKUP(A4380,'[1]Tissue Data'!$A:$A,'[1]Tissue Data'!J:J)</f>
        <v>U</v>
      </c>
      <c r="H4380" t="str">
        <f>_xlfn.XLOOKUP(A4380,'[1]Tissue Data'!$A:$A,'[1]Tissue Data'!K:K)</f>
        <v>Whole Body</v>
      </c>
      <c r="I4380">
        <f>_xlfn.XLOOKUP(A4380,'[1]Tissue Data'!$A:$A,'[1]Tissue Data'!L:L)</f>
        <v>7</v>
      </c>
      <c r="J4380">
        <f>_xlfn.XLOOKUP(A4380,'[1]Tissue Data'!$A:$A,'[1]Tissue Data'!M:M)</f>
        <v>10.31</v>
      </c>
      <c r="K4380" t="s">
        <v>40</v>
      </c>
      <c r="L4380" t="str">
        <f>_xlfn.XLOOKUP(K4380,[2]analyte_order!$B:$B,[2]analyte_order!$C:$C)</f>
        <v>2806-24-8</v>
      </c>
      <c r="M4380">
        <f>_xlfn.XLOOKUP(L4380,[2]analyte_order!$C:$C,[2]analyte_order!$E:$E)</f>
        <v>29</v>
      </c>
      <c r="N4380">
        <v>5.2999999999999999E-2</v>
      </c>
    </row>
    <row r="4381" spans="1:14">
      <c r="A4381" t="s">
        <v>266</v>
      </c>
      <c r="B4381" t="str">
        <f>_xlfn.XLOOKUP(A4381,'[1]Tissue Data'!$A:$A,'[1]Tissue Data'!$C:$C)</f>
        <v>Spill</v>
      </c>
      <c r="C4381" s="2">
        <f>_xlfn.XLOOKUP(A4381,'[1]Tissue Data'!$A:$A,'[1]Tissue Data'!$D:$D)</f>
        <v>44393</v>
      </c>
      <c r="D4381" s="2" t="str">
        <f>_xlfn.XLOOKUP(A4381,'[1]Tissue Data'!$A:$A,'[1]Tissue Data'!$F:$F)</f>
        <v>Pumpkinseed</v>
      </c>
      <c r="E4381" t="str">
        <f>_xlfn.XLOOKUP(A4381,'[1]Tissue Data'!$A:$A,'[1]Tissue Data'!$H:$H)</f>
        <v>Lepomis</v>
      </c>
      <c r="F4381" t="str">
        <f>_xlfn.XLOOKUP(A4381,'[1]Tissue Data'!$A:$A,'[1]Tissue Data'!$I:$I)</f>
        <v>gibbosus</v>
      </c>
      <c r="G4381" t="str">
        <f>_xlfn.XLOOKUP(A4381,'[1]Tissue Data'!$A:$A,'[1]Tissue Data'!J:J)</f>
        <v>U</v>
      </c>
      <c r="H4381" t="str">
        <f>_xlfn.XLOOKUP(A4381,'[1]Tissue Data'!$A:$A,'[1]Tissue Data'!K:K)</f>
        <v>Whole Body</v>
      </c>
      <c r="I4381">
        <f>_xlfn.XLOOKUP(A4381,'[1]Tissue Data'!$A:$A,'[1]Tissue Data'!L:L)</f>
        <v>7</v>
      </c>
      <c r="J4381">
        <f>_xlfn.XLOOKUP(A4381,'[1]Tissue Data'!$A:$A,'[1]Tissue Data'!M:M)</f>
        <v>10.31</v>
      </c>
      <c r="K4381" t="s">
        <v>41</v>
      </c>
      <c r="L4381" t="str">
        <f>_xlfn.XLOOKUP(K4381,[2]analyte_order!$B:$B,[2]analyte_order!$C:$C)</f>
        <v>2355-31-9</v>
      </c>
      <c r="M4381">
        <f>_xlfn.XLOOKUP(L4381,[2]analyte_order!$C:$C,[2]analyte_order!$E:$E)</f>
        <v>26</v>
      </c>
      <c r="N4381">
        <v>0.47199999999999998</v>
      </c>
    </row>
    <row r="4382" spans="1:14">
      <c r="A4382" t="s">
        <v>266</v>
      </c>
      <c r="B4382" t="str">
        <f>_xlfn.XLOOKUP(A4382,'[1]Tissue Data'!$A:$A,'[1]Tissue Data'!$C:$C)</f>
        <v>Spill</v>
      </c>
      <c r="C4382" s="2">
        <f>_xlfn.XLOOKUP(A4382,'[1]Tissue Data'!$A:$A,'[1]Tissue Data'!$D:$D)</f>
        <v>44393</v>
      </c>
      <c r="D4382" s="2" t="str">
        <f>_xlfn.XLOOKUP(A4382,'[1]Tissue Data'!$A:$A,'[1]Tissue Data'!$F:$F)</f>
        <v>Pumpkinseed</v>
      </c>
      <c r="E4382" t="str">
        <f>_xlfn.XLOOKUP(A4382,'[1]Tissue Data'!$A:$A,'[1]Tissue Data'!$H:$H)</f>
        <v>Lepomis</v>
      </c>
      <c r="F4382" t="str">
        <f>_xlfn.XLOOKUP(A4382,'[1]Tissue Data'!$A:$A,'[1]Tissue Data'!$I:$I)</f>
        <v>gibbosus</v>
      </c>
      <c r="G4382" t="str">
        <f>_xlfn.XLOOKUP(A4382,'[1]Tissue Data'!$A:$A,'[1]Tissue Data'!J:J)</f>
        <v>U</v>
      </c>
      <c r="H4382" t="str">
        <f>_xlfn.XLOOKUP(A4382,'[1]Tissue Data'!$A:$A,'[1]Tissue Data'!K:K)</f>
        <v>Whole Body</v>
      </c>
      <c r="I4382">
        <f>_xlfn.XLOOKUP(A4382,'[1]Tissue Data'!$A:$A,'[1]Tissue Data'!L:L)</f>
        <v>7</v>
      </c>
      <c r="J4382">
        <f>_xlfn.XLOOKUP(A4382,'[1]Tissue Data'!$A:$A,'[1]Tissue Data'!M:M)</f>
        <v>10.31</v>
      </c>
      <c r="K4382" t="s">
        <v>42</v>
      </c>
      <c r="L4382" t="str">
        <f>_xlfn.XLOOKUP(K4382,[2]analyte_order!$B:$B,[2]analyte_order!$C:$C)</f>
        <v>2991-50-6</v>
      </c>
      <c r="M4382">
        <f>_xlfn.XLOOKUP(L4382,[2]analyte_order!$C:$C,[2]analyte_order!$E:$E)</f>
        <v>27</v>
      </c>
      <c r="N4382">
        <v>5.8500000000000003E-2</v>
      </c>
    </row>
    <row r="4383" spans="1:14">
      <c r="A4383" t="s">
        <v>266</v>
      </c>
      <c r="B4383" t="str">
        <f>_xlfn.XLOOKUP(A4383,'[1]Tissue Data'!$A:$A,'[1]Tissue Data'!$C:$C)</f>
        <v>Spill</v>
      </c>
      <c r="C4383" s="2">
        <f>_xlfn.XLOOKUP(A4383,'[1]Tissue Data'!$A:$A,'[1]Tissue Data'!$D:$D)</f>
        <v>44393</v>
      </c>
      <c r="D4383" s="2" t="str">
        <f>_xlfn.XLOOKUP(A4383,'[1]Tissue Data'!$A:$A,'[1]Tissue Data'!$F:$F)</f>
        <v>Pumpkinseed</v>
      </c>
      <c r="E4383" t="str">
        <f>_xlfn.XLOOKUP(A4383,'[1]Tissue Data'!$A:$A,'[1]Tissue Data'!$H:$H)</f>
        <v>Lepomis</v>
      </c>
      <c r="F4383" t="str">
        <f>_xlfn.XLOOKUP(A4383,'[1]Tissue Data'!$A:$A,'[1]Tissue Data'!$I:$I)</f>
        <v>gibbosus</v>
      </c>
      <c r="G4383" t="str">
        <f>_xlfn.XLOOKUP(A4383,'[1]Tissue Data'!$A:$A,'[1]Tissue Data'!J:J)</f>
        <v>U</v>
      </c>
      <c r="H4383" t="str">
        <f>_xlfn.XLOOKUP(A4383,'[1]Tissue Data'!$A:$A,'[1]Tissue Data'!K:K)</f>
        <v>Whole Body</v>
      </c>
      <c r="I4383">
        <f>_xlfn.XLOOKUP(A4383,'[1]Tissue Data'!$A:$A,'[1]Tissue Data'!L:L)</f>
        <v>7</v>
      </c>
      <c r="J4383">
        <f>_xlfn.XLOOKUP(A4383,'[1]Tissue Data'!$A:$A,'[1]Tissue Data'!M:M)</f>
        <v>10.31</v>
      </c>
      <c r="K4383" t="s">
        <v>43</v>
      </c>
      <c r="L4383" t="str">
        <f>_xlfn.XLOOKUP(K4383,[2]analyte_order!$B:$B,[2]analyte_order!$C:$C)</f>
        <v>757124-72-4</v>
      </c>
      <c r="M4383">
        <f>_xlfn.XLOOKUP(L4383,[2]analyte_order!$C:$C,[2]analyte_order!$E:$E)</f>
        <v>22</v>
      </c>
      <c r="N4383">
        <v>5.5500000000000001E-2</v>
      </c>
    </row>
    <row r="4384" spans="1:14">
      <c r="A4384" t="s">
        <v>266</v>
      </c>
      <c r="B4384" t="str">
        <f>_xlfn.XLOOKUP(A4384,'[1]Tissue Data'!$A:$A,'[1]Tissue Data'!$C:$C)</f>
        <v>Spill</v>
      </c>
      <c r="C4384" s="2">
        <f>_xlfn.XLOOKUP(A4384,'[1]Tissue Data'!$A:$A,'[1]Tissue Data'!$D:$D)</f>
        <v>44393</v>
      </c>
      <c r="D4384" s="2" t="str">
        <f>_xlfn.XLOOKUP(A4384,'[1]Tissue Data'!$A:$A,'[1]Tissue Data'!$F:$F)</f>
        <v>Pumpkinseed</v>
      </c>
      <c r="E4384" t="str">
        <f>_xlfn.XLOOKUP(A4384,'[1]Tissue Data'!$A:$A,'[1]Tissue Data'!$H:$H)</f>
        <v>Lepomis</v>
      </c>
      <c r="F4384" t="str">
        <f>_xlfn.XLOOKUP(A4384,'[1]Tissue Data'!$A:$A,'[1]Tissue Data'!$I:$I)</f>
        <v>gibbosus</v>
      </c>
      <c r="G4384" t="str">
        <f>_xlfn.XLOOKUP(A4384,'[1]Tissue Data'!$A:$A,'[1]Tissue Data'!J:J)</f>
        <v>U</v>
      </c>
      <c r="H4384" t="str">
        <f>_xlfn.XLOOKUP(A4384,'[1]Tissue Data'!$A:$A,'[1]Tissue Data'!K:K)</f>
        <v>Whole Body</v>
      </c>
      <c r="I4384">
        <f>_xlfn.XLOOKUP(A4384,'[1]Tissue Data'!$A:$A,'[1]Tissue Data'!L:L)</f>
        <v>7</v>
      </c>
      <c r="J4384">
        <f>_xlfn.XLOOKUP(A4384,'[1]Tissue Data'!$A:$A,'[1]Tissue Data'!M:M)</f>
        <v>10.31</v>
      </c>
      <c r="K4384" t="s">
        <v>44</v>
      </c>
      <c r="L4384" t="str">
        <f>_xlfn.XLOOKUP(K4384,[2]analyte_order!$B:$B,[2]analyte_order!$C:$C)</f>
        <v>27619-97-2</v>
      </c>
      <c r="M4384">
        <f>_xlfn.XLOOKUP(L4384,[2]analyte_order!$C:$C,[2]analyte_order!$E:$E)</f>
        <v>23</v>
      </c>
      <c r="N4384">
        <v>0.13450000000000001</v>
      </c>
    </row>
    <row r="4385" spans="1:14">
      <c r="A4385" t="s">
        <v>266</v>
      </c>
      <c r="B4385" t="str">
        <f>_xlfn.XLOOKUP(A4385,'[1]Tissue Data'!$A:$A,'[1]Tissue Data'!$C:$C)</f>
        <v>Spill</v>
      </c>
      <c r="C4385" s="2">
        <f>_xlfn.XLOOKUP(A4385,'[1]Tissue Data'!$A:$A,'[1]Tissue Data'!$D:$D)</f>
        <v>44393</v>
      </c>
      <c r="D4385" s="2" t="str">
        <f>_xlfn.XLOOKUP(A4385,'[1]Tissue Data'!$A:$A,'[1]Tissue Data'!$F:$F)</f>
        <v>Pumpkinseed</v>
      </c>
      <c r="E4385" t="str">
        <f>_xlfn.XLOOKUP(A4385,'[1]Tissue Data'!$A:$A,'[1]Tissue Data'!$H:$H)</f>
        <v>Lepomis</v>
      </c>
      <c r="F4385" t="str">
        <f>_xlfn.XLOOKUP(A4385,'[1]Tissue Data'!$A:$A,'[1]Tissue Data'!$I:$I)</f>
        <v>gibbosus</v>
      </c>
      <c r="G4385" t="str">
        <f>_xlfn.XLOOKUP(A4385,'[1]Tissue Data'!$A:$A,'[1]Tissue Data'!J:J)</f>
        <v>U</v>
      </c>
      <c r="H4385" t="str">
        <f>_xlfn.XLOOKUP(A4385,'[1]Tissue Data'!$A:$A,'[1]Tissue Data'!K:K)</f>
        <v>Whole Body</v>
      </c>
      <c r="I4385">
        <f>_xlfn.XLOOKUP(A4385,'[1]Tissue Data'!$A:$A,'[1]Tissue Data'!L:L)</f>
        <v>7</v>
      </c>
      <c r="J4385">
        <f>_xlfn.XLOOKUP(A4385,'[1]Tissue Data'!$A:$A,'[1]Tissue Data'!M:M)</f>
        <v>10.31</v>
      </c>
      <c r="K4385" t="s">
        <v>45</v>
      </c>
      <c r="L4385" t="str">
        <f>_xlfn.XLOOKUP(K4385,[2]analyte_order!$B:$B,[2]analyte_order!$C:$C)</f>
        <v>39108-34-4</v>
      </c>
      <c r="M4385">
        <f>_xlfn.XLOOKUP(L4385,[2]analyte_order!$C:$C,[2]analyte_order!$E:$E)</f>
        <v>24</v>
      </c>
      <c r="N4385">
        <v>3.9</v>
      </c>
    </row>
    <row r="4386" spans="1:14">
      <c r="A4386" t="s">
        <v>266</v>
      </c>
      <c r="B4386" t="str">
        <f>_xlfn.XLOOKUP(A4386,'[1]Tissue Data'!$A:$A,'[1]Tissue Data'!$C:$C)</f>
        <v>Spill</v>
      </c>
      <c r="C4386" s="2">
        <f>_xlfn.XLOOKUP(A4386,'[1]Tissue Data'!$A:$A,'[1]Tissue Data'!$D:$D)</f>
        <v>44393</v>
      </c>
      <c r="D4386" s="2" t="str">
        <f>_xlfn.XLOOKUP(A4386,'[1]Tissue Data'!$A:$A,'[1]Tissue Data'!$F:$F)</f>
        <v>Pumpkinseed</v>
      </c>
      <c r="E4386" t="str">
        <f>_xlfn.XLOOKUP(A4386,'[1]Tissue Data'!$A:$A,'[1]Tissue Data'!$H:$H)</f>
        <v>Lepomis</v>
      </c>
      <c r="F4386" t="str">
        <f>_xlfn.XLOOKUP(A4386,'[1]Tissue Data'!$A:$A,'[1]Tissue Data'!$I:$I)</f>
        <v>gibbosus</v>
      </c>
      <c r="G4386" t="str">
        <f>_xlfn.XLOOKUP(A4386,'[1]Tissue Data'!$A:$A,'[1]Tissue Data'!J:J)</f>
        <v>U</v>
      </c>
      <c r="H4386" t="str">
        <f>_xlfn.XLOOKUP(A4386,'[1]Tissue Data'!$A:$A,'[1]Tissue Data'!K:K)</f>
        <v>Whole Body</v>
      </c>
      <c r="I4386">
        <f>_xlfn.XLOOKUP(A4386,'[1]Tissue Data'!$A:$A,'[1]Tissue Data'!L:L)</f>
        <v>7</v>
      </c>
      <c r="J4386">
        <f>_xlfn.XLOOKUP(A4386,'[1]Tissue Data'!$A:$A,'[1]Tissue Data'!M:M)</f>
        <v>10.31</v>
      </c>
      <c r="K4386" t="s">
        <v>46</v>
      </c>
      <c r="L4386" t="str">
        <f>_xlfn.XLOOKUP(K4386,[2]analyte_order!$B:$B,[2]analyte_order!$C:$C)</f>
        <v>120226-60-0</v>
      </c>
      <c r="M4386">
        <f>_xlfn.XLOOKUP(L4386,[2]analyte_order!$C:$C,[2]analyte_order!$E:$E)</f>
        <v>25</v>
      </c>
      <c r="N4386">
        <v>0.253</v>
      </c>
    </row>
    <row r="4387" spans="1:14">
      <c r="A4387" t="s">
        <v>266</v>
      </c>
      <c r="B4387" t="str">
        <f>_xlfn.XLOOKUP(A4387,'[1]Tissue Data'!$A:$A,'[1]Tissue Data'!$C:$C)</f>
        <v>Spill</v>
      </c>
      <c r="C4387" s="2">
        <f>_xlfn.XLOOKUP(A4387,'[1]Tissue Data'!$A:$A,'[1]Tissue Data'!$D:$D)</f>
        <v>44393</v>
      </c>
      <c r="D4387" s="2" t="str">
        <f>_xlfn.XLOOKUP(A4387,'[1]Tissue Data'!$A:$A,'[1]Tissue Data'!$F:$F)</f>
        <v>Pumpkinseed</v>
      </c>
      <c r="E4387" t="str">
        <f>_xlfn.XLOOKUP(A4387,'[1]Tissue Data'!$A:$A,'[1]Tissue Data'!$H:$H)</f>
        <v>Lepomis</v>
      </c>
      <c r="F4387" t="str">
        <f>_xlfn.XLOOKUP(A4387,'[1]Tissue Data'!$A:$A,'[1]Tissue Data'!$I:$I)</f>
        <v>gibbosus</v>
      </c>
      <c r="G4387" t="str">
        <f>_xlfn.XLOOKUP(A4387,'[1]Tissue Data'!$A:$A,'[1]Tissue Data'!J:J)</f>
        <v>U</v>
      </c>
      <c r="H4387" t="str">
        <f>_xlfn.XLOOKUP(A4387,'[1]Tissue Data'!$A:$A,'[1]Tissue Data'!K:K)</f>
        <v>Whole Body</v>
      </c>
      <c r="I4387">
        <f>_xlfn.XLOOKUP(A4387,'[1]Tissue Data'!$A:$A,'[1]Tissue Data'!L:L)</f>
        <v>7</v>
      </c>
      <c r="J4387">
        <f>_xlfn.XLOOKUP(A4387,'[1]Tissue Data'!$A:$A,'[1]Tissue Data'!M:M)</f>
        <v>10.31</v>
      </c>
      <c r="K4387" t="s">
        <v>47</v>
      </c>
      <c r="L4387" t="str">
        <f>_xlfn.XLOOKUP(K4387,[2]analyte_order!$B:$B,[2]analyte_order!$C:$C)</f>
        <v>356-02-5</v>
      </c>
      <c r="M4387">
        <f>_xlfn.XLOOKUP(L4387,[2]analyte_order!$C:$C,[2]analyte_order!$E:$E)</f>
        <v>38</v>
      </c>
      <c r="N4387">
        <v>7.8E-2</v>
      </c>
    </row>
    <row r="4388" spans="1:14">
      <c r="A4388" t="s">
        <v>266</v>
      </c>
      <c r="B4388" t="str">
        <f>_xlfn.XLOOKUP(A4388,'[1]Tissue Data'!$A:$A,'[1]Tissue Data'!$C:$C)</f>
        <v>Spill</v>
      </c>
      <c r="C4388" s="2">
        <f>_xlfn.XLOOKUP(A4388,'[1]Tissue Data'!$A:$A,'[1]Tissue Data'!$D:$D)</f>
        <v>44393</v>
      </c>
      <c r="D4388" s="2" t="str">
        <f>_xlfn.XLOOKUP(A4388,'[1]Tissue Data'!$A:$A,'[1]Tissue Data'!$F:$F)</f>
        <v>Pumpkinseed</v>
      </c>
      <c r="E4388" t="str">
        <f>_xlfn.XLOOKUP(A4388,'[1]Tissue Data'!$A:$A,'[1]Tissue Data'!$H:$H)</f>
        <v>Lepomis</v>
      </c>
      <c r="F4388" t="str">
        <f>_xlfn.XLOOKUP(A4388,'[1]Tissue Data'!$A:$A,'[1]Tissue Data'!$I:$I)</f>
        <v>gibbosus</v>
      </c>
      <c r="G4388" t="str">
        <f>_xlfn.XLOOKUP(A4388,'[1]Tissue Data'!$A:$A,'[1]Tissue Data'!J:J)</f>
        <v>U</v>
      </c>
      <c r="H4388" t="str">
        <f>_xlfn.XLOOKUP(A4388,'[1]Tissue Data'!$A:$A,'[1]Tissue Data'!K:K)</f>
        <v>Whole Body</v>
      </c>
      <c r="I4388">
        <f>_xlfn.XLOOKUP(A4388,'[1]Tissue Data'!$A:$A,'[1]Tissue Data'!L:L)</f>
        <v>7</v>
      </c>
      <c r="J4388">
        <f>_xlfn.XLOOKUP(A4388,'[1]Tissue Data'!$A:$A,'[1]Tissue Data'!M:M)</f>
        <v>10.31</v>
      </c>
      <c r="K4388" t="s">
        <v>48</v>
      </c>
      <c r="L4388" t="str">
        <f>_xlfn.XLOOKUP(K4388,[2]analyte_order!$B:$B,[2]analyte_order!$C:$C)</f>
        <v>914637-49-3</v>
      </c>
      <c r="M4388">
        <f>_xlfn.XLOOKUP(L4388,[2]analyte_order!$C:$C,[2]analyte_order!$E:$E)</f>
        <v>39</v>
      </c>
      <c r="N4388">
        <v>0.223</v>
      </c>
    </row>
    <row r="4389" spans="1:14">
      <c r="A4389" t="s">
        <v>266</v>
      </c>
      <c r="B4389" t="str">
        <f>_xlfn.XLOOKUP(A4389,'[1]Tissue Data'!$A:$A,'[1]Tissue Data'!$C:$C)</f>
        <v>Spill</v>
      </c>
      <c r="C4389" s="2">
        <f>_xlfn.XLOOKUP(A4389,'[1]Tissue Data'!$A:$A,'[1]Tissue Data'!$D:$D)</f>
        <v>44393</v>
      </c>
      <c r="D4389" s="2" t="str">
        <f>_xlfn.XLOOKUP(A4389,'[1]Tissue Data'!$A:$A,'[1]Tissue Data'!$F:$F)</f>
        <v>Pumpkinseed</v>
      </c>
      <c r="E4389" t="str">
        <f>_xlfn.XLOOKUP(A4389,'[1]Tissue Data'!$A:$A,'[1]Tissue Data'!$H:$H)</f>
        <v>Lepomis</v>
      </c>
      <c r="F4389" t="str">
        <f>_xlfn.XLOOKUP(A4389,'[1]Tissue Data'!$A:$A,'[1]Tissue Data'!$I:$I)</f>
        <v>gibbosus</v>
      </c>
      <c r="G4389" t="str">
        <f>_xlfn.XLOOKUP(A4389,'[1]Tissue Data'!$A:$A,'[1]Tissue Data'!J:J)</f>
        <v>U</v>
      </c>
      <c r="H4389" t="str">
        <f>_xlfn.XLOOKUP(A4389,'[1]Tissue Data'!$A:$A,'[1]Tissue Data'!K:K)</f>
        <v>Whole Body</v>
      </c>
      <c r="I4389">
        <f>_xlfn.XLOOKUP(A4389,'[1]Tissue Data'!$A:$A,'[1]Tissue Data'!L:L)</f>
        <v>7</v>
      </c>
      <c r="J4389">
        <f>_xlfn.XLOOKUP(A4389,'[1]Tissue Data'!$A:$A,'[1]Tissue Data'!M:M)</f>
        <v>10.31</v>
      </c>
      <c r="K4389" t="s">
        <v>49</v>
      </c>
      <c r="L4389" t="str">
        <f>_xlfn.XLOOKUP(K4389,[2]analyte_order!$B:$B,[2]analyte_order!$C:$C)</f>
        <v>812-70-4</v>
      </c>
      <c r="M4389">
        <f>_xlfn.XLOOKUP(L4389,[2]analyte_order!$C:$C,[2]analyte_order!$E:$E)</f>
        <v>40</v>
      </c>
      <c r="N4389">
        <v>1.5</v>
      </c>
    </row>
    <row r="4390" spans="1:14">
      <c r="A4390" t="s">
        <v>266</v>
      </c>
      <c r="B4390" t="str">
        <f>_xlfn.XLOOKUP(A4390,'[1]Tissue Data'!$A:$A,'[1]Tissue Data'!$C:$C)</f>
        <v>Spill</v>
      </c>
      <c r="C4390" s="2">
        <f>_xlfn.XLOOKUP(A4390,'[1]Tissue Data'!$A:$A,'[1]Tissue Data'!$D:$D)</f>
        <v>44393</v>
      </c>
      <c r="D4390" s="2" t="str">
        <f>_xlfn.XLOOKUP(A4390,'[1]Tissue Data'!$A:$A,'[1]Tissue Data'!$F:$F)</f>
        <v>Pumpkinseed</v>
      </c>
      <c r="E4390" t="str">
        <f>_xlfn.XLOOKUP(A4390,'[1]Tissue Data'!$A:$A,'[1]Tissue Data'!$H:$H)</f>
        <v>Lepomis</v>
      </c>
      <c r="F4390" t="str">
        <f>_xlfn.XLOOKUP(A4390,'[1]Tissue Data'!$A:$A,'[1]Tissue Data'!$I:$I)</f>
        <v>gibbosus</v>
      </c>
      <c r="G4390" t="str">
        <f>_xlfn.XLOOKUP(A4390,'[1]Tissue Data'!$A:$A,'[1]Tissue Data'!J:J)</f>
        <v>U</v>
      </c>
      <c r="H4390" t="str">
        <f>_xlfn.XLOOKUP(A4390,'[1]Tissue Data'!$A:$A,'[1]Tissue Data'!K:K)</f>
        <v>Whole Body</v>
      </c>
      <c r="I4390">
        <f>_xlfn.XLOOKUP(A4390,'[1]Tissue Data'!$A:$A,'[1]Tissue Data'!L:L)</f>
        <v>7</v>
      </c>
      <c r="J4390">
        <f>_xlfn.XLOOKUP(A4390,'[1]Tissue Data'!$A:$A,'[1]Tissue Data'!M:M)</f>
        <v>10.31</v>
      </c>
      <c r="K4390" t="s">
        <v>50</v>
      </c>
      <c r="L4390" t="str">
        <f>_xlfn.XLOOKUP(K4390,[2]analyte_order!$B:$B,[2]analyte_order!$C:$C)</f>
        <v>53826-12-3</v>
      </c>
      <c r="M4390">
        <f>_xlfn.XLOOKUP(L4390,[2]analyte_order!$C:$C,[2]analyte_order!$E:$E)</f>
        <v>41</v>
      </c>
      <c r="N4390">
        <v>6.7500000000000004E-2</v>
      </c>
    </row>
    <row r="4391" spans="1:14">
      <c r="A4391" t="s">
        <v>266</v>
      </c>
      <c r="B4391" t="str">
        <f>_xlfn.XLOOKUP(A4391,'[1]Tissue Data'!$A:$A,'[1]Tissue Data'!$C:$C)</f>
        <v>Spill</v>
      </c>
      <c r="C4391" s="2">
        <f>_xlfn.XLOOKUP(A4391,'[1]Tissue Data'!$A:$A,'[1]Tissue Data'!$D:$D)</f>
        <v>44393</v>
      </c>
      <c r="D4391" s="2" t="str">
        <f>_xlfn.XLOOKUP(A4391,'[1]Tissue Data'!$A:$A,'[1]Tissue Data'!$F:$F)</f>
        <v>Pumpkinseed</v>
      </c>
      <c r="E4391" t="str">
        <f>_xlfn.XLOOKUP(A4391,'[1]Tissue Data'!$A:$A,'[1]Tissue Data'!$H:$H)</f>
        <v>Lepomis</v>
      </c>
      <c r="F4391" t="str">
        <f>_xlfn.XLOOKUP(A4391,'[1]Tissue Data'!$A:$A,'[1]Tissue Data'!$I:$I)</f>
        <v>gibbosus</v>
      </c>
      <c r="G4391" t="str">
        <f>_xlfn.XLOOKUP(A4391,'[1]Tissue Data'!$A:$A,'[1]Tissue Data'!J:J)</f>
        <v>U</v>
      </c>
      <c r="H4391" t="str">
        <f>_xlfn.XLOOKUP(A4391,'[1]Tissue Data'!$A:$A,'[1]Tissue Data'!K:K)</f>
        <v>Whole Body</v>
      </c>
      <c r="I4391">
        <f>_xlfn.XLOOKUP(A4391,'[1]Tissue Data'!$A:$A,'[1]Tissue Data'!L:L)</f>
        <v>7</v>
      </c>
      <c r="J4391">
        <f>_xlfn.XLOOKUP(A4391,'[1]Tissue Data'!$A:$A,'[1]Tissue Data'!M:M)</f>
        <v>10.31</v>
      </c>
      <c r="K4391" t="s">
        <v>51</v>
      </c>
      <c r="L4391" t="str">
        <f>_xlfn.XLOOKUP(K4391,[2]analyte_order!$B:$B,[2]analyte_order!$C:$C)</f>
        <v>27854-31-5</v>
      </c>
      <c r="M4391">
        <f>_xlfn.XLOOKUP(L4391,[2]analyte_order!$C:$C,[2]analyte_order!$E:$E)</f>
        <v>42</v>
      </c>
      <c r="N4391">
        <v>0.223</v>
      </c>
    </row>
    <row r="4392" spans="1:14">
      <c r="A4392" t="s">
        <v>266</v>
      </c>
      <c r="B4392" t="str">
        <f>_xlfn.XLOOKUP(A4392,'[1]Tissue Data'!$A:$A,'[1]Tissue Data'!$C:$C)</f>
        <v>Spill</v>
      </c>
      <c r="C4392" s="2">
        <f>_xlfn.XLOOKUP(A4392,'[1]Tissue Data'!$A:$A,'[1]Tissue Data'!$D:$D)</f>
        <v>44393</v>
      </c>
      <c r="D4392" s="2" t="str">
        <f>_xlfn.XLOOKUP(A4392,'[1]Tissue Data'!$A:$A,'[1]Tissue Data'!$F:$F)</f>
        <v>Pumpkinseed</v>
      </c>
      <c r="E4392" t="str">
        <f>_xlfn.XLOOKUP(A4392,'[1]Tissue Data'!$A:$A,'[1]Tissue Data'!$H:$H)</f>
        <v>Lepomis</v>
      </c>
      <c r="F4392" t="str">
        <f>_xlfn.XLOOKUP(A4392,'[1]Tissue Data'!$A:$A,'[1]Tissue Data'!$I:$I)</f>
        <v>gibbosus</v>
      </c>
      <c r="G4392" t="str">
        <f>_xlfn.XLOOKUP(A4392,'[1]Tissue Data'!$A:$A,'[1]Tissue Data'!J:J)</f>
        <v>U</v>
      </c>
      <c r="H4392" t="str">
        <f>_xlfn.XLOOKUP(A4392,'[1]Tissue Data'!$A:$A,'[1]Tissue Data'!K:K)</f>
        <v>Whole Body</v>
      </c>
      <c r="I4392">
        <f>_xlfn.XLOOKUP(A4392,'[1]Tissue Data'!$A:$A,'[1]Tissue Data'!L:L)</f>
        <v>7</v>
      </c>
      <c r="J4392">
        <f>_xlfn.XLOOKUP(A4392,'[1]Tissue Data'!$A:$A,'[1]Tissue Data'!M:M)</f>
        <v>10.31</v>
      </c>
      <c r="K4392" t="s">
        <v>52</v>
      </c>
      <c r="L4392" t="str">
        <f>_xlfn.XLOOKUP(K4392,[2]analyte_order!$B:$B,[2]analyte_order!$C:$C)</f>
        <v>53826-13-4</v>
      </c>
      <c r="M4392">
        <f>_xlfn.XLOOKUP(L4392,[2]analyte_order!$C:$C,[2]analyte_order!$E:$E)</f>
        <v>43</v>
      </c>
      <c r="N4392">
        <v>0.33250000000000002</v>
      </c>
    </row>
    <row r="4393" spans="1:14">
      <c r="A4393" t="s">
        <v>266</v>
      </c>
      <c r="B4393" t="str">
        <f>_xlfn.XLOOKUP(A4393,'[1]Tissue Data'!$A:$A,'[1]Tissue Data'!$C:$C)</f>
        <v>Spill</v>
      </c>
      <c r="C4393" s="2">
        <f>_xlfn.XLOOKUP(A4393,'[1]Tissue Data'!$A:$A,'[1]Tissue Data'!$D:$D)</f>
        <v>44393</v>
      </c>
      <c r="D4393" s="2" t="str">
        <f>_xlfn.XLOOKUP(A4393,'[1]Tissue Data'!$A:$A,'[1]Tissue Data'!$F:$F)</f>
        <v>Pumpkinseed</v>
      </c>
      <c r="E4393" t="str">
        <f>_xlfn.XLOOKUP(A4393,'[1]Tissue Data'!$A:$A,'[1]Tissue Data'!$H:$H)</f>
        <v>Lepomis</v>
      </c>
      <c r="F4393" t="str">
        <f>_xlfn.XLOOKUP(A4393,'[1]Tissue Data'!$A:$A,'[1]Tissue Data'!$I:$I)</f>
        <v>gibbosus</v>
      </c>
      <c r="G4393" t="str">
        <f>_xlfn.XLOOKUP(A4393,'[1]Tissue Data'!$A:$A,'[1]Tissue Data'!J:J)</f>
        <v>U</v>
      </c>
      <c r="H4393" t="str">
        <f>_xlfn.XLOOKUP(A4393,'[1]Tissue Data'!$A:$A,'[1]Tissue Data'!K:K)</f>
        <v>Whole Body</v>
      </c>
      <c r="I4393">
        <f>_xlfn.XLOOKUP(A4393,'[1]Tissue Data'!$A:$A,'[1]Tissue Data'!L:L)</f>
        <v>7</v>
      </c>
      <c r="J4393">
        <f>_xlfn.XLOOKUP(A4393,'[1]Tissue Data'!$A:$A,'[1]Tissue Data'!M:M)</f>
        <v>10.31</v>
      </c>
      <c r="K4393" t="s">
        <v>53</v>
      </c>
      <c r="L4393" t="str">
        <f>_xlfn.XLOOKUP(K4393,[2]analyte_order!$B:$B,[2]analyte_order!$C:$C)</f>
        <v>161094-75-3</v>
      </c>
      <c r="M4393">
        <f>_xlfn.XLOOKUP(L4393,[2]analyte_order!$C:$C,[2]analyte_order!$E:$E)</f>
        <v>44</v>
      </c>
      <c r="N4393">
        <v>5.2999999999999999E-2</v>
      </c>
    </row>
    <row r="4394" spans="1:14">
      <c r="A4394" t="s">
        <v>266</v>
      </c>
      <c r="B4394" t="str">
        <f>_xlfn.XLOOKUP(A4394,'[1]Tissue Data'!$A:$A,'[1]Tissue Data'!$C:$C)</f>
        <v>Spill</v>
      </c>
      <c r="C4394" s="2">
        <f>_xlfn.XLOOKUP(A4394,'[1]Tissue Data'!$A:$A,'[1]Tissue Data'!$D:$D)</f>
        <v>44393</v>
      </c>
      <c r="D4394" s="2" t="str">
        <f>_xlfn.XLOOKUP(A4394,'[1]Tissue Data'!$A:$A,'[1]Tissue Data'!$F:$F)</f>
        <v>Pumpkinseed</v>
      </c>
      <c r="E4394" t="str">
        <f>_xlfn.XLOOKUP(A4394,'[1]Tissue Data'!$A:$A,'[1]Tissue Data'!$H:$H)</f>
        <v>Lepomis</v>
      </c>
      <c r="F4394" t="str">
        <f>_xlfn.XLOOKUP(A4394,'[1]Tissue Data'!$A:$A,'[1]Tissue Data'!$I:$I)</f>
        <v>gibbosus</v>
      </c>
      <c r="G4394" t="str">
        <f>_xlfn.XLOOKUP(A4394,'[1]Tissue Data'!$A:$A,'[1]Tissue Data'!J:J)</f>
        <v>U</v>
      </c>
      <c r="H4394" t="str">
        <f>_xlfn.XLOOKUP(A4394,'[1]Tissue Data'!$A:$A,'[1]Tissue Data'!K:K)</f>
        <v>Whole Body</v>
      </c>
      <c r="I4394">
        <f>_xlfn.XLOOKUP(A4394,'[1]Tissue Data'!$A:$A,'[1]Tissue Data'!L:L)</f>
        <v>7</v>
      </c>
      <c r="J4394">
        <f>_xlfn.XLOOKUP(A4394,'[1]Tissue Data'!$A:$A,'[1]Tissue Data'!M:M)</f>
        <v>10.31</v>
      </c>
      <c r="K4394" t="s">
        <v>54</v>
      </c>
      <c r="L4394" t="str">
        <f>_xlfn.XLOOKUP(K4394,[2]analyte_order!$B:$B,[2]analyte_order!$C:$C)</f>
        <v>70887-84-2</v>
      </c>
      <c r="M4394">
        <f>_xlfn.XLOOKUP(L4394,[2]analyte_order!$C:$C,[2]analyte_order!$E:$E)</f>
        <v>45</v>
      </c>
      <c r="N4394">
        <v>4.0750000000000001E-2</v>
      </c>
    </row>
    <row r="4395" spans="1:14">
      <c r="A4395" t="s">
        <v>266</v>
      </c>
      <c r="B4395" t="str">
        <f>_xlfn.XLOOKUP(A4395,'[1]Tissue Data'!$A:$A,'[1]Tissue Data'!$C:$C)</f>
        <v>Spill</v>
      </c>
      <c r="C4395" s="2">
        <f>_xlfn.XLOOKUP(A4395,'[1]Tissue Data'!$A:$A,'[1]Tissue Data'!$D:$D)</f>
        <v>44393</v>
      </c>
      <c r="D4395" s="2" t="str">
        <f>_xlfn.XLOOKUP(A4395,'[1]Tissue Data'!$A:$A,'[1]Tissue Data'!$F:$F)</f>
        <v>Pumpkinseed</v>
      </c>
      <c r="E4395" t="str">
        <f>_xlfn.XLOOKUP(A4395,'[1]Tissue Data'!$A:$A,'[1]Tissue Data'!$H:$H)</f>
        <v>Lepomis</v>
      </c>
      <c r="F4395" t="str">
        <f>_xlfn.XLOOKUP(A4395,'[1]Tissue Data'!$A:$A,'[1]Tissue Data'!$I:$I)</f>
        <v>gibbosus</v>
      </c>
      <c r="G4395" t="str">
        <f>_xlfn.XLOOKUP(A4395,'[1]Tissue Data'!$A:$A,'[1]Tissue Data'!J:J)</f>
        <v>U</v>
      </c>
      <c r="H4395" t="str">
        <f>_xlfn.XLOOKUP(A4395,'[1]Tissue Data'!$A:$A,'[1]Tissue Data'!K:K)</f>
        <v>Whole Body</v>
      </c>
      <c r="I4395">
        <f>_xlfn.XLOOKUP(A4395,'[1]Tissue Data'!$A:$A,'[1]Tissue Data'!L:L)</f>
        <v>7</v>
      </c>
      <c r="J4395">
        <f>_xlfn.XLOOKUP(A4395,'[1]Tissue Data'!$A:$A,'[1]Tissue Data'!M:M)</f>
        <v>10.31</v>
      </c>
      <c r="K4395" t="s">
        <v>55</v>
      </c>
      <c r="L4395" t="str">
        <f>_xlfn.XLOOKUP(K4395,[2]analyte_order!$B:$B,[2]analyte_order!$C:$C)</f>
        <v>919005-14-4</v>
      </c>
      <c r="M4395">
        <f>_xlfn.XLOOKUP(L4395,[2]analyte_order!$C:$C,[2]analyte_order!$E:$E)</f>
        <v>35</v>
      </c>
      <c r="N4395">
        <v>6.7500000000000004E-2</v>
      </c>
    </row>
    <row r="4396" spans="1:14">
      <c r="A4396" t="s">
        <v>266</v>
      </c>
      <c r="B4396" t="str">
        <f>_xlfn.XLOOKUP(A4396,'[1]Tissue Data'!$A:$A,'[1]Tissue Data'!$C:$C)</f>
        <v>Spill</v>
      </c>
      <c r="C4396" s="2">
        <f>_xlfn.XLOOKUP(A4396,'[1]Tissue Data'!$A:$A,'[1]Tissue Data'!$D:$D)</f>
        <v>44393</v>
      </c>
      <c r="D4396" s="2" t="str">
        <f>_xlfn.XLOOKUP(A4396,'[1]Tissue Data'!$A:$A,'[1]Tissue Data'!$F:$F)</f>
        <v>Pumpkinseed</v>
      </c>
      <c r="E4396" t="str">
        <f>_xlfn.XLOOKUP(A4396,'[1]Tissue Data'!$A:$A,'[1]Tissue Data'!$H:$H)</f>
        <v>Lepomis</v>
      </c>
      <c r="F4396" t="str">
        <f>_xlfn.XLOOKUP(A4396,'[1]Tissue Data'!$A:$A,'[1]Tissue Data'!$I:$I)</f>
        <v>gibbosus</v>
      </c>
      <c r="G4396" t="str">
        <f>_xlfn.XLOOKUP(A4396,'[1]Tissue Data'!$A:$A,'[1]Tissue Data'!J:J)</f>
        <v>U</v>
      </c>
      <c r="H4396" t="str">
        <f>_xlfn.XLOOKUP(A4396,'[1]Tissue Data'!$A:$A,'[1]Tissue Data'!K:K)</f>
        <v>Whole Body</v>
      </c>
      <c r="I4396">
        <f>_xlfn.XLOOKUP(A4396,'[1]Tissue Data'!$A:$A,'[1]Tissue Data'!L:L)</f>
        <v>7</v>
      </c>
      <c r="J4396">
        <f>_xlfn.XLOOKUP(A4396,'[1]Tissue Data'!$A:$A,'[1]Tissue Data'!M:M)</f>
        <v>10.31</v>
      </c>
      <c r="K4396" t="s">
        <v>56</v>
      </c>
      <c r="L4396" t="str">
        <f>_xlfn.XLOOKUP(K4396,[2]analyte_order!$B:$B,[2]analyte_order!$C:$C)</f>
        <v>756426-58-1</v>
      </c>
      <c r="M4396">
        <f>_xlfn.XLOOKUP(L4396,[2]analyte_order!$C:$C,[2]analyte_order!$E:$E)</f>
        <v>36</v>
      </c>
      <c r="N4396">
        <v>6.7500000000000004E-2</v>
      </c>
    </row>
    <row r="4397" spans="1:14">
      <c r="A4397" t="s">
        <v>266</v>
      </c>
      <c r="B4397" t="str">
        <f>_xlfn.XLOOKUP(A4397,'[1]Tissue Data'!$A:$A,'[1]Tissue Data'!$C:$C)</f>
        <v>Spill</v>
      </c>
      <c r="C4397" s="2">
        <f>_xlfn.XLOOKUP(A4397,'[1]Tissue Data'!$A:$A,'[1]Tissue Data'!$D:$D)</f>
        <v>44393</v>
      </c>
      <c r="D4397" s="2" t="str">
        <f>_xlfn.XLOOKUP(A4397,'[1]Tissue Data'!$A:$A,'[1]Tissue Data'!$F:$F)</f>
        <v>Pumpkinseed</v>
      </c>
      <c r="E4397" t="str">
        <f>_xlfn.XLOOKUP(A4397,'[1]Tissue Data'!$A:$A,'[1]Tissue Data'!$H:$H)</f>
        <v>Lepomis</v>
      </c>
      <c r="F4397" t="str">
        <f>_xlfn.XLOOKUP(A4397,'[1]Tissue Data'!$A:$A,'[1]Tissue Data'!$I:$I)</f>
        <v>gibbosus</v>
      </c>
      <c r="G4397" t="str">
        <f>_xlfn.XLOOKUP(A4397,'[1]Tissue Data'!$A:$A,'[1]Tissue Data'!J:J)</f>
        <v>U</v>
      </c>
      <c r="H4397" t="str">
        <f>_xlfn.XLOOKUP(A4397,'[1]Tissue Data'!$A:$A,'[1]Tissue Data'!K:K)</f>
        <v>Whole Body</v>
      </c>
      <c r="I4397">
        <f>_xlfn.XLOOKUP(A4397,'[1]Tissue Data'!$A:$A,'[1]Tissue Data'!L:L)</f>
        <v>7</v>
      </c>
      <c r="J4397">
        <f>_xlfn.XLOOKUP(A4397,'[1]Tissue Data'!$A:$A,'[1]Tissue Data'!M:M)</f>
        <v>10.31</v>
      </c>
      <c r="K4397" t="s">
        <v>57</v>
      </c>
      <c r="L4397" t="str">
        <f>_xlfn.XLOOKUP(K4397,[2]analyte_order!$B:$B,[2]analyte_order!$C:$C)</f>
        <v>763051-92-9</v>
      </c>
      <c r="M4397">
        <f>_xlfn.XLOOKUP(L4397,[2]analyte_order!$C:$C,[2]analyte_order!$E:$E)</f>
        <v>37</v>
      </c>
      <c r="N4397">
        <v>6.7500000000000004E-2</v>
      </c>
    </row>
    <row r="4398" spans="1:14">
      <c r="A4398" t="s">
        <v>266</v>
      </c>
      <c r="B4398" t="str">
        <f>_xlfn.XLOOKUP(A4398,'[1]Tissue Data'!$A:$A,'[1]Tissue Data'!$C:$C)</f>
        <v>Spill</v>
      </c>
      <c r="C4398" s="2">
        <f>_xlfn.XLOOKUP(A4398,'[1]Tissue Data'!$A:$A,'[1]Tissue Data'!$D:$D)</f>
        <v>44393</v>
      </c>
      <c r="D4398" s="2" t="str">
        <f>_xlfn.XLOOKUP(A4398,'[1]Tissue Data'!$A:$A,'[1]Tissue Data'!$F:$F)</f>
        <v>Pumpkinseed</v>
      </c>
      <c r="E4398" t="str">
        <f>_xlfn.XLOOKUP(A4398,'[1]Tissue Data'!$A:$A,'[1]Tissue Data'!$H:$H)</f>
        <v>Lepomis</v>
      </c>
      <c r="F4398" t="str">
        <f>_xlfn.XLOOKUP(A4398,'[1]Tissue Data'!$A:$A,'[1]Tissue Data'!$I:$I)</f>
        <v>gibbosus</v>
      </c>
      <c r="G4398" t="str">
        <f>_xlfn.XLOOKUP(A4398,'[1]Tissue Data'!$A:$A,'[1]Tissue Data'!J:J)</f>
        <v>U</v>
      </c>
      <c r="H4398" t="str">
        <f>_xlfn.XLOOKUP(A4398,'[1]Tissue Data'!$A:$A,'[1]Tissue Data'!K:K)</f>
        <v>Whole Body</v>
      </c>
      <c r="I4398">
        <f>_xlfn.XLOOKUP(A4398,'[1]Tissue Data'!$A:$A,'[1]Tissue Data'!L:L)</f>
        <v>7</v>
      </c>
      <c r="J4398">
        <f>_xlfn.XLOOKUP(A4398,'[1]Tissue Data'!$A:$A,'[1]Tissue Data'!M:M)</f>
        <v>10.31</v>
      </c>
      <c r="K4398" t="s">
        <v>58</v>
      </c>
      <c r="L4398" t="str">
        <f>_xlfn.XLOOKUP(K4398,[2]analyte_order!$B:$B,[2]analyte_order!$C:$C)</f>
        <v>13252-13-6</v>
      </c>
      <c r="M4398">
        <f>_xlfn.XLOOKUP(L4398,[2]analyte_order!$C:$C,[2]analyte_order!$E:$E)</f>
        <v>34</v>
      </c>
      <c r="N4398">
        <v>9.7000000000000003E-2</v>
      </c>
    </row>
    <row r="4399" spans="1:14">
      <c r="A4399" t="s">
        <v>266</v>
      </c>
      <c r="B4399" t="str">
        <f>_xlfn.XLOOKUP(A4399,'[1]Tissue Data'!$A:$A,'[1]Tissue Data'!$C:$C)</f>
        <v>Spill</v>
      </c>
      <c r="C4399" s="2">
        <f>_xlfn.XLOOKUP(A4399,'[1]Tissue Data'!$A:$A,'[1]Tissue Data'!$D:$D)</f>
        <v>44393</v>
      </c>
      <c r="D4399" s="2" t="str">
        <f>_xlfn.XLOOKUP(A4399,'[1]Tissue Data'!$A:$A,'[1]Tissue Data'!$F:$F)</f>
        <v>Pumpkinseed</v>
      </c>
      <c r="E4399" t="str">
        <f>_xlfn.XLOOKUP(A4399,'[1]Tissue Data'!$A:$A,'[1]Tissue Data'!$H:$H)</f>
        <v>Lepomis</v>
      </c>
      <c r="F4399" t="str">
        <f>_xlfn.XLOOKUP(A4399,'[1]Tissue Data'!$A:$A,'[1]Tissue Data'!$I:$I)</f>
        <v>gibbosus</v>
      </c>
      <c r="G4399" t="str">
        <f>_xlfn.XLOOKUP(A4399,'[1]Tissue Data'!$A:$A,'[1]Tissue Data'!J:J)</f>
        <v>U</v>
      </c>
      <c r="H4399" t="str">
        <f>_xlfn.XLOOKUP(A4399,'[1]Tissue Data'!$A:$A,'[1]Tissue Data'!K:K)</f>
        <v>Whole Body</v>
      </c>
      <c r="I4399">
        <f>_xlfn.XLOOKUP(A4399,'[1]Tissue Data'!$A:$A,'[1]Tissue Data'!L:L)</f>
        <v>7</v>
      </c>
      <c r="J4399">
        <f>_xlfn.XLOOKUP(A4399,'[1]Tissue Data'!$A:$A,'[1]Tissue Data'!M:M)</f>
        <v>10.31</v>
      </c>
      <c r="K4399" t="s">
        <v>59</v>
      </c>
      <c r="L4399" t="str">
        <f>_xlfn.XLOOKUP(K4399,[2]analyte_order!$B:$B,[2]analyte_order!$C:$C)</f>
        <v>57677-95-9</v>
      </c>
      <c r="M4399">
        <f>_xlfn.XLOOKUP(L4399,[2]analyte_order!$C:$C,[2]analyte_order!$E:$E)</f>
        <v>46</v>
      </c>
      <c r="N4399">
        <v>7.1999999999999995E-2</v>
      </c>
    </row>
    <row r="4400" spans="1:14">
      <c r="A4400" t="s">
        <v>266</v>
      </c>
      <c r="B4400" t="str">
        <f>_xlfn.XLOOKUP(A4400,'[1]Tissue Data'!$A:$A,'[1]Tissue Data'!$C:$C)</f>
        <v>Spill</v>
      </c>
      <c r="C4400" s="2">
        <f>_xlfn.XLOOKUP(A4400,'[1]Tissue Data'!$A:$A,'[1]Tissue Data'!$D:$D)</f>
        <v>44393</v>
      </c>
      <c r="D4400" s="2" t="str">
        <f>_xlfn.XLOOKUP(A4400,'[1]Tissue Data'!$A:$A,'[1]Tissue Data'!$F:$F)</f>
        <v>Pumpkinseed</v>
      </c>
      <c r="E4400" t="str">
        <f>_xlfn.XLOOKUP(A4400,'[1]Tissue Data'!$A:$A,'[1]Tissue Data'!$H:$H)</f>
        <v>Lepomis</v>
      </c>
      <c r="F4400" t="str">
        <f>_xlfn.XLOOKUP(A4400,'[1]Tissue Data'!$A:$A,'[1]Tissue Data'!$I:$I)</f>
        <v>gibbosus</v>
      </c>
      <c r="G4400" t="str">
        <f>_xlfn.XLOOKUP(A4400,'[1]Tissue Data'!$A:$A,'[1]Tissue Data'!J:J)</f>
        <v>U</v>
      </c>
      <c r="H4400" t="str">
        <f>_xlfn.XLOOKUP(A4400,'[1]Tissue Data'!$A:$A,'[1]Tissue Data'!K:K)</f>
        <v>Whole Body</v>
      </c>
      <c r="I4400">
        <f>_xlfn.XLOOKUP(A4400,'[1]Tissue Data'!$A:$A,'[1]Tissue Data'!L:L)</f>
        <v>7</v>
      </c>
      <c r="J4400">
        <f>_xlfn.XLOOKUP(A4400,'[1]Tissue Data'!$A:$A,'[1]Tissue Data'!M:M)</f>
        <v>10.31</v>
      </c>
      <c r="K4400" t="s">
        <v>60</v>
      </c>
      <c r="L4400" t="str">
        <f>_xlfn.XLOOKUP(K4400,[2]analyte_order!$B:$B,[2]analyte_order!$C:$C)</f>
        <v>678-41-1</v>
      </c>
      <c r="M4400">
        <f>_xlfn.XLOOKUP(L4400,[2]analyte_order!$C:$C,[2]analyte_order!$E:$E)</f>
        <v>56</v>
      </c>
      <c r="N4400">
        <v>8.9499999999999996E-2</v>
      </c>
    </row>
    <row r="4401" spans="1:14">
      <c r="A4401" t="s">
        <v>266</v>
      </c>
      <c r="B4401" t="str">
        <f>_xlfn.XLOOKUP(A4401,'[1]Tissue Data'!$A:$A,'[1]Tissue Data'!$C:$C)</f>
        <v>Spill</v>
      </c>
      <c r="C4401" s="2">
        <f>_xlfn.XLOOKUP(A4401,'[1]Tissue Data'!$A:$A,'[1]Tissue Data'!$D:$D)</f>
        <v>44393</v>
      </c>
      <c r="D4401" s="2" t="str">
        <f>_xlfn.XLOOKUP(A4401,'[1]Tissue Data'!$A:$A,'[1]Tissue Data'!$F:$F)</f>
        <v>Pumpkinseed</v>
      </c>
      <c r="E4401" t="str">
        <f>_xlfn.XLOOKUP(A4401,'[1]Tissue Data'!$A:$A,'[1]Tissue Data'!$H:$H)</f>
        <v>Lepomis</v>
      </c>
      <c r="F4401" t="str">
        <f>_xlfn.XLOOKUP(A4401,'[1]Tissue Data'!$A:$A,'[1]Tissue Data'!$I:$I)</f>
        <v>gibbosus</v>
      </c>
      <c r="G4401" t="str">
        <f>_xlfn.XLOOKUP(A4401,'[1]Tissue Data'!$A:$A,'[1]Tissue Data'!J:J)</f>
        <v>U</v>
      </c>
      <c r="H4401" t="str">
        <f>_xlfn.XLOOKUP(A4401,'[1]Tissue Data'!$A:$A,'[1]Tissue Data'!K:K)</f>
        <v>Whole Body</v>
      </c>
      <c r="I4401">
        <f>_xlfn.XLOOKUP(A4401,'[1]Tissue Data'!$A:$A,'[1]Tissue Data'!L:L)</f>
        <v>7</v>
      </c>
      <c r="J4401">
        <f>_xlfn.XLOOKUP(A4401,'[1]Tissue Data'!$A:$A,'[1]Tissue Data'!M:M)</f>
        <v>10.31</v>
      </c>
      <c r="K4401" t="s">
        <v>61</v>
      </c>
      <c r="L4401" t="str">
        <f>_xlfn.XLOOKUP(K4401,[2]analyte_order!$B:$B,[2]analyte_order!$C:$C)</f>
        <v>2965-52-8</v>
      </c>
      <c r="M4401">
        <f>_xlfn.XLOOKUP(L4401,[2]analyte_order!$C:$C,[2]analyte_order!$E:$E)</f>
        <v>57</v>
      </c>
      <c r="N4401">
        <v>0.11899999999999999</v>
      </c>
    </row>
    <row r="4402" spans="1:14">
      <c r="A4402" t="s">
        <v>267</v>
      </c>
      <c r="B4402" t="str">
        <f>_xlfn.XLOOKUP(A4402,'[1]Tissue Data'!$A:$A,'[1]Tissue Data'!$C:$C)</f>
        <v>Spill</v>
      </c>
      <c r="C4402" s="2">
        <f>_xlfn.XLOOKUP(A4402,'[1]Tissue Data'!$A:$A,'[1]Tissue Data'!$D:$D)</f>
        <v>44393</v>
      </c>
      <c r="D4402" s="2" t="str">
        <f>_xlfn.XLOOKUP(A4402,'[1]Tissue Data'!$A:$A,'[1]Tissue Data'!$F:$F)</f>
        <v>Pumpkinseed</v>
      </c>
      <c r="E4402" t="str">
        <f>_xlfn.XLOOKUP(A4402,'[1]Tissue Data'!$A:$A,'[1]Tissue Data'!$H:$H)</f>
        <v>Lepomis</v>
      </c>
      <c r="F4402" t="str">
        <f>_xlfn.XLOOKUP(A4402,'[1]Tissue Data'!$A:$A,'[1]Tissue Data'!$I:$I)</f>
        <v>gibbosus</v>
      </c>
      <c r="G4402" t="str">
        <f>_xlfn.XLOOKUP(A4402,'[1]Tissue Data'!$A:$A,'[1]Tissue Data'!J:J)</f>
        <v>U</v>
      </c>
      <c r="H4402" t="str">
        <f>_xlfn.XLOOKUP(A4402,'[1]Tissue Data'!$A:$A,'[1]Tissue Data'!K:K)</f>
        <v>Whole Body</v>
      </c>
      <c r="I4402">
        <f>_xlfn.XLOOKUP(A4402,'[1]Tissue Data'!$A:$A,'[1]Tissue Data'!L:L)</f>
        <v>8.5</v>
      </c>
      <c r="J4402">
        <f>_xlfn.XLOOKUP(A4402,'[1]Tissue Data'!$A:$A,'[1]Tissue Data'!M:M)</f>
        <v>15.35</v>
      </c>
      <c r="K4402" t="s">
        <v>12</v>
      </c>
      <c r="L4402" t="str">
        <f>_xlfn.XLOOKUP(K4402,[2]analyte_order!$B:$B,[2]analyte_order!$C:$C)</f>
        <v>375-22-4</v>
      </c>
      <c r="M4402">
        <f>_xlfn.XLOOKUP(L4402,[2]analyte_order!$C:$C,[2]analyte_order!$E:$E)</f>
        <v>1</v>
      </c>
      <c r="N4402">
        <v>0.22550000000000001</v>
      </c>
    </row>
    <row r="4403" spans="1:14">
      <c r="A4403" t="s">
        <v>267</v>
      </c>
      <c r="B4403" t="str">
        <f>_xlfn.XLOOKUP(A4403,'[1]Tissue Data'!$A:$A,'[1]Tissue Data'!$C:$C)</f>
        <v>Spill</v>
      </c>
      <c r="C4403" s="2">
        <f>_xlfn.XLOOKUP(A4403,'[1]Tissue Data'!$A:$A,'[1]Tissue Data'!$D:$D)</f>
        <v>44393</v>
      </c>
      <c r="D4403" s="2" t="str">
        <f>_xlfn.XLOOKUP(A4403,'[1]Tissue Data'!$A:$A,'[1]Tissue Data'!$F:$F)</f>
        <v>Pumpkinseed</v>
      </c>
      <c r="E4403" t="str">
        <f>_xlfn.XLOOKUP(A4403,'[1]Tissue Data'!$A:$A,'[1]Tissue Data'!$H:$H)</f>
        <v>Lepomis</v>
      </c>
      <c r="F4403" t="str">
        <f>_xlfn.XLOOKUP(A4403,'[1]Tissue Data'!$A:$A,'[1]Tissue Data'!$I:$I)</f>
        <v>gibbosus</v>
      </c>
      <c r="G4403" t="str">
        <f>_xlfn.XLOOKUP(A4403,'[1]Tissue Data'!$A:$A,'[1]Tissue Data'!J:J)</f>
        <v>U</v>
      </c>
      <c r="H4403" t="str">
        <f>_xlfn.XLOOKUP(A4403,'[1]Tissue Data'!$A:$A,'[1]Tissue Data'!K:K)</f>
        <v>Whole Body</v>
      </c>
      <c r="I4403">
        <f>_xlfn.XLOOKUP(A4403,'[1]Tissue Data'!$A:$A,'[1]Tissue Data'!L:L)</f>
        <v>8.5</v>
      </c>
      <c r="J4403">
        <f>_xlfn.XLOOKUP(A4403,'[1]Tissue Data'!$A:$A,'[1]Tissue Data'!M:M)</f>
        <v>15.35</v>
      </c>
      <c r="K4403" t="s">
        <v>13</v>
      </c>
      <c r="L4403" t="str">
        <f>_xlfn.XLOOKUP(K4403,[2]analyte_order!$B:$B,[2]analyte_order!$C:$C)</f>
        <v>2706-90-3</v>
      </c>
      <c r="M4403">
        <f>_xlfn.XLOOKUP(L4403,[2]analyte_order!$C:$C,[2]analyte_order!$E:$E)</f>
        <v>2</v>
      </c>
      <c r="N4403">
        <v>4.8349999999999997E-2</v>
      </c>
    </row>
    <row r="4404" spans="1:14">
      <c r="A4404" t="s">
        <v>267</v>
      </c>
      <c r="B4404" t="str">
        <f>_xlfn.XLOOKUP(A4404,'[1]Tissue Data'!$A:$A,'[1]Tissue Data'!$C:$C)</f>
        <v>Spill</v>
      </c>
      <c r="C4404" s="2">
        <f>_xlfn.XLOOKUP(A4404,'[1]Tissue Data'!$A:$A,'[1]Tissue Data'!$D:$D)</f>
        <v>44393</v>
      </c>
      <c r="D4404" s="2" t="str">
        <f>_xlfn.XLOOKUP(A4404,'[1]Tissue Data'!$A:$A,'[1]Tissue Data'!$F:$F)</f>
        <v>Pumpkinseed</v>
      </c>
      <c r="E4404" t="str">
        <f>_xlfn.XLOOKUP(A4404,'[1]Tissue Data'!$A:$A,'[1]Tissue Data'!$H:$H)</f>
        <v>Lepomis</v>
      </c>
      <c r="F4404" t="str">
        <f>_xlfn.XLOOKUP(A4404,'[1]Tissue Data'!$A:$A,'[1]Tissue Data'!$I:$I)</f>
        <v>gibbosus</v>
      </c>
      <c r="G4404" t="str">
        <f>_xlfn.XLOOKUP(A4404,'[1]Tissue Data'!$A:$A,'[1]Tissue Data'!J:J)</f>
        <v>U</v>
      </c>
      <c r="H4404" t="str">
        <f>_xlfn.XLOOKUP(A4404,'[1]Tissue Data'!$A:$A,'[1]Tissue Data'!K:K)</f>
        <v>Whole Body</v>
      </c>
      <c r="I4404">
        <f>_xlfn.XLOOKUP(A4404,'[1]Tissue Data'!$A:$A,'[1]Tissue Data'!L:L)</f>
        <v>8.5</v>
      </c>
      <c r="J4404">
        <f>_xlfn.XLOOKUP(A4404,'[1]Tissue Data'!$A:$A,'[1]Tissue Data'!M:M)</f>
        <v>15.35</v>
      </c>
      <c r="K4404" t="s">
        <v>14</v>
      </c>
      <c r="L4404" t="str">
        <f>_xlfn.XLOOKUP(K4404,[2]analyte_order!$B:$B,[2]analyte_order!$C:$C)</f>
        <v>307-24-4</v>
      </c>
      <c r="M4404">
        <f>_xlfn.XLOOKUP(L4404,[2]analyte_order!$C:$C,[2]analyte_order!$E:$E)</f>
        <v>3</v>
      </c>
      <c r="N4404">
        <v>3.6799999999999999E-2</v>
      </c>
    </row>
    <row r="4405" spans="1:14">
      <c r="A4405" t="s">
        <v>267</v>
      </c>
      <c r="B4405" t="str">
        <f>_xlfn.XLOOKUP(A4405,'[1]Tissue Data'!$A:$A,'[1]Tissue Data'!$C:$C)</f>
        <v>Spill</v>
      </c>
      <c r="C4405" s="2">
        <f>_xlfn.XLOOKUP(A4405,'[1]Tissue Data'!$A:$A,'[1]Tissue Data'!$D:$D)</f>
        <v>44393</v>
      </c>
      <c r="D4405" s="2" t="str">
        <f>_xlfn.XLOOKUP(A4405,'[1]Tissue Data'!$A:$A,'[1]Tissue Data'!$F:$F)</f>
        <v>Pumpkinseed</v>
      </c>
      <c r="E4405" t="str">
        <f>_xlfn.XLOOKUP(A4405,'[1]Tissue Data'!$A:$A,'[1]Tissue Data'!$H:$H)</f>
        <v>Lepomis</v>
      </c>
      <c r="F4405" t="str">
        <f>_xlfn.XLOOKUP(A4405,'[1]Tissue Data'!$A:$A,'[1]Tissue Data'!$I:$I)</f>
        <v>gibbosus</v>
      </c>
      <c r="G4405" t="str">
        <f>_xlfn.XLOOKUP(A4405,'[1]Tissue Data'!$A:$A,'[1]Tissue Data'!J:J)</f>
        <v>U</v>
      </c>
      <c r="H4405" t="str">
        <f>_xlfn.XLOOKUP(A4405,'[1]Tissue Data'!$A:$A,'[1]Tissue Data'!K:K)</f>
        <v>Whole Body</v>
      </c>
      <c r="I4405">
        <f>_xlfn.XLOOKUP(A4405,'[1]Tissue Data'!$A:$A,'[1]Tissue Data'!L:L)</f>
        <v>8.5</v>
      </c>
      <c r="J4405">
        <f>_xlfn.XLOOKUP(A4405,'[1]Tissue Data'!$A:$A,'[1]Tissue Data'!M:M)</f>
        <v>15.35</v>
      </c>
      <c r="K4405" t="s">
        <v>15</v>
      </c>
      <c r="L4405" t="str">
        <f>_xlfn.XLOOKUP(K4405,[2]analyte_order!$B:$B,[2]analyte_order!$C:$C)</f>
        <v>375-85-9</v>
      </c>
      <c r="M4405">
        <f>_xlfn.XLOOKUP(L4405,[2]analyte_order!$C:$C,[2]analyte_order!$E:$E)</f>
        <v>4</v>
      </c>
      <c r="N4405">
        <v>2.725E-2</v>
      </c>
    </row>
    <row r="4406" spans="1:14">
      <c r="A4406" t="s">
        <v>267</v>
      </c>
      <c r="B4406" t="str">
        <f>_xlfn.XLOOKUP(A4406,'[1]Tissue Data'!$A:$A,'[1]Tissue Data'!$C:$C)</f>
        <v>Spill</v>
      </c>
      <c r="C4406" s="2">
        <f>_xlfn.XLOOKUP(A4406,'[1]Tissue Data'!$A:$A,'[1]Tissue Data'!$D:$D)</f>
        <v>44393</v>
      </c>
      <c r="D4406" s="2" t="str">
        <f>_xlfn.XLOOKUP(A4406,'[1]Tissue Data'!$A:$A,'[1]Tissue Data'!$F:$F)</f>
        <v>Pumpkinseed</v>
      </c>
      <c r="E4406" t="str">
        <f>_xlfn.XLOOKUP(A4406,'[1]Tissue Data'!$A:$A,'[1]Tissue Data'!$H:$H)</f>
        <v>Lepomis</v>
      </c>
      <c r="F4406" t="str">
        <f>_xlfn.XLOOKUP(A4406,'[1]Tissue Data'!$A:$A,'[1]Tissue Data'!$I:$I)</f>
        <v>gibbosus</v>
      </c>
      <c r="G4406" t="str">
        <f>_xlfn.XLOOKUP(A4406,'[1]Tissue Data'!$A:$A,'[1]Tissue Data'!J:J)</f>
        <v>U</v>
      </c>
      <c r="H4406" t="str">
        <f>_xlfn.XLOOKUP(A4406,'[1]Tissue Data'!$A:$A,'[1]Tissue Data'!K:K)</f>
        <v>Whole Body</v>
      </c>
      <c r="I4406">
        <f>_xlfn.XLOOKUP(A4406,'[1]Tissue Data'!$A:$A,'[1]Tissue Data'!L:L)</f>
        <v>8.5</v>
      </c>
      <c r="J4406">
        <f>_xlfn.XLOOKUP(A4406,'[1]Tissue Data'!$A:$A,'[1]Tissue Data'!M:M)</f>
        <v>15.35</v>
      </c>
      <c r="K4406" t="s">
        <v>16</v>
      </c>
      <c r="L4406" t="str">
        <f>_xlfn.XLOOKUP(K4406,[2]analyte_order!$B:$B,[2]analyte_order!$C:$C)</f>
        <v>335-67-1</v>
      </c>
      <c r="M4406">
        <f>_xlfn.XLOOKUP(L4406,[2]analyte_order!$C:$C,[2]analyte_order!$E:$E)</f>
        <v>5</v>
      </c>
      <c r="N4406">
        <v>0.33200000000000002</v>
      </c>
    </row>
    <row r="4407" spans="1:14">
      <c r="A4407" t="s">
        <v>267</v>
      </c>
      <c r="B4407" t="str">
        <f>_xlfn.XLOOKUP(A4407,'[1]Tissue Data'!$A:$A,'[1]Tissue Data'!$C:$C)</f>
        <v>Spill</v>
      </c>
      <c r="C4407" s="2">
        <f>_xlfn.XLOOKUP(A4407,'[1]Tissue Data'!$A:$A,'[1]Tissue Data'!$D:$D)</f>
        <v>44393</v>
      </c>
      <c r="D4407" s="2" t="str">
        <f>_xlfn.XLOOKUP(A4407,'[1]Tissue Data'!$A:$A,'[1]Tissue Data'!$F:$F)</f>
        <v>Pumpkinseed</v>
      </c>
      <c r="E4407" t="str">
        <f>_xlfn.XLOOKUP(A4407,'[1]Tissue Data'!$A:$A,'[1]Tissue Data'!$H:$H)</f>
        <v>Lepomis</v>
      </c>
      <c r="F4407" t="str">
        <f>_xlfn.XLOOKUP(A4407,'[1]Tissue Data'!$A:$A,'[1]Tissue Data'!$I:$I)</f>
        <v>gibbosus</v>
      </c>
      <c r="G4407" t="str">
        <f>_xlfn.XLOOKUP(A4407,'[1]Tissue Data'!$A:$A,'[1]Tissue Data'!J:J)</f>
        <v>U</v>
      </c>
      <c r="H4407" t="str">
        <f>_xlfn.XLOOKUP(A4407,'[1]Tissue Data'!$A:$A,'[1]Tissue Data'!K:K)</f>
        <v>Whole Body</v>
      </c>
      <c r="I4407">
        <f>_xlfn.XLOOKUP(A4407,'[1]Tissue Data'!$A:$A,'[1]Tissue Data'!L:L)</f>
        <v>8.5</v>
      </c>
      <c r="J4407">
        <f>_xlfn.XLOOKUP(A4407,'[1]Tissue Data'!$A:$A,'[1]Tissue Data'!M:M)</f>
        <v>15.35</v>
      </c>
      <c r="K4407" t="s">
        <v>17</v>
      </c>
      <c r="L4407" t="str">
        <f>_xlfn.XLOOKUP(K4407,[2]analyte_order!$B:$B,[2]analyte_order!$C:$C)</f>
        <v>375-95-1</v>
      </c>
      <c r="M4407">
        <f>_xlfn.XLOOKUP(L4407,[2]analyte_order!$C:$C,[2]analyte_order!$E:$E)</f>
        <v>6</v>
      </c>
      <c r="N4407">
        <v>4.725E-2</v>
      </c>
    </row>
    <row r="4408" spans="1:14">
      <c r="A4408" t="s">
        <v>267</v>
      </c>
      <c r="B4408" t="str">
        <f>_xlfn.XLOOKUP(A4408,'[1]Tissue Data'!$A:$A,'[1]Tissue Data'!$C:$C)</f>
        <v>Spill</v>
      </c>
      <c r="C4408" s="2">
        <f>_xlfn.XLOOKUP(A4408,'[1]Tissue Data'!$A:$A,'[1]Tissue Data'!$D:$D)</f>
        <v>44393</v>
      </c>
      <c r="D4408" s="2" t="str">
        <f>_xlfn.XLOOKUP(A4408,'[1]Tissue Data'!$A:$A,'[1]Tissue Data'!$F:$F)</f>
        <v>Pumpkinseed</v>
      </c>
      <c r="E4408" t="str">
        <f>_xlfn.XLOOKUP(A4408,'[1]Tissue Data'!$A:$A,'[1]Tissue Data'!$H:$H)</f>
        <v>Lepomis</v>
      </c>
      <c r="F4408" t="str">
        <f>_xlfn.XLOOKUP(A4408,'[1]Tissue Data'!$A:$A,'[1]Tissue Data'!$I:$I)</f>
        <v>gibbosus</v>
      </c>
      <c r="G4408" t="str">
        <f>_xlfn.XLOOKUP(A4408,'[1]Tissue Data'!$A:$A,'[1]Tissue Data'!J:J)</f>
        <v>U</v>
      </c>
      <c r="H4408" t="str">
        <f>_xlfn.XLOOKUP(A4408,'[1]Tissue Data'!$A:$A,'[1]Tissue Data'!K:K)</f>
        <v>Whole Body</v>
      </c>
      <c r="I4408">
        <f>_xlfn.XLOOKUP(A4408,'[1]Tissue Data'!$A:$A,'[1]Tissue Data'!L:L)</f>
        <v>8.5</v>
      </c>
      <c r="J4408">
        <f>_xlfn.XLOOKUP(A4408,'[1]Tissue Data'!$A:$A,'[1]Tissue Data'!M:M)</f>
        <v>15.35</v>
      </c>
      <c r="K4408" t="s">
        <v>18</v>
      </c>
      <c r="L4408" t="str">
        <f>_xlfn.XLOOKUP(K4408,[2]analyte_order!$B:$B,[2]analyte_order!$C:$C)</f>
        <v>335-76-2</v>
      </c>
      <c r="M4408">
        <f>_xlfn.XLOOKUP(L4408,[2]analyte_order!$C:$C,[2]analyte_order!$E:$E)</f>
        <v>7</v>
      </c>
      <c r="N4408">
        <v>5.25</v>
      </c>
    </row>
    <row r="4409" spans="1:14">
      <c r="A4409" t="s">
        <v>267</v>
      </c>
      <c r="B4409" t="str">
        <f>_xlfn.XLOOKUP(A4409,'[1]Tissue Data'!$A:$A,'[1]Tissue Data'!$C:$C)</f>
        <v>Spill</v>
      </c>
      <c r="C4409" s="2">
        <f>_xlfn.XLOOKUP(A4409,'[1]Tissue Data'!$A:$A,'[1]Tissue Data'!$D:$D)</f>
        <v>44393</v>
      </c>
      <c r="D4409" s="2" t="str">
        <f>_xlfn.XLOOKUP(A4409,'[1]Tissue Data'!$A:$A,'[1]Tissue Data'!$F:$F)</f>
        <v>Pumpkinseed</v>
      </c>
      <c r="E4409" t="str">
        <f>_xlfn.XLOOKUP(A4409,'[1]Tissue Data'!$A:$A,'[1]Tissue Data'!$H:$H)</f>
        <v>Lepomis</v>
      </c>
      <c r="F4409" t="str">
        <f>_xlfn.XLOOKUP(A4409,'[1]Tissue Data'!$A:$A,'[1]Tissue Data'!$I:$I)</f>
        <v>gibbosus</v>
      </c>
      <c r="G4409" t="str">
        <f>_xlfn.XLOOKUP(A4409,'[1]Tissue Data'!$A:$A,'[1]Tissue Data'!J:J)</f>
        <v>U</v>
      </c>
      <c r="H4409" t="str">
        <f>_xlfn.XLOOKUP(A4409,'[1]Tissue Data'!$A:$A,'[1]Tissue Data'!K:K)</f>
        <v>Whole Body</v>
      </c>
      <c r="I4409">
        <f>_xlfn.XLOOKUP(A4409,'[1]Tissue Data'!$A:$A,'[1]Tissue Data'!L:L)</f>
        <v>8.5</v>
      </c>
      <c r="J4409">
        <f>_xlfn.XLOOKUP(A4409,'[1]Tissue Data'!$A:$A,'[1]Tissue Data'!M:M)</f>
        <v>15.35</v>
      </c>
      <c r="K4409" t="s">
        <v>19</v>
      </c>
      <c r="L4409" t="str">
        <f>_xlfn.XLOOKUP(K4409,[2]analyte_order!$B:$B,[2]analyte_order!$C:$C)</f>
        <v>2058-94-8</v>
      </c>
      <c r="M4409">
        <f>_xlfn.XLOOKUP(L4409,[2]analyte_order!$C:$C,[2]analyte_order!$E:$E)</f>
        <v>8</v>
      </c>
      <c r="N4409">
        <v>7.82</v>
      </c>
    </row>
    <row r="4410" spans="1:14">
      <c r="A4410" t="s">
        <v>267</v>
      </c>
      <c r="B4410" t="str">
        <f>_xlfn.XLOOKUP(A4410,'[1]Tissue Data'!$A:$A,'[1]Tissue Data'!$C:$C)</f>
        <v>Spill</v>
      </c>
      <c r="C4410" s="2">
        <f>_xlfn.XLOOKUP(A4410,'[1]Tissue Data'!$A:$A,'[1]Tissue Data'!$D:$D)</f>
        <v>44393</v>
      </c>
      <c r="D4410" s="2" t="str">
        <f>_xlfn.XLOOKUP(A4410,'[1]Tissue Data'!$A:$A,'[1]Tissue Data'!$F:$F)</f>
        <v>Pumpkinseed</v>
      </c>
      <c r="E4410" t="str">
        <f>_xlfn.XLOOKUP(A4410,'[1]Tissue Data'!$A:$A,'[1]Tissue Data'!$H:$H)</f>
        <v>Lepomis</v>
      </c>
      <c r="F4410" t="str">
        <f>_xlfn.XLOOKUP(A4410,'[1]Tissue Data'!$A:$A,'[1]Tissue Data'!$I:$I)</f>
        <v>gibbosus</v>
      </c>
      <c r="G4410" t="str">
        <f>_xlfn.XLOOKUP(A4410,'[1]Tissue Data'!$A:$A,'[1]Tissue Data'!J:J)</f>
        <v>U</v>
      </c>
      <c r="H4410" t="str">
        <f>_xlfn.XLOOKUP(A4410,'[1]Tissue Data'!$A:$A,'[1]Tissue Data'!K:K)</f>
        <v>Whole Body</v>
      </c>
      <c r="I4410">
        <f>_xlfn.XLOOKUP(A4410,'[1]Tissue Data'!$A:$A,'[1]Tissue Data'!L:L)</f>
        <v>8.5</v>
      </c>
      <c r="J4410">
        <f>_xlfn.XLOOKUP(A4410,'[1]Tissue Data'!$A:$A,'[1]Tissue Data'!M:M)</f>
        <v>15.35</v>
      </c>
      <c r="K4410" t="s">
        <v>20</v>
      </c>
      <c r="L4410" t="str">
        <f>_xlfn.XLOOKUP(K4410,[2]analyte_order!$B:$B,[2]analyte_order!$C:$C)</f>
        <v>307-55-1</v>
      </c>
      <c r="M4410">
        <f>_xlfn.XLOOKUP(L4410,[2]analyte_order!$C:$C,[2]analyte_order!$E:$E)</f>
        <v>9</v>
      </c>
      <c r="N4410">
        <v>23</v>
      </c>
    </row>
    <row r="4411" spans="1:14">
      <c r="A4411" t="s">
        <v>267</v>
      </c>
      <c r="B4411" t="str">
        <f>_xlfn.XLOOKUP(A4411,'[1]Tissue Data'!$A:$A,'[1]Tissue Data'!$C:$C)</f>
        <v>Spill</v>
      </c>
      <c r="C4411" s="2">
        <f>_xlfn.XLOOKUP(A4411,'[1]Tissue Data'!$A:$A,'[1]Tissue Data'!$D:$D)</f>
        <v>44393</v>
      </c>
      <c r="D4411" s="2" t="str">
        <f>_xlfn.XLOOKUP(A4411,'[1]Tissue Data'!$A:$A,'[1]Tissue Data'!$F:$F)</f>
        <v>Pumpkinseed</v>
      </c>
      <c r="E4411" t="str">
        <f>_xlfn.XLOOKUP(A4411,'[1]Tissue Data'!$A:$A,'[1]Tissue Data'!$H:$H)</f>
        <v>Lepomis</v>
      </c>
      <c r="F4411" t="str">
        <f>_xlfn.XLOOKUP(A4411,'[1]Tissue Data'!$A:$A,'[1]Tissue Data'!$I:$I)</f>
        <v>gibbosus</v>
      </c>
      <c r="G4411" t="str">
        <f>_xlfn.XLOOKUP(A4411,'[1]Tissue Data'!$A:$A,'[1]Tissue Data'!J:J)</f>
        <v>U</v>
      </c>
      <c r="H4411" t="str">
        <f>_xlfn.XLOOKUP(A4411,'[1]Tissue Data'!$A:$A,'[1]Tissue Data'!K:K)</f>
        <v>Whole Body</v>
      </c>
      <c r="I4411">
        <f>_xlfn.XLOOKUP(A4411,'[1]Tissue Data'!$A:$A,'[1]Tissue Data'!L:L)</f>
        <v>8.5</v>
      </c>
      <c r="J4411">
        <f>_xlfn.XLOOKUP(A4411,'[1]Tissue Data'!$A:$A,'[1]Tissue Data'!M:M)</f>
        <v>15.35</v>
      </c>
      <c r="K4411" t="s">
        <v>21</v>
      </c>
      <c r="L4411" t="str">
        <f>_xlfn.XLOOKUP(K4411,[2]analyte_order!$B:$B,[2]analyte_order!$C:$C)</f>
        <v>72629-94-8</v>
      </c>
      <c r="M4411">
        <f>_xlfn.XLOOKUP(L4411,[2]analyte_order!$C:$C,[2]analyte_order!$E:$E)</f>
        <v>10</v>
      </c>
      <c r="N4411">
        <v>5.32</v>
      </c>
    </row>
    <row r="4412" spans="1:14">
      <c r="A4412" t="s">
        <v>267</v>
      </c>
      <c r="B4412" t="str">
        <f>_xlfn.XLOOKUP(A4412,'[1]Tissue Data'!$A:$A,'[1]Tissue Data'!$C:$C)</f>
        <v>Spill</v>
      </c>
      <c r="C4412" s="2">
        <f>_xlfn.XLOOKUP(A4412,'[1]Tissue Data'!$A:$A,'[1]Tissue Data'!$D:$D)</f>
        <v>44393</v>
      </c>
      <c r="D4412" s="2" t="str">
        <f>_xlfn.XLOOKUP(A4412,'[1]Tissue Data'!$A:$A,'[1]Tissue Data'!$F:$F)</f>
        <v>Pumpkinseed</v>
      </c>
      <c r="E4412" t="str">
        <f>_xlfn.XLOOKUP(A4412,'[1]Tissue Data'!$A:$A,'[1]Tissue Data'!$H:$H)</f>
        <v>Lepomis</v>
      </c>
      <c r="F4412" t="str">
        <f>_xlfn.XLOOKUP(A4412,'[1]Tissue Data'!$A:$A,'[1]Tissue Data'!$I:$I)</f>
        <v>gibbosus</v>
      </c>
      <c r="G4412" t="str">
        <f>_xlfn.XLOOKUP(A4412,'[1]Tissue Data'!$A:$A,'[1]Tissue Data'!J:J)</f>
        <v>U</v>
      </c>
      <c r="H4412" t="str">
        <f>_xlfn.XLOOKUP(A4412,'[1]Tissue Data'!$A:$A,'[1]Tissue Data'!K:K)</f>
        <v>Whole Body</v>
      </c>
      <c r="I4412">
        <f>_xlfn.XLOOKUP(A4412,'[1]Tissue Data'!$A:$A,'[1]Tissue Data'!L:L)</f>
        <v>8.5</v>
      </c>
      <c r="J4412">
        <f>_xlfn.XLOOKUP(A4412,'[1]Tissue Data'!$A:$A,'[1]Tissue Data'!M:M)</f>
        <v>15.35</v>
      </c>
      <c r="K4412" t="s">
        <v>22</v>
      </c>
      <c r="L4412" t="str">
        <f>_xlfn.XLOOKUP(K4412,[2]analyte_order!$B:$B,[2]analyte_order!$C:$C)</f>
        <v>376-06-7</v>
      </c>
      <c r="M4412">
        <f>_xlfn.XLOOKUP(L4412,[2]analyte_order!$C:$C,[2]analyte_order!$E:$E)</f>
        <v>11</v>
      </c>
      <c r="N4412">
        <v>19.100000000000001</v>
      </c>
    </row>
    <row r="4413" spans="1:14">
      <c r="A4413" t="s">
        <v>267</v>
      </c>
      <c r="B4413" t="str">
        <f>_xlfn.XLOOKUP(A4413,'[1]Tissue Data'!$A:$A,'[1]Tissue Data'!$C:$C)</f>
        <v>Spill</v>
      </c>
      <c r="C4413" s="2">
        <f>_xlfn.XLOOKUP(A4413,'[1]Tissue Data'!$A:$A,'[1]Tissue Data'!$D:$D)</f>
        <v>44393</v>
      </c>
      <c r="D4413" s="2" t="str">
        <f>_xlfn.XLOOKUP(A4413,'[1]Tissue Data'!$A:$A,'[1]Tissue Data'!$F:$F)</f>
        <v>Pumpkinseed</v>
      </c>
      <c r="E4413" t="str">
        <f>_xlfn.XLOOKUP(A4413,'[1]Tissue Data'!$A:$A,'[1]Tissue Data'!$H:$H)</f>
        <v>Lepomis</v>
      </c>
      <c r="F4413" t="str">
        <f>_xlfn.XLOOKUP(A4413,'[1]Tissue Data'!$A:$A,'[1]Tissue Data'!$I:$I)</f>
        <v>gibbosus</v>
      </c>
      <c r="G4413" t="str">
        <f>_xlfn.XLOOKUP(A4413,'[1]Tissue Data'!$A:$A,'[1]Tissue Data'!J:J)</f>
        <v>U</v>
      </c>
      <c r="H4413" t="str">
        <f>_xlfn.XLOOKUP(A4413,'[1]Tissue Data'!$A:$A,'[1]Tissue Data'!K:K)</f>
        <v>Whole Body</v>
      </c>
      <c r="I4413">
        <f>_xlfn.XLOOKUP(A4413,'[1]Tissue Data'!$A:$A,'[1]Tissue Data'!L:L)</f>
        <v>8.5</v>
      </c>
      <c r="J4413">
        <f>_xlfn.XLOOKUP(A4413,'[1]Tissue Data'!$A:$A,'[1]Tissue Data'!M:M)</f>
        <v>15.35</v>
      </c>
      <c r="K4413" t="s">
        <v>23</v>
      </c>
      <c r="L4413" t="str">
        <f>_xlfn.XLOOKUP(K4413,[2]analyte_order!$B:$B,[2]analyte_order!$C:$C)</f>
        <v>67905-19-5</v>
      </c>
      <c r="M4413">
        <f>_xlfn.XLOOKUP(L4413,[2]analyte_order!$C:$C,[2]analyte_order!$E:$E)</f>
        <v>12</v>
      </c>
      <c r="N4413">
        <v>8.1500000000000003E-2</v>
      </c>
    </row>
    <row r="4414" spans="1:14">
      <c r="A4414" t="s">
        <v>267</v>
      </c>
      <c r="B4414" t="str">
        <f>_xlfn.XLOOKUP(A4414,'[1]Tissue Data'!$A:$A,'[1]Tissue Data'!$C:$C)</f>
        <v>Spill</v>
      </c>
      <c r="C4414" s="2">
        <f>_xlfn.XLOOKUP(A4414,'[1]Tissue Data'!$A:$A,'[1]Tissue Data'!$D:$D)</f>
        <v>44393</v>
      </c>
      <c r="D4414" s="2" t="str">
        <f>_xlfn.XLOOKUP(A4414,'[1]Tissue Data'!$A:$A,'[1]Tissue Data'!$F:$F)</f>
        <v>Pumpkinseed</v>
      </c>
      <c r="E4414" t="str">
        <f>_xlfn.XLOOKUP(A4414,'[1]Tissue Data'!$A:$A,'[1]Tissue Data'!$H:$H)</f>
        <v>Lepomis</v>
      </c>
      <c r="F4414" t="str">
        <f>_xlfn.XLOOKUP(A4414,'[1]Tissue Data'!$A:$A,'[1]Tissue Data'!$I:$I)</f>
        <v>gibbosus</v>
      </c>
      <c r="G4414" t="str">
        <f>_xlfn.XLOOKUP(A4414,'[1]Tissue Data'!$A:$A,'[1]Tissue Data'!J:J)</f>
        <v>U</v>
      </c>
      <c r="H4414" t="str">
        <f>_xlfn.XLOOKUP(A4414,'[1]Tissue Data'!$A:$A,'[1]Tissue Data'!K:K)</f>
        <v>Whole Body</v>
      </c>
      <c r="I4414">
        <f>_xlfn.XLOOKUP(A4414,'[1]Tissue Data'!$A:$A,'[1]Tissue Data'!L:L)</f>
        <v>8.5</v>
      </c>
      <c r="J4414">
        <f>_xlfn.XLOOKUP(A4414,'[1]Tissue Data'!$A:$A,'[1]Tissue Data'!M:M)</f>
        <v>15.35</v>
      </c>
      <c r="K4414" t="s">
        <v>24</v>
      </c>
      <c r="L4414" t="str">
        <f>_xlfn.XLOOKUP(K4414,[2]analyte_order!$B:$B,[2]analyte_order!$C:$C)</f>
        <v>423-41-6</v>
      </c>
      <c r="M4414">
        <f>_xlfn.XLOOKUP(L4414,[2]analyte_order!$C:$C,[2]analyte_order!$E:$E)</f>
        <v>53</v>
      </c>
      <c r="N4414">
        <v>5.1999999999999998E-2</v>
      </c>
    </row>
    <row r="4415" spans="1:14">
      <c r="A4415" t="s">
        <v>267</v>
      </c>
      <c r="B4415" t="str">
        <f>_xlfn.XLOOKUP(A4415,'[1]Tissue Data'!$A:$A,'[1]Tissue Data'!$C:$C)</f>
        <v>Spill</v>
      </c>
      <c r="C4415" s="2">
        <f>_xlfn.XLOOKUP(A4415,'[1]Tissue Data'!$A:$A,'[1]Tissue Data'!$D:$D)</f>
        <v>44393</v>
      </c>
      <c r="D4415" s="2" t="str">
        <f>_xlfn.XLOOKUP(A4415,'[1]Tissue Data'!$A:$A,'[1]Tissue Data'!$F:$F)</f>
        <v>Pumpkinseed</v>
      </c>
      <c r="E4415" t="str">
        <f>_xlfn.XLOOKUP(A4415,'[1]Tissue Data'!$A:$A,'[1]Tissue Data'!$H:$H)</f>
        <v>Lepomis</v>
      </c>
      <c r="F4415" t="str">
        <f>_xlfn.XLOOKUP(A4415,'[1]Tissue Data'!$A:$A,'[1]Tissue Data'!$I:$I)</f>
        <v>gibbosus</v>
      </c>
      <c r="G4415" t="str">
        <f>_xlfn.XLOOKUP(A4415,'[1]Tissue Data'!$A:$A,'[1]Tissue Data'!J:J)</f>
        <v>U</v>
      </c>
      <c r="H4415" t="str">
        <f>_xlfn.XLOOKUP(A4415,'[1]Tissue Data'!$A:$A,'[1]Tissue Data'!K:K)</f>
        <v>Whole Body</v>
      </c>
      <c r="I4415">
        <f>_xlfn.XLOOKUP(A4415,'[1]Tissue Data'!$A:$A,'[1]Tissue Data'!L:L)</f>
        <v>8.5</v>
      </c>
      <c r="J4415">
        <f>_xlfn.XLOOKUP(A4415,'[1]Tissue Data'!$A:$A,'[1]Tissue Data'!M:M)</f>
        <v>15.35</v>
      </c>
      <c r="K4415" t="s">
        <v>25</v>
      </c>
      <c r="L4415" t="str">
        <f>_xlfn.XLOOKUP(K4415,[2]analyte_order!$B:$B,[2]analyte_order!$C:$C)</f>
        <v>375-73-5</v>
      </c>
      <c r="M4415">
        <f>_xlfn.XLOOKUP(L4415,[2]analyte_order!$C:$C,[2]analyte_order!$E:$E)</f>
        <v>14</v>
      </c>
      <c r="N4415">
        <v>0.1535</v>
      </c>
    </row>
    <row r="4416" spans="1:14">
      <c r="A4416" t="s">
        <v>267</v>
      </c>
      <c r="B4416" t="str">
        <f>_xlfn.XLOOKUP(A4416,'[1]Tissue Data'!$A:$A,'[1]Tissue Data'!$C:$C)</f>
        <v>Spill</v>
      </c>
      <c r="C4416" s="2">
        <f>_xlfn.XLOOKUP(A4416,'[1]Tissue Data'!$A:$A,'[1]Tissue Data'!$D:$D)</f>
        <v>44393</v>
      </c>
      <c r="D4416" s="2" t="str">
        <f>_xlfn.XLOOKUP(A4416,'[1]Tissue Data'!$A:$A,'[1]Tissue Data'!$F:$F)</f>
        <v>Pumpkinseed</v>
      </c>
      <c r="E4416" t="str">
        <f>_xlfn.XLOOKUP(A4416,'[1]Tissue Data'!$A:$A,'[1]Tissue Data'!$H:$H)</f>
        <v>Lepomis</v>
      </c>
      <c r="F4416" t="str">
        <f>_xlfn.XLOOKUP(A4416,'[1]Tissue Data'!$A:$A,'[1]Tissue Data'!$I:$I)</f>
        <v>gibbosus</v>
      </c>
      <c r="G4416" t="str">
        <f>_xlfn.XLOOKUP(A4416,'[1]Tissue Data'!$A:$A,'[1]Tissue Data'!J:J)</f>
        <v>U</v>
      </c>
      <c r="H4416" t="str">
        <f>_xlfn.XLOOKUP(A4416,'[1]Tissue Data'!$A:$A,'[1]Tissue Data'!K:K)</f>
        <v>Whole Body</v>
      </c>
      <c r="I4416">
        <f>_xlfn.XLOOKUP(A4416,'[1]Tissue Data'!$A:$A,'[1]Tissue Data'!L:L)</f>
        <v>8.5</v>
      </c>
      <c r="J4416">
        <f>_xlfn.XLOOKUP(A4416,'[1]Tissue Data'!$A:$A,'[1]Tissue Data'!M:M)</f>
        <v>15.35</v>
      </c>
      <c r="K4416" t="s">
        <v>26</v>
      </c>
      <c r="L4416" t="str">
        <f>_xlfn.XLOOKUP(K4416,[2]analyte_order!$B:$B,[2]analyte_order!$C:$C)</f>
        <v>2706-91-4</v>
      </c>
      <c r="M4416">
        <f>_xlfn.XLOOKUP(L4416,[2]analyte_order!$C:$C,[2]analyte_order!$E:$E)</f>
        <v>15</v>
      </c>
      <c r="N4416">
        <v>0.1195</v>
      </c>
    </row>
    <row r="4417" spans="1:14">
      <c r="A4417" t="s">
        <v>267</v>
      </c>
      <c r="B4417" t="str">
        <f>_xlfn.XLOOKUP(A4417,'[1]Tissue Data'!$A:$A,'[1]Tissue Data'!$C:$C)</f>
        <v>Spill</v>
      </c>
      <c r="C4417" s="2">
        <f>_xlfn.XLOOKUP(A4417,'[1]Tissue Data'!$A:$A,'[1]Tissue Data'!$D:$D)</f>
        <v>44393</v>
      </c>
      <c r="D4417" s="2" t="str">
        <f>_xlfn.XLOOKUP(A4417,'[1]Tissue Data'!$A:$A,'[1]Tissue Data'!$F:$F)</f>
        <v>Pumpkinseed</v>
      </c>
      <c r="E4417" t="str">
        <f>_xlfn.XLOOKUP(A4417,'[1]Tissue Data'!$A:$A,'[1]Tissue Data'!$H:$H)</f>
        <v>Lepomis</v>
      </c>
      <c r="F4417" t="str">
        <f>_xlfn.XLOOKUP(A4417,'[1]Tissue Data'!$A:$A,'[1]Tissue Data'!$I:$I)</f>
        <v>gibbosus</v>
      </c>
      <c r="G4417" t="str">
        <f>_xlfn.XLOOKUP(A4417,'[1]Tissue Data'!$A:$A,'[1]Tissue Data'!J:J)</f>
        <v>U</v>
      </c>
      <c r="H4417" t="str">
        <f>_xlfn.XLOOKUP(A4417,'[1]Tissue Data'!$A:$A,'[1]Tissue Data'!K:K)</f>
        <v>Whole Body</v>
      </c>
      <c r="I4417">
        <f>_xlfn.XLOOKUP(A4417,'[1]Tissue Data'!$A:$A,'[1]Tissue Data'!L:L)</f>
        <v>8.5</v>
      </c>
      <c r="J4417">
        <f>_xlfn.XLOOKUP(A4417,'[1]Tissue Data'!$A:$A,'[1]Tissue Data'!M:M)</f>
        <v>15.35</v>
      </c>
      <c r="K4417" t="s">
        <v>27</v>
      </c>
      <c r="L4417" t="str">
        <f>_xlfn.XLOOKUP(K4417,[2]analyte_order!$B:$B,[2]analyte_order!$C:$C)</f>
        <v>355-46-4</v>
      </c>
      <c r="M4417">
        <f>_xlfn.XLOOKUP(L4417,[2]analyte_order!$C:$C,[2]analyte_order!$E:$E)</f>
        <v>16</v>
      </c>
      <c r="N4417">
        <v>8.32</v>
      </c>
    </row>
    <row r="4418" spans="1:14">
      <c r="A4418" t="s">
        <v>267</v>
      </c>
      <c r="B4418" t="str">
        <f>_xlfn.XLOOKUP(A4418,'[1]Tissue Data'!$A:$A,'[1]Tissue Data'!$C:$C)</f>
        <v>Spill</v>
      </c>
      <c r="C4418" s="2">
        <f>_xlfn.XLOOKUP(A4418,'[1]Tissue Data'!$A:$A,'[1]Tissue Data'!$D:$D)</f>
        <v>44393</v>
      </c>
      <c r="D4418" s="2" t="str">
        <f>_xlfn.XLOOKUP(A4418,'[1]Tissue Data'!$A:$A,'[1]Tissue Data'!$F:$F)</f>
        <v>Pumpkinseed</v>
      </c>
      <c r="E4418" t="str">
        <f>_xlfn.XLOOKUP(A4418,'[1]Tissue Data'!$A:$A,'[1]Tissue Data'!$H:$H)</f>
        <v>Lepomis</v>
      </c>
      <c r="F4418" t="str">
        <f>_xlfn.XLOOKUP(A4418,'[1]Tissue Data'!$A:$A,'[1]Tissue Data'!$I:$I)</f>
        <v>gibbosus</v>
      </c>
      <c r="G4418" t="str">
        <f>_xlfn.XLOOKUP(A4418,'[1]Tissue Data'!$A:$A,'[1]Tissue Data'!J:J)</f>
        <v>U</v>
      </c>
      <c r="H4418" t="str">
        <f>_xlfn.XLOOKUP(A4418,'[1]Tissue Data'!$A:$A,'[1]Tissue Data'!K:K)</f>
        <v>Whole Body</v>
      </c>
      <c r="I4418">
        <f>_xlfn.XLOOKUP(A4418,'[1]Tissue Data'!$A:$A,'[1]Tissue Data'!L:L)</f>
        <v>8.5</v>
      </c>
      <c r="J4418">
        <f>_xlfn.XLOOKUP(A4418,'[1]Tissue Data'!$A:$A,'[1]Tissue Data'!M:M)</f>
        <v>15.35</v>
      </c>
      <c r="K4418" t="s">
        <v>28</v>
      </c>
      <c r="L4418" t="str">
        <f>_xlfn.XLOOKUP(K4418,[2]analyte_order!$B:$B,[2]analyte_order!$C:$C)</f>
        <v>375-92-8</v>
      </c>
      <c r="M4418">
        <f>_xlfn.XLOOKUP(L4418,[2]analyte_order!$C:$C,[2]analyte_order!$E:$E)</f>
        <v>17</v>
      </c>
      <c r="N4418">
        <v>0.71</v>
      </c>
    </row>
    <row r="4419" spans="1:14">
      <c r="A4419" t="s">
        <v>267</v>
      </c>
      <c r="B4419" t="str">
        <f>_xlfn.XLOOKUP(A4419,'[1]Tissue Data'!$A:$A,'[1]Tissue Data'!$C:$C)</f>
        <v>Spill</v>
      </c>
      <c r="C4419" s="2">
        <f>_xlfn.XLOOKUP(A4419,'[1]Tissue Data'!$A:$A,'[1]Tissue Data'!$D:$D)</f>
        <v>44393</v>
      </c>
      <c r="D4419" s="2" t="str">
        <f>_xlfn.XLOOKUP(A4419,'[1]Tissue Data'!$A:$A,'[1]Tissue Data'!$F:$F)</f>
        <v>Pumpkinseed</v>
      </c>
      <c r="E4419" t="str">
        <f>_xlfn.XLOOKUP(A4419,'[1]Tissue Data'!$A:$A,'[1]Tissue Data'!$H:$H)</f>
        <v>Lepomis</v>
      </c>
      <c r="F4419" t="str">
        <f>_xlfn.XLOOKUP(A4419,'[1]Tissue Data'!$A:$A,'[1]Tissue Data'!$I:$I)</f>
        <v>gibbosus</v>
      </c>
      <c r="G4419" t="str">
        <f>_xlfn.XLOOKUP(A4419,'[1]Tissue Data'!$A:$A,'[1]Tissue Data'!J:J)</f>
        <v>U</v>
      </c>
      <c r="H4419" t="str">
        <f>_xlfn.XLOOKUP(A4419,'[1]Tissue Data'!$A:$A,'[1]Tissue Data'!K:K)</f>
        <v>Whole Body</v>
      </c>
      <c r="I4419">
        <f>_xlfn.XLOOKUP(A4419,'[1]Tissue Data'!$A:$A,'[1]Tissue Data'!L:L)</f>
        <v>8.5</v>
      </c>
      <c r="J4419">
        <f>_xlfn.XLOOKUP(A4419,'[1]Tissue Data'!$A:$A,'[1]Tissue Data'!M:M)</f>
        <v>15.35</v>
      </c>
      <c r="K4419" t="s">
        <v>29</v>
      </c>
      <c r="L4419" t="str">
        <f>_xlfn.XLOOKUP(K4419,[2]analyte_order!$B:$B,[2]analyte_order!$C:$C)</f>
        <v>1763-23-1</v>
      </c>
      <c r="M4419">
        <f>_xlfn.XLOOKUP(L4419,[2]analyte_order!$C:$C,[2]analyte_order!$E:$E)</f>
        <v>18</v>
      </c>
      <c r="N4419">
        <v>1530</v>
      </c>
    </row>
    <row r="4420" spans="1:14">
      <c r="A4420" t="s">
        <v>267</v>
      </c>
      <c r="B4420" t="str">
        <f>_xlfn.XLOOKUP(A4420,'[1]Tissue Data'!$A:$A,'[1]Tissue Data'!$C:$C)</f>
        <v>Spill</v>
      </c>
      <c r="C4420" s="2">
        <f>_xlfn.XLOOKUP(A4420,'[1]Tissue Data'!$A:$A,'[1]Tissue Data'!$D:$D)</f>
        <v>44393</v>
      </c>
      <c r="D4420" s="2" t="str">
        <f>_xlfn.XLOOKUP(A4420,'[1]Tissue Data'!$A:$A,'[1]Tissue Data'!$F:$F)</f>
        <v>Pumpkinseed</v>
      </c>
      <c r="E4420" t="str">
        <f>_xlfn.XLOOKUP(A4420,'[1]Tissue Data'!$A:$A,'[1]Tissue Data'!$H:$H)</f>
        <v>Lepomis</v>
      </c>
      <c r="F4420" t="str">
        <f>_xlfn.XLOOKUP(A4420,'[1]Tissue Data'!$A:$A,'[1]Tissue Data'!$I:$I)</f>
        <v>gibbosus</v>
      </c>
      <c r="G4420" t="str">
        <f>_xlfn.XLOOKUP(A4420,'[1]Tissue Data'!$A:$A,'[1]Tissue Data'!J:J)</f>
        <v>U</v>
      </c>
      <c r="H4420" t="str">
        <f>_xlfn.XLOOKUP(A4420,'[1]Tissue Data'!$A:$A,'[1]Tissue Data'!K:K)</f>
        <v>Whole Body</v>
      </c>
      <c r="I4420">
        <f>_xlfn.XLOOKUP(A4420,'[1]Tissue Data'!$A:$A,'[1]Tissue Data'!L:L)</f>
        <v>8.5</v>
      </c>
      <c r="J4420">
        <f>_xlfn.XLOOKUP(A4420,'[1]Tissue Data'!$A:$A,'[1]Tissue Data'!M:M)</f>
        <v>15.35</v>
      </c>
      <c r="K4420" t="s">
        <v>30</v>
      </c>
      <c r="L4420" t="str">
        <f>_xlfn.XLOOKUP(K4420,[2]analyte_order!$B:$B,[2]analyte_order!$C:$C)</f>
        <v>68259-12-1</v>
      </c>
      <c r="M4420">
        <f>_xlfn.XLOOKUP(L4420,[2]analyte_order!$C:$C,[2]analyte_order!$E:$E)</f>
        <v>19</v>
      </c>
      <c r="N4420">
        <v>1.58</v>
      </c>
    </row>
    <row r="4421" spans="1:14">
      <c r="A4421" t="s">
        <v>267</v>
      </c>
      <c r="B4421" t="str">
        <f>_xlfn.XLOOKUP(A4421,'[1]Tissue Data'!$A:$A,'[1]Tissue Data'!$C:$C)</f>
        <v>Spill</v>
      </c>
      <c r="C4421" s="2">
        <f>_xlfn.XLOOKUP(A4421,'[1]Tissue Data'!$A:$A,'[1]Tissue Data'!$D:$D)</f>
        <v>44393</v>
      </c>
      <c r="D4421" s="2" t="str">
        <f>_xlfn.XLOOKUP(A4421,'[1]Tissue Data'!$A:$A,'[1]Tissue Data'!$F:$F)</f>
        <v>Pumpkinseed</v>
      </c>
      <c r="E4421" t="str">
        <f>_xlfn.XLOOKUP(A4421,'[1]Tissue Data'!$A:$A,'[1]Tissue Data'!$H:$H)</f>
        <v>Lepomis</v>
      </c>
      <c r="F4421" t="str">
        <f>_xlfn.XLOOKUP(A4421,'[1]Tissue Data'!$A:$A,'[1]Tissue Data'!$I:$I)</f>
        <v>gibbosus</v>
      </c>
      <c r="G4421" t="str">
        <f>_xlfn.XLOOKUP(A4421,'[1]Tissue Data'!$A:$A,'[1]Tissue Data'!J:J)</f>
        <v>U</v>
      </c>
      <c r="H4421" t="str">
        <f>_xlfn.XLOOKUP(A4421,'[1]Tissue Data'!$A:$A,'[1]Tissue Data'!K:K)</f>
        <v>Whole Body</v>
      </c>
      <c r="I4421">
        <f>_xlfn.XLOOKUP(A4421,'[1]Tissue Data'!$A:$A,'[1]Tissue Data'!L:L)</f>
        <v>8.5</v>
      </c>
      <c r="J4421">
        <f>_xlfn.XLOOKUP(A4421,'[1]Tissue Data'!$A:$A,'[1]Tissue Data'!M:M)</f>
        <v>15.35</v>
      </c>
      <c r="K4421" t="s">
        <v>31</v>
      </c>
      <c r="L4421" t="str">
        <f>_xlfn.XLOOKUP(K4421,[2]analyte_order!$B:$B,[2]analyte_order!$C:$C)</f>
        <v>335-77-3</v>
      </c>
      <c r="M4421">
        <f>_xlfn.XLOOKUP(L4421,[2]analyte_order!$C:$C,[2]analyte_order!$E:$E)</f>
        <v>20</v>
      </c>
      <c r="N4421">
        <v>1.71</v>
      </c>
    </row>
    <row r="4422" spans="1:14">
      <c r="A4422" t="s">
        <v>267</v>
      </c>
      <c r="B4422" t="str">
        <f>_xlfn.XLOOKUP(A4422,'[1]Tissue Data'!$A:$A,'[1]Tissue Data'!$C:$C)</f>
        <v>Spill</v>
      </c>
      <c r="C4422" s="2">
        <f>_xlfn.XLOOKUP(A4422,'[1]Tissue Data'!$A:$A,'[1]Tissue Data'!$D:$D)</f>
        <v>44393</v>
      </c>
      <c r="D4422" s="2" t="str">
        <f>_xlfn.XLOOKUP(A4422,'[1]Tissue Data'!$A:$A,'[1]Tissue Data'!$F:$F)</f>
        <v>Pumpkinseed</v>
      </c>
      <c r="E4422" t="str">
        <f>_xlfn.XLOOKUP(A4422,'[1]Tissue Data'!$A:$A,'[1]Tissue Data'!$H:$H)</f>
        <v>Lepomis</v>
      </c>
      <c r="F4422" t="str">
        <f>_xlfn.XLOOKUP(A4422,'[1]Tissue Data'!$A:$A,'[1]Tissue Data'!$I:$I)</f>
        <v>gibbosus</v>
      </c>
      <c r="G4422" t="str">
        <f>_xlfn.XLOOKUP(A4422,'[1]Tissue Data'!$A:$A,'[1]Tissue Data'!J:J)</f>
        <v>U</v>
      </c>
      <c r="H4422" t="str">
        <f>_xlfn.XLOOKUP(A4422,'[1]Tissue Data'!$A:$A,'[1]Tissue Data'!K:K)</f>
        <v>Whole Body</v>
      </c>
      <c r="I4422">
        <f>_xlfn.XLOOKUP(A4422,'[1]Tissue Data'!$A:$A,'[1]Tissue Data'!L:L)</f>
        <v>8.5</v>
      </c>
      <c r="J4422">
        <f>_xlfn.XLOOKUP(A4422,'[1]Tissue Data'!$A:$A,'[1]Tissue Data'!M:M)</f>
        <v>15.35</v>
      </c>
      <c r="K4422" t="s">
        <v>32</v>
      </c>
      <c r="L4422" t="str">
        <f>_xlfn.XLOOKUP(K4422,[2]analyte_order!$B:$B,[2]analyte_order!$C:$C)</f>
        <v>79780-39-5</v>
      </c>
      <c r="M4422">
        <f>_xlfn.XLOOKUP(L4422,[2]analyte_order!$C:$C,[2]analyte_order!$E:$E)</f>
        <v>21</v>
      </c>
      <c r="N4422">
        <v>0.99399999999999999</v>
      </c>
    </row>
    <row r="4423" spans="1:14">
      <c r="A4423" t="s">
        <v>267</v>
      </c>
      <c r="B4423" t="str">
        <f>_xlfn.XLOOKUP(A4423,'[1]Tissue Data'!$A:$A,'[1]Tissue Data'!$C:$C)</f>
        <v>Spill</v>
      </c>
      <c r="C4423" s="2">
        <f>_xlfn.XLOOKUP(A4423,'[1]Tissue Data'!$A:$A,'[1]Tissue Data'!$D:$D)</f>
        <v>44393</v>
      </c>
      <c r="D4423" s="2" t="str">
        <f>_xlfn.XLOOKUP(A4423,'[1]Tissue Data'!$A:$A,'[1]Tissue Data'!$F:$F)</f>
        <v>Pumpkinseed</v>
      </c>
      <c r="E4423" t="str">
        <f>_xlfn.XLOOKUP(A4423,'[1]Tissue Data'!$A:$A,'[1]Tissue Data'!$H:$H)</f>
        <v>Lepomis</v>
      </c>
      <c r="F4423" t="str">
        <f>_xlfn.XLOOKUP(A4423,'[1]Tissue Data'!$A:$A,'[1]Tissue Data'!$I:$I)</f>
        <v>gibbosus</v>
      </c>
      <c r="G4423" t="str">
        <f>_xlfn.XLOOKUP(A4423,'[1]Tissue Data'!$A:$A,'[1]Tissue Data'!J:J)</f>
        <v>U</v>
      </c>
      <c r="H4423" t="str">
        <f>_xlfn.XLOOKUP(A4423,'[1]Tissue Data'!$A:$A,'[1]Tissue Data'!K:K)</f>
        <v>Whole Body</v>
      </c>
      <c r="I4423">
        <f>_xlfn.XLOOKUP(A4423,'[1]Tissue Data'!$A:$A,'[1]Tissue Data'!L:L)</f>
        <v>8.5</v>
      </c>
      <c r="J4423">
        <f>_xlfn.XLOOKUP(A4423,'[1]Tissue Data'!$A:$A,'[1]Tissue Data'!M:M)</f>
        <v>15.35</v>
      </c>
      <c r="K4423" t="s">
        <v>33</v>
      </c>
      <c r="L4423" t="str">
        <f>_xlfn.XLOOKUP(K4423,[2]analyte_order!$B:$B,[2]analyte_order!$C:$C)</f>
        <v>777011-38-8</v>
      </c>
      <c r="M4423">
        <f>_xlfn.XLOOKUP(L4423,[2]analyte_order!$C:$C,[2]analyte_order!$E:$E)</f>
        <v>54</v>
      </c>
      <c r="N4423">
        <v>0.13700000000000001</v>
      </c>
    </row>
    <row r="4424" spans="1:14">
      <c r="A4424" t="s">
        <v>267</v>
      </c>
      <c r="B4424" t="str">
        <f>_xlfn.XLOOKUP(A4424,'[1]Tissue Data'!$A:$A,'[1]Tissue Data'!$C:$C)</f>
        <v>Spill</v>
      </c>
      <c r="C4424" s="2">
        <f>_xlfn.XLOOKUP(A4424,'[1]Tissue Data'!$A:$A,'[1]Tissue Data'!$D:$D)</f>
        <v>44393</v>
      </c>
      <c r="D4424" s="2" t="str">
        <f>_xlfn.XLOOKUP(A4424,'[1]Tissue Data'!$A:$A,'[1]Tissue Data'!$F:$F)</f>
        <v>Pumpkinseed</v>
      </c>
      <c r="E4424" t="str">
        <f>_xlfn.XLOOKUP(A4424,'[1]Tissue Data'!$A:$A,'[1]Tissue Data'!$H:$H)</f>
        <v>Lepomis</v>
      </c>
      <c r="F4424" t="str">
        <f>_xlfn.XLOOKUP(A4424,'[1]Tissue Data'!$A:$A,'[1]Tissue Data'!$I:$I)</f>
        <v>gibbosus</v>
      </c>
      <c r="G4424" t="str">
        <f>_xlfn.XLOOKUP(A4424,'[1]Tissue Data'!$A:$A,'[1]Tissue Data'!J:J)</f>
        <v>U</v>
      </c>
      <c r="H4424" t="str">
        <f>_xlfn.XLOOKUP(A4424,'[1]Tissue Data'!$A:$A,'[1]Tissue Data'!K:K)</f>
        <v>Whole Body</v>
      </c>
      <c r="I4424">
        <f>_xlfn.XLOOKUP(A4424,'[1]Tissue Data'!$A:$A,'[1]Tissue Data'!L:L)</f>
        <v>8.5</v>
      </c>
      <c r="J4424">
        <f>_xlfn.XLOOKUP(A4424,'[1]Tissue Data'!$A:$A,'[1]Tissue Data'!M:M)</f>
        <v>15.35</v>
      </c>
      <c r="K4424" t="s">
        <v>34</v>
      </c>
      <c r="L4424" t="str">
        <f>_xlfn.XLOOKUP(K4424,[2]analyte_order!$B:$B,[2]analyte_order!$C:$C)</f>
        <v>646-83-3</v>
      </c>
      <c r="M4424">
        <f>_xlfn.XLOOKUP(L4424,[2]analyte_order!$C:$C,[2]analyte_order!$E:$E)</f>
        <v>55</v>
      </c>
      <c r="N4424">
        <v>0.09</v>
      </c>
    </row>
    <row r="4425" spans="1:14">
      <c r="A4425" t="s">
        <v>267</v>
      </c>
      <c r="B4425" t="str">
        <f>_xlfn.XLOOKUP(A4425,'[1]Tissue Data'!$A:$A,'[1]Tissue Data'!$C:$C)</f>
        <v>Spill</v>
      </c>
      <c r="C4425" s="2">
        <f>_xlfn.XLOOKUP(A4425,'[1]Tissue Data'!$A:$A,'[1]Tissue Data'!$D:$D)</f>
        <v>44393</v>
      </c>
      <c r="D4425" s="2" t="str">
        <f>_xlfn.XLOOKUP(A4425,'[1]Tissue Data'!$A:$A,'[1]Tissue Data'!$F:$F)</f>
        <v>Pumpkinseed</v>
      </c>
      <c r="E4425" t="str">
        <f>_xlfn.XLOOKUP(A4425,'[1]Tissue Data'!$A:$A,'[1]Tissue Data'!$H:$H)</f>
        <v>Lepomis</v>
      </c>
      <c r="F4425" t="str">
        <f>_xlfn.XLOOKUP(A4425,'[1]Tissue Data'!$A:$A,'[1]Tissue Data'!$I:$I)</f>
        <v>gibbosus</v>
      </c>
      <c r="G4425" t="str">
        <f>_xlfn.XLOOKUP(A4425,'[1]Tissue Data'!$A:$A,'[1]Tissue Data'!J:J)</f>
        <v>U</v>
      </c>
      <c r="H4425" t="str">
        <f>_xlfn.XLOOKUP(A4425,'[1]Tissue Data'!$A:$A,'[1]Tissue Data'!K:K)</f>
        <v>Whole Body</v>
      </c>
      <c r="I4425">
        <f>_xlfn.XLOOKUP(A4425,'[1]Tissue Data'!$A:$A,'[1]Tissue Data'!L:L)</f>
        <v>8.5</v>
      </c>
      <c r="J4425">
        <f>_xlfn.XLOOKUP(A4425,'[1]Tissue Data'!$A:$A,'[1]Tissue Data'!M:M)</f>
        <v>15.35</v>
      </c>
      <c r="K4425" t="s">
        <v>35</v>
      </c>
      <c r="L4425" t="str">
        <f>_xlfn.XLOOKUP(K4425,[2]analyte_order!$B:$B,[2]analyte_order!$C:$C)</f>
        <v>30334-69-1</v>
      </c>
      <c r="M4425">
        <f>_xlfn.XLOOKUP(L4425,[2]analyte_order!$C:$C,[2]analyte_order!$E:$E)</f>
        <v>51</v>
      </c>
      <c r="N4425">
        <v>33.4</v>
      </c>
    </row>
    <row r="4426" spans="1:14">
      <c r="A4426" t="s">
        <v>267</v>
      </c>
      <c r="B4426" t="str">
        <f>_xlfn.XLOOKUP(A4426,'[1]Tissue Data'!$A:$A,'[1]Tissue Data'!$C:$C)</f>
        <v>Spill</v>
      </c>
      <c r="C4426" s="2">
        <f>_xlfn.XLOOKUP(A4426,'[1]Tissue Data'!$A:$A,'[1]Tissue Data'!$D:$D)</f>
        <v>44393</v>
      </c>
      <c r="D4426" s="2" t="str">
        <f>_xlfn.XLOOKUP(A4426,'[1]Tissue Data'!$A:$A,'[1]Tissue Data'!$F:$F)</f>
        <v>Pumpkinseed</v>
      </c>
      <c r="E4426" t="str">
        <f>_xlfn.XLOOKUP(A4426,'[1]Tissue Data'!$A:$A,'[1]Tissue Data'!$H:$H)</f>
        <v>Lepomis</v>
      </c>
      <c r="F4426" t="str">
        <f>_xlfn.XLOOKUP(A4426,'[1]Tissue Data'!$A:$A,'[1]Tissue Data'!$I:$I)</f>
        <v>gibbosus</v>
      </c>
      <c r="G4426" t="str">
        <f>_xlfn.XLOOKUP(A4426,'[1]Tissue Data'!$A:$A,'[1]Tissue Data'!J:J)</f>
        <v>U</v>
      </c>
      <c r="H4426" t="str">
        <f>_xlfn.XLOOKUP(A4426,'[1]Tissue Data'!$A:$A,'[1]Tissue Data'!K:K)</f>
        <v>Whole Body</v>
      </c>
      <c r="I4426">
        <f>_xlfn.XLOOKUP(A4426,'[1]Tissue Data'!$A:$A,'[1]Tissue Data'!L:L)</f>
        <v>8.5</v>
      </c>
      <c r="J4426">
        <f>_xlfn.XLOOKUP(A4426,'[1]Tissue Data'!$A:$A,'[1]Tissue Data'!M:M)</f>
        <v>15.35</v>
      </c>
      <c r="K4426" t="s">
        <v>36</v>
      </c>
      <c r="L4426" t="str">
        <f>_xlfn.XLOOKUP(K4426,[2]analyte_order!$B:$B,[2]analyte_order!$C:$C)</f>
        <v>41997-13-1</v>
      </c>
      <c r="M4426">
        <f>_xlfn.XLOOKUP(L4426,[2]analyte_order!$C:$C,[2]analyte_order!$E:$E)</f>
        <v>52</v>
      </c>
      <c r="N4426">
        <v>35.200000000000003</v>
      </c>
    </row>
    <row r="4427" spans="1:14">
      <c r="A4427" t="s">
        <v>267</v>
      </c>
      <c r="B4427" t="str">
        <f>_xlfn.XLOOKUP(A4427,'[1]Tissue Data'!$A:$A,'[1]Tissue Data'!$C:$C)</f>
        <v>Spill</v>
      </c>
      <c r="C4427" s="2">
        <f>_xlfn.XLOOKUP(A4427,'[1]Tissue Data'!$A:$A,'[1]Tissue Data'!$D:$D)</f>
        <v>44393</v>
      </c>
      <c r="D4427" s="2" t="str">
        <f>_xlfn.XLOOKUP(A4427,'[1]Tissue Data'!$A:$A,'[1]Tissue Data'!$F:$F)</f>
        <v>Pumpkinseed</v>
      </c>
      <c r="E4427" t="str">
        <f>_xlfn.XLOOKUP(A4427,'[1]Tissue Data'!$A:$A,'[1]Tissue Data'!$H:$H)</f>
        <v>Lepomis</v>
      </c>
      <c r="F4427" t="str">
        <f>_xlfn.XLOOKUP(A4427,'[1]Tissue Data'!$A:$A,'[1]Tissue Data'!$I:$I)</f>
        <v>gibbosus</v>
      </c>
      <c r="G4427" t="str">
        <f>_xlfn.XLOOKUP(A4427,'[1]Tissue Data'!$A:$A,'[1]Tissue Data'!J:J)</f>
        <v>U</v>
      </c>
      <c r="H4427" t="str">
        <f>_xlfn.XLOOKUP(A4427,'[1]Tissue Data'!$A:$A,'[1]Tissue Data'!K:K)</f>
        <v>Whole Body</v>
      </c>
      <c r="I4427">
        <f>_xlfn.XLOOKUP(A4427,'[1]Tissue Data'!$A:$A,'[1]Tissue Data'!L:L)</f>
        <v>8.5</v>
      </c>
      <c r="J4427">
        <f>_xlfn.XLOOKUP(A4427,'[1]Tissue Data'!$A:$A,'[1]Tissue Data'!M:M)</f>
        <v>15.35</v>
      </c>
      <c r="K4427" t="s">
        <v>37</v>
      </c>
      <c r="L4427" t="str">
        <f>_xlfn.XLOOKUP(K4427,[2]analyte_order!$B:$B,[2]analyte_order!$C:$C)</f>
        <v>754-91-6</v>
      </c>
      <c r="M4427">
        <f>_xlfn.XLOOKUP(L4427,[2]analyte_order!$C:$C,[2]analyte_order!$E:$E)</f>
        <v>28</v>
      </c>
      <c r="N4427">
        <v>10</v>
      </c>
    </row>
    <row r="4428" spans="1:14">
      <c r="A4428" t="s">
        <v>267</v>
      </c>
      <c r="B4428" t="str">
        <f>_xlfn.XLOOKUP(A4428,'[1]Tissue Data'!$A:$A,'[1]Tissue Data'!$C:$C)</f>
        <v>Spill</v>
      </c>
      <c r="C4428" s="2">
        <f>_xlfn.XLOOKUP(A4428,'[1]Tissue Data'!$A:$A,'[1]Tissue Data'!$D:$D)</f>
        <v>44393</v>
      </c>
      <c r="D4428" s="2" t="str">
        <f>_xlfn.XLOOKUP(A4428,'[1]Tissue Data'!$A:$A,'[1]Tissue Data'!$F:$F)</f>
        <v>Pumpkinseed</v>
      </c>
      <c r="E4428" t="str">
        <f>_xlfn.XLOOKUP(A4428,'[1]Tissue Data'!$A:$A,'[1]Tissue Data'!$H:$H)</f>
        <v>Lepomis</v>
      </c>
      <c r="F4428" t="str">
        <f>_xlfn.XLOOKUP(A4428,'[1]Tissue Data'!$A:$A,'[1]Tissue Data'!$I:$I)</f>
        <v>gibbosus</v>
      </c>
      <c r="G4428" t="str">
        <f>_xlfn.XLOOKUP(A4428,'[1]Tissue Data'!$A:$A,'[1]Tissue Data'!J:J)</f>
        <v>U</v>
      </c>
      <c r="H4428" t="str">
        <f>_xlfn.XLOOKUP(A4428,'[1]Tissue Data'!$A:$A,'[1]Tissue Data'!K:K)</f>
        <v>Whole Body</v>
      </c>
      <c r="I4428">
        <f>_xlfn.XLOOKUP(A4428,'[1]Tissue Data'!$A:$A,'[1]Tissue Data'!L:L)</f>
        <v>8.5</v>
      </c>
      <c r="J4428">
        <f>_xlfn.XLOOKUP(A4428,'[1]Tissue Data'!$A:$A,'[1]Tissue Data'!M:M)</f>
        <v>15.35</v>
      </c>
      <c r="K4428" t="s">
        <v>38</v>
      </c>
      <c r="L4428" t="str">
        <f>_xlfn.XLOOKUP(K4428,[2]analyte_order!$B:$B,[2]analyte_order!$C:$C)</f>
        <v>31506-32-8</v>
      </c>
      <c r="M4428">
        <f>_xlfn.XLOOKUP(L4428,[2]analyte_order!$C:$C,[2]analyte_order!$E:$E)</f>
        <v>30</v>
      </c>
      <c r="N4428">
        <v>5.2499999999999998E-2</v>
      </c>
    </row>
    <row r="4429" spans="1:14">
      <c r="A4429" t="s">
        <v>267</v>
      </c>
      <c r="B4429" t="str">
        <f>_xlfn.XLOOKUP(A4429,'[1]Tissue Data'!$A:$A,'[1]Tissue Data'!$C:$C)</f>
        <v>Spill</v>
      </c>
      <c r="C4429" s="2">
        <f>_xlfn.XLOOKUP(A4429,'[1]Tissue Data'!$A:$A,'[1]Tissue Data'!$D:$D)</f>
        <v>44393</v>
      </c>
      <c r="D4429" s="2" t="str">
        <f>_xlfn.XLOOKUP(A4429,'[1]Tissue Data'!$A:$A,'[1]Tissue Data'!$F:$F)</f>
        <v>Pumpkinseed</v>
      </c>
      <c r="E4429" t="str">
        <f>_xlfn.XLOOKUP(A4429,'[1]Tissue Data'!$A:$A,'[1]Tissue Data'!$H:$H)</f>
        <v>Lepomis</v>
      </c>
      <c r="F4429" t="str">
        <f>_xlfn.XLOOKUP(A4429,'[1]Tissue Data'!$A:$A,'[1]Tissue Data'!$I:$I)</f>
        <v>gibbosus</v>
      </c>
      <c r="G4429" t="str">
        <f>_xlfn.XLOOKUP(A4429,'[1]Tissue Data'!$A:$A,'[1]Tissue Data'!J:J)</f>
        <v>U</v>
      </c>
      <c r="H4429" t="str">
        <f>_xlfn.XLOOKUP(A4429,'[1]Tissue Data'!$A:$A,'[1]Tissue Data'!K:K)</f>
        <v>Whole Body</v>
      </c>
      <c r="I4429">
        <f>_xlfn.XLOOKUP(A4429,'[1]Tissue Data'!$A:$A,'[1]Tissue Data'!L:L)</f>
        <v>8.5</v>
      </c>
      <c r="J4429">
        <f>_xlfn.XLOOKUP(A4429,'[1]Tissue Data'!$A:$A,'[1]Tissue Data'!M:M)</f>
        <v>15.35</v>
      </c>
      <c r="K4429" t="s">
        <v>39</v>
      </c>
      <c r="L4429" t="str">
        <f>_xlfn.XLOOKUP(K4429,[2]analyte_order!$B:$B,[2]analyte_order!$C:$C)</f>
        <v>4151-50-2</v>
      </c>
      <c r="M4429">
        <f>_xlfn.XLOOKUP(L4429,[2]analyte_order!$C:$C,[2]analyte_order!$E:$E)</f>
        <v>31</v>
      </c>
      <c r="N4429">
        <v>7.9500000000000001E-2</v>
      </c>
    </row>
    <row r="4430" spans="1:14">
      <c r="A4430" t="s">
        <v>267</v>
      </c>
      <c r="B4430" t="str">
        <f>_xlfn.XLOOKUP(A4430,'[1]Tissue Data'!$A:$A,'[1]Tissue Data'!$C:$C)</f>
        <v>Spill</v>
      </c>
      <c r="C4430" s="2">
        <f>_xlfn.XLOOKUP(A4430,'[1]Tissue Data'!$A:$A,'[1]Tissue Data'!$D:$D)</f>
        <v>44393</v>
      </c>
      <c r="D4430" s="2" t="str">
        <f>_xlfn.XLOOKUP(A4430,'[1]Tissue Data'!$A:$A,'[1]Tissue Data'!$F:$F)</f>
        <v>Pumpkinseed</v>
      </c>
      <c r="E4430" t="str">
        <f>_xlfn.XLOOKUP(A4430,'[1]Tissue Data'!$A:$A,'[1]Tissue Data'!$H:$H)</f>
        <v>Lepomis</v>
      </c>
      <c r="F4430" t="str">
        <f>_xlfn.XLOOKUP(A4430,'[1]Tissue Data'!$A:$A,'[1]Tissue Data'!$I:$I)</f>
        <v>gibbosus</v>
      </c>
      <c r="G4430" t="str">
        <f>_xlfn.XLOOKUP(A4430,'[1]Tissue Data'!$A:$A,'[1]Tissue Data'!J:J)</f>
        <v>U</v>
      </c>
      <c r="H4430" t="str">
        <f>_xlfn.XLOOKUP(A4430,'[1]Tissue Data'!$A:$A,'[1]Tissue Data'!K:K)</f>
        <v>Whole Body</v>
      </c>
      <c r="I4430">
        <f>_xlfn.XLOOKUP(A4430,'[1]Tissue Data'!$A:$A,'[1]Tissue Data'!L:L)</f>
        <v>8.5</v>
      </c>
      <c r="J4430">
        <f>_xlfn.XLOOKUP(A4430,'[1]Tissue Data'!$A:$A,'[1]Tissue Data'!M:M)</f>
        <v>15.35</v>
      </c>
      <c r="K4430" t="s">
        <v>40</v>
      </c>
      <c r="L4430" t="str">
        <f>_xlfn.XLOOKUP(K4430,[2]analyte_order!$B:$B,[2]analyte_order!$C:$C)</f>
        <v>2806-24-8</v>
      </c>
      <c r="M4430">
        <f>_xlfn.XLOOKUP(L4430,[2]analyte_order!$C:$C,[2]analyte_order!$E:$E)</f>
        <v>29</v>
      </c>
      <c r="N4430">
        <v>5.3999999999999999E-2</v>
      </c>
    </row>
    <row r="4431" spans="1:14">
      <c r="A4431" t="s">
        <v>267</v>
      </c>
      <c r="B4431" t="str">
        <f>_xlfn.XLOOKUP(A4431,'[1]Tissue Data'!$A:$A,'[1]Tissue Data'!$C:$C)</f>
        <v>Spill</v>
      </c>
      <c r="C4431" s="2">
        <f>_xlfn.XLOOKUP(A4431,'[1]Tissue Data'!$A:$A,'[1]Tissue Data'!$D:$D)</f>
        <v>44393</v>
      </c>
      <c r="D4431" s="2" t="str">
        <f>_xlfn.XLOOKUP(A4431,'[1]Tissue Data'!$A:$A,'[1]Tissue Data'!$F:$F)</f>
        <v>Pumpkinseed</v>
      </c>
      <c r="E4431" t="str">
        <f>_xlfn.XLOOKUP(A4431,'[1]Tissue Data'!$A:$A,'[1]Tissue Data'!$H:$H)</f>
        <v>Lepomis</v>
      </c>
      <c r="F4431" t="str">
        <f>_xlfn.XLOOKUP(A4431,'[1]Tissue Data'!$A:$A,'[1]Tissue Data'!$I:$I)</f>
        <v>gibbosus</v>
      </c>
      <c r="G4431" t="str">
        <f>_xlfn.XLOOKUP(A4431,'[1]Tissue Data'!$A:$A,'[1]Tissue Data'!J:J)</f>
        <v>U</v>
      </c>
      <c r="H4431" t="str">
        <f>_xlfn.XLOOKUP(A4431,'[1]Tissue Data'!$A:$A,'[1]Tissue Data'!K:K)</f>
        <v>Whole Body</v>
      </c>
      <c r="I4431">
        <f>_xlfn.XLOOKUP(A4431,'[1]Tissue Data'!$A:$A,'[1]Tissue Data'!L:L)</f>
        <v>8.5</v>
      </c>
      <c r="J4431">
        <f>_xlfn.XLOOKUP(A4431,'[1]Tissue Data'!$A:$A,'[1]Tissue Data'!M:M)</f>
        <v>15.35</v>
      </c>
      <c r="K4431" t="s">
        <v>41</v>
      </c>
      <c r="L4431" t="str">
        <f>_xlfn.XLOOKUP(K4431,[2]analyte_order!$B:$B,[2]analyte_order!$C:$C)</f>
        <v>2355-31-9</v>
      </c>
      <c r="M4431">
        <f>_xlfn.XLOOKUP(L4431,[2]analyte_order!$C:$C,[2]analyte_order!$E:$E)</f>
        <v>26</v>
      </c>
      <c r="N4431">
        <v>0.90200000000000002</v>
      </c>
    </row>
    <row r="4432" spans="1:14">
      <c r="A4432" t="s">
        <v>267</v>
      </c>
      <c r="B4432" t="str">
        <f>_xlfn.XLOOKUP(A4432,'[1]Tissue Data'!$A:$A,'[1]Tissue Data'!$C:$C)</f>
        <v>Spill</v>
      </c>
      <c r="C4432" s="2">
        <f>_xlfn.XLOOKUP(A4432,'[1]Tissue Data'!$A:$A,'[1]Tissue Data'!$D:$D)</f>
        <v>44393</v>
      </c>
      <c r="D4432" s="2" t="str">
        <f>_xlfn.XLOOKUP(A4432,'[1]Tissue Data'!$A:$A,'[1]Tissue Data'!$F:$F)</f>
        <v>Pumpkinseed</v>
      </c>
      <c r="E4432" t="str">
        <f>_xlfn.XLOOKUP(A4432,'[1]Tissue Data'!$A:$A,'[1]Tissue Data'!$H:$H)</f>
        <v>Lepomis</v>
      </c>
      <c r="F4432" t="str">
        <f>_xlfn.XLOOKUP(A4432,'[1]Tissue Data'!$A:$A,'[1]Tissue Data'!$I:$I)</f>
        <v>gibbosus</v>
      </c>
      <c r="G4432" t="str">
        <f>_xlfn.XLOOKUP(A4432,'[1]Tissue Data'!$A:$A,'[1]Tissue Data'!J:J)</f>
        <v>U</v>
      </c>
      <c r="H4432" t="str">
        <f>_xlfn.XLOOKUP(A4432,'[1]Tissue Data'!$A:$A,'[1]Tissue Data'!K:K)</f>
        <v>Whole Body</v>
      </c>
      <c r="I4432">
        <f>_xlfn.XLOOKUP(A4432,'[1]Tissue Data'!$A:$A,'[1]Tissue Data'!L:L)</f>
        <v>8.5</v>
      </c>
      <c r="J4432">
        <f>_xlfn.XLOOKUP(A4432,'[1]Tissue Data'!$A:$A,'[1]Tissue Data'!M:M)</f>
        <v>15.35</v>
      </c>
      <c r="K4432" t="s">
        <v>42</v>
      </c>
      <c r="L4432" t="str">
        <f>_xlfn.XLOOKUP(K4432,[2]analyte_order!$B:$B,[2]analyte_order!$C:$C)</f>
        <v>2991-50-6</v>
      </c>
      <c r="M4432">
        <f>_xlfn.XLOOKUP(L4432,[2]analyte_order!$C:$C,[2]analyte_order!$E:$E)</f>
        <v>27</v>
      </c>
      <c r="N4432">
        <v>5.8999999999999997E-2</v>
      </c>
    </row>
    <row r="4433" spans="1:14">
      <c r="A4433" t="s">
        <v>267</v>
      </c>
      <c r="B4433" t="str">
        <f>_xlfn.XLOOKUP(A4433,'[1]Tissue Data'!$A:$A,'[1]Tissue Data'!$C:$C)</f>
        <v>Spill</v>
      </c>
      <c r="C4433" s="2">
        <f>_xlfn.XLOOKUP(A4433,'[1]Tissue Data'!$A:$A,'[1]Tissue Data'!$D:$D)</f>
        <v>44393</v>
      </c>
      <c r="D4433" s="2" t="str">
        <f>_xlfn.XLOOKUP(A4433,'[1]Tissue Data'!$A:$A,'[1]Tissue Data'!$F:$F)</f>
        <v>Pumpkinseed</v>
      </c>
      <c r="E4433" t="str">
        <f>_xlfn.XLOOKUP(A4433,'[1]Tissue Data'!$A:$A,'[1]Tissue Data'!$H:$H)</f>
        <v>Lepomis</v>
      </c>
      <c r="F4433" t="str">
        <f>_xlfn.XLOOKUP(A4433,'[1]Tissue Data'!$A:$A,'[1]Tissue Data'!$I:$I)</f>
        <v>gibbosus</v>
      </c>
      <c r="G4433" t="str">
        <f>_xlfn.XLOOKUP(A4433,'[1]Tissue Data'!$A:$A,'[1]Tissue Data'!J:J)</f>
        <v>U</v>
      </c>
      <c r="H4433" t="str">
        <f>_xlfn.XLOOKUP(A4433,'[1]Tissue Data'!$A:$A,'[1]Tissue Data'!K:K)</f>
        <v>Whole Body</v>
      </c>
      <c r="I4433">
        <f>_xlfn.XLOOKUP(A4433,'[1]Tissue Data'!$A:$A,'[1]Tissue Data'!L:L)</f>
        <v>8.5</v>
      </c>
      <c r="J4433">
        <f>_xlfn.XLOOKUP(A4433,'[1]Tissue Data'!$A:$A,'[1]Tissue Data'!M:M)</f>
        <v>15.35</v>
      </c>
      <c r="K4433" t="s">
        <v>43</v>
      </c>
      <c r="L4433" t="str">
        <f>_xlfn.XLOOKUP(K4433,[2]analyte_order!$B:$B,[2]analyte_order!$C:$C)</f>
        <v>757124-72-4</v>
      </c>
      <c r="M4433">
        <f>_xlfn.XLOOKUP(L4433,[2]analyte_order!$C:$C,[2]analyte_order!$E:$E)</f>
        <v>22</v>
      </c>
      <c r="N4433">
        <v>5.6000000000000001E-2</v>
      </c>
    </row>
    <row r="4434" spans="1:14">
      <c r="A4434" t="s">
        <v>267</v>
      </c>
      <c r="B4434" t="str">
        <f>_xlfn.XLOOKUP(A4434,'[1]Tissue Data'!$A:$A,'[1]Tissue Data'!$C:$C)</f>
        <v>Spill</v>
      </c>
      <c r="C4434" s="2">
        <f>_xlfn.XLOOKUP(A4434,'[1]Tissue Data'!$A:$A,'[1]Tissue Data'!$D:$D)</f>
        <v>44393</v>
      </c>
      <c r="D4434" s="2" t="str">
        <f>_xlfn.XLOOKUP(A4434,'[1]Tissue Data'!$A:$A,'[1]Tissue Data'!$F:$F)</f>
        <v>Pumpkinseed</v>
      </c>
      <c r="E4434" t="str">
        <f>_xlfn.XLOOKUP(A4434,'[1]Tissue Data'!$A:$A,'[1]Tissue Data'!$H:$H)</f>
        <v>Lepomis</v>
      </c>
      <c r="F4434" t="str">
        <f>_xlfn.XLOOKUP(A4434,'[1]Tissue Data'!$A:$A,'[1]Tissue Data'!$I:$I)</f>
        <v>gibbosus</v>
      </c>
      <c r="G4434" t="str">
        <f>_xlfn.XLOOKUP(A4434,'[1]Tissue Data'!$A:$A,'[1]Tissue Data'!J:J)</f>
        <v>U</v>
      </c>
      <c r="H4434" t="str">
        <f>_xlfn.XLOOKUP(A4434,'[1]Tissue Data'!$A:$A,'[1]Tissue Data'!K:K)</f>
        <v>Whole Body</v>
      </c>
      <c r="I4434">
        <f>_xlfn.XLOOKUP(A4434,'[1]Tissue Data'!$A:$A,'[1]Tissue Data'!L:L)</f>
        <v>8.5</v>
      </c>
      <c r="J4434">
        <f>_xlfn.XLOOKUP(A4434,'[1]Tissue Data'!$A:$A,'[1]Tissue Data'!M:M)</f>
        <v>15.35</v>
      </c>
      <c r="K4434" t="s">
        <v>44</v>
      </c>
      <c r="L4434" t="str">
        <f>_xlfn.XLOOKUP(K4434,[2]analyte_order!$B:$B,[2]analyte_order!$C:$C)</f>
        <v>27619-97-2</v>
      </c>
      <c r="M4434">
        <f>_xlfn.XLOOKUP(L4434,[2]analyte_order!$C:$C,[2]analyte_order!$E:$E)</f>
        <v>23</v>
      </c>
      <c r="N4434">
        <v>4.1200000000000001E-2</v>
      </c>
    </row>
    <row r="4435" spans="1:14">
      <c r="A4435" t="s">
        <v>267</v>
      </c>
      <c r="B4435" t="str">
        <f>_xlfn.XLOOKUP(A4435,'[1]Tissue Data'!$A:$A,'[1]Tissue Data'!$C:$C)</f>
        <v>Spill</v>
      </c>
      <c r="C4435" s="2">
        <f>_xlfn.XLOOKUP(A4435,'[1]Tissue Data'!$A:$A,'[1]Tissue Data'!$D:$D)</f>
        <v>44393</v>
      </c>
      <c r="D4435" s="2" t="str">
        <f>_xlfn.XLOOKUP(A4435,'[1]Tissue Data'!$A:$A,'[1]Tissue Data'!$F:$F)</f>
        <v>Pumpkinseed</v>
      </c>
      <c r="E4435" t="str">
        <f>_xlfn.XLOOKUP(A4435,'[1]Tissue Data'!$A:$A,'[1]Tissue Data'!$H:$H)</f>
        <v>Lepomis</v>
      </c>
      <c r="F4435" t="str">
        <f>_xlfn.XLOOKUP(A4435,'[1]Tissue Data'!$A:$A,'[1]Tissue Data'!$I:$I)</f>
        <v>gibbosus</v>
      </c>
      <c r="G4435" t="str">
        <f>_xlfn.XLOOKUP(A4435,'[1]Tissue Data'!$A:$A,'[1]Tissue Data'!J:J)</f>
        <v>U</v>
      </c>
      <c r="H4435" t="str">
        <f>_xlfn.XLOOKUP(A4435,'[1]Tissue Data'!$A:$A,'[1]Tissue Data'!K:K)</f>
        <v>Whole Body</v>
      </c>
      <c r="I4435">
        <f>_xlfn.XLOOKUP(A4435,'[1]Tissue Data'!$A:$A,'[1]Tissue Data'!L:L)</f>
        <v>8.5</v>
      </c>
      <c r="J4435">
        <f>_xlfn.XLOOKUP(A4435,'[1]Tissue Data'!$A:$A,'[1]Tissue Data'!M:M)</f>
        <v>15.35</v>
      </c>
      <c r="K4435" t="s">
        <v>45</v>
      </c>
      <c r="L4435" t="str">
        <f>_xlfn.XLOOKUP(K4435,[2]analyte_order!$B:$B,[2]analyte_order!$C:$C)</f>
        <v>39108-34-4</v>
      </c>
      <c r="M4435">
        <f>_xlfn.XLOOKUP(L4435,[2]analyte_order!$C:$C,[2]analyte_order!$E:$E)</f>
        <v>24</v>
      </c>
      <c r="N4435">
        <v>2.5</v>
      </c>
    </row>
    <row r="4436" spans="1:14">
      <c r="A4436" t="s">
        <v>267</v>
      </c>
      <c r="B4436" t="str">
        <f>_xlfn.XLOOKUP(A4436,'[1]Tissue Data'!$A:$A,'[1]Tissue Data'!$C:$C)</f>
        <v>Spill</v>
      </c>
      <c r="C4436" s="2">
        <f>_xlfn.XLOOKUP(A4436,'[1]Tissue Data'!$A:$A,'[1]Tissue Data'!$D:$D)</f>
        <v>44393</v>
      </c>
      <c r="D4436" s="2" t="str">
        <f>_xlfn.XLOOKUP(A4436,'[1]Tissue Data'!$A:$A,'[1]Tissue Data'!$F:$F)</f>
        <v>Pumpkinseed</v>
      </c>
      <c r="E4436" t="str">
        <f>_xlfn.XLOOKUP(A4436,'[1]Tissue Data'!$A:$A,'[1]Tissue Data'!$H:$H)</f>
        <v>Lepomis</v>
      </c>
      <c r="F4436" t="str">
        <f>_xlfn.XLOOKUP(A4436,'[1]Tissue Data'!$A:$A,'[1]Tissue Data'!$I:$I)</f>
        <v>gibbosus</v>
      </c>
      <c r="G4436" t="str">
        <f>_xlfn.XLOOKUP(A4436,'[1]Tissue Data'!$A:$A,'[1]Tissue Data'!J:J)</f>
        <v>U</v>
      </c>
      <c r="H4436" t="str">
        <f>_xlfn.XLOOKUP(A4436,'[1]Tissue Data'!$A:$A,'[1]Tissue Data'!K:K)</f>
        <v>Whole Body</v>
      </c>
      <c r="I4436">
        <f>_xlfn.XLOOKUP(A4436,'[1]Tissue Data'!$A:$A,'[1]Tissue Data'!L:L)</f>
        <v>8.5</v>
      </c>
      <c r="J4436">
        <f>_xlfn.XLOOKUP(A4436,'[1]Tissue Data'!$A:$A,'[1]Tissue Data'!M:M)</f>
        <v>15.35</v>
      </c>
      <c r="K4436" t="s">
        <v>46</v>
      </c>
      <c r="L4436" t="str">
        <f>_xlfn.XLOOKUP(K4436,[2]analyte_order!$B:$B,[2]analyte_order!$C:$C)</f>
        <v>120226-60-0</v>
      </c>
      <c r="M4436">
        <f>_xlfn.XLOOKUP(L4436,[2]analyte_order!$C:$C,[2]analyte_order!$E:$E)</f>
        <v>25</v>
      </c>
      <c r="N4436">
        <v>0.25600000000000001</v>
      </c>
    </row>
    <row r="4437" spans="1:14">
      <c r="A4437" t="s">
        <v>267</v>
      </c>
      <c r="B4437" t="str">
        <f>_xlfn.XLOOKUP(A4437,'[1]Tissue Data'!$A:$A,'[1]Tissue Data'!$C:$C)</f>
        <v>Spill</v>
      </c>
      <c r="C4437" s="2">
        <f>_xlfn.XLOOKUP(A4437,'[1]Tissue Data'!$A:$A,'[1]Tissue Data'!$D:$D)</f>
        <v>44393</v>
      </c>
      <c r="D4437" s="2" t="str">
        <f>_xlfn.XLOOKUP(A4437,'[1]Tissue Data'!$A:$A,'[1]Tissue Data'!$F:$F)</f>
        <v>Pumpkinseed</v>
      </c>
      <c r="E4437" t="str">
        <f>_xlfn.XLOOKUP(A4437,'[1]Tissue Data'!$A:$A,'[1]Tissue Data'!$H:$H)</f>
        <v>Lepomis</v>
      </c>
      <c r="F4437" t="str">
        <f>_xlfn.XLOOKUP(A4437,'[1]Tissue Data'!$A:$A,'[1]Tissue Data'!$I:$I)</f>
        <v>gibbosus</v>
      </c>
      <c r="G4437" t="str">
        <f>_xlfn.XLOOKUP(A4437,'[1]Tissue Data'!$A:$A,'[1]Tissue Data'!J:J)</f>
        <v>U</v>
      </c>
      <c r="H4437" t="str">
        <f>_xlfn.XLOOKUP(A4437,'[1]Tissue Data'!$A:$A,'[1]Tissue Data'!K:K)</f>
        <v>Whole Body</v>
      </c>
      <c r="I4437">
        <f>_xlfn.XLOOKUP(A4437,'[1]Tissue Data'!$A:$A,'[1]Tissue Data'!L:L)</f>
        <v>8.5</v>
      </c>
      <c r="J4437">
        <f>_xlfn.XLOOKUP(A4437,'[1]Tissue Data'!$A:$A,'[1]Tissue Data'!M:M)</f>
        <v>15.35</v>
      </c>
      <c r="K4437" t="s">
        <v>47</v>
      </c>
      <c r="L4437" t="str">
        <f>_xlfn.XLOOKUP(K4437,[2]analyte_order!$B:$B,[2]analyte_order!$C:$C)</f>
        <v>356-02-5</v>
      </c>
      <c r="M4437">
        <f>_xlfn.XLOOKUP(L4437,[2]analyte_order!$C:$C,[2]analyte_order!$E:$E)</f>
        <v>38</v>
      </c>
      <c r="N4437">
        <v>7.9000000000000001E-2</v>
      </c>
    </row>
    <row r="4438" spans="1:14">
      <c r="A4438" t="s">
        <v>267</v>
      </c>
      <c r="B4438" t="str">
        <f>_xlfn.XLOOKUP(A4438,'[1]Tissue Data'!$A:$A,'[1]Tissue Data'!$C:$C)</f>
        <v>Spill</v>
      </c>
      <c r="C4438" s="2">
        <f>_xlfn.XLOOKUP(A4438,'[1]Tissue Data'!$A:$A,'[1]Tissue Data'!$D:$D)</f>
        <v>44393</v>
      </c>
      <c r="D4438" s="2" t="str">
        <f>_xlfn.XLOOKUP(A4438,'[1]Tissue Data'!$A:$A,'[1]Tissue Data'!$F:$F)</f>
        <v>Pumpkinseed</v>
      </c>
      <c r="E4438" t="str">
        <f>_xlfn.XLOOKUP(A4438,'[1]Tissue Data'!$A:$A,'[1]Tissue Data'!$H:$H)</f>
        <v>Lepomis</v>
      </c>
      <c r="F4438" t="str">
        <f>_xlfn.XLOOKUP(A4438,'[1]Tissue Data'!$A:$A,'[1]Tissue Data'!$I:$I)</f>
        <v>gibbosus</v>
      </c>
      <c r="G4438" t="str">
        <f>_xlfn.XLOOKUP(A4438,'[1]Tissue Data'!$A:$A,'[1]Tissue Data'!J:J)</f>
        <v>U</v>
      </c>
      <c r="H4438" t="str">
        <f>_xlfn.XLOOKUP(A4438,'[1]Tissue Data'!$A:$A,'[1]Tissue Data'!K:K)</f>
        <v>Whole Body</v>
      </c>
      <c r="I4438">
        <f>_xlfn.XLOOKUP(A4438,'[1]Tissue Data'!$A:$A,'[1]Tissue Data'!L:L)</f>
        <v>8.5</v>
      </c>
      <c r="J4438">
        <f>_xlfn.XLOOKUP(A4438,'[1]Tissue Data'!$A:$A,'[1]Tissue Data'!M:M)</f>
        <v>15.35</v>
      </c>
      <c r="K4438" t="s">
        <v>48</v>
      </c>
      <c r="L4438" t="str">
        <f>_xlfn.XLOOKUP(K4438,[2]analyte_order!$B:$B,[2]analyte_order!$C:$C)</f>
        <v>914637-49-3</v>
      </c>
      <c r="M4438">
        <f>_xlfn.XLOOKUP(L4438,[2]analyte_order!$C:$C,[2]analyte_order!$E:$E)</f>
        <v>39</v>
      </c>
      <c r="N4438">
        <v>10.5</v>
      </c>
    </row>
    <row r="4439" spans="1:14">
      <c r="A4439" t="s">
        <v>267</v>
      </c>
      <c r="B4439" t="str">
        <f>_xlfn.XLOOKUP(A4439,'[1]Tissue Data'!$A:$A,'[1]Tissue Data'!$C:$C)</f>
        <v>Spill</v>
      </c>
      <c r="C4439" s="2">
        <f>_xlfn.XLOOKUP(A4439,'[1]Tissue Data'!$A:$A,'[1]Tissue Data'!$D:$D)</f>
        <v>44393</v>
      </c>
      <c r="D4439" s="2" t="str">
        <f>_xlfn.XLOOKUP(A4439,'[1]Tissue Data'!$A:$A,'[1]Tissue Data'!$F:$F)</f>
        <v>Pumpkinseed</v>
      </c>
      <c r="E4439" t="str">
        <f>_xlfn.XLOOKUP(A4439,'[1]Tissue Data'!$A:$A,'[1]Tissue Data'!$H:$H)</f>
        <v>Lepomis</v>
      </c>
      <c r="F4439" t="str">
        <f>_xlfn.XLOOKUP(A4439,'[1]Tissue Data'!$A:$A,'[1]Tissue Data'!$I:$I)</f>
        <v>gibbosus</v>
      </c>
      <c r="G4439" t="str">
        <f>_xlfn.XLOOKUP(A4439,'[1]Tissue Data'!$A:$A,'[1]Tissue Data'!J:J)</f>
        <v>U</v>
      </c>
      <c r="H4439" t="str">
        <f>_xlfn.XLOOKUP(A4439,'[1]Tissue Data'!$A:$A,'[1]Tissue Data'!K:K)</f>
        <v>Whole Body</v>
      </c>
      <c r="I4439">
        <f>_xlfn.XLOOKUP(A4439,'[1]Tissue Data'!$A:$A,'[1]Tissue Data'!L:L)</f>
        <v>8.5</v>
      </c>
      <c r="J4439">
        <f>_xlfn.XLOOKUP(A4439,'[1]Tissue Data'!$A:$A,'[1]Tissue Data'!M:M)</f>
        <v>15.35</v>
      </c>
      <c r="K4439" t="s">
        <v>49</v>
      </c>
      <c r="L4439" t="str">
        <f>_xlfn.XLOOKUP(K4439,[2]analyte_order!$B:$B,[2]analyte_order!$C:$C)</f>
        <v>812-70-4</v>
      </c>
      <c r="M4439">
        <f>_xlfn.XLOOKUP(L4439,[2]analyte_order!$C:$C,[2]analyte_order!$E:$E)</f>
        <v>40</v>
      </c>
      <c r="N4439">
        <v>52.1</v>
      </c>
    </row>
    <row r="4440" spans="1:14">
      <c r="A4440" t="s">
        <v>267</v>
      </c>
      <c r="B4440" t="str">
        <f>_xlfn.XLOOKUP(A4440,'[1]Tissue Data'!$A:$A,'[1]Tissue Data'!$C:$C)</f>
        <v>Spill</v>
      </c>
      <c r="C4440" s="2">
        <f>_xlfn.XLOOKUP(A4440,'[1]Tissue Data'!$A:$A,'[1]Tissue Data'!$D:$D)</f>
        <v>44393</v>
      </c>
      <c r="D4440" s="2" t="str">
        <f>_xlfn.XLOOKUP(A4440,'[1]Tissue Data'!$A:$A,'[1]Tissue Data'!$F:$F)</f>
        <v>Pumpkinseed</v>
      </c>
      <c r="E4440" t="str">
        <f>_xlfn.XLOOKUP(A4440,'[1]Tissue Data'!$A:$A,'[1]Tissue Data'!$H:$H)</f>
        <v>Lepomis</v>
      </c>
      <c r="F4440" t="str">
        <f>_xlfn.XLOOKUP(A4440,'[1]Tissue Data'!$A:$A,'[1]Tissue Data'!$I:$I)</f>
        <v>gibbosus</v>
      </c>
      <c r="G4440" t="str">
        <f>_xlfn.XLOOKUP(A4440,'[1]Tissue Data'!$A:$A,'[1]Tissue Data'!J:J)</f>
        <v>U</v>
      </c>
      <c r="H4440" t="str">
        <f>_xlfn.XLOOKUP(A4440,'[1]Tissue Data'!$A:$A,'[1]Tissue Data'!K:K)</f>
        <v>Whole Body</v>
      </c>
      <c r="I4440">
        <f>_xlfn.XLOOKUP(A4440,'[1]Tissue Data'!$A:$A,'[1]Tissue Data'!L:L)</f>
        <v>8.5</v>
      </c>
      <c r="J4440">
        <f>_xlfn.XLOOKUP(A4440,'[1]Tissue Data'!$A:$A,'[1]Tissue Data'!M:M)</f>
        <v>15.35</v>
      </c>
      <c r="K4440" t="s">
        <v>50</v>
      </c>
      <c r="L4440" t="str">
        <f>_xlfn.XLOOKUP(K4440,[2]analyte_order!$B:$B,[2]analyte_order!$C:$C)</f>
        <v>53826-12-3</v>
      </c>
      <c r="M4440">
        <f>_xlfn.XLOOKUP(L4440,[2]analyte_order!$C:$C,[2]analyte_order!$E:$E)</f>
        <v>41</v>
      </c>
      <c r="N4440">
        <v>6.8500000000000005E-2</v>
      </c>
    </row>
    <row r="4441" spans="1:14">
      <c r="A4441" t="s">
        <v>267</v>
      </c>
      <c r="B4441" t="str">
        <f>_xlfn.XLOOKUP(A4441,'[1]Tissue Data'!$A:$A,'[1]Tissue Data'!$C:$C)</f>
        <v>Spill</v>
      </c>
      <c r="C4441" s="2">
        <f>_xlfn.XLOOKUP(A4441,'[1]Tissue Data'!$A:$A,'[1]Tissue Data'!$D:$D)</f>
        <v>44393</v>
      </c>
      <c r="D4441" s="2" t="str">
        <f>_xlfn.XLOOKUP(A4441,'[1]Tissue Data'!$A:$A,'[1]Tissue Data'!$F:$F)</f>
        <v>Pumpkinseed</v>
      </c>
      <c r="E4441" t="str">
        <f>_xlfn.XLOOKUP(A4441,'[1]Tissue Data'!$A:$A,'[1]Tissue Data'!$H:$H)</f>
        <v>Lepomis</v>
      </c>
      <c r="F4441" t="str">
        <f>_xlfn.XLOOKUP(A4441,'[1]Tissue Data'!$A:$A,'[1]Tissue Data'!$I:$I)</f>
        <v>gibbosus</v>
      </c>
      <c r="G4441" t="str">
        <f>_xlfn.XLOOKUP(A4441,'[1]Tissue Data'!$A:$A,'[1]Tissue Data'!J:J)</f>
        <v>U</v>
      </c>
      <c r="H4441" t="str">
        <f>_xlfn.XLOOKUP(A4441,'[1]Tissue Data'!$A:$A,'[1]Tissue Data'!K:K)</f>
        <v>Whole Body</v>
      </c>
      <c r="I4441">
        <f>_xlfn.XLOOKUP(A4441,'[1]Tissue Data'!$A:$A,'[1]Tissue Data'!L:L)</f>
        <v>8.5</v>
      </c>
      <c r="J4441">
        <f>_xlfn.XLOOKUP(A4441,'[1]Tissue Data'!$A:$A,'[1]Tissue Data'!M:M)</f>
        <v>15.35</v>
      </c>
      <c r="K4441" t="s">
        <v>51</v>
      </c>
      <c r="L4441" t="str">
        <f>_xlfn.XLOOKUP(K4441,[2]analyte_order!$B:$B,[2]analyte_order!$C:$C)</f>
        <v>27854-31-5</v>
      </c>
      <c r="M4441">
        <f>_xlfn.XLOOKUP(L4441,[2]analyte_order!$C:$C,[2]analyte_order!$E:$E)</f>
        <v>42</v>
      </c>
      <c r="N4441">
        <v>2.09</v>
      </c>
    </row>
    <row r="4442" spans="1:14">
      <c r="A4442" t="s">
        <v>267</v>
      </c>
      <c r="B4442" t="str">
        <f>_xlfn.XLOOKUP(A4442,'[1]Tissue Data'!$A:$A,'[1]Tissue Data'!$C:$C)</f>
        <v>Spill</v>
      </c>
      <c r="C4442" s="2">
        <f>_xlfn.XLOOKUP(A4442,'[1]Tissue Data'!$A:$A,'[1]Tissue Data'!$D:$D)</f>
        <v>44393</v>
      </c>
      <c r="D4442" s="2" t="str">
        <f>_xlfn.XLOOKUP(A4442,'[1]Tissue Data'!$A:$A,'[1]Tissue Data'!$F:$F)</f>
        <v>Pumpkinseed</v>
      </c>
      <c r="E4442" t="str">
        <f>_xlfn.XLOOKUP(A4442,'[1]Tissue Data'!$A:$A,'[1]Tissue Data'!$H:$H)</f>
        <v>Lepomis</v>
      </c>
      <c r="F4442" t="str">
        <f>_xlfn.XLOOKUP(A4442,'[1]Tissue Data'!$A:$A,'[1]Tissue Data'!$I:$I)</f>
        <v>gibbosus</v>
      </c>
      <c r="G4442" t="str">
        <f>_xlfn.XLOOKUP(A4442,'[1]Tissue Data'!$A:$A,'[1]Tissue Data'!J:J)</f>
        <v>U</v>
      </c>
      <c r="H4442" t="str">
        <f>_xlfn.XLOOKUP(A4442,'[1]Tissue Data'!$A:$A,'[1]Tissue Data'!K:K)</f>
        <v>Whole Body</v>
      </c>
      <c r="I4442">
        <f>_xlfn.XLOOKUP(A4442,'[1]Tissue Data'!$A:$A,'[1]Tissue Data'!L:L)</f>
        <v>8.5</v>
      </c>
      <c r="J4442">
        <f>_xlfn.XLOOKUP(A4442,'[1]Tissue Data'!$A:$A,'[1]Tissue Data'!M:M)</f>
        <v>15.35</v>
      </c>
      <c r="K4442" t="s">
        <v>52</v>
      </c>
      <c r="L4442" t="str">
        <f>_xlfn.XLOOKUP(K4442,[2]analyte_order!$B:$B,[2]analyte_order!$C:$C)</f>
        <v>53826-13-4</v>
      </c>
      <c r="M4442">
        <f>_xlfn.XLOOKUP(L4442,[2]analyte_order!$C:$C,[2]analyte_order!$E:$E)</f>
        <v>43</v>
      </c>
      <c r="N4442">
        <v>0.10199999999999999</v>
      </c>
    </row>
    <row r="4443" spans="1:14">
      <c r="A4443" t="s">
        <v>267</v>
      </c>
      <c r="B4443" t="str">
        <f>_xlfn.XLOOKUP(A4443,'[1]Tissue Data'!$A:$A,'[1]Tissue Data'!$C:$C)</f>
        <v>Spill</v>
      </c>
      <c r="C4443" s="2">
        <f>_xlfn.XLOOKUP(A4443,'[1]Tissue Data'!$A:$A,'[1]Tissue Data'!$D:$D)</f>
        <v>44393</v>
      </c>
      <c r="D4443" s="2" t="str">
        <f>_xlfn.XLOOKUP(A4443,'[1]Tissue Data'!$A:$A,'[1]Tissue Data'!$F:$F)</f>
        <v>Pumpkinseed</v>
      </c>
      <c r="E4443" t="str">
        <f>_xlfn.XLOOKUP(A4443,'[1]Tissue Data'!$A:$A,'[1]Tissue Data'!$H:$H)</f>
        <v>Lepomis</v>
      </c>
      <c r="F4443" t="str">
        <f>_xlfn.XLOOKUP(A4443,'[1]Tissue Data'!$A:$A,'[1]Tissue Data'!$I:$I)</f>
        <v>gibbosus</v>
      </c>
      <c r="G4443" t="str">
        <f>_xlfn.XLOOKUP(A4443,'[1]Tissue Data'!$A:$A,'[1]Tissue Data'!J:J)</f>
        <v>U</v>
      </c>
      <c r="H4443" t="str">
        <f>_xlfn.XLOOKUP(A4443,'[1]Tissue Data'!$A:$A,'[1]Tissue Data'!K:K)</f>
        <v>Whole Body</v>
      </c>
      <c r="I4443">
        <f>_xlfn.XLOOKUP(A4443,'[1]Tissue Data'!$A:$A,'[1]Tissue Data'!L:L)</f>
        <v>8.5</v>
      </c>
      <c r="J4443">
        <f>_xlfn.XLOOKUP(A4443,'[1]Tissue Data'!$A:$A,'[1]Tissue Data'!M:M)</f>
        <v>15.35</v>
      </c>
      <c r="K4443" t="s">
        <v>53</v>
      </c>
      <c r="L4443" t="str">
        <f>_xlfn.XLOOKUP(K4443,[2]analyte_order!$B:$B,[2]analyte_order!$C:$C)</f>
        <v>161094-75-3</v>
      </c>
      <c r="M4443">
        <f>_xlfn.XLOOKUP(L4443,[2]analyte_order!$C:$C,[2]analyte_order!$E:$E)</f>
        <v>44</v>
      </c>
      <c r="N4443">
        <v>5.3499999999999999E-2</v>
      </c>
    </row>
    <row r="4444" spans="1:14">
      <c r="A4444" t="s">
        <v>267</v>
      </c>
      <c r="B4444" t="str">
        <f>_xlfn.XLOOKUP(A4444,'[1]Tissue Data'!$A:$A,'[1]Tissue Data'!$C:$C)</f>
        <v>Spill</v>
      </c>
      <c r="C4444" s="2">
        <f>_xlfn.XLOOKUP(A4444,'[1]Tissue Data'!$A:$A,'[1]Tissue Data'!$D:$D)</f>
        <v>44393</v>
      </c>
      <c r="D4444" s="2" t="str">
        <f>_xlfn.XLOOKUP(A4444,'[1]Tissue Data'!$A:$A,'[1]Tissue Data'!$F:$F)</f>
        <v>Pumpkinseed</v>
      </c>
      <c r="E4444" t="str">
        <f>_xlfn.XLOOKUP(A4444,'[1]Tissue Data'!$A:$A,'[1]Tissue Data'!$H:$H)</f>
        <v>Lepomis</v>
      </c>
      <c r="F4444" t="str">
        <f>_xlfn.XLOOKUP(A4444,'[1]Tissue Data'!$A:$A,'[1]Tissue Data'!$I:$I)</f>
        <v>gibbosus</v>
      </c>
      <c r="G4444" t="str">
        <f>_xlfn.XLOOKUP(A4444,'[1]Tissue Data'!$A:$A,'[1]Tissue Data'!J:J)</f>
        <v>U</v>
      </c>
      <c r="H4444" t="str">
        <f>_xlfn.XLOOKUP(A4444,'[1]Tissue Data'!$A:$A,'[1]Tissue Data'!K:K)</f>
        <v>Whole Body</v>
      </c>
      <c r="I4444">
        <f>_xlfn.XLOOKUP(A4444,'[1]Tissue Data'!$A:$A,'[1]Tissue Data'!L:L)</f>
        <v>8.5</v>
      </c>
      <c r="J4444">
        <f>_xlfn.XLOOKUP(A4444,'[1]Tissue Data'!$A:$A,'[1]Tissue Data'!M:M)</f>
        <v>15.35</v>
      </c>
      <c r="K4444" t="s">
        <v>54</v>
      </c>
      <c r="L4444" t="str">
        <f>_xlfn.XLOOKUP(K4444,[2]analyte_order!$B:$B,[2]analyte_order!$C:$C)</f>
        <v>70887-84-2</v>
      </c>
      <c r="M4444">
        <f>_xlfn.XLOOKUP(L4444,[2]analyte_order!$C:$C,[2]analyte_order!$E:$E)</f>
        <v>45</v>
      </c>
      <c r="N4444">
        <v>4.1200000000000001E-2</v>
      </c>
    </row>
    <row r="4445" spans="1:14">
      <c r="A4445" t="s">
        <v>267</v>
      </c>
      <c r="B4445" t="str">
        <f>_xlfn.XLOOKUP(A4445,'[1]Tissue Data'!$A:$A,'[1]Tissue Data'!$C:$C)</f>
        <v>Spill</v>
      </c>
      <c r="C4445" s="2">
        <f>_xlfn.XLOOKUP(A4445,'[1]Tissue Data'!$A:$A,'[1]Tissue Data'!$D:$D)</f>
        <v>44393</v>
      </c>
      <c r="D4445" s="2" t="str">
        <f>_xlfn.XLOOKUP(A4445,'[1]Tissue Data'!$A:$A,'[1]Tissue Data'!$F:$F)</f>
        <v>Pumpkinseed</v>
      </c>
      <c r="E4445" t="str">
        <f>_xlfn.XLOOKUP(A4445,'[1]Tissue Data'!$A:$A,'[1]Tissue Data'!$H:$H)</f>
        <v>Lepomis</v>
      </c>
      <c r="F4445" t="str">
        <f>_xlfn.XLOOKUP(A4445,'[1]Tissue Data'!$A:$A,'[1]Tissue Data'!$I:$I)</f>
        <v>gibbosus</v>
      </c>
      <c r="G4445" t="str">
        <f>_xlfn.XLOOKUP(A4445,'[1]Tissue Data'!$A:$A,'[1]Tissue Data'!J:J)</f>
        <v>U</v>
      </c>
      <c r="H4445" t="str">
        <f>_xlfn.XLOOKUP(A4445,'[1]Tissue Data'!$A:$A,'[1]Tissue Data'!K:K)</f>
        <v>Whole Body</v>
      </c>
      <c r="I4445">
        <f>_xlfn.XLOOKUP(A4445,'[1]Tissue Data'!$A:$A,'[1]Tissue Data'!L:L)</f>
        <v>8.5</v>
      </c>
      <c r="J4445">
        <f>_xlfn.XLOOKUP(A4445,'[1]Tissue Data'!$A:$A,'[1]Tissue Data'!M:M)</f>
        <v>15.35</v>
      </c>
      <c r="K4445" t="s">
        <v>55</v>
      </c>
      <c r="L4445" t="str">
        <f>_xlfn.XLOOKUP(K4445,[2]analyte_order!$B:$B,[2]analyte_order!$C:$C)</f>
        <v>919005-14-4</v>
      </c>
      <c r="M4445">
        <f>_xlfn.XLOOKUP(L4445,[2]analyte_order!$C:$C,[2]analyte_order!$E:$E)</f>
        <v>35</v>
      </c>
      <c r="N4445">
        <v>6.8500000000000005E-2</v>
      </c>
    </row>
    <row r="4446" spans="1:14">
      <c r="A4446" t="s">
        <v>267</v>
      </c>
      <c r="B4446" t="str">
        <f>_xlfn.XLOOKUP(A4446,'[1]Tissue Data'!$A:$A,'[1]Tissue Data'!$C:$C)</f>
        <v>Spill</v>
      </c>
      <c r="C4446" s="2">
        <f>_xlfn.XLOOKUP(A4446,'[1]Tissue Data'!$A:$A,'[1]Tissue Data'!$D:$D)</f>
        <v>44393</v>
      </c>
      <c r="D4446" s="2" t="str">
        <f>_xlfn.XLOOKUP(A4446,'[1]Tissue Data'!$A:$A,'[1]Tissue Data'!$F:$F)</f>
        <v>Pumpkinseed</v>
      </c>
      <c r="E4446" t="str">
        <f>_xlfn.XLOOKUP(A4446,'[1]Tissue Data'!$A:$A,'[1]Tissue Data'!$H:$H)</f>
        <v>Lepomis</v>
      </c>
      <c r="F4446" t="str">
        <f>_xlfn.XLOOKUP(A4446,'[1]Tissue Data'!$A:$A,'[1]Tissue Data'!$I:$I)</f>
        <v>gibbosus</v>
      </c>
      <c r="G4446" t="str">
        <f>_xlfn.XLOOKUP(A4446,'[1]Tissue Data'!$A:$A,'[1]Tissue Data'!J:J)</f>
        <v>U</v>
      </c>
      <c r="H4446" t="str">
        <f>_xlfn.XLOOKUP(A4446,'[1]Tissue Data'!$A:$A,'[1]Tissue Data'!K:K)</f>
        <v>Whole Body</v>
      </c>
      <c r="I4446">
        <f>_xlfn.XLOOKUP(A4446,'[1]Tissue Data'!$A:$A,'[1]Tissue Data'!L:L)</f>
        <v>8.5</v>
      </c>
      <c r="J4446">
        <f>_xlfn.XLOOKUP(A4446,'[1]Tissue Data'!$A:$A,'[1]Tissue Data'!M:M)</f>
        <v>15.35</v>
      </c>
      <c r="K4446" t="s">
        <v>56</v>
      </c>
      <c r="L4446" t="str">
        <f>_xlfn.XLOOKUP(K4446,[2]analyte_order!$B:$B,[2]analyte_order!$C:$C)</f>
        <v>756426-58-1</v>
      </c>
      <c r="M4446">
        <f>_xlfn.XLOOKUP(L4446,[2]analyte_order!$C:$C,[2]analyte_order!$E:$E)</f>
        <v>36</v>
      </c>
      <c r="N4446">
        <v>6.8500000000000005E-2</v>
      </c>
    </row>
    <row r="4447" spans="1:14">
      <c r="A4447" t="s">
        <v>267</v>
      </c>
      <c r="B4447" t="str">
        <f>_xlfn.XLOOKUP(A4447,'[1]Tissue Data'!$A:$A,'[1]Tissue Data'!$C:$C)</f>
        <v>Spill</v>
      </c>
      <c r="C4447" s="2">
        <f>_xlfn.XLOOKUP(A4447,'[1]Tissue Data'!$A:$A,'[1]Tissue Data'!$D:$D)</f>
        <v>44393</v>
      </c>
      <c r="D4447" s="2" t="str">
        <f>_xlfn.XLOOKUP(A4447,'[1]Tissue Data'!$A:$A,'[1]Tissue Data'!$F:$F)</f>
        <v>Pumpkinseed</v>
      </c>
      <c r="E4447" t="str">
        <f>_xlfn.XLOOKUP(A4447,'[1]Tissue Data'!$A:$A,'[1]Tissue Data'!$H:$H)</f>
        <v>Lepomis</v>
      </c>
      <c r="F4447" t="str">
        <f>_xlfn.XLOOKUP(A4447,'[1]Tissue Data'!$A:$A,'[1]Tissue Data'!$I:$I)</f>
        <v>gibbosus</v>
      </c>
      <c r="G4447" t="str">
        <f>_xlfn.XLOOKUP(A4447,'[1]Tissue Data'!$A:$A,'[1]Tissue Data'!J:J)</f>
        <v>U</v>
      </c>
      <c r="H4447" t="str">
        <f>_xlfn.XLOOKUP(A4447,'[1]Tissue Data'!$A:$A,'[1]Tissue Data'!K:K)</f>
        <v>Whole Body</v>
      </c>
      <c r="I4447">
        <f>_xlfn.XLOOKUP(A4447,'[1]Tissue Data'!$A:$A,'[1]Tissue Data'!L:L)</f>
        <v>8.5</v>
      </c>
      <c r="J4447">
        <f>_xlfn.XLOOKUP(A4447,'[1]Tissue Data'!$A:$A,'[1]Tissue Data'!M:M)</f>
        <v>15.35</v>
      </c>
      <c r="K4447" t="s">
        <v>57</v>
      </c>
      <c r="L4447" t="str">
        <f>_xlfn.XLOOKUP(K4447,[2]analyte_order!$B:$B,[2]analyte_order!$C:$C)</f>
        <v>763051-92-9</v>
      </c>
      <c r="M4447">
        <f>_xlfn.XLOOKUP(L4447,[2]analyte_order!$C:$C,[2]analyte_order!$E:$E)</f>
        <v>37</v>
      </c>
      <c r="N4447">
        <v>6.8500000000000005E-2</v>
      </c>
    </row>
    <row r="4448" spans="1:14">
      <c r="A4448" t="s">
        <v>267</v>
      </c>
      <c r="B4448" t="str">
        <f>_xlfn.XLOOKUP(A4448,'[1]Tissue Data'!$A:$A,'[1]Tissue Data'!$C:$C)</f>
        <v>Spill</v>
      </c>
      <c r="C4448" s="2">
        <f>_xlfn.XLOOKUP(A4448,'[1]Tissue Data'!$A:$A,'[1]Tissue Data'!$D:$D)</f>
        <v>44393</v>
      </c>
      <c r="D4448" s="2" t="str">
        <f>_xlfn.XLOOKUP(A4448,'[1]Tissue Data'!$A:$A,'[1]Tissue Data'!$F:$F)</f>
        <v>Pumpkinseed</v>
      </c>
      <c r="E4448" t="str">
        <f>_xlfn.XLOOKUP(A4448,'[1]Tissue Data'!$A:$A,'[1]Tissue Data'!$H:$H)</f>
        <v>Lepomis</v>
      </c>
      <c r="F4448" t="str">
        <f>_xlfn.XLOOKUP(A4448,'[1]Tissue Data'!$A:$A,'[1]Tissue Data'!$I:$I)</f>
        <v>gibbosus</v>
      </c>
      <c r="G4448" t="str">
        <f>_xlfn.XLOOKUP(A4448,'[1]Tissue Data'!$A:$A,'[1]Tissue Data'!J:J)</f>
        <v>U</v>
      </c>
      <c r="H4448" t="str">
        <f>_xlfn.XLOOKUP(A4448,'[1]Tissue Data'!$A:$A,'[1]Tissue Data'!K:K)</f>
        <v>Whole Body</v>
      </c>
      <c r="I4448">
        <f>_xlfn.XLOOKUP(A4448,'[1]Tissue Data'!$A:$A,'[1]Tissue Data'!L:L)</f>
        <v>8.5</v>
      </c>
      <c r="J4448">
        <f>_xlfn.XLOOKUP(A4448,'[1]Tissue Data'!$A:$A,'[1]Tissue Data'!M:M)</f>
        <v>15.35</v>
      </c>
      <c r="K4448" t="s">
        <v>58</v>
      </c>
      <c r="L4448" t="str">
        <f>_xlfn.XLOOKUP(K4448,[2]analyte_order!$B:$B,[2]analyte_order!$C:$C)</f>
        <v>13252-13-6</v>
      </c>
      <c r="M4448">
        <f>_xlfn.XLOOKUP(L4448,[2]analyte_order!$C:$C,[2]analyte_order!$E:$E)</f>
        <v>34</v>
      </c>
      <c r="N4448">
        <v>9.8000000000000004E-2</v>
      </c>
    </row>
    <row r="4449" spans="1:14">
      <c r="A4449" t="s">
        <v>267</v>
      </c>
      <c r="B4449" t="str">
        <f>_xlfn.XLOOKUP(A4449,'[1]Tissue Data'!$A:$A,'[1]Tissue Data'!$C:$C)</f>
        <v>Spill</v>
      </c>
      <c r="C4449" s="2">
        <f>_xlfn.XLOOKUP(A4449,'[1]Tissue Data'!$A:$A,'[1]Tissue Data'!$D:$D)</f>
        <v>44393</v>
      </c>
      <c r="D4449" s="2" t="str">
        <f>_xlfn.XLOOKUP(A4449,'[1]Tissue Data'!$A:$A,'[1]Tissue Data'!$F:$F)</f>
        <v>Pumpkinseed</v>
      </c>
      <c r="E4449" t="str">
        <f>_xlfn.XLOOKUP(A4449,'[1]Tissue Data'!$A:$A,'[1]Tissue Data'!$H:$H)</f>
        <v>Lepomis</v>
      </c>
      <c r="F4449" t="str">
        <f>_xlfn.XLOOKUP(A4449,'[1]Tissue Data'!$A:$A,'[1]Tissue Data'!$I:$I)</f>
        <v>gibbosus</v>
      </c>
      <c r="G4449" t="str">
        <f>_xlfn.XLOOKUP(A4449,'[1]Tissue Data'!$A:$A,'[1]Tissue Data'!J:J)</f>
        <v>U</v>
      </c>
      <c r="H4449" t="str">
        <f>_xlfn.XLOOKUP(A4449,'[1]Tissue Data'!$A:$A,'[1]Tissue Data'!K:K)</f>
        <v>Whole Body</v>
      </c>
      <c r="I4449">
        <f>_xlfn.XLOOKUP(A4449,'[1]Tissue Data'!$A:$A,'[1]Tissue Data'!L:L)</f>
        <v>8.5</v>
      </c>
      <c r="J4449">
        <f>_xlfn.XLOOKUP(A4449,'[1]Tissue Data'!$A:$A,'[1]Tissue Data'!M:M)</f>
        <v>15.35</v>
      </c>
      <c r="K4449" t="s">
        <v>59</v>
      </c>
      <c r="L4449" t="str">
        <f>_xlfn.XLOOKUP(K4449,[2]analyte_order!$B:$B,[2]analyte_order!$C:$C)</f>
        <v>57677-95-9</v>
      </c>
      <c r="M4449">
        <f>_xlfn.XLOOKUP(L4449,[2]analyte_order!$C:$C,[2]analyte_order!$E:$E)</f>
        <v>46</v>
      </c>
      <c r="N4449">
        <v>7.2499999999999995E-2</v>
      </c>
    </row>
    <row r="4450" spans="1:14">
      <c r="A4450" t="s">
        <v>267</v>
      </c>
      <c r="B4450" t="str">
        <f>_xlfn.XLOOKUP(A4450,'[1]Tissue Data'!$A:$A,'[1]Tissue Data'!$C:$C)</f>
        <v>Spill</v>
      </c>
      <c r="C4450" s="2">
        <f>_xlfn.XLOOKUP(A4450,'[1]Tissue Data'!$A:$A,'[1]Tissue Data'!$D:$D)</f>
        <v>44393</v>
      </c>
      <c r="D4450" s="2" t="str">
        <f>_xlfn.XLOOKUP(A4450,'[1]Tissue Data'!$A:$A,'[1]Tissue Data'!$F:$F)</f>
        <v>Pumpkinseed</v>
      </c>
      <c r="E4450" t="str">
        <f>_xlfn.XLOOKUP(A4450,'[1]Tissue Data'!$A:$A,'[1]Tissue Data'!$H:$H)</f>
        <v>Lepomis</v>
      </c>
      <c r="F4450" t="str">
        <f>_xlfn.XLOOKUP(A4450,'[1]Tissue Data'!$A:$A,'[1]Tissue Data'!$I:$I)</f>
        <v>gibbosus</v>
      </c>
      <c r="G4450" t="str">
        <f>_xlfn.XLOOKUP(A4450,'[1]Tissue Data'!$A:$A,'[1]Tissue Data'!J:J)</f>
        <v>U</v>
      </c>
      <c r="H4450" t="str">
        <f>_xlfn.XLOOKUP(A4450,'[1]Tissue Data'!$A:$A,'[1]Tissue Data'!K:K)</f>
        <v>Whole Body</v>
      </c>
      <c r="I4450">
        <f>_xlfn.XLOOKUP(A4450,'[1]Tissue Data'!$A:$A,'[1]Tissue Data'!L:L)</f>
        <v>8.5</v>
      </c>
      <c r="J4450">
        <f>_xlfn.XLOOKUP(A4450,'[1]Tissue Data'!$A:$A,'[1]Tissue Data'!M:M)</f>
        <v>15.35</v>
      </c>
      <c r="K4450" t="s">
        <v>60</v>
      </c>
      <c r="L4450" t="str">
        <f>_xlfn.XLOOKUP(K4450,[2]analyte_order!$B:$B,[2]analyte_order!$C:$C)</f>
        <v>678-41-1</v>
      </c>
      <c r="M4450">
        <f>_xlfn.XLOOKUP(L4450,[2]analyte_order!$C:$C,[2]analyte_order!$E:$E)</f>
        <v>56</v>
      </c>
      <c r="N4450">
        <v>9.0499999999999997E-2</v>
      </c>
    </row>
    <row r="4451" spans="1:14">
      <c r="A4451" t="s">
        <v>267</v>
      </c>
      <c r="B4451" t="str">
        <f>_xlfn.XLOOKUP(A4451,'[1]Tissue Data'!$A:$A,'[1]Tissue Data'!$C:$C)</f>
        <v>Spill</v>
      </c>
      <c r="C4451" s="2">
        <f>_xlfn.XLOOKUP(A4451,'[1]Tissue Data'!$A:$A,'[1]Tissue Data'!$D:$D)</f>
        <v>44393</v>
      </c>
      <c r="D4451" s="2" t="str">
        <f>_xlfn.XLOOKUP(A4451,'[1]Tissue Data'!$A:$A,'[1]Tissue Data'!$F:$F)</f>
        <v>Pumpkinseed</v>
      </c>
      <c r="E4451" t="str">
        <f>_xlfn.XLOOKUP(A4451,'[1]Tissue Data'!$A:$A,'[1]Tissue Data'!$H:$H)</f>
        <v>Lepomis</v>
      </c>
      <c r="F4451" t="str">
        <f>_xlfn.XLOOKUP(A4451,'[1]Tissue Data'!$A:$A,'[1]Tissue Data'!$I:$I)</f>
        <v>gibbosus</v>
      </c>
      <c r="G4451" t="str">
        <f>_xlfn.XLOOKUP(A4451,'[1]Tissue Data'!$A:$A,'[1]Tissue Data'!J:J)</f>
        <v>U</v>
      </c>
      <c r="H4451" t="str">
        <f>_xlfn.XLOOKUP(A4451,'[1]Tissue Data'!$A:$A,'[1]Tissue Data'!K:K)</f>
        <v>Whole Body</v>
      </c>
      <c r="I4451">
        <f>_xlfn.XLOOKUP(A4451,'[1]Tissue Data'!$A:$A,'[1]Tissue Data'!L:L)</f>
        <v>8.5</v>
      </c>
      <c r="J4451">
        <f>_xlfn.XLOOKUP(A4451,'[1]Tissue Data'!$A:$A,'[1]Tissue Data'!M:M)</f>
        <v>15.35</v>
      </c>
      <c r="K4451" t="s">
        <v>61</v>
      </c>
      <c r="L4451" t="str">
        <f>_xlfn.XLOOKUP(K4451,[2]analyte_order!$B:$B,[2]analyte_order!$C:$C)</f>
        <v>2965-52-8</v>
      </c>
      <c r="M4451">
        <f>_xlfn.XLOOKUP(L4451,[2]analyte_order!$C:$C,[2]analyte_order!$E:$E)</f>
        <v>57</v>
      </c>
      <c r="N4451">
        <v>0.12</v>
      </c>
    </row>
    <row r="4452" spans="1:14">
      <c r="A4452" t="s">
        <v>268</v>
      </c>
      <c r="B4452" t="str">
        <f>_xlfn.XLOOKUP(A4452,'[1]Tissue Data'!$A:$A,'[1]Tissue Data'!$C:$C)</f>
        <v>Spill</v>
      </c>
      <c r="C4452" s="2">
        <f>_xlfn.XLOOKUP(A4452,'[1]Tissue Data'!$A:$A,'[1]Tissue Data'!$D:$D)</f>
        <v>44393</v>
      </c>
      <c r="D4452" s="2" t="str">
        <f>_xlfn.XLOOKUP(A4452,'[1]Tissue Data'!$A:$A,'[1]Tissue Data'!$F:$F)</f>
        <v>Pumpkinseed</v>
      </c>
      <c r="E4452" t="str">
        <f>_xlfn.XLOOKUP(A4452,'[1]Tissue Data'!$A:$A,'[1]Tissue Data'!$H:$H)</f>
        <v>Lepomis</v>
      </c>
      <c r="F4452" t="str">
        <f>_xlfn.XLOOKUP(A4452,'[1]Tissue Data'!$A:$A,'[1]Tissue Data'!$I:$I)</f>
        <v>gibbosus</v>
      </c>
      <c r="G4452" t="str">
        <f>_xlfn.XLOOKUP(A4452,'[1]Tissue Data'!$A:$A,'[1]Tissue Data'!J:J)</f>
        <v>U</v>
      </c>
      <c r="H4452" t="str">
        <f>_xlfn.XLOOKUP(A4452,'[1]Tissue Data'!$A:$A,'[1]Tissue Data'!K:K)</f>
        <v>Whole Body</v>
      </c>
      <c r="I4452">
        <f>_xlfn.XLOOKUP(A4452,'[1]Tissue Data'!$A:$A,'[1]Tissue Data'!L:L)</f>
        <v>7.5</v>
      </c>
      <c r="J4452">
        <f>_xlfn.XLOOKUP(A4452,'[1]Tissue Data'!$A:$A,'[1]Tissue Data'!M:M)</f>
        <v>12.02</v>
      </c>
      <c r="K4452" t="s">
        <v>12</v>
      </c>
      <c r="L4452" t="str">
        <f>_xlfn.XLOOKUP(K4452,[2]analyte_order!$B:$B,[2]analyte_order!$C:$C)</f>
        <v>375-22-4</v>
      </c>
      <c r="M4452">
        <f>_xlfn.XLOOKUP(L4452,[2]analyte_order!$C:$C,[2]analyte_order!$E:$E)</f>
        <v>1</v>
      </c>
      <c r="N4452">
        <v>0.219</v>
      </c>
    </row>
    <row r="4453" spans="1:14">
      <c r="A4453" t="s">
        <v>268</v>
      </c>
      <c r="B4453" t="str">
        <f>_xlfn.XLOOKUP(A4453,'[1]Tissue Data'!$A:$A,'[1]Tissue Data'!$C:$C)</f>
        <v>Spill</v>
      </c>
      <c r="C4453" s="2">
        <f>_xlfn.XLOOKUP(A4453,'[1]Tissue Data'!$A:$A,'[1]Tissue Data'!$D:$D)</f>
        <v>44393</v>
      </c>
      <c r="D4453" s="2" t="str">
        <f>_xlfn.XLOOKUP(A4453,'[1]Tissue Data'!$A:$A,'[1]Tissue Data'!$F:$F)</f>
        <v>Pumpkinseed</v>
      </c>
      <c r="E4453" t="str">
        <f>_xlfn.XLOOKUP(A4453,'[1]Tissue Data'!$A:$A,'[1]Tissue Data'!$H:$H)</f>
        <v>Lepomis</v>
      </c>
      <c r="F4453" t="str">
        <f>_xlfn.XLOOKUP(A4453,'[1]Tissue Data'!$A:$A,'[1]Tissue Data'!$I:$I)</f>
        <v>gibbosus</v>
      </c>
      <c r="G4453" t="str">
        <f>_xlfn.XLOOKUP(A4453,'[1]Tissue Data'!$A:$A,'[1]Tissue Data'!J:J)</f>
        <v>U</v>
      </c>
      <c r="H4453" t="str">
        <f>_xlfn.XLOOKUP(A4453,'[1]Tissue Data'!$A:$A,'[1]Tissue Data'!K:K)</f>
        <v>Whole Body</v>
      </c>
      <c r="I4453">
        <f>_xlfn.XLOOKUP(A4453,'[1]Tissue Data'!$A:$A,'[1]Tissue Data'!L:L)</f>
        <v>7.5</v>
      </c>
      <c r="J4453">
        <f>_xlfn.XLOOKUP(A4453,'[1]Tissue Data'!$A:$A,'[1]Tissue Data'!M:M)</f>
        <v>12.02</v>
      </c>
      <c r="K4453" t="s">
        <v>13</v>
      </c>
      <c r="L4453" t="str">
        <f>_xlfn.XLOOKUP(K4453,[2]analyte_order!$B:$B,[2]analyte_order!$C:$C)</f>
        <v>2706-90-3</v>
      </c>
      <c r="M4453">
        <f>_xlfn.XLOOKUP(L4453,[2]analyte_order!$C:$C,[2]analyte_order!$E:$E)</f>
        <v>2</v>
      </c>
      <c r="N4453">
        <v>4.6949999999999999E-2</v>
      </c>
    </row>
    <row r="4454" spans="1:14">
      <c r="A4454" t="s">
        <v>268</v>
      </c>
      <c r="B4454" t="str">
        <f>_xlfn.XLOOKUP(A4454,'[1]Tissue Data'!$A:$A,'[1]Tissue Data'!$C:$C)</f>
        <v>Spill</v>
      </c>
      <c r="C4454" s="2">
        <f>_xlfn.XLOOKUP(A4454,'[1]Tissue Data'!$A:$A,'[1]Tissue Data'!$D:$D)</f>
        <v>44393</v>
      </c>
      <c r="D4454" s="2" t="str">
        <f>_xlfn.XLOOKUP(A4454,'[1]Tissue Data'!$A:$A,'[1]Tissue Data'!$F:$F)</f>
        <v>Pumpkinseed</v>
      </c>
      <c r="E4454" t="str">
        <f>_xlfn.XLOOKUP(A4454,'[1]Tissue Data'!$A:$A,'[1]Tissue Data'!$H:$H)</f>
        <v>Lepomis</v>
      </c>
      <c r="F4454" t="str">
        <f>_xlfn.XLOOKUP(A4454,'[1]Tissue Data'!$A:$A,'[1]Tissue Data'!$I:$I)</f>
        <v>gibbosus</v>
      </c>
      <c r="G4454" t="str">
        <f>_xlfn.XLOOKUP(A4454,'[1]Tissue Data'!$A:$A,'[1]Tissue Data'!J:J)</f>
        <v>U</v>
      </c>
      <c r="H4454" t="str">
        <f>_xlfn.XLOOKUP(A4454,'[1]Tissue Data'!$A:$A,'[1]Tissue Data'!K:K)</f>
        <v>Whole Body</v>
      </c>
      <c r="I4454">
        <f>_xlfn.XLOOKUP(A4454,'[1]Tissue Data'!$A:$A,'[1]Tissue Data'!L:L)</f>
        <v>7.5</v>
      </c>
      <c r="J4454">
        <f>_xlfn.XLOOKUP(A4454,'[1]Tissue Data'!$A:$A,'[1]Tissue Data'!M:M)</f>
        <v>12.02</v>
      </c>
      <c r="K4454" t="s">
        <v>14</v>
      </c>
      <c r="L4454" t="str">
        <f>_xlfn.XLOOKUP(K4454,[2]analyte_order!$B:$B,[2]analyte_order!$C:$C)</f>
        <v>307-24-4</v>
      </c>
      <c r="M4454">
        <f>_xlfn.XLOOKUP(L4454,[2]analyte_order!$C:$C,[2]analyte_order!$E:$E)</f>
        <v>3</v>
      </c>
      <c r="N4454">
        <v>3.5749999999999997E-2</v>
      </c>
    </row>
    <row r="4455" spans="1:14">
      <c r="A4455" t="s">
        <v>268</v>
      </c>
      <c r="B4455" t="str">
        <f>_xlfn.XLOOKUP(A4455,'[1]Tissue Data'!$A:$A,'[1]Tissue Data'!$C:$C)</f>
        <v>Spill</v>
      </c>
      <c r="C4455" s="2">
        <f>_xlfn.XLOOKUP(A4455,'[1]Tissue Data'!$A:$A,'[1]Tissue Data'!$D:$D)</f>
        <v>44393</v>
      </c>
      <c r="D4455" s="2" t="str">
        <f>_xlfn.XLOOKUP(A4455,'[1]Tissue Data'!$A:$A,'[1]Tissue Data'!$F:$F)</f>
        <v>Pumpkinseed</v>
      </c>
      <c r="E4455" t="str">
        <f>_xlfn.XLOOKUP(A4455,'[1]Tissue Data'!$A:$A,'[1]Tissue Data'!$H:$H)</f>
        <v>Lepomis</v>
      </c>
      <c r="F4455" t="str">
        <f>_xlfn.XLOOKUP(A4455,'[1]Tissue Data'!$A:$A,'[1]Tissue Data'!$I:$I)</f>
        <v>gibbosus</v>
      </c>
      <c r="G4455" t="str">
        <f>_xlfn.XLOOKUP(A4455,'[1]Tissue Data'!$A:$A,'[1]Tissue Data'!J:J)</f>
        <v>U</v>
      </c>
      <c r="H4455" t="str">
        <f>_xlfn.XLOOKUP(A4455,'[1]Tissue Data'!$A:$A,'[1]Tissue Data'!K:K)</f>
        <v>Whole Body</v>
      </c>
      <c r="I4455">
        <f>_xlfn.XLOOKUP(A4455,'[1]Tissue Data'!$A:$A,'[1]Tissue Data'!L:L)</f>
        <v>7.5</v>
      </c>
      <c r="J4455">
        <f>_xlfn.XLOOKUP(A4455,'[1]Tissue Data'!$A:$A,'[1]Tissue Data'!M:M)</f>
        <v>12.02</v>
      </c>
      <c r="K4455" t="s">
        <v>15</v>
      </c>
      <c r="L4455" t="str">
        <f>_xlfn.XLOOKUP(K4455,[2]analyte_order!$B:$B,[2]analyte_order!$C:$C)</f>
        <v>375-85-9</v>
      </c>
      <c r="M4455">
        <f>_xlfn.XLOOKUP(L4455,[2]analyte_order!$C:$C,[2]analyte_order!$E:$E)</f>
        <v>4</v>
      </c>
      <c r="N4455">
        <v>8.7499999999999994E-2</v>
      </c>
    </row>
    <row r="4456" spans="1:14">
      <c r="A4456" t="s">
        <v>268</v>
      </c>
      <c r="B4456" t="str">
        <f>_xlfn.XLOOKUP(A4456,'[1]Tissue Data'!$A:$A,'[1]Tissue Data'!$C:$C)</f>
        <v>Spill</v>
      </c>
      <c r="C4456" s="2">
        <f>_xlfn.XLOOKUP(A4456,'[1]Tissue Data'!$A:$A,'[1]Tissue Data'!$D:$D)</f>
        <v>44393</v>
      </c>
      <c r="D4456" s="2" t="str">
        <f>_xlfn.XLOOKUP(A4456,'[1]Tissue Data'!$A:$A,'[1]Tissue Data'!$F:$F)</f>
        <v>Pumpkinseed</v>
      </c>
      <c r="E4456" t="str">
        <f>_xlfn.XLOOKUP(A4456,'[1]Tissue Data'!$A:$A,'[1]Tissue Data'!$H:$H)</f>
        <v>Lepomis</v>
      </c>
      <c r="F4456" t="str">
        <f>_xlfn.XLOOKUP(A4456,'[1]Tissue Data'!$A:$A,'[1]Tissue Data'!$I:$I)</f>
        <v>gibbosus</v>
      </c>
      <c r="G4456" t="str">
        <f>_xlfn.XLOOKUP(A4456,'[1]Tissue Data'!$A:$A,'[1]Tissue Data'!J:J)</f>
        <v>U</v>
      </c>
      <c r="H4456" t="str">
        <f>_xlfn.XLOOKUP(A4456,'[1]Tissue Data'!$A:$A,'[1]Tissue Data'!K:K)</f>
        <v>Whole Body</v>
      </c>
      <c r="I4456">
        <f>_xlfn.XLOOKUP(A4456,'[1]Tissue Data'!$A:$A,'[1]Tissue Data'!L:L)</f>
        <v>7.5</v>
      </c>
      <c r="J4456">
        <f>_xlfn.XLOOKUP(A4456,'[1]Tissue Data'!$A:$A,'[1]Tissue Data'!M:M)</f>
        <v>12.02</v>
      </c>
      <c r="K4456" t="s">
        <v>16</v>
      </c>
      <c r="L4456" t="str">
        <f>_xlfn.XLOOKUP(K4456,[2]analyte_order!$B:$B,[2]analyte_order!$C:$C)</f>
        <v>335-67-1</v>
      </c>
      <c r="M4456">
        <f>_xlfn.XLOOKUP(L4456,[2]analyte_order!$C:$C,[2]analyte_order!$E:$E)</f>
        <v>5</v>
      </c>
      <c r="N4456">
        <v>2.36</v>
      </c>
    </row>
    <row r="4457" spans="1:14">
      <c r="A4457" t="s">
        <v>268</v>
      </c>
      <c r="B4457" t="str">
        <f>_xlfn.XLOOKUP(A4457,'[1]Tissue Data'!$A:$A,'[1]Tissue Data'!$C:$C)</f>
        <v>Spill</v>
      </c>
      <c r="C4457" s="2">
        <f>_xlfn.XLOOKUP(A4457,'[1]Tissue Data'!$A:$A,'[1]Tissue Data'!$D:$D)</f>
        <v>44393</v>
      </c>
      <c r="D4457" s="2" t="str">
        <f>_xlfn.XLOOKUP(A4457,'[1]Tissue Data'!$A:$A,'[1]Tissue Data'!$F:$F)</f>
        <v>Pumpkinseed</v>
      </c>
      <c r="E4457" t="str">
        <f>_xlfn.XLOOKUP(A4457,'[1]Tissue Data'!$A:$A,'[1]Tissue Data'!$H:$H)</f>
        <v>Lepomis</v>
      </c>
      <c r="F4457" t="str">
        <f>_xlfn.XLOOKUP(A4457,'[1]Tissue Data'!$A:$A,'[1]Tissue Data'!$I:$I)</f>
        <v>gibbosus</v>
      </c>
      <c r="G4457" t="str">
        <f>_xlfn.XLOOKUP(A4457,'[1]Tissue Data'!$A:$A,'[1]Tissue Data'!J:J)</f>
        <v>U</v>
      </c>
      <c r="H4457" t="str">
        <f>_xlfn.XLOOKUP(A4457,'[1]Tissue Data'!$A:$A,'[1]Tissue Data'!K:K)</f>
        <v>Whole Body</v>
      </c>
      <c r="I4457">
        <f>_xlfn.XLOOKUP(A4457,'[1]Tissue Data'!$A:$A,'[1]Tissue Data'!L:L)</f>
        <v>7.5</v>
      </c>
      <c r="J4457">
        <f>_xlfn.XLOOKUP(A4457,'[1]Tissue Data'!$A:$A,'[1]Tissue Data'!M:M)</f>
        <v>12.02</v>
      </c>
      <c r="K4457" t="s">
        <v>17</v>
      </c>
      <c r="L4457" t="str">
        <f>_xlfn.XLOOKUP(K4457,[2]analyte_order!$B:$B,[2]analyte_order!$C:$C)</f>
        <v>375-95-1</v>
      </c>
      <c r="M4457">
        <f>_xlfn.XLOOKUP(L4457,[2]analyte_order!$C:$C,[2]analyte_order!$E:$E)</f>
        <v>6</v>
      </c>
      <c r="N4457">
        <v>0.61799999999999999</v>
      </c>
    </row>
    <row r="4458" spans="1:14">
      <c r="A4458" t="s">
        <v>268</v>
      </c>
      <c r="B4458" t="str">
        <f>_xlfn.XLOOKUP(A4458,'[1]Tissue Data'!$A:$A,'[1]Tissue Data'!$C:$C)</f>
        <v>Spill</v>
      </c>
      <c r="C4458" s="2">
        <f>_xlfn.XLOOKUP(A4458,'[1]Tissue Data'!$A:$A,'[1]Tissue Data'!$D:$D)</f>
        <v>44393</v>
      </c>
      <c r="D4458" s="2" t="str">
        <f>_xlfn.XLOOKUP(A4458,'[1]Tissue Data'!$A:$A,'[1]Tissue Data'!$F:$F)</f>
        <v>Pumpkinseed</v>
      </c>
      <c r="E4458" t="str">
        <f>_xlfn.XLOOKUP(A4458,'[1]Tissue Data'!$A:$A,'[1]Tissue Data'!$H:$H)</f>
        <v>Lepomis</v>
      </c>
      <c r="F4458" t="str">
        <f>_xlfn.XLOOKUP(A4458,'[1]Tissue Data'!$A:$A,'[1]Tissue Data'!$I:$I)</f>
        <v>gibbosus</v>
      </c>
      <c r="G4458" t="str">
        <f>_xlfn.XLOOKUP(A4458,'[1]Tissue Data'!$A:$A,'[1]Tissue Data'!J:J)</f>
        <v>U</v>
      </c>
      <c r="H4458" t="str">
        <f>_xlfn.XLOOKUP(A4458,'[1]Tissue Data'!$A:$A,'[1]Tissue Data'!K:K)</f>
        <v>Whole Body</v>
      </c>
      <c r="I4458">
        <f>_xlfn.XLOOKUP(A4458,'[1]Tissue Data'!$A:$A,'[1]Tissue Data'!L:L)</f>
        <v>7.5</v>
      </c>
      <c r="J4458">
        <f>_xlfn.XLOOKUP(A4458,'[1]Tissue Data'!$A:$A,'[1]Tissue Data'!M:M)</f>
        <v>12.02</v>
      </c>
      <c r="K4458" t="s">
        <v>18</v>
      </c>
      <c r="L4458" t="str">
        <f>_xlfn.XLOOKUP(K4458,[2]analyte_order!$B:$B,[2]analyte_order!$C:$C)</f>
        <v>335-76-2</v>
      </c>
      <c r="M4458">
        <f>_xlfn.XLOOKUP(L4458,[2]analyte_order!$C:$C,[2]analyte_order!$E:$E)</f>
        <v>7</v>
      </c>
      <c r="N4458">
        <v>3.33</v>
      </c>
    </row>
    <row r="4459" spans="1:14">
      <c r="A4459" t="s">
        <v>268</v>
      </c>
      <c r="B4459" t="str">
        <f>_xlfn.XLOOKUP(A4459,'[1]Tissue Data'!$A:$A,'[1]Tissue Data'!$C:$C)</f>
        <v>Spill</v>
      </c>
      <c r="C4459" s="2">
        <f>_xlfn.XLOOKUP(A4459,'[1]Tissue Data'!$A:$A,'[1]Tissue Data'!$D:$D)</f>
        <v>44393</v>
      </c>
      <c r="D4459" s="2" t="str">
        <f>_xlfn.XLOOKUP(A4459,'[1]Tissue Data'!$A:$A,'[1]Tissue Data'!$F:$F)</f>
        <v>Pumpkinseed</v>
      </c>
      <c r="E4459" t="str">
        <f>_xlfn.XLOOKUP(A4459,'[1]Tissue Data'!$A:$A,'[1]Tissue Data'!$H:$H)</f>
        <v>Lepomis</v>
      </c>
      <c r="F4459" t="str">
        <f>_xlfn.XLOOKUP(A4459,'[1]Tissue Data'!$A:$A,'[1]Tissue Data'!$I:$I)</f>
        <v>gibbosus</v>
      </c>
      <c r="G4459" t="str">
        <f>_xlfn.XLOOKUP(A4459,'[1]Tissue Data'!$A:$A,'[1]Tissue Data'!J:J)</f>
        <v>U</v>
      </c>
      <c r="H4459" t="str">
        <f>_xlfn.XLOOKUP(A4459,'[1]Tissue Data'!$A:$A,'[1]Tissue Data'!K:K)</f>
        <v>Whole Body</v>
      </c>
      <c r="I4459">
        <f>_xlfn.XLOOKUP(A4459,'[1]Tissue Data'!$A:$A,'[1]Tissue Data'!L:L)</f>
        <v>7.5</v>
      </c>
      <c r="J4459">
        <f>_xlfn.XLOOKUP(A4459,'[1]Tissue Data'!$A:$A,'[1]Tissue Data'!M:M)</f>
        <v>12.02</v>
      </c>
      <c r="K4459" t="s">
        <v>19</v>
      </c>
      <c r="L4459" t="str">
        <f>_xlfn.XLOOKUP(K4459,[2]analyte_order!$B:$B,[2]analyte_order!$C:$C)</f>
        <v>2058-94-8</v>
      </c>
      <c r="M4459">
        <f>_xlfn.XLOOKUP(L4459,[2]analyte_order!$C:$C,[2]analyte_order!$E:$E)</f>
        <v>8</v>
      </c>
      <c r="N4459">
        <v>3.79</v>
      </c>
    </row>
    <row r="4460" spans="1:14">
      <c r="A4460" t="s">
        <v>268</v>
      </c>
      <c r="B4460" t="str">
        <f>_xlfn.XLOOKUP(A4460,'[1]Tissue Data'!$A:$A,'[1]Tissue Data'!$C:$C)</f>
        <v>Spill</v>
      </c>
      <c r="C4460" s="2">
        <f>_xlfn.XLOOKUP(A4460,'[1]Tissue Data'!$A:$A,'[1]Tissue Data'!$D:$D)</f>
        <v>44393</v>
      </c>
      <c r="D4460" s="2" t="str">
        <f>_xlfn.XLOOKUP(A4460,'[1]Tissue Data'!$A:$A,'[1]Tissue Data'!$F:$F)</f>
        <v>Pumpkinseed</v>
      </c>
      <c r="E4460" t="str">
        <f>_xlfn.XLOOKUP(A4460,'[1]Tissue Data'!$A:$A,'[1]Tissue Data'!$H:$H)</f>
        <v>Lepomis</v>
      </c>
      <c r="F4460" t="str">
        <f>_xlfn.XLOOKUP(A4460,'[1]Tissue Data'!$A:$A,'[1]Tissue Data'!$I:$I)</f>
        <v>gibbosus</v>
      </c>
      <c r="G4460" t="str">
        <f>_xlfn.XLOOKUP(A4460,'[1]Tissue Data'!$A:$A,'[1]Tissue Data'!J:J)</f>
        <v>U</v>
      </c>
      <c r="H4460" t="str">
        <f>_xlfn.XLOOKUP(A4460,'[1]Tissue Data'!$A:$A,'[1]Tissue Data'!K:K)</f>
        <v>Whole Body</v>
      </c>
      <c r="I4460">
        <f>_xlfn.XLOOKUP(A4460,'[1]Tissue Data'!$A:$A,'[1]Tissue Data'!L:L)</f>
        <v>7.5</v>
      </c>
      <c r="J4460">
        <f>_xlfn.XLOOKUP(A4460,'[1]Tissue Data'!$A:$A,'[1]Tissue Data'!M:M)</f>
        <v>12.02</v>
      </c>
      <c r="K4460" t="s">
        <v>20</v>
      </c>
      <c r="L4460" t="str">
        <f>_xlfn.XLOOKUP(K4460,[2]analyte_order!$B:$B,[2]analyte_order!$C:$C)</f>
        <v>307-55-1</v>
      </c>
      <c r="M4460">
        <f>_xlfn.XLOOKUP(L4460,[2]analyte_order!$C:$C,[2]analyte_order!$E:$E)</f>
        <v>9</v>
      </c>
      <c r="N4460">
        <v>9.08</v>
      </c>
    </row>
    <row r="4461" spans="1:14">
      <c r="A4461" t="s">
        <v>268</v>
      </c>
      <c r="B4461" t="str">
        <f>_xlfn.XLOOKUP(A4461,'[1]Tissue Data'!$A:$A,'[1]Tissue Data'!$C:$C)</f>
        <v>Spill</v>
      </c>
      <c r="C4461" s="2">
        <f>_xlfn.XLOOKUP(A4461,'[1]Tissue Data'!$A:$A,'[1]Tissue Data'!$D:$D)</f>
        <v>44393</v>
      </c>
      <c r="D4461" s="2" t="str">
        <f>_xlfn.XLOOKUP(A4461,'[1]Tissue Data'!$A:$A,'[1]Tissue Data'!$F:$F)</f>
        <v>Pumpkinseed</v>
      </c>
      <c r="E4461" t="str">
        <f>_xlfn.XLOOKUP(A4461,'[1]Tissue Data'!$A:$A,'[1]Tissue Data'!$H:$H)</f>
        <v>Lepomis</v>
      </c>
      <c r="F4461" t="str">
        <f>_xlfn.XLOOKUP(A4461,'[1]Tissue Data'!$A:$A,'[1]Tissue Data'!$I:$I)</f>
        <v>gibbosus</v>
      </c>
      <c r="G4461" t="str">
        <f>_xlfn.XLOOKUP(A4461,'[1]Tissue Data'!$A:$A,'[1]Tissue Data'!J:J)</f>
        <v>U</v>
      </c>
      <c r="H4461" t="str">
        <f>_xlfn.XLOOKUP(A4461,'[1]Tissue Data'!$A:$A,'[1]Tissue Data'!K:K)</f>
        <v>Whole Body</v>
      </c>
      <c r="I4461">
        <f>_xlfn.XLOOKUP(A4461,'[1]Tissue Data'!$A:$A,'[1]Tissue Data'!L:L)</f>
        <v>7.5</v>
      </c>
      <c r="J4461">
        <f>_xlfn.XLOOKUP(A4461,'[1]Tissue Data'!$A:$A,'[1]Tissue Data'!M:M)</f>
        <v>12.02</v>
      </c>
      <c r="K4461" t="s">
        <v>21</v>
      </c>
      <c r="L4461" t="str">
        <f>_xlfn.XLOOKUP(K4461,[2]analyte_order!$B:$B,[2]analyte_order!$C:$C)</f>
        <v>72629-94-8</v>
      </c>
      <c r="M4461">
        <f>_xlfn.XLOOKUP(L4461,[2]analyte_order!$C:$C,[2]analyte_order!$E:$E)</f>
        <v>10</v>
      </c>
      <c r="N4461">
        <v>3.1</v>
      </c>
    </row>
    <row r="4462" spans="1:14">
      <c r="A4462" t="s">
        <v>268</v>
      </c>
      <c r="B4462" t="str">
        <f>_xlfn.XLOOKUP(A4462,'[1]Tissue Data'!$A:$A,'[1]Tissue Data'!$C:$C)</f>
        <v>Spill</v>
      </c>
      <c r="C4462" s="2">
        <f>_xlfn.XLOOKUP(A4462,'[1]Tissue Data'!$A:$A,'[1]Tissue Data'!$D:$D)</f>
        <v>44393</v>
      </c>
      <c r="D4462" s="2" t="str">
        <f>_xlfn.XLOOKUP(A4462,'[1]Tissue Data'!$A:$A,'[1]Tissue Data'!$F:$F)</f>
        <v>Pumpkinseed</v>
      </c>
      <c r="E4462" t="str">
        <f>_xlfn.XLOOKUP(A4462,'[1]Tissue Data'!$A:$A,'[1]Tissue Data'!$H:$H)</f>
        <v>Lepomis</v>
      </c>
      <c r="F4462" t="str">
        <f>_xlfn.XLOOKUP(A4462,'[1]Tissue Data'!$A:$A,'[1]Tissue Data'!$I:$I)</f>
        <v>gibbosus</v>
      </c>
      <c r="G4462" t="str">
        <f>_xlfn.XLOOKUP(A4462,'[1]Tissue Data'!$A:$A,'[1]Tissue Data'!J:J)</f>
        <v>U</v>
      </c>
      <c r="H4462" t="str">
        <f>_xlfn.XLOOKUP(A4462,'[1]Tissue Data'!$A:$A,'[1]Tissue Data'!K:K)</f>
        <v>Whole Body</v>
      </c>
      <c r="I4462">
        <f>_xlfn.XLOOKUP(A4462,'[1]Tissue Data'!$A:$A,'[1]Tissue Data'!L:L)</f>
        <v>7.5</v>
      </c>
      <c r="J4462">
        <f>_xlfn.XLOOKUP(A4462,'[1]Tissue Data'!$A:$A,'[1]Tissue Data'!M:M)</f>
        <v>12.02</v>
      </c>
      <c r="K4462" t="s">
        <v>22</v>
      </c>
      <c r="L4462" t="str">
        <f>_xlfn.XLOOKUP(K4462,[2]analyte_order!$B:$B,[2]analyte_order!$C:$C)</f>
        <v>376-06-7</v>
      </c>
      <c r="M4462">
        <f>_xlfn.XLOOKUP(L4462,[2]analyte_order!$C:$C,[2]analyte_order!$E:$E)</f>
        <v>11</v>
      </c>
      <c r="N4462">
        <v>10.5</v>
      </c>
    </row>
    <row r="4463" spans="1:14">
      <c r="A4463" t="s">
        <v>268</v>
      </c>
      <c r="B4463" t="str">
        <f>_xlfn.XLOOKUP(A4463,'[1]Tissue Data'!$A:$A,'[1]Tissue Data'!$C:$C)</f>
        <v>Spill</v>
      </c>
      <c r="C4463" s="2">
        <f>_xlfn.XLOOKUP(A4463,'[1]Tissue Data'!$A:$A,'[1]Tissue Data'!$D:$D)</f>
        <v>44393</v>
      </c>
      <c r="D4463" s="2" t="str">
        <f>_xlfn.XLOOKUP(A4463,'[1]Tissue Data'!$A:$A,'[1]Tissue Data'!$F:$F)</f>
        <v>Pumpkinseed</v>
      </c>
      <c r="E4463" t="str">
        <f>_xlfn.XLOOKUP(A4463,'[1]Tissue Data'!$A:$A,'[1]Tissue Data'!$H:$H)</f>
        <v>Lepomis</v>
      </c>
      <c r="F4463" t="str">
        <f>_xlfn.XLOOKUP(A4463,'[1]Tissue Data'!$A:$A,'[1]Tissue Data'!$I:$I)</f>
        <v>gibbosus</v>
      </c>
      <c r="G4463" t="str">
        <f>_xlfn.XLOOKUP(A4463,'[1]Tissue Data'!$A:$A,'[1]Tissue Data'!J:J)</f>
        <v>U</v>
      </c>
      <c r="H4463" t="str">
        <f>_xlfn.XLOOKUP(A4463,'[1]Tissue Data'!$A:$A,'[1]Tissue Data'!K:K)</f>
        <v>Whole Body</v>
      </c>
      <c r="I4463">
        <f>_xlfn.XLOOKUP(A4463,'[1]Tissue Data'!$A:$A,'[1]Tissue Data'!L:L)</f>
        <v>7.5</v>
      </c>
      <c r="J4463">
        <f>_xlfn.XLOOKUP(A4463,'[1]Tissue Data'!$A:$A,'[1]Tissue Data'!M:M)</f>
        <v>12.02</v>
      </c>
      <c r="K4463" t="s">
        <v>23</v>
      </c>
      <c r="L4463" t="str">
        <f>_xlfn.XLOOKUP(K4463,[2]analyte_order!$B:$B,[2]analyte_order!$C:$C)</f>
        <v>67905-19-5</v>
      </c>
      <c r="M4463">
        <f>_xlfn.XLOOKUP(L4463,[2]analyte_order!$C:$C,[2]analyte_order!$E:$E)</f>
        <v>12</v>
      </c>
      <c r="N4463">
        <v>7.9000000000000001E-2</v>
      </c>
    </row>
    <row r="4464" spans="1:14">
      <c r="A4464" t="s">
        <v>268</v>
      </c>
      <c r="B4464" t="str">
        <f>_xlfn.XLOOKUP(A4464,'[1]Tissue Data'!$A:$A,'[1]Tissue Data'!$C:$C)</f>
        <v>Spill</v>
      </c>
      <c r="C4464" s="2">
        <f>_xlfn.XLOOKUP(A4464,'[1]Tissue Data'!$A:$A,'[1]Tissue Data'!$D:$D)</f>
        <v>44393</v>
      </c>
      <c r="D4464" s="2" t="str">
        <f>_xlfn.XLOOKUP(A4464,'[1]Tissue Data'!$A:$A,'[1]Tissue Data'!$F:$F)</f>
        <v>Pumpkinseed</v>
      </c>
      <c r="E4464" t="str">
        <f>_xlfn.XLOOKUP(A4464,'[1]Tissue Data'!$A:$A,'[1]Tissue Data'!$H:$H)</f>
        <v>Lepomis</v>
      </c>
      <c r="F4464" t="str">
        <f>_xlfn.XLOOKUP(A4464,'[1]Tissue Data'!$A:$A,'[1]Tissue Data'!$I:$I)</f>
        <v>gibbosus</v>
      </c>
      <c r="G4464" t="str">
        <f>_xlfn.XLOOKUP(A4464,'[1]Tissue Data'!$A:$A,'[1]Tissue Data'!J:J)</f>
        <v>U</v>
      </c>
      <c r="H4464" t="str">
        <f>_xlfn.XLOOKUP(A4464,'[1]Tissue Data'!$A:$A,'[1]Tissue Data'!K:K)</f>
        <v>Whole Body</v>
      </c>
      <c r="I4464">
        <f>_xlfn.XLOOKUP(A4464,'[1]Tissue Data'!$A:$A,'[1]Tissue Data'!L:L)</f>
        <v>7.5</v>
      </c>
      <c r="J4464">
        <f>_xlfn.XLOOKUP(A4464,'[1]Tissue Data'!$A:$A,'[1]Tissue Data'!M:M)</f>
        <v>12.02</v>
      </c>
      <c r="K4464" t="s">
        <v>24</v>
      </c>
      <c r="L4464" t="str">
        <f>_xlfn.XLOOKUP(K4464,[2]analyte_order!$B:$B,[2]analyte_order!$C:$C)</f>
        <v>423-41-6</v>
      </c>
      <c r="M4464">
        <f>_xlfn.XLOOKUP(L4464,[2]analyte_order!$C:$C,[2]analyte_order!$E:$E)</f>
        <v>53</v>
      </c>
      <c r="N4464">
        <v>5.0500000000000003E-2</v>
      </c>
    </row>
    <row r="4465" spans="1:14">
      <c r="A4465" t="s">
        <v>268</v>
      </c>
      <c r="B4465" t="str">
        <f>_xlfn.XLOOKUP(A4465,'[1]Tissue Data'!$A:$A,'[1]Tissue Data'!$C:$C)</f>
        <v>Spill</v>
      </c>
      <c r="C4465" s="2">
        <f>_xlfn.XLOOKUP(A4465,'[1]Tissue Data'!$A:$A,'[1]Tissue Data'!$D:$D)</f>
        <v>44393</v>
      </c>
      <c r="D4465" s="2" t="str">
        <f>_xlfn.XLOOKUP(A4465,'[1]Tissue Data'!$A:$A,'[1]Tissue Data'!$F:$F)</f>
        <v>Pumpkinseed</v>
      </c>
      <c r="E4465" t="str">
        <f>_xlfn.XLOOKUP(A4465,'[1]Tissue Data'!$A:$A,'[1]Tissue Data'!$H:$H)</f>
        <v>Lepomis</v>
      </c>
      <c r="F4465" t="str">
        <f>_xlfn.XLOOKUP(A4465,'[1]Tissue Data'!$A:$A,'[1]Tissue Data'!$I:$I)</f>
        <v>gibbosus</v>
      </c>
      <c r="G4465" t="str">
        <f>_xlfn.XLOOKUP(A4465,'[1]Tissue Data'!$A:$A,'[1]Tissue Data'!J:J)</f>
        <v>U</v>
      </c>
      <c r="H4465" t="str">
        <f>_xlfn.XLOOKUP(A4465,'[1]Tissue Data'!$A:$A,'[1]Tissue Data'!K:K)</f>
        <v>Whole Body</v>
      </c>
      <c r="I4465">
        <f>_xlfn.XLOOKUP(A4465,'[1]Tissue Data'!$A:$A,'[1]Tissue Data'!L:L)</f>
        <v>7.5</v>
      </c>
      <c r="J4465">
        <f>_xlfn.XLOOKUP(A4465,'[1]Tissue Data'!$A:$A,'[1]Tissue Data'!M:M)</f>
        <v>12.02</v>
      </c>
      <c r="K4465" t="s">
        <v>25</v>
      </c>
      <c r="L4465" t="str">
        <f>_xlfn.XLOOKUP(K4465,[2]analyte_order!$B:$B,[2]analyte_order!$C:$C)</f>
        <v>375-73-5</v>
      </c>
      <c r="M4465">
        <f>_xlfn.XLOOKUP(L4465,[2]analyte_order!$C:$C,[2]analyte_order!$E:$E)</f>
        <v>14</v>
      </c>
      <c r="N4465">
        <v>0.14899999999999999</v>
      </c>
    </row>
    <row r="4466" spans="1:14">
      <c r="A4466" t="s">
        <v>268</v>
      </c>
      <c r="B4466" t="str">
        <f>_xlfn.XLOOKUP(A4466,'[1]Tissue Data'!$A:$A,'[1]Tissue Data'!$C:$C)</f>
        <v>Spill</v>
      </c>
      <c r="C4466" s="2">
        <f>_xlfn.XLOOKUP(A4466,'[1]Tissue Data'!$A:$A,'[1]Tissue Data'!$D:$D)</f>
        <v>44393</v>
      </c>
      <c r="D4466" s="2" t="str">
        <f>_xlfn.XLOOKUP(A4466,'[1]Tissue Data'!$A:$A,'[1]Tissue Data'!$F:$F)</f>
        <v>Pumpkinseed</v>
      </c>
      <c r="E4466" t="str">
        <f>_xlfn.XLOOKUP(A4466,'[1]Tissue Data'!$A:$A,'[1]Tissue Data'!$H:$H)</f>
        <v>Lepomis</v>
      </c>
      <c r="F4466" t="str">
        <f>_xlfn.XLOOKUP(A4466,'[1]Tissue Data'!$A:$A,'[1]Tissue Data'!$I:$I)</f>
        <v>gibbosus</v>
      </c>
      <c r="G4466" t="str">
        <f>_xlfn.XLOOKUP(A4466,'[1]Tissue Data'!$A:$A,'[1]Tissue Data'!J:J)</f>
        <v>U</v>
      </c>
      <c r="H4466" t="str">
        <f>_xlfn.XLOOKUP(A4466,'[1]Tissue Data'!$A:$A,'[1]Tissue Data'!K:K)</f>
        <v>Whole Body</v>
      </c>
      <c r="I4466">
        <f>_xlfn.XLOOKUP(A4466,'[1]Tissue Data'!$A:$A,'[1]Tissue Data'!L:L)</f>
        <v>7.5</v>
      </c>
      <c r="J4466">
        <f>_xlfn.XLOOKUP(A4466,'[1]Tissue Data'!$A:$A,'[1]Tissue Data'!M:M)</f>
        <v>12.02</v>
      </c>
      <c r="K4466" t="s">
        <v>26</v>
      </c>
      <c r="L4466" t="str">
        <f>_xlfn.XLOOKUP(K4466,[2]analyte_order!$B:$B,[2]analyte_order!$C:$C)</f>
        <v>2706-91-4</v>
      </c>
      <c r="M4466">
        <f>_xlfn.XLOOKUP(L4466,[2]analyte_order!$C:$C,[2]analyte_order!$E:$E)</f>
        <v>15</v>
      </c>
      <c r="N4466">
        <v>0.11600000000000001</v>
      </c>
    </row>
    <row r="4467" spans="1:14">
      <c r="A4467" t="s">
        <v>268</v>
      </c>
      <c r="B4467" t="str">
        <f>_xlfn.XLOOKUP(A4467,'[1]Tissue Data'!$A:$A,'[1]Tissue Data'!$C:$C)</f>
        <v>Spill</v>
      </c>
      <c r="C4467" s="2">
        <f>_xlfn.XLOOKUP(A4467,'[1]Tissue Data'!$A:$A,'[1]Tissue Data'!$D:$D)</f>
        <v>44393</v>
      </c>
      <c r="D4467" s="2" t="str">
        <f>_xlfn.XLOOKUP(A4467,'[1]Tissue Data'!$A:$A,'[1]Tissue Data'!$F:$F)</f>
        <v>Pumpkinseed</v>
      </c>
      <c r="E4467" t="str">
        <f>_xlfn.XLOOKUP(A4467,'[1]Tissue Data'!$A:$A,'[1]Tissue Data'!$H:$H)</f>
        <v>Lepomis</v>
      </c>
      <c r="F4467" t="str">
        <f>_xlfn.XLOOKUP(A4467,'[1]Tissue Data'!$A:$A,'[1]Tissue Data'!$I:$I)</f>
        <v>gibbosus</v>
      </c>
      <c r="G4467" t="str">
        <f>_xlfn.XLOOKUP(A4467,'[1]Tissue Data'!$A:$A,'[1]Tissue Data'!J:J)</f>
        <v>U</v>
      </c>
      <c r="H4467" t="str">
        <f>_xlfn.XLOOKUP(A4467,'[1]Tissue Data'!$A:$A,'[1]Tissue Data'!K:K)</f>
        <v>Whole Body</v>
      </c>
      <c r="I4467">
        <f>_xlfn.XLOOKUP(A4467,'[1]Tissue Data'!$A:$A,'[1]Tissue Data'!L:L)</f>
        <v>7.5</v>
      </c>
      <c r="J4467">
        <f>_xlfn.XLOOKUP(A4467,'[1]Tissue Data'!$A:$A,'[1]Tissue Data'!M:M)</f>
        <v>12.02</v>
      </c>
      <c r="K4467" t="s">
        <v>27</v>
      </c>
      <c r="L4467" t="str">
        <f>_xlfn.XLOOKUP(K4467,[2]analyte_order!$B:$B,[2]analyte_order!$C:$C)</f>
        <v>355-46-4</v>
      </c>
      <c r="M4467">
        <f>_xlfn.XLOOKUP(L4467,[2]analyte_order!$C:$C,[2]analyte_order!$E:$E)</f>
        <v>16</v>
      </c>
      <c r="N4467">
        <v>19.3</v>
      </c>
    </row>
    <row r="4468" spans="1:14">
      <c r="A4468" t="s">
        <v>268</v>
      </c>
      <c r="B4468" t="str">
        <f>_xlfn.XLOOKUP(A4468,'[1]Tissue Data'!$A:$A,'[1]Tissue Data'!$C:$C)</f>
        <v>Spill</v>
      </c>
      <c r="C4468" s="2">
        <f>_xlfn.XLOOKUP(A4468,'[1]Tissue Data'!$A:$A,'[1]Tissue Data'!$D:$D)</f>
        <v>44393</v>
      </c>
      <c r="D4468" s="2" t="str">
        <f>_xlfn.XLOOKUP(A4468,'[1]Tissue Data'!$A:$A,'[1]Tissue Data'!$F:$F)</f>
        <v>Pumpkinseed</v>
      </c>
      <c r="E4468" t="str">
        <f>_xlfn.XLOOKUP(A4468,'[1]Tissue Data'!$A:$A,'[1]Tissue Data'!$H:$H)</f>
        <v>Lepomis</v>
      </c>
      <c r="F4468" t="str">
        <f>_xlfn.XLOOKUP(A4468,'[1]Tissue Data'!$A:$A,'[1]Tissue Data'!$I:$I)</f>
        <v>gibbosus</v>
      </c>
      <c r="G4468" t="str">
        <f>_xlfn.XLOOKUP(A4468,'[1]Tissue Data'!$A:$A,'[1]Tissue Data'!J:J)</f>
        <v>U</v>
      </c>
      <c r="H4468" t="str">
        <f>_xlfn.XLOOKUP(A4468,'[1]Tissue Data'!$A:$A,'[1]Tissue Data'!K:K)</f>
        <v>Whole Body</v>
      </c>
      <c r="I4468">
        <f>_xlfn.XLOOKUP(A4468,'[1]Tissue Data'!$A:$A,'[1]Tissue Data'!L:L)</f>
        <v>7.5</v>
      </c>
      <c r="J4468">
        <f>_xlfn.XLOOKUP(A4468,'[1]Tissue Data'!$A:$A,'[1]Tissue Data'!M:M)</f>
        <v>12.02</v>
      </c>
      <c r="K4468" t="s">
        <v>28</v>
      </c>
      <c r="L4468" t="str">
        <f>_xlfn.XLOOKUP(K4468,[2]analyte_order!$B:$B,[2]analyte_order!$C:$C)</f>
        <v>375-92-8</v>
      </c>
      <c r="M4468">
        <f>_xlfn.XLOOKUP(L4468,[2]analyte_order!$C:$C,[2]analyte_order!$E:$E)</f>
        <v>17</v>
      </c>
      <c r="N4468">
        <v>1.1100000000000001</v>
      </c>
    </row>
    <row r="4469" spans="1:14">
      <c r="A4469" t="s">
        <v>268</v>
      </c>
      <c r="B4469" t="str">
        <f>_xlfn.XLOOKUP(A4469,'[1]Tissue Data'!$A:$A,'[1]Tissue Data'!$C:$C)</f>
        <v>Spill</v>
      </c>
      <c r="C4469" s="2">
        <f>_xlfn.XLOOKUP(A4469,'[1]Tissue Data'!$A:$A,'[1]Tissue Data'!$D:$D)</f>
        <v>44393</v>
      </c>
      <c r="D4469" s="2" t="str">
        <f>_xlfn.XLOOKUP(A4469,'[1]Tissue Data'!$A:$A,'[1]Tissue Data'!$F:$F)</f>
        <v>Pumpkinseed</v>
      </c>
      <c r="E4469" t="str">
        <f>_xlfn.XLOOKUP(A4469,'[1]Tissue Data'!$A:$A,'[1]Tissue Data'!$H:$H)</f>
        <v>Lepomis</v>
      </c>
      <c r="F4469" t="str">
        <f>_xlfn.XLOOKUP(A4469,'[1]Tissue Data'!$A:$A,'[1]Tissue Data'!$I:$I)</f>
        <v>gibbosus</v>
      </c>
      <c r="G4469" t="str">
        <f>_xlfn.XLOOKUP(A4469,'[1]Tissue Data'!$A:$A,'[1]Tissue Data'!J:J)</f>
        <v>U</v>
      </c>
      <c r="H4469" t="str">
        <f>_xlfn.XLOOKUP(A4469,'[1]Tissue Data'!$A:$A,'[1]Tissue Data'!K:K)</f>
        <v>Whole Body</v>
      </c>
      <c r="I4469">
        <f>_xlfn.XLOOKUP(A4469,'[1]Tissue Data'!$A:$A,'[1]Tissue Data'!L:L)</f>
        <v>7.5</v>
      </c>
      <c r="J4469">
        <f>_xlfn.XLOOKUP(A4469,'[1]Tissue Data'!$A:$A,'[1]Tissue Data'!M:M)</f>
        <v>12.02</v>
      </c>
      <c r="K4469" t="s">
        <v>29</v>
      </c>
      <c r="L4469" t="str">
        <f>_xlfn.XLOOKUP(K4469,[2]analyte_order!$B:$B,[2]analyte_order!$C:$C)</f>
        <v>1763-23-1</v>
      </c>
      <c r="M4469">
        <f>_xlfn.XLOOKUP(L4469,[2]analyte_order!$C:$C,[2]analyte_order!$E:$E)</f>
        <v>18</v>
      </c>
      <c r="N4469">
        <v>1150</v>
      </c>
    </row>
    <row r="4470" spans="1:14">
      <c r="A4470" t="s">
        <v>268</v>
      </c>
      <c r="B4470" t="str">
        <f>_xlfn.XLOOKUP(A4470,'[1]Tissue Data'!$A:$A,'[1]Tissue Data'!$C:$C)</f>
        <v>Spill</v>
      </c>
      <c r="C4470" s="2">
        <f>_xlfn.XLOOKUP(A4470,'[1]Tissue Data'!$A:$A,'[1]Tissue Data'!$D:$D)</f>
        <v>44393</v>
      </c>
      <c r="D4470" s="2" t="str">
        <f>_xlfn.XLOOKUP(A4470,'[1]Tissue Data'!$A:$A,'[1]Tissue Data'!$F:$F)</f>
        <v>Pumpkinseed</v>
      </c>
      <c r="E4470" t="str">
        <f>_xlfn.XLOOKUP(A4470,'[1]Tissue Data'!$A:$A,'[1]Tissue Data'!$H:$H)</f>
        <v>Lepomis</v>
      </c>
      <c r="F4470" t="str">
        <f>_xlfn.XLOOKUP(A4470,'[1]Tissue Data'!$A:$A,'[1]Tissue Data'!$I:$I)</f>
        <v>gibbosus</v>
      </c>
      <c r="G4470" t="str">
        <f>_xlfn.XLOOKUP(A4470,'[1]Tissue Data'!$A:$A,'[1]Tissue Data'!J:J)</f>
        <v>U</v>
      </c>
      <c r="H4470" t="str">
        <f>_xlfn.XLOOKUP(A4470,'[1]Tissue Data'!$A:$A,'[1]Tissue Data'!K:K)</f>
        <v>Whole Body</v>
      </c>
      <c r="I4470">
        <f>_xlfn.XLOOKUP(A4470,'[1]Tissue Data'!$A:$A,'[1]Tissue Data'!L:L)</f>
        <v>7.5</v>
      </c>
      <c r="J4470">
        <f>_xlfn.XLOOKUP(A4470,'[1]Tissue Data'!$A:$A,'[1]Tissue Data'!M:M)</f>
        <v>12.02</v>
      </c>
      <c r="K4470" t="s">
        <v>30</v>
      </c>
      <c r="L4470" t="str">
        <f>_xlfn.XLOOKUP(K4470,[2]analyte_order!$B:$B,[2]analyte_order!$C:$C)</f>
        <v>68259-12-1</v>
      </c>
      <c r="M4470">
        <f>_xlfn.XLOOKUP(L4470,[2]analyte_order!$C:$C,[2]analyte_order!$E:$E)</f>
        <v>19</v>
      </c>
      <c r="N4470">
        <v>0.64600000000000002</v>
      </c>
    </row>
    <row r="4471" spans="1:14">
      <c r="A4471" t="s">
        <v>268</v>
      </c>
      <c r="B4471" t="str">
        <f>_xlfn.XLOOKUP(A4471,'[1]Tissue Data'!$A:$A,'[1]Tissue Data'!$C:$C)</f>
        <v>Spill</v>
      </c>
      <c r="C4471" s="2">
        <f>_xlfn.XLOOKUP(A4471,'[1]Tissue Data'!$A:$A,'[1]Tissue Data'!$D:$D)</f>
        <v>44393</v>
      </c>
      <c r="D4471" s="2" t="str">
        <f>_xlfn.XLOOKUP(A4471,'[1]Tissue Data'!$A:$A,'[1]Tissue Data'!$F:$F)</f>
        <v>Pumpkinseed</v>
      </c>
      <c r="E4471" t="str">
        <f>_xlfn.XLOOKUP(A4471,'[1]Tissue Data'!$A:$A,'[1]Tissue Data'!$H:$H)</f>
        <v>Lepomis</v>
      </c>
      <c r="F4471" t="str">
        <f>_xlfn.XLOOKUP(A4471,'[1]Tissue Data'!$A:$A,'[1]Tissue Data'!$I:$I)</f>
        <v>gibbosus</v>
      </c>
      <c r="G4471" t="str">
        <f>_xlfn.XLOOKUP(A4471,'[1]Tissue Data'!$A:$A,'[1]Tissue Data'!J:J)</f>
        <v>U</v>
      </c>
      <c r="H4471" t="str">
        <f>_xlfn.XLOOKUP(A4471,'[1]Tissue Data'!$A:$A,'[1]Tissue Data'!K:K)</f>
        <v>Whole Body</v>
      </c>
      <c r="I4471">
        <f>_xlfn.XLOOKUP(A4471,'[1]Tissue Data'!$A:$A,'[1]Tissue Data'!L:L)</f>
        <v>7.5</v>
      </c>
      <c r="J4471">
        <f>_xlfn.XLOOKUP(A4471,'[1]Tissue Data'!$A:$A,'[1]Tissue Data'!M:M)</f>
        <v>12.02</v>
      </c>
      <c r="K4471" t="s">
        <v>31</v>
      </c>
      <c r="L4471" t="str">
        <f>_xlfn.XLOOKUP(K4471,[2]analyte_order!$B:$B,[2]analyte_order!$C:$C)</f>
        <v>335-77-3</v>
      </c>
      <c r="M4471">
        <f>_xlfn.XLOOKUP(L4471,[2]analyte_order!$C:$C,[2]analyte_order!$E:$E)</f>
        <v>20</v>
      </c>
      <c r="N4471">
        <v>0.75800000000000001</v>
      </c>
    </row>
    <row r="4472" spans="1:14">
      <c r="A4472" t="s">
        <v>268</v>
      </c>
      <c r="B4472" t="str">
        <f>_xlfn.XLOOKUP(A4472,'[1]Tissue Data'!$A:$A,'[1]Tissue Data'!$C:$C)</f>
        <v>Spill</v>
      </c>
      <c r="C4472" s="2">
        <f>_xlfn.XLOOKUP(A4472,'[1]Tissue Data'!$A:$A,'[1]Tissue Data'!$D:$D)</f>
        <v>44393</v>
      </c>
      <c r="D4472" s="2" t="str">
        <f>_xlfn.XLOOKUP(A4472,'[1]Tissue Data'!$A:$A,'[1]Tissue Data'!$F:$F)</f>
        <v>Pumpkinseed</v>
      </c>
      <c r="E4472" t="str">
        <f>_xlfn.XLOOKUP(A4472,'[1]Tissue Data'!$A:$A,'[1]Tissue Data'!$H:$H)</f>
        <v>Lepomis</v>
      </c>
      <c r="F4472" t="str">
        <f>_xlfn.XLOOKUP(A4472,'[1]Tissue Data'!$A:$A,'[1]Tissue Data'!$I:$I)</f>
        <v>gibbosus</v>
      </c>
      <c r="G4472" t="str">
        <f>_xlfn.XLOOKUP(A4472,'[1]Tissue Data'!$A:$A,'[1]Tissue Data'!J:J)</f>
        <v>U</v>
      </c>
      <c r="H4472" t="str">
        <f>_xlfn.XLOOKUP(A4472,'[1]Tissue Data'!$A:$A,'[1]Tissue Data'!K:K)</f>
        <v>Whole Body</v>
      </c>
      <c r="I4472">
        <f>_xlfn.XLOOKUP(A4472,'[1]Tissue Data'!$A:$A,'[1]Tissue Data'!L:L)</f>
        <v>7.5</v>
      </c>
      <c r="J4472">
        <f>_xlfn.XLOOKUP(A4472,'[1]Tissue Data'!$A:$A,'[1]Tissue Data'!M:M)</f>
        <v>12.02</v>
      </c>
      <c r="K4472" t="s">
        <v>32</v>
      </c>
      <c r="L4472" t="str">
        <f>_xlfn.XLOOKUP(K4472,[2]analyte_order!$B:$B,[2]analyte_order!$C:$C)</f>
        <v>79780-39-5</v>
      </c>
      <c r="M4472">
        <f>_xlfn.XLOOKUP(L4472,[2]analyte_order!$C:$C,[2]analyte_order!$E:$E)</f>
        <v>21</v>
      </c>
      <c r="N4472">
        <v>0.23449999999999999</v>
      </c>
    </row>
    <row r="4473" spans="1:14">
      <c r="A4473" t="s">
        <v>268</v>
      </c>
      <c r="B4473" t="str">
        <f>_xlfn.XLOOKUP(A4473,'[1]Tissue Data'!$A:$A,'[1]Tissue Data'!$C:$C)</f>
        <v>Spill</v>
      </c>
      <c r="C4473" s="2">
        <f>_xlfn.XLOOKUP(A4473,'[1]Tissue Data'!$A:$A,'[1]Tissue Data'!$D:$D)</f>
        <v>44393</v>
      </c>
      <c r="D4473" s="2" t="str">
        <f>_xlfn.XLOOKUP(A4473,'[1]Tissue Data'!$A:$A,'[1]Tissue Data'!$F:$F)</f>
        <v>Pumpkinseed</v>
      </c>
      <c r="E4473" t="str">
        <f>_xlfn.XLOOKUP(A4473,'[1]Tissue Data'!$A:$A,'[1]Tissue Data'!$H:$H)</f>
        <v>Lepomis</v>
      </c>
      <c r="F4473" t="str">
        <f>_xlfn.XLOOKUP(A4473,'[1]Tissue Data'!$A:$A,'[1]Tissue Data'!$I:$I)</f>
        <v>gibbosus</v>
      </c>
      <c r="G4473" t="str">
        <f>_xlfn.XLOOKUP(A4473,'[1]Tissue Data'!$A:$A,'[1]Tissue Data'!J:J)</f>
        <v>U</v>
      </c>
      <c r="H4473" t="str">
        <f>_xlfn.XLOOKUP(A4473,'[1]Tissue Data'!$A:$A,'[1]Tissue Data'!K:K)</f>
        <v>Whole Body</v>
      </c>
      <c r="I4473">
        <f>_xlfn.XLOOKUP(A4473,'[1]Tissue Data'!$A:$A,'[1]Tissue Data'!L:L)</f>
        <v>7.5</v>
      </c>
      <c r="J4473">
        <f>_xlfn.XLOOKUP(A4473,'[1]Tissue Data'!$A:$A,'[1]Tissue Data'!M:M)</f>
        <v>12.02</v>
      </c>
      <c r="K4473" t="s">
        <v>33</v>
      </c>
      <c r="L4473" t="str">
        <f>_xlfn.XLOOKUP(K4473,[2]analyte_order!$B:$B,[2]analyte_order!$C:$C)</f>
        <v>777011-38-8</v>
      </c>
      <c r="M4473">
        <f>_xlfn.XLOOKUP(L4473,[2]analyte_order!$C:$C,[2]analyte_order!$E:$E)</f>
        <v>54</v>
      </c>
      <c r="N4473">
        <v>0.13300000000000001</v>
      </c>
    </row>
    <row r="4474" spans="1:14">
      <c r="A4474" t="s">
        <v>268</v>
      </c>
      <c r="B4474" t="str">
        <f>_xlfn.XLOOKUP(A4474,'[1]Tissue Data'!$A:$A,'[1]Tissue Data'!$C:$C)</f>
        <v>Spill</v>
      </c>
      <c r="C4474" s="2">
        <f>_xlfn.XLOOKUP(A4474,'[1]Tissue Data'!$A:$A,'[1]Tissue Data'!$D:$D)</f>
        <v>44393</v>
      </c>
      <c r="D4474" s="2" t="str">
        <f>_xlfn.XLOOKUP(A4474,'[1]Tissue Data'!$A:$A,'[1]Tissue Data'!$F:$F)</f>
        <v>Pumpkinseed</v>
      </c>
      <c r="E4474" t="str">
        <f>_xlfn.XLOOKUP(A4474,'[1]Tissue Data'!$A:$A,'[1]Tissue Data'!$H:$H)</f>
        <v>Lepomis</v>
      </c>
      <c r="F4474" t="str">
        <f>_xlfn.XLOOKUP(A4474,'[1]Tissue Data'!$A:$A,'[1]Tissue Data'!$I:$I)</f>
        <v>gibbosus</v>
      </c>
      <c r="G4474" t="str">
        <f>_xlfn.XLOOKUP(A4474,'[1]Tissue Data'!$A:$A,'[1]Tissue Data'!J:J)</f>
        <v>U</v>
      </c>
      <c r="H4474" t="str">
        <f>_xlfn.XLOOKUP(A4474,'[1]Tissue Data'!$A:$A,'[1]Tissue Data'!K:K)</f>
        <v>Whole Body</v>
      </c>
      <c r="I4474">
        <f>_xlfn.XLOOKUP(A4474,'[1]Tissue Data'!$A:$A,'[1]Tissue Data'!L:L)</f>
        <v>7.5</v>
      </c>
      <c r="J4474">
        <f>_xlfn.XLOOKUP(A4474,'[1]Tissue Data'!$A:$A,'[1]Tissue Data'!M:M)</f>
        <v>12.02</v>
      </c>
      <c r="K4474" t="s">
        <v>34</v>
      </c>
      <c r="L4474" t="str">
        <f>_xlfn.XLOOKUP(K4474,[2]analyte_order!$B:$B,[2]analyte_order!$C:$C)</f>
        <v>646-83-3</v>
      </c>
      <c r="M4474">
        <f>_xlfn.XLOOKUP(L4474,[2]analyte_order!$C:$C,[2]analyte_order!$E:$E)</f>
        <v>55</v>
      </c>
      <c r="N4474">
        <v>8.7499999999999994E-2</v>
      </c>
    </row>
    <row r="4475" spans="1:14">
      <c r="A4475" t="s">
        <v>268</v>
      </c>
      <c r="B4475" t="str">
        <f>_xlfn.XLOOKUP(A4475,'[1]Tissue Data'!$A:$A,'[1]Tissue Data'!$C:$C)</f>
        <v>Spill</v>
      </c>
      <c r="C4475" s="2">
        <f>_xlfn.XLOOKUP(A4475,'[1]Tissue Data'!$A:$A,'[1]Tissue Data'!$D:$D)</f>
        <v>44393</v>
      </c>
      <c r="D4475" s="2" t="str">
        <f>_xlfn.XLOOKUP(A4475,'[1]Tissue Data'!$A:$A,'[1]Tissue Data'!$F:$F)</f>
        <v>Pumpkinseed</v>
      </c>
      <c r="E4475" t="str">
        <f>_xlfn.XLOOKUP(A4475,'[1]Tissue Data'!$A:$A,'[1]Tissue Data'!$H:$H)</f>
        <v>Lepomis</v>
      </c>
      <c r="F4475" t="str">
        <f>_xlfn.XLOOKUP(A4475,'[1]Tissue Data'!$A:$A,'[1]Tissue Data'!$I:$I)</f>
        <v>gibbosus</v>
      </c>
      <c r="G4475" t="str">
        <f>_xlfn.XLOOKUP(A4475,'[1]Tissue Data'!$A:$A,'[1]Tissue Data'!J:J)</f>
        <v>U</v>
      </c>
      <c r="H4475" t="str">
        <f>_xlfn.XLOOKUP(A4475,'[1]Tissue Data'!$A:$A,'[1]Tissue Data'!K:K)</f>
        <v>Whole Body</v>
      </c>
      <c r="I4475">
        <f>_xlfn.XLOOKUP(A4475,'[1]Tissue Data'!$A:$A,'[1]Tissue Data'!L:L)</f>
        <v>7.5</v>
      </c>
      <c r="J4475">
        <f>_xlfn.XLOOKUP(A4475,'[1]Tissue Data'!$A:$A,'[1]Tissue Data'!M:M)</f>
        <v>12.02</v>
      </c>
      <c r="K4475" t="s">
        <v>35</v>
      </c>
      <c r="L4475" t="str">
        <f>_xlfn.XLOOKUP(K4475,[2]analyte_order!$B:$B,[2]analyte_order!$C:$C)</f>
        <v>30334-69-1</v>
      </c>
      <c r="M4475">
        <f>_xlfn.XLOOKUP(L4475,[2]analyte_order!$C:$C,[2]analyte_order!$E:$E)</f>
        <v>51</v>
      </c>
      <c r="N4475">
        <v>28.5</v>
      </c>
    </row>
    <row r="4476" spans="1:14">
      <c r="A4476" t="s">
        <v>268</v>
      </c>
      <c r="B4476" t="str">
        <f>_xlfn.XLOOKUP(A4476,'[1]Tissue Data'!$A:$A,'[1]Tissue Data'!$C:$C)</f>
        <v>Spill</v>
      </c>
      <c r="C4476" s="2">
        <f>_xlfn.XLOOKUP(A4476,'[1]Tissue Data'!$A:$A,'[1]Tissue Data'!$D:$D)</f>
        <v>44393</v>
      </c>
      <c r="D4476" s="2" t="str">
        <f>_xlfn.XLOOKUP(A4476,'[1]Tissue Data'!$A:$A,'[1]Tissue Data'!$F:$F)</f>
        <v>Pumpkinseed</v>
      </c>
      <c r="E4476" t="str">
        <f>_xlfn.XLOOKUP(A4476,'[1]Tissue Data'!$A:$A,'[1]Tissue Data'!$H:$H)</f>
        <v>Lepomis</v>
      </c>
      <c r="F4476" t="str">
        <f>_xlfn.XLOOKUP(A4476,'[1]Tissue Data'!$A:$A,'[1]Tissue Data'!$I:$I)</f>
        <v>gibbosus</v>
      </c>
      <c r="G4476" t="str">
        <f>_xlfn.XLOOKUP(A4476,'[1]Tissue Data'!$A:$A,'[1]Tissue Data'!J:J)</f>
        <v>U</v>
      </c>
      <c r="H4476" t="str">
        <f>_xlfn.XLOOKUP(A4476,'[1]Tissue Data'!$A:$A,'[1]Tissue Data'!K:K)</f>
        <v>Whole Body</v>
      </c>
      <c r="I4476">
        <f>_xlfn.XLOOKUP(A4476,'[1]Tissue Data'!$A:$A,'[1]Tissue Data'!L:L)</f>
        <v>7.5</v>
      </c>
      <c r="J4476">
        <f>_xlfn.XLOOKUP(A4476,'[1]Tissue Data'!$A:$A,'[1]Tissue Data'!M:M)</f>
        <v>12.02</v>
      </c>
      <c r="K4476" t="s">
        <v>36</v>
      </c>
      <c r="L4476" t="str">
        <f>_xlfn.XLOOKUP(K4476,[2]analyte_order!$B:$B,[2]analyte_order!$C:$C)</f>
        <v>41997-13-1</v>
      </c>
      <c r="M4476">
        <f>_xlfn.XLOOKUP(L4476,[2]analyte_order!$C:$C,[2]analyte_order!$E:$E)</f>
        <v>52</v>
      </c>
      <c r="N4476">
        <v>78.900000000000006</v>
      </c>
    </row>
    <row r="4477" spans="1:14">
      <c r="A4477" t="s">
        <v>268</v>
      </c>
      <c r="B4477" t="str">
        <f>_xlfn.XLOOKUP(A4477,'[1]Tissue Data'!$A:$A,'[1]Tissue Data'!$C:$C)</f>
        <v>Spill</v>
      </c>
      <c r="C4477" s="2">
        <f>_xlfn.XLOOKUP(A4477,'[1]Tissue Data'!$A:$A,'[1]Tissue Data'!$D:$D)</f>
        <v>44393</v>
      </c>
      <c r="D4477" s="2" t="str">
        <f>_xlfn.XLOOKUP(A4477,'[1]Tissue Data'!$A:$A,'[1]Tissue Data'!$F:$F)</f>
        <v>Pumpkinseed</v>
      </c>
      <c r="E4477" t="str">
        <f>_xlfn.XLOOKUP(A4477,'[1]Tissue Data'!$A:$A,'[1]Tissue Data'!$H:$H)</f>
        <v>Lepomis</v>
      </c>
      <c r="F4477" t="str">
        <f>_xlfn.XLOOKUP(A4477,'[1]Tissue Data'!$A:$A,'[1]Tissue Data'!$I:$I)</f>
        <v>gibbosus</v>
      </c>
      <c r="G4477" t="str">
        <f>_xlfn.XLOOKUP(A4477,'[1]Tissue Data'!$A:$A,'[1]Tissue Data'!J:J)</f>
        <v>U</v>
      </c>
      <c r="H4477" t="str">
        <f>_xlfn.XLOOKUP(A4477,'[1]Tissue Data'!$A:$A,'[1]Tissue Data'!K:K)</f>
        <v>Whole Body</v>
      </c>
      <c r="I4477">
        <f>_xlfn.XLOOKUP(A4477,'[1]Tissue Data'!$A:$A,'[1]Tissue Data'!L:L)</f>
        <v>7.5</v>
      </c>
      <c r="J4477">
        <f>_xlfn.XLOOKUP(A4477,'[1]Tissue Data'!$A:$A,'[1]Tissue Data'!M:M)</f>
        <v>12.02</v>
      </c>
      <c r="K4477" t="s">
        <v>37</v>
      </c>
      <c r="L4477" t="str">
        <f>_xlfn.XLOOKUP(K4477,[2]analyte_order!$B:$B,[2]analyte_order!$C:$C)</f>
        <v>754-91-6</v>
      </c>
      <c r="M4477">
        <f>_xlfn.XLOOKUP(L4477,[2]analyte_order!$C:$C,[2]analyte_order!$E:$E)</f>
        <v>28</v>
      </c>
      <c r="N4477">
        <v>18.5</v>
      </c>
    </row>
    <row r="4478" spans="1:14">
      <c r="A4478" t="s">
        <v>268</v>
      </c>
      <c r="B4478" t="str">
        <f>_xlfn.XLOOKUP(A4478,'[1]Tissue Data'!$A:$A,'[1]Tissue Data'!$C:$C)</f>
        <v>Spill</v>
      </c>
      <c r="C4478" s="2">
        <f>_xlfn.XLOOKUP(A4478,'[1]Tissue Data'!$A:$A,'[1]Tissue Data'!$D:$D)</f>
        <v>44393</v>
      </c>
      <c r="D4478" s="2" t="str">
        <f>_xlfn.XLOOKUP(A4478,'[1]Tissue Data'!$A:$A,'[1]Tissue Data'!$F:$F)</f>
        <v>Pumpkinseed</v>
      </c>
      <c r="E4478" t="str">
        <f>_xlfn.XLOOKUP(A4478,'[1]Tissue Data'!$A:$A,'[1]Tissue Data'!$H:$H)</f>
        <v>Lepomis</v>
      </c>
      <c r="F4478" t="str">
        <f>_xlfn.XLOOKUP(A4478,'[1]Tissue Data'!$A:$A,'[1]Tissue Data'!$I:$I)</f>
        <v>gibbosus</v>
      </c>
      <c r="G4478" t="str">
        <f>_xlfn.XLOOKUP(A4478,'[1]Tissue Data'!$A:$A,'[1]Tissue Data'!J:J)</f>
        <v>U</v>
      </c>
      <c r="H4478" t="str">
        <f>_xlfn.XLOOKUP(A4478,'[1]Tissue Data'!$A:$A,'[1]Tissue Data'!K:K)</f>
        <v>Whole Body</v>
      </c>
      <c r="I4478">
        <f>_xlfn.XLOOKUP(A4478,'[1]Tissue Data'!$A:$A,'[1]Tissue Data'!L:L)</f>
        <v>7.5</v>
      </c>
      <c r="J4478">
        <f>_xlfn.XLOOKUP(A4478,'[1]Tissue Data'!$A:$A,'[1]Tissue Data'!M:M)</f>
        <v>12.02</v>
      </c>
      <c r="K4478" t="s">
        <v>38</v>
      </c>
      <c r="L4478" t="str">
        <f>_xlfn.XLOOKUP(K4478,[2]analyte_order!$B:$B,[2]analyte_order!$C:$C)</f>
        <v>31506-32-8</v>
      </c>
      <c r="M4478">
        <f>_xlfn.XLOOKUP(L4478,[2]analyte_order!$C:$C,[2]analyte_order!$E:$E)</f>
        <v>30</v>
      </c>
      <c r="N4478">
        <v>5.0999999999999997E-2</v>
      </c>
    </row>
    <row r="4479" spans="1:14">
      <c r="A4479" t="s">
        <v>268</v>
      </c>
      <c r="B4479" t="str">
        <f>_xlfn.XLOOKUP(A4479,'[1]Tissue Data'!$A:$A,'[1]Tissue Data'!$C:$C)</f>
        <v>Spill</v>
      </c>
      <c r="C4479" s="2">
        <f>_xlfn.XLOOKUP(A4479,'[1]Tissue Data'!$A:$A,'[1]Tissue Data'!$D:$D)</f>
        <v>44393</v>
      </c>
      <c r="D4479" s="2" t="str">
        <f>_xlfn.XLOOKUP(A4479,'[1]Tissue Data'!$A:$A,'[1]Tissue Data'!$F:$F)</f>
        <v>Pumpkinseed</v>
      </c>
      <c r="E4479" t="str">
        <f>_xlfn.XLOOKUP(A4479,'[1]Tissue Data'!$A:$A,'[1]Tissue Data'!$H:$H)</f>
        <v>Lepomis</v>
      </c>
      <c r="F4479" t="str">
        <f>_xlfn.XLOOKUP(A4479,'[1]Tissue Data'!$A:$A,'[1]Tissue Data'!$I:$I)</f>
        <v>gibbosus</v>
      </c>
      <c r="G4479" t="str">
        <f>_xlfn.XLOOKUP(A4479,'[1]Tissue Data'!$A:$A,'[1]Tissue Data'!J:J)</f>
        <v>U</v>
      </c>
      <c r="H4479" t="str">
        <f>_xlfn.XLOOKUP(A4479,'[1]Tissue Data'!$A:$A,'[1]Tissue Data'!K:K)</f>
        <v>Whole Body</v>
      </c>
      <c r="I4479">
        <f>_xlfn.XLOOKUP(A4479,'[1]Tissue Data'!$A:$A,'[1]Tissue Data'!L:L)</f>
        <v>7.5</v>
      </c>
      <c r="J4479">
        <f>_xlfn.XLOOKUP(A4479,'[1]Tissue Data'!$A:$A,'[1]Tissue Data'!M:M)</f>
        <v>12.02</v>
      </c>
      <c r="K4479" t="s">
        <v>39</v>
      </c>
      <c r="L4479" t="str">
        <f>_xlfn.XLOOKUP(K4479,[2]analyte_order!$B:$B,[2]analyte_order!$C:$C)</f>
        <v>4151-50-2</v>
      </c>
      <c r="M4479">
        <f>_xlfn.XLOOKUP(L4479,[2]analyte_order!$C:$C,[2]analyte_order!$E:$E)</f>
        <v>31</v>
      </c>
      <c r="N4479">
        <v>7.7499999999999999E-2</v>
      </c>
    </row>
    <row r="4480" spans="1:14">
      <c r="A4480" t="s">
        <v>268</v>
      </c>
      <c r="B4480" t="str">
        <f>_xlfn.XLOOKUP(A4480,'[1]Tissue Data'!$A:$A,'[1]Tissue Data'!$C:$C)</f>
        <v>Spill</v>
      </c>
      <c r="C4480" s="2">
        <f>_xlfn.XLOOKUP(A4480,'[1]Tissue Data'!$A:$A,'[1]Tissue Data'!$D:$D)</f>
        <v>44393</v>
      </c>
      <c r="D4480" s="2" t="str">
        <f>_xlfn.XLOOKUP(A4480,'[1]Tissue Data'!$A:$A,'[1]Tissue Data'!$F:$F)</f>
        <v>Pumpkinseed</v>
      </c>
      <c r="E4480" t="str">
        <f>_xlfn.XLOOKUP(A4480,'[1]Tissue Data'!$A:$A,'[1]Tissue Data'!$H:$H)</f>
        <v>Lepomis</v>
      </c>
      <c r="F4480" t="str">
        <f>_xlfn.XLOOKUP(A4480,'[1]Tissue Data'!$A:$A,'[1]Tissue Data'!$I:$I)</f>
        <v>gibbosus</v>
      </c>
      <c r="G4480" t="str">
        <f>_xlfn.XLOOKUP(A4480,'[1]Tissue Data'!$A:$A,'[1]Tissue Data'!J:J)</f>
        <v>U</v>
      </c>
      <c r="H4480" t="str">
        <f>_xlfn.XLOOKUP(A4480,'[1]Tissue Data'!$A:$A,'[1]Tissue Data'!K:K)</f>
        <v>Whole Body</v>
      </c>
      <c r="I4480">
        <f>_xlfn.XLOOKUP(A4480,'[1]Tissue Data'!$A:$A,'[1]Tissue Data'!L:L)</f>
        <v>7.5</v>
      </c>
      <c r="J4480">
        <f>_xlfn.XLOOKUP(A4480,'[1]Tissue Data'!$A:$A,'[1]Tissue Data'!M:M)</f>
        <v>12.02</v>
      </c>
      <c r="K4480" t="s">
        <v>40</v>
      </c>
      <c r="L4480" t="str">
        <f>_xlfn.XLOOKUP(K4480,[2]analyte_order!$B:$B,[2]analyte_order!$C:$C)</f>
        <v>2806-24-8</v>
      </c>
      <c r="M4480">
        <f>_xlfn.XLOOKUP(L4480,[2]analyte_order!$C:$C,[2]analyte_order!$E:$E)</f>
        <v>29</v>
      </c>
      <c r="N4480">
        <v>5.2499999999999998E-2</v>
      </c>
    </row>
    <row r="4481" spans="1:14">
      <c r="A4481" t="s">
        <v>268</v>
      </c>
      <c r="B4481" t="str">
        <f>_xlfn.XLOOKUP(A4481,'[1]Tissue Data'!$A:$A,'[1]Tissue Data'!$C:$C)</f>
        <v>Spill</v>
      </c>
      <c r="C4481" s="2">
        <f>_xlfn.XLOOKUP(A4481,'[1]Tissue Data'!$A:$A,'[1]Tissue Data'!$D:$D)</f>
        <v>44393</v>
      </c>
      <c r="D4481" s="2" t="str">
        <f>_xlfn.XLOOKUP(A4481,'[1]Tissue Data'!$A:$A,'[1]Tissue Data'!$F:$F)</f>
        <v>Pumpkinseed</v>
      </c>
      <c r="E4481" t="str">
        <f>_xlfn.XLOOKUP(A4481,'[1]Tissue Data'!$A:$A,'[1]Tissue Data'!$H:$H)</f>
        <v>Lepomis</v>
      </c>
      <c r="F4481" t="str">
        <f>_xlfn.XLOOKUP(A4481,'[1]Tissue Data'!$A:$A,'[1]Tissue Data'!$I:$I)</f>
        <v>gibbosus</v>
      </c>
      <c r="G4481" t="str">
        <f>_xlfn.XLOOKUP(A4481,'[1]Tissue Data'!$A:$A,'[1]Tissue Data'!J:J)</f>
        <v>U</v>
      </c>
      <c r="H4481" t="str">
        <f>_xlfn.XLOOKUP(A4481,'[1]Tissue Data'!$A:$A,'[1]Tissue Data'!K:K)</f>
        <v>Whole Body</v>
      </c>
      <c r="I4481">
        <f>_xlfn.XLOOKUP(A4481,'[1]Tissue Data'!$A:$A,'[1]Tissue Data'!L:L)</f>
        <v>7.5</v>
      </c>
      <c r="J4481">
        <f>_xlfn.XLOOKUP(A4481,'[1]Tissue Data'!$A:$A,'[1]Tissue Data'!M:M)</f>
        <v>12.02</v>
      </c>
      <c r="K4481" t="s">
        <v>41</v>
      </c>
      <c r="L4481" t="str">
        <f>_xlfn.XLOOKUP(K4481,[2]analyte_order!$B:$B,[2]analyte_order!$C:$C)</f>
        <v>2355-31-9</v>
      </c>
      <c r="M4481">
        <f>_xlfn.XLOOKUP(L4481,[2]analyte_order!$C:$C,[2]analyte_order!$E:$E)</f>
        <v>26</v>
      </c>
      <c r="N4481">
        <v>0.46</v>
      </c>
    </row>
    <row r="4482" spans="1:14">
      <c r="A4482" t="s">
        <v>268</v>
      </c>
      <c r="B4482" t="str">
        <f>_xlfn.XLOOKUP(A4482,'[1]Tissue Data'!$A:$A,'[1]Tissue Data'!$C:$C)</f>
        <v>Spill</v>
      </c>
      <c r="C4482" s="2">
        <f>_xlfn.XLOOKUP(A4482,'[1]Tissue Data'!$A:$A,'[1]Tissue Data'!$D:$D)</f>
        <v>44393</v>
      </c>
      <c r="D4482" s="2" t="str">
        <f>_xlfn.XLOOKUP(A4482,'[1]Tissue Data'!$A:$A,'[1]Tissue Data'!$F:$F)</f>
        <v>Pumpkinseed</v>
      </c>
      <c r="E4482" t="str">
        <f>_xlfn.XLOOKUP(A4482,'[1]Tissue Data'!$A:$A,'[1]Tissue Data'!$H:$H)</f>
        <v>Lepomis</v>
      </c>
      <c r="F4482" t="str">
        <f>_xlfn.XLOOKUP(A4482,'[1]Tissue Data'!$A:$A,'[1]Tissue Data'!$I:$I)</f>
        <v>gibbosus</v>
      </c>
      <c r="G4482" t="str">
        <f>_xlfn.XLOOKUP(A4482,'[1]Tissue Data'!$A:$A,'[1]Tissue Data'!J:J)</f>
        <v>U</v>
      </c>
      <c r="H4482" t="str">
        <f>_xlfn.XLOOKUP(A4482,'[1]Tissue Data'!$A:$A,'[1]Tissue Data'!K:K)</f>
        <v>Whole Body</v>
      </c>
      <c r="I4482">
        <f>_xlfn.XLOOKUP(A4482,'[1]Tissue Data'!$A:$A,'[1]Tissue Data'!L:L)</f>
        <v>7.5</v>
      </c>
      <c r="J4482">
        <f>_xlfn.XLOOKUP(A4482,'[1]Tissue Data'!$A:$A,'[1]Tissue Data'!M:M)</f>
        <v>12.02</v>
      </c>
      <c r="K4482" t="s">
        <v>42</v>
      </c>
      <c r="L4482" t="str">
        <f>_xlfn.XLOOKUP(K4482,[2]analyte_order!$B:$B,[2]analyte_order!$C:$C)</f>
        <v>2991-50-6</v>
      </c>
      <c r="M4482">
        <f>_xlfn.XLOOKUP(L4482,[2]analyte_order!$C:$C,[2]analyte_order!$E:$E)</f>
        <v>27</v>
      </c>
      <c r="N4482">
        <v>5.7500000000000002E-2</v>
      </c>
    </row>
    <row r="4483" spans="1:14">
      <c r="A4483" t="s">
        <v>268</v>
      </c>
      <c r="B4483" t="str">
        <f>_xlfn.XLOOKUP(A4483,'[1]Tissue Data'!$A:$A,'[1]Tissue Data'!$C:$C)</f>
        <v>Spill</v>
      </c>
      <c r="C4483" s="2">
        <f>_xlfn.XLOOKUP(A4483,'[1]Tissue Data'!$A:$A,'[1]Tissue Data'!$D:$D)</f>
        <v>44393</v>
      </c>
      <c r="D4483" s="2" t="str">
        <f>_xlfn.XLOOKUP(A4483,'[1]Tissue Data'!$A:$A,'[1]Tissue Data'!$F:$F)</f>
        <v>Pumpkinseed</v>
      </c>
      <c r="E4483" t="str">
        <f>_xlfn.XLOOKUP(A4483,'[1]Tissue Data'!$A:$A,'[1]Tissue Data'!$H:$H)</f>
        <v>Lepomis</v>
      </c>
      <c r="F4483" t="str">
        <f>_xlfn.XLOOKUP(A4483,'[1]Tissue Data'!$A:$A,'[1]Tissue Data'!$I:$I)</f>
        <v>gibbosus</v>
      </c>
      <c r="G4483" t="str">
        <f>_xlfn.XLOOKUP(A4483,'[1]Tissue Data'!$A:$A,'[1]Tissue Data'!J:J)</f>
        <v>U</v>
      </c>
      <c r="H4483" t="str">
        <f>_xlfn.XLOOKUP(A4483,'[1]Tissue Data'!$A:$A,'[1]Tissue Data'!K:K)</f>
        <v>Whole Body</v>
      </c>
      <c r="I4483">
        <f>_xlfn.XLOOKUP(A4483,'[1]Tissue Data'!$A:$A,'[1]Tissue Data'!L:L)</f>
        <v>7.5</v>
      </c>
      <c r="J4483">
        <f>_xlfn.XLOOKUP(A4483,'[1]Tissue Data'!$A:$A,'[1]Tissue Data'!M:M)</f>
        <v>12.02</v>
      </c>
      <c r="K4483" t="s">
        <v>43</v>
      </c>
      <c r="L4483" t="str">
        <f>_xlfn.XLOOKUP(K4483,[2]analyte_order!$B:$B,[2]analyte_order!$C:$C)</f>
        <v>757124-72-4</v>
      </c>
      <c r="M4483">
        <f>_xlfn.XLOOKUP(L4483,[2]analyte_order!$C:$C,[2]analyte_order!$E:$E)</f>
        <v>22</v>
      </c>
      <c r="N4483">
        <v>5.45E-2</v>
      </c>
    </row>
    <row r="4484" spans="1:14">
      <c r="A4484" t="s">
        <v>268</v>
      </c>
      <c r="B4484" t="str">
        <f>_xlfn.XLOOKUP(A4484,'[1]Tissue Data'!$A:$A,'[1]Tissue Data'!$C:$C)</f>
        <v>Spill</v>
      </c>
      <c r="C4484" s="2">
        <f>_xlfn.XLOOKUP(A4484,'[1]Tissue Data'!$A:$A,'[1]Tissue Data'!$D:$D)</f>
        <v>44393</v>
      </c>
      <c r="D4484" s="2" t="str">
        <f>_xlfn.XLOOKUP(A4484,'[1]Tissue Data'!$A:$A,'[1]Tissue Data'!$F:$F)</f>
        <v>Pumpkinseed</v>
      </c>
      <c r="E4484" t="str">
        <f>_xlfn.XLOOKUP(A4484,'[1]Tissue Data'!$A:$A,'[1]Tissue Data'!$H:$H)</f>
        <v>Lepomis</v>
      </c>
      <c r="F4484" t="str">
        <f>_xlfn.XLOOKUP(A4484,'[1]Tissue Data'!$A:$A,'[1]Tissue Data'!$I:$I)</f>
        <v>gibbosus</v>
      </c>
      <c r="G4484" t="str">
        <f>_xlfn.XLOOKUP(A4484,'[1]Tissue Data'!$A:$A,'[1]Tissue Data'!J:J)</f>
        <v>U</v>
      </c>
      <c r="H4484" t="str">
        <f>_xlfn.XLOOKUP(A4484,'[1]Tissue Data'!$A:$A,'[1]Tissue Data'!K:K)</f>
        <v>Whole Body</v>
      </c>
      <c r="I4484">
        <f>_xlfn.XLOOKUP(A4484,'[1]Tissue Data'!$A:$A,'[1]Tissue Data'!L:L)</f>
        <v>7.5</v>
      </c>
      <c r="J4484">
        <f>_xlfn.XLOOKUP(A4484,'[1]Tissue Data'!$A:$A,'[1]Tissue Data'!M:M)</f>
        <v>12.02</v>
      </c>
      <c r="K4484" t="s">
        <v>44</v>
      </c>
      <c r="L4484" t="str">
        <f>_xlfn.XLOOKUP(K4484,[2]analyte_order!$B:$B,[2]analyte_order!$C:$C)</f>
        <v>27619-97-2</v>
      </c>
      <c r="M4484">
        <f>_xlfn.XLOOKUP(L4484,[2]analyte_order!$C:$C,[2]analyte_order!$E:$E)</f>
        <v>23</v>
      </c>
      <c r="N4484">
        <v>0.68500000000000005</v>
      </c>
    </row>
    <row r="4485" spans="1:14">
      <c r="A4485" t="s">
        <v>268</v>
      </c>
      <c r="B4485" t="str">
        <f>_xlfn.XLOOKUP(A4485,'[1]Tissue Data'!$A:$A,'[1]Tissue Data'!$C:$C)</f>
        <v>Spill</v>
      </c>
      <c r="C4485" s="2">
        <f>_xlfn.XLOOKUP(A4485,'[1]Tissue Data'!$A:$A,'[1]Tissue Data'!$D:$D)</f>
        <v>44393</v>
      </c>
      <c r="D4485" s="2" t="str">
        <f>_xlfn.XLOOKUP(A4485,'[1]Tissue Data'!$A:$A,'[1]Tissue Data'!$F:$F)</f>
        <v>Pumpkinseed</v>
      </c>
      <c r="E4485" t="str">
        <f>_xlfn.XLOOKUP(A4485,'[1]Tissue Data'!$A:$A,'[1]Tissue Data'!$H:$H)</f>
        <v>Lepomis</v>
      </c>
      <c r="F4485" t="str">
        <f>_xlfn.XLOOKUP(A4485,'[1]Tissue Data'!$A:$A,'[1]Tissue Data'!$I:$I)</f>
        <v>gibbosus</v>
      </c>
      <c r="G4485" t="str">
        <f>_xlfn.XLOOKUP(A4485,'[1]Tissue Data'!$A:$A,'[1]Tissue Data'!J:J)</f>
        <v>U</v>
      </c>
      <c r="H4485" t="str">
        <f>_xlfn.XLOOKUP(A4485,'[1]Tissue Data'!$A:$A,'[1]Tissue Data'!K:K)</f>
        <v>Whole Body</v>
      </c>
      <c r="I4485">
        <f>_xlfn.XLOOKUP(A4485,'[1]Tissue Data'!$A:$A,'[1]Tissue Data'!L:L)</f>
        <v>7.5</v>
      </c>
      <c r="J4485">
        <f>_xlfn.XLOOKUP(A4485,'[1]Tissue Data'!$A:$A,'[1]Tissue Data'!M:M)</f>
        <v>12.02</v>
      </c>
      <c r="K4485" t="s">
        <v>45</v>
      </c>
      <c r="L4485" t="str">
        <f>_xlfn.XLOOKUP(K4485,[2]analyte_order!$B:$B,[2]analyte_order!$C:$C)</f>
        <v>39108-34-4</v>
      </c>
      <c r="M4485">
        <f>_xlfn.XLOOKUP(L4485,[2]analyte_order!$C:$C,[2]analyte_order!$E:$E)</f>
        <v>24</v>
      </c>
      <c r="N4485">
        <v>5.15</v>
      </c>
    </row>
    <row r="4486" spans="1:14">
      <c r="A4486" t="s">
        <v>268</v>
      </c>
      <c r="B4486" t="str">
        <f>_xlfn.XLOOKUP(A4486,'[1]Tissue Data'!$A:$A,'[1]Tissue Data'!$C:$C)</f>
        <v>Spill</v>
      </c>
      <c r="C4486" s="2">
        <f>_xlfn.XLOOKUP(A4486,'[1]Tissue Data'!$A:$A,'[1]Tissue Data'!$D:$D)</f>
        <v>44393</v>
      </c>
      <c r="D4486" s="2" t="str">
        <f>_xlfn.XLOOKUP(A4486,'[1]Tissue Data'!$A:$A,'[1]Tissue Data'!$F:$F)</f>
        <v>Pumpkinseed</v>
      </c>
      <c r="E4486" t="str">
        <f>_xlfn.XLOOKUP(A4486,'[1]Tissue Data'!$A:$A,'[1]Tissue Data'!$H:$H)</f>
        <v>Lepomis</v>
      </c>
      <c r="F4486" t="str">
        <f>_xlfn.XLOOKUP(A4486,'[1]Tissue Data'!$A:$A,'[1]Tissue Data'!$I:$I)</f>
        <v>gibbosus</v>
      </c>
      <c r="G4486" t="str">
        <f>_xlfn.XLOOKUP(A4486,'[1]Tissue Data'!$A:$A,'[1]Tissue Data'!J:J)</f>
        <v>U</v>
      </c>
      <c r="H4486" t="str">
        <f>_xlfn.XLOOKUP(A4486,'[1]Tissue Data'!$A:$A,'[1]Tissue Data'!K:K)</f>
        <v>Whole Body</v>
      </c>
      <c r="I4486">
        <f>_xlfn.XLOOKUP(A4486,'[1]Tissue Data'!$A:$A,'[1]Tissue Data'!L:L)</f>
        <v>7.5</v>
      </c>
      <c r="J4486">
        <f>_xlfn.XLOOKUP(A4486,'[1]Tissue Data'!$A:$A,'[1]Tissue Data'!M:M)</f>
        <v>12.02</v>
      </c>
      <c r="K4486" t="s">
        <v>46</v>
      </c>
      <c r="L4486" t="str">
        <f>_xlfn.XLOOKUP(K4486,[2]analyte_order!$B:$B,[2]analyte_order!$C:$C)</f>
        <v>120226-60-0</v>
      </c>
      <c r="M4486">
        <f>_xlfn.XLOOKUP(L4486,[2]analyte_order!$C:$C,[2]analyte_order!$E:$E)</f>
        <v>25</v>
      </c>
      <c r="N4486">
        <v>0.249</v>
      </c>
    </row>
    <row r="4487" spans="1:14">
      <c r="A4487" t="s">
        <v>268</v>
      </c>
      <c r="B4487" t="str">
        <f>_xlfn.XLOOKUP(A4487,'[1]Tissue Data'!$A:$A,'[1]Tissue Data'!$C:$C)</f>
        <v>Spill</v>
      </c>
      <c r="C4487" s="2">
        <f>_xlfn.XLOOKUP(A4487,'[1]Tissue Data'!$A:$A,'[1]Tissue Data'!$D:$D)</f>
        <v>44393</v>
      </c>
      <c r="D4487" s="2" t="str">
        <f>_xlfn.XLOOKUP(A4487,'[1]Tissue Data'!$A:$A,'[1]Tissue Data'!$F:$F)</f>
        <v>Pumpkinseed</v>
      </c>
      <c r="E4487" t="str">
        <f>_xlfn.XLOOKUP(A4487,'[1]Tissue Data'!$A:$A,'[1]Tissue Data'!$H:$H)</f>
        <v>Lepomis</v>
      </c>
      <c r="F4487" t="str">
        <f>_xlfn.XLOOKUP(A4487,'[1]Tissue Data'!$A:$A,'[1]Tissue Data'!$I:$I)</f>
        <v>gibbosus</v>
      </c>
      <c r="G4487" t="str">
        <f>_xlfn.XLOOKUP(A4487,'[1]Tissue Data'!$A:$A,'[1]Tissue Data'!J:J)</f>
        <v>U</v>
      </c>
      <c r="H4487" t="str">
        <f>_xlfn.XLOOKUP(A4487,'[1]Tissue Data'!$A:$A,'[1]Tissue Data'!K:K)</f>
        <v>Whole Body</v>
      </c>
      <c r="I4487">
        <f>_xlfn.XLOOKUP(A4487,'[1]Tissue Data'!$A:$A,'[1]Tissue Data'!L:L)</f>
        <v>7.5</v>
      </c>
      <c r="J4487">
        <f>_xlfn.XLOOKUP(A4487,'[1]Tissue Data'!$A:$A,'[1]Tissue Data'!M:M)</f>
        <v>12.02</v>
      </c>
      <c r="K4487" t="s">
        <v>47</v>
      </c>
      <c r="L4487" t="str">
        <f>_xlfn.XLOOKUP(K4487,[2]analyte_order!$B:$B,[2]analyte_order!$C:$C)</f>
        <v>356-02-5</v>
      </c>
      <c r="M4487">
        <f>_xlfn.XLOOKUP(L4487,[2]analyte_order!$C:$C,[2]analyte_order!$E:$E)</f>
        <v>38</v>
      </c>
      <c r="N4487">
        <v>7.6499999999999999E-2</v>
      </c>
    </row>
    <row r="4488" spans="1:14">
      <c r="A4488" t="s">
        <v>268</v>
      </c>
      <c r="B4488" t="str">
        <f>_xlfn.XLOOKUP(A4488,'[1]Tissue Data'!$A:$A,'[1]Tissue Data'!$C:$C)</f>
        <v>Spill</v>
      </c>
      <c r="C4488" s="2">
        <f>_xlfn.XLOOKUP(A4488,'[1]Tissue Data'!$A:$A,'[1]Tissue Data'!$D:$D)</f>
        <v>44393</v>
      </c>
      <c r="D4488" s="2" t="str">
        <f>_xlfn.XLOOKUP(A4488,'[1]Tissue Data'!$A:$A,'[1]Tissue Data'!$F:$F)</f>
        <v>Pumpkinseed</v>
      </c>
      <c r="E4488" t="str">
        <f>_xlfn.XLOOKUP(A4488,'[1]Tissue Data'!$A:$A,'[1]Tissue Data'!$H:$H)</f>
        <v>Lepomis</v>
      </c>
      <c r="F4488" t="str">
        <f>_xlfn.XLOOKUP(A4488,'[1]Tissue Data'!$A:$A,'[1]Tissue Data'!$I:$I)</f>
        <v>gibbosus</v>
      </c>
      <c r="G4488" t="str">
        <f>_xlfn.XLOOKUP(A4488,'[1]Tissue Data'!$A:$A,'[1]Tissue Data'!J:J)</f>
        <v>U</v>
      </c>
      <c r="H4488" t="str">
        <f>_xlfn.XLOOKUP(A4488,'[1]Tissue Data'!$A:$A,'[1]Tissue Data'!K:K)</f>
        <v>Whole Body</v>
      </c>
      <c r="I4488">
        <f>_xlfn.XLOOKUP(A4488,'[1]Tissue Data'!$A:$A,'[1]Tissue Data'!L:L)</f>
        <v>7.5</v>
      </c>
      <c r="J4488">
        <f>_xlfn.XLOOKUP(A4488,'[1]Tissue Data'!$A:$A,'[1]Tissue Data'!M:M)</f>
        <v>12.02</v>
      </c>
      <c r="K4488" t="s">
        <v>48</v>
      </c>
      <c r="L4488" t="str">
        <f>_xlfn.XLOOKUP(K4488,[2]analyte_order!$B:$B,[2]analyte_order!$C:$C)</f>
        <v>914637-49-3</v>
      </c>
      <c r="M4488">
        <f>_xlfn.XLOOKUP(L4488,[2]analyte_order!$C:$C,[2]analyte_order!$E:$E)</f>
        <v>39</v>
      </c>
      <c r="N4488">
        <v>0.219</v>
      </c>
    </row>
    <row r="4489" spans="1:14">
      <c r="A4489" t="s">
        <v>268</v>
      </c>
      <c r="B4489" t="str">
        <f>_xlfn.XLOOKUP(A4489,'[1]Tissue Data'!$A:$A,'[1]Tissue Data'!$C:$C)</f>
        <v>Spill</v>
      </c>
      <c r="C4489" s="2">
        <f>_xlfn.XLOOKUP(A4489,'[1]Tissue Data'!$A:$A,'[1]Tissue Data'!$D:$D)</f>
        <v>44393</v>
      </c>
      <c r="D4489" s="2" t="str">
        <f>_xlfn.XLOOKUP(A4489,'[1]Tissue Data'!$A:$A,'[1]Tissue Data'!$F:$F)</f>
        <v>Pumpkinseed</v>
      </c>
      <c r="E4489" t="str">
        <f>_xlfn.XLOOKUP(A4489,'[1]Tissue Data'!$A:$A,'[1]Tissue Data'!$H:$H)</f>
        <v>Lepomis</v>
      </c>
      <c r="F4489" t="str">
        <f>_xlfn.XLOOKUP(A4489,'[1]Tissue Data'!$A:$A,'[1]Tissue Data'!$I:$I)</f>
        <v>gibbosus</v>
      </c>
      <c r="G4489" t="str">
        <f>_xlfn.XLOOKUP(A4489,'[1]Tissue Data'!$A:$A,'[1]Tissue Data'!J:J)</f>
        <v>U</v>
      </c>
      <c r="H4489" t="str">
        <f>_xlfn.XLOOKUP(A4489,'[1]Tissue Data'!$A:$A,'[1]Tissue Data'!K:K)</f>
        <v>Whole Body</v>
      </c>
      <c r="I4489">
        <f>_xlfn.XLOOKUP(A4489,'[1]Tissue Data'!$A:$A,'[1]Tissue Data'!L:L)</f>
        <v>7.5</v>
      </c>
      <c r="J4489">
        <f>_xlfn.XLOOKUP(A4489,'[1]Tissue Data'!$A:$A,'[1]Tissue Data'!M:M)</f>
        <v>12.02</v>
      </c>
      <c r="K4489" t="s">
        <v>49</v>
      </c>
      <c r="L4489" t="str">
        <f>_xlfn.XLOOKUP(K4489,[2]analyte_order!$B:$B,[2]analyte_order!$C:$C)</f>
        <v>812-70-4</v>
      </c>
      <c r="M4489">
        <f>_xlfn.XLOOKUP(L4489,[2]analyte_order!$C:$C,[2]analyte_order!$E:$E)</f>
        <v>40</v>
      </c>
      <c r="N4489">
        <v>4.1900000000000004</v>
      </c>
    </row>
    <row r="4490" spans="1:14">
      <c r="A4490" t="s">
        <v>268</v>
      </c>
      <c r="B4490" t="str">
        <f>_xlfn.XLOOKUP(A4490,'[1]Tissue Data'!$A:$A,'[1]Tissue Data'!$C:$C)</f>
        <v>Spill</v>
      </c>
      <c r="C4490" s="2">
        <f>_xlfn.XLOOKUP(A4490,'[1]Tissue Data'!$A:$A,'[1]Tissue Data'!$D:$D)</f>
        <v>44393</v>
      </c>
      <c r="D4490" s="2" t="str">
        <f>_xlfn.XLOOKUP(A4490,'[1]Tissue Data'!$A:$A,'[1]Tissue Data'!$F:$F)</f>
        <v>Pumpkinseed</v>
      </c>
      <c r="E4490" t="str">
        <f>_xlfn.XLOOKUP(A4490,'[1]Tissue Data'!$A:$A,'[1]Tissue Data'!$H:$H)</f>
        <v>Lepomis</v>
      </c>
      <c r="F4490" t="str">
        <f>_xlfn.XLOOKUP(A4490,'[1]Tissue Data'!$A:$A,'[1]Tissue Data'!$I:$I)</f>
        <v>gibbosus</v>
      </c>
      <c r="G4490" t="str">
        <f>_xlfn.XLOOKUP(A4490,'[1]Tissue Data'!$A:$A,'[1]Tissue Data'!J:J)</f>
        <v>U</v>
      </c>
      <c r="H4490" t="str">
        <f>_xlfn.XLOOKUP(A4490,'[1]Tissue Data'!$A:$A,'[1]Tissue Data'!K:K)</f>
        <v>Whole Body</v>
      </c>
      <c r="I4490">
        <f>_xlfn.XLOOKUP(A4490,'[1]Tissue Data'!$A:$A,'[1]Tissue Data'!L:L)</f>
        <v>7.5</v>
      </c>
      <c r="J4490">
        <f>_xlfn.XLOOKUP(A4490,'[1]Tissue Data'!$A:$A,'[1]Tissue Data'!M:M)</f>
        <v>12.02</v>
      </c>
      <c r="K4490" t="s">
        <v>50</v>
      </c>
      <c r="L4490" t="str">
        <f>_xlfn.XLOOKUP(K4490,[2]analyte_order!$B:$B,[2]analyte_order!$C:$C)</f>
        <v>53826-12-3</v>
      </c>
      <c r="M4490">
        <f>_xlfn.XLOOKUP(L4490,[2]analyte_order!$C:$C,[2]analyte_order!$E:$E)</f>
        <v>41</v>
      </c>
      <c r="N4490">
        <v>0.219</v>
      </c>
    </row>
    <row r="4491" spans="1:14">
      <c r="A4491" t="s">
        <v>268</v>
      </c>
      <c r="B4491" t="str">
        <f>_xlfn.XLOOKUP(A4491,'[1]Tissue Data'!$A:$A,'[1]Tissue Data'!$C:$C)</f>
        <v>Spill</v>
      </c>
      <c r="C4491" s="2">
        <f>_xlfn.XLOOKUP(A4491,'[1]Tissue Data'!$A:$A,'[1]Tissue Data'!$D:$D)</f>
        <v>44393</v>
      </c>
      <c r="D4491" s="2" t="str">
        <f>_xlfn.XLOOKUP(A4491,'[1]Tissue Data'!$A:$A,'[1]Tissue Data'!$F:$F)</f>
        <v>Pumpkinseed</v>
      </c>
      <c r="E4491" t="str">
        <f>_xlfn.XLOOKUP(A4491,'[1]Tissue Data'!$A:$A,'[1]Tissue Data'!$H:$H)</f>
        <v>Lepomis</v>
      </c>
      <c r="F4491" t="str">
        <f>_xlfn.XLOOKUP(A4491,'[1]Tissue Data'!$A:$A,'[1]Tissue Data'!$I:$I)</f>
        <v>gibbosus</v>
      </c>
      <c r="G4491" t="str">
        <f>_xlfn.XLOOKUP(A4491,'[1]Tissue Data'!$A:$A,'[1]Tissue Data'!J:J)</f>
        <v>U</v>
      </c>
      <c r="H4491" t="str">
        <f>_xlfn.XLOOKUP(A4491,'[1]Tissue Data'!$A:$A,'[1]Tissue Data'!K:K)</f>
        <v>Whole Body</v>
      </c>
      <c r="I4491">
        <f>_xlfn.XLOOKUP(A4491,'[1]Tissue Data'!$A:$A,'[1]Tissue Data'!L:L)</f>
        <v>7.5</v>
      </c>
      <c r="J4491">
        <f>_xlfn.XLOOKUP(A4491,'[1]Tissue Data'!$A:$A,'[1]Tissue Data'!M:M)</f>
        <v>12.02</v>
      </c>
      <c r="K4491" t="s">
        <v>51</v>
      </c>
      <c r="L4491" t="str">
        <f>_xlfn.XLOOKUP(K4491,[2]analyte_order!$B:$B,[2]analyte_order!$C:$C)</f>
        <v>27854-31-5</v>
      </c>
      <c r="M4491">
        <f>_xlfn.XLOOKUP(L4491,[2]analyte_order!$C:$C,[2]analyte_order!$E:$E)</f>
        <v>42</v>
      </c>
      <c r="N4491">
        <v>6.6500000000000004E-2</v>
      </c>
    </row>
    <row r="4492" spans="1:14">
      <c r="A4492" t="s">
        <v>268</v>
      </c>
      <c r="B4492" t="str">
        <f>_xlfn.XLOOKUP(A4492,'[1]Tissue Data'!$A:$A,'[1]Tissue Data'!$C:$C)</f>
        <v>Spill</v>
      </c>
      <c r="C4492" s="2">
        <f>_xlfn.XLOOKUP(A4492,'[1]Tissue Data'!$A:$A,'[1]Tissue Data'!$D:$D)</f>
        <v>44393</v>
      </c>
      <c r="D4492" s="2" t="str">
        <f>_xlfn.XLOOKUP(A4492,'[1]Tissue Data'!$A:$A,'[1]Tissue Data'!$F:$F)</f>
        <v>Pumpkinseed</v>
      </c>
      <c r="E4492" t="str">
        <f>_xlfn.XLOOKUP(A4492,'[1]Tissue Data'!$A:$A,'[1]Tissue Data'!$H:$H)</f>
        <v>Lepomis</v>
      </c>
      <c r="F4492" t="str">
        <f>_xlfn.XLOOKUP(A4492,'[1]Tissue Data'!$A:$A,'[1]Tissue Data'!$I:$I)</f>
        <v>gibbosus</v>
      </c>
      <c r="G4492" t="str">
        <f>_xlfn.XLOOKUP(A4492,'[1]Tissue Data'!$A:$A,'[1]Tissue Data'!J:J)</f>
        <v>U</v>
      </c>
      <c r="H4492" t="str">
        <f>_xlfn.XLOOKUP(A4492,'[1]Tissue Data'!$A:$A,'[1]Tissue Data'!K:K)</f>
        <v>Whole Body</v>
      </c>
      <c r="I4492">
        <f>_xlfn.XLOOKUP(A4492,'[1]Tissue Data'!$A:$A,'[1]Tissue Data'!L:L)</f>
        <v>7.5</v>
      </c>
      <c r="J4492">
        <f>_xlfn.XLOOKUP(A4492,'[1]Tissue Data'!$A:$A,'[1]Tissue Data'!M:M)</f>
        <v>12.02</v>
      </c>
      <c r="K4492" t="s">
        <v>52</v>
      </c>
      <c r="L4492" t="str">
        <f>_xlfn.XLOOKUP(K4492,[2]analyte_order!$B:$B,[2]analyte_order!$C:$C)</f>
        <v>53826-13-4</v>
      </c>
      <c r="M4492">
        <f>_xlfn.XLOOKUP(L4492,[2]analyte_order!$C:$C,[2]analyte_order!$E:$E)</f>
        <v>43</v>
      </c>
      <c r="N4492">
        <v>9.9000000000000005E-2</v>
      </c>
    </row>
    <row r="4493" spans="1:14">
      <c r="A4493" t="s">
        <v>268</v>
      </c>
      <c r="B4493" t="str">
        <f>_xlfn.XLOOKUP(A4493,'[1]Tissue Data'!$A:$A,'[1]Tissue Data'!$C:$C)</f>
        <v>Spill</v>
      </c>
      <c r="C4493" s="2">
        <f>_xlfn.XLOOKUP(A4493,'[1]Tissue Data'!$A:$A,'[1]Tissue Data'!$D:$D)</f>
        <v>44393</v>
      </c>
      <c r="D4493" s="2" t="str">
        <f>_xlfn.XLOOKUP(A4493,'[1]Tissue Data'!$A:$A,'[1]Tissue Data'!$F:$F)</f>
        <v>Pumpkinseed</v>
      </c>
      <c r="E4493" t="str">
        <f>_xlfn.XLOOKUP(A4493,'[1]Tissue Data'!$A:$A,'[1]Tissue Data'!$H:$H)</f>
        <v>Lepomis</v>
      </c>
      <c r="F4493" t="str">
        <f>_xlfn.XLOOKUP(A4493,'[1]Tissue Data'!$A:$A,'[1]Tissue Data'!$I:$I)</f>
        <v>gibbosus</v>
      </c>
      <c r="G4493" t="str">
        <f>_xlfn.XLOOKUP(A4493,'[1]Tissue Data'!$A:$A,'[1]Tissue Data'!J:J)</f>
        <v>U</v>
      </c>
      <c r="H4493" t="str">
        <f>_xlfn.XLOOKUP(A4493,'[1]Tissue Data'!$A:$A,'[1]Tissue Data'!K:K)</f>
        <v>Whole Body</v>
      </c>
      <c r="I4493">
        <f>_xlfn.XLOOKUP(A4493,'[1]Tissue Data'!$A:$A,'[1]Tissue Data'!L:L)</f>
        <v>7.5</v>
      </c>
      <c r="J4493">
        <f>_xlfn.XLOOKUP(A4493,'[1]Tissue Data'!$A:$A,'[1]Tissue Data'!M:M)</f>
        <v>12.02</v>
      </c>
      <c r="K4493" t="s">
        <v>53</v>
      </c>
      <c r="L4493" t="str">
        <f>_xlfn.XLOOKUP(K4493,[2]analyte_order!$B:$B,[2]analyte_order!$C:$C)</f>
        <v>161094-75-3</v>
      </c>
      <c r="M4493">
        <f>_xlfn.XLOOKUP(L4493,[2]analyte_order!$C:$C,[2]analyte_order!$E:$E)</f>
        <v>44</v>
      </c>
      <c r="N4493">
        <v>5.1999999999999998E-2</v>
      </c>
    </row>
    <row r="4494" spans="1:14">
      <c r="A4494" t="s">
        <v>268</v>
      </c>
      <c r="B4494" t="str">
        <f>_xlfn.XLOOKUP(A4494,'[1]Tissue Data'!$A:$A,'[1]Tissue Data'!$C:$C)</f>
        <v>Spill</v>
      </c>
      <c r="C4494" s="2">
        <f>_xlfn.XLOOKUP(A4494,'[1]Tissue Data'!$A:$A,'[1]Tissue Data'!$D:$D)</f>
        <v>44393</v>
      </c>
      <c r="D4494" s="2" t="str">
        <f>_xlfn.XLOOKUP(A4494,'[1]Tissue Data'!$A:$A,'[1]Tissue Data'!$F:$F)</f>
        <v>Pumpkinseed</v>
      </c>
      <c r="E4494" t="str">
        <f>_xlfn.XLOOKUP(A4494,'[1]Tissue Data'!$A:$A,'[1]Tissue Data'!$H:$H)</f>
        <v>Lepomis</v>
      </c>
      <c r="F4494" t="str">
        <f>_xlfn.XLOOKUP(A4494,'[1]Tissue Data'!$A:$A,'[1]Tissue Data'!$I:$I)</f>
        <v>gibbosus</v>
      </c>
      <c r="G4494" t="str">
        <f>_xlfn.XLOOKUP(A4494,'[1]Tissue Data'!$A:$A,'[1]Tissue Data'!J:J)</f>
        <v>U</v>
      </c>
      <c r="H4494" t="str">
        <f>_xlfn.XLOOKUP(A4494,'[1]Tissue Data'!$A:$A,'[1]Tissue Data'!K:K)</f>
        <v>Whole Body</v>
      </c>
      <c r="I4494">
        <f>_xlfn.XLOOKUP(A4494,'[1]Tissue Data'!$A:$A,'[1]Tissue Data'!L:L)</f>
        <v>7.5</v>
      </c>
      <c r="J4494">
        <f>_xlfn.XLOOKUP(A4494,'[1]Tissue Data'!$A:$A,'[1]Tissue Data'!M:M)</f>
        <v>12.02</v>
      </c>
      <c r="K4494" t="s">
        <v>54</v>
      </c>
      <c r="L4494" t="str">
        <f>_xlfn.XLOOKUP(K4494,[2]analyte_order!$B:$B,[2]analyte_order!$C:$C)</f>
        <v>70887-84-2</v>
      </c>
      <c r="M4494">
        <f>_xlfn.XLOOKUP(L4494,[2]analyte_order!$C:$C,[2]analyte_order!$E:$E)</f>
        <v>45</v>
      </c>
      <c r="N4494">
        <v>4.0149999999999998E-2</v>
      </c>
    </row>
    <row r="4495" spans="1:14">
      <c r="A4495" t="s">
        <v>268</v>
      </c>
      <c r="B4495" t="str">
        <f>_xlfn.XLOOKUP(A4495,'[1]Tissue Data'!$A:$A,'[1]Tissue Data'!$C:$C)</f>
        <v>Spill</v>
      </c>
      <c r="C4495" s="2">
        <f>_xlfn.XLOOKUP(A4495,'[1]Tissue Data'!$A:$A,'[1]Tissue Data'!$D:$D)</f>
        <v>44393</v>
      </c>
      <c r="D4495" s="2" t="str">
        <f>_xlfn.XLOOKUP(A4495,'[1]Tissue Data'!$A:$A,'[1]Tissue Data'!$F:$F)</f>
        <v>Pumpkinseed</v>
      </c>
      <c r="E4495" t="str">
        <f>_xlfn.XLOOKUP(A4495,'[1]Tissue Data'!$A:$A,'[1]Tissue Data'!$H:$H)</f>
        <v>Lepomis</v>
      </c>
      <c r="F4495" t="str">
        <f>_xlfn.XLOOKUP(A4495,'[1]Tissue Data'!$A:$A,'[1]Tissue Data'!$I:$I)</f>
        <v>gibbosus</v>
      </c>
      <c r="G4495" t="str">
        <f>_xlfn.XLOOKUP(A4495,'[1]Tissue Data'!$A:$A,'[1]Tissue Data'!J:J)</f>
        <v>U</v>
      </c>
      <c r="H4495" t="str">
        <f>_xlfn.XLOOKUP(A4495,'[1]Tissue Data'!$A:$A,'[1]Tissue Data'!K:K)</f>
        <v>Whole Body</v>
      </c>
      <c r="I4495">
        <f>_xlfn.XLOOKUP(A4495,'[1]Tissue Data'!$A:$A,'[1]Tissue Data'!L:L)</f>
        <v>7.5</v>
      </c>
      <c r="J4495">
        <f>_xlfn.XLOOKUP(A4495,'[1]Tissue Data'!$A:$A,'[1]Tissue Data'!M:M)</f>
        <v>12.02</v>
      </c>
      <c r="K4495" t="s">
        <v>55</v>
      </c>
      <c r="L4495" t="str">
        <f>_xlfn.XLOOKUP(K4495,[2]analyte_order!$B:$B,[2]analyte_order!$C:$C)</f>
        <v>919005-14-4</v>
      </c>
      <c r="M4495">
        <f>_xlfn.XLOOKUP(L4495,[2]analyte_order!$C:$C,[2]analyte_order!$E:$E)</f>
        <v>35</v>
      </c>
      <c r="N4495">
        <v>6.6500000000000004E-2</v>
      </c>
    </row>
    <row r="4496" spans="1:14">
      <c r="A4496" t="s">
        <v>268</v>
      </c>
      <c r="B4496" t="str">
        <f>_xlfn.XLOOKUP(A4496,'[1]Tissue Data'!$A:$A,'[1]Tissue Data'!$C:$C)</f>
        <v>Spill</v>
      </c>
      <c r="C4496" s="2">
        <f>_xlfn.XLOOKUP(A4496,'[1]Tissue Data'!$A:$A,'[1]Tissue Data'!$D:$D)</f>
        <v>44393</v>
      </c>
      <c r="D4496" s="2" t="str">
        <f>_xlfn.XLOOKUP(A4496,'[1]Tissue Data'!$A:$A,'[1]Tissue Data'!$F:$F)</f>
        <v>Pumpkinseed</v>
      </c>
      <c r="E4496" t="str">
        <f>_xlfn.XLOOKUP(A4496,'[1]Tissue Data'!$A:$A,'[1]Tissue Data'!$H:$H)</f>
        <v>Lepomis</v>
      </c>
      <c r="F4496" t="str">
        <f>_xlfn.XLOOKUP(A4496,'[1]Tissue Data'!$A:$A,'[1]Tissue Data'!$I:$I)</f>
        <v>gibbosus</v>
      </c>
      <c r="G4496" t="str">
        <f>_xlfn.XLOOKUP(A4496,'[1]Tissue Data'!$A:$A,'[1]Tissue Data'!J:J)</f>
        <v>U</v>
      </c>
      <c r="H4496" t="str">
        <f>_xlfn.XLOOKUP(A4496,'[1]Tissue Data'!$A:$A,'[1]Tissue Data'!K:K)</f>
        <v>Whole Body</v>
      </c>
      <c r="I4496">
        <f>_xlfn.XLOOKUP(A4496,'[1]Tissue Data'!$A:$A,'[1]Tissue Data'!L:L)</f>
        <v>7.5</v>
      </c>
      <c r="J4496">
        <f>_xlfn.XLOOKUP(A4496,'[1]Tissue Data'!$A:$A,'[1]Tissue Data'!M:M)</f>
        <v>12.02</v>
      </c>
      <c r="K4496" t="s">
        <v>56</v>
      </c>
      <c r="L4496" t="str">
        <f>_xlfn.XLOOKUP(K4496,[2]analyte_order!$B:$B,[2]analyte_order!$C:$C)</f>
        <v>756426-58-1</v>
      </c>
      <c r="M4496">
        <f>_xlfn.XLOOKUP(L4496,[2]analyte_order!$C:$C,[2]analyte_order!$E:$E)</f>
        <v>36</v>
      </c>
      <c r="N4496">
        <v>6.6500000000000004E-2</v>
      </c>
    </row>
    <row r="4497" spans="1:14">
      <c r="A4497" t="s">
        <v>268</v>
      </c>
      <c r="B4497" t="str">
        <f>_xlfn.XLOOKUP(A4497,'[1]Tissue Data'!$A:$A,'[1]Tissue Data'!$C:$C)</f>
        <v>Spill</v>
      </c>
      <c r="C4497" s="2">
        <f>_xlfn.XLOOKUP(A4497,'[1]Tissue Data'!$A:$A,'[1]Tissue Data'!$D:$D)</f>
        <v>44393</v>
      </c>
      <c r="D4497" s="2" t="str">
        <f>_xlfn.XLOOKUP(A4497,'[1]Tissue Data'!$A:$A,'[1]Tissue Data'!$F:$F)</f>
        <v>Pumpkinseed</v>
      </c>
      <c r="E4497" t="str">
        <f>_xlfn.XLOOKUP(A4497,'[1]Tissue Data'!$A:$A,'[1]Tissue Data'!$H:$H)</f>
        <v>Lepomis</v>
      </c>
      <c r="F4497" t="str">
        <f>_xlfn.XLOOKUP(A4497,'[1]Tissue Data'!$A:$A,'[1]Tissue Data'!$I:$I)</f>
        <v>gibbosus</v>
      </c>
      <c r="G4497" t="str">
        <f>_xlfn.XLOOKUP(A4497,'[1]Tissue Data'!$A:$A,'[1]Tissue Data'!J:J)</f>
        <v>U</v>
      </c>
      <c r="H4497" t="str">
        <f>_xlfn.XLOOKUP(A4497,'[1]Tissue Data'!$A:$A,'[1]Tissue Data'!K:K)</f>
        <v>Whole Body</v>
      </c>
      <c r="I4497">
        <f>_xlfn.XLOOKUP(A4497,'[1]Tissue Data'!$A:$A,'[1]Tissue Data'!L:L)</f>
        <v>7.5</v>
      </c>
      <c r="J4497">
        <f>_xlfn.XLOOKUP(A4497,'[1]Tissue Data'!$A:$A,'[1]Tissue Data'!M:M)</f>
        <v>12.02</v>
      </c>
      <c r="K4497" t="s">
        <v>57</v>
      </c>
      <c r="L4497" t="str">
        <f>_xlfn.XLOOKUP(K4497,[2]analyte_order!$B:$B,[2]analyte_order!$C:$C)</f>
        <v>763051-92-9</v>
      </c>
      <c r="M4497">
        <f>_xlfn.XLOOKUP(L4497,[2]analyte_order!$C:$C,[2]analyte_order!$E:$E)</f>
        <v>37</v>
      </c>
      <c r="N4497">
        <v>6.6500000000000004E-2</v>
      </c>
    </row>
    <row r="4498" spans="1:14">
      <c r="A4498" t="s">
        <v>268</v>
      </c>
      <c r="B4498" t="str">
        <f>_xlfn.XLOOKUP(A4498,'[1]Tissue Data'!$A:$A,'[1]Tissue Data'!$C:$C)</f>
        <v>Spill</v>
      </c>
      <c r="C4498" s="2">
        <f>_xlfn.XLOOKUP(A4498,'[1]Tissue Data'!$A:$A,'[1]Tissue Data'!$D:$D)</f>
        <v>44393</v>
      </c>
      <c r="D4498" s="2" t="str">
        <f>_xlfn.XLOOKUP(A4498,'[1]Tissue Data'!$A:$A,'[1]Tissue Data'!$F:$F)</f>
        <v>Pumpkinseed</v>
      </c>
      <c r="E4498" t="str">
        <f>_xlfn.XLOOKUP(A4498,'[1]Tissue Data'!$A:$A,'[1]Tissue Data'!$H:$H)</f>
        <v>Lepomis</v>
      </c>
      <c r="F4498" t="str">
        <f>_xlfn.XLOOKUP(A4498,'[1]Tissue Data'!$A:$A,'[1]Tissue Data'!$I:$I)</f>
        <v>gibbosus</v>
      </c>
      <c r="G4498" t="str">
        <f>_xlfn.XLOOKUP(A4498,'[1]Tissue Data'!$A:$A,'[1]Tissue Data'!J:J)</f>
        <v>U</v>
      </c>
      <c r="H4498" t="str">
        <f>_xlfn.XLOOKUP(A4498,'[1]Tissue Data'!$A:$A,'[1]Tissue Data'!K:K)</f>
        <v>Whole Body</v>
      </c>
      <c r="I4498">
        <f>_xlfn.XLOOKUP(A4498,'[1]Tissue Data'!$A:$A,'[1]Tissue Data'!L:L)</f>
        <v>7.5</v>
      </c>
      <c r="J4498">
        <f>_xlfn.XLOOKUP(A4498,'[1]Tissue Data'!$A:$A,'[1]Tissue Data'!M:M)</f>
        <v>12.02</v>
      </c>
      <c r="K4498" t="s">
        <v>58</v>
      </c>
      <c r="L4498" t="str">
        <f>_xlfn.XLOOKUP(K4498,[2]analyte_order!$B:$B,[2]analyte_order!$C:$C)</f>
        <v>13252-13-6</v>
      </c>
      <c r="M4498">
        <f>_xlfn.XLOOKUP(L4498,[2]analyte_order!$C:$C,[2]analyte_order!$E:$E)</f>
        <v>34</v>
      </c>
      <c r="N4498">
        <v>9.5500000000000002E-2</v>
      </c>
    </row>
    <row r="4499" spans="1:14">
      <c r="A4499" t="s">
        <v>268</v>
      </c>
      <c r="B4499" t="str">
        <f>_xlfn.XLOOKUP(A4499,'[1]Tissue Data'!$A:$A,'[1]Tissue Data'!$C:$C)</f>
        <v>Spill</v>
      </c>
      <c r="C4499" s="2">
        <f>_xlfn.XLOOKUP(A4499,'[1]Tissue Data'!$A:$A,'[1]Tissue Data'!$D:$D)</f>
        <v>44393</v>
      </c>
      <c r="D4499" s="2" t="str">
        <f>_xlfn.XLOOKUP(A4499,'[1]Tissue Data'!$A:$A,'[1]Tissue Data'!$F:$F)</f>
        <v>Pumpkinseed</v>
      </c>
      <c r="E4499" t="str">
        <f>_xlfn.XLOOKUP(A4499,'[1]Tissue Data'!$A:$A,'[1]Tissue Data'!$H:$H)</f>
        <v>Lepomis</v>
      </c>
      <c r="F4499" t="str">
        <f>_xlfn.XLOOKUP(A4499,'[1]Tissue Data'!$A:$A,'[1]Tissue Data'!$I:$I)</f>
        <v>gibbosus</v>
      </c>
      <c r="G4499" t="str">
        <f>_xlfn.XLOOKUP(A4499,'[1]Tissue Data'!$A:$A,'[1]Tissue Data'!J:J)</f>
        <v>U</v>
      </c>
      <c r="H4499" t="str">
        <f>_xlfn.XLOOKUP(A4499,'[1]Tissue Data'!$A:$A,'[1]Tissue Data'!K:K)</f>
        <v>Whole Body</v>
      </c>
      <c r="I4499">
        <f>_xlfn.XLOOKUP(A4499,'[1]Tissue Data'!$A:$A,'[1]Tissue Data'!L:L)</f>
        <v>7.5</v>
      </c>
      <c r="J4499">
        <f>_xlfn.XLOOKUP(A4499,'[1]Tissue Data'!$A:$A,'[1]Tissue Data'!M:M)</f>
        <v>12.02</v>
      </c>
      <c r="K4499" t="s">
        <v>59</v>
      </c>
      <c r="L4499" t="str">
        <f>_xlfn.XLOOKUP(K4499,[2]analyte_order!$B:$B,[2]analyte_order!$C:$C)</f>
        <v>57677-95-9</v>
      </c>
      <c r="M4499">
        <f>_xlfn.XLOOKUP(L4499,[2]analyte_order!$C:$C,[2]analyte_order!$E:$E)</f>
        <v>46</v>
      </c>
      <c r="N4499">
        <v>7.0499999999999993E-2</v>
      </c>
    </row>
    <row r="4500" spans="1:14">
      <c r="A4500" t="s">
        <v>268</v>
      </c>
      <c r="B4500" t="str">
        <f>_xlfn.XLOOKUP(A4500,'[1]Tissue Data'!$A:$A,'[1]Tissue Data'!$C:$C)</f>
        <v>Spill</v>
      </c>
      <c r="C4500" s="2">
        <f>_xlfn.XLOOKUP(A4500,'[1]Tissue Data'!$A:$A,'[1]Tissue Data'!$D:$D)</f>
        <v>44393</v>
      </c>
      <c r="D4500" s="2" t="str">
        <f>_xlfn.XLOOKUP(A4500,'[1]Tissue Data'!$A:$A,'[1]Tissue Data'!$F:$F)</f>
        <v>Pumpkinseed</v>
      </c>
      <c r="E4500" t="str">
        <f>_xlfn.XLOOKUP(A4500,'[1]Tissue Data'!$A:$A,'[1]Tissue Data'!$H:$H)</f>
        <v>Lepomis</v>
      </c>
      <c r="F4500" t="str">
        <f>_xlfn.XLOOKUP(A4500,'[1]Tissue Data'!$A:$A,'[1]Tissue Data'!$I:$I)</f>
        <v>gibbosus</v>
      </c>
      <c r="G4500" t="str">
        <f>_xlfn.XLOOKUP(A4500,'[1]Tissue Data'!$A:$A,'[1]Tissue Data'!J:J)</f>
        <v>U</v>
      </c>
      <c r="H4500" t="str">
        <f>_xlfn.XLOOKUP(A4500,'[1]Tissue Data'!$A:$A,'[1]Tissue Data'!K:K)</f>
        <v>Whole Body</v>
      </c>
      <c r="I4500">
        <f>_xlfn.XLOOKUP(A4500,'[1]Tissue Data'!$A:$A,'[1]Tissue Data'!L:L)</f>
        <v>7.5</v>
      </c>
      <c r="J4500">
        <f>_xlfn.XLOOKUP(A4500,'[1]Tissue Data'!$A:$A,'[1]Tissue Data'!M:M)</f>
        <v>12.02</v>
      </c>
      <c r="K4500" t="s">
        <v>60</v>
      </c>
      <c r="L4500" t="str">
        <f>_xlfn.XLOOKUP(K4500,[2]analyte_order!$B:$B,[2]analyte_order!$C:$C)</f>
        <v>678-41-1</v>
      </c>
      <c r="M4500">
        <f>_xlfn.XLOOKUP(L4500,[2]analyte_order!$C:$C,[2]analyte_order!$E:$E)</f>
        <v>56</v>
      </c>
      <c r="N4500">
        <v>8.7999999999999995E-2</v>
      </c>
    </row>
    <row r="4501" spans="1:14">
      <c r="A4501" t="s">
        <v>268</v>
      </c>
      <c r="B4501" t="str">
        <f>_xlfn.XLOOKUP(A4501,'[1]Tissue Data'!$A:$A,'[1]Tissue Data'!$C:$C)</f>
        <v>Spill</v>
      </c>
      <c r="C4501" s="2">
        <f>_xlfn.XLOOKUP(A4501,'[1]Tissue Data'!$A:$A,'[1]Tissue Data'!$D:$D)</f>
        <v>44393</v>
      </c>
      <c r="D4501" s="2" t="str">
        <f>_xlfn.XLOOKUP(A4501,'[1]Tissue Data'!$A:$A,'[1]Tissue Data'!$F:$F)</f>
        <v>Pumpkinseed</v>
      </c>
      <c r="E4501" t="str">
        <f>_xlfn.XLOOKUP(A4501,'[1]Tissue Data'!$A:$A,'[1]Tissue Data'!$H:$H)</f>
        <v>Lepomis</v>
      </c>
      <c r="F4501" t="str">
        <f>_xlfn.XLOOKUP(A4501,'[1]Tissue Data'!$A:$A,'[1]Tissue Data'!$I:$I)</f>
        <v>gibbosus</v>
      </c>
      <c r="G4501" t="str">
        <f>_xlfn.XLOOKUP(A4501,'[1]Tissue Data'!$A:$A,'[1]Tissue Data'!J:J)</f>
        <v>U</v>
      </c>
      <c r="H4501" t="str">
        <f>_xlfn.XLOOKUP(A4501,'[1]Tissue Data'!$A:$A,'[1]Tissue Data'!K:K)</f>
        <v>Whole Body</v>
      </c>
      <c r="I4501">
        <f>_xlfn.XLOOKUP(A4501,'[1]Tissue Data'!$A:$A,'[1]Tissue Data'!L:L)</f>
        <v>7.5</v>
      </c>
      <c r="J4501">
        <f>_xlfn.XLOOKUP(A4501,'[1]Tissue Data'!$A:$A,'[1]Tissue Data'!M:M)</f>
        <v>12.02</v>
      </c>
      <c r="K4501" t="s">
        <v>61</v>
      </c>
      <c r="L4501" t="str">
        <f>_xlfn.XLOOKUP(K4501,[2]analyte_order!$B:$B,[2]analyte_order!$C:$C)</f>
        <v>2965-52-8</v>
      </c>
      <c r="M4501">
        <f>_xlfn.XLOOKUP(L4501,[2]analyte_order!$C:$C,[2]analyte_order!$E:$E)</f>
        <v>57</v>
      </c>
      <c r="N4501">
        <v>0.11700000000000001</v>
      </c>
    </row>
    <row r="4502" spans="1:14">
      <c r="A4502" t="s">
        <v>269</v>
      </c>
      <c r="B4502" t="str">
        <f>_xlfn.XLOOKUP(A4502,'[1]Tissue Data'!$A:$A,'[1]Tissue Data'!$C:$C)</f>
        <v>Spill</v>
      </c>
      <c r="C4502" s="2">
        <f>_xlfn.XLOOKUP(A4502,'[1]Tissue Data'!$A:$A,'[1]Tissue Data'!$D:$D)</f>
        <v>44393</v>
      </c>
      <c r="D4502" s="2" t="str">
        <f>_xlfn.XLOOKUP(A4502,'[1]Tissue Data'!$A:$A,'[1]Tissue Data'!$F:$F)</f>
        <v>Pumpkinseed</v>
      </c>
      <c r="E4502" t="str">
        <f>_xlfn.XLOOKUP(A4502,'[1]Tissue Data'!$A:$A,'[1]Tissue Data'!$H:$H)</f>
        <v>Lepomis</v>
      </c>
      <c r="F4502" t="str">
        <f>_xlfn.XLOOKUP(A4502,'[1]Tissue Data'!$A:$A,'[1]Tissue Data'!$I:$I)</f>
        <v>gibbosus</v>
      </c>
      <c r="G4502" t="str">
        <f>_xlfn.XLOOKUP(A4502,'[1]Tissue Data'!$A:$A,'[1]Tissue Data'!J:J)</f>
        <v>U</v>
      </c>
      <c r="H4502" t="str">
        <f>_xlfn.XLOOKUP(A4502,'[1]Tissue Data'!$A:$A,'[1]Tissue Data'!K:K)</f>
        <v>Whole Body</v>
      </c>
      <c r="I4502">
        <f>_xlfn.XLOOKUP(A4502,'[1]Tissue Data'!$A:$A,'[1]Tissue Data'!L:L)</f>
        <v>8.5</v>
      </c>
      <c r="J4502">
        <f>_xlfn.XLOOKUP(A4502,'[1]Tissue Data'!$A:$A,'[1]Tissue Data'!M:M)</f>
        <v>14.64</v>
      </c>
      <c r="K4502" t="s">
        <v>12</v>
      </c>
      <c r="L4502" t="str">
        <f>_xlfn.XLOOKUP(K4502,[2]analyte_order!$B:$B,[2]analyte_order!$C:$C)</f>
        <v>375-22-4</v>
      </c>
      <c r="M4502">
        <f>_xlfn.XLOOKUP(L4502,[2]analyte_order!$C:$C,[2]analyte_order!$E:$E)</f>
        <v>1</v>
      </c>
      <c r="N4502">
        <v>6.6000000000000003E-2</v>
      </c>
    </row>
    <row r="4503" spans="1:14">
      <c r="A4503" t="s">
        <v>269</v>
      </c>
      <c r="B4503" t="str">
        <f>_xlfn.XLOOKUP(A4503,'[1]Tissue Data'!$A:$A,'[1]Tissue Data'!$C:$C)</f>
        <v>Spill</v>
      </c>
      <c r="C4503" s="2">
        <f>_xlfn.XLOOKUP(A4503,'[1]Tissue Data'!$A:$A,'[1]Tissue Data'!$D:$D)</f>
        <v>44393</v>
      </c>
      <c r="D4503" s="2" t="str">
        <f>_xlfn.XLOOKUP(A4503,'[1]Tissue Data'!$A:$A,'[1]Tissue Data'!$F:$F)</f>
        <v>Pumpkinseed</v>
      </c>
      <c r="E4503" t="str">
        <f>_xlfn.XLOOKUP(A4503,'[1]Tissue Data'!$A:$A,'[1]Tissue Data'!$H:$H)</f>
        <v>Lepomis</v>
      </c>
      <c r="F4503" t="str">
        <f>_xlfn.XLOOKUP(A4503,'[1]Tissue Data'!$A:$A,'[1]Tissue Data'!$I:$I)</f>
        <v>gibbosus</v>
      </c>
      <c r="G4503" t="str">
        <f>_xlfn.XLOOKUP(A4503,'[1]Tissue Data'!$A:$A,'[1]Tissue Data'!J:J)</f>
        <v>U</v>
      </c>
      <c r="H4503" t="str">
        <f>_xlfn.XLOOKUP(A4503,'[1]Tissue Data'!$A:$A,'[1]Tissue Data'!K:K)</f>
        <v>Whole Body</v>
      </c>
      <c r="I4503">
        <f>_xlfn.XLOOKUP(A4503,'[1]Tissue Data'!$A:$A,'[1]Tissue Data'!L:L)</f>
        <v>8.5</v>
      </c>
      <c r="J4503">
        <f>_xlfn.XLOOKUP(A4503,'[1]Tissue Data'!$A:$A,'[1]Tissue Data'!M:M)</f>
        <v>14.64</v>
      </c>
      <c r="K4503" t="s">
        <v>13</v>
      </c>
      <c r="L4503" t="str">
        <f>_xlfn.XLOOKUP(K4503,[2]analyte_order!$B:$B,[2]analyte_order!$C:$C)</f>
        <v>2706-90-3</v>
      </c>
      <c r="M4503">
        <f>_xlfn.XLOOKUP(L4503,[2]analyte_order!$C:$C,[2]analyte_order!$E:$E)</f>
        <v>2</v>
      </c>
      <c r="N4503">
        <v>4.6800000000000001E-2</v>
      </c>
    </row>
    <row r="4504" spans="1:14">
      <c r="A4504" t="s">
        <v>269</v>
      </c>
      <c r="B4504" t="str">
        <f>_xlfn.XLOOKUP(A4504,'[1]Tissue Data'!$A:$A,'[1]Tissue Data'!$C:$C)</f>
        <v>Spill</v>
      </c>
      <c r="C4504" s="2">
        <f>_xlfn.XLOOKUP(A4504,'[1]Tissue Data'!$A:$A,'[1]Tissue Data'!$D:$D)</f>
        <v>44393</v>
      </c>
      <c r="D4504" s="2" t="str">
        <f>_xlfn.XLOOKUP(A4504,'[1]Tissue Data'!$A:$A,'[1]Tissue Data'!$F:$F)</f>
        <v>Pumpkinseed</v>
      </c>
      <c r="E4504" t="str">
        <f>_xlfn.XLOOKUP(A4504,'[1]Tissue Data'!$A:$A,'[1]Tissue Data'!$H:$H)</f>
        <v>Lepomis</v>
      </c>
      <c r="F4504" t="str">
        <f>_xlfn.XLOOKUP(A4504,'[1]Tissue Data'!$A:$A,'[1]Tissue Data'!$I:$I)</f>
        <v>gibbosus</v>
      </c>
      <c r="G4504" t="str">
        <f>_xlfn.XLOOKUP(A4504,'[1]Tissue Data'!$A:$A,'[1]Tissue Data'!J:J)</f>
        <v>U</v>
      </c>
      <c r="H4504" t="str">
        <f>_xlfn.XLOOKUP(A4504,'[1]Tissue Data'!$A:$A,'[1]Tissue Data'!K:K)</f>
        <v>Whole Body</v>
      </c>
      <c r="I4504">
        <f>_xlfn.XLOOKUP(A4504,'[1]Tissue Data'!$A:$A,'[1]Tissue Data'!L:L)</f>
        <v>8.5</v>
      </c>
      <c r="J4504">
        <f>_xlfn.XLOOKUP(A4504,'[1]Tissue Data'!$A:$A,'[1]Tissue Data'!M:M)</f>
        <v>14.64</v>
      </c>
      <c r="K4504" t="s">
        <v>14</v>
      </c>
      <c r="L4504" t="str">
        <f>_xlfn.XLOOKUP(K4504,[2]analyte_order!$B:$B,[2]analyte_order!$C:$C)</f>
        <v>307-24-4</v>
      </c>
      <c r="M4504">
        <f>_xlfn.XLOOKUP(L4504,[2]analyte_order!$C:$C,[2]analyte_order!$E:$E)</f>
        <v>3</v>
      </c>
      <c r="N4504">
        <v>3.5749999999999997E-2</v>
      </c>
    </row>
    <row r="4505" spans="1:14">
      <c r="A4505" t="s">
        <v>269</v>
      </c>
      <c r="B4505" t="str">
        <f>_xlfn.XLOOKUP(A4505,'[1]Tissue Data'!$A:$A,'[1]Tissue Data'!$C:$C)</f>
        <v>Spill</v>
      </c>
      <c r="C4505" s="2">
        <f>_xlfn.XLOOKUP(A4505,'[1]Tissue Data'!$A:$A,'[1]Tissue Data'!$D:$D)</f>
        <v>44393</v>
      </c>
      <c r="D4505" s="2" t="str">
        <f>_xlfn.XLOOKUP(A4505,'[1]Tissue Data'!$A:$A,'[1]Tissue Data'!$F:$F)</f>
        <v>Pumpkinseed</v>
      </c>
      <c r="E4505" t="str">
        <f>_xlfn.XLOOKUP(A4505,'[1]Tissue Data'!$A:$A,'[1]Tissue Data'!$H:$H)</f>
        <v>Lepomis</v>
      </c>
      <c r="F4505" t="str">
        <f>_xlfn.XLOOKUP(A4505,'[1]Tissue Data'!$A:$A,'[1]Tissue Data'!$I:$I)</f>
        <v>gibbosus</v>
      </c>
      <c r="G4505" t="str">
        <f>_xlfn.XLOOKUP(A4505,'[1]Tissue Data'!$A:$A,'[1]Tissue Data'!J:J)</f>
        <v>U</v>
      </c>
      <c r="H4505" t="str">
        <f>_xlfn.XLOOKUP(A4505,'[1]Tissue Data'!$A:$A,'[1]Tissue Data'!K:K)</f>
        <v>Whole Body</v>
      </c>
      <c r="I4505">
        <f>_xlfn.XLOOKUP(A4505,'[1]Tissue Data'!$A:$A,'[1]Tissue Data'!L:L)</f>
        <v>8.5</v>
      </c>
      <c r="J4505">
        <f>_xlfn.XLOOKUP(A4505,'[1]Tissue Data'!$A:$A,'[1]Tissue Data'!M:M)</f>
        <v>14.64</v>
      </c>
      <c r="K4505" t="s">
        <v>15</v>
      </c>
      <c r="L4505" t="str">
        <f>_xlfn.XLOOKUP(K4505,[2]analyte_order!$B:$B,[2]analyte_order!$C:$C)</f>
        <v>375-85-9</v>
      </c>
      <c r="M4505">
        <f>_xlfn.XLOOKUP(L4505,[2]analyte_order!$C:$C,[2]analyte_order!$E:$E)</f>
        <v>4</v>
      </c>
      <c r="N4505">
        <v>2.6499999999999999E-2</v>
      </c>
    </row>
    <row r="4506" spans="1:14">
      <c r="A4506" t="s">
        <v>269</v>
      </c>
      <c r="B4506" t="str">
        <f>_xlfn.XLOOKUP(A4506,'[1]Tissue Data'!$A:$A,'[1]Tissue Data'!$C:$C)</f>
        <v>Spill</v>
      </c>
      <c r="C4506" s="2">
        <f>_xlfn.XLOOKUP(A4506,'[1]Tissue Data'!$A:$A,'[1]Tissue Data'!$D:$D)</f>
        <v>44393</v>
      </c>
      <c r="D4506" s="2" t="str">
        <f>_xlfn.XLOOKUP(A4506,'[1]Tissue Data'!$A:$A,'[1]Tissue Data'!$F:$F)</f>
        <v>Pumpkinseed</v>
      </c>
      <c r="E4506" t="str">
        <f>_xlfn.XLOOKUP(A4506,'[1]Tissue Data'!$A:$A,'[1]Tissue Data'!$H:$H)</f>
        <v>Lepomis</v>
      </c>
      <c r="F4506" t="str">
        <f>_xlfn.XLOOKUP(A4506,'[1]Tissue Data'!$A:$A,'[1]Tissue Data'!$I:$I)</f>
        <v>gibbosus</v>
      </c>
      <c r="G4506" t="str">
        <f>_xlfn.XLOOKUP(A4506,'[1]Tissue Data'!$A:$A,'[1]Tissue Data'!J:J)</f>
        <v>U</v>
      </c>
      <c r="H4506" t="str">
        <f>_xlfn.XLOOKUP(A4506,'[1]Tissue Data'!$A:$A,'[1]Tissue Data'!K:K)</f>
        <v>Whole Body</v>
      </c>
      <c r="I4506">
        <f>_xlfn.XLOOKUP(A4506,'[1]Tissue Data'!$A:$A,'[1]Tissue Data'!L:L)</f>
        <v>8.5</v>
      </c>
      <c r="J4506">
        <f>_xlfn.XLOOKUP(A4506,'[1]Tissue Data'!$A:$A,'[1]Tissue Data'!M:M)</f>
        <v>14.64</v>
      </c>
      <c r="K4506" t="s">
        <v>16</v>
      </c>
      <c r="L4506" t="str">
        <f>_xlfn.XLOOKUP(K4506,[2]analyte_order!$B:$B,[2]analyte_order!$C:$C)</f>
        <v>335-67-1</v>
      </c>
      <c r="M4506">
        <f>_xlfn.XLOOKUP(L4506,[2]analyte_order!$C:$C,[2]analyte_order!$E:$E)</f>
        <v>5</v>
      </c>
      <c r="N4506">
        <v>0.33</v>
      </c>
    </row>
    <row r="4507" spans="1:14">
      <c r="A4507" t="s">
        <v>269</v>
      </c>
      <c r="B4507" t="str">
        <f>_xlfn.XLOOKUP(A4507,'[1]Tissue Data'!$A:$A,'[1]Tissue Data'!$C:$C)</f>
        <v>Spill</v>
      </c>
      <c r="C4507" s="2">
        <f>_xlfn.XLOOKUP(A4507,'[1]Tissue Data'!$A:$A,'[1]Tissue Data'!$D:$D)</f>
        <v>44393</v>
      </c>
      <c r="D4507" s="2" t="str">
        <f>_xlfn.XLOOKUP(A4507,'[1]Tissue Data'!$A:$A,'[1]Tissue Data'!$F:$F)</f>
        <v>Pumpkinseed</v>
      </c>
      <c r="E4507" t="str">
        <f>_xlfn.XLOOKUP(A4507,'[1]Tissue Data'!$A:$A,'[1]Tissue Data'!$H:$H)</f>
        <v>Lepomis</v>
      </c>
      <c r="F4507" t="str">
        <f>_xlfn.XLOOKUP(A4507,'[1]Tissue Data'!$A:$A,'[1]Tissue Data'!$I:$I)</f>
        <v>gibbosus</v>
      </c>
      <c r="G4507" t="str">
        <f>_xlfn.XLOOKUP(A4507,'[1]Tissue Data'!$A:$A,'[1]Tissue Data'!J:J)</f>
        <v>U</v>
      </c>
      <c r="H4507" t="str">
        <f>_xlfn.XLOOKUP(A4507,'[1]Tissue Data'!$A:$A,'[1]Tissue Data'!K:K)</f>
        <v>Whole Body</v>
      </c>
      <c r="I4507">
        <f>_xlfn.XLOOKUP(A4507,'[1]Tissue Data'!$A:$A,'[1]Tissue Data'!L:L)</f>
        <v>8.5</v>
      </c>
      <c r="J4507">
        <f>_xlfn.XLOOKUP(A4507,'[1]Tissue Data'!$A:$A,'[1]Tissue Data'!M:M)</f>
        <v>14.64</v>
      </c>
      <c r="K4507" t="s">
        <v>17</v>
      </c>
      <c r="L4507" t="str">
        <f>_xlfn.XLOOKUP(K4507,[2]analyte_order!$B:$B,[2]analyte_order!$C:$C)</f>
        <v>375-95-1</v>
      </c>
      <c r="M4507">
        <f>_xlfn.XLOOKUP(L4507,[2]analyte_order!$C:$C,[2]analyte_order!$E:$E)</f>
        <v>6</v>
      </c>
      <c r="N4507">
        <v>4.5900000000000003E-2</v>
      </c>
    </row>
    <row r="4508" spans="1:14">
      <c r="A4508" t="s">
        <v>269</v>
      </c>
      <c r="B4508" t="str">
        <f>_xlfn.XLOOKUP(A4508,'[1]Tissue Data'!$A:$A,'[1]Tissue Data'!$C:$C)</f>
        <v>Spill</v>
      </c>
      <c r="C4508" s="2">
        <f>_xlfn.XLOOKUP(A4508,'[1]Tissue Data'!$A:$A,'[1]Tissue Data'!$D:$D)</f>
        <v>44393</v>
      </c>
      <c r="D4508" s="2" t="str">
        <f>_xlfn.XLOOKUP(A4508,'[1]Tissue Data'!$A:$A,'[1]Tissue Data'!$F:$F)</f>
        <v>Pumpkinseed</v>
      </c>
      <c r="E4508" t="str">
        <f>_xlfn.XLOOKUP(A4508,'[1]Tissue Data'!$A:$A,'[1]Tissue Data'!$H:$H)</f>
        <v>Lepomis</v>
      </c>
      <c r="F4508" t="str">
        <f>_xlfn.XLOOKUP(A4508,'[1]Tissue Data'!$A:$A,'[1]Tissue Data'!$I:$I)</f>
        <v>gibbosus</v>
      </c>
      <c r="G4508" t="str">
        <f>_xlfn.XLOOKUP(A4508,'[1]Tissue Data'!$A:$A,'[1]Tissue Data'!J:J)</f>
        <v>U</v>
      </c>
      <c r="H4508" t="str">
        <f>_xlfn.XLOOKUP(A4508,'[1]Tissue Data'!$A:$A,'[1]Tissue Data'!K:K)</f>
        <v>Whole Body</v>
      </c>
      <c r="I4508">
        <f>_xlfn.XLOOKUP(A4508,'[1]Tissue Data'!$A:$A,'[1]Tissue Data'!L:L)</f>
        <v>8.5</v>
      </c>
      <c r="J4508">
        <f>_xlfn.XLOOKUP(A4508,'[1]Tissue Data'!$A:$A,'[1]Tissue Data'!M:M)</f>
        <v>14.64</v>
      </c>
      <c r="K4508" t="s">
        <v>18</v>
      </c>
      <c r="L4508" t="str">
        <f>_xlfn.XLOOKUP(K4508,[2]analyte_order!$B:$B,[2]analyte_order!$C:$C)</f>
        <v>335-76-2</v>
      </c>
      <c r="M4508">
        <f>_xlfn.XLOOKUP(L4508,[2]analyte_order!$C:$C,[2]analyte_order!$E:$E)</f>
        <v>7</v>
      </c>
      <c r="N4508">
        <v>3.36</v>
      </c>
    </row>
    <row r="4509" spans="1:14">
      <c r="A4509" t="s">
        <v>269</v>
      </c>
      <c r="B4509" t="str">
        <f>_xlfn.XLOOKUP(A4509,'[1]Tissue Data'!$A:$A,'[1]Tissue Data'!$C:$C)</f>
        <v>Spill</v>
      </c>
      <c r="C4509" s="2">
        <f>_xlfn.XLOOKUP(A4509,'[1]Tissue Data'!$A:$A,'[1]Tissue Data'!$D:$D)</f>
        <v>44393</v>
      </c>
      <c r="D4509" s="2" t="str">
        <f>_xlfn.XLOOKUP(A4509,'[1]Tissue Data'!$A:$A,'[1]Tissue Data'!$F:$F)</f>
        <v>Pumpkinseed</v>
      </c>
      <c r="E4509" t="str">
        <f>_xlfn.XLOOKUP(A4509,'[1]Tissue Data'!$A:$A,'[1]Tissue Data'!$H:$H)</f>
        <v>Lepomis</v>
      </c>
      <c r="F4509" t="str">
        <f>_xlfn.XLOOKUP(A4509,'[1]Tissue Data'!$A:$A,'[1]Tissue Data'!$I:$I)</f>
        <v>gibbosus</v>
      </c>
      <c r="G4509" t="str">
        <f>_xlfn.XLOOKUP(A4509,'[1]Tissue Data'!$A:$A,'[1]Tissue Data'!J:J)</f>
        <v>U</v>
      </c>
      <c r="H4509" t="str">
        <f>_xlfn.XLOOKUP(A4509,'[1]Tissue Data'!$A:$A,'[1]Tissue Data'!K:K)</f>
        <v>Whole Body</v>
      </c>
      <c r="I4509">
        <f>_xlfn.XLOOKUP(A4509,'[1]Tissue Data'!$A:$A,'[1]Tissue Data'!L:L)</f>
        <v>8.5</v>
      </c>
      <c r="J4509">
        <f>_xlfn.XLOOKUP(A4509,'[1]Tissue Data'!$A:$A,'[1]Tissue Data'!M:M)</f>
        <v>14.64</v>
      </c>
      <c r="K4509" t="s">
        <v>19</v>
      </c>
      <c r="L4509" t="str">
        <f>_xlfn.XLOOKUP(K4509,[2]analyte_order!$B:$B,[2]analyte_order!$C:$C)</f>
        <v>2058-94-8</v>
      </c>
      <c r="M4509">
        <f>_xlfn.XLOOKUP(L4509,[2]analyte_order!$C:$C,[2]analyte_order!$E:$E)</f>
        <v>8</v>
      </c>
      <c r="N4509">
        <v>4.3099999999999996</v>
      </c>
    </row>
    <row r="4510" spans="1:14">
      <c r="A4510" t="s">
        <v>269</v>
      </c>
      <c r="B4510" t="str">
        <f>_xlfn.XLOOKUP(A4510,'[1]Tissue Data'!$A:$A,'[1]Tissue Data'!$C:$C)</f>
        <v>Spill</v>
      </c>
      <c r="C4510" s="2">
        <f>_xlfn.XLOOKUP(A4510,'[1]Tissue Data'!$A:$A,'[1]Tissue Data'!$D:$D)</f>
        <v>44393</v>
      </c>
      <c r="D4510" s="2" t="str">
        <f>_xlfn.XLOOKUP(A4510,'[1]Tissue Data'!$A:$A,'[1]Tissue Data'!$F:$F)</f>
        <v>Pumpkinseed</v>
      </c>
      <c r="E4510" t="str">
        <f>_xlfn.XLOOKUP(A4510,'[1]Tissue Data'!$A:$A,'[1]Tissue Data'!$H:$H)</f>
        <v>Lepomis</v>
      </c>
      <c r="F4510" t="str">
        <f>_xlfn.XLOOKUP(A4510,'[1]Tissue Data'!$A:$A,'[1]Tissue Data'!$I:$I)</f>
        <v>gibbosus</v>
      </c>
      <c r="G4510" t="str">
        <f>_xlfn.XLOOKUP(A4510,'[1]Tissue Data'!$A:$A,'[1]Tissue Data'!J:J)</f>
        <v>U</v>
      </c>
      <c r="H4510" t="str">
        <f>_xlfn.XLOOKUP(A4510,'[1]Tissue Data'!$A:$A,'[1]Tissue Data'!K:K)</f>
        <v>Whole Body</v>
      </c>
      <c r="I4510">
        <f>_xlfn.XLOOKUP(A4510,'[1]Tissue Data'!$A:$A,'[1]Tissue Data'!L:L)</f>
        <v>8.5</v>
      </c>
      <c r="J4510">
        <f>_xlfn.XLOOKUP(A4510,'[1]Tissue Data'!$A:$A,'[1]Tissue Data'!M:M)</f>
        <v>14.64</v>
      </c>
      <c r="K4510" t="s">
        <v>20</v>
      </c>
      <c r="L4510" t="str">
        <f>_xlfn.XLOOKUP(K4510,[2]analyte_order!$B:$B,[2]analyte_order!$C:$C)</f>
        <v>307-55-1</v>
      </c>
      <c r="M4510">
        <f>_xlfn.XLOOKUP(L4510,[2]analyte_order!$C:$C,[2]analyte_order!$E:$E)</f>
        <v>9</v>
      </c>
      <c r="N4510">
        <v>8.77</v>
      </c>
    </row>
    <row r="4511" spans="1:14">
      <c r="A4511" t="s">
        <v>269</v>
      </c>
      <c r="B4511" t="str">
        <f>_xlfn.XLOOKUP(A4511,'[1]Tissue Data'!$A:$A,'[1]Tissue Data'!$C:$C)</f>
        <v>Spill</v>
      </c>
      <c r="C4511" s="2">
        <f>_xlfn.XLOOKUP(A4511,'[1]Tissue Data'!$A:$A,'[1]Tissue Data'!$D:$D)</f>
        <v>44393</v>
      </c>
      <c r="D4511" s="2" t="str">
        <f>_xlfn.XLOOKUP(A4511,'[1]Tissue Data'!$A:$A,'[1]Tissue Data'!$F:$F)</f>
        <v>Pumpkinseed</v>
      </c>
      <c r="E4511" t="str">
        <f>_xlfn.XLOOKUP(A4511,'[1]Tissue Data'!$A:$A,'[1]Tissue Data'!$H:$H)</f>
        <v>Lepomis</v>
      </c>
      <c r="F4511" t="str">
        <f>_xlfn.XLOOKUP(A4511,'[1]Tissue Data'!$A:$A,'[1]Tissue Data'!$I:$I)</f>
        <v>gibbosus</v>
      </c>
      <c r="G4511" t="str">
        <f>_xlfn.XLOOKUP(A4511,'[1]Tissue Data'!$A:$A,'[1]Tissue Data'!J:J)</f>
        <v>U</v>
      </c>
      <c r="H4511" t="str">
        <f>_xlfn.XLOOKUP(A4511,'[1]Tissue Data'!$A:$A,'[1]Tissue Data'!K:K)</f>
        <v>Whole Body</v>
      </c>
      <c r="I4511">
        <f>_xlfn.XLOOKUP(A4511,'[1]Tissue Data'!$A:$A,'[1]Tissue Data'!L:L)</f>
        <v>8.5</v>
      </c>
      <c r="J4511">
        <f>_xlfn.XLOOKUP(A4511,'[1]Tissue Data'!$A:$A,'[1]Tissue Data'!M:M)</f>
        <v>14.64</v>
      </c>
      <c r="K4511" t="s">
        <v>21</v>
      </c>
      <c r="L4511" t="str">
        <f>_xlfn.XLOOKUP(K4511,[2]analyte_order!$B:$B,[2]analyte_order!$C:$C)</f>
        <v>72629-94-8</v>
      </c>
      <c r="M4511">
        <f>_xlfn.XLOOKUP(L4511,[2]analyte_order!$C:$C,[2]analyte_order!$E:$E)</f>
        <v>10</v>
      </c>
      <c r="N4511">
        <v>3.3</v>
      </c>
    </row>
    <row r="4512" spans="1:14">
      <c r="A4512" t="s">
        <v>269</v>
      </c>
      <c r="B4512" t="str">
        <f>_xlfn.XLOOKUP(A4512,'[1]Tissue Data'!$A:$A,'[1]Tissue Data'!$C:$C)</f>
        <v>Spill</v>
      </c>
      <c r="C4512" s="2">
        <f>_xlfn.XLOOKUP(A4512,'[1]Tissue Data'!$A:$A,'[1]Tissue Data'!$D:$D)</f>
        <v>44393</v>
      </c>
      <c r="D4512" s="2" t="str">
        <f>_xlfn.XLOOKUP(A4512,'[1]Tissue Data'!$A:$A,'[1]Tissue Data'!$F:$F)</f>
        <v>Pumpkinseed</v>
      </c>
      <c r="E4512" t="str">
        <f>_xlfn.XLOOKUP(A4512,'[1]Tissue Data'!$A:$A,'[1]Tissue Data'!$H:$H)</f>
        <v>Lepomis</v>
      </c>
      <c r="F4512" t="str">
        <f>_xlfn.XLOOKUP(A4512,'[1]Tissue Data'!$A:$A,'[1]Tissue Data'!$I:$I)</f>
        <v>gibbosus</v>
      </c>
      <c r="G4512" t="str">
        <f>_xlfn.XLOOKUP(A4512,'[1]Tissue Data'!$A:$A,'[1]Tissue Data'!J:J)</f>
        <v>U</v>
      </c>
      <c r="H4512" t="str">
        <f>_xlfn.XLOOKUP(A4512,'[1]Tissue Data'!$A:$A,'[1]Tissue Data'!K:K)</f>
        <v>Whole Body</v>
      </c>
      <c r="I4512">
        <f>_xlfn.XLOOKUP(A4512,'[1]Tissue Data'!$A:$A,'[1]Tissue Data'!L:L)</f>
        <v>8.5</v>
      </c>
      <c r="J4512">
        <f>_xlfn.XLOOKUP(A4512,'[1]Tissue Data'!$A:$A,'[1]Tissue Data'!M:M)</f>
        <v>14.64</v>
      </c>
      <c r="K4512" t="s">
        <v>22</v>
      </c>
      <c r="L4512" t="str">
        <f>_xlfn.XLOOKUP(K4512,[2]analyte_order!$B:$B,[2]analyte_order!$C:$C)</f>
        <v>376-06-7</v>
      </c>
      <c r="M4512">
        <f>_xlfn.XLOOKUP(L4512,[2]analyte_order!$C:$C,[2]analyte_order!$E:$E)</f>
        <v>11</v>
      </c>
      <c r="N4512">
        <v>9.77</v>
      </c>
    </row>
    <row r="4513" spans="1:14">
      <c r="A4513" t="s">
        <v>269</v>
      </c>
      <c r="B4513" t="str">
        <f>_xlfn.XLOOKUP(A4513,'[1]Tissue Data'!$A:$A,'[1]Tissue Data'!$C:$C)</f>
        <v>Spill</v>
      </c>
      <c r="C4513" s="2">
        <f>_xlfn.XLOOKUP(A4513,'[1]Tissue Data'!$A:$A,'[1]Tissue Data'!$D:$D)</f>
        <v>44393</v>
      </c>
      <c r="D4513" s="2" t="str">
        <f>_xlfn.XLOOKUP(A4513,'[1]Tissue Data'!$A:$A,'[1]Tissue Data'!$F:$F)</f>
        <v>Pumpkinseed</v>
      </c>
      <c r="E4513" t="str">
        <f>_xlfn.XLOOKUP(A4513,'[1]Tissue Data'!$A:$A,'[1]Tissue Data'!$H:$H)</f>
        <v>Lepomis</v>
      </c>
      <c r="F4513" t="str">
        <f>_xlfn.XLOOKUP(A4513,'[1]Tissue Data'!$A:$A,'[1]Tissue Data'!$I:$I)</f>
        <v>gibbosus</v>
      </c>
      <c r="G4513" t="str">
        <f>_xlfn.XLOOKUP(A4513,'[1]Tissue Data'!$A:$A,'[1]Tissue Data'!J:J)</f>
        <v>U</v>
      </c>
      <c r="H4513" t="str">
        <f>_xlfn.XLOOKUP(A4513,'[1]Tissue Data'!$A:$A,'[1]Tissue Data'!K:K)</f>
        <v>Whole Body</v>
      </c>
      <c r="I4513">
        <f>_xlfn.XLOOKUP(A4513,'[1]Tissue Data'!$A:$A,'[1]Tissue Data'!L:L)</f>
        <v>8.5</v>
      </c>
      <c r="J4513">
        <f>_xlfn.XLOOKUP(A4513,'[1]Tissue Data'!$A:$A,'[1]Tissue Data'!M:M)</f>
        <v>14.64</v>
      </c>
      <c r="K4513" t="s">
        <v>23</v>
      </c>
      <c r="L4513" t="str">
        <f>_xlfn.XLOOKUP(K4513,[2]analyte_order!$B:$B,[2]analyte_order!$C:$C)</f>
        <v>67905-19-5</v>
      </c>
      <c r="M4513">
        <f>_xlfn.XLOOKUP(L4513,[2]analyte_order!$C:$C,[2]analyte_order!$E:$E)</f>
        <v>12</v>
      </c>
      <c r="N4513">
        <v>7.9000000000000001E-2</v>
      </c>
    </row>
    <row r="4514" spans="1:14">
      <c r="A4514" t="s">
        <v>269</v>
      </c>
      <c r="B4514" t="str">
        <f>_xlfn.XLOOKUP(A4514,'[1]Tissue Data'!$A:$A,'[1]Tissue Data'!$C:$C)</f>
        <v>Spill</v>
      </c>
      <c r="C4514" s="2">
        <f>_xlfn.XLOOKUP(A4514,'[1]Tissue Data'!$A:$A,'[1]Tissue Data'!$D:$D)</f>
        <v>44393</v>
      </c>
      <c r="D4514" s="2" t="str">
        <f>_xlfn.XLOOKUP(A4514,'[1]Tissue Data'!$A:$A,'[1]Tissue Data'!$F:$F)</f>
        <v>Pumpkinseed</v>
      </c>
      <c r="E4514" t="str">
        <f>_xlfn.XLOOKUP(A4514,'[1]Tissue Data'!$A:$A,'[1]Tissue Data'!$H:$H)</f>
        <v>Lepomis</v>
      </c>
      <c r="F4514" t="str">
        <f>_xlfn.XLOOKUP(A4514,'[1]Tissue Data'!$A:$A,'[1]Tissue Data'!$I:$I)</f>
        <v>gibbosus</v>
      </c>
      <c r="G4514" t="str">
        <f>_xlfn.XLOOKUP(A4514,'[1]Tissue Data'!$A:$A,'[1]Tissue Data'!J:J)</f>
        <v>U</v>
      </c>
      <c r="H4514" t="str">
        <f>_xlfn.XLOOKUP(A4514,'[1]Tissue Data'!$A:$A,'[1]Tissue Data'!K:K)</f>
        <v>Whole Body</v>
      </c>
      <c r="I4514">
        <f>_xlfn.XLOOKUP(A4514,'[1]Tissue Data'!$A:$A,'[1]Tissue Data'!L:L)</f>
        <v>8.5</v>
      </c>
      <c r="J4514">
        <f>_xlfn.XLOOKUP(A4514,'[1]Tissue Data'!$A:$A,'[1]Tissue Data'!M:M)</f>
        <v>14.64</v>
      </c>
      <c r="K4514" t="s">
        <v>24</v>
      </c>
      <c r="L4514" t="str">
        <f>_xlfn.XLOOKUP(K4514,[2]analyte_order!$B:$B,[2]analyte_order!$C:$C)</f>
        <v>423-41-6</v>
      </c>
      <c r="M4514">
        <f>_xlfn.XLOOKUP(L4514,[2]analyte_order!$C:$C,[2]analyte_order!$E:$E)</f>
        <v>53</v>
      </c>
      <c r="N4514">
        <v>5.0500000000000003E-2</v>
      </c>
    </row>
    <row r="4515" spans="1:14">
      <c r="A4515" t="s">
        <v>269</v>
      </c>
      <c r="B4515" t="str">
        <f>_xlfn.XLOOKUP(A4515,'[1]Tissue Data'!$A:$A,'[1]Tissue Data'!$C:$C)</f>
        <v>Spill</v>
      </c>
      <c r="C4515" s="2">
        <f>_xlfn.XLOOKUP(A4515,'[1]Tissue Data'!$A:$A,'[1]Tissue Data'!$D:$D)</f>
        <v>44393</v>
      </c>
      <c r="D4515" s="2" t="str">
        <f>_xlfn.XLOOKUP(A4515,'[1]Tissue Data'!$A:$A,'[1]Tissue Data'!$F:$F)</f>
        <v>Pumpkinseed</v>
      </c>
      <c r="E4515" t="str">
        <f>_xlfn.XLOOKUP(A4515,'[1]Tissue Data'!$A:$A,'[1]Tissue Data'!$H:$H)</f>
        <v>Lepomis</v>
      </c>
      <c r="F4515" t="str">
        <f>_xlfn.XLOOKUP(A4515,'[1]Tissue Data'!$A:$A,'[1]Tissue Data'!$I:$I)</f>
        <v>gibbosus</v>
      </c>
      <c r="G4515" t="str">
        <f>_xlfn.XLOOKUP(A4515,'[1]Tissue Data'!$A:$A,'[1]Tissue Data'!J:J)</f>
        <v>U</v>
      </c>
      <c r="H4515" t="str">
        <f>_xlfn.XLOOKUP(A4515,'[1]Tissue Data'!$A:$A,'[1]Tissue Data'!K:K)</f>
        <v>Whole Body</v>
      </c>
      <c r="I4515">
        <f>_xlfn.XLOOKUP(A4515,'[1]Tissue Data'!$A:$A,'[1]Tissue Data'!L:L)</f>
        <v>8.5</v>
      </c>
      <c r="J4515">
        <f>_xlfn.XLOOKUP(A4515,'[1]Tissue Data'!$A:$A,'[1]Tissue Data'!M:M)</f>
        <v>14.64</v>
      </c>
      <c r="K4515" t="s">
        <v>25</v>
      </c>
      <c r="L4515" t="str">
        <f>_xlfn.XLOOKUP(K4515,[2]analyte_order!$B:$B,[2]analyte_order!$C:$C)</f>
        <v>375-73-5</v>
      </c>
      <c r="M4515">
        <f>_xlfn.XLOOKUP(L4515,[2]analyte_order!$C:$C,[2]analyte_order!$E:$E)</f>
        <v>14</v>
      </c>
      <c r="N4515">
        <v>0.14899999999999999</v>
      </c>
    </row>
    <row r="4516" spans="1:14">
      <c r="A4516" t="s">
        <v>269</v>
      </c>
      <c r="B4516" t="str">
        <f>_xlfn.XLOOKUP(A4516,'[1]Tissue Data'!$A:$A,'[1]Tissue Data'!$C:$C)</f>
        <v>Spill</v>
      </c>
      <c r="C4516" s="2">
        <f>_xlfn.XLOOKUP(A4516,'[1]Tissue Data'!$A:$A,'[1]Tissue Data'!$D:$D)</f>
        <v>44393</v>
      </c>
      <c r="D4516" s="2" t="str">
        <f>_xlfn.XLOOKUP(A4516,'[1]Tissue Data'!$A:$A,'[1]Tissue Data'!$F:$F)</f>
        <v>Pumpkinseed</v>
      </c>
      <c r="E4516" t="str">
        <f>_xlfn.XLOOKUP(A4516,'[1]Tissue Data'!$A:$A,'[1]Tissue Data'!$H:$H)</f>
        <v>Lepomis</v>
      </c>
      <c r="F4516" t="str">
        <f>_xlfn.XLOOKUP(A4516,'[1]Tissue Data'!$A:$A,'[1]Tissue Data'!$I:$I)</f>
        <v>gibbosus</v>
      </c>
      <c r="G4516" t="str">
        <f>_xlfn.XLOOKUP(A4516,'[1]Tissue Data'!$A:$A,'[1]Tissue Data'!J:J)</f>
        <v>U</v>
      </c>
      <c r="H4516" t="str">
        <f>_xlfn.XLOOKUP(A4516,'[1]Tissue Data'!$A:$A,'[1]Tissue Data'!K:K)</f>
        <v>Whole Body</v>
      </c>
      <c r="I4516">
        <f>_xlfn.XLOOKUP(A4516,'[1]Tissue Data'!$A:$A,'[1]Tissue Data'!L:L)</f>
        <v>8.5</v>
      </c>
      <c r="J4516">
        <f>_xlfn.XLOOKUP(A4516,'[1]Tissue Data'!$A:$A,'[1]Tissue Data'!M:M)</f>
        <v>14.64</v>
      </c>
      <c r="K4516" t="s">
        <v>26</v>
      </c>
      <c r="L4516" t="str">
        <f>_xlfn.XLOOKUP(K4516,[2]analyte_order!$B:$B,[2]analyte_order!$C:$C)</f>
        <v>2706-91-4</v>
      </c>
      <c r="M4516">
        <f>_xlfn.XLOOKUP(L4516,[2]analyte_order!$C:$C,[2]analyte_order!$E:$E)</f>
        <v>15</v>
      </c>
      <c r="N4516">
        <v>0.11600000000000001</v>
      </c>
    </row>
    <row r="4517" spans="1:14">
      <c r="A4517" t="s">
        <v>269</v>
      </c>
      <c r="B4517" t="str">
        <f>_xlfn.XLOOKUP(A4517,'[1]Tissue Data'!$A:$A,'[1]Tissue Data'!$C:$C)</f>
        <v>Spill</v>
      </c>
      <c r="C4517" s="2">
        <f>_xlfn.XLOOKUP(A4517,'[1]Tissue Data'!$A:$A,'[1]Tissue Data'!$D:$D)</f>
        <v>44393</v>
      </c>
      <c r="D4517" s="2" t="str">
        <f>_xlfn.XLOOKUP(A4517,'[1]Tissue Data'!$A:$A,'[1]Tissue Data'!$F:$F)</f>
        <v>Pumpkinseed</v>
      </c>
      <c r="E4517" t="str">
        <f>_xlfn.XLOOKUP(A4517,'[1]Tissue Data'!$A:$A,'[1]Tissue Data'!$H:$H)</f>
        <v>Lepomis</v>
      </c>
      <c r="F4517" t="str">
        <f>_xlfn.XLOOKUP(A4517,'[1]Tissue Data'!$A:$A,'[1]Tissue Data'!$I:$I)</f>
        <v>gibbosus</v>
      </c>
      <c r="G4517" t="str">
        <f>_xlfn.XLOOKUP(A4517,'[1]Tissue Data'!$A:$A,'[1]Tissue Data'!J:J)</f>
        <v>U</v>
      </c>
      <c r="H4517" t="str">
        <f>_xlfn.XLOOKUP(A4517,'[1]Tissue Data'!$A:$A,'[1]Tissue Data'!K:K)</f>
        <v>Whole Body</v>
      </c>
      <c r="I4517">
        <f>_xlfn.XLOOKUP(A4517,'[1]Tissue Data'!$A:$A,'[1]Tissue Data'!L:L)</f>
        <v>8.5</v>
      </c>
      <c r="J4517">
        <f>_xlfn.XLOOKUP(A4517,'[1]Tissue Data'!$A:$A,'[1]Tissue Data'!M:M)</f>
        <v>14.64</v>
      </c>
      <c r="K4517" t="s">
        <v>27</v>
      </c>
      <c r="L4517" t="str">
        <f>_xlfn.XLOOKUP(K4517,[2]analyte_order!$B:$B,[2]analyte_order!$C:$C)</f>
        <v>355-46-4</v>
      </c>
      <c r="M4517">
        <f>_xlfn.XLOOKUP(L4517,[2]analyte_order!$C:$C,[2]analyte_order!$E:$E)</f>
        <v>16</v>
      </c>
      <c r="N4517">
        <v>6.13</v>
      </c>
    </row>
    <row r="4518" spans="1:14">
      <c r="A4518" t="s">
        <v>269</v>
      </c>
      <c r="B4518" t="str">
        <f>_xlfn.XLOOKUP(A4518,'[1]Tissue Data'!$A:$A,'[1]Tissue Data'!$C:$C)</f>
        <v>Spill</v>
      </c>
      <c r="C4518" s="2">
        <f>_xlfn.XLOOKUP(A4518,'[1]Tissue Data'!$A:$A,'[1]Tissue Data'!$D:$D)</f>
        <v>44393</v>
      </c>
      <c r="D4518" s="2" t="str">
        <f>_xlfn.XLOOKUP(A4518,'[1]Tissue Data'!$A:$A,'[1]Tissue Data'!$F:$F)</f>
        <v>Pumpkinseed</v>
      </c>
      <c r="E4518" t="str">
        <f>_xlfn.XLOOKUP(A4518,'[1]Tissue Data'!$A:$A,'[1]Tissue Data'!$H:$H)</f>
        <v>Lepomis</v>
      </c>
      <c r="F4518" t="str">
        <f>_xlfn.XLOOKUP(A4518,'[1]Tissue Data'!$A:$A,'[1]Tissue Data'!$I:$I)</f>
        <v>gibbosus</v>
      </c>
      <c r="G4518" t="str">
        <f>_xlfn.XLOOKUP(A4518,'[1]Tissue Data'!$A:$A,'[1]Tissue Data'!J:J)</f>
        <v>U</v>
      </c>
      <c r="H4518" t="str">
        <f>_xlfn.XLOOKUP(A4518,'[1]Tissue Data'!$A:$A,'[1]Tissue Data'!K:K)</f>
        <v>Whole Body</v>
      </c>
      <c r="I4518">
        <f>_xlfn.XLOOKUP(A4518,'[1]Tissue Data'!$A:$A,'[1]Tissue Data'!L:L)</f>
        <v>8.5</v>
      </c>
      <c r="J4518">
        <f>_xlfn.XLOOKUP(A4518,'[1]Tissue Data'!$A:$A,'[1]Tissue Data'!M:M)</f>
        <v>14.64</v>
      </c>
      <c r="K4518" t="s">
        <v>28</v>
      </c>
      <c r="L4518" t="str">
        <f>_xlfn.XLOOKUP(K4518,[2]analyte_order!$B:$B,[2]analyte_order!$C:$C)</f>
        <v>375-92-8</v>
      </c>
      <c r="M4518">
        <f>_xlfn.XLOOKUP(L4518,[2]analyte_order!$C:$C,[2]analyte_order!$E:$E)</f>
        <v>17</v>
      </c>
      <c r="N4518">
        <v>1.36</v>
      </c>
    </row>
    <row r="4519" spans="1:14">
      <c r="A4519" t="s">
        <v>269</v>
      </c>
      <c r="B4519" t="str">
        <f>_xlfn.XLOOKUP(A4519,'[1]Tissue Data'!$A:$A,'[1]Tissue Data'!$C:$C)</f>
        <v>Spill</v>
      </c>
      <c r="C4519" s="2">
        <f>_xlfn.XLOOKUP(A4519,'[1]Tissue Data'!$A:$A,'[1]Tissue Data'!$D:$D)</f>
        <v>44393</v>
      </c>
      <c r="D4519" s="2" t="str">
        <f>_xlfn.XLOOKUP(A4519,'[1]Tissue Data'!$A:$A,'[1]Tissue Data'!$F:$F)</f>
        <v>Pumpkinseed</v>
      </c>
      <c r="E4519" t="str">
        <f>_xlfn.XLOOKUP(A4519,'[1]Tissue Data'!$A:$A,'[1]Tissue Data'!$H:$H)</f>
        <v>Lepomis</v>
      </c>
      <c r="F4519" t="str">
        <f>_xlfn.XLOOKUP(A4519,'[1]Tissue Data'!$A:$A,'[1]Tissue Data'!$I:$I)</f>
        <v>gibbosus</v>
      </c>
      <c r="G4519" t="str">
        <f>_xlfn.XLOOKUP(A4519,'[1]Tissue Data'!$A:$A,'[1]Tissue Data'!J:J)</f>
        <v>U</v>
      </c>
      <c r="H4519" t="str">
        <f>_xlfn.XLOOKUP(A4519,'[1]Tissue Data'!$A:$A,'[1]Tissue Data'!K:K)</f>
        <v>Whole Body</v>
      </c>
      <c r="I4519">
        <f>_xlfn.XLOOKUP(A4519,'[1]Tissue Data'!$A:$A,'[1]Tissue Data'!L:L)</f>
        <v>8.5</v>
      </c>
      <c r="J4519">
        <f>_xlfn.XLOOKUP(A4519,'[1]Tissue Data'!$A:$A,'[1]Tissue Data'!M:M)</f>
        <v>14.64</v>
      </c>
      <c r="K4519" t="s">
        <v>29</v>
      </c>
      <c r="L4519" t="str">
        <f>_xlfn.XLOOKUP(K4519,[2]analyte_order!$B:$B,[2]analyte_order!$C:$C)</f>
        <v>1763-23-1</v>
      </c>
      <c r="M4519">
        <f>_xlfn.XLOOKUP(L4519,[2]analyte_order!$C:$C,[2]analyte_order!$E:$E)</f>
        <v>18</v>
      </c>
      <c r="N4519">
        <v>1050</v>
      </c>
    </row>
    <row r="4520" spans="1:14">
      <c r="A4520" t="s">
        <v>269</v>
      </c>
      <c r="B4520" t="str">
        <f>_xlfn.XLOOKUP(A4520,'[1]Tissue Data'!$A:$A,'[1]Tissue Data'!$C:$C)</f>
        <v>Spill</v>
      </c>
      <c r="C4520" s="2">
        <f>_xlfn.XLOOKUP(A4520,'[1]Tissue Data'!$A:$A,'[1]Tissue Data'!$D:$D)</f>
        <v>44393</v>
      </c>
      <c r="D4520" s="2" t="str">
        <f>_xlfn.XLOOKUP(A4520,'[1]Tissue Data'!$A:$A,'[1]Tissue Data'!$F:$F)</f>
        <v>Pumpkinseed</v>
      </c>
      <c r="E4520" t="str">
        <f>_xlfn.XLOOKUP(A4520,'[1]Tissue Data'!$A:$A,'[1]Tissue Data'!$H:$H)</f>
        <v>Lepomis</v>
      </c>
      <c r="F4520" t="str">
        <f>_xlfn.XLOOKUP(A4520,'[1]Tissue Data'!$A:$A,'[1]Tissue Data'!$I:$I)</f>
        <v>gibbosus</v>
      </c>
      <c r="G4520" t="str">
        <f>_xlfn.XLOOKUP(A4520,'[1]Tissue Data'!$A:$A,'[1]Tissue Data'!J:J)</f>
        <v>U</v>
      </c>
      <c r="H4520" t="str">
        <f>_xlfn.XLOOKUP(A4520,'[1]Tissue Data'!$A:$A,'[1]Tissue Data'!K:K)</f>
        <v>Whole Body</v>
      </c>
      <c r="I4520">
        <f>_xlfn.XLOOKUP(A4520,'[1]Tissue Data'!$A:$A,'[1]Tissue Data'!L:L)</f>
        <v>8.5</v>
      </c>
      <c r="J4520">
        <f>_xlfn.XLOOKUP(A4520,'[1]Tissue Data'!$A:$A,'[1]Tissue Data'!M:M)</f>
        <v>14.64</v>
      </c>
      <c r="K4520" t="s">
        <v>30</v>
      </c>
      <c r="L4520" t="str">
        <f>_xlfn.XLOOKUP(K4520,[2]analyte_order!$B:$B,[2]analyte_order!$C:$C)</f>
        <v>68259-12-1</v>
      </c>
      <c r="M4520">
        <f>_xlfn.XLOOKUP(L4520,[2]analyte_order!$C:$C,[2]analyte_order!$E:$E)</f>
        <v>19</v>
      </c>
      <c r="N4520">
        <v>2.29</v>
      </c>
    </row>
    <row r="4521" spans="1:14">
      <c r="A4521" t="s">
        <v>269</v>
      </c>
      <c r="B4521" t="str">
        <f>_xlfn.XLOOKUP(A4521,'[1]Tissue Data'!$A:$A,'[1]Tissue Data'!$C:$C)</f>
        <v>Spill</v>
      </c>
      <c r="C4521" s="2">
        <f>_xlfn.XLOOKUP(A4521,'[1]Tissue Data'!$A:$A,'[1]Tissue Data'!$D:$D)</f>
        <v>44393</v>
      </c>
      <c r="D4521" s="2" t="str">
        <f>_xlfn.XLOOKUP(A4521,'[1]Tissue Data'!$A:$A,'[1]Tissue Data'!$F:$F)</f>
        <v>Pumpkinseed</v>
      </c>
      <c r="E4521" t="str">
        <f>_xlfn.XLOOKUP(A4521,'[1]Tissue Data'!$A:$A,'[1]Tissue Data'!$H:$H)</f>
        <v>Lepomis</v>
      </c>
      <c r="F4521" t="str">
        <f>_xlfn.XLOOKUP(A4521,'[1]Tissue Data'!$A:$A,'[1]Tissue Data'!$I:$I)</f>
        <v>gibbosus</v>
      </c>
      <c r="G4521" t="str">
        <f>_xlfn.XLOOKUP(A4521,'[1]Tissue Data'!$A:$A,'[1]Tissue Data'!J:J)</f>
        <v>U</v>
      </c>
      <c r="H4521" t="str">
        <f>_xlfn.XLOOKUP(A4521,'[1]Tissue Data'!$A:$A,'[1]Tissue Data'!K:K)</f>
        <v>Whole Body</v>
      </c>
      <c r="I4521">
        <f>_xlfn.XLOOKUP(A4521,'[1]Tissue Data'!$A:$A,'[1]Tissue Data'!L:L)</f>
        <v>8.5</v>
      </c>
      <c r="J4521">
        <f>_xlfn.XLOOKUP(A4521,'[1]Tissue Data'!$A:$A,'[1]Tissue Data'!M:M)</f>
        <v>14.64</v>
      </c>
      <c r="K4521" t="s">
        <v>31</v>
      </c>
      <c r="L4521" t="str">
        <f>_xlfn.XLOOKUP(K4521,[2]analyte_order!$B:$B,[2]analyte_order!$C:$C)</f>
        <v>335-77-3</v>
      </c>
      <c r="M4521">
        <f>_xlfn.XLOOKUP(L4521,[2]analyte_order!$C:$C,[2]analyte_order!$E:$E)</f>
        <v>20</v>
      </c>
      <c r="N4521">
        <v>2.1800000000000002</v>
      </c>
    </row>
    <row r="4522" spans="1:14">
      <c r="A4522" t="s">
        <v>269</v>
      </c>
      <c r="B4522" t="str">
        <f>_xlfn.XLOOKUP(A4522,'[1]Tissue Data'!$A:$A,'[1]Tissue Data'!$C:$C)</f>
        <v>Spill</v>
      </c>
      <c r="C4522" s="2">
        <f>_xlfn.XLOOKUP(A4522,'[1]Tissue Data'!$A:$A,'[1]Tissue Data'!$D:$D)</f>
        <v>44393</v>
      </c>
      <c r="D4522" s="2" t="str">
        <f>_xlfn.XLOOKUP(A4522,'[1]Tissue Data'!$A:$A,'[1]Tissue Data'!$F:$F)</f>
        <v>Pumpkinseed</v>
      </c>
      <c r="E4522" t="str">
        <f>_xlfn.XLOOKUP(A4522,'[1]Tissue Data'!$A:$A,'[1]Tissue Data'!$H:$H)</f>
        <v>Lepomis</v>
      </c>
      <c r="F4522" t="str">
        <f>_xlfn.XLOOKUP(A4522,'[1]Tissue Data'!$A:$A,'[1]Tissue Data'!$I:$I)</f>
        <v>gibbosus</v>
      </c>
      <c r="G4522" t="str">
        <f>_xlfn.XLOOKUP(A4522,'[1]Tissue Data'!$A:$A,'[1]Tissue Data'!J:J)</f>
        <v>U</v>
      </c>
      <c r="H4522" t="str">
        <f>_xlfn.XLOOKUP(A4522,'[1]Tissue Data'!$A:$A,'[1]Tissue Data'!K:K)</f>
        <v>Whole Body</v>
      </c>
      <c r="I4522">
        <f>_xlfn.XLOOKUP(A4522,'[1]Tissue Data'!$A:$A,'[1]Tissue Data'!L:L)</f>
        <v>8.5</v>
      </c>
      <c r="J4522">
        <f>_xlfn.XLOOKUP(A4522,'[1]Tissue Data'!$A:$A,'[1]Tissue Data'!M:M)</f>
        <v>14.64</v>
      </c>
      <c r="K4522" t="s">
        <v>32</v>
      </c>
      <c r="L4522" t="str">
        <f>_xlfn.XLOOKUP(K4522,[2]analyte_order!$B:$B,[2]analyte_order!$C:$C)</f>
        <v>79780-39-5</v>
      </c>
      <c r="M4522">
        <f>_xlfn.XLOOKUP(L4522,[2]analyte_order!$C:$C,[2]analyte_order!$E:$E)</f>
        <v>21</v>
      </c>
      <c r="N4522">
        <v>1.2</v>
      </c>
    </row>
    <row r="4523" spans="1:14">
      <c r="A4523" t="s">
        <v>269</v>
      </c>
      <c r="B4523" t="str">
        <f>_xlfn.XLOOKUP(A4523,'[1]Tissue Data'!$A:$A,'[1]Tissue Data'!$C:$C)</f>
        <v>Spill</v>
      </c>
      <c r="C4523" s="2">
        <f>_xlfn.XLOOKUP(A4523,'[1]Tissue Data'!$A:$A,'[1]Tissue Data'!$D:$D)</f>
        <v>44393</v>
      </c>
      <c r="D4523" s="2" t="str">
        <f>_xlfn.XLOOKUP(A4523,'[1]Tissue Data'!$A:$A,'[1]Tissue Data'!$F:$F)</f>
        <v>Pumpkinseed</v>
      </c>
      <c r="E4523" t="str">
        <f>_xlfn.XLOOKUP(A4523,'[1]Tissue Data'!$A:$A,'[1]Tissue Data'!$H:$H)</f>
        <v>Lepomis</v>
      </c>
      <c r="F4523" t="str">
        <f>_xlfn.XLOOKUP(A4523,'[1]Tissue Data'!$A:$A,'[1]Tissue Data'!$I:$I)</f>
        <v>gibbosus</v>
      </c>
      <c r="G4523" t="str">
        <f>_xlfn.XLOOKUP(A4523,'[1]Tissue Data'!$A:$A,'[1]Tissue Data'!J:J)</f>
        <v>U</v>
      </c>
      <c r="H4523" t="str">
        <f>_xlfn.XLOOKUP(A4523,'[1]Tissue Data'!$A:$A,'[1]Tissue Data'!K:K)</f>
        <v>Whole Body</v>
      </c>
      <c r="I4523">
        <f>_xlfn.XLOOKUP(A4523,'[1]Tissue Data'!$A:$A,'[1]Tissue Data'!L:L)</f>
        <v>8.5</v>
      </c>
      <c r="J4523">
        <f>_xlfn.XLOOKUP(A4523,'[1]Tissue Data'!$A:$A,'[1]Tissue Data'!M:M)</f>
        <v>14.64</v>
      </c>
      <c r="K4523" t="s">
        <v>33</v>
      </c>
      <c r="L4523" t="str">
        <f>_xlfn.XLOOKUP(K4523,[2]analyte_order!$B:$B,[2]analyte_order!$C:$C)</f>
        <v>777011-38-8</v>
      </c>
      <c r="M4523">
        <f>_xlfn.XLOOKUP(L4523,[2]analyte_order!$C:$C,[2]analyte_order!$E:$E)</f>
        <v>54</v>
      </c>
      <c r="N4523">
        <v>0.13300000000000001</v>
      </c>
    </row>
    <row r="4524" spans="1:14">
      <c r="A4524" t="s">
        <v>269</v>
      </c>
      <c r="B4524" t="str">
        <f>_xlfn.XLOOKUP(A4524,'[1]Tissue Data'!$A:$A,'[1]Tissue Data'!$C:$C)</f>
        <v>Spill</v>
      </c>
      <c r="C4524" s="2">
        <f>_xlfn.XLOOKUP(A4524,'[1]Tissue Data'!$A:$A,'[1]Tissue Data'!$D:$D)</f>
        <v>44393</v>
      </c>
      <c r="D4524" s="2" t="str">
        <f>_xlfn.XLOOKUP(A4524,'[1]Tissue Data'!$A:$A,'[1]Tissue Data'!$F:$F)</f>
        <v>Pumpkinseed</v>
      </c>
      <c r="E4524" t="str">
        <f>_xlfn.XLOOKUP(A4524,'[1]Tissue Data'!$A:$A,'[1]Tissue Data'!$H:$H)</f>
        <v>Lepomis</v>
      </c>
      <c r="F4524" t="str">
        <f>_xlfn.XLOOKUP(A4524,'[1]Tissue Data'!$A:$A,'[1]Tissue Data'!$I:$I)</f>
        <v>gibbosus</v>
      </c>
      <c r="G4524" t="str">
        <f>_xlfn.XLOOKUP(A4524,'[1]Tissue Data'!$A:$A,'[1]Tissue Data'!J:J)</f>
        <v>U</v>
      </c>
      <c r="H4524" t="str">
        <f>_xlfn.XLOOKUP(A4524,'[1]Tissue Data'!$A:$A,'[1]Tissue Data'!K:K)</f>
        <v>Whole Body</v>
      </c>
      <c r="I4524">
        <f>_xlfn.XLOOKUP(A4524,'[1]Tissue Data'!$A:$A,'[1]Tissue Data'!L:L)</f>
        <v>8.5</v>
      </c>
      <c r="J4524">
        <f>_xlfn.XLOOKUP(A4524,'[1]Tissue Data'!$A:$A,'[1]Tissue Data'!M:M)</f>
        <v>14.64</v>
      </c>
      <c r="K4524" t="s">
        <v>34</v>
      </c>
      <c r="L4524" t="str">
        <f>_xlfn.XLOOKUP(K4524,[2]analyte_order!$B:$B,[2]analyte_order!$C:$C)</f>
        <v>646-83-3</v>
      </c>
      <c r="M4524">
        <f>_xlfn.XLOOKUP(L4524,[2]analyte_order!$C:$C,[2]analyte_order!$E:$E)</f>
        <v>55</v>
      </c>
      <c r="N4524">
        <v>8.7499999999999994E-2</v>
      </c>
    </row>
    <row r="4525" spans="1:14">
      <c r="A4525" t="s">
        <v>269</v>
      </c>
      <c r="B4525" t="str">
        <f>_xlfn.XLOOKUP(A4525,'[1]Tissue Data'!$A:$A,'[1]Tissue Data'!$C:$C)</f>
        <v>Spill</v>
      </c>
      <c r="C4525" s="2">
        <f>_xlfn.XLOOKUP(A4525,'[1]Tissue Data'!$A:$A,'[1]Tissue Data'!$D:$D)</f>
        <v>44393</v>
      </c>
      <c r="D4525" s="2" t="str">
        <f>_xlfn.XLOOKUP(A4525,'[1]Tissue Data'!$A:$A,'[1]Tissue Data'!$F:$F)</f>
        <v>Pumpkinseed</v>
      </c>
      <c r="E4525" t="str">
        <f>_xlfn.XLOOKUP(A4525,'[1]Tissue Data'!$A:$A,'[1]Tissue Data'!$H:$H)</f>
        <v>Lepomis</v>
      </c>
      <c r="F4525" t="str">
        <f>_xlfn.XLOOKUP(A4525,'[1]Tissue Data'!$A:$A,'[1]Tissue Data'!$I:$I)</f>
        <v>gibbosus</v>
      </c>
      <c r="G4525" t="str">
        <f>_xlfn.XLOOKUP(A4525,'[1]Tissue Data'!$A:$A,'[1]Tissue Data'!J:J)</f>
        <v>U</v>
      </c>
      <c r="H4525" t="str">
        <f>_xlfn.XLOOKUP(A4525,'[1]Tissue Data'!$A:$A,'[1]Tissue Data'!K:K)</f>
        <v>Whole Body</v>
      </c>
      <c r="I4525">
        <f>_xlfn.XLOOKUP(A4525,'[1]Tissue Data'!$A:$A,'[1]Tissue Data'!L:L)</f>
        <v>8.5</v>
      </c>
      <c r="J4525">
        <f>_xlfn.XLOOKUP(A4525,'[1]Tissue Data'!$A:$A,'[1]Tissue Data'!M:M)</f>
        <v>14.64</v>
      </c>
      <c r="K4525" t="s">
        <v>35</v>
      </c>
      <c r="L4525" t="str">
        <f>_xlfn.XLOOKUP(K4525,[2]analyte_order!$B:$B,[2]analyte_order!$C:$C)</f>
        <v>30334-69-1</v>
      </c>
      <c r="M4525">
        <f>_xlfn.XLOOKUP(L4525,[2]analyte_order!$C:$C,[2]analyte_order!$E:$E)</f>
        <v>51</v>
      </c>
      <c r="N4525">
        <v>21.7</v>
      </c>
    </row>
    <row r="4526" spans="1:14">
      <c r="A4526" t="s">
        <v>269</v>
      </c>
      <c r="B4526" t="str">
        <f>_xlfn.XLOOKUP(A4526,'[1]Tissue Data'!$A:$A,'[1]Tissue Data'!$C:$C)</f>
        <v>Spill</v>
      </c>
      <c r="C4526" s="2">
        <f>_xlfn.XLOOKUP(A4526,'[1]Tissue Data'!$A:$A,'[1]Tissue Data'!$D:$D)</f>
        <v>44393</v>
      </c>
      <c r="D4526" s="2" t="str">
        <f>_xlfn.XLOOKUP(A4526,'[1]Tissue Data'!$A:$A,'[1]Tissue Data'!$F:$F)</f>
        <v>Pumpkinseed</v>
      </c>
      <c r="E4526" t="str">
        <f>_xlfn.XLOOKUP(A4526,'[1]Tissue Data'!$A:$A,'[1]Tissue Data'!$H:$H)</f>
        <v>Lepomis</v>
      </c>
      <c r="F4526" t="str">
        <f>_xlfn.XLOOKUP(A4526,'[1]Tissue Data'!$A:$A,'[1]Tissue Data'!$I:$I)</f>
        <v>gibbosus</v>
      </c>
      <c r="G4526" t="str">
        <f>_xlfn.XLOOKUP(A4526,'[1]Tissue Data'!$A:$A,'[1]Tissue Data'!J:J)</f>
        <v>U</v>
      </c>
      <c r="H4526" t="str">
        <f>_xlfn.XLOOKUP(A4526,'[1]Tissue Data'!$A:$A,'[1]Tissue Data'!K:K)</f>
        <v>Whole Body</v>
      </c>
      <c r="I4526">
        <f>_xlfn.XLOOKUP(A4526,'[1]Tissue Data'!$A:$A,'[1]Tissue Data'!L:L)</f>
        <v>8.5</v>
      </c>
      <c r="J4526">
        <f>_xlfn.XLOOKUP(A4526,'[1]Tissue Data'!$A:$A,'[1]Tissue Data'!M:M)</f>
        <v>14.64</v>
      </c>
      <c r="K4526" t="s">
        <v>36</v>
      </c>
      <c r="L4526" t="str">
        <f>_xlfn.XLOOKUP(K4526,[2]analyte_order!$B:$B,[2]analyte_order!$C:$C)</f>
        <v>41997-13-1</v>
      </c>
      <c r="M4526">
        <f>_xlfn.XLOOKUP(L4526,[2]analyte_order!$C:$C,[2]analyte_order!$E:$E)</f>
        <v>52</v>
      </c>
      <c r="N4526">
        <v>72</v>
      </c>
    </row>
    <row r="4527" spans="1:14">
      <c r="A4527" t="s">
        <v>269</v>
      </c>
      <c r="B4527" t="str">
        <f>_xlfn.XLOOKUP(A4527,'[1]Tissue Data'!$A:$A,'[1]Tissue Data'!$C:$C)</f>
        <v>Spill</v>
      </c>
      <c r="C4527" s="2">
        <f>_xlfn.XLOOKUP(A4527,'[1]Tissue Data'!$A:$A,'[1]Tissue Data'!$D:$D)</f>
        <v>44393</v>
      </c>
      <c r="D4527" s="2" t="str">
        <f>_xlfn.XLOOKUP(A4527,'[1]Tissue Data'!$A:$A,'[1]Tissue Data'!$F:$F)</f>
        <v>Pumpkinseed</v>
      </c>
      <c r="E4527" t="str">
        <f>_xlfn.XLOOKUP(A4527,'[1]Tissue Data'!$A:$A,'[1]Tissue Data'!$H:$H)</f>
        <v>Lepomis</v>
      </c>
      <c r="F4527" t="str">
        <f>_xlfn.XLOOKUP(A4527,'[1]Tissue Data'!$A:$A,'[1]Tissue Data'!$I:$I)</f>
        <v>gibbosus</v>
      </c>
      <c r="G4527" t="str">
        <f>_xlfn.XLOOKUP(A4527,'[1]Tissue Data'!$A:$A,'[1]Tissue Data'!J:J)</f>
        <v>U</v>
      </c>
      <c r="H4527" t="str">
        <f>_xlfn.XLOOKUP(A4527,'[1]Tissue Data'!$A:$A,'[1]Tissue Data'!K:K)</f>
        <v>Whole Body</v>
      </c>
      <c r="I4527">
        <f>_xlfn.XLOOKUP(A4527,'[1]Tissue Data'!$A:$A,'[1]Tissue Data'!L:L)</f>
        <v>8.5</v>
      </c>
      <c r="J4527">
        <f>_xlfn.XLOOKUP(A4527,'[1]Tissue Data'!$A:$A,'[1]Tissue Data'!M:M)</f>
        <v>14.64</v>
      </c>
      <c r="K4527" t="s">
        <v>37</v>
      </c>
      <c r="L4527" t="str">
        <f>_xlfn.XLOOKUP(K4527,[2]analyte_order!$B:$B,[2]analyte_order!$C:$C)</f>
        <v>754-91-6</v>
      </c>
      <c r="M4527">
        <f>_xlfn.XLOOKUP(L4527,[2]analyte_order!$C:$C,[2]analyte_order!$E:$E)</f>
        <v>28</v>
      </c>
      <c r="N4527">
        <v>9.41</v>
      </c>
    </row>
    <row r="4528" spans="1:14">
      <c r="A4528" t="s">
        <v>269</v>
      </c>
      <c r="B4528" t="str">
        <f>_xlfn.XLOOKUP(A4528,'[1]Tissue Data'!$A:$A,'[1]Tissue Data'!$C:$C)</f>
        <v>Spill</v>
      </c>
      <c r="C4528" s="2">
        <f>_xlfn.XLOOKUP(A4528,'[1]Tissue Data'!$A:$A,'[1]Tissue Data'!$D:$D)</f>
        <v>44393</v>
      </c>
      <c r="D4528" s="2" t="str">
        <f>_xlfn.XLOOKUP(A4528,'[1]Tissue Data'!$A:$A,'[1]Tissue Data'!$F:$F)</f>
        <v>Pumpkinseed</v>
      </c>
      <c r="E4528" t="str">
        <f>_xlfn.XLOOKUP(A4528,'[1]Tissue Data'!$A:$A,'[1]Tissue Data'!$H:$H)</f>
        <v>Lepomis</v>
      </c>
      <c r="F4528" t="str">
        <f>_xlfn.XLOOKUP(A4528,'[1]Tissue Data'!$A:$A,'[1]Tissue Data'!$I:$I)</f>
        <v>gibbosus</v>
      </c>
      <c r="G4528" t="str">
        <f>_xlfn.XLOOKUP(A4528,'[1]Tissue Data'!$A:$A,'[1]Tissue Data'!J:J)</f>
        <v>U</v>
      </c>
      <c r="H4528" t="str">
        <f>_xlfn.XLOOKUP(A4528,'[1]Tissue Data'!$A:$A,'[1]Tissue Data'!K:K)</f>
        <v>Whole Body</v>
      </c>
      <c r="I4528">
        <f>_xlfn.XLOOKUP(A4528,'[1]Tissue Data'!$A:$A,'[1]Tissue Data'!L:L)</f>
        <v>8.5</v>
      </c>
      <c r="J4528">
        <f>_xlfn.XLOOKUP(A4528,'[1]Tissue Data'!$A:$A,'[1]Tissue Data'!M:M)</f>
        <v>14.64</v>
      </c>
      <c r="K4528" t="s">
        <v>38</v>
      </c>
      <c r="L4528" t="str">
        <f>_xlfn.XLOOKUP(K4528,[2]analyte_order!$B:$B,[2]analyte_order!$C:$C)</f>
        <v>31506-32-8</v>
      </c>
      <c r="M4528">
        <f>_xlfn.XLOOKUP(L4528,[2]analyte_order!$C:$C,[2]analyte_order!$E:$E)</f>
        <v>30</v>
      </c>
      <c r="N4528">
        <v>5.0999999999999997E-2</v>
      </c>
    </row>
    <row r="4529" spans="1:14">
      <c r="A4529" t="s">
        <v>269</v>
      </c>
      <c r="B4529" t="str">
        <f>_xlfn.XLOOKUP(A4529,'[1]Tissue Data'!$A:$A,'[1]Tissue Data'!$C:$C)</f>
        <v>Spill</v>
      </c>
      <c r="C4529" s="2">
        <f>_xlfn.XLOOKUP(A4529,'[1]Tissue Data'!$A:$A,'[1]Tissue Data'!$D:$D)</f>
        <v>44393</v>
      </c>
      <c r="D4529" s="2" t="str">
        <f>_xlfn.XLOOKUP(A4529,'[1]Tissue Data'!$A:$A,'[1]Tissue Data'!$F:$F)</f>
        <v>Pumpkinseed</v>
      </c>
      <c r="E4529" t="str">
        <f>_xlfn.XLOOKUP(A4529,'[1]Tissue Data'!$A:$A,'[1]Tissue Data'!$H:$H)</f>
        <v>Lepomis</v>
      </c>
      <c r="F4529" t="str">
        <f>_xlfn.XLOOKUP(A4529,'[1]Tissue Data'!$A:$A,'[1]Tissue Data'!$I:$I)</f>
        <v>gibbosus</v>
      </c>
      <c r="G4529" t="str">
        <f>_xlfn.XLOOKUP(A4529,'[1]Tissue Data'!$A:$A,'[1]Tissue Data'!J:J)</f>
        <v>U</v>
      </c>
      <c r="H4529" t="str">
        <f>_xlfn.XLOOKUP(A4529,'[1]Tissue Data'!$A:$A,'[1]Tissue Data'!K:K)</f>
        <v>Whole Body</v>
      </c>
      <c r="I4529">
        <f>_xlfn.XLOOKUP(A4529,'[1]Tissue Data'!$A:$A,'[1]Tissue Data'!L:L)</f>
        <v>8.5</v>
      </c>
      <c r="J4529">
        <f>_xlfn.XLOOKUP(A4529,'[1]Tissue Data'!$A:$A,'[1]Tissue Data'!M:M)</f>
        <v>14.64</v>
      </c>
      <c r="K4529" t="s">
        <v>39</v>
      </c>
      <c r="L4529" t="str">
        <f>_xlfn.XLOOKUP(K4529,[2]analyte_order!$B:$B,[2]analyte_order!$C:$C)</f>
        <v>4151-50-2</v>
      </c>
      <c r="M4529">
        <f>_xlfn.XLOOKUP(L4529,[2]analyte_order!$C:$C,[2]analyte_order!$E:$E)</f>
        <v>31</v>
      </c>
      <c r="N4529">
        <v>7.7499999999999999E-2</v>
      </c>
    </row>
    <row r="4530" spans="1:14">
      <c r="A4530" t="s">
        <v>269</v>
      </c>
      <c r="B4530" t="str">
        <f>_xlfn.XLOOKUP(A4530,'[1]Tissue Data'!$A:$A,'[1]Tissue Data'!$C:$C)</f>
        <v>Spill</v>
      </c>
      <c r="C4530" s="2">
        <f>_xlfn.XLOOKUP(A4530,'[1]Tissue Data'!$A:$A,'[1]Tissue Data'!$D:$D)</f>
        <v>44393</v>
      </c>
      <c r="D4530" s="2" t="str">
        <f>_xlfn.XLOOKUP(A4530,'[1]Tissue Data'!$A:$A,'[1]Tissue Data'!$F:$F)</f>
        <v>Pumpkinseed</v>
      </c>
      <c r="E4530" t="str">
        <f>_xlfn.XLOOKUP(A4530,'[1]Tissue Data'!$A:$A,'[1]Tissue Data'!$H:$H)</f>
        <v>Lepomis</v>
      </c>
      <c r="F4530" t="str">
        <f>_xlfn.XLOOKUP(A4530,'[1]Tissue Data'!$A:$A,'[1]Tissue Data'!$I:$I)</f>
        <v>gibbosus</v>
      </c>
      <c r="G4530" t="str">
        <f>_xlfn.XLOOKUP(A4530,'[1]Tissue Data'!$A:$A,'[1]Tissue Data'!J:J)</f>
        <v>U</v>
      </c>
      <c r="H4530" t="str">
        <f>_xlfn.XLOOKUP(A4530,'[1]Tissue Data'!$A:$A,'[1]Tissue Data'!K:K)</f>
        <v>Whole Body</v>
      </c>
      <c r="I4530">
        <f>_xlfn.XLOOKUP(A4530,'[1]Tissue Data'!$A:$A,'[1]Tissue Data'!L:L)</f>
        <v>8.5</v>
      </c>
      <c r="J4530">
        <f>_xlfn.XLOOKUP(A4530,'[1]Tissue Data'!$A:$A,'[1]Tissue Data'!M:M)</f>
        <v>14.64</v>
      </c>
      <c r="K4530" t="s">
        <v>40</v>
      </c>
      <c r="L4530" t="str">
        <f>_xlfn.XLOOKUP(K4530,[2]analyte_order!$B:$B,[2]analyte_order!$C:$C)</f>
        <v>2806-24-8</v>
      </c>
      <c r="M4530">
        <f>_xlfn.XLOOKUP(L4530,[2]analyte_order!$C:$C,[2]analyte_order!$E:$E)</f>
        <v>29</v>
      </c>
      <c r="N4530">
        <v>5.2499999999999998E-2</v>
      </c>
    </row>
    <row r="4531" spans="1:14">
      <c r="A4531" t="s">
        <v>269</v>
      </c>
      <c r="B4531" t="str">
        <f>_xlfn.XLOOKUP(A4531,'[1]Tissue Data'!$A:$A,'[1]Tissue Data'!$C:$C)</f>
        <v>Spill</v>
      </c>
      <c r="C4531" s="2">
        <f>_xlfn.XLOOKUP(A4531,'[1]Tissue Data'!$A:$A,'[1]Tissue Data'!$D:$D)</f>
        <v>44393</v>
      </c>
      <c r="D4531" s="2" t="str">
        <f>_xlfn.XLOOKUP(A4531,'[1]Tissue Data'!$A:$A,'[1]Tissue Data'!$F:$F)</f>
        <v>Pumpkinseed</v>
      </c>
      <c r="E4531" t="str">
        <f>_xlfn.XLOOKUP(A4531,'[1]Tissue Data'!$A:$A,'[1]Tissue Data'!$H:$H)</f>
        <v>Lepomis</v>
      </c>
      <c r="F4531" t="str">
        <f>_xlfn.XLOOKUP(A4531,'[1]Tissue Data'!$A:$A,'[1]Tissue Data'!$I:$I)</f>
        <v>gibbosus</v>
      </c>
      <c r="G4531" t="str">
        <f>_xlfn.XLOOKUP(A4531,'[1]Tissue Data'!$A:$A,'[1]Tissue Data'!J:J)</f>
        <v>U</v>
      </c>
      <c r="H4531" t="str">
        <f>_xlfn.XLOOKUP(A4531,'[1]Tissue Data'!$A:$A,'[1]Tissue Data'!K:K)</f>
        <v>Whole Body</v>
      </c>
      <c r="I4531">
        <f>_xlfn.XLOOKUP(A4531,'[1]Tissue Data'!$A:$A,'[1]Tissue Data'!L:L)</f>
        <v>8.5</v>
      </c>
      <c r="J4531">
        <f>_xlfn.XLOOKUP(A4531,'[1]Tissue Data'!$A:$A,'[1]Tissue Data'!M:M)</f>
        <v>14.64</v>
      </c>
      <c r="K4531" t="s">
        <v>41</v>
      </c>
      <c r="L4531" t="str">
        <f>_xlfn.XLOOKUP(K4531,[2]analyte_order!$B:$B,[2]analyte_order!$C:$C)</f>
        <v>2355-31-9</v>
      </c>
      <c r="M4531">
        <f>_xlfn.XLOOKUP(L4531,[2]analyte_order!$C:$C,[2]analyte_order!$E:$E)</f>
        <v>26</v>
      </c>
      <c r="N4531">
        <v>0.66500000000000004</v>
      </c>
    </row>
    <row r="4532" spans="1:14">
      <c r="A4532" t="s">
        <v>269</v>
      </c>
      <c r="B4532" t="str">
        <f>_xlfn.XLOOKUP(A4532,'[1]Tissue Data'!$A:$A,'[1]Tissue Data'!$C:$C)</f>
        <v>Spill</v>
      </c>
      <c r="C4532" s="2">
        <f>_xlfn.XLOOKUP(A4532,'[1]Tissue Data'!$A:$A,'[1]Tissue Data'!$D:$D)</f>
        <v>44393</v>
      </c>
      <c r="D4532" s="2" t="str">
        <f>_xlfn.XLOOKUP(A4532,'[1]Tissue Data'!$A:$A,'[1]Tissue Data'!$F:$F)</f>
        <v>Pumpkinseed</v>
      </c>
      <c r="E4532" t="str">
        <f>_xlfn.XLOOKUP(A4532,'[1]Tissue Data'!$A:$A,'[1]Tissue Data'!$H:$H)</f>
        <v>Lepomis</v>
      </c>
      <c r="F4532" t="str">
        <f>_xlfn.XLOOKUP(A4532,'[1]Tissue Data'!$A:$A,'[1]Tissue Data'!$I:$I)</f>
        <v>gibbosus</v>
      </c>
      <c r="G4532" t="str">
        <f>_xlfn.XLOOKUP(A4532,'[1]Tissue Data'!$A:$A,'[1]Tissue Data'!J:J)</f>
        <v>U</v>
      </c>
      <c r="H4532" t="str">
        <f>_xlfn.XLOOKUP(A4532,'[1]Tissue Data'!$A:$A,'[1]Tissue Data'!K:K)</f>
        <v>Whole Body</v>
      </c>
      <c r="I4532">
        <f>_xlfn.XLOOKUP(A4532,'[1]Tissue Data'!$A:$A,'[1]Tissue Data'!L:L)</f>
        <v>8.5</v>
      </c>
      <c r="J4532">
        <f>_xlfn.XLOOKUP(A4532,'[1]Tissue Data'!$A:$A,'[1]Tissue Data'!M:M)</f>
        <v>14.64</v>
      </c>
      <c r="K4532" t="s">
        <v>42</v>
      </c>
      <c r="L4532" t="str">
        <f>_xlfn.XLOOKUP(K4532,[2]analyte_order!$B:$B,[2]analyte_order!$C:$C)</f>
        <v>2991-50-6</v>
      </c>
      <c r="M4532">
        <f>_xlfn.XLOOKUP(L4532,[2]analyte_order!$C:$C,[2]analyte_order!$E:$E)</f>
        <v>27</v>
      </c>
      <c r="N4532">
        <v>5.7500000000000002E-2</v>
      </c>
    </row>
    <row r="4533" spans="1:14">
      <c r="A4533" t="s">
        <v>269</v>
      </c>
      <c r="B4533" t="str">
        <f>_xlfn.XLOOKUP(A4533,'[1]Tissue Data'!$A:$A,'[1]Tissue Data'!$C:$C)</f>
        <v>Spill</v>
      </c>
      <c r="C4533" s="2">
        <f>_xlfn.XLOOKUP(A4533,'[1]Tissue Data'!$A:$A,'[1]Tissue Data'!$D:$D)</f>
        <v>44393</v>
      </c>
      <c r="D4533" s="2" t="str">
        <f>_xlfn.XLOOKUP(A4533,'[1]Tissue Data'!$A:$A,'[1]Tissue Data'!$F:$F)</f>
        <v>Pumpkinseed</v>
      </c>
      <c r="E4533" t="str">
        <f>_xlfn.XLOOKUP(A4533,'[1]Tissue Data'!$A:$A,'[1]Tissue Data'!$H:$H)</f>
        <v>Lepomis</v>
      </c>
      <c r="F4533" t="str">
        <f>_xlfn.XLOOKUP(A4533,'[1]Tissue Data'!$A:$A,'[1]Tissue Data'!$I:$I)</f>
        <v>gibbosus</v>
      </c>
      <c r="G4533" t="str">
        <f>_xlfn.XLOOKUP(A4533,'[1]Tissue Data'!$A:$A,'[1]Tissue Data'!J:J)</f>
        <v>U</v>
      </c>
      <c r="H4533" t="str">
        <f>_xlfn.XLOOKUP(A4533,'[1]Tissue Data'!$A:$A,'[1]Tissue Data'!K:K)</f>
        <v>Whole Body</v>
      </c>
      <c r="I4533">
        <f>_xlfn.XLOOKUP(A4533,'[1]Tissue Data'!$A:$A,'[1]Tissue Data'!L:L)</f>
        <v>8.5</v>
      </c>
      <c r="J4533">
        <f>_xlfn.XLOOKUP(A4533,'[1]Tissue Data'!$A:$A,'[1]Tissue Data'!M:M)</f>
        <v>14.64</v>
      </c>
      <c r="K4533" t="s">
        <v>43</v>
      </c>
      <c r="L4533" t="str">
        <f>_xlfn.XLOOKUP(K4533,[2]analyte_order!$B:$B,[2]analyte_order!$C:$C)</f>
        <v>757124-72-4</v>
      </c>
      <c r="M4533">
        <f>_xlfn.XLOOKUP(L4533,[2]analyte_order!$C:$C,[2]analyte_order!$E:$E)</f>
        <v>22</v>
      </c>
      <c r="N4533">
        <v>5.45E-2</v>
      </c>
    </row>
    <row r="4534" spans="1:14">
      <c r="A4534" t="s">
        <v>269</v>
      </c>
      <c r="B4534" t="str">
        <f>_xlfn.XLOOKUP(A4534,'[1]Tissue Data'!$A:$A,'[1]Tissue Data'!$C:$C)</f>
        <v>Spill</v>
      </c>
      <c r="C4534" s="2">
        <f>_xlfn.XLOOKUP(A4534,'[1]Tissue Data'!$A:$A,'[1]Tissue Data'!$D:$D)</f>
        <v>44393</v>
      </c>
      <c r="D4534" s="2" t="str">
        <f>_xlfn.XLOOKUP(A4534,'[1]Tissue Data'!$A:$A,'[1]Tissue Data'!$F:$F)</f>
        <v>Pumpkinseed</v>
      </c>
      <c r="E4534" t="str">
        <f>_xlfn.XLOOKUP(A4534,'[1]Tissue Data'!$A:$A,'[1]Tissue Data'!$H:$H)</f>
        <v>Lepomis</v>
      </c>
      <c r="F4534" t="str">
        <f>_xlfn.XLOOKUP(A4534,'[1]Tissue Data'!$A:$A,'[1]Tissue Data'!$I:$I)</f>
        <v>gibbosus</v>
      </c>
      <c r="G4534" t="str">
        <f>_xlfn.XLOOKUP(A4534,'[1]Tissue Data'!$A:$A,'[1]Tissue Data'!J:J)</f>
        <v>U</v>
      </c>
      <c r="H4534" t="str">
        <f>_xlfn.XLOOKUP(A4534,'[1]Tissue Data'!$A:$A,'[1]Tissue Data'!K:K)</f>
        <v>Whole Body</v>
      </c>
      <c r="I4534">
        <f>_xlfn.XLOOKUP(A4534,'[1]Tissue Data'!$A:$A,'[1]Tissue Data'!L:L)</f>
        <v>8.5</v>
      </c>
      <c r="J4534">
        <f>_xlfn.XLOOKUP(A4534,'[1]Tissue Data'!$A:$A,'[1]Tissue Data'!M:M)</f>
        <v>14.64</v>
      </c>
      <c r="K4534" t="s">
        <v>44</v>
      </c>
      <c r="L4534" t="str">
        <f>_xlfn.XLOOKUP(K4534,[2]analyte_order!$B:$B,[2]analyte_order!$C:$C)</f>
        <v>27619-97-2</v>
      </c>
      <c r="M4534">
        <f>_xlfn.XLOOKUP(L4534,[2]analyte_order!$C:$C,[2]analyte_order!$E:$E)</f>
        <v>23</v>
      </c>
      <c r="N4534">
        <v>1.29</v>
      </c>
    </row>
    <row r="4535" spans="1:14">
      <c r="A4535" t="s">
        <v>269</v>
      </c>
      <c r="B4535" t="str">
        <f>_xlfn.XLOOKUP(A4535,'[1]Tissue Data'!$A:$A,'[1]Tissue Data'!$C:$C)</f>
        <v>Spill</v>
      </c>
      <c r="C4535" s="2">
        <f>_xlfn.XLOOKUP(A4535,'[1]Tissue Data'!$A:$A,'[1]Tissue Data'!$D:$D)</f>
        <v>44393</v>
      </c>
      <c r="D4535" s="2" t="str">
        <f>_xlfn.XLOOKUP(A4535,'[1]Tissue Data'!$A:$A,'[1]Tissue Data'!$F:$F)</f>
        <v>Pumpkinseed</v>
      </c>
      <c r="E4535" t="str">
        <f>_xlfn.XLOOKUP(A4535,'[1]Tissue Data'!$A:$A,'[1]Tissue Data'!$H:$H)</f>
        <v>Lepomis</v>
      </c>
      <c r="F4535" t="str">
        <f>_xlfn.XLOOKUP(A4535,'[1]Tissue Data'!$A:$A,'[1]Tissue Data'!$I:$I)</f>
        <v>gibbosus</v>
      </c>
      <c r="G4535" t="str">
        <f>_xlfn.XLOOKUP(A4535,'[1]Tissue Data'!$A:$A,'[1]Tissue Data'!J:J)</f>
        <v>U</v>
      </c>
      <c r="H4535" t="str">
        <f>_xlfn.XLOOKUP(A4535,'[1]Tissue Data'!$A:$A,'[1]Tissue Data'!K:K)</f>
        <v>Whole Body</v>
      </c>
      <c r="I4535">
        <f>_xlfn.XLOOKUP(A4535,'[1]Tissue Data'!$A:$A,'[1]Tissue Data'!L:L)</f>
        <v>8.5</v>
      </c>
      <c r="J4535">
        <f>_xlfn.XLOOKUP(A4535,'[1]Tissue Data'!$A:$A,'[1]Tissue Data'!M:M)</f>
        <v>14.64</v>
      </c>
      <c r="K4535" t="s">
        <v>45</v>
      </c>
      <c r="L4535" t="str">
        <f>_xlfn.XLOOKUP(K4535,[2]analyte_order!$B:$B,[2]analyte_order!$C:$C)</f>
        <v>39108-34-4</v>
      </c>
      <c r="M4535">
        <f>_xlfn.XLOOKUP(L4535,[2]analyte_order!$C:$C,[2]analyte_order!$E:$E)</f>
        <v>24</v>
      </c>
      <c r="N4535">
        <v>1.41</v>
      </c>
    </row>
    <row r="4536" spans="1:14">
      <c r="A4536" t="s">
        <v>269</v>
      </c>
      <c r="B4536" t="str">
        <f>_xlfn.XLOOKUP(A4536,'[1]Tissue Data'!$A:$A,'[1]Tissue Data'!$C:$C)</f>
        <v>Spill</v>
      </c>
      <c r="C4536" s="2">
        <f>_xlfn.XLOOKUP(A4536,'[1]Tissue Data'!$A:$A,'[1]Tissue Data'!$D:$D)</f>
        <v>44393</v>
      </c>
      <c r="D4536" s="2" t="str">
        <f>_xlfn.XLOOKUP(A4536,'[1]Tissue Data'!$A:$A,'[1]Tissue Data'!$F:$F)</f>
        <v>Pumpkinseed</v>
      </c>
      <c r="E4536" t="str">
        <f>_xlfn.XLOOKUP(A4536,'[1]Tissue Data'!$A:$A,'[1]Tissue Data'!$H:$H)</f>
        <v>Lepomis</v>
      </c>
      <c r="F4536" t="str">
        <f>_xlfn.XLOOKUP(A4536,'[1]Tissue Data'!$A:$A,'[1]Tissue Data'!$I:$I)</f>
        <v>gibbosus</v>
      </c>
      <c r="G4536" t="str">
        <f>_xlfn.XLOOKUP(A4536,'[1]Tissue Data'!$A:$A,'[1]Tissue Data'!J:J)</f>
        <v>U</v>
      </c>
      <c r="H4536" t="str">
        <f>_xlfn.XLOOKUP(A4536,'[1]Tissue Data'!$A:$A,'[1]Tissue Data'!K:K)</f>
        <v>Whole Body</v>
      </c>
      <c r="I4536">
        <f>_xlfn.XLOOKUP(A4536,'[1]Tissue Data'!$A:$A,'[1]Tissue Data'!L:L)</f>
        <v>8.5</v>
      </c>
      <c r="J4536">
        <f>_xlfn.XLOOKUP(A4536,'[1]Tissue Data'!$A:$A,'[1]Tissue Data'!M:M)</f>
        <v>14.64</v>
      </c>
      <c r="K4536" t="s">
        <v>46</v>
      </c>
      <c r="L4536" t="str">
        <f>_xlfn.XLOOKUP(K4536,[2]analyte_order!$B:$B,[2]analyte_order!$C:$C)</f>
        <v>120226-60-0</v>
      </c>
      <c r="M4536">
        <f>_xlfn.XLOOKUP(L4536,[2]analyte_order!$C:$C,[2]analyte_order!$E:$E)</f>
        <v>25</v>
      </c>
      <c r="N4536">
        <v>0.248</v>
      </c>
    </row>
    <row r="4537" spans="1:14">
      <c r="A4537" t="s">
        <v>269</v>
      </c>
      <c r="B4537" t="str">
        <f>_xlfn.XLOOKUP(A4537,'[1]Tissue Data'!$A:$A,'[1]Tissue Data'!$C:$C)</f>
        <v>Spill</v>
      </c>
      <c r="C4537" s="2">
        <f>_xlfn.XLOOKUP(A4537,'[1]Tissue Data'!$A:$A,'[1]Tissue Data'!$D:$D)</f>
        <v>44393</v>
      </c>
      <c r="D4537" s="2" t="str">
        <f>_xlfn.XLOOKUP(A4537,'[1]Tissue Data'!$A:$A,'[1]Tissue Data'!$F:$F)</f>
        <v>Pumpkinseed</v>
      </c>
      <c r="E4537" t="str">
        <f>_xlfn.XLOOKUP(A4537,'[1]Tissue Data'!$A:$A,'[1]Tissue Data'!$H:$H)</f>
        <v>Lepomis</v>
      </c>
      <c r="F4537" t="str">
        <f>_xlfn.XLOOKUP(A4537,'[1]Tissue Data'!$A:$A,'[1]Tissue Data'!$I:$I)</f>
        <v>gibbosus</v>
      </c>
      <c r="G4537" t="str">
        <f>_xlfn.XLOOKUP(A4537,'[1]Tissue Data'!$A:$A,'[1]Tissue Data'!J:J)</f>
        <v>U</v>
      </c>
      <c r="H4537" t="str">
        <f>_xlfn.XLOOKUP(A4537,'[1]Tissue Data'!$A:$A,'[1]Tissue Data'!K:K)</f>
        <v>Whole Body</v>
      </c>
      <c r="I4537">
        <f>_xlfn.XLOOKUP(A4537,'[1]Tissue Data'!$A:$A,'[1]Tissue Data'!L:L)</f>
        <v>8.5</v>
      </c>
      <c r="J4537">
        <f>_xlfn.XLOOKUP(A4537,'[1]Tissue Data'!$A:$A,'[1]Tissue Data'!M:M)</f>
        <v>14.64</v>
      </c>
      <c r="K4537" t="s">
        <v>47</v>
      </c>
      <c r="L4537" t="str">
        <f>_xlfn.XLOOKUP(K4537,[2]analyte_order!$B:$B,[2]analyte_order!$C:$C)</f>
        <v>356-02-5</v>
      </c>
      <c r="M4537">
        <f>_xlfn.XLOOKUP(L4537,[2]analyte_order!$C:$C,[2]analyte_order!$E:$E)</f>
        <v>38</v>
      </c>
      <c r="N4537">
        <v>7.6499999999999999E-2</v>
      </c>
    </row>
    <row r="4538" spans="1:14">
      <c r="A4538" t="s">
        <v>269</v>
      </c>
      <c r="B4538" t="str">
        <f>_xlfn.XLOOKUP(A4538,'[1]Tissue Data'!$A:$A,'[1]Tissue Data'!$C:$C)</f>
        <v>Spill</v>
      </c>
      <c r="C4538" s="2">
        <f>_xlfn.XLOOKUP(A4538,'[1]Tissue Data'!$A:$A,'[1]Tissue Data'!$D:$D)</f>
        <v>44393</v>
      </c>
      <c r="D4538" s="2" t="str">
        <f>_xlfn.XLOOKUP(A4538,'[1]Tissue Data'!$A:$A,'[1]Tissue Data'!$F:$F)</f>
        <v>Pumpkinseed</v>
      </c>
      <c r="E4538" t="str">
        <f>_xlfn.XLOOKUP(A4538,'[1]Tissue Data'!$A:$A,'[1]Tissue Data'!$H:$H)</f>
        <v>Lepomis</v>
      </c>
      <c r="F4538" t="str">
        <f>_xlfn.XLOOKUP(A4538,'[1]Tissue Data'!$A:$A,'[1]Tissue Data'!$I:$I)</f>
        <v>gibbosus</v>
      </c>
      <c r="G4538" t="str">
        <f>_xlfn.XLOOKUP(A4538,'[1]Tissue Data'!$A:$A,'[1]Tissue Data'!J:J)</f>
        <v>U</v>
      </c>
      <c r="H4538" t="str">
        <f>_xlfn.XLOOKUP(A4538,'[1]Tissue Data'!$A:$A,'[1]Tissue Data'!K:K)</f>
        <v>Whole Body</v>
      </c>
      <c r="I4538">
        <f>_xlfn.XLOOKUP(A4538,'[1]Tissue Data'!$A:$A,'[1]Tissue Data'!L:L)</f>
        <v>8.5</v>
      </c>
      <c r="J4538">
        <f>_xlfn.XLOOKUP(A4538,'[1]Tissue Data'!$A:$A,'[1]Tissue Data'!M:M)</f>
        <v>14.64</v>
      </c>
      <c r="K4538" t="s">
        <v>48</v>
      </c>
      <c r="L4538" t="str">
        <f>_xlfn.XLOOKUP(K4538,[2]analyte_order!$B:$B,[2]analyte_order!$C:$C)</f>
        <v>914637-49-3</v>
      </c>
      <c r="M4538">
        <f>_xlfn.XLOOKUP(L4538,[2]analyte_order!$C:$C,[2]analyte_order!$E:$E)</f>
        <v>39</v>
      </c>
      <c r="N4538">
        <v>0.83499999999999996</v>
      </c>
    </row>
    <row r="4539" spans="1:14">
      <c r="A4539" t="s">
        <v>269</v>
      </c>
      <c r="B4539" t="str">
        <f>_xlfn.XLOOKUP(A4539,'[1]Tissue Data'!$A:$A,'[1]Tissue Data'!$C:$C)</f>
        <v>Spill</v>
      </c>
      <c r="C4539" s="2">
        <f>_xlfn.XLOOKUP(A4539,'[1]Tissue Data'!$A:$A,'[1]Tissue Data'!$D:$D)</f>
        <v>44393</v>
      </c>
      <c r="D4539" s="2" t="str">
        <f>_xlfn.XLOOKUP(A4539,'[1]Tissue Data'!$A:$A,'[1]Tissue Data'!$F:$F)</f>
        <v>Pumpkinseed</v>
      </c>
      <c r="E4539" t="str">
        <f>_xlfn.XLOOKUP(A4539,'[1]Tissue Data'!$A:$A,'[1]Tissue Data'!$H:$H)</f>
        <v>Lepomis</v>
      </c>
      <c r="F4539" t="str">
        <f>_xlfn.XLOOKUP(A4539,'[1]Tissue Data'!$A:$A,'[1]Tissue Data'!$I:$I)</f>
        <v>gibbosus</v>
      </c>
      <c r="G4539" t="str">
        <f>_xlfn.XLOOKUP(A4539,'[1]Tissue Data'!$A:$A,'[1]Tissue Data'!J:J)</f>
        <v>U</v>
      </c>
      <c r="H4539" t="str">
        <f>_xlfn.XLOOKUP(A4539,'[1]Tissue Data'!$A:$A,'[1]Tissue Data'!K:K)</f>
        <v>Whole Body</v>
      </c>
      <c r="I4539">
        <f>_xlfn.XLOOKUP(A4539,'[1]Tissue Data'!$A:$A,'[1]Tissue Data'!L:L)</f>
        <v>8.5</v>
      </c>
      <c r="J4539">
        <f>_xlfn.XLOOKUP(A4539,'[1]Tissue Data'!$A:$A,'[1]Tissue Data'!M:M)</f>
        <v>14.64</v>
      </c>
      <c r="K4539" t="s">
        <v>49</v>
      </c>
      <c r="L4539" t="str">
        <f>_xlfn.XLOOKUP(K4539,[2]analyte_order!$B:$B,[2]analyte_order!$C:$C)</f>
        <v>812-70-4</v>
      </c>
      <c r="M4539">
        <f>_xlfn.XLOOKUP(L4539,[2]analyte_order!$C:$C,[2]analyte_order!$E:$E)</f>
        <v>40</v>
      </c>
      <c r="N4539">
        <v>10.6</v>
      </c>
    </row>
    <row r="4540" spans="1:14">
      <c r="A4540" t="s">
        <v>269</v>
      </c>
      <c r="B4540" t="str">
        <f>_xlfn.XLOOKUP(A4540,'[1]Tissue Data'!$A:$A,'[1]Tissue Data'!$C:$C)</f>
        <v>Spill</v>
      </c>
      <c r="C4540" s="2">
        <f>_xlfn.XLOOKUP(A4540,'[1]Tissue Data'!$A:$A,'[1]Tissue Data'!$D:$D)</f>
        <v>44393</v>
      </c>
      <c r="D4540" s="2" t="str">
        <f>_xlfn.XLOOKUP(A4540,'[1]Tissue Data'!$A:$A,'[1]Tissue Data'!$F:$F)</f>
        <v>Pumpkinseed</v>
      </c>
      <c r="E4540" t="str">
        <f>_xlfn.XLOOKUP(A4540,'[1]Tissue Data'!$A:$A,'[1]Tissue Data'!$H:$H)</f>
        <v>Lepomis</v>
      </c>
      <c r="F4540" t="str">
        <f>_xlfn.XLOOKUP(A4540,'[1]Tissue Data'!$A:$A,'[1]Tissue Data'!$I:$I)</f>
        <v>gibbosus</v>
      </c>
      <c r="G4540" t="str">
        <f>_xlfn.XLOOKUP(A4540,'[1]Tissue Data'!$A:$A,'[1]Tissue Data'!J:J)</f>
        <v>U</v>
      </c>
      <c r="H4540" t="str">
        <f>_xlfn.XLOOKUP(A4540,'[1]Tissue Data'!$A:$A,'[1]Tissue Data'!K:K)</f>
        <v>Whole Body</v>
      </c>
      <c r="I4540">
        <f>_xlfn.XLOOKUP(A4540,'[1]Tissue Data'!$A:$A,'[1]Tissue Data'!L:L)</f>
        <v>8.5</v>
      </c>
      <c r="J4540">
        <f>_xlfn.XLOOKUP(A4540,'[1]Tissue Data'!$A:$A,'[1]Tissue Data'!M:M)</f>
        <v>14.64</v>
      </c>
      <c r="K4540" t="s">
        <v>50</v>
      </c>
      <c r="L4540" t="str">
        <f>_xlfn.XLOOKUP(K4540,[2]analyte_order!$B:$B,[2]analyte_order!$C:$C)</f>
        <v>53826-12-3</v>
      </c>
      <c r="M4540">
        <f>_xlfn.XLOOKUP(L4540,[2]analyte_order!$C:$C,[2]analyte_order!$E:$E)</f>
        <v>41</v>
      </c>
      <c r="N4540">
        <v>6.6000000000000003E-2</v>
      </c>
    </row>
    <row r="4541" spans="1:14">
      <c r="A4541" t="s">
        <v>269</v>
      </c>
      <c r="B4541" t="str">
        <f>_xlfn.XLOOKUP(A4541,'[1]Tissue Data'!$A:$A,'[1]Tissue Data'!$C:$C)</f>
        <v>Spill</v>
      </c>
      <c r="C4541" s="2">
        <f>_xlfn.XLOOKUP(A4541,'[1]Tissue Data'!$A:$A,'[1]Tissue Data'!$D:$D)</f>
        <v>44393</v>
      </c>
      <c r="D4541" s="2" t="str">
        <f>_xlfn.XLOOKUP(A4541,'[1]Tissue Data'!$A:$A,'[1]Tissue Data'!$F:$F)</f>
        <v>Pumpkinseed</v>
      </c>
      <c r="E4541" t="str">
        <f>_xlfn.XLOOKUP(A4541,'[1]Tissue Data'!$A:$A,'[1]Tissue Data'!$H:$H)</f>
        <v>Lepomis</v>
      </c>
      <c r="F4541" t="str">
        <f>_xlfn.XLOOKUP(A4541,'[1]Tissue Data'!$A:$A,'[1]Tissue Data'!$I:$I)</f>
        <v>gibbosus</v>
      </c>
      <c r="G4541" t="str">
        <f>_xlfn.XLOOKUP(A4541,'[1]Tissue Data'!$A:$A,'[1]Tissue Data'!J:J)</f>
        <v>U</v>
      </c>
      <c r="H4541" t="str">
        <f>_xlfn.XLOOKUP(A4541,'[1]Tissue Data'!$A:$A,'[1]Tissue Data'!K:K)</f>
        <v>Whole Body</v>
      </c>
      <c r="I4541">
        <f>_xlfn.XLOOKUP(A4541,'[1]Tissue Data'!$A:$A,'[1]Tissue Data'!L:L)</f>
        <v>8.5</v>
      </c>
      <c r="J4541">
        <f>_xlfn.XLOOKUP(A4541,'[1]Tissue Data'!$A:$A,'[1]Tissue Data'!M:M)</f>
        <v>14.64</v>
      </c>
      <c r="K4541" t="s">
        <v>51</v>
      </c>
      <c r="L4541" t="str">
        <f>_xlfn.XLOOKUP(K4541,[2]analyte_order!$B:$B,[2]analyte_order!$C:$C)</f>
        <v>27854-31-5</v>
      </c>
      <c r="M4541">
        <f>_xlfn.XLOOKUP(L4541,[2]analyte_order!$C:$C,[2]analyte_order!$E:$E)</f>
        <v>42</v>
      </c>
      <c r="N4541">
        <v>7.15</v>
      </c>
    </row>
    <row r="4542" spans="1:14">
      <c r="A4542" t="s">
        <v>269</v>
      </c>
      <c r="B4542" t="str">
        <f>_xlfn.XLOOKUP(A4542,'[1]Tissue Data'!$A:$A,'[1]Tissue Data'!$C:$C)</f>
        <v>Spill</v>
      </c>
      <c r="C4542" s="2">
        <f>_xlfn.XLOOKUP(A4542,'[1]Tissue Data'!$A:$A,'[1]Tissue Data'!$D:$D)</f>
        <v>44393</v>
      </c>
      <c r="D4542" s="2" t="str">
        <f>_xlfn.XLOOKUP(A4542,'[1]Tissue Data'!$A:$A,'[1]Tissue Data'!$F:$F)</f>
        <v>Pumpkinseed</v>
      </c>
      <c r="E4542" t="str">
        <f>_xlfn.XLOOKUP(A4542,'[1]Tissue Data'!$A:$A,'[1]Tissue Data'!$H:$H)</f>
        <v>Lepomis</v>
      </c>
      <c r="F4542" t="str">
        <f>_xlfn.XLOOKUP(A4542,'[1]Tissue Data'!$A:$A,'[1]Tissue Data'!$I:$I)</f>
        <v>gibbosus</v>
      </c>
      <c r="G4542" t="str">
        <f>_xlfn.XLOOKUP(A4542,'[1]Tissue Data'!$A:$A,'[1]Tissue Data'!J:J)</f>
        <v>U</v>
      </c>
      <c r="H4542" t="str">
        <f>_xlfn.XLOOKUP(A4542,'[1]Tissue Data'!$A:$A,'[1]Tissue Data'!K:K)</f>
        <v>Whole Body</v>
      </c>
      <c r="I4542">
        <f>_xlfn.XLOOKUP(A4542,'[1]Tissue Data'!$A:$A,'[1]Tissue Data'!L:L)</f>
        <v>8.5</v>
      </c>
      <c r="J4542">
        <f>_xlfn.XLOOKUP(A4542,'[1]Tissue Data'!$A:$A,'[1]Tissue Data'!M:M)</f>
        <v>14.64</v>
      </c>
      <c r="K4542" t="s">
        <v>52</v>
      </c>
      <c r="L4542" t="str">
        <f>_xlfn.XLOOKUP(K4542,[2]analyte_order!$B:$B,[2]analyte_order!$C:$C)</f>
        <v>53826-13-4</v>
      </c>
      <c r="M4542">
        <f>_xlfn.XLOOKUP(L4542,[2]analyte_order!$C:$C,[2]analyte_order!$E:$E)</f>
        <v>43</v>
      </c>
      <c r="N4542">
        <v>9.9000000000000005E-2</v>
      </c>
    </row>
    <row r="4543" spans="1:14">
      <c r="A4543" t="s">
        <v>269</v>
      </c>
      <c r="B4543" t="str">
        <f>_xlfn.XLOOKUP(A4543,'[1]Tissue Data'!$A:$A,'[1]Tissue Data'!$C:$C)</f>
        <v>Spill</v>
      </c>
      <c r="C4543" s="2">
        <f>_xlfn.XLOOKUP(A4543,'[1]Tissue Data'!$A:$A,'[1]Tissue Data'!$D:$D)</f>
        <v>44393</v>
      </c>
      <c r="D4543" s="2" t="str">
        <f>_xlfn.XLOOKUP(A4543,'[1]Tissue Data'!$A:$A,'[1]Tissue Data'!$F:$F)</f>
        <v>Pumpkinseed</v>
      </c>
      <c r="E4543" t="str">
        <f>_xlfn.XLOOKUP(A4543,'[1]Tissue Data'!$A:$A,'[1]Tissue Data'!$H:$H)</f>
        <v>Lepomis</v>
      </c>
      <c r="F4543" t="str">
        <f>_xlfn.XLOOKUP(A4543,'[1]Tissue Data'!$A:$A,'[1]Tissue Data'!$I:$I)</f>
        <v>gibbosus</v>
      </c>
      <c r="G4543" t="str">
        <f>_xlfn.XLOOKUP(A4543,'[1]Tissue Data'!$A:$A,'[1]Tissue Data'!J:J)</f>
        <v>U</v>
      </c>
      <c r="H4543" t="str">
        <f>_xlfn.XLOOKUP(A4543,'[1]Tissue Data'!$A:$A,'[1]Tissue Data'!K:K)</f>
        <v>Whole Body</v>
      </c>
      <c r="I4543">
        <f>_xlfn.XLOOKUP(A4543,'[1]Tissue Data'!$A:$A,'[1]Tissue Data'!L:L)</f>
        <v>8.5</v>
      </c>
      <c r="J4543">
        <f>_xlfn.XLOOKUP(A4543,'[1]Tissue Data'!$A:$A,'[1]Tissue Data'!M:M)</f>
        <v>14.64</v>
      </c>
      <c r="K4543" t="s">
        <v>53</v>
      </c>
      <c r="L4543" t="str">
        <f>_xlfn.XLOOKUP(K4543,[2]analyte_order!$B:$B,[2]analyte_order!$C:$C)</f>
        <v>161094-75-3</v>
      </c>
      <c r="M4543">
        <f>_xlfn.XLOOKUP(L4543,[2]analyte_order!$C:$C,[2]analyte_order!$E:$E)</f>
        <v>44</v>
      </c>
      <c r="N4543">
        <v>5.1999999999999998E-2</v>
      </c>
    </row>
    <row r="4544" spans="1:14">
      <c r="A4544" t="s">
        <v>269</v>
      </c>
      <c r="B4544" t="str">
        <f>_xlfn.XLOOKUP(A4544,'[1]Tissue Data'!$A:$A,'[1]Tissue Data'!$C:$C)</f>
        <v>Spill</v>
      </c>
      <c r="C4544" s="2">
        <f>_xlfn.XLOOKUP(A4544,'[1]Tissue Data'!$A:$A,'[1]Tissue Data'!$D:$D)</f>
        <v>44393</v>
      </c>
      <c r="D4544" s="2" t="str">
        <f>_xlfn.XLOOKUP(A4544,'[1]Tissue Data'!$A:$A,'[1]Tissue Data'!$F:$F)</f>
        <v>Pumpkinseed</v>
      </c>
      <c r="E4544" t="str">
        <f>_xlfn.XLOOKUP(A4544,'[1]Tissue Data'!$A:$A,'[1]Tissue Data'!$H:$H)</f>
        <v>Lepomis</v>
      </c>
      <c r="F4544" t="str">
        <f>_xlfn.XLOOKUP(A4544,'[1]Tissue Data'!$A:$A,'[1]Tissue Data'!$I:$I)</f>
        <v>gibbosus</v>
      </c>
      <c r="G4544" t="str">
        <f>_xlfn.XLOOKUP(A4544,'[1]Tissue Data'!$A:$A,'[1]Tissue Data'!J:J)</f>
        <v>U</v>
      </c>
      <c r="H4544" t="str">
        <f>_xlfn.XLOOKUP(A4544,'[1]Tissue Data'!$A:$A,'[1]Tissue Data'!K:K)</f>
        <v>Whole Body</v>
      </c>
      <c r="I4544">
        <f>_xlfn.XLOOKUP(A4544,'[1]Tissue Data'!$A:$A,'[1]Tissue Data'!L:L)</f>
        <v>8.5</v>
      </c>
      <c r="J4544">
        <f>_xlfn.XLOOKUP(A4544,'[1]Tissue Data'!$A:$A,'[1]Tissue Data'!M:M)</f>
        <v>14.64</v>
      </c>
      <c r="K4544" t="s">
        <v>54</v>
      </c>
      <c r="L4544" t="str">
        <f>_xlfn.XLOOKUP(K4544,[2]analyte_order!$B:$B,[2]analyte_order!$C:$C)</f>
        <v>70887-84-2</v>
      </c>
      <c r="M4544">
        <f>_xlfn.XLOOKUP(L4544,[2]analyte_order!$C:$C,[2]analyte_order!$E:$E)</f>
        <v>45</v>
      </c>
      <c r="N4544">
        <v>0.04</v>
      </c>
    </row>
    <row r="4545" spans="1:14">
      <c r="A4545" t="s">
        <v>269</v>
      </c>
      <c r="B4545" t="str">
        <f>_xlfn.XLOOKUP(A4545,'[1]Tissue Data'!$A:$A,'[1]Tissue Data'!$C:$C)</f>
        <v>Spill</v>
      </c>
      <c r="C4545" s="2">
        <f>_xlfn.XLOOKUP(A4545,'[1]Tissue Data'!$A:$A,'[1]Tissue Data'!$D:$D)</f>
        <v>44393</v>
      </c>
      <c r="D4545" s="2" t="str">
        <f>_xlfn.XLOOKUP(A4545,'[1]Tissue Data'!$A:$A,'[1]Tissue Data'!$F:$F)</f>
        <v>Pumpkinseed</v>
      </c>
      <c r="E4545" t="str">
        <f>_xlfn.XLOOKUP(A4545,'[1]Tissue Data'!$A:$A,'[1]Tissue Data'!$H:$H)</f>
        <v>Lepomis</v>
      </c>
      <c r="F4545" t="str">
        <f>_xlfn.XLOOKUP(A4545,'[1]Tissue Data'!$A:$A,'[1]Tissue Data'!$I:$I)</f>
        <v>gibbosus</v>
      </c>
      <c r="G4545" t="str">
        <f>_xlfn.XLOOKUP(A4545,'[1]Tissue Data'!$A:$A,'[1]Tissue Data'!J:J)</f>
        <v>U</v>
      </c>
      <c r="H4545" t="str">
        <f>_xlfn.XLOOKUP(A4545,'[1]Tissue Data'!$A:$A,'[1]Tissue Data'!K:K)</f>
        <v>Whole Body</v>
      </c>
      <c r="I4545">
        <f>_xlfn.XLOOKUP(A4545,'[1]Tissue Data'!$A:$A,'[1]Tissue Data'!L:L)</f>
        <v>8.5</v>
      </c>
      <c r="J4545">
        <f>_xlfn.XLOOKUP(A4545,'[1]Tissue Data'!$A:$A,'[1]Tissue Data'!M:M)</f>
        <v>14.64</v>
      </c>
      <c r="K4545" t="s">
        <v>55</v>
      </c>
      <c r="L4545" t="str">
        <f>_xlfn.XLOOKUP(K4545,[2]analyte_order!$B:$B,[2]analyte_order!$C:$C)</f>
        <v>919005-14-4</v>
      </c>
      <c r="M4545">
        <f>_xlfn.XLOOKUP(L4545,[2]analyte_order!$C:$C,[2]analyte_order!$E:$E)</f>
        <v>35</v>
      </c>
      <c r="N4545">
        <v>6.6000000000000003E-2</v>
      </c>
    </row>
    <row r="4546" spans="1:14">
      <c r="A4546" t="s">
        <v>269</v>
      </c>
      <c r="B4546" t="str">
        <f>_xlfn.XLOOKUP(A4546,'[1]Tissue Data'!$A:$A,'[1]Tissue Data'!$C:$C)</f>
        <v>Spill</v>
      </c>
      <c r="C4546" s="2">
        <f>_xlfn.XLOOKUP(A4546,'[1]Tissue Data'!$A:$A,'[1]Tissue Data'!$D:$D)</f>
        <v>44393</v>
      </c>
      <c r="D4546" s="2" t="str">
        <f>_xlfn.XLOOKUP(A4546,'[1]Tissue Data'!$A:$A,'[1]Tissue Data'!$F:$F)</f>
        <v>Pumpkinseed</v>
      </c>
      <c r="E4546" t="str">
        <f>_xlfn.XLOOKUP(A4546,'[1]Tissue Data'!$A:$A,'[1]Tissue Data'!$H:$H)</f>
        <v>Lepomis</v>
      </c>
      <c r="F4546" t="str">
        <f>_xlfn.XLOOKUP(A4546,'[1]Tissue Data'!$A:$A,'[1]Tissue Data'!$I:$I)</f>
        <v>gibbosus</v>
      </c>
      <c r="G4546" t="str">
        <f>_xlfn.XLOOKUP(A4546,'[1]Tissue Data'!$A:$A,'[1]Tissue Data'!J:J)</f>
        <v>U</v>
      </c>
      <c r="H4546" t="str">
        <f>_xlfn.XLOOKUP(A4546,'[1]Tissue Data'!$A:$A,'[1]Tissue Data'!K:K)</f>
        <v>Whole Body</v>
      </c>
      <c r="I4546">
        <f>_xlfn.XLOOKUP(A4546,'[1]Tissue Data'!$A:$A,'[1]Tissue Data'!L:L)</f>
        <v>8.5</v>
      </c>
      <c r="J4546">
        <f>_xlfn.XLOOKUP(A4546,'[1]Tissue Data'!$A:$A,'[1]Tissue Data'!M:M)</f>
        <v>14.64</v>
      </c>
      <c r="K4546" t="s">
        <v>56</v>
      </c>
      <c r="L4546" t="str">
        <f>_xlfn.XLOOKUP(K4546,[2]analyte_order!$B:$B,[2]analyte_order!$C:$C)</f>
        <v>756426-58-1</v>
      </c>
      <c r="M4546">
        <f>_xlfn.XLOOKUP(L4546,[2]analyte_order!$C:$C,[2]analyte_order!$E:$E)</f>
        <v>36</v>
      </c>
      <c r="N4546">
        <v>6.6000000000000003E-2</v>
      </c>
    </row>
    <row r="4547" spans="1:14">
      <c r="A4547" t="s">
        <v>269</v>
      </c>
      <c r="B4547" t="str">
        <f>_xlfn.XLOOKUP(A4547,'[1]Tissue Data'!$A:$A,'[1]Tissue Data'!$C:$C)</f>
        <v>Spill</v>
      </c>
      <c r="C4547" s="2">
        <f>_xlfn.XLOOKUP(A4547,'[1]Tissue Data'!$A:$A,'[1]Tissue Data'!$D:$D)</f>
        <v>44393</v>
      </c>
      <c r="D4547" s="2" t="str">
        <f>_xlfn.XLOOKUP(A4547,'[1]Tissue Data'!$A:$A,'[1]Tissue Data'!$F:$F)</f>
        <v>Pumpkinseed</v>
      </c>
      <c r="E4547" t="str">
        <f>_xlfn.XLOOKUP(A4547,'[1]Tissue Data'!$A:$A,'[1]Tissue Data'!$H:$H)</f>
        <v>Lepomis</v>
      </c>
      <c r="F4547" t="str">
        <f>_xlfn.XLOOKUP(A4547,'[1]Tissue Data'!$A:$A,'[1]Tissue Data'!$I:$I)</f>
        <v>gibbosus</v>
      </c>
      <c r="G4547" t="str">
        <f>_xlfn.XLOOKUP(A4547,'[1]Tissue Data'!$A:$A,'[1]Tissue Data'!J:J)</f>
        <v>U</v>
      </c>
      <c r="H4547" t="str">
        <f>_xlfn.XLOOKUP(A4547,'[1]Tissue Data'!$A:$A,'[1]Tissue Data'!K:K)</f>
        <v>Whole Body</v>
      </c>
      <c r="I4547">
        <f>_xlfn.XLOOKUP(A4547,'[1]Tissue Data'!$A:$A,'[1]Tissue Data'!L:L)</f>
        <v>8.5</v>
      </c>
      <c r="J4547">
        <f>_xlfn.XLOOKUP(A4547,'[1]Tissue Data'!$A:$A,'[1]Tissue Data'!M:M)</f>
        <v>14.64</v>
      </c>
      <c r="K4547" t="s">
        <v>57</v>
      </c>
      <c r="L4547" t="str">
        <f>_xlfn.XLOOKUP(K4547,[2]analyte_order!$B:$B,[2]analyte_order!$C:$C)</f>
        <v>763051-92-9</v>
      </c>
      <c r="M4547">
        <f>_xlfn.XLOOKUP(L4547,[2]analyte_order!$C:$C,[2]analyte_order!$E:$E)</f>
        <v>37</v>
      </c>
      <c r="N4547">
        <v>6.6000000000000003E-2</v>
      </c>
    </row>
    <row r="4548" spans="1:14">
      <c r="A4548" t="s">
        <v>269</v>
      </c>
      <c r="B4548" t="str">
        <f>_xlfn.XLOOKUP(A4548,'[1]Tissue Data'!$A:$A,'[1]Tissue Data'!$C:$C)</f>
        <v>Spill</v>
      </c>
      <c r="C4548" s="2">
        <f>_xlfn.XLOOKUP(A4548,'[1]Tissue Data'!$A:$A,'[1]Tissue Data'!$D:$D)</f>
        <v>44393</v>
      </c>
      <c r="D4548" s="2" t="str">
        <f>_xlfn.XLOOKUP(A4548,'[1]Tissue Data'!$A:$A,'[1]Tissue Data'!$F:$F)</f>
        <v>Pumpkinseed</v>
      </c>
      <c r="E4548" t="str">
        <f>_xlfn.XLOOKUP(A4548,'[1]Tissue Data'!$A:$A,'[1]Tissue Data'!$H:$H)</f>
        <v>Lepomis</v>
      </c>
      <c r="F4548" t="str">
        <f>_xlfn.XLOOKUP(A4548,'[1]Tissue Data'!$A:$A,'[1]Tissue Data'!$I:$I)</f>
        <v>gibbosus</v>
      </c>
      <c r="G4548" t="str">
        <f>_xlfn.XLOOKUP(A4548,'[1]Tissue Data'!$A:$A,'[1]Tissue Data'!J:J)</f>
        <v>U</v>
      </c>
      <c r="H4548" t="str">
        <f>_xlfn.XLOOKUP(A4548,'[1]Tissue Data'!$A:$A,'[1]Tissue Data'!K:K)</f>
        <v>Whole Body</v>
      </c>
      <c r="I4548">
        <f>_xlfn.XLOOKUP(A4548,'[1]Tissue Data'!$A:$A,'[1]Tissue Data'!L:L)</f>
        <v>8.5</v>
      </c>
      <c r="J4548">
        <f>_xlfn.XLOOKUP(A4548,'[1]Tissue Data'!$A:$A,'[1]Tissue Data'!M:M)</f>
        <v>14.64</v>
      </c>
      <c r="K4548" t="s">
        <v>58</v>
      </c>
      <c r="L4548" t="str">
        <f>_xlfn.XLOOKUP(K4548,[2]analyte_order!$B:$B,[2]analyte_order!$C:$C)</f>
        <v>13252-13-6</v>
      </c>
      <c r="M4548">
        <f>_xlfn.XLOOKUP(L4548,[2]analyte_order!$C:$C,[2]analyte_order!$E:$E)</f>
        <v>34</v>
      </c>
      <c r="N4548">
        <v>9.5000000000000001E-2</v>
      </c>
    </row>
    <row r="4549" spans="1:14">
      <c r="A4549" t="s">
        <v>269</v>
      </c>
      <c r="B4549" t="str">
        <f>_xlfn.XLOOKUP(A4549,'[1]Tissue Data'!$A:$A,'[1]Tissue Data'!$C:$C)</f>
        <v>Spill</v>
      </c>
      <c r="C4549" s="2">
        <f>_xlfn.XLOOKUP(A4549,'[1]Tissue Data'!$A:$A,'[1]Tissue Data'!$D:$D)</f>
        <v>44393</v>
      </c>
      <c r="D4549" s="2" t="str">
        <f>_xlfn.XLOOKUP(A4549,'[1]Tissue Data'!$A:$A,'[1]Tissue Data'!$F:$F)</f>
        <v>Pumpkinseed</v>
      </c>
      <c r="E4549" t="str">
        <f>_xlfn.XLOOKUP(A4549,'[1]Tissue Data'!$A:$A,'[1]Tissue Data'!$H:$H)</f>
        <v>Lepomis</v>
      </c>
      <c r="F4549" t="str">
        <f>_xlfn.XLOOKUP(A4549,'[1]Tissue Data'!$A:$A,'[1]Tissue Data'!$I:$I)</f>
        <v>gibbosus</v>
      </c>
      <c r="G4549" t="str">
        <f>_xlfn.XLOOKUP(A4549,'[1]Tissue Data'!$A:$A,'[1]Tissue Data'!J:J)</f>
        <v>U</v>
      </c>
      <c r="H4549" t="str">
        <f>_xlfn.XLOOKUP(A4549,'[1]Tissue Data'!$A:$A,'[1]Tissue Data'!K:K)</f>
        <v>Whole Body</v>
      </c>
      <c r="I4549">
        <f>_xlfn.XLOOKUP(A4549,'[1]Tissue Data'!$A:$A,'[1]Tissue Data'!L:L)</f>
        <v>8.5</v>
      </c>
      <c r="J4549">
        <f>_xlfn.XLOOKUP(A4549,'[1]Tissue Data'!$A:$A,'[1]Tissue Data'!M:M)</f>
        <v>14.64</v>
      </c>
      <c r="K4549" t="s">
        <v>59</v>
      </c>
      <c r="L4549" t="str">
        <f>_xlfn.XLOOKUP(K4549,[2]analyte_order!$B:$B,[2]analyte_order!$C:$C)</f>
        <v>57677-95-9</v>
      </c>
      <c r="M4549">
        <f>_xlfn.XLOOKUP(L4549,[2]analyte_order!$C:$C,[2]analyte_order!$E:$E)</f>
        <v>46</v>
      </c>
      <c r="N4549">
        <v>7.0499999999999993E-2</v>
      </c>
    </row>
    <row r="4550" spans="1:14">
      <c r="A4550" t="s">
        <v>269</v>
      </c>
      <c r="B4550" t="str">
        <f>_xlfn.XLOOKUP(A4550,'[1]Tissue Data'!$A:$A,'[1]Tissue Data'!$C:$C)</f>
        <v>Spill</v>
      </c>
      <c r="C4550" s="2">
        <f>_xlfn.XLOOKUP(A4550,'[1]Tissue Data'!$A:$A,'[1]Tissue Data'!$D:$D)</f>
        <v>44393</v>
      </c>
      <c r="D4550" s="2" t="str">
        <f>_xlfn.XLOOKUP(A4550,'[1]Tissue Data'!$A:$A,'[1]Tissue Data'!$F:$F)</f>
        <v>Pumpkinseed</v>
      </c>
      <c r="E4550" t="str">
        <f>_xlfn.XLOOKUP(A4550,'[1]Tissue Data'!$A:$A,'[1]Tissue Data'!$H:$H)</f>
        <v>Lepomis</v>
      </c>
      <c r="F4550" t="str">
        <f>_xlfn.XLOOKUP(A4550,'[1]Tissue Data'!$A:$A,'[1]Tissue Data'!$I:$I)</f>
        <v>gibbosus</v>
      </c>
      <c r="G4550" t="str">
        <f>_xlfn.XLOOKUP(A4550,'[1]Tissue Data'!$A:$A,'[1]Tissue Data'!J:J)</f>
        <v>U</v>
      </c>
      <c r="H4550" t="str">
        <f>_xlfn.XLOOKUP(A4550,'[1]Tissue Data'!$A:$A,'[1]Tissue Data'!K:K)</f>
        <v>Whole Body</v>
      </c>
      <c r="I4550">
        <f>_xlfn.XLOOKUP(A4550,'[1]Tissue Data'!$A:$A,'[1]Tissue Data'!L:L)</f>
        <v>8.5</v>
      </c>
      <c r="J4550">
        <f>_xlfn.XLOOKUP(A4550,'[1]Tissue Data'!$A:$A,'[1]Tissue Data'!M:M)</f>
        <v>14.64</v>
      </c>
      <c r="K4550" t="s">
        <v>60</v>
      </c>
      <c r="L4550" t="str">
        <f>_xlfn.XLOOKUP(K4550,[2]analyte_order!$B:$B,[2]analyte_order!$C:$C)</f>
        <v>678-41-1</v>
      </c>
      <c r="M4550">
        <f>_xlfn.XLOOKUP(L4550,[2]analyte_order!$C:$C,[2]analyte_order!$E:$E)</f>
        <v>56</v>
      </c>
      <c r="N4550">
        <v>8.7999999999999995E-2</v>
      </c>
    </row>
    <row r="4551" spans="1:14">
      <c r="A4551" t="s">
        <v>269</v>
      </c>
      <c r="B4551" t="str">
        <f>_xlfn.XLOOKUP(A4551,'[1]Tissue Data'!$A:$A,'[1]Tissue Data'!$C:$C)</f>
        <v>Spill</v>
      </c>
      <c r="C4551" s="2">
        <f>_xlfn.XLOOKUP(A4551,'[1]Tissue Data'!$A:$A,'[1]Tissue Data'!$D:$D)</f>
        <v>44393</v>
      </c>
      <c r="D4551" s="2" t="str">
        <f>_xlfn.XLOOKUP(A4551,'[1]Tissue Data'!$A:$A,'[1]Tissue Data'!$F:$F)</f>
        <v>Pumpkinseed</v>
      </c>
      <c r="E4551" t="str">
        <f>_xlfn.XLOOKUP(A4551,'[1]Tissue Data'!$A:$A,'[1]Tissue Data'!$H:$H)</f>
        <v>Lepomis</v>
      </c>
      <c r="F4551" t="str">
        <f>_xlfn.XLOOKUP(A4551,'[1]Tissue Data'!$A:$A,'[1]Tissue Data'!$I:$I)</f>
        <v>gibbosus</v>
      </c>
      <c r="G4551" t="str">
        <f>_xlfn.XLOOKUP(A4551,'[1]Tissue Data'!$A:$A,'[1]Tissue Data'!J:J)</f>
        <v>U</v>
      </c>
      <c r="H4551" t="str">
        <f>_xlfn.XLOOKUP(A4551,'[1]Tissue Data'!$A:$A,'[1]Tissue Data'!K:K)</f>
        <v>Whole Body</v>
      </c>
      <c r="I4551">
        <f>_xlfn.XLOOKUP(A4551,'[1]Tissue Data'!$A:$A,'[1]Tissue Data'!L:L)</f>
        <v>8.5</v>
      </c>
      <c r="J4551">
        <f>_xlfn.XLOOKUP(A4551,'[1]Tissue Data'!$A:$A,'[1]Tissue Data'!M:M)</f>
        <v>14.64</v>
      </c>
      <c r="K4551" t="s">
        <v>61</v>
      </c>
      <c r="L4551" t="str">
        <f>_xlfn.XLOOKUP(K4551,[2]analyte_order!$B:$B,[2]analyte_order!$C:$C)</f>
        <v>2965-52-8</v>
      </c>
      <c r="M4551">
        <f>_xlfn.XLOOKUP(L4551,[2]analyte_order!$C:$C,[2]analyte_order!$E:$E)</f>
        <v>57</v>
      </c>
      <c r="N4551">
        <v>0.11650000000000001</v>
      </c>
    </row>
    <row r="4552" spans="1:14">
      <c r="A4552" t="s">
        <v>270</v>
      </c>
      <c r="B4552" t="str">
        <f>_xlfn.XLOOKUP(A4552,'[1]Tissue Data'!$A:$A,'[1]Tissue Data'!$C:$C)</f>
        <v>Spill</v>
      </c>
      <c r="C4552" s="2">
        <f>_xlfn.XLOOKUP(A4552,'[1]Tissue Data'!$A:$A,'[1]Tissue Data'!$D:$D)</f>
        <v>44393</v>
      </c>
      <c r="D4552" s="2" t="str">
        <f>_xlfn.XLOOKUP(A4552,'[1]Tissue Data'!$A:$A,'[1]Tissue Data'!$F:$F)</f>
        <v>Pumpkinseed</v>
      </c>
      <c r="E4552" t="str">
        <f>_xlfn.XLOOKUP(A4552,'[1]Tissue Data'!$A:$A,'[1]Tissue Data'!$H:$H)</f>
        <v>Lepomis</v>
      </c>
      <c r="F4552" t="str">
        <f>_xlfn.XLOOKUP(A4552,'[1]Tissue Data'!$A:$A,'[1]Tissue Data'!$I:$I)</f>
        <v>gibbosus</v>
      </c>
      <c r="G4552" t="str">
        <f>_xlfn.XLOOKUP(A4552,'[1]Tissue Data'!$A:$A,'[1]Tissue Data'!J:J)</f>
        <v>M</v>
      </c>
      <c r="H4552" t="str">
        <f>_xlfn.XLOOKUP(A4552,'[1]Tissue Data'!$A:$A,'[1]Tissue Data'!K:K)</f>
        <v>Liver</v>
      </c>
      <c r="I4552">
        <f>_xlfn.XLOOKUP(A4552,'[1]Tissue Data'!$A:$A,'[1]Tissue Data'!L:L)</f>
        <v>13</v>
      </c>
      <c r="J4552">
        <f>_xlfn.XLOOKUP(A4552,'[1]Tissue Data'!$A:$A,'[1]Tissue Data'!M:M)</f>
        <v>40.79</v>
      </c>
      <c r="K4552" t="s">
        <v>12</v>
      </c>
      <c r="L4552" t="str">
        <f>_xlfn.XLOOKUP(K4552,[2]analyte_order!$B:$B,[2]analyte_order!$C:$C)</f>
        <v>375-22-4</v>
      </c>
      <c r="M4552">
        <f>_xlfn.XLOOKUP(L4552,[2]analyte_order!$C:$C,[2]analyte_order!$E:$E)</f>
        <v>1</v>
      </c>
      <c r="N4552">
        <v>0.54500000000000004</v>
      </c>
    </row>
    <row r="4553" spans="1:14">
      <c r="A4553" t="s">
        <v>270</v>
      </c>
      <c r="B4553" t="str">
        <f>_xlfn.XLOOKUP(A4553,'[1]Tissue Data'!$A:$A,'[1]Tissue Data'!$C:$C)</f>
        <v>Spill</v>
      </c>
      <c r="C4553" s="2">
        <f>_xlfn.XLOOKUP(A4553,'[1]Tissue Data'!$A:$A,'[1]Tissue Data'!$D:$D)</f>
        <v>44393</v>
      </c>
      <c r="D4553" s="2" t="str">
        <f>_xlfn.XLOOKUP(A4553,'[1]Tissue Data'!$A:$A,'[1]Tissue Data'!$F:$F)</f>
        <v>Pumpkinseed</v>
      </c>
      <c r="E4553" t="str">
        <f>_xlfn.XLOOKUP(A4553,'[1]Tissue Data'!$A:$A,'[1]Tissue Data'!$H:$H)</f>
        <v>Lepomis</v>
      </c>
      <c r="F4553" t="str">
        <f>_xlfn.XLOOKUP(A4553,'[1]Tissue Data'!$A:$A,'[1]Tissue Data'!$I:$I)</f>
        <v>gibbosus</v>
      </c>
      <c r="G4553" t="str">
        <f>_xlfn.XLOOKUP(A4553,'[1]Tissue Data'!$A:$A,'[1]Tissue Data'!J:J)</f>
        <v>M</v>
      </c>
      <c r="H4553" t="str">
        <f>_xlfn.XLOOKUP(A4553,'[1]Tissue Data'!$A:$A,'[1]Tissue Data'!K:K)</f>
        <v>Liver</v>
      </c>
      <c r="I4553">
        <f>_xlfn.XLOOKUP(A4553,'[1]Tissue Data'!$A:$A,'[1]Tissue Data'!L:L)</f>
        <v>13</v>
      </c>
      <c r="J4553">
        <f>_xlfn.XLOOKUP(A4553,'[1]Tissue Data'!$A:$A,'[1]Tissue Data'!M:M)</f>
        <v>40.79</v>
      </c>
      <c r="K4553" t="s">
        <v>13</v>
      </c>
      <c r="L4553" t="str">
        <f>_xlfn.XLOOKUP(K4553,[2]analyte_order!$B:$B,[2]analyte_order!$C:$C)</f>
        <v>2706-90-3</v>
      </c>
      <c r="M4553">
        <f>_xlfn.XLOOKUP(L4553,[2]analyte_order!$C:$C,[2]analyte_order!$E:$E)</f>
        <v>2</v>
      </c>
      <c r="N4553">
        <v>0.11700000000000001</v>
      </c>
    </row>
    <row r="4554" spans="1:14">
      <c r="A4554" t="s">
        <v>270</v>
      </c>
      <c r="B4554" t="str">
        <f>_xlfn.XLOOKUP(A4554,'[1]Tissue Data'!$A:$A,'[1]Tissue Data'!$C:$C)</f>
        <v>Spill</v>
      </c>
      <c r="C4554" s="2">
        <f>_xlfn.XLOOKUP(A4554,'[1]Tissue Data'!$A:$A,'[1]Tissue Data'!$D:$D)</f>
        <v>44393</v>
      </c>
      <c r="D4554" s="2" t="str">
        <f>_xlfn.XLOOKUP(A4554,'[1]Tissue Data'!$A:$A,'[1]Tissue Data'!$F:$F)</f>
        <v>Pumpkinseed</v>
      </c>
      <c r="E4554" t="str">
        <f>_xlfn.XLOOKUP(A4554,'[1]Tissue Data'!$A:$A,'[1]Tissue Data'!$H:$H)</f>
        <v>Lepomis</v>
      </c>
      <c r="F4554" t="str">
        <f>_xlfn.XLOOKUP(A4554,'[1]Tissue Data'!$A:$A,'[1]Tissue Data'!$I:$I)</f>
        <v>gibbosus</v>
      </c>
      <c r="G4554" t="str">
        <f>_xlfn.XLOOKUP(A4554,'[1]Tissue Data'!$A:$A,'[1]Tissue Data'!J:J)</f>
        <v>M</v>
      </c>
      <c r="H4554" t="str">
        <f>_xlfn.XLOOKUP(A4554,'[1]Tissue Data'!$A:$A,'[1]Tissue Data'!K:K)</f>
        <v>Liver</v>
      </c>
      <c r="I4554">
        <f>_xlfn.XLOOKUP(A4554,'[1]Tissue Data'!$A:$A,'[1]Tissue Data'!L:L)</f>
        <v>13</v>
      </c>
      <c r="J4554">
        <f>_xlfn.XLOOKUP(A4554,'[1]Tissue Data'!$A:$A,'[1]Tissue Data'!M:M)</f>
        <v>40.79</v>
      </c>
      <c r="K4554" t="s">
        <v>14</v>
      </c>
      <c r="L4554" t="str">
        <f>_xlfn.XLOOKUP(K4554,[2]analyte_order!$B:$B,[2]analyte_order!$C:$C)</f>
        <v>307-24-4</v>
      </c>
      <c r="M4554">
        <f>_xlfn.XLOOKUP(L4554,[2]analyte_order!$C:$C,[2]analyte_order!$E:$E)</f>
        <v>3</v>
      </c>
      <c r="N4554">
        <v>0.29499999999999998</v>
      </c>
    </row>
    <row r="4555" spans="1:14">
      <c r="A4555" t="s">
        <v>270</v>
      </c>
      <c r="B4555" t="str">
        <f>_xlfn.XLOOKUP(A4555,'[1]Tissue Data'!$A:$A,'[1]Tissue Data'!$C:$C)</f>
        <v>Spill</v>
      </c>
      <c r="C4555" s="2">
        <f>_xlfn.XLOOKUP(A4555,'[1]Tissue Data'!$A:$A,'[1]Tissue Data'!$D:$D)</f>
        <v>44393</v>
      </c>
      <c r="D4555" s="2" t="str">
        <f>_xlfn.XLOOKUP(A4555,'[1]Tissue Data'!$A:$A,'[1]Tissue Data'!$F:$F)</f>
        <v>Pumpkinseed</v>
      </c>
      <c r="E4555" t="str">
        <f>_xlfn.XLOOKUP(A4555,'[1]Tissue Data'!$A:$A,'[1]Tissue Data'!$H:$H)</f>
        <v>Lepomis</v>
      </c>
      <c r="F4555" t="str">
        <f>_xlfn.XLOOKUP(A4555,'[1]Tissue Data'!$A:$A,'[1]Tissue Data'!$I:$I)</f>
        <v>gibbosus</v>
      </c>
      <c r="G4555" t="str">
        <f>_xlfn.XLOOKUP(A4555,'[1]Tissue Data'!$A:$A,'[1]Tissue Data'!J:J)</f>
        <v>M</v>
      </c>
      <c r="H4555" t="str">
        <f>_xlfn.XLOOKUP(A4555,'[1]Tissue Data'!$A:$A,'[1]Tissue Data'!K:K)</f>
        <v>Liver</v>
      </c>
      <c r="I4555">
        <f>_xlfn.XLOOKUP(A4555,'[1]Tissue Data'!$A:$A,'[1]Tissue Data'!L:L)</f>
        <v>13</v>
      </c>
      <c r="J4555">
        <f>_xlfn.XLOOKUP(A4555,'[1]Tissue Data'!$A:$A,'[1]Tissue Data'!M:M)</f>
        <v>40.79</v>
      </c>
      <c r="K4555" t="s">
        <v>15</v>
      </c>
      <c r="L4555" t="str">
        <f>_xlfn.XLOOKUP(K4555,[2]analyte_order!$B:$B,[2]analyte_order!$C:$C)</f>
        <v>375-85-9</v>
      </c>
      <c r="M4555">
        <f>_xlfn.XLOOKUP(L4555,[2]analyte_order!$C:$C,[2]analyte_order!$E:$E)</f>
        <v>4</v>
      </c>
      <c r="N4555">
        <v>6.6500000000000004E-2</v>
      </c>
    </row>
    <row r="4556" spans="1:14">
      <c r="A4556" t="s">
        <v>270</v>
      </c>
      <c r="B4556" t="str">
        <f>_xlfn.XLOOKUP(A4556,'[1]Tissue Data'!$A:$A,'[1]Tissue Data'!$C:$C)</f>
        <v>Spill</v>
      </c>
      <c r="C4556" s="2">
        <f>_xlfn.XLOOKUP(A4556,'[1]Tissue Data'!$A:$A,'[1]Tissue Data'!$D:$D)</f>
        <v>44393</v>
      </c>
      <c r="D4556" s="2" t="str">
        <f>_xlfn.XLOOKUP(A4556,'[1]Tissue Data'!$A:$A,'[1]Tissue Data'!$F:$F)</f>
        <v>Pumpkinseed</v>
      </c>
      <c r="E4556" t="str">
        <f>_xlfn.XLOOKUP(A4556,'[1]Tissue Data'!$A:$A,'[1]Tissue Data'!$H:$H)</f>
        <v>Lepomis</v>
      </c>
      <c r="F4556" t="str">
        <f>_xlfn.XLOOKUP(A4556,'[1]Tissue Data'!$A:$A,'[1]Tissue Data'!$I:$I)</f>
        <v>gibbosus</v>
      </c>
      <c r="G4556" t="str">
        <f>_xlfn.XLOOKUP(A4556,'[1]Tissue Data'!$A:$A,'[1]Tissue Data'!J:J)</f>
        <v>M</v>
      </c>
      <c r="H4556" t="str">
        <f>_xlfn.XLOOKUP(A4556,'[1]Tissue Data'!$A:$A,'[1]Tissue Data'!K:K)</f>
        <v>Liver</v>
      </c>
      <c r="I4556">
        <f>_xlfn.XLOOKUP(A4556,'[1]Tissue Data'!$A:$A,'[1]Tissue Data'!L:L)</f>
        <v>13</v>
      </c>
      <c r="J4556">
        <f>_xlfn.XLOOKUP(A4556,'[1]Tissue Data'!$A:$A,'[1]Tissue Data'!M:M)</f>
        <v>40.79</v>
      </c>
      <c r="K4556" t="s">
        <v>16</v>
      </c>
      <c r="L4556" t="str">
        <f>_xlfn.XLOOKUP(K4556,[2]analyte_order!$B:$B,[2]analyte_order!$C:$C)</f>
        <v>335-67-1</v>
      </c>
      <c r="M4556">
        <f>_xlfn.XLOOKUP(L4556,[2]analyte_order!$C:$C,[2]analyte_order!$E:$E)</f>
        <v>5</v>
      </c>
      <c r="N4556">
        <v>0.2185</v>
      </c>
    </row>
    <row r="4557" spans="1:14">
      <c r="A4557" t="s">
        <v>270</v>
      </c>
      <c r="B4557" t="str">
        <f>_xlfn.XLOOKUP(A4557,'[1]Tissue Data'!$A:$A,'[1]Tissue Data'!$C:$C)</f>
        <v>Spill</v>
      </c>
      <c r="C4557" s="2">
        <f>_xlfn.XLOOKUP(A4557,'[1]Tissue Data'!$A:$A,'[1]Tissue Data'!$D:$D)</f>
        <v>44393</v>
      </c>
      <c r="D4557" s="2" t="str">
        <f>_xlfn.XLOOKUP(A4557,'[1]Tissue Data'!$A:$A,'[1]Tissue Data'!$F:$F)</f>
        <v>Pumpkinseed</v>
      </c>
      <c r="E4557" t="str">
        <f>_xlfn.XLOOKUP(A4557,'[1]Tissue Data'!$A:$A,'[1]Tissue Data'!$H:$H)</f>
        <v>Lepomis</v>
      </c>
      <c r="F4557" t="str">
        <f>_xlfn.XLOOKUP(A4557,'[1]Tissue Data'!$A:$A,'[1]Tissue Data'!$I:$I)</f>
        <v>gibbosus</v>
      </c>
      <c r="G4557" t="str">
        <f>_xlfn.XLOOKUP(A4557,'[1]Tissue Data'!$A:$A,'[1]Tissue Data'!J:J)</f>
        <v>M</v>
      </c>
      <c r="H4557" t="str">
        <f>_xlfn.XLOOKUP(A4557,'[1]Tissue Data'!$A:$A,'[1]Tissue Data'!K:K)</f>
        <v>Liver</v>
      </c>
      <c r="I4557">
        <f>_xlfn.XLOOKUP(A4557,'[1]Tissue Data'!$A:$A,'[1]Tissue Data'!L:L)</f>
        <v>13</v>
      </c>
      <c r="J4557">
        <f>_xlfn.XLOOKUP(A4557,'[1]Tissue Data'!$A:$A,'[1]Tissue Data'!M:M)</f>
        <v>40.79</v>
      </c>
      <c r="K4557" t="s">
        <v>17</v>
      </c>
      <c r="L4557" t="str">
        <f>_xlfn.XLOOKUP(K4557,[2]analyte_order!$B:$B,[2]analyte_order!$C:$C)</f>
        <v>375-95-1</v>
      </c>
      <c r="M4557">
        <f>_xlfn.XLOOKUP(L4557,[2]analyte_order!$C:$C,[2]analyte_order!$E:$E)</f>
        <v>6</v>
      </c>
      <c r="N4557">
        <v>0.1145</v>
      </c>
    </row>
    <row r="4558" spans="1:14">
      <c r="A4558" t="s">
        <v>270</v>
      </c>
      <c r="B4558" t="str">
        <f>_xlfn.XLOOKUP(A4558,'[1]Tissue Data'!$A:$A,'[1]Tissue Data'!$C:$C)</f>
        <v>Spill</v>
      </c>
      <c r="C4558" s="2">
        <f>_xlfn.XLOOKUP(A4558,'[1]Tissue Data'!$A:$A,'[1]Tissue Data'!$D:$D)</f>
        <v>44393</v>
      </c>
      <c r="D4558" s="2" t="str">
        <f>_xlfn.XLOOKUP(A4558,'[1]Tissue Data'!$A:$A,'[1]Tissue Data'!$F:$F)</f>
        <v>Pumpkinseed</v>
      </c>
      <c r="E4558" t="str">
        <f>_xlfn.XLOOKUP(A4558,'[1]Tissue Data'!$A:$A,'[1]Tissue Data'!$H:$H)</f>
        <v>Lepomis</v>
      </c>
      <c r="F4558" t="str">
        <f>_xlfn.XLOOKUP(A4558,'[1]Tissue Data'!$A:$A,'[1]Tissue Data'!$I:$I)</f>
        <v>gibbosus</v>
      </c>
      <c r="G4558" t="str">
        <f>_xlfn.XLOOKUP(A4558,'[1]Tissue Data'!$A:$A,'[1]Tissue Data'!J:J)</f>
        <v>M</v>
      </c>
      <c r="H4558" t="str">
        <f>_xlfn.XLOOKUP(A4558,'[1]Tissue Data'!$A:$A,'[1]Tissue Data'!K:K)</f>
        <v>Liver</v>
      </c>
      <c r="I4558">
        <f>_xlfn.XLOOKUP(A4558,'[1]Tissue Data'!$A:$A,'[1]Tissue Data'!L:L)</f>
        <v>13</v>
      </c>
      <c r="J4558">
        <f>_xlfn.XLOOKUP(A4558,'[1]Tissue Data'!$A:$A,'[1]Tissue Data'!M:M)</f>
        <v>40.79</v>
      </c>
      <c r="K4558" t="s">
        <v>18</v>
      </c>
      <c r="L4558" t="str">
        <f>_xlfn.XLOOKUP(K4558,[2]analyte_order!$B:$B,[2]analyte_order!$C:$C)</f>
        <v>335-76-2</v>
      </c>
      <c r="M4558">
        <f>_xlfn.XLOOKUP(L4558,[2]analyte_order!$C:$C,[2]analyte_order!$E:$E)</f>
        <v>7</v>
      </c>
      <c r="N4558">
        <v>24</v>
      </c>
    </row>
    <row r="4559" spans="1:14">
      <c r="A4559" t="s">
        <v>270</v>
      </c>
      <c r="B4559" t="str">
        <f>_xlfn.XLOOKUP(A4559,'[1]Tissue Data'!$A:$A,'[1]Tissue Data'!$C:$C)</f>
        <v>Spill</v>
      </c>
      <c r="C4559" s="2">
        <f>_xlfn.XLOOKUP(A4559,'[1]Tissue Data'!$A:$A,'[1]Tissue Data'!$D:$D)</f>
        <v>44393</v>
      </c>
      <c r="D4559" s="2" t="str">
        <f>_xlfn.XLOOKUP(A4559,'[1]Tissue Data'!$A:$A,'[1]Tissue Data'!$F:$F)</f>
        <v>Pumpkinseed</v>
      </c>
      <c r="E4559" t="str">
        <f>_xlfn.XLOOKUP(A4559,'[1]Tissue Data'!$A:$A,'[1]Tissue Data'!$H:$H)</f>
        <v>Lepomis</v>
      </c>
      <c r="F4559" t="str">
        <f>_xlfn.XLOOKUP(A4559,'[1]Tissue Data'!$A:$A,'[1]Tissue Data'!$I:$I)</f>
        <v>gibbosus</v>
      </c>
      <c r="G4559" t="str">
        <f>_xlfn.XLOOKUP(A4559,'[1]Tissue Data'!$A:$A,'[1]Tissue Data'!J:J)</f>
        <v>M</v>
      </c>
      <c r="H4559" t="str">
        <f>_xlfn.XLOOKUP(A4559,'[1]Tissue Data'!$A:$A,'[1]Tissue Data'!K:K)</f>
        <v>Liver</v>
      </c>
      <c r="I4559">
        <f>_xlfn.XLOOKUP(A4559,'[1]Tissue Data'!$A:$A,'[1]Tissue Data'!L:L)</f>
        <v>13</v>
      </c>
      <c r="J4559">
        <f>_xlfn.XLOOKUP(A4559,'[1]Tissue Data'!$A:$A,'[1]Tissue Data'!M:M)</f>
        <v>40.79</v>
      </c>
      <c r="K4559" t="s">
        <v>19</v>
      </c>
      <c r="L4559" t="str">
        <f>_xlfn.XLOOKUP(K4559,[2]analyte_order!$B:$B,[2]analyte_order!$C:$C)</f>
        <v>2058-94-8</v>
      </c>
      <c r="M4559">
        <f>_xlfn.XLOOKUP(L4559,[2]analyte_order!$C:$C,[2]analyte_order!$E:$E)</f>
        <v>8</v>
      </c>
      <c r="N4559">
        <v>31.3</v>
      </c>
    </row>
    <row r="4560" spans="1:14">
      <c r="A4560" t="s">
        <v>270</v>
      </c>
      <c r="B4560" t="str">
        <f>_xlfn.XLOOKUP(A4560,'[1]Tissue Data'!$A:$A,'[1]Tissue Data'!$C:$C)</f>
        <v>Spill</v>
      </c>
      <c r="C4560" s="2">
        <f>_xlfn.XLOOKUP(A4560,'[1]Tissue Data'!$A:$A,'[1]Tissue Data'!$D:$D)</f>
        <v>44393</v>
      </c>
      <c r="D4560" s="2" t="str">
        <f>_xlfn.XLOOKUP(A4560,'[1]Tissue Data'!$A:$A,'[1]Tissue Data'!$F:$F)</f>
        <v>Pumpkinseed</v>
      </c>
      <c r="E4560" t="str">
        <f>_xlfn.XLOOKUP(A4560,'[1]Tissue Data'!$A:$A,'[1]Tissue Data'!$H:$H)</f>
        <v>Lepomis</v>
      </c>
      <c r="F4560" t="str">
        <f>_xlfn.XLOOKUP(A4560,'[1]Tissue Data'!$A:$A,'[1]Tissue Data'!$I:$I)</f>
        <v>gibbosus</v>
      </c>
      <c r="G4560" t="str">
        <f>_xlfn.XLOOKUP(A4560,'[1]Tissue Data'!$A:$A,'[1]Tissue Data'!J:J)</f>
        <v>M</v>
      </c>
      <c r="H4560" t="str">
        <f>_xlfn.XLOOKUP(A4560,'[1]Tissue Data'!$A:$A,'[1]Tissue Data'!K:K)</f>
        <v>Liver</v>
      </c>
      <c r="I4560">
        <f>_xlfn.XLOOKUP(A4560,'[1]Tissue Data'!$A:$A,'[1]Tissue Data'!L:L)</f>
        <v>13</v>
      </c>
      <c r="J4560">
        <f>_xlfn.XLOOKUP(A4560,'[1]Tissue Data'!$A:$A,'[1]Tissue Data'!M:M)</f>
        <v>40.79</v>
      </c>
      <c r="K4560" t="s">
        <v>20</v>
      </c>
      <c r="L4560" t="str">
        <f>_xlfn.XLOOKUP(K4560,[2]analyte_order!$B:$B,[2]analyte_order!$C:$C)</f>
        <v>307-55-1</v>
      </c>
      <c r="M4560">
        <f>_xlfn.XLOOKUP(L4560,[2]analyte_order!$C:$C,[2]analyte_order!$E:$E)</f>
        <v>9</v>
      </c>
      <c r="N4560">
        <v>28.8</v>
      </c>
    </row>
    <row r="4561" spans="1:14">
      <c r="A4561" t="s">
        <v>270</v>
      </c>
      <c r="B4561" t="str">
        <f>_xlfn.XLOOKUP(A4561,'[1]Tissue Data'!$A:$A,'[1]Tissue Data'!$C:$C)</f>
        <v>Spill</v>
      </c>
      <c r="C4561" s="2">
        <f>_xlfn.XLOOKUP(A4561,'[1]Tissue Data'!$A:$A,'[1]Tissue Data'!$D:$D)</f>
        <v>44393</v>
      </c>
      <c r="D4561" s="2" t="str">
        <f>_xlfn.XLOOKUP(A4561,'[1]Tissue Data'!$A:$A,'[1]Tissue Data'!$F:$F)</f>
        <v>Pumpkinseed</v>
      </c>
      <c r="E4561" t="str">
        <f>_xlfn.XLOOKUP(A4561,'[1]Tissue Data'!$A:$A,'[1]Tissue Data'!$H:$H)</f>
        <v>Lepomis</v>
      </c>
      <c r="F4561" t="str">
        <f>_xlfn.XLOOKUP(A4561,'[1]Tissue Data'!$A:$A,'[1]Tissue Data'!$I:$I)</f>
        <v>gibbosus</v>
      </c>
      <c r="G4561" t="str">
        <f>_xlfn.XLOOKUP(A4561,'[1]Tissue Data'!$A:$A,'[1]Tissue Data'!J:J)</f>
        <v>M</v>
      </c>
      <c r="H4561" t="str">
        <f>_xlfn.XLOOKUP(A4561,'[1]Tissue Data'!$A:$A,'[1]Tissue Data'!K:K)</f>
        <v>Liver</v>
      </c>
      <c r="I4561">
        <f>_xlfn.XLOOKUP(A4561,'[1]Tissue Data'!$A:$A,'[1]Tissue Data'!L:L)</f>
        <v>13</v>
      </c>
      <c r="J4561">
        <f>_xlfn.XLOOKUP(A4561,'[1]Tissue Data'!$A:$A,'[1]Tissue Data'!M:M)</f>
        <v>40.79</v>
      </c>
      <c r="K4561" t="s">
        <v>21</v>
      </c>
      <c r="L4561" t="str">
        <f>_xlfn.XLOOKUP(K4561,[2]analyte_order!$B:$B,[2]analyte_order!$C:$C)</f>
        <v>72629-94-8</v>
      </c>
      <c r="M4561">
        <f>_xlfn.XLOOKUP(L4561,[2]analyte_order!$C:$C,[2]analyte_order!$E:$E)</f>
        <v>10</v>
      </c>
      <c r="N4561">
        <v>12.7</v>
      </c>
    </row>
    <row r="4562" spans="1:14">
      <c r="A4562" t="s">
        <v>270</v>
      </c>
      <c r="B4562" t="str">
        <f>_xlfn.XLOOKUP(A4562,'[1]Tissue Data'!$A:$A,'[1]Tissue Data'!$C:$C)</f>
        <v>Spill</v>
      </c>
      <c r="C4562" s="2">
        <f>_xlfn.XLOOKUP(A4562,'[1]Tissue Data'!$A:$A,'[1]Tissue Data'!$D:$D)</f>
        <v>44393</v>
      </c>
      <c r="D4562" s="2" t="str">
        <f>_xlfn.XLOOKUP(A4562,'[1]Tissue Data'!$A:$A,'[1]Tissue Data'!$F:$F)</f>
        <v>Pumpkinseed</v>
      </c>
      <c r="E4562" t="str">
        <f>_xlfn.XLOOKUP(A4562,'[1]Tissue Data'!$A:$A,'[1]Tissue Data'!$H:$H)</f>
        <v>Lepomis</v>
      </c>
      <c r="F4562" t="str">
        <f>_xlfn.XLOOKUP(A4562,'[1]Tissue Data'!$A:$A,'[1]Tissue Data'!$I:$I)</f>
        <v>gibbosus</v>
      </c>
      <c r="G4562" t="str">
        <f>_xlfn.XLOOKUP(A4562,'[1]Tissue Data'!$A:$A,'[1]Tissue Data'!J:J)</f>
        <v>M</v>
      </c>
      <c r="H4562" t="str">
        <f>_xlfn.XLOOKUP(A4562,'[1]Tissue Data'!$A:$A,'[1]Tissue Data'!K:K)</f>
        <v>Liver</v>
      </c>
      <c r="I4562">
        <f>_xlfn.XLOOKUP(A4562,'[1]Tissue Data'!$A:$A,'[1]Tissue Data'!L:L)</f>
        <v>13</v>
      </c>
      <c r="J4562">
        <f>_xlfn.XLOOKUP(A4562,'[1]Tissue Data'!$A:$A,'[1]Tissue Data'!M:M)</f>
        <v>40.79</v>
      </c>
      <c r="K4562" t="s">
        <v>22</v>
      </c>
      <c r="L4562" t="str">
        <f>_xlfn.XLOOKUP(K4562,[2]analyte_order!$B:$B,[2]analyte_order!$C:$C)</f>
        <v>376-06-7</v>
      </c>
      <c r="M4562">
        <f>_xlfn.XLOOKUP(L4562,[2]analyte_order!$C:$C,[2]analyte_order!$E:$E)</f>
        <v>11</v>
      </c>
      <c r="N4562">
        <v>15.2</v>
      </c>
    </row>
    <row r="4563" spans="1:14">
      <c r="A4563" t="s">
        <v>270</v>
      </c>
      <c r="B4563" t="str">
        <f>_xlfn.XLOOKUP(A4563,'[1]Tissue Data'!$A:$A,'[1]Tissue Data'!$C:$C)</f>
        <v>Spill</v>
      </c>
      <c r="C4563" s="2">
        <f>_xlfn.XLOOKUP(A4563,'[1]Tissue Data'!$A:$A,'[1]Tissue Data'!$D:$D)</f>
        <v>44393</v>
      </c>
      <c r="D4563" s="2" t="str">
        <f>_xlfn.XLOOKUP(A4563,'[1]Tissue Data'!$A:$A,'[1]Tissue Data'!$F:$F)</f>
        <v>Pumpkinseed</v>
      </c>
      <c r="E4563" t="str">
        <f>_xlfn.XLOOKUP(A4563,'[1]Tissue Data'!$A:$A,'[1]Tissue Data'!$H:$H)</f>
        <v>Lepomis</v>
      </c>
      <c r="F4563" t="str">
        <f>_xlfn.XLOOKUP(A4563,'[1]Tissue Data'!$A:$A,'[1]Tissue Data'!$I:$I)</f>
        <v>gibbosus</v>
      </c>
      <c r="G4563" t="str">
        <f>_xlfn.XLOOKUP(A4563,'[1]Tissue Data'!$A:$A,'[1]Tissue Data'!J:J)</f>
        <v>M</v>
      </c>
      <c r="H4563" t="str">
        <f>_xlfn.XLOOKUP(A4563,'[1]Tissue Data'!$A:$A,'[1]Tissue Data'!K:K)</f>
        <v>Liver</v>
      </c>
      <c r="I4563">
        <f>_xlfn.XLOOKUP(A4563,'[1]Tissue Data'!$A:$A,'[1]Tissue Data'!L:L)</f>
        <v>13</v>
      </c>
      <c r="J4563">
        <f>_xlfn.XLOOKUP(A4563,'[1]Tissue Data'!$A:$A,'[1]Tissue Data'!M:M)</f>
        <v>40.79</v>
      </c>
      <c r="K4563" t="s">
        <v>23</v>
      </c>
      <c r="L4563" t="str">
        <f>_xlfn.XLOOKUP(K4563,[2]analyte_order!$B:$B,[2]analyte_order!$C:$C)</f>
        <v>67905-19-5</v>
      </c>
      <c r="M4563">
        <f>_xlfn.XLOOKUP(L4563,[2]analyte_order!$C:$C,[2]analyte_order!$E:$E)</f>
        <v>12</v>
      </c>
      <c r="N4563">
        <v>0.19750000000000001</v>
      </c>
    </row>
    <row r="4564" spans="1:14">
      <c r="A4564" t="s">
        <v>270</v>
      </c>
      <c r="B4564" t="str">
        <f>_xlfn.XLOOKUP(A4564,'[1]Tissue Data'!$A:$A,'[1]Tissue Data'!$C:$C)</f>
        <v>Spill</v>
      </c>
      <c r="C4564" s="2">
        <f>_xlfn.XLOOKUP(A4564,'[1]Tissue Data'!$A:$A,'[1]Tissue Data'!$D:$D)</f>
        <v>44393</v>
      </c>
      <c r="D4564" s="2" t="str">
        <f>_xlfn.XLOOKUP(A4564,'[1]Tissue Data'!$A:$A,'[1]Tissue Data'!$F:$F)</f>
        <v>Pumpkinseed</v>
      </c>
      <c r="E4564" t="str">
        <f>_xlfn.XLOOKUP(A4564,'[1]Tissue Data'!$A:$A,'[1]Tissue Data'!$H:$H)</f>
        <v>Lepomis</v>
      </c>
      <c r="F4564" t="str">
        <f>_xlfn.XLOOKUP(A4564,'[1]Tissue Data'!$A:$A,'[1]Tissue Data'!$I:$I)</f>
        <v>gibbosus</v>
      </c>
      <c r="G4564" t="str">
        <f>_xlfn.XLOOKUP(A4564,'[1]Tissue Data'!$A:$A,'[1]Tissue Data'!J:J)</f>
        <v>M</v>
      </c>
      <c r="H4564" t="str">
        <f>_xlfn.XLOOKUP(A4564,'[1]Tissue Data'!$A:$A,'[1]Tissue Data'!K:K)</f>
        <v>Liver</v>
      </c>
      <c r="I4564">
        <f>_xlfn.XLOOKUP(A4564,'[1]Tissue Data'!$A:$A,'[1]Tissue Data'!L:L)</f>
        <v>13</v>
      </c>
      <c r="J4564">
        <f>_xlfn.XLOOKUP(A4564,'[1]Tissue Data'!$A:$A,'[1]Tissue Data'!M:M)</f>
        <v>40.79</v>
      </c>
      <c r="K4564" t="s">
        <v>24</v>
      </c>
      <c r="L4564" t="str">
        <f>_xlfn.XLOOKUP(K4564,[2]analyte_order!$B:$B,[2]analyte_order!$C:$C)</f>
        <v>423-41-6</v>
      </c>
      <c r="M4564">
        <f>_xlfn.XLOOKUP(L4564,[2]analyte_order!$C:$C,[2]analyte_order!$E:$E)</f>
        <v>53</v>
      </c>
      <c r="N4564">
        <v>0.16550000000000001</v>
      </c>
    </row>
    <row r="4565" spans="1:14">
      <c r="A4565" t="s">
        <v>270</v>
      </c>
      <c r="B4565" t="str">
        <f>_xlfn.XLOOKUP(A4565,'[1]Tissue Data'!$A:$A,'[1]Tissue Data'!$C:$C)</f>
        <v>Spill</v>
      </c>
      <c r="C4565" s="2">
        <f>_xlfn.XLOOKUP(A4565,'[1]Tissue Data'!$A:$A,'[1]Tissue Data'!$D:$D)</f>
        <v>44393</v>
      </c>
      <c r="D4565" s="2" t="str">
        <f>_xlfn.XLOOKUP(A4565,'[1]Tissue Data'!$A:$A,'[1]Tissue Data'!$F:$F)</f>
        <v>Pumpkinseed</v>
      </c>
      <c r="E4565" t="str">
        <f>_xlfn.XLOOKUP(A4565,'[1]Tissue Data'!$A:$A,'[1]Tissue Data'!$H:$H)</f>
        <v>Lepomis</v>
      </c>
      <c r="F4565" t="str">
        <f>_xlfn.XLOOKUP(A4565,'[1]Tissue Data'!$A:$A,'[1]Tissue Data'!$I:$I)</f>
        <v>gibbosus</v>
      </c>
      <c r="G4565" t="str">
        <f>_xlfn.XLOOKUP(A4565,'[1]Tissue Data'!$A:$A,'[1]Tissue Data'!J:J)</f>
        <v>M</v>
      </c>
      <c r="H4565" t="str">
        <f>_xlfn.XLOOKUP(A4565,'[1]Tissue Data'!$A:$A,'[1]Tissue Data'!K:K)</f>
        <v>Liver</v>
      </c>
      <c r="I4565">
        <f>_xlfn.XLOOKUP(A4565,'[1]Tissue Data'!$A:$A,'[1]Tissue Data'!L:L)</f>
        <v>13</v>
      </c>
      <c r="J4565">
        <f>_xlfn.XLOOKUP(A4565,'[1]Tissue Data'!$A:$A,'[1]Tissue Data'!M:M)</f>
        <v>40.79</v>
      </c>
      <c r="K4565" t="s">
        <v>25</v>
      </c>
      <c r="L4565" t="str">
        <f>_xlfn.XLOOKUP(K4565,[2]analyte_order!$B:$B,[2]analyte_order!$C:$C)</f>
        <v>375-73-5</v>
      </c>
      <c r="M4565">
        <f>_xlfn.XLOOKUP(L4565,[2]analyte_order!$C:$C,[2]analyte_order!$E:$E)</f>
        <v>14</v>
      </c>
      <c r="N4565">
        <v>0.372</v>
      </c>
    </row>
    <row r="4566" spans="1:14">
      <c r="A4566" t="s">
        <v>270</v>
      </c>
      <c r="B4566" t="str">
        <f>_xlfn.XLOOKUP(A4566,'[1]Tissue Data'!$A:$A,'[1]Tissue Data'!$C:$C)</f>
        <v>Spill</v>
      </c>
      <c r="C4566" s="2">
        <f>_xlfn.XLOOKUP(A4566,'[1]Tissue Data'!$A:$A,'[1]Tissue Data'!$D:$D)</f>
        <v>44393</v>
      </c>
      <c r="D4566" s="2" t="str">
        <f>_xlfn.XLOOKUP(A4566,'[1]Tissue Data'!$A:$A,'[1]Tissue Data'!$F:$F)</f>
        <v>Pumpkinseed</v>
      </c>
      <c r="E4566" t="str">
        <f>_xlfn.XLOOKUP(A4566,'[1]Tissue Data'!$A:$A,'[1]Tissue Data'!$H:$H)</f>
        <v>Lepomis</v>
      </c>
      <c r="F4566" t="str">
        <f>_xlfn.XLOOKUP(A4566,'[1]Tissue Data'!$A:$A,'[1]Tissue Data'!$I:$I)</f>
        <v>gibbosus</v>
      </c>
      <c r="G4566" t="str">
        <f>_xlfn.XLOOKUP(A4566,'[1]Tissue Data'!$A:$A,'[1]Tissue Data'!J:J)</f>
        <v>M</v>
      </c>
      <c r="H4566" t="str">
        <f>_xlfn.XLOOKUP(A4566,'[1]Tissue Data'!$A:$A,'[1]Tissue Data'!K:K)</f>
        <v>Liver</v>
      </c>
      <c r="I4566">
        <f>_xlfn.XLOOKUP(A4566,'[1]Tissue Data'!$A:$A,'[1]Tissue Data'!L:L)</f>
        <v>13</v>
      </c>
      <c r="J4566">
        <f>_xlfn.XLOOKUP(A4566,'[1]Tissue Data'!$A:$A,'[1]Tissue Data'!M:M)</f>
        <v>40.79</v>
      </c>
      <c r="K4566" t="s">
        <v>26</v>
      </c>
      <c r="L4566" t="str">
        <f>_xlfn.XLOOKUP(K4566,[2]analyte_order!$B:$B,[2]analyte_order!$C:$C)</f>
        <v>2706-91-4</v>
      </c>
      <c r="M4566">
        <f>_xlfn.XLOOKUP(L4566,[2]analyte_order!$C:$C,[2]analyte_order!$E:$E)</f>
        <v>15</v>
      </c>
      <c r="N4566">
        <v>0.16550000000000001</v>
      </c>
    </row>
    <row r="4567" spans="1:14">
      <c r="A4567" t="s">
        <v>270</v>
      </c>
      <c r="B4567" t="str">
        <f>_xlfn.XLOOKUP(A4567,'[1]Tissue Data'!$A:$A,'[1]Tissue Data'!$C:$C)</f>
        <v>Spill</v>
      </c>
      <c r="C4567" s="2">
        <f>_xlfn.XLOOKUP(A4567,'[1]Tissue Data'!$A:$A,'[1]Tissue Data'!$D:$D)</f>
        <v>44393</v>
      </c>
      <c r="D4567" s="2" t="str">
        <f>_xlfn.XLOOKUP(A4567,'[1]Tissue Data'!$A:$A,'[1]Tissue Data'!$F:$F)</f>
        <v>Pumpkinseed</v>
      </c>
      <c r="E4567" t="str">
        <f>_xlfn.XLOOKUP(A4567,'[1]Tissue Data'!$A:$A,'[1]Tissue Data'!$H:$H)</f>
        <v>Lepomis</v>
      </c>
      <c r="F4567" t="str">
        <f>_xlfn.XLOOKUP(A4567,'[1]Tissue Data'!$A:$A,'[1]Tissue Data'!$I:$I)</f>
        <v>gibbosus</v>
      </c>
      <c r="G4567" t="str">
        <f>_xlfn.XLOOKUP(A4567,'[1]Tissue Data'!$A:$A,'[1]Tissue Data'!J:J)</f>
        <v>M</v>
      </c>
      <c r="H4567" t="str">
        <f>_xlfn.XLOOKUP(A4567,'[1]Tissue Data'!$A:$A,'[1]Tissue Data'!K:K)</f>
        <v>Liver</v>
      </c>
      <c r="I4567">
        <f>_xlfn.XLOOKUP(A4567,'[1]Tissue Data'!$A:$A,'[1]Tissue Data'!L:L)</f>
        <v>13</v>
      </c>
      <c r="J4567">
        <f>_xlfn.XLOOKUP(A4567,'[1]Tissue Data'!$A:$A,'[1]Tissue Data'!M:M)</f>
        <v>40.79</v>
      </c>
      <c r="K4567" t="s">
        <v>27</v>
      </c>
      <c r="L4567" t="str">
        <f>_xlfn.XLOOKUP(K4567,[2]analyte_order!$B:$B,[2]analyte_order!$C:$C)</f>
        <v>355-46-4</v>
      </c>
      <c r="M4567">
        <f>_xlfn.XLOOKUP(L4567,[2]analyte_order!$C:$C,[2]analyte_order!$E:$E)</f>
        <v>16</v>
      </c>
      <c r="N4567">
        <v>11.9</v>
      </c>
    </row>
    <row r="4568" spans="1:14">
      <c r="A4568" t="s">
        <v>270</v>
      </c>
      <c r="B4568" t="str">
        <f>_xlfn.XLOOKUP(A4568,'[1]Tissue Data'!$A:$A,'[1]Tissue Data'!$C:$C)</f>
        <v>Spill</v>
      </c>
      <c r="C4568" s="2">
        <f>_xlfn.XLOOKUP(A4568,'[1]Tissue Data'!$A:$A,'[1]Tissue Data'!$D:$D)</f>
        <v>44393</v>
      </c>
      <c r="D4568" s="2" t="str">
        <f>_xlfn.XLOOKUP(A4568,'[1]Tissue Data'!$A:$A,'[1]Tissue Data'!$F:$F)</f>
        <v>Pumpkinseed</v>
      </c>
      <c r="E4568" t="str">
        <f>_xlfn.XLOOKUP(A4568,'[1]Tissue Data'!$A:$A,'[1]Tissue Data'!$H:$H)</f>
        <v>Lepomis</v>
      </c>
      <c r="F4568" t="str">
        <f>_xlfn.XLOOKUP(A4568,'[1]Tissue Data'!$A:$A,'[1]Tissue Data'!$I:$I)</f>
        <v>gibbosus</v>
      </c>
      <c r="G4568" t="str">
        <f>_xlfn.XLOOKUP(A4568,'[1]Tissue Data'!$A:$A,'[1]Tissue Data'!J:J)</f>
        <v>M</v>
      </c>
      <c r="H4568" t="str">
        <f>_xlfn.XLOOKUP(A4568,'[1]Tissue Data'!$A:$A,'[1]Tissue Data'!K:K)</f>
        <v>Liver</v>
      </c>
      <c r="I4568">
        <f>_xlfn.XLOOKUP(A4568,'[1]Tissue Data'!$A:$A,'[1]Tissue Data'!L:L)</f>
        <v>13</v>
      </c>
      <c r="J4568">
        <f>_xlfn.XLOOKUP(A4568,'[1]Tissue Data'!$A:$A,'[1]Tissue Data'!M:M)</f>
        <v>40.79</v>
      </c>
      <c r="K4568" t="s">
        <v>28</v>
      </c>
      <c r="L4568" t="str">
        <f>_xlfn.XLOOKUP(K4568,[2]analyte_order!$B:$B,[2]analyte_order!$C:$C)</f>
        <v>375-92-8</v>
      </c>
      <c r="M4568">
        <f>_xlfn.XLOOKUP(L4568,[2]analyte_order!$C:$C,[2]analyte_order!$E:$E)</f>
        <v>17</v>
      </c>
      <c r="N4568">
        <v>2.81</v>
      </c>
    </row>
    <row r="4569" spans="1:14">
      <c r="A4569" t="s">
        <v>270</v>
      </c>
      <c r="B4569" t="str">
        <f>_xlfn.XLOOKUP(A4569,'[1]Tissue Data'!$A:$A,'[1]Tissue Data'!$C:$C)</f>
        <v>Spill</v>
      </c>
      <c r="C4569" s="2">
        <f>_xlfn.XLOOKUP(A4569,'[1]Tissue Data'!$A:$A,'[1]Tissue Data'!$D:$D)</f>
        <v>44393</v>
      </c>
      <c r="D4569" s="2" t="str">
        <f>_xlfn.XLOOKUP(A4569,'[1]Tissue Data'!$A:$A,'[1]Tissue Data'!$F:$F)</f>
        <v>Pumpkinseed</v>
      </c>
      <c r="E4569" t="str">
        <f>_xlfn.XLOOKUP(A4569,'[1]Tissue Data'!$A:$A,'[1]Tissue Data'!$H:$H)</f>
        <v>Lepomis</v>
      </c>
      <c r="F4569" t="str">
        <f>_xlfn.XLOOKUP(A4569,'[1]Tissue Data'!$A:$A,'[1]Tissue Data'!$I:$I)</f>
        <v>gibbosus</v>
      </c>
      <c r="G4569" t="str">
        <f>_xlfn.XLOOKUP(A4569,'[1]Tissue Data'!$A:$A,'[1]Tissue Data'!J:J)</f>
        <v>M</v>
      </c>
      <c r="H4569" t="str">
        <f>_xlfn.XLOOKUP(A4569,'[1]Tissue Data'!$A:$A,'[1]Tissue Data'!K:K)</f>
        <v>Liver</v>
      </c>
      <c r="I4569">
        <f>_xlfn.XLOOKUP(A4569,'[1]Tissue Data'!$A:$A,'[1]Tissue Data'!L:L)</f>
        <v>13</v>
      </c>
      <c r="J4569">
        <f>_xlfn.XLOOKUP(A4569,'[1]Tissue Data'!$A:$A,'[1]Tissue Data'!M:M)</f>
        <v>40.79</v>
      </c>
      <c r="K4569" t="s">
        <v>29</v>
      </c>
      <c r="L4569" t="str">
        <f>_xlfn.XLOOKUP(K4569,[2]analyte_order!$B:$B,[2]analyte_order!$C:$C)</f>
        <v>1763-23-1</v>
      </c>
      <c r="M4569">
        <f>_xlfn.XLOOKUP(L4569,[2]analyte_order!$C:$C,[2]analyte_order!$E:$E)</f>
        <v>18</v>
      </c>
      <c r="N4569">
        <v>2150</v>
      </c>
    </row>
    <row r="4570" spans="1:14">
      <c r="A4570" t="s">
        <v>270</v>
      </c>
      <c r="B4570" t="str">
        <f>_xlfn.XLOOKUP(A4570,'[1]Tissue Data'!$A:$A,'[1]Tissue Data'!$C:$C)</f>
        <v>Spill</v>
      </c>
      <c r="C4570" s="2">
        <f>_xlfn.XLOOKUP(A4570,'[1]Tissue Data'!$A:$A,'[1]Tissue Data'!$D:$D)</f>
        <v>44393</v>
      </c>
      <c r="D4570" s="2" t="str">
        <f>_xlfn.XLOOKUP(A4570,'[1]Tissue Data'!$A:$A,'[1]Tissue Data'!$F:$F)</f>
        <v>Pumpkinseed</v>
      </c>
      <c r="E4570" t="str">
        <f>_xlfn.XLOOKUP(A4570,'[1]Tissue Data'!$A:$A,'[1]Tissue Data'!$H:$H)</f>
        <v>Lepomis</v>
      </c>
      <c r="F4570" t="str">
        <f>_xlfn.XLOOKUP(A4570,'[1]Tissue Data'!$A:$A,'[1]Tissue Data'!$I:$I)</f>
        <v>gibbosus</v>
      </c>
      <c r="G4570" t="str">
        <f>_xlfn.XLOOKUP(A4570,'[1]Tissue Data'!$A:$A,'[1]Tissue Data'!J:J)</f>
        <v>M</v>
      </c>
      <c r="H4570" t="str">
        <f>_xlfn.XLOOKUP(A4570,'[1]Tissue Data'!$A:$A,'[1]Tissue Data'!K:K)</f>
        <v>Liver</v>
      </c>
      <c r="I4570">
        <f>_xlfn.XLOOKUP(A4570,'[1]Tissue Data'!$A:$A,'[1]Tissue Data'!L:L)</f>
        <v>13</v>
      </c>
      <c r="J4570">
        <f>_xlfn.XLOOKUP(A4570,'[1]Tissue Data'!$A:$A,'[1]Tissue Data'!M:M)</f>
        <v>40.79</v>
      </c>
      <c r="K4570" t="s">
        <v>30</v>
      </c>
      <c r="L4570" t="str">
        <f>_xlfn.XLOOKUP(K4570,[2]analyte_order!$B:$B,[2]analyte_order!$C:$C)</f>
        <v>68259-12-1</v>
      </c>
      <c r="M4570">
        <f>_xlfn.XLOOKUP(L4570,[2]analyte_order!$C:$C,[2]analyte_order!$E:$E)</f>
        <v>19</v>
      </c>
      <c r="N4570">
        <v>8.01</v>
      </c>
    </row>
    <row r="4571" spans="1:14">
      <c r="A4571" t="s">
        <v>270</v>
      </c>
      <c r="B4571" t="str">
        <f>_xlfn.XLOOKUP(A4571,'[1]Tissue Data'!$A:$A,'[1]Tissue Data'!$C:$C)</f>
        <v>Spill</v>
      </c>
      <c r="C4571" s="2">
        <f>_xlfn.XLOOKUP(A4571,'[1]Tissue Data'!$A:$A,'[1]Tissue Data'!$D:$D)</f>
        <v>44393</v>
      </c>
      <c r="D4571" s="2" t="str">
        <f>_xlfn.XLOOKUP(A4571,'[1]Tissue Data'!$A:$A,'[1]Tissue Data'!$F:$F)</f>
        <v>Pumpkinseed</v>
      </c>
      <c r="E4571" t="str">
        <f>_xlfn.XLOOKUP(A4571,'[1]Tissue Data'!$A:$A,'[1]Tissue Data'!$H:$H)</f>
        <v>Lepomis</v>
      </c>
      <c r="F4571" t="str">
        <f>_xlfn.XLOOKUP(A4571,'[1]Tissue Data'!$A:$A,'[1]Tissue Data'!$I:$I)</f>
        <v>gibbosus</v>
      </c>
      <c r="G4571" t="str">
        <f>_xlfn.XLOOKUP(A4571,'[1]Tissue Data'!$A:$A,'[1]Tissue Data'!J:J)</f>
        <v>M</v>
      </c>
      <c r="H4571" t="str">
        <f>_xlfn.XLOOKUP(A4571,'[1]Tissue Data'!$A:$A,'[1]Tissue Data'!K:K)</f>
        <v>Liver</v>
      </c>
      <c r="I4571">
        <f>_xlfn.XLOOKUP(A4571,'[1]Tissue Data'!$A:$A,'[1]Tissue Data'!L:L)</f>
        <v>13</v>
      </c>
      <c r="J4571">
        <f>_xlfn.XLOOKUP(A4571,'[1]Tissue Data'!$A:$A,'[1]Tissue Data'!M:M)</f>
        <v>40.79</v>
      </c>
      <c r="K4571" t="s">
        <v>31</v>
      </c>
      <c r="L4571" t="str">
        <f>_xlfn.XLOOKUP(K4571,[2]analyte_order!$B:$B,[2]analyte_order!$C:$C)</f>
        <v>335-77-3</v>
      </c>
      <c r="M4571">
        <f>_xlfn.XLOOKUP(L4571,[2]analyte_order!$C:$C,[2]analyte_order!$E:$E)</f>
        <v>20</v>
      </c>
      <c r="N4571">
        <v>6.76</v>
      </c>
    </row>
    <row r="4572" spans="1:14">
      <c r="A4572" t="s">
        <v>270</v>
      </c>
      <c r="B4572" t="str">
        <f>_xlfn.XLOOKUP(A4572,'[1]Tissue Data'!$A:$A,'[1]Tissue Data'!$C:$C)</f>
        <v>Spill</v>
      </c>
      <c r="C4572" s="2">
        <f>_xlfn.XLOOKUP(A4572,'[1]Tissue Data'!$A:$A,'[1]Tissue Data'!$D:$D)</f>
        <v>44393</v>
      </c>
      <c r="D4572" s="2" t="str">
        <f>_xlfn.XLOOKUP(A4572,'[1]Tissue Data'!$A:$A,'[1]Tissue Data'!$F:$F)</f>
        <v>Pumpkinseed</v>
      </c>
      <c r="E4572" t="str">
        <f>_xlfn.XLOOKUP(A4572,'[1]Tissue Data'!$A:$A,'[1]Tissue Data'!$H:$H)</f>
        <v>Lepomis</v>
      </c>
      <c r="F4572" t="str">
        <f>_xlfn.XLOOKUP(A4572,'[1]Tissue Data'!$A:$A,'[1]Tissue Data'!$I:$I)</f>
        <v>gibbosus</v>
      </c>
      <c r="G4572" t="str">
        <f>_xlfn.XLOOKUP(A4572,'[1]Tissue Data'!$A:$A,'[1]Tissue Data'!J:J)</f>
        <v>M</v>
      </c>
      <c r="H4572" t="str">
        <f>_xlfn.XLOOKUP(A4572,'[1]Tissue Data'!$A:$A,'[1]Tissue Data'!K:K)</f>
        <v>Liver</v>
      </c>
      <c r="I4572">
        <f>_xlfn.XLOOKUP(A4572,'[1]Tissue Data'!$A:$A,'[1]Tissue Data'!L:L)</f>
        <v>13</v>
      </c>
      <c r="J4572">
        <f>_xlfn.XLOOKUP(A4572,'[1]Tissue Data'!$A:$A,'[1]Tissue Data'!M:M)</f>
        <v>40.79</v>
      </c>
      <c r="K4572" t="s">
        <v>32</v>
      </c>
      <c r="L4572" t="str">
        <f>_xlfn.XLOOKUP(K4572,[2]analyte_order!$B:$B,[2]analyte_order!$C:$C)</f>
        <v>79780-39-5</v>
      </c>
      <c r="M4572">
        <f>_xlfn.XLOOKUP(L4572,[2]analyte_order!$C:$C,[2]analyte_order!$E:$E)</f>
        <v>21</v>
      </c>
      <c r="N4572">
        <v>1.38</v>
      </c>
    </row>
    <row r="4573" spans="1:14">
      <c r="A4573" t="s">
        <v>270</v>
      </c>
      <c r="B4573" t="str">
        <f>_xlfn.XLOOKUP(A4573,'[1]Tissue Data'!$A:$A,'[1]Tissue Data'!$C:$C)</f>
        <v>Spill</v>
      </c>
      <c r="C4573" s="2">
        <f>_xlfn.XLOOKUP(A4573,'[1]Tissue Data'!$A:$A,'[1]Tissue Data'!$D:$D)</f>
        <v>44393</v>
      </c>
      <c r="D4573" s="2" t="str">
        <f>_xlfn.XLOOKUP(A4573,'[1]Tissue Data'!$A:$A,'[1]Tissue Data'!$F:$F)</f>
        <v>Pumpkinseed</v>
      </c>
      <c r="E4573" t="str">
        <f>_xlfn.XLOOKUP(A4573,'[1]Tissue Data'!$A:$A,'[1]Tissue Data'!$H:$H)</f>
        <v>Lepomis</v>
      </c>
      <c r="F4573" t="str">
        <f>_xlfn.XLOOKUP(A4573,'[1]Tissue Data'!$A:$A,'[1]Tissue Data'!$I:$I)</f>
        <v>gibbosus</v>
      </c>
      <c r="G4573" t="str">
        <f>_xlfn.XLOOKUP(A4573,'[1]Tissue Data'!$A:$A,'[1]Tissue Data'!J:J)</f>
        <v>M</v>
      </c>
      <c r="H4573" t="str">
        <f>_xlfn.XLOOKUP(A4573,'[1]Tissue Data'!$A:$A,'[1]Tissue Data'!K:K)</f>
        <v>Liver</v>
      </c>
      <c r="I4573">
        <f>_xlfn.XLOOKUP(A4573,'[1]Tissue Data'!$A:$A,'[1]Tissue Data'!L:L)</f>
        <v>13</v>
      </c>
      <c r="J4573">
        <f>_xlfn.XLOOKUP(A4573,'[1]Tissue Data'!$A:$A,'[1]Tissue Data'!M:M)</f>
        <v>40.79</v>
      </c>
      <c r="K4573" t="s">
        <v>33</v>
      </c>
      <c r="L4573" t="str">
        <f>_xlfn.XLOOKUP(K4573,[2]analyte_order!$B:$B,[2]analyte_order!$C:$C)</f>
        <v>777011-38-8</v>
      </c>
      <c r="M4573">
        <f>_xlfn.XLOOKUP(L4573,[2]analyte_order!$C:$C,[2]analyte_order!$E:$E)</f>
        <v>54</v>
      </c>
      <c r="N4573">
        <v>0.33200000000000002</v>
      </c>
    </row>
    <row r="4574" spans="1:14">
      <c r="A4574" t="s">
        <v>270</v>
      </c>
      <c r="B4574" t="str">
        <f>_xlfn.XLOOKUP(A4574,'[1]Tissue Data'!$A:$A,'[1]Tissue Data'!$C:$C)</f>
        <v>Spill</v>
      </c>
      <c r="C4574" s="2">
        <f>_xlfn.XLOOKUP(A4574,'[1]Tissue Data'!$A:$A,'[1]Tissue Data'!$D:$D)</f>
        <v>44393</v>
      </c>
      <c r="D4574" s="2" t="str">
        <f>_xlfn.XLOOKUP(A4574,'[1]Tissue Data'!$A:$A,'[1]Tissue Data'!$F:$F)</f>
        <v>Pumpkinseed</v>
      </c>
      <c r="E4574" t="str">
        <f>_xlfn.XLOOKUP(A4574,'[1]Tissue Data'!$A:$A,'[1]Tissue Data'!$H:$H)</f>
        <v>Lepomis</v>
      </c>
      <c r="F4574" t="str">
        <f>_xlfn.XLOOKUP(A4574,'[1]Tissue Data'!$A:$A,'[1]Tissue Data'!$I:$I)</f>
        <v>gibbosus</v>
      </c>
      <c r="G4574" t="str">
        <f>_xlfn.XLOOKUP(A4574,'[1]Tissue Data'!$A:$A,'[1]Tissue Data'!J:J)</f>
        <v>M</v>
      </c>
      <c r="H4574" t="str">
        <f>_xlfn.XLOOKUP(A4574,'[1]Tissue Data'!$A:$A,'[1]Tissue Data'!K:K)</f>
        <v>Liver</v>
      </c>
      <c r="I4574">
        <f>_xlfn.XLOOKUP(A4574,'[1]Tissue Data'!$A:$A,'[1]Tissue Data'!L:L)</f>
        <v>13</v>
      </c>
      <c r="J4574">
        <f>_xlfn.XLOOKUP(A4574,'[1]Tissue Data'!$A:$A,'[1]Tissue Data'!M:M)</f>
        <v>40.79</v>
      </c>
      <c r="K4574" t="s">
        <v>34</v>
      </c>
      <c r="L4574" t="str">
        <f>_xlfn.XLOOKUP(K4574,[2]analyte_order!$B:$B,[2]analyte_order!$C:$C)</f>
        <v>646-83-3</v>
      </c>
      <c r="M4574">
        <f>_xlfn.XLOOKUP(L4574,[2]analyte_order!$C:$C,[2]analyte_order!$E:$E)</f>
        <v>55</v>
      </c>
      <c r="N4574">
        <v>0.54500000000000004</v>
      </c>
    </row>
    <row r="4575" spans="1:14">
      <c r="A4575" t="s">
        <v>270</v>
      </c>
      <c r="B4575" t="str">
        <f>_xlfn.XLOOKUP(A4575,'[1]Tissue Data'!$A:$A,'[1]Tissue Data'!$C:$C)</f>
        <v>Spill</v>
      </c>
      <c r="C4575" s="2">
        <f>_xlfn.XLOOKUP(A4575,'[1]Tissue Data'!$A:$A,'[1]Tissue Data'!$D:$D)</f>
        <v>44393</v>
      </c>
      <c r="D4575" s="2" t="str">
        <f>_xlfn.XLOOKUP(A4575,'[1]Tissue Data'!$A:$A,'[1]Tissue Data'!$F:$F)</f>
        <v>Pumpkinseed</v>
      </c>
      <c r="E4575" t="str">
        <f>_xlfn.XLOOKUP(A4575,'[1]Tissue Data'!$A:$A,'[1]Tissue Data'!$H:$H)</f>
        <v>Lepomis</v>
      </c>
      <c r="F4575" t="str">
        <f>_xlfn.XLOOKUP(A4575,'[1]Tissue Data'!$A:$A,'[1]Tissue Data'!$I:$I)</f>
        <v>gibbosus</v>
      </c>
      <c r="G4575" t="str">
        <f>_xlfn.XLOOKUP(A4575,'[1]Tissue Data'!$A:$A,'[1]Tissue Data'!J:J)</f>
        <v>M</v>
      </c>
      <c r="H4575" t="str">
        <f>_xlfn.XLOOKUP(A4575,'[1]Tissue Data'!$A:$A,'[1]Tissue Data'!K:K)</f>
        <v>Liver</v>
      </c>
      <c r="I4575">
        <f>_xlfn.XLOOKUP(A4575,'[1]Tissue Data'!$A:$A,'[1]Tissue Data'!L:L)</f>
        <v>13</v>
      </c>
      <c r="J4575">
        <f>_xlfn.XLOOKUP(A4575,'[1]Tissue Data'!$A:$A,'[1]Tissue Data'!M:M)</f>
        <v>40.79</v>
      </c>
      <c r="K4575" t="s">
        <v>35</v>
      </c>
      <c r="L4575" t="str">
        <f>_xlfn.XLOOKUP(K4575,[2]analyte_order!$B:$B,[2]analyte_order!$C:$C)</f>
        <v>30334-69-1</v>
      </c>
      <c r="M4575">
        <f>_xlfn.XLOOKUP(L4575,[2]analyte_order!$C:$C,[2]analyte_order!$E:$E)</f>
        <v>51</v>
      </c>
      <c r="N4575">
        <v>156</v>
      </c>
    </row>
    <row r="4576" spans="1:14">
      <c r="A4576" t="s">
        <v>270</v>
      </c>
      <c r="B4576" t="str">
        <f>_xlfn.XLOOKUP(A4576,'[1]Tissue Data'!$A:$A,'[1]Tissue Data'!$C:$C)</f>
        <v>Spill</v>
      </c>
      <c r="C4576" s="2">
        <f>_xlfn.XLOOKUP(A4576,'[1]Tissue Data'!$A:$A,'[1]Tissue Data'!$D:$D)</f>
        <v>44393</v>
      </c>
      <c r="D4576" s="2" t="str">
        <f>_xlfn.XLOOKUP(A4576,'[1]Tissue Data'!$A:$A,'[1]Tissue Data'!$F:$F)</f>
        <v>Pumpkinseed</v>
      </c>
      <c r="E4576" t="str">
        <f>_xlfn.XLOOKUP(A4576,'[1]Tissue Data'!$A:$A,'[1]Tissue Data'!$H:$H)</f>
        <v>Lepomis</v>
      </c>
      <c r="F4576" t="str">
        <f>_xlfn.XLOOKUP(A4576,'[1]Tissue Data'!$A:$A,'[1]Tissue Data'!$I:$I)</f>
        <v>gibbosus</v>
      </c>
      <c r="G4576" t="str">
        <f>_xlfn.XLOOKUP(A4576,'[1]Tissue Data'!$A:$A,'[1]Tissue Data'!J:J)</f>
        <v>M</v>
      </c>
      <c r="H4576" t="str">
        <f>_xlfn.XLOOKUP(A4576,'[1]Tissue Data'!$A:$A,'[1]Tissue Data'!K:K)</f>
        <v>Liver</v>
      </c>
      <c r="I4576">
        <f>_xlfn.XLOOKUP(A4576,'[1]Tissue Data'!$A:$A,'[1]Tissue Data'!L:L)</f>
        <v>13</v>
      </c>
      <c r="J4576">
        <f>_xlfn.XLOOKUP(A4576,'[1]Tissue Data'!$A:$A,'[1]Tissue Data'!M:M)</f>
        <v>40.79</v>
      </c>
      <c r="K4576" t="s">
        <v>36</v>
      </c>
      <c r="L4576" t="str">
        <f>_xlfn.XLOOKUP(K4576,[2]analyte_order!$B:$B,[2]analyte_order!$C:$C)</f>
        <v>41997-13-1</v>
      </c>
      <c r="M4576">
        <f>_xlfn.XLOOKUP(L4576,[2]analyte_order!$C:$C,[2]analyte_order!$E:$E)</f>
        <v>52</v>
      </c>
      <c r="N4576">
        <v>133</v>
      </c>
    </row>
    <row r="4577" spans="1:14">
      <c r="A4577" t="s">
        <v>270</v>
      </c>
      <c r="B4577" t="str">
        <f>_xlfn.XLOOKUP(A4577,'[1]Tissue Data'!$A:$A,'[1]Tissue Data'!$C:$C)</f>
        <v>Spill</v>
      </c>
      <c r="C4577" s="2">
        <f>_xlfn.XLOOKUP(A4577,'[1]Tissue Data'!$A:$A,'[1]Tissue Data'!$D:$D)</f>
        <v>44393</v>
      </c>
      <c r="D4577" s="2" t="str">
        <f>_xlfn.XLOOKUP(A4577,'[1]Tissue Data'!$A:$A,'[1]Tissue Data'!$F:$F)</f>
        <v>Pumpkinseed</v>
      </c>
      <c r="E4577" t="str">
        <f>_xlfn.XLOOKUP(A4577,'[1]Tissue Data'!$A:$A,'[1]Tissue Data'!$H:$H)</f>
        <v>Lepomis</v>
      </c>
      <c r="F4577" t="str">
        <f>_xlfn.XLOOKUP(A4577,'[1]Tissue Data'!$A:$A,'[1]Tissue Data'!$I:$I)</f>
        <v>gibbosus</v>
      </c>
      <c r="G4577" t="str">
        <f>_xlfn.XLOOKUP(A4577,'[1]Tissue Data'!$A:$A,'[1]Tissue Data'!J:J)</f>
        <v>M</v>
      </c>
      <c r="H4577" t="str">
        <f>_xlfn.XLOOKUP(A4577,'[1]Tissue Data'!$A:$A,'[1]Tissue Data'!K:K)</f>
        <v>Liver</v>
      </c>
      <c r="I4577">
        <f>_xlfn.XLOOKUP(A4577,'[1]Tissue Data'!$A:$A,'[1]Tissue Data'!L:L)</f>
        <v>13</v>
      </c>
      <c r="J4577">
        <f>_xlfn.XLOOKUP(A4577,'[1]Tissue Data'!$A:$A,'[1]Tissue Data'!M:M)</f>
        <v>40.79</v>
      </c>
      <c r="K4577" t="s">
        <v>37</v>
      </c>
      <c r="L4577" t="str">
        <f>_xlfn.XLOOKUP(K4577,[2]analyte_order!$B:$B,[2]analyte_order!$C:$C)</f>
        <v>754-91-6</v>
      </c>
      <c r="M4577">
        <f>_xlfn.XLOOKUP(L4577,[2]analyte_order!$C:$C,[2]analyte_order!$E:$E)</f>
        <v>28</v>
      </c>
      <c r="N4577">
        <v>78.5</v>
      </c>
    </row>
    <row r="4578" spans="1:14">
      <c r="A4578" t="s">
        <v>270</v>
      </c>
      <c r="B4578" t="str">
        <f>_xlfn.XLOOKUP(A4578,'[1]Tissue Data'!$A:$A,'[1]Tissue Data'!$C:$C)</f>
        <v>Spill</v>
      </c>
      <c r="C4578" s="2">
        <f>_xlfn.XLOOKUP(A4578,'[1]Tissue Data'!$A:$A,'[1]Tissue Data'!$D:$D)</f>
        <v>44393</v>
      </c>
      <c r="D4578" s="2" t="str">
        <f>_xlfn.XLOOKUP(A4578,'[1]Tissue Data'!$A:$A,'[1]Tissue Data'!$F:$F)</f>
        <v>Pumpkinseed</v>
      </c>
      <c r="E4578" t="str">
        <f>_xlfn.XLOOKUP(A4578,'[1]Tissue Data'!$A:$A,'[1]Tissue Data'!$H:$H)</f>
        <v>Lepomis</v>
      </c>
      <c r="F4578" t="str">
        <f>_xlfn.XLOOKUP(A4578,'[1]Tissue Data'!$A:$A,'[1]Tissue Data'!$I:$I)</f>
        <v>gibbosus</v>
      </c>
      <c r="G4578" t="str">
        <f>_xlfn.XLOOKUP(A4578,'[1]Tissue Data'!$A:$A,'[1]Tissue Data'!J:J)</f>
        <v>M</v>
      </c>
      <c r="H4578" t="str">
        <f>_xlfn.XLOOKUP(A4578,'[1]Tissue Data'!$A:$A,'[1]Tissue Data'!K:K)</f>
        <v>Liver</v>
      </c>
      <c r="I4578">
        <f>_xlfn.XLOOKUP(A4578,'[1]Tissue Data'!$A:$A,'[1]Tissue Data'!L:L)</f>
        <v>13</v>
      </c>
      <c r="J4578">
        <f>_xlfn.XLOOKUP(A4578,'[1]Tissue Data'!$A:$A,'[1]Tissue Data'!M:M)</f>
        <v>40.79</v>
      </c>
      <c r="K4578" t="s">
        <v>38</v>
      </c>
      <c r="L4578" t="str">
        <f>_xlfn.XLOOKUP(K4578,[2]analyte_order!$B:$B,[2]analyte_order!$C:$C)</f>
        <v>31506-32-8</v>
      </c>
      <c r="M4578">
        <f>_xlfn.XLOOKUP(L4578,[2]analyte_order!$C:$C,[2]analyte_order!$E:$E)</f>
        <v>30</v>
      </c>
      <c r="N4578">
        <v>0.16550000000000001</v>
      </c>
    </row>
    <row r="4579" spans="1:14">
      <c r="A4579" t="s">
        <v>270</v>
      </c>
      <c r="B4579" t="str">
        <f>_xlfn.XLOOKUP(A4579,'[1]Tissue Data'!$A:$A,'[1]Tissue Data'!$C:$C)</f>
        <v>Spill</v>
      </c>
      <c r="C4579" s="2">
        <f>_xlfn.XLOOKUP(A4579,'[1]Tissue Data'!$A:$A,'[1]Tissue Data'!$D:$D)</f>
        <v>44393</v>
      </c>
      <c r="D4579" s="2" t="str">
        <f>_xlfn.XLOOKUP(A4579,'[1]Tissue Data'!$A:$A,'[1]Tissue Data'!$F:$F)</f>
        <v>Pumpkinseed</v>
      </c>
      <c r="E4579" t="str">
        <f>_xlfn.XLOOKUP(A4579,'[1]Tissue Data'!$A:$A,'[1]Tissue Data'!$H:$H)</f>
        <v>Lepomis</v>
      </c>
      <c r="F4579" t="str">
        <f>_xlfn.XLOOKUP(A4579,'[1]Tissue Data'!$A:$A,'[1]Tissue Data'!$I:$I)</f>
        <v>gibbosus</v>
      </c>
      <c r="G4579" t="str">
        <f>_xlfn.XLOOKUP(A4579,'[1]Tissue Data'!$A:$A,'[1]Tissue Data'!J:J)</f>
        <v>M</v>
      </c>
      <c r="H4579" t="str">
        <f>_xlfn.XLOOKUP(A4579,'[1]Tissue Data'!$A:$A,'[1]Tissue Data'!K:K)</f>
        <v>Liver</v>
      </c>
      <c r="I4579">
        <f>_xlfn.XLOOKUP(A4579,'[1]Tissue Data'!$A:$A,'[1]Tissue Data'!L:L)</f>
        <v>13</v>
      </c>
      <c r="J4579">
        <f>_xlfn.XLOOKUP(A4579,'[1]Tissue Data'!$A:$A,'[1]Tissue Data'!M:M)</f>
        <v>40.79</v>
      </c>
      <c r="K4579" t="s">
        <v>39</v>
      </c>
      <c r="L4579" t="str">
        <f>_xlfn.XLOOKUP(K4579,[2]analyte_order!$B:$B,[2]analyte_order!$C:$C)</f>
        <v>4151-50-2</v>
      </c>
      <c r="M4579">
        <f>_xlfn.XLOOKUP(L4579,[2]analyte_order!$C:$C,[2]analyte_order!$E:$E)</f>
        <v>31</v>
      </c>
      <c r="N4579">
        <v>0.19350000000000001</v>
      </c>
    </row>
    <row r="4580" spans="1:14">
      <c r="A4580" t="s">
        <v>270</v>
      </c>
      <c r="B4580" t="str">
        <f>_xlfn.XLOOKUP(A4580,'[1]Tissue Data'!$A:$A,'[1]Tissue Data'!$C:$C)</f>
        <v>Spill</v>
      </c>
      <c r="C4580" s="2">
        <f>_xlfn.XLOOKUP(A4580,'[1]Tissue Data'!$A:$A,'[1]Tissue Data'!$D:$D)</f>
        <v>44393</v>
      </c>
      <c r="D4580" s="2" t="str">
        <f>_xlfn.XLOOKUP(A4580,'[1]Tissue Data'!$A:$A,'[1]Tissue Data'!$F:$F)</f>
        <v>Pumpkinseed</v>
      </c>
      <c r="E4580" t="str">
        <f>_xlfn.XLOOKUP(A4580,'[1]Tissue Data'!$A:$A,'[1]Tissue Data'!$H:$H)</f>
        <v>Lepomis</v>
      </c>
      <c r="F4580" t="str">
        <f>_xlfn.XLOOKUP(A4580,'[1]Tissue Data'!$A:$A,'[1]Tissue Data'!$I:$I)</f>
        <v>gibbosus</v>
      </c>
      <c r="G4580" t="str">
        <f>_xlfn.XLOOKUP(A4580,'[1]Tissue Data'!$A:$A,'[1]Tissue Data'!J:J)</f>
        <v>M</v>
      </c>
      <c r="H4580" t="str">
        <f>_xlfn.XLOOKUP(A4580,'[1]Tissue Data'!$A:$A,'[1]Tissue Data'!K:K)</f>
        <v>Liver</v>
      </c>
      <c r="I4580">
        <f>_xlfn.XLOOKUP(A4580,'[1]Tissue Data'!$A:$A,'[1]Tissue Data'!L:L)</f>
        <v>13</v>
      </c>
      <c r="J4580">
        <f>_xlfn.XLOOKUP(A4580,'[1]Tissue Data'!$A:$A,'[1]Tissue Data'!M:M)</f>
        <v>40.79</v>
      </c>
      <c r="K4580" t="s">
        <v>40</v>
      </c>
      <c r="L4580" t="str">
        <f>_xlfn.XLOOKUP(K4580,[2]analyte_order!$B:$B,[2]analyte_order!$C:$C)</f>
        <v>2806-24-8</v>
      </c>
      <c r="M4580">
        <f>_xlfn.XLOOKUP(L4580,[2]analyte_order!$C:$C,[2]analyte_order!$E:$E)</f>
        <v>29</v>
      </c>
      <c r="N4580">
        <v>0.1305</v>
      </c>
    </row>
    <row r="4581" spans="1:14">
      <c r="A4581" t="s">
        <v>270</v>
      </c>
      <c r="B4581" t="str">
        <f>_xlfn.XLOOKUP(A4581,'[1]Tissue Data'!$A:$A,'[1]Tissue Data'!$C:$C)</f>
        <v>Spill</v>
      </c>
      <c r="C4581" s="2">
        <f>_xlfn.XLOOKUP(A4581,'[1]Tissue Data'!$A:$A,'[1]Tissue Data'!$D:$D)</f>
        <v>44393</v>
      </c>
      <c r="D4581" s="2" t="str">
        <f>_xlfn.XLOOKUP(A4581,'[1]Tissue Data'!$A:$A,'[1]Tissue Data'!$F:$F)</f>
        <v>Pumpkinseed</v>
      </c>
      <c r="E4581" t="str">
        <f>_xlfn.XLOOKUP(A4581,'[1]Tissue Data'!$A:$A,'[1]Tissue Data'!$H:$H)</f>
        <v>Lepomis</v>
      </c>
      <c r="F4581" t="str">
        <f>_xlfn.XLOOKUP(A4581,'[1]Tissue Data'!$A:$A,'[1]Tissue Data'!$I:$I)</f>
        <v>gibbosus</v>
      </c>
      <c r="G4581" t="str">
        <f>_xlfn.XLOOKUP(A4581,'[1]Tissue Data'!$A:$A,'[1]Tissue Data'!J:J)</f>
        <v>M</v>
      </c>
      <c r="H4581" t="str">
        <f>_xlfn.XLOOKUP(A4581,'[1]Tissue Data'!$A:$A,'[1]Tissue Data'!K:K)</f>
        <v>Liver</v>
      </c>
      <c r="I4581">
        <f>_xlfn.XLOOKUP(A4581,'[1]Tissue Data'!$A:$A,'[1]Tissue Data'!L:L)</f>
        <v>13</v>
      </c>
      <c r="J4581">
        <f>_xlfn.XLOOKUP(A4581,'[1]Tissue Data'!$A:$A,'[1]Tissue Data'!M:M)</f>
        <v>40.79</v>
      </c>
      <c r="K4581" t="s">
        <v>41</v>
      </c>
      <c r="L4581" t="str">
        <f>_xlfn.XLOOKUP(K4581,[2]analyte_order!$B:$B,[2]analyte_order!$C:$C)</f>
        <v>2355-31-9</v>
      </c>
      <c r="M4581">
        <f>_xlfn.XLOOKUP(L4581,[2]analyte_order!$C:$C,[2]analyte_order!$E:$E)</f>
        <v>26</v>
      </c>
      <c r="N4581">
        <v>0.16650000000000001</v>
      </c>
    </row>
    <row r="4582" spans="1:14">
      <c r="A4582" t="s">
        <v>270</v>
      </c>
      <c r="B4582" t="str">
        <f>_xlfn.XLOOKUP(A4582,'[1]Tissue Data'!$A:$A,'[1]Tissue Data'!$C:$C)</f>
        <v>Spill</v>
      </c>
      <c r="C4582" s="2">
        <f>_xlfn.XLOOKUP(A4582,'[1]Tissue Data'!$A:$A,'[1]Tissue Data'!$D:$D)</f>
        <v>44393</v>
      </c>
      <c r="D4582" s="2" t="str">
        <f>_xlfn.XLOOKUP(A4582,'[1]Tissue Data'!$A:$A,'[1]Tissue Data'!$F:$F)</f>
        <v>Pumpkinseed</v>
      </c>
      <c r="E4582" t="str">
        <f>_xlfn.XLOOKUP(A4582,'[1]Tissue Data'!$A:$A,'[1]Tissue Data'!$H:$H)</f>
        <v>Lepomis</v>
      </c>
      <c r="F4582" t="str">
        <f>_xlfn.XLOOKUP(A4582,'[1]Tissue Data'!$A:$A,'[1]Tissue Data'!$I:$I)</f>
        <v>gibbosus</v>
      </c>
      <c r="G4582" t="str">
        <f>_xlfn.XLOOKUP(A4582,'[1]Tissue Data'!$A:$A,'[1]Tissue Data'!J:J)</f>
        <v>M</v>
      </c>
      <c r="H4582" t="str">
        <f>_xlfn.XLOOKUP(A4582,'[1]Tissue Data'!$A:$A,'[1]Tissue Data'!K:K)</f>
        <v>Liver</v>
      </c>
      <c r="I4582">
        <f>_xlfn.XLOOKUP(A4582,'[1]Tissue Data'!$A:$A,'[1]Tissue Data'!L:L)</f>
        <v>13</v>
      </c>
      <c r="J4582">
        <f>_xlfn.XLOOKUP(A4582,'[1]Tissue Data'!$A:$A,'[1]Tissue Data'!M:M)</f>
        <v>40.79</v>
      </c>
      <c r="K4582" t="s">
        <v>42</v>
      </c>
      <c r="L4582" t="str">
        <f>_xlfn.XLOOKUP(K4582,[2]analyte_order!$B:$B,[2]analyte_order!$C:$C)</f>
        <v>2991-50-6</v>
      </c>
      <c r="M4582">
        <f>_xlfn.XLOOKUP(L4582,[2]analyte_order!$C:$C,[2]analyte_order!$E:$E)</f>
        <v>27</v>
      </c>
      <c r="N4582">
        <v>0.14399999999999999</v>
      </c>
    </row>
    <row r="4583" spans="1:14">
      <c r="A4583" t="s">
        <v>270</v>
      </c>
      <c r="B4583" t="str">
        <f>_xlfn.XLOOKUP(A4583,'[1]Tissue Data'!$A:$A,'[1]Tissue Data'!$C:$C)</f>
        <v>Spill</v>
      </c>
      <c r="C4583" s="2">
        <f>_xlfn.XLOOKUP(A4583,'[1]Tissue Data'!$A:$A,'[1]Tissue Data'!$D:$D)</f>
        <v>44393</v>
      </c>
      <c r="D4583" s="2" t="str">
        <f>_xlfn.XLOOKUP(A4583,'[1]Tissue Data'!$A:$A,'[1]Tissue Data'!$F:$F)</f>
        <v>Pumpkinseed</v>
      </c>
      <c r="E4583" t="str">
        <f>_xlfn.XLOOKUP(A4583,'[1]Tissue Data'!$A:$A,'[1]Tissue Data'!$H:$H)</f>
        <v>Lepomis</v>
      </c>
      <c r="F4583" t="str">
        <f>_xlfn.XLOOKUP(A4583,'[1]Tissue Data'!$A:$A,'[1]Tissue Data'!$I:$I)</f>
        <v>gibbosus</v>
      </c>
      <c r="G4583" t="str">
        <f>_xlfn.XLOOKUP(A4583,'[1]Tissue Data'!$A:$A,'[1]Tissue Data'!J:J)</f>
        <v>M</v>
      </c>
      <c r="H4583" t="str">
        <f>_xlfn.XLOOKUP(A4583,'[1]Tissue Data'!$A:$A,'[1]Tissue Data'!K:K)</f>
        <v>Liver</v>
      </c>
      <c r="I4583">
        <f>_xlfn.XLOOKUP(A4583,'[1]Tissue Data'!$A:$A,'[1]Tissue Data'!L:L)</f>
        <v>13</v>
      </c>
      <c r="J4583">
        <f>_xlfn.XLOOKUP(A4583,'[1]Tissue Data'!$A:$A,'[1]Tissue Data'!M:M)</f>
        <v>40.79</v>
      </c>
      <c r="K4583" t="s">
        <v>43</v>
      </c>
      <c r="L4583" t="str">
        <f>_xlfn.XLOOKUP(K4583,[2]analyte_order!$B:$B,[2]analyte_order!$C:$C)</f>
        <v>757124-72-4</v>
      </c>
      <c r="M4583">
        <f>_xlfn.XLOOKUP(L4583,[2]analyte_order!$C:$C,[2]analyte_order!$E:$E)</f>
        <v>22</v>
      </c>
      <c r="N4583">
        <v>0.16550000000000001</v>
      </c>
    </row>
    <row r="4584" spans="1:14">
      <c r="A4584" t="s">
        <v>270</v>
      </c>
      <c r="B4584" t="str">
        <f>_xlfn.XLOOKUP(A4584,'[1]Tissue Data'!$A:$A,'[1]Tissue Data'!$C:$C)</f>
        <v>Spill</v>
      </c>
      <c r="C4584" s="2">
        <f>_xlfn.XLOOKUP(A4584,'[1]Tissue Data'!$A:$A,'[1]Tissue Data'!$D:$D)</f>
        <v>44393</v>
      </c>
      <c r="D4584" s="2" t="str">
        <f>_xlfn.XLOOKUP(A4584,'[1]Tissue Data'!$A:$A,'[1]Tissue Data'!$F:$F)</f>
        <v>Pumpkinseed</v>
      </c>
      <c r="E4584" t="str">
        <f>_xlfn.XLOOKUP(A4584,'[1]Tissue Data'!$A:$A,'[1]Tissue Data'!$H:$H)</f>
        <v>Lepomis</v>
      </c>
      <c r="F4584" t="str">
        <f>_xlfn.XLOOKUP(A4584,'[1]Tissue Data'!$A:$A,'[1]Tissue Data'!$I:$I)</f>
        <v>gibbosus</v>
      </c>
      <c r="G4584" t="str">
        <f>_xlfn.XLOOKUP(A4584,'[1]Tissue Data'!$A:$A,'[1]Tissue Data'!J:J)</f>
        <v>M</v>
      </c>
      <c r="H4584" t="str">
        <f>_xlfn.XLOOKUP(A4584,'[1]Tissue Data'!$A:$A,'[1]Tissue Data'!K:K)</f>
        <v>Liver</v>
      </c>
      <c r="I4584">
        <f>_xlfn.XLOOKUP(A4584,'[1]Tissue Data'!$A:$A,'[1]Tissue Data'!L:L)</f>
        <v>13</v>
      </c>
      <c r="J4584">
        <f>_xlfn.XLOOKUP(A4584,'[1]Tissue Data'!$A:$A,'[1]Tissue Data'!M:M)</f>
        <v>40.79</v>
      </c>
      <c r="K4584" t="s">
        <v>44</v>
      </c>
      <c r="L4584" t="str">
        <f>_xlfn.XLOOKUP(K4584,[2]analyte_order!$B:$B,[2]analyte_order!$C:$C)</f>
        <v>27619-97-2</v>
      </c>
      <c r="M4584">
        <f>_xlfn.XLOOKUP(L4584,[2]analyte_order!$C:$C,[2]analyte_order!$E:$E)</f>
        <v>23</v>
      </c>
      <c r="N4584">
        <v>0.1</v>
      </c>
    </row>
    <row r="4585" spans="1:14">
      <c r="A4585" t="s">
        <v>270</v>
      </c>
      <c r="B4585" t="str">
        <f>_xlfn.XLOOKUP(A4585,'[1]Tissue Data'!$A:$A,'[1]Tissue Data'!$C:$C)</f>
        <v>Spill</v>
      </c>
      <c r="C4585" s="2">
        <f>_xlfn.XLOOKUP(A4585,'[1]Tissue Data'!$A:$A,'[1]Tissue Data'!$D:$D)</f>
        <v>44393</v>
      </c>
      <c r="D4585" s="2" t="str">
        <f>_xlfn.XLOOKUP(A4585,'[1]Tissue Data'!$A:$A,'[1]Tissue Data'!$F:$F)</f>
        <v>Pumpkinseed</v>
      </c>
      <c r="E4585" t="str">
        <f>_xlfn.XLOOKUP(A4585,'[1]Tissue Data'!$A:$A,'[1]Tissue Data'!$H:$H)</f>
        <v>Lepomis</v>
      </c>
      <c r="F4585" t="str">
        <f>_xlfn.XLOOKUP(A4585,'[1]Tissue Data'!$A:$A,'[1]Tissue Data'!$I:$I)</f>
        <v>gibbosus</v>
      </c>
      <c r="G4585" t="str">
        <f>_xlfn.XLOOKUP(A4585,'[1]Tissue Data'!$A:$A,'[1]Tissue Data'!J:J)</f>
        <v>M</v>
      </c>
      <c r="H4585" t="str">
        <f>_xlfn.XLOOKUP(A4585,'[1]Tissue Data'!$A:$A,'[1]Tissue Data'!K:K)</f>
        <v>Liver</v>
      </c>
      <c r="I4585">
        <f>_xlfn.XLOOKUP(A4585,'[1]Tissue Data'!$A:$A,'[1]Tissue Data'!L:L)</f>
        <v>13</v>
      </c>
      <c r="J4585">
        <f>_xlfn.XLOOKUP(A4585,'[1]Tissue Data'!$A:$A,'[1]Tissue Data'!M:M)</f>
        <v>40.79</v>
      </c>
      <c r="K4585" t="s">
        <v>45</v>
      </c>
      <c r="L4585" t="str">
        <f>_xlfn.XLOOKUP(K4585,[2]analyte_order!$B:$B,[2]analyte_order!$C:$C)</f>
        <v>39108-34-4</v>
      </c>
      <c r="M4585">
        <f>_xlfn.XLOOKUP(L4585,[2]analyte_order!$C:$C,[2]analyte_order!$E:$E)</f>
        <v>24</v>
      </c>
      <c r="N4585">
        <v>7.24</v>
      </c>
    </row>
    <row r="4586" spans="1:14">
      <c r="A4586" t="s">
        <v>270</v>
      </c>
      <c r="B4586" t="str">
        <f>_xlfn.XLOOKUP(A4586,'[1]Tissue Data'!$A:$A,'[1]Tissue Data'!$C:$C)</f>
        <v>Spill</v>
      </c>
      <c r="C4586" s="2">
        <f>_xlfn.XLOOKUP(A4586,'[1]Tissue Data'!$A:$A,'[1]Tissue Data'!$D:$D)</f>
        <v>44393</v>
      </c>
      <c r="D4586" s="2" t="str">
        <f>_xlfn.XLOOKUP(A4586,'[1]Tissue Data'!$A:$A,'[1]Tissue Data'!$F:$F)</f>
        <v>Pumpkinseed</v>
      </c>
      <c r="E4586" t="str">
        <f>_xlfn.XLOOKUP(A4586,'[1]Tissue Data'!$A:$A,'[1]Tissue Data'!$H:$H)</f>
        <v>Lepomis</v>
      </c>
      <c r="F4586" t="str">
        <f>_xlfn.XLOOKUP(A4586,'[1]Tissue Data'!$A:$A,'[1]Tissue Data'!$I:$I)</f>
        <v>gibbosus</v>
      </c>
      <c r="G4586" t="str">
        <f>_xlfn.XLOOKUP(A4586,'[1]Tissue Data'!$A:$A,'[1]Tissue Data'!J:J)</f>
        <v>M</v>
      </c>
      <c r="H4586" t="str">
        <f>_xlfn.XLOOKUP(A4586,'[1]Tissue Data'!$A:$A,'[1]Tissue Data'!K:K)</f>
        <v>Liver</v>
      </c>
      <c r="I4586">
        <f>_xlfn.XLOOKUP(A4586,'[1]Tissue Data'!$A:$A,'[1]Tissue Data'!L:L)</f>
        <v>13</v>
      </c>
      <c r="J4586">
        <f>_xlfn.XLOOKUP(A4586,'[1]Tissue Data'!$A:$A,'[1]Tissue Data'!M:M)</f>
        <v>40.79</v>
      </c>
      <c r="K4586" t="s">
        <v>46</v>
      </c>
      <c r="L4586" t="str">
        <f>_xlfn.XLOOKUP(K4586,[2]analyte_order!$B:$B,[2]analyte_order!$C:$C)</f>
        <v>120226-60-0</v>
      </c>
      <c r="M4586">
        <f>_xlfn.XLOOKUP(L4586,[2]analyte_order!$C:$C,[2]analyte_order!$E:$E)</f>
        <v>25</v>
      </c>
      <c r="N4586">
        <v>1.57</v>
      </c>
    </row>
    <row r="4587" spans="1:14">
      <c r="A4587" t="s">
        <v>270</v>
      </c>
      <c r="B4587" t="str">
        <f>_xlfn.XLOOKUP(A4587,'[1]Tissue Data'!$A:$A,'[1]Tissue Data'!$C:$C)</f>
        <v>Spill</v>
      </c>
      <c r="C4587" s="2">
        <f>_xlfn.XLOOKUP(A4587,'[1]Tissue Data'!$A:$A,'[1]Tissue Data'!$D:$D)</f>
        <v>44393</v>
      </c>
      <c r="D4587" s="2" t="str">
        <f>_xlfn.XLOOKUP(A4587,'[1]Tissue Data'!$A:$A,'[1]Tissue Data'!$F:$F)</f>
        <v>Pumpkinseed</v>
      </c>
      <c r="E4587" t="str">
        <f>_xlfn.XLOOKUP(A4587,'[1]Tissue Data'!$A:$A,'[1]Tissue Data'!$H:$H)</f>
        <v>Lepomis</v>
      </c>
      <c r="F4587" t="str">
        <f>_xlfn.XLOOKUP(A4587,'[1]Tissue Data'!$A:$A,'[1]Tissue Data'!$I:$I)</f>
        <v>gibbosus</v>
      </c>
      <c r="G4587" t="str">
        <f>_xlfn.XLOOKUP(A4587,'[1]Tissue Data'!$A:$A,'[1]Tissue Data'!J:J)</f>
        <v>M</v>
      </c>
      <c r="H4587" t="str">
        <f>_xlfn.XLOOKUP(A4587,'[1]Tissue Data'!$A:$A,'[1]Tissue Data'!K:K)</f>
        <v>Liver</v>
      </c>
      <c r="I4587">
        <f>_xlfn.XLOOKUP(A4587,'[1]Tissue Data'!$A:$A,'[1]Tissue Data'!L:L)</f>
        <v>13</v>
      </c>
      <c r="J4587">
        <f>_xlfn.XLOOKUP(A4587,'[1]Tissue Data'!$A:$A,'[1]Tissue Data'!M:M)</f>
        <v>40.79</v>
      </c>
      <c r="K4587" t="s">
        <v>47</v>
      </c>
      <c r="L4587" t="str">
        <f>_xlfn.XLOOKUP(K4587,[2]analyte_order!$B:$B,[2]analyte_order!$C:$C)</f>
        <v>356-02-5</v>
      </c>
      <c r="M4587">
        <f>_xlfn.XLOOKUP(L4587,[2]analyte_order!$C:$C,[2]analyte_order!$E:$E)</f>
        <v>38</v>
      </c>
      <c r="N4587">
        <v>0.191</v>
      </c>
    </row>
    <row r="4588" spans="1:14">
      <c r="A4588" t="s">
        <v>270</v>
      </c>
      <c r="B4588" t="str">
        <f>_xlfn.XLOOKUP(A4588,'[1]Tissue Data'!$A:$A,'[1]Tissue Data'!$C:$C)</f>
        <v>Spill</v>
      </c>
      <c r="C4588" s="2">
        <f>_xlfn.XLOOKUP(A4588,'[1]Tissue Data'!$A:$A,'[1]Tissue Data'!$D:$D)</f>
        <v>44393</v>
      </c>
      <c r="D4588" s="2" t="str">
        <f>_xlfn.XLOOKUP(A4588,'[1]Tissue Data'!$A:$A,'[1]Tissue Data'!$F:$F)</f>
        <v>Pumpkinseed</v>
      </c>
      <c r="E4588" t="str">
        <f>_xlfn.XLOOKUP(A4588,'[1]Tissue Data'!$A:$A,'[1]Tissue Data'!$H:$H)</f>
        <v>Lepomis</v>
      </c>
      <c r="F4588" t="str">
        <f>_xlfn.XLOOKUP(A4588,'[1]Tissue Data'!$A:$A,'[1]Tissue Data'!$I:$I)</f>
        <v>gibbosus</v>
      </c>
      <c r="G4588" t="str">
        <f>_xlfn.XLOOKUP(A4588,'[1]Tissue Data'!$A:$A,'[1]Tissue Data'!J:J)</f>
        <v>M</v>
      </c>
      <c r="H4588" t="str">
        <f>_xlfn.XLOOKUP(A4588,'[1]Tissue Data'!$A:$A,'[1]Tissue Data'!K:K)</f>
        <v>Liver</v>
      </c>
      <c r="I4588">
        <f>_xlfn.XLOOKUP(A4588,'[1]Tissue Data'!$A:$A,'[1]Tissue Data'!L:L)</f>
        <v>13</v>
      </c>
      <c r="J4588">
        <f>_xlfn.XLOOKUP(A4588,'[1]Tissue Data'!$A:$A,'[1]Tissue Data'!M:M)</f>
        <v>40.79</v>
      </c>
      <c r="K4588" t="s">
        <v>48</v>
      </c>
      <c r="L4588" t="str">
        <f>_xlfn.XLOOKUP(K4588,[2]analyte_order!$B:$B,[2]analyte_order!$C:$C)</f>
        <v>914637-49-3</v>
      </c>
      <c r="M4588">
        <f>_xlfn.XLOOKUP(L4588,[2]analyte_order!$C:$C,[2]analyte_order!$E:$E)</f>
        <v>39</v>
      </c>
      <c r="N4588">
        <v>0.41249999999999998</v>
      </c>
    </row>
    <row r="4589" spans="1:14">
      <c r="A4589" t="s">
        <v>270</v>
      </c>
      <c r="B4589" t="str">
        <f>_xlfn.XLOOKUP(A4589,'[1]Tissue Data'!$A:$A,'[1]Tissue Data'!$C:$C)</f>
        <v>Spill</v>
      </c>
      <c r="C4589" s="2">
        <f>_xlfn.XLOOKUP(A4589,'[1]Tissue Data'!$A:$A,'[1]Tissue Data'!$D:$D)</f>
        <v>44393</v>
      </c>
      <c r="D4589" s="2" t="str">
        <f>_xlfn.XLOOKUP(A4589,'[1]Tissue Data'!$A:$A,'[1]Tissue Data'!$F:$F)</f>
        <v>Pumpkinseed</v>
      </c>
      <c r="E4589" t="str">
        <f>_xlfn.XLOOKUP(A4589,'[1]Tissue Data'!$A:$A,'[1]Tissue Data'!$H:$H)</f>
        <v>Lepomis</v>
      </c>
      <c r="F4589" t="str">
        <f>_xlfn.XLOOKUP(A4589,'[1]Tissue Data'!$A:$A,'[1]Tissue Data'!$I:$I)</f>
        <v>gibbosus</v>
      </c>
      <c r="G4589" t="str">
        <f>_xlfn.XLOOKUP(A4589,'[1]Tissue Data'!$A:$A,'[1]Tissue Data'!J:J)</f>
        <v>M</v>
      </c>
      <c r="H4589" t="str">
        <f>_xlfn.XLOOKUP(A4589,'[1]Tissue Data'!$A:$A,'[1]Tissue Data'!K:K)</f>
        <v>Liver</v>
      </c>
      <c r="I4589">
        <f>_xlfn.XLOOKUP(A4589,'[1]Tissue Data'!$A:$A,'[1]Tissue Data'!L:L)</f>
        <v>13</v>
      </c>
      <c r="J4589">
        <f>_xlfn.XLOOKUP(A4589,'[1]Tissue Data'!$A:$A,'[1]Tissue Data'!M:M)</f>
        <v>40.79</v>
      </c>
      <c r="K4589" t="s">
        <v>49</v>
      </c>
      <c r="L4589" t="str">
        <f>_xlfn.XLOOKUP(K4589,[2]analyte_order!$B:$B,[2]analyte_order!$C:$C)</f>
        <v>812-70-4</v>
      </c>
      <c r="M4589">
        <f>_xlfn.XLOOKUP(L4589,[2]analyte_order!$C:$C,[2]analyte_order!$E:$E)</f>
        <v>40</v>
      </c>
      <c r="N4589">
        <v>0.16550000000000001</v>
      </c>
    </row>
    <row r="4590" spans="1:14">
      <c r="A4590" t="s">
        <v>270</v>
      </c>
      <c r="B4590" t="str">
        <f>_xlfn.XLOOKUP(A4590,'[1]Tissue Data'!$A:$A,'[1]Tissue Data'!$C:$C)</f>
        <v>Spill</v>
      </c>
      <c r="C4590" s="2">
        <f>_xlfn.XLOOKUP(A4590,'[1]Tissue Data'!$A:$A,'[1]Tissue Data'!$D:$D)</f>
        <v>44393</v>
      </c>
      <c r="D4590" s="2" t="str">
        <f>_xlfn.XLOOKUP(A4590,'[1]Tissue Data'!$A:$A,'[1]Tissue Data'!$F:$F)</f>
        <v>Pumpkinseed</v>
      </c>
      <c r="E4590" t="str">
        <f>_xlfn.XLOOKUP(A4590,'[1]Tissue Data'!$A:$A,'[1]Tissue Data'!$H:$H)</f>
        <v>Lepomis</v>
      </c>
      <c r="F4590" t="str">
        <f>_xlfn.XLOOKUP(A4590,'[1]Tissue Data'!$A:$A,'[1]Tissue Data'!$I:$I)</f>
        <v>gibbosus</v>
      </c>
      <c r="G4590" t="str">
        <f>_xlfn.XLOOKUP(A4590,'[1]Tissue Data'!$A:$A,'[1]Tissue Data'!J:J)</f>
        <v>M</v>
      </c>
      <c r="H4590" t="str">
        <f>_xlfn.XLOOKUP(A4590,'[1]Tissue Data'!$A:$A,'[1]Tissue Data'!K:K)</f>
        <v>Liver</v>
      </c>
      <c r="I4590">
        <f>_xlfn.XLOOKUP(A4590,'[1]Tissue Data'!$A:$A,'[1]Tissue Data'!L:L)</f>
        <v>13</v>
      </c>
      <c r="J4590">
        <f>_xlfn.XLOOKUP(A4590,'[1]Tissue Data'!$A:$A,'[1]Tissue Data'!M:M)</f>
        <v>40.79</v>
      </c>
      <c r="K4590" t="s">
        <v>50</v>
      </c>
      <c r="L4590" t="str">
        <f>_xlfn.XLOOKUP(K4590,[2]analyte_order!$B:$B,[2]analyte_order!$C:$C)</f>
        <v>53826-12-3</v>
      </c>
      <c r="M4590">
        <f>_xlfn.XLOOKUP(L4590,[2]analyte_order!$C:$C,[2]analyte_order!$E:$E)</f>
        <v>41</v>
      </c>
      <c r="N4590">
        <v>0.16550000000000001</v>
      </c>
    </row>
    <row r="4591" spans="1:14">
      <c r="A4591" t="s">
        <v>270</v>
      </c>
      <c r="B4591" t="str">
        <f>_xlfn.XLOOKUP(A4591,'[1]Tissue Data'!$A:$A,'[1]Tissue Data'!$C:$C)</f>
        <v>Spill</v>
      </c>
      <c r="C4591" s="2">
        <f>_xlfn.XLOOKUP(A4591,'[1]Tissue Data'!$A:$A,'[1]Tissue Data'!$D:$D)</f>
        <v>44393</v>
      </c>
      <c r="D4591" s="2" t="str">
        <f>_xlfn.XLOOKUP(A4591,'[1]Tissue Data'!$A:$A,'[1]Tissue Data'!$F:$F)</f>
        <v>Pumpkinseed</v>
      </c>
      <c r="E4591" t="str">
        <f>_xlfn.XLOOKUP(A4591,'[1]Tissue Data'!$A:$A,'[1]Tissue Data'!$H:$H)</f>
        <v>Lepomis</v>
      </c>
      <c r="F4591" t="str">
        <f>_xlfn.XLOOKUP(A4591,'[1]Tissue Data'!$A:$A,'[1]Tissue Data'!$I:$I)</f>
        <v>gibbosus</v>
      </c>
      <c r="G4591" t="str">
        <f>_xlfn.XLOOKUP(A4591,'[1]Tissue Data'!$A:$A,'[1]Tissue Data'!J:J)</f>
        <v>M</v>
      </c>
      <c r="H4591" t="str">
        <f>_xlfn.XLOOKUP(A4591,'[1]Tissue Data'!$A:$A,'[1]Tissue Data'!K:K)</f>
        <v>Liver</v>
      </c>
      <c r="I4591">
        <f>_xlfn.XLOOKUP(A4591,'[1]Tissue Data'!$A:$A,'[1]Tissue Data'!L:L)</f>
        <v>13</v>
      </c>
      <c r="J4591">
        <f>_xlfn.XLOOKUP(A4591,'[1]Tissue Data'!$A:$A,'[1]Tissue Data'!M:M)</f>
        <v>40.79</v>
      </c>
      <c r="K4591" t="s">
        <v>51</v>
      </c>
      <c r="L4591" t="str">
        <f>_xlfn.XLOOKUP(K4591,[2]analyte_order!$B:$B,[2]analyte_order!$C:$C)</f>
        <v>27854-31-5</v>
      </c>
      <c r="M4591">
        <f>_xlfn.XLOOKUP(L4591,[2]analyte_order!$C:$C,[2]analyte_order!$E:$E)</f>
        <v>42</v>
      </c>
      <c r="N4591">
        <v>0.16550000000000001</v>
      </c>
    </row>
    <row r="4592" spans="1:14">
      <c r="A4592" t="s">
        <v>270</v>
      </c>
      <c r="B4592" t="str">
        <f>_xlfn.XLOOKUP(A4592,'[1]Tissue Data'!$A:$A,'[1]Tissue Data'!$C:$C)</f>
        <v>Spill</v>
      </c>
      <c r="C4592" s="2">
        <f>_xlfn.XLOOKUP(A4592,'[1]Tissue Data'!$A:$A,'[1]Tissue Data'!$D:$D)</f>
        <v>44393</v>
      </c>
      <c r="D4592" s="2" t="str">
        <f>_xlfn.XLOOKUP(A4592,'[1]Tissue Data'!$A:$A,'[1]Tissue Data'!$F:$F)</f>
        <v>Pumpkinseed</v>
      </c>
      <c r="E4592" t="str">
        <f>_xlfn.XLOOKUP(A4592,'[1]Tissue Data'!$A:$A,'[1]Tissue Data'!$H:$H)</f>
        <v>Lepomis</v>
      </c>
      <c r="F4592" t="str">
        <f>_xlfn.XLOOKUP(A4592,'[1]Tissue Data'!$A:$A,'[1]Tissue Data'!$I:$I)</f>
        <v>gibbosus</v>
      </c>
      <c r="G4592" t="str">
        <f>_xlfn.XLOOKUP(A4592,'[1]Tissue Data'!$A:$A,'[1]Tissue Data'!J:J)</f>
        <v>M</v>
      </c>
      <c r="H4592" t="str">
        <f>_xlfn.XLOOKUP(A4592,'[1]Tissue Data'!$A:$A,'[1]Tissue Data'!K:K)</f>
        <v>Liver</v>
      </c>
      <c r="I4592">
        <f>_xlfn.XLOOKUP(A4592,'[1]Tissue Data'!$A:$A,'[1]Tissue Data'!L:L)</f>
        <v>13</v>
      </c>
      <c r="J4592">
        <f>_xlfn.XLOOKUP(A4592,'[1]Tissue Data'!$A:$A,'[1]Tissue Data'!M:M)</f>
        <v>40.79</v>
      </c>
      <c r="K4592" t="s">
        <v>52</v>
      </c>
      <c r="L4592" t="str">
        <f>_xlfn.XLOOKUP(K4592,[2]analyte_order!$B:$B,[2]analyte_order!$C:$C)</f>
        <v>53826-13-4</v>
      </c>
      <c r="M4592">
        <f>_xlfn.XLOOKUP(L4592,[2]analyte_order!$C:$C,[2]analyte_order!$E:$E)</f>
        <v>43</v>
      </c>
      <c r="N4592">
        <v>0.247</v>
      </c>
    </row>
    <row r="4593" spans="1:14">
      <c r="A4593" t="s">
        <v>270</v>
      </c>
      <c r="B4593" t="str">
        <f>_xlfn.XLOOKUP(A4593,'[1]Tissue Data'!$A:$A,'[1]Tissue Data'!$C:$C)</f>
        <v>Spill</v>
      </c>
      <c r="C4593" s="2">
        <f>_xlfn.XLOOKUP(A4593,'[1]Tissue Data'!$A:$A,'[1]Tissue Data'!$D:$D)</f>
        <v>44393</v>
      </c>
      <c r="D4593" s="2" t="str">
        <f>_xlfn.XLOOKUP(A4593,'[1]Tissue Data'!$A:$A,'[1]Tissue Data'!$F:$F)</f>
        <v>Pumpkinseed</v>
      </c>
      <c r="E4593" t="str">
        <f>_xlfn.XLOOKUP(A4593,'[1]Tissue Data'!$A:$A,'[1]Tissue Data'!$H:$H)</f>
        <v>Lepomis</v>
      </c>
      <c r="F4593" t="str">
        <f>_xlfn.XLOOKUP(A4593,'[1]Tissue Data'!$A:$A,'[1]Tissue Data'!$I:$I)</f>
        <v>gibbosus</v>
      </c>
      <c r="G4593" t="str">
        <f>_xlfn.XLOOKUP(A4593,'[1]Tissue Data'!$A:$A,'[1]Tissue Data'!J:J)</f>
        <v>M</v>
      </c>
      <c r="H4593" t="str">
        <f>_xlfn.XLOOKUP(A4593,'[1]Tissue Data'!$A:$A,'[1]Tissue Data'!K:K)</f>
        <v>Liver</v>
      </c>
      <c r="I4593">
        <f>_xlfn.XLOOKUP(A4593,'[1]Tissue Data'!$A:$A,'[1]Tissue Data'!L:L)</f>
        <v>13</v>
      </c>
      <c r="J4593">
        <f>_xlfn.XLOOKUP(A4593,'[1]Tissue Data'!$A:$A,'[1]Tissue Data'!M:M)</f>
        <v>40.79</v>
      </c>
      <c r="K4593" t="s">
        <v>53</v>
      </c>
      <c r="L4593" t="str">
        <f>_xlfn.XLOOKUP(K4593,[2]analyte_order!$B:$B,[2]analyte_order!$C:$C)</f>
        <v>161094-75-3</v>
      </c>
      <c r="M4593">
        <f>_xlfn.XLOOKUP(L4593,[2]analyte_order!$C:$C,[2]analyte_order!$E:$E)</f>
        <v>44</v>
      </c>
      <c r="N4593">
        <v>0.13</v>
      </c>
    </row>
    <row r="4594" spans="1:14">
      <c r="A4594" t="s">
        <v>270</v>
      </c>
      <c r="B4594" t="str">
        <f>_xlfn.XLOOKUP(A4594,'[1]Tissue Data'!$A:$A,'[1]Tissue Data'!$C:$C)</f>
        <v>Spill</v>
      </c>
      <c r="C4594" s="2">
        <f>_xlfn.XLOOKUP(A4594,'[1]Tissue Data'!$A:$A,'[1]Tissue Data'!$D:$D)</f>
        <v>44393</v>
      </c>
      <c r="D4594" s="2" t="str">
        <f>_xlfn.XLOOKUP(A4594,'[1]Tissue Data'!$A:$A,'[1]Tissue Data'!$F:$F)</f>
        <v>Pumpkinseed</v>
      </c>
      <c r="E4594" t="str">
        <f>_xlfn.XLOOKUP(A4594,'[1]Tissue Data'!$A:$A,'[1]Tissue Data'!$H:$H)</f>
        <v>Lepomis</v>
      </c>
      <c r="F4594" t="str">
        <f>_xlfn.XLOOKUP(A4594,'[1]Tissue Data'!$A:$A,'[1]Tissue Data'!$I:$I)</f>
        <v>gibbosus</v>
      </c>
      <c r="G4594" t="str">
        <f>_xlfn.XLOOKUP(A4594,'[1]Tissue Data'!$A:$A,'[1]Tissue Data'!J:J)</f>
        <v>M</v>
      </c>
      <c r="H4594" t="str">
        <f>_xlfn.XLOOKUP(A4594,'[1]Tissue Data'!$A:$A,'[1]Tissue Data'!K:K)</f>
        <v>Liver</v>
      </c>
      <c r="I4594">
        <f>_xlfn.XLOOKUP(A4594,'[1]Tissue Data'!$A:$A,'[1]Tissue Data'!L:L)</f>
        <v>13</v>
      </c>
      <c r="J4594">
        <f>_xlfn.XLOOKUP(A4594,'[1]Tissue Data'!$A:$A,'[1]Tissue Data'!M:M)</f>
        <v>40.79</v>
      </c>
      <c r="K4594" t="s">
        <v>54</v>
      </c>
      <c r="L4594" t="str">
        <f>_xlfn.XLOOKUP(K4594,[2]analyte_order!$B:$B,[2]analyte_order!$C:$C)</f>
        <v>70887-84-2</v>
      </c>
      <c r="M4594">
        <f>_xlfn.XLOOKUP(L4594,[2]analyte_order!$C:$C,[2]analyte_order!$E:$E)</f>
        <v>45</v>
      </c>
      <c r="N4594">
        <v>0.1</v>
      </c>
    </row>
    <row r="4595" spans="1:14">
      <c r="A4595" t="s">
        <v>270</v>
      </c>
      <c r="B4595" t="str">
        <f>_xlfn.XLOOKUP(A4595,'[1]Tissue Data'!$A:$A,'[1]Tissue Data'!$C:$C)</f>
        <v>Spill</v>
      </c>
      <c r="C4595" s="2">
        <f>_xlfn.XLOOKUP(A4595,'[1]Tissue Data'!$A:$A,'[1]Tissue Data'!$D:$D)</f>
        <v>44393</v>
      </c>
      <c r="D4595" s="2" t="str">
        <f>_xlfn.XLOOKUP(A4595,'[1]Tissue Data'!$A:$A,'[1]Tissue Data'!$F:$F)</f>
        <v>Pumpkinseed</v>
      </c>
      <c r="E4595" t="str">
        <f>_xlfn.XLOOKUP(A4595,'[1]Tissue Data'!$A:$A,'[1]Tissue Data'!$H:$H)</f>
        <v>Lepomis</v>
      </c>
      <c r="F4595" t="str">
        <f>_xlfn.XLOOKUP(A4595,'[1]Tissue Data'!$A:$A,'[1]Tissue Data'!$I:$I)</f>
        <v>gibbosus</v>
      </c>
      <c r="G4595" t="str">
        <f>_xlfn.XLOOKUP(A4595,'[1]Tissue Data'!$A:$A,'[1]Tissue Data'!J:J)</f>
        <v>M</v>
      </c>
      <c r="H4595" t="str">
        <f>_xlfn.XLOOKUP(A4595,'[1]Tissue Data'!$A:$A,'[1]Tissue Data'!K:K)</f>
        <v>Liver</v>
      </c>
      <c r="I4595">
        <f>_xlfn.XLOOKUP(A4595,'[1]Tissue Data'!$A:$A,'[1]Tissue Data'!L:L)</f>
        <v>13</v>
      </c>
      <c r="J4595">
        <f>_xlfn.XLOOKUP(A4595,'[1]Tissue Data'!$A:$A,'[1]Tissue Data'!M:M)</f>
        <v>40.79</v>
      </c>
      <c r="K4595" t="s">
        <v>55</v>
      </c>
      <c r="L4595" t="str">
        <f>_xlfn.XLOOKUP(K4595,[2]analyte_order!$B:$B,[2]analyte_order!$C:$C)</f>
        <v>919005-14-4</v>
      </c>
      <c r="M4595">
        <f>_xlfn.XLOOKUP(L4595,[2]analyte_order!$C:$C,[2]analyte_order!$E:$E)</f>
        <v>35</v>
      </c>
      <c r="N4595">
        <v>0.14599999999999999</v>
      </c>
    </row>
    <row r="4596" spans="1:14">
      <c r="A4596" t="s">
        <v>270</v>
      </c>
      <c r="B4596" t="str">
        <f>_xlfn.XLOOKUP(A4596,'[1]Tissue Data'!$A:$A,'[1]Tissue Data'!$C:$C)</f>
        <v>Spill</v>
      </c>
      <c r="C4596" s="2">
        <f>_xlfn.XLOOKUP(A4596,'[1]Tissue Data'!$A:$A,'[1]Tissue Data'!$D:$D)</f>
        <v>44393</v>
      </c>
      <c r="D4596" s="2" t="str">
        <f>_xlfn.XLOOKUP(A4596,'[1]Tissue Data'!$A:$A,'[1]Tissue Data'!$F:$F)</f>
        <v>Pumpkinseed</v>
      </c>
      <c r="E4596" t="str">
        <f>_xlfn.XLOOKUP(A4596,'[1]Tissue Data'!$A:$A,'[1]Tissue Data'!$H:$H)</f>
        <v>Lepomis</v>
      </c>
      <c r="F4596" t="str">
        <f>_xlfn.XLOOKUP(A4596,'[1]Tissue Data'!$A:$A,'[1]Tissue Data'!$I:$I)</f>
        <v>gibbosus</v>
      </c>
      <c r="G4596" t="str">
        <f>_xlfn.XLOOKUP(A4596,'[1]Tissue Data'!$A:$A,'[1]Tissue Data'!J:J)</f>
        <v>M</v>
      </c>
      <c r="H4596" t="str">
        <f>_xlfn.XLOOKUP(A4596,'[1]Tissue Data'!$A:$A,'[1]Tissue Data'!K:K)</f>
        <v>Liver</v>
      </c>
      <c r="I4596">
        <f>_xlfn.XLOOKUP(A4596,'[1]Tissue Data'!$A:$A,'[1]Tissue Data'!L:L)</f>
        <v>13</v>
      </c>
      <c r="J4596">
        <f>_xlfn.XLOOKUP(A4596,'[1]Tissue Data'!$A:$A,'[1]Tissue Data'!M:M)</f>
        <v>40.79</v>
      </c>
      <c r="K4596" t="s">
        <v>56</v>
      </c>
      <c r="L4596" t="str">
        <f>_xlfn.XLOOKUP(K4596,[2]analyte_order!$B:$B,[2]analyte_order!$C:$C)</f>
        <v>756426-58-1</v>
      </c>
      <c r="M4596">
        <f>_xlfn.XLOOKUP(L4596,[2]analyte_order!$C:$C,[2]analyte_order!$E:$E)</f>
        <v>36</v>
      </c>
      <c r="N4596">
        <v>0.16550000000000001</v>
      </c>
    </row>
    <row r="4597" spans="1:14">
      <c r="A4597" t="s">
        <v>270</v>
      </c>
      <c r="B4597" t="str">
        <f>_xlfn.XLOOKUP(A4597,'[1]Tissue Data'!$A:$A,'[1]Tissue Data'!$C:$C)</f>
        <v>Spill</v>
      </c>
      <c r="C4597" s="2">
        <f>_xlfn.XLOOKUP(A4597,'[1]Tissue Data'!$A:$A,'[1]Tissue Data'!$D:$D)</f>
        <v>44393</v>
      </c>
      <c r="D4597" s="2" t="str">
        <f>_xlfn.XLOOKUP(A4597,'[1]Tissue Data'!$A:$A,'[1]Tissue Data'!$F:$F)</f>
        <v>Pumpkinseed</v>
      </c>
      <c r="E4597" t="str">
        <f>_xlfn.XLOOKUP(A4597,'[1]Tissue Data'!$A:$A,'[1]Tissue Data'!$H:$H)</f>
        <v>Lepomis</v>
      </c>
      <c r="F4597" t="str">
        <f>_xlfn.XLOOKUP(A4597,'[1]Tissue Data'!$A:$A,'[1]Tissue Data'!$I:$I)</f>
        <v>gibbosus</v>
      </c>
      <c r="G4597" t="str">
        <f>_xlfn.XLOOKUP(A4597,'[1]Tissue Data'!$A:$A,'[1]Tissue Data'!J:J)</f>
        <v>M</v>
      </c>
      <c r="H4597" t="str">
        <f>_xlfn.XLOOKUP(A4597,'[1]Tissue Data'!$A:$A,'[1]Tissue Data'!K:K)</f>
        <v>Liver</v>
      </c>
      <c r="I4597">
        <f>_xlfn.XLOOKUP(A4597,'[1]Tissue Data'!$A:$A,'[1]Tissue Data'!L:L)</f>
        <v>13</v>
      </c>
      <c r="J4597">
        <f>_xlfn.XLOOKUP(A4597,'[1]Tissue Data'!$A:$A,'[1]Tissue Data'!M:M)</f>
        <v>40.79</v>
      </c>
      <c r="K4597" t="s">
        <v>57</v>
      </c>
      <c r="L4597" t="str">
        <f>_xlfn.XLOOKUP(K4597,[2]analyte_order!$B:$B,[2]analyte_order!$C:$C)</f>
        <v>763051-92-9</v>
      </c>
      <c r="M4597">
        <f>_xlfn.XLOOKUP(L4597,[2]analyte_order!$C:$C,[2]analyte_order!$E:$E)</f>
        <v>37</v>
      </c>
      <c r="N4597">
        <v>0.16550000000000001</v>
      </c>
    </row>
    <row r="4598" spans="1:14">
      <c r="A4598" t="s">
        <v>270</v>
      </c>
      <c r="B4598" t="str">
        <f>_xlfn.XLOOKUP(A4598,'[1]Tissue Data'!$A:$A,'[1]Tissue Data'!$C:$C)</f>
        <v>Spill</v>
      </c>
      <c r="C4598" s="2">
        <f>_xlfn.XLOOKUP(A4598,'[1]Tissue Data'!$A:$A,'[1]Tissue Data'!$D:$D)</f>
        <v>44393</v>
      </c>
      <c r="D4598" s="2" t="str">
        <f>_xlfn.XLOOKUP(A4598,'[1]Tissue Data'!$A:$A,'[1]Tissue Data'!$F:$F)</f>
        <v>Pumpkinseed</v>
      </c>
      <c r="E4598" t="str">
        <f>_xlfn.XLOOKUP(A4598,'[1]Tissue Data'!$A:$A,'[1]Tissue Data'!$H:$H)</f>
        <v>Lepomis</v>
      </c>
      <c r="F4598" t="str">
        <f>_xlfn.XLOOKUP(A4598,'[1]Tissue Data'!$A:$A,'[1]Tissue Data'!$I:$I)</f>
        <v>gibbosus</v>
      </c>
      <c r="G4598" t="str">
        <f>_xlfn.XLOOKUP(A4598,'[1]Tissue Data'!$A:$A,'[1]Tissue Data'!J:J)</f>
        <v>M</v>
      </c>
      <c r="H4598" t="str">
        <f>_xlfn.XLOOKUP(A4598,'[1]Tissue Data'!$A:$A,'[1]Tissue Data'!K:K)</f>
        <v>Liver</v>
      </c>
      <c r="I4598">
        <f>_xlfn.XLOOKUP(A4598,'[1]Tissue Data'!$A:$A,'[1]Tissue Data'!L:L)</f>
        <v>13</v>
      </c>
      <c r="J4598">
        <f>_xlfn.XLOOKUP(A4598,'[1]Tissue Data'!$A:$A,'[1]Tissue Data'!M:M)</f>
        <v>40.79</v>
      </c>
      <c r="K4598" t="s">
        <v>58</v>
      </c>
      <c r="L4598" t="str">
        <f>_xlfn.XLOOKUP(K4598,[2]analyte_order!$B:$B,[2]analyte_order!$C:$C)</f>
        <v>13252-13-6</v>
      </c>
      <c r="M4598">
        <f>_xlfn.XLOOKUP(L4598,[2]analyte_order!$C:$C,[2]analyte_order!$E:$E)</f>
        <v>34</v>
      </c>
      <c r="N4598">
        <v>0.23749999999999999</v>
      </c>
    </row>
    <row r="4599" spans="1:14">
      <c r="A4599" t="s">
        <v>270</v>
      </c>
      <c r="B4599" t="str">
        <f>_xlfn.XLOOKUP(A4599,'[1]Tissue Data'!$A:$A,'[1]Tissue Data'!$C:$C)</f>
        <v>Spill</v>
      </c>
      <c r="C4599" s="2">
        <f>_xlfn.XLOOKUP(A4599,'[1]Tissue Data'!$A:$A,'[1]Tissue Data'!$D:$D)</f>
        <v>44393</v>
      </c>
      <c r="D4599" s="2" t="str">
        <f>_xlfn.XLOOKUP(A4599,'[1]Tissue Data'!$A:$A,'[1]Tissue Data'!$F:$F)</f>
        <v>Pumpkinseed</v>
      </c>
      <c r="E4599" t="str">
        <f>_xlfn.XLOOKUP(A4599,'[1]Tissue Data'!$A:$A,'[1]Tissue Data'!$H:$H)</f>
        <v>Lepomis</v>
      </c>
      <c r="F4599" t="str">
        <f>_xlfn.XLOOKUP(A4599,'[1]Tissue Data'!$A:$A,'[1]Tissue Data'!$I:$I)</f>
        <v>gibbosus</v>
      </c>
      <c r="G4599" t="str">
        <f>_xlfn.XLOOKUP(A4599,'[1]Tissue Data'!$A:$A,'[1]Tissue Data'!J:J)</f>
        <v>M</v>
      </c>
      <c r="H4599" t="str">
        <f>_xlfn.XLOOKUP(A4599,'[1]Tissue Data'!$A:$A,'[1]Tissue Data'!K:K)</f>
        <v>Liver</v>
      </c>
      <c r="I4599">
        <f>_xlfn.XLOOKUP(A4599,'[1]Tissue Data'!$A:$A,'[1]Tissue Data'!L:L)</f>
        <v>13</v>
      </c>
      <c r="J4599">
        <f>_xlfn.XLOOKUP(A4599,'[1]Tissue Data'!$A:$A,'[1]Tissue Data'!M:M)</f>
        <v>40.79</v>
      </c>
      <c r="K4599" t="s">
        <v>59</v>
      </c>
      <c r="L4599" t="str">
        <f>_xlfn.XLOOKUP(K4599,[2]analyte_order!$B:$B,[2]analyte_order!$C:$C)</f>
        <v>57677-95-9</v>
      </c>
      <c r="M4599">
        <f>_xlfn.XLOOKUP(L4599,[2]analyte_order!$C:$C,[2]analyte_order!$E:$E)</f>
        <v>46</v>
      </c>
      <c r="N4599">
        <v>0.17649999999999999</v>
      </c>
    </row>
    <row r="4600" spans="1:14">
      <c r="A4600" t="s">
        <v>270</v>
      </c>
      <c r="B4600" t="str">
        <f>_xlfn.XLOOKUP(A4600,'[1]Tissue Data'!$A:$A,'[1]Tissue Data'!$C:$C)</f>
        <v>Spill</v>
      </c>
      <c r="C4600" s="2">
        <f>_xlfn.XLOOKUP(A4600,'[1]Tissue Data'!$A:$A,'[1]Tissue Data'!$D:$D)</f>
        <v>44393</v>
      </c>
      <c r="D4600" s="2" t="str">
        <f>_xlfn.XLOOKUP(A4600,'[1]Tissue Data'!$A:$A,'[1]Tissue Data'!$F:$F)</f>
        <v>Pumpkinseed</v>
      </c>
      <c r="E4600" t="str">
        <f>_xlfn.XLOOKUP(A4600,'[1]Tissue Data'!$A:$A,'[1]Tissue Data'!$H:$H)</f>
        <v>Lepomis</v>
      </c>
      <c r="F4600" t="str">
        <f>_xlfn.XLOOKUP(A4600,'[1]Tissue Data'!$A:$A,'[1]Tissue Data'!$I:$I)</f>
        <v>gibbosus</v>
      </c>
      <c r="G4600" t="str">
        <f>_xlfn.XLOOKUP(A4600,'[1]Tissue Data'!$A:$A,'[1]Tissue Data'!J:J)</f>
        <v>M</v>
      </c>
      <c r="H4600" t="str">
        <f>_xlfn.XLOOKUP(A4600,'[1]Tissue Data'!$A:$A,'[1]Tissue Data'!K:K)</f>
        <v>Liver</v>
      </c>
      <c r="I4600">
        <f>_xlfn.XLOOKUP(A4600,'[1]Tissue Data'!$A:$A,'[1]Tissue Data'!L:L)</f>
        <v>13</v>
      </c>
      <c r="J4600">
        <f>_xlfn.XLOOKUP(A4600,'[1]Tissue Data'!$A:$A,'[1]Tissue Data'!M:M)</f>
        <v>40.79</v>
      </c>
      <c r="K4600" t="s">
        <v>60</v>
      </c>
      <c r="L4600" t="str">
        <f>_xlfn.XLOOKUP(K4600,[2]analyte_order!$B:$B,[2]analyte_order!$C:$C)</f>
        <v>678-41-1</v>
      </c>
      <c r="M4600">
        <f>_xlfn.XLOOKUP(L4600,[2]analyte_order!$C:$C,[2]analyte_order!$E:$E)</f>
        <v>56</v>
      </c>
      <c r="N4600">
        <v>0.2195</v>
      </c>
    </row>
    <row r="4601" spans="1:14">
      <c r="A4601" t="s">
        <v>270</v>
      </c>
      <c r="B4601" t="str">
        <f>_xlfn.XLOOKUP(A4601,'[1]Tissue Data'!$A:$A,'[1]Tissue Data'!$C:$C)</f>
        <v>Spill</v>
      </c>
      <c r="C4601" s="2">
        <f>_xlfn.XLOOKUP(A4601,'[1]Tissue Data'!$A:$A,'[1]Tissue Data'!$D:$D)</f>
        <v>44393</v>
      </c>
      <c r="D4601" s="2" t="str">
        <f>_xlfn.XLOOKUP(A4601,'[1]Tissue Data'!$A:$A,'[1]Tissue Data'!$F:$F)</f>
        <v>Pumpkinseed</v>
      </c>
      <c r="E4601" t="str">
        <f>_xlfn.XLOOKUP(A4601,'[1]Tissue Data'!$A:$A,'[1]Tissue Data'!$H:$H)</f>
        <v>Lepomis</v>
      </c>
      <c r="F4601" t="str">
        <f>_xlfn.XLOOKUP(A4601,'[1]Tissue Data'!$A:$A,'[1]Tissue Data'!$I:$I)</f>
        <v>gibbosus</v>
      </c>
      <c r="G4601" t="str">
        <f>_xlfn.XLOOKUP(A4601,'[1]Tissue Data'!$A:$A,'[1]Tissue Data'!J:J)</f>
        <v>M</v>
      </c>
      <c r="H4601" t="str">
        <f>_xlfn.XLOOKUP(A4601,'[1]Tissue Data'!$A:$A,'[1]Tissue Data'!K:K)</f>
        <v>Liver</v>
      </c>
      <c r="I4601">
        <f>_xlfn.XLOOKUP(A4601,'[1]Tissue Data'!$A:$A,'[1]Tissue Data'!L:L)</f>
        <v>13</v>
      </c>
      <c r="J4601">
        <f>_xlfn.XLOOKUP(A4601,'[1]Tissue Data'!$A:$A,'[1]Tissue Data'!M:M)</f>
        <v>40.79</v>
      </c>
      <c r="K4601" t="s">
        <v>61</v>
      </c>
      <c r="L4601" t="str">
        <f>_xlfn.XLOOKUP(K4601,[2]analyte_order!$B:$B,[2]analyte_order!$C:$C)</f>
        <v>2965-52-8</v>
      </c>
      <c r="M4601">
        <f>_xlfn.XLOOKUP(L4601,[2]analyte_order!$C:$C,[2]analyte_order!$E:$E)</f>
        <v>57</v>
      </c>
      <c r="N4601">
        <v>0.29149999999999998</v>
      </c>
    </row>
    <row r="4602" spans="1:14">
      <c r="A4602" t="s">
        <v>272</v>
      </c>
      <c r="B4602" t="str">
        <f>_xlfn.XLOOKUP(A4602,'[1]Tissue Data'!$A:$A,'[1]Tissue Data'!$C:$C)</f>
        <v>Spill</v>
      </c>
      <c r="C4602" s="2">
        <f>_xlfn.XLOOKUP(A4602,'[1]Tissue Data'!$A:$A,'[1]Tissue Data'!$D:$D)</f>
        <v>44393</v>
      </c>
      <c r="D4602" s="2" t="str">
        <f>_xlfn.XLOOKUP(A4602,'[1]Tissue Data'!$A:$A,'[1]Tissue Data'!$F:$F)</f>
        <v>Pumpkinseed</v>
      </c>
      <c r="E4602" t="str">
        <f>_xlfn.XLOOKUP(A4602,'[1]Tissue Data'!$A:$A,'[1]Tissue Data'!$H:$H)</f>
        <v>Lepomis</v>
      </c>
      <c r="F4602" t="str">
        <f>_xlfn.XLOOKUP(A4602,'[1]Tissue Data'!$A:$A,'[1]Tissue Data'!$I:$I)</f>
        <v>gibbosus</v>
      </c>
      <c r="G4602" t="str">
        <f>_xlfn.XLOOKUP(A4602,'[1]Tissue Data'!$A:$A,'[1]Tissue Data'!J:J)</f>
        <v>M</v>
      </c>
      <c r="H4602" t="str">
        <f>_xlfn.XLOOKUP(A4602,'[1]Tissue Data'!$A:$A,'[1]Tissue Data'!K:K)</f>
        <v>Muscle</v>
      </c>
      <c r="I4602">
        <f>_xlfn.XLOOKUP(A4602,'[1]Tissue Data'!$A:$A,'[1]Tissue Data'!L:L)</f>
        <v>13</v>
      </c>
      <c r="J4602">
        <f>_xlfn.XLOOKUP(A4602,'[1]Tissue Data'!$A:$A,'[1]Tissue Data'!M:M)</f>
        <v>40.79</v>
      </c>
      <c r="K4602" t="s">
        <v>12</v>
      </c>
      <c r="L4602" t="str">
        <f>_xlfn.XLOOKUP(K4602,[2]analyte_order!$B:$B,[2]analyte_order!$C:$C)</f>
        <v>375-22-4</v>
      </c>
      <c r="M4602">
        <f>_xlfn.XLOOKUP(L4602,[2]analyte_order!$C:$C,[2]analyte_order!$E:$E)</f>
        <v>1</v>
      </c>
      <c r="N4602">
        <v>0.23</v>
      </c>
    </row>
    <row r="4603" spans="1:14">
      <c r="A4603" t="s">
        <v>272</v>
      </c>
      <c r="B4603" t="str">
        <f>_xlfn.XLOOKUP(A4603,'[1]Tissue Data'!$A:$A,'[1]Tissue Data'!$C:$C)</f>
        <v>Spill</v>
      </c>
      <c r="C4603" s="2">
        <f>_xlfn.XLOOKUP(A4603,'[1]Tissue Data'!$A:$A,'[1]Tissue Data'!$D:$D)</f>
        <v>44393</v>
      </c>
      <c r="D4603" s="2" t="str">
        <f>_xlfn.XLOOKUP(A4603,'[1]Tissue Data'!$A:$A,'[1]Tissue Data'!$F:$F)</f>
        <v>Pumpkinseed</v>
      </c>
      <c r="E4603" t="str">
        <f>_xlfn.XLOOKUP(A4603,'[1]Tissue Data'!$A:$A,'[1]Tissue Data'!$H:$H)</f>
        <v>Lepomis</v>
      </c>
      <c r="F4603" t="str">
        <f>_xlfn.XLOOKUP(A4603,'[1]Tissue Data'!$A:$A,'[1]Tissue Data'!$I:$I)</f>
        <v>gibbosus</v>
      </c>
      <c r="G4603" t="str">
        <f>_xlfn.XLOOKUP(A4603,'[1]Tissue Data'!$A:$A,'[1]Tissue Data'!J:J)</f>
        <v>M</v>
      </c>
      <c r="H4603" t="str">
        <f>_xlfn.XLOOKUP(A4603,'[1]Tissue Data'!$A:$A,'[1]Tissue Data'!K:K)</f>
        <v>Muscle</v>
      </c>
      <c r="I4603">
        <f>_xlfn.XLOOKUP(A4603,'[1]Tissue Data'!$A:$A,'[1]Tissue Data'!L:L)</f>
        <v>13</v>
      </c>
      <c r="J4603">
        <f>_xlfn.XLOOKUP(A4603,'[1]Tissue Data'!$A:$A,'[1]Tissue Data'!M:M)</f>
        <v>40.79</v>
      </c>
      <c r="K4603" t="s">
        <v>13</v>
      </c>
      <c r="L4603" t="str">
        <f>_xlfn.XLOOKUP(K4603,[2]analyte_order!$B:$B,[2]analyte_order!$C:$C)</f>
        <v>2706-90-3</v>
      </c>
      <c r="M4603">
        <f>_xlfn.XLOOKUP(L4603,[2]analyte_order!$C:$C,[2]analyte_order!$E:$E)</f>
        <v>2</v>
      </c>
      <c r="N4603">
        <v>4.9299999999999997E-2</v>
      </c>
    </row>
    <row r="4604" spans="1:14">
      <c r="A4604" t="s">
        <v>272</v>
      </c>
      <c r="B4604" t="str">
        <f>_xlfn.XLOOKUP(A4604,'[1]Tissue Data'!$A:$A,'[1]Tissue Data'!$C:$C)</f>
        <v>Spill</v>
      </c>
      <c r="C4604" s="2">
        <f>_xlfn.XLOOKUP(A4604,'[1]Tissue Data'!$A:$A,'[1]Tissue Data'!$D:$D)</f>
        <v>44393</v>
      </c>
      <c r="D4604" s="2" t="str">
        <f>_xlfn.XLOOKUP(A4604,'[1]Tissue Data'!$A:$A,'[1]Tissue Data'!$F:$F)</f>
        <v>Pumpkinseed</v>
      </c>
      <c r="E4604" t="str">
        <f>_xlfn.XLOOKUP(A4604,'[1]Tissue Data'!$A:$A,'[1]Tissue Data'!$H:$H)</f>
        <v>Lepomis</v>
      </c>
      <c r="F4604" t="str">
        <f>_xlfn.XLOOKUP(A4604,'[1]Tissue Data'!$A:$A,'[1]Tissue Data'!$I:$I)</f>
        <v>gibbosus</v>
      </c>
      <c r="G4604" t="str">
        <f>_xlfn.XLOOKUP(A4604,'[1]Tissue Data'!$A:$A,'[1]Tissue Data'!J:J)</f>
        <v>M</v>
      </c>
      <c r="H4604" t="str">
        <f>_xlfn.XLOOKUP(A4604,'[1]Tissue Data'!$A:$A,'[1]Tissue Data'!K:K)</f>
        <v>Muscle</v>
      </c>
      <c r="I4604">
        <f>_xlfn.XLOOKUP(A4604,'[1]Tissue Data'!$A:$A,'[1]Tissue Data'!L:L)</f>
        <v>13</v>
      </c>
      <c r="J4604">
        <f>_xlfn.XLOOKUP(A4604,'[1]Tissue Data'!$A:$A,'[1]Tissue Data'!M:M)</f>
        <v>40.79</v>
      </c>
      <c r="K4604" t="s">
        <v>14</v>
      </c>
      <c r="L4604" t="str">
        <f>_xlfn.XLOOKUP(K4604,[2]analyte_order!$B:$B,[2]analyte_order!$C:$C)</f>
        <v>307-24-4</v>
      </c>
      <c r="M4604">
        <f>_xlfn.XLOOKUP(L4604,[2]analyte_order!$C:$C,[2]analyte_order!$E:$E)</f>
        <v>3</v>
      </c>
      <c r="N4604">
        <v>3.7650000000000003E-2</v>
      </c>
    </row>
    <row r="4605" spans="1:14">
      <c r="A4605" t="s">
        <v>272</v>
      </c>
      <c r="B4605" t="str">
        <f>_xlfn.XLOOKUP(A4605,'[1]Tissue Data'!$A:$A,'[1]Tissue Data'!$C:$C)</f>
        <v>Spill</v>
      </c>
      <c r="C4605" s="2">
        <f>_xlfn.XLOOKUP(A4605,'[1]Tissue Data'!$A:$A,'[1]Tissue Data'!$D:$D)</f>
        <v>44393</v>
      </c>
      <c r="D4605" s="2" t="str">
        <f>_xlfn.XLOOKUP(A4605,'[1]Tissue Data'!$A:$A,'[1]Tissue Data'!$F:$F)</f>
        <v>Pumpkinseed</v>
      </c>
      <c r="E4605" t="str">
        <f>_xlfn.XLOOKUP(A4605,'[1]Tissue Data'!$A:$A,'[1]Tissue Data'!$H:$H)</f>
        <v>Lepomis</v>
      </c>
      <c r="F4605" t="str">
        <f>_xlfn.XLOOKUP(A4605,'[1]Tissue Data'!$A:$A,'[1]Tissue Data'!$I:$I)</f>
        <v>gibbosus</v>
      </c>
      <c r="G4605" t="str">
        <f>_xlfn.XLOOKUP(A4605,'[1]Tissue Data'!$A:$A,'[1]Tissue Data'!J:J)</f>
        <v>M</v>
      </c>
      <c r="H4605" t="str">
        <f>_xlfn.XLOOKUP(A4605,'[1]Tissue Data'!$A:$A,'[1]Tissue Data'!K:K)</f>
        <v>Muscle</v>
      </c>
      <c r="I4605">
        <f>_xlfn.XLOOKUP(A4605,'[1]Tissue Data'!$A:$A,'[1]Tissue Data'!L:L)</f>
        <v>13</v>
      </c>
      <c r="J4605">
        <f>_xlfn.XLOOKUP(A4605,'[1]Tissue Data'!$A:$A,'[1]Tissue Data'!M:M)</f>
        <v>40.79</v>
      </c>
      <c r="K4605" t="s">
        <v>15</v>
      </c>
      <c r="L4605" t="str">
        <f>_xlfn.XLOOKUP(K4605,[2]analyte_order!$B:$B,[2]analyte_order!$C:$C)</f>
        <v>375-85-9</v>
      </c>
      <c r="M4605">
        <f>_xlfn.XLOOKUP(L4605,[2]analyte_order!$C:$C,[2]analyte_order!$E:$E)</f>
        <v>4</v>
      </c>
      <c r="N4605">
        <v>9.1999999999999998E-2</v>
      </c>
    </row>
    <row r="4606" spans="1:14">
      <c r="A4606" t="s">
        <v>272</v>
      </c>
      <c r="B4606" t="str">
        <f>_xlfn.XLOOKUP(A4606,'[1]Tissue Data'!$A:$A,'[1]Tissue Data'!$C:$C)</f>
        <v>Spill</v>
      </c>
      <c r="C4606" s="2">
        <f>_xlfn.XLOOKUP(A4606,'[1]Tissue Data'!$A:$A,'[1]Tissue Data'!$D:$D)</f>
        <v>44393</v>
      </c>
      <c r="D4606" s="2" t="str">
        <f>_xlfn.XLOOKUP(A4606,'[1]Tissue Data'!$A:$A,'[1]Tissue Data'!$F:$F)</f>
        <v>Pumpkinseed</v>
      </c>
      <c r="E4606" t="str">
        <f>_xlfn.XLOOKUP(A4606,'[1]Tissue Data'!$A:$A,'[1]Tissue Data'!$H:$H)</f>
        <v>Lepomis</v>
      </c>
      <c r="F4606" t="str">
        <f>_xlfn.XLOOKUP(A4606,'[1]Tissue Data'!$A:$A,'[1]Tissue Data'!$I:$I)</f>
        <v>gibbosus</v>
      </c>
      <c r="G4606" t="str">
        <f>_xlfn.XLOOKUP(A4606,'[1]Tissue Data'!$A:$A,'[1]Tissue Data'!J:J)</f>
        <v>M</v>
      </c>
      <c r="H4606" t="str">
        <f>_xlfn.XLOOKUP(A4606,'[1]Tissue Data'!$A:$A,'[1]Tissue Data'!K:K)</f>
        <v>Muscle</v>
      </c>
      <c r="I4606">
        <f>_xlfn.XLOOKUP(A4606,'[1]Tissue Data'!$A:$A,'[1]Tissue Data'!L:L)</f>
        <v>13</v>
      </c>
      <c r="J4606">
        <f>_xlfn.XLOOKUP(A4606,'[1]Tissue Data'!$A:$A,'[1]Tissue Data'!M:M)</f>
        <v>40.79</v>
      </c>
      <c r="K4606" t="s">
        <v>16</v>
      </c>
      <c r="L4606" t="str">
        <f>_xlfn.XLOOKUP(K4606,[2]analyte_order!$B:$B,[2]analyte_order!$C:$C)</f>
        <v>335-67-1</v>
      </c>
      <c r="M4606">
        <f>_xlfn.XLOOKUP(L4606,[2]analyte_order!$C:$C,[2]analyte_order!$E:$E)</f>
        <v>5</v>
      </c>
      <c r="N4606">
        <v>9.1999999999999998E-2</v>
      </c>
    </row>
    <row r="4607" spans="1:14">
      <c r="A4607" t="s">
        <v>272</v>
      </c>
      <c r="B4607" t="str">
        <f>_xlfn.XLOOKUP(A4607,'[1]Tissue Data'!$A:$A,'[1]Tissue Data'!$C:$C)</f>
        <v>Spill</v>
      </c>
      <c r="C4607" s="2">
        <f>_xlfn.XLOOKUP(A4607,'[1]Tissue Data'!$A:$A,'[1]Tissue Data'!$D:$D)</f>
        <v>44393</v>
      </c>
      <c r="D4607" s="2" t="str">
        <f>_xlfn.XLOOKUP(A4607,'[1]Tissue Data'!$A:$A,'[1]Tissue Data'!$F:$F)</f>
        <v>Pumpkinseed</v>
      </c>
      <c r="E4607" t="str">
        <f>_xlfn.XLOOKUP(A4607,'[1]Tissue Data'!$A:$A,'[1]Tissue Data'!$H:$H)</f>
        <v>Lepomis</v>
      </c>
      <c r="F4607" t="str">
        <f>_xlfn.XLOOKUP(A4607,'[1]Tissue Data'!$A:$A,'[1]Tissue Data'!$I:$I)</f>
        <v>gibbosus</v>
      </c>
      <c r="G4607" t="str">
        <f>_xlfn.XLOOKUP(A4607,'[1]Tissue Data'!$A:$A,'[1]Tissue Data'!J:J)</f>
        <v>M</v>
      </c>
      <c r="H4607" t="str">
        <f>_xlfn.XLOOKUP(A4607,'[1]Tissue Data'!$A:$A,'[1]Tissue Data'!K:K)</f>
        <v>Muscle</v>
      </c>
      <c r="I4607">
        <f>_xlfn.XLOOKUP(A4607,'[1]Tissue Data'!$A:$A,'[1]Tissue Data'!L:L)</f>
        <v>13</v>
      </c>
      <c r="J4607">
        <f>_xlfn.XLOOKUP(A4607,'[1]Tissue Data'!$A:$A,'[1]Tissue Data'!M:M)</f>
        <v>40.79</v>
      </c>
      <c r="K4607" t="s">
        <v>17</v>
      </c>
      <c r="L4607" t="str">
        <f>_xlfn.XLOOKUP(K4607,[2]analyte_order!$B:$B,[2]analyte_order!$C:$C)</f>
        <v>375-95-1</v>
      </c>
      <c r="M4607">
        <f>_xlfn.XLOOKUP(L4607,[2]analyte_order!$C:$C,[2]analyte_order!$E:$E)</f>
        <v>6</v>
      </c>
      <c r="N4607">
        <v>0.1595</v>
      </c>
    </row>
    <row r="4608" spans="1:14">
      <c r="A4608" t="s">
        <v>272</v>
      </c>
      <c r="B4608" t="str">
        <f>_xlfn.XLOOKUP(A4608,'[1]Tissue Data'!$A:$A,'[1]Tissue Data'!$C:$C)</f>
        <v>Spill</v>
      </c>
      <c r="C4608" s="2">
        <f>_xlfn.XLOOKUP(A4608,'[1]Tissue Data'!$A:$A,'[1]Tissue Data'!$D:$D)</f>
        <v>44393</v>
      </c>
      <c r="D4608" s="2" t="str">
        <f>_xlfn.XLOOKUP(A4608,'[1]Tissue Data'!$A:$A,'[1]Tissue Data'!$F:$F)</f>
        <v>Pumpkinseed</v>
      </c>
      <c r="E4608" t="str">
        <f>_xlfn.XLOOKUP(A4608,'[1]Tissue Data'!$A:$A,'[1]Tissue Data'!$H:$H)</f>
        <v>Lepomis</v>
      </c>
      <c r="F4608" t="str">
        <f>_xlfn.XLOOKUP(A4608,'[1]Tissue Data'!$A:$A,'[1]Tissue Data'!$I:$I)</f>
        <v>gibbosus</v>
      </c>
      <c r="G4608" t="str">
        <f>_xlfn.XLOOKUP(A4608,'[1]Tissue Data'!$A:$A,'[1]Tissue Data'!J:J)</f>
        <v>M</v>
      </c>
      <c r="H4608" t="str">
        <f>_xlfn.XLOOKUP(A4608,'[1]Tissue Data'!$A:$A,'[1]Tissue Data'!K:K)</f>
        <v>Muscle</v>
      </c>
      <c r="I4608">
        <f>_xlfn.XLOOKUP(A4608,'[1]Tissue Data'!$A:$A,'[1]Tissue Data'!L:L)</f>
        <v>13</v>
      </c>
      <c r="J4608">
        <f>_xlfn.XLOOKUP(A4608,'[1]Tissue Data'!$A:$A,'[1]Tissue Data'!M:M)</f>
        <v>40.79</v>
      </c>
      <c r="K4608" t="s">
        <v>18</v>
      </c>
      <c r="L4608" t="str">
        <f>_xlfn.XLOOKUP(K4608,[2]analyte_order!$B:$B,[2]analyte_order!$C:$C)</f>
        <v>335-76-2</v>
      </c>
      <c r="M4608">
        <f>_xlfn.XLOOKUP(L4608,[2]analyte_order!$C:$C,[2]analyte_order!$E:$E)</f>
        <v>7</v>
      </c>
      <c r="N4608">
        <v>2.96</v>
      </c>
    </row>
    <row r="4609" spans="1:14">
      <c r="A4609" t="s">
        <v>272</v>
      </c>
      <c r="B4609" t="str">
        <f>_xlfn.XLOOKUP(A4609,'[1]Tissue Data'!$A:$A,'[1]Tissue Data'!$C:$C)</f>
        <v>Spill</v>
      </c>
      <c r="C4609" s="2">
        <f>_xlfn.XLOOKUP(A4609,'[1]Tissue Data'!$A:$A,'[1]Tissue Data'!$D:$D)</f>
        <v>44393</v>
      </c>
      <c r="D4609" s="2" t="str">
        <f>_xlfn.XLOOKUP(A4609,'[1]Tissue Data'!$A:$A,'[1]Tissue Data'!$F:$F)</f>
        <v>Pumpkinseed</v>
      </c>
      <c r="E4609" t="str">
        <f>_xlfn.XLOOKUP(A4609,'[1]Tissue Data'!$A:$A,'[1]Tissue Data'!$H:$H)</f>
        <v>Lepomis</v>
      </c>
      <c r="F4609" t="str">
        <f>_xlfn.XLOOKUP(A4609,'[1]Tissue Data'!$A:$A,'[1]Tissue Data'!$I:$I)</f>
        <v>gibbosus</v>
      </c>
      <c r="G4609" t="str">
        <f>_xlfn.XLOOKUP(A4609,'[1]Tissue Data'!$A:$A,'[1]Tissue Data'!J:J)</f>
        <v>M</v>
      </c>
      <c r="H4609" t="str">
        <f>_xlfn.XLOOKUP(A4609,'[1]Tissue Data'!$A:$A,'[1]Tissue Data'!K:K)</f>
        <v>Muscle</v>
      </c>
      <c r="I4609">
        <f>_xlfn.XLOOKUP(A4609,'[1]Tissue Data'!$A:$A,'[1]Tissue Data'!L:L)</f>
        <v>13</v>
      </c>
      <c r="J4609">
        <f>_xlfn.XLOOKUP(A4609,'[1]Tissue Data'!$A:$A,'[1]Tissue Data'!M:M)</f>
        <v>40.79</v>
      </c>
      <c r="K4609" t="s">
        <v>19</v>
      </c>
      <c r="L4609" t="str">
        <f>_xlfn.XLOOKUP(K4609,[2]analyte_order!$B:$B,[2]analyte_order!$C:$C)</f>
        <v>2058-94-8</v>
      </c>
      <c r="M4609">
        <f>_xlfn.XLOOKUP(L4609,[2]analyte_order!$C:$C,[2]analyte_order!$E:$E)</f>
        <v>8</v>
      </c>
      <c r="N4609">
        <v>4.6100000000000003</v>
      </c>
    </row>
    <row r="4610" spans="1:14">
      <c r="A4610" t="s">
        <v>272</v>
      </c>
      <c r="B4610" t="str">
        <f>_xlfn.XLOOKUP(A4610,'[1]Tissue Data'!$A:$A,'[1]Tissue Data'!$C:$C)</f>
        <v>Spill</v>
      </c>
      <c r="C4610" s="2">
        <f>_xlfn.XLOOKUP(A4610,'[1]Tissue Data'!$A:$A,'[1]Tissue Data'!$D:$D)</f>
        <v>44393</v>
      </c>
      <c r="D4610" s="2" t="str">
        <f>_xlfn.XLOOKUP(A4610,'[1]Tissue Data'!$A:$A,'[1]Tissue Data'!$F:$F)</f>
        <v>Pumpkinseed</v>
      </c>
      <c r="E4610" t="str">
        <f>_xlfn.XLOOKUP(A4610,'[1]Tissue Data'!$A:$A,'[1]Tissue Data'!$H:$H)</f>
        <v>Lepomis</v>
      </c>
      <c r="F4610" t="str">
        <f>_xlfn.XLOOKUP(A4610,'[1]Tissue Data'!$A:$A,'[1]Tissue Data'!$I:$I)</f>
        <v>gibbosus</v>
      </c>
      <c r="G4610" t="str">
        <f>_xlfn.XLOOKUP(A4610,'[1]Tissue Data'!$A:$A,'[1]Tissue Data'!J:J)</f>
        <v>M</v>
      </c>
      <c r="H4610" t="str">
        <f>_xlfn.XLOOKUP(A4610,'[1]Tissue Data'!$A:$A,'[1]Tissue Data'!K:K)</f>
        <v>Muscle</v>
      </c>
      <c r="I4610">
        <f>_xlfn.XLOOKUP(A4610,'[1]Tissue Data'!$A:$A,'[1]Tissue Data'!L:L)</f>
        <v>13</v>
      </c>
      <c r="J4610">
        <f>_xlfn.XLOOKUP(A4610,'[1]Tissue Data'!$A:$A,'[1]Tissue Data'!M:M)</f>
        <v>40.79</v>
      </c>
      <c r="K4610" t="s">
        <v>20</v>
      </c>
      <c r="L4610" t="str">
        <f>_xlfn.XLOOKUP(K4610,[2]analyte_order!$B:$B,[2]analyte_order!$C:$C)</f>
        <v>307-55-1</v>
      </c>
      <c r="M4610">
        <f>_xlfn.XLOOKUP(L4610,[2]analyte_order!$C:$C,[2]analyte_order!$E:$E)</f>
        <v>9</v>
      </c>
      <c r="N4610">
        <v>4.47</v>
      </c>
    </row>
    <row r="4611" spans="1:14">
      <c r="A4611" t="s">
        <v>272</v>
      </c>
      <c r="B4611" t="str">
        <f>_xlfn.XLOOKUP(A4611,'[1]Tissue Data'!$A:$A,'[1]Tissue Data'!$C:$C)</f>
        <v>Spill</v>
      </c>
      <c r="C4611" s="2">
        <f>_xlfn.XLOOKUP(A4611,'[1]Tissue Data'!$A:$A,'[1]Tissue Data'!$D:$D)</f>
        <v>44393</v>
      </c>
      <c r="D4611" s="2" t="str">
        <f>_xlfn.XLOOKUP(A4611,'[1]Tissue Data'!$A:$A,'[1]Tissue Data'!$F:$F)</f>
        <v>Pumpkinseed</v>
      </c>
      <c r="E4611" t="str">
        <f>_xlfn.XLOOKUP(A4611,'[1]Tissue Data'!$A:$A,'[1]Tissue Data'!$H:$H)</f>
        <v>Lepomis</v>
      </c>
      <c r="F4611" t="str">
        <f>_xlfn.XLOOKUP(A4611,'[1]Tissue Data'!$A:$A,'[1]Tissue Data'!$I:$I)</f>
        <v>gibbosus</v>
      </c>
      <c r="G4611" t="str">
        <f>_xlfn.XLOOKUP(A4611,'[1]Tissue Data'!$A:$A,'[1]Tissue Data'!J:J)</f>
        <v>M</v>
      </c>
      <c r="H4611" t="str">
        <f>_xlfn.XLOOKUP(A4611,'[1]Tissue Data'!$A:$A,'[1]Tissue Data'!K:K)</f>
        <v>Muscle</v>
      </c>
      <c r="I4611">
        <f>_xlfn.XLOOKUP(A4611,'[1]Tissue Data'!$A:$A,'[1]Tissue Data'!L:L)</f>
        <v>13</v>
      </c>
      <c r="J4611">
        <f>_xlfn.XLOOKUP(A4611,'[1]Tissue Data'!$A:$A,'[1]Tissue Data'!M:M)</f>
        <v>40.79</v>
      </c>
      <c r="K4611" t="s">
        <v>21</v>
      </c>
      <c r="L4611" t="str">
        <f>_xlfn.XLOOKUP(K4611,[2]analyte_order!$B:$B,[2]analyte_order!$C:$C)</f>
        <v>72629-94-8</v>
      </c>
      <c r="M4611">
        <f>_xlfn.XLOOKUP(L4611,[2]analyte_order!$C:$C,[2]analyte_order!$E:$E)</f>
        <v>10</v>
      </c>
      <c r="N4611">
        <v>2.5099999999999998</v>
      </c>
    </row>
    <row r="4612" spans="1:14">
      <c r="A4612" t="s">
        <v>272</v>
      </c>
      <c r="B4612" t="str">
        <f>_xlfn.XLOOKUP(A4612,'[1]Tissue Data'!$A:$A,'[1]Tissue Data'!$C:$C)</f>
        <v>Spill</v>
      </c>
      <c r="C4612" s="2">
        <f>_xlfn.XLOOKUP(A4612,'[1]Tissue Data'!$A:$A,'[1]Tissue Data'!$D:$D)</f>
        <v>44393</v>
      </c>
      <c r="D4612" s="2" t="str">
        <f>_xlfn.XLOOKUP(A4612,'[1]Tissue Data'!$A:$A,'[1]Tissue Data'!$F:$F)</f>
        <v>Pumpkinseed</v>
      </c>
      <c r="E4612" t="str">
        <f>_xlfn.XLOOKUP(A4612,'[1]Tissue Data'!$A:$A,'[1]Tissue Data'!$H:$H)</f>
        <v>Lepomis</v>
      </c>
      <c r="F4612" t="str">
        <f>_xlfn.XLOOKUP(A4612,'[1]Tissue Data'!$A:$A,'[1]Tissue Data'!$I:$I)</f>
        <v>gibbosus</v>
      </c>
      <c r="G4612" t="str">
        <f>_xlfn.XLOOKUP(A4612,'[1]Tissue Data'!$A:$A,'[1]Tissue Data'!J:J)</f>
        <v>M</v>
      </c>
      <c r="H4612" t="str">
        <f>_xlfn.XLOOKUP(A4612,'[1]Tissue Data'!$A:$A,'[1]Tissue Data'!K:K)</f>
        <v>Muscle</v>
      </c>
      <c r="I4612">
        <f>_xlfn.XLOOKUP(A4612,'[1]Tissue Data'!$A:$A,'[1]Tissue Data'!L:L)</f>
        <v>13</v>
      </c>
      <c r="J4612">
        <f>_xlfn.XLOOKUP(A4612,'[1]Tissue Data'!$A:$A,'[1]Tissue Data'!M:M)</f>
        <v>40.79</v>
      </c>
      <c r="K4612" t="s">
        <v>22</v>
      </c>
      <c r="L4612" t="str">
        <f>_xlfn.XLOOKUP(K4612,[2]analyte_order!$B:$B,[2]analyte_order!$C:$C)</f>
        <v>376-06-7</v>
      </c>
      <c r="M4612">
        <f>_xlfn.XLOOKUP(L4612,[2]analyte_order!$C:$C,[2]analyte_order!$E:$E)</f>
        <v>11</v>
      </c>
      <c r="N4612">
        <v>2.96</v>
      </c>
    </row>
    <row r="4613" spans="1:14">
      <c r="A4613" t="s">
        <v>272</v>
      </c>
      <c r="B4613" t="str">
        <f>_xlfn.XLOOKUP(A4613,'[1]Tissue Data'!$A:$A,'[1]Tissue Data'!$C:$C)</f>
        <v>Spill</v>
      </c>
      <c r="C4613" s="2">
        <f>_xlfn.XLOOKUP(A4613,'[1]Tissue Data'!$A:$A,'[1]Tissue Data'!$D:$D)</f>
        <v>44393</v>
      </c>
      <c r="D4613" s="2" t="str">
        <f>_xlfn.XLOOKUP(A4613,'[1]Tissue Data'!$A:$A,'[1]Tissue Data'!$F:$F)</f>
        <v>Pumpkinseed</v>
      </c>
      <c r="E4613" t="str">
        <f>_xlfn.XLOOKUP(A4613,'[1]Tissue Data'!$A:$A,'[1]Tissue Data'!$H:$H)</f>
        <v>Lepomis</v>
      </c>
      <c r="F4613" t="str">
        <f>_xlfn.XLOOKUP(A4613,'[1]Tissue Data'!$A:$A,'[1]Tissue Data'!$I:$I)</f>
        <v>gibbosus</v>
      </c>
      <c r="G4613" t="str">
        <f>_xlfn.XLOOKUP(A4613,'[1]Tissue Data'!$A:$A,'[1]Tissue Data'!J:J)</f>
        <v>M</v>
      </c>
      <c r="H4613" t="str">
        <f>_xlfn.XLOOKUP(A4613,'[1]Tissue Data'!$A:$A,'[1]Tissue Data'!K:K)</f>
        <v>Muscle</v>
      </c>
      <c r="I4613">
        <f>_xlfn.XLOOKUP(A4613,'[1]Tissue Data'!$A:$A,'[1]Tissue Data'!L:L)</f>
        <v>13</v>
      </c>
      <c r="J4613">
        <f>_xlfn.XLOOKUP(A4613,'[1]Tissue Data'!$A:$A,'[1]Tissue Data'!M:M)</f>
        <v>40.79</v>
      </c>
      <c r="K4613" t="s">
        <v>23</v>
      </c>
      <c r="L4613" t="str">
        <f>_xlfn.XLOOKUP(K4613,[2]analyte_order!$B:$B,[2]analyte_order!$C:$C)</f>
        <v>67905-19-5</v>
      </c>
      <c r="M4613">
        <f>_xlfn.XLOOKUP(L4613,[2]analyte_order!$C:$C,[2]analyte_order!$E:$E)</f>
        <v>12</v>
      </c>
      <c r="N4613">
        <v>8.3000000000000004E-2</v>
      </c>
    </row>
    <row r="4614" spans="1:14">
      <c r="A4614" t="s">
        <v>272</v>
      </c>
      <c r="B4614" t="str">
        <f>_xlfn.XLOOKUP(A4614,'[1]Tissue Data'!$A:$A,'[1]Tissue Data'!$C:$C)</f>
        <v>Spill</v>
      </c>
      <c r="C4614" s="2">
        <f>_xlfn.XLOOKUP(A4614,'[1]Tissue Data'!$A:$A,'[1]Tissue Data'!$D:$D)</f>
        <v>44393</v>
      </c>
      <c r="D4614" s="2" t="str">
        <f>_xlfn.XLOOKUP(A4614,'[1]Tissue Data'!$A:$A,'[1]Tissue Data'!$F:$F)</f>
        <v>Pumpkinseed</v>
      </c>
      <c r="E4614" t="str">
        <f>_xlfn.XLOOKUP(A4614,'[1]Tissue Data'!$A:$A,'[1]Tissue Data'!$H:$H)</f>
        <v>Lepomis</v>
      </c>
      <c r="F4614" t="str">
        <f>_xlfn.XLOOKUP(A4614,'[1]Tissue Data'!$A:$A,'[1]Tissue Data'!$I:$I)</f>
        <v>gibbosus</v>
      </c>
      <c r="G4614" t="str">
        <f>_xlfn.XLOOKUP(A4614,'[1]Tissue Data'!$A:$A,'[1]Tissue Data'!J:J)</f>
        <v>M</v>
      </c>
      <c r="H4614" t="str">
        <f>_xlfn.XLOOKUP(A4614,'[1]Tissue Data'!$A:$A,'[1]Tissue Data'!K:K)</f>
        <v>Muscle</v>
      </c>
      <c r="I4614">
        <f>_xlfn.XLOOKUP(A4614,'[1]Tissue Data'!$A:$A,'[1]Tissue Data'!L:L)</f>
        <v>13</v>
      </c>
      <c r="J4614">
        <f>_xlfn.XLOOKUP(A4614,'[1]Tissue Data'!$A:$A,'[1]Tissue Data'!M:M)</f>
        <v>40.79</v>
      </c>
      <c r="K4614" t="s">
        <v>24</v>
      </c>
      <c r="L4614" t="str">
        <f>_xlfn.XLOOKUP(K4614,[2]analyte_order!$B:$B,[2]analyte_order!$C:$C)</f>
        <v>423-41-6</v>
      </c>
      <c r="M4614">
        <f>_xlfn.XLOOKUP(L4614,[2]analyte_order!$C:$C,[2]analyte_order!$E:$E)</f>
        <v>53</v>
      </c>
      <c r="N4614">
        <v>6.9500000000000006E-2</v>
      </c>
    </row>
    <row r="4615" spans="1:14">
      <c r="A4615" t="s">
        <v>272</v>
      </c>
      <c r="B4615" t="str">
        <f>_xlfn.XLOOKUP(A4615,'[1]Tissue Data'!$A:$A,'[1]Tissue Data'!$C:$C)</f>
        <v>Spill</v>
      </c>
      <c r="C4615" s="2">
        <f>_xlfn.XLOOKUP(A4615,'[1]Tissue Data'!$A:$A,'[1]Tissue Data'!$D:$D)</f>
        <v>44393</v>
      </c>
      <c r="D4615" s="2" t="str">
        <f>_xlfn.XLOOKUP(A4615,'[1]Tissue Data'!$A:$A,'[1]Tissue Data'!$F:$F)</f>
        <v>Pumpkinseed</v>
      </c>
      <c r="E4615" t="str">
        <f>_xlfn.XLOOKUP(A4615,'[1]Tissue Data'!$A:$A,'[1]Tissue Data'!$H:$H)</f>
        <v>Lepomis</v>
      </c>
      <c r="F4615" t="str">
        <f>_xlfn.XLOOKUP(A4615,'[1]Tissue Data'!$A:$A,'[1]Tissue Data'!$I:$I)</f>
        <v>gibbosus</v>
      </c>
      <c r="G4615" t="str">
        <f>_xlfn.XLOOKUP(A4615,'[1]Tissue Data'!$A:$A,'[1]Tissue Data'!J:J)</f>
        <v>M</v>
      </c>
      <c r="H4615" t="str">
        <f>_xlfn.XLOOKUP(A4615,'[1]Tissue Data'!$A:$A,'[1]Tissue Data'!K:K)</f>
        <v>Muscle</v>
      </c>
      <c r="I4615">
        <f>_xlfn.XLOOKUP(A4615,'[1]Tissue Data'!$A:$A,'[1]Tissue Data'!L:L)</f>
        <v>13</v>
      </c>
      <c r="J4615">
        <f>_xlfn.XLOOKUP(A4615,'[1]Tissue Data'!$A:$A,'[1]Tissue Data'!M:M)</f>
        <v>40.79</v>
      </c>
      <c r="K4615" t="s">
        <v>25</v>
      </c>
      <c r="L4615" t="str">
        <f>_xlfn.XLOOKUP(K4615,[2]analyte_order!$B:$B,[2]analyte_order!$C:$C)</f>
        <v>375-73-5</v>
      </c>
      <c r="M4615">
        <f>_xlfn.XLOOKUP(L4615,[2]analyte_order!$C:$C,[2]analyte_order!$E:$E)</f>
        <v>14</v>
      </c>
      <c r="N4615">
        <v>0.1565</v>
      </c>
    </row>
    <row r="4616" spans="1:14">
      <c r="A4616" t="s">
        <v>272</v>
      </c>
      <c r="B4616" t="str">
        <f>_xlfn.XLOOKUP(A4616,'[1]Tissue Data'!$A:$A,'[1]Tissue Data'!$C:$C)</f>
        <v>Spill</v>
      </c>
      <c r="C4616" s="2">
        <f>_xlfn.XLOOKUP(A4616,'[1]Tissue Data'!$A:$A,'[1]Tissue Data'!$D:$D)</f>
        <v>44393</v>
      </c>
      <c r="D4616" s="2" t="str">
        <f>_xlfn.XLOOKUP(A4616,'[1]Tissue Data'!$A:$A,'[1]Tissue Data'!$F:$F)</f>
        <v>Pumpkinseed</v>
      </c>
      <c r="E4616" t="str">
        <f>_xlfn.XLOOKUP(A4616,'[1]Tissue Data'!$A:$A,'[1]Tissue Data'!$H:$H)</f>
        <v>Lepomis</v>
      </c>
      <c r="F4616" t="str">
        <f>_xlfn.XLOOKUP(A4616,'[1]Tissue Data'!$A:$A,'[1]Tissue Data'!$I:$I)</f>
        <v>gibbosus</v>
      </c>
      <c r="G4616" t="str">
        <f>_xlfn.XLOOKUP(A4616,'[1]Tissue Data'!$A:$A,'[1]Tissue Data'!J:J)</f>
        <v>M</v>
      </c>
      <c r="H4616" t="str">
        <f>_xlfn.XLOOKUP(A4616,'[1]Tissue Data'!$A:$A,'[1]Tissue Data'!K:K)</f>
        <v>Muscle</v>
      </c>
      <c r="I4616">
        <f>_xlfn.XLOOKUP(A4616,'[1]Tissue Data'!$A:$A,'[1]Tissue Data'!L:L)</f>
        <v>13</v>
      </c>
      <c r="J4616">
        <f>_xlfn.XLOOKUP(A4616,'[1]Tissue Data'!$A:$A,'[1]Tissue Data'!M:M)</f>
        <v>40.79</v>
      </c>
      <c r="K4616" t="s">
        <v>26</v>
      </c>
      <c r="L4616" t="str">
        <f>_xlfn.XLOOKUP(K4616,[2]analyte_order!$B:$B,[2]analyte_order!$C:$C)</f>
        <v>2706-91-4</v>
      </c>
      <c r="M4616">
        <f>_xlfn.XLOOKUP(L4616,[2]analyte_order!$C:$C,[2]analyte_order!$E:$E)</f>
        <v>15</v>
      </c>
      <c r="N4616">
        <v>6.9500000000000006E-2</v>
      </c>
    </row>
    <row r="4617" spans="1:14">
      <c r="A4617" t="s">
        <v>272</v>
      </c>
      <c r="B4617" t="str">
        <f>_xlfn.XLOOKUP(A4617,'[1]Tissue Data'!$A:$A,'[1]Tissue Data'!$C:$C)</f>
        <v>Spill</v>
      </c>
      <c r="C4617" s="2">
        <f>_xlfn.XLOOKUP(A4617,'[1]Tissue Data'!$A:$A,'[1]Tissue Data'!$D:$D)</f>
        <v>44393</v>
      </c>
      <c r="D4617" s="2" t="str">
        <f>_xlfn.XLOOKUP(A4617,'[1]Tissue Data'!$A:$A,'[1]Tissue Data'!$F:$F)</f>
        <v>Pumpkinseed</v>
      </c>
      <c r="E4617" t="str">
        <f>_xlfn.XLOOKUP(A4617,'[1]Tissue Data'!$A:$A,'[1]Tissue Data'!$H:$H)</f>
        <v>Lepomis</v>
      </c>
      <c r="F4617" t="str">
        <f>_xlfn.XLOOKUP(A4617,'[1]Tissue Data'!$A:$A,'[1]Tissue Data'!$I:$I)</f>
        <v>gibbosus</v>
      </c>
      <c r="G4617" t="str">
        <f>_xlfn.XLOOKUP(A4617,'[1]Tissue Data'!$A:$A,'[1]Tissue Data'!J:J)</f>
        <v>M</v>
      </c>
      <c r="H4617" t="str">
        <f>_xlfn.XLOOKUP(A4617,'[1]Tissue Data'!$A:$A,'[1]Tissue Data'!K:K)</f>
        <v>Muscle</v>
      </c>
      <c r="I4617">
        <f>_xlfn.XLOOKUP(A4617,'[1]Tissue Data'!$A:$A,'[1]Tissue Data'!L:L)</f>
        <v>13</v>
      </c>
      <c r="J4617">
        <f>_xlfn.XLOOKUP(A4617,'[1]Tissue Data'!$A:$A,'[1]Tissue Data'!M:M)</f>
        <v>40.79</v>
      </c>
      <c r="K4617" t="s">
        <v>27</v>
      </c>
      <c r="L4617" t="str">
        <f>_xlfn.XLOOKUP(K4617,[2]analyte_order!$B:$B,[2]analyte_order!$C:$C)</f>
        <v>355-46-4</v>
      </c>
      <c r="M4617">
        <f>_xlfn.XLOOKUP(L4617,[2]analyte_order!$C:$C,[2]analyte_order!$E:$E)</f>
        <v>16</v>
      </c>
      <c r="N4617">
        <v>2.06</v>
      </c>
    </row>
    <row r="4618" spans="1:14">
      <c r="A4618" t="s">
        <v>272</v>
      </c>
      <c r="B4618" t="str">
        <f>_xlfn.XLOOKUP(A4618,'[1]Tissue Data'!$A:$A,'[1]Tissue Data'!$C:$C)</f>
        <v>Spill</v>
      </c>
      <c r="C4618" s="2">
        <f>_xlfn.XLOOKUP(A4618,'[1]Tissue Data'!$A:$A,'[1]Tissue Data'!$D:$D)</f>
        <v>44393</v>
      </c>
      <c r="D4618" s="2" t="str">
        <f>_xlfn.XLOOKUP(A4618,'[1]Tissue Data'!$A:$A,'[1]Tissue Data'!$F:$F)</f>
        <v>Pumpkinseed</v>
      </c>
      <c r="E4618" t="str">
        <f>_xlfn.XLOOKUP(A4618,'[1]Tissue Data'!$A:$A,'[1]Tissue Data'!$H:$H)</f>
        <v>Lepomis</v>
      </c>
      <c r="F4618" t="str">
        <f>_xlfn.XLOOKUP(A4618,'[1]Tissue Data'!$A:$A,'[1]Tissue Data'!$I:$I)</f>
        <v>gibbosus</v>
      </c>
      <c r="G4618" t="str">
        <f>_xlfn.XLOOKUP(A4618,'[1]Tissue Data'!$A:$A,'[1]Tissue Data'!J:J)</f>
        <v>M</v>
      </c>
      <c r="H4618" t="str">
        <f>_xlfn.XLOOKUP(A4618,'[1]Tissue Data'!$A:$A,'[1]Tissue Data'!K:K)</f>
        <v>Muscle</v>
      </c>
      <c r="I4618">
        <f>_xlfn.XLOOKUP(A4618,'[1]Tissue Data'!$A:$A,'[1]Tissue Data'!L:L)</f>
        <v>13</v>
      </c>
      <c r="J4618">
        <f>_xlfn.XLOOKUP(A4618,'[1]Tissue Data'!$A:$A,'[1]Tissue Data'!M:M)</f>
        <v>40.79</v>
      </c>
      <c r="K4618" t="s">
        <v>28</v>
      </c>
      <c r="L4618" t="str">
        <f>_xlfn.XLOOKUP(K4618,[2]analyte_order!$B:$B,[2]analyte_order!$C:$C)</f>
        <v>375-92-8</v>
      </c>
      <c r="M4618">
        <f>_xlfn.XLOOKUP(L4618,[2]analyte_order!$C:$C,[2]analyte_order!$E:$E)</f>
        <v>17</v>
      </c>
      <c r="N4618">
        <v>1.19</v>
      </c>
    </row>
    <row r="4619" spans="1:14">
      <c r="A4619" t="s">
        <v>272</v>
      </c>
      <c r="B4619" t="str">
        <f>_xlfn.XLOOKUP(A4619,'[1]Tissue Data'!$A:$A,'[1]Tissue Data'!$C:$C)</f>
        <v>Spill</v>
      </c>
      <c r="C4619" s="2">
        <f>_xlfn.XLOOKUP(A4619,'[1]Tissue Data'!$A:$A,'[1]Tissue Data'!$D:$D)</f>
        <v>44393</v>
      </c>
      <c r="D4619" s="2" t="str">
        <f>_xlfn.XLOOKUP(A4619,'[1]Tissue Data'!$A:$A,'[1]Tissue Data'!$F:$F)</f>
        <v>Pumpkinseed</v>
      </c>
      <c r="E4619" t="str">
        <f>_xlfn.XLOOKUP(A4619,'[1]Tissue Data'!$A:$A,'[1]Tissue Data'!$H:$H)</f>
        <v>Lepomis</v>
      </c>
      <c r="F4619" t="str">
        <f>_xlfn.XLOOKUP(A4619,'[1]Tissue Data'!$A:$A,'[1]Tissue Data'!$I:$I)</f>
        <v>gibbosus</v>
      </c>
      <c r="G4619" t="str">
        <f>_xlfn.XLOOKUP(A4619,'[1]Tissue Data'!$A:$A,'[1]Tissue Data'!J:J)</f>
        <v>M</v>
      </c>
      <c r="H4619" t="str">
        <f>_xlfn.XLOOKUP(A4619,'[1]Tissue Data'!$A:$A,'[1]Tissue Data'!K:K)</f>
        <v>Muscle</v>
      </c>
      <c r="I4619">
        <f>_xlfn.XLOOKUP(A4619,'[1]Tissue Data'!$A:$A,'[1]Tissue Data'!L:L)</f>
        <v>13</v>
      </c>
      <c r="J4619">
        <f>_xlfn.XLOOKUP(A4619,'[1]Tissue Data'!$A:$A,'[1]Tissue Data'!M:M)</f>
        <v>40.79</v>
      </c>
      <c r="K4619" t="s">
        <v>29</v>
      </c>
      <c r="L4619" t="str">
        <f>_xlfn.XLOOKUP(K4619,[2]analyte_order!$B:$B,[2]analyte_order!$C:$C)</f>
        <v>1763-23-1</v>
      </c>
      <c r="M4619">
        <f>_xlfn.XLOOKUP(L4619,[2]analyte_order!$C:$C,[2]analyte_order!$E:$E)</f>
        <v>18</v>
      </c>
      <c r="N4619">
        <v>345</v>
      </c>
    </row>
    <row r="4620" spans="1:14">
      <c r="A4620" t="s">
        <v>272</v>
      </c>
      <c r="B4620" t="str">
        <f>_xlfn.XLOOKUP(A4620,'[1]Tissue Data'!$A:$A,'[1]Tissue Data'!$C:$C)</f>
        <v>Spill</v>
      </c>
      <c r="C4620" s="2">
        <f>_xlfn.XLOOKUP(A4620,'[1]Tissue Data'!$A:$A,'[1]Tissue Data'!$D:$D)</f>
        <v>44393</v>
      </c>
      <c r="D4620" s="2" t="str">
        <f>_xlfn.XLOOKUP(A4620,'[1]Tissue Data'!$A:$A,'[1]Tissue Data'!$F:$F)</f>
        <v>Pumpkinseed</v>
      </c>
      <c r="E4620" t="str">
        <f>_xlfn.XLOOKUP(A4620,'[1]Tissue Data'!$A:$A,'[1]Tissue Data'!$H:$H)</f>
        <v>Lepomis</v>
      </c>
      <c r="F4620" t="str">
        <f>_xlfn.XLOOKUP(A4620,'[1]Tissue Data'!$A:$A,'[1]Tissue Data'!$I:$I)</f>
        <v>gibbosus</v>
      </c>
      <c r="G4620" t="str">
        <f>_xlfn.XLOOKUP(A4620,'[1]Tissue Data'!$A:$A,'[1]Tissue Data'!J:J)</f>
        <v>M</v>
      </c>
      <c r="H4620" t="str">
        <f>_xlfn.XLOOKUP(A4620,'[1]Tissue Data'!$A:$A,'[1]Tissue Data'!K:K)</f>
        <v>Muscle</v>
      </c>
      <c r="I4620">
        <f>_xlfn.XLOOKUP(A4620,'[1]Tissue Data'!$A:$A,'[1]Tissue Data'!L:L)</f>
        <v>13</v>
      </c>
      <c r="J4620">
        <f>_xlfn.XLOOKUP(A4620,'[1]Tissue Data'!$A:$A,'[1]Tissue Data'!M:M)</f>
        <v>40.79</v>
      </c>
      <c r="K4620" t="s">
        <v>30</v>
      </c>
      <c r="L4620" t="str">
        <f>_xlfn.XLOOKUP(K4620,[2]analyte_order!$B:$B,[2]analyte_order!$C:$C)</f>
        <v>68259-12-1</v>
      </c>
      <c r="M4620">
        <f>_xlfn.XLOOKUP(L4620,[2]analyte_order!$C:$C,[2]analyte_order!$E:$E)</f>
        <v>19</v>
      </c>
      <c r="N4620">
        <v>4.47</v>
      </c>
    </row>
    <row r="4621" spans="1:14">
      <c r="A4621" t="s">
        <v>272</v>
      </c>
      <c r="B4621" t="str">
        <f>_xlfn.XLOOKUP(A4621,'[1]Tissue Data'!$A:$A,'[1]Tissue Data'!$C:$C)</f>
        <v>Spill</v>
      </c>
      <c r="C4621" s="2">
        <f>_xlfn.XLOOKUP(A4621,'[1]Tissue Data'!$A:$A,'[1]Tissue Data'!$D:$D)</f>
        <v>44393</v>
      </c>
      <c r="D4621" s="2" t="str">
        <f>_xlfn.XLOOKUP(A4621,'[1]Tissue Data'!$A:$A,'[1]Tissue Data'!$F:$F)</f>
        <v>Pumpkinseed</v>
      </c>
      <c r="E4621" t="str">
        <f>_xlfn.XLOOKUP(A4621,'[1]Tissue Data'!$A:$A,'[1]Tissue Data'!$H:$H)</f>
        <v>Lepomis</v>
      </c>
      <c r="F4621" t="str">
        <f>_xlfn.XLOOKUP(A4621,'[1]Tissue Data'!$A:$A,'[1]Tissue Data'!$I:$I)</f>
        <v>gibbosus</v>
      </c>
      <c r="G4621" t="str">
        <f>_xlfn.XLOOKUP(A4621,'[1]Tissue Data'!$A:$A,'[1]Tissue Data'!J:J)</f>
        <v>M</v>
      </c>
      <c r="H4621" t="str">
        <f>_xlfn.XLOOKUP(A4621,'[1]Tissue Data'!$A:$A,'[1]Tissue Data'!K:K)</f>
        <v>Muscle</v>
      </c>
      <c r="I4621">
        <f>_xlfn.XLOOKUP(A4621,'[1]Tissue Data'!$A:$A,'[1]Tissue Data'!L:L)</f>
        <v>13</v>
      </c>
      <c r="J4621">
        <f>_xlfn.XLOOKUP(A4621,'[1]Tissue Data'!$A:$A,'[1]Tissue Data'!M:M)</f>
        <v>40.79</v>
      </c>
      <c r="K4621" t="s">
        <v>31</v>
      </c>
      <c r="L4621" t="str">
        <f>_xlfn.XLOOKUP(K4621,[2]analyte_order!$B:$B,[2]analyte_order!$C:$C)</f>
        <v>335-77-3</v>
      </c>
      <c r="M4621">
        <f>_xlfn.XLOOKUP(L4621,[2]analyte_order!$C:$C,[2]analyte_order!$E:$E)</f>
        <v>20</v>
      </c>
      <c r="N4621">
        <v>2.95</v>
      </c>
    </row>
    <row r="4622" spans="1:14">
      <c r="A4622" t="s">
        <v>272</v>
      </c>
      <c r="B4622" t="str">
        <f>_xlfn.XLOOKUP(A4622,'[1]Tissue Data'!$A:$A,'[1]Tissue Data'!$C:$C)</f>
        <v>Spill</v>
      </c>
      <c r="C4622" s="2">
        <f>_xlfn.XLOOKUP(A4622,'[1]Tissue Data'!$A:$A,'[1]Tissue Data'!$D:$D)</f>
        <v>44393</v>
      </c>
      <c r="D4622" s="2" t="str">
        <f>_xlfn.XLOOKUP(A4622,'[1]Tissue Data'!$A:$A,'[1]Tissue Data'!$F:$F)</f>
        <v>Pumpkinseed</v>
      </c>
      <c r="E4622" t="str">
        <f>_xlfn.XLOOKUP(A4622,'[1]Tissue Data'!$A:$A,'[1]Tissue Data'!$H:$H)</f>
        <v>Lepomis</v>
      </c>
      <c r="F4622" t="str">
        <f>_xlfn.XLOOKUP(A4622,'[1]Tissue Data'!$A:$A,'[1]Tissue Data'!$I:$I)</f>
        <v>gibbosus</v>
      </c>
      <c r="G4622" t="str">
        <f>_xlfn.XLOOKUP(A4622,'[1]Tissue Data'!$A:$A,'[1]Tissue Data'!J:J)</f>
        <v>M</v>
      </c>
      <c r="H4622" t="str">
        <f>_xlfn.XLOOKUP(A4622,'[1]Tissue Data'!$A:$A,'[1]Tissue Data'!K:K)</f>
        <v>Muscle</v>
      </c>
      <c r="I4622">
        <f>_xlfn.XLOOKUP(A4622,'[1]Tissue Data'!$A:$A,'[1]Tissue Data'!L:L)</f>
        <v>13</v>
      </c>
      <c r="J4622">
        <f>_xlfn.XLOOKUP(A4622,'[1]Tissue Data'!$A:$A,'[1]Tissue Data'!M:M)</f>
        <v>40.79</v>
      </c>
      <c r="K4622" t="s">
        <v>32</v>
      </c>
      <c r="L4622" t="str">
        <f>_xlfn.XLOOKUP(K4622,[2]analyte_order!$B:$B,[2]analyte_order!$C:$C)</f>
        <v>79780-39-5</v>
      </c>
      <c r="M4622">
        <f>_xlfn.XLOOKUP(L4622,[2]analyte_order!$C:$C,[2]analyte_order!$E:$E)</f>
        <v>21</v>
      </c>
      <c r="N4622">
        <v>0.51</v>
      </c>
    </row>
    <row r="4623" spans="1:14">
      <c r="A4623" t="s">
        <v>272</v>
      </c>
      <c r="B4623" t="str">
        <f>_xlfn.XLOOKUP(A4623,'[1]Tissue Data'!$A:$A,'[1]Tissue Data'!$C:$C)</f>
        <v>Spill</v>
      </c>
      <c r="C4623" s="2">
        <f>_xlfn.XLOOKUP(A4623,'[1]Tissue Data'!$A:$A,'[1]Tissue Data'!$D:$D)</f>
        <v>44393</v>
      </c>
      <c r="D4623" s="2" t="str">
        <f>_xlfn.XLOOKUP(A4623,'[1]Tissue Data'!$A:$A,'[1]Tissue Data'!$F:$F)</f>
        <v>Pumpkinseed</v>
      </c>
      <c r="E4623" t="str">
        <f>_xlfn.XLOOKUP(A4623,'[1]Tissue Data'!$A:$A,'[1]Tissue Data'!$H:$H)</f>
        <v>Lepomis</v>
      </c>
      <c r="F4623" t="str">
        <f>_xlfn.XLOOKUP(A4623,'[1]Tissue Data'!$A:$A,'[1]Tissue Data'!$I:$I)</f>
        <v>gibbosus</v>
      </c>
      <c r="G4623" t="str">
        <f>_xlfn.XLOOKUP(A4623,'[1]Tissue Data'!$A:$A,'[1]Tissue Data'!J:J)</f>
        <v>M</v>
      </c>
      <c r="H4623" t="str">
        <f>_xlfn.XLOOKUP(A4623,'[1]Tissue Data'!$A:$A,'[1]Tissue Data'!K:K)</f>
        <v>Muscle</v>
      </c>
      <c r="I4623">
        <f>_xlfn.XLOOKUP(A4623,'[1]Tissue Data'!$A:$A,'[1]Tissue Data'!L:L)</f>
        <v>13</v>
      </c>
      <c r="J4623">
        <f>_xlfn.XLOOKUP(A4623,'[1]Tissue Data'!$A:$A,'[1]Tissue Data'!M:M)</f>
        <v>40.79</v>
      </c>
      <c r="K4623" t="s">
        <v>33</v>
      </c>
      <c r="L4623" t="str">
        <f>_xlfn.XLOOKUP(K4623,[2]analyte_order!$B:$B,[2]analyte_order!$C:$C)</f>
        <v>777011-38-8</v>
      </c>
      <c r="M4623">
        <f>_xlfn.XLOOKUP(L4623,[2]analyte_order!$C:$C,[2]analyte_order!$E:$E)</f>
        <v>54</v>
      </c>
      <c r="N4623">
        <v>0.14000000000000001</v>
      </c>
    </row>
    <row r="4624" spans="1:14">
      <c r="A4624" t="s">
        <v>272</v>
      </c>
      <c r="B4624" t="str">
        <f>_xlfn.XLOOKUP(A4624,'[1]Tissue Data'!$A:$A,'[1]Tissue Data'!$C:$C)</f>
        <v>Spill</v>
      </c>
      <c r="C4624" s="2">
        <f>_xlfn.XLOOKUP(A4624,'[1]Tissue Data'!$A:$A,'[1]Tissue Data'!$D:$D)</f>
        <v>44393</v>
      </c>
      <c r="D4624" s="2" t="str">
        <f>_xlfn.XLOOKUP(A4624,'[1]Tissue Data'!$A:$A,'[1]Tissue Data'!$F:$F)</f>
        <v>Pumpkinseed</v>
      </c>
      <c r="E4624" t="str">
        <f>_xlfn.XLOOKUP(A4624,'[1]Tissue Data'!$A:$A,'[1]Tissue Data'!$H:$H)</f>
        <v>Lepomis</v>
      </c>
      <c r="F4624" t="str">
        <f>_xlfn.XLOOKUP(A4624,'[1]Tissue Data'!$A:$A,'[1]Tissue Data'!$I:$I)</f>
        <v>gibbosus</v>
      </c>
      <c r="G4624" t="str">
        <f>_xlfn.XLOOKUP(A4624,'[1]Tissue Data'!$A:$A,'[1]Tissue Data'!J:J)</f>
        <v>M</v>
      </c>
      <c r="H4624" t="str">
        <f>_xlfn.XLOOKUP(A4624,'[1]Tissue Data'!$A:$A,'[1]Tissue Data'!K:K)</f>
        <v>Muscle</v>
      </c>
      <c r="I4624">
        <f>_xlfn.XLOOKUP(A4624,'[1]Tissue Data'!$A:$A,'[1]Tissue Data'!L:L)</f>
        <v>13</v>
      </c>
      <c r="J4624">
        <f>_xlfn.XLOOKUP(A4624,'[1]Tissue Data'!$A:$A,'[1]Tissue Data'!M:M)</f>
        <v>40.79</v>
      </c>
      <c r="K4624" t="s">
        <v>34</v>
      </c>
      <c r="L4624" t="str">
        <f>_xlfn.XLOOKUP(K4624,[2]analyte_order!$B:$B,[2]analyte_order!$C:$C)</f>
        <v>646-83-3</v>
      </c>
      <c r="M4624">
        <f>_xlfn.XLOOKUP(L4624,[2]analyte_order!$C:$C,[2]analyte_order!$E:$E)</f>
        <v>55</v>
      </c>
      <c r="N4624">
        <v>6.9500000000000006E-2</v>
      </c>
    </row>
    <row r="4625" spans="1:14">
      <c r="A4625" t="s">
        <v>272</v>
      </c>
      <c r="B4625" t="str">
        <f>_xlfn.XLOOKUP(A4625,'[1]Tissue Data'!$A:$A,'[1]Tissue Data'!$C:$C)</f>
        <v>Spill</v>
      </c>
      <c r="C4625" s="2">
        <f>_xlfn.XLOOKUP(A4625,'[1]Tissue Data'!$A:$A,'[1]Tissue Data'!$D:$D)</f>
        <v>44393</v>
      </c>
      <c r="D4625" s="2" t="str">
        <f>_xlfn.XLOOKUP(A4625,'[1]Tissue Data'!$A:$A,'[1]Tissue Data'!$F:$F)</f>
        <v>Pumpkinseed</v>
      </c>
      <c r="E4625" t="str">
        <f>_xlfn.XLOOKUP(A4625,'[1]Tissue Data'!$A:$A,'[1]Tissue Data'!$H:$H)</f>
        <v>Lepomis</v>
      </c>
      <c r="F4625" t="str">
        <f>_xlfn.XLOOKUP(A4625,'[1]Tissue Data'!$A:$A,'[1]Tissue Data'!$I:$I)</f>
        <v>gibbosus</v>
      </c>
      <c r="G4625" t="str">
        <f>_xlfn.XLOOKUP(A4625,'[1]Tissue Data'!$A:$A,'[1]Tissue Data'!J:J)</f>
        <v>M</v>
      </c>
      <c r="H4625" t="str">
        <f>_xlfn.XLOOKUP(A4625,'[1]Tissue Data'!$A:$A,'[1]Tissue Data'!K:K)</f>
        <v>Muscle</v>
      </c>
      <c r="I4625">
        <f>_xlfn.XLOOKUP(A4625,'[1]Tissue Data'!$A:$A,'[1]Tissue Data'!L:L)</f>
        <v>13</v>
      </c>
      <c r="J4625">
        <f>_xlfn.XLOOKUP(A4625,'[1]Tissue Data'!$A:$A,'[1]Tissue Data'!M:M)</f>
        <v>40.79</v>
      </c>
      <c r="K4625" t="s">
        <v>35</v>
      </c>
      <c r="L4625" t="str">
        <f>_xlfn.XLOOKUP(K4625,[2]analyte_order!$B:$B,[2]analyte_order!$C:$C)</f>
        <v>30334-69-1</v>
      </c>
      <c r="M4625">
        <f>_xlfn.XLOOKUP(L4625,[2]analyte_order!$C:$C,[2]analyte_order!$E:$E)</f>
        <v>51</v>
      </c>
      <c r="N4625">
        <v>10.199999999999999</v>
      </c>
    </row>
    <row r="4626" spans="1:14">
      <c r="A4626" t="s">
        <v>272</v>
      </c>
      <c r="B4626" t="str">
        <f>_xlfn.XLOOKUP(A4626,'[1]Tissue Data'!$A:$A,'[1]Tissue Data'!$C:$C)</f>
        <v>Spill</v>
      </c>
      <c r="C4626" s="2">
        <f>_xlfn.XLOOKUP(A4626,'[1]Tissue Data'!$A:$A,'[1]Tissue Data'!$D:$D)</f>
        <v>44393</v>
      </c>
      <c r="D4626" s="2" t="str">
        <f>_xlfn.XLOOKUP(A4626,'[1]Tissue Data'!$A:$A,'[1]Tissue Data'!$F:$F)</f>
        <v>Pumpkinseed</v>
      </c>
      <c r="E4626" t="str">
        <f>_xlfn.XLOOKUP(A4626,'[1]Tissue Data'!$A:$A,'[1]Tissue Data'!$H:$H)</f>
        <v>Lepomis</v>
      </c>
      <c r="F4626" t="str">
        <f>_xlfn.XLOOKUP(A4626,'[1]Tissue Data'!$A:$A,'[1]Tissue Data'!$I:$I)</f>
        <v>gibbosus</v>
      </c>
      <c r="G4626" t="str">
        <f>_xlfn.XLOOKUP(A4626,'[1]Tissue Data'!$A:$A,'[1]Tissue Data'!J:J)</f>
        <v>M</v>
      </c>
      <c r="H4626" t="str">
        <f>_xlfn.XLOOKUP(A4626,'[1]Tissue Data'!$A:$A,'[1]Tissue Data'!K:K)</f>
        <v>Muscle</v>
      </c>
      <c r="I4626">
        <f>_xlfn.XLOOKUP(A4626,'[1]Tissue Data'!$A:$A,'[1]Tissue Data'!L:L)</f>
        <v>13</v>
      </c>
      <c r="J4626">
        <f>_xlfn.XLOOKUP(A4626,'[1]Tissue Data'!$A:$A,'[1]Tissue Data'!M:M)</f>
        <v>40.79</v>
      </c>
      <c r="K4626" t="s">
        <v>36</v>
      </c>
      <c r="L4626" t="str">
        <f>_xlfn.XLOOKUP(K4626,[2]analyte_order!$B:$B,[2]analyte_order!$C:$C)</f>
        <v>41997-13-1</v>
      </c>
      <c r="M4626">
        <f>_xlfn.XLOOKUP(L4626,[2]analyte_order!$C:$C,[2]analyte_order!$E:$E)</f>
        <v>52</v>
      </c>
      <c r="N4626">
        <v>36.700000000000003</v>
      </c>
    </row>
    <row r="4627" spans="1:14">
      <c r="A4627" t="s">
        <v>272</v>
      </c>
      <c r="B4627" t="str">
        <f>_xlfn.XLOOKUP(A4627,'[1]Tissue Data'!$A:$A,'[1]Tissue Data'!$C:$C)</f>
        <v>Spill</v>
      </c>
      <c r="C4627" s="2">
        <f>_xlfn.XLOOKUP(A4627,'[1]Tissue Data'!$A:$A,'[1]Tissue Data'!$D:$D)</f>
        <v>44393</v>
      </c>
      <c r="D4627" s="2" t="str">
        <f>_xlfn.XLOOKUP(A4627,'[1]Tissue Data'!$A:$A,'[1]Tissue Data'!$F:$F)</f>
        <v>Pumpkinseed</v>
      </c>
      <c r="E4627" t="str">
        <f>_xlfn.XLOOKUP(A4627,'[1]Tissue Data'!$A:$A,'[1]Tissue Data'!$H:$H)</f>
        <v>Lepomis</v>
      </c>
      <c r="F4627" t="str">
        <f>_xlfn.XLOOKUP(A4627,'[1]Tissue Data'!$A:$A,'[1]Tissue Data'!$I:$I)</f>
        <v>gibbosus</v>
      </c>
      <c r="G4627" t="str">
        <f>_xlfn.XLOOKUP(A4627,'[1]Tissue Data'!$A:$A,'[1]Tissue Data'!J:J)</f>
        <v>M</v>
      </c>
      <c r="H4627" t="str">
        <f>_xlfn.XLOOKUP(A4627,'[1]Tissue Data'!$A:$A,'[1]Tissue Data'!K:K)</f>
        <v>Muscle</v>
      </c>
      <c r="I4627">
        <f>_xlfn.XLOOKUP(A4627,'[1]Tissue Data'!$A:$A,'[1]Tissue Data'!L:L)</f>
        <v>13</v>
      </c>
      <c r="J4627">
        <f>_xlfn.XLOOKUP(A4627,'[1]Tissue Data'!$A:$A,'[1]Tissue Data'!M:M)</f>
        <v>40.79</v>
      </c>
      <c r="K4627" t="s">
        <v>37</v>
      </c>
      <c r="L4627" t="str">
        <f>_xlfn.XLOOKUP(K4627,[2]analyte_order!$B:$B,[2]analyte_order!$C:$C)</f>
        <v>754-91-6</v>
      </c>
      <c r="M4627">
        <f>_xlfn.XLOOKUP(L4627,[2]analyte_order!$C:$C,[2]analyte_order!$E:$E)</f>
        <v>28</v>
      </c>
      <c r="N4627">
        <v>12.2</v>
      </c>
    </row>
    <row r="4628" spans="1:14">
      <c r="A4628" t="s">
        <v>272</v>
      </c>
      <c r="B4628" t="str">
        <f>_xlfn.XLOOKUP(A4628,'[1]Tissue Data'!$A:$A,'[1]Tissue Data'!$C:$C)</f>
        <v>Spill</v>
      </c>
      <c r="C4628" s="2">
        <f>_xlfn.XLOOKUP(A4628,'[1]Tissue Data'!$A:$A,'[1]Tissue Data'!$D:$D)</f>
        <v>44393</v>
      </c>
      <c r="D4628" s="2" t="str">
        <f>_xlfn.XLOOKUP(A4628,'[1]Tissue Data'!$A:$A,'[1]Tissue Data'!$F:$F)</f>
        <v>Pumpkinseed</v>
      </c>
      <c r="E4628" t="str">
        <f>_xlfn.XLOOKUP(A4628,'[1]Tissue Data'!$A:$A,'[1]Tissue Data'!$H:$H)</f>
        <v>Lepomis</v>
      </c>
      <c r="F4628" t="str">
        <f>_xlfn.XLOOKUP(A4628,'[1]Tissue Data'!$A:$A,'[1]Tissue Data'!$I:$I)</f>
        <v>gibbosus</v>
      </c>
      <c r="G4628" t="str">
        <f>_xlfn.XLOOKUP(A4628,'[1]Tissue Data'!$A:$A,'[1]Tissue Data'!J:J)</f>
        <v>M</v>
      </c>
      <c r="H4628" t="str">
        <f>_xlfn.XLOOKUP(A4628,'[1]Tissue Data'!$A:$A,'[1]Tissue Data'!K:K)</f>
        <v>Muscle</v>
      </c>
      <c r="I4628">
        <f>_xlfn.XLOOKUP(A4628,'[1]Tissue Data'!$A:$A,'[1]Tissue Data'!L:L)</f>
        <v>13</v>
      </c>
      <c r="J4628">
        <f>_xlfn.XLOOKUP(A4628,'[1]Tissue Data'!$A:$A,'[1]Tissue Data'!M:M)</f>
        <v>40.79</v>
      </c>
      <c r="K4628" t="s">
        <v>38</v>
      </c>
      <c r="L4628" t="str">
        <f>_xlfn.XLOOKUP(K4628,[2]analyte_order!$B:$B,[2]analyte_order!$C:$C)</f>
        <v>31506-32-8</v>
      </c>
      <c r="M4628">
        <f>_xlfn.XLOOKUP(L4628,[2]analyte_order!$C:$C,[2]analyte_order!$E:$E)</f>
        <v>30</v>
      </c>
      <c r="N4628">
        <v>6.9500000000000006E-2</v>
      </c>
    </row>
    <row r="4629" spans="1:14">
      <c r="A4629" t="s">
        <v>272</v>
      </c>
      <c r="B4629" t="str">
        <f>_xlfn.XLOOKUP(A4629,'[1]Tissue Data'!$A:$A,'[1]Tissue Data'!$C:$C)</f>
        <v>Spill</v>
      </c>
      <c r="C4629" s="2">
        <f>_xlfn.XLOOKUP(A4629,'[1]Tissue Data'!$A:$A,'[1]Tissue Data'!$D:$D)</f>
        <v>44393</v>
      </c>
      <c r="D4629" s="2" t="str">
        <f>_xlfn.XLOOKUP(A4629,'[1]Tissue Data'!$A:$A,'[1]Tissue Data'!$F:$F)</f>
        <v>Pumpkinseed</v>
      </c>
      <c r="E4629" t="str">
        <f>_xlfn.XLOOKUP(A4629,'[1]Tissue Data'!$A:$A,'[1]Tissue Data'!$H:$H)</f>
        <v>Lepomis</v>
      </c>
      <c r="F4629" t="str">
        <f>_xlfn.XLOOKUP(A4629,'[1]Tissue Data'!$A:$A,'[1]Tissue Data'!$I:$I)</f>
        <v>gibbosus</v>
      </c>
      <c r="G4629" t="str">
        <f>_xlfn.XLOOKUP(A4629,'[1]Tissue Data'!$A:$A,'[1]Tissue Data'!J:J)</f>
        <v>M</v>
      </c>
      <c r="H4629" t="str">
        <f>_xlfn.XLOOKUP(A4629,'[1]Tissue Data'!$A:$A,'[1]Tissue Data'!K:K)</f>
        <v>Muscle</v>
      </c>
      <c r="I4629">
        <f>_xlfn.XLOOKUP(A4629,'[1]Tissue Data'!$A:$A,'[1]Tissue Data'!L:L)</f>
        <v>13</v>
      </c>
      <c r="J4629">
        <f>_xlfn.XLOOKUP(A4629,'[1]Tissue Data'!$A:$A,'[1]Tissue Data'!M:M)</f>
        <v>40.79</v>
      </c>
      <c r="K4629" t="s">
        <v>39</v>
      </c>
      <c r="L4629" t="str">
        <f>_xlfn.XLOOKUP(K4629,[2]analyte_order!$B:$B,[2]analyte_order!$C:$C)</f>
        <v>4151-50-2</v>
      </c>
      <c r="M4629">
        <f>_xlfn.XLOOKUP(L4629,[2]analyte_order!$C:$C,[2]analyte_order!$E:$E)</f>
        <v>31</v>
      </c>
      <c r="N4629">
        <v>8.1500000000000003E-2</v>
      </c>
    </row>
    <row r="4630" spans="1:14">
      <c r="A4630" t="s">
        <v>272</v>
      </c>
      <c r="B4630" t="str">
        <f>_xlfn.XLOOKUP(A4630,'[1]Tissue Data'!$A:$A,'[1]Tissue Data'!$C:$C)</f>
        <v>Spill</v>
      </c>
      <c r="C4630" s="2">
        <f>_xlfn.XLOOKUP(A4630,'[1]Tissue Data'!$A:$A,'[1]Tissue Data'!$D:$D)</f>
        <v>44393</v>
      </c>
      <c r="D4630" s="2" t="str">
        <f>_xlfn.XLOOKUP(A4630,'[1]Tissue Data'!$A:$A,'[1]Tissue Data'!$F:$F)</f>
        <v>Pumpkinseed</v>
      </c>
      <c r="E4630" t="str">
        <f>_xlfn.XLOOKUP(A4630,'[1]Tissue Data'!$A:$A,'[1]Tissue Data'!$H:$H)</f>
        <v>Lepomis</v>
      </c>
      <c r="F4630" t="str">
        <f>_xlfn.XLOOKUP(A4630,'[1]Tissue Data'!$A:$A,'[1]Tissue Data'!$I:$I)</f>
        <v>gibbosus</v>
      </c>
      <c r="G4630" t="str">
        <f>_xlfn.XLOOKUP(A4630,'[1]Tissue Data'!$A:$A,'[1]Tissue Data'!J:J)</f>
        <v>M</v>
      </c>
      <c r="H4630" t="str">
        <f>_xlfn.XLOOKUP(A4630,'[1]Tissue Data'!$A:$A,'[1]Tissue Data'!K:K)</f>
        <v>Muscle</v>
      </c>
      <c r="I4630">
        <f>_xlfn.XLOOKUP(A4630,'[1]Tissue Data'!$A:$A,'[1]Tissue Data'!L:L)</f>
        <v>13</v>
      </c>
      <c r="J4630">
        <f>_xlfn.XLOOKUP(A4630,'[1]Tissue Data'!$A:$A,'[1]Tissue Data'!M:M)</f>
        <v>40.79</v>
      </c>
      <c r="K4630" t="s">
        <v>40</v>
      </c>
      <c r="L4630" t="str">
        <f>_xlfn.XLOOKUP(K4630,[2]analyte_order!$B:$B,[2]analyte_order!$C:$C)</f>
        <v>2806-24-8</v>
      </c>
      <c r="M4630">
        <f>_xlfn.XLOOKUP(L4630,[2]analyte_order!$C:$C,[2]analyte_order!$E:$E)</f>
        <v>29</v>
      </c>
      <c r="N4630">
        <v>5.5E-2</v>
      </c>
    </row>
    <row r="4631" spans="1:14">
      <c r="A4631" t="s">
        <v>272</v>
      </c>
      <c r="B4631" t="str">
        <f>_xlfn.XLOOKUP(A4631,'[1]Tissue Data'!$A:$A,'[1]Tissue Data'!$C:$C)</f>
        <v>Spill</v>
      </c>
      <c r="C4631" s="2">
        <f>_xlfn.XLOOKUP(A4631,'[1]Tissue Data'!$A:$A,'[1]Tissue Data'!$D:$D)</f>
        <v>44393</v>
      </c>
      <c r="D4631" s="2" t="str">
        <f>_xlfn.XLOOKUP(A4631,'[1]Tissue Data'!$A:$A,'[1]Tissue Data'!$F:$F)</f>
        <v>Pumpkinseed</v>
      </c>
      <c r="E4631" t="str">
        <f>_xlfn.XLOOKUP(A4631,'[1]Tissue Data'!$A:$A,'[1]Tissue Data'!$H:$H)</f>
        <v>Lepomis</v>
      </c>
      <c r="F4631" t="str">
        <f>_xlfn.XLOOKUP(A4631,'[1]Tissue Data'!$A:$A,'[1]Tissue Data'!$I:$I)</f>
        <v>gibbosus</v>
      </c>
      <c r="G4631" t="str">
        <f>_xlfn.XLOOKUP(A4631,'[1]Tissue Data'!$A:$A,'[1]Tissue Data'!J:J)</f>
        <v>M</v>
      </c>
      <c r="H4631" t="str">
        <f>_xlfn.XLOOKUP(A4631,'[1]Tissue Data'!$A:$A,'[1]Tissue Data'!K:K)</f>
        <v>Muscle</v>
      </c>
      <c r="I4631">
        <f>_xlfn.XLOOKUP(A4631,'[1]Tissue Data'!$A:$A,'[1]Tissue Data'!L:L)</f>
        <v>13</v>
      </c>
      <c r="J4631">
        <f>_xlfn.XLOOKUP(A4631,'[1]Tissue Data'!$A:$A,'[1]Tissue Data'!M:M)</f>
        <v>40.79</v>
      </c>
      <c r="K4631" t="s">
        <v>41</v>
      </c>
      <c r="L4631" t="str">
        <f>_xlfn.XLOOKUP(K4631,[2]analyte_order!$B:$B,[2]analyte_order!$C:$C)</f>
        <v>2355-31-9</v>
      </c>
      <c r="M4631">
        <f>_xlfn.XLOOKUP(L4631,[2]analyte_order!$C:$C,[2]analyte_order!$E:$E)</f>
        <v>26</v>
      </c>
      <c r="N4631">
        <v>7.0000000000000007E-2</v>
      </c>
    </row>
    <row r="4632" spans="1:14">
      <c r="A4632" t="s">
        <v>272</v>
      </c>
      <c r="B4632" t="str">
        <f>_xlfn.XLOOKUP(A4632,'[1]Tissue Data'!$A:$A,'[1]Tissue Data'!$C:$C)</f>
        <v>Spill</v>
      </c>
      <c r="C4632" s="2">
        <f>_xlfn.XLOOKUP(A4632,'[1]Tissue Data'!$A:$A,'[1]Tissue Data'!$D:$D)</f>
        <v>44393</v>
      </c>
      <c r="D4632" s="2" t="str">
        <f>_xlfn.XLOOKUP(A4632,'[1]Tissue Data'!$A:$A,'[1]Tissue Data'!$F:$F)</f>
        <v>Pumpkinseed</v>
      </c>
      <c r="E4632" t="str">
        <f>_xlfn.XLOOKUP(A4632,'[1]Tissue Data'!$A:$A,'[1]Tissue Data'!$H:$H)</f>
        <v>Lepomis</v>
      </c>
      <c r="F4632" t="str">
        <f>_xlfn.XLOOKUP(A4632,'[1]Tissue Data'!$A:$A,'[1]Tissue Data'!$I:$I)</f>
        <v>gibbosus</v>
      </c>
      <c r="G4632" t="str">
        <f>_xlfn.XLOOKUP(A4632,'[1]Tissue Data'!$A:$A,'[1]Tissue Data'!J:J)</f>
        <v>M</v>
      </c>
      <c r="H4632" t="str">
        <f>_xlfn.XLOOKUP(A4632,'[1]Tissue Data'!$A:$A,'[1]Tissue Data'!K:K)</f>
        <v>Muscle</v>
      </c>
      <c r="I4632">
        <f>_xlfn.XLOOKUP(A4632,'[1]Tissue Data'!$A:$A,'[1]Tissue Data'!L:L)</f>
        <v>13</v>
      </c>
      <c r="J4632">
        <f>_xlfn.XLOOKUP(A4632,'[1]Tissue Data'!$A:$A,'[1]Tissue Data'!M:M)</f>
        <v>40.79</v>
      </c>
      <c r="K4632" t="s">
        <v>42</v>
      </c>
      <c r="L4632" t="str">
        <f>_xlfn.XLOOKUP(K4632,[2]analyte_order!$B:$B,[2]analyte_order!$C:$C)</f>
        <v>2991-50-6</v>
      </c>
      <c r="M4632">
        <f>_xlfn.XLOOKUP(L4632,[2]analyte_order!$C:$C,[2]analyte_order!$E:$E)</f>
        <v>27</v>
      </c>
      <c r="N4632">
        <v>6.0499999999999998E-2</v>
      </c>
    </row>
    <row r="4633" spans="1:14">
      <c r="A4633" t="s">
        <v>272</v>
      </c>
      <c r="B4633" t="str">
        <f>_xlfn.XLOOKUP(A4633,'[1]Tissue Data'!$A:$A,'[1]Tissue Data'!$C:$C)</f>
        <v>Spill</v>
      </c>
      <c r="C4633" s="2">
        <f>_xlfn.XLOOKUP(A4633,'[1]Tissue Data'!$A:$A,'[1]Tissue Data'!$D:$D)</f>
        <v>44393</v>
      </c>
      <c r="D4633" s="2" t="str">
        <f>_xlfn.XLOOKUP(A4633,'[1]Tissue Data'!$A:$A,'[1]Tissue Data'!$F:$F)</f>
        <v>Pumpkinseed</v>
      </c>
      <c r="E4633" t="str">
        <f>_xlfn.XLOOKUP(A4633,'[1]Tissue Data'!$A:$A,'[1]Tissue Data'!$H:$H)</f>
        <v>Lepomis</v>
      </c>
      <c r="F4633" t="str">
        <f>_xlfn.XLOOKUP(A4633,'[1]Tissue Data'!$A:$A,'[1]Tissue Data'!$I:$I)</f>
        <v>gibbosus</v>
      </c>
      <c r="G4633" t="str">
        <f>_xlfn.XLOOKUP(A4633,'[1]Tissue Data'!$A:$A,'[1]Tissue Data'!J:J)</f>
        <v>M</v>
      </c>
      <c r="H4633" t="str">
        <f>_xlfn.XLOOKUP(A4633,'[1]Tissue Data'!$A:$A,'[1]Tissue Data'!K:K)</f>
        <v>Muscle</v>
      </c>
      <c r="I4633">
        <f>_xlfn.XLOOKUP(A4633,'[1]Tissue Data'!$A:$A,'[1]Tissue Data'!L:L)</f>
        <v>13</v>
      </c>
      <c r="J4633">
        <f>_xlfn.XLOOKUP(A4633,'[1]Tissue Data'!$A:$A,'[1]Tissue Data'!M:M)</f>
        <v>40.79</v>
      </c>
      <c r="K4633" t="s">
        <v>43</v>
      </c>
      <c r="L4633" t="str">
        <f>_xlfn.XLOOKUP(K4633,[2]analyte_order!$B:$B,[2]analyte_order!$C:$C)</f>
        <v>757124-72-4</v>
      </c>
      <c r="M4633">
        <f>_xlfn.XLOOKUP(L4633,[2]analyte_order!$C:$C,[2]analyte_order!$E:$E)</f>
        <v>22</v>
      </c>
      <c r="N4633">
        <v>6.9500000000000006E-2</v>
      </c>
    </row>
    <row r="4634" spans="1:14">
      <c r="A4634" t="s">
        <v>272</v>
      </c>
      <c r="B4634" t="str">
        <f>_xlfn.XLOOKUP(A4634,'[1]Tissue Data'!$A:$A,'[1]Tissue Data'!$C:$C)</f>
        <v>Spill</v>
      </c>
      <c r="C4634" s="2">
        <f>_xlfn.XLOOKUP(A4634,'[1]Tissue Data'!$A:$A,'[1]Tissue Data'!$D:$D)</f>
        <v>44393</v>
      </c>
      <c r="D4634" s="2" t="str">
        <f>_xlfn.XLOOKUP(A4634,'[1]Tissue Data'!$A:$A,'[1]Tissue Data'!$F:$F)</f>
        <v>Pumpkinseed</v>
      </c>
      <c r="E4634" t="str">
        <f>_xlfn.XLOOKUP(A4634,'[1]Tissue Data'!$A:$A,'[1]Tissue Data'!$H:$H)</f>
        <v>Lepomis</v>
      </c>
      <c r="F4634" t="str">
        <f>_xlfn.XLOOKUP(A4634,'[1]Tissue Data'!$A:$A,'[1]Tissue Data'!$I:$I)</f>
        <v>gibbosus</v>
      </c>
      <c r="G4634" t="str">
        <f>_xlfn.XLOOKUP(A4634,'[1]Tissue Data'!$A:$A,'[1]Tissue Data'!J:J)</f>
        <v>M</v>
      </c>
      <c r="H4634" t="str">
        <f>_xlfn.XLOOKUP(A4634,'[1]Tissue Data'!$A:$A,'[1]Tissue Data'!K:K)</f>
        <v>Muscle</v>
      </c>
      <c r="I4634">
        <f>_xlfn.XLOOKUP(A4634,'[1]Tissue Data'!$A:$A,'[1]Tissue Data'!L:L)</f>
        <v>13</v>
      </c>
      <c r="J4634">
        <f>_xlfn.XLOOKUP(A4634,'[1]Tissue Data'!$A:$A,'[1]Tissue Data'!M:M)</f>
        <v>40.79</v>
      </c>
      <c r="K4634" t="s">
        <v>44</v>
      </c>
      <c r="L4634" t="str">
        <f>_xlfn.XLOOKUP(K4634,[2]analyte_order!$B:$B,[2]analyte_order!$C:$C)</f>
        <v>27619-97-2</v>
      </c>
      <c r="M4634">
        <f>_xlfn.XLOOKUP(L4634,[2]analyte_order!$C:$C,[2]analyte_order!$E:$E)</f>
        <v>23</v>
      </c>
      <c r="N4634">
        <v>0.13900000000000001</v>
      </c>
    </row>
    <row r="4635" spans="1:14">
      <c r="A4635" t="s">
        <v>272</v>
      </c>
      <c r="B4635" t="str">
        <f>_xlfn.XLOOKUP(A4635,'[1]Tissue Data'!$A:$A,'[1]Tissue Data'!$C:$C)</f>
        <v>Spill</v>
      </c>
      <c r="C4635" s="2">
        <f>_xlfn.XLOOKUP(A4635,'[1]Tissue Data'!$A:$A,'[1]Tissue Data'!$D:$D)</f>
        <v>44393</v>
      </c>
      <c r="D4635" s="2" t="str">
        <f>_xlfn.XLOOKUP(A4635,'[1]Tissue Data'!$A:$A,'[1]Tissue Data'!$F:$F)</f>
        <v>Pumpkinseed</v>
      </c>
      <c r="E4635" t="str">
        <f>_xlfn.XLOOKUP(A4635,'[1]Tissue Data'!$A:$A,'[1]Tissue Data'!$H:$H)</f>
        <v>Lepomis</v>
      </c>
      <c r="F4635" t="str">
        <f>_xlfn.XLOOKUP(A4635,'[1]Tissue Data'!$A:$A,'[1]Tissue Data'!$I:$I)</f>
        <v>gibbosus</v>
      </c>
      <c r="G4635" t="str">
        <f>_xlfn.XLOOKUP(A4635,'[1]Tissue Data'!$A:$A,'[1]Tissue Data'!J:J)</f>
        <v>M</v>
      </c>
      <c r="H4635" t="str">
        <f>_xlfn.XLOOKUP(A4635,'[1]Tissue Data'!$A:$A,'[1]Tissue Data'!K:K)</f>
        <v>Muscle</v>
      </c>
      <c r="I4635">
        <f>_xlfn.XLOOKUP(A4635,'[1]Tissue Data'!$A:$A,'[1]Tissue Data'!L:L)</f>
        <v>13</v>
      </c>
      <c r="J4635">
        <f>_xlfn.XLOOKUP(A4635,'[1]Tissue Data'!$A:$A,'[1]Tissue Data'!M:M)</f>
        <v>40.79</v>
      </c>
      <c r="K4635" t="s">
        <v>45</v>
      </c>
      <c r="L4635" t="str">
        <f>_xlfn.XLOOKUP(K4635,[2]analyte_order!$B:$B,[2]analyte_order!$C:$C)</f>
        <v>39108-34-4</v>
      </c>
      <c r="M4635">
        <f>_xlfn.XLOOKUP(L4635,[2]analyte_order!$C:$C,[2]analyte_order!$E:$E)</f>
        <v>24</v>
      </c>
      <c r="N4635">
        <v>0.745</v>
      </c>
    </row>
    <row r="4636" spans="1:14">
      <c r="A4636" t="s">
        <v>272</v>
      </c>
      <c r="B4636" t="str">
        <f>_xlfn.XLOOKUP(A4636,'[1]Tissue Data'!$A:$A,'[1]Tissue Data'!$C:$C)</f>
        <v>Spill</v>
      </c>
      <c r="C4636" s="2">
        <f>_xlfn.XLOOKUP(A4636,'[1]Tissue Data'!$A:$A,'[1]Tissue Data'!$D:$D)</f>
        <v>44393</v>
      </c>
      <c r="D4636" s="2" t="str">
        <f>_xlfn.XLOOKUP(A4636,'[1]Tissue Data'!$A:$A,'[1]Tissue Data'!$F:$F)</f>
        <v>Pumpkinseed</v>
      </c>
      <c r="E4636" t="str">
        <f>_xlfn.XLOOKUP(A4636,'[1]Tissue Data'!$A:$A,'[1]Tissue Data'!$H:$H)</f>
        <v>Lepomis</v>
      </c>
      <c r="F4636" t="str">
        <f>_xlfn.XLOOKUP(A4636,'[1]Tissue Data'!$A:$A,'[1]Tissue Data'!$I:$I)</f>
        <v>gibbosus</v>
      </c>
      <c r="G4636" t="str">
        <f>_xlfn.XLOOKUP(A4636,'[1]Tissue Data'!$A:$A,'[1]Tissue Data'!J:J)</f>
        <v>M</v>
      </c>
      <c r="H4636" t="str">
        <f>_xlfn.XLOOKUP(A4636,'[1]Tissue Data'!$A:$A,'[1]Tissue Data'!K:K)</f>
        <v>Muscle</v>
      </c>
      <c r="I4636">
        <f>_xlfn.XLOOKUP(A4636,'[1]Tissue Data'!$A:$A,'[1]Tissue Data'!L:L)</f>
        <v>13</v>
      </c>
      <c r="J4636">
        <f>_xlfn.XLOOKUP(A4636,'[1]Tissue Data'!$A:$A,'[1]Tissue Data'!M:M)</f>
        <v>40.79</v>
      </c>
      <c r="K4636" t="s">
        <v>46</v>
      </c>
      <c r="L4636" t="str">
        <f>_xlfn.XLOOKUP(K4636,[2]analyte_order!$B:$B,[2]analyte_order!$C:$C)</f>
        <v>120226-60-0</v>
      </c>
      <c r="M4636">
        <f>_xlfn.XLOOKUP(L4636,[2]analyte_order!$C:$C,[2]analyte_order!$E:$E)</f>
        <v>25</v>
      </c>
      <c r="N4636">
        <v>0.26150000000000001</v>
      </c>
    </row>
    <row r="4637" spans="1:14">
      <c r="A4637" t="s">
        <v>272</v>
      </c>
      <c r="B4637" t="str">
        <f>_xlfn.XLOOKUP(A4637,'[1]Tissue Data'!$A:$A,'[1]Tissue Data'!$C:$C)</f>
        <v>Spill</v>
      </c>
      <c r="C4637" s="2">
        <f>_xlfn.XLOOKUP(A4637,'[1]Tissue Data'!$A:$A,'[1]Tissue Data'!$D:$D)</f>
        <v>44393</v>
      </c>
      <c r="D4637" s="2" t="str">
        <f>_xlfn.XLOOKUP(A4637,'[1]Tissue Data'!$A:$A,'[1]Tissue Data'!$F:$F)</f>
        <v>Pumpkinseed</v>
      </c>
      <c r="E4637" t="str">
        <f>_xlfn.XLOOKUP(A4637,'[1]Tissue Data'!$A:$A,'[1]Tissue Data'!$H:$H)</f>
        <v>Lepomis</v>
      </c>
      <c r="F4637" t="str">
        <f>_xlfn.XLOOKUP(A4637,'[1]Tissue Data'!$A:$A,'[1]Tissue Data'!$I:$I)</f>
        <v>gibbosus</v>
      </c>
      <c r="G4637" t="str">
        <f>_xlfn.XLOOKUP(A4637,'[1]Tissue Data'!$A:$A,'[1]Tissue Data'!J:J)</f>
        <v>M</v>
      </c>
      <c r="H4637" t="str">
        <f>_xlfn.XLOOKUP(A4637,'[1]Tissue Data'!$A:$A,'[1]Tissue Data'!K:K)</f>
        <v>Muscle</v>
      </c>
      <c r="I4637">
        <f>_xlfn.XLOOKUP(A4637,'[1]Tissue Data'!$A:$A,'[1]Tissue Data'!L:L)</f>
        <v>13</v>
      </c>
      <c r="J4637">
        <f>_xlfn.XLOOKUP(A4637,'[1]Tissue Data'!$A:$A,'[1]Tissue Data'!M:M)</f>
        <v>40.79</v>
      </c>
      <c r="K4637" t="s">
        <v>47</v>
      </c>
      <c r="L4637" t="str">
        <f>_xlfn.XLOOKUP(K4637,[2]analyte_order!$B:$B,[2]analyte_order!$C:$C)</f>
        <v>356-02-5</v>
      </c>
      <c r="M4637">
        <f>_xlfn.XLOOKUP(L4637,[2]analyte_order!$C:$C,[2]analyte_order!$E:$E)</f>
        <v>38</v>
      </c>
      <c r="N4637">
        <v>8.0500000000000002E-2</v>
      </c>
    </row>
    <row r="4638" spans="1:14">
      <c r="A4638" t="s">
        <v>272</v>
      </c>
      <c r="B4638" t="str">
        <f>_xlfn.XLOOKUP(A4638,'[1]Tissue Data'!$A:$A,'[1]Tissue Data'!$C:$C)</f>
        <v>Spill</v>
      </c>
      <c r="C4638" s="2">
        <f>_xlfn.XLOOKUP(A4638,'[1]Tissue Data'!$A:$A,'[1]Tissue Data'!$D:$D)</f>
        <v>44393</v>
      </c>
      <c r="D4638" s="2" t="str">
        <f>_xlfn.XLOOKUP(A4638,'[1]Tissue Data'!$A:$A,'[1]Tissue Data'!$F:$F)</f>
        <v>Pumpkinseed</v>
      </c>
      <c r="E4638" t="str">
        <f>_xlfn.XLOOKUP(A4638,'[1]Tissue Data'!$A:$A,'[1]Tissue Data'!$H:$H)</f>
        <v>Lepomis</v>
      </c>
      <c r="F4638" t="str">
        <f>_xlfn.XLOOKUP(A4638,'[1]Tissue Data'!$A:$A,'[1]Tissue Data'!$I:$I)</f>
        <v>gibbosus</v>
      </c>
      <c r="G4638" t="str">
        <f>_xlfn.XLOOKUP(A4638,'[1]Tissue Data'!$A:$A,'[1]Tissue Data'!J:J)</f>
        <v>M</v>
      </c>
      <c r="H4638" t="str">
        <f>_xlfn.XLOOKUP(A4638,'[1]Tissue Data'!$A:$A,'[1]Tissue Data'!K:K)</f>
        <v>Muscle</v>
      </c>
      <c r="I4638">
        <f>_xlfn.XLOOKUP(A4638,'[1]Tissue Data'!$A:$A,'[1]Tissue Data'!L:L)</f>
        <v>13</v>
      </c>
      <c r="J4638">
        <f>_xlfn.XLOOKUP(A4638,'[1]Tissue Data'!$A:$A,'[1]Tissue Data'!M:M)</f>
        <v>40.79</v>
      </c>
      <c r="K4638" t="s">
        <v>48</v>
      </c>
      <c r="L4638" t="str">
        <f>_xlfn.XLOOKUP(K4638,[2]analyte_order!$B:$B,[2]analyte_order!$C:$C)</f>
        <v>914637-49-3</v>
      </c>
      <c r="M4638">
        <f>_xlfn.XLOOKUP(L4638,[2]analyte_order!$C:$C,[2]analyte_order!$E:$E)</f>
        <v>39</v>
      </c>
      <c r="N4638">
        <v>0.17349999999999999</v>
      </c>
    </row>
    <row r="4639" spans="1:14">
      <c r="A4639" t="s">
        <v>272</v>
      </c>
      <c r="B4639" t="str">
        <f>_xlfn.XLOOKUP(A4639,'[1]Tissue Data'!$A:$A,'[1]Tissue Data'!$C:$C)</f>
        <v>Spill</v>
      </c>
      <c r="C4639" s="2">
        <f>_xlfn.XLOOKUP(A4639,'[1]Tissue Data'!$A:$A,'[1]Tissue Data'!$D:$D)</f>
        <v>44393</v>
      </c>
      <c r="D4639" s="2" t="str">
        <f>_xlfn.XLOOKUP(A4639,'[1]Tissue Data'!$A:$A,'[1]Tissue Data'!$F:$F)</f>
        <v>Pumpkinseed</v>
      </c>
      <c r="E4639" t="str">
        <f>_xlfn.XLOOKUP(A4639,'[1]Tissue Data'!$A:$A,'[1]Tissue Data'!$H:$H)</f>
        <v>Lepomis</v>
      </c>
      <c r="F4639" t="str">
        <f>_xlfn.XLOOKUP(A4639,'[1]Tissue Data'!$A:$A,'[1]Tissue Data'!$I:$I)</f>
        <v>gibbosus</v>
      </c>
      <c r="G4639" t="str">
        <f>_xlfn.XLOOKUP(A4639,'[1]Tissue Data'!$A:$A,'[1]Tissue Data'!J:J)</f>
        <v>M</v>
      </c>
      <c r="H4639" t="str">
        <f>_xlfn.XLOOKUP(A4639,'[1]Tissue Data'!$A:$A,'[1]Tissue Data'!K:K)</f>
        <v>Muscle</v>
      </c>
      <c r="I4639">
        <f>_xlfn.XLOOKUP(A4639,'[1]Tissue Data'!$A:$A,'[1]Tissue Data'!L:L)</f>
        <v>13</v>
      </c>
      <c r="J4639">
        <f>_xlfn.XLOOKUP(A4639,'[1]Tissue Data'!$A:$A,'[1]Tissue Data'!M:M)</f>
        <v>40.79</v>
      </c>
      <c r="K4639" t="s">
        <v>49</v>
      </c>
      <c r="L4639" t="str">
        <f>_xlfn.XLOOKUP(K4639,[2]analyte_order!$B:$B,[2]analyte_order!$C:$C)</f>
        <v>812-70-4</v>
      </c>
      <c r="M4639">
        <f>_xlfn.XLOOKUP(L4639,[2]analyte_order!$C:$C,[2]analyte_order!$E:$E)</f>
        <v>40</v>
      </c>
      <c r="N4639">
        <v>3.87</v>
      </c>
    </row>
    <row r="4640" spans="1:14">
      <c r="A4640" t="s">
        <v>272</v>
      </c>
      <c r="B4640" t="str">
        <f>_xlfn.XLOOKUP(A4640,'[1]Tissue Data'!$A:$A,'[1]Tissue Data'!$C:$C)</f>
        <v>Spill</v>
      </c>
      <c r="C4640" s="2">
        <f>_xlfn.XLOOKUP(A4640,'[1]Tissue Data'!$A:$A,'[1]Tissue Data'!$D:$D)</f>
        <v>44393</v>
      </c>
      <c r="D4640" s="2" t="str">
        <f>_xlfn.XLOOKUP(A4640,'[1]Tissue Data'!$A:$A,'[1]Tissue Data'!$F:$F)</f>
        <v>Pumpkinseed</v>
      </c>
      <c r="E4640" t="str">
        <f>_xlfn.XLOOKUP(A4640,'[1]Tissue Data'!$A:$A,'[1]Tissue Data'!$H:$H)</f>
        <v>Lepomis</v>
      </c>
      <c r="F4640" t="str">
        <f>_xlfn.XLOOKUP(A4640,'[1]Tissue Data'!$A:$A,'[1]Tissue Data'!$I:$I)</f>
        <v>gibbosus</v>
      </c>
      <c r="G4640" t="str">
        <f>_xlfn.XLOOKUP(A4640,'[1]Tissue Data'!$A:$A,'[1]Tissue Data'!J:J)</f>
        <v>M</v>
      </c>
      <c r="H4640" t="str">
        <f>_xlfn.XLOOKUP(A4640,'[1]Tissue Data'!$A:$A,'[1]Tissue Data'!K:K)</f>
        <v>Muscle</v>
      </c>
      <c r="I4640">
        <f>_xlfn.XLOOKUP(A4640,'[1]Tissue Data'!$A:$A,'[1]Tissue Data'!L:L)</f>
        <v>13</v>
      </c>
      <c r="J4640">
        <f>_xlfn.XLOOKUP(A4640,'[1]Tissue Data'!$A:$A,'[1]Tissue Data'!M:M)</f>
        <v>40.79</v>
      </c>
      <c r="K4640" t="s">
        <v>50</v>
      </c>
      <c r="L4640" t="str">
        <f>_xlfn.XLOOKUP(K4640,[2]analyte_order!$B:$B,[2]analyte_order!$C:$C)</f>
        <v>53826-12-3</v>
      </c>
      <c r="M4640">
        <f>_xlfn.XLOOKUP(L4640,[2]analyte_order!$C:$C,[2]analyte_order!$E:$E)</f>
        <v>41</v>
      </c>
      <c r="N4640">
        <v>0.23</v>
      </c>
    </row>
    <row r="4641" spans="1:14">
      <c r="A4641" t="s">
        <v>272</v>
      </c>
      <c r="B4641" t="str">
        <f>_xlfn.XLOOKUP(A4641,'[1]Tissue Data'!$A:$A,'[1]Tissue Data'!$C:$C)</f>
        <v>Spill</v>
      </c>
      <c r="C4641" s="2">
        <f>_xlfn.XLOOKUP(A4641,'[1]Tissue Data'!$A:$A,'[1]Tissue Data'!$D:$D)</f>
        <v>44393</v>
      </c>
      <c r="D4641" s="2" t="str">
        <f>_xlfn.XLOOKUP(A4641,'[1]Tissue Data'!$A:$A,'[1]Tissue Data'!$F:$F)</f>
        <v>Pumpkinseed</v>
      </c>
      <c r="E4641" t="str">
        <f>_xlfn.XLOOKUP(A4641,'[1]Tissue Data'!$A:$A,'[1]Tissue Data'!$H:$H)</f>
        <v>Lepomis</v>
      </c>
      <c r="F4641" t="str">
        <f>_xlfn.XLOOKUP(A4641,'[1]Tissue Data'!$A:$A,'[1]Tissue Data'!$I:$I)</f>
        <v>gibbosus</v>
      </c>
      <c r="G4641" t="str">
        <f>_xlfn.XLOOKUP(A4641,'[1]Tissue Data'!$A:$A,'[1]Tissue Data'!J:J)</f>
        <v>M</v>
      </c>
      <c r="H4641" t="str">
        <f>_xlfn.XLOOKUP(A4641,'[1]Tissue Data'!$A:$A,'[1]Tissue Data'!K:K)</f>
        <v>Muscle</v>
      </c>
      <c r="I4641">
        <f>_xlfn.XLOOKUP(A4641,'[1]Tissue Data'!$A:$A,'[1]Tissue Data'!L:L)</f>
        <v>13</v>
      </c>
      <c r="J4641">
        <f>_xlfn.XLOOKUP(A4641,'[1]Tissue Data'!$A:$A,'[1]Tissue Data'!M:M)</f>
        <v>40.79</v>
      </c>
      <c r="K4641" t="s">
        <v>51</v>
      </c>
      <c r="L4641" t="str">
        <f>_xlfn.XLOOKUP(K4641,[2]analyte_order!$B:$B,[2]analyte_order!$C:$C)</f>
        <v>27854-31-5</v>
      </c>
      <c r="M4641">
        <f>_xlfn.XLOOKUP(L4641,[2]analyte_order!$C:$C,[2]analyte_order!$E:$E)</f>
        <v>42</v>
      </c>
      <c r="N4641">
        <v>6.9500000000000006E-2</v>
      </c>
    </row>
    <row r="4642" spans="1:14">
      <c r="A4642" t="s">
        <v>272</v>
      </c>
      <c r="B4642" t="str">
        <f>_xlfn.XLOOKUP(A4642,'[1]Tissue Data'!$A:$A,'[1]Tissue Data'!$C:$C)</f>
        <v>Spill</v>
      </c>
      <c r="C4642" s="2">
        <f>_xlfn.XLOOKUP(A4642,'[1]Tissue Data'!$A:$A,'[1]Tissue Data'!$D:$D)</f>
        <v>44393</v>
      </c>
      <c r="D4642" s="2" t="str">
        <f>_xlfn.XLOOKUP(A4642,'[1]Tissue Data'!$A:$A,'[1]Tissue Data'!$F:$F)</f>
        <v>Pumpkinseed</v>
      </c>
      <c r="E4642" t="str">
        <f>_xlfn.XLOOKUP(A4642,'[1]Tissue Data'!$A:$A,'[1]Tissue Data'!$H:$H)</f>
        <v>Lepomis</v>
      </c>
      <c r="F4642" t="str">
        <f>_xlfn.XLOOKUP(A4642,'[1]Tissue Data'!$A:$A,'[1]Tissue Data'!$I:$I)</f>
        <v>gibbosus</v>
      </c>
      <c r="G4642" t="str">
        <f>_xlfn.XLOOKUP(A4642,'[1]Tissue Data'!$A:$A,'[1]Tissue Data'!J:J)</f>
        <v>M</v>
      </c>
      <c r="H4642" t="str">
        <f>_xlfn.XLOOKUP(A4642,'[1]Tissue Data'!$A:$A,'[1]Tissue Data'!K:K)</f>
        <v>Muscle</v>
      </c>
      <c r="I4642">
        <f>_xlfn.XLOOKUP(A4642,'[1]Tissue Data'!$A:$A,'[1]Tissue Data'!L:L)</f>
        <v>13</v>
      </c>
      <c r="J4642">
        <f>_xlfn.XLOOKUP(A4642,'[1]Tissue Data'!$A:$A,'[1]Tissue Data'!M:M)</f>
        <v>40.79</v>
      </c>
      <c r="K4642" t="s">
        <v>52</v>
      </c>
      <c r="L4642" t="str">
        <f>_xlfn.XLOOKUP(K4642,[2]analyte_order!$B:$B,[2]analyte_order!$C:$C)</f>
        <v>53826-13-4</v>
      </c>
      <c r="M4642">
        <f>_xlfn.XLOOKUP(L4642,[2]analyte_order!$C:$C,[2]analyte_order!$E:$E)</f>
        <v>43</v>
      </c>
      <c r="N4642">
        <v>0.104</v>
      </c>
    </row>
    <row r="4643" spans="1:14">
      <c r="A4643" t="s">
        <v>272</v>
      </c>
      <c r="B4643" t="str">
        <f>_xlfn.XLOOKUP(A4643,'[1]Tissue Data'!$A:$A,'[1]Tissue Data'!$C:$C)</f>
        <v>Spill</v>
      </c>
      <c r="C4643" s="2">
        <f>_xlfn.XLOOKUP(A4643,'[1]Tissue Data'!$A:$A,'[1]Tissue Data'!$D:$D)</f>
        <v>44393</v>
      </c>
      <c r="D4643" s="2" t="str">
        <f>_xlfn.XLOOKUP(A4643,'[1]Tissue Data'!$A:$A,'[1]Tissue Data'!$F:$F)</f>
        <v>Pumpkinseed</v>
      </c>
      <c r="E4643" t="str">
        <f>_xlfn.XLOOKUP(A4643,'[1]Tissue Data'!$A:$A,'[1]Tissue Data'!$H:$H)</f>
        <v>Lepomis</v>
      </c>
      <c r="F4643" t="str">
        <f>_xlfn.XLOOKUP(A4643,'[1]Tissue Data'!$A:$A,'[1]Tissue Data'!$I:$I)</f>
        <v>gibbosus</v>
      </c>
      <c r="G4643" t="str">
        <f>_xlfn.XLOOKUP(A4643,'[1]Tissue Data'!$A:$A,'[1]Tissue Data'!J:J)</f>
        <v>M</v>
      </c>
      <c r="H4643" t="str">
        <f>_xlfn.XLOOKUP(A4643,'[1]Tissue Data'!$A:$A,'[1]Tissue Data'!K:K)</f>
        <v>Muscle</v>
      </c>
      <c r="I4643">
        <f>_xlfn.XLOOKUP(A4643,'[1]Tissue Data'!$A:$A,'[1]Tissue Data'!L:L)</f>
        <v>13</v>
      </c>
      <c r="J4643">
        <f>_xlfn.XLOOKUP(A4643,'[1]Tissue Data'!$A:$A,'[1]Tissue Data'!M:M)</f>
        <v>40.79</v>
      </c>
      <c r="K4643" t="s">
        <v>53</v>
      </c>
      <c r="L4643" t="str">
        <f>_xlfn.XLOOKUP(K4643,[2]analyte_order!$B:$B,[2]analyte_order!$C:$C)</f>
        <v>161094-75-3</v>
      </c>
      <c r="M4643">
        <f>_xlfn.XLOOKUP(L4643,[2]analyte_order!$C:$C,[2]analyte_order!$E:$E)</f>
        <v>44</v>
      </c>
      <c r="N4643">
        <v>5.5E-2</v>
      </c>
    </row>
    <row r="4644" spans="1:14">
      <c r="A4644" t="s">
        <v>272</v>
      </c>
      <c r="B4644" t="str">
        <f>_xlfn.XLOOKUP(A4644,'[1]Tissue Data'!$A:$A,'[1]Tissue Data'!$C:$C)</f>
        <v>Spill</v>
      </c>
      <c r="C4644" s="2">
        <f>_xlfn.XLOOKUP(A4644,'[1]Tissue Data'!$A:$A,'[1]Tissue Data'!$D:$D)</f>
        <v>44393</v>
      </c>
      <c r="D4644" s="2" t="str">
        <f>_xlfn.XLOOKUP(A4644,'[1]Tissue Data'!$A:$A,'[1]Tissue Data'!$F:$F)</f>
        <v>Pumpkinseed</v>
      </c>
      <c r="E4644" t="str">
        <f>_xlfn.XLOOKUP(A4644,'[1]Tissue Data'!$A:$A,'[1]Tissue Data'!$H:$H)</f>
        <v>Lepomis</v>
      </c>
      <c r="F4644" t="str">
        <f>_xlfn.XLOOKUP(A4644,'[1]Tissue Data'!$A:$A,'[1]Tissue Data'!$I:$I)</f>
        <v>gibbosus</v>
      </c>
      <c r="G4644" t="str">
        <f>_xlfn.XLOOKUP(A4644,'[1]Tissue Data'!$A:$A,'[1]Tissue Data'!J:J)</f>
        <v>M</v>
      </c>
      <c r="H4644" t="str">
        <f>_xlfn.XLOOKUP(A4644,'[1]Tissue Data'!$A:$A,'[1]Tissue Data'!K:K)</f>
        <v>Muscle</v>
      </c>
      <c r="I4644">
        <f>_xlfn.XLOOKUP(A4644,'[1]Tissue Data'!$A:$A,'[1]Tissue Data'!L:L)</f>
        <v>13</v>
      </c>
      <c r="J4644">
        <f>_xlfn.XLOOKUP(A4644,'[1]Tissue Data'!$A:$A,'[1]Tissue Data'!M:M)</f>
        <v>40.79</v>
      </c>
      <c r="K4644" t="s">
        <v>54</v>
      </c>
      <c r="L4644" t="str">
        <f>_xlfn.XLOOKUP(K4644,[2]analyte_order!$B:$B,[2]analyte_order!$C:$C)</f>
        <v>70887-84-2</v>
      </c>
      <c r="M4644">
        <f>_xlfn.XLOOKUP(L4644,[2]analyte_order!$C:$C,[2]analyte_order!$E:$E)</f>
        <v>45</v>
      </c>
      <c r="N4644">
        <v>4.215E-2</v>
      </c>
    </row>
    <row r="4645" spans="1:14">
      <c r="A4645" t="s">
        <v>272</v>
      </c>
      <c r="B4645" t="str">
        <f>_xlfn.XLOOKUP(A4645,'[1]Tissue Data'!$A:$A,'[1]Tissue Data'!$C:$C)</f>
        <v>Spill</v>
      </c>
      <c r="C4645" s="2">
        <f>_xlfn.XLOOKUP(A4645,'[1]Tissue Data'!$A:$A,'[1]Tissue Data'!$D:$D)</f>
        <v>44393</v>
      </c>
      <c r="D4645" s="2" t="str">
        <f>_xlfn.XLOOKUP(A4645,'[1]Tissue Data'!$A:$A,'[1]Tissue Data'!$F:$F)</f>
        <v>Pumpkinseed</v>
      </c>
      <c r="E4645" t="str">
        <f>_xlfn.XLOOKUP(A4645,'[1]Tissue Data'!$A:$A,'[1]Tissue Data'!$H:$H)</f>
        <v>Lepomis</v>
      </c>
      <c r="F4645" t="str">
        <f>_xlfn.XLOOKUP(A4645,'[1]Tissue Data'!$A:$A,'[1]Tissue Data'!$I:$I)</f>
        <v>gibbosus</v>
      </c>
      <c r="G4645" t="str">
        <f>_xlfn.XLOOKUP(A4645,'[1]Tissue Data'!$A:$A,'[1]Tissue Data'!J:J)</f>
        <v>M</v>
      </c>
      <c r="H4645" t="str">
        <f>_xlfn.XLOOKUP(A4645,'[1]Tissue Data'!$A:$A,'[1]Tissue Data'!K:K)</f>
        <v>Muscle</v>
      </c>
      <c r="I4645">
        <f>_xlfn.XLOOKUP(A4645,'[1]Tissue Data'!$A:$A,'[1]Tissue Data'!L:L)</f>
        <v>13</v>
      </c>
      <c r="J4645">
        <f>_xlfn.XLOOKUP(A4645,'[1]Tissue Data'!$A:$A,'[1]Tissue Data'!M:M)</f>
        <v>40.79</v>
      </c>
      <c r="K4645" t="s">
        <v>55</v>
      </c>
      <c r="L4645" t="str">
        <f>_xlfn.XLOOKUP(K4645,[2]analyte_order!$B:$B,[2]analyte_order!$C:$C)</f>
        <v>919005-14-4</v>
      </c>
      <c r="M4645">
        <f>_xlfn.XLOOKUP(L4645,[2]analyte_order!$C:$C,[2]analyte_order!$E:$E)</f>
        <v>35</v>
      </c>
      <c r="N4645">
        <v>6.1499999999999999E-2</v>
      </c>
    </row>
    <row r="4646" spans="1:14">
      <c r="A4646" t="s">
        <v>272</v>
      </c>
      <c r="B4646" t="str">
        <f>_xlfn.XLOOKUP(A4646,'[1]Tissue Data'!$A:$A,'[1]Tissue Data'!$C:$C)</f>
        <v>Spill</v>
      </c>
      <c r="C4646" s="2">
        <f>_xlfn.XLOOKUP(A4646,'[1]Tissue Data'!$A:$A,'[1]Tissue Data'!$D:$D)</f>
        <v>44393</v>
      </c>
      <c r="D4646" s="2" t="str">
        <f>_xlfn.XLOOKUP(A4646,'[1]Tissue Data'!$A:$A,'[1]Tissue Data'!$F:$F)</f>
        <v>Pumpkinseed</v>
      </c>
      <c r="E4646" t="str">
        <f>_xlfn.XLOOKUP(A4646,'[1]Tissue Data'!$A:$A,'[1]Tissue Data'!$H:$H)</f>
        <v>Lepomis</v>
      </c>
      <c r="F4646" t="str">
        <f>_xlfn.XLOOKUP(A4646,'[1]Tissue Data'!$A:$A,'[1]Tissue Data'!$I:$I)</f>
        <v>gibbosus</v>
      </c>
      <c r="G4646" t="str">
        <f>_xlfn.XLOOKUP(A4646,'[1]Tissue Data'!$A:$A,'[1]Tissue Data'!J:J)</f>
        <v>M</v>
      </c>
      <c r="H4646" t="str">
        <f>_xlfn.XLOOKUP(A4646,'[1]Tissue Data'!$A:$A,'[1]Tissue Data'!K:K)</f>
        <v>Muscle</v>
      </c>
      <c r="I4646">
        <f>_xlfn.XLOOKUP(A4646,'[1]Tissue Data'!$A:$A,'[1]Tissue Data'!L:L)</f>
        <v>13</v>
      </c>
      <c r="J4646">
        <f>_xlfn.XLOOKUP(A4646,'[1]Tissue Data'!$A:$A,'[1]Tissue Data'!M:M)</f>
        <v>40.79</v>
      </c>
      <c r="K4646" t="s">
        <v>56</v>
      </c>
      <c r="L4646" t="str">
        <f>_xlfn.XLOOKUP(K4646,[2]analyte_order!$B:$B,[2]analyte_order!$C:$C)</f>
        <v>756426-58-1</v>
      </c>
      <c r="M4646">
        <f>_xlfn.XLOOKUP(L4646,[2]analyte_order!$C:$C,[2]analyte_order!$E:$E)</f>
        <v>36</v>
      </c>
      <c r="N4646">
        <v>6.9500000000000006E-2</v>
      </c>
    </row>
    <row r="4647" spans="1:14">
      <c r="A4647" t="s">
        <v>272</v>
      </c>
      <c r="B4647" t="str">
        <f>_xlfn.XLOOKUP(A4647,'[1]Tissue Data'!$A:$A,'[1]Tissue Data'!$C:$C)</f>
        <v>Spill</v>
      </c>
      <c r="C4647" s="2">
        <f>_xlfn.XLOOKUP(A4647,'[1]Tissue Data'!$A:$A,'[1]Tissue Data'!$D:$D)</f>
        <v>44393</v>
      </c>
      <c r="D4647" s="2" t="str">
        <f>_xlfn.XLOOKUP(A4647,'[1]Tissue Data'!$A:$A,'[1]Tissue Data'!$F:$F)</f>
        <v>Pumpkinseed</v>
      </c>
      <c r="E4647" t="str">
        <f>_xlfn.XLOOKUP(A4647,'[1]Tissue Data'!$A:$A,'[1]Tissue Data'!$H:$H)</f>
        <v>Lepomis</v>
      </c>
      <c r="F4647" t="str">
        <f>_xlfn.XLOOKUP(A4647,'[1]Tissue Data'!$A:$A,'[1]Tissue Data'!$I:$I)</f>
        <v>gibbosus</v>
      </c>
      <c r="G4647" t="str">
        <f>_xlfn.XLOOKUP(A4647,'[1]Tissue Data'!$A:$A,'[1]Tissue Data'!J:J)</f>
        <v>M</v>
      </c>
      <c r="H4647" t="str">
        <f>_xlfn.XLOOKUP(A4647,'[1]Tissue Data'!$A:$A,'[1]Tissue Data'!K:K)</f>
        <v>Muscle</v>
      </c>
      <c r="I4647">
        <f>_xlfn.XLOOKUP(A4647,'[1]Tissue Data'!$A:$A,'[1]Tissue Data'!L:L)</f>
        <v>13</v>
      </c>
      <c r="J4647">
        <f>_xlfn.XLOOKUP(A4647,'[1]Tissue Data'!$A:$A,'[1]Tissue Data'!M:M)</f>
        <v>40.79</v>
      </c>
      <c r="K4647" t="s">
        <v>57</v>
      </c>
      <c r="L4647" t="str">
        <f>_xlfn.XLOOKUP(K4647,[2]analyte_order!$B:$B,[2]analyte_order!$C:$C)</f>
        <v>763051-92-9</v>
      </c>
      <c r="M4647">
        <f>_xlfn.XLOOKUP(L4647,[2]analyte_order!$C:$C,[2]analyte_order!$E:$E)</f>
        <v>37</v>
      </c>
      <c r="N4647">
        <v>6.9500000000000006E-2</v>
      </c>
    </row>
    <row r="4648" spans="1:14">
      <c r="A4648" t="s">
        <v>272</v>
      </c>
      <c r="B4648" t="str">
        <f>_xlfn.XLOOKUP(A4648,'[1]Tissue Data'!$A:$A,'[1]Tissue Data'!$C:$C)</f>
        <v>Spill</v>
      </c>
      <c r="C4648" s="2">
        <f>_xlfn.XLOOKUP(A4648,'[1]Tissue Data'!$A:$A,'[1]Tissue Data'!$D:$D)</f>
        <v>44393</v>
      </c>
      <c r="D4648" s="2" t="str">
        <f>_xlfn.XLOOKUP(A4648,'[1]Tissue Data'!$A:$A,'[1]Tissue Data'!$F:$F)</f>
        <v>Pumpkinseed</v>
      </c>
      <c r="E4648" t="str">
        <f>_xlfn.XLOOKUP(A4648,'[1]Tissue Data'!$A:$A,'[1]Tissue Data'!$H:$H)</f>
        <v>Lepomis</v>
      </c>
      <c r="F4648" t="str">
        <f>_xlfn.XLOOKUP(A4648,'[1]Tissue Data'!$A:$A,'[1]Tissue Data'!$I:$I)</f>
        <v>gibbosus</v>
      </c>
      <c r="G4648" t="str">
        <f>_xlfn.XLOOKUP(A4648,'[1]Tissue Data'!$A:$A,'[1]Tissue Data'!J:J)</f>
        <v>M</v>
      </c>
      <c r="H4648" t="str">
        <f>_xlfn.XLOOKUP(A4648,'[1]Tissue Data'!$A:$A,'[1]Tissue Data'!K:K)</f>
        <v>Muscle</v>
      </c>
      <c r="I4648">
        <f>_xlfn.XLOOKUP(A4648,'[1]Tissue Data'!$A:$A,'[1]Tissue Data'!L:L)</f>
        <v>13</v>
      </c>
      <c r="J4648">
        <f>_xlfn.XLOOKUP(A4648,'[1]Tissue Data'!$A:$A,'[1]Tissue Data'!M:M)</f>
        <v>40.79</v>
      </c>
      <c r="K4648" t="s">
        <v>58</v>
      </c>
      <c r="L4648" t="str">
        <f>_xlfn.XLOOKUP(K4648,[2]analyte_order!$B:$B,[2]analyte_order!$C:$C)</f>
        <v>13252-13-6</v>
      </c>
      <c r="M4648">
        <f>_xlfn.XLOOKUP(L4648,[2]analyte_order!$C:$C,[2]analyte_order!$E:$E)</f>
        <v>34</v>
      </c>
      <c r="N4648">
        <v>0.1</v>
      </c>
    </row>
    <row r="4649" spans="1:14">
      <c r="A4649" t="s">
        <v>272</v>
      </c>
      <c r="B4649" t="str">
        <f>_xlfn.XLOOKUP(A4649,'[1]Tissue Data'!$A:$A,'[1]Tissue Data'!$C:$C)</f>
        <v>Spill</v>
      </c>
      <c r="C4649" s="2">
        <f>_xlfn.XLOOKUP(A4649,'[1]Tissue Data'!$A:$A,'[1]Tissue Data'!$D:$D)</f>
        <v>44393</v>
      </c>
      <c r="D4649" s="2" t="str">
        <f>_xlfn.XLOOKUP(A4649,'[1]Tissue Data'!$A:$A,'[1]Tissue Data'!$F:$F)</f>
        <v>Pumpkinseed</v>
      </c>
      <c r="E4649" t="str">
        <f>_xlfn.XLOOKUP(A4649,'[1]Tissue Data'!$A:$A,'[1]Tissue Data'!$H:$H)</f>
        <v>Lepomis</v>
      </c>
      <c r="F4649" t="str">
        <f>_xlfn.XLOOKUP(A4649,'[1]Tissue Data'!$A:$A,'[1]Tissue Data'!$I:$I)</f>
        <v>gibbosus</v>
      </c>
      <c r="G4649" t="str">
        <f>_xlfn.XLOOKUP(A4649,'[1]Tissue Data'!$A:$A,'[1]Tissue Data'!J:J)</f>
        <v>M</v>
      </c>
      <c r="H4649" t="str">
        <f>_xlfn.XLOOKUP(A4649,'[1]Tissue Data'!$A:$A,'[1]Tissue Data'!K:K)</f>
        <v>Muscle</v>
      </c>
      <c r="I4649">
        <f>_xlfn.XLOOKUP(A4649,'[1]Tissue Data'!$A:$A,'[1]Tissue Data'!L:L)</f>
        <v>13</v>
      </c>
      <c r="J4649">
        <f>_xlfn.XLOOKUP(A4649,'[1]Tissue Data'!$A:$A,'[1]Tissue Data'!M:M)</f>
        <v>40.79</v>
      </c>
      <c r="K4649" t="s">
        <v>59</v>
      </c>
      <c r="L4649" t="str">
        <f>_xlfn.XLOOKUP(K4649,[2]analyte_order!$B:$B,[2]analyte_order!$C:$C)</f>
        <v>57677-95-9</v>
      </c>
      <c r="M4649">
        <f>_xlfn.XLOOKUP(L4649,[2]analyte_order!$C:$C,[2]analyte_order!$E:$E)</f>
        <v>46</v>
      </c>
      <c r="N4649">
        <v>7.3999999999999996E-2</v>
      </c>
    </row>
    <row r="4650" spans="1:14">
      <c r="A4650" t="s">
        <v>272</v>
      </c>
      <c r="B4650" t="str">
        <f>_xlfn.XLOOKUP(A4650,'[1]Tissue Data'!$A:$A,'[1]Tissue Data'!$C:$C)</f>
        <v>Spill</v>
      </c>
      <c r="C4650" s="2">
        <f>_xlfn.XLOOKUP(A4650,'[1]Tissue Data'!$A:$A,'[1]Tissue Data'!$D:$D)</f>
        <v>44393</v>
      </c>
      <c r="D4650" s="2" t="str">
        <f>_xlfn.XLOOKUP(A4650,'[1]Tissue Data'!$A:$A,'[1]Tissue Data'!$F:$F)</f>
        <v>Pumpkinseed</v>
      </c>
      <c r="E4650" t="str">
        <f>_xlfn.XLOOKUP(A4650,'[1]Tissue Data'!$A:$A,'[1]Tissue Data'!$H:$H)</f>
        <v>Lepomis</v>
      </c>
      <c r="F4650" t="str">
        <f>_xlfn.XLOOKUP(A4650,'[1]Tissue Data'!$A:$A,'[1]Tissue Data'!$I:$I)</f>
        <v>gibbosus</v>
      </c>
      <c r="G4650" t="str">
        <f>_xlfn.XLOOKUP(A4650,'[1]Tissue Data'!$A:$A,'[1]Tissue Data'!J:J)</f>
        <v>M</v>
      </c>
      <c r="H4650" t="str">
        <f>_xlfn.XLOOKUP(A4650,'[1]Tissue Data'!$A:$A,'[1]Tissue Data'!K:K)</f>
        <v>Muscle</v>
      </c>
      <c r="I4650">
        <f>_xlfn.XLOOKUP(A4650,'[1]Tissue Data'!$A:$A,'[1]Tissue Data'!L:L)</f>
        <v>13</v>
      </c>
      <c r="J4650">
        <f>_xlfn.XLOOKUP(A4650,'[1]Tissue Data'!$A:$A,'[1]Tissue Data'!M:M)</f>
        <v>40.79</v>
      </c>
      <c r="K4650" t="s">
        <v>60</v>
      </c>
      <c r="L4650" t="str">
        <f>_xlfn.XLOOKUP(K4650,[2]analyte_order!$B:$B,[2]analyte_order!$C:$C)</f>
        <v>678-41-1</v>
      </c>
      <c r="M4650">
        <f>_xlfn.XLOOKUP(L4650,[2]analyte_order!$C:$C,[2]analyte_order!$E:$E)</f>
        <v>56</v>
      </c>
      <c r="N4650">
        <v>9.2499999999999999E-2</v>
      </c>
    </row>
    <row r="4651" spans="1:14">
      <c r="A4651" t="s">
        <v>272</v>
      </c>
      <c r="B4651" t="str">
        <f>_xlfn.XLOOKUP(A4651,'[1]Tissue Data'!$A:$A,'[1]Tissue Data'!$C:$C)</f>
        <v>Spill</v>
      </c>
      <c r="C4651" s="2">
        <f>_xlfn.XLOOKUP(A4651,'[1]Tissue Data'!$A:$A,'[1]Tissue Data'!$D:$D)</f>
        <v>44393</v>
      </c>
      <c r="D4651" s="2" t="str">
        <f>_xlfn.XLOOKUP(A4651,'[1]Tissue Data'!$A:$A,'[1]Tissue Data'!$F:$F)</f>
        <v>Pumpkinseed</v>
      </c>
      <c r="E4651" t="str">
        <f>_xlfn.XLOOKUP(A4651,'[1]Tissue Data'!$A:$A,'[1]Tissue Data'!$H:$H)</f>
        <v>Lepomis</v>
      </c>
      <c r="F4651" t="str">
        <f>_xlfn.XLOOKUP(A4651,'[1]Tissue Data'!$A:$A,'[1]Tissue Data'!$I:$I)</f>
        <v>gibbosus</v>
      </c>
      <c r="G4651" t="str">
        <f>_xlfn.XLOOKUP(A4651,'[1]Tissue Data'!$A:$A,'[1]Tissue Data'!J:J)</f>
        <v>M</v>
      </c>
      <c r="H4651" t="str">
        <f>_xlfn.XLOOKUP(A4651,'[1]Tissue Data'!$A:$A,'[1]Tissue Data'!K:K)</f>
        <v>Muscle</v>
      </c>
      <c r="I4651">
        <f>_xlfn.XLOOKUP(A4651,'[1]Tissue Data'!$A:$A,'[1]Tissue Data'!L:L)</f>
        <v>13</v>
      </c>
      <c r="J4651">
        <f>_xlfn.XLOOKUP(A4651,'[1]Tissue Data'!$A:$A,'[1]Tissue Data'!M:M)</f>
        <v>40.79</v>
      </c>
      <c r="K4651" t="s">
        <v>61</v>
      </c>
      <c r="L4651" t="str">
        <f>_xlfn.XLOOKUP(K4651,[2]analyte_order!$B:$B,[2]analyte_order!$C:$C)</f>
        <v>2965-52-8</v>
      </c>
      <c r="M4651">
        <f>_xlfn.XLOOKUP(L4651,[2]analyte_order!$C:$C,[2]analyte_order!$E:$E)</f>
        <v>57</v>
      </c>
      <c r="N4651">
        <v>0.1225</v>
      </c>
    </row>
    <row r="4652" spans="1:14">
      <c r="A4652" t="s">
        <v>273</v>
      </c>
      <c r="B4652" t="str">
        <f>_xlfn.XLOOKUP(A4652,'[1]Tissue Data'!$A:$A,'[1]Tissue Data'!$C:$C)</f>
        <v>Spill</v>
      </c>
      <c r="C4652" s="2">
        <f>_xlfn.XLOOKUP(A4652,'[1]Tissue Data'!$A:$A,'[1]Tissue Data'!$D:$D)</f>
        <v>44393</v>
      </c>
      <c r="D4652" s="2" t="str">
        <f>_xlfn.XLOOKUP(A4652,'[1]Tissue Data'!$A:$A,'[1]Tissue Data'!$F:$F)</f>
        <v>Pumpkinseed</v>
      </c>
      <c r="E4652" t="str">
        <f>_xlfn.XLOOKUP(A4652,'[1]Tissue Data'!$A:$A,'[1]Tissue Data'!$H:$H)</f>
        <v>Lepomis</v>
      </c>
      <c r="F4652" t="str">
        <f>_xlfn.XLOOKUP(A4652,'[1]Tissue Data'!$A:$A,'[1]Tissue Data'!$I:$I)</f>
        <v>gibbosus</v>
      </c>
      <c r="G4652" t="str">
        <f>_xlfn.XLOOKUP(A4652,'[1]Tissue Data'!$A:$A,'[1]Tissue Data'!J:J)</f>
        <v>M</v>
      </c>
      <c r="H4652" t="str">
        <f>_xlfn.XLOOKUP(A4652,'[1]Tissue Data'!$A:$A,'[1]Tissue Data'!K:K)</f>
        <v>Liver</v>
      </c>
      <c r="I4652">
        <f>_xlfn.XLOOKUP(A4652,'[1]Tissue Data'!$A:$A,'[1]Tissue Data'!L:L)</f>
        <v>12.5</v>
      </c>
      <c r="J4652">
        <f>_xlfn.XLOOKUP(A4652,'[1]Tissue Data'!$A:$A,'[1]Tissue Data'!M:M)</f>
        <v>30.45</v>
      </c>
      <c r="K4652" t="s">
        <v>12</v>
      </c>
      <c r="L4652" t="str">
        <f>_xlfn.XLOOKUP(K4652,[2]analyte_order!$B:$B,[2]analyte_order!$C:$C)</f>
        <v>375-22-4</v>
      </c>
      <c r="M4652">
        <f>_xlfn.XLOOKUP(L4652,[2]analyte_order!$C:$C,[2]analyte_order!$E:$E)</f>
        <v>1</v>
      </c>
      <c r="N4652">
        <v>0.83499999999999996</v>
      </c>
    </row>
    <row r="4653" spans="1:14">
      <c r="A4653" t="s">
        <v>273</v>
      </c>
      <c r="B4653" t="str">
        <f>_xlfn.XLOOKUP(A4653,'[1]Tissue Data'!$A:$A,'[1]Tissue Data'!$C:$C)</f>
        <v>Spill</v>
      </c>
      <c r="C4653" s="2">
        <f>_xlfn.XLOOKUP(A4653,'[1]Tissue Data'!$A:$A,'[1]Tissue Data'!$D:$D)</f>
        <v>44393</v>
      </c>
      <c r="D4653" s="2" t="str">
        <f>_xlfn.XLOOKUP(A4653,'[1]Tissue Data'!$A:$A,'[1]Tissue Data'!$F:$F)</f>
        <v>Pumpkinseed</v>
      </c>
      <c r="E4653" t="str">
        <f>_xlfn.XLOOKUP(A4653,'[1]Tissue Data'!$A:$A,'[1]Tissue Data'!$H:$H)</f>
        <v>Lepomis</v>
      </c>
      <c r="F4653" t="str">
        <f>_xlfn.XLOOKUP(A4653,'[1]Tissue Data'!$A:$A,'[1]Tissue Data'!$I:$I)</f>
        <v>gibbosus</v>
      </c>
      <c r="G4653" t="str">
        <f>_xlfn.XLOOKUP(A4653,'[1]Tissue Data'!$A:$A,'[1]Tissue Data'!J:J)</f>
        <v>M</v>
      </c>
      <c r="H4653" t="str">
        <f>_xlfn.XLOOKUP(A4653,'[1]Tissue Data'!$A:$A,'[1]Tissue Data'!K:K)</f>
        <v>Liver</v>
      </c>
      <c r="I4653">
        <f>_xlfn.XLOOKUP(A4653,'[1]Tissue Data'!$A:$A,'[1]Tissue Data'!L:L)</f>
        <v>12.5</v>
      </c>
      <c r="J4653">
        <f>_xlfn.XLOOKUP(A4653,'[1]Tissue Data'!$A:$A,'[1]Tissue Data'!M:M)</f>
        <v>30.45</v>
      </c>
      <c r="K4653" t="s">
        <v>13</v>
      </c>
      <c r="L4653" t="str">
        <f>_xlfn.XLOOKUP(K4653,[2]analyte_order!$B:$B,[2]analyte_order!$C:$C)</f>
        <v>2706-90-3</v>
      </c>
      <c r="M4653">
        <f>_xlfn.XLOOKUP(L4653,[2]analyte_order!$C:$C,[2]analyte_order!$E:$E)</f>
        <v>2</v>
      </c>
      <c r="N4653">
        <v>0.17849999999999999</v>
      </c>
    </row>
    <row r="4654" spans="1:14">
      <c r="A4654" t="s">
        <v>273</v>
      </c>
      <c r="B4654" t="str">
        <f>_xlfn.XLOOKUP(A4654,'[1]Tissue Data'!$A:$A,'[1]Tissue Data'!$C:$C)</f>
        <v>Spill</v>
      </c>
      <c r="C4654" s="2">
        <f>_xlfn.XLOOKUP(A4654,'[1]Tissue Data'!$A:$A,'[1]Tissue Data'!$D:$D)</f>
        <v>44393</v>
      </c>
      <c r="D4654" s="2" t="str">
        <f>_xlfn.XLOOKUP(A4654,'[1]Tissue Data'!$A:$A,'[1]Tissue Data'!$F:$F)</f>
        <v>Pumpkinseed</v>
      </c>
      <c r="E4654" t="str">
        <f>_xlfn.XLOOKUP(A4654,'[1]Tissue Data'!$A:$A,'[1]Tissue Data'!$H:$H)</f>
        <v>Lepomis</v>
      </c>
      <c r="F4654" t="str">
        <f>_xlfn.XLOOKUP(A4654,'[1]Tissue Data'!$A:$A,'[1]Tissue Data'!$I:$I)</f>
        <v>gibbosus</v>
      </c>
      <c r="G4654" t="str">
        <f>_xlfn.XLOOKUP(A4654,'[1]Tissue Data'!$A:$A,'[1]Tissue Data'!J:J)</f>
        <v>M</v>
      </c>
      <c r="H4654" t="str">
        <f>_xlfn.XLOOKUP(A4654,'[1]Tissue Data'!$A:$A,'[1]Tissue Data'!K:K)</f>
        <v>Liver</v>
      </c>
      <c r="I4654">
        <f>_xlfn.XLOOKUP(A4654,'[1]Tissue Data'!$A:$A,'[1]Tissue Data'!L:L)</f>
        <v>12.5</v>
      </c>
      <c r="J4654">
        <f>_xlfn.XLOOKUP(A4654,'[1]Tissue Data'!$A:$A,'[1]Tissue Data'!M:M)</f>
        <v>30.45</v>
      </c>
      <c r="K4654" t="s">
        <v>14</v>
      </c>
      <c r="L4654" t="str">
        <f>_xlfn.XLOOKUP(K4654,[2]analyte_order!$B:$B,[2]analyte_order!$C:$C)</f>
        <v>307-24-4</v>
      </c>
      <c r="M4654">
        <f>_xlfn.XLOOKUP(L4654,[2]analyte_order!$C:$C,[2]analyte_order!$E:$E)</f>
        <v>3</v>
      </c>
      <c r="N4654">
        <v>0.13650000000000001</v>
      </c>
    </row>
    <row r="4655" spans="1:14">
      <c r="A4655" t="s">
        <v>273</v>
      </c>
      <c r="B4655" t="str">
        <f>_xlfn.XLOOKUP(A4655,'[1]Tissue Data'!$A:$A,'[1]Tissue Data'!$C:$C)</f>
        <v>Spill</v>
      </c>
      <c r="C4655" s="2">
        <f>_xlfn.XLOOKUP(A4655,'[1]Tissue Data'!$A:$A,'[1]Tissue Data'!$D:$D)</f>
        <v>44393</v>
      </c>
      <c r="D4655" s="2" t="str">
        <f>_xlfn.XLOOKUP(A4655,'[1]Tissue Data'!$A:$A,'[1]Tissue Data'!$F:$F)</f>
        <v>Pumpkinseed</v>
      </c>
      <c r="E4655" t="str">
        <f>_xlfn.XLOOKUP(A4655,'[1]Tissue Data'!$A:$A,'[1]Tissue Data'!$H:$H)</f>
        <v>Lepomis</v>
      </c>
      <c r="F4655" t="str">
        <f>_xlfn.XLOOKUP(A4655,'[1]Tissue Data'!$A:$A,'[1]Tissue Data'!$I:$I)</f>
        <v>gibbosus</v>
      </c>
      <c r="G4655" t="str">
        <f>_xlfn.XLOOKUP(A4655,'[1]Tissue Data'!$A:$A,'[1]Tissue Data'!J:J)</f>
        <v>M</v>
      </c>
      <c r="H4655" t="str">
        <f>_xlfn.XLOOKUP(A4655,'[1]Tissue Data'!$A:$A,'[1]Tissue Data'!K:K)</f>
        <v>Liver</v>
      </c>
      <c r="I4655">
        <f>_xlfn.XLOOKUP(A4655,'[1]Tissue Data'!$A:$A,'[1]Tissue Data'!L:L)</f>
        <v>12.5</v>
      </c>
      <c r="J4655">
        <f>_xlfn.XLOOKUP(A4655,'[1]Tissue Data'!$A:$A,'[1]Tissue Data'!M:M)</f>
        <v>30.45</v>
      </c>
      <c r="K4655" t="s">
        <v>15</v>
      </c>
      <c r="L4655" t="str">
        <f>_xlfn.XLOOKUP(K4655,[2]analyte_order!$B:$B,[2]analyte_order!$C:$C)</f>
        <v>375-85-9</v>
      </c>
      <c r="M4655">
        <f>_xlfn.XLOOKUP(L4655,[2]analyte_order!$C:$C,[2]analyte_order!$E:$E)</f>
        <v>4</v>
      </c>
      <c r="N4655">
        <v>0.33350000000000002</v>
      </c>
    </row>
    <row r="4656" spans="1:14">
      <c r="A4656" t="s">
        <v>273</v>
      </c>
      <c r="B4656" t="str">
        <f>_xlfn.XLOOKUP(A4656,'[1]Tissue Data'!$A:$A,'[1]Tissue Data'!$C:$C)</f>
        <v>Spill</v>
      </c>
      <c r="C4656" s="2">
        <f>_xlfn.XLOOKUP(A4656,'[1]Tissue Data'!$A:$A,'[1]Tissue Data'!$D:$D)</f>
        <v>44393</v>
      </c>
      <c r="D4656" s="2" t="str">
        <f>_xlfn.XLOOKUP(A4656,'[1]Tissue Data'!$A:$A,'[1]Tissue Data'!$F:$F)</f>
        <v>Pumpkinseed</v>
      </c>
      <c r="E4656" t="str">
        <f>_xlfn.XLOOKUP(A4656,'[1]Tissue Data'!$A:$A,'[1]Tissue Data'!$H:$H)</f>
        <v>Lepomis</v>
      </c>
      <c r="F4656" t="str">
        <f>_xlfn.XLOOKUP(A4656,'[1]Tissue Data'!$A:$A,'[1]Tissue Data'!$I:$I)</f>
        <v>gibbosus</v>
      </c>
      <c r="G4656" t="str">
        <f>_xlfn.XLOOKUP(A4656,'[1]Tissue Data'!$A:$A,'[1]Tissue Data'!J:J)</f>
        <v>M</v>
      </c>
      <c r="H4656" t="str">
        <f>_xlfn.XLOOKUP(A4656,'[1]Tissue Data'!$A:$A,'[1]Tissue Data'!K:K)</f>
        <v>Liver</v>
      </c>
      <c r="I4656">
        <f>_xlfn.XLOOKUP(A4656,'[1]Tissue Data'!$A:$A,'[1]Tissue Data'!L:L)</f>
        <v>12.5</v>
      </c>
      <c r="J4656">
        <f>_xlfn.XLOOKUP(A4656,'[1]Tissue Data'!$A:$A,'[1]Tissue Data'!M:M)</f>
        <v>30.45</v>
      </c>
      <c r="K4656" t="s">
        <v>16</v>
      </c>
      <c r="L4656" t="str">
        <f>_xlfn.XLOOKUP(K4656,[2]analyte_order!$B:$B,[2]analyte_order!$C:$C)</f>
        <v>335-67-1</v>
      </c>
      <c r="M4656">
        <f>_xlfn.XLOOKUP(L4656,[2]analyte_order!$C:$C,[2]analyte_order!$E:$E)</f>
        <v>5</v>
      </c>
      <c r="N4656">
        <v>0.76</v>
      </c>
    </row>
    <row r="4657" spans="1:14">
      <c r="A4657" t="s">
        <v>273</v>
      </c>
      <c r="B4657" t="str">
        <f>_xlfn.XLOOKUP(A4657,'[1]Tissue Data'!$A:$A,'[1]Tissue Data'!$C:$C)</f>
        <v>Spill</v>
      </c>
      <c r="C4657" s="2">
        <f>_xlfn.XLOOKUP(A4657,'[1]Tissue Data'!$A:$A,'[1]Tissue Data'!$D:$D)</f>
        <v>44393</v>
      </c>
      <c r="D4657" s="2" t="str">
        <f>_xlfn.XLOOKUP(A4657,'[1]Tissue Data'!$A:$A,'[1]Tissue Data'!$F:$F)</f>
        <v>Pumpkinseed</v>
      </c>
      <c r="E4657" t="str">
        <f>_xlfn.XLOOKUP(A4657,'[1]Tissue Data'!$A:$A,'[1]Tissue Data'!$H:$H)</f>
        <v>Lepomis</v>
      </c>
      <c r="F4657" t="str">
        <f>_xlfn.XLOOKUP(A4657,'[1]Tissue Data'!$A:$A,'[1]Tissue Data'!$I:$I)</f>
        <v>gibbosus</v>
      </c>
      <c r="G4657" t="str">
        <f>_xlfn.XLOOKUP(A4657,'[1]Tissue Data'!$A:$A,'[1]Tissue Data'!J:J)</f>
        <v>M</v>
      </c>
      <c r="H4657" t="str">
        <f>_xlfn.XLOOKUP(A4657,'[1]Tissue Data'!$A:$A,'[1]Tissue Data'!K:K)</f>
        <v>Liver</v>
      </c>
      <c r="I4657">
        <f>_xlfn.XLOOKUP(A4657,'[1]Tissue Data'!$A:$A,'[1]Tissue Data'!L:L)</f>
        <v>12.5</v>
      </c>
      <c r="J4657">
        <f>_xlfn.XLOOKUP(A4657,'[1]Tissue Data'!$A:$A,'[1]Tissue Data'!M:M)</f>
        <v>30.45</v>
      </c>
      <c r="K4657" t="s">
        <v>17</v>
      </c>
      <c r="L4657" t="str">
        <f>_xlfn.XLOOKUP(K4657,[2]analyte_order!$B:$B,[2]analyte_order!$C:$C)</f>
        <v>375-95-1</v>
      </c>
      <c r="M4657">
        <f>_xlfn.XLOOKUP(L4657,[2]analyte_order!$C:$C,[2]analyte_order!$E:$E)</f>
        <v>6</v>
      </c>
      <c r="N4657">
        <v>0.57499999999999996</v>
      </c>
    </row>
    <row r="4658" spans="1:14">
      <c r="A4658" t="s">
        <v>273</v>
      </c>
      <c r="B4658" t="str">
        <f>_xlfn.XLOOKUP(A4658,'[1]Tissue Data'!$A:$A,'[1]Tissue Data'!$C:$C)</f>
        <v>Spill</v>
      </c>
      <c r="C4658" s="2">
        <f>_xlfn.XLOOKUP(A4658,'[1]Tissue Data'!$A:$A,'[1]Tissue Data'!$D:$D)</f>
        <v>44393</v>
      </c>
      <c r="D4658" s="2" t="str">
        <f>_xlfn.XLOOKUP(A4658,'[1]Tissue Data'!$A:$A,'[1]Tissue Data'!$F:$F)</f>
        <v>Pumpkinseed</v>
      </c>
      <c r="E4658" t="str">
        <f>_xlfn.XLOOKUP(A4658,'[1]Tissue Data'!$A:$A,'[1]Tissue Data'!$H:$H)</f>
        <v>Lepomis</v>
      </c>
      <c r="F4658" t="str">
        <f>_xlfn.XLOOKUP(A4658,'[1]Tissue Data'!$A:$A,'[1]Tissue Data'!$I:$I)</f>
        <v>gibbosus</v>
      </c>
      <c r="G4658" t="str">
        <f>_xlfn.XLOOKUP(A4658,'[1]Tissue Data'!$A:$A,'[1]Tissue Data'!J:J)</f>
        <v>M</v>
      </c>
      <c r="H4658" t="str">
        <f>_xlfn.XLOOKUP(A4658,'[1]Tissue Data'!$A:$A,'[1]Tissue Data'!K:K)</f>
        <v>Liver</v>
      </c>
      <c r="I4658">
        <f>_xlfn.XLOOKUP(A4658,'[1]Tissue Data'!$A:$A,'[1]Tissue Data'!L:L)</f>
        <v>12.5</v>
      </c>
      <c r="J4658">
        <f>_xlfn.XLOOKUP(A4658,'[1]Tissue Data'!$A:$A,'[1]Tissue Data'!M:M)</f>
        <v>30.45</v>
      </c>
      <c r="K4658" t="s">
        <v>18</v>
      </c>
      <c r="L4658" t="str">
        <f>_xlfn.XLOOKUP(K4658,[2]analyte_order!$B:$B,[2]analyte_order!$C:$C)</f>
        <v>335-76-2</v>
      </c>
      <c r="M4658">
        <f>_xlfn.XLOOKUP(L4658,[2]analyte_order!$C:$C,[2]analyte_order!$E:$E)</f>
        <v>7</v>
      </c>
      <c r="N4658">
        <v>1.4</v>
      </c>
    </row>
    <row r="4659" spans="1:14">
      <c r="A4659" t="s">
        <v>273</v>
      </c>
      <c r="B4659" t="str">
        <f>_xlfn.XLOOKUP(A4659,'[1]Tissue Data'!$A:$A,'[1]Tissue Data'!$C:$C)</f>
        <v>Spill</v>
      </c>
      <c r="C4659" s="2">
        <f>_xlfn.XLOOKUP(A4659,'[1]Tissue Data'!$A:$A,'[1]Tissue Data'!$D:$D)</f>
        <v>44393</v>
      </c>
      <c r="D4659" s="2" t="str">
        <f>_xlfn.XLOOKUP(A4659,'[1]Tissue Data'!$A:$A,'[1]Tissue Data'!$F:$F)</f>
        <v>Pumpkinseed</v>
      </c>
      <c r="E4659" t="str">
        <f>_xlfn.XLOOKUP(A4659,'[1]Tissue Data'!$A:$A,'[1]Tissue Data'!$H:$H)</f>
        <v>Lepomis</v>
      </c>
      <c r="F4659" t="str">
        <f>_xlfn.XLOOKUP(A4659,'[1]Tissue Data'!$A:$A,'[1]Tissue Data'!$I:$I)</f>
        <v>gibbosus</v>
      </c>
      <c r="G4659" t="str">
        <f>_xlfn.XLOOKUP(A4659,'[1]Tissue Data'!$A:$A,'[1]Tissue Data'!J:J)</f>
        <v>M</v>
      </c>
      <c r="H4659" t="str">
        <f>_xlfn.XLOOKUP(A4659,'[1]Tissue Data'!$A:$A,'[1]Tissue Data'!K:K)</f>
        <v>Liver</v>
      </c>
      <c r="I4659">
        <f>_xlfn.XLOOKUP(A4659,'[1]Tissue Data'!$A:$A,'[1]Tissue Data'!L:L)</f>
        <v>12.5</v>
      </c>
      <c r="J4659">
        <f>_xlfn.XLOOKUP(A4659,'[1]Tissue Data'!$A:$A,'[1]Tissue Data'!M:M)</f>
        <v>30.45</v>
      </c>
      <c r="K4659" t="s">
        <v>19</v>
      </c>
      <c r="L4659" t="str">
        <f>_xlfn.XLOOKUP(K4659,[2]analyte_order!$B:$B,[2]analyte_order!$C:$C)</f>
        <v>2058-94-8</v>
      </c>
      <c r="M4659">
        <f>_xlfn.XLOOKUP(L4659,[2]analyte_order!$C:$C,[2]analyte_order!$E:$E)</f>
        <v>8</v>
      </c>
      <c r="N4659">
        <v>3.35</v>
      </c>
    </row>
    <row r="4660" spans="1:14">
      <c r="A4660" t="s">
        <v>273</v>
      </c>
      <c r="B4660" t="str">
        <f>_xlfn.XLOOKUP(A4660,'[1]Tissue Data'!$A:$A,'[1]Tissue Data'!$C:$C)</f>
        <v>Spill</v>
      </c>
      <c r="C4660" s="2">
        <f>_xlfn.XLOOKUP(A4660,'[1]Tissue Data'!$A:$A,'[1]Tissue Data'!$D:$D)</f>
        <v>44393</v>
      </c>
      <c r="D4660" s="2" t="str">
        <f>_xlfn.XLOOKUP(A4660,'[1]Tissue Data'!$A:$A,'[1]Tissue Data'!$F:$F)</f>
        <v>Pumpkinseed</v>
      </c>
      <c r="E4660" t="str">
        <f>_xlfn.XLOOKUP(A4660,'[1]Tissue Data'!$A:$A,'[1]Tissue Data'!$H:$H)</f>
        <v>Lepomis</v>
      </c>
      <c r="F4660" t="str">
        <f>_xlfn.XLOOKUP(A4660,'[1]Tissue Data'!$A:$A,'[1]Tissue Data'!$I:$I)</f>
        <v>gibbosus</v>
      </c>
      <c r="G4660" t="str">
        <f>_xlfn.XLOOKUP(A4660,'[1]Tissue Data'!$A:$A,'[1]Tissue Data'!J:J)</f>
        <v>M</v>
      </c>
      <c r="H4660" t="str">
        <f>_xlfn.XLOOKUP(A4660,'[1]Tissue Data'!$A:$A,'[1]Tissue Data'!K:K)</f>
        <v>Liver</v>
      </c>
      <c r="I4660">
        <f>_xlfn.XLOOKUP(A4660,'[1]Tissue Data'!$A:$A,'[1]Tissue Data'!L:L)</f>
        <v>12.5</v>
      </c>
      <c r="J4660">
        <f>_xlfn.XLOOKUP(A4660,'[1]Tissue Data'!$A:$A,'[1]Tissue Data'!M:M)</f>
        <v>30.45</v>
      </c>
      <c r="K4660" t="s">
        <v>20</v>
      </c>
      <c r="L4660" t="str">
        <f>_xlfn.XLOOKUP(K4660,[2]analyte_order!$B:$B,[2]analyte_order!$C:$C)</f>
        <v>307-55-1</v>
      </c>
      <c r="M4660">
        <f>_xlfn.XLOOKUP(L4660,[2]analyte_order!$C:$C,[2]analyte_order!$E:$E)</f>
        <v>9</v>
      </c>
      <c r="N4660">
        <v>6.04</v>
      </c>
    </row>
    <row r="4661" spans="1:14">
      <c r="A4661" t="s">
        <v>273</v>
      </c>
      <c r="B4661" t="str">
        <f>_xlfn.XLOOKUP(A4661,'[1]Tissue Data'!$A:$A,'[1]Tissue Data'!$C:$C)</f>
        <v>Spill</v>
      </c>
      <c r="C4661" s="2">
        <f>_xlfn.XLOOKUP(A4661,'[1]Tissue Data'!$A:$A,'[1]Tissue Data'!$D:$D)</f>
        <v>44393</v>
      </c>
      <c r="D4661" s="2" t="str">
        <f>_xlfn.XLOOKUP(A4661,'[1]Tissue Data'!$A:$A,'[1]Tissue Data'!$F:$F)</f>
        <v>Pumpkinseed</v>
      </c>
      <c r="E4661" t="str">
        <f>_xlfn.XLOOKUP(A4661,'[1]Tissue Data'!$A:$A,'[1]Tissue Data'!$H:$H)</f>
        <v>Lepomis</v>
      </c>
      <c r="F4661" t="str">
        <f>_xlfn.XLOOKUP(A4661,'[1]Tissue Data'!$A:$A,'[1]Tissue Data'!$I:$I)</f>
        <v>gibbosus</v>
      </c>
      <c r="G4661" t="str">
        <f>_xlfn.XLOOKUP(A4661,'[1]Tissue Data'!$A:$A,'[1]Tissue Data'!J:J)</f>
        <v>M</v>
      </c>
      <c r="H4661" t="str">
        <f>_xlfn.XLOOKUP(A4661,'[1]Tissue Data'!$A:$A,'[1]Tissue Data'!K:K)</f>
        <v>Liver</v>
      </c>
      <c r="I4661">
        <f>_xlfn.XLOOKUP(A4661,'[1]Tissue Data'!$A:$A,'[1]Tissue Data'!L:L)</f>
        <v>12.5</v>
      </c>
      <c r="J4661">
        <f>_xlfn.XLOOKUP(A4661,'[1]Tissue Data'!$A:$A,'[1]Tissue Data'!M:M)</f>
        <v>30.45</v>
      </c>
      <c r="K4661" t="s">
        <v>21</v>
      </c>
      <c r="L4661" t="str">
        <f>_xlfn.XLOOKUP(K4661,[2]analyte_order!$B:$B,[2]analyte_order!$C:$C)</f>
        <v>72629-94-8</v>
      </c>
      <c r="M4661">
        <f>_xlfn.XLOOKUP(L4661,[2]analyte_order!$C:$C,[2]analyte_order!$E:$E)</f>
        <v>10</v>
      </c>
      <c r="N4661">
        <v>1.1399999999999999</v>
      </c>
    </row>
    <row r="4662" spans="1:14">
      <c r="A4662" t="s">
        <v>273</v>
      </c>
      <c r="B4662" t="str">
        <f>_xlfn.XLOOKUP(A4662,'[1]Tissue Data'!$A:$A,'[1]Tissue Data'!$C:$C)</f>
        <v>Spill</v>
      </c>
      <c r="C4662" s="2">
        <f>_xlfn.XLOOKUP(A4662,'[1]Tissue Data'!$A:$A,'[1]Tissue Data'!$D:$D)</f>
        <v>44393</v>
      </c>
      <c r="D4662" s="2" t="str">
        <f>_xlfn.XLOOKUP(A4662,'[1]Tissue Data'!$A:$A,'[1]Tissue Data'!$F:$F)</f>
        <v>Pumpkinseed</v>
      </c>
      <c r="E4662" t="str">
        <f>_xlfn.XLOOKUP(A4662,'[1]Tissue Data'!$A:$A,'[1]Tissue Data'!$H:$H)</f>
        <v>Lepomis</v>
      </c>
      <c r="F4662" t="str">
        <f>_xlfn.XLOOKUP(A4662,'[1]Tissue Data'!$A:$A,'[1]Tissue Data'!$I:$I)</f>
        <v>gibbosus</v>
      </c>
      <c r="G4662" t="str">
        <f>_xlfn.XLOOKUP(A4662,'[1]Tissue Data'!$A:$A,'[1]Tissue Data'!J:J)</f>
        <v>M</v>
      </c>
      <c r="H4662" t="str">
        <f>_xlfn.XLOOKUP(A4662,'[1]Tissue Data'!$A:$A,'[1]Tissue Data'!K:K)</f>
        <v>Liver</v>
      </c>
      <c r="I4662">
        <f>_xlfn.XLOOKUP(A4662,'[1]Tissue Data'!$A:$A,'[1]Tissue Data'!L:L)</f>
        <v>12.5</v>
      </c>
      <c r="J4662">
        <f>_xlfn.XLOOKUP(A4662,'[1]Tissue Data'!$A:$A,'[1]Tissue Data'!M:M)</f>
        <v>30.45</v>
      </c>
      <c r="K4662" t="s">
        <v>22</v>
      </c>
      <c r="L4662" t="str">
        <f>_xlfn.XLOOKUP(K4662,[2]analyte_order!$B:$B,[2]analyte_order!$C:$C)</f>
        <v>376-06-7</v>
      </c>
      <c r="M4662">
        <f>_xlfn.XLOOKUP(L4662,[2]analyte_order!$C:$C,[2]analyte_order!$E:$E)</f>
        <v>11</v>
      </c>
      <c r="N4662">
        <v>2.74</v>
      </c>
    </row>
    <row r="4663" spans="1:14">
      <c r="A4663" t="s">
        <v>273</v>
      </c>
      <c r="B4663" t="str">
        <f>_xlfn.XLOOKUP(A4663,'[1]Tissue Data'!$A:$A,'[1]Tissue Data'!$C:$C)</f>
        <v>Spill</v>
      </c>
      <c r="C4663" s="2">
        <f>_xlfn.XLOOKUP(A4663,'[1]Tissue Data'!$A:$A,'[1]Tissue Data'!$D:$D)</f>
        <v>44393</v>
      </c>
      <c r="D4663" s="2" t="str">
        <f>_xlfn.XLOOKUP(A4663,'[1]Tissue Data'!$A:$A,'[1]Tissue Data'!$F:$F)</f>
        <v>Pumpkinseed</v>
      </c>
      <c r="E4663" t="str">
        <f>_xlfn.XLOOKUP(A4663,'[1]Tissue Data'!$A:$A,'[1]Tissue Data'!$H:$H)</f>
        <v>Lepomis</v>
      </c>
      <c r="F4663" t="str">
        <f>_xlfn.XLOOKUP(A4663,'[1]Tissue Data'!$A:$A,'[1]Tissue Data'!$I:$I)</f>
        <v>gibbosus</v>
      </c>
      <c r="G4663" t="str">
        <f>_xlfn.XLOOKUP(A4663,'[1]Tissue Data'!$A:$A,'[1]Tissue Data'!J:J)</f>
        <v>M</v>
      </c>
      <c r="H4663" t="str">
        <f>_xlfn.XLOOKUP(A4663,'[1]Tissue Data'!$A:$A,'[1]Tissue Data'!K:K)</f>
        <v>Liver</v>
      </c>
      <c r="I4663">
        <f>_xlfn.XLOOKUP(A4663,'[1]Tissue Data'!$A:$A,'[1]Tissue Data'!L:L)</f>
        <v>12.5</v>
      </c>
      <c r="J4663">
        <f>_xlfn.XLOOKUP(A4663,'[1]Tissue Data'!$A:$A,'[1]Tissue Data'!M:M)</f>
        <v>30.45</v>
      </c>
      <c r="K4663" t="s">
        <v>23</v>
      </c>
      <c r="L4663" t="str">
        <f>_xlfn.XLOOKUP(K4663,[2]analyte_order!$B:$B,[2]analyte_order!$C:$C)</f>
        <v>67905-19-5</v>
      </c>
      <c r="M4663">
        <f>_xlfn.XLOOKUP(L4663,[2]analyte_order!$C:$C,[2]analyte_order!$E:$E)</f>
        <v>12</v>
      </c>
      <c r="N4663">
        <v>0.30099999999999999</v>
      </c>
    </row>
    <row r="4664" spans="1:14">
      <c r="A4664" t="s">
        <v>273</v>
      </c>
      <c r="B4664" t="str">
        <f>_xlfn.XLOOKUP(A4664,'[1]Tissue Data'!$A:$A,'[1]Tissue Data'!$C:$C)</f>
        <v>Spill</v>
      </c>
      <c r="C4664" s="2">
        <f>_xlfn.XLOOKUP(A4664,'[1]Tissue Data'!$A:$A,'[1]Tissue Data'!$D:$D)</f>
        <v>44393</v>
      </c>
      <c r="D4664" s="2" t="str">
        <f>_xlfn.XLOOKUP(A4664,'[1]Tissue Data'!$A:$A,'[1]Tissue Data'!$F:$F)</f>
        <v>Pumpkinseed</v>
      </c>
      <c r="E4664" t="str">
        <f>_xlfn.XLOOKUP(A4664,'[1]Tissue Data'!$A:$A,'[1]Tissue Data'!$H:$H)</f>
        <v>Lepomis</v>
      </c>
      <c r="F4664" t="str">
        <f>_xlfn.XLOOKUP(A4664,'[1]Tissue Data'!$A:$A,'[1]Tissue Data'!$I:$I)</f>
        <v>gibbosus</v>
      </c>
      <c r="G4664" t="str">
        <f>_xlfn.XLOOKUP(A4664,'[1]Tissue Data'!$A:$A,'[1]Tissue Data'!J:J)</f>
        <v>M</v>
      </c>
      <c r="H4664" t="str">
        <f>_xlfn.XLOOKUP(A4664,'[1]Tissue Data'!$A:$A,'[1]Tissue Data'!K:K)</f>
        <v>Liver</v>
      </c>
      <c r="I4664">
        <f>_xlfn.XLOOKUP(A4664,'[1]Tissue Data'!$A:$A,'[1]Tissue Data'!L:L)</f>
        <v>12.5</v>
      </c>
      <c r="J4664">
        <f>_xlfn.XLOOKUP(A4664,'[1]Tissue Data'!$A:$A,'[1]Tissue Data'!M:M)</f>
        <v>30.45</v>
      </c>
      <c r="K4664" t="s">
        <v>24</v>
      </c>
      <c r="L4664" t="str">
        <f>_xlfn.XLOOKUP(K4664,[2]analyte_order!$B:$B,[2]analyte_order!$C:$C)</f>
        <v>423-41-6</v>
      </c>
      <c r="M4664">
        <f>_xlfn.XLOOKUP(L4664,[2]analyte_order!$C:$C,[2]analyte_order!$E:$E)</f>
        <v>53</v>
      </c>
      <c r="N4664">
        <v>0.2525</v>
      </c>
    </row>
    <row r="4665" spans="1:14">
      <c r="A4665" t="s">
        <v>273</v>
      </c>
      <c r="B4665" t="str">
        <f>_xlfn.XLOOKUP(A4665,'[1]Tissue Data'!$A:$A,'[1]Tissue Data'!$C:$C)</f>
        <v>Spill</v>
      </c>
      <c r="C4665" s="2">
        <f>_xlfn.XLOOKUP(A4665,'[1]Tissue Data'!$A:$A,'[1]Tissue Data'!$D:$D)</f>
        <v>44393</v>
      </c>
      <c r="D4665" s="2" t="str">
        <f>_xlfn.XLOOKUP(A4665,'[1]Tissue Data'!$A:$A,'[1]Tissue Data'!$F:$F)</f>
        <v>Pumpkinseed</v>
      </c>
      <c r="E4665" t="str">
        <f>_xlfn.XLOOKUP(A4665,'[1]Tissue Data'!$A:$A,'[1]Tissue Data'!$H:$H)</f>
        <v>Lepomis</v>
      </c>
      <c r="F4665" t="str">
        <f>_xlfn.XLOOKUP(A4665,'[1]Tissue Data'!$A:$A,'[1]Tissue Data'!$I:$I)</f>
        <v>gibbosus</v>
      </c>
      <c r="G4665" t="str">
        <f>_xlfn.XLOOKUP(A4665,'[1]Tissue Data'!$A:$A,'[1]Tissue Data'!J:J)</f>
        <v>M</v>
      </c>
      <c r="H4665" t="str">
        <f>_xlfn.XLOOKUP(A4665,'[1]Tissue Data'!$A:$A,'[1]Tissue Data'!K:K)</f>
        <v>Liver</v>
      </c>
      <c r="I4665">
        <f>_xlfn.XLOOKUP(A4665,'[1]Tissue Data'!$A:$A,'[1]Tissue Data'!L:L)</f>
        <v>12.5</v>
      </c>
      <c r="J4665">
        <f>_xlfn.XLOOKUP(A4665,'[1]Tissue Data'!$A:$A,'[1]Tissue Data'!M:M)</f>
        <v>30.45</v>
      </c>
      <c r="K4665" t="s">
        <v>25</v>
      </c>
      <c r="L4665" t="str">
        <f>_xlfn.XLOOKUP(K4665,[2]analyte_order!$B:$B,[2]analyte_order!$C:$C)</f>
        <v>375-73-5</v>
      </c>
      <c r="M4665">
        <f>_xlfn.XLOOKUP(L4665,[2]analyte_order!$C:$C,[2]analyte_order!$E:$E)</f>
        <v>14</v>
      </c>
      <c r="N4665">
        <v>0.17199999999999999</v>
      </c>
    </row>
    <row r="4666" spans="1:14">
      <c r="A4666" t="s">
        <v>273</v>
      </c>
      <c r="B4666" t="str">
        <f>_xlfn.XLOOKUP(A4666,'[1]Tissue Data'!$A:$A,'[1]Tissue Data'!$C:$C)</f>
        <v>Spill</v>
      </c>
      <c r="C4666" s="2">
        <f>_xlfn.XLOOKUP(A4666,'[1]Tissue Data'!$A:$A,'[1]Tissue Data'!$D:$D)</f>
        <v>44393</v>
      </c>
      <c r="D4666" s="2" t="str">
        <f>_xlfn.XLOOKUP(A4666,'[1]Tissue Data'!$A:$A,'[1]Tissue Data'!$F:$F)</f>
        <v>Pumpkinseed</v>
      </c>
      <c r="E4666" t="str">
        <f>_xlfn.XLOOKUP(A4666,'[1]Tissue Data'!$A:$A,'[1]Tissue Data'!$H:$H)</f>
        <v>Lepomis</v>
      </c>
      <c r="F4666" t="str">
        <f>_xlfn.XLOOKUP(A4666,'[1]Tissue Data'!$A:$A,'[1]Tissue Data'!$I:$I)</f>
        <v>gibbosus</v>
      </c>
      <c r="G4666" t="str">
        <f>_xlfn.XLOOKUP(A4666,'[1]Tissue Data'!$A:$A,'[1]Tissue Data'!J:J)</f>
        <v>M</v>
      </c>
      <c r="H4666" t="str">
        <f>_xlfn.XLOOKUP(A4666,'[1]Tissue Data'!$A:$A,'[1]Tissue Data'!K:K)</f>
        <v>Liver</v>
      </c>
      <c r="I4666">
        <f>_xlfn.XLOOKUP(A4666,'[1]Tissue Data'!$A:$A,'[1]Tissue Data'!L:L)</f>
        <v>12.5</v>
      </c>
      <c r="J4666">
        <f>_xlfn.XLOOKUP(A4666,'[1]Tissue Data'!$A:$A,'[1]Tissue Data'!M:M)</f>
        <v>30.45</v>
      </c>
      <c r="K4666" t="s">
        <v>26</v>
      </c>
      <c r="L4666" t="str">
        <f>_xlfn.XLOOKUP(K4666,[2]analyte_order!$B:$B,[2]analyte_order!$C:$C)</f>
        <v>2706-91-4</v>
      </c>
      <c r="M4666">
        <f>_xlfn.XLOOKUP(L4666,[2]analyte_order!$C:$C,[2]analyte_order!$E:$E)</f>
        <v>15</v>
      </c>
      <c r="N4666">
        <v>0.2525</v>
      </c>
    </row>
    <row r="4667" spans="1:14">
      <c r="A4667" t="s">
        <v>273</v>
      </c>
      <c r="B4667" t="str">
        <f>_xlfn.XLOOKUP(A4667,'[1]Tissue Data'!$A:$A,'[1]Tissue Data'!$C:$C)</f>
        <v>Spill</v>
      </c>
      <c r="C4667" s="2">
        <f>_xlfn.XLOOKUP(A4667,'[1]Tissue Data'!$A:$A,'[1]Tissue Data'!$D:$D)</f>
        <v>44393</v>
      </c>
      <c r="D4667" s="2" t="str">
        <f>_xlfn.XLOOKUP(A4667,'[1]Tissue Data'!$A:$A,'[1]Tissue Data'!$F:$F)</f>
        <v>Pumpkinseed</v>
      </c>
      <c r="E4667" t="str">
        <f>_xlfn.XLOOKUP(A4667,'[1]Tissue Data'!$A:$A,'[1]Tissue Data'!$H:$H)</f>
        <v>Lepomis</v>
      </c>
      <c r="F4667" t="str">
        <f>_xlfn.XLOOKUP(A4667,'[1]Tissue Data'!$A:$A,'[1]Tissue Data'!$I:$I)</f>
        <v>gibbosus</v>
      </c>
      <c r="G4667" t="str">
        <f>_xlfn.XLOOKUP(A4667,'[1]Tissue Data'!$A:$A,'[1]Tissue Data'!J:J)</f>
        <v>M</v>
      </c>
      <c r="H4667" t="str">
        <f>_xlfn.XLOOKUP(A4667,'[1]Tissue Data'!$A:$A,'[1]Tissue Data'!K:K)</f>
        <v>Liver</v>
      </c>
      <c r="I4667">
        <f>_xlfn.XLOOKUP(A4667,'[1]Tissue Data'!$A:$A,'[1]Tissue Data'!L:L)</f>
        <v>12.5</v>
      </c>
      <c r="J4667">
        <f>_xlfn.XLOOKUP(A4667,'[1]Tissue Data'!$A:$A,'[1]Tissue Data'!M:M)</f>
        <v>30.45</v>
      </c>
      <c r="K4667" t="s">
        <v>27</v>
      </c>
      <c r="L4667" t="str">
        <f>_xlfn.XLOOKUP(K4667,[2]analyte_order!$B:$B,[2]analyte_order!$C:$C)</f>
        <v>355-46-4</v>
      </c>
      <c r="M4667">
        <f>_xlfn.XLOOKUP(L4667,[2]analyte_order!$C:$C,[2]analyte_order!$E:$E)</f>
        <v>16</v>
      </c>
      <c r="N4667">
        <v>7.54</v>
      </c>
    </row>
    <row r="4668" spans="1:14">
      <c r="A4668" t="s">
        <v>273</v>
      </c>
      <c r="B4668" t="str">
        <f>_xlfn.XLOOKUP(A4668,'[1]Tissue Data'!$A:$A,'[1]Tissue Data'!$C:$C)</f>
        <v>Spill</v>
      </c>
      <c r="C4668" s="2">
        <f>_xlfn.XLOOKUP(A4668,'[1]Tissue Data'!$A:$A,'[1]Tissue Data'!$D:$D)</f>
        <v>44393</v>
      </c>
      <c r="D4668" s="2" t="str">
        <f>_xlfn.XLOOKUP(A4668,'[1]Tissue Data'!$A:$A,'[1]Tissue Data'!$F:$F)</f>
        <v>Pumpkinseed</v>
      </c>
      <c r="E4668" t="str">
        <f>_xlfn.XLOOKUP(A4668,'[1]Tissue Data'!$A:$A,'[1]Tissue Data'!$H:$H)</f>
        <v>Lepomis</v>
      </c>
      <c r="F4668" t="str">
        <f>_xlfn.XLOOKUP(A4668,'[1]Tissue Data'!$A:$A,'[1]Tissue Data'!$I:$I)</f>
        <v>gibbosus</v>
      </c>
      <c r="G4668" t="str">
        <f>_xlfn.XLOOKUP(A4668,'[1]Tissue Data'!$A:$A,'[1]Tissue Data'!J:J)</f>
        <v>M</v>
      </c>
      <c r="H4668" t="str">
        <f>_xlfn.XLOOKUP(A4668,'[1]Tissue Data'!$A:$A,'[1]Tissue Data'!K:K)</f>
        <v>Liver</v>
      </c>
      <c r="I4668">
        <f>_xlfn.XLOOKUP(A4668,'[1]Tissue Data'!$A:$A,'[1]Tissue Data'!L:L)</f>
        <v>12.5</v>
      </c>
      <c r="J4668">
        <f>_xlfn.XLOOKUP(A4668,'[1]Tissue Data'!$A:$A,'[1]Tissue Data'!M:M)</f>
        <v>30.45</v>
      </c>
      <c r="K4668" t="s">
        <v>28</v>
      </c>
      <c r="L4668" t="str">
        <f>_xlfn.XLOOKUP(K4668,[2]analyte_order!$B:$B,[2]analyte_order!$C:$C)</f>
        <v>375-92-8</v>
      </c>
      <c r="M4668">
        <f>_xlfn.XLOOKUP(L4668,[2]analyte_order!$C:$C,[2]analyte_order!$E:$E)</f>
        <v>17</v>
      </c>
      <c r="N4668">
        <v>1.66</v>
      </c>
    </row>
    <row r="4669" spans="1:14">
      <c r="A4669" t="s">
        <v>273</v>
      </c>
      <c r="B4669" t="str">
        <f>_xlfn.XLOOKUP(A4669,'[1]Tissue Data'!$A:$A,'[1]Tissue Data'!$C:$C)</f>
        <v>Spill</v>
      </c>
      <c r="C4669" s="2">
        <f>_xlfn.XLOOKUP(A4669,'[1]Tissue Data'!$A:$A,'[1]Tissue Data'!$D:$D)</f>
        <v>44393</v>
      </c>
      <c r="D4669" s="2" t="str">
        <f>_xlfn.XLOOKUP(A4669,'[1]Tissue Data'!$A:$A,'[1]Tissue Data'!$F:$F)</f>
        <v>Pumpkinseed</v>
      </c>
      <c r="E4669" t="str">
        <f>_xlfn.XLOOKUP(A4669,'[1]Tissue Data'!$A:$A,'[1]Tissue Data'!$H:$H)</f>
        <v>Lepomis</v>
      </c>
      <c r="F4669" t="str">
        <f>_xlfn.XLOOKUP(A4669,'[1]Tissue Data'!$A:$A,'[1]Tissue Data'!$I:$I)</f>
        <v>gibbosus</v>
      </c>
      <c r="G4669" t="str">
        <f>_xlfn.XLOOKUP(A4669,'[1]Tissue Data'!$A:$A,'[1]Tissue Data'!J:J)</f>
        <v>M</v>
      </c>
      <c r="H4669" t="str">
        <f>_xlfn.XLOOKUP(A4669,'[1]Tissue Data'!$A:$A,'[1]Tissue Data'!K:K)</f>
        <v>Liver</v>
      </c>
      <c r="I4669">
        <f>_xlfn.XLOOKUP(A4669,'[1]Tissue Data'!$A:$A,'[1]Tissue Data'!L:L)</f>
        <v>12.5</v>
      </c>
      <c r="J4669">
        <f>_xlfn.XLOOKUP(A4669,'[1]Tissue Data'!$A:$A,'[1]Tissue Data'!M:M)</f>
        <v>30.45</v>
      </c>
      <c r="K4669" t="s">
        <v>29</v>
      </c>
      <c r="L4669" t="str">
        <f>_xlfn.XLOOKUP(K4669,[2]analyte_order!$B:$B,[2]analyte_order!$C:$C)</f>
        <v>1763-23-1</v>
      </c>
      <c r="M4669">
        <f>_xlfn.XLOOKUP(L4669,[2]analyte_order!$C:$C,[2]analyte_order!$E:$E)</f>
        <v>18</v>
      </c>
      <c r="N4669">
        <v>423</v>
      </c>
    </row>
    <row r="4670" spans="1:14">
      <c r="A4670" t="s">
        <v>273</v>
      </c>
      <c r="B4670" t="str">
        <f>_xlfn.XLOOKUP(A4670,'[1]Tissue Data'!$A:$A,'[1]Tissue Data'!$C:$C)</f>
        <v>Spill</v>
      </c>
      <c r="C4670" s="2">
        <f>_xlfn.XLOOKUP(A4670,'[1]Tissue Data'!$A:$A,'[1]Tissue Data'!$D:$D)</f>
        <v>44393</v>
      </c>
      <c r="D4670" s="2" t="str">
        <f>_xlfn.XLOOKUP(A4670,'[1]Tissue Data'!$A:$A,'[1]Tissue Data'!$F:$F)</f>
        <v>Pumpkinseed</v>
      </c>
      <c r="E4670" t="str">
        <f>_xlfn.XLOOKUP(A4670,'[1]Tissue Data'!$A:$A,'[1]Tissue Data'!$H:$H)</f>
        <v>Lepomis</v>
      </c>
      <c r="F4670" t="str">
        <f>_xlfn.XLOOKUP(A4670,'[1]Tissue Data'!$A:$A,'[1]Tissue Data'!$I:$I)</f>
        <v>gibbosus</v>
      </c>
      <c r="G4670" t="str">
        <f>_xlfn.XLOOKUP(A4670,'[1]Tissue Data'!$A:$A,'[1]Tissue Data'!J:J)</f>
        <v>M</v>
      </c>
      <c r="H4670" t="str">
        <f>_xlfn.XLOOKUP(A4670,'[1]Tissue Data'!$A:$A,'[1]Tissue Data'!K:K)</f>
        <v>Liver</v>
      </c>
      <c r="I4670">
        <f>_xlfn.XLOOKUP(A4670,'[1]Tissue Data'!$A:$A,'[1]Tissue Data'!L:L)</f>
        <v>12.5</v>
      </c>
      <c r="J4670">
        <f>_xlfn.XLOOKUP(A4670,'[1]Tissue Data'!$A:$A,'[1]Tissue Data'!M:M)</f>
        <v>30.45</v>
      </c>
      <c r="K4670" t="s">
        <v>30</v>
      </c>
      <c r="L4670" t="str">
        <f>_xlfn.XLOOKUP(K4670,[2]analyte_order!$B:$B,[2]analyte_order!$C:$C)</f>
        <v>68259-12-1</v>
      </c>
      <c r="M4670">
        <f>_xlfn.XLOOKUP(L4670,[2]analyte_order!$C:$C,[2]analyte_order!$E:$E)</f>
        <v>19</v>
      </c>
      <c r="N4670">
        <v>0.47499999999999998</v>
      </c>
    </row>
    <row r="4671" spans="1:14">
      <c r="A4671" t="s">
        <v>273</v>
      </c>
      <c r="B4671" t="str">
        <f>_xlfn.XLOOKUP(A4671,'[1]Tissue Data'!$A:$A,'[1]Tissue Data'!$C:$C)</f>
        <v>Spill</v>
      </c>
      <c r="C4671" s="2">
        <f>_xlfn.XLOOKUP(A4671,'[1]Tissue Data'!$A:$A,'[1]Tissue Data'!$D:$D)</f>
        <v>44393</v>
      </c>
      <c r="D4671" s="2" t="str">
        <f>_xlfn.XLOOKUP(A4671,'[1]Tissue Data'!$A:$A,'[1]Tissue Data'!$F:$F)</f>
        <v>Pumpkinseed</v>
      </c>
      <c r="E4671" t="str">
        <f>_xlfn.XLOOKUP(A4671,'[1]Tissue Data'!$A:$A,'[1]Tissue Data'!$H:$H)</f>
        <v>Lepomis</v>
      </c>
      <c r="F4671" t="str">
        <f>_xlfn.XLOOKUP(A4671,'[1]Tissue Data'!$A:$A,'[1]Tissue Data'!$I:$I)</f>
        <v>gibbosus</v>
      </c>
      <c r="G4671" t="str">
        <f>_xlfn.XLOOKUP(A4671,'[1]Tissue Data'!$A:$A,'[1]Tissue Data'!J:J)</f>
        <v>M</v>
      </c>
      <c r="H4671" t="str">
        <f>_xlfn.XLOOKUP(A4671,'[1]Tissue Data'!$A:$A,'[1]Tissue Data'!K:K)</f>
        <v>Liver</v>
      </c>
      <c r="I4671">
        <f>_xlfn.XLOOKUP(A4671,'[1]Tissue Data'!$A:$A,'[1]Tissue Data'!L:L)</f>
        <v>12.5</v>
      </c>
      <c r="J4671">
        <f>_xlfn.XLOOKUP(A4671,'[1]Tissue Data'!$A:$A,'[1]Tissue Data'!M:M)</f>
        <v>30.45</v>
      </c>
      <c r="K4671" t="s">
        <v>31</v>
      </c>
      <c r="L4671" t="str">
        <f>_xlfn.XLOOKUP(K4671,[2]analyte_order!$B:$B,[2]analyte_order!$C:$C)</f>
        <v>335-77-3</v>
      </c>
      <c r="M4671">
        <f>_xlfn.XLOOKUP(L4671,[2]analyte_order!$C:$C,[2]analyte_order!$E:$E)</f>
        <v>20</v>
      </c>
      <c r="N4671">
        <v>0.68</v>
      </c>
    </row>
    <row r="4672" spans="1:14">
      <c r="A4672" t="s">
        <v>273</v>
      </c>
      <c r="B4672" t="str">
        <f>_xlfn.XLOOKUP(A4672,'[1]Tissue Data'!$A:$A,'[1]Tissue Data'!$C:$C)</f>
        <v>Spill</v>
      </c>
      <c r="C4672" s="2">
        <f>_xlfn.XLOOKUP(A4672,'[1]Tissue Data'!$A:$A,'[1]Tissue Data'!$D:$D)</f>
        <v>44393</v>
      </c>
      <c r="D4672" s="2" t="str">
        <f>_xlfn.XLOOKUP(A4672,'[1]Tissue Data'!$A:$A,'[1]Tissue Data'!$F:$F)</f>
        <v>Pumpkinseed</v>
      </c>
      <c r="E4672" t="str">
        <f>_xlfn.XLOOKUP(A4672,'[1]Tissue Data'!$A:$A,'[1]Tissue Data'!$H:$H)</f>
        <v>Lepomis</v>
      </c>
      <c r="F4672" t="str">
        <f>_xlfn.XLOOKUP(A4672,'[1]Tissue Data'!$A:$A,'[1]Tissue Data'!$I:$I)</f>
        <v>gibbosus</v>
      </c>
      <c r="G4672" t="str">
        <f>_xlfn.XLOOKUP(A4672,'[1]Tissue Data'!$A:$A,'[1]Tissue Data'!J:J)</f>
        <v>M</v>
      </c>
      <c r="H4672" t="str">
        <f>_xlfn.XLOOKUP(A4672,'[1]Tissue Data'!$A:$A,'[1]Tissue Data'!K:K)</f>
        <v>Liver</v>
      </c>
      <c r="I4672">
        <f>_xlfn.XLOOKUP(A4672,'[1]Tissue Data'!$A:$A,'[1]Tissue Data'!L:L)</f>
        <v>12.5</v>
      </c>
      <c r="J4672">
        <f>_xlfn.XLOOKUP(A4672,'[1]Tissue Data'!$A:$A,'[1]Tissue Data'!M:M)</f>
        <v>30.45</v>
      </c>
      <c r="K4672" t="s">
        <v>32</v>
      </c>
      <c r="L4672" t="str">
        <f>_xlfn.XLOOKUP(K4672,[2]analyte_order!$B:$B,[2]analyte_order!$C:$C)</f>
        <v>79780-39-5</v>
      </c>
      <c r="M4672">
        <f>_xlfn.XLOOKUP(L4672,[2]analyte_order!$C:$C,[2]analyte_order!$E:$E)</f>
        <v>21</v>
      </c>
      <c r="N4672">
        <v>0.27</v>
      </c>
    </row>
    <row r="4673" spans="1:14">
      <c r="A4673" t="s">
        <v>273</v>
      </c>
      <c r="B4673" t="str">
        <f>_xlfn.XLOOKUP(A4673,'[1]Tissue Data'!$A:$A,'[1]Tissue Data'!$C:$C)</f>
        <v>Spill</v>
      </c>
      <c r="C4673" s="2">
        <f>_xlfn.XLOOKUP(A4673,'[1]Tissue Data'!$A:$A,'[1]Tissue Data'!$D:$D)</f>
        <v>44393</v>
      </c>
      <c r="D4673" s="2" t="str">
        <f>_xlfn.XLOOKUP(A4673,'[1]Tissue Data'!$A:$A,'[1]Tissue Data'!$F:$F)</f>
        <v>Pumpkinseed</v>
      </c>
      <c r="E4673" t="str">
        <f>_xlfn.XLOOKUP(A4673,'[1]Tissue Data'!$A:$A,'[1]Tissue Data'!$H:$H)</f>
        <v>Lepomis</v>
      </c>
      <c r="F4673" t="str">
        <f>_xlfn.XLOOKUP(A4673,'[1]Tissue Data'!$A:$A,'[1]Tissue Data'!$I:$I)</f>
        <v>gibbosus</v>
      </c>
      <c r="G4673" t="str">
        <f>_xlfn.XLOOKUP(A4673,'[1]Tissue Data'!$A:$A,'[1]Tissue Data'!J:J)</f>
        <v>M</v>
      </c>
      <c r="H4673" t="str">
        <f>_xlfn.XLOOKUP(A4673,'[1]Tissue Data'!$A:$A,'[1]Tissue Data'!K:K)</f>
        <v>Liver</v>
      </c>
      <c r="I4673">
        <f>_xlfn.XLOOKUP(A4673,'[1]Tissue Data'!$A:$A,'[1]Tissue Data'!L:L)</f>
        <v>12.5</v>
      </c>
      <c r="J4673">
        <f>_xlfn.XLOOKUP(A4673,'[1]Tissue Data'!$A:$A,'[1]Tissue Data'!M:M)</f>
        <v>30.45</v>
      </c>
      <c r="K4673" t="s">
        <v>33</v>
      </c>
      <c r="L4673" t="str">
        <f>_xlfn.XLOOKUP(K4673,[2]analyte_order!$B:$B,[2]analyte_order!$C:$C)</f>
        <v>777011-38-8</v>
      </c>
      <c r="M4673">
        <f>_xlfn.XLOOKUP(L4673,[2]analyte_order!$C:$C,[2]analyte_order!$E:$E)</f>
        <v>54</v>
      </c>
      <c r="N4673">
        <v>0.1535</v>
      </c>
    </row>
    <row r="4674" spans="1:14">
      <c r="A4674" t="s">
        <v>273</v>
      </c>
      <c r="B4674" t="str">
        <f>_xlfn.XLOOKUP(A4674,'[1]Tissue Data'!$A:$A,'[1]Tissue Data'!$C:$C)</f>
        <v>Spill</v>
      </c>
      <c r="C4674" s="2">
        <f>_xlfn.XLOOKUP(A4674,'[1]Tissue Data'!$A:$A,'[1]Tissue Data'!$D:$D)</f>
        <v>44393</v>
      </c>
      <c r="D4674" s="2" t="str">
        <f>_xlfn.XLOOKUP(A4674,'[1]Tissue Data'!$A:$A,'[1]Tissue Data'!$F:$F)</f>
        <v>Pumpkinseed</v>
      </c>
      <c r="E4674" t="str">
        <f>_xlfn.XLOOKUP(A4674,'[1]Tissue Data'!$A:$A,'[1]Tissue Data'!$H:$H)</f>
        <v>Lepomis</v>
      </c>
      <c r="F4674" t="str">
        <f>_xlfn.XLOOKUP(A4674,'[1]Tissue Data'!$A:$A,'[1]Tissue Data'!$I:$I)</f>
        <v>gibbosus</v>
      </c>
      <c r="G4674" t="str">
        <f>_xlfn.XLOOKUP(A4674,'[1]Tissue Data'!$A:$A,'[1]Tissue Data'!J:J)</f>
        <v>M</v>
      </c>
      <c r="H4674" t="str">
        <f>_xlfn.XLOOKUP(A4674,'[1]Tissue Data'!$A:$A,'[1]Tissue Data'!K:K)</f>
        <v>Liver</v>
      </c>
      <c r="I4674">
        <f>_xlfn.XLOOKUP(A4674,'[1]Tissue Data'!$A:$A,'[1]Tissue Data'!L:L)</f>
        <v>12.5</v>
      </c>
      <c r="J4674">
        <f>_xlfn.XLOOKUP(A4674,'[1]Tissue Data'!$A:$A,'[1]Tissue Data'!M:M)</f>
        <v>30.45</v>
      </c>
      <c r="K4674" t="s">
        <v>34</v>
      </c>
      <c r="L4674" t="str">
        <f>_xlfn.XLOOKUP(K4674,[2]analyte_order!$B:$B,[2]analyte_order!$C:$C)</f>
        <v>646-83-3</v>
      </c>
      <c r="M4674">
        <f>_xlfn.XLOOKUP(L4674,[2]analyte_order!$C:$C,[2]analyte_order!$E:$E)</f>
        <v>55</v>
      </c>
      <c r="N4674">
        <v>0.2525</v>
      </c>
    </row>
    <row r="4675" spans="1:14">
      <c r="A4675" t="s">
        <v>273</v>
      </c>
      <c r="B4675" t="str">
        <f>_xlfn.XLOOKUP(A4675,'[1]Tissue Data'!$A:$A,'[1]Tissue Data'!$C:$C)</f>
        <v>Spill</v>
      </c>
      <c r="C4675" s="2">
        <f>_xlfn.XLOOKUP(A4675,'[1]Tissue Data'!$A:$A,'[1]Tissue Data'!$D:$D)</f>
        <v>44393</v>
      </c>
      <c r="D4675" s="2" t="str">
        <f>_xlfn.XLOOKUP(A4675,'[1]Tissue Data'!$A:$A,'[1]Tissue Data'!$F:$F)</f>
        <v>Pumpkinseed</v>
      </c>
      <c r="E4675" t="str">
        <f>_xlfn.XLOOKUP(A4675,'[1]Tissue Data'!$A:$A,'[1]Tissue Data'!$H:$H)</f>
        <v>Lepomis</v>
      </c>
      <c r="F4675" t="str">
        <f>_xlfn.XLOOKUP(A4675,'[1]Tissue Data'!$A:$A,'[1]Tissue Data'!$I:$I)</f>
        <v>gibbosus</v>
      </c>
      <c r="G4675" t="str">
        <f>_xlfn.XLOOKUP(A4675,'[1]Tissue Data'!$A:$A,'[1]Tissue Data'!J:J)</f>
        <v>M</v>
      </c>
      <c r="H4675" t="str">
        <f>_xlfn.XLOOKUP(A4675,'[1]Tissue Data'!$A:$A,'[1]Tissue Data'!K:K)</f>
        <v>Liver</v>
      </c>
      <c r="I4675">
        <f>_xlfn.XLOOKUP(A4675,'[1]Tissue Data'!$A:$A,'[1]Tissue Data'!L:L)</f>
        <v>12.5</v>
      </c>
      <c r="J4675">
        <f>_xlfn.XLOOKUP(A4675,'[1]Tissue Data'!$A:$A,'[1]Tissue Data'!M:M)</f>
        <v>30.45</v>
      </c>
      <c r="K4675" t="s">
        <v>35</v>
      </c>
      <c r="L4675" t="str">
        <f>_xlfn.XLOOKUP(K4675,[2]analyte_order!$B:$B,[2]analyte_order!$C:$C)</f>
        <v>30334-69-1</v>
      </c>
      <c r="M4675">
        <f>_xlfn.XLOOKUP(L4675,[2]analyte_order!$C:$C,[2]analyte_order!$E:$E)</f>
        <v>51</v>
      </c>
      <c r="N4675">
        <v>6.33</v>
      </c>
    </row>
    <row r="4676" spans="1:14">
      <c r="A4676" t="s">
        <v>273</v>
      </c>
      <c r="B4676" t="str">
        <f>_xlfn.XLOOKUP(A4676,'[1]Tissue Data'!$A:$A,'[1]Tissue Data'!$C:$C)</f>
        <v>Spill</v>
      </c>
      <c r="C4676" s="2">
        <f>_xlfn.XLOOKUP(A4676,'[1]Tissue Data'!$A:$A,'[1]Tissue Data'!$D:$D)</f>
        <v>44393</v>
      </c>
      <c r="D4676" s="2" t="str">
        <f>_xlfn.XLOOKUP(A4676,'[1]Tissue Data'!$A:$A,'[1]Tissue Data'!$F:$F)</f>
        <v>Pumpkinseed</v>
      </c>
      <c r="E4676" t="str">
        <f>_xlfn.XLOOKUP(A4676,'[1]Tissue Data'!$A:$A,'[1]Tissue Data'!$H:$H)</f>
        <v>Lepomis</v>
      </c>
      <c r="F4676" t="str">
        <f>_xlfn.XLOOKUP(A4676,'[1]Tissue Data'!$A:$A,'[1]Tissue Data'!$I:$I)</f>
        <v>gibbosus</v>
      </c>
      <c r="G4676" t="str">
        <f>_xlfn.XLOOKUP(A4676,'[1]Tissue Data'!$A:$A,'[1]Tissue Data'!J:J)</f>
        <v>M</v>
      </c>
      <c r="H4676" t="str">
        <f>_xlfn.XLOOKUP(A4676,'[1]Tissue Data'!$A:$A,'[1]Tissue Data'!K:K)</f>
        <v>Liver</v>
      </c>
      <c r="I4676">
        <f>_xlfn.XLOOKUP(A4676,'[1]Tissue Data'!$A:$A,'[1]Tissue Data'!L:L)</f>
        <v>12.5</v>
      </c>
      <c r="J4676">
        <f>_xlfn.XLOOKUP(A4676,'[1]Tissue Data'!$A:$A,'[1]Tissue Data'!M:M)</f>
        <v>30.45</v>
      </c>
      <c r="K4676" t="s">
        <v>36</v>
      </c>
      <c r="L4676" t="str">
        <f>_xlfn.XLOOKUP(K4676,[2]analyte_order!$B:$B,[2]analyte_order!$C:$C)</f>
        <v>41997-13-1</v>
      </c>
      <c r="M4676">
        <f>_xlfn.XLOOKUP(L4676,[2]analyte_order!$C:$C,[2]analyte_order!$E:$E)</f>
        <v>52</v>
      </c>
      <c r="N4676">
        <v>65.8</v>
      </c>
    </row>
    <row r="4677" spans="1:14">
      <c r="A4677" t="s">
        <v>273</v>
      </c>
      <c r="B4677" t="str">
        <f>_xlfn.XLOOKUP(A4677,'[1]Tissue Data'!$A:$A,'[1]Tissue Data'!$C:$C)</f>
        <v>Spill</v>
      </c>
      <c r="C4677" s="2">
        <f>_xlfn.XLOOKUP(A4677,'[1]Tissue Data'!$A:$A,'[1]Tissue Data'!$D:$D)</f>
        <v>44393</v>
      </c>
      <c r="D4677" s="2" t="str">
        <f>_xlfn.XLOOKUP(A4677,'[1]Tissue Data'!$A:$A,'[1]Tissue Data'!$F:$F)</f>
        <v>Pumpkinseed</v>
      </c>
      <c r="E4677" t="str">
        <f>_xlfn.XLOOKUP(A4677,'[1]Tissue Data'!$A:$A,'[1]Tissue Data'!$H:$H)</f>
        <v>Lepomis</v>
      </c>
      <c r="F4677" t="str">
        <f>_xlfn.XLOOKUP(A4677,'[1]Tissue Data'!$A:$A,'[1]Tissue Data'!$I:$I)</f>
        <v>gibbosus</v>
      </c>
      <c r="G4677" t="str">
        <f>_xlfn.XLOOKUP(A4677,'[1]Tissue Data'!$A:$A,'[1]Tissue Data'!J:J)</f>
        <v>M</v>
      </c>
      <c r="H4677" t="str">
        <f>_xlfn.XLOOKUP(A4677,'[1]Tissue Data'!$A:$A,'[1]Tissue Data'!K:K)</f>
        <v>Liver</v>
      </c>
      <c r="I4677">
        <f>_xlfn.XLOOKUP(A4677,'[1]Tissue Data'!$A:$A,'[1]Tissue Data'!L:L)</f>
        <v>12.5</v>
      </c>
      <c r="J4677">
        <f>_xlfn.XLOOKUP(A4677,'[1]Tissue Data'!$A:$A,'[1]Tissue Data'!M:M)</f>
        <v>30.45</v>
      </c>
      <c r="K4677" t="s">
        <v>37</v>
      </c>
      <c r="L4677" t="str">
        <f>_xlfn.XLOOKUP(K4677,[2]analyte_order!$B:$B,[2]analyte_order!$C:$C)</f>
        <v>754-91-6</v>
      </c>
      <c r="M4677">
        <f>_xlfn.XLOOKUP(L4677,[2]analyte_order!$C:$C,[2]analyte_order!$E:$E)</f>
        <v>28</v>
      </c>
      <c r="N4677">
        <v>7.65</v>
      </c>
    </row>
    <row r="4678" spans="1:14">
      <c r="A4678" t="s">
        <v>273</v>
      </c>
      <c r="B4678" t="str">
        <f>_xlfn.XLOOKUP(A4678,'[1]Tissue Data'!$A:$A,'[1]Tissue Data'!$C:$C)</f>
        <v>Spill</v>
      </c>
      <c r="C4678" s="2">
        <f>_xlfn.XLOOKUP(A4678,'[1]Tissue Data'!$A:$A,'[1]Tissue Data'!$D:$D)</f>
        <v>44393</v>
      </c>
      <c r="D4678" s="2" t="str">
        <f>_xlfn.XLOOKUP(A4678,'[1]Tissue Data'!$A:$A,'[1]Tissue Data'!$F:$F)</f>
        <v>Pumpkinseed</v>
      </c>
      <c r="E4678" t="str">
        <f>_xlfn.XLOOKUP(A4678,'[1]Tissue Data'!$A:$A,'[1]Tissue Data'!$H:$H)</f>
        <v>Lepomis</v>
      </c>
      <c r="F4678" t="str">
        <f>_xlfn.XLOOKUP(A4678,'[1]Tissue Data'!$A:$A,'[1]Tissue Data'!$I:$I)</f>
        <v>gibbosus</v>
      </c>
      <c r="G4678" t="str">
        <f>_xlfn.XLOOKUP(A4678,'[1]Tissue Data'!$A:$A,'[1]Tissue Data'!J:J)</f>
        <v>M</v>
      </c>
      <c r="H4678" t="str">
        <f>_xlfn.XLOOKUP(A4678,'[1]Tissue Data'!$A:$A,'[1]Tissue Data'!K:K)</f>
        <v>Liver</v>
      </c>
      <c r="I4678">
        <f>_xlfn.XLOOKUP(A4678,'[1]Tissue Data'!$A:$A,'[1]Tissue Data'!L:L)</f>
        <v>12.5</v>
      </c>
      <c r="J4678">
        <f>_xlfn.XLOOKUP(A4678,'[1]Tissue Data'!$A:$A,'[1]Tissue Data'!M:M)</f>
        <v>30.45</v>
      </c>
      <c r="K4678" t="s">
        <v>38</v>
      </c>
      <c r="L4678" t="str">
        <f>_xlfn.XLOOKUP(K4678,[2]analyte_order!$B:$B,[2]analyte_order!$C:$C)</f>
        <v>31506-32-8</v>
      </c>
      <c r="M4678">
        <f>_xlfn.XLOOKUP(L4678,[2]analyte_order!$C:$C,[2]analyte_order!$E:$E)</f>
        <v>30</v>
      </c>
      <c r="N4678">
        <v>0.2525</v>
      </c>
    </row>
    <row r="4679" spans="1:14">
      <c r="A4679" t="s">
        <v>273</v>
      </c>
      <c r="B4679" t="str">
        <f>_xlfn.XLOOKUP(A4679,'[1]Tissue Data'!$A:$A,'[1]Tissue Data'!$C:$C)</f>
        <v>Spill</v>
      </c>
      <c r="C4679" s="2">
        <f>_xlfn.XLOOKUP(A4679,'[1]Tissue Data'!$A:$A,'[1]Tissue Data'!$D:$D)</f>
        <v>44393</v>
      </c>
      <c r="D4679" s="2" t="str">
        <f>_xlfn.XLOOKUP(A4679,'[1]Tissue Data'!$A:$A,'[1]Tissue Data'!$F:$F)</f>
        <v>Pumpkinseed</v>
      </c>
      <c r="E4679" t="str">
        <f>_xlfn.XLOOKUP(A4679,'[1]Tissue Data'!$A:$A,'[1]Tissue Data'!$H:$H)</f>
        <v>Lepomis</v>
      </c>
      <c r="F4679" t="str">
        <f>_xlfn.XLOOKUP(A4679,'[1]Tissue Data'!$A:$A,'[1]Tissue Data'!$I:$I)</f>
        <v>gibbosus</v>
      </c>
      <c r="G4679" t="str">
        <f>_xlfn.XLOOKUP(A4679,'[1]Tissue Data'!$A:$A,'[1]Tissue Data'!J:J)</f>
        <v>M</v>
      </c>
      <c r="H4679" t="str">
        <f>_xlfn.XLOOKUP(A4679,'[1]Tissue Data'!$A:$A,'[1]Tissue Data'!K:K)</f>
        <v>Liver</v>
      </c>
      <c r="I4679">
        <f>_xlfn.XLOOKUP(A4679,'[1]Tissue Data'!$A:$A,'[1]Tissue Data'!L:L)</f>
        <v>12.5</v>
      </c>
      <c r="J4679">
        <f>_xlfn.XLOOKUP(A4679,'[1]Tissue Data'!$A:$A,'[1]Tissue Data'!M:M)</f>
        <v>30.45</v>
      </c>
      <c r="K4679" t="s">
        <v>39</v>
      </c>
      <c r="L4679" t="str">
        <f>_xlfn.XLOOKUP(K4679,[2]analyte_order!$B:$B,[2]analyte_order!$C:$C)</f>
        <v>4151-50-2</v>
      </c>
      <c r="M4679">
        <f>_xlfn.XLOOKUP(L4679,[2]analyte_order!$C:$C,[2]analyte_order!$E:$E)</f>
        <v>31</v>
      </c>
      <c r="N4679">
        <v>0.29449999999999998</v>
      </c>
    </row>
    <row r="4680" spans="1:14">
      <c r="A4680" t="s">
        <v>273</v>
      </c>
      <c r="B4680" t="str">
        <f>_xlfn.XLOOKUP(A4680,'[1]Tissue Data'!$A:$A,'[1]Tissue Data'!$C:$C)</f>
        <v>Spill</v>
      </c>
      <c r="C4680" s="2">
        <f>_xlfn.XLOOKUP(A4680,'[1]Tissue Data'!$A:$A,'[1]Tissue Data'!$D:$D)</f>
        <v>44393</v>
      </c>
      <c r="D4680" s="2" t="str">
        <f>_xlfn.XLOOKUP(A4680,'[1]Tissue Data'!$A:$A,'[1]Tissue Data'!$F:$F)</f>
        <v>Pumpkinseed</v>
      </c>
      <c r="E4680" t="str">
        <f>_xlfn.XLOOKUP(A4680,'[1]Tissue Data'!$A:$A,'[1]Tissue Data'!$H:$H)</f>
        <v>Lepomis</v>
      </c>
      <c r="F4680" t="str">
        <f>_xlfn.XLOOKUP(A4680,'[1]Tissue Data'!$A:$A,'[1]Tissue Data'!$I:$I)</f>
        <v>gibbosus</v>
      </c>
      <c r="G4680" t="str">
        <f>_xlfn.XLOOKUP(A4680,'[1]Tissue Data'!$A:$A,'[1]Tissue Data'!J:J)</f>
        <v>M</v>
      </c>
      <c r="H4680" t="str">
        <f>_xlfn.XLOOKUP(A4680,'[1]Tissue Data'!$A:$A,'[1]Tissue Data'!K:K)</f>
        <v>Liver</v>
      </c>
      <c r="I4680">
        <f>_xlfn.XLOOKUP(A4680,'[1]Tissue Data'!$A:$A,'[1]Tissue Data'!L:L)</f>
        <v>12.5</v>
      </c>
      <c r="J4680">
        <f>_xlfn.XLOOKUP(A4680,'[1]Tissue Data'!$A:$A,'[1]Tissue Data'!M:M)</f>
        <v>30.45</v>
      </c>
      <c r="K4680" t="s">
        <v>40</v>
      </c>
      <c r="L4680" t="str">
        <f>_xlfn.XLOOKUP(K4680,[2]analyte_order!$B:$B,[2]analyte_order!$C:$C)</f>
        <v>2806-24-8</v>
      </c>
      <c r="M4680">
        <f>_xlfn.XLOOKUP(L4680,[2]analyte_order!$C:$C,[2]analyte_order!$E:$E)</f>
        <v>29</v>
      </c>
      <c r="N4680">
        <v>0.19900000000000001</v>
      </c>
    </row>
    <row r="4681" spans="1:14">
      <c r="A4681" t="s">
        <v>273</v>
      </c>
      <c r="B4681" t="str">
        <f>_xlfn.XLOOKUP(A4681,'[1]Tissue Data'!$A:$A,'[1]Tissue Data'!$C:$C)</f>
        <v>Spill</v>
      </c>
      <c r="C4681" s="2">
        <f>_xlfn.XLOOKUP(A4681,'[1]Tissue Data'!$A:$A,'[1]Tissue Data'!$D:$D)</f>
        <v>44393</v>
      </c>
      <c r="D4681" s="2" t="str">
        <f>_xlfn.XLOOKUP(A4681,'[1]Tissue Data'!$A:$A,'[1]Tissue Data'!$F:$F)</f>
        <v>Pumpkinseed</v>
      </c>
      <c r="E4681" t="str">
        <f>_xlfn.XLOOKUP(A4681,'[1]Tissue Data'!$A:$A,'[1]Tissue Data'!$H:$H)</f>
        <v>Lepomis</v>
      </c>
      <c r="F4681" t="str">
        <f>_xlfn.XLOOKUP(A4681,'[1]Tissue Data'!$A:$A,'[1]Tissue Data'!$I:$I)</f>
        <v>gibbosus</v>
      </c>
      <c r="G4681" t="str">
        <f>_xlfn.XLOOKUP(A4681,'[1]Tissue Data'!$A:$A,'[1]Tissue Data'!J:J)</f>
        <v>M</v>
      </c>
      <c r="H4681" t="str">
        <f>_xlfn.XLOOKUP(A4681,'[1]Tissue Data'!$A:$A,'[1]Tissue Data'!K:K)</f>
        <v>Liver</v>
      </c>
      <c r="I4681">
        <f>_xlfn.XLOOKUP(A4681,'[1]Tissue Data'!$A:$A,'[1]Tissue Data'!L:L)</f>
        <v>12.5</v>
      </c>
      <c r="J4681">
        <f>_xlfn.XLOOKUP(A4681,'[1]Tissue Data'!$A:$A,'[1]Tissue Data'!M:M)</f>
        <v>30.45</v>
      </c>
      <c r="K4681" t="s">
        <v>41</v>
      </c>
      <c r="L4681" t="str">
        <f>_xlfn.XLOOKUP(K4681,[2]analyte_order!$B:$B,[2]analyte_order!$C:$C)</f>
        <v>2355-31-9</v>
      </c>
      <c r="M4681">
        <f>_xlfn.XLOOKUP(L4681,[2]analyte_order!$C:$C,[2]analyte_order!$E:$E)</f>
        <v>26</v>
      </c>
      <c r="N4681">
        <v>0.254</v>
      </c>
    </row>
    <row r="4682" spans="1:14">
      <c r="A4682" t="s">
        <v>273</v>
      </c>
      <c r="B4682" t="str">
        <f>_xlfn.XLOOKUP(A4682,'[1]Tissue Data'!$A:$A,'[1]Tissue Data'!$C:$C)</f>
        <v>Spill</v>
      </c>
      <c r="C4682" s="2">
        <f>_xlfn.XLOOKUP(A4682,'[1]Tissue Data'!$A:$A,'[1]Tissue Data'!$D:$D)</f>
        <v>44393</v>
      </c>
      <c r="D4682" s="2" t="str">
        <f>_xlfn.XLOOKUP(A4682,'[1]Tissue Data'!$A:$A,'[1]Tissue Data'!$F:$F)</f>
        <v>Pumpkinseed</v>
      </c>
      <c r="E4682" t="str">
        <f>_xlfn.XLOOKUP(A4682,'[1]Tissue Data'!$A:$A,'[1]Tissue Data'!$H:$H)</f>
        <v>Lepomis</v>
      </c>
      <c r="F4682" t="str">
        <f>_xlfn.XLOOKUP(A4682,'[1]Tissue Data'!$A:$A,'[1]Tissue Data'!$I:$I)</f>
        <v>gibbosus</v>
      </c>
      <c r="G4682" t="str">
        <f>_xlfn.XLOOKUP(A4682,'[1]Tissue Data'!$A:$A,'[1]Tissue Data'!J:J)</f>
        <v>M</v>
      </c>
      <c r="H4682" t="str">
        <f>_xlfn.XLOOKUP(A4682,'[1]Tissue Data'!$A:$A,'[1]Tissue Data'!K:K)</f>
        <v>Liver</v>
      </c>
      <c r="I4682">
        <f>_xlfn.XLOOKUP(A4682,'[1]Tissue Data'!$A:$A,'[1]Tissue Data'!L:L)</f>
        <v>12.5</v>
      </c>
      <c r="J4682">
        <f>_xlfn.XLOOKUP(A4682,'[1]Tissue Data'!$A:$A,'[1]Tissue Data'!M:M)</f>
        <v>30.45</v>
      </c>
      <c r="K4682" t="s">
        <v>42</v>
      </c>
      <c r="L4682" t="str">
        <f>_xlfn.XLOOKUP(K4682,[2]analyte_order!$B:$B,[2]analyte_order!$C:$C)</f>
        <v>2991-50-6</v>
      </c>
      <c r="M4682">
        <f>_xlfn.XLOOKUP(L4682,[2]analyte_order!$C:$C,[2]analyte_order!$E:$E)</f>
        <v>27</v>
      </c>
      <c r="N4682">
        <v>0.219</v>
      </c>
    </row>
    <row r="4683" spans="1:14">
      <c r="A4683" t="s">
        <v>273</v>
      </c>
      <c r="B4683" t="str">
        <f>_xlfn.XLOOKUP(A4683,'[1]Tissue Data'!$A:$A,'[1]Tissue Data'!$C:$C)</f>
        <v>Spill</v>
      </c>
      <c r="C4683" s="2">
        <f>_xlfn.XLOOKUP(A4683,'[1]Tissue Data'!$A:$A,'[1]Tissue Data'!$D:$D)</f>
        <v>44393</v>
      </c>
      <c r="D4683" s="2" t="str">
        <f>_xlfn.XLOOKUP(A4683,'[1]Tissue Data'!$A:$A,'[1]Tissue Data'!$F:$F)</f>
        <v>Pumpkinseed</v>
      </c>
      <c r="E4683" t="str">
        <f>_xlfn.XLOOKUP(A4683,'[1]Tissue Data'!$A:$A,'[1]Tissue Data'!$H:$H)</f>
        <v>Lepomis</v>
      </c>
      <c r="F4683" t="str">
        <f>_xlfn.XLOOKUP(A4683,'[1]Tissue Data'!$A:$A,'[1]Tissue Data'!$I:$I)</f>
        <v>gibbosus</v>
      </c>
      <c r="G4683" t="str">
        <f>_xlfn.XLOOKUP(A4683,'[1]Tissue Data'!$A:$A,'[1]Tissue Data'!J:J)</f>
        <v>M</v>
      </c>
      <c r="H4683" t="str">
        <f>_xlfn.XLOOKUP(A4683,'[1]Tissue Data'!$A:$A,'[1]Tissue Data'!K:K)</f>
        <v>Liver</v>
      </c>
      <c r="I4683">
        <f>_xlfn.XLOOKUP(A4683,'[1]Tissue Data'!$A:$A,'[1]Tissue Data'!L:L)</f>
        <v>12.5</v>
      </c>
      <c r="J4683">
        <f>_xlfn.XLOOKUP(A4683,'[1]Tissue Data'!$A:$A,'[1]Tissue Data'!M:M)</f>
        <v>30.45</v>
      </c>
      <c r="K4683" t="s">
        <v>43</v>
      </c>
      <c r="L4683" t="str">
        <f>_xlfn.XLOOKUP(K4683,[2]analyte_order!$B:$B,[2]analyte_order!$C:$C)</f>
        <v>757124-72-4</v>
      </c>
      <c r="M4683">
        <f>_xlfn.XLOOKUP(L4683,[2]analyte_order!$C:$C,[2]analyte_order!$E:$E)</f>
        <v>22</v>
      </c>
      <c r="N4683">
        <v>0.2525</v>
      </c>
    </row>
    <row r="4684" spans="1:14">
      <c r="A4684" t="s">
        <v>273</v>
      </c>
      <c r="B4684" t="str">
        <f>_xlfn.XLOOKUP(A4684,'[1]Tissue Data'!$A:$A,'[1]Tissue Data'!$C:$C)</f>
        <v>Spill</v>
      </c>
      <c r="C4684" s="2">
        <f>_xlfn.XLOOKUP(A4684,'[1]Tissue Data'!$A:$A,'[1]Tissue Data'!$D:$D)</f>
        <v>44393</v>
      </c>
      <c r="D4684" s="2" t="str">
        <f>_xlfn.XLOOKUP(A4684,'[1]Tissue Data'!$A:$A,'[1]Tissue Data'!$F:$F)</f>
        <v>Pumpkinseed</v>
      </c>
      <c r="E4684" t="str">
        <f>_xlfn.XLOOKUP(A4684,'[1]Tissue Data'!$A:$A,'[1]Tissue Data'!$H:$H)</f>
        <v>Lepomis</v>
      </c>
      <c r="F4684" t="str">
        <f>_xlfn.XLOOKUP(A4684,'[1]Tissue Data'!$A:$A,'[1]Tissue Data'!$I:$I)</f>
        <v>gibbosus</v>
      </c>
      <c r="G4684" t="str">
        <f>_xlfn.XLOOKUP(A4684,'[1]Tissue Data'!$A:$A,'[1]Tissue Data'!J:J)</f>
        <v>M</v>
      </c>
      <c r="H4684" t="str">
        <f>_xlfn.XLOOKUP(A4684,'[1]Tissue Data'!$A:$A,'[1]Tissue Data'!K:K)</f>
        <v>Liver</v>
      </c>
      <c r="I4684">
        <f>_xlfn.XLOOKUP(A4684,'[1]Tissue Data'!$A:$A,'[1]Tissue Data'!L:L)</f>
        <v>12.5</v>
      </c>
      <c r="J4684">
        <f>_xlfn.XLOOKUP(A4684,'[1]Tissue Data'!$A:$A,'[1]Tissue Data'!M:M)</f>
        <v>30.45</v>
      </c>
      <c r="K4684" t="s">
        <v>44</v>
      </c>
      <c r="L4684" t="str">
        <f>_xlfn.XLOOKUP(K4684,[2]analyte_order!$B:$B,[2]analyte_order!$C:$C)</f>
        <v>27619-97-2</v>
      </c>
      <c r="M4684">
        <f>_xlfn.XLOOKUP(L4684,[2]analyte_order!$C:$C,[2]analyte_order!$E:$E)</f>
        <v>23</v>
      </c>
      <c r="N4684">
        <v>0.505</v>
      </c>
    </row>
    <row r="4685" spans="1:14">
      <c r="A4685" t="s">
        <v>273</v>
      </c>
      <c r="B4685" t="str">
        <f>_xlfn.XLOOKUP(A4685,'[1]Tissue Data'!$A:$A,'[1]Tissue Data'!$C:$C)</f>
        <v>Spill</v>
      </c>
      <c r="C4685" s="2">
        <f>_xlfn.XLOOKUP(A4685,'[1]Tissue Data'!$A:$A,'[1]Tissue Data'!$D:$D)</f>
        <v>44393</v>
      </c>
      <c r="D4685" s="2" t="str">
        <f>_xlfn.XLOOKUP(A4685,'[1]Tissue Data'!$A:$A,'[1]Tissue Data'!$F:$F)</f>
        <v>Pumpkinseed</v>
      </c>
      <c r="E4685" t="str">
        <f>_xlfn.XLOOKUP(A4685,'[1]Tissue Data'!$A:$A,'[1]Tissue Data'!$H:$H)</f>
        <v>Lepomis</v>
      </c>
      <c r="F4685" t="str">
        <f>_xlfn.XLOOKUP(A4685,'[1]Tissue Data'!$A:$A,'[1]Tissue Data'!$I:$I)</f>
        <v>gibbosus</v>
      </c>
      <c r="G4685" t="str">
        <f>_xlfn.XLOOKUP(A4685,'[1]Tissue Data'!$A:$A,'[1]Tissue Data'!J:J)</f>
        <v>M</v>
      </c>
      <c r="H4685" t="str">
        <f>_xlfn.XLOOKUP(A4685,'[1]Tissue Data'!$A:$A,'[1]Tissue Data'!K:K)</f>
        <v>Liver</v>
      </c>
      <c r="I4685">
        <f>_xlfn.XLOOKUP(A4685,'[1]Tissue Data'!$A:$A,'[1]Tissue Data'!L:L)</f>
        <v>12.5</v>
      </c>
      <c r="J4685">
        <f>_xlfn.XLOOKUP(A4685,'[1]Tissue Data'!$A:$A,'[1]Tissue Data'!M:M)</f>
        <v>30.45</v>
      </c>
      <c r="K4685" t="s">
        <v>45</v>
      </c>
      <c r="L4685" t="str">
        <f>_xlfn.XLOOKUP(K4685,[2]analyte_order!$B:$B,[2]analyte_order!$C:$C)</f>
        <v>39108-34-4</v>
      </c>
      <c r="M4685">
        <f>_xlfn.XLOOKUP(L4685,[2]analyte_order!$C:$C,[2]analyte_order!$E:$E)</f>
        <v>24</v>
      </c>
      <c r="N4685">
        <v>8.3699999999999992</v>
      </c>
    </row>
    <row r="4686" spans="1:14">
      <c r="A4686" t="s">
        <v>273</v>
      </c>
      <c r="B4686" t="str">
        <f>_xlfn.XLOOKUP(A4686,'[1]Tissue Data'!$A:$A,'[1]Tissue Data'!$C:$C)</f>
        <v>Spill</v>
      </c>
      <c r="C4686" s="2">
        <f>_xlfn.XLOOKUP(A4686,'[1]Tissue Data'!$A:$A,'[1]Tissue Data'!$D:$D)</f>
        <v>44393</v>
      </c>
      <c r="D4686" s="2" t="str">
        <f>_xlfn.XLOOKUP(A4686,'[1]Tissue Data'!$A:$A,'[1]Tissue Data'!$F:$F)</f>
        <v>Pumpkinseed</v>
      </c>
      <c r="E4686" t="str">
        <f>_xlfn.XLOOKUP(A4686,'[1]Tissue Data'!$A:$A,'[1]Tissue Data'!$H:$H)</f>
        <v>Lepomis</v>
      </c>
      <c r="F4686" t="str">
        <f>_xlfn.XLOOKUP(A4686,'[1]Tissue Data'!$A:$A,'[1]Tissue Data'!$I:$I)</f>
        <v>gibbosus</v>
      </c>
      <c r="G4686" t="str">
        <f>_xlfn.XLOOKUP(A4686,'[1]Tissue Data'!$A:$A,'[1]Tissue Data'!J:J)</f>
        <v>M</v>
      </c>
      <c r="H4686" t="str">
        <f>_xlfn.XLOOKUP(A4686,'[1]Tissue Data'!$A:$A,'[1]Tissue Data'!K:K)</f>
        <v>Liver</v>
      </c>
      <c r="I4686">
        <f>_xlfn.XLOOKUP(A4686,'[1]Tissue Data'!$A:$A,'[1]Tissue Data'!L:L)</f>
        <v>12.5</v>
      </c>
      <c r="J4686">
        <f>_xlfn.XLOOKUP(A4686,'[1]Tissue Data'!$A:$A,'[1]Tissue Data'!M:M)</f>
        <v>30.45</v>
      </c>
      <c r="K4686" t="s">
        <v>46</v>
      </c>
      <c r="L4686" t="str">
        <f>_xlfn.XLOOKUP(K4686,[2]analyte_order!$B:$B,[2]analyte_order!$C:$C)</f>
        <v>120226-60-0</v>
      </c>
      <c r="M4686">
        <f>_xlfn.XLOOKUP(L4686,[2]analyte_order!$C:$C,[2]analyte_order!$E:$E)</f>
        <v>25</v>
      </c>
      <c r="N4686">
        <v>0.28649999999999998</v>
      </c>
    </row>
    <row r="4687" spans="1:14">
      <c r="A4687" t="s">
        <v>273</v>
      </c>
      <c r="B4687" t="str">
        <f>_xlfn.XLOOKUP(A4687,'[1]Tissue Data'!$A:$A,'[1]Tissue Data'!$C:$C)</f>
        <v>Spill</v>
      </c>
      <c r="C4687" s="2">
        <f>_xlfn.XLOOKUP(A4687,'[1]Tissue Data'!$A:$A,'[1]Tissue Data'!$D:$D)</f>
        <v>44393</v>
      </c>
      <c r="D4687" s="2" t="str">
        <f>_xlfn.XLOOKUP(A4687,'[1]Tissue Data'!$A:$A,'[1]Tissue Data'!$F:$F)</f>
        <v>Pumpkinseed</v>
      </c>
      <c r="E4687" t="str">
        <f>_xlfn.XLOOKUP(A4687,'[1]Tissue Data'!$A:$A,'[1]Tissue Data'!$H:$H)</f>
        <v>Lepomis</v>
      </c>
      <c r="F4687" t="str">
        <f>_xlfn.XLOOKUP(A4687,'[1]Tissue Data'!$A:$A,'[1]Tissue Data'!$I:$I)</f>
        <v>gibbosus</v>
      </c>
      <c r="G4687" t="str">
        <f>_xlfn.XLOOKUP(A4687,'[1]Tissue Data'!$A:$A,'[1]Tissue Data'!J:J)</f>
        <v>M</v>
      </c>
      <c r="H4687" t="str">
        <f>_xlfn.XLOOKUP(A4687,'[1]Tissue Data'!$A:$A,'[1]Tissue Data'!K:K)</f>
        <v>Liver</v>
      </c>
      <c r="I4687">
        <f>_xlfn.XLOOKUP(A4687,'[1]Tissue Data'!$A:$A,'[1]Tissue Data'!L:L)</f>
        <v>12.5</v>
      </c>
      <c r="J4687">
        <f>_xlfn.XLOOKUP(A4687,'[1]Tissue Data'!$A:$A,'[1]Tissue Data'!M:M)</f>
        <v>30.45</v>
      </c>
      <c r="K4687" t="s">
        <v>47</v>
      </c>
      <c r="L4687" t="str">
        <f>_xlfn.XLOOKUP(K4687,[2]analyte_order!$B:$B,[2]analyte_order!$C:$C)</f>
        <v>356-02-5</v>
      </c>
      <c r="M4687">
        <f>_xlfn.XLOOKUP(L4687,[2]analyte_order!$C:$C,[2]analyte_order!$E:$E)</f>
        <v>38</v>
      </c>
      <c r="N4687">
        <v>0.29149999999999998</v>
      </c>
    </row>
    <row r="4688" spans="1:14">
      <c r="A4688" t="s">
        <v>273</v>
      </c>
      <c r="B4688" t="str">
        <f>_xlfn.XLOOKUP(A4688,'[1]Tissue Data'!$A:$A,'[1]Tissue Data'!$C:$C)</f>
        <v>Spill</v>
      </c>
      <c r="C4688" s="2">
        <f>_xlfn.XLOOKUP(A4688,'[1]Tissue Data'!$A:$A,'[1]Tissue Data'!$D:$D)</f>
        <v>44393</v>
      </c>
      <c r="D4688" s="2" t="str">
        <f>_xlfn.XLOOKUP(A4688,'[1]Tissue Data'!$A:$A,'[1]Tissue Data'!$F:$F)</f>
        <v>Pumpkinseed</v>
      </c>
      <c r="E4688" t="str">
        <f>_xlfn.XLOOKUP(A4688,'[1]Tissue Data'!$A:$A,'[1]Tissue Data'!$H:$H)</f>
        <v>Lepomis</v>
      </c>
      <c r="F4688" t="str">
        <f>_xlfn.XLOOKUP(A4688,'[1]Tissue Data'!$A:$A,'[1]Tissue Data'!$I:$I)</f>
        <v>gibbosus</v>
      </c>
      <c r="G4688" t="str">
        <f>_xlfn.XLOOKUP(A4688,'[1]Tissue Data'!$A:$A,'[1]Tissue Data'!J:J)</f>
        <v>M</v>
      </c>
      <c r="H4688" t="str">
        <f>_xlfn.XLOOKUP(A4688,'[1]Tissue Data'!$A:$A,'[1]Tissue Data'!K:K)</f>
        <v>Liver</v>
      </c>
      <c r="I4688">
        <f>_xlfn.XLOOKUP(A4688,'[1]Tissue Data'!$A:$A,'[1]Tissue Data'!L:L)</f>
        <v>12.5</v>
      </c>
      <c r="J4688">
        <f>_xlfn.XLOOKUP(A4688,'[1]Tissue Data'!$A:$A,'[1]Tissue Data'!M:M)</f>
        <v>30.45</v>
      </c>
      <c r="K4688" t="s">
        <v>48</v>
      </c>
      <c r="L4688" t="str">
        <f>_xlfn.XLOOKUP(K4688,[2]analyte_order!$B:$B,[2]analyte_order!$C:$C)</f>
        <v>914637-49-3</v>
      </c>
      <c r="M4688">
        <f>_xlfn.XLOOKUP(L4688,[2]analyte_order!$C:$C,[2]analyte_order!$E:$E)</f>
        <v>39</v>
      </c>
      <c r="N4688">
        <v>0.1905</v>
      </c>
    </row>
    <row r="4689" spans="1:14">
      <c r="A4689" t="s">
        <v>273</v>
      </c>
      <c r="B4689" t="str">
        <f>_xlfn.XLOOKUP(A4689,'[1]Tissue Data'!$A:$A,'[1]Tissue Data'!$C:$C)</f>
        <v>Spill</v>
      </c>
      <c r="C4689" s="2">
        <f>_xlfn.XLOOKUP(A4689,'[1]Tissue Data'!$A:$A,'[1]Tissue Data'!$D:$D)</f>
        <v>44393</v>
      </c>
      <c r="D4689" s="2" t="str">
        <f>_xlfn.XLOOKUP(A4689,'[1]Tissue Data'!$A:$A,'[1]Tissue Data'!$F:$F)</f>
        <v>Pumpkinseed</v>
      </c>
      <c r="E4689" t="str">
        <f>_xlfn.XLOOKUP(A4689,'[1]Tissue Data'!$A:$A,'[1]Tissue Data'!$H:$H)</f>
        <v>Lepomis</v>
      </c>
      <c r="F4689" t="str">
        <f>_xlfn.XLOOKUP(A4689,'[1]Tissue Data'!$A:$A,'[1]Tissue Data'!$I:$I)</f>
        <v>gibbosus</v>
      </c>
      <c r="G4689" t="str">
        <f>_xlfn.XLOOKUP(A4689,'[1]Tissue Data'!$A:$A,'[1]Tissue Data'!J:J)</f>
        <v>M</v>
      </c>
      <c r="H4689" t="str">
        <f>_xlfn.XLOOKUP(A4689,'[1]Tissue Data'!$A:$A,'[1]Tissue Data'!K:K)</f>
        <v>Liver</v>
      </c>
      <c r="I4689">
        <f>_xlfn.XLOOKUP(A4689,'[1]Tissue Data'!$A:$A,'[1]Tissue Data'!L:L)</f>
        <v>12.5</v>
      </c>
      <c r="J4689">
        <f>_xlfn.XLOOKUP(A4689,'[1]Tissue Data'!$A:$A,'[1]Tissue Data'!M:M)</f>
        <v>30.45</v>
      </c>
      <c r="K4689" t="s">
        <v>49</v>
      </c>
      <c r="L4689" t="str">
        <f>_xlfn.XLOOKUP(K4689,[2]analyte_order!$B:$B,[2]analyte_order!$C:$C)</f>
        <v>812-70-4</v>
      </c>
      <c r="M4689">
        <f>_xlfn.XLOOKUP(L4689,[2]analyte_order!$C:$C,[2]analyte_order!$E:$E)</f>
        <v>40</v>
      </c>
      <c r="N4689">
        <v>0.2525</v>
      </c>
    </row>
    <row r="4690" spans="1:14">
      <c r="A4690" t="s">
        <v>273</v>
      </c>
      <c r="B4690" t="str">
        <f>_xlfn.XLOOKUP(A4690,'[1]Tissue Data'!$A:$A,'[1]Tissue Data'!$C:$C)</f>
        <v>Spill</v>
      </c>
      <c r="C4690" s="2">
        <f>_xlfn.XLOOKUP(A4690,'[1]Tissue Data'!$A:$A,'[1]Tissue Data'!$D:$D)</f>
        <v>44393</v>
      </c>
      <c r="D4690" s="2" t="str">
        <f>_xlfn.XLOOKUP(A4690,'[1]Tissue Data'!$A:$A,'[1]Tissue Data'!$F:$F)</f>
        <v>Pumpkinseed</v>
      </c>
      <c r="E4690" t="str">
        <f>_xlfn.XLOOKUP(A4690,'[1]Tissue Data'!$A:$A,'[1]Tissue Data'!$H:$H)</f>
        <v>Lepomis</v>
      </c>
      <c r="F4690" t="str">
        <f>_xlfn.XLOOKUP(A4690,'[1]Tissue Data'!$A:$A,'[1]Tissue Data'!$I:$I)</f>
        <v>gibbosus</v>
      </c>
      <c r="G4690" t="str">
        <f>_xlfn.XLOOKUP(A4690,'[1]Tissue Data'!$A:$A,'[1]Tissue Data'!J:J)</f>
        <v>M</v>
      </c>
      <c r="H4690" t="str">
        <f>_xlfn.XLOOKUP(A4690,'[1]Tissue Data'!$A:$A,'[1]Tissue Data'!K:K)</f>
        <v>Liver</v>
      </c>
      <c r="I4690">
        <f>_xlfn.XLOOKUP(A4690,'[1]Tissue Data'!$A:$A,'[1]Tissue Data'!L:L)</f>
        <v>12.5</v>
      </c>
      <c r="J4690">
        <f>_xlfn.XLOOKUP(A4690,'[1]Tissue Data'!$A:$A,'[1]Tissue Data'!M:M)</f>
        <v>30.45</v>
      </c>
      <c r="K4690" t="s">
        <v>50</v>
      </c>
      <c r="L4690" t="str">
        <f>_xlfn.XLOOKUP(K4690,[2]analyte_order!$B:$B,[2]analyte_order!$C:$C)</f>
        <v>53826-12-3</v>
      </c>
      <c r="M4690">
        <f>_xlfn.XLOOKUP(L4690,[2]analyte_order!$C:$C,[2]analyte_order!$E:$E)</f>
        <v>41</v>
      </c>
      <c r="N4690">
        <v>0.2525</v>
      </c>
    </row>
    <row r="4691" spans="1:14">
      <c r="A4691" t="s">
        <v>273</v>
      </c>
      <c r="B4691" t="str">
        <f>_xlfn.XLOOKUP(A4691,'[1]Tissue Data'!$A:$A,'[1]Tissue Data'!$C:$C)</f>
        <v>Spill</v>
      </c>
      <c r="C4691" s="2">
        <f>_xlfn.XLOOKUP(A4691,'[1]Tissue Data'!$A:$A,'[1]Tissue Data'!$D:$D)</f>
        <v>44393</v>
      </c>
      <c r="D4691" s="2" t="str">
        <f>_xlfn.XLOOKUP(A4691,'[1]Tissue Data'!$A:$A,'[1]Tissue Data'!$F:$F)</f>
        <v>Pumpkinseed</v>
      </c>
      <c r="E4691" t="str">
        <f>_xlfn.XLOOKUP(A4691,'[1]Tissue Data'!$A:$A,'[1]Tissue Data'!$H:$H)</f>
        <v>Lepomis</v>
      </c>
      <c r="F4691" t="str">
        <f>_xlfn.XLOOKUP(A4691,'[1]Tissue Data'!$A:$A,'[1]Tissue Data'!$I:$I)</f>
        <v>gibbosus</v>
      </c>
      <c r="G4691" t="str">
        <f>_xlfn.XLOOKUP(A4691,'[1]Tissue Data'!$A:$A,'[1]Tissue Data'!J:J)</f>
        <v>M</v>
      </c>
      <c r="H4691" t="str">
        <f>_xlfn.XLOOKUP(A4691,'[1]Tissue Data'!$A:$A,'[1]Tissue Data'!K:K)</f>
        <v>Liver</v>
      </c>
      <c r="I4691">
        <f>_xlfn.XLOOKUP(A4691,'[1]Tissue Data'!$A:$A,'[1]Tissue Data'!L:L)</f>
        <v>12.5</v>
      </c>
      <c r="J4691">
        <f>_xlfn.XLOOKUP(A4691,'[1]Tissue Data'!$A:$A,'[1]Tissue Data'!M:M)</f>
        <v>30.45</v>
      </c>
      <c r="K4691" t="s">
        <v>51</v>
      </c>
      <c r="L4691" t="str">
        <f>_xlfn.XLOOKUP(K4691,[2]analyte_order!$B:$B,[2]analyte_order!$C:$C)</f>
        <v>27854-31-5</v>
      </c>
      <c r="M4691">
        <f>_xlfn.XLOOKUP(L4691,[2]analyte_order!$C:$C,[2]analyte_order!$E:$E)</f>
        <v>42</v>
      </c>
      <c r="N4691">
        <v>0.2525</v>
      </c>
    </row>
    <row r="4692" spans="1:14">
      <c r="A4692" t="s">
        <v>273</v>
      </c>
      <c r="B4692" t="str">
        <f>_xlfn.XLOOKUP(A4692,'[1]Tissue Data'!$A:$A,'[1]Tissue Data'!$C:$C)</f>
        <v>Spill</v>
      </c>
      <c r="C4692" s="2">
        <f>_xlfn.XLOOKUP(A4692,'[1]Tissue Data'!$A:$A,'[1]Tissue Data'!$D:$D)</f>
        <v>44393</v>
      </c>
      <c r="D4692" s="2" t="str">
        <f>_xlfn.XLOOKUP(A4692,'[1]Tissue Data'!$A:$A,'[1]Tissue Data'!$F:$F)</f>
        <v>Pumpkinseed</v>
      </c>
      <c r="E4692" t="str">
        <f>_xlfn.XLOOKUP(A4692,'[1]Tissue Data'!$A:$A,'[1]Tissue Data'!$H:$H)</f>
        <v>Lepomis</v>
      </c>
      <c r="F4692" t="str">
        <f>_xlfn.XLOOKUP(A4692,'[1]Tissue Data'!$A:$A,'[1]Tissue Data'!$I:$I)</f>
        <v>gibbosus</v>
      </c>
      <c r="G4692" t="str">
        <f>_xlfn.XLOOKUP(A4692,'[1]Tissue Data'!$A:$A,'[1]Tissue Data'!J:J)</f>
        <v>M</v>
      </c>
      <c r="H4692" t="str">
        <f>_xlfn.XLOOKUP(A4692,'[1]Tissue Data'!$A:$A,'[1]Tissue Data'!K:K)</f>
        <v>Liver</v>
      </c>
      <c r="I4692">
        <f>_xlfn.XLOOKUP(A4692,'[1]Tissue Data'!$A:$A,'[1]Tissue Data'!L:L)</f>
        <v>12.5</v>
      </c>
      <c r="J4692">
        <f>_xlfn.XLOOKUP(A4692,'[1]Tissue Data'!$A:$A,'[1]Tissue Data'!M:M)</f>
        <v>30.45</v>
      </c>
      <c r="K4692" t="s">
        <v>52</v>
      </c>
      <c r="L4692" t="str">
        <f>_xlfn.XLOOKUP(K4692,[2]analyte_order!$B:$B,[2]analyte_order!$C:$C)</f>
        <v>53826-13-4</v>
      </c>
      <c r="M4692">
        <f>_xlfn.XLOOKUP(L4692,[2]analyte_order!$C:$C,[2]analyte_order!$E:$E)</f>
        <v>43</v>
      </c>
      <c r="N4692">
        <v>0.377</v>
      </c>
    </row>
    <row r="4693" spans="1:14">
      <c r="A4693" t="s">
        <v>273</v>
      </c>
      <c r="B4693" t="str">
        <f>_xlfn.XLOOKUP(A4693,'[1]Tissue Data'!$A:$A,'[1]Tissue Data'!$C:$C)</f>
        <v>Spill</v>
      </c>
      <c r="C4693" s="2">
        <f>_xlfn.XLOOKUP(A4693,'[1]Tissue Data'!$A:$A,'[1]Tissue Data'!$D:$D)</f>
        <v>44393</v>
      </c>
      <c r="D4693" s="2" t="str">
        <f>_xlfn.XLOOKUP(A4693,'[1]Tissue Data'!$A:$A,'[1]Tissue Data'!$F:$F)</f>
        <v>Pumpkinseed</v>
      </c>
      <c r="E4693" t="str">
        <f>_xlfn.XLOOKUP(A4693,'[1]Tissue Data'!$A:$A,'[1]Tissue Data'!$H:$H)</f>
        <v>Lepomis</v>
      </c>
      <c r="F4693" t="str">
        <f>_xlfn.XLOOKUP(A4693,'[1]Tissue Data'!$A:$A,'[1]Tissue Data'!$I:$I)</f>
        <v>gibbosus</v>
      </c>
      <c r="G4693" t="str">
        <f>_xlfn.XLOOKUP(A4693,'[1]Tissue Data'!$A:$A,'[1]Tissue Data'!J:J)</f>
        <v>M</v>
      </c>
      <c r="H4693" t="str">
        <f>_xlfn.XLOOKUP(A4693,'[1]Tissue Data'!$A:$A,'[1]Tissue Data'!K:K)</f>
        <v>Liver</v>
      </c>
      <c r="I4693">
        <f>_xlfn.XLOOKUP(A4693,'[1]Tissue Data'!$A:$A,'[1]Tissue Data'!L:L)</f>
        <v>12.5</v>
      </c>
      <c r="J4693">
        <f>_xlfn.XLOOKUP(A4693,'[1]Tissue Data'!$A:$A,'[1]Tissue Data'!M:M)</f>
        <v>30.45</v>
      </c>
      <c r="K4693" t="s">
        <v>53</v>
      </c>
      <c r="L4693" t="str">
        <f>_xlfn.XLOOKUP(K4693,[2]analyte_order!$B:$B,[2]analyte_order!$C:$C)</f>
        <v>161094-75-3</v>
      </c>
      <c r="M4693">
        <f>_xlfn.XLOOKUP(L4693,[2]analyte_order!$C:$C,[2]analyte_order!$E:$E)</f>
        <v>44</v>
      </c>
      <c r="N4693">
        <v>0.19850000000000001</v>
      </c>
    </row>
    <row r="4694" spans="1:14">
      <c r="A4694" t="s">
        <v>273</v>
      </c>
      <c r="B4694" t="str">
        <f>_xlfn.XLOOKUP(A4694,'[1]Tissue Data'!$A:$A,'[1]Tissue Data'!$C:$C)</f>
        <v>Spill</v>
      </c>
      <c r="C4694" s="2">
        <f>_xlfn.XLOOKUP(A4694,'[1]Tissue Data'!$A:$A,'[1]Tissue Data'!$D:$D)</f>
        <v>44393</v>
      </c>
      <c r="D4694" s="2" t="str">
        <f>_xlfn.XLOOKUP(A4694,'[1]Tissue Data'!$A:$A,'[1]Tissue Data'!$F:$F)</f>
        <v>Pumpkinseed</v>
      </c>
      <c r="E4694" t="str">
        <f>_xlfn.XLOOKUP(A4694,'[1]Tissue Data'!$A:$A,'[1]Tissue Data'!$H:$H)</f>
        <v>Lepomis</v>
      </c>
      <c r="F4694" t="str">
        <f>_xlfn.XLOOKUP(A4694,'[1]Tissue Data'!$A:$A,'[1]Tissue Data'!$I:$I)</f>
        <v>gibbosus</v>
      </c>
      <c r="G4694" t="str">
        <f>_xlfn.XLOOKUP(A4694,'[1]Tissue Data'!$A:$A,'[1]Tissue Data'!J:J)</f>
        <v>M</v>
      </c>
      <c r="H4694" t="str">
        <f>_xlfn.XLOOKUP(A4694,'[1]Tissue Data'!$A:$A,'[1]Tissue Data'!K:K)</f>
        <v>Liver</v>
      </c>
      <c r="I4694">
        <f>_xlfn.XLOOKUP(A4694,'[1]Tissue Data'!$A:$A,'[1]Tissue Data'!L:L)</f>
        <v>12.5</v>
      </c>
      <c r="J4694">
        <f>_xlfn.XLOOKUP(A4694,'[1]Tissue Data'!$A:$A,'[1]Tissue Data'!M:M)</f>
        <v>30.45</v>
      </c>
      <c r="K4694" t="s">
        <v>54</v>
      </c>
      <c r="L4694" t="str">
        <f>_xlfn.XLOOKUP(K4694,[2]analyte_order!$B:$B,[2]analyte_order!$C:$C)</f>
        <v>70887-84-2</v>
      </c>
      <c r="M4694">
        <f>_xlfn.XLOOKUP(L4694,[2]analyte_order!$C:$C,[2]analyte_order!$E:$E)</f>
        <v>45</v>
      </c>
      <c r="N4694">
        <v>0.1525</v>
      </c>
    </row>
    <row r="4695" spans="1:14">
      <c r="A4695" t="s">
        <v>273</v>
      </c>
      <c r="B4695" t="str">
        <f>_xlfn.XLOOKUP(A4695,'[1]Tissue Data'!$A:$A,'[1]Tissue Data'!$C:$C)</f>
        <v>Spill</v>
      </c>
      <c r="C4695" s="2">
        <f>_xlfn.XLOOKUP(A4695,'[1]Tissue Data'!$A:$A,'[1]Tissue Data'!$D:$D)</f>
        <v>44393</v>
      </c>
      <c r="D4695" s="2" t="str">
        <f>_xlfn.XLOOKUP(A4695,'[1]Tissue Data'!$A:$A,'[1]Tissue Data'!$F:$F)</f>
        <v>Pumpkinseed</v>
      </c>
      <c r="E4695" t="str">
        <f>_xlfn.XLOOKUP(A4695,'[1]Tissue Data'!$A:$A,'[1]Tissue Data'!$H:$H)</f>
        <v>Lepomis</v>
      </c>
      <c r="F4695" t="str">
        <f>_xlfn.XLOOKUP(A4695,'[1]Tissue Data'!$A:$A,'[1]Tissue Data'!$I:$I)</f>
        <v>gibbosus</v>
      </c>
      <c r="G4695" t="str">
        <f>_xlfn.XLOOKUP(A4695,'[1]Tissue Data'!$A:$A,'[1]Tissue Data'!J:J)</f>
        <v>M</v>
      </c>
      <c r="H4695" t="str">
        <f>_xlfn.XLOOKUP(A4695,'[1]Tissue Data'!$A:$A,'[1]Tissue Data'!K:K)</f>
        <v>Liver</v>
      </c>
      <c r="I4695">
        <f>_xlfn.XLOOKUP(A4695,'[1]Tissue Data'!$A:$A,'[1]Tissue Data'!L:L)</f>
        <v>12.5</v>
      </c>
      <c r="J4695">
        <f>_xlfn.XLOOKUP(A4695,'[1]Tissue Data'!$A:$A,'[1]Tissue Data'!M:M)</f>
        <v>30.45</v>
      </c>
      <c r="K4695" t="s">
        <v>55</v>
      </c>
      <c r="L4695" t="str">
        <f>_xlfn.XLOOKUP(K4695,[2]analyte_order!$B:$B,[2]analyte_order!$C:$C)</f>
        <v>919005-14-4</v>
      </c>
      <c r="M4695">
        <f>_xlfn.XLOOKUP(L4695,[2]analyte_order!$C:$C,[2]analyte_order!$E:$E)</f>
        <v>35</v>
      </c>
      <c r="N4695">
        <v>0.223</v>
      </c>
    </row>
    <row r="4696" spans="1:14">
      <c r="A4696" t="s">
        <v>273</v>
      </c>
      <c r="B4696" t="str">
        <f>_xlfn.XLOOKUP(A4696,'[1]Tissue Data'!$A:$A,'[1]Tissue Data'!$C:$C)</f>
        <v>Spill</v>
      </c>
      <c r="C4696" s="2">
        <f>_xlfn.XLOOKUP(A4696,'[1]Tissue Data'!$A:$A,'[1]Tissue Data'!$D:$D)</f>
        <v>44393</v>
      </c>
      <c r="D4696" s="2" t="str">
        <f>_xlfn.XLOOKUP(A4696,'[1]Tissue Data'!$A:$A,'[1]Tissue Data'!$F:$F)</f>
        <v>Pumpkinseed</v>
      </c>
      <c r="E4696" t="str">
        <f>_xlfn.XLOOKUP(A4696,'[1]Tissue Data'!$A:$A,'[1]Tissue Data'!$H:$H)</f>
        <v>Lepomis</v>
      </c>
      <c r="F4696" t="str">
        <f>_xlfn.XLOOKUP(A4696,'[1]Tissue Data'!$A:$A,'[1]Tissue Data'!$I:$I)</f>
        <v>gibbosus</v>
      </c>
      <c r="G4696" t="str">
        <f>_xlfn.XLOOKUP(A4696,'[1]Tissue Data'!$A:$A,'[1]Tissue Data'!J:J)</f>
        <v>M</v>
      </c>
      <c r="H4696" t="str">
        <f>_xlfn.XLOOKUP(A4696,'[1]Tissue Data'!$A:$A,'[1]Tissue Data'!K:K)</f>
        <v>Liver</v>
      </c>
      <c r="I4696">
        <f>_xlfn.XLOOKUP(A4696,'[1]Tissue Data'!$A:$A,'[1]Tissue Data'!L:L)</f>
        <v>12.5</v>
      </c>
      <c r="J4696">
        <f>_xlfn.XLOOKUP(A4696,'[1]Tissue Data'!$A:$A,'[1]Tissue Data'!M:M)</f>
        <v>30.45</v>
      </c>
      <c r="K4696" t="s">
        <v>56</v>
      </c>
      <c r="L4696" t="str">
        <f>_xlfn.XLOOKUP(K4696,[2]analyte_order!$B:$B,[2]analyte_order!$C:$C)</f>
        <v>756426-58-1</v>
      </c>
      <c r="M4696">
        <f>_xlfn.XLOOKUP(L4696,[2]analyte_order!$C:$C,[2]analyte_order!$E:$E)</f>
        <v>36</v>
      </c>
      <c r="N4696">
        <v>0.2525</v>
      </c>
    </row>
    <row r="4697" spans="1:14">
      <c r="A4697" t="s">
        <v>273</v>
      </c>
      <c r="B4697" t="str">
        <f>_xlfn.XLOOKUP(A4697,'[1]Tissue Data'!$A:$A,'[1]Tissue Data'!$C:$C)</f>
        <v>Spill</v>
      </c>
      <c r="C4697" s="2">
        <f>_xlfn.XLOOKUP(A4697,'[1]Tissue Data'!$A:$A,'[1]Tissue Data'!$D:$D)</f>
        <v>44393</v>
      </c>
      <c r="D4697" s="2" t="str">
        <f>_xlfn.XLOOKUP(A4697,'[1]Tissue Data'!$A:$A,'[1]Tissue Data'!$F:$F)</f>
        <v>Pumpkinseed</v>
      </c>
      <c r="E4697" t="str">
        <f>_xlfn.XLOOKUP(A4697,'[1]Tissue Data'!$A:$A,'[1]Tissue Data'!$H:$H)</f>
        <v>Lepomis</v>
      </c>
      <c r="F4697" t="str">
        <f>_xlfn.XLOOKUP(A4697,'[1]Tissue Data'!$A:$A,'[1]Tissue Data'!$I:$I)</f>
        <v>gibbosus</v>
      </c>
      <c r="G4697" t="str">
        <f>_xlfn.XLOOKUP(A4697,'[1]Tissue Data'!$A:$A,'[1]Tissue Data'!J:J)</f>
        <v>M</v>
      </c>
      <c r="H4697" t="str">
        <f>_xlfn.XLOOKUP(A4697,'[1]Tissue Data'!$A:$A,'[1]Tissue Data'!K:K)</f>
        <v>Liver</v>
      </c>
      <c r="I4697">
        <f>_xlfn.XLOOKUP(A4697,'[1]Tissue Data'!$A:$A,'[1]Tissue Data'!L:L)</f>
        <v>12.5</v>
      </c>
      <c r="J4697">
        <f>_xlfn.XLOOKUP(A4697,'[1]Tissue Data'!$A:$A,'[1]Tissue Data'!M:M)</f>
        <v>30.45</v>
      </c>
      <c r="K4697" t="s">
        <v>57</v>
      </c>
      <c r="L4697" t="str">
        <f>_xlfn.XLOOKUP(K4697,[2]analyte_order!$B:$B,[2]analyte_order!$C:$C)</f>
        <v>763051-92-9</v>
      </c>
      <c r="M4697">
        <f>_xlfn.XLOOKUP(L4697,[2]analyte_order!$C:$C,[2]analyte_order!$E:$E)</f>
        <v>37</v>
      </c>
      <c r="N4697">
        <v>0.2525</v>
      </c>
    </row>
    <row r="4698" spans="1:14">
      <c r="A4698" t="s">
        <v>273</v>
      </c>
      <c r="B4698" t="str">
        <f>_xlfn.XLOOKUP(A4698,'[1]Tissue Data'!$A:$A,'[1]Tissue Data'!$C:$C)</f>
        <v>Spill</v>
      </c>
      <c r="C4698" s="2">
        <f>_xlfn.XLOOKUP(A4698,'[1]Tissue Data'!$A:$A,'[1]Tissue Data'!$D:$D)</f>
        <v>44393</v>
      </c>
      <c r="D4698" s="2" t="str">
        <f>_xlfn.XLOOKUP(A4698,'[1]Tissue Data'!$A:$A,'[1]Tissue Data'!$F:$F)</f>
        <v>Pumpkinseed</v>
      </c>
      <c r="E4698" t="str">
        <f>_xlfn.XLOOKUP(A4698,'[1]Tissue Data'!$A:$A,'[1]Tissue Data'!$H:$H)</f>
        <v>Lepomis</v>
      </c>
      <c r="F4698" t="str">
        <f>_xlfn.XLOOKUP(A4698,'[1]Tissue Data'!$A:$A,'[1]Tissue Data'!$I:$I)</f>
        <v>gibbosus</v>
      </c>
      <c r="G4698" t="str">
        <f>_xlfn.XLOOKUP(A4698,'[1]Tissue Data'!$A:$A,'[1]Tissue Data'!J:J)</f>
        <v>M</v>
      </c>
      <c r="H4698" t="str">
        <f>_xlfn.XLOOKUP(A4698,'[1]Tissue Data'!$A:$A,'[1]Tissue Data'!K:K)</f>
        <v>Liver</v>
      </c>
      <c r="I4698">
        <f>_xlfn.XLOOKUP(A4698,'[1]Tissue Data'!$A:$A,'[1]Tissue Data'!L:L)</f>
        <v>12.5</v>
      </c>
      <c r="J4698">
        <f>_xlfn.XLOOKUP(A4698,'[1]Tissue Data'!$A:$A,'[1]Tissue Data'!M:M)</f>
        <v>30.45</v>
      </c>
      <c r="K4698" t="s">
        <v>58</v>
      </c>
      <c r="L4698" t="str">
        <f>_xlfn.XLOOKUP(K4698,[2]analyte_order!$B:$B,[2]analyte_order!$C:$C)</f>
        <v>13252-13-6</v>
      </c>
      <c r="M4698">
        <f>_xlfn.XLOOKUP(L4698,[2]analyte_order!$C:$C,[2]analyte_order!$E:$E)</f>
        <v>34</v>
      </c>
      <c r="N4698">
        <v>0.36249999999999999</v>
      </c>
    </row>
    <row r="4699" spans="1:14">
      <c r="A4699" t="s">
        <v>273</v>
      </c>
      <c r="B4699" t="str">
        <f>_xlfn.XLOOKUP(A4699,'[1]Tissue Data'!$A:$A,'[1]Tissue Data'!$C:$C)</f>
        <v>Spill</v>
      </c>
      <c r="C4699" s="2">
        <f>_xlfn.XLOOKUP(A4699,'[1]Tissue Data'!$A:$A,'[1]Tissue Data'!$D:$D)</f>
        <v>44393</v>
      </c>
      <c r="D4699" s="2" t="str">
        <f>_xlfn.XLOOKUP(A4699,'[1]Tissue Data'!$A:$A,'[1]Tissue Data'!$F:$F)</f>
        <v>Pumpkinseed</v>
      </c>
      <c r="E4699" t="str">
        <f>_xlfn.XLOOKUP(A4699,'[1]Tissue Data'!$A:$A,'[1]Tissue Data'!$H:$H)</f>
        <v>Lepomis</v>
      </c>
      <c r="F4699" t="str">
        <f>_xlfn.XLOOKUP(A4699,'[1]Tissue Data'!$A:$A,'[1]Tissue Data'!$I:$I)</f>
        <v>gibbosus</v>
      </c>
      <c r="G4699" t="str">
        <f>_xlfn.XLOOKUP(A4699,'[1]Tissue Data'!$A:$A,'[1]Tissue Data'!J:J)</f>
        <v>M</v>
      </c>
      <c r="H4699" t="str">
        <f>_xlfn.XLOOKUP(A4699,'[1]Tissue Data'!$A:$A,'[1]Tissue Data'!K:K)</f>
        <v>Liver</v>
      </c>
      <c r="I4699">
        <f>_xlfn.XLOOKUP(A4699,'[1]Tissue Data'!$A:$A,'[1]Tissue Data'!L:L)</f>
        <v>12.5</v>
      </c>
      <c r="J4699">
        <f>_xlfn.XLOOKUP(A4699,'[1]Tissue Data'!$A:$A,'[1]Tissue Data'!M:M)</f>
        <v>30.45</v>
      </c>
      <c r="K4699" t="s">
        <v>59</v>
      </c>
      <c r="L4699" t="str">
        <f>_xlfn.XLOOKUP(K4699,[2]analyte_order!$B:$B,[2]analyte_order!$C:$C)</f>
        <v>57677-95-9</v>
      </c>
      <c r="M4699">
        <f>_xlfn.XLOOKUP(L4699,[2]analyte_order!$C:$C,[2]analyte_order!$E:$E)</f>
        <v>46</v>
      </c>
      <c r="N4699">
        <v>0.26900000000000002</v>
      </c>
    </row>
    <row r="4700" spans="1:14">
      <c r="A4700" t="s">
        <v>273</v>
      </c>
      <c r="B4700" t="str">
        <f>_xlfn.XLOOKUP(A4700,'[1]Tissue Data'!$A:$A,'[1]Tissue Data'!$C:$C)</f>
        <v>Spill</v>
      </c>
      <c r="C4700" s="2">
        <f>_xlfn.XLOOKUP(A4700,'[1]Tissue Data'!$A:$A,'[1]Tissue Data'!$D:$D)</f>
        <v>44393</v>
      </c>
      <c r="D4700" s="2" t="str">
        <f>_xlfn.XLOOKUP(A4700,'[1]Tissue Data'!$A:$A,'[1]Tissue Data'!$F:$F)</f>
        <v>Pumpkinseed</v>
      </c>
      <c r="E4700" t="str">
        <f>_xlfn.XLOOKUP(A4700,'[1]Tissue Data'!$A:$A,'[1]Tissue Data'!$H:$H)</f>
        <v>Lepomis</v>
      </c>
      <c r="F4700" t="str">
        <f>_xlfn.XLOOKUP(A4700,'[1]Tissue Data'!$A:$A,'[1]Tissue Data'!$I:$I)</f>
        <v>gibbosus</v>
      </c>
      <c r="G4700" t="str">
        <f>_xlfn.XLOOKUP(A4700,'[1]Tissue Data'!$A:$A,'[1]Tissue Data'!J:J)</f>
        <v>M</v>
      </c>
      <c r="H4700" t="str">
        <f>_xlfn.XLOOKUP(A4700,'[1]Tissue Data'!$A:$A,'[1]Tissue Data'!K:K)</f>
        <v>Liver</v>
      </c>
      <c r="I4700">
        <f>_xlfn.XLOOKUP(A4700,'[1]Tissue Data'!$A:$A,'[1]Tissue Data'!L:L)</f>
        <v>12.5</v>
      </c>
      <c r="J4700">
        <f>_xlfn.XLOOKUP(A4700,'[1]Tissue Data'!$A:$A,'[1]Tissue Data'!M:M)</f>
        <v>30.45</v>
      </c>
      <c r="K4700" t="s">
        <v>60</v>
      </c>
      <c r="L4700" t="str">
        <f>_xlfn.XLOOKUP(K4700,[2]analyte_order!$B:$B,[2]analyte_order!$C:$C)</f>
        <v>678-41-1</v>
      </c>
      <c r="M4700">
        <f>_xlfn.XLOOKUP(L4700,[2]analyte_order!$C:$C,[2]analyte_order!$E:$E)</f>
        <v>56</v>
      </c>
      <c r="N4700">
        <v>0.33500000000000002</v>
      </c>
    </row>
    <row r="4701" spans="1:14">
      <c r="A4701" t="s">
        <v>273</v>
      </c>
      <c r="B4701" t="str">
        <f>_xlfn.XLOOKUP(A4701,'[1]Tissue Data'!$A:$A,'[1]Tissue Data'!$C:$C)</f>
        <v>Spill</v>
      </c>
      <c r="C4701" s="2">
        <f>_xlfn.XLOOKUP(A4701,'[1]Tissue Data'!$A:$A,'[1]Tissue Data'!$D:$D)</f>
        <v>44393</v>
      </c>
      <c r="D4701" s="2" t="str">
        <f>_xlfn.XLOOKUP(A4701,'[1]Tissue Data'!$A:$A,'[1]Tissue Data'!$F:$F)</f>
        <v>Pumpkinseed</v>
      </c>
      <c r="E4701" t="str">
        <f>_xlfn.XLOOKUP(A4701,'[1]Tissue Data'!$A:$A,'[1]Tissue Data'!$H:$H)</f>
        <v>Lepomis</v>
      </c>
      <c r="F4701" t="str">
        <f>_xlfn.XLOOKUP(A4701,'[1]Tissue Data'!$A:$A,'[1]Tissue Data'!$I:$I)</f>
        <v>gibbosus</v>
      </c>
      <c r="G4701" t="str">
        <f>_xlfn.XLOOKUP(A4701,'[1]Tissue Data'!$A:$A,'[1]Tissue Data'!J:J)</f>
        <v>M</v>
      </c>
      <c r="H4701" t="str">
        <f>_xlfn.XLOOKUP(A4701,'[1]Tissue Data'!$A:$A,'[1]Tissue Data'!K:K)</f>
        <v>Liver</v>
      </c>
      <c r="I4701">
        <f>_xlfn.XLOOKUP(A4701,'[1]Tissue Data'!$A:$A,'[1]Tissue Data'!L:L)</f>
        <v>12.5</v>
      </c>
      <c r="J4701">
        <f>_xlfn.XLOOKUP(A4701,'[1]Tissue Data'!$A:$A,'[1]Tissue Data'!M:M)</f>
        <v>30.45</v>
      </c>
      <c r="K4701" t="s">
        <v>61</v>
      </c>
      <c r="L4701" t="str">
        <f>_xlfn.XLOOKUP(K4701,[2]analyte_order!$B:$B,[2]analyte_order!$C:$C)</f>
        <v>2965-52-8</v>
      </c>
      <c r="M4701">
        <f>_xlfn.XLOOKUP(L4701,[2]analyte_order!$C:$C,[2]analyte_order!$E:$E)</f>
        <v>57</v>
      </c>
      <c r="N4701">
        <v>0.44450000000000001</v>
      </c>
    </row>
    <row r="4702" spans="1:14">
      <c r="A4702" t="s">
        <v>274</v>
      </c>
      <c r="B4702" t="str">
        <f>_xlfn.XLOOKUP(A4702,'[1]Tissue Data'!$A:$A,'[1]Tissue Data'!$C:$C)</f>
        <v>Spill</v>
      </c>
      <c r="C4702" s="2">
        <f>_xlfn.XLOOKUP(A4702,'[1]Tissue Data'!$A:$A,'[1]Tissue Data'!$D:$D)</f>
        <v>44393</v>
      </c>
      <c r="D4702" s="2" t="str">
        <f>_xlfn.XLOOKUP(A4702,'[1]Tissue Data'!$A:$A,'[1]Tissue Data'!$F:$F)</f>
        <v>Pumpkinseed</v>
      </c>
      <c r="E4702" t="str">
        <f>_xlfn.XLOOKUP(A4702,'[1]Tissue Data'!$A:$A,'[1]Tissue Data'!$H:$H)</f>
        <v>Lepomis</v>
      </c>
      <c r="F4702" t="str">
        <f>_xlfn.XLOOKUP(A4702,'[1]Tissue Data'!$A:$A,'[1]Tissue Data'!$I:$I)</f>
        <v>gibbosus</v>
      </c>
      <c r="G4702" t="str">
        <f>_xlfn.XLOOKUP(A4702,'[1]Tissue Data'!$A:$A,'[1]Tissue Data'!J:J)</f>
        <v>M</v>
      </c>
      <c r="H4702" t="str">
        <f>_xlfn.XLOOKUP(A4702,'[1]Tissue Data'!$A:$A,'[1]Tissue Data'!K:K)</f>
        <v>Muscle</v>
      </c>
      <c r="I4702">
        <f>_xlfn.XLOOKUP(A4702,'[1]Tissue Data'!$A:$A,'[1]Tissue Data'!L:L)</f>
        <v>12.5</v>
      </c>
      <c r="J4702">
        <f>_xlfn.XLOOKUP(A4702,'[1]Tissue Data'!$A:$A,'[1]Tissue Data'!M:M)</f>
        <v>30.45</v>
      </c>
      <c r="K4702" t="s">
        <v>12</v>
      </c>
      <c r="L4702" t="str">
        <f>_xlfn.XLOOKUP(K4702,[2]analyte_order!$B:$B,[2]analyte_order!$C:$C)</f>
        <v>375-22-4</v>
      </c>
      <c r="M4702">
        <f>_xlfn.XLOOKUP(L4702,[2]analyte_order!$C:$C,[2]analyte_order!$E:$E)</f>
        <v>1</v>
      </c>
      <c r="N4702">
        <v>0.22800000000000001</v>
      </c>
    </row>
    <row r="4703" spans="1:14">
      <c r="A4703" t="s">
        <v>274</v>
      </c>
      <c r="B4703" t="str">
        <f>_xlfn.XLOOKUP(A4703,'[1]Tissue Data'!$A:$A,'[1]Tissue Data'!$C:$C)</f>
        <v>Spill</v>
      </c>
      <c r="C4703" s="2">
        <f>_xlfn.XLOOKUP(A4703,'[1]Tissue Data'!$A:$A,'[1]Tissue Data'!$D:$D)</f>
        <v>44393</v>
      </c>
      <c r="D4703" s="2" t="str">
        <f>_xlfn.XLOOKUP(A4703,'[1]Tissue Data'!$A:$A,'[1]Tissue Data'!$F:$F)</f>
        <v>Pumpkinseed</v>
      </c>
      <c r="E4703" t="str">
        <f>_xlfn.XLOOKUP(A4703,'[1]Tissue Data'!$A:$A,'[1]Tissue Data'!$H:$H)</f>
        <v>Lepomis</v>
      </c>
      <c r="F4703" t="str">
        <f>_xlfn.XLOOKUP(A4703,'[1]Tissue Data'!$A:$A,'[1]Tissue Data'!$I:$I)</f>
        <v>gibbosus</v>
      </c>
      <c r="G4703" t="str">
        <f>_xlfn.XLOOKUP(A4703,'[1]Tissue Data'!$A:$A,'[1]Tissue Data'!J:J)</f>
        <v>M</v>
      </c>
      <c r="H4703" t="str">
        <f>_xlfn.XLOOKUP(A4703,'[1]Tissue Data'!$A:$A,'[1]Tissue Data'!K:K)</f>
        <v>Muscle</v>
      </c>
      <c r="I4703">
        <f>_xlfn.XLOOKUP(A4703,'[1]Tissue Data'!$A:$A,'[1]Tissue Data'!L:L)</f>
        <v>12.5</v>
      </c>
      <c r="J4703">
        <f>_xlfn.XLOOKUP(A4703,'[1]Tissue Data'!$A:$A,'[1]Tissue Data'!M:M)</f>
        <v>30.45</v>
      </c>
      <c r="K4703" t="s">
        <v>13</v>
      </c>
      <c r="L4703" t="str">
        <f>_xlfn.XLOOKUP(K4703,[2]analyte_order!$B:$B,[2]analyte_order!$C:$C)</f>
        <v>2706-90-3</v>
      </c>
      <c r="M4703">
        <f>_xlfn.XLOOKUP(L4703,[2]analyte_order!$C:$C,[2]analyte_order!$E:$E)</f>
        <v>2</v>
      </c>
      <c r="N4703">
        <v>4.8849999999999998E-2</v>
      </c>
    </row>
    <row r="4704" spans="1:14">
      <c r="A4704" t="s">
        <v>274</v>
      </c>
      <c r="B4704" t="str">
        <f>_xlfn.XLOOKUP(A4704,'[1]Tissue Data'!$A:$A,'[1]Tissue Data'!$C:$C)</f>
        <v>Spill</v>
      </c>
      <c r="C4704" s="2">
        <f>_xlfn.XLOOKUP(A4704,'[1]Tissue Data'!$A:$A,'[1]Tissue Data'!$D:$D)</f>
        <v>44393</v>
      </c>
      <c r="D4704" s="2" t="str">
        <f>_xlfn.XLOOKUP(A4704,'[1]Tissue Data'!$A:$A,'[1]Tissue Data'!$F:$F)</f>
        <v>Pumpkinseed</v>
      </c>
      <c r="E4704" t="str">
        <f>_xlfn.XLOOKUP(A4704,'[1]Tissue Data'!$A:$A,'[1]Tissue Data'!$H:$H)</f>
        <v>Lepomis</v>
      </c>
      <c r="F4704" t="str">
        <f>_xlfn.XLOOKUP(A4704,'[1]Tissue Data'!$A:$A,'[1]Tissue Data'!$I:$I)</f>
        <v>gibbosus</v>
      </c>
      <c r="G4704" t="str">
        <f>_xlfn.XLOOKUP(A4704,'[1]Tissue Data'!$A:$A,'[1]Tissue Data'!J:J)</f>
        <v>M</v>
      </c>
      <c r="H4704" t="str">
        <f>_xlfn.XLOOKUP(A4704,'[1]Tissue Data'!$A:$A,'[1]Tissue Data'!K:K)</f>
        <v>Muscle</v>
      </c>
      <c r="I4704">
        <f>_xlfn.XLOOKUP(A4704,'[1]Tissue Data'!$A:$A,'[1]Tissue Data'!L:L)</f>
        <v>12.5</v>
      </c>
      <c r="J4704">
        <f>_xlfn.XLOOKUP(A4704,'[1]Tissue Data'!$A:$A,'[1]Tissue Data'!M:M)</f>
        <v>30.45</v>
      </c>
      <c r="K4704" t="s">
        <v>14</v>
      </c>
      <c r="L4704" t="str">
        <f>_xlfn.XLOOKUP(K4704,[2]analyte_order!$B:$B,[2]analyte_order!$C:$C)</f>
        <v>307-24-4</v>
      </c>
      <c r="M4704">
        <f>_xlfn.XLOOKUP(L4704,[2]analyte_order!$C:$C,[2]analyte_order!$E:$E)</f>
        <v>3</v>
      </c>
      <c r="N4704">
        <v>0.123</v>
      </c>
    </row>
    <row r="4705" spans="1:14">
      <c r="A4705" t="s">
        <v>274</v>
      </c>
      <c r="B4705" t="str">
        <f>_xlfn.XLOOKUP(A4705,'[1]Tissue Data'!$A:$A,'[1]Tissue Data'!$C:$C)</f>
        <v>Spill</v>
      </c>
      <c r="C4705" s="2">
        <f>_xlfn.XLOOKUP(A4705,'[1]Tissue Data'!$A:$A,'[1]Tissue Data'!$D:$D)</f>
        <v>44393</v>
      </c>
      <c r="D4705" s="2" t="str">
        <f>_xlfn.XLOOKUP(A4705,'[1]Tissue Data'!$A:$A,'[1]Tissue Data'!$F:$F)</f>
        <v>Pumpkinseed</v>
      </c>
      <c r="E4705" t="str">
        <f>_xlfn.XLOOKUP(A4705,'[1]Tissue Data'!$A:$A,'[1]Tissue Data'!$H:$H)</f>
        <v>Lepomis</v>
      </c>
      <c r="F4705" t="str">
        <f>_xlfn.XLOOKUP(A4705,'[1]Tissue Data'!$A:$A,'[1]Tissue Data'!$I:$I)</f>
        <v>gibbosus</v>
      </c>
      <c r="G4705" t="str">
        <f>_xlfn.XLOOKUP(A4705,'[1]Tissue Data'!$A:$A,'[1]Tissue Data'!J:J)</f>
        <v>M</v>
      </c>
      <c r="H4705" t="str">
        <f>_xlfn.XLOOKUP(A4705,'[1]Tissue Data'!$A:$A,'[1]Tissue Data'!K:K)</f>
        <v>Muscle</v>
      </c>
      <c r="I4705">
        <f>_xlfn.XLOOKUP(A4705,'[1]Tissue Data'!$A:$A,'[1]Tissue Data'!L:L)</f>
        <v>12.5</v>
      </c>
      <c r="J4705">
        <f>_xlfn.XLOOKUP(A4705,'[1]Tissue Data'!$A:$A,'[1]Tissue Data'!M:M)</f>
        <v>30.45</v>
      </c>
      <c r="K4705" t="s">
        <v>15</v>
      </c>
      <c r="L4705" t="str">
        <f>_xlfn.XLOOKUP(K4705,[2]analyte_order!$B:$B,[2]analyte_order!$C:$C)</f>
        <v>375-85-9</v>
      </c>
      <c r="M4705">
        <f>_xlfn.XLOOKUP(L4705,[2]analyte_order!$C:$C,[2]analyte_order!$E:$E)</f>
        <v>4</v>
      </c>
      <c r="N4705">
        <v>9.1499999999999998E-2</v>
      </c>
    </row>
    <row r="4706" spans="1:14">
      <c r="A4706" t="s">
        <v>274</v>
      </c>
      <c r="B4706" t="str">
        <f>_xlfn.XLOOKUP(A4706,'[1]Tissue Data'!$A:$A,'[1]Tissue Data'!$C:$C)</f>
        <v>Spill</v>
      </c>
      <c r="C4706" s="2">
        <f>_xlfn.XLOOKUP(A4706,'[1]Tissue Data'!$A:$A,'[1]Tissue Data'!$D:$D)</f>
        <v>44393</v>
      </c>
      <c r="D4706" s="2" t="str">
        <f>_xlfn.XLOOKUP(A4706,'[1]Tissue Data'!$A:$A,'[1]Tissue Data'!$F:$F)</f>
        <v>Pumpkinseed</v>
      </c>
      <c r="E4706" t="str">
        <f>_xlfn.XLOOKUP(A4706,'[1]Tissue Data'!$A:$A,'[1]Tissue Data'!$H:$H)</f>
        <v>Lepomis</v>
      </c>
      <c r="F4706" t="str">
        <f>_xlfn.XLOOKUP(A4706,'[1]Tissue Data'!$A:$A,'[1]Tissue Data'!$I:$I)</f>
        <v>gibbosus</v>
      </c>
      <c r="G4706" t="str">
        <f>_xlfn.XLOOKUP(A4706,'[1]Tissue Data'!$A:$A,'[1]Tissue Data'!J:J)</f>
        <v>M</v>
      </c>
      <c r="H4706" t="str">
        <f>_xlfn.XLOOKUP(A4706,'[1]Tissue Data'!$A:$A,'[1]Tissue Data'!K:K)</f>
        <v>Muscle</v>
      </c>
      <c r="I4706">
        <f>_xlfn.XLOOKUP(A4706,'[1]Tissue Data'!$A:$A,'[1]Tissue Data'!L:L)</f>
        <v>12.5</v>
      </c>
      <c r="J4706">
        <f>_xlfn.XLOOKUP(A4706,'[1]Tissue Data'!$A:$A,'[1]Tissue Data'!M:M)</f>
        <v>30.45</v>
      </c>
      <c r="K4706" t="s">
        <v>16</v>
      </c>
      <c r="L4706" t="str">
        <f>_xlfn.XLOOKUP(K4706,[2]analyte_order!$B:$B,[2]analyte_order!$C:$C)</f>
        <v>335-67-1</v>
      </c>
      <c r="M4706">
        <f>_xlfn.XLOOKUP(L4706,[2]analyte_order!$C:$C,[2]analyte_order!$E:$E)</f>
        <v>5</v>
      </c>
      <c r="N4706">
        <v>9.1499999999999998E-2</v>
      </c>
    </row>
    <row r="4707" spans="1:14">
      <c r="A4707" t="s">
        <v>274</v>
      </c>
      <c r="B4707" t="str">
        <f>_xlfn.XLOOKUP(A4707,'[1]Tissue Data'!$A:$A,'[1]Tissue Data'!$C:$C)</f>
        <v>Spill</v>
      </c>
      <c r="C4707" s="2">
        <f>_xlfn.XLOOKUP(A4707,'[1]Tissue Data'!$A:$A,'[1]Tissue Data'!$D:$D)</f>
        <v>44393</v>
      </c>
      <c r="D4707" s="2" t="str">
        <f>_xlfn.XLOOKUP(A4707,'[1]Tissue Data'!$A:$A,'[1]Tissue Data'!$F:$F)</f>
        <v>Pumpkinseed</v>
      </c>
      <c r="E4707" t="str">
        <f>_xlfn.XLOOKUP(A4707,'[1]Tissue Data'!$A:$A,'[1]Tissue Data'!$H:$H)</f>
        <v>Lepomis</v>
      </c>
      <c r="F4707" t="str">
        <f>_xlfn.XLOOKUP(A4707,'[1]Tissue Data'!$A:$A,'[1]Tissue Data'!$I:$I)</f>
        <v>gibbosus</v>
      </c>
      <c r="G4707" t="str">
        <f>_xlfn.XLOOKUP(A4707,'[1]Tissue Data'!$A:$A,'[1]Tissue Data'!J:J)</f>
        <v>M</v>
      </c>
      <c r="H4707" t="str">
        <f>_xlfn.XLOOKUP(A4707,'[1]Tissue Data'!$A:$A,'[1]Tissue Data'!K:K)</f>
        <v>Muscle</v>
      </c>
      <c r="I4707">
        <f>_xlfn.XLOOKUP(A4707,'[1]Tissue Data'!$A:$A,'[1]Tissue Data'!L:L)</f>
        <v>12.5</v>
      </c>
      <c r="J4707">
        <f>_xlfn.XLOOKUP(A4707,'[1]Tissue Data'!$A:$A,'[1]Tissue Data'!M:M)</f>
        <v>30.45</v>
      </c>
      <c r="K4707" t="s">
        <v>17</v>
      </c>
      <c r="L4707" t="str">
        <f>_xlfn.XLOOKUP(K4707,[2]analyte_order!$B:$B,[2]analyte_order!$C:$C)</f>
        <v>375-95-1</v>
      </c>
      <c r="M4707">
        <f>_xlfn.XLOOKUP(L4707,[2]analyte_order!$C:$C,[2]analyte_order!$E:$E)</f>
        <v>6</v>
      </c>
      <c r="N4707">
        <v>0.158</v>
      </c>
    </row>
    <row r="4708" spans="1:14">
      <c r="A4708" t="s">
        <v>274</v>
      </c>
      <c r="B4708" t="str">
        <f>_xlfn.XLOOKUP(A4708,'[1]Tissue Data'!$A:$A,'[1]Tissue Data'!$C:$C)</f>
        <v>Spill</v>
      </c>
      <c r="C4708" s="2">
        <f>_xlfn.XLOOKUP(A4708,'[1]Tissue Data'!$A:$A,'[1]Tissue Data'!$D:$D)</f>
        <v>44393</v>
      </c>
      <c r="D4708" s="2" t="str">
        <f>_xlfn.XLOOKUP(A4708,'[1]Tissue Data'!$A:$A,'[1]Tissue Data'!$F:$F)</f>
        <v>Pumpkinseed</v>
      </c>
      <c r="E4708" t="str">
        <f>_xlfn.XLOOKUP(A4708,'[1]Tissue Data'!$A:$A,'[1]Tissue Data'!$H:$H)</f>
        <v>Lepomis</v>
      </c>
      <c r="F4708" t="str">
        <f>_xlfn.XLOOKUP(A4708,'[1]Tissue Data'!$A:$A,'[1]Tissue Data'!$I:$I)</f>
        <v>gibbosus</v>
      </c>
      <c r="G4708" t="str">
        <f>_xlfn.XLOOKUP(A4708,'[1]Tissue Data'!$A:$A,'[1]Tissue Data'!J:J)</f>
        <v>M</v>
      </c>
      <c r="H4708" t="str">
        <f>_xlfn.XLOOKUP(A4708,'[1]Tissue Data'!$A:$A,'[1]Tissue Data'!K:K)</f>
        <v>Muscle</v>
      </c>
      <c r="I4708">
        <f>_xlfn.XLOOKUP(A4708,'[1]Tissue Data'!$A:$A,'[1]Tissue Data'!L:L)</f>
        <v>12.5</v>
      </c>
      <c r="J4708">
        <f>_xlfn.XLOOKUP(A4708,'[1]Tissue Data'!$A:$A,'[1]Tissue Data'!M:M)</f>
        <v>30.45</v>
      </c>
      <c r="K4708" t="s">
        <v>18</v>
      </c>
      <c r="L4708" t="str">
        <f>_xlfn.XLOOKUP(K4708,[2]analyte_order!$B:$B,[2]analyte_order!$C:$C)</f>
        <v>335-76-2</v>
      </c>
      <c r="M4708">
        <f>_xlfn.XLOOKUP(L4708,[2]analyte_order!$C:$C,[2]analyte_order!$E:$E)</f>
        <v>7</v>
      </c>
      <c r="N4708">
        <v>0.35199999999999998</v>
      </c>
    </row>
    <row r="4709" spans="1:14">
      <c r="A4709" t="s">
        <v>274</v>
      </c>
      <c r="B4709" t="str">
        <f>_xlfn.XLOOKUP(A4709,'[1]Tissue Data'!$A:$A,'[1]Tissue Data'!$C:$C)</f>
        <v>Spill</v>
      </c>
      <c r="C4709" s="2">
        <f>_xlfn.XLOOKUP(A4709,'[1]Tissue Data'!$A:$A,'[1]Tissue Data'!$D:$D)</f>
        <v>44393</v>
      </c>
      <c r="D4709" s="2" t="str">
        <f>_xlfn.XLOOKUP(A4709,'[1]Tissue Data'!$A:$A,'[1]Tissue Data'!$F:$F)</f>
        <v>Pumpkinseed</v>
      </c>
      <c r="E4709" t="str">
        <f>_xlfn.XLOOKUP(A4709,'[1]Tissue Data'!$A:$A,'[1]Tissue Data'!$H:$H)</f>
        <v>Lepomis</v>
      </c>
      <c r="F4709" t="str">
        <f>_xlfn.XLOOKUP(A4709,'[1]Tissue Data'!$A:$A,'[1]Tissue Data'!$I:$I)</f>
        <v>gibbosus</v>
      </c>
      <c r="G4709" t="str">
        <f>_xlfn.XLOOKUP(A4709,'[1]Tissue Data'!$A:$A,'[1]Tissue Data'!J:J)</f>
        <v>M</v>
      </c>
      <c r="H4709" t="str">
        <f>_xlfn.XLOOKUP(A4709,'[1]Tissue Data'!$A:$A,'[1]Tissue Data'!K:K)</f>
        <v>Muscle</v>
      </c>
      <c r="I4709">
        <f>_xlfn.XLOOKUP(A4709,'[1]Tissue Data'!$A:$A,'[1]Tissue Data'!L:L)</f>
        <v>12.5</v>
      </c>
      <c r="J4709">
        <f>_xlfn.XLOOKUP(A4709,'[1]Tissue Data'!$A:$A,'[1]Tissue Data'!M:M)</f>
        <v>30.45</v>
      </c>
      <c r="K4709" t="s">
        <v>19</v>
      </c>
      <c r="L4709" t="str">
        <f>_xlfn.XLOOKUP(K4709,[2]analyte_order!$B:$B,[2]analyte_order!$C:$C)</f>
        <v>2058-94-8</v>
      </c>
      <c r="M4709">
        <f>_xlfn.XLOOKUP(L4709,[2]analyte_order!$C:$C,[2]analyte_order!$E:$E)</f>
        <v>8</v>
      </c>
      <c r="N4709">
        <v>0.51800000000000002</v>
      </c>
    </row>
    <row r="4710" spans="1:14">
      <c r="A4710" t="s">
        <v>274</v>
      </c>
      <c r="B4710" t="str">
        <f>_xlfn.XLOOKUP(A4710,'[1]Tissue Data'!$A:$A,'[1]Tissue Data'!$C:$C)</f>
        <v>Spill</v>
      </c>
      <c r="C4710" s="2">
        <f>_xlfn.XLOOKUP(A4710,'[1]Tissue Data'!$A:$A,'[1]Tissue Data'!$D:$D)</f>
        <v>44393</v>
      </c>
      <c r="D4710" s="2" t="str">
        <f>_xlfn.XLOOKUP(A4710,'[1]Tissue Data'!$A:$A,'[1]Tissue Data'!$F:$F)</f>
        <v>Pumpkinseed</v>
      </c>
      <c r="E4710" t="str">
        <f>_xlfn.XLOOKUP(A4710,'[1]Tissue Data'!$A:$A,'[1]Tissue Data'!$H:$H)</f>
        <v>Lepomis</v>
      </c>
      <c r="F4710" t="str">
        <f>_xlfn.XLOOKUP(A4710,'[1]Tissue Data'!$A:$A,'[1]Tissue Data'!$I:$I)</f>
        <v>gibbosus</v>
      </c>
      <c r="G4710" t="str">
        <f>_xlfn.XLOOKUP(A4710,'[1]Tissue Data'!$A:$A,'[1]Tissue Data'!J:J)</f>
        <v>M</v>
      </c>
      <c r="H4710" t="str">
        <f>_xlfn.XLOOKUP(A4710,'[1]Tissue Data'!$A:$A,'[1]Tissue Data'!K:K)</f>
        <v>Muscle</v>
      </c>
      <c r="I4710">
        <f>_xlfn.XLOOKUP(A4710,'[1]Tissue Data'!$A:$A,'[1]Tissue Data'!L:L)</f>
        <v>12.5</v>
      </c>
      <c r="J4710">
        <f>_xlfn.XLOOKUP(A4710,'[1]Tissue Data'!$A:$A,'[1]Tissue Data'!M:M)</f>
        <v>30.45</v>
      </c>
      <c r="K4710" t="s">
        <v>20</v>
      </c>
      <c r="L4710" t="str">
        <f>_xlfn.XLOOKUP(K4710,[2]analyte_order!$B:$B,[2]analyte_order!$C:$C)</f>
        <v>307-55-1</v>
      </c>
      <c r="M4710">
        <f>_xlfn.XLOOKUP(L4710,[2]analyte_order!$C:$C,[2]analyte_order!$E:$E)</f>
        <v>9</v>
      </c>
      <c r="N4710">
        <v>1.05</v>
      </c>
    </row>
    <row r="4711" spans="1:14">
      <c r="A4711" t="s">
        <v>274</v>
      </c>
      <c r="B4711" t="str">
        <f>_xlfn.XLOOKUP(A4711,'[1]Tissue Data'!$A:$A,'[1]Tissue Data'!$C:$C)</f>
        <v>Spill</v>
      </c>
      <c r="C4711" s="2">
        <f>_xlfn.XLOOKUP(A4711,'[1]Tissue Data'!$A:$A,'[1]Tissue Data'!$D:$D)</f>
        <v>44393</v>
      </c>
      <c r="D4711" s="2" t="str">
        <f>_xlfn.XLOOKUP(A4711,'[1]Tissue Data'!$A:$A,'[1]Tissue Data'!$F:$F)</f>
        <v>Pumpkinseed</v>
      </c>
      <c r="E4711" t="str">
        <f>_xlfn.XLOOKUP(A4711,'[1]Tissue Data'!$A:$A,'[1]Tissue Data'!$H:$H)</f>
        <v>Lepomis</v>
      </c>
      <c r="F4711" t="str">
        <f>_xlfn.XLOOKUP(A4711,'[1]Tissue Data'!$A:$A,'[1]Tissue Data'!$I:$I)</f>
        <v>gibbosus</v>
      </c>
      <c r="G4711" t="str">
        <f>_xlfn.XLOOKUP(A4711,'[1]Tissue Data'!$A:$A,'[1]Tissue Data'!J:J)</f>
        <v>M</v>
      </c>
      <c r="H4711" t="str">
        <f>_xlfn.XLOOKUP(A4711,'[1]Tissue Data'!$A:$A,'[1]Tissue Data'!K:K)</f>
        <v>Muscle</v>
      </c>
      <c r="I4711">
        <f>_xlfn.XLOOKUP(A4711,'[1]Tissue Data'!$A:$A,'[1]Tissue Data'!L:L)</f>
        <v>12.5</v>
      </c>
      <c r="J4711">
        <f>_xlfn.XLOOKUP(A4711,'[1]Tissue Data'!$A:$A,'[1]Tissue Data'!M:M)</f>
        <v>30.45</v>
      </c>
      <c r="K4711" t="s">
        <v>21</v>
      </c>
      <c r="L4711" t="str">
        <f>_xlfn.XLOOKUP(K4711,[2]analyte_order!$B:$B,[2]analyte_order!$C:$C)</f>
        <v>72629-94-8</v>
      </c>
      <c r="M4711">
        <f>_xlfn.XLOOKUP(L4711,[2]analyte_order!$C:$C,[2]analyte_order!$E:$E)</f>
        <v>10</v>
      </c>
      <c r="N4711">
        <v>0.14599999999999999</v>
      </c>
    </row>
    <row r="4712" spans="1:14">
      <c r="A4712" t="s">
        <v>274</v>
      </c>
      <c r="B4712" t="str">
        <f>_xlfn.XLOOKUP(A4712,'[1]Tissue Data'!$A:$A,'[1]Tissue Data'!$C:$C)</f>
        <v>Spill</v>
      </c>
      <c r="C4712" s="2">
        <f>_xlfn.XLOOKUP(A4712,'[1]Tissue Data'!$A:$A,'[1]Tissue Data'!$D:$D)</f>
        <v>44393</v>
      </c>
      <c r="D4712" s="2" t="str">
        <f>_xlfn.XLOOKUP(A4712,'[1]Tissue Data'!$A:$A,'[1]Tissue Data'!$F:$F)</f>
        <v>Pumpkinseed</v>
      </c>
      <c r="E4712" t="str">
        <f>_xlfn.XLOOKUP(A4712,'[1]Tissue Data'!$A:$A,'[1]Tissue Data'!$H:$H)</f>
        <v>Lepomis</v>
      </c>
      <c r="F4712" t="str">
        <f>_xlfn.XLOOKUP(A4712,'[1]Tissue Data'!$A:$A,'[1]Tissue Data'!$I:$I)</f>
        <v>gibbosus</v>
      </c>
      <c r="G4712" t="str">
        <f>_xlfn.XLOOKUP(A4712,'[1]Tissue Data'!$A:$A,'[1]Tissue Data'!J:J)</f>
        <v>M</v>
      </c>
      <c r="H4712" t="str">
        <f>_xlfn.XLOOKUP(A4712,'[1]Tissue Data'!$A:$A,'[1]Tissue Data'!K:K)</f>
        <v>Muscle</v>
      </c>
      <c r="I4712">
        <f>_xlfn.XLOOKUP(A4712,'[1]Tissue Data'!$A:$A,'[1]Tissue Data'!L:L)</f>
        <v>12.5</v>
      </c>
      <c r="J4712">
        <f>_xlfn.XLOOKUP(A4712,'[1]Tissue Data'!$A:$A,'[1]Tissue Data'!M:M)</f>
        <v>30.45</v>
      </c>
      <c r="K4712" t="s">
        <v>22</v>
      </c>
      <c r="L4712" t="str">
        <f>_xlfn.XLOOKUP(K4712,[2]analyte_order!$B:$B,[2]analyte_order!$C:$C)</f>
        <v>376-06-7</v>
      </c>
      <c r="M4712">
        <f>_xlfn.XLOOKUP(L4712,[2]analyte_order!$C:$C,[2]analyte_order!$E:$E)</f>
        <v>11</v>
      </c>
      <c r="N4712">
        <v>0.41</v>
      </c>
    </row>
    <row r="4713" spans="1:14">
      <c r="A4713" t="s">
        <v>274</v>
      </c>
      <c r="B4713" t="str">
        <f>_xlfn.XLOOKUP(A4713,'[1]Tissue Data'!$A:$A,'[1]Tissue Data'!$C:$C)</f>
        <v>Spill</v>
      </c>
      <c r="C4713" s="2">
        <f>_xlfn.XLOOKUP(A4713,'[1]Tissue Data'!$A:$A,'[1]Tissue Data'!$D:$D)</f>
        <v>44393</v>
      </c>
      <c r="D4713" s="2" t="str">
        <f>_xlfn.XLOOKUP(A4713,'[1]Tissue Data'!$A:$A,'[1]Tissue Data'!$F:$F)</f>
        <v>Pumpkinseed</v>
      </c>
      <c r="E4713" t="str">
        <f>_xlfn.XLOOKUP(A4713,'[1]Tissue Data'!$A:$A,'[1]Tissue Data'!$H:$H)</f>
        <v>Lepomis</v>
      </c>
      <c r="F4713" t="str">
        <f>_xlfn.XLOOKUP(A4713,'[1]Tissue Data'!$A:$A,'[1]Tissue Data'!$I:$I)</f>
        <v>gibbosus</v>
      </c>
      <c r="G4713" t="str">
        <f>_xlfn.XLOOKUP(A4713,'[1]Tissue Data'!$A:$A,'[1]Tissue Data'!J:J)</f>
        <v>M</v>
      </c>
      <c r="H4713" t="str">
        <f>_xlfn.XLOOKUP(A4713,'[1]Tissue Data'!$A:$A,'[1]Tissue Data'!K:K)</f>
        <v>Muscle</v>
      </c>
      <c r="I4713">
        <f>_xlfn.XLOOKUP(A4713,'[1]Tissue Data'!$A:$A,'[1]Tissue Data'!L:L)</f>
        <v>12.5</v>
      </c>
      <c r="J4713">
        <f>_xlfn.XLOOKUP(A4713,'[1]Tissue Data'!$A:$A,'[1]Tissue Data'!M:M)</f>
        <v>30.45</v>
      </c>
      <c r="K4713" t="s">
        <v>23</v>
      </c>
      <c r="L4713" t="str">
        <f>_xlfn.XLOOKUP(K4713,[2]analyte_order!$B:$B,[2]analyte_order!$C:$C)</f>
        <v>67905-19-5</v>
      </c>
      <c r="M4713">
        <f>_xlfn.XLOOKUP(L4713,[2]analyte_order!$C:$C,[2]analyte_order!$E:$E)</f>
        <v>12</v>
      </c>
      <c r="N4713">
        <v>8.2500000000000004E-2</v>
      </c>
    </row>
    <row r="4714" spans="1:14">
      <c r="A4714" t="s">
        <v>274</v>
      </c>
      <c r="B4714" t="str">
        <f>_xlfn.XLOOKUP(A4714,'[1]Tissue Data'!$A:$A,'[1]Tissue Data'!$C:$C)</f>
        <v>Spill</v>
      </c>
      <c r="C4714" s="2">
        <f>_xlfn.XLOOKUP(A4714,'[1]Tissue Data'!$A:$A,'[1]Tissue Data'!$D:$D)</f>
        <v>44393</v>
      </c>
      <c r="D4714" s="2" t="str">
        <f>_xlfn.XLOOKUP(A4714,'[1]Tissue Data'!$A:$A,'[1]Tissue Data'!$F:$F)</f>
        <v>Pumpkinseed</v>
      </c>
      <c r="E4714" t="str">
        <f>_xlfn.XLOOKUP(A4714,'[1]Tissue Data'!$A:$A,'[1]Tissue Data'!$H:$H)</f>
        <v>Lepomis</v>
      </c>
      <c r="F4714" t="str">
        <f>_xlfn.XLOOKUP(A4714,'[1]Tissue Data'!$A:$A,'[1]Tissue Data'!$I:$I)</f>
        <v>gibbosus</v>
      </c>
      <c r="G4714" t="str">
        <f>_xlfn.XLOOKUP(A4714,'[1]Tissue Data'!$A:$A,'[1]Tissue Data'!J:J)</f>
        <v>M</v>
      </c>
      <c r="H4714" t="str">
        <f>_xlfn.XLOOKUP(A4714,'[1]Tissue Data'!$A:$A,'[1]Tissue Data'!K:K)</f>
        <v>Muscle</v>
      </c>
      <c r="I4714">
        <f>_xlfn.XLOOKUP(A4714,'[1]Tissue Data'!$A:$A,'[1]Tissue Data'!L:L)</f>
        <v>12.5</v>
      </c>
      <c r="J4714">
        <f>_xlfn.XLOOKUP(A4714,'[1]Tissue Data'!$A:$A,'[1]Tissue Data'!M:M)</f>
        <v>30.45</v>
      </c>
      <c r="K4714" t="s">
        <v>24</v>
      </c>
      <c r="L4714" t="str">
        <f>_xlfn.XLOOKUP(K4714,[2]analyte_order!$B:$B,[2]analyte_order!$C:$C)</f>
        <v>423-41-6</v>
      </c>
      <c r="M4714">
        <f>_xlfn.XLOOKUP(L4714,[2]analyte_order!$C:$C,[2]analyte_order!$E:$E)</f>
        <v>53</v>
      </c>
      <c r="N4714">
        <v>6.9000000000000006E-2</v>
      </c>
    </row>
    <row r="4715" spans="1:14">
      <c r="A4715" t="s">
        <v>274</v>
      </c>
      <c r="B4715" t="str">
        <f>_xlfn.XLOOKUP(A4715,'[1]Tissue Data'!$A:$A,'[1]Tissue Data'!$C:$C)</f>
        <v>Spill</v>
      </c>
      <c r="C4715" s="2">
        <f>_xlfn.XLOOKUP(A4715,'[1]Tissue Data'!$A:$A,'[1]Tissue Data'!$D:$D)</f>
        <v>44393</v>
      </c>
      <c r="D4715" s="2" t="str">
        <f>_xlfn.XLOOKUP(A4715,'[1]Tissue Data'!$A:$A,'[1]Tissue Data'!$F:$F)</f>
        <v>Pumpkinseed</v>
      </c>
      <c r="E4715" t="str">
        <f>_xlfn.XLOOKUP(A4715,'[1]Tissue Data'!$A:$A,'[1]Tissue Data'!$H:$H)</f>
        <v>Lepomis</v>
      </c>
      <c r="F4715" t="str">
        <f>_xlfn.XLOOKUP(A4715,'[1]Tissue Data'!$A:$A,'[1]Tissue Data'!$I:$I)</f>
        <v>gibbosus</v>
      </c>
      <c r="G4715" t="str">
        <f>_xlfn.XLOOKUP(A4715,'[1]Tissue Data'!$A:$A,'[1]Tissue Data'!J:J)</f>
        <v>M</v>
      </c>
      <c r="H4715" t="str">
        <f>_xlfn.XLOOKUP(A4715,'[1]Tissue Data'!$A:$A,'[1]Tissue Data'!K:K)</f>
        <v>Muscle</v>
      </c>
      <c r="I4715">
        <f>_xlfn.XLOOKUP(A4715,'[1]Tissue Data'!$A:$A,'[1]Tissue Data'!L:L)</f>
        <v>12.5</v>
      </c>
      <c r="J4715">
        <f>_xlfn.XLOOKUP(A4715,'[1]Tissue Data'!$A:$A,'[1]Tissue Data'!M:M)</f>
        <v>30.45</v>
      </c>
      <c r="K4715" t="s">
        <v>25</v>
      </c>
      <c r="L4715" t="str">
        <f>_xlfn.XLOOKUP(K4715,[2]analyte_order!$B:$B,[2]analyte_order!$C:$C)</f>
        <v>375-73-5</v>
      </c>
      <c r="M4715">
        <f>_xlfn.XLOOKUP(L4715,[2]analyte_order!$C:$C,[2]analyte_order!$E:$E)</f>
        <v>14</v>
      </c>
      <c r="N4715">
        <v>0.54700000000000004</v>
      </c>
    </row>
    <row r="4716" spans="1:14">
      <c r="A4716" t="s">
        <v>274</v>
      </c>
      <c r="B4716" t="str">
        <f>_xlfn.XLOOKUP(A4716,'[1]Tissue Data'!$A:$A,'[1]Tissue Data'!$C:$C)</f>
        <v>Spill</v>
      </c>
      <c r="C4716" s="2">
        <f>_xlfn.XLOOKUP(A4716,'[1]Tissue Data'!$A:$A,'[1]Tissue Data'!$D:$D)</f>
        <v>44393</v>
      </c>
      <c r="D4716" s="2" t="str">
        <f>_xlfn.XLOOKUP(A4716,'[1]Tissue Data'!$A:$A,'[1]Tissue Data'!$F:$F)</f>
        <v>Pumpkinseed</v>
      </c>
      <c r="E4716" t="str">
        <f>_xlfn.XLOOKUP(A4716,'[1]Tissue Data'!$A:$A,'[1]Tissue Data'!$H:$H)</f>
        <v>Lepomis</v>
      </c>
      <c r="F4716" t="str">
        <f>_xlfn.XLOOKUP(A4716,'[1]Tissue Data'!$A:$A,'[1]Tissue Data'!$I:$I)</f>
        <v>gibbosus</v>
      </c>
      <c r="G4716" t="str">
        <f>_xlfn.XLOOKUP(A4716,'[1]Tissue Data'!$A:$A,'[1]Tissue Data'!J:J)</f>
        <v>M</v>
      </c>
      <c r="H4716" t="str">
        <f>_xlfn.XLOOKUP(A4716,'[1]Tissue Data'!$A:$A,'[1]Tissue Data'!K:K)</f>
        <v>Muscle</v>
      </c>
      <c r="I4716">
        <f>_xlfn.XLOOKUP(A4716,'[1]Tissue Data'!$A:$A,'[1]Tissue Data'!L:L)</f>
        <v>12.5</v>
      </c>
      <c r="J4716">
        <f>_xlfn.XLOOKUP(A4716,'[1]Tissue Data'!$A:$A,'[1]Tissue Data'!M:M)</f>
        <v>30.45</v>
      </c>
      <c r="K4716" t="s">
        <v>26</v>
      </c>
      <c r="L4716" t="str">
        <f>_xlfn.XLOOKUP(K4716,[2]analyte_order!$B:$B,[2]analyte_order!$C:$C)</f>
        <v>2706-91-4</v>
      </c>
      <c r="M4716">
        <f>_xlfn.XLOOKUP(L4716,[2]analyte_order!$C:$C,[2]analyte_order!$E:$E)</f>
        <v>15</v>
      </c>
      <c r="N4716">
        <v>6.9000000000000006E-2</v>
      </c>
    </row>
    <row r="4717" spans="1:14">
      <c r="A4717" t="s">
        <v>274</v>
      </c>
      <c r="B4717" t="str">
        <f>_xlfn.XLOOKUP(A4717,'[1]Tissue Data'!$A:$A,'[1]Tissue Data'!$C:$C)</f>
        <v>Spill</v>
      </c>
      <c r="C4717" s="2">
        <f>_xlfn.XLOOKUP(A4717,'[1]Tissue Data'!$A:$A,'[1]Tissue Data'!$D:$D)</f>
        <v>44393</v>
      </c>
      <c r="D4717" s="2" t="str">
        <f>_xlfn.XLOOKUP(A4717,'[1]Tissue Data'!$A:$A,'[1]Tissue Data'!$F:$F)</f>
        <v>Pumpkinseed</v>
      </c>
      <c r="E4717" t="str">
        <f>_xlfn.XLOOKUP(A4717,'[1]Tissue Data'!$A:$A,'[1]Tissue Data'!$H:$H)</f>
        <v>Lepomis</v>
      </c>
      <c r="F4717" t="str">
        <f>_xlfn.XLOOKUP(A4717,'[1]Tissue Data'!$A:$A,'[1]Tissue Data'!$I:$I)</f>
        <v>gibbosus</v>
      </c>
      <c r="G4717" t="str">
        <f>_xlfn.XLOOKUP(A4717,'[1]Tissue Data'!$A:$A,'[1]Tissue Data'!J:J)</f>
        <v>M</v>
      </c>
      <c r="H4717" t="str">
        <f>_xlfn.XLOOKUP(A4717,'[1]Tissue Data'!$A:$A,'[1]Tissue Data'!K:K)</f>
        <v>Muscle</v>
      </c>
      <c r="I4717">
        <f>_xlfn.XLOOKUP(A4717,'[1]Tissue Data'!$A:$A,'[1]Tissue Data'!L:L)</f>
        <v>12.5</v>
      </c>
      <c r="J4717">
        <f>_xlfn.XLOOKUP(A4717,'[1]Tissue Data'!$A:$A,'[1]Tissue Data'!M:M)</f>
        <v>30.45</v>
      </c>
      <c r="K4717" t="s">
        <v>27</v>
      </c>
      <c r="L4717" t="str">
        <f>_xlfn.XLOOKUP(K4717,[2]analyte_order!$B:$B,[2]analyte_order!$C:$C)</f>
        <v>355-46-4</v>
      </c>
      <c r="M4717">
        <f>_xlfn.XLOOKUP(L4717,[2]analyte_order!$C:$C,[2]analyte_order!$E:$E)</f>
        <v>16</v>
      </c>
      <c r="N4717">
        <v>2.08</v>
      </c>
    </row>
    <row r="4718" spans="1:14">
      <c r="A4718" t="s">
        <v>274</v>
      </c>
      <c r="B4718" t="str">
        <f>_xlfn.XLOOKUP(A4718,'[1]Tissue Data'!$A:$A,'[1]Tissue Data'!$C:$C)</f>
        <v>Spill</v>
      </c>
      <c r="C4718" s="2">
        <f>_xlfn.XLOOKUP(A4718,'[1]Tissue Data'!$A:$A,'[1]Tissue Data'!$D:$D)</f>
        <v>44393</v>
      </c>
      <c r="D4718" s="2" t="str">
        <f>_xlfn.XLOOKUP(A4718,'[1]Tissue Data'!$A:$A,'[1]Tissue Data'!$F:$F)</f>
        <v>Pumpkinseed</v>
      </c>
      <c r="E4718" t="str">
        <f>_xlfn.XLOOKUP(A4718,'[1]Tissue Data'!$A:$A,'[1]Tissue Data'!$H:$H)</f>
        <v>Lepomis</v>
      </c>
      <c r="F4718" t="str">
        <f>_xlfn.XLOOKUP(A4718,'[1]Tissue Data'!$A:$A,'[1]Tissue Data'!$I:$I)</f>
        <v>gibbosus</v>
      </c>
      <c r="G4718" t="str">
        <f>_xlfn.XLOOKUP(A4718,'[1]Tissue Data'!$A:$A,'[1]Tissue Data'!J:J)</f>
        <v>M</v>
      </c>
      <c r="H4718" t="str">
        <f>_xlfn.XLOOKUP(A4718,'[1]Tissue Data'!$A:$A,'[1]Tissue Data'!K:K)</f>
        <v>Muscle</v>
      </c>
      <c r="I4718">
        <f>_xlfn.XLOOKUP(A4718,'[1]Tissue Data'!$A:$A,'[1]Tissue Data'!L:L)</f>
        <v>12.5</v>
      </c>
      <c r="J4718">
        <f>_xlfn.XLOOKUP(A4718,'[1]Tissue Data'!$A:$A,'[1]Tissue Data'!M:M)</f>
        <v>30.45</v>
      </c>
      <c r="K4718" t="s">
        <v>28</v>
      </c>
      <c r="L4718" t="str">
        <f>_xlfn.XLOOKUP(K4718,[2]analyte_order!$B:$B,[2]analyte_order!$C:$C)</f>
        <v>375-92-8</v>
      </c>
      <c r="M4718">
        <f>_xlfn.XLOOKUP(L4718,[2]analyte_order!$C:$C,[2]analyte_order!$E:$E)</f>
        <v>17</v>
      </c>
      <c r="N4718">
        <v>0.59699999999999998</v>
      </c>
    </row>
    <row r="4719" spans="1:14">
      <c r="A4719" t="s">
        <v>274</v>
      </c>
      <c r="B4719" t="str">
        <f>_xlfn.XLOOKUP(A4719,'[1]Tissue Data'!$A:$A,'[1]Tissue Data'!$C:$C)</f>
        <v>Spill</v>
      </c>
      <c r="C4719" s="2">
        <f>_xlfn.XLOOKUP(A4719,'[1]Tissue Data'!$A:$A,'[1]Tissue Data'!$D:$D)</f>
        <v>44393</v>
      </c>
      <c r="D4719" s="2" t="str">
        <f>_xlfn.XLOOKUP(A4719,'[1]Tissue Data'!$A:$A,'[1]Tissue Data'!$F:$F)</f>
        <v>Pumpkinseed</v>
      </c>
      <c r="E4719" t="str">
        <f>_xlfn.XLOOKUP(A4719,'[1]Tissue Data'!$A:$A,'[1]Tissue Data'!$H:$H)</f>
        <v>Lepomis</v>
      </c>
      <c r="F4719" t="str">
        <f>_xlfn.XLOOKUP(A4719,'[1]Tissue Data'!$A:$A,'[1]Tissue Data'!$I:$I)</f>
        <v>gibbosus</v>
      </c>
      <c r="G4719" t="str">
        <f>_xlfn.XLOOKUP(A4719,'[1]Tissue Data'!$A:$A,'[1]Tissue Data'!J:J)</f>
        <v>M</v>
      </c>
      <c r="H4719" t="str">
        <f>_xlfn.XLOOKUP(A4719,'[1]Tissue Data'!$A:$A,'[1]Tissue Data'!K:K)</f>
        <v>Muscle</v>
      </c>
      <c r="I4719">
        <f>_xlfn.XLOOKUP(A4719,'[1]Tissue Data'!$A:$A,'[1]Tissue Data'!L:L)</f>
        <v>12.5</v>
      </c>
      <c r="J4719">
        <f>_xlfn.XLOOKUP(A4719,'[1]Tissue Data'!$A:$A,'[1]Tissue Data'!M:M)</f>
        <v>30.45</v>
      </c>
      <c r="K4719" t="s">
        <v>29</v>
      </c>
      <c r="L4719" t="str">
        <f>_xlfn.XLOOKUP(K4719,[2]analyte_order!$B:$B,[2]analyte_order!$C:$C)</f>
        <v>1763-23-1</v>
      </c>
      <c r="M4719">
        <f>_xlfn.XLOOKUP(L4719,[2]analyte_order!$C:$C,[2]analyte_order!$E:$E)</f>
        <v>18</v>
      </c>
      <c r="N4719">
        <v>93.7</v>
      </c>
    </row>
    <row r="4720" spans="1:14">
      <c r="A4720" t="s">
        <v>274</v>
      </c>
      <c r="B4720" t="str">
        <f>_xlfn.XLOOKUP(A4720,'[1]Tissue Data'!$A:$A,'[1]Tissue Data'!$C:$C)</f>
        <v>Spill</v>
      </c>
      <c r="C4720" s="2">
        <f>_xlfn.XLOOKUP(A4720,'[1]Tissue Data'!$A:$A,'[1]Tissue Data'!$D:$D)</f>
        <v>44393</v>
      </c>
      <c r="D4720" s="2" t="str">
        <f>_xlfn.XLOOKUP(A4720,'[1]Tissue Data'!$A:$A,'[1]Tissue Data'!$F:$F)</f>
        <v>Pumpkinseed</v>
      </c>
      <c r="E4720" t="str">
        <f>_xlfn.XLOOKUP(A4720,'[1]Tissue Data'!$A:$A,'[1]Tissue Data'!$H:$H)</f>
        <v>Lepomis</v>
      </c>
      <c r="F4720" t="str">
        <f>_xlfn.XLOOKUP(A4720,'[1]Tissue Data'!$A:$A,'[1]Tissue Data'!$I:$I)</f>
        <v>gibbosus</v>
      </c>
      <c r="G4720" t="str">
        <f>_xlfn.XLOOKUP(A4720,'[1]Tissue Data'!$A:$A,'[1]Tissue Data'!J:J)</f>
        <v>M</v>
      </c>
      <c r="H4720" t="str">
        <f>_xlfn.XLOOKUP(A4720,'[1]Tissue Data'!$A:$A,'[1]Tissue Data'!K:K)</f>
        <v>Muscle</v>
      </c>
      <c r="I4720">
        <f>_xlfn.XLOOKUP(A4720,'[1]Tissue Data'!$A:$A,'[1]Tissue Data'!L:L)</f>
        <v>12.5</v>
      </c>
      <c r="J4720">
        <f>_xlfn.XLOOKUP(A4720,'[1]Tissue Data'!$A:$A,'[1]Tissue Data'!M:M)</f>
        <v>30.45</v>
      </c>
      <c r="K4720" t="s">
        <v>30</v>
      </c>
      <c r="L4720" t="str">
        <f>_xlfn.XLOOKUP(K4720,[2]analyte_order!$B:$B,[2]analyte_order!$C:$C)</f>
        <v>68259-12-1</v>
      </c>
      <c r="M4720">
        <f>_xlfn.XLOOKUP(L4720,[2]analyte_order!$C:$C,[2]analyte_order!$E:$E)</f>
        <v>19</v>
      </c>
      <c r="N4720">
        <v>0.13</v>
      </c>
    </row>
    <row r="4721" spans="1:14">
      <c r="A4721" t="s">
        <v>274</v>
      </c>
      <c r="B4721" t="str">
        <f>_xlfn.XLOOKUP(A4721,'[1]Tissue Data'!$A:$A,'[1]Tissue Data'!$C:$C)</f>
        <v>Spill</v>
      </c>
      <c r="C4721" s="2">
        <f>_xlfn.XLOOKUP(A4721,'[1]Tissue Data'!$A:$A,'[1]Tissue Data'!$D:$D)</f>
        <v>44393</v>
      </c>
      <c r="D4721" s="2" t="str">
        <f>_xlfn.XLOOKUP(A4721,'[1]Tissue Data'!$A:$A,'[1]Tissue Data'!$F:$F)</f>
        <v>Pumpkinseed</v>
      </c>
      <c r="E4721" t="str">
        <f>_xlfn.XLOOKUP(A4721,'[1]Tissue Data'!$A:$A,'[1]Tissue Data'!$H:$H)</f>
        <v>Lepomis</v>
      </c>
      <c r="F4721" t="str">
        <f>_xlfn.XLOOKUP(A4721,'[1]Tissue Data'!$A:$A,'[1]Tissue Data'!$I:$I)</f>
        <v>gibbosus</v>
      </c>
      <c r="G4721" t="str">
        <f>_xlfn.XLOOKUP(A4721,'[1]Tissue Data'!$A:$A,'[1]Tissue Data'!J:J)</f>
        <v>M</v>
      </c>
      <c r="H4721" t="str">
        <f>_xlfn.XLOOKUP(A4721,'[1]Tissue Data'!$A:$A,'[1]Tissue Data'!K:K)</f>
        <v>Muscle</v>
      </c>
      <c r="I4721">
        <f>_xlfn.XLOOKUP(A4721,'[1]Tissue Data'!$A:$A,'[1]Tissue Data'!L:L)</f>
        <v>12.5</v>
      </c>
      <c r="J4721">
        <f>_xlfn.XLOOKUP(A4721,'[1]Tissue Data'!$A:$A,'[1]Tissue Data'!M:M)</f>
        <v>30.45</v>
      </c>
      <c r="K4721" t="s">
        <v>31</v>
      </c>
      <c r="L4721" t="str">
        <f>_xlfn.XLOOKUP(K4721,[2]analyte_order!$B:$B,[2]analyte_order!$C:$C)</f>
        <v>335-77-3</v>
      </c>
      <c r="M4721">
        <f>_xlfn.XLOOKUP(L4721,[2]analyte_order!$C:$C,[2]analyte_order!$E:$E)</f>
        <v>20</v>
      </c>
      <c r="N4721">
        <v>0.187</v>
      </c>
    </row>
    <row r="4722" spans="1:14">
      <c r="A4722" t="s">
        <v>274</v>
      </c>
      <c r="B4722" t="str">
        <f>_xlfn.XLOOKUP(A4722,'[1]Tissue Data'!$A:$A,'[1]Tissue Data'!$C:$C)</f>
        <v>Spill</v>
      </c>
      <c r="C4722" s="2">
        <f>_xlfn.XLOOKUP(A4722,'[1]Tissue Data'!$A:$A,'[1]Tissue Data'!$D:$D)</f>
        <v>44393</v>
      </c>
      <c r="D4722" s="2" t="str">
        <f>_xlfn.XLOOKUP(A4722,'[1]Tissue Data'!$A:$A,'[1]Tissue Data'!$F:$F)</f>
        <v>Pumpkinseed</v>
      </c>
      <c r="E4722" t="str">
        <f>_xlfn.XLOOKUP(A4722,'[1]Tissue Data'!$A:$A,'[1]Tissue Data'!$H:$H)</f>
        <v>Lepomis</v>
      </c>
      <c r="F4722" t="str">
        <f>_xlfn.XLOOKUP(A4722,'[1]Tissue Data'!$A:$A,'[1]Tissue Data'!$I:$I)</f>
        <v>gibbosus</v>
      </c>
      <c r="G4722" t="str">
        <f>_xlfn.XLOOKUP(A4722,'[1]Tissue Data'!$A:$A,'[1]Tissue Data'!J:J)</f>
        <v>M</v>
      </c>
      <c r="H4722" t="str">
        <f>_xlfn.XLOOKUP(A4722,'[1]Tissue Data'!$A:$A,'[1]Tissue Data'!K:K)</f>
        <v>Muscle</v>
      </c>
      <c r="I4722">
        <f>_xlfn.XLOOKUP(A4722,'[1]Tissue Data'!$A:$A,'[1]Tissue Data'!L:L)</f>
        <v>12.5</v>
      </c>
      <c r="J4722">
        <f>_xlfn.XLOOKUP(A4722,'[1]Tissue Data'!$A:$A,'[1]Tissue Data'!M:M)</f>
        <v>30.45</v>
      </c>
      <c r="K4722" t="s">
        <v>32</v>
      </c>
      <c r="L4722" t="str">
        <f>_xlfn.XLOOKUP(K4722,[2]analyte_order!$B:$B,[2]analyte_order!$C:$C)</f>
        <v>79780-39-5</v>
      </c>
      <c r="M4722">
        <f>_xlfn.XLOOKUP(L4722,[2]analyte_order!$C:$C,[2]analyte_order!$E:$E)</f>
        <v>21</v>
      </c>
      <c r="N4722">
        <v>7.3999999999999996E-2</v>
      </c>
    </row>
    <row r="4723" spans="1:14">
      <c r="A4723" t="s">
        <v>274</v>
      </c>
      <c r="B4723" t="str">
        <f>_xlfn.XLOOKUP(A4723,'[1]Tissue Data'!$A:$A,'[1]Tissue Data'!$C:$C)</f>
        <v>Spill</v>
      </c>
      <c r="C4723" s="2">
        <f>_xlfn.XLOOKUP(A4723,'[1]Tissue Data'!$A:$A,'[1]Tissue Data'!$D:$D)</f>
        <v>44393</v>
      </c>
      <c r="D4723" s="2" t="str">
        <f>_xlfn.XLOOKUP(A4723,'[1]Tissue Data'!$A:$A,'[1]Tissue Data'!$F:$F)</f>
        <v>Pumpkinseed</v>
      </c>
      <c r="E4723" t="str">
        <f>_xlfn.XLOOKUP(A4723,'[1]Tissue Data'!$A:$A,'[1]Tissue Data'!$H:$H)</f>
        <v>Lepomis</v>
      </c>
      <c r="F4723" t="str">
        <f>_xlfn.XLOOKUP(A4723,'[1]Tissue Data'!$A:$A,'[1]Tissue Data'!$I:$I)</f>
        <v>gibbosus</v>
      </c>
      <c r="G4723" t="str">
        <f>_xlfn.XLOOKUP(A4723,'[1]Tissue Data'!$A:$A,'[1]Tissue Data'!J:J)</f>
        <v>M</v>
      </c>
      <c r="H4723" t="str">
        <f>_xlfn.XLOOKUP(A4723,'[1]Tissue Data'!$A:$A,'[1]Tissue Data'!K:K)</f>
        <v>Muscle</v>
      </c>
      <c r="I4723">
        <f>_xlfn.XLOOKUP(A4723,'[1]Tissue Data'!$A:$A,'[1]Tissue Data'!L:L)</f>
        <v>12.5</v>
      </c>
      <c r="J4723">
        <f>_xlfn.XLOOKUP(A4723,'[1]Tissue Data'!$A:$A,'[1]Tissue Data'!M:M)</f>
        <v>30.45</v>
      </c>
      <c r="K4723" t="s">
        <v>33</v>
      </c>
      <c r="L4723" t="str">
        <f>_xlfn.XLOOKUP(K4723,[2]analyte_order!$B:$B,[2]analyte_order!$C:$C)</f>
        <v>777011-38-8</v>
      </c>
      <c r="M4723">
        <f>_xlfn.XLOOKUP(L4723,[2]analyte_order!$C:$C,[2]analyte_order!$E:$E)</f>
        <v>54</v>
      </c>
      <c r="N4723">
        <v>4.2049999999999997E-2</v>
      </c>
    </row>
    <row r="4724" spans="1:14">
      <c r="A4724" t="s">
        <v>274</v>
      </c>
      <c r="B4724" t="str">
        <f>_xlfn.XLOOKUP(A4724,'[1]Tissue Data'!$A:$A,'[1]Tissue Data'!$C:$C)</f>
        <v>Spill</v>
      </c>
      <c r="C4724" s="2">
        <f>_xlfn.XLOOKUP(A4724,'[1]Tissue Data'!$A:$A,'[1]Tissue Data'!$D:$D)</f>
        <v>44393</v>
      </c>
      <c r="D4724" s="2" t="str">
        <f>_xlfn.XLOOKUP(A4724,'[1]Tissue Data'!$A:$A,'[1]Tissue Data'!$F:$F)</f>
        <v>Pumpkinseed</v>
      </c>
      <c r="E4724" t="str">
        <f>_xlfn.XLOOKUP(A4724,'[1]Tissue Data'!$A:$A,'[1]Tissue Data'!$H:$H)</f>
        <v>Lepomis</v>
      </c>
      <c r="F4724" t="str">
        <f>_xlfn.XLOOKUP(A4724,'[1]Tissue Data'!$A:$A,'[1]Tissue Data'!$I:$I)</f>
        <v>gibbosus</v>
      </c>
      <c r="G4724" t="str">
        <f>_xlfn.XLOOKUP(A4724,'[1]Tissue Data'!$A:$A,'[1]Tissue Data'!J:J)</f>
        <v>M</v>
      </c>
      <c r="H4724" t="str">
        <f>_xlfn.XLOOKUP(A4724,'[1]Tissue Data'!$A:$A,'[1]Tissue Data'!K:K)</f>
        <v>Muscle</v>
      </c>
      <c r="I4724">
        <f>_xlfn.XLOOKUP(A4724,'[1]Tissue Data'!$A:$A,'[1]Tissue Data'!L:L)</f>
        <v>12.5</v>
      </c>
      <c r="J4724">
        <f>_xlfn.XLOOKUP(A4724,'[1]Tissue Data'!$A:$A,'[1]Tissue Data'!M:M)</f>
        <v>30.45</v>
      </c>
      <c r="K4724" t="s">
        <v>34</v>
      </c>
      <c r="L4724" t="str">
        <f>_xlfn.XLOOKUP(K4724,[2]analyte_order!$B:$B,[2]analyte_order!$C:$C)</f>
        <v>646-83-3</v>
      </c>
      <c r="M4724">
        <f>_xlfn.XLOOKUP(L4724,[2]analyte_order!$C:$C,[2]analyte_order!$E:$E)</f>
        <v>55</v>
      </c>
      <c r="N4724">
        <v>6.9000000000000006E-2</v>
      </c>
    </row>
    <row r="4725" spans="1:14">
      <c r="A4725" t="s">
        <v>274</v>
      </c>
      <c r="B4725" t="str">
        <f>_xlfn.XLOOKUP(A4725,'[1]Tissue Data'!$A:$A,'[1]Tissue Data'!$C:$C)</f>
        <v>Spill</v>
      </c>
      <c r="C4725" s="2">
        <f>_xlfn.XLOOKUP(A4725,'[1]Tissue Data'!$A:$A,'[1]Tissue Data'!$D:$D)</f>
        <v>44393</v>
      </c>
      <c r="D4725" s="2" t="str">
        <f>_xlfn.XLOOKUP(A4725,'[1]Tissue Data'!$A:$A,'[1]Tissue Data'!$F:$F)</f>
        <v>Pumpkinseed</v>
      </c>
      <c r="E4725" t="str">
        <f>_xlfn.XLOOKUP(A4725,'[1]Tissue Data'!$A:$A,'[1]Tissue Data'!$H:$H)</f>
        <v>Lepomis</v>
      </c>
      <c r="F4725" t="str">
        <f>_xlfn.XLOOKUP(A4725,'[1]Tissue Data'!$A:$A,'[1]Tissue Data'!$I:$I)</f>
        <v>gibbosus</v>
      </c>
      <c r="G4725" t="str">
        <f>_xlfn.XLOOKUP(A4725,'[1]Tissue Data'!$A:$A,'[1]Tissue Data'!J:J)</f>
        <v>M</v>
      </c>
      <c r="H4725" t="str">
        <f>_xlfn.XLOOKUP(A4725,'[1]Tissue Data'!$A:$A,'[1]Tissue Data'!K:K)</f>
        <v>Muscle</v>
      </c>
      <c r="I4725">
        <f>_xlfn.XLOOKUP(A4725,'[1]Tissue Data'!$A:$A,'[1]Tissue Data'!L:L)</f>
        <v>12.5</v>
      </c>
      <c r="J4725">
        <f>_xlfn.XLOOKUP(A4725,'[1]Tissue Data'!$A:$A,'[1]Tissue Data'!M:M)</f>
        <v>30.45</v>
      </c>
      <c r="K4725" t="s">
        <v>35</v>
      </c>
      <c r="L4725" t="str">
        <f>_xlfn.XLOOKUP(K4725,[2]analyte_order!$B:$B,[2]analyte_order!$C:$C)</f>
        <v>30334-69-1</v>
      </c>
      <c r="M4725">
        <f>_xlfn.XLOOKUP(L4725,[2]analyte_order!$C:$C,[2]analyte_order!$E:$E)</f>
        <v>51</v>
      </c>
      <c r="N4725">
        <v>1.32</v>
      </c>
    </row>
    <row r="4726" spans="1:14">
      <c r="A4726" t="s">
        <v>274</v>
      </c>
      <c r="B4726" t="str">
        <f>_xlfn.XLOOKUP(A4726,'[1]Tissue Data'!$A:$A,'[1]Tissue Data'!$C:$C)</f>
        <v>Spill</v>
      </c>
      <c r="C4726" s="2">
        <f>_xlfn.XLOOKUP(A4726,'[1]Tissue Data'!$A:$A,'[1]Tissue Data'!$D:$D)</f>
        <v>44393</v>
      </c>
      <c r="D4726" s="2" t="str">
        <f>_xlfn.XLOOKUP(A4726,'[1]Tissue Data'!$A:$A,'[1]Tissue Data'!$F:$F)</f>
        <v>Pumpkinseed</v>
      </c>
      <c r="E4726" t="str">
        <f>_xlfn.XLOOKUP(A4726,'[1]Tissue Data'!$A:$A,'[1]Tissue Data'!$H:$H)</f>
        <v>Lepomis</v>
      </c>
      <c r="F4726" t="str">
        <f>_xlfn.XLOOKUP(A4726,'[1]Tissue Data'!$A:$A,'[1]Tissue Data'!$I:$I)</f>
        <v>gibbosus</v>
      </c>
      <c r="G4726" t="str">
        <f>_xlfn.XLOOKUP(A4726,'[1]Tissue Data'!$A:$A,'[1]Tissue Data'!J:J)</f>
        <v>M</v>
      </c>
      <c r="H4726" t="str">
        <f>_xlfn.XLOOKUP(A4726,'[1]Tissue Data'!$A:$A,'[1]Tissue Data'!K:K)</f>
        <v>Muscle</v>
      </c>
      <c r="I4726">
        <f>_xlfn.XLOOKUP(A4726,'[1]Tissue Data'!$A:$A,'[1]Tissue Data'!L:L)</f>
        <v>12.5</v>
      </c>
      <c r="J4726">
        <f>_xlfn.XLOOKUP(A4726,'[1]Tissue Data'!$A:$A,'[1]Tissue Data'!M:M)</f>
        <v>30.45</v>
      </c>
      <c r="K4726" t="s">
        <v>36</v>
      </c>
      <c r="L4726" t="str">
        <f>_xlfn.XLOOKUP(K4726,[2]analyte_order!$B:$B,[2]analyte_order!$C:$C)</f>
        <v>41997-13-1</v>
      </c>
      <c r="M4726">
        <f>_xlfn.XLOOKUP(L4726,[2]analyte_order!$C:$C,[2]analyte_order!$E:$E)</f>
        <v>52</v>
      </c>
      <c r="N4726">
        <v>21</v>
      </c>
    </row>
    <row r="4727" spans="1:14">
      <c r="A4727" t="s">
        <v>274</v>
      </c>
      <c r="B4727" t="str">
        <f>_xlfn.XLOOKUP(A4727,'[1]Tissue Data'!$A:$A,'[1]Tissue Data'!$C:$C)</f>
        <v>Spill</v>
      </c>
      <c r="C4727" s="2">
        <f>_xlfn.XLOOKUP(A4727,'[1]Tissue Data'!$A:$A,'[1]Tissue Data'!$D:$D)</f>
        <v>44393</v>
      </c>
      <c r="D4727" s="2" t="str">
        <f>_xlfn.XLOOKUP(A4727,'[1]Tissue Data'!$A:$A,'[1]Tissue Data'!$F:$F)</f>
        <v>Pumpkinseed</v>
      </c>
      <c r="E4727" t="str">
        <f>_xlfn.XLOOKUP(A4727,'[1]Tissue Data'!$A:$A,'[1]Tissue Data'!$H:$H)</f>
        <v>Lepomis</v>
      </c>
      <c r="F4727" t="str">
        <f>_xlfn.XLOOKUP(A4727,'[1]Tissue Data'!$A:$A,'[1]Tissue Data'!$I:$I)</f>
        <v>gibbosus</v>
      </c>
      <c r="G4727" t="str">
        <f>_xlfn.XLOOKUP(A4727,'[1]Tissue Data'!$A:$A,'[1]Tissue Data'!J:J)</f>
        <v>M</v>
      </c>
      <c r="H4727" t="str">
        <f>_xlfn.XLOOKUP(A4727,'[1]Tissue Data'!$A:$A,'[1]Tissue Data'!K:K)</f>
        <v>Muscle</v>
      </c>
      <c r="I4727">
        <f>_xlfn.XLOOKUP(A4727,'[1]Tissue Data'!$A:$A,'[1]Tissue Data'!L:L)</f>
        <v>12.5</v>
      </c>
      <c r="J4727">
        <f>_xlfn.XLOOKUP(A4727,'[1]Tissue Data'!$A:$A,'[1]Tissue Data'!M:M)</f>
        <v>30.45</v>
      </c>
      <c r="K4727" t="s">
        <v>37</v>
      </c>
      <c r="L4727" t="str">
        <f>_xlfn.XLOOKUP(K4727,[2]analyte_order!$B:$B,[2]analyte_order!$C:$C)</f>
        <v>754-91-6</v>
      </c>
      <c r="M4727">
        <f>_xlfn.XLOOKUP(L4727,[2]analyte_order!$C:$C,[2]analyte_order!$E:$E)</f>
        <v>28</v>
      </c>
      <c r="N4727">
        <v>2.86</v>
      </c>
    </row>
    <row r="4728" spans="1:14">
      <c r="A4728" t="s">
        <v>274</v>
      </c>
      <c r="B4728" t="str">
        <f>_xlfn.XLOOKUP(A4728,'[1]Tissue Data'!$A:$A,'[1]Tissue Data'!$C:$C)</f>
        <v>Spill</v>
      </c>
      <c r="C4728" s="2">
        <f>_xlfn.XLOOKUP(A4728,'[1]Tissue Data'!$A:$A,'[1]Tissue Data'!$D:$D)</f>
        <v>44393</v>
      </c>
      <c r="D4728" s="2" t="str">
        <f>_xlfn.XLOOKUP(A4728,'[1]Tissue Data'!$A:$A,'[1]Tissue Data'!$F:$F)</f>
        <v>Pumpkinseed</v>
      </c>
      <c r="E4728" t="str">
        <f>_xlfn.XLOOKUP(A4728,'[1]Tissue Data'!$A:$A,'[1]Tissue Data'!$H:$H)</f>
        <v>Lepomis</v>
      </c>
      <c r="F4728" t="str">
        <f>_xlfn.XLOOKUP(A4728,'[1]Tissue Data'!$A:$A,'[1]Tissue Data'!$I:$I)</f>
        <v>gibbosus</v>
      </c>
      <c r="G4728" t="str">
        <f>_xlfn.XLOOKUP(A4728,'[1]Tissue Data'!$A:$A,'[1]Tissue Data'!J:J)</f>
        <v>M</v>
      </c>
      <c r="H4728" t="str">
        <f>_xlfn.XLOOKUP(A4728,'[1]Tissue Data'!$A:$A,'[1]Tissue Data'!K:K)</f>
        <v>Muscle</v>
      </c>
      <c r="I4728">
        <f>_xlfn.XLOOKUP(A4728,'[1]Tissue Data'!$A:$A,'[1]Tissue Data'!L:L)</f>
        <v>12.5</v>
      </c>
      <c r="J4728">
        <f>_xlfn.XLOOKUP(A4728,'[1]Tissue Data'!$A:$A,'[1]Tissue Data'!M:M)</f>
        <v>30.45</v>
      </c>
      <c r="K4728" t="s">
        <v>38</v>
      </c>
      <c r="L4728" t="str">
        <f>_xlfn.XLOOKUP(K4728,[2]analyte_order!$B:$B,[2]analyte_order!$C:$C)</f>
        <v>31506-32-8</v>
      </c>
      <c r="M4728">
        <f>_xlfn.XLOOKUP(L4728,[2]analyte_order!$C:$C,[2]analyte_order!$E:$E)</f>
        <v>30</v>
      </c>
      <c r="N4728">
        <v>6.9000000000000006E-2</v>
      </c>
    </row>
    <row r="4729" spans="1:14">
      <c r="A4729" t="s">
        <v>274</v>
      </c>
      <c r="B4729" t="str">
        <f>_xlfn.XLOOKUP(A4729,'[1]Tissue Data'!$A:$A,'[1]Tissue Data'!$C:$C)</f>
        <v>Spill</v>
      </c>
      <c r="C4729" s="2">
        <f>_xlfn.XLOOKUP(A4729,'[1]Tissue Data'!$A:$A,'[1]Tissue Data'!$D:$D)</f>
        <v>44393</v>
      </c>
      <c r="D4729" s="2" t="str">
        <f>_xlfn.XLOOKUP(A4729,'[1]Tissue Data'!$A:$A,'[1]Tissue Data'!$F:$F)</f>
        <v>Pumpkinseed</v>
      </c>
      <c r="E4729" t="str">
        <f>_xlfn.XLOOKUP(A4729,'[1]Tissue Data'!$A:$A,'[1]Tissue Data'!$H:$H)</f>
        <v>Lepomis</v>
      </c>
      <c r="F4729" t="str">
        <f>_xlfn.XLOOKUP(A4729,'[1]Tissue Data'!$A:$A,'[1]Tissue Data'!$I:$I)</f>
        <v>gibbosus</v>
      </c>
      <c r="G4729" t="str">
        <f>_xlfn.XLOOKUP(A4729,'[1]Tissue Data'!$A:$A,'[1]Tissue Data'!J:J)</f>
        <v>M</v>
      </c>
      <c r="H4729" t="str">
        <f>_xlfn.XLOOKUP(A4729,'[1]Tissue Data'!$A:$A,'[1]Tissue Data'!K:K)</f>
        <v>Muscle</v>
      </c>
      <c r="I4729">
        <f>_xlfn.XLOOKUP(A4729,'[1]Tissue Data'!$A:$A,'[1]Tissue Data'!L:L)</f>
        <v>12.5</v>
      </c>
      <c r="J4729">
        <f>_xlfn.XLOOKUP(A4729,'[1]Tissue Data'!$A:$A,'[1]Tissue Data'!M:M)</f>
        <v>30.45</v>
      </c>
      <c r="K4729" t="s">
        <v>39</v>
      </c>
      <c r="L4729" t="str">
        <f>_xlfn.XLOOKUP(K4729,[2]analyte_order!$B:$B,[2]analyte_order!$C:$C)</f>
        <v>4151-50-2</v>
      </c>
      <c r="M4729">
        <f>_xlfn.XLOOKUP(L4729,[2]analyte_order!$C:$C,[2]analyte_order!$E:$E)</f>
        <v>31</v>
      </c>
      <c r="N4729">
        <v>8.0500000000000002E-2</v>
      </c>
    </row>
    <row r="4730" spans="1:14">
      <c r="A4730" t="s">
        <v>274</v>
      </c>
      <c r="B4730" t="str">
        <f>_xlfn.XLOOKUP(A4730,'[1]Tissue Data'!$A:$A,'[1]Tissue Data'!$C:$C)</f>
        <v>Spill</v>
      </c>
      <c r="C4730" s="2">
        <f>_xlfn.XLOOKUP(A4730,'[1]Tissue Data'!$A:$A,'[1]Tissue Data'!$D:$D)</f>
        <v>44393</v>
      </c>
      <c r="D4730" s="2" t="str">
        <f>_xlfn.XLOOKUP(A4730,'[1]Tissue Data'!$A:$A,'[1]Tissue Data'!$F:$F)</f>
        <v>Pumpkinseed</v>
      </c>
      <c r="E4730" t="str">
        <f>_xlfn.XLOOKUP(A4730,'[1]Tissue Data'!$A:$A,'[1]Tissue Data'!$H:$H)</f>
        <v>Lepomis</v>
      </c>
      <c r="F4730" t="str">
        <f>_xlfn.XLOOKUP(A4730,'[1]Tissue Data'!$A:$A,'[1]Tissue Data'!$I:$I)</f>
        <v>gibbosus</v>
      </c>
      <c r="G4730" t="str">
        <f>_xlfn.XLOOKUP(A4730,'[1]Tissue Data'!$A:$A,'[1]Tissue Data'!J:J)</f>
        <v>M</v>
      </c>
      <c r="H4730" t="str">
        <f>_xlfn.XLOOKUP(A4730,'[1]Tissue Data'!$A:$A,'[1]Tissue Data'!K:K)</f>
        <v>Muscle</v>
      </c>
      <c r="I4730">
        <f>_xlfn.XLOOKUP(A4730,'[1]Tissue Data'!$A:$A,'[1]Tissue Data'!L:L)</f>
        <v>12.5</v>
      </c>
      <c r="J4730">
        <f>_xlfn.XLOOKUP(A4730,'[1]Tissue Data'!$A:$A,'[1]Tissue Data'!M:M)</f>
        <v>30.45</v>
      </c>
      <c r="K4730" t="s">
        <v>40</v>
      </c>
      <c r="L4730" t="str">
        <f>_xlfn.XLOOKUP(K4730,[2]analyte_order!$B:$B,[2]analyte_order!$C:$C)</f>
        <v>2806-24-8</v>
      </c>
      <c r="M4730">
        <f>_xlfn.XLOOKUP(L4730,[2]analyte_order!$C:$C,[2]analyte_order!$E:$E)</f>
        <v>29</v>
      </c>
      <c r="N4730">
        <v>5.45E-2</v>
      </c>
    </row>
    <row r="4731" spans="1:14">
      <c r="A4731" t="s">
        <v>274</v>
      </c>
      <c r="B4731" t="str">
        <f>_xlfn.XLOOKUP(A4731,'[1]Tissue Data'!$A:$A,'[1]Tissue Data'!$C:$C)</f>
        <v>Spill</v>
      </c>
      <c r="C4731" s="2">
        <f>_xlfn.XLOOKUP(A4731,'[1]Tissue Data'!$A:$A,'[1]Tissue Data'!$D:$D)</f>
        <v>44393</v>
      </c>
      <c r="D4731" s="2" t="str">
        <f>_xlfn.XLOOKUP(A4731,'[1]Tissue Data'!$A:$A,'[1]Tissue Data'!$F:$F)</f>
        <v>Pumpkinseed</v>
      </c>
      <c r="E4731" t="str">
        <f>_xlfn.XLOOKUP(A4731,'[1]Tissue Data'!$A:$A,'[1]Tissue Data'!$H:$H)</f>
        <v>Lepomis</v>
      </c>
      <c r="F4731" t="str">
        <f>_xlfn.XLOOKUP(A4731,'[1]Tissue Data'!$A:$A,'[1]Tissue Data'!$I:$I)</f>
        <v>gibbosus</v>
      </c>
      <c r="G4731" t="str">
        <f>_xlfn.XLOOKUP(A4731,'[1]Tissue Data'!$A:$A,'[1]Tissue Data'!J:J)</f>
        <v>M</v>
      </c>
      <c r="H4731" t="str">
        <f>_xlfn.XLOOKUP(A4731,'[1]Tissue Data'!$A:$A,'[1]Tissue Data'!K:K)</f>
        <v>Muscle</v>
      </c>
      <c r="I4731">
        <f>_xlfn.XLOOKUP(A4731,'[1]Tissue Data'!$A:$A,'[1]Tissue Data'!L:L)</f>
        <v>12.5</v>
      </c>
      <c r="J4731">
        <f>_xlfn.XLOOKUP(A4731,'[1]Tissue Data'!$A:$A,'[1]Tissue Data'!M:M)</f>
        <v>30.45</v>
      </c>
      <c r="K4731" t="s">
        <v>41</v>
      </c>
      <c r="L4731" t="str">
        <f>_xlfn.XLOOKUP(K4731,[2]analyte_order!$B:$B,[2]analyte_order!$C:$C)</f>
        <v>2355-31-9</v>
      </c>
      <c r="M4731">
        <f>_xlfn.XLOOKUP(L4731,[2]analyte_order!$C:$C,[2]analyte_order!$E:$E)</f>
        <v>26</v>
      </c>
      <c r="N4731">
        <v>6.9500000000000006E-2</v>
      </c>
    </row>
    <row r="4732" spans="1:14">
      <c r="A4732" t="s">
        <v>274</v>
      </c>
      <c r="B4732" t="str">
        <f>_xlfn.XLOOKUP(A4732,'[1]Tissue Data'!$A:$A,'[1]Tissue Data'!$C:$C)</f>
        <v>Spill</v>
      </c>
      <c r="C4732" s="2">
        <f>_xlfn.XLOOKUP(A4732,'[1]Tissue Data'!$A:$A,'[1]Tissue Data'!$D:$D)</f>
        <v>44393</v>
      </c>
      <c r="D4732" s="2" t="str">
        <f>_xlfn.XLOOKUP(A4732,'[1]Tissue Data'!$A:$A,'[1]Tissue Data'!$F:$F)</f>
        <v>Pumpkinseed</v>
      </c>
      <c r="E4732" t="str">
        <f>_xlfn.XLOOKUP(A4732,'[1]Tissue Data'!$A:$A,'[1]Tissue Data'!$H:$H)</f>
        <v>Lepomis</v>
      </c>
      <c r="F4732" t="str">
        <f>_xlfn.XLOOKUP(A4732,'[1]Tissue Data'!$A:$A,'[1]Tissue Data'!$I:$I)</f>
        <v>gibbosus</v>
      </c>
      <c r="G4732" t="str">
        <f>_xlfn.XLOOKUP(A4732,'[1]Tissue Data'!$A:$A,'[1]Tissue Data'!J:J)</f>
        <v>M</v>
      </c>
      <c r="H4732" t="str">
        <f>_xlfn.XLOOKUP(A4732,'[1]Tissue Data'!$A:$A,'[1]Tissue Data'!K:K)</f>
        <v>Muscle</v>
      </c>
      <c r="I4732">
        <f>_xlfn.XLOOKUP(A4732,'[1]Tissue Data'!$A:$A,'[1]Tissue Data'!L:L)</f>
        <v>12.5</v>
      </c>
      <c r="J4732">
        <f>_xlfn.XLOOKUP(A4732,'[1]Tissue Data'!$A:$A,'[1]Tissue Data'!M:M)</f>
        <v>30.45</v>
      </c>
      <c r="K4732" t="s">
        <v>42</v>
      </c>
      <c r="L4732" t="str">
        <f>_xlfn.XLOOKUP(K4732,[2]analyte_order!$B:$B,[2]analyte_order!$C:$C)</f>
        <v>2991-50-6</v>
      </c>
      <c r="M4732">
        <f>_xlfn.XLOOKUP(L4732,[2]analyte_order!$C:$C,[2]analyte_order!$E:$E)</f>
        <v>27</v>
      </c>
      <c r="N4732">
        <v>0.06</v>
      </c>
    </row>
    <row r="4733" spans="1:14">
      <c r="A4733" t="s">
        <v>274</v>
      </c>
      <c r="B4733" t="str">
        <f>_xlfn.XLOOKUP(A4733,'[1]Tissue Data'!$A:$A,'[1]Tissue Data'!$C:$C)</f>
        <v>Spill</v>
      </c>
      <c r="C4733" s="2">
        <f>_xlfn.XLOOKUP(A4733,'[1]Tissue Data'!$A:$A,'[1]Tissue Data'!$D:$D)</f>
        <v>44393</v>
      </c>
      <c r="D4733" s="2" t="str">
        <f>_xlfn.XLOOKUP(A4733,'[1]Tissue Data'!$A:$A,'[1]Tissue Data'!$F:$F)</f>
        <v>Pumpkinseed</v>
      </c>
      <c r="E4733" t="str">
        <f>_xlfn.XLOOKUP(A4733,'[1]Tissue Data'!$A:$A,'[1]Tissue Data'!$H:$H)</f>
        <v>Lepomis</v>
      </c>
      <c r="F4733" t="str">
        <f>_xlfn.XLOOKUP(A4733,'[1]Tissue Data'!$A:$A,'[1]Tissue Data'!$I:$I)</f>
        <v>gibbosus</v>
      </c>
      <c r="G4733" t="str">
        <f>_xlfn.XLOOKUP(A4733,'[1]Tissue Data'!$A:$A,'[1]Tissue Data'!J:J)</f>
        <v>M</v>
      </c>
      <c r="H4733" t="str">
        <f>_xlfn.XLOOKUP(A4733,'[1]Tissue Data'!$A:$A,'[1]Tissue Data'!K:K)</f>
        <v>Muscle</v>
      </c>
      <c r="I4733">
        <f>_xlfn.XLOOKUP(A4733,'[1]Tissue Data'!$A:$A,'[1]Tissue Data'!L:L)</f>
        <v>12.5</v>
      </c>
      <c r="J4733">
        <f>_xlfn.XLOOKUP(A4733,'[1]Tissue Data'!$A:$A,'[1]Tissue Data'!M:M)</f>
        <v>30.45</v>
      </c>
      <c r="K4733" t="s">
        <v>43</v>
      </c>
      <c r="L4733" t="str">
        <f>_xlfn.XLOOKUP(K4733,[2]analyte_order!$B:$B,[2]analyte_order!$C:$C)</f>
        <v>757124-72-4</v>
      </c>
      <c r="M4733">
        <f>_xlfn.XLOOKUP(L4733,[2]analyte_order!$C:$C,[2]analyte_order!$E:$E)</f>
        <v>22</v>
      </c>
      <c r="N4733">
        <v>6.9000000000000006E-2</v>
      </c>
    </row>
    <row r="4734" spans="1:14">
      <c r="A4734" t="s">
        <v>274</v>
      </c>
      <c r="B4734" t="str">
        <f>_xlfn.XLOOKUP(A4734,'[1]Tissue Data'!$A:$A,'[1]Tissue Data'!$C:$C)</f>
        <v>Spill</v>
      </c>
      <c r="C4734" s="2">
        <f>_xlfn.XLOOKUP(A4734,'[1]Tissue Data'!$A:$A,'[1]Tissue Data'!$D:$D)</f>
        <v>44393</v>
      </c>
      <c r="D4734" s="2" t="str">
        <f>_xlfn.XLOOKUP(A4734,'[1]Tissue Data'!$A:$A,'[1]Tissue Data'!$F:$F)</f>
        <v>Pumpkinseed</v>
      </c>
      <c r="E4734" t="str">
        <f>_xlfn.XLOOKUP(A4734,'[1]Tissue Data'!$A:$A,'[1]Tissue Data'!$H:$H)</f>
        <v>Lepomis</v>
      </c>
      <c r="F4734" t="str">
        <f>_xlfn.XLOOKUP(A4734,'[1]Tissue Data'!$A:$A,'[1]Tissue Data'!$I:$I)</f>
        <v>gibbosus</v>
      </c>
      <c r="G4734" t="str">
        <f>_xlfn.XLOOKUP(A4734,'[1]Tissue Data'!$A:$A,'[1]Tissue Data'!J:J)</f>
        <v>M</v>
      </c>
      <c r="H4734" t="str">
        <f>_xlfn.XLOOKUP(A4734,'[1]Tissue Data'!$A:$A,'[1]Tissue Data'!K:K)</f>
        <v>Muscle</v>
      </c>
      <c r="I4734">
        <f>_xlfn.XLOOKUP(A4734,'[1]Tissue Data'!$A:$A,'[1]Tissue Data'!L:L)</f>
        <v>12.5</v>
      </c>
      <c r="J4734">
        <f>_xlfn.XLOOKUP(A4734,'[1]Tissue Data'!$A:$A,'[1]Tissue Data'!M:M)</f>
        <v>30.45</v>
      </c>
      <c r="K4734" t="s">
        <v>44</v>
      </c>
      <c r="L4734" t="str">
        <f>_xlfn.XLOOKUP(K4734,[2]analyte_order!$B:$B,[2]analyte_order!$C:$C)</f>
        <v>27619-97-2</v>
      </c>
      <c r="M4734">
        <f>_xlfn.XLOOKUP(L4734,[2]analyte_order!$C:$C,[2]analyte_order!$E:$E)</f>
        <v>23</v>
      </c>
      <c r="N4734">
        <v>0.13800000000000001</v>
      </c>
    </row>
    <row r="4735" spans="1:14">
      <c r="A4735" t="s">
        <v>274</v>
      </c>
      <c r="B4735" t="str">
        <f>_xlfn.XLOOKUP(A4735,'[1]Tissue Data'!$A:$A,'[1]Tissue Data'!$C:$C)</f>
        <v>Spill</v>
      </c>
      <c r="C4735" s="2">
        <f>_xlfn.XLOOKUP(A4735,'[1]Tissue Data'!$A:$A,'[1]Tissue Data'!$D:$D)</f>
        <v>44393</v>
      </c>
      <c r="D4735" s="2" t="str">
        <f>_xlfn.XLOOKUP(A4735,'[1]Tissue Data'!$A:$A,'[1]Tissue Data'!$F:$F)</f>
        <v>Pumpkinseed</v>
      </c>
      <c r="E4735" t="str">
        <f>_xlfn.XLOOKUP(A4735,'[1]Tissue Data'!$A:$A,'[1]Tissue Data'!$H:$H)</f>
        <v>Lepomis</v>
      </c>
      <c r="F4735" t="str">
        <f>_xlfn.XLOOKUP(A4735,'[1]Tissue Data'!$A:$A,'[1]Tissue Data'!$I:$I)</f>
        <v>gibbosus</v>
      </c>
      <c r="G4735" t="str">
        <f>_xlfn.XLOOKUP(A4735,'[1]Tissue Data'!$A:$A,'[1]Tissue Data'!J:J)</f>
        <v>M</v>
      </c>
      <c r="H4735" t="str">
        <f>_xlfn.XLOOKUP(A4735,'[1]Tissue Data'!$A:$A,'[1]Tissue Data'!K:K)</f>
        <v>Muscle</v>
      </c>
      <c r="I4735">
        <f>_xlfn.XLOOKUP(A4735,'[1]Tissue Data'!$A:$A,'[1]Tissue Data'!L:L)</f>
        <v>12.5</v>
      </c>
      <c r="J4735">
        <f>_xlfn.XLOOKUP(A4735,'[1]Tissue Data'!$A:$A,'[1]Tissue Data'!M:M)</f>
        <v>30.45</v>
      </c>
      <c r="K4735" t="s">
        <v>45</v>
      </c>
      <c r="L4735" t="str">
        <f>_xlfn.XLOOKUP(K4735,[2]analyte_order!$B:$B,[2]analyte_order!$C:$C)</f>
        <v>39108-34-4</v>
      </c>
      <c r="M4735">
        <f>_xlfn.XLOOKUP(L4735,[2]analyte_order!$C:$C,[2]analyte_order!$E:$E)</f>
        <v>24</v>
      </c>
      <c r="N4735">
        <v>0.57299999999999995</v>
      </c>
    </row>
    <row r="4736" spans="1:14">
      <c r="A4736" t="s">
        <v>274</v>
      </c>
      <c r="B4736" t="str">
        <f>_xlfn.XLOOKUP(A4736,'[1]Tissue Data'!$A:$A,'[1]Tissue Data'!$C:$C)</f>
        <v>Spill</v>
      </c>
      <c r="C4736" s="2">
        <f>_xlfn.XLOOKUP(A4736,'[1]Tissue Data'!$A:$A,'[1]Tissue Data'!$D:$D)</f>
        <v>44393</v>
      </c>
      <c r="D4736" s="2" t="str">
        <f>_xlfn.XLOOKUP(A4736,'[1]Tissue Data'!$A:$A,'[1]Tissue Data'!$F:$F)</f>
        <v>Pumpkinseed</v>
      </c>
      <c r="E4736" t="str">
        <f>_xlfn.XLOOKUP(A4736,'[1]Tissue Data'!$A:$A,'[1]Tissue Data'!$H:$H)</f>
        <v>Lepomis</v>
      </c>
      <c r="F4736" t="str">
        <f>_xlfn.XLOOKUP(A4736,'[1]Tissue Data'!$A:$A,'[1]Tissue Data'!$I:$I)</f>
        <v>gibbosus</v>
      </c>
      <c r="G4736" t="str">
        <f>_xlfn.XLOOKUP(A4736,'[1]Tissue Data'!$A:$A,'[1]Tissue Data'!J:J)</f>
        <v>M</v>
      </c>
      <c r="H4736" t="str">
        <f>_xlfn.XLOOKUP(A4736,'[1]Tissue Data'!$A:$A,'[1]Tissue Data'!K:K)</f>
        <v>Muscle</v>
      </c>
      <c r="I4736">
        <f>_xlfn.XLOOKUP(A4736,'[1]Tissue Data'!$A:$A,'[1]Tissue Data'!L:L)</f>
        <v>12.5</v>
      </c>
      <c r="J4736">
        <f>_xlfn.XLOOKUP(A4736,'[1]Tissue Data'!$A:$A,'[1]Tissue Data'!M:M)</f>
        <v>30.45</v>
      </c>
      <c r="K4736" t="s">
        <v>46</v>
      </c>
      <c r="L4736" t="str">
        <f>_xlfn.XLOOKUP(K4736,[2]analyte_order!$B:$B,[2]analyte_order!$C:$C)</f>
        <v>120226-60-0</v>
      </c>
      <c r="M4736">
        <f>_xlfn.XLOOKUP(L4736,[2]analyte_order!$C:$C,[2]analyte_order!$E:$E)</f>
        <v>25</v>
      </c>
      <c r="N4736">
        <v>0.25900000000000001</v>
      </c>
    </row>
    <row r="4737" spans="1:14">
      <c r="A4737" t="s">
        <v>274</v>
      </c>
      <c r="B4737" t="str">
        <f>_xlfn.XLOOKUP(A4737,'[1]Tissue Data'!$A:$A,'[1]Tissue Data'!$C:$C)</f>
        <v>Spill</v>
      </c>
      <c r="C4737" s="2">
        <f>_xlfn.XLOOKUP(A4737,'[1]Tissue Data'!$A:$A,'[1]Tissue Data'!$D:$D)</f>
        <v>44393</v>
      </c>
      <c r="D4737" s="2" t="str">
        <f>_xlfn.XLOOKUP(A4737,'[1]Tissue Data'!$A:$A,'[1]Tissue Data'!$F:$F)</f>
        <v>Pumpkinseed</v>
      </c>
      <c r="E4737" t="str">
        <f>_xlfn.XLOOKUP(A4737,'[1]Tissue Data'!$A:$A,'[1]Tissue Data'!$H:$H)</f>
        <v>Lepomis</v>
      </c>
      <c r="F4737" t="str">
        <f>_xlfn.XLOOKUP(A4737,'[1]Tissue Data'!$A:$A,'[1]Tissue Data'!$I:$I)</f>
        <v>gibbosus</v>
      </c>
      <c r="G4737" t="str">
        <f>_xlfn.XLOOKUP(A4737,'[1]Tissue Data'!$A:$A,'[1]Tissue Data'!J:J)</f>
        <v>M</v>
      </c>
      <c r="H4737" t="str">
        <f>_xlfn.XLOOKUP(A4737,'[1]Tissue Data'!$A:$A,'[1]Tissue Data'!K:K)</f>
        <v>Muscle</v>
      </c>
      <c r="I4737">
        <f>_xlfn.XLOOKUP(A4737,'[1]Tissue Data'!$A:$A,'[1]Tissue Data'!L:L)</f>
        <v>12.5</v>
      </c>
      <c r="J4737">
        <f>_xlfn.XLOOKUP(A4737,'[1]Tissue Data'!$A:$A,'[1]Tissue Data'!M:M)</f>
        <v>30.45</v>
      </c>
      <c r="K4737" t="s">
        <v>47</v>
      </c>
      <c r="L4737" t="str">
        <f>_xlfn.XLOOKUP(K4737,[2]analyte_order!$B:$B,[2]analyte_order!$C:$C)</f>
        <v>356-02-5</v>
      </c>
      <c r="M4737">
        <f>_xlfn.XLOOKUP(L4737,[2]analyte_order!$C:$C,[2]analyte_order!$E:$E)</f>
        <v>38</v>
      </c>
      <c r="N4737">
        <v>0.08</v>
      </c>
    </row>
    <row r="4738" spans="1:14">
      <c r="A4738" t="s">
        <v>274</v>
      </c>
      <c r="B4738" t="str">
        <f>_xlfn.XLOOKUP(A4738,'[1]Tissue Data'!$A:$A,'[1]Tissue Data'!$C:$C)</f>
        <v>Spill</v>
      </c>
      <c r="C4738" s="2">
        <f>_xlfn.XLOOKUP(A4738,'[1]Tissue Data'!$A:$A,'[1]Tissue Data'!$D:$D)</f>
        <v>44393</v>
      </c>
      <c r="D4738" s="2" t="str">
        <f>_xlfn.XLOOKUP(A4738,'[1]Tissue Data'!$A:$A,'[1]Tissue Data'!$F:$F)</f>
        <v>Pumpkinseed</v>
      </c>
      <c r="E4738" t="str">
        <f>_xlfn.XLOOKUP(A4738,'[1]Tissue Data'!$A:$A,'[1]Tissue Data'!$H:$H)</f>
        <v>Lepomis</v>
      </c>
      <c r="F4738" t="str">
        <f>_xlfn.XLOOKUP(A4738,'[1]Tissue Data'!$A:$A,'[1]Tissue Data'!$I:$I)</f>
        <v>gibbosus</v>
      </c>
      <c r="G4738" t="str">
        <f>_xlfn.XLOOKUP(A4738,'[1]Tissue Data'!$A:$A,'[1]Tissue Data'!J:J)</f>
        <v>M</v>
      </c>
      <c r="H4738" t="str">
        <f>_xlfn.XLOOKUP(A4738,'[1]Tissue Data'!$A:$A,'[1]Tissue Data'!K:K)</f>
        <v>Muscle</v>
      </c>
      <c r="I4738">
        <f>_xlfn.XLOOKUP(A4738,'[1]Tissue Data'!$A:$A,'[1]Tissue Data'!L:L)</f>
        <v>12.5</v>
      </c>
      <c r="J4738">
        <f>_xlfn.XLOOKUP(A4738,'[1]Tissue Data'!$A:$A,'[1]Tissue Data'!M:M)</f>
        <v>30.45</v>
      </c>
      <c r="K4738" t="s">
        <v>48</v>
      </c>
      <c r="L4738" t="str">
        <f>_xlfn.XLOOKUP(K4738,[2]analyte_order!$B:$B,[2]analyte_order!$C:$C)</f>
        <v>914637-49-3</v>
      </c>
      <c r="M4738">
        <f>_xlfn.XLOOKUP(L4738,[2]analyte_order!$C:$C,[2]analyte_order!$E:$E)</f>
        <v>39</v>
      </c>
      <c r="N4738">
        <v>5.1999999999999998E-2</v>
      </c>
    </row>
    <row r="4739" spans="1:14">
      <c r="A4739" t="s">
        <v>274</v>
      </c>
      <c r="B4739" t="str">
        <f>_xlfn.XLOOKUP(A4739,'[1]Tissue Data'!$A:$A,'[1]Tissue Data'!$C:$C)</f>
        <v>Spill</v>
      </c>
      <c r="C4739" s="2">
        <f>_xlfn.XLOOKUP(A4739,'[1]Tissue Data'!$A:$A,'[1]Tissue Data'!$D:$D)</f>
        <v>44393</v>
      </c>
      <c r="D4739" s="2" t="str">
        <f>_xlfn.XLOOKUP(A4739,'[1]Tissue Data'!$A:$A,'[1]Tissue Data'!$F:$F)</f>
        <v>Pumpkinseed</v>
      </c>
      <c r="E4739" t="str">
        <f>_xlfn.XLOOKUP(A4739,'[1]Tissue Data'!$A:$A,'[1]Tissue Data'!$H:$H)</f>
        <v>Lepomis</v>
      </c>
      <c r="F4739" t="str">
        <f>_xlfn.XLOOKUP(A4739,'[1]Tissue Data'!$A:$A,'[1]Tissue Data'!$I:$I)</f>
        <v>gibbosus</v>
      </c>
      <c r="G4739" t="str">
        <f>_xlfn.XLOOKUP(A4739,'[1]Tissue Data'!$A:$A,'[1]Tissue Data'!J:J)</f>
        <v>M</v>
      </c>
      <c r="H4739" t="str">
        <f>_xlfn.XLOOKUP(A4739,'[1]Tissue Data'!$A:$A,'[1]Tissue Data'!K:K)</f>
        <v>Muscle</v>
      </c>
      <c r="I4739">
        <f>_xlfn.XLOOKUP(A4739,'[1]Tissue Data'!$A:$A,'[1]Tissue Data'!L:L)</f>
        <v>12.5</v>
      </c>
      <c r="J4739">
        <f>_xlfn.XLOOKUP(A4739,'[1]Tissue Data'!$A:$A,'[1]Tissue Data'!M:M)</f>
        <v>30.45</v>
      </c>
      <c r="K4739" t="s">
        <v>49</v>
      </c>
      <c r="L4739" t="str">
        <f>_xlfn.XLOOKUP(K4739,[2]analyte_order!$B:$B,[2]analyte_order!$C:$C)</f>
        <v>812-70-4</v>
      </c>
      <c r="M4739">
        <f>_xlfn.XLOOKUP(L4739,[2]analyte_order!$C:$C,[2]analyte_order!$E:$E)</f>
        <v>40</v>
      </c>
      <c r="N4739">
        <v>0.22800000000000001</v>
      </c>
    </row>
    <row r="4740" spans="1:14">
      <c r="A4740" t="s">
        <v>274</v>
      </c>
      <c r="B4740" t="str">
        <f>_xlfn.XLOOKUP(A4740,'[1]Tissue Data'!$A:$A,'[1]Tissue Data'!$C:$C)</f>
        <v>Spill</v>
      </c>
      <c r="C4740" s="2">
        <f>_xlfn.XLOOKUP(A4740,'[1]Tissue Data'!$A:$A,'[1]Tissue Data'!$D:$D)</f>
        <v>44393</v>
      </c>
      <c r="D4740" s="2" t="str">
        <f>_xlfn.XLOOKUP(A4740,'[1]Tissue Data'!$A:$A,'[1]Tissue Data'!$F:$F)</f>
        <v>Pumpkinseed</v>
      </c>
      <c r="E4740" t="str">
        <f>_xlfn.XLOOKUP(A4740,'[1]Tissue Data'!$A:$A,'[1]Tissue Data'!$H:$H)</f>
        <v>Lepomis</v>
      </c>
      <c r="F4740" t="str">
        <f>_xlfn.XLOOKUP(A4740,'[1]Tissue Data'!$A:$A,'[1]Tissue Data'!$I:$I)</f>
        <v>gibbosus</v>
      </c>
      <c r="G4740" t="str">
        <f>_xlfn.XLOOKUP(A4740,'[1]Tissue Data'!$A:$A,'[1]Tissue Data'!J:J)</f>
        <v>M</v>
      </c>
      <c r="H4740" t="str">
        <f>_xlfn.XLOOKUP(A4740,'[1]Tissue Data'!$A:$A,'[1]Tissue Data'!K:K)</f>
        <v>Muscle</v>
      </c>
      <c r="I4740">
        <f>_xlfn.XLOOKUP(A4740,'[1]Tissue Data'!$A:$A,'[1]Tissue Data'!L:L)</f>
        <v>12.5</v>
      </c>
      <c r="J4740">
        <f>_xlfn.XLOOKUP(A4740,'[1]Tissue Data'!$A:$A,'[1]Tissue Data'!M:M)</f>
        <v>30.45</v>
      </c>
      <c r="K4740" t="s">
        <v>50</v>
      </c>
      <c r="L4740" t="str">
        <f>_xlfn.XLOOKUP(K4740,[2]analyte_order!$B:$B,[2]analyte_order!$C:$C)</f>
        <v>53826-12-3</v>
      </c>
      <c r="M4740">
        <f>_xlfn.XLOOKUP(L4740,[2]analyte_order!$C:$C,[2]analyte_order!$E:$E)</f>
        <v>41</v>
      </c>
      <c r="N4740">
        <v>6.9000000000000006E-2</v>
      </c>
    </row>
    <row r="4741" spans="1:14">
      <c r="A4741" t="s">
        <v>274</v>
      </c>
      <c r="B4741" t="str">
        <f>_xlfn.XLOOKUP(A4741,'[1]Tissue Data'!$A:$A,'[1]Tissue Data'!$C:$C)</f>
        <v>Spill</v>
      </c>
      <c r="C4741" s="2">
        <f>_xlfn.XLOOKUP(A4741,'[1]Tissue Data'!$A:$A,'[1]Tissue Data'!$D:$D)</f>
        <v>44393</v>
      </c>
      <c r="D4741" s="2" t="str">
        <f>_xlfn.XLOOKUP(A4741,'[1]Tissue Data'!$A:$A,'[1]Tissue Data'!$F:$F)</f>
        <v>Pumpkinseed</v>
      </c>
      <c r="E4741" t="str">
        <f>_xlfn.XLOOKUP(A4741,'[1]Tissue Data'!$A:$A,'[1]Tissue Data'!$H:$H)</f>
        <v>Lepomis</v>
      </c>
      <c r="F4741" t="str">
        <f>_xlfn.XLOOKUP(A4741,'[1]Tissue Data'!$A:$A,'[1]Tissue Data'!$I:$I)</f>
        <v>gibbosus</v>
      </c>
      <c r="G4741" t="str">
        <f>_xlfn.XLOOKUP(A4741,'[1]Tissue Data'!$A:$A,'[1]Tissue Data'!J:J)</f>
        <v>M</v>
      </c>
      <c r="H4741" t="str">
        <f>_xlfn.XLOOKUP(A4741,'[1]Tissue Data'!$A:$A,'[1]Tissue Data'!K:K)</f>
        <v>Muscle</v>
      </c>
      <c r="I4741">
        <f>_xlfn.XLOOKUP(A4741,'[1]Tissue Data'!$A:$A,'[1]Tissue Data'!L:L)</f>
        <v>12.5</v>
      </c>
      <c r="J4741">
        <f>_xlfn.XLOOKUP(A4741,'[1]Tissue Data'!$A:$A,'[1]Tissue Data'!M:M)</f>
        <v>30.45</v>
      </c>
      <c r="K4741" t="s">
        <v>51</v>
      </c>
      <c r="L4741" t="str">
        <f>_xlfn.XLOOKUP(K4741,[2]analyte_order!$B:$B,[2]analyte_order!$C:$C)</f>
        <v>27854-31-5</v>
      </c>
      <c r="M4741">
        <f>_xlfn.XLOOKUP(L4741,[2]analyte_order!$C:$C,[2]analyte_order!$E:$E)</f>
        <v>42</v>
      </c>
      <c r="N4741">
        <v>6.9000000000000006E-2</v>
      </c>
    </row>
    <row r="4742" spans="1:14">
      <c r="A4742" t="s">
        <v>274</v>
      </c>
      <c r="B4742" t="str">
        <f>_xlfn.XLOOKUP(A4742,'[1]Tissue Data'!$A:$A,'[1]Tissue Data'!$C:$C)</f>
        <v>Spill</v>
      </c>
      <c r="C4742" s="2">
        <f>_xlfn.XLOOKUP(A4742,'[1]Tissue Data'!$A:$A,'[1]Tissue Data'!$D:$D)</f>
        <v>44393</v>
      </c>
      <c r="D4742" s="2" t="str">
        <f>_xlfn.XLOOKUP(A4742,'[1]Tissue Data'!$A:$A,'[1]Tissue Data'!$F:$F)</f>
        <v>Pumpkinseed</v>
      </c>
      <c r="E4742" t="str">
        <f>_xlfn.XLOOKUP(A4742,'[1]Tissue Data'!$A:$A,'[1]Tissue Data'!$H:$H)</f>
        <v>Lepomis</v>
      </c>
      <c r="F4742" t="str">
        <f>_xlfn.XLOOKUP(A4742,'[1]Tissue Data'!$A:$A,'[1]Tissue Data'!$I:$I)</f>
        <v>gibbosus</v>
      </c>
      <c r="G4742" t="str">
        <f>_xlfn.XLOOKUP(A4742,'[1]Tissue Data'!$A:$A,'[1]Tissue Data'!J:J)</f>
        <v>M</v>
      </c>
      <c r="H4742" t="str">
        <f>_xlfn.XLOOKUP(A4742,'[1]Tissue Data'!$A:$A,'[1]Tissue Data'!K:K)</f>
        <v>Muscle</v>
      </c>
      <c r="I4742">
        <f>_xlfn.XLOOKUP(A4742,'[1]Tissue Data'!$A:$A,'[1]Tissue Data'!L:L)</f>
        <v>12.5</v>
      </c>
      <c r="J4742">
        <f>_xlfn.XLOOKUP(A4742,'[1]Tissue Data'!$A:$A,'[1]Tissue Data'!M:M)</f>
        <v>30.45</v>
      </c>
      <c r="K4742" t="s">
        <v>52</v>
      </c>
      <c r="L4742" t="str">
        <f>_xlfn.XLOOKUP(K4742,[2]analyte_order!$B:$B,[2]analyte_order!$C:$C)</f>
        <v>53826-13-4</v>
      </c>
      <c r="M4742">
        <f>_xlfn.XLOOKUP(L4742,[2]analyte_order!$C:$C,[2]analyte_order!$E:$E)</f>
        <v>43</v>
      </c>
      <c r="N4742">
        <v>0.10299999999999999</v>
      </c>
    </row>
    <row r="4743" spans="1:14">
      <c r="A4743" t="s">
        <v>274</v>
      </c>
      <c r="B4743" t="str">
        <f>_xlfn.XLOOKUP(A4743,'[1]Tissue Data'!$A:$A,'[1]Tissue Data'!$C:$C)</f>
        <v>Spill</v>
      </c>
      <c r="C4743" s="2">
        <f>_xlfn.XLOOKUP(A4743,'[1]Tissue Data'!$A:$A,'[1]Tissue Data'!$D:$D)</f>
        <v>44393</v>
      </c>
      <c r="D4743" s="2" t="str">
        <f>_xlfn.XLOOKUP(A4743,'[1]Tissue Data'!$A:$A,'[1]Tissue Data'!$F:$F)</f>
        <v>Pumpkinseed</v>
      </c>
      <c r="E4743" t="str">
        <f>_xlfn.XLOOKUP(A4743,'[1]Tissue Data'!$A:$A,'[1]Tissue Data'!$H:$H)</f>
        <v>Lepomis</v>
      </c>
      <c r="F4743" t="str">
        <f>_xlfn.XLOOKUP(A4743,'[1]Tissue Data'!$A:$A,'[1]Tissue Data'!$I:$I)</f>
        <v>gibbosus</v>
      </c>
      <c r="G4743" t="str">
        <f>_xlfn.XLOOKUP(A4743,'[1]Tissue Data'!$A:$A,'[1]Tissue Data'!J:J)</f>
        <v>M</v>
      </c>
      <c r="H4743" t="str">
        <f>_xlfn.XLOOKUP(A4743,'[1]Tissue Data'!$A:$A,'[1]Tissue Data'!K:K)</f>
        <v>Muscle</v>
      </c>
      <c r="I4743">
        <f>_xlfn.XLOOKUP(A4743,'[1]Tissue Data'!$A:$A,'[1]Tissue Data'!L:L)</f>
        <v>12.5</v>
      </c>
      <c r="J4743">
        <f>_xlfn.XLOOKUP(A4743,'[1]Tissue Data'!$A:$A,'[1]Tissue Data'!M:M)</f>
        <v>30.45</v>
      </c>
      <c r="K4743" t="s">
        <v>53</v>
      </c>
      <c r="L4743" t="str">
        <f>_xlfn.XLOOKUP(K4743,[2]analyte_order!$B:$B,[2]analyte_order!$C:$C)</f>
        <v>161094-75-3</v>
      </c>
      <c r="M4743">
        <f>_xlfn.XLOOKUP(L4743,[2]analyte_order!$C:$C,[2]analyte_order!$E:$E)</f>
        <v>44</v>
      </c>
      <c r="N4743">
        <v>5.45E-2</v>
      </c>
    </row>
    <row r="4744" spans="1:14">
      <c r="A4744" t="s">
        <v>274</v>
      </c>
      <c r="B4744" t="str">
        <f>_xlfn.XLOOKUP(A4744,'[1]Tissue Data'!$A:$A,'[1]Tissue Data'!$C:$C)</f>
        <v>Spill</v>
      </c>
      <c r="C4744" s="2">
        <f>_xlfn.XLOOKUP(A4744,'[1]Tissue Data'!$A:$A,'[1]Tissue Data'!$D:$D)</f>
        <v>44393</v>
      </c>
      <c r="D4744" s="2" t="str">
        <f>_xlfn.XLOOKUP(A4744,'[1]Tissue Data'!$A:$A,'[1]Tissue Data'!$F:$F)</f>
        <v>Pumpkinseed</v>
      </c>
      <c r="E4744" t="str">
        <f>_xlfn.XLOOKUP(A4744,'[1]Tissue Data'!$A:$A,'[1]Tissue Data'!$H:$H)</f>
        <v>Lepomis</v>
      </c>
      <c r="F4744" t="str">
        <f>_xlfn.XLOOKUP(A4744,'[1]Tissue Data'!$A:$A,'[1]Tissue Data'!$I:$I)</f>
        <v>gibbosus</v>
      </c>
      <c r="G4744" t="str">
        <f>_xlfn.XLOOKUP(A4744,'[1]Tissue Data'!$A:$A,'[1]Tissue Data'!J:J)</f>
        <v>M</v>
      </c>
      <c r="H4744" t="str">
        <f>_xlfn.XLOOKUP(A4744,'[1]Tissue Data'!$A:$A,'[1]Tissue Data'!K:K)</f>
        <v>Muscle</v>
      </c>
      <c r="I4744">
        <f>_xlfn.XLOOKUP(A4744,'[1]Tissue Data'!$A:$A,'[1]Tissue Data'!L:L)</f>
        <v>12.5</v>
      </c>
      <c r="J4744">
        <f>_xlfn.XLOOKUP(A4744,'[1]Tissue Data'!$A:$A,'[1]Tissue Data'!M:M)</f>
        <v>30.45</v>
      </c>
      <c r="K4744" t="s">
        <v>54</v>
      </c>
      <c r="L4744" t="str">
        <f>_xlfn.XLOOKUP(K4744,[2]analyte_order!$B:$B,[2]analyte_order!$C:$C)</f>
        <v>70887-84-2</v>
      </c>
      <c r="M4744">
        <f>_xlfn.XLOOKUP(L4744,[2]analyte_order!$C:$C,[2]analyte_order!$E:$E)</f>
        <v>45</v>
      </c>
      <c r="N4744">
        <v>4.1799999999999997E-2</v>
      </c>
    </row>
    <row r="4745" spans="1:14">
      <c r="A4745" t="s">
        <v>274</v>
      </c>
      <c r="B4745" t="str">
        <f>_xlfn.XLOOKUP(A4745,'[1]Tissue Data'!$A:$A,'[1]Tissue Data'!$C:$C)</f>
        <v>Spill</v>
      </c>
      <c r="C4745" s="2">
        <f>_xlfn.XLOOKUP(A4745,'[1]Tissue Data'!$A:$A,'[1]Tissue Data'!$D:$D)</f>
        <v>44393</v>
      </c>
      <c r="D4745" s="2" t="str">
        <f>_xlfn.XLOOKUP(A4745,'[1]Tissue Data'!$A:$A,'[1]Tissue Data'!$F:$F)</f>
        <v>Pumpkinseed</v>
      </c>
      <c r="E4745" t="str">
        <f>_xlfn.XLOOKUP(A4745,'[1]Tissue Data'!$A:$A,'[1]Tissue Data'!$H:$H)</f>
        <v>Lepomis</v>
      </c>
      <c r="F4745" t="str">
        <f>_xlfn.XLOOKUP(A4745,'[1]Tissue Data'!$A:$A,'[1]Tissue Data'!$I:$I)</f>
        <v>gibbosus</v>
      </c>
      <c r="G4745" t="str">
        <f>_xlfn.XLOOKUP(A4745,'[1]Tissue Data'!$A:$A,'[1]Tissue Data'!J:J)</f>
        <v>M</v>
      </c>
      <c r="H4745" t="str">
        <f>_xlfn.XLOOKUP(A4745,'[1]Tissue Data'!$A:$A,'[1]Tissue Data'!K:K)</f>
        <v>Muscle</v>
      </c>
      <c r="I4745">
        <f>_xlfn.XLOOKUP(A4745,'[1]Tissue Data'!$A:$A,'[1]Tissue Data'!L:L)</f>
        <v>12.5</v>
      </c>
      <c r="J4745">
        <f>_xlfn.XLOOKUP(A4745,'[1]Tissue Data'!$A:$A,'[1]Tissue Data'!M:M)</f>
        <v>30.45</v>
      </c>
      <c r="K4745" t="s">
        <v>55</v>
      </c>
      <c r="L4745" t="str">
        <f>_xlfn.XLOOKUP(K4745,[2]analyte_order!$B:$B,[2]analyte_order!$C:$C)</f>
        <v>919005-14-4</v>
      </c>
      <c r="M4745">
        <f>_xlfn.XLOOKUP(L4745,[2]analyte_order!$C:$C,[2]analyte_order!$E:$E)</f>
        <v>35</v>
      </c>
      <c r="N4745">
        <v>6.0999999999999999E-2</v>
      </c>
    </row>
    <row r="4746" spans="1:14">
      <c r="A4746" t="s">
        <v>274</v>
      </c>
      <c r="B4746" t="str">
        <f>_xlfn.XLOOKUP(A4746,'[1]Tissue Data'!$A:$A,'[1]Tissue Data'!$C:$C)</f>
        <v>Spill</v>
      </c>
      <c r="C4746" s="2">
        <f>_xlfn.XLOOKUP(A4746,'[1]Tissue Data'!$A:$A,'[1]Tissue Data'!$D:$D)</f>
        <v>44393</v>
      </c>
      <c r="D4746" s="2" t="str">
        <f>_xlfn.XLOOKUP(A4746,'[1]Tissue Data'!$A:$A,'[1]Tissue Data'!$F:$F)</f>
        <v>Pumpkinseed</v>
      </c>
      <c r="E4746" t="str">
        <f>_xlfn.XLOOKUP(A4746,'[1]Tissue Data'!$A:$A,'[1]Tissue Data'!$H:$H)</f>
        <v>Lepomis</v>
      </c>
      <c r="F4746" t="str">
        <f>_xlfn.XLOOKUP(A4746,'[1]Tissue Data'!$A:$A,'[1]Tissue Data'!$I:$I)</f>
        <v>gibbosus</v>
      </c>
      <c r="G4746" t="str">
        <f>_xlfn.XLOOKUP(A4746,'[1]Tissue Data'!$A:$A,'[1]Tissue Data'!J:J)</f>
        <v>M</v>
      </c>
      <c r="H4746" t="str">
        <f>_xlfn.XLOOKUP(A4746,'[1]Tissue Data'!$A:$A,'[1]Tissue Data'!K:K)</f>
        <v>Muscle</v>
      </c>
      <c r="I4746">
        <f>_xlfn.XLOOKUP(A4746,'[1]Tissue Data'!$A:$A,'[1]Tissue Data'!L:L)</f>
        <v>12.5</v>
      </c>
      <c r="J4746">
        <f>_xlfn.XLOOKUP(A4746,'[1]Tissue Data'!$A:$A,'[1]Tissue Data'!M:M)</f>
        <v>30.45</v>
      </c>
      <c r="K4746" t="s">
        <v>56</v>
      </c>
      <c r="L4746" t="str">
        <f>_xlfn.XLOOKUP(K4746,[2]analyte_order!$B:$B,[2]analyte_order!$C:$C)</f>
        <v>756426-58-1</v>
      </c>
      <c r="M4746">
        <f>_xlfn.XLOOKUP(L4746,[2]analyte_order!$C:$C,[2]analyte_order!$E:$E)</f>
        <v>36</v>
      </c>
      <c r="N4746">
        <v>6.9000000000000006E-2</v>
      </c>
    </row>
    <row r="4747" spans="1:14">
      <c r="A4747" t="s">
        <v>274</v>
      </c>
      <c r="B4747" t="str">
        <f>_xlfn.XLOOKUP(A4747,'[1]Tissue Data'!$A:$A,'[1]Tissue Data'!$C:$C)</f>
        <v>Spill</v>
      </c>
      <c r="C4747" s="2">
        <f>_xlfn.XLOOKUP(A4747,'[1]Tissue Data'!$A:$A,'[1]Tissue Data'!$D:$D)</f>
        <v>44393</v>
      </c>
      <c r="D4747" s="2" t="str">
        <f>_xlfn.XLOOKUP(A4747,'[1]Tissue Data'!$A:$A,'[1]Tissue Data'!$F:$F)</f>
        <v>Pumpkinseed</v>
      </c>
      <c r="E4747" t="str">
        <f>_xlfn.XLOOKUP(A4747,'[1]Tissue Data'!$A:$A,'[1]Tissue Data'!$H:$H)</f>
        <v>Lepomis</v>
      </c>
      <c r="F4747" t="str">
        <f>_xlfn.XLOOKUP(A4747,'[1]Tissue Data'!$A:$A,'[1]Tissue Data'!$I:$I)</f>
        <v>gibbosus</v>
      </c>
      <c r="G4747" t="str">
        <f>_xlfn.XLOOKUP(A4747,'[1]Tissue Data'!$A:$A,'[1]Tissue Data'!J:J)</f>
        <v>M</v>
      </c>
      <c r="H4747" t="str">
        <f>_xlfn.XLOOKUP(A4747,'[1]Tissue Data'!$A:$A,'[1]Tissue Data'!K:K)</f>
        <v>Muscle</v>
      </c>
      <c r="I4747">
        <f>_xlfn.XLOOKUP(A4747,'[1]Tissue Data'!$A:$A,'[1]Tissue Data'!L:L)</f>
        <v>12.5</v>
      </c>
      <c r="J4747">
        <f>_xlfn.XLOOKUP(A4747,'[1]Tissue Data'!$A:$A,'[1]Tissue Data'!M:M)</f>
        <v>30.45</v>
      </c>
      <c r="K4747" t="s">
        <v>57</v>
      </c>
      <c r="L4747" t="str">
        <f>_xlfn.XLOOKUP(K4747,[2]analyte_order!$B:$B,[2]analyte_order!$C:$C)</f>
        <v>763051-92-9</v>
      </c>
      <c r="M4747">
        <f>_xlfn.XLOOKUP(L4747,[2]analyte_order!$C:$C,[2]analyte_order!$E:$E)</f>
        <v>37</v>
      </c>
      <c r="N4747">
        <v>6.9000000000000006E-2</v>
      </c>
    </row>
    <row r="4748" spans="1:14">
      <c r="A4748" t="s">
        <v>274</v>
      </c>
      <c r="B4748" t="str">
        <f>_xlfn.XLOOKUP(A4748,'[1]Tissue Data'!$A:$A,'[1]Tissue Data'!$C:$C)</f>
        <v>Spill</v>
      </c>
      <c r="C4748" s="2">
        <f>_xlfn.XLOOKUP(A4748,'[1]Tissue Data'!$A:$A,'[1]Tissue Data'!$D:$D)</f>
        <v>44393</v>
      </c>
      <c r="D4748" s="2" t="str">
        <f>_xlfn.XLOOKUP(A4748,'[1]Tissue Data'!$A:$A,'[1]Tissue Data'!$F:$F)</f>
        <v>Pumpkinseed</v>
      </c>
      <c r="E4748" t="str">
        <f>_xlfn.XLOOKUP(A4748,'[1]Tissue Data'!$A:$A,'[1]Tissue Data'!$H:$H)</f>
        <v>Lepomis</v>
      </c>
      <c r="F4748" t="str">
        <f>_xlfn.XLOOKUP(A4748,'[1]Tissue Data'!$A:$A,'[1]Tissue Data'!$I:$I)</f>
        <v>gibbosus</v>
      </c>
      <c r="G4748" t="str">
        <f>_xlfn.XLOOKUP(A4748,'[1]Tissue Data'!$A:$A,'[1]Tissue Data'!J:J)</f>
        <v>M</v>
      </c>
      <c r="H4748" t="str">
        <f>_xlfn.XLOOKUP(A4748,'[1]Tissue Data'!$A:$A,'[1]Tissue Data'!K:K)</f>
        <v>Muscle</v>
      </c>
      <c r="I4748">
        <f>_xlfn.XLOOKUP(A4748,'[1]Tissue Data'!$A:$A,'[1]Tissue Data'!L:L)</f>
        <v>12.5</v>
      </c>
      <c r="J4748">
        <f>_xlfn.XLOOKUP(A4748,'[1]Tissue Data'!$A:$A,'[1]Tissue Data'!M:M)</f>
        <v>30.45</v>
      </c>
      <c r="K4748" t="s">
        <v>58</v>
      </c>
      <c r="L4748" t="str">
        <f>_xlfn.XLOOKUP(K4748,[2]analyte_order!$B:$B,[2]analyte_order!$C:$C)</f>
        <v>13252-13-6</v>
      </c>
      <c r="M4748">
        <f>_xlfn.XLOOKUP(L4748,[2]analyte_order!$C:$C,[2]analyte_order!$E:$E)</f>
        <v>34</v>
      </c>
      <c r="N4748">
        <v>9.9500000000000005E-2</v>
      </c>
    </row>
    <row r="4749" spans="1:14">
      <c r="A4749" t="s">
        <v>274</v>
      </c>
      <c r="B4749" t="str">
        <f>_xlfn.XLOOKUP(A4749,'[1]Tissue Data'!$A:$A,'[1]Tissue Data'!$C:$C)</f>
        <v>Spill</v>
      </c>
      <c r="C4749" s="2">
        <f>_xlfn.XLOOKUP(A4749,'[1]Tissue Data'!$A:$A,'[1]Tissue Data'!$D:$D)</f>
        <v>44393</v>
      </c>
      <c r="D4749" s="2" t="str">
        <f>_xlfn.XLOOKUP(A4749,'[1]Tissue Data'!$A:$A,'[1]Tissue Data'!$F:$F)</f>
        <v>Pumpkinseed</v>
      </c>
      <c r="E4749" t="str">
        <f>_xlfn.XLOOKUP(A4749,'[1]Tissue Data'!$A:$A,'[1]Tissue Data'!$H:$H)</f>
        <v>Lepomis</v>
      </c>
      <c r="F4749" t="str">
        <f>_xlfn.XLOOKUP(A4749,'[1]Tissue Data'!$A:$A,'[1]Tissue Data'!$I:$I)</f>
        <v>gibbosus</v>
      </c>
      <c r="G4749" t="str">
        <f>_xlfn.XLOOKUP(A4749,'[1]Tissue Data'!$A:$A,'[1]Tissue Data'!J:J)</f>
        <v>M</v>
      </c>
      <c r="H4749" t="str">
        <f>_xlfn.XLOOKUP(A4749,'[1]Tissue Data'!$A:$A,'[1]Tissue Data'!K:K)</f>
        <v>Muscle</v>
      </c>
      <c r="I4749">
        <f>_xlfn.XLOOKUP(A4749,'[1]Tissue Data'!$A:$A,'[1]Tissue Data'!L:L)</f>
        <v>12.5</v>
      </c>
      <c r="J4749">
        <f>_xlfn.XLOOKUP(A4749,'[1]Tissue Data'!$A:$A,'[1]Tissue Data'!M:M)</f>
        <v>30.45</v>
      </c>
      <c r="K4749" t="s">
        <v>59</v>
      </c>
      <c r="L4749" t="str">
        <f>_xlfn.XLOOKUP(K4749,[2]analyte_order!$B:$B,[2]analyte_order!$C:$C)</f>
        <v>57677-95-9</v>
      </c>
      <c r="M4749">
        <f>_xlfn.XLOOKUP(L4749,[2]analyte_order!$C:$C,[2]analyte_order!$E:$E)</f>
        <v>46</v>
      </c>
      <c r="N4749">
        <v>7.3499999999999996E-2</v>
      </c>
    </row>
    <row r="4750" spans="1:14">
      <c r="A4750" t="s">
        <v>274</v>
      </c>
      <c r="B4750" t="str">
        <f>_xlfn.XLOOKUP(A4750,'[1]Tissue Data'!$A:$A,'[1]Tissue Data'!$C:$C)</f>
        <v>Spill</v>
      </c>
      <c r="C4750" s="2">
        <f>_xlfn.XLOOKUP(A4750,'[1]Tissue Data'!$A:$A,'[1]Tissue Data'!$D:$D)</f>
        <v>44393</v>
      </c>
      <c r="D4750" s="2" t="str">
        <f>_xlfn.XLOOKUP(A4750,'[1]Tissue Data'!$A:$A,'[1]Tissue Data'!$F:$F)</f>
        <v>Pumpkinseed</v>
      </c>
      <c r="E4750" t="str">
        <f>_xlfn.XLOOKUP(A4750,'[1]Tissue Data'!$A:$A,'[1]Tissue Data'!$H:$H)</f>
        <v>Lepomis</v>
      </c>
      <c r="F4750" t="str">
        <f>_xlfn.XLOOKUP(A4750,'[1]Tissue Data'!$A:$A,'[1]Tissue Data'!$I:$I)</f>
        <v>gibbosus</v>
      </c>
      <c r="G4750" t="str">
        <f>_xlfn.XLOOKUP(A4750,'[1]Tissue Data'!$A:$A,'[1]Tissue Data'!J:J)</f>
        <v>M</v>
      </c>
      <c r="H4750" t="str">
        <f>_xlfn.XLOOKUP(A4750,'[1]Tissue Data'!$A:$A,'[1]Tissue Data'!K:K)</f>
        <v>Muscle</v>
      </c>
      <c r="I4750">
        <f>_xlfn.XLOOKUP(A4750,'[1]Tissue Data'!$A:$A,'[1]Tissue Data'!L:L)</f>
        <v>12.5</v>
      </c>
      <c r="J4750">
        <f>_xlfn.XLOOKUP(A4750,'[1]Tissue Data'!$A:$A,'[1]Tissue Data'!M:M)</f>
        <v>30.45</v>
      </c>
      <c r="K4750" t="s">
        <v>60</v>
      </c>
      <c r="L4750" t="str">
        <f>_xlfn.XLOOKUP(K4750,[2]analyte_order!$B:$B,[2]analyte_order!$C:$C)</f>
        <v>678-41-1</v>
      </c>
      <c r="M4750">
        <f>_xlfn.XLOOKUP(L4750,[2]analyte_order!$C:$C,[2]analyte_order!$E:$E)</f>
        <v>56</v>
      </c>
      <c r="N4750">
        <v>9.1499999999999998E-2</v>
      </c>
    </row>
    <row r="4751" spans="1:14">
      <c r="A4751" t="s">
        <v>274</v>
      </c>
      <c r="B4751" t="str">
        <f>_xlfn.XLOOKUP(A4751,'[1]Tissue Data'!$A:$A,'[1]Tissue Data'!$C:$C)</f>
        <v>Spill</v>
      </c>
      <c r="C4751" s="2">
        <f>_xlfn.XLOOKUP(A4751,'[1]Tissue Data'!$A:$A,'[1]Tissue Data'!$D:$D)</f>
        <v>44393</v>
      </c>
      <c r="D4751" s="2" t="str">
        <f>_xlfn.XLOOKUP(A4751,'[1]Tissue Data'!$A:$A,'[1]Tissue Data'!$F:$F)</f>
        <v>Pumpkinseed</v>
      </c>
      <c r="E4751" t="str">
        <f>_xlfn.XLOOKUP(A4751,'[1]Tissue Data'!$A:$A,'[1]Tissue Data'!$H:$H)</f>
        <v>Lepomis</v>
      </c>
      <c r="F4751" t="str">
        <f>_xlfn.XLOOKUP(A4751,'[1]Tissue Data'!$A:$A,'[1]Tissue Data'!$I:$I)</f>
        <v>gibbosus</v>
      </c>
      <c r="G4751" t="str">
        <f>_xlfn.XLOOKUP(A4751,'[1]Tissue Data'!$A:$A,'[1]Tissue Data'!J:J)</f>
        <v>M</v>
      </c>
      <c r="H4751" t="str">
        <f>_xlfn.XLOOKUP(A4751,'[1]Tissue Data'!$A:$A,'[1]Tissue Data'!K:K)</f>
        <v>Muscle</v>
      </c>
      <c r="I4751">
        <f>_xlfn.XLOOKUP(A4751,'[1]Tissue Data'!$A:$A,'[1]Tissue Data'!L:L)</f>
        <v>12.5</v>
      </c>
      <c r="J4751">
        <f>_xlfn.XLOOKUP(A4751,'[1]Tissue Data'!$A:$A,'[1]Tissue Data'!M:M)</f>
        <v>30.45</v>
      </c>
      <c r="K4751" t="s">
        <v>61</v>
      </c>
      <c r="L4751" t="str">
        <f>_xlfn.XLOOKUP(K4751,[2]analyte_order!$B:$B,[2]analyte_order!$C:$C)</f>
        <v>2965-52-8</v>
      </c>
      <c r="M4751">
        <f>_xlfn.XLOOKUP(L4751,[2]analyte_order!$C:$C,[2]analyte_order!$E:$E)</f>
        <v>57</v>
      </c>
      <c r="N4751">
        <v>0.1215</v>
      </c>
    </row>
    <row r="4752" spans="1:14">
      <c r="A4752" t="s">
        <v>275</v>
      </c>
      <c r="B4752" t="str">
        <f>_xlfn.XLOOKUP(A4752,'[1]Tissue Data'!$A:$A,'[1]Tissue Data'!$C:$C)</f>
        <v>Spill</v>
      </c>
      <c r="C4752" s="2">
        <f>_xlfn.XLOOKUP(A4752,'[1]Tissue Data'!$A:$A,'[1]Tissue Data'!$D:$D)</f>
        <v>44393</v>
      </c>
      <c r="D4752" s="2" t="str">
        <f>_xlfn.XLOOKUP(A4752,'[1]Tissue Data'!$A:$A,'[1]Tissue Data'!$F:$F)</f>
        <v>Pumpkinseed</v>
      </c>
      <c r="E4752" t="str">
        <f>_xlfn.XLOOKUP(A4752,'[1]Tissue Data'!$A:$A,'[1]Tissue Data'!$H:$H)</f>
        <v>Lepomis</v>
      </c>
      <c r="F4752" t="str">
        <f>_xlfn.XLOOKUP(A4752,'[1]Tissue Data'!$A:$A,'[1]Tissue Data'!$I:$I)</f>
        <v>gibbosus</v>
      </c>
      <c r="G4752" t="str">
        <f>_xlfn.XLOOKUP(A4752,'[1]Tissue Data'!$A:$A,'[1]Tissue Data'!J:J)</f>
        <v>U</v>
      </c>
      <c r="H4752" t="str">
        <f>_xlfn.XLOOKUP(A4752,'[1]Tissue Data'!$A:$A,'[1]Tissue Data'!K:K)</f>
        <v>Whole Body</v>
      </c>
      <c r="I4752">
        <f>_xlfn.XLOOKUP(A4752,'[1]Tissue Data'!$A:$A,'[1]Tissue Data'!L:L)</f>
        <v>9</v>
      </c>
      <c r="J4752">
        <f>_xlfn.XLOOKUP(A4752,'[1]Tissue Data'!$A:$A,'[1]Tissue Data'!M:M)</f>
        <v>10.43</v>
      </c>
      <c r="K4752" t="s">
        <v>12</v>
      </c>
      <c r="L4752" t="str">
        <f>_xlfn.XLOOKUP(K4752,[2]analyte_order!$B:$B,[2]analyte_order!$C:$C)</f>
        <v>375-22-4</v>
      </c>
      <c r="M4752">
        <f>_xlfn.XLOOKUP(L4752,[2]analyte_order!$C:$C,[2]analyte_order!$E:$E)</f>
        <v>1</v>
      </c>
      <c r="N4752">
        <v>8.1500000000000003E-2</v>
      </c>
    </row>
    <row r="4753" spans="1:14">
      <c r="A4753" t="s">
        <v>275</v>
      </c>
      <c r="B4753" t="str">
        <f>_xlfn.XLOOKUP(A4753,'[1]Tissue Data'!$A:$A,'[1]Tissue Data'!$C:$C)</f>
        <v>Spill</v>
      </c>
      <c r="C4753" s="2">
        <f>_xlfn.XLOOKUP(A4753,'[1]Tissue Data'!$A:$A,'[1]Tissue Data'!$D:$D)</f>
        <v>44393</v>
      </c>
      <c r="D4753" s="2" t="str">
        <f>_xlfn.XLOOKUP(A4753,'[1]Tissue Data'!$A:$A,'[1]Tissue Data'!$F:$F)</f>
        <v>Pumpkinseed</v>
      </c>
      <c r="E4753" t="str">
        <f>_xlfn.XLOOKUP(A4753,'[1]Tissue Data'!$A:$A,'[1]Tissue Data'!$H:$H)</f>
        <v>Lepomis</v>
      </c>
      <c r="F4753" t="str">
        <f>_xlfn.XLOOKUP(A4753,'[1]Tissue Data'!$A:$A,'[1]Tissue Data'!$I:$I)</f>
        <v>gibbosus</v>
      </c>
      <c r="G4753" t="str">
        <f>_xlfn.XLOOKUP(A4753,'[1]Tissue Data'!$A:$A,'[1]Tissue Data'!J:J)</f>
        <v>U</v>
      </c>
      <c r="H4753" t="str">
        <f>_xlfn.XLOOKUP(A4753,'[1]Tissue Data'!$A:$A,'[1]Tissue Data'!K:K)</f>
        <v>Whole Body</v>
      </c>
      <c r="I4753">
        <f>_xlfn.XLOOKUP(A4753,'[1]Tissue Data'!$A:$A,'[1]Tissue Data'!L:L)</f>
        <v>9</v>
      </c>
      <c r="J4753">
        <f>_xlfn.XLOOKUP(A4753,'[1]Tissue Data'!$A:$A,'[1]Tissue Data'!M:M)</f>
        <v>10.43</v>
      </c>
      <c r="K4753" t="s">
        <v>13</v>
      </c>
      <c r="L4753" t="str">
        <f>_xlfn.XLOOKUP(K4753,[2]analyte_order!$B:$B,[2]analyte_order!$C:$C)</f>
        <v>2706-90-3</v>
      </c>
      <c r="M4753">
        <f>_xlfn.XLOOKUP(L4753,[2]analyte_order!$C:$C,[2]analyte_order!$E:$E)</f>
        <v>2</v>
      </c>
      <c r="N4753">
        <v>0.19</v>
      </c>
    </row>
    <row r="4754" spans="1:14">
      <c r="A4754" t="s">
        <v>275</v>
      </c>
      <c r="B4754" t="str">
        <f>_xlfn.XLOOKUP(A4754,'[1]Tissue Data'!$A:$A,'[1]Tissue Data'!$C:$C)</f>
        <v>Spill</v>
      </c>
      <c r="C4754" s="2">
        <f>_xlfn.XLOOKUP(A4754,'[1]Tissue Data'!$A:$A,'[1]Tissue Data'!$D:$D)</f>
        <v>44393</v>
      </c>
      <c r="D4754" s="2" t="str">
        <f>_xlfn.XLOOKUP(A4754,'[1]Tissue Data'!$A:$A,'[1]Tissue Data'!$F:$F)</f>
        <v>Pumpkinseed</v>
      </c>
      <c r="E4754" t="str">
        <f>_xlfn.XLOOKUP(A4754,'[1]Tissue Data'!$A:$A,'[1]Tissue Data'!$H:$H)</f>
        <v>Lepomis</v>
      </c>
      <c r="F4754" t="str">
        <f>_xlfn.XLOOKUP(A4754,'[1]Tissue Data'!$A:$A,'[1]Tissue Data'!$I:$I)</f>
        <v>gibbosus</v>
      </c>
      <c r="G4754" t="str">
        <f>_xlfn.XLOOKUP(A4754,'[1]Tissue Data'!$A:$A,'[1]Tissue Data'!J:J)</f>
        <v>U</v>
      </c>
      <c r="H4754" t="str">
        <f>_xlfn.XLOOKUP(A4754,'[1]Tissue Data'!$A:$A,'[1]Tissue Data'!K:K)</f>
        <v>Whole Body</v>
      </c>
      <c r="I4754">
        <f>_xlfn.XLOOKUP(A4754,'[1]Tissue Data'!$A:$A,'[1]Tissue Data'!L:L)</f>
        <v>9</v>
      </c>
      <c r="J4754">
        <f>_xlfn.XLOOKUP(A4754,'[1]Tissue Data'!$A:$A,'[1]Tissue Data'!M:M)</f>
        <v>10.43</v>
      </c>
      <c r="K4754" t="s">
        <v>14</v>
      </c>
      <c r="L4754" t="str">
        <f>_xlfn.XLOOKUP(K4754,[2]analyte_order!$B:$B,[2]analyte_order!$C:$C)</f>
        <v>307-24-4</v>
      </c>
      <c r="M4754">
        <f>_xlfn.XLOOKUP(L4754,[2]analyte_order!$C:$C,[2]analyte_order!$E:$E)</f>
        <v>3</v>
      </c>
      <c r="N4754">
        <v>0.14499999999999999</v>
      </c>
    </row>
    <row r="4755" spans="1:14">
      <c r="A4755" t="s">
        <v>275</v>
      </c>
      <c r="B4755" t="str">
        <f>_xlfn.XLOOKUP(A4755,'[1]Tissue Data'!$A:$A,'[1]Tissue Data'!$C:$C)</f>
        <v>Spill</v>
      </c>
      <c r="C4755" s="2">
        <f>_xlfn.XLOOKUP(A4755,'[1]Tissue Data'!$A:$A,'[1]Tissue Data'!$D:$D)</f>
        <v>44393</v>
      </c>
      <c r="D4755" s="2" t="str">
        <f>_xlfn.XLOOKUP(A4755,'[1]Tissue Data'!$A:$A,'[1]Tissue Data'!$F:$F)</f>
        <v>Pumpkinseed</v>
      </c>
      <c r="E4755" t="str">
        <f>_xlfn.XLOOKUP(A4755,'[1]Tissue Data'!$A:$A,'[1]Tissue Data'!$H:$H)</f>
        <v>Lepomis</v>
      </c>
      <c r="F4755" t="str">
        <f>_xlfn.XLOOKUP(A4755,'[1]Tissue Data'!$A:$A,'[1]Tissue Data'!$I:$I)</f>
        <v>gibbosus</v>
      </c>
      <c r="G4755" t="str">
        <f>_xlfn.XLOOKUP(A4755,'[1]Tissue Data'!$A:$A,'[1]Tissue Data'!J:J)</f>
        <v>U</v>
      </c>
      <c r="H4755" t="str">
        <f>_xlfn.XLOOKUP(A4755,'[1]Tissue Data'!$A:$A,'[1]Tissue Data'!K:K)</f>
        <v>Whole Body</v>
      </c>
      <c r="I4755">
        <f>_xlfn.XLOOKUP(A4755,'[1]Tissue Data'!$A:$A,'[1]Tissue Data'!L:L)</f>
        <v>9</v>
      </c>
      <c r="J4755">
        <f>_xlfn.XLOOKUP(A4755,'[1]Tissue Data'!$A:$A,'[1]Tissue Data'!M:M)</f>
        <v>10.43</v>
      </c>
      <c r="K4755" t="s">
        <v>15</v>
      </c>
      <c r="L4755" t="str">
        <f>_xlfn.XLOOKUP(K4755,[2]analyte_order!$B:$B,[2]analyte_order!$C:$C)</f>
        <v>375-85-9</v>
      </c>
      <c r="M4755">
        <f>_xlfn.XLOOKUP(L4755,[2]analyte_order!$C:$C,[2]analyte_order!$E:$E)</f>
        <v>4</v>
      </c>
      <c r="N4755">
        <v>0.1075</v>
      </c>
    </row>
    <row r="4756" spans="1:14">
      <c r="A4756" t="s">
        <v>275</v>
      </c>
      <c r="B4756" t="str">
        <f>_xlfn.XLOOKUP(A4756,'[1]Tissue Data'!$A:$A,'[1]Tissue Data'!$C:$C)</f>
        <v>Spill</v>
      </c>
      <c r="C4756" s="2">
        <f>_xlfn.XLOOKUP(A4756,'[1]Tissue Data'!$A:$A,'[1]Tissue Data'!$D:$D)</f>
        <v>44393</v>
      </c>
      <c r="D4756" s="2" t="str">
        <f>_xlfn.XLOOKUP(A4756,'[1]Tissue Data'!$A:$A,'[1]Tissue Data'!$F:$F)</f>
        <v>Pumpkinseed</v>
      </c>
      <c r="E4756" t="str">
        <f>_xlfn.XLOOKUP(A4756,'[1]Tissue Data'!$A:$A,'[1]Tissue Data'!$H:$H)</f>
        <v>Lepomis</v>
      </c>
      <c r="F4756" t="str">
        <f>_xlfn.XLOOKUP(A4756,'[1]Tissue Data'!$A:$A,'[1]Tissue Data'!$I:$I)</f>
        <v>gibbosus</v>
      </c>
      <c r="G4756" t="str">
        <f>_xlfn.XLOOKUP(A4756,'[1]Tissue Data'!$A:$A,'[1]Tissue Data'!J:J)</f>
        <v>U</v>
      </c>
      <c r="H4756" t="str">
        <f>_xlfn.XLOOKUP(A4756,'[1]Tissue Data'!$A:$A,'[1]Tissue Data'!K:K)</f>
        <v>Whole Body</v>
      </c>
      <c r="I4756">
        <f>_xlfn.XLOOKUP(A4756,'[1]Tissue Data'!$A:$A,'[1]Tissue Data'!L:L)</f>
        <v>9</v>
      </c>
      <c r="J4756">
        <f>_xlfn.XLOOKUP(A4756,'[1]Tissue Data'!$A:$A,'[1]Tissue Data'!M:M)</f>
        <v>10.43</v>
      </c>
      <c r="K4756" t="s">
        <v>16</v>
      </c>
      <c r="L4756" t="str">
        <f>_xlfn.XLOOKUP(K4756,[2]analyte_order!$B:$B,[2]analyte_order!$C:$C)</f>
        <v>335-67-1</v>
      </c>
      <c r="M4756">
        <f>_xlfn.XLOOKUP(L4756,[2]analyte_order!$C:$C,[2]analyte_order!$E:$E)</f>
        <v>5</v>
      </c>
      <c r="N4756">
        <v>0.38500000000000001</v>
      </c>
    </row>
    <row r="4757" spans="1:14">
      <c r="A4757" t="s">
        <v>275</v>
      </c>
      <c r="B4757" t="str">
        <f>_xlfn.XLOOKUP(A4757,'[1]Tissue Data'!$A:$A,'[1]Tissue Data'!$C:$C)</f>
        <v>Spill</v>
      </c>
      <c r="C4757" s="2">
        <f>_xlfn.XLOOKUP(A4757,'[1]Tissue Data'!$A:$A,'[1]Tissue Data'!$D:$D)</f>
        <v>44393</v>
      </c>
      <c r="D4757" s="2" t="str">
        <f>_xlfn.XLOOKUP(A4757,'[1]Tissue Data'!$A:$A,'[1]Tissue Data'!$F:$F)</f>
        <v>Pumpkinseed</v>
      </c>
      <c r="E4757" t="str">
        <f>_xlfn.XLOOKUP(A4757,'[1]Tissue Data'!$A:$A,'[1]Tissue Data'!$H:$H)</f>
        <v>Lepomis</v>
      </c>
      <c r="F4757" t="str">
        <f>_xlfn.XLOOKUP(A4757,'[1]Tissue Data'!$A:$A,'[1]Tissue Data'!$I:$I)</f>
        <v>gibbosus</v>
      </c>
      <c r="G4757" t="str">
        <f>_xlfn.XLOOKUP(A4757,'[1]Tissue Data'!$A:$A,'[1]Tissue Data'!J:J)</f>
        <v>U</v>
      </c>
      <c r="H4757" t="str">
        <f>_xlfn.XLOOKUP(A4757,'[1]Tissue Data'!$A:$A,'[1]Tissue Data'!K:K)</f>
        <v>Whole Body</v>
      </c>
      <c r="I4757">
        <f>_xlfn.XLOOKUP(A4757,'[1]Tissue Data'!$A:$A,'[1]Tissue Data'!L:L)</f>
        <v>9</v>
      </c>
      <c r="J4757">
        <f>_xlfn.XLOOKUP(A4757,'[1]Tissue Data'!$A:$A,'[1]Tissue Data'!M:M)</f>
        <v>10.43</v>
      </c>
      <c r="K4757" t="s">
        <v>17</v>
      </c>
      <c r="L4757" t="str">
        <f>_xlfn.XLOOKUP(K4757,[2]analyte_order!$B:$B,[2]analyte_order!$C:$C)</f>
        <v>375-95-1</v>
      </c>
      <c r="M4757">
        <f>_xlfn.XLOOKUP(L4757,[2]analyte_order!$C:$C,[2]analyte_order!$E:$E)</f>
        <v>6</v>
      </c>
      <c r="N4757">
        <v>0.186</v>
      </c>
    </row>
    <row r="4758" spans="1:14">
      <c r="A4758" t="s">
        <v>275</v>
      </c>
      <c r="B4758" t="str">
        <f>_xlfn.XLOOKUP(A4758,'[1]Tissue Data'!$A:$A,'[1]Tissue Data'!$C:$C)</f>
        <v>Spill</v>
      </c>
      <c r="C4758" s="2">
        <f>_xlfn.XLOOKUP(A4758,'[1]Tissue Data'!$A:$A,'[1]Tissue Data'!$D:$D)</f>
        <v>44393</v>
      </c>
      <c r="D4758" s="2" t="str">
        <f>_xlfn.XLOOKUP(A4758,'[1]Tissue Data'!$A:$A,'[1]Tissue Data'!$F:$F)</f>
        <v>Pumpkinseed</v>
      </c>
      <c r="E4758" t="str">
        <f>_xlfn.XLOOKUP(A4758,'[1]Tissue Data'!$A:$A,'[1]Tissue Data'!$H:$H)</f>
        <v>Lepomis</v>
      </c>
      <c r="F4758" t="str">
        <f>_xlfn.XLOOKUP(A4758,'[1]Tissue Data'!$A:$A,'[1]Tissue Data'!$I:$I)</f>
        <v>gibbosus</v>
      </c>
      <c r="G4758" t="str">
        <f>_xlfn.XLOOKUP(A4758,'[1]Tissue Data'!$A:$A,'[1]Tissue Data'!J:J)</f>
        <v>U</v>
      </c>
      <c r="H4758" t="str">
        <f>_xlfn.XLOOKUP(A4758,'[1]Tissue Data'!$A:$A,'[1]Tissue Data'!K:K)</f>
        <v>Whole Body</v>
      </c>
      <c r="I4758">
        <f>_xlfn.XLOOKUP(A4758,'[1]Tissue Data'!$A:$A,'[1]Tissue Data'!L:L)</f>
        <v>9</v>
      </c>
      <c r="J4758">
        <f>_xlfn.XLOOKUP(A4758,'[1]Tissue Data'!$A:$A,'[1]Tissue Data'!M:M)</f>
        <v>10.43</v>
      </c>
      <c r="K4758" t="s">
        <v>18</v>
      </c>
      <c r="L4758" t="str">
        <f>_xlfn.XLOOKUP(K4758,[2]analyte_order!$B:$B,[2]analyte_order!$C:$C)</f>
        <v>335-76-2</v>
      </c>
      <c r="M4758">
        <f>_xlfn.XLOOKUP(L4758,[2]analyte_order!$C:$C,[2]analyte_order!$E:$E)</f>
        <v>7</v>
      </c>
      <c r="N4758">
        <v>4.9800000000000004</v>
      </c>
    </row>
    <row r="4759" spans="1:14">
      <c r="A4759" t="s">
        <v>275</v>
      </c>
      <c r="B4759" t="str">
        <f>_xlfn.XLOOKUP(A4759,'[1]Tissue Data'!$A:$A,'[1]Tissue Data'!$C:$C)</f>
        <v>Spill</v>
      </c>
      <c r="C4759" s="2">
        <f>_xlfn.XLOOKUP(A4759,'[1]Tissue Data'!$A:$A,'[1]Tissue Data'!$D:$D)</f>
        <v>44393</v>
      </c>
      <c r="D4759" s="2" t="str">
        <f>_xlfn.XLOOKUP(A4759,'[1]Tissue Data'!$A:$A,'[1]Tissue Data'!$F:$F)</f>
        <v>Pumpkinseed</v>
      </c>
      <c r="E4759" t="str">
        <f>_xlfn.XLOOKUP(A4759,'[1]Tissue Data'!$A:$A,'[1]Tissue Data'!$H:$H)</f>
        <v>Lepomis</v>
      </c>
      <c r="F4759" t="str">
        <f>_xlfn.XLOOKUP(A4759,'[1]Tissue Data'!$A:$A,'[1]Tissue Data'!$I:$I)</f>
        <v>gibbosus</v>
      </c>
      <c r="G4759" t="str">
        <f>_xlfn.XLOOKUP(A4759,'[1]Tissue Data'!$A:$A,'[1]Tissue Data'!J:J)</f>
        <v>U</v>
      </c>
      <c r="H4759" t="str">
        <f>_xlfn.XLOOKUP(A4759,'[1]Tissue Data'!$A:$A,'[1]Tissue Data'!K:K)</f>
        <v>Whole Body</v>
      </c>
      <c r="I4759">
        <f>_xlfn.XLOOKUP(A4759,'[1]Tissue Data'!$A:$A,'[1]Tissue Data'!L:L)</f>
        <v>9</v>
      </c>
      <c r="J4759">
        <f>_xlfn.XLOOKUP(A4759,'[1]Tissue Data'!$A:$A,'[1]Tissue Data'!M:M)</f>
        <v>10.43</v>
      </c>
      <c r="K4759" t="s">
        <v>19</v>
      </c>
      <c r="L4759" t="str">
        <f>_xlfn.XLOOKUP(K4759,[2]analyte_order!$B:$B,[2]analyte_order!$C:$C)</f>
        <v>2058-94-8</v>
      </c>
      <c r="M4759">
        <f>_xlfn.XLOOKUP(L4759,[2]analyte_order!$C:$C,[2]analyte_order!$E:$E)</f>
        <v>8</v>
      </c>
      <c r="N4759">
        <v>8.3000000000000007</v>
      </c>
    </row>
    <row r="4760" spans="1:14">
      <c r="A4760" t="s">
        <v>275</v>
      </c>
      <c r="B4760" t="str">
        <f>_xlfn.XLOOKUP(A4760,'[1]Tissue Data'!$A:$A,'[1]Tissue Data'!$C:$C)</f>
        <v>Spill</v>
      </c>
      <c r="C4760" s="2">
        <f>_xlfn.XLOOKUP(A4760,'[1]Tissue Data'!$A:$A,'[1]Tissue Data'!$D:$D)</f>
        <v>44393</v>
      </c>
      <c r="D4760" s="2" t="str">
        <f>_xlfn.XLOOKUP(A4760,'[1]Tissue Data'!$A:$A,'[1]Tissue Data'!$F:$F)</f>
        <v>Pumpkinseed</v>
      </c>
      <c r="E4760" t="str">
        <f>_xlfn.XLOOKUP(A4760,'[1]Tissue Data'!$A:$A,'[1]Tissue Data'!$H:$H)</f>
        <v>Lepomis</v>
      </c>
      <c r="F4760" t="str">
        <f>_xlfn.XLOOKUP(A4760,'[1]Tissue Data'!$A:$A,'[1]Tissue Data'!$I:$I)</f>
        <v>gibbosus</v>
      </c>
      <c r="G4760" t="str">
        <f>_xlfn.XLOOKUP(A4760,'[1]Tissue Data'!$A:$A,'[1]Tissue Data'!J:J)</f>
        <v>U</v>
      </c>
      <c r="H4760" t="str">
        <f>_xlfn.XLOOKUP(A4760,'[1]Tissue Data'!$A:$A,'[1]Tissue Data'!K:K)</f>
        <v>Whole Body</v>
      </c>
      <c r="I4760">
        <f>_xlfn.XLOOKUP(A4760,'[1]Tissue Data'!$A:$A,'[1]Tissue Data'!L:L)</f>
        <v>9</v>
      </c>
      <c r="J4760">
        <f>_xlfn.XLOOKUP(A4760,'[1]Tissue Data'!$A:$A,'[1]Tissue Data'!M:M)</f>
        <v>10.43</v>
      </c>
      <c r="K4760" t="s">
        <v>20</v>
      </c>
      <c r="L4760" t="str">
        <f>_xlfn.XLOOKUP(K4760,[2]analyte_order!$B:$B,[2]analyte_order!$C:$C)</f>
        <v>307-55-1</v>
      </c>
      <c r="M4760">
        <f>_xlfn.XLOOKUP(L4760,[2]analyte_order!$C:$C,[2]analyte_order!$E:$E)</f>
        <v>9</v>
      </c>
      <c r="N4760">
        <v>9.82</v>
      </c>
    </row>
    <row r="4761" spans="1:14">
      <c r="A4761" t="s">
        <v>275</v>
      </c>
      <c r="B4761" t="str">
        <f>_xlfn.XLOOKUP(A4761,'[1]Tissue Data'!$A:$A,'[1]Tissue Data'!$C:$C)</f>
        <v>Spill</v>
      </c>
      <c r="C4761" s="2">
        <f>_xlfn.XLOOKUP(A4761,'[1]Tissue Data'!$A:$A,'[1]Tissue Data'!$D:$D)</f>
        <v>44393</v>
      </c>
      <c r="D4761" s="2" t="str">
        <f>_xlfn.XLOOKUP(A4761,'[1]Tissue Data'!$A:$A,'[1]Tissue Data'!$F:$F)</f>
        <v>Pumpkinseed</v>
      </c>
      <c r="E4761" t="str">
        <f>_xlfn.XLOOKUP(A4761,'[1]Tissue Data'!$A:$A,'[1]Tissue Data'!$H:$H)</f>
        <v>Lepomis</v>
      </c>
      <c r="F4761" t="str">
        <f>_xlfn.XLOOKUP(A4761,'[1]Tissue Data'!$A:$A,'[1]Tissue Data'!$I:$I)</f>
        <v>gibbosus</v>
      </c>
      <c r="G4761" t="str">
        <f>_xlfn.XLOOKUP(A4761,'[1]Tissue Data'!$A:$A,'[1]Tissue Data'!J:J)</f>
        <v>U</v>
      </c>
      <c r="H4761" t="str">
        <f>_xlfn.XLOOKUP(A4761,'[1]Tissue Data'!$A:$A,'[1]Tissue Data'!K:K)</f>
        <v>Whole Body</v>
      </c>
      <c r="I4761">
        <f>_xlfn.XLOOKUP(A4761,'[1]Tissue Data'!$A:$A,'[1]Tissue Data'!L:L)</f>
        <v>9</v>
      </c>
      <c r="J4761">
        <f>_xlfn.XLOOKUP(A4761,'[1]Tissue Data'!$A:$A,'[1]Tissue Data'!M:M)</f>
        <v>10.43</v>
      </c>
      <c r="K4761" t="s">
        <v>21</v>
      </c>
      <c r="L4761" t="str">
        <f>_xlfn.XLOOKUP(K4761,[2]analyte_order!$B:$B,[2]analyte_order!$C:$C)</f>
        <v>72629-94-8</v>
      </c>
      <c r="M4761">
        <f>_xlfn.XLOOKUP(L4761,[2]analyte_order!$C:$C,[2]analyte_order!$E:$E)</f>
        <v>10</v>
      </c>
      <c r="N4761">
        <v>3.44</v>
      </c>
    </row>
    <row r="4762" spans="1:14">
      <c r="A4762" t="s">
        <v>275</v>
      </c>
      <c r="B4762" t="str">
        <f>_xlfn.XLOOKUP(A4762,'[1]Tissue Data'!$A:$A,'[1]Tissue Data'!$C:$C)</f>
        <v>Spill</v>
      </c>
      <c r="C4762" s="2">
        <f>_xlfn.XLOOKUP(A4762,'[1]Tissue Data'!$A:$A,'[1]Tissue Data'!$D:$D)</f>
        <v>44393</v>
      </c>
      <c r="D4762" s="2" t="str">
        <f>_xlfn.XLOOKUP(A4762,'[1]Tissue Data'!$A:$A,'[1]Tissue Data'!$F:$F)</f>
        <v>Pumpkinseed</v>
      </c>
      <c r="E4762" t="str">
        <f>_xlfn.XLOOKUP(A4762,'[1]Tissue Data'!$A:$A,'[1]Tissue Data'!$H:$H)</f>
        <v>Lepomis</v>
      </c>
      <c r="F4762" t="str">
        <f>_xlfn.XLOOKUP(A4762,'[1]Tissue Data'!$A:$A,'[1]Tissue Data'!$I:$I)</f>
        <v>gibbosus</v>
      </c>
      <c r="G4762" t="str">
        <f>_xlfn.XLOOKUP(A4762,'[1]Tissue Data'!$A:$A,'[1]Tissue Data'!J:J)</f>
        <v>U</v>
      </c>
      <c r="H4762" t="str">
        <f>_xlfn.XLOOKUP(A4762,'[1]Tissue Data'!$A:$A,'[1]Tissue Data'!K:K)</f>
        <v>Whole Body</v>
      </c>
      <c r="I4762">
        <f>_xlfn.XLOOKUP(A4762,'[1]Tissue Data'!$A:$A,'[1]Tissue Data'!L:L)</f>
        <v>9</v>
      </c>
      <c r="J4762">
        <f>_xlfn.XLOOKUP(A4762,'[1]Tissue Data'!$A:$A,'[1]Tissue Data'!M:M)</f>
        <v>10.43</v>
      </c>
      <c r="K4762" t="s">
        <v>22</v>
      </c>
      <c r="L4762" t="str">
        <f>_xlfn.XLOOKUP(K4762,[2]analyte_order!$B:$B,[2]analyte_order!$C:$C)</f>
        <v>376-06-7</v>
      </c>
      <c r="M4762">
        <f>_xlfn.XLOOKUP(L4762,[2]analyte_order!$C:$C,[2]analyte_order!$E:$E)</f>
        <v>11</v>
      </c>
      <c r="N4762">
        <v>7.88</v>
      </c>
    </row>
    <row r="4763" spans="1:14">
      <c r="A4763" t="s">
        <v>275</v>
      </c>
      <c r="B4763" t="str">
        <f>_xlfn.XLOOKUP(A4763,'[1]Tissue Data'!$A:$A,'[1]Tissue Data'!$C:$C)</f>
        <v>Spill</v>
      </c>
      <c r="C4763" s="2">
        <f>_xlfn.XLOOKUP(A4763,'[1]Tissue Data'!$A:$A,'[1]Tissue Data'!$D:$D)</f>
        <v>44393</v>
      </c>
      <c r="D4763" s="2" t="str">
        <f>_xlfn.XLOOKUP(A4763,'[1]Tissue Data'!$A:$A,'[1]Tissue Data'!$F:$F)</f>
        <v>Pumpkinseed</v>
      </c>
      <c r="E4763" t="str">
        <f>_xlfn.XLOOKUP(A4763,'[1]Tissue Data'!$A:$A,'[1]Tissue Data'!$H:$H)</f>
        <v>Lepomis</v>
      </c>
      <c r="F4763" t="str">
        <f>_xlfn.XLOOKUP(A4763,'[1]Tissue Data'!$A:$A,'[1]Tissue Data'!$I:$I)</f>
        <v>gibbosus</v>
      </c>
      <c r="G4763" t="str">
        <f>_xlfn.XLOOKUP(A4763,'[1]Tissue Data'!$A:$A,'[1]Tissue Data'!J:J)</f>
        <v>U</v>
      </c>
      <c r="H4763" t="str">
        <f>_xlfn.XLOOKUP(A4763,'[1]Tissue Data'!$A:$A,'[1]Tissue Data'!K:K)</f>
        <v>Whole Body</v>
      </c>
      <c r="I4763">
        <f>_xlfn.XLOOKUP(A4763,'[1]Tissue Data'!$A:$A,'[1]Tissue Data'!L:L)</f>
        <v>9</v>
      </c>
      <c r="J4763">
        <f>_xlfn.XLOOKUP(A4763,'[1]Tissue Data'!$A:$A,'[1]Tissue Data'!M:M)</f>
        <v>10.43</v>
      </c>
      <c r="K4763" t="s">
        <v>23</v>
      </c>
      <c r="L4763" t="str">
        <f>_xlfn.XLOOKUP(K4763,[2]analyte_order!$B:$B,[2]analyte_order!$C:$C)</f>
        <v>67905-19-5</v>
      </c>
      <c r="M4763">
        <f>_xlfn.XLOOKUP(L4763,[2]analyte_order!$C:$C,[2]analyte_order!$E:$E)</f>
        <v>12</v>
      </c>
      <c r="N4763">
        <v>9.7000000000000003E-2</v>
      </c>
    </row>
    <row r="4764" spans="1:14">
      <c r="A4764" t="s">
        <v>275</v>
      </c>
      <c r="B4764" t="str">
        <f>_xlfn.XLOOKUP(A4764,'[1]Tissue Data'!$A:$A,'[1]Tissue Data'!$C:$C)</f>
        <v>Spill</v>
      </c>
      <c r="C4764" s="2">
        <f>_xlfn.XLOOKUP(A4764,'[1]Tissue Data'!$A:$A,'[1]Tissue Data'!$D:$D)</f>
        <v>44393</v>
      </c>
      <c r="D4764" s="2" t="str">
        <f>_xlfn.XLOOKUP(A4764,'[1]Tissue Data'!$A:$A,'[1]Tissue Data'!$F:$F)</f>
        <v>Pumpkinseed</v>
      </c>
      <c r="E4764" t="str">
        <f>_xlfn.XLOOKUP(A4764,'[1]Tissue Data'!$A:$A,'[1]Tissue Data'!$H:$H)</f>
        <v>Lepomis</v>
      </c>
      <c r="F4764" t="str">
        <f>_xlfn.XLOOKUP(A4764,'[1]Tissue Data'!$A:$A,'[1]Tissue Data'!$I:$I)</f>
        <v>gibbosus</v>
      </c>
      <c r="G4764" t="str">
        <f>_xlfn.XLOOKUP(A4764,'[1]Tissue Data'!$A:$A,'[1]Tissue Data'!J:J)</f>
        <v>U</v>
      </c>
      <c r="H4764" t="str">
        <f>_xlfn.XLOOKUP(A4764,'[1]Tissue Data'!$A:$A,'[1]Tissue Data'!K:K)</f>
        <v>Whole Body</v>
      </c>
      <c r="I4764">
        <f>_xlfn.XLOOKUP(A4764,'[1]Tissue Data'!$A:$A,'[1]Tissue Data'!L:L)</f>
        <v>9</v>
      </c>
      <c r="J4764">
        <f>_xlfn.XLOOKUP(A4764,'[1]Tissue Data'!$A:$A,'[1]Tissue Data'!M:M)</f>
        <v>10.43</v>
      </c>
      <c r="K4764" t="s">
        <v>24</v>
      </c>
      <c r="L4764" t="str">
        <f>_xlfn.XLOOKUP(K4764,[2]analyte_order!$B:$B,[2]analyte_order!$C:$C)</f>
        <v>423-41-6</v>
      </c>
      <c r="M4764">
        <f>_xlfn.XLOOKUP(L4764,[2]analyte_order!$C:$C,[2]analyte_order!$E:$E)</f>
        <v>53</v>
      </c>
      <c r="N4764">
        <v>8.1500000000000003E-2</v>
      </c>
    </row>
    <row r="4765" spans="1:14">
      <c r="A4765" t="s">
        <v>275</v>
      </c>
      <c r="B4765" t="str">
        <f>_xlfn.XLOOKUP(A4765,'[1]Tissue Data'!$A:$A,'[1]Tissue Data'!$C:$C)</f>
        <v>Spill</v>
      </c>
      <c r="C4765" s="2">
        <f>_xlfn.XLOOKUP(A4765,'[1]Tissue Data'!$A:$A,'[1]Tissue Data'!$D:$D)</f>
        <v>44393</v>
      </c>
      <c r="D4765" s="2" t="str">
        <f>_xlfn.XLOOKUP(A4765,'[1]Tissue Data'!$A:$A,'[1]Tissue Data'!$F:$F)</f>
        <v>Pumpkinseed</v>
      </c>
      <c r="E4765" t="str">
        <f>_xlfn.XLOOKUP(A4765,'[1]Tissue Data'!$A:$A,'[1]Tissue Data'!$H:$H)</f>
        <v>Lepomis</v>
      </c>
      <c r="F4765" t="str">
        <f>_xlfn.XLOOKUP(A4765,'[1]Tissue Data'!$A:$A,'[1]Tissue Data'!$I:$I)</f>
        <v>gibbosus</v>
      </c>
      <c r="G4765" t="str">
        <f>_xlfn.XLOOKUP(A4765,'[1]Tissue Data'!$A:$A,'[1]Tissue Data'!J:J)</f>
        <v>U</v>
      </c>
      <c r="H4765" t="str">
        <f>_xlfn.XLOOKUP(A4765,'[1]Tissue Data'!$A:$A,'[1]Tissue Data'!K:K)</f>
        <v>Whole Body</v>
      </c>
      <c r="I4765">
        <f>_xlfn.XLOOKUP(A4765,'[1]Tissue Data'!$A:$A,'[1]Tissue Data'!L:L)</f>
        <v>9</v>
      </c>
      <c r="J4765">
        <f>_xlfn.XLOOKUP(A4765,'[1]Tissue Data'!$A:$A,'[1]Tissue Data'!M:M)</f>
        <v>10.43</v>
      </c>
      <c r="K4765" t="s">
        <v>25</v>
      </c>
      <c r="L4765" t="str">
        <f>_xlfn.XLOOKUP(K4765,[2]analyte_order!$B:$B,[2]analyte_order!$C:$C)</f>
        <v>375-73-5</v>
      </c>
      <c r="M4765">
        <f>_xlfn.XLOOKUP(L4765,[2]analyte_order!$C:$C,[2]analyte_order!$E:$E)</f>
        <v>14</v>
      </c>
      <c r="N4765">
        <v>0.183</v>
      </c>
    </row>
    <row r="4766" spans="1:14">
      <c r="A4766" t="s">
        <v>275</v>
      </c>
      <c r="B4766" t="str">
        <f>_xlfn.XLOOKUP(A4766,'[1]Tissue Data'!$A:$A,'[1]Tissue Data'!$C:$C)</f>
        <v>Spill</v>
      </c>
      <c r="C4766" s="2">
        <f>_xlfn.XLOOKUP(A4766,'[1]Tissue Data'!$A:$A,'[1]Tissue Data'!$D:$D)</f>
        <v>44393</v>
      </c>
      <c r="D4766" s="2" t="str">
        <f>_xlfn.XLOOKUP(A4766,'[1]Tissue Data'!$A:$A,'[1]Tissue Data'!$F:$F)</f>
        <v>Pumpkinseed</v>
      </c>
      <c r="E4766" t="str">
        <f>_xlfn.XLOOKUP(A4766,'[1]Tissue Data'!$A:$A,'[1]Tissue Data'!$H:$H)</f>
        <v>Lepomis</v>
      </c>
      <c r="F4766" t="str">
        <f>_xlfn.XLOOKUP(A4766,'[1]Tissue Data'!$A:$A,'[1]Tissue Data'!$I:$I)</f>
        <v>gibbosus</v>
      </c>
      <c r="G4766" t="str">
        <f>_xlfn.XLOOKUP(A4766,'[1]Tissue Data'!$A:$A,'[1]Tissue Data'!J:J)</f>
        <v>U</v>
      </c>
      <c r="H4766" t="str">
        <f>_xlfn.XLOOKUP(A4766,'[1]Tissue Data'!$A:$A,'[1]Tissue Data'!K:K)</f>
        <v>Whole Body</v>
      </c>
      <c r="I4766">
        <f>_xlfn.XLOOKUP(A4766,'[1]Tissue Data'!$A:$A,'[1]Tissue Data'!L:L)</f>
        <v>9</v>
      </c>
      <c r="J4766">
        <f>_xlfn.XLOOKUP(A4766,'[1]Tissue Data'!$A:$A,'[1]Tissue Data'!M:M)</f>
        <v>10.43</v>
      </c>
      <c r="K4766" t="s">
        <v>26</v>
      </c>
      <c r="L4766" t="str">
        <f>_xlfn.XLOOKUP(K4766,[2]analyte_order!$B:$B,[2]analyte_order!$C:$C)</f>
        <v>2706-91-4</v>
      </c>
      <c r="M4766">
        <f>_xlfn.XLOOKUP(L4766,[2]analyte_order!$C:$C,[2]analyte_order!$E:$E)</f>
        <v>15</v>
      </c>
      <c r="N4766">
        <v>8.1500000000000003E-2</v>
      </c>
    </row>
    <row r="4767" spans="1:14">
      <c r="A4767" t="s">
        <v>275</v>
      </c>
      <c r="B4767" t="str">
        <f>_xlfn.XLOOKUP(A4767,'[1]Tissue Data'!$A:$A,'[1]Tissue Data'!$C:$C)</f>
        <v>Spill</v>
      </c>
      <c r="C4767" s="2">
        <f>_xlfn.XLOOKUP(A4767,'[1]Tissue Data'!$A:$A,'[1]Tissue Data'!$D:$D)</f>
        <v>44393</v>
      </c>
      <c r="D4767" s="2" t="str">
        <f>_xlfn.XLOOKUP(A4767,'[1]Tissue Data'!$A:$A,'[1]Tissue Data'!$F:$F)</f>
        <v>Pumpkinseed</v>
      </c>
      <c r="E4767" t="str">
        <f>_xlfn.XLOOKUP(A4767,'[1]Tissue Data'!$A:$A,'[1]Tissue Data'!$H:$H)</f>
        <v>Lepomis</v>
      </c>
      <c r="F4767" t="str">
        <f>_xlfn.XLOOKUP(A4767,'[1]Tissue Data'!$A:$A,'[1]Tissue Data'!$I:$I)</f>
        <v>gibbosus</v>
      </c>
      <c r="G4767" t="str">
        <f>_xlfn.XLOOKUP(A4767,'[1]Tissue Data'!$A:$A,'[1]Tissue Data'!J:J)</f>
        <v>U</v>
      </c>
      <c r="H4767" t="str">
        <f>_xlfn.XLOOKUP(A4767,'[1]Tissue Data'!$A:$A,'[1]Tissue Data'!K:K)</f>
        <v>Whole Body</v>
      </c>
      <c r="I4767">
        <f>_xlfn.XLOOKUP(A4767,'[1]Tissue Data'!$A:$A,'[1]Tissue Data'!L:L)</f>
        <v>9</v>
      </c>
      <c r="J4767">
        <f>_xlfn.XLOOKUP(A4767,'[1]Tissue Data'!$A:$A,'[1]Tissue Data'!M:M)</f>
        <v>10.43</v>
      </c>
      <c r="K4767" t="s">
        <v>27</v>
      </c>
      <c r="L4767" t="str">
        <f>_xlfn.XLOOKUP(K4767,[2]analyte_order!$B:$B,[2]analyte_order!$C:$C)</f>
        <v>355-46-4</v>
      </c>
      <c r="M4767">
        <f>_xlfn.XLOOKUP(L4767,[2]analyte_order!$C:$C,[2]analyte_order!$E:$E)</f>
        <v>16</v>
      </c>
      <c r="N4767">
        <v>7.38</v>
      </c>
    </row>
    <row r="4768" spans="1:14">
      <c r="A4768" t="s">
        <v>275</v>
      </c>
      <c r="B4768" t="str">
        <f>_xlfn.XLOOKUP(A4768,'[1]Tissue Data'!$A:$A,'[1]Tissue Data'!$C:$C)</f>
        <v>Spill</v>
      </c>
      <c r="C4768" s="2">
        <f>_xlfn.XLOOKUP(A4768,'[1]Tissue Data'!$A:$A,'[1]Tissue Data'!$D:$D)</f>
        <v>44393</v>
      </c>
      <c r="D4768" s="2" t="str">
        <f>_xlfn.XLOOKUP(A4768,'[1]Tissue Data'!$A:$A,'[1]Tissue Data'!$F:$F)</f>
        <v>Pumpkinseed</v>
      </c>
      <c r="E4768" t="str">
        <f>_xlfn.XLOOKUP(A4768,'[1]Tissue Data'!$A:$A,'[1]Tissue Data'!$H:$H)</f>
        <v>Lepomis</v>
      </c>
      <c r="F4768" t="str">
        <f>_xlfn.XLOOKUP(A4768,'[1]Tissue Data'!$A:$A,'[1]Tissue Data'!$I:$I)</f>
        <v>gibbosus</v>
      </c>
      <c r="G4768" t="str">
        <f>_xlfn.XLOOKUP(A4768,'[1]Tissue Data'!$A:$A,'[1]Tissue Data'!J:J)</f>
        <v>U</v>
      </c>
      <c r="H4768" t="str">
        <f>_xlfn.XLOOKUP(A4768,'[1]Tissue Data'!$A:$A,'[1]Tissue Data'!K:K)</f>
        <v>Whole Body</v>
      </c>
      <c r="I4768">
        <f>_xlfn.XLOOKUP(A4768,'[1]Tissue Data'!$A:$A,'[1]Tissue Data'!L:L)</f>
        <v>9</v>
      </c>
      <c r="J4768">
        <f>_xlfn.XLOOKUP(A4768,'[1]Tissue Data'!$A:$A,'[1]Tissue Data'!M:M)</f>
        <v>10.43</v>
      </c>
      <c r="K4768" t="s">
        <v>28</v>
      </c>
      <c r="L4768" t="str">
        <f>_xlfn.XLOOKUP(K4768,[2]analyte_order!$B:$B,[2]analyte_order!$C:$C)</f>
        <v>375-92-8</v>
      </c>
      <c r="M4768">
        <f>_xlfn.XLOOKUP(L4768,[2]analyte_order!$C:$C,[2]analyte_order!$E:$E)</f>
        <v>17</v>
      </c>
      <c r="N4768">
        <v>1.27</v>
      </c>
    </row>
    <row r="4769" spans="1:14">
      <c r="A4769" t="s">
        <v>275</v>
      </c>
      <c r="B4769" t="str">
        <f>_xlfn.XLOOKUP(A4769,'[1]Tissue Data'!$A:$A,'[1]Tissue Data'!$C:$C)</f>
        <v>Spill</v>
      </c>
      <c r="C4769" s="2">
        <f>_xlfn.XLOOKUP(A4769,'[1]Tissue Data'!$A:$A,'[1]Tissue Data'!$D:$D)</f>
        <v>44393</v>
      </c>
      <c r="D4769" s="2" t="str">
        <f>_xlfn.XLOOKUP(A4769,'[1]Tissue Data'!$A:$A,'[1]Tissue Data'!$F:$F)</f>
        <v>Pumpkinseed</v>
      </c>
      <c r="E4769" t="str">
        <f>_xlfn.XLOOKUP(A4769,'[1]Tissue Data'!$A:$A,'[1]Tissue Data'!$H:$H)</f>
        <v>Lepomis</v>
      </c>
      <c r="F4769" t="str">
        <f>_xlfn.XLOOKUP(A4769,'[1]Tissue Data'!$A:$A,'[1]Tissue Data'!$I:$I)</f>
        <v>gibbosus</v>
      </c>
      <c r="G4769" t="str">
        <f>_xlfn.XLOOKUP(A4769,'[1]Tissue Data'!$A:$A,'[1]Tissue Data'!J:J)</f>
        <v>U</v>
      </c>
      <c r="H4769" t="str">
        <f>_xlfn.XLOOKUP(A4769,'[1]Tissue Data'!$A:$A,'[1]Tissue Data'!K:K)</f>
        <v>Whole Body</v>
      </c>
      <c r="I4769">
        <f>_xlfn.XLOOKUP(A4769,'[1]Tissue Data'!$A:$A,'[1]Tissue Data'!L:L)</f>
        <v>9</v>
      </c>
      <c r="J4769">
        <f>_xlfn.XLOOKUP(A4769,'[1]Tissue Data'!$A:$A,'[1]Tissue Data'!M:M)</f>
        <v>10.43</v>
      </c>
      <c r="K4769" t="s">
        <v>29</v>
      </c>
      <c r="L4769" t="str">
        <f>_xlfn.XLOOKUP(K4769,[2]analyte_order!$B:$B,[2]analyte_order!$C:$C)</f>
        <v>1763-23-1</v>
      </c>
      <c r="M4769">
        <f>_xlfn.XLOOKUP(L4769,[2]analyte_order!$C:$C,[2]analyte_order!$E:$E)</f>
        <v>18</v>
      </c>
      <c r="N4769">
        <v>830</v>
      </c>
    </row>
    <row r="4770" spans="1:14">
      <c r="A4770" t="s">
        <v>275</v>
      </c>
      <c r="B4770" t="str">
        <f>_xlfn.XLOOKUP(A4770,'[1]Tissue Data'!$A:$A,'[1]Tissue Data'!$C:$C)</f>
        <v>Spill</v>
      </c>
      <c r="C4770" s="2">
        <f>_xlfn.XLOOKUP(A4770,'[1]Tissue Data'!$A:$A,'[1]Tissue Data'!$D:$D)</f>
        <v>44393</v>
      </c>
      <c r="D4770" s="2" t="str">
        <f>_xlfn.XLOOKUP(A4770,'[1]Tissue Data'!$A:$A,'[1]Tissue Data'!$F:$F)</f>
        <v>Pumpkinseed</v>
      </c>
      <c r="E4770" t="str">
        <f>_xlfn.XLOOKUP(A4770,'[1]Tissue Data'!$A:$A,'[1]Tissue Data'!$H:$H)</f>
        <v>Lepomis</v>
      </c>
      <c r="F4770" t="str">
        <f>_xlfn.XLOOKUP(A4770,'[1]Tissue Data'!$A:$A,'[1]Tissue Data'!$I:$I)</f>
        <v>gibbosus</v>
      </c>
      <c r="G4770" t="str">
        <f>_xlfn.XLOOKUP(A4770,'[1]Tissue Data'!$A:$A,'[1]Tissue Data'!J:J)</f>
        <v>U</v>
      </c>
      <c r="H4770" t="str">
        <f>_xlfn.XLOOKUP(A4770,'[1]Tissue Data'!$A:$A,'[1]Tissue Data'!K:K)</f>
        <v>Whole Body</v>
      </c>
      <c r="I4770">
        <f>_xlfn.XLOOKUP(A4770,'[1]Tissue Data'!$A:$A,'[1]Tissue Data'!L:L)</f>
        <v>9</v>
      </c>
      <c r="J4770">
        <f>_xlfn.XLOOKUP(A4770,'[1]Tissue Data'!$A:$A,'[1]Tissue Data'!M:M)</f>
        <v>10.43</v>
      </c>
      <c r="K4770" t="s">
        <v>30</v>
      </c>
      <c r="L4770" t="str">
        <f>_xlfn.XLOOKUP(K4770,[2]analyte_order!$B:$B,[2]analyte_order!$C:$C)</f>
        <v>68259-12-1</v>
      </c>
      <c r="M4770">
        <f>_xlfn.XLOOKUP(L4770,[2]analyte_order!$C:$C,[2]analyte_order!$E:$E)</f>
        <v>19</v>
      </c>
      <c r="N4770">
        <v>3.23</v>
      </c>
    </row>
    <row r="4771" spans="1:14">
      <c r="A4771" t="s">
        <v>275</v>
      </c>
      <c r="B4771" t="str">
        <f>_xlfn.XLOOKUP(A4771,'[1]Tissue Data'!$A:$A,'[1]Tissue Data'!$C:$C)</f>
        <v>Spill</v>
      </c>
      <c r="C4771" s="2">
        <f>_xlfn.XLOOKUP(A4771,'[1]Tissue Data'!$A:$A,'[1]Tissue Data'!$D:$D)</f>
        <v>44393</v>
      </c>
      <c r="D4771" s="2" t="str">
        <f>_xlfn.XLOOKUP(A4771,'[1]Tissue Data'!$A:$A,'[1]Tissue Data'!$F:$F)</f>
        <v>Pumpkinseed</v>
      </c>
      <c r="E4771" t="str">
        <f>_xlfn.XLOOKUP(A4771,'[1]Tissue Data'!$A:$A,'[1]Tissue Data'!$H:$H)</f>
        <v>Lepomis</v>
      </c>
      <c r="F4771" t="str">
        <f>_xlfn.XLOOKUP(A4771,'[1]Tissue Data'!$A:$A,'[1]Tissue Data'!$I:$I)</f>
        <v>gibbosus</v>
      </c>
      <c r="G4771" t="str">
        <f>_xlfn.XLOOKUP(A4771,'[1]Tissue Data'!$A:$A,'[1]Tissue Data'!J:J)</f>
        <v>U</v>
      </c>
      <c r="H4771" t="str">
        <f>_xlfn.XLOOKUP(A4771,'[1]Tissue Data'!$A:$A,'[1]Tissue Data'!K:K)</f>
        <v>Whole Body</v>
      </c>
      <c r="I4771">
        <f>_xlfn.XLOOKUP(A4771,'[1]Tissue Data'!$A:$A,'[1]Tissue Data'!L:L)</f>
        <v>9</v>
      </c>
      <c r="J4771">
        <f>_xlfn.XLOOKUP(A4771,'[1]Tissue Data'!$A:$A,'[1]Tissue Data'!M:M)</f>
        <v>10.43</v>
      </c>
      <c r="K4771" t="s">
        <v>31</v>
      </c>
      <c r="L4771" t="str">
        <f>_xlfn.XLOOKUP(K4771,[2]analyte_order!$B:$B,[2]analyte_order!$C:$C)</f>
        <v>335-77-3</v>
      </c>
      <c r="M4771">
        <f>_xlfn.XLOOKUP(L4771,[2]analyte_order!$C:$C,[2]analyte_order!$E:$E)</f>
        <v>20</v>
      </c>
      <c r="N4771">
        <v>2.83</v>
      </c>
    </row>
    <row r="4772" spans="1:14">
      <c r="A4772" t="s">
        <v>275</v>
      </c>
      <c r="B4772" t="str">
        <f>_xlfn.XLOOKUP(A4772,'[1]Tissue Data'!$A:$A,'[1]Tissue Data'!$C:$C)</f>
        <v>Spill</v>
      </c>
      <c r="C4772" s="2">
        <f>_xlfn.XLOOKUP(A4772,'[1]Tissue Data'!$A:$A,'[1]Tissue Data'!$D:$D)</f>
        <v>44393</v>
      </c>
      <c r="D4772" s="2" t="str">
        <f>_xlfn.XLOOKUP(A4772,'[1]Tissue Data'!$A:$A,'[1]Tissue Data'!$F:$F)</f>
        <v>Pumpkinseed</v>
      </c>
      <c r="E4772" t="str">
        <f>_xlfn.XLOOKUP(A4772,'[1]Tissue Data'!$A:$A,'[1]Tissue Data'!$H:$H)</f>
        <v>Lepomis</v>
      </c>
      <c r="F4772" t="str">
        <f>_xlfn.XLOOKUP(A4772,'[1]Tissue Data'!$A:$A,'[1]Tissue Data'!$I:$I)</f>
        <v>gibbosus</v>
      </c>
      <c r="G4772" t="str">
        <f>_xlfn.XLOOKUP(A4772,'[1]Tissue Data'!$A:$A,'[1]Tissue Data'!J:J)</f>
        <v>U</v>
      </c>
      <c r="H4772" t="str">
        <f>_xlfn.XLOOKUP(A4772,'[1]Tissue Data'!$A:$A,'[1]Tissue Data'!K:K)</f>
        <v>Whole Body</v>
      </c>
      <c r="I4772">
        <f>_xlfn.XLOOKUP(A4772,'[1]Tissue Data'!$A:$A,'[1]Tissue Data'!L:L)</f>
        <v>9</v>
      </c>
      <c r="J4772">
        <f>_xlfn.XLOOKUP(A4772,'[1]Tissue Data'!$A:$A,'[1]Tissue Data'!M:M)</f>
        <v>10.43</v>
      </c>
      <c r="K4772" t="s">
        <v>32</v>
      </c>
      <c r="L4772" t="str">
        <f>_xlfn.XLOOKUP(K4772,[2]analyte_order!$B:$B,[2]analyte_order!$C:$C)</f>
        <v>79780-39-5</v>
      </c>
      <c r="M4772">
        <f>_xlfn.XLOOKUP(L4772,[2]analyte_order!$C:$C,[2]analyte_order!$E:$E)</f>
        <v>21</v>
      </c>
      <c r="N4772">
        <v>0.94499999999999995</v>
      </c>
    </row>
    <row r="4773" spans="1:14">
      <c r="A4773" t="s">
        <v>275</v>
      </c>
      <c r="B4773" t="str">
        <f>_xlfn.XLOOKUP(A4773,'[1]Tissue Data'!$A:$A,'[1]Tissue Data'!$C:$C)</f>
        <v>Spill</v>
      </c>
      <c r="C4773" s="2">
        <f>_xlfn.XLOOKUP(A4773,'[1]Tissue Data'!$A:$A,'[1]Tissue Data'!$D:$D)</f>
        <v>44393</v>
      </c>
      <c r="D4773" s="2" t="str">
        <f>_xlfn.XLOOKUP(A4773,'[1]Tissue Data'!$A:$A,'[1]Tissue Data'!$F:$F)</f>
        <v>Pumpkinseed</v>
      </c>
      <c r="E4773" t="str">
        <f>_xlfn.XLOOKUP(A4773,'[1]Tissue Data'!$A:$A,'[1]Tissue Data'!$H:$H)</f>
        <v>Lepomis</v>
      </c>
      <c r="F4773" t="str">
        <f>_xlfn.XLOOKUP(A4773,'[1]Tissue Data'!$A:$A,'[1]Tissue Data'!$I:$I)</f>
        <v>gibbosus</v>
      </c>
      <c r="G4773" t="str">
        <f>_xlfn.XLOOKUP(A4773,'[1]Tissue Data'!$A:$A,'[1]Tissue Data'!J:J)</f>
        <v>U</v>
      </c>
      <c r="H4773" t="str">
        <f>_xlfn.XLOOKUP(A4773,'[1]Tissue Data'!$A:$A,'[1]Tissue Data'!K:K)</f>
        <v>Whole Body</v>
      </c>
      <c r="I4773">
        <f>_xlfn.XLOOKUP(A4773,'[1]Tissue Data'!$A:$A,'[1]Tissue Data'!L:L)</f>
        <v>9</v>
      </c>
      <c r="J4773">
        <f>_xlfn.XLOOKUP(A4773,'[1]Tissue Data'!$A:$A,'[1]Tissue Data'!M:M)</f>
        <v>10.43</v>
      </c>
      <c r="K4773" t="s">
        <v>33</v>
      </c>
      <c r="L4773" t="str">
        <f>_xlfn.XLOOKUP(K4773,[2]analyte_order!$B:$B,[2]analyte_order!$C:$C)</f>
        <v>777011-38-8</v>
      </c>
      <c r="M4773">
        <f>_xlfn.XLOOKUP(L4773,[2]analyte_order!$C:$C,[2]analyte_order!$E:$E)</f>
        <v>54</v>
      </c>
      <c r="N4773">
        <v>0.16300000000000001</v>
      </c>
    </row>
    <row r="4774" spans="1:14">
      <c r="A4774" t="s">
        <v>275</v>
      </c>
      <c r="B4774" t="str">
        <f>_xlfn.XLOOKUP(A4774,'[1]Tissue Data'!$A:$A,'[1]Tissue Data'!$C:$C)</f>
        <v>Spill</v>
      </c>
      <c r="C4774" s="2">
        <f>_xlfn.XLOOKUP(A4774,'[1]Tissue Data'!$A:$A,'[1]Tissue Data'!$D:$D)</f>
        <v>44393</v>
      </c>
      <c r="D4774" s="2" t="str">
        <f>_xlfn.XLOOKUP(A4774,'[1]Tissue Data'!$A:$A,'[1]Tissue Data'!$F:$F)</f>
        <v>Pumpkinseed</v>
      </c>
      <c r="E4774" t="str">
        <f>_xlfn.XLOOKUP(A4774,'[1]Tissue Data'!$A:$A,'[1]Tissue Data'!$H:$H)</f>
        <v>Lepomis</v>
      </c>
      <c r="F4774" t="str">
        <f>_xlfn.XLOOKUP(A4774,'[1]Tissue Data'!$A:$A,'[1]Tissue Data'!$I:$I)</f>
        <v>gibbosus</v>
      </c>
      <c r="G4774" t="str">
        <f>_xlfn.XLOOKUP(A4774,'[1]Tissue Data'!$A:$A,'[1]Tissue Data'!J:J)</f>
        <v>U</v>
      </c>
      <c r="H4774" t="str">
        <f>_xlfn.XLOOKUP(A4774,'[1]Tissue Data'!$A:$A,'[1]Tissue Data'!K:K)</f>
        <v>Whole Body</v>
      </c>
      <c r="I4774">
        <f>_xlfn.XLOOKUP(A4774,'[1]Tissue Data'!$A:$A,'[1]Tissue Data'!L:L)</f>
        <v>9</v>
      </c>
      <c r="J4774">
        <f>_xlfn.XLOOKUP(A4774,'[1]Tissue Data'!$A:$A,'[1]Tissue Data'!M:M)</f>
        <v>10.43</v>
      </c>
      <c r="K4774" t="s">
        <v>34</v>
      </c>
      <c r="L4774" t="str">
        <f>_xlfn.XLOOKUP(K4774,[2]analyte_order!$B:$B,[2]analyte_order!$C:$C)</f>
        <v>646-83-3</v>
      </c>
      <c r="M4774">
        <f>_xlfn.XLOOKUP(L4774,[2]analyte_order!$C:$C,[2]analyte_order!$E:$E)</f>
        <v>55</v>
      </c>
      <c r="N4774">
        <v>0.26850000000000002</v>
      </c>
    </row>
    <row r="4775" spans="1:14">
      <c r="A4775" t="s">
        <v>275</v>
      </c>
      <c r="B4775" t="str">
        <f>_xlfn.XLOOKUP(A4775,'[1]Tissue Data'!$A:$A,'[1]Tissue Data'!$C:$C)</f>
        <v>Spill</v>
      </c>
      <c r="C4775" s="2">
        <f>_xlfn.XLOOKUP(A4775,'[1]Tissue Data'!$A:$A,'[1]Tissue Data'!$D:$D)</f>
        <v>44393</v>
      </c>
      <c r="D4775" s="2" t="str">
        <f>_xlfn.XLOOKUP(A4775,'[1]Tissue Data'!$A:$A,'[1]Tissue Data'!$F:$F)</f>
        <v>Pumpkinseed</v>
      </c>
      <c r="E4775" t="str">
        <f>_xlfn.XLOOKUP(A4775,'[1]Tissue Data'!$A:$A,'[1]Tissue Data'!$H:$H)</f>
        <v>Lepomis</v>
      </c>
      <c r="F4775" t="str">
        <f>_xlfn.XLOOKUP(A4775,'[1]Tissue Data'!$A:$A,'[1]Tissue Data'!$I:$I)</f>
        <v>gibbosus</v>
      </c>
      <c r="G4775" t="str">
        <f>_xlfn.XLOOKUP(A4775,'[1]Tissue Data'!$A:$A,'[1]Tissue Data'!J:J)</f>
        <v>U</v>
      </c>
      <c r="H4775" t="str">
        <f>_xlfn.XLOOKUP(A4775,'[1]Tissue Data'!$A:$A,'[1]Tissue Data'!K:K)</f>
        <v>Whole Body</v>
      </c>
      <c r="I4775">
        <f>_xlfn.XLOOKUP(A4775,'[1]Tissue Data'!$A:$A,'[1]Tissue Data'!L:L)</f>
        <v>9</v>
      </c>
      <c r="J4775">
        <f>_xlfn.XLOOKUP(A4775,'[1]Tissue Data'!$A:$A,'[1]Tissue Data'!M:M)</f>
        <v>10.43</v>
      </c>
      <c r="K4775" t="s">
        <v>35</v>
      </c>
      <c r="L4775" t="str">
        <f>_xlfn.XLOOKUP(K4775,[2]analyte_order!$B:$B,[2]analyte_order!$C:$C)</f>
        <v>30334-69-1</v>
      </c>
      <c r="M4775">
        <f>_xlfn.XLOOKUP(L4775,[2]analyte_order!$C:$C,[2]analyte_order!$E:$E)</f>
        <v>51</v>
      </c>
      <c r="N4775">
        <v>48.4</v>
      </c>
    </row>
    <row r="4776" spans="1:14">
      <c r="A4776" t="s">
        <v>275</v>
      </c>
      <c r="B4776" t="str">
        <f>_xlfn.XLOOKUP(A4776,'[1]Tissue Data'!$A:$A,'[1]Tissue Data'!$C:$C)</f>
        <v>Spill</v>
      </c>
      <c r="C4776" s="2">
        <f>_xlfn.XLOOKUP(A4776,'[1]Tissue Data'!$A:$A,'[1]Tissue Data'!$D:$D)</f>
        <v>44393</v>
      </c>
      <c r="D4776" s="2" t="str">
        <f>_xlfn.XLOOKUP(A4776,'[1]Tissue Data'!$A:$A,'[1]Tissue Data'!$F:$F)</f>
        <v>Pumpkinseed</v>
      </c>
      <c r="E4776" t="str">
        <f>_xlfn.XLOOKUP(A4776,'[1]Tissue Data'!$A:$A,'[1]Tissue Data'!$H:$H)</f>
        <v>Lepomis</v>
      </c>
      <c r="F4776" t="str">
        <f>_xlfn.XLOOKUP(A4776,'[1]Tissue Data'!$A:$A,'[1]Tissue Data'!$I:$I)</f>
        <v>gibbosus</v>
      </c>
      <c r="G4776" t="str">
        <f>_xlfn.XLOOKUP(A4776,'[1]Tissue Data'!$A:$A,'[1]Tissue Data'!J:J)</f>
        <v>U</v>
      </c>
      <c r="H4776" t="str">
        <f>_xlfn.XLOOKUP(A4776,'[1]Tissue Data'!$A:$A,'[1]Tissue Data'!K:K)</f>
        <v>Whole Body</v>
      </c>
      <c r="I4776">
        <f>_xlfn.XLOOKUP(A4776,'[1]Tissue Data'!$A:$A,'[1]Tissue Data'!L:L)</f>
        <v>9</v>
      </c>
      <c r="J4776">
        <f>_xlfn.XLOOKUP(A4776,'[1]Tissue Data'!$A:$A,'[1]Tissue Data'!M:M)</f>
        <v>10.43</v>
      </c>
      <c r="K4776" t="s">
        <v>36</v>
      </c>
      <c r="L4776" t="str">
        <f>_xlfn.XLOOKUP(K4776,[2]analyte_order!$B:$B,[2]analyte_order!$C:$C)</f>
        <v>41997-13-1</v>
      </c>
      <c r="M4776">
        <f>_xlfn.XLOOKUP(L4776,[2]analyte_order!$C:$C,[2]analyte_order!$E:$E)</f>
        <v>52</v>
      </c>
      <c r="N4776">
        <v>58.6</v>
      </c>
    </row>
    <row r="4777" spans="1:14">
      <c r="A4777" t="s">
        <v>275</v>
      </c>
      <c r="B4777" t="str">
        <f>_xlfn.XLOOKUP(A4777,'[1]Tissue Data'!$A:$A,'[1]Tissue Data'!$C:$C)</f>
        <v>Spill</v>
      </c>
      <c r="C4777" s="2">
        <f>_xlfn.XLOOKUP(A4777,'[1]Tissue Data'!$A:$A,'[1]Tissue Data'!$D:$D)</f>
        <v>44393</v>
      </c>
      <c r="D4777" s="2" t="str">
        <f>_xlfn.XLOOKUP(A4777,'[1]Tissue Data'!$A:$A,'[1]Tissue Data'!$F:$F)</f>
        <v>Pumpkinseed</v>
      </c>
      <c r="E4777" t="str">
        <f>_xlfn.XLOOKUP(A4777,'[1]Tissue Data'!$A:$A,'[1]Tissue Data'!$H:$H)</f>
        <v>Lepomis</v>
      </c>
      <c r="F4777" t="str">
        <f>_xlfn.XLOOKUP(A4777,'[1]Tissue Data'!$A:$A,'[1]Tissue Data'!$I:$I)</f>
        <v>gibbosus</v>
      </c>
      <c r="G4777" t="str">
        <f>_xlfn.XLOOKUP(A4777,'[1]Tissue Data'!$A:$A,'[1]Tissue Data'!J:J)</f>
        <v>U</v>
      </c>
      <c r="H4777" t="str">
        <f>_xlfn.XLOOKUP(A4777,'[1]Tissue Data'!$A:$A,'[1]Tissue Data'!K:K)</f>
        <v>Whole Body</v>
      </c>
      <c r="I4777">
        <f>_xlfn.XLOOKUP(A4777,'[1]Tissue Data'!$A:$A,'[1]Tissue Data'!L:L)</f>
        <v>9</v>
      </c>
      <c r="J4777">
        <f>_xlfn.XLOOKUP(A4777,'[1]Tissue Data'!$A:$A,'[1]Tissue Data'!M:M)</f>
        <v>10.43</v>
      </c>
      <c r="K4777" t="s">
        <v>37</v>
      </c>
      <c r="L4777" t="str">
        <f>_xlfn.XLOOKUP(K4777,[2]analyte_order!$B:$B,[2]analyte_order!$C:$C)</f>
        <v>754-91-6</v>
      </c>
      <c r="M4777">
        <f>_xlfn.XLOOKUP(L4777,[2]analyte_order!$C:$C,[2]analyte_order!$E:$E)</f>
        <v>28</v>
      </c>
      <c r="N4777">
        <v>10.199999999999999</v>
      </c>
    </row>
    <row r="4778" spans="1:14">
      <c r="A4778" t="s">
        <v>275</v>
      </c>
      <c r="B4778" t="str">
        <f>_xlfn.XLOOKUP(A4778,'[1]Tissue Data'!$A:$A,'[1]Tissue Data'!$C:$C)</f>
        <v>Spill</v>
      </c>
      <c r="C4778" s="2">
        <f>_xlfn.XLOOKUP(A4778,'[1]Tissue Data'!$A:$A,'[1]Tissue Data'!$D:$D)</f>
        <v>44393</v>
      </c>
      <c r="D4778" s="2" t="str">
        <f>_xlfn.XLOOKUP(A4778,'[1]Tissue Data'!$A:$A,'[1]Tissue Data'!$F:$F)</f>
        <v>Pumpkinseed</v>
      </c>
      <c r="E4778" t="str">
        <f>_xlfn.XLOOKUP(A4778,'[1]Tissue Data'!$A:$A,'[1]Tissue Data'!$H:$H)</f>
        <v>Lepomis</v>
      </c>
      <c r="F4778" t="str">
        <f>_xlfn.XLOOKUP(A4778,'[1]Tissue Data'!$A:$A,'[1]Tissue Data'!$I:$I)</f>
        <v>gibbosus</v>
      </c>
      <c r="G4778" t="str">
        <f>_xlfn.XLOOKUP(A4778,'[1]Tissue Data'!$A:$A,'[1]Tissue Data'!J:J)</f>
        <v>U</v>
      </c>
      <c r="H4778" t="str">
        <f>_xlfn.XLOOKUP(A4778,'[1]Tissue Data'!$A:$A,'[1]Tissue Data'!K:K)</f>
        <v>Whole Body</v>
      </c>
      <c r="I4778">
        <f>_xlfn.XLOOKUP(A4778,'[1]Tissue Data'!$A:$A,'[1]Tissue Data'!L:L)</f>
        <v>9</v>
      </c>
      <c r="J4778">
        <f>_xlfn.XLOOKUP(A4778,'[1]Tissue Data'!$A:$A,'[1]Tissue Data'!M:M)</f>
        <v>10.43</v>
      </c>
      <c r="K4778" t="s">
        <v>38</v>
      </c>
      <c r="L4778" t="str">
        <f>_xlfn.XLOOKUP(K4778,[2]analyte_order!$B:$B,[2]analyte_order!$C:$C)</f>
        <v>31506-32-8</v>
      </c>
      <c r="M4778">
        <f>_xlfn.XLOOKUP(L4778,[2]analyte_order!$C:$C,[2]analyte_order!$E:$E)</f>
        <v>30</v>
      </c>
      <c r="N4778">
        <v>8.1500000000000003E-2</v>
      </c>
    </row>
    <row r="4779" spans="1:14">
      <c r="A4779" t="s">
        <v>275</v>
      </c>
      <c r="B4779" t="str">
        <f>_xlfn.XLOOKUP(A4779,'[1]Tissue Data'!$A:$A,'[1]Tissue Data'!$C:$C)</f>
        <v>Spill</v>
      </c>
      <c r="C4779" s="2">
        <f>_xlfn.XLOOKUP(A4779,'[1]Tissue Data'!$A:$A,'[1]Tissue Data'!$D:$D)</f>
        <v>44393</v>
      </c>
      <c r="D4779" s="2" t="str">
        <f>_xlfn.XLOOKUP(A4779,'[1]Tissue Data'!$A:$A,'[1]Tissue Data'!$F:$F)</f>
        <v>Pumpkinseed</v>
      </c>
      <c r="E4779" t="str">
        <f>_xlfn.XLOOKUP(A4779,'[1]Tissue Data'!$A:$A,'[1]Tissue Data'!$H:$H)</f>
        <v>Lepomis</v>
      </c>
      <c r="F4779" t="str">
        <f>_xlfn.XLOOKUP(A4779,'[1]Tissue Data'!$A:$A,'[1]Tissue Data'!$I:$I)</f>
        <v>gibbosus</v>
      </c>
      <c r="G4779" t="str">
        <f>_xlfn.XLOOKUP(A4779,'[1]Tissue Data'!$A:$A,'[1]Tissue Data'!J:J)</f>
        <v>U</v>
      </c>
      <c r="H4779" t="str">
        <f>_xlfn.XLOOKUP(A4779,'[1]Tissue Data'!$A:$A,'[1]Tissue Data'!K:K)</f>
        <v>Whole Body</v>
      </c>
      <c r="I4779">
        <f>_xlfn.XLOOKUP(A4779,'[1]Tissue Data'!$A:$A,'[1]Tissue Data'!L:L)</f>
        <v>9</v>
      </c>
      <c r="J4779">
        <f>_xlfn.XLOOKUP(A4779,'[1]Tissue Data'!$A:$A,'[1]Tissue Data'!M:M)</f>
        <v>10.43</v>
      </c>
      <c r="K4779" t="s">
        <v>39</v>
      </c>
      <c r="L4779" t="str">
        <f>_xlfn.XLOOKUP(K4779,[2]analyte_order!$B:$B,[2]analyte_order!$C:$C)</f>
        <v>4151-50-2</v>
      </c>
      <c r="M4779">
        <f>_xlfn.XLOOKUP(L4779,[2]analyte_order!$C:$C,[2]analyte_order!$E:$E)</f>
        <v>31</v>
      </c>
      <c r="N4779">
        <v>9.5000000000000001E-2</v>
      </c>
    </row>
    <row r="4780" spans="1:14">
      <c r="A4780" t="s">
        <v>275</v>
      </c>
      <c r="B4780" t="str">
        <f>_xlfn.XLOOKUP(A4780,'[1]Tissue Data'!$A:$A,'[1]Tissue Data'!$C:$C)</f>
        <v>Spill</v>
      </c>
      <c r="C4780" s="2">
        <f>_xlfn.XLOOKUP(A4780,'[1]Tissue Data'!$A:$A,'[1]Tissue Data'!$D:$D)</f>
        <v>44393</v>
      </c>
      <c r="D4780" s="2" t="str">
        <f>_xlfn.XLOOKUP(A4780,'[1]Tissue Data'!$A:$A,'[1]Tissue Data'!$F:$F)</f>
        <v>Pumpkinseed</v>
      </c>
      <c r="E4780" t="str">
        <f>_xlfn.XLOOKUP(A4780,'[1]Tissue Data'!$A:$A,'[1]Tissue Data'!$H:$H)</f>
        <v>Lepomis</v>
      </c>
      <c r="F4780" t="str">
        <f>_xlfn.XLOOKUP(A4780,'[1]Tissue Data'!$A:$A,'[1]Tissue Data'!$I:$I)</f>
        <v>gibbosus</v>
      </c>
      <c r="G4780" t="str">
        <f>_xlfn.XLOOKUP(A4780,'[1]Tissue Data'!$A:$A,'[1]Tissue Data'!J:J)</f>
        <v>U</v>
      </c>
      <c r="H4780" t="str">
        <f>_xlfn.XLOOKUP(A4780,'[1]Tissue Data'!$A:$A,'[1]Tissue Data'!K:K)</f>
        <v>Whole Body</v>
      </c>
      <c r="I4780">
        <f>_xlfn.XLOOKUP(A4780,'[1]Tissue Data'!$A:$A,'[1]Tissue Data'!L:L)</f>
        <v>9</v>
      </c>
      <c r="J4780">
        <f>_xlfn.XLOOKUP(A4780,'[1]Tissue Data'!$A:$A,'[1]Tissue Data'!M:M)</f>
        <v>10.43</v>
      </c>
      <c r="K4780" t="s">
        <v>40</v>
      </c>
      <c r="L4780" t="str">
        <f>_xlfn.XLOOKUP(K4780,[2]analyte_order!$B:$B,[2]analyte_order!$C:$C)</f>
        <v>2806-24-8</v>
      </c>
      <c r="M4780">
        <f>_xlfn.XLOOKUP(L4780,[2]analyte_order!$C:$C,[2]analyte_order!$E:$E)</f>
        <v>29</v>
      </c>
      <c r="N4780">
        <v>6.4000000000000001E-2</v>
      </c>
    </row>
    <row r="4781" spans="1:14">
      <c r="A4781" t="s">
        <v>275</v>
      </c>
      <c r="B4781" t="str">
        <f>_xlfn.XLOOKUP(A4781,'[1]Tissue Data'!$A:$A,'[1]Tissue Data'!$C:$C)</f>
        <v>Spill</v>
      </c>
      <c r="C4781" s="2">
        <f>_xlfn.XLOOKUP(A4781,'[1]Tissue Data'!$A:$A,'[1]Tissue Data'!$D:$D)</f>
        <v>44393</v>
      </c>
      <c r="D4781" s="2" t="str">
        <f>_xlfn.XLOOKUP(A4781,'[1]Tissue Data'!$A:$A,'[1]Tissue Data'!$F:$F)</f>
        <v>Pumpkinseed</v>
      </c>
      <c r="E4781" t="str">
        <f>_xlfn.XLOOKUP(A4781,'[1]Tissue Data'!$A:$A,'[1]Tissue Data'!$H:$H)</f>
        <v>Lepomis</v>
      </c>
      <c r="F4781" t="str">
        <f>_xlfn.XLOOKUP(A4781,'[1]Tissue Data'!$A:$A,'[1]Tissue Data'!$I:$I)</f>
        <v>gibbosus</v>
      </c>
      <c r="G4781" t="str">
        <f>_xlfn.XLOOKUP(A4781,'[1]Tissue Data'!$A:$A,'[1]Tissue Data'!J:J)</f>
        <v>U</v>
      </c>
      <c r="H4781" t="str">
        <f>_xlfn.XLOOKUP(A4781,'[1]Tissue Data'!$A:$A,'[1]Tissue Data'!K:K)</f>
        <v>Whole Body</v>
      </c>
      <c r="I4781">
        <f>_xlfn.XLOOKUP(A4781,'[1]Tissue Data'!$A:$A,'[1]Tissue Data'!L:L)</f>
        <v>9</v>
      </c>
      <c r="J4781">
        <f>_xlfn.XLOOKUP(A4781,'[1]Tissue Data'!$A:$A,'[1]Tissue Data'!M:M)</f>
        <v>10.43</v>
      </c>
      <c r="K4781" t="s">
        <v>41</v>
      </c>
      <c r="L4781" t="str">
        <f>_xlfn.XLOOKUP(K4781,[2]analyte_order!$B:$B,[2]analyte_order!$C:$C)</f>
        <v>2355-31-9</v>
      </c>
      <c r="M4781">
        <f>_xlfn.XLOOKUP(L4781,[2]analyte_order!$C:$C,[2]analyte_order!$E:$E)</f>
        <v>26</v>
      </c>
      <c r="N4781">
        <v>8.2000000000000003E-2</v>
      </c>
    </row>
    <row r="4782" spans="1:14">
      <c r="A4782" t="s">
        <v>275</v>
      </c>
      <c r="B4782" t="str">
        <f>_xlfn.XLOOKUP(A4782,'[1]Tissue Data'!$A:$A,'[1]Tissue Data'!$C:$C)</f>
        <v>Spill</v>
      </c>
      <c r="C4782" s="2">
        <f>_xlfn.XLOOKUP(A4782,'[1]Tissue Data'!$A:$A,'[1]Tissue Data'!$D:$D)</f>
        <v>44393</v>
      </c>
      <c r="D4782" s="2" t="str">
        <f>_xlfn.XLOOKUP(A4782,'[1]Tissue Data'!$A:$A,'[1]Tissue Data'!$F:$F)</f>
        <v>Pumpkinseed</v>
      </c>
      <c r="E4782" t="str">
        <f>_xlfn.XLOOKUP(A4782,'[1]Tissue Data'!$A:$A,'[1]Tissue Data'!$H:$H)</f>
        <v>Lepomis</v>
      </c>
      <c r="F4782" t="str">
        <f>_xlfn.XLOOKUP(A4782,'[1]Tissue Data'!$A:$A,'[1]Tissue Data'!$I:$I)</f>
        <v>gibbosus</v>
      </c>
      <c r="G4782" t="str">
        <f>_xlfn.XLOOKUP(A4782,'[1]Tissue Data'!$A:$A,'[1]Tissue Data'!J:J)</f>
        <v>U</v>
      </c>
      <c r="H4782" t="str">
        <f>_xlfn.XLOOKUP(A4782,'[1]Tissue Data'!$A:$A,'[1]Tissue Data'!K:K)</f>
        <v>Whole Body</v>
      </c>
      <c r="I4782">
        <f>_xlfn.XLOOKUP(A4782,'[1]Tissue Data'!$A:$A,'[1]Tissue Data'!L:L)</f>
        <v>9</v>
      </c>
      <c r="J4782">
        <f>_xlfn.XLOOKUP(A4782,'[1]Tissue Data'!$A:$A,'[1]Tissue Data'!M:M)</f>
        <v>10.43</v>
      </c>
      <c r="K4782" t="s">
        <v>42</v>
      </c>
      <c r="L4782" t="str">
        <f>_xlfn.XLOOKUP(K4782,[2]analyte_order!$B:$B,[2]analyte_order!$C:$C)</f>
        <v>2991-50-6</v>
      </c>
      <c r="M4782">
        <f>_xlfn.XLOOKUP(L4782,[2]analyte_order!$C:$C,[2]analyte_order!$E:$E)</f>
        <v>27</v>
      </c>
      <c r="N4782">
        <v>7.0499999999999993E-2</v>
      </c>
    </row>
    <row r="4783" spans="1:14">
      <c r="A4783" t="s">
        <v>275</v>
      </c>
      <c r="B4783" t="str">
        <f>_xlfn.XLOOKUP(A4783,'[1]Tissue Data'!$A:$A,'[1]Tissue Data'!$C:$C)</f>
        <v>Spill</v>
      </c>
      <c r="C4783" s="2">
        <f>_xlfn.XLOOKUP(A4783,'[1]Tissue Data'!$A:$A,'[1]Tissue Data'!$D:$D)</f>
        <v>44393</v>
      </c>
      <c r="D4783" s="2" t="str">
        <f>_xlfn.XLOOKUP(A4783,'[1]Tissue Data'!$A:$A,'[1]Tissue Data'!$F:$F)</f>
        <v>Pumpkinseed</v>
      </c>
      <c r="E4783" t="str">
        <f>_xlfn.XLOOKUP(A4783,'[1]Tissue Data'!$A:$A,'[1]Tissue Data'!$H:$H)</f>
        <v>Lepomis</v>
      </c>
      <c r="F4783" t="str">
        <f>_xlfn.XLOOKUP(A4783,'[1]Tissue Data'!$A:$A,'[1]Tissue Data'!$I:$I)</f>
        <v>gibbosus</v>
      </c>
      <c r="G4783" t="str">
        <f>_xlfn.XLOOKUP(A4783,'[1]Tissue Data'!$A:$A,'[1]Tissue Data'!J:J)</f>
        <v>U</v>
      </c>
      <c r="H4783" t="str">
        <f>_xlfn.XLOOKUP(A4783,'[1]Tissue Data'!$A:$A,'[1]Tissue Data'!K:K)</f>
        <v>Whole Body</v>
      </c>
      <c r="I4783">
        <f>_xlfn.XLOOKUP(A4783,'[1]Tissue Data'!$A:$A,'[1]Tissue Data'!L:L)</f>
        <v>9</v>
      </c>
      <c r="J4783">
        <f>_xlfn.XLOOKUP(A4783,'[1]Tissue Data'!$A:$A,'[1]Tissue Data'!M:M)</f>
        <v>10.43</v>
      </c>
      <c r="K4783" t="s">
        <v>43</v>
      </c>
      <c r="L4783" t="str">
        <f>_xlfn.XLOOKUP(K4783,[2]analyte_order!$B:$B,[2]analyte_order!$C:$C)</f>
        <v>757124-72-4</v>
      </c>
      <c r="M4783">
        <f>_xlfn.XLOOKUP(L4783,[2]analyte_order!$C:$C,[2]analyte_order!$E:$E)</f>
        <v>22</v>
      </c>
      <c r="N4783">
        <v>8.1500000000000003E-2</v>
      </c>
    </row>
    <row r="4784" spans="1:14">
      <c r="A4784" t="s">
        <v>275</v>
      </c>
      <c r="B4784" t="str">
        <f>_xlfn.XLOOKUP(A4784,'[1]Tissue Data'!$A:$A,'[1]Tissue Data'!$C:$C)</f>
        <v>Spill</v>
      </c>
      <c r="C4784" s="2">
        <f>_xlfn.XLOOKUP(A4784,'[1]Tissue Data'!$A:$A,'[1]Tissue Data'!$D:$D)</f>
        <v>44393</v>
      </c>
      <c r="D4784" s="2" t="str">
        <f>_xlfn.XLOOKUP(A4784,'[1]Tissue Data'!$A:$A,'[1]Tissue Data'!$F:$F)</f>
        <v>Pumpkinseed</v>
      </c>
      <c r="E4784" t="str">
        <f>_xlfn.XLOOKUP(A4784,'[1]Tissue Data'!$A:$A,'[1]Tissue Data'!$H:$H)</f>
        <v>Lepomis</v>
      </c>
      <c r="F4784" t="str">
        <f>_xlfn.XLOOKUP(A4784,'[1]Tissue Data'!$A:$A,'[1]Tissue Data'!$I:$I)</f>
        <v>gibbosus</v>
      </c>
      <c r="G4784" t="str">
        <f>_xlfn.XLOOKUP(A4784,'[1]Tissue Data'!$A:$A,'[1]Tissue Data'!J:J)</f>
        <v>U</v>
      </c>
      <c r="H4784" t="str">
        <f>_xlfn.XLOOKUP(A4784,'[1]Tissue Data'!$A:$A,'[1]Tissue Data'!K:K)</f>
        <v>Whole Body</v>
      </c>
      <c r="I4784">
        <f>_xlfn.XLOOKUP(A4784,'[1]Tissue Data'!$A:$A,'[1]Tissue Data'!L:L)</f>
        <v>9</v>
      </c>
      <c r="J4784">
        <f>_xlfn.XLOOKUP(A4784,'[1]Tissue Data'!$A:$A,'[1]Tissue Data'!M:M)</f>
        <v>10.43</v>
      </c>
      <c r="K4784" t="s">
        <v>44</v>
      </c>
      <c r="L4784" t="str">
        <f>_xlfn.XLOOKUP(K4784,[2]analyte_order!$B:$B,[2]analyte_order!$C:$C)</f>
        <v>27619-97-2</v>
      </c>
      <c r="M4784">
        <f>_xlfn.XLOOKUP(L4784,[2]analyte_order!$C:$C,[2]analyte_order!$E:$E)</f>
        <v>23</v>
      </c>
      <c r="N4784">
        <v>0.16200000000000001</v>
      </c>
    </row>
    <row r="4785" spans="1:14">
      <c r="A4785" t="s">
        <v>275</v>
      </c>
      <c r="B4785" t="str">
        <f>_xlfn.XLOOKUP(A4785,'[1]Tissue Data'!$A:$A,'[1]Tissue Data'!$C:$C)</f>
        <v>Spill</v>
      </c>
      <c r="C4785" s="2">
        <f>_xlfn.XLOOKUP(A4785,'[1]Tissue Data'!$A:$A,'[1]Tissue Data'!$D:$D)</f>
        <v>44393</v>
      </c>
      <c r="D4785" s="2" t="str">
        <f>_xlfn.XLOOKUP(A4785,'[1]Tissue Data'!$A:$A,'[1]Tissue Data'!$F:$F)</f>
        <v>Pumpkinseed</v>
      </c>
      <c r="E4785" t="str">
        <f>_xlfn.XLOOKUP(A4785,'[1]Tissue Data'!$A:$A,'[1]Tissue Data'!$H:$H)</f>
        <v>Lepomis</v>
      </c>
      <c r="F4785" t="str">
        <f>_xlfn.XLOOKUP(A4785,'[1]Tissue Data'!$A:$A,'[1]Tissue Data'!$I:$I)</f>
        <v>gibbosus</v>
      </c>
      <c r="G4785" t="str">
        <f>_xlfn.XLOOKUP(A4785,'[1]Tissue Data'!$A:$A,'[1]Tissue Data'!J:J)</f>
        <v>U</v>
      </c>
      <c r="H4785" t="str">
        <f>_xlfn.XLOOKUP(A4785,'[1]Tissue Data'!$A:$A,'[1]Tissue Data'!K:K)</f>
        <v>Whole Body</v>
      </c>
      <c r="I4785">
        <f>_xlfn.XLOOKUP(A4785,'[1]Tissue Data'!$A:$A,'[1]Tissue Data'!L:L)</f>
        <v>9</v>
      </c>
      <c r="J4785">
        <f>_xlfn.XLOOKUP(A4785,'[1]Tissue Data'!$A:$A,'[1]Tissue Data'!M:M)</f>
        <v>10.43</v>
      </c>
      <c r="K4785" t="s">
        <v>45</v>
      </c>
      <c r="L4785" t="str">
        <f>_xlfn.XLOOKUP(K4785,[2]analyte_order!$B:$B,[2]analyte_order!$C:$C)</f>
        <v>39108-34-4</v>
      </c>
      <c r="M4785">
        <f>_xlfn.XLOOKUP(L4785,[2]analyte_order!$C:$C,[2]analyte_order!$E:$E)</f>
        <v>24</v>
      </c>
      <c r="N4785">
        <v>4.74</v>
      </c>
    </row>
    <row r="4786" spans="1:14">
      <c r="A4786" t="s">
        <v>275</v>
      </c>
      <c r="B4786" t="str">
        <f>_xlfn.XLOOKUP(A4786,'[1]Tissue Data'!$A:$A,'[1]Tissue Data'!$C:$C)</f>
        <v>Spill</v>
      </c>
      <c r="C4786" s="2">
        <f>_xlfn.XLOOKUP(A4786,'[1]Tissue Data'!$A:$A,'[1]Tissue Data'!$D:$D)</f>
        <v>44393</v>
      </c>
      <c r="D4786" s="2" t="str">
        <f>_xlfn.XLOOKUP(A4786,'[1]Tissue Data'!$A:$A,'[1]Tissue Data'!$F:$F)</f>
        <v>Pumpkinseed</v>
      </c>
      <c r="E4786" t="str">
        <f>_xlfn.XLOOKUP(A4786,'[1]Tissue Data'!$A:$A,'[1]Tissue Data'!$H:$H)</f>
        <v>Lepomis</v>
      </c>
      <c r="F4786" t="str">
        <f>_xlfn.XLOOKUP(A4786,'[1]Tissue Data'!$A:$A,'[1]Tissue Data'!$I:$I)</f>
        <v>gibbosus</v>
      </c>
      <c r="G4786" t="str">
        <f>_xlfn.XLOOKUP(A4786,'[1]Tissue Data'!$A:$A,'[1]Tissue Data'!J:J)</f>
        <v>U</v>
      </c>
      <c r="H4786" t="str">
        <f>_xlfn.XLOOKUP(A4786,'[1]Tissue Data'!$A:$A,'[1]Tissue Data'!K:K)</f>
        <v>Whole Body</v>
      </c>
      <c r="I4786">
        <f>_xlfn.XLOOKUP(A4786,'[1]Tissue Data'!$A:$A,'[1]Tissue Data'!L:L)</f>
        <v>9</v>
      </c>
      <c r="J4786">
        <f>_xlfn.XLOOKUP(A4786,'[1]Tissue Data'!$A:$A,'[1]Tissue Data'!M:M)</f>
        <v>10.43</v>
      </c>
      <c r="K4786" t="s">
        <v>46</v>
      </c>
      <c r="L4786" t="str">
        <f>_xlfn.XLOOKUP(K4786,[2]analyte_order!$B:$B,[2]analyte_order!$C:$C)</f>
        <v>120226-60-0</v>
      </c>
      <c r="M4786">
        <f>_xlfn.XLOOKUP(L4786,[2]analyte_order!$C:$C,[2]analyte_order!$E:$E)</f>
        <v>25</v>
      </c>
      <c r="N4786">
        <v>0.30499999999999999</v>
      </c>
    </row>
    <row r="4787" spans="1:14">
      <c r="A4787" t="s">
        <v>275</v>
      </c>
      <c r="B4787" t="str">
        <f>_xlfn.XLOOKUP(A4787,'[1]Tissue Data'!$A:$A,'[1]Tissue Data'!$C:$C)</f>
        <v>Spill</v>
      </c>
      <c r="C4787" s="2">
        <f>_xlfn.XLOOKUP(A4787,'[1]Tissue Data'!$A:$A,'[1]Tissue Data'!$D:$D)</f>
        <v>44393</v>
      </c>
      <c r="D4787" s="2" t="str">
        <f>_xlfn.XLOOKUP(A4787,'[1]Tissue Data'!$A:$A,'[1]Tissue Data'!$F:$F)</f>
        <v>Pumpkinseed</v>
      </c>
      <c r="E4787" t="str">
        <f>_xlfn.XLOOKUP(A4787,'[1]Tissue Data'!$A:$A,'[1]Tissue Data'!$H:$H)</f>
        <v>Lepomis</v>
      </c>
      <c r="F4787" t="str">
        <f>_xlfn.XLOOKUP(A4787,'[1]Tissue Data'!$A:$A,'[1]Tissue Data'!$I:$I)</f>
        <v>gibbosus</v>
      </c>
      <c r="G4787" t="str">
        <f>_xlfn.XLOOKUP(A4787,'[1]Tissue Data'!$A:$A,'[1]Tissue Data'!J:J)</f>
        <v>U</v>
      </c>
      <c r="H4787" t="str">
        <f>_xlfn.XLOOKUP(A4787,'[1]Tissue Data'!$A:$A,'[1]Tissue Data'!K:K)</f>
        <v>Whole Body</v>
      </c>
      <c r="I4787">
        <f>_xlfn.XLOOKUP(A4787,'[1]Tissue Data'!$A:$A,'[1]Tissue Data'!L:L)</f>
        <v>9</v>
      </c>
      <c r="J4787">
        <f>_xlfn.XLOOKUP(A4787,'[1]Tissue Data'!$A:$A,'[1]Tissue Data'!M:M)</f>
        <v>10.43</v>
      </c>
      <c r="K4787" t="s">
        <v>47</v>
      </c>
      <c r="L4787" t="str">
        <f>_xlfn.XLOOKUP(K4787,[2]analyte_order!$B:$B,[2]analyte_order!$C:$C)</f>
        <v>356-02-5</v>
      </c>
      <c r="M4787">
        <f>_xlfn.XLOOKUP(L4787,[2]analyte_order!$C:$C,[2]analyte_order!$E:$E)</f>
        <v>38</v>
      </c>
      <c r="N4787">
        <v>9.4E-2</v>
      </c>
    </row>
    <row r="4788" spans="1:14">
      <c r="A4788" t="s">
        <v>275</v>
      </c>
      <c r="B4788" t="str">
        <f>_xlfn.XLOOKUP(A4788,'[1]Tissue Data'!$A:$A,'[1]Tissue Data'!$C:$C)</f>
        <v>Spill</v>
      </c>
      <c r="C4788" s="2">
        <f>_xlfn.XLOOKUP(A4788,'[1]Tissue Data'!$A:$A,'[1]Tissue Data'!$D:$D)</f>
        <v>44393</v>
      </c>
      <c r="D4788" s="2" t="str">
        <f>_xlfn.XLOOKUP(A4788,'[1]Tissue Data'!$A:$A,'[1]Tissue Data'!$F:$F)</f>
        <v>Pumpkinseed</v>
      </c>
      <c r="E4788" t="str">
        <f>_xlfn.XLOOKUP(A4788,'[1]Tissue Data'!$A:$A,'[1]Tissue Data'!$H:$H)</f>
        <v>Lepomis</v>
      </c>
      <c r="F4788" t="str">
        <f>_xlfn.XLOOKUP(A4788,'[1]Tissue Data'!$A:$A,'[1]Tissue Data'!$I:$I)</f>
        <v>gibbosus</v>
      </c>
      <c r="G4788" t="str">
        <f>_xlfn.XLOOKUP(A4788,'[1]Tissue Data'!$A:$A,'[1]Tissue Data'!J:J)</f>
        <v>U</v>
      </c>
      <c r="H4788" t="str">
        <f>_xlfn.XLOOKUP(A4788,'[1]Tissue Data'!$A:$A,'[1]Tissue Data'!K:K)</f>
        <v>Whole Body</v>
      </c>
      <c r="I4788">
        <f>_xlfn.XLOOKUP(A4788,'[1]Tissue Data'!$A:$A,'[1]Tissue Data'!L:L)</f>
        <v>9</v>
      </c>
      <c r="J4788">
        <f>_xlfn.XLOOKUP(A4788,'[1]Tissue Data'!$A:$A,'[1]Tissue Data'!M:M)</f>
        <v>10.43</v>
      </c>
      <c r="K4788" t="s">
        <v>48</v>
      </c>
      <c r="L4788" t="str">
        <f>_xlfn.XLOOKUP(K4788,[2]analyte_order!$B:$B,[2]analyte_order!$C:$C)</f>
        <v>914637-49-3</v>
      </c>
      <c r="M4788">
        <f>_xlfn.XLOOKUP(L4788,[2]analyte_order!$C:$C,[2]analyte_order!$E:$E)</f>
        <v>39</v>
      </c>
      <c r="N4788">
        <v>4.04</v>
      </c>
    </row>
    <row r="4789" spans="1:14">
      <c r="A4789" t="s">
        <v>275</v>
      </c>
      <c r="B4789" t="str">
        <f>_xlfn.XLOOKUP(A4789,'[1]Tissue Data'!$A:$A,'[1]Tissue Data'!$C:$C)</f>
        <v>Spill</v>
      </c>
      <c r="C4789" s="2">
        <f>_xlfn.XLOOKUP(A4789,'[1]Tissue Data'!$A:$A,'[1]Tissue Data'!$D:$D)</f>
        <v>44393</v>
      </c>
      <c r="D4789" s="2" t="str">
        <f>_xlfn.XLOOKUP(A4789,'[1]Tissue Data'!$A:$A,'[1]Tissue Data'!$F:$F)</f>
        <v>Pumpkinseed</v>
      </c>
      <c r="E4789" t="str">
        <f>_xlfn.XLOOKUP(A4789,'[1]Tissue Data'!$A:$A,'[1]Tissue Data'!$H:$H)</f>
        <v>Lepomis</v>
      </c>
      <c r="F4789" t="str">
        <f>_xlfn.XLOOKUP(A4789,'[1]Tissue Data'!$A:$A,'[1]Tissue Data'!$I:$I)</f>
        <v>gibbosus</v>
      </c>
      <c r="G4789" t="str">
        <f>_xlfn.XLOOKUP(A4789,'[1]Tissue Data'!$A:$A,'[1]Tissue Data'!J:J)</f>
        <v>U</v>
      </c>
      <c r="H4789" t="str">
        <f>_xlfn.XLOOKUP(A4789,'[1]Tissue Data'!$A:$A,'[1]Tissue Data'!K:K)</f>
        <v>Whole Body</v>
      </c>
      <c r="I4789">
        <f>_xlfn.XLOOKUP(A4789,'[1]Tissue Data'!$A:$A,'[1]Tissue Data'!L:L)</f>
        <v>9</v>
      </c>
      <c r="J4789">
        <f>_xlfn.XLOOKUP(A4789,'[1]Tissue Data'!$A:$A,'[1]Tissue Data'!M:M)</f>
        <v>10.43</v>
      </c>
      <c r="K4789" t="s">
        <v>49</v>
      </c>
      <c r="L4789" t="str">
        <f>_xlfn.XLOOKUP(K4789,[2]analyte_order!$B:$B,[2]analyte_order!$C:$C)</f>
        <v>812-70-4</v>
      </c>
      <c r="M4789">
        <f>_xlfn.XLOOKUP(L4789,[2]analyte_order!$C:$C,[2]analyte_order!$E:$E)</f>
        <v>40</v>
      </c>
      <c r="N4789">
        <v>7.9</v>
      </c>
    </row>
    <row r="4790" spans="1:14">
      <c r="A4790" t="s">
        <v>275</v>
      </c>
      <c r="B4790" t="str">
        <f>_xlfn.XLOOKUP(A4790,'[1]Tissue Data'!$A:$A,'[1]Tissue Data'!$C:$C)</f>
        <v>Spill</v>
      </c>
      <c r="C4790" s="2">
        <f>_xlfn.XLOOKUP(A4790,'[1]Tissue Data'!$A:$A,'[1]Tissue Data'!$D:$D)</f>
        <v>44393</v>
      </c>
      <c r="D4790" s="2" t="str">
        <f>_xlfn.XLOOKUP(A4790,'[1]Tissue Data'!$A:$A,'[1]Tissue Data'!$F:$F)</f>
        <v>Pumpkinseed</v>
      </c>
      <c r="E4790" t="str">
        <f>_xlfn.XLOOKUP(A4790,'[1]Tissue Data'!$A:$A,'[1]Tissue Data'!$H:$H)</f>
        <v>Lepomis</v>
      </c>
      <c r="F4790" t="str">
        <f>_xlfn.XLOOKUP(A4790,'[1]Tissue Data'!$A:$A,'[1]Tissue Data'!$I:$I)</f>
        <v>gibbosus</v>
      </c>
      <c r="G4790" t="str">
        <f>_xlfn.XLOOKUP(A4790,'[1]Tissue Data'!$A:$A,'[1]Tissue Data'!J:J)</f>
        <v>U</v>
      </c>
      <c r="H4790" t="str">
        <f>_xlfn.XLOOKUP(A4790,'[1]Tissue Data'!$A:$A,'[1]Tissue Data'!K:K)</f>
        <v>Whole Body</v>
      </c>
      <c r="I4790">
        <f>_xlfn.XLOOKUP(A4790,'[1]Tissue Data'!$A:$A,'[1]Tissue Data'!L:L)</f>
        <v>9</v>
      </c>
      <c r="J4790">
        <f>_xlfn.XLOOKUP(A4790,'[1]Tissue Data'!$A:$A,'[1]Tissue Data'!M:M)</f>
        <v>10.43</v>
      </c>
      <c r="K4790" t="s">
        <v>50</v>
      </c>
      <c r="L4790" t="str">
        <f>_xlfn.XLOOKUP(K4790,[2]analyte_order!$B:$B,[2]analyte_order!$C:$C)</f>
        <v>53826-12-3</v>
      </c>
      <c r="M4790">
        <f>_xlfn.XLOOKUP(L4790,[2]analyte_order!$C:$C,[2]analyte_order!$E:$E)</f>
        <v>41</v>
      </c>
      <c r="N4790">
        <v>8.1500000000000003E-2</v>
      </c>
    </row>
    <row r="4791" spans="1:14">
      <c r="A4791" t="s">
        <v>275</v>
      </c>
      <c r="B4791" t="str">
        <f>_xlfn.XLOOKUP(A4791,'[1]Tissue Data'!$A:$A,'[1]Tissue Data'!$C:$C)</f>
        <v>Spill</v>
      </c>
      <c r="C4791" s="2">
        <f>_xlfn.XLOOKUP(A4791,'[1]Tissue Data'!$A:$A,'[1]Tissue Data'!$D:$D)</f>
        <v>44393</v>
      </c>
      <c r="D4791" s="2" t="str">
        <f>_xlfn.XLOOKUP(A4791,'[1]Tissue Data'!$A:$A,'[1]Tissue Data'!$F:$F)</f>
        <v>Pumpkinseed</v>
      </c>
      <c r="E4791" t="str">
        <f>_xlfn.XLOOKUP(A4791,'[1]Tissue Data'!$A:$A,'[1]Tissue Data'!$H:$H)</f>
        <v>Lepomis</v>
      </c>
      <c r="F4791" t="str">
        <f>_xlfn.XLOOKUP(A4791,'[1]Tissue Data'!$A:$A,'[1]Tissue Data'!$I:$I)</f>
        <v>gibbosus</v>
      </c>
      <c r="G4791" t="str">
        <f>_xlfn.XLOOKUP(A4791,'[1]Tissue Data'!$A:$A,'[1]Tissue Data'!J:J)</f>
        <v>U</v>
      </c>
      <c r="H4791" t="str">
        <f>_xlfn.XLOOKUP(A4791,'[1]Tissue Data'!$A:$A,'[1]Tissue Data'!K:K)</f>
        <v>Whole Body</v>
      </c>
      <c r="I4791">
        <f>_xlfn.XLOOKUP(A4791,'[1]Tissue Data'!$A:$A,'[1]Tissue Data'!L:L)</f>
        <v>9</v>
      </c>
      <c r="J4791">
        <f>_xlfn.XLOOKUP(A4791,'[1]Tissue Data'!$A:$A,'[1]Tissue Data'!M:M)</f>
        <v>10.43</v>
      </c>
      <c r="K4791" t="s">
        <v>51</v>
      </c>
      <c r="L4791" t="str">
        <f>_xlfn.XLOOKUP(K4791,[2]analyte_order!$B:$B,[2]analyte_order!$C:$C)</f>
        <v>27854-31-5</v>
      </c>
      <c r="M4791">
        <f>_xlfn.XLOOKUP(L4791,[2]analyte_order!$C:$C,[2]analyte_order!$E:$E)</f>
        <v>42</v>
      </c>
      <c r="N4791">
        <v>8.1500000000000003E-2</v>
      </c>
    </row>
    <row r="4792" spans="1:14">
      <c r="A4792" t="s">
        <v>275</v>
      </c>
      <c r="B4792" t="str">
        <f>_xlfn.XLOOKUP(A4792,'[1]Tissue Data'!$A:$A,'[1]Tissue Data'!$C:$C)</f>
        <v>Spill</v>
      </c>
      <c r="C4792" s="2">
        <f>_xlfn.XLOOKUP(A4792,'[1]Tissue Data'!$A:$A,'[1]Tissue Data'!$D:$D)</f>
        <v>44393</v>
      </c>
      <c r="D4792" s="2" t="str">
        <f>_xlfn.XLOOKUP(A4792,'[1]Tissue Data'!$A:$A,'[1]Tissue Data'!$F:$F)</f>
        <v>Pumpkinseed</v>
      </c>
      <c r="E4792" t="str">
        <f>_xlfn.XLOOKUP(A4792,'[1]Tissue Data'!$A:$A,'[1]Tissue Data'!$H:$H)</f>
        <v>Lepomis</v>
      </c>
      <c r="F4792" t="str">
        <f>_xlfn.XLOOKUP(A4792,'[1]Tissue Data'!$A:$A,'[1]Tissue Data'!$I:$I)</f>
        <v>gibbosus</v>
      </c>
      <c r="G4792" t="str">
        <f>_xlfn.XLOOKUP(A4792,'[1]Tissue Data'!$A:$A,'[1]Tissue Data'!J:J)</f>
        <v>U</v>
      </c>
      <c r="H4792" t="str">
        <f>_xlfn.XLOOKUP(A4792,'[1]Tissue Data'!$A:$A,'[1]Tissue Data'!K:K)</f>
        <v>Whole Body</v>
      </c>
      <c r="I4792">
        <f>_xlfn.XLOOKUP(A4792,'[1]Tissue Data'!$A:$A,'[1]Tissue Data'!L:L)</f>
        <v>9</v>
      </c>
      <c r="J4792">
        <f>_xlfn.XLOOKUP(A4792,'[1]Tissue Data'!$A:$A,'[1]Tissue Data'!M:M)</f>
        <v>10.43</v>
      </c>
      <c r="K4792" t="s">
        <v>52</v>
      </c>
      <c r="L4792" t="str">
        <f>_xlfn.XLOOKUP(K4792,[2]analyte_order!$B:$B,[2]analyte_order!$C:$C)</f>
        <v>53826-13-4</v>
      </c>
      <c r="M4792">
        <f>_xlfn.XLOOKUP(L4792,[2]analyte_order!$C:$C,[2]analyte_order!$E:$E)</f>
        <v>43</v>
      </c>
      <c r="N4792">
        <v>0.1215</v>
      </c>
    </row>
    <row r="4793" spans="1:14">
      <c r="A4793" t="s">
        <v>275</v>
      </c>
      <c r="B4793" t="str">
        <f>_xlfn.XLOOKUP(A4793,'[1]Tissue Data'!$A:$A,'[1]Tissue Data'!$C:$C)</f>
        <v>Spill</v>
      </c>
      <c r="C4793" s="2">
        <f>_xlfn.XLOOKUP(A4793,'[1]Tissue Data'!$A:$A,'[1]Tissue Data'!$D:$D)</f>
        <v>44393</v>
      </c>
      <c r="D4793" s="2" t="str">
        <f>_xlfn.XLOOKUP(A4793,'[1]Tissue Data'!$A:$A,'[1]Tissue Data'!$F:$F)</f>
        <v>Pumpkinseed</v>
      </c>
      <c r="E4793" t="str">
        <f>_xlfn.XLOOKUP(A4793,'[1]Tissue Data'!$A:$A,'[1]Tissue Data'!$H:$H)</f>
        <v>Lepomis</v>
      </c>
      <c r="F4793" t="str">
        <f>_xlfn.XLOOKUP(A4793,'[1]Tissue Data'!$A:$A,'[1]Tissue Data'!$I:$I)</f>
        <v>gibbosus</v>
      </c>
      <c r="G4793" t="str">
        <f>_xlfn.XLOOKUP(A4793,'[1]Tissue Data'!$A:$A,'[1]Tissue Data'!J:J)</f>
        <v>U</v>
      </c>
      <c r="H4793" t="str">
        <f>_xlfn.XLOOKUP(A4793,'[1]Tissue Data'!$A:$A,'[1]Tissue Data'!K:K)</f>
        <v>Whole Body</v>
      </c>
      <c r="I4793">
        <f>_xlfn.XLOOKUP(A4793,'[1]Tissue Data'!$A:$A,'[1]Tissue Data'!L:L)</f>
        <v>9</v>
      </c>
      <c r="J4793">
        <f>_xlfn.XLOOKUP(A4793,'[1]Tissue Data'!$A:$A,'[1]Tissue Data'!M:M)</f>
        <v>10.43</v>
      </c>
      <c r="K4793" t="s">
        <v>53</v>
      </c>
      <c r="L4793" t="str">
        <f>_xlfn.XLOOKUP(K4793,[2]analyte_order!$B:$B,[2]analyte_order!$C:$C)</f>
        <v>161094-75-3</v>
      </c>
      <c r="M4793">
        <f>_xlfn.XLOOKUP(L4793,[2]analyte_order!$C:$C,[2]analyte_order!$E:$E)</f>
        <v>44</v>
      </c>
      <c r="N4793">
        <v>6.4000000000000001E-2</v>
      </c>
    </row>
    <row r="4794" spans="1:14">
      <c r="A4794" t="s">
        <v>275</v>
      </c>
      <c r="B4794" t="str">
        <f>_xlfn.XLOOKUP(A4794,'[1]Tissue Data'!$A:$A,'[1]Tissue Data'!$C:$C)</f>
        <v>Spill</v>
      </c>
      <c r="C4794" s="2">
        <f>_xlfn.XLOOKUP(A4794,'[1]Tissue Data'!$A:$A,'[1]Tissue Data'!$D:$D)</f>
        <v>44393</v>
      </c>
      <c r="D4794" s="2" t="str">
        <f>_xlfn.XLOOKUP(A4794,'[1]Tissue Data'!$A:$A,'[1]Tissue Data'!$F:$F)</f>
        <v>Pumpkinseed</v>
      </c>
      <c r="E4794" t="str">
        <f>_xlfn.XLOOKUP(A4794,'[1]Tissue Data'!$A:$A,'[1]Tissue Data'!$H:$H)</f>
        <v>Lepomis</v>
      </c>
      <c r="F4794" t="str">
        <f>_xlfn.XLOOKUP(A4794,'[1]Tissue Data'!$A:$A,'[1]Tissue Data'!$I:$I)</f>
        <v>gibbosus</v>
      </c>
      <c r="G4794" t="str">
        <f>_xlfn.XLOOKUP(A4794,'[1]Tissue Data'!$A:$A,'[1]Tissue Data'!J:J)</f>
        <v>U</v>
      </c>
      <c r="H4794" t="str">
        <f>_xlfn.XLOOKUP(A4794,'[1]Tissue Data'!$A:$A,'[1]Tissue Data'!K:K)</f>
        <v>Whole Body</v>
      </c>
      <c r="I4794">
        <f>_xlfn.XLOOKUP(A4794,'[1]Tissue Data'!$A:$A,'[1]Tissue Data'!L:L)</f>
        <v>9</v>
      </c>
      <c r="J4794">
        <f>_xlfn.XLOOKUP(A4794,'[1]Tissue Data'!$A:$A,'[1]Tissue Data'!M:M)</f>
        <v>10.43</v>
      </c>
      <c r="K4794" t="s">
        <v>54</v>
      </c>
      <c r="L4794" t="str">
        <f>_xlfn.XLOOKUP(K4794,[2]analyte_order!$B:$B,[2]analyte_order!$C:$C)</f>
        <v>70887-84-2</v>
      </c>
      <c r="M4794">
        <f>_xlfn.XLOOKUP(L4794,[2]analyte_order!$C:$C,[2]analyte_order!$E:$E)</f>
        <v>45</v>
      </c>
      <c r="N4794">
        <v>4.9200000000000001E-2</v>
      </c>
    </row>
    <row r="4795" spans="1:14">
      <c r="A4795" t="s">
        <v>275</v>
      </c>
      <c r="B4795" t="str">
        <f>_xlfn.XLOOKUP(A4795,'[1]Tissue Data'!$A:$A,'[1]Tissue Data'!$C:$C)</f>
        <v>Spill</v>
      </c>
      <c r="C4795" s="2">
        <f>_xlfn.XLOOKUP(A4795,'[1]Tissue Data'!$A:$A,'[1]Tissue Data'!$D:$D)</f>
        <v>44393</v>
      </c>
      <c r="D4795" s="2" t="str">
        <f>_xlfn.XLOOKUP(A4795,'[1]Tissue Data'!$A:$A,'[1]Tissue Data'!$F:$F)</f>
        <v>Pumpkinseed</v>
      </c>
      <c r="E4795" t="str">
        <f>_xlfn.XLOOKUP(A4795,'[1]Tissue Data'!$A:$A,'[1]Tissue Data'!$H:$H)</f>
        <v>Lepomis</v>
      </c>
      <c r="F4795" t="str">
        <f>_xlfn.XLOOKUP(A4795,'[1]Tissue Data'!$A:$A,'[1]Tissue Data'!$I:$I)</f>
        <v>gibbosus</v>
      </c>
      <c r="G4795" t="str">
        <f>_xlfn.XLOOKUP(A4795,'[1]Tissue Data'!$A:$A,'[1]Tissue Data'!J:J)</f>
        <v>U</v>
      </c>
      <c r="H4795" t="str">
        <f>_xlfn.XLOOKUP(A4795,'[1]Tissue Data'!$A:$A,'[1]Tissue Data'!K:K)</f>
        <v>Whole Body</v>
      </c>
      <c r="I4795">
        <f>_xlfn.XLOOKUP(A4795,'[1]Tissue Data'!$A:$A,'[1]Tissue Data'!L:L)</f>
        <v>9</v>
      </c>
      <c r="J4795">
        <f>_xlfn.XLOOKUP(A4795,'[1]Tissue Data'!$A:$A,'[1]Tissue Data'!M:M)</f>
        <v>10.43</v>
      </c>
      <c r="K4795" t="s">
        <v>55</v>
      </c>
      <c r="L4795" t="str">
        <f>_xlfn.XLOOKUP(K4795,[2]analyte_order!$B:$B,[2]analyte_order!$C:$C)</f>
        <v>919005-14-4</v>
      </c>
      <c r="M4795">
        <f>_xlfn.XLOOKUP(L4795,[2]analyte_order!$C:$C,[2]analyte_order!$E:$E)</f>
        <v>35</v>
      </c>
      <c r="N4795">
        <v>7.1999999999999995E-2</v>
      </c>
    </row>
    <row r="4796" spans="1:14">
      <c r="A4796" t="s">
        <v>275</v>
      </c>
      <c r="B4796" t="str">
        <f>_xlfn.XLOOKUP(A4796,'[1]Tissue Data'!$A:$A,'[1]Tissue Data'!$C:$C)</f>
        <v>Spill</v>
      </c>
      <c r="C4796" s="2">
        <f>_xlfn.XLOOKUP(A4796,'[1]Tissue Data'!$A:$A,'[1]Tissue Data'!$D:$D)</f>
        <v>44393</v>
      </c>
      <c r="D4796" s="2" t="str">
        <f>_xlfn.XLOOKUP(A4796,'[1]Tissue Data'!$A:$A,'[1]Tissue Data'!$F:$F)</f>
        <v>Pumpkinseed</v>
      </c>
      <c r="E4796" t="str">
        <f>_xlfn.XLOOKUP(A4796,'[1]Tissue Data'!$A:$A,'[1]Tissue Data'!$H:$H)</f>
        <v>Lepomis</v>
      </c>
      <c r="F4796" t="str">
        <f>_xlfn.XLOOKUP(A4796,'[1]Tissue Data'!$A:$A,'[1]Tissue Data'!$I:$I)</f>
        <v>gibbosus</v>
      </c>
      <c r="G4796" t="str">
        <f>_xlfn.XLOOKUP(A4796,'[1]Tissue Data'!$A:$A,'[1]Tissue Data'!J:J)</f>
        <v>U</v>
      </c>
      <c r="H4796" t="str">
        <f>_xlfn.XLOOKUP(A4796,'[1]Tissue Data'!$A:$A,'[1]Tissue Data'!K:K)</f>
        <v>Whole Body</v>
      </c>
      <c r="I4796">
        <f>_xlfn.XLOOKUP(A4796,'[1]Tissue Data'!$A:$A,'[1]Tissue Data'!L:L)</f>
        <v>9</v>
      </c>
      <c r="J4796">
        <f>_xlfn.XLOOKUP(A4796,'[1]Tissue Data'!$A:$A,'[1]Tissue Data'!M:M)</f>
        <v>10.43</v>
      </c>
      <c r="K4796" t="s">
        <v>56</v>
      </c>
      <c r="L4796" t="str">
        <f>_xlfn.XLOOKUP(K4796,[2]analyte_order!$B:$B,[2]analyte_order!$C:$C)</f>
        <v>756426-58-1</v>
      </c>
      <c r="M4796">
        <f>_xlfn.XLOOKUP(L4796,[2]analyte_order!$C:$C,[2]analyte_order!$E:$E)</f>
        <v>36</v>
      </c>
      <c r="N4796">
        <v>8.1500000000000003E-2</v>
      </c>
    </row>
    <row r="4797" spans="1:14">
      <c r="A4797" t="s">
        <v>275</v>
      </c>
      <c r="B4797" t="str">
        <f>_xlfn.XLOOKUP(A4797,'[1]Tissue Data'!$A:$A,'[1]Tissue Data'!$C:$C)</f>
        <v>Spill</v>
      </c>
      <c r="C4797" s="2">
        <f>_xlfn.XLOOKUP(A4797,'[1]Tissue Data'!$A:$A,'[1]Tissue Data'!$D:$D)</f>
        <v>44393</v>
      </c>
      <c r="D4797" s="2" t="str">
        <f>_xlfn.XLOOKUP(A4797,'[1]Tissue Data'!$A:$A,'[1]Tissue Data'!$F:$F)</f>
        <v>Pumpkinseed</v>
      </c>
      <c r="E4797" t="str">
        <f>_xlfn.XLOOKUP(A4797,'[1]Tissue Data'!$A:$A,'[1]Tissue Data'!$H:$H)</f>
        <v>Lepomis</v>
      </c>
      <c r="F4797" t="str">
        <f>_xlfn.XLOOKUP(A4797,'[1]Tissue Data'!$A:$A,'[1]Tissue Data'!$I:$I)</f>
        <v>gibbosus</v>
      </c>
      <c r="G4797" t="str">
        <f>_xlfn.XLOOKUP(A4797,'[1]Tissue Data'!$A:$A,'[1]Tissue Data'!J:J)</f>
        <v>U</v>
      </c>
      <c r="H4797" t="str">
        <f>_xlfn.XLOOKUP(A4797,'[1]Tissue Data'!$A:$A,'[1]Tissue Data'!K:K)</f>
        <v>Whole Body</v>
      </c>
      <c r="I4797">
        <f>_xlfn.XLOOKUP(A4797,'[1]Tissue Data'!$A:$A,'[1]Tissue Data'!L:L)</f>
        <v>9</v>
      </c>
      <c r="J4797">
        <f>_xlfn.XLOOKUP(A4797,'[1]Tissue Data'!$A:$A,'[1]Tissue Data'!M:M)</f>
        <v>10.43</v>
      </c>
      <c r="K4797" t="s">
        <v>57</v>
      </c>
      <c r="L4797" t="str">
        <f>_xlfn.XLOOKUP(K4797,[2]analyte_order!$B:$B,[2]analyte_order!$C:$C)</f>
        <v>763051-92-9</v>
      </c>
      <c r="M4797">
        <f>_xlfn.XLOOKUP(L4797,[2]analyte_order!$C:$C,[2]analyte_order!$E:$E)</f>
        <v>37</v>
      </c>
      <c r="N4797">
        <v>8.1500000000000003E-2</v>
      </c>
    </row>
    <row r="4798" spans="1:14">
      <c r="A4798" t="s">
        <v>275</v>
      </c>
      <c r="B4798" t="str">
        <f>_xlfn.XLOOKUP(A4798,'[1]Tissue Data'!$A:$A,'[1]Tissue Data'!$C:$C)</f>
        <v>Spill</v>
      </c>
      <c r="C4798" s="2">
        <f>_xlfn.XLOOKUP(A4798,'[1]Tissue Data'!$A:$A,'[1]Tissue Data'!$D:$D)</f>
        <v>44393</v>
      </c>
      <c r="D4798" s="2" t="str">
        <f>_xlfn.XLOOKUP(A4798,'[1]Tissue Data'!$A:$A,'[1]Tissue Data'!$F:$F)</f>
        <v>Pumpkinseed</v>
      </c>
      <c r="E4798" t="str">
        <f>_xlfn.XLOOKUP(A4798,'[1]Tissue Data'!$A:$A,'[1]Tissue Data'!$H:$H)</f>
        <v>Lepomis</v>
      </c>
      <c r="F4798" t="str">
        <f>_xlfn.XLOOKUP(A4798,'[1]Tissue Data'!$A:$A,'[1]Tissue Data'!$I:$I)</f>
        <v>gibbosus</v>
      </c>
      <c r="G4798" t="str">
        <f>_xlfn.XLOOKUP(A4798,'[1]Tissue Data'!$A:$A,'[1]Tissue Data'!J:J)</f>
        <v>U</v>
      </c>
      <c r="H4798" t="str">
        <f>_xlfn.XLOOKUP(A4798,'[1]Tissue Data'!$A:$A,'[1]Tissue Data'!K:K)</f>
        <v>Whole Body</v>
      </c>
      <c r="I4798">
        <f>_xlfn.XLOOKUP(A4798,'[1]Tissue Data'!$A:$A,'[1]Tissue Data'!L:L)</f>
        <v>9</v>
      </c>
      <c r="J4798">
        <f>_xlfn.XLOOKUP(A4798,'[1]Tissue Data'!$A:$A,'[1]Tissue Data'!M:M)</f>
        <v>10.43</v>
      </c>
      <c r="K4798" t="s">
        <v>58</v>
      </c>
      <c r="L4798" t="str">
        <f>_xlfn.XLOOKUP(K4798,[2]analyte_order!$B:$B,[2]analyte_order!$C:$C)</f>
        <v>13252-13-6</v>
      </c>
      <c r="M4798">
        <f>_xlfn.XLOOKUP(L4798,[2]analyte_order!$C:$C,[2]analyte_order!$E:$E)</f>
        <v>34</v>
      </c>
      <c r="N4798">
        <v>0.11700000000000001</v>
      </c>
    </row>
    <row r="4799" spans="1:14">
      <c r="A4799" t="s">
        <v>275</v>
      </c>
      <c r="B4799" t="str">
        <f>_xlfn.XLOOKUP(A4799,'[1]Tissue Data'!$A:$A,'[1]Tissue Data'!$C:$C)</f>
        <v>Spill</v>
      </c>
      <c r="C4799" s="2">
        <f>_xlfn.XLOOKUP(A4799,'[1]Tissue Data'!$A:$A,'[1]Tissue Data'!$D:$D)</f>
        <v>44393</v>
      </c>
      <c r="D4799" s="2" t="str">
        <f>_xlfn.XLOOKUP(A4799,'[1]Tissue Data'!$A:$A,'[1]Tissue Data'!$F:$F)</f>
        <v>Pumpkinseed</v>
      </c>
      <c r="E4799" t="str">
        <f>_xlfn.XLOOKUP(A4799,'[1]Tissue Data'!$A:$A,'[1]Tissue Data'!$H:$H)</f>
        <v>Lepomis</v>
      </c>
      <c r="F4799" t="str">
        <f>_xlfn.XLOOKUP(A4799,'[1]Tissue Data'!$A:$A,'[1]Tissue Data'!$I:$I)</f>
        <v>gibbosus</v>
      </c>
      <c r="G4799" t="str">
        <f>_xlfn.XLOOKUP(A4799,'[1]Tissue Data'!$A:$A,'[1]Tissue Data'!J:J)</f>
        <v>U</v>
      </c>
      <c r="H4799" t="str">
        <f>_xlfn.XLOOKUP(A4799,'[1]Tissue Data'!$A:$A,'[1]Tissue Data'!K:K)</f>
        <v>Whole Body</v>
      </c>
      <c r="I4799">
        <f>_xlfn.XLOOKUP(A4799,'[1]Tissue Data'!$A:$A,'[1]Tissue Data'!L:L)</f>
        <v>9</v>
      </c>
      <c r="J4799">
        <f>_xlfn.XLOOKUP(A4799,'[1]Tissue Data'!$A:$A,'[1]Tissue Data'!M:M)</f>
        <v>10.43</v>
      </c>
      <c r="K4799" t="s">
        <v>59</v>
      </c>
      <c r="L4799" t="str">
        <f>_xlfn.XLOOKUP(K4799,[2]analyte_order!$B:$B,[2]analyte_order!$C:$C)</f>
        <v>57677-95-9</v>
      </c>
      <c r="M4799">
        <f>_xlfn.XLOOKUP(L4799,[2]analyte_order!$C:$C,[2]analyte_order!$E:$E)</f>
        <v>46</v>
      </c>
      <c r="N4799">
        <v>8.6499999999999994E-2</v>
      </c>
    </row>
    <row r="4800" spans="1:14">
      <c r="A4800" t="s">
        <v>275</v>
      </c>
      <c r="B4800" t="str">
        <f>_xlfn.XLOOKUP(A4800,'[1]Tissue Data'!$A:$A,'[1]Tissue Data'!$C:$C)</f>
        <v>Spill</v>
      </c>
      <c r="C4800" s="2">
        <f>_xlfn.XLOOKUP(A4800,'[1]Tissue Data'!$A:$A,'[1]Tissue Data'!$D:$D)</f>
        <v>44393</v>
      </c>
      <c r="D4800" s="2" t="str">
        <f>_xlfn.XLOOKUP(A4800,'[1]Tissue Data'!$A:$A,'[1]Tissue Data'!$F:$F)</f>
        <v>Pumpkinseed</v>
      </c>
      <c r="E4800" t="str">
        <f>_xlfn.XLOOKUP(A4800,'[1]Tissue Data'!$A:$A,'[1]Tissue Data'!$H:$H)</f>
        <v>Lepomis</v>
      </c>
      <c r="F4800" t="str">
        <f>_xlfn.XLOOKUP(A4800,'[1]Tissue Data'!$A:$A,'[1]Tissue Data'!$I:$I)</f>
        <v>gibbosus</v>
      </c>
      <c r="G4800" t="str">
        <f>_xlfn.XLOOKUP(A4800,'[1]Tissue Data'!$A:$A,'[1]Tissue Data'!J:J)</f>
        <v>U</v>
      </c>
      <c r="H4800" t="str">
        <f>_xlfn.XLOOKUP(A4800,'[1]Tissue Data'!$A:$A,'[1]Tissue Data'!K:K)</f>
        <v>Whole Body</v>
      </c>
      <c r="I4800">
        <f>_xlfn.XLOOKUP(A4800,'[1]Tissue Data'!$A:$A,'[1]Tissue Data'!L:L)</f>
        <v>9</v>
      </c>
      <c r="J4800">
        <f>_xlfn.XLOOKUP(A4800,'[1]Tissue Data'!$A:$A,'[1]Tissue Data'!M:M)</f>
        <v>10.43</v>
      </c>
      <c r="K4800" t="s">
        <v>60</v>
      </c>
      <c r="L4800" t="str">
        <f>_xlfn.XLOOKUP(K4800,[2]analyte_order!$B:$B,[2]analyte_order!$C:$C)</f>
        <v>678-41-1</v>
      </c>
      <c r="M4800">
        <f>_xlfn.XLOOKUP(L4800,[2]analyte_order!$C:$C,[2]analyte_order!$E:$E)</f>
        <v>56</v>
      </c>
      <c r="N4800">
        <v>0.108</v>
      </c>
    </row>
    <row r="4801" spans="1:14">
      <c r="A4801" t="s">
        <v>275</v>
      </c>
      <c r="B4801" t="str">
        <f>_xlfn.XLOOKUP(A4801,'[1]Tissue Data'!$A:$A,'[1]Tissue Data'!$C:$C)</f>
        <v>Spill</v>
      </c>
      <c r="C4801" s="2">
        <f>_xlfn.XLOOKUP(A4801,'[1]Tissue Data'!$A:$A,'[1]Tissue Data'!$D:$D)</f>
        <v>44393</v>
      </c>
      <c r="D4801" s="2" t="str">
        <f>_xlfn.XLOOKUP(A4801,'[1]Tissue Data'!$A:$A,'[1]Tissue Data'!$F:$F)</f>
        <v>Pumpkinseed</v>
      </c>
      <c r="E4801" t="str">
        <f>_xlfn.XLOOKUP(A4801,'[1]Tissue Data'!$A:$A,'[1]Tissue Data'!$H:$H)</f>
        <v>Lepomis</v>
      </c>
      <c r="F4801" t="str">
        <f>_xlfn.XLOOKUP(A4801,'[1]Tissue Data'!$A:$A,'[1]Tissue Data'!$I:$I)</f>
        <v>gibbosus</v>
      </c>
      <c r="G4801" t="str">
        <f>_xlfn.XLOOKUP(A4801,'[1]Tissue Data'!$A:$A,'[1]Tissue Data'!J:J)</f>
        <v>U</v>
      </c>
      <c r="H4801" t="str">
        <f>_xlfn.XLOOKUP(A4801,'[1]Tissue Data'!$A:$A,'[1]Tissue Data'!K:K)</f>
        <v>Whole Body</v>
      </c>
      <c r="I4801">
        <f>_xlfn.XLOOKUP(A4801,'[1]Tissue Data'!$A:$A,'[1]Tissue Data'!L:L)</f>
        <v>9</v>
      </c>
      <c r="J4801">
        <f>_xlfn.XLOOKUP(A4801,'[1]Tissue Data'!$A:$A,'[1]Tissue Data'!M:M)</f>
        <v>10.43</v>
      </c>
      <c r="K4801" t="s">
        <v>61</v>
      </c>
      <c r="L4801" t="str">
        <f>_xlfn.XLOOKUP(K4801,[2]analyte_order!$B:$B,[2]analyte_order!$C:$C)</f>
        <v>2965-52-8</v>
      </c>
      <c r="M4801">
        <f>_xlfn.XLOOKUP(L4801,[2]analyte_order!$C:$C,[2]analyte_order!$E:$E)</f>
        <v>57</v>
      </c>
      <c r="N4801">
        <v>0.14349999999999999</v>
      </c>
    </row>
    <row r="4802" spans="1:14">
      <c r="A4802" t="s">
        <v>276</v>
      </c>
      <c r="B4802" t="str">
        <f>_xlfn.XLOOKUP(A4802,'[1]Tissue Data'!$A:$A,'[1]Tissue Data'!$C:$C)</f>
        <v>Spill</v>
      </c>
      <c r="C4802" s="2">
        <f>_xlfn.XLOOKUP(A4802,'[1]Tissue Data'!$A:$A,'[1]Tissue Data'!$D:$D)</f>
        <v>44393</v>
      </c>
      <c r="D4802" s="2" t="str">
        <f>_xlfn.XLOOKUP(A4802,'[1]Tissue Data'!$A:$A,'[1]Tissue Data'!$F:$F)</f>
        <v>Pumpkinseed</v>
      </c>
      <c r="E4802" t="str">
        <f>_xlfn.XLOOKUP(A4802,'[1]Tissue Data'!$A:$A,'[1]Tissue Data'!$H:$H)</f>
        <v>Lepomis</v>
      </c>
      <c r="F4802" t="str">
        <f>_xlfn.XLOOKUP(A4802,'[1]Tissue Data'!$A:$A,'[1]Tissue Data'!$I:$I)</f>
        <v>gibbosus</v>
      </c>
      <c r="G4802" t="str">
        <f>_xlfn.XLOOKUP(A4802,'[1]Tissue Data'!$A:$A,'[1]Tissue Data'!J:J)</f>
        <v>U</v>
      </c>
      <c r="H4802" t="str">
        <f>_xlfn.XLOOKUP(A4802,'[1]Tissue Data'!$A:$A,'[1]Tissue Data'!K:K)</f>
        <v>Whole Body</v>
      </c>
      <c r="I4802">
        <f>_xlfn.XLOOKUP(A4802,'[1]Tissue Data'!$A:$A,'[1]Tissue Data'!L:L)</f>
        <v>8</v>
      </c>
      <c r="J4802">
        <f>_xlfn.XLOOKUP(A4802,'[1]Tissue Data'!$A:$A,'[1]Tissue Data'!M:M)</f>
        <v>7.72</v>
      </c>
      <c r="K4802" t="s">
        <v>12</v>
      </c>
      <c r="L4802" t="str">
        <f>_xlfn.XLOOKUP(K4802,[2]analyte_order!$B:$B,[2]analyte_order!$C:$C)</f>
        <v>375-22-4</v>
      </c>
      <c r="M4802">
        <f>_xlfn.XLOOKUP(L4802,[2]analyte_order!$C:$C,[2]analyte_order!$E:$E)</f>
        <v>1</v>
      </c>
      <c r="N4802">
        <v>0.24249999999999999</v>
      </c>
    </row>
    <row r="4803" spans="1:14">
      <c r="A4803" t="s">
        <v>276</v>
      </c>
      <c r="B4803" t="str">
        <f>_xlfn.XLOOKUP(A4803,'[1]Tissue Data'!$A:$A,'[1]Tissue Data'!$C:$C)</f>
        <v>Spill</v>
      </c>
      <c r="C4803" s="2">
        <f>_xlfn.XLOOKUP(A4803,'[1]Tissue Data'!$A:$A,'[1]Tissue Data'!$D:$D)</f>
        <v>44393</v>
      </c>
      <c r="D4803" s="2" t="str">
        <f>_xlfn.XLOOKUP(A4803,'[1]Tissue Data'!$A:$A,'[1]Tissue Data'!$F:$F)</f>
        <v>Pumpkinseed</v>
      </c>
      <c r="E4803" t="str">
        <f>_xlfn.XLOOKUP(A4803,'[1]Tissue Data'!$A:$A,'[1]Tissue Data'!$H:$H)</f>
        <v>Lepomis</v>
      </c>
      <c r="F4803" t="str">
        <f>_xlfn.XLOOKUP(A4803,'[1]Tissue Data'!$A:$A,'[1]Tissue Data'!$I:$I)</f>
        <v>gibbosus</v>
      </c>
      <c r="G4803" t="str">
        <f>_xlfn.XLOOKUP(A4803,'[1]Tissue Data'!$A:$A,'[1]Tissue Data'!J:J)</f>
        <v>U</v>
      </c>
      <c r="H4803" t="str">
        <f>_xlfn.XLOOKUP(A4803,'[1]Tissue Data'!$A:$A,'[1]Tissue Data'!K:K)</f>
        <v>Whole Body</v>
      </c>
      <c r="I4803">
        <f>_xlfn.XLOOKUP(A4803,'[1]Tissue Data'!$A:$A,'[1]Tissue Data'!L:L)</f>
        <v>8</v>
      </c>
      <c r="J4803">
        <f>_xlfn.XLOOKUP(A4803,'[1]Tissue Data'!$A:$A,'[1]Tissue Data'!M:M)</f>
        <v>7.72</v>
      </c>
      <c r="K4803" t="s">
        <v>13</v>
      </c>
      <c r="L4803" t="str">
        <f>_xlfn.XLOOKUP(K4803,[2]analyte_order!$B:$B,[2]analyte_order!$C:$C)</f>
        <v>2706-90-3</v>
      </c>
      <c r="M4803">
        <f>_xlfn.XLOOKUP(L4803,[2]analyte_order!$C:$C,[2]analyte_order!$E:$E)</f>
        <v>2</v>
      </c>
      <c r="N4803">
        <v>5.1999999999999998E-2</v>
      </c>
    </row>
    <row r="4804" spans="1:14">
      <c r="A4804" t="s">
        <v>276</v>
      </c>
      <c r="B4804" t="str">
        <f>_xlfn.XLOOKUP(A4804,'[1]Tissue Data'!$A:$A,'[1]Tissue Data'!$C:$C)</f>
        <v>Spill</v>
      </c>
      <c r="C4804" s="2">
        <f>_xlfn.XLOOKUP(A4804,'[1]Tissue Data'!$A:$A,'[1]Tissue Data'!$D:$D)</f>
        <v>44393</v>
      </c>
      <c r="D4804" s="2" t="str">
        <f>_xlfn.XLOOKUP(A4804,'[1]Tissue Data'!$A:$A,'[1]Tissue Data'!$F:$F)</f>
        <v>Pumpkinseed</v>
      </c>
      <c r="E4804" t="str">
        <f>_xlfn.XLOOKUP(A4804,'[1]Tissue Data'!$A:$A,'[1]Tissue Data'!$H:$H)</f>
        <v>Lepomis</v>
      </c>
      <c r="F4804" t="str">
        <f>_xlfn.XLOOKUP(A4804,'[1]Tissue Data'!$A:$A,'[1]Tissue Data'!$I:$I)</f>
        <v>gibbosus</v>
      </c>
      <c r="G4804" t="str">
        <f>_xlfn.XLOOKUP(A4804,'[1]Tissue Data'!$A:$A,'[1]Tissue Data'!J:J)</f>
        <v>U</v>
      </c>
      <c r="H4804" t="str">
        <f>_xlfn.XLOOKUP(A4804,'[1]Tissue Data'!$A:$A,'[1]Tissue Data'!K:K)</f>
        <v>Whole Body</v>
      </c>
      <c r="I4804">
        <f>_xlfn.XLOOKUP(A4804,'[1]Tissue Data'!$A:$A,'[1]Tissue Data'!L:L)</f>
        <v>8</v>
      </c>
      <c r="J4804">
        <f>_xlfn.XLOOKUP(A4804,'[1]Tissue Data'!$A:$A,'[1]Tissue Data'!M:M)</f>
        <v>7.72</v>
      </c>
      <c r="K4804" t="s">
        <v>14</v>
      </c>
      <c r="L4804" t="str">
        <f>_xlfn.XLOOKUP(K4804,[2]analyte_order!$B:$B,[2]analyte_order!$C:$C)</f>
        <v>307-24-4</v>
      </c>
      <c r="M4804">
        <f>_xlfn.XLOOKUP(L4804,[2]analyte_order!$C:$C,[2]analyte_order!$E:$E)</f>
        <v>3</v>
      </c>
      <c r="N4804">
        <v>0.13100000000000001</v>
      </c>
    </row>
    <row r="4805" spans="1:14">
      <c r="A4805" t="s">
        <v>276</v>
      </c>
      <c r="B4805" t="str">
        <f>_xlfn.XLOOKUP(A4805,'[1]Tissue Data'!$A:$A,'[1]Tissue Data'!$C:$C)</f>
        <v>Spill</v>
      </c>
      <c r="C4805" s="2">
        <f>_xlfn.XLOOKUP(A4805,'[1]Tissue Data'!$A:$A,'[1]Tissue Data'!$D:$D)</f>
        <v>44393</v>
      </c>
      <c r="D4805" s="2" t="str">
        <f>_xlfn.XLOOKUP(A4805,'[1]Tissue Data'!$A:$A,'[1]Tissue Data'!$F:$F)</f>
        <v>Pumpkinseed</v>
      </c>
      <c r="E4805" t="str">
        <f>_xlfn.XLOOKUP(A4805,'[1]Tissue Data'!$A:$A,'[1]Tissue Data'!$H:$H)</f>
        <v>Lepomis</v>
      </c>
      <c r="F4805" t="str">
        <f>_xlfn.XLOOKUP(A4805,'[1]Tissue Data'!$A:$A,'[1]Tissue Data'!$I:$I)</f>
        <v>gibbosus</v>
      </c>
      <c r="G4805" t="str">
        <f>_xlfn.XLOOKUP(A4805,'[1]Tissue Data'!$A:$A,'[1]Tissue Data'!J:J)</f>
        <v>U</v>
      </c>
      <c r="H4805" t="str">
        <f>_xlfn.XLOOKUP(A4805,'[1]Tissue Data'!$A:$A,'[1]Tissue Data'!K:K)</f>
        <v>Whole Body</v>
      </c>
      <c r="I4805">
        <f>_xlfn.XLOOKUP(A4805,'[1]Tissue Data'!$A:$A,'[1]Tissue Data'!L:L)</f>
        <v>8</v>
      </c>
      <c r="J4805">
        <f>_xlfn.XLOOKUP(A4805,'[1]Tissue Data'!$A:$A,'[1]Tissue Data'!M:M)</f>
        <v>7.72</v>
      </c>
      <c r="K4805" t="s">
        <v>15</v>
      </c>
      <c r="L4805" t="str">
        <f>_xlfn.XLOOKUP(K4805,[2]analyte_order!$B:$B,[2]analyte_order!$C:$C)</f>
        <v>375-85-9</v>
      </c>
      <c r="M4805">
        <f>_xlfn.XLOOKUP(L4805,[2]analyte_order!$C:$C,[2]analyte_order!$E:$E)</f>
        <v>4</v>
      </c>
      <c r="N4805">
        <v>9.7000000000000003E-2</v>
      </c>
    </row>
    <row r="4806" spans="1:14">
      <c r="A4806" t="s">
        <v>276</v>
      </c>
      <c r="B4806" t="str">
        <f>_xlfn.XLOOKUP(A4806,'[1]Tissue Data'!$A:$A,'[1]Tissue Data'!$C:$C)</f>
        <v>Spill</v>
      </c>
      <c r="C4806" s="2">
        <f>_xlfn.XLOOKUP(A4806,'[1]Tissue Data'!$A:$A,'[1]Tissue Data'!$D:$D)</f>
        <v>44393</v>
      </c>
      <c r="D4806" s="2" t="str">
        <f>_xlfn.XLOOKUP(A4806,'[1]Tissue Data'!$A:$A,'[1]Tissue Data'!$F:$F)</f>
        <v>Pumpkinseed</v>
      </c>
      <c r="E4806" t="str">
        <f>_xlfn.XLOOKUP(A4806,'[1]Tissue Data'!$A:$A,'[1]Tissue Data'!$H:$H)</f>
        <v>Lepomis</v>
      </c>
      <c r="F4806" t="str">
        <f>_xlfn.XLOOKUP(A4806,'[1]Tissue Data'!$A:$A,'[1]Tissue Data'!$I:$I)</f>
        <v>gibbosus</v>
      </c>
      <c r="G4806" t="str">
        <f>_xlfn.XLOOKUP(A4806,'[1]Tissue Data'!$A:$A,'[1]Tissue Data'!J:J)</f>
        <v>U</v>
      </c>
      <c r="H4806" t="str">
        <f>_xlfn.XLOOKUP(A4806,'[1]Tissue Data'!$A:$A,'[1]Tissue Data'!K:K)</f>
        <v>Whole Body</v>
      </c>
      <c r="I4806">
        <f>_xlfn.XLOOKUP(A4806,'[1]Tissue Data'!$A:$A,'[1]Tissue Data'!L:L)</f>
        <v>8</v>
      </c>
      <c r="J4806">
        <f>_xlfn.XLOOKUP(A4806,'[1]Tissue Data'!$A:$A,'[1]Tissue Data'!M:M)</f>
        <v>7.72</v>
      </c>
      <c r="K4806" t="s">
        <v>16</v>
      </c>
      <c r="L4806" t="str">
        <f>_xlfn.XLOOKUP(K4806,[2]analyte_order!$B:$B,[2]analyte_order!$C:$C)</f>
        <v>335-67-1</v>
      </c>
      <c r="M4806">
        <f>_xlfn.XLOOKUP(L4806,[2]analyte_order!$C:$C,[2]analyte_order!$E:$E)</f>
        <v>5</v>
      </c>
      <c r="N4806">
        <v>0.88400000000000001</v>
      </c>
    </row>
    <row r="4807" spans="1:14">
      <c r="A4807" t="s">
        <v>276</v>
      </c>
      <c r="B4807" t="str">
        <f>_xlfn.XLOOKUP(A4807,'[1]Tissue Data'!$A:$A,'[1]Tissue Data'!$C:$C)</f>
        <v>Spill</v>
      </c>
      <c r="C4807" s="2">
        <f>_xlfn.XLOOKUP(A4807,'[1]Tissue Data'!$A:$A,'[1]Tissue Data'!$D:$D)</f>
        <v>44393</v>
      </c>
      <c r="D4807" s="2" t="str">
        <f>_xlfn.XLOOKUP(A4807,'[1]Tissue Data'!$A:$A,'[1]Tissue Data'!$F:$F)</f>
        <v>Pumpkinseed</v>
      </c>
      <c r="E4807" t="str">
        <f>_xlfn.XLOOKUP(A4807,'[1]Tissue Data'!$A:$A,'[1]Tissue Data'!$H:$H)</f>
        <v>Lepomis</v>
      </c>
      <c r="F4807" t="str">
        <f>_xlfn.XLOOKUP(A4807,'[1]Tissue Data'!$A:$A,'[1]Tissue Data'!$I:$I)</f>
        <v>gibbosus</v>
      </c>
      <c r="G4807" t="str">
        <f>_xlfn.XLOOKUP(A4807,'[1]Tissue Data'!$A:$A,'[1]Tissue Data'!J:J)</f>
        <v>U</v>
      </c>
      <c r="H4807" t="str">
        <f>_xlfn.XLOOKUP(A4807,'[1]Tissue Data'!$A:$A,'[1]Tissue Data'!K:K)</f>
        <v>Whole Body</v>
      </c>
      <c r="I4807">
        <f>_xlfn.XLOOKUP(A4807,'[1]Tissue Data'!$A:$A,'[1]Tissue Data'!L:L)</f>
        <v>8</v>
      </c>
      <c r="J4807">
        <f>_xlfn.XLOOKUP(A4807,'[1]Tissue Data'!$A:$A,'[1]Tissue Data'!M:M)</f>
        <v>7.72</v>
      </c>
      <c r="K4807" t="s">
        <v>17</v>
      </c>
      <c r="L4807" t="str">
        <f>_xlfn.XLOOKUP(K4807,[2]analyte_order!$B:$B,[2]analyte_order!$C:$C)</f>
        <v>375-95-1</v>
      </c>
      <c r="M4807">
        <f>_xlfn.XLOOKUP(L4807,[2]analyte_order!$C:$C,[2]analyte_order!$E:$E)</f>
        <v>6</v>
      </c>
      <c r="N4807">
        <v>0.16800000000000001</v>
      </c>
    </row>
    <row r="4808" spans="1:14">
      <c r="A4808" t="s">
        <v>276</v>
      </c>
      <c r="B4808" t="str">
        <f>_xlfn.XLOOKUP(A4808,'[1]Tissue Data'!$A:$A,'[1]Tissue Data'!$C:$C)</f>
        <v>Spill</v>
      </c>
      <c r="C4808" s="2">
        <f>_xlfn.XLOOKUP(A4808,'[1]Tissue Data'!$A:$A,'[1]Tissue Data'!$D:$D)</f>
        <v>44393</v>
      </c>
      <c r="D4808" s="2" t="str">
        <f>_xlfn.XLOOKUP(A4808,'[1]Tissue Data'!$A:$A,'[1]Tissue Data'!$F:$F)</f>
        <v>Pumpkinseed</v>
      </c>
      <c r="E4808" t="str">
        <f>_xlfn.XLOOKUP(A4808,'[1]Tissue Data'!$A:$A,'[1]Tissue Data'!$H:$H)</f>
        <v>Lepomis</v>
      </c>
      <c r="F4808" t="str">
        <f>_xlfn.XLOOKUP(A4808,'[1]Tissue Data'!$A:$A,'[1]Tissue Data'!$I:$I)</f>
        <v>gibbosus</v>
      </c>
      <c r="G4808" t="str">
        <f>_xlfn.XLOOKUP(A4808,'[1]Tissue Data'!$A:$A,'[1]Tissue Data'!J:J)</f>
        <v>U</v>
      </c>
      <c r="H4808" t="str">
        <f>_xlfn.XLOOKUP(A4808,'[1]Tissue Data'!$A:$A,'[1]Tissue Data'!K:K)</f>
        <v>Whole Body</v>
      </c>
      <c r="I4808">
        <f>_xlfn.XLOOKUP(A4808,'[1]Tissue Data'!$A:$A,'[1]Tissue Data'!L:L)</f>
        <v>8</v>
      </c>
      <c r="J4808">
        <f>_xlfn.XLOOKUP(A4808,'[1]Tissue Data'!$A:$A,'[1]Tissue Data'!M:M)</f>
        <v>7.72</v>
      </c>
      <c r="K4808" t="s">
        <v>18</v>
      </c>
      <c r="L4808" t="str">
        <f>_xlfn.XLOOKUP(K4808,[2]analyte_order!$B:$B,[2]analyte_order!$C:$C)</f>
        <v>335-76-2</v>
      </c>
      <c r="M4808">
        <f>_xlfn.XLOOKUP(L4808,[2]analyte_order!$C:$C,[2]analyte_order!$E:$E)</f>
        <v>7</v>
      </c>
      <c r="N4808">
        <v>3.73</v>
      </c>
    </row>
    <row r="4809" spans="1:14">
      <c r="A4809" t="s">
        <v>276</v>
      </c>
      <c r="B4809" t="str">
        <f>_xlfn.XLOOKUP(A4809,'[1]Tissue Data'!$A:$A,'[1]Tissue Data'!$C:$C)</f>
        <v>Spill</v>
      </c>
      <c r="C4809" s="2">
        <f>_xlfn.XLOOKUP(A4809,'[1]Tissue Data'!$A:$A,'[1]Tissue Data'!$D:$D)</f>
        <v>44393</v>
      </c>
      <c r="D4809" s="2" t="str">
        <f>_xlfn.XLOOKUP(A4809,'[1]Tissue Data'!$A:$A,'[1]Tissue Data'!$F:$F)</f>
        <v>Pumpkinseed</v>
      </c>
      <c r="E4809" t="str">
        <f>_xlfn.XLOOKUP(A4809,'[1]Tissue Data'!$A:$A,'[1]Tissue Data'!$H:$H)</f>
        <v>Lepomis</v>
      </c>
      <c r="F4809" t="str">
        <f>_xlfn.XLOOKUP(A4809,'[1]Tissue Data'!$A:$A,'[1]Tissue Data'!$I:$I)</f>
        <v>gibbosus</v>
      </c>
      <c r="G4809" t="str">
        <f>_xlfn.XLOOKUP(A4809,'[1]Tissue Data'!$A:$A,'[1]Tissue Data'!J:J)</f>
        <v>U</v>
      </c>
      <c r="H4809" t="str">
        <f>_xlfn.XLOOKUP(A4809,'[1]Tissue Data'!$A:$A,'[1]Tissue Data'!K:K)</f>
        <v>Whole Body</v>
      </c>
      <c r="I4809">
        <f>_xlfn.XLOOKUP(A4809,'[1]Tissue Data'!$A:$A,'[1]Tissue Data'!L:L)</f>
        <v>8</v>
      </c>
      <c r="J4809">
        <f>_xlfn.XLOOKUP(A4809,'[1]Tissue Data'!$A:$A,'[1]Tissue Data'!M:M)</f>
        <v>7.72</v>
      </c>
      <c r="K4809" t="s">
        <v>19</v>
      </c>
      <c r="L4809" t="str">
        <f>_xlfn.XLOOKUP(K4809,[2]analyte_order!$B:$B,[2]analyte_order!$C:$C)</f>
        <v>2058-94-8</v>
      </c>
      <c r="M4809">
        <f>_xlfn.XLOOKUP(L4809,[2]analyte_order!$C:$C,[2]analyte_order!$E:$E)</f>
        <v>8</v>
      </c>
      <c r="N4809">
        <v>8.86</v>
      </c>
    </row>
    <row r="4810" spans="1:14">
      <c r="A4810" t="s">
        <v>276</v>
      </c>
      <c r="B4810" t="str">
        <f>_xlfn.XLOOKUP(A4810,'[1]Tissue Data'!$A:$A,'[1]Tissue Data'!$C:$C)</f>
        <v>Spill</v>
      </c>
      <c r="C4810" s="2">
        <f>_xlfn.XLOOKUP(A4810,'[1]Tissue Data'!$A:$A,'[1]Tissue Data'!$D:$D)</f>
        <v>44393</v>
      </c>
      <c r="D4810" s="2" t="str">
        <f>_xlfn.XLOOKUP(A4810,'[1]Tissue Data'!$A:$A,'[1]Tissue Data'!$F:$F)</f>
        <v>Pumpkinseed</v>
      </c>
      <c r="E4810" t="str">
        <f>_xlfn.XLOOKUP(A4810,'[1]Tissue Data'!$A:$A,'[1]Tissue Data'!$H:$H)</f>
        <v>Lepomis</v>
      </c>
      <c r="F4810" t="str">
        <f>_xlfn.XLOOKUP(A4810,'[1]Tissue Data'!$A:$A,'[1]Tissue Data'!$I:$I)</f>
        <v>gibbosus</v>
      </c>
      <c r="G4810" t="str">
        <f>_xlfn.XLOOKUP(A4810,'[1]Tissue Data'!$A:$A,'[1]Tissue Data'!J:J)</f>
        <v>U</v>
      </c>
      <c r="H4810" t="str">
        <f>_xlfn.XLOOKUP(A4810,'[1]Tissue Data'!$A:$A,'[1]Tissue Data'!K:K)</f>
        <v>Whole Body</v>
      </c>
      <c r="I4810">
        <f>_xlfn.XLOOKUP(A4810,'[1]Tissue Data'!$A:$A,'[1]Tissue Data'!L:L)</f>
        <v>8</v>
      </c>
      <c r="J4810">
        <f>_xlfn.XLOOKUP(A4810,'[1]Tissue Data'!$A:$A,'[1]Tissue Data'!M:M)</f>
        <v>7.72</v>
      </c>
      <c r="K4810" t="s">
        <v>20</v>
      </c>
      <c r="L4810" t="str">
        <f>_xlfn.XLOOKUP(K4810,[2]analyte_order!$B:$B,[2]analyte_order!$C:$C)</f>
        <v>307-55-1</v>
      </c>
      <c r="M4810">
        <f>_xlfn.XLOOKUP(L4810,[2]analyte_order!$C:$C,[2]analyte_order!$E:$E)</f>
        <v>9</v>
      </c>
      <c r="N4810">
        <v>16.5</v>
      </c>
    </row>
    <row r="4811" spans="1:14">
      <c r="A4811" t="s">
        <v>276</v>
      </c>
      <c r="B4811" t="str">
        <f>_xlfn.XLOOKUP(A4811,'[1]Tissue Data'!$A:$A,'[1]Tissue Data'!$C:$C)</f>
        <v>Spill</v>
      </c>
      <c r="C4811" s="2">
        <f>_xlfn.XLOOKUP(A4811,'[1]Tissue Data'!$A:$A,'[1]Tissue Data'!$D:$D)</f>
        <v>44393</v>
      </c>
      <c r="D4811" s="2" t="str">
        <f>_xlfn.XLOOKUP(A4811,'[1]Tissue Data'!$A:$A,'[1]Tissue Data'!$F:$F)</f>
        <v>Pumpkinseed</v>
      </c>
      <c r="E4811" t="str">
        <f>_xlfn.XLOOKUP(A4811,'[1]Tissue Data'!$A:$A,'[1]Tissue Data'!$H:$H)</f>
        <v>Lepomis</v>
      </c>
      <c r="F4811" t="str">
        <f>_xlfn.XLOOKUP(A4811,'[1]Tissue Data'!$A:$A,'[1]Tissue Data'!$I:$I)</f>
        <v>gibbosus</v>
      </c>
      <c r="G4811" t="str">
        <f>_xlfn.XLOOKUP(A4811,'[1]Tissue Data'!$A:$A,'[1]Tissue Data'!J:J)</f>
        <v>U</v>
      </c>
      <c r="H4811" t="str">
        <f>_xlfn.XLOOKUP(A4811,'[1]Tissue Data'!$A:$A,'[1]Tissue Data'!K:K)</f>
        <v>Whole Body</v>
      </c>
      <c r="I4811">
        <f>_xlfn.XLOOKUP(A4811,'[1]Tissue Data'!$A:$A,'[1]Tissue Data'!L:L)</f>
        <v>8</v>
      </c>
      <c r="J4811">
        <f>_xlfn.XLOOKUP(A4811,'[1]Tissue Data'!$A:$A,'[1]Tissue Data'!M:M)</f>
        <v>7.72</v>
      </c>
      <c r="K4811" t="s">
        <v>21</v>
      </c>
      <c r="L4811" t="str">
        <f>_xlfn.XLOOKUP(K4811,[2]analyte_order!$B:$B,[2]analyte_order!$C:$C)</f>
        <v>72629-94-8</v>
      </c>
      <c r="M4811">
        <f>_xlfn.XLOOKUP(L4811,[2]analyte_order!$C:$C,[2]analyte_order!$E:$E)</f>
        <v>10</v>
      </c>
      <c r="N4811">
        <v>5.28</v>
      </c>
    </row>
    <row r="4812" spans="1:14">
      <c r="A4812" t="s">
        <v>276</v>
      </c>
      <c r="B4812" t="str">
        <f>_xlfn.XLOOKUP(A4812,'[1]Tissue Data'!$A:$A,'[1]Tissue Data'!$C:$C)</f>
        <v>Spill</v>
      </c>
      <c r="C4812" s="2">
        <f>_xlfn.XLOOKUP(A4812,'[1]Tissue Data'!$A:$A,'[1]Tissue Data'!$D:$D)</f>
        <v>44393</v>
      </c>
      <c r="D4812" s="2" t="str">
        <f>_xlfn.XLOOKUP(A4812,'[1]Tissue Data'!$A:$A,'[1]Tissue Data'!$F:$F)</f>
        <v>Pumpkinseed</v>
      </c>
      <c r="E4812" t="str">
        <f>_xlfn.XLOOKUP(A4812,'[1]Tissue Data'!$A:$A,'[1]Tissue Data'!$H:$H)</f>
        <v>Lepomis</v>
      </c>
      <c r="F4812" t="str">
        <f>_xlfn.XLOOKUP(A4812,'[1]Tissue Data'!$A:$A,'[1]Tissue Data'!$I:$I)</f>
        <v>gibbosus</v>
      </c>
      <c r="G4812" t="str">
        <f>_xlfn.XLOOKUP(A4812,'[1]Tissue Data'!$A:$A,'[1]Tissue Data'!J:J)</f>
        <v>U</v>
      </c>
      <c r="H4812" t="str">
        <f>_xlfn.XLOOKUP(A4812,'[1]Tissue Data'!$A:$A,'[1]Tissue Data'!K:K)</f>
        <v>Whole Body</v>
      </c>
      <c r="I4812">
        <f>_xlfn.XLOOKUP(A4812,'[1]Tissue Data'!$A:$A,'[1]Tissue Data'!L:L)</f>
        <v>8</v>
      </c>
      <c r="J4812">
        <f>_xlfn.XLOOKUP(A4812,'[1]Tissue Data'!$A:$A,'[1]Tissue Data'!M:M)</f>
        <v>7.72</v>
      </c>
      <c r="K4812" t="s">
        <v>22</v>
      </c>
      <c r="L4812" t="str">
        <f>_xlfn.XLOOKUP(K4812,[2]analyte_order!$B:$B,[2]analyte_order!$C:$C)</f>
        <v>376-06-7</v>
      </c>
      <c r="M4812">
        <f>_xlfn.XLOOKUP(L4812,[2]analyte_order!$C:$C,[2]analyte_order!$E:$E)</f>
        <v>11</v>
      </c>
      <c r="N4812">
        <v>10.4</v>
      </c>
    </row>
    <row r="4813" spans="1:14">
      <c r="A4813" t="s">
        <v>276</v>
      </c>
      <c r="B4813" t="str">
        <f>_xlfn.XLOOKUP(A4813,'[1]Tissue Data'!$A:$A,'[1]Tissue Data'!$C:$C)</f>
        <v>Spill</v>
      </c>
      <c r="C4813" s="2">
        <f>_xlfn.XLOOKUP(A4813,'[1]Tissue Data'!$A:$A,'[1]Tissue Data'!$D:$D)</f>
        <v>44393</v>
      </c>
      <c r="D4813" s="2" t="str">
        <f>_xlfn.XLOOKUP(A4813,'[1]Tissue Data'!$A:$A,'[1]Tissue Data'!$F:$F)</f>
        <v>Pumpkinseed</v>
      </c>
      <c r="E4813" t="str">
        <f>_xlfn.XLOOKUP(A4813,'[1]Tissue Data'!$A:$A,'[1]Tissue Data'!$H:$H)</f>
        <v>Lepomis</v>
      </c>
      <c r="F4813" t="str">
        <f>_xlfn.XLOOKUP(A4813,'[1]Tissue Data'!$A:$A,'[1]Tissue Data'!$I:$I)</f>
        <v>gibbosus</v>
      </c>
      <c r="G4813" t="str">
        <f>_xlfn.XLOOKUP(A4813,'[1]Tissue Data'!$A:$A,'[1]Tissue Data'!J:J)</f>
        <v>U</v>
      </c>
      <c r="H4813" t="str">
        <f>_xlfn.XLOOKUP(A4813,'[1]Tissue Data'!$A:$A,'[1]Tissue Data'!K:K)</f>
        <v>Whole Body</v>
      </c>
      <c r="I4813">
        <f>_xlfn.XLOOKUP(A4813,'[1]Tissue Data'!$A:$A,'[1]Tissue Data'!L:L)</f>
        <v>8</v>
      </c>
      <c r="J4813">
        <f>_xlfn.XLOOKUP(A4813,'[1]Tissue Data'!$A:$A,'[1]Tissue Data'!M:M)</f>
        <v>7.72</v>
      </c>
      <c r="K4813" t="s">
        <v>23</v>
      </c>
      <c r="L4813" t="str">
        <f>_xlfn.XLOOKUP(K4813,[2]analyte_order!$B:$B,[2]analyte_order!$C:$C)</f>
        <v>67905-19-5</v>
      </c>
      <c r="M4813">
        <f>_xlfn.XLOOKUP(L4813,[2]analyte_order!$C:$C,[2]analyte_order!$E:$E)</f>
        <v>12</v>
      </c>
      <c r="N4813">
        <v>0.28899999999999998</v>
      </c>
    </row>
    <row r="4814" spans="1:14">
      <c r="A4814" t="s">
        <v>276</v>
      </c>
      <c r="B4814" t="str">
        <f>_xlfn.XLOOKUP(A4814,'[1]Tissue Data'!$A:$A,'[1]Tissue Data'!$C:$C)</f>
        <v>Spill</v>
      </c>
      <c r="C4814" s="2">
        <f>_xlfn.XLOOKUP(A4814,'[1]Tissue Data'!$A:$A,'[1]Tissue Data'!$D:$D)</f>
        <v>44393</v>
      </c>
      <c r="D4814" s="2" t="str">
        <f>_xlfn.XLOOKUP(A4814,'[1]Tissue Data'!$A:$A,'[1]Tissue Data'!$F:$F)</f>
        <v>Pumpkinseed</v>
      </c>
      <c r="E4814" t="str">
        <f>_xlfn.XLOOKUP(A4814,'[1]Tissue Data'!$A:$A,'[1]Tissue Data'!$H:$H)</f>
        <v>Lepomis</v>
      </c>
      <c r="F4814" t="str">
        <f>_xlfn.XLOOKUP(A4814,'[1]Tissue Data'!$A:$A,'[1]Tissue Data'!$I:$I)</f>
        <v>gibbosus</v>
      </c>
      <c r="G4814" t="str">
        <f>_xlfn.XLOOKUP(A4814,'[1]Tissue Data'!$A:$A,'[1]Tissue Data'!J:J)</f>
        <v>U</v>
      </c>
      <c r="H4814" t="str">
        <f>_xlfn.XLOOKUP(A4814,'[1]Tissue Data'!$A:$A,'[1]Tissue Data'!K:K)</f>
        <v>Whole Body</v>
      </c>
      <c r="I4814">
        <f>_xlfn.XLOOKUP(A4814,'[1]Tissue Data'!$A:$A,'[1]Tissue Data'!L:L)</f>
        <v>8</v>
      </c>
      <c r="J4814">
        <f>_xlfn.XLOOKUP(A4814,'[1]Tissue Data'!$A:$A,'[1]Tissue Data'!M:M)</f>
        <v>7.72</v>
      </c>
      <c r="K4814" t="s">
        <v>24</v>
      </c>
      <c r="L4814" t="str">
        <f>_xlfn.XLOOKUP(K4814,[2]analyte_order!$B:$B,[2]analyte_order!$C:$C)</f>
        <v>423-41-6</v>
      </c>
      <c r="M4814">
        <f>_xlfn.XLOOKUP(L4814,[2]analyte_order!$C:$C,[2]analyte_order!$E:$E)</f>
        <v>53</v>
      </c>
      <c r="N4814">
        <v>7.3499999999999996E-2</v>
      </c>
    </row>
    <row r="4815" spans="1:14">
      <c r="A4815" t="s">
        <v>276</v>
      </c>
      <c r="B4815" t="str">
        <f>_xlfn.XLOOKUP(A4815,'[1]Tissue Data'!$A:$A,'[1]Tissue Data'!$C:$C)</f>
        <v>Spill</v>
      </c>
      <c r="C4815" s="2">
        <f>_xlfn.XLOOKUP(A4815,'[1]Tissue Data'!$A:$A,'[1]Tissue Data'!$D:$D)</f>
        <v>44393</v>
      </c>
      <c r="D4815" s="2" t="str">
        <f>_xlfn.XLOOKUP(A4815,'[1]Tissue Data'!$A:$A,'[1]Tissue Data'!$F:$F)</f>
        <v>Pumpkinseed</v>
      </c>
      <c r="E4815" t="str">
        <f>_xlfn.XLOOKUP(A4815,'[1]Tissue Data'!$A:$A,'[1]Tissue Data'!$H:$H)</f>
        <v>Lepomis</v>
      </c>
      <c r="F4815" t="str">
        <f>_xlfn.XLOOKUP(A4815,'[1]Tissue Data'!$A:$A,'[1]Tissue Data'!$I:$I)</f>
        <v>gibbosus</v>
      </c>
      <c r="G4815" t="str">
        <f>_xlfn.XLOOKUP(A4815,'[1]Tissue Data'!$A:$A,'[1]Tissue Data'!J:J)</f>
        <v>U</v>
      </c>
      <c r="H4815" t="str">
        <f>_xlfn.XLOOKUP(A4815,'[1]Tissue Data'!$A:$A,'[1]Tissue Data'!K:K)</f>
        <v>Whole Body</v>
      </c>
      <c r="I4815">
        <f>_xlfn.XLOOKUP(A4815,'[1]Tissue Data'!$A:$A,'[1]Tissue Data'!L:L)</f>
        <v>8</v>
      </c>
      <c r="J4815">
        <f>_xlfn.XLOOKUP(A4815,'[1]Tissue Data'!$A:$A,'[1]Tissue Data'!M:M)</f>
        <v>7.72</v>
      </c>
      <c r="K4815" t="s">
        <v>25</v>
      </c>
      <c r="L4815" t="str">
        <f>_xlfn.XLOOKUP(K4815,[2]analyte_order!$B:$B,[2]analyte_order!$C:$C)</f>
        <v>375-73-5</v>
      </c>
      <c r="M4815">
        <f>_xlfn.XLOOKUP(L4815,[2]analyte_order!$C:$C,[2]analyte_order!$E:$E)</f>
        <v>14</v>
      </c>
      <c r="N4815">
        <v>0.16500000000000001</v>
      </c>
    </row>
    <row r="4816" spans="1:14">
      <c r="A4816" t="s">
        <v>276</v>
      </c>
      <c r="B4816" t="str">
        <f>_xlfn.XLOOKUP(A4816,'[1]Tissue Data'!$A:$A,'[1]Tissue Data'!$C:$C)</f>
        <v>Spill</v>
      </c>
      <c r="C4816" s="2">
        <f>_xlfn.XLOOKUP(A4816,'[1]Tissue Data'!$A:$A,'[1]Tissue Data'!$D:$D)</f>
        <v>44393</v>
      </c>
      <c r="D4816" s="2" t="str">
        <f>_xlfn.XLOOKUP(A4816,'[1]Tissue Data'!$A:$A,'[1]Tissue Data'!$F:$F)</f>
        <v>Pumpkinseed</v>
      </c>
      <c r="E4816" t="str">
        <f>_xlfn.XLOOKUP(A4816,'[1]Tissue Data'!$A:$A,'[1]Tissue Data'!$H:$H)</f>
        <v>Lepomis</v>
      </c>
      <c r="F4816" t="str">
        <f>_xlfn.XLOOKUP(A4816,'[1]Tissue Data'!$A:$A,'[1]Tissue Data'!$I:$I)</f>
        <v>gibbosus</v>
      </c>
      <c r="G4816" t="str">
        <f>_xlfn.XLOOKUP(A4816,'[1]Tissue Data'!$A:$A,'[1]Tissue Data'!J:J)</f>
        <v>U</v>
      </c>
      <c r="H4816" t="str">
        <f>_xlfn.XLOOKUP(A4816,'[1]Tissue Data'!$A:$A,'[1]Tissue Data'!K:K)</f>
        <v>Whole Body</v>
      </c>
      <c r="I4816">
        <f>_xlfn.XLOOKUP(A4816,'[1]Tissue Data'!$A:$A,'[1]Tissue Data'!L:L)</f>
        <v>8</v>
      </c>
      <c r="J4816">
        <f>_xlfn.XLOOKUP(A4816,'[1]Tissue Data'!$A:$A,'[1]Tissue Data'!M:M)</f>
        <v>7.72</v>
      </c>
      <c r="K4816" t="s">
        <v>26</v>
      </c>
      <c r="L4816" t="str">
        <f>_xlfn.XLOOKUP(K4816,[2]analyte_order!$B:$B,[2]analyte_order!$C:$C)</f>
        <v>2706-91-4</v>
      </c>
      <c r="M4816">
        <f>_xlfn.XLOOKUP(L4816,[2]analyte_order!$C:$C,[2]analyte_order!$E:$E)</f>
        <v>15</v>
      </c>
      <c r="N4816">
        <v>0.24249999999999999</v>
      </c>
    </row>
    <row r="4817" spans="1:14">
      <c r="A4817" t="s">
        <v>276</v>
      </c>
      <c r="B4817" t="str">
        <f>_xlfn.XLOOKUP(A4817,'[1]Tissue Data'!$A:$A,'[1]Tissue Data'!$C:$C)</f>
        <v>Spill</v>
      </c>
      <c r="C4817" s="2">
        <f>_xlfn.XLOOKUP(A4817,'[1]Tissue Data'!$A:$A,'[1]Tissue Data'!$D:$D)</f>
        <v>44393</v>
      </c>
      <c r="D4817" s="2" t="str">
        <f>_xlfn.XLOOKUP(A4817,'[1]Tissue Data'!$A:$A,'[1]Tissue Data'!$F:$F)</f>
        <v>Pumpkinseed</v>
      </c>
      <c r="E4817" t="str">
        <f>_xlfn.XLOOKUP(A4817,'[1]Tissue Data'!$A:$A,'[1]Tissue Data'!$H:$H)</f>
        <v>Lepomis</v>
      </c>
      <c r="F4817" t="str">
        <f>_xlfn.XLOOKUP(A4817,'[1]Tissue Data'!$A:$A,'[1]Tissue Data'!$I:$I)</f>
        <v>gibbosus</v>
      </c>
      <c r="G4817" t="str">
        <f>_xlfn.XLOOKUP(A4817,'[1]Tissue Data'!$A:$A,'[1]Tissue Data'!J:J)</f>
        <v>U</v>
      </c>
      <c r="H4817" t="str">
        <f>_xlfn.XLOOKUP(A4817,'[1]Tissue Data'!$A:$A,'[1]Tissue Data'!K:K)</f>
        <v>Whole Body</v>
      </c>
      <c r="I4817">
        <f>_xlfn.XLOOKUP(A4817,'[1]Tissue Data'!$A:$A,'[1]Tissue Data'!L:L)</f>
        <v>8</v>
      </c>
      <c r="J4817">
        <f>_xlfn.XLOOKUP(A4817,'[1]Tissue Data'!$A:$A,'[1]Tissue Data'!M:M)</f>
        <v>7.72</v>
      </c>
      <c r="K4817" t="s">
        <v>27</v>
      </c>
      <c r="L4817" t="str">
        <f>_xlfn.XLOOKUP(K4817,[2]analyte_order!$B:$B,[2]analyte_order!$C:$C)</f>
        <v>355-46-4</v>
      </c>
      <c r="M4817">
        <f>_xlfn.XLOOKUP(L4817,[2]analyte_order!$C:$C,[2]analyte_order!$E:$E)</f>
        <v>16</v>
      </c>
      <c r="N4817">
        <v>15.7</v>
      </c>
    </row>
    <row r="4818" spans="1:14">
      <c r="A4818" t="s">
        <v>276</v>
      </c>
      <c r="B4818" t="str">
        <f>_xlfn.XLOOKUP(A4818,'[1]Tissue Data'!$A:$A,'[1]Tissue Data'!$C:$C)</f>
        <v>Spill</v>
      </c>
      <c r="C4818" s="2">
        <f>_xlfn.XLOOKUP(A4818,'[1]Tissue Data'!$A:$A,'[1]Tissue Data'!$D:$D)</f>
        <v>44393</v>
      </c>
      <c r="D4818" s="2" t="str">
        <f>_xlfn.XLOOKUP(A4818,'[1]Tissue Data'!$A:$A,'[1]Tissue Data'!$F:$F)</f>
        <v>Pumpkinseed</v>
      </c>
      <c r="E4818" t="str">
        <f>_xlfn.XLOOKUP(A4818,'[1]Tissue Data'!$A:$A,'[1]Tissue Data'!$H:$H)</f>
        <v>Lepomis</v>
      </c>
      <c r="F4818" t="str">
        <f>_xlfn.XLOOKUP(A4818,'[1]Tissue Data'!$A:$A,'[1]Tissue Data'!$I:$I)</f>
        <v>gibbosus</v>
      </c>
      <c r="G4818" t="str">
        <f>_xlfn.XLOOKUP(A4818,'[1]Tissue Data'!$A:$A,'[1]Tissue Data'!J:J)</f>
        <v>U</v>
      </c>
      <c r="H4818" t="str">
        <f>_xlfn.XLOOKUP(A4818,'[1]Tissue Data'!$A:$A,'[1]Tissue Data'!K:K)</f>
        <v>Whole Body</v>
      </c>
      <c r="I4818">
        <f>_xlfn.XLOOKUP(A4818,'[1]Tissue Data'!$A:$A,'[1]Tissue Data'!L:L)</f>
        <v>8</v>
      </c>
      <c r="J4818">
        <f>_xlfn.XLOOKUP(A4818,'[1]Tissue Data'!$A:$A,'[1]Tissue Data'!M:M)</f>
        <v>7.72</v>
      </c>
      <c r="K4818" t="s">
        <v>28</v>
      </c>
      <c r="L4818" t="str">
        <f>_xlfn.XLOOKUP(K4818,[2]analyte_order!$B:$B,[2]analyte_order!$C:$C)</f>
        <v>375-92-8</v>
      </c>
      <c r="M4818">
        <f>_xlfn.XLOOKUP(L4818,[2]analyte_order!$C:$C,[2]analyte_order!$E:$E)</f>
        <v>17</v>
      </c>
      <c r="N4818">
        <v>2.1800000000000002</v>
      </c>
    </row>
    <row r="4819" spans="1:14">
      <c r="A4819" t="s">
        <v>276</v>
      </c>
      <c r="B4819" t="str">
        <f>_xlfn.XLOOKUP(A4819,'[1]Tissue Data'!$A:$A,'[1]Tissue Data'!$C:$C)</f>
        <v>Spill</v>
      </c>
      <c r="C4819" s="2">
        <f>_xlfn.XLOOKUP(A4819,'[1]Tissue Data'!$A:$A,'[1]Tissue Data'!$D:$D)</f>
        <v>44393</v>
      </c>
      <c r="D4819" s="2" t="str">
        <f>_xlfn.XLOOKUP(A4819,'[1]Tissue Data'!$A:$A,'[1]Tissue Data'!$F:$F)</f>
        <v>Pumpkinseed</v>
      </c>
      <c r="E4819" t="str">
        <f>_xlfn.XLOOKUP(A4819,'[1]Tissue Data'!$A:$A,'[1]Tissue Data'!$H:$H)</f>
        <v>Lepomis</v>
      </c>
      <c r="F4819" t="str">
        <f>_xlfn.XLOOKUP(A4819,'[1]Tissue Data'!$A:$A,'[1]Tissue Data'!$I:$I)</f>
        <v>gibbosus</v>
      </c>
      <c r="G4819" t="str">
        <f>_xlfn.XLOOKUP(A4819,'[1]Tissue Data'!$A:$A,'[1]Tissue Data'!J:J)</f>
        <v>U</v>
      </c>
      <c r="H4819" t="str">
        <f>_xlfn.XLOOKUP(A4819,'[1]Tissue Data'!$A:$A,'[1]Tissue Data'!K:K)</f>
        <v>Whole Body</v>
      </c>
      <c r="I4819">
        <f>_xlfn.XLOOKUP(A4819,'[1]Tissue Data'!$A:$A,'[1]Tissue Data'!L:L)</f>
        <v>8</v>
      </c>
      <c r="J4819">
        <f>_xlfn.XLOOKUP(A4819,'[1]Tissue Data'!$A:$A,'[1]Tissue Data'!M:M)</f>
        <v>7.72</v>
      </c>
      <c r="K4819" t="s">
        <v>29</v>
      </c>
      <c r="L4819" t="str">
        <f>_xlfn.XLOOKUP(K4819,[2]analyte_order!$B:$B,[2]analyte_order!$C:$C)</f>
        <v>1763-23-1</v>
      </c>
      <c r="M4819">
        <f>_xlfn.XLOOKUP(L4819,[2]analyte_order!$C:$C,[2]analyte_order!$E:$E)</f>
        <v>18</v>
      </c>
      <c r="N4819">
        <v>769</v>
      </c>
    </row>
    <row r="4820" spans="1:14">
      <c r="A4820" t="s">
        <v>276</v>
      </c>
      <c r="B4820" t="str">
        <f>_xlfn.XLOOKUP(A4820,'[1]Tissue Data'!$A:$A,'[1]Tissue Data'!$C:$C)</f>
        <v>Spill</v>
      </c>
      <c r="C4820" s="2">
        <f>_xlfn.XLOOKUP(A4820,'[1]Tissue Data'!$A:$A,'[1]Tissue Data'!$D:$D)</f>
        <v>44393</v>
      </c>
      <c r="D4820" s="2" t="str">
        <f>_xlfn.XLOOKUP(A4820,'[1]Tissue Data'!$A:$A,'[1]Tissue Data'!$F:$F)</f>
        <v>Pumpkinseed</v>
      </c>
      <c r="E4820" t="str">
        <f>_xlfn.XLOOKUP(A4820,'[1]Tissue Data'!$A:$A,'[1]Tissue Data'!$H:$H)</f>
        <v>Lepomis</v>
      </c>
      <c r="F4820" t="str">
        <f>_xlfn.XLOOKUP(A4820,'[1]Tissue Data'!$A:$A,'[1]Tissue Data'!$I:$I)</f>
        <v>gibbosus</v>
      </c>
      <c r="G4820" t="str">
        <f>_xlfn.XLOOKUP(A4820,'[1]Tissue Data'!$A:$A,'[1]Tissue Data'!J:J)</f>
        <v>U</v>
      </c>
      <c r="H4820" t="str">
        <f>_xlfn.XLOOKUP(A4820,'[1]Tissue Data'!$A:$A,'[1]Tissue Data'!K:K)</f>
        <v>Whole Body</v>
      </c>
      <c r="I4820">
        <f>_xlfn.XLOOKUP(A4820,'[1]Tissue Data'!$A:$A,'[1]Tissue Data'!L:L)</f>
        <v>8</v>
      </c>
      <c r="J4820">
        <f>_xlfn.XLOOKUP(A4820,'[1]Tissue Data'!$A:$A,'[1]Tissue Data'!M:M)</f>
        <v>7.72</v>
      </c>
      <c r="K4820" t="s">
        <v>30</v>
      </c>
      <c r="L4820" t="str">
        <f>_xlfn.XLOOKUP(K4820,[2]analyte_order!$B:$B,[2]analyte_order!$C:$C)</f>
        <v>68259-12-1</v>
      </c>
      <c r="M4820">
        <f>_xlfn.XLOOKUP(L4820,[2]analyte_order!$C:$C,[2]analyte_order!$E:$E)</f>
        <v>19</v>
      </c>
      <c r="N4820">
        <v>4.04</v>
      </c>
    </row>
    <row r="4821" spans="1:14">
      <c r="A4821" t="s">
        <v>276</v>
      </c>
      <c r="B4821" t="str">
        <f>_xlfn.XLOOKUP(A4821,'[1]Tissue Data'!$A:$A,'[1]Tissue Data'!$C:$C)</f>
        <v>Spill</v>
      </c>
      <c r="C4821" s="2">
        <f>_xlfn.XLOOKUP(A4821,'[1]Tissue Data'!$A:$A,'[1]Tissue Data'!$D:$D)</f>
        <v>44393</v>
      </c>
      <c r="D4821" s="2" t="str">
        <f>_xlfn.XLOOKUP(A4821,'[1]Tissue Data'!$A:$A,'[1]Tissue Data'!$F:$F)</f>
        <v>Pumpkinseed</v>
      </c>
      <c r="E4821" t="str">
        <f>_xlfn.XLOOKUP(A4821,'[1]Tissue Data'!$A:$A,'[1]Tissue Data'!$H:$H)</f>
        <v>Lepomis</v>
      </c>
      <c r="F4821" t="str">
        <f>_xlfn.XLOOKUP(A4821,'[1]Tissue Data'!$A:$A,'[1]Tissue Data'!$I:$I)</f>
        <v>gibbosus</v>
      </c>
      <c r="G4821" t="str">
        <f>_xlfn.XLOOKUP(A4821,'[1]Tissue Data'!$A:$A,'[1]Tissue Data'!J:J)</f>
        <v>U</v>
      </c>
      <c r="H4821" t="str">
        <f>_xlfn.XLOOKUP(A4821,'[1]Tissue Data'!$A:$A,'[1]Tissue Data'!K:K)</f>
        <v>Whole Body</v>
      </c>
      <c r="I4821">
        <f>_xlfn.XLOOKUP(A4821,'[1]Tissue Data'!$A:$A,'[1]Tissue Data'!L:L)</f>
        <v>8</v>
      </c>
      <c r="J4821">
        <f>_xlfn.XLOOKUP(A4821,'[1]Tissue Data'!$A:$A,'[1]Tissue Data'!M:M)</f>
        <v>7.72</v>
      </c>
      <c r="K4821" t="s">
        <v>31</v>
      </c>
      <c r="L4821" t="str">
        <f>_xlfn.XLOOKUP(K4821,[2]analyte_order!$B:$B,[2]analyte_order!$C:$C)</f>
        <v>335-77-3</v>
      </c>
      <c r="M4821">
        <f>_xlfn.XLOOKUP(L4821,[2]analyte_order!$C:$C,[2]analyte_order!$E:$E)</f>
        <v>20</v>
      </c>
      <c r="N4821">
        <v>3.81</v>
      </c>
    </row>
    <row r="4822" spans="1:14">
      <c r="A4822" t="s">
        <v>276</v>
      </c>
      <c r="B4822" t="str">
        <f>_xlfn.XLOOKUP(A4822,'[1]Tissue Data'!$A:$A,'[1]Tissue Data'!$C:$C)</f>
        <v>Spill</v>
      </c>
      <c r="C4822" s="2">
        <f>_xlfn.XLOOKUP(A4822,'[1]Tissue Data'!$A:$A,'[1]Tissue Data'!$D:$D)</f>
        <v>44393</v>
      </c>
      <c r="D4822" s="2" t="str">
        <f>_xlfn.XLOOKUP(A4822,'[1]Tissue Data'!$A:$A,'[1]Tissue Data'!$F:$F)</f>
        <v>Pumpkinseed</v>
      </c>
      <c r="E4822" t="str">
        <f>_xlfn.XLOOKUP(A4822,'[1]Tissue Data'!$A:$A,'[1]Tissue Data'!$H:$H)</f>
        <v>Lepomis</v>
      </c>
      <c r="F4822" t="str">
        <f>_xlfn.XLOOKUP(A4822,'[1]Tissue Data'!$A:$A,'[1]Tissue Data'!$I:$I)</f>
        <v>gibbosus</v>
      </c>
      <c r="G4822" t="str">
        <f>_xlfn.XLOOKUP(A4822,'[1]Tissue Data'!$A:$A,'[1]Tissue Data'!J:J)</f>
        <v>U</v>
      </c>
      <c r="H4822" t="str">
        <f>_xlfn.XLOOKUP(A4822,'[1]Tissue Data'!$A:$A,'[1]Tissue Data'!K:K)</f>
        <v>Whole Body</v>
      </c>
      <c r="I4822">
        <f>_xlfn.XLOOKUP(A4822,'[1]Tissue Data'!$A:$A,'[1]Tissue Data'!L:L)</f>
        <v>8</v>
      </c>
      <c r="J4822">
        <f>_xlfn.XLOOKUP(A4822,'[1]Tissue Data'!$A:$A,'[1]Tissue Data'!M:M)</f>
        <v>7.72</v>
      </c>
      <c r="K4822" t="s">
        <v>32</v>
      </c>
      <c r="L4822" t="str">
        <f>_xlfn.XLOOKUP(K4822,[2]analyte_order!$B:$B,[2]analyte_order!$C:$C)</f>
        <v>79780-39-5</v>
      </c>
      <c r="M4822">
        <f>_xlfn.XLOOKUP(L4822,[2]analyte_order!$C:$C,[2]analyte_order!$E:$E)</f>
        <v>21</v>
      </c>
      <c r="N4822">
        <v>0.80300000000000005</v>
      </c>
    </row>
    <row r="4823" spans="1:14">
      <c r="A4823" t="s">
        <v>276</v>
      </c>
      <c r="B4823" t="str">
        <f>_xlfn.XLOOKUP(A4823,'[1]Tissue Data'!$A:$A,'[1]Tissue Data'!$C:$C)</f>
        <v>Spill</v>
      </c>
      <c r="C4823" s="2">
        <f>_xlfn.XLOOKUP(A4823,'[1]Tissue Data'!$A:$A,'[1]Tissue Data'!$D:$D)</f>
        <v>44393</v>
      </c>
      <c r="D4823" s="2" t="str">
        <f>_xlfn.XLOOKUP(A4823,'[1]Tissue Data'!$A:$A,'[1]Tissue Data'!$F:$F)</f>
        <v>Pumpkinseed</v>
      </c>
      <c r="E4823" t="str">
        <f>_xlfn.XLOOKUP(A4823,'[1]Tissue Data'!$A:$A,'[1]Tissue Data'!$H:$H)</f>
        <v>Lepomis</v>
      </c>
      <c r="F4823" t="str">
        <f>_xlfn.XLOOKUP(A4823,'[1]Tissue Data'!$A:$A,'[1]Tissue Data'!$I:$I)</f>
        <v>gibbosus</v>
      </c>
      <c r="G4823" t="str">
        <f>_xlfn.XLOOKUP(A4823,'[1]Tissue Data'!$A:$A,'[1]Tissue Data'!J:J)</f>
        <v>U</v>
      </c>
      <c r="H4823" t="str">
        <f>_xlfn.XLOOKUP(A4823,'[1]Tissue Data'!$A:$A,'[1]Tissue Data'!K:K)</f>
        <v>Whole Body</v>
      </c>
      <c r="I4823">
        <f>_xlfn.XLOOKUP(A4823,'[1]Tissue Data'!$A:$A,'[1]Tissue Data'!L:L)</f>
        <v>8</v>
      </c>
      <c r="J4823">
        <f>_xlfn.XLOOKUP(A4823,'[1]Tissue Data'!$A:$A,'[1]Tissue Data'!M:M)</f>
        <v>7.72</v>
      </c>
      <c r="K4823" t="s">
        <v>33</v>
      </c>
      <c r="L4823" t="str">
        <f>_xlfn.XLOOKUP(K4823,[2]analyte_order!$B:$B,[2]analyte_order!$C:$C)</f>
        <v>777011-38-8</v>
      </c>
      <c r="M4823">
        <f>_xlfn.XLOOKUP(L4823,[2]analyte_order!$C:$C,[2]analyte_order!$E:$E)</f>
        <v>54</v>
      </c>
      <c r="N4823">
        <v>0.14749999999999999</v>
      </c>
    </row>
    <row r="4824" spans="1:14">
      <c r="A4824" t="s">
        <v>276</v>
      </c>
      <c r="B4824" t="str">
        <f>_xlfn.XLOOKUP(A4824,'[1]Tissue Data'!$A:$A,'[1]Tissue Data'!$C:$C)</f>
        <v>Spill</v>
      </c>
      <c r="C4824" s="2">
        <f>_xlfn.XLOOKUP(A4824,'[1]Tissue Data'!$A:$A,'[1]Tissue Data'!$D:$D)</f>
        <v>44393</v>
      </c>
      <c r="D4824" s="2" t="str">
        <f>_xlfn.XLOOKUP(A4824,'[1]Tissue Data'!$A:$A,'[1]Tissue Data'!$F:$F)</f>
        <v>Pumpkinseed</v>
      </c>
      <c r="E4824" t="str">
        <f>_xlfn.XLOOKUP(A4824,'[1]Tissue Data'!$A:$A,'[1]Tissue Data'!$H:$H)</f>
        <v>Lepomis</v>
      </c>
      <c r="F4824" t="str">
        <f>_xlfn.XLOOKUP(A4824,'[1]Tissue Data'!$A:$A,'[1]Tissue Data'!$I:$I)</f>
        <v>gibbosus</v>
      </c>
      <c r="G4824" t="str">
        <f>_xlfn.XLOOKUP(A4824,'[1]Tissue Data'!$A:$A,'[1]Tissue Data'!J:J)</f>
        <v>U</v>
      </c>
      <c r="H4824" t="str">
        <f>_xlfn.XLOOKUP(A4824,'[1]Tissue Data'!$A:$A,'[1]Tissue Data'!K:K)</f>
        <v>Whole Body</v>
      </c>
      <c r="I4824">
        <f>_xlfn.XLOOKUP(A4824,'[1]Tissue Data'!$A:$A,'[1]Tissue Data'!L:L)</f>
        <v>8</v>
      </c>
      <c r="J4824">
        <f>_xlfn.XLOOKUP(A4824,'[1]Tissue Data'!$A:$A,'[1]Tissue Data'!M:M)</f>
        <v>7.72</v>
      </c>
      <c r="K4824" t="s">
        <v>34</v>
      </c>
      <c r="L4824" t="str">
        <f>_xlfn.XLOOKUP(K4824,[2]analyte_order!$B:$B,[2]analyte_order!$C:$C)</f>
        <v>646-83-3</v>
      </c>
      <c r="M4824">
        <f>_xlfn.XLOOKUP(L4824,[2]analyte_order!$C:$C,[2]analyte_order!$E:$E)</f>
        <v>55</v>
      </c>
      <c r="N4824">
        <v>0.24249999999999999</v>
      </c>
    </row>
    <row r="4825" spans="1:14">
      <c r="A4825" t="s">
        <v>276</v>
      </c>
      <c r="B4825" t="str">
        <f>_xlfn.XLOOKUP(A4825,'[1]Tissue Data'!$A:$A,'[1]Tissue Data'!$C:$C)</f>
        <v>Spill</v>
      </c>
      <c r="C4825" s="2">
        <f>_xlfn.XLOOKUP(A4825,'[1]Tissue Data'!$A:$A,'[1]Tissue Data'!$D:$D)</f>
        <v>44393</v>
      </c>
      <c r="D4825" s="2" t="str">
        <f>_xlfn.XLOOKUP(A4825,'[1]Tissue Data'!$A:$A,'[1]Tissue Data'!$F:$F)</f>
        <v>Pumpkinseed</v>
      </c>
      <c r="E4825" t="str">
        <f>_xlfn.XLOOKUP(A4825,'[1]Tissue Data'!$A:$A,'[1]Tissue Data'!$H:$H)</f>
        <v>Lepomis</v>
      </c>
      <c r="F4825" t="str">
        <f>_xlfn.XLOOKUP(A4825,'[1]Tissue Data'!$A:$A,'[1]Tissue Data'!$I:$I)</f>
        <v>gibbosus</v>
      </c>
      <c r="G4825" t="str">
        <f>_xlfn.XLOOKUP(A4825,'[1]Tissue Data'!$A:$A,'[1]Tissue Data'!J:J)</f>
        <v>U</v>
      </c>
      <c r="H4825" t="str">
        <f>_xlfn.XLOOKUP(A4825,'[1]Tissue Data'!$A:$A,'[1]Tissue Data'!K:K)</f>
        <v>Whole Body</v>
      </c>
      <c r="I4825">
        <f>_xlfn.XLOOKUP(A4825,'[1]Tissue Data'!$A:$A,'[1]Tissue Data'!L:L)</f>
        <v>8</v>
      </c>
      <c r="J4825">
        <f>_xlfn.XLOOKUP(A4825,'[1]Tissue Data'!$A:$A,'[1]Tissue Data'!M:M)</f>
        <v>7.72</v>
      </c>
      <c r="K4825" t="s">
        <v>35</v>
      </c>
      <c r="L4825" t="str">
        <f>_xlfn.XLOOKUP(K4825,[2]analyte_order!$B:$B,[2]analyte_order!$C:$C)</f>
        <v>30334-69-1</v>
      </c>
      <c r="M4825">
        <f>_xlfn.XLOOKUP(L4825,[2]analyte_order!$C:$C,[2]analyte_order!$E:$E)</f>
        <v>51</v>
      </c>
      <c r="N4825">
        <v>16.899999999999999</v>
      </c>
    </row>
    <row r="4826" spans="1:14">
      <c r="A4826" t="s">
        <v>276</v>
      </c>
      <c r="B4826" t="str">
        <f>_xlfn.XLOOKUP(A4826,'[1]Tissue Data'!$A:$A,'[1]Tissue Data'!$C:$C)</f>
        <v>Spill</v>
      </c>
      <c r="C4826" s="2">
        <f>_xlfn.XLOOKUP(A4826,'[1]Tissue Data'!$A:$A,'[1]Tissue Data'!$D:$D)</f>
        <v>44393</v>
      </c>
      <c r="D4826" s="2" t="str">
        <f>_xlfn.XLOOKUP(A4826,'[1]Tissue Data'!$A:$A,'[1]Tissue Data'!$F:$F)</f>
        <v>Pumpkinseed</v>
      </c>
      <c r="E4826" t="str">
        <f>_xlfn.XLOOKUP(A4826,'[1]Tissue Data'!$A:$A,'[1]Tissue Data'!$H:$H)</f>
        <v>Lepomis</v>
      </c>
      <c r="F4826" t="str">
        <f>_xlfn.XLOOKUP(A4826,'[1]Tissue Data'!$A:$A,'[1]Tissue Data'!$I:$I)</f>
        <v>gibbosus</v>
      </c>
      <c r="G4826" t="str">
        <f>_xlfn.XLOOKUP(A4826,'[1]Tissue Data'!$A:$A,'[1]Tissue Data'!J:J)</f>
        <v>U</v>
      </c>
      <c r="H4826" t="str">
        <f>_xlfn.XLOOKUP(A4826,'[1]Tissue Data'!$A:$A,'[1]Tissue Data'!K:K)</f>
        <v>Whole Body</v>
      </c>
      <c r="I4826">
        <f>_xlfn.XLOOKUP(A4826,'[1]Tissue Data'!$A:$A,'[1]Tissue Data'!L:L)</f>
        <v>8</v>
      </c>
      <c r="J4826">
        <f>_xlfn.XLOOKUP(A4826,'[1]Tissue Data'!$A:$A,'[1]Tissue Data'!M:M)</f>
        <v>7.72</v>
      </c>
      <c r="K4826" t="s">
        <v>36</v>
      </c>
      <c r="L4826" t="str">
        <f>_xlfn.XLOOKUP(K4826,[2]analyte_order!$B:$B,[2]analyte_order!$C:$C)</f>
        <v>41997-13-1</v>
      </c>
      <c r="M4826">
        <f>_xlfn.XLOOKUP(L4826,[2]analyte_order!$C:$C,[2]analyte_order!$E:$E)</f>
        <v>52</v>
      </c>
      <c r="N4826">
        <v>54.7</v>
      </c>
    </row>
    <row r="4827" spans="1:14">
      <c r="A4827" t="s">
        <v>276</v>
      </c>
      <c r="B4827" t="str">
        <f>_xlfn.XLOOKUP(A4827,'[1]Tissue Data'!$A:$A,'[1]Tissue Data'!$C:$C)</f>
        <v>Spill</v>
      </c>
      <c r="C4827" s="2">
        <f>_xlfn.XLOOKUP(A4827,'[1]Tissue Data'!$A:$A,'[1]Tissue Data'!$D:$D)</f>
        <v>44393</v>
      </c>
      <c r="D4827" s="2" t="str">
        <f>_xlfn.XLOOKUP(A4827,'[1]Tissue Data'!$A:$A,'[1]Tissue Data'!$F:$F)</f>
        <v>Pumpkinseed</v>
      </c>
      <c r="E4827" t="str">
        <f>_xlfn.XLOOKUP(A4827,'[1]Tissue Data'!$A:$A,'[1]Tissue Data'!$H:$H)</f>
        <v>Lepomis</v>
      </c>
      <c r="F4827" t="str">
        <f>_xlfn.XLOOKUP(A4827,'[1]Tissue Data'!$A:$A,'[1]Tissue Data'!$I:$I)</f>
        <v>gibbosus</v>
      </c>
      <c r="G4827" t="str">
        <f>_xlfn.XLOOKUP(A4827,'[1]Tissue Data'!$A:$A,'[1]Tissue Data'!J:J)</f>
        <v>U</v>
      </c>
      <c r="H4827" t="str">
        <f>_xlfn.XLOOKUP(A4827,'[1]Tissue Data'!$A:$A,'[1]Tissue Data'!K:K)</f>
        <v>Whole Body</v>
      </c>
      <c r="I4827">
        <f>_xlfn.XLOOKUP(A4827,'[1]Tissue Data'!$A:$A,'[1]Tissue Data'!L:L)</f>
        <v>8</v>
      </c>
      <c r="J4827">
        <f>_xlfn.XLOOKUP(A4827,'[1]Tissue Data'!$A:$A,'[1]Tissue Data'!M:M)</f>
        <v>7.72</v>
      </c>
      <c r="K4827" t="s">
        <v>37</v>
      </c>
      <c r="L4827" t="str">
        <f>_xlfn.XLOOKUP(K4827,[2]analyte_order!$B:$B,[2]analyte_order!$C:$C)</f>
        <v>754-91-6</v>
      </c>
      <c r="M4827">
        <f>_xlfn.XLOOKUP(L4827,[2]analyte_order!$C:$C,[2]analyte_order!$E:$E)</f>
        <v>28</v>
      </c>
      <c r="N4827">
        <v>11.5</v>
      </c>
    </row>
    <row r="4828" spans="1:14">
      <c r="A4828" t="s">
        <v>276</v>
      </c>
      <c r="B4828" t="str">
        <f>_xlfn.XLOOKUP(A4828,'[1]Tissue Data'!$A:$A,'[1]Tissue Data'!$C:$C)</f>
        <v>Spill</v>
      </c>
      <c r="C4828" s="2">
        <f>_xlfn.XLOOKUP(A4828,'[1]Tissue Data'!$A:$A,'[1]Tissue Data'!$D:$D)</f>
        <v>44393</v>
      </c>
      <c r="D4828" s="2" t="str">
        <f>_xlfn.XLOOKUP(A4828,'[1]Tissue Data'!$A:$A,'[1]Tissue Data'!$F:$F)</f>
        <v>Pumpkinseed</v>
      </c>
      <c r="E4828" t="str">
        <f>_xlfn.XLOOKUP(A4828,'[1]Tissue Data'!$A:$A,'[1]Tissue Data'!$H:$H)</f>
        <v>Lepomis</v>
      </c>
      <c r="F4828" t="str">
        <f>_xlfn.XLOOKUP(A4828,'[1]Tissue Data'!$A:$A,'[1]Tissue Data'!$I:$I)</f>
        <v>gibbosus</v>
      </c>
      <c r="G4828" t="str">
        <f>_xlfn.XLOOKUP(A4828,'[1]Tissue Data'!$A:$A,'[1]Tissue Data'!J:J)</f>
        <v>U</v>
      </c>
      <c r="H4828" t="str">
        <f>_xlfn.XLOOKUP(A4828,'[1]Tissue Data'!$A:$A,'[1]Tissue Data'!K:K)</f>
        <v>Whole Body</v>
      </c>
      <c r="I4828">
        <f>_xlfn.XLOOKUP(A4828,'[1]Tissue Data'!$A:$A,'[1]Tissue Data'!L:L)</f>
        <v>8</v>
      </c>
      <c r="J4828">
        <f>_xlfn.XLOOKUP(A4828,'[1]Tissue Data'!$A:$A,'[1]Tissue Data'!M:M)</f>
        <v>7.72</v>
      </c>
      <c r="K4828" t="s">
        <v>38</v>
      </c>
      <c r="L4828" t="str">
        <f>_xlfn.XLOOKUP(K4828,[2]analyte_order!$B:$B,[2]analyte_order!$C:$C)</f>
        <v>31506-32-8</v>
      </c>
      <c r="M4828">
        <f>_xlfn.XLOOKUP(L4828,[2]analyte_order!$C:$C,[2]analyte_order!$E:$E)</f>
        <v>30</v>
      </c>
      <c r="N4828">
        <v>7.3499999999999996E-2</v>
      </c>
    </row>
    <row r="4829" spans="1:14">
      <c r="A4829" t="s">
        <v>276</v>
      </c>
      <c r="B4829" t="str">
        <f>_xlfn.XLOOKUP(A4829,'[1]Tissue Data'!$A:$A,'[1]Tissue Data'!$C:$C)</f>
        <v>Spill</v>
      </c>
      <c r="C4829" s="2">
        <f>_xlfn.XLOOKUP(A4829,'[1]Tissue Data'!$A:$A,'[1]Tissue Data'!$D:$D)</f>
        <v>44393</v>
      </c>
      <c r="D4829" s="2" t="str">
        <f>_xlfn.XLOOKUP(A4829,'[1]Tissue Data'!$A:$A,'[1]Tissue Data'!$F:$F)</f>
        <v>Pumpkinseed</v>
      </c>
      <c r="E4829" t="str">
        <f>_xlfn.XLOOKUP(A4829,'[1]Tissue Data'!$A:$A,'[1]Tissue Data'!$H:$H)</f>
        <v>Lepomis</v>
      </c>
      <c r="F4829" t="str">
        <f>_xlfn.XLOOKUP(A4829,'[1]Tissue Data'!$A:$A,'[1]Tissue Data'!$I:$I)</f>
        <v>gibbosus</v>
      </c>
      <c r="G4829" t="str">
        <f>_xlfn.XLOOKUP(A4829,'[1]Tissue Data'!$A:$A,'[1]Tissue Data'!J:J)</f>
        <v>U</v>
      </c>
      <c r="H4829" t="str">
        <f>_xlfn.XLOOKUP(A4829,'[1]Tissue Data'!$A:$A,'[1]Tissue Data'!K:K)</f>
        <v>Whole Body</v>
      </c>
      <c r="I4829">
        <f>_xlfn.XLOOKUP(A4829,'[1]Tissue Data'!$A:$A,'[1]Tissue Data'!L:L)</f>
        <v>8</v>
      </c>
      <c r="J4829">
        <f>_xlfn.XLOOKUP(A4829,'[1]Tissue Data'!$A:$A,'[1]Tissue Data'!M:M)</f>
        <v>7.72</v>
      </c>
      <c r="K4829" t="s">
        <v>39</v>
      </c>
      <c r="L4829" t="str">
        <f>_xlfn.XLOOKUP(K4829,[2]analyte_order!$B:$B,[2]analyte_order!$C:$C)</f>
        <v>4151-50-2</v>
      </c>
      <c r="M4829">
        <f>_xlfn.XLOOKUP(L4829,[2]analyte_order!$C:$C,[2]analyte_order!$E:$E)</f>
        <v>31</v>
      </c>
      <c r="N4829">
        <v>8.5999999999999993E-2</v>
      </c>
    </row>
    <row r="4830" spans="1:14">
      <c r="A4830" t="s">
        <v>276</v>
      </c>
      <c r="B4830" t="str">
        <f>_xlfn.XLOOKUP(A4830,'[1]Tissue Data'!$A:$A,'[1]Tissue Data'!$C:$C)</f>
        <v>Spill</v>
      </c>
      <c r="C4830" s="2">
        <f>_xlfn.XLOOKUP(A4830,'[1]Tissue Data'!$A:$A,'[1]Tissue Data'!$D:$D)</f>
        <v>44393</v>
      </c>
      <c r="D4830" s="2" t="str">
        <f>_xlfn.XLOOKUP(A4830,'[1]Tissue Data'!$A:$A,'[1]Tissue Data'!$F:$F)</f>
        <v>Pumpkinseed</v>
      </c>
      <c r="E4830" t="str">
        <f>_xlfn.XLOOKUP(A4830,'[1]Tissue Data'!$A:$A,'[1]Tissue Data'!$H:$H)</f>
        <v>Lepomis</v>
      </c>
      <c r="F4830" t="str">
        <f>_xlfn.XLOOKUP(A4830,'[1]Tissue Data'!$A:$A,'[1]Tissue Data'!$I:$I)</f>
        <v>gibbosus</v>
      </c>
      <c r="G4830" t="str">
        <f>_xlfn.XLOOKUP(A4830,'[1]Tissue Data'!$A:$A,'[1]Tissue Data'!J:J)</f>
        <v>U</v>
      </c>
      <c r="H4830" t="str">
        <f>_xlfn.XLOOKUP(A4830,'[1]Tissue Data'!$A:$A,'[1]Tissue Data'!K:K)</f>
        <v>Whole Body</v>
      </c>
      <c r="I4830">
        <f>_xlfn.XLOOKUP(A4830,'[1]Tissue Data'!$A:$A,'[1]Tissue Data'!L:L)</f>
        <v>8</v>
      </c>
      <c r="J4830">
        <f>_xlfn.XLOOKUP(A4830,'[1]Tissue Data'!$A:$A,'[1]Tissue Data'!M:M)</f>
        <v>7.72</v>
      </c>
      <c r="K4830" t="s">
        <v>40</v>
      </c>
      <c r="L4830" t="str">
        <f>_xlfn.XLOOKUP(K4830,[2]analyte_order!$B:$B,[2]analyte_order!$C:$C)</f>
        <v>2806-24-8</v>
      </c>
      <c r="M4830">
        <f>_xlfn.XLOOKUP(L4830,[2]analyte_order!$C:$C,[2]analyte_order!$E:$E)</f>
        <v>29</v>
      </c>
      <c r="N4830">
        <v>5.8000000000000003E-2</v>
      </c>
    </row>
    <row r="4831" spans="1:14">
      <c r="A4831" t="s">
        <v>276</v>
      </c>
      <c r="B4831" t="str">
        <f>_xlfn.XLOOKUP(A4831,'[1]Tissue Data'!$A:$A,'[1]Tissue Data'!$C:$C)</f>
        <v>Spill</v>
      </c>
      <c r="C4831" s="2">
        <f>_xlfn.XLOOKUP(A4831,'[1]Tissue Data'!$A:$A,'[1]Tissue Data'!$D:$D)</f>
        <v>44393</v>
      </c>
      <c r="D4831" s="2" t="str">
        <f>_xlfn.XLOOKUP(A4831,'[1]Tissue Data'!$A:$A,'[1]Tissue Data'!$F:$F)</f>
        <v>Pumpkinseed</v>
      </c>
      <c r="E4831" t="str">
        <f>_xlfn.XLOOKUP(A4831,'[1]Tissue Data'!$A:$A,'[1]Tissue Data'!$H:$H)</f>
        <v>Lepomis</v>
      </c>
      <c r="F4831" t="str">
        <f>_xlfn.XLOOKUP(A4831,'[1]Tissue Data'!$A:$A,'[1]Tissue Data'!$I:$I)</f>
        <v>gibbosus</v>
      </c>
      <c r="G4831" t="str">
        <f>_xlfn.XLOOKUP(A4831,'[1]Tissue Data'!$A:$A,'[1]Tissue Data'!J:J)</f>
        <v>U</v>
      </c>
      <c r="H4831" t="str">
        <f>_xlfn.XLOOKUP(A4831,'[1]Tissue Data'!$A:$A,'[1]Tissue Data'!K:K)</f>
        <v>Whole Body</v>
      </c>
      <c r="I4831">
        <f>_xlfn.XLOOKUP(A4831,'[1]Tissue Data'!$A:$A,'[1]Tissue Data'!L:L)</f>
        <v>8</v>
      </c>
      <c r="J4831">
        <f>_xlfn.XLOOKUP(A4831,'[1]Tissue Data'!$A:$A,'[1]Tissue Data'!M:M)</f>
        <v>7.72</v>
      </c>
      <c r="K4831" t="s">
        <v>41</v>
      </c>
      <c r="L4831" t="str">
        <f>_xlfn.XLOOKUP(K4831,[2]analyte_order!$B:$B,[2]analyte_order!$C:$C)</f>
        <v>2355-31-9</v>
      </c>
      <c r="M4831">
        <f>_xlfn.XLOOKUP(L4831,[2]analyte_order!$C:$C,[2]analyte_order!$E:$E)</f>
        <v>26</v>
      </c>
      <c r="N4831">
        <v>7.3999999999999996E-2</v>
      </c>
    </row>
    <row r="4832" spans="1:14">
      <c r="A4832" t="s">
        <v>276</v>
      </c>
      <c r="B4832" t="str">
        <f>_xlfn.XLOOKUP(A4832,'[1]Tissue Data'!$A:$A,'[1]Tissue Data'!$C:$C)</f>
        <v>Spill</v>
      </c>
      <c r="C4832" s="2">
        <f>_xlfn.XLOOKUP(A4832,'[1]Tissue Data'!$A:$A,'[1]Tissue Data'!$D:$D)</f>
        <v>44393</v>
      </c>
      <c r="D4832" s="2" t="str">
        <f>_xlfn.XLOOKUP(A4832,'[1]Tissue Data'!$A:$A,'[1]Tissue Data'!$F:$F)</f>
        <v>Pumpkinseed</v>
      </c>
      <c r="E4832" t="str">
        <f>_xlfn.XLOOKUP(A4832,'[1]Tissue Data'!$A:$A,'[1]Tissue Data'!$H:$H)</f>
        <v>Lepomis</v>
      </c>
      <c r="F4832" t="str">
        <f>_xlfn.XLOOKUP(A4832,'[1]Tissue Data'!$A:$A,'[1]Tissue Data'!$I:$I)</f>
        <v>gibbosus</v>
      </c>
      <c r="G4832" t="str">
        <f>_xlfn.XLOOKUP(A4832,'[1]Tissue Data'!$A:$A,'[1]Tissue Data'!J:J)</f>
        <v>U</v>
      </c>
      <c r="H4832" t="str">
        <f>_xlfn.XLOOKUP(A4832,'[1]Tissue Data'!$A:$A,'[1]Tissue Data'!K:K)</f>
        <v>Whole Body</v>
      </c>
      <c r="I4832">
        <f>_xlfn.XLOOKUP(A4832,'[1]Tissue Data'!$A:$A,'[1]Tissue Data'!L:L)</f>
        <v>8</v>
      </c>
      <c r="J4832">
        <f>_xlfn.XLOOKUP(A4832,'[1]Tissue Data'!$A:$A,'[1]Tissue Data'!M:M)</f>
        <v>7.72</v>
      </c>
      <c r="K4832" t="s">
        <v>42</v>
      </c>
      <c r="L4832" t="str">
        <f>_xlfn.XLOOKUP(K4832,[2]analyte_order!$B:$B,[2]analyte_order!$C:$C)</f>
        <v>2991-50-6</v>
      </c>
      <c r="M4832">
        <f>_xlfn.XLOOKUP(L4832,[2]analyte_order!$C:$C,[2]analyte_order!$E:$E)</f>
        <v>27</v>
      </c>
      <c r="N4832">
        <v>6.4000000000000001E-2</v>
      </c>
    </row>
    <row r="4833" spans="1:14">
      <c r="A4833" t="s">
        <v>276</v>
      </c>
      <c r="B4833" t="str">
        <f>_xlfn.XLOOKUP(A4833,'[1]Tissue Data'!$A:$A,'[1]Tissue Data'!$C:$C)</f>
        <v>Spill</v>
      </c>
      <c r="C4833" s="2">
        <f>_xlfn.XLOOKUP(A4833,'[1]Tissue Data'!$A:$A,'[1]Tissue Data'!$D:$D)</f>
        <v>44393</v>
      </c>
      <c r="D4833" s="2" t="str">
        <f>_xlfn.XLOOKUP(A4833,'[1]Tissue Data'!$A:$A,'[1]Tissue Data'!$F:$F)</f>
        <v>Pumpkinseed</v>
      </c>
      <c r="E4833" t="str">
        <f>_xlfn.XLOOKUP(A4833,'[1]Tissue Data'!$A:$A,'[1]Tissue Data'!$H:$H)</f>
        <v>Lepomis</v>
      </c>
      <c r="F4833" t="str">
        <f>_xlfn.XLOOKUP(A4833,'[1]Tissue Data'!$A:$A,'[1]Tissue Data'!$I:$I)</f>
        <v>gibbosus</v>
      </c>
      <c r="G4833" t="str">
        <f>_xlfn.XLOOKUP(A4833,'[1]Tissue Data'!$A:$A,'[1]Tissue Data'!J:J)</f>
        <v>U</v>
      </c>
      <c r="H4833" t="str">
        <f>_xlfn.XLOOKUP(A4833,'[1]Tissue Data'!$A:$A,'[1]Tissue Data'!K:K)</f>
        <v>Whole Body</v>
      </c>
      <c r="I4833">
        <f>_xlfn.XLOOKUP(A4833,'[1]Tissue Data'!$A:$A,'[1]Tissue Data'!L:L)</f>
        <v>8</v>
      </c>
      <c r="J4833">
        <f>_xlfn.XLOOKUP(A4833,'[1]Tissue Data'!$A:$A,'[1]Tissue Data'!M:M)</f>
        <v>7.72</v>
      </c>
      <c r="K4833" t="s">
        <v>43</v>
      </c>
      <c r="L4833" t="str">
        <f>_xlfn.XLOOKUP(K4833,[2]analyte_order!$B:$B,[2]analyte_order!$C:$C)</f>
        <v>757124-72-4</v>
      </c>
      <c r="M4833">
        <f>_xlfn.XLOOKUP(L4833,[2]analyte_order!$C:$C,[2]analyte_order!$E:$E)</f>
        <v>22</v>
      </c>
      <c r="N4833">
        <v>7.3499999999999996E-2</v>
      </c>
    </row>
    <row r="4834" spans="1:14">
      <c r="A4834" t="s">
        <v>276</v>
      </c>
      <c r="B4834" t="str">
        <f>_xlfn.XLOOKUP(A4834,'[1]Tissue Data'!$A:$A,'[1]Tissue Data'!$C:$C)</f>
        <v>Spill</v>
      </c>
      <c r="C4834" s="2">
        <f>_xlfn.XLOOKUP(A4834,'[1]Tissue Data'!$A:$A,'[1]Tissue Data'!$D:$D)</f>
        <v>44393</v>
      </c>
      <c r="D4834" s="2" t="str">
        <f>_xlfn.XLOOKUP(A4834,'[1]Tissue Data'!$A:$A,'[1]Tissue Data'!$F:$F)</f>
        <v>Pumpkinseed</v>
      </c>
      <c r="E4834" t="str">
        <f>_xlfn.XLOOKUP(A4834,'[1]Tissue Data'!$A:$A,'[1]Tissue Data'!$H:$H)</f>
        <v>Lepomis</v>
      </c>
      <c r="F4834" t="str">
        <f>_xlfn.XLOOKUP(A4834,'[1]Tissue Data'!$A:$A,'[1]Tissue Data'!$I:$I)</f>
        <v>gibbosus</v>
      </c>
      <c r="G4834" t="str">
        <f>_xlfn.XLOOKUP(A4834,'[1]Tissue Data'!$A:$A,'[1]Tissue Data'!J:J)</f>
        <v>U</v>
      </c>
      <c r="H4834" t="str">
        <f>_xlfn.XLOOKUP(A4834,'[1]Tissue Data'!$A:$A,'[1]Tissue Data'!K:K)</f>
        <v>Whole Body</v>
      </c>
      <c r="I4834">
        <f>_xlfn.XLOOKUP(A4834,'[1]Tissue Data'!$A:$A,'[1]Tissue Data'!L:L)</f>
        <v>8</v>
      </c>
      <c r="J4834">
        <f>_xlfn.XLOOKUP(A4834,'[1]Tissue Data'!$A:$A,'[1]Tissue Data'!M:M)</f>
        <v>7.72</v>
      </c>
      <c r="K4834" t="s">
        <v>44</v>
      </c>
      <c r="L4834" t="str">
        <f>_xlfn.XLOOKUP(K4834,[2]analyte_order!$B:$B,[2]analyte_order!$C:$C)</f>
        <v>27619-97-2</v>
      </c>
      <c r="M4834">
        <f>_xlfn.XLOOKUP(L4834,[2]analyte_order!$C:$C,[2]analyte_order!$E:$E)</f>
        <v>23</v>
      </c>
      <c r="N4834">
        <v>0.311</v>
      </c>
    </row>
    <row r="4835" spans="1:14">
      <c r="A4835" t="s">
        <v>276</v>
      </c>
      <c r="B4835" t="str">
        <f>_xlfn.XLOOKUP(A4835,'[1]Tissue Data'!$A:$A,'[1]Tissue Data'!$C:$C)</f>
        <v>Spill</v>
      </c>
      <c r="C4835" s="2">
        <f>_xlfn.XLOOKUP(A4835,'[1]Tissue Data'!$A:$A,'[1]Tissue Data'!$D:$D)</f>
        <v>44393</v>
      </c>
      <c r="D4835" s="2" t="str">
        <f>_xlfn.XLOOKUP(A4835,'[1]Tissue Data'!$A:$A,'[1]Tissue Data'!$F:$F)</f>
        <v>Pumpkinseed</v>
      </c>
      <c r="E4835" t="str">
        <f>_xlfn.XLOOKUP(A4835,'[1]Tissue Data'!$A:$A,'[1]Tissue Data'!$H:$H)</f>
        <v>Lepomis</v>
      </c>
      <c r="F4835" t="str">
        <f>_xlfn.XLOOKUP(A4835,'[1]Tissue Data'!$A:$A,'[1]Tissue Data'!$I:$I)</f>
        <v>gibbosus</v>
      </c>
      <c r="G4835" t="str">
        <f>_xlfn.XLOOKUP(A4835,'[1]Tissue Data'!$A:$A,'[1]Tissue Data'!J:J)</f>
        <v>U</v>
      </c>
      <c r="H4835" t="str">
        <f>_xlfn.XLOOKUP(A4835,'[1]Tissue Data'!$A:$A,'[1]Tissue Data'!K:K)</f>
        <v>Whole Body</v>
      </c>
      <c r="I4835">
        <f>_xlfn.XLOOKUP(A4835,'[1]Tissue Data'!$A:$A,'[1]Tissue Data'!L:L)</f>
        <v>8</v>
      </c>
      <c r="J4835">
        <f>_xlfn.XLOOKUP(A4835,'[1]Tissue Data'!$A:$A,'[1]Tissue Data'!M:M)</f>
        <v>7.72</v>
      </c>
      <c r="K4835" t="s">
        <v>45</v>
      </c>
      <c r="L4835" t="str">
        <f>_xlfn.XLOOKUP(K4835,[2]analyte_order!$B:$B,[2]analyte_order!$C:$C)</f>
        <v>39108-34-4</v>
      </c>
      <c r="M4835">
        <f>_xlfn.XLOOKUP(L4835,[2]analyte_order!$C:$C,[2]analyte_order!$E:$E)</f>
        <v>24</v>
      </c>
      <c r="N4835">
        <v>2.15</v>
      </c>
    </row>
    <row r="4836" spans="1:14">
      <c r="A4836" t="s">
        <v>276</v>
      </c>
      <c r="B4836" t="str">
        <f>_xlfn.XLOOKUP(A4836,'[1]Tissue Data'!$A:$A,'[1]Tissue Data'!$C:$C)</f>
        <v>Spill</v>
      </c>
      <c r="C4836" s="2">
        <f>_xlfn.XLOOKUP(A4836,'[1]Tissue Data'!$A:$A,'[1]Tissue Data'!$D:$D)</f>
        <v>44393</v>
      </c>
      <c r="D4836" s="2" t="str">
        <f>_xlfn.XLOOKUP(A4836,'[1]Tissue Data'!$A:$A,'[1]Tissue Data'!$F:$F)</f>
        <v>Pumpkinseed</v>
      </c>
      <c r="E4836" t="str">
        <f>_xlfn.XLOOKUP(A4836,'[1]Tissue Data'!$A:$A,'[1]Tissue Data'!$H:$H)</f>
        <v>Lepomis</v>
      </c>
      <c r="F4836" t="str">
        <f>_xlfn.XLOOKUP(A4836,'[1]Tissue Data'!$A:$A,'[1]Tissue Data'!$I:$I)</f>
        <v>gibbosus</v>
      </c>
      <c r="G4836" t="str">
        <f>_xlfn.XLOOKUP(A4836,'[1]Tissue Data'!$A:$A,'[1]Tissue Data'!J:J)</f>
        <v>U</v>
      </c>
      <c r="H4836" t="str">
        <f>_xlfn.XLOOKUP(A4836,'[1]Tissue Data'!$A:$A,'[1]Tissue Data'!K:K)</f>
        <v>Whole Body</v>
      </c>
      <c r="I4836">
        <f>_xlfn.XLOOKUP(A4836,'[1]Tissue Data'!$A:$A,'[1]Tissue Data'!L:L)</f>
        <v>8</v>
      </c>
      <c r="J4836">
        <f>_xlfn.XLOOKUP(A4836,'[1]Tissue Data'!$A:$A,'[1]Tissue Data'!M:M)</f>
        <v>7.72</v>
      </c>
      <c r="K4836" t="s">
        <v>46</v>
      </c>
      <c r="L4836" t="str">
        <f>_xlfn.XLOOKUP(K4836,[2]analyte_order!$B:$B,[2]analyte_order!$C:$C)</f>
        <v>120226-60-0</v>
      </c>
      <c r="M4836">
        <f>_xlfn.XLOOKUP(L4836,[2]analyte_order!$C:$C,[2]analyte_order!$E:$E)</f>
        <v>25</v>
      </c>
      <c r="N4836">
        <v>0.27550000000000002</v>
      </c>
    </row>
    <row r="4837" spans="1:14">
      <c r="A4837" t="s">
        <v>276</v>
      </c>
      <c r="B4837" t="str">
        <f>_xlfn.XLOOKUP(A4837,'[1]Tissue Data'!$A:$A,'[1]Tissue Data'!$C:$C)</f>
        <v>Spill</v>
      </c>
      <c r="C4837" s="2">
        <f>_xlfn.XLOOKUP(A4837,'[1]Tissue Data'!$A:$A,'[1]Tissue Data'!$D:$D)</f>
        <v>44393</v>
      </c>
      <c r="D4837" s="2" t="str">
        <f>_xlfn.XLOOKUP(A4837,'[1]Tissue Data'!$A:$A,'[1]Tissue Data'!$F:$F)</f>
        <v>Pumpkinseed</v>
      </c>
      <c r="E4837" t="str">
        <f>_xlfn.XLOOKUP(A4837,'[1]Tissue Data'!$A:$A,'[1]Tissue Data'!$H:$H)</f>
        <v>Lepomis</v>
      </c>
      <c r="F4837" t="str">
        <f>_xlfn.XLOOKUP(A4837,'[1]Tissue Data'!$A:$A,'[1]Tissue Data'!$I:$I)</f>
        <v>gibbosus</v>
      </c>
      <c r="G4837" t="str">
        <f>_xlfn.XLOOKUP(A4837,'[1]Tissue Data'!$A:$A,'[1]Tissue Data'!J:J)</f>
        <v>U</v>
      </c>
      <c r="H4837" t="str">
        <f>_xlfn.XLOOKUP(A4837,'[1]Tissue Data'!$A:$A,'[1]Tissue Data'!K:K)</f>
        <v>Whole Body</v>
      </c>
      <c r="I4837">
        <f>_xlfn.XLOOKUP(A4837,'[1]Tissue Data'!$A:$A,'[1]Tissue Data'!L:L)</f>
        <v>8</v>
      </c>
      <c r="J4837">
        <f>_xlfn.XLOOKUP(A4837,'[1]Tissue Data'!$A:$A,'[1]Tissue Data'!M:M)</f>
        <v>7.72</v>
      </c>
      <c r="K4837" t="s">
        <v>47</v>
      </c>
      <c r="L4837" t="str">
        <f>_xlfn.XLOOKUP(K4837,[2]analyte_order!$B:$B,[2]analyte_order!$C:$C)</f>
        <v>356-02-5</v>
      </c>
      <c r="M4837">
        <f>_xlfn.XLOOKUP(L4837,[2]analyte_order!$C:$C,[2]analyte_order!$E:$E)</f>
        <v>38</v>
      </c>
      <c r="N4837">
        <v>8.5000000000000006E-2</v>
      </c>
    </row>
    <row r="4838" spans="1:14">
      <c r="A4838" t="s">
        <v>276</v>
      </c>
      <c r="B4838" t="str">
        <f>_xlfn.XLOOKUP(A4838,'[1]Tissue Data'!$A:$A,'[1]Tissue Data'!$C:$C)</f>
        <v>Spill</v>
      </c>
      <c r="C4838" s="2">
        <f>_xlfn.XLOOKUP(A4838,'[1]Tissue Data'!$A:$A,'[1]Tissue Data'!$D:$D)</f>
        <v>44393</v>
      </c>
      <c r="D4838" s="2" t="str">
        <f>_xlfn.XLOOKUP(A4838,'[1]Tissue Data'!$A:$A,'[1]Tissue Data'!$F:$F)</f>
        <v>Pumpkinseed</v>
      </c>
      <c r="E4838" t="str">
        <f>_xlfn.XLOOKUP(A4838,'[1]Tissue Data'!$A:$A,'[1]Tissue Data'!$H:$H)</f>
        <v>Lepomis</v>
      </c>
      <c r="F4838" t="str">
        <f>_xlfn.XLOOKUP(A4838,'[1]Tissue Data'!$A:$A,'[1]Tissue Data'!$I:$I)</f>
        <v>gibbosus</v>
      </c>
      <c r="G4838" t="str">
        <f>_xlfn.XLOOKUP(A4838,'[1]Tissue Data'!$A:$A,'[1]Tissue Data'!J:J)</f>
        <v>U</v>
      </c>
      <c r="H4838" t="str">
        <f>_xlfn.XLOOKUP(A4838,'[1]Tissue Data'!$A:$A,'[1]Tissue Data'!K:K)</f>
        <v>Whole Body</v>
      </c>
      <c r="I4838">
        <f>_xlfn.XLOOKUP(A4838,'[1]Tissue Data'!$A:$A,'[1]Tissue Data'!L:L)</f>
        <v>8</v>
      </c>
      <c r="J4838">
        <f>_xlfn.XLOOKUP(A4838,'[1]Tissue Data'!$A:$A,'[1]Tissue Data'!M:M)</f>
        <v>7.72</v>
      </c>
      <c r="K4838" t="s">
        <v>48</v>
      </c>
      <c r="L4838" t="str">
        <f>_xlfn.XLOOKUP(K4838,[2]analyte_order!$B:$B,[2]analyte_order!$C:$C)</f>
        <v>914637-49-3</v>
      </c>
      <c r="M4838">
        <f>_xlfn.XLOOKUP(L4838,[2]analyte_order!$C:$C,[2]analyte_order!$E:$E)</f>
        <v>39</v>
      </c>
      <c r="N4838">
        <v>0.183</v>
      </c>
    </row>
    <row r="4839" spans="1:14">
      <c r="A4839" t="s">
        <v>276</v>
      </c>
      <c r="B4839" t="str">
        <f>_xlfn.XLOOKUP(A4839,'[1]Tissue Data'!$A:$A,'[1]Tissue Data'!$C:$C)</f>
        <v>Spill</v>
      </c>
      <c r="C4839" s="2">
        <f>_xlfn.XLOOKUP(A4839,'[1]Tissue Data'!$A:$A,'[1]Tissue Data'!$D:$D)</f>
        <v>44393</v>
      </c>
      <c r="D4839" s="2" t="str">
        <f>_xlfn.XLOOKUP(A4839,'[1]Tissue Data'!$A:$A,'[1]Tissue Data'!$F:$F)</f>
        <v>Pumpkinseed</v>
      </c>
      <c r="E4839" t="str">
        <f>_xlfn.XLOOKUP(A4839,'[1]Tissue Data'!$A:$A,'[1]Tissue Data'!$H:$H)</f>
        <v>Lepomis</v>
      </c>
      <c r="F4839" t="str">
        <f>_xlfn.XLOOKUP(A4839,'[1]Tissue Data'!$A:$A,'[1]Tissue Data'!$I:$I)</f>
        <v>gibbosus</v>
      </c>
      <c r="G4839" t="str">
        <f>_xlfn.XLOOKUP(A4839,'[1]Tissue Data'!$A:$A,'[1]Tissue Data'!J:J)</f>
        <v>U</v>
      </c>
      <c r="H4839" t="str">
        <f>_xlfn.XLOOKUP(A4839,'[1]Tissue Data'!$A:$A,'[1]Tissue Data'!K:K)</f>
        <v>Whole Body</v>
      </c>
      <c r="I4839">
        <f>_xlfn.XLOOKUP(A4839,'[1]Tissue Data'!$A:$A,'[1]Tissue Data'!L:L)</f>
        <v>8</v>
      </c>
      <c r="J4839">
        <f>_xlfn.XLOOKUP(A4839,'[1]Tissue Data'!$A:$A,'[1]Tissue Data'!M:M)</f>
        <v>7.72</v>
      </c>
      <c r="K4839" t="s">
        <v>49</v>
      </c>
      <c r="L4839" t="str">
        <f>_xlfn.XLOOKUP(K4839,[2]analyte_order!$B:$B,[2]analyte_order!$C:$C)</f>
        <v>812-70-4</v>
      </c>
      <c r="M4839">
        <f>_xlfn.XLOOKUP(L4839,[2]analyte_order!$C:$C,[2]analyte_order!$E:$E)</f>
        <v>40</v>
      </c>
      <c r="N4839">
        <v>1.79</v>
      </c>
    </row>
    <row r="4840" spans="1:14">
      <c r="A4840" t="s">
        <v>276</v>
      </c>
      <c r="B4840" t="str">
        <f>_xlfn.XLOOKUP(A4840,'[1]Tissue Data'!$A:$A,'[1]Tissue Data'!$C:$C)</f>
        <v>Spill</v>
      </c>
      <c r="C4840" s="2">
        <f>_xlfn.XLOOKUP(A4840,'[1]Tissue Data'!$A:$A,'[1]Tissue Data'!$D:$D)</f>
        <v>44393</v>
      </c>
      <c r="D4840" s="2" t="str">
        <f>_xlfn.XLOOKUP(A4840,'[1]Tissue Data'!$A:$A,'[1]Tissue Data'!$F:$F)</f>
        <v>Pumpkinseed</v>
      </c>
      <c r="E4840" t="str">
        <f>_xlfn.XLOOKUP(A4840,'[1]Tissue Data'!$A:$A,'[1]Tissue Data'!$H:$H)</f>
        <v>Lepomis</v>
      </c>
      <c r="F4840" t="str">
        <f>_xlfn.XLOOKUP(A4840,'[1]Tissue Data'!$A:$A,'[1]Tissue Data'!$I:$I)</f>
        <v>gibbosus</v>
      </c>
      <c r="G4840" t="str">
        <f>_xlfn.XLOOKUP(A4840,'[1]Tissue Data'!$A:$A,'[1]Tissue Data'!J:J)</f>
        <v>U</v>
      </c>
      <c r="H4840" t="str">
        <f>_xlfn.XLOOKUP(A4840,'[1]Tissue Data'!$A:$A,'[1]Tissue Data'!K:K)</f>
        <v>Whole Body</v>
      </c>
      <c r="I4840">
        <f>_xlfn.XLOOKUP(A4840,'[1]Tissue Data'!$A:$A,'[1]Tissue Data'!L:L)</f>
        <v>8</v>
      </c>
      <c r="J4840">
        <f>_xlfn.XLOOKUP(A4840,'[1]Tissue Data'!$A:$A,'[1]Tissue Data'!M:M)</f>
        <v>7.72</v>
      </c>
      <c r="K4840" t="s">
        <v>50</v>
      </c>
      <c r="L4840" t="str">
        <f>_xlfn.XLOOKUP(K4840,[2]analyte_order!$B:$B,[2]analyte_order!$C:$C)</f>
        <v>53826-12-3</v>
      </c>
      <c r="M4840">
        <f>_xlfn.XLOOKUP(L4840,[2]analyte_order!$C:$C,[2]analyte_order!$E:$E)</f>
        <v>41</v>
      </c>
      <c r="N4840">
        <v>0.24249999999999999</v>
      </c>
    </row>
    <row r="4841" spans="1:14">
      <c r="A4841" t="s">
        <v>276</v>
      </c>
      <c r="B4841" t="str">
        <f>_xlfn.XLOOKUP(A4841,'[1]Tissue Data'!$A:$A,'[1]Tissue Data'!$C:$C)</f>
        <v>Spill</v>
      </c>
      <c r="C4841" s="2">
        <f>_xlfn.XLOOKUP(A4841,'[1]Tissue Data'!$A:$A,'[1]Tissue Data'!$D:$D)</f>
        <v>44393</v>
      </c>
      <c r="D4841" s="2" t="str">
        <f>_xlfn.XLOOKUP(A4841,'[1]Tissue Data'!$A:$A,'[1]Tissue Data'!$F:$F)</f>
        <v>Pumpkinseed</v>
      </c>
      <c r="E4841" t="str">
        <f>_xlfn.XLOOKUP(A4841,'[1]Tissue Data'!$A:$A,'[1]Tissue Data'!$H:$H)</f>
        <v>Lepomis</v>
      </c>
      <c r="F4841" t="str">
        <f>_xlfn.XLOOKUP(A4841,'[1]Tissue Data'!$A:$A,'[1]Tissue Data'!$I:$I)</f>
        <v>gibbosus</v>
      </c>
      <c r="G4841" t="str">
        <f>_xlfn.XLOOKUP(A4841,'[1]Tissue Data'!$A:$A,'[1]Tissue Data'!J:J)</f>
        <v>U</v>
      </c>
      <c r="H4841" t="str">
        <f>_xlfn.XLOOKUP(A4841,'[1]Tissue Data'!$A:$A,'[1]Tissue Data'!K:K)</f>
        <v>Whole Body</v>
      </c>
      <c r="I4841">
        <f>_xlfn.XLOOKUP(A4841,'[1]Tissue Data'!$A:$A,'[1]Tissue Data'!L:L)</f>
        <v>8</v>
      </c>
      <c r="J4841">
        <f>_xlfn.XLOOKUP(A4841,'[1]Tissue Data'!$A:$A,'[1]Tissue Data'!M:M)</f>
        <v>7.72</v>
      </c>
      <c r="K4841" t="s">
        <v>51</v>
      </c>
      <c r="L4841" t="str">
        <f>_xlfn.XLOOKUP(K4841,[2]analyte_order!$B:$B,[2]analyte_order!$C:$C)</f>
        <v>27854-31-5</v>
      </c>
      <c r="M4841">
        <f>_xlfn.XLOOKUP(L4841,[2]analyte_order!$C:$C,[2]analyte_order!$E:$E)</f>
        <v>42</v>
      </c>
      <c r="N4841">
        <v>7.3499999999999996E-2</v>
      </c>
    </row>
    <row r="4842" spans="1:14">
      <c r="A4842" t="s">
        <v>276</v>
      </c>
      <c r="B4842" t="str">
        <f>_xlfn.XLOOKUP(A4842,'[1]Tissue Data'!$A:$A,'[1]Tissue Data'!$C:$C)</f>
        <v>Spill</v>
      </c>
      <c r="C4842" s="2">
        <f>_xlfn.XLOOKUP(A4842,'[1]Tissue Data'!$A:$A,'[1]Tissue Data'!$D:$D)</f>
        <v>44393</v>
      </c>
      <c r="D4842" s="2" t="str">
        <f>_xlfn.XLOOKUP(A4842,'[1]Tissue Data'!$A:$A,'[1]Tissue Data'!$F:$F)</f>
        <v>Pumpkinseed</v>
      </c>
      <c r="E4842" t="str">
        <f>_xlfn.XLOOKUP(A4842,'[1]Tissue Data'!$A:$A,'[1]Tissue Data'!$H:$H)</f>
        <v>Lepomis</v>
      </c>
      <c r="F4842" t="str">
        <f>_xlfn.XLOOKUP(A4842,'[1]Tissue Data'!$A:$A,'[1]Tissue Data'!$I:$I)</f>
        <v>gibbosus</v>
      </c>
      <c r="G4842" t="str">
        <f>_xlfn.XLOOKUP(A4842,'[1]Tissue Data'!$A:$A,'[1]Tissue Data'!J:J)</f>
        <v>U</v>
      </c>
      <c r="H4842" t="str">
        <f>_xlfn.XLOOKUP(A4842,'[1]Tissue Data'!$A:$A,'[1]Tissue Data'!K:K)</f>
        <v>Whole Body</v>
      </c>
      <c r="I4842">
        <f>_xlfn.XLOOKUP(A4842,'[1]Tissue Data'!$A:$A,'[1]Tissue Data'!L:L)</f>
        <v>8</v>
      </c>
      <c r="J4842">
        <f>_xlfn.XLOOKUP(A4842,'[1]Tissue Data'!$A:$A,'[1]Tissue Data'!M:M)</f>
        <v>7.72</v>
      </c>
      <c r="K4842" t="s">
        <v>52</v>
      </c>
      <c r="L4842" t="str">
        <f>_xlfn.XLOOKUP(K4842,[2]analyte_order!$B:$B,[2]analyte_order!$C:$C)</f>
        <v>53826-13-4</v>
      </c>
      <c r="M4842">
        <f>_xlfn.XLOOKUP(L4842,[2]analyte_order!$C:$C,[2]analyte_order!$E:$E)</f>
        <v>43</v>
      </c>
      <c r="N4842">
        <v>0.1095</v>
      </c>
    </row>
    <row r="4843" spans="1:14">
      <c r="A4843" t="s">
        <v>276</v>
      </c>
      <c r="B4843" t="str">
        <f>_xlfn.XLOOKUP(A4843,'[1]Tissue Data'!$A:$A,'[1]Tissue Data'!$C:$C)</f>
        <v>Spill</v>
      </c>
      <c r="C4843" s="2">
        <f>_xlfn.XLOOKUP(A4843,'[1]Tissue Data'!$A:$A,'[1]Tissue Data'!$D:$D)</f>
        <v>44393</v>
      </c>
      <c r="D4843" s="2" t="str">
        <f>_xlfn.XLOOKUP(A4843,'[1]Tissue Data'!$A:$A,'[1]Tissue Data'!$F:$F)</f>
        <v>Pumpkinseed</v>
      </c>
      <c r="E4843" t="str">
        <f>_xlfn.XLOOKUP(A4843,'[1]Tissue Data'!$A:$A,'[1]Tissue Data'!$H:$H)</f>
        <v>Lepomis</v>
      </c>
      <c r="F4843" t="str">
        <f>_xlfn.XLOOKUP(A4843,'[1]Tissue Data'!$A:$A,'[1]Tissue Data'!$I:$I)</f>
        <v>gibbosus</v>
      </c>
      <c r="G4843" t="str">
        <f>_xlfn.XLOOKUP(A4843,'[1]Tissue Data'!$A:$A,'[1]Tissue Data'!J:J)</f>
        <v>U</v>
      </c>
      <c r="H4843" t="str">
        <f>_xlfn.XLOOKUP(A4843,'[1]Tissue Data'!$A:$A,'[1]Tissue Data'!K:K)</f>
        <v>Whole Body</v>
      </c>
      <c r="I4843">
        <f>_xlfn.XLOOKUP(A4843,'[1]Tissue Data'!$A:$A,'[1]Tissue Data'!L:L)</f>
        <v>8</v>
      </c>
      <c r="J4843">
        <f>_xlfn.XLOOKUP(A4843,'[1]Tissue Data'!$A:$A,'[1]Tissue Data'!M:M)</f>
        <v>7.72</v>
      </c>
      <c r="K4843" t="s">
        <v>53</v>
      </c>
      <c r="L4843" t="str">
        <f>_xlfn.XLOOKUP(K4843,[2]analyte_order!$B:$B,[2]analyte_order!$C:$C)</f>
        <v>161094-75-3</v>
      </c>
      <c r="M4843">
        <f>_xlfn.XLOOKUP(L4843,[2]analyte_order!$C:$C,[2]analyte_order!$E:$E)</f>
        <v>44</v>
      </c>
      <c r="N4843">
        <v>5.7500000000000002E-2</v>
      </c>
    </row>
    <row r="4844" spans="1:14">
      <c r="A4844" t="s">
        <v>276</v>
      </c>
      <c r="B4844" t="str">
        <f>_xlfn.XLOOKUP(A4844,'[1]Tissue Data'!$A:$A,'[1]Tissue Data'!$C:$C)</f>
        <v>Spill</v>
      </c>
      <c r="C4844" s="2">
        <f>_xlfn.XLOOKUP(A4844,'[1]Tissue Data'!$A:$A,'[1]Tissue Data'!$D:$D)</f>
        <v>44393</v>
      </c>
      <c r="D4844" s="2" t="str">
        <f>_xlfn.XLOOKUP(A4844,'[1]Tissue Data'!$A:$A,'[1]Tissue Data'!$F:$F)</f>
        <v>Pumpkinseed</v>
      </c>
      <c r="E4844" t="str">
        <f>_xlfn.XLOOKUP(A4844,'[1]Tissue Data'!$A:$A,'[1]Tissue Data'!$H:$H)</f>
        <v>Lepomis</v>
      </c>
      <c r="F4844" t="str">
        <f>_xlfn.XLOOKUP(A4844,'[1]Tissue Data'!$A:$A,'[1]Tissue Data'!$I:$I)</f>
        <v>gibbosus</v>
      </c>
      <c r="G4844" t="str">
        <f>_xlfn.XLOOKUP(A4844,'[1]Tissue Data'!$A:$A,'[1]Tissue Data'!J:J)</f>
        <v>U</v>
      </c>
      <c r="H4844" t="str">
        <f>_xlfn.XLOOKUP(A4844,'[1]Tissue Data'!$A:$A,'[1]Tissue Data'!K:K)</f>
        <v>Whole Body</v>
      </c>
      <c r="I4844">
        <f>_xlfn.XLOOKUP(A4844,'[1]Tissue Data'!$A:$A,'[1]Tissue Data'!L:L)</f>
        <v>8</v>
      </c>
      <c r="J4844">
        <f>_xlfn.XLOOKUP(A4844,'[1]Tissue Data'!$A:$A,'[1]Tissue Data'!M:M)</f>
        <v>7.72</v>
      </c>
      <c r="K4844" t="s">
        <v>54</v>
      </c>
      <c r="L4844" t="str">
        <f>_xlfn.XLOOKUP(K4844,[2]analyte_order!$B:$B,[2]analyte_order!$C:$C)</f>
        <v>70887-84-2</v>
      </c>
      <c r="M4844">
        <f>_xlfn.XLOOKUP(L4844,[2]analyte_order!$C:$C,[2]analyte_order!$E:$E)</f>
        <v>45</v>
      </c>
      <c r="N4844">
        <v>4.4450000000000003E-2</v>
      </c>
    </row>
    <row r="4845" spans="1:14">
      <c r="A4845" t="s">
        <v>276</v>
      </c>
      <c r="B4845" t="str">
        <f>_xlfn.XLOOKUP(A4845,'[1]Tissue Data'!$A:$A,'[1]Tissue Data'!$C:$C)</f>
        <v>Spill</v>
      </c>
      <c r="C4845" s="2">
        <f>_xlfn.XLOOKUP(A4845,'[1]Tissue Data'!$A:$A,'[1]Tissue Data'!$D:$D)</f>
        <v>44393</v>
      </c>
      <c r="D4845" s="2" t="str">
        <f>_xlfn.XLOOKUP(A4845,'[1]Tissue Data'!$A:$A,'[1]Tissue Data'!$F:$F)</f>
        <v>Pumpkinseed</v>
      </c>
      <c r="E4845" t="str">
        <f>_xlfn.XLOOKUP(A4845,'[1]Tissue Data'!$A:$A,'[1]Tissue Data'!$H:$H)</f>
        <v>Lepomis</v>
      </c>
      <c r="F4845" t="str">
        <f>_xlfn.XLOOKUP(A4845,'[1]Tissue Data'!$A:$A,'[1]Tissue Data'!$I:$I)</f>
        <v>gibbosus</v>
      </c>
      <c r="G4845" t="str">
        <f>_xlfn.XLOOKUP(A4845,'[1]Tissue Data'!$A:$A,'[1]Tissue Data'!J:J)</f>
        <v>U</v>
      </c>
      <c r="H4845" t="str">
        <f>_xlfn.XLOOKUP(A4845,'[1]Tissue Data'!$A:$A,'[1]Tissue Data'!K:K)</f>
        <v>Whole Body</v>
      </c>
      <c r="I4845">
        <f>_xlfn.XLOOKUP(A4845,'[1]Tissue Data'!$A:$A,'[1]Tissue Data'!L:L)</f>
        <v>8</v>
      </c>
      <c r="J4845">
        <f>_xlfn.XLOOKUP(A4845,'[1]Tissue Data'!$A:$A,'[1]Tissue Data'!M:M)</f>
        <v>7.72</v>
      </c>
      <c r="K4845" t="s">
        <v>55</v>
      </c>
      <c r="L4845" t="str">
        <f>_xlfn.XLOOKUP(K4845,[2]analyte_order!$B:$B,[2]analyte_order!$C:$C)</f>
        <v>919005-14-4</v>
      </c>
      <c r="M4845">
        <f>_xlfn.XLOOKUP(L4845,[2]analyte_order!$C:$C,[2]analyte_order!$E:$E)</f>
        <v>35</v>
      </c>
      <c r="N4845">
        <v>6.5000000000000002E-2</v>
      </c>
    </row>
    <row r="4846" spans="1:14">
      <c r="A4846" t="s">
        <v>276</v>
      </c>
      <c r="B4846" t="str">
        <f>_xlfn.XLOOKUP(A4846,'[1]Tissue Data'!$A:$A,'[1]Tissue Data'!$C:$C)</f>
        <v>Spill</v>
      </c>
      <c r="C4846" s="2">
        <f>_xlfn.XLOOKUP(A4846,'[1]Tissue Data'!$A:$A,'[1]Tissue Data'!$D:$D)</f>
        <v>44393</v>
      </c>
      <c r="D4846" s="2" t="str">
        <f>_xlfn.XLOOKUP(A4846,'[1]Tissue Data'!$A:$A,'[1]Tissue Data'!$F:$F)</f>
        <v>Pumpkinseed</v>
      </c>
      <c r="E4846" t="str">
        <f>_xlfn.XLOOKUP(A4846,'[1]Tissue Data'!$A:$A,'[1]Tissue Data'!$H:$H)</f>
        <v>Lepomis</v>
      </c>
      <c r="F4846" t="str">
        <f>_xlfn.XLOOKUP(A4846,'[1]Tissue Data'!$A:$A,'[1]Tissue Data'!$I:$I)</f>
        <v>gibbosus</v>
      </c>
      <c r="G4846" t="str">
        <f>_xlfn.XLOOKUP(A4846,'[1]Tissue Data'!$A:$A,'[1]Tissue Data'!J:J)</f>
        <v>U</v>
      </c>
      <c r="H4846" t="str">
        <f>_xlfn.XLOOKUP(A4846,'[1]Tissue Data'!$A:$A,'[1]Tissue Data'!K:K)</f>
        <v>Whole Body</v>
      </c>
      <c r="I4846">
        <f>_xlfn.XLOOKUP(A4846,'[1]Tissue Data'!$A:$A,'[1]Tissue Data'!L:L)</f>
        <v>8</v>
      </c>
      <c r="J4846">
        <f>_xlfn.XLOOKUP(A4846,'[1]Tissue Data'!$A:$A,'[1]Tissue Data'!M:M)</f>
        <v>7.72</v>
      </c>
      <c r="K4846" t="s">
        <v>56</v>
      </c>
      <c r="L4846" t="str">
        <f>_xlfn.XLOOKUP(K4846,[2]analyte_order!$B:$B,[2]analyte_order!$C:$C)</f>
        <v>756426-58-1</v>
      </c>
      <c r="M4846">
        <f>_xlfn.XLOOKUP(L4846,[2]analyte_order!$C:$C,[2]analyte_order!$E:$E)</f>
        <v>36</v>
      </c>
      <c r="N4846">
        <v>7.3499999999999996E-2</v>
      </c>
    </row>
    <row r="4847" spans="1:14">
      <c r="A4847" t="s">
        <v>276</v>
      </c>
      <c r="B4847" t="str">
        <f>_xlfn.XLOOKUP(A4847,'[1]Tissue Data'!$A:$A,'[1]Tissue Data'!$C:$C)</f>
        <v>Spill</v>
      </c>
      <c r="C4847" s="2">
        <f>_xlfn.XLOOKUP(A4847,'[1]Tissue Data'!$A:$A,'[1]Tissue Data'!$D:$D)</f>
        <v>44393</v>
      </c>
      <c r="D4847" s="2" t="str">
        <f>_xlfn.XLOOKUP(A4847,'[1]Tissue Data'!$A:$A,'[1]Tissue Data'!$F:$F)</f>
        <v>Pumpkinseed</v>
      </c>
      <c r="E4847" t="str">
        <f>_xlfn.XLOOKUP(A4847,'[1]Tissue Data'!$A:$A,'[1]Tissue Data'!$H:$H)</f>
        <v>Lepomis</v>
      </c>
      <c r="F4847" t="str">
        <f>_xlfn.XLOOKUP(A4847,'[1]Tissue Data'!$A:$A,'[1]Tissue Data'!$I:$I)</f>
        <v>gibbosus</v>
      </c>
      <c r="G4847" t="str">
        <f>_xlfn.XLOOKUP(A4847,'[1]Tissue Data'!$A:$A,'[1]Tissue Data'!J:J)</f>
        <v>U</v>
      </c>
      <c r="H4847" t="str">
        <f>_xlfn.XLOOKUP(A4847,'[1]Tissue Data'!$A:$A,'[1]Tissue Data'!K:K)</f>
        <v>Whole Body</v>
      </c>
      <c r="I4847">
        <f>_xlfn.XLOOKUP(A4847,'[1]Tissue Data'!$A:$A,'[1]Tissue Data'!L:L)</f>
        <v>8</v>
      </c>
      <c r="J4847">
        <f>_xlfn.XLOOKUP(A4847,'[1]Tissue Data'!$A:$A,'[1]Tissue Data'!M:M)</f>
        <v>7.72</v>
      </c>
      <c r="K4847" t="s">
        <v>57</v>
      </c>
      <c r="L4847" t="str">
        <f>_xlfn.XLOOKUP(K4847,[2]analyte_order!$B:$B,[2]analyte_order!$C:$C)</f>
        <v>763051-92-9</v>
      </c>
      <c r="M4847">
        <f>_xlfn.XLOOKUP(L4847,[2]analyte_order!$C:$C,[2]analyte_order!$E:$E)</f>
        <v>37</v>
      </c>
      <c r="N4847">
        <v>7.3499999999999996E-2</v>
      </c>
    </row>
    <row r="4848" spans="1:14">
      <c r="A4848" t="s">
        <v>276</v>
      </c>
      <c r="B4848" t="str">
        <f>_xlfn.XLOOKUP(A4848,'[1]Tissue Data'!$A:$A,'[1]Tissue Data'!$C:$C)</f>
        <v>Spill</v>
      </c>
      <c r="C4848" s="2">
        <f>_xlfn.XLOOKUP(A4848,'[1]Tissue Data'!$A:$A,'[1]Tissue Data'!$D:$D)</f>
        <v>44393</v>
      </c>
      <c r="D4848" s="2" t="str">
        <f>_xlfn.XLOOKUP(A4848,'[1]Tissue Data'!$A:$A,'[1]Tissue Data'!$F:$F)</f>
        <v>Pumpkinseed</v>
      </c>
      <c r="E4848" t="str">
        <f>_xlfn.XLOOKUP(A4848,'[1]Tissue Data'!$A:$A,'[1]Tissue Data'!$H:$H)</f>
        <v>Lepomis</v>
      </c>
      <c r="F4848" t="str">
        <f>_xlfn.XLOOKUP(A4848,'[1]Tissue Data'!$A:$A,'[1]Tissue Data'!$I:$I)</f>
        <v>gibbosus</v>
      </c>
      <c r="G4848" t="str">
        <f>_xlfn.XLOOKUP(A4848,'[1]Tissue Data'!$A:$A,'[1]Tissue Data'!J:J)</f>
        <v>U</v>
      </c>
      <c r="H4848" t="str">
        <f>_xlfn.XLOOKUP(A4848,'[1]Tissue Data'!$A:$A,'[1]Tissue Data'!K:K)</f>
        <v>Whole Body</v>
      </c>
      <c r="I4848">
        <f>_xlfn.XLOOKUP(A4848,'[1]Tissue Data'!$A:$A,'[1]Tissue Data'!L:L)</f>
        <v>8</v>
      </c>
      <c r="J4848">
        <f>_xlfn.XLOOKUP(A4848,'[1]Tissue Data'!$A:$A,'[1]Tissue Data'!M:M)</f>
        <v>7.72</v>
      </c>
      <c r="K4848" t="s">
        <v>58</v>
      </c>
      <c r="L4848" t="str">
        <f>_xlfn.XLOOKUP(K4848,[2]analyte_order!$B:$B,[2]analyte_order!$C:$C)</f>
        <v>13252-13-6</v>
      </c>
      <c r="M4848">
        <f>_xlfn.XLOOKUP(L4848,[2]analyte_order!$C:$C,[2]analyte_order!$E:$E)</f>
        <v>34</v>
      </c>
      <c r="N4848">
        <v>0.1055</v>
      </c>
    </row>
    <row r="4849" spans="1:14">
      <c r="A4849" t="s">
        <v>276</v>
      </c>
      <c r="B4849" t="str">
        <f>_xlfn.XLOOKUP(A4849,'[1]Tissue Data'!$A:$A,'[1]Tissue Data'!$C:$C)</f>
        <v>Spill</v>
      </c>
      <c r="C4849" s="2">
        <f>_xlfn.XLOOKUP(A4849,'[1]Tissue Data'!$A:$A,'[1]Tissue Data'!$D:$D)</f>
        <v>44393</v>
      </c>
      <c r="D4849" s="2" t="str">
        <f>_xlfn.XLOOKUP(A4849,'[1]Tissue Data'!$A:$A,'[1]Tissue Data'!$F:$F)</f>
        <v>Pumpkinseed</v>
      </c>
      <c r="E4849" t="str">
        <f>_xlfn.XLOOKUP(A4849,'[1]Tissue Data'!$A:$A,'[1]Tissue Data'!$H:$H)</f>
        <v>Lepomis</v>
      </c>
      <c r="F4849" t="str">
        <f>_xlfn.XLOOKUP(A4849,'[1]Tissue Data'!$A:$A,'[1]Tissue Data'!$I:$I)</f>
        <v>gibbosus</v>
      </c>
      <c r="G4849" t="str">
        <f>_xlfn.XLOOKUP(A4849,'[1]Tissue Data'!$A:$A,'[1]Tissue Data'!J:J)</f>
        <v>U</v>
      </c>
      <c r="H4849" t="str">
        <f>_xlfn.XLOOKUP(A4849,'[1]Tissue Data'!$A:$A,'[1]Tissue Data'!K:K)</f>
        <v>Whole Body</v>
      </c>
      <c r="I4849">
        <f>_xlfn.XLOOKUP(A4849,'[1]Tissue Data'!$A:$A,'[1]Tissue Data'!L:L)</f>
        <v>8</v>
      </c>
      <c r="J4849">
        <f>_xlfn.XLOOKUP(A4849,'[1]Tissue Data'!$A:$A,'[1]Tissue Data'!M:M)</f>
        <v>7.72</v>
      </c>
      <c r="K4849" t="s">
        <v>59</v>
      </c>
      <c r="L4849" t="str">
        <f>_xlfn.XLOOKUP(K4849,[2]analyte_order!$B:$B,[2]analyte_order!$C:$C)</f>
        <v>57677-95-9</v>
      </c>
      <c r="M4849">
        <f>_xlfn.XLOOKUP(L4849,[2]analyte_order!$C:$C,[2]analyte_order!$E:$E)</f>
        <v>46</v>
      </c>
      <c r="N4849">
        <v>7.85E-2</v>
      </c>
    </row>
    <row r="4850" spans="1:14">
      <c r="A4850" t="s">
        <v>276</v>
      </c>
      <c r="B4850" t="str">
        <f>_xlfn.XLOOKUP(A4850,'[1]Tissue Data'!$A:$A,'[1]Tissue Data'!$C:$C)</f>
        <v>Spill</v>
      </c>
      <c r="C4850" s="2">
        <f>_xlfn.XLOOKUP(A4850,'[1]Tissue Data'!$A:$A,'[1]Tissue Data'!$D:$D)</f>
        <v>44393</v>
      </c>
      <c r="D4850" s="2" t="str">
        <f>_xlfn.XLOOKUP(A4850,'[1]Tissue Data'!$A:$A,'[1]Tissue Data'!$F:$F)</f>
        <v>Pumpkinseed</v>
      </c>
      <c r="E4850" t="str">
        <f>_xlfn.XLOOKUP(A4850,'[1]Tissue Data'!$A:$A,'[1]Tissue Data'!$H:$H)</f>
        <v>Lepomis</v>
      </c>
      <c r="F4850" t="str">
        <f>_xlfn.XLOOKUP(A4850,'[1]Tissue Data'!$A:$A,'[1]Tissue Data'!$I:$I)</f>
        <v>gibbosus</v>
      </c>
      <c r="G4850" t="str">
        <f>_xlfn.XLOOKUP(A4850,'[1]Tissue Data'!$A:$A,'[1]Tissue Data'!J:J)</f>
        <v>U</v>
      </c>
      <c r="H4850" t="str">
        <f>_xlfn.XLOOKUP(A4850,'[1]Tissue Data'!$A:$A,'[1]Tissue Data'!K:K)</f>
        <v>Whole Body</v>
      </c>
      <c r="I4850">
        <f>_xlfn.XLOOKUP(A4850,'[1]Tissue Data'!$A:$A,'[1]Tissue Data'!L:L)</f>
        <v>8</v>
      </c>
      <c r="J4850">
        <f>_xlfn.XLOOKUP(A4850,'[1]Tissue Data'!$A:$A,'[1]Tissue Data'!M:M)</f>
        <v>7.72</v>
      </c>
      <c r="K4850" t="s">
        <v>60</v>
      </c>
      <c r="L4850" t="str">
        <f>_xlfn.XLOOKUP(K4850,[2]analyte_order!$B:$B,[2]analyte_order!$C:$C)</f>
        <v>678-41-1</v>
      </c>
      <c r="M4850">
        <f>_xlfn.XLOOKUP(L4850,[2]analyte_order!$C:$C,[2]analyte_order!$E:$E)</f>
        <v>56</v>
      </c>
      <c r="N4850">
        <v>9.7500000000000003E-2</v>
      </c>
    </row>
    <row r="4851" spans="1:14">
      <c r="A4851" t="s">
        <v>276</v>
      </c>
      <c r="B4851" t="str">
        <f>_xlfn.XLOOKUP(A4851,'[1]Tissue Data'!$A:$A,'[1]Tissue Data'!$C:$C)</f>
        <v>Spill</v>
      </c>
      <c r="C4851" s="2">
        <f>_xlfn.XLOOKUP(A4851,'[1]Tissue Data'!$A:$A,'[1]Tissue Data'!$D:$D)</f>
        <v>44393</v>
      </c>
      <c r="D4851" s="2" t="str">
        <f>_xlfn.XLOOKUP(A4851,'[1]Tissue Data'!$A:$A,'[1]Tissue Data'!$F:$F)</f>
        <v>Pumpkinseed</v>
      </c>
      <c r="E4851" t="str">
        <f>_xlfn.XLOOKUP(A4851,'[1]Tissue Data'!$A:$A,'[1]Tissue Data'!$H:$H)</f>
        <v>Lepomis</v>
      </c>
      <c r="F4851" t="str">
        <f>_xlfn.XLOOKUP(A4851,'[1]Tissue Data'!$A:$A,'[1]Tissue Data'!$I:$I)</f>
        <v>gibbosus</v>
      </c>
      <c r="G4851" t="str">
        <f>_xlfn.XLOOKUP(A4851,'[1]Tissue Data'!$A:$A,'[1]Tissue Data'!J:J)</f>
        <v>U</v>
      </c>
      <c r="H4851" t="str">
        <f>_xlfn.XLOOKUP(A4851,'[1]Tissue Data'!$A:$A,'[1]Tissue Data'!K:K)</f>
        <v>Whole Body</v>
      </c>
      <c r="I4851">
        <f>_xlfn.XLOOKUP(A4851,'[1]Tissue Data'!$A:$A,'[1]Tissue Data'!L:L)</f>
        <v>8</v>
      </c>
      <c r="J4851">
        <f>_xlfn.XLOOKUP(A4851,'[1]Tissue Data'!$A:$A,'[1]Tissue Data'!M:M)</f>
        <v>7.72</v>
      </c>
      <c r="K4851" t="s">
        <v>61</v>
      </c>
      <c r="L4851" t="str">
        <f>_xlfn.XLOOKUP(K4851,[2]analyte_order!$B:$B,[2]analyte_order!$C:$C)</f>
        <v>2965-52-8</v>
      </c>
      <c r="M4851">
        <f>_xlfn.XLOOKUP(L4851,[2]analyte_order!$C:$C,[2]analyte_order!$E:$E)</f>
        <v>57</v>
      </c>
      <c r="N4851">
        <v>0.1295</v>
      </c>
    </row>
    <row r="4852" spans="1:14">
      <c r="A4852" t="s">
        <v>277</v>
      </c>
      <c r="B4852" t="str">
        <f>_xlfn.XLOOKUP(A4852,'[1]Tissue Data'!$A:$A,'[1]Tissue Data'!$C:$C)</f>
        <v>Spill</v>
      </c>
      <c r="C4852" s="2">
        <f>_xlfn.XLOOKUP(A4852,'[1]Tissue Data'!$A:$A,'[1]Tissue Data'!$D:$D)</f>
        <v>44393</v>
      </c>
      <c r="D4852" s="2" t="str">
        <f>_xlfn.XLOOKUP(A4852,'[1]Tissue Data'!$A:$A,'[1]Tissue Data'!$F:$F)</f>
        <v>Pumpkinseed</v>
      </c>
      <c r="E4852" t="str">
        <f>_xlfn.XLOOKUP(A4852,'[1]Tissue Data'!$A:$A,'[1]Tissue Data'!$H:$H)</f>
        <v>Lepomis</v>
      </c>
      <c r="F4852" t="str">
        <f>_xlfn.XLOOKUP(A4852,'[1]Tissue Data'!$A:$A,'[1]Tissue Data'!$I:$I)</f>
        <v>gibbosus</v>
      </c>
      <c r="G4852" t="str">
        <f>_xlfn.XLOOKUP(A4852,'[1]Tissue Data'!$A:$A,'[1]Tissue Data'!J:J)</f>
        <v>U</v>
      </c>
      <c r="H4852" t="str">
        <f>_xlfn.XLOOKUP(A4852,'[1]Tissue Data'!$A:$A,'[1]Tissue Data'!K:K)</f>
        <v>Whole Body</v>
      </c>
      <c r="I4852">
        <f>_xlfn.XLOOKUP(A4852,'[1]Tissue Data'!$A:$A,'[1]Tissue Data'!L:L)</f>
        <v>8</v>
      </c>
      <c r="J4852">
        <f>_xlfn.XLOOKUP(A4852,'[1]Tissue Data'!$A:$A,'[1]Tissue Data'!M:M)</f>
        <v>8.65</v>
      </c>
      <c r="K4852" t="s">
        <v>12</v>
      </c>
      <c r="L4852" t="str">
        <f>_xlfn.XLOOKUP(K4852,[2]analyte_order!$B:$B,[2]analyte_order!$C:$C)</f>
        <v>375-22-4</v>
      </c>
      <c r="M4852">
        <f>_xlfn.XLOOKUP(L4852,[2]analyte_order!$C:$C,[2]analyte_order!$E:$E)</f>
        <v>1</v>
      </c>
      <c r="N4852">
        <v>0.222</v>
      </c>
    </row>
    <row r="4853" spans="1:14">
      <c r="A4853" t="s">
        <v>277</v>
      </c>
      <c r="B4853" t="str">
        <f>_xlfn.XLOOKUP(A4853,'[1]Tissue Data'!$A:$A,'[1]Tissue Data'!$C:$C)</f>
        <v>Spill</v>
      </c>
      <c r="C4853" s="2">
        <f>_xlfn.XLOOKUP(A4853,'[1]Tissue Data'!$A:$A,'[1]Tissue Data'!$D:$D)</f>
        <v>44393</v>
      </c>
      <c r="D4853" s="2" t="str">
        <f>_xlfn.XLOOKUP(A4853,'[1]Tissue Data'!$A:$A,'[1]Tissue Data'!$F:$F)</f>
        <v>Pumpkinseed</v>
      </c>
      <c r="E4853" t="str">
        <f>_xlfn.XLOOKUP(A4853,'[1]Tissue Data'!$A:$A,'[1]Tissue Data'!$H:$H)</f>
        <v>Lepomis</v>
      </c>
      <c r="F4853" t="str">
        <f>_xlfn.XLOOKUP(A4853,'[1]Tissue Data'!$A:$A,'[1]Tissue Data'!$I:$I)</f>
        <v>gibbosus</v>
      </c>
      <c r="G4853" t="str">
        <f>_xlfn.XLOOKUP(A4853,'[1]Tissue Data'!$A:$A,'[1]Tissue Data'!J:J)</f>
        <v>U</v>
      </c>
      <c r="H4853" t="str">
        <f>_xlfn.XLOOKUP(A4853,'[1]Tissue Data'!$A:$A,'[1]Tissue Data'!K:K)</f>
        <v>Whole Body</v>
      </c>
      <c r="I4853">
        <f>_xlfn.XLOOKUP(A4853,'[1]Tissue Data'!$A:$A,'[1]Tissue Data'!L:L)</f>
        <v>8</v>
      </c>
      <c r="J4853">
        <f>_xlfn.XLOOKUP(A4853,'[1]Tissue Data'!$A:$A,'[1]Tissue Data'!M:M)</f>
        <v>8.65</v>
      </c>
      <c r="K4853" t="s">
        <v>13</v>
      </c>
      <c r="L4853" t="str">
        <f>_xlfn.XLOOKUP(K4853,[2]analyte_order!$B:$B,[2]analyte_order!$C:$C)</f>
        <v>2706-90-3</v>
      </c>
      <c r="M4853">
        <f>_xlfn.XLOOKUP(L4853,[2]analyte_order!$C:$C,[2]analyte_order!$E:$E)</f>
        <v>2</v>
      </c>
      <c r="N4853">
        <v>0.157</v>
      </c>
    </row>
    <row r="4854" spans="1:14">
      <c r="A4854" t="s">
        <v>277</v>
      </c>
      <c r="B4854" t="str">
        <f>_xlfn.XLOOKUP(A4854,'[1]Tissue Data'!$A:$A,'[1]Tissue Data'!$C:$C)</f>
        <v>Spill</v>
      </c>
      <c r="C4854" s="2">
        <f>_xlfn.XLOOKUP(A4854,'[1]Tissue Data'!$A:$A,'[1]Tissue Data'!$D:$D)</f>
        <v>44393</v>
      </c>
      <c r="D4854" s="2" t="str">
        <f>_xlfn.XLOOKUP(A4854,'[1]Tissue Data'!$A:$A,'[1]Tissue Data'!$F:$F)</f>
        <v>Pumpkinseed</v>
      </c>
      <c r="E4854" t="str">
        <f>_xlfn.XLOOKUP(A4854,'[1]Tissue Data'!$A:$A,'[1]Tissue Data'!$H:$H)</f>
        <v>Lepomis</v>
      </c>
      <c r="F4854" t="str">
        <f>_xlfn.XLOOKUP(A4854,'[1]Tissue Data'!$A:$A,'[1]Tissue Data'!$I:$I)</f>
        <v>gibbosus</v>
      </c>
      <c r="G4854" t="str">
        <f>_xlfn.XLOOKUP(A4854,'[1]Tissue Data'!$A:$A,'[1]Tissue Data'!J:J)</f>
        <v>U</v>
      </c>
      <c r="H4854" t="str">
        <f>_xlfn.XLOOKUP(A4854,'[1]Tissue Data'!$A:$A,'[1]Tissue Data'!K:K)</f>
        <v>Whole Body</v>
      </c>
      <c r="I4854">
        <f>_xlfn.XLOOKUP(A4854,'[1]Tissue Data'!$A:$A,'[1]Tissue Data'!L:L)</f>
        <v>8</v>
      </c>
      <c r="J4854">
        <f>_xlfn.XLOOKUP(A4854,'[1]Tissue Data'!$A:$A,'[1]Tissue Data'!M:M)</f>
        <v>8.65</v>
      </c>
      <c r="K4854" t="s">
        <v>14</v>
      </c>
      <c r="L4854" t="str">
        <f>_xlfn.XLOOKUP(K4854,[2]analyte_order!$B:$B,[2]analyte_order!$C:$C)</f>
        <v>307-24-4</v>
      </c>
      <c r="M4854">
        <f>_xlfn.XLOOKUP(L4854,[2]analyte_order!$C:$C,[2]analyte_order!$E:$E)</f>
        <v>3</v>
      </c>
      <c r="N4854">
        <v>0.12</v>
      </c>
    </row>
    <row r="4855" spans="1:14">
      <c r="A4855" t="s">
        <v>277</v>
      </c>
      <c r="B4855" t="str">
        <f>_xlfn.XLOOKUP(A4855,'[1]Tissue Data'!$A:$A,'[1]Tissue Data'!$C:$C)</f>
        <v>Spill</v>
      </c>
      <c r="C4855" s="2">
        <f>_xlfn.XLOOKUP(A4855,'[1]Tissue Data'!$A:$A,'[1]Tissue Data'!$D:$D)</f>
        <v>44393</v>
      </c>
      <c r="D4855" s="2" t="str">
        <f>_xlfn.XLOOKUP(A4855,'[1]Tissue Data'!$A:$A,'[1]Tissue Data'!$F:$F)</f>
        <v>Pumpkinseed</v>
      </c>
      <c r="E4855" t="str">
        <f>_xlfn.XLOOKUP(A4855,'[1]Tissue Data'!$A:$A,'[1]Tissue Data'!$H:$H)</f>
        <v>Lepomis</v>
      </c>
      <c r="F4855" t="str">
        <f>_xlfn.XLOOKUP(A4855,'[1]Tissue Data'!$A:$A,'[1]Tissue Data'!$I:$I)</f>
        <v>gibbosus</v>
      </c>
      <c r="G4855" t="str">
        <f>_xlfn.XLOOKUP(A4855,'[1]Tissue Data'!$A:$A,'[1]Tissue Data'!J:J)</f>
        <v>U</v>
      </c>
      <c r="H4855" t="str">
        <f>_xlfn.XLOOKUP(A4855,'[1]Tissue Data'!$A:$A,'[1]Tissue Data'!K:K)</f>
        <v>Whole Body</v>
      </c>
      <c r="I4855">
        <f>_xlfn.XLOOKUP(A4855,'[1]Tissue Data'!$A:$A,'[1]Tissue Data'!L:L)</f>
        <v>8</v>
      </c>
      <c r="J4855">
        <f>_xlfn.XLOOKUP(A4855,'[1]Tissue Data'!$A:$A,'[1]Tissue Data'!M:M)</f>
        <v>8.65</v>
      </c>
      <c r="K4855" t="s">
        <v>15</v>
      </c>
      <c r="L4855" t="str">
        <f>_xlfn.XLOOKUP(K4855,[2]analyte_order!$B:$B,[2]analyte_order!$C:$C)</f>
        <v>375-85-9</v>
      </c>
      <c r="M4855">
        <f>_xlfn.XLOOKUP(L4855,[2]analyte_order!$C:$C,[2]analyte_order!$E:$E)</f>
        <v>4</v>
      </c>
      <c r="N4855">
        <v>0.26200000000000001</v>
      </c>
    </row>
    <row r="4856" spans="1:14">
      <c r="A4856" t="s">
        <v>277</v>
      </c>
      <c r="B4856" t="str">
        <f>_xlfn.XLOOKUP(A4856,'[1]Tissue Data'!$A:$A,'[1]Tissue Data'!$C:$C)</f>
        <v>Spill</v>
      </c>
      <c r="C4856" s="2">
        <f>_xlfn.XLOOKUP(A4856,'[1]Tissue Data'!$A:$A,'[1]Tissue Data'!$D:$D)</f>
        <v>44393</v>
      </c>
      <c r="D4856" s="2" t="str">
        <f>_xlfn.XLOOKUP(A4856,'[1]Tissue Data'!$A:$A,'[1]Tissue Data'!$F:$F)</f>
        <v>Pumpkinseed</v>
      </c>
      <c r="E4856" t="str">
        <f>_xlfn.XLOOKUP(A4856,'[1]Tissue Data'!$A:$A,'[1]Tissue Data'!$H:$H)</f>
        <v>Lepomis</v>
      </c>
      <c r="F4856" t="str">
        <f>_xlfn.XLOOKUP(A4856,'[1]Tissue Data'!$A:$A,'[1]Tissue Data'!$I:$I)</f>
        <v>gibbosus</v>
      </c>
      <c r="G4856" t="str">
        <f>_xlfn.XLOOKUP(A4856,'[1]Tissue Data'!$A:$A,'[1]Tissue Data'!J:J)</f>
        <v>U</v>
      </c>
      <c r="H4856" t="str">
        <f>_xlfn.XLOOKUP(A4856,'[1]Tissue Data'!$A:$A,'[1]Tissue Data'!K:K)</f>
        <v>Whole Body</v>
      </c>
      <c r="I4856">
        <f>_xlfn.XLOOKUP(A4856,'[1]Tissue Data'!$A:$A,'[1]Tissue Data'!L:L)</f>
        <v>8</v>
      </c>
      <c r="J4856">
        <f>_xlfn.XLOOKUP(A4856,'[1]Tissue Data'!$A:$A,'[1]Tissue Data'!M:M)</f>
        <v>8.65</v>
      </c>
      <c r="K4856" t="s">
        <v>16</v>
      </c>
      <c r="L4856" t="str">
        <f>_xlfn.XLOOKUP(K4856,[2]analyte_order!$B:$B,[2]analyte_order!$C:$C)</f>
        <v>335-67-1</v>
      </c>
      <c r="M4856">
        <f>_xlfn.XLOOKUP(L4856,[2]analyte_order!$C:$C,[2]analyte_order!$E:$E)</f>
        <v>5</v>
      </c>
      <c r="N4856">
        <v>3.58</v>
      </c>
    </row>
    <row r="4857" spans="1:14">
      <c r="A4857" t="s">
        <v>277</v>
      </c>
      <c r="B4857" t="str">
        <f>_xlfn.XLOOKUP(A4857,'[1]Tissue Data'!$A:$A,'[1]Tissue Data'!$C:$C)</f>
        <v>Spill</v>
      </c>
      <c r="C4857" s="2">
        <f>_xlfn.XLOOKUP(A4857,'[1]Tissue Data'!$A:$A,'[1]Tissue Data'!$D:$D)</f>
        <v>44393</v>
      </c>
      <c r="D4857" s="2" t="str">
        <f>_xlfn.XLOOKUP(A4857,'[1]Tissue Data'!$A:$A,'[1]Tissue Data'!$F:$F)</f>
        <v>Pumpkinseed</v>
      </c>
      <c r="E4857" t="str">
        <f>_xlfn.XLOOKUP(A4857,'[1]Tissue Data'!$A:$A,'[1]Tissue Data'!$H:$H)</f>
        <v>Lepomis</v>
      </c>
      <c r="F4857" t="str">
        <f>_xlfn.XLOOKUP(A4857,'[1]Tissue Data'!$A:$A,'[1]Tissue Data'!$I:$I)</f>
        <v>gibbosus</v>
      </c>
      <c r="G4857" t="str">
        <f>_xlfn.XLOOKUP(A4857,'[1]Tissue Data'!$A:$A,'[1]Tissue Data'!J:J)</f>
        <v>U</v>
      </c>
      <c r="H4857" t="str">
        <f>_xlfn.XLOOKUP(A4857,'[1]Tissue Data'!$A:$A,'[1]Tissue Data'!K:K)</f>
        <v>Whole Body</v>
      </c>
      <c r="I4857">
        <f>_xlfn.XLOOKUP(A4857,'[1]Tissue Data'!$A:$A,'[1]Tissue Data'!L:L)</f>
        <v>8</v>
      </c>
      <c r="J4857">
        <f>_xlfn.XLOOKUP(A4857,'[1]Tissue Data'!$A:$A,'[1]Tissue Data'!M:M)</f>
        <v>8.65</v>
      </c>
      <c r="K4857" t="s">
        <v>17</v>
      </c>
      <c r="L4857" t="str">
        <f>_xlfn.XLOOKUP(K4857,[2]analyte_order!$B:$B,[2]analyte_order!$C:$C)</f>
        <v>375-95-1</v>
      </c>
      <c r="M4857">
        <f>_xlfn.XLOOKUP(L4857,[2]analyte_order!$C:$C,[2]analyte_order!$E:$E)</f>
        <v>6</v>
      </c>
      <c r="N4857">
        <v>3.99</v>
      </c>
    </row>
    <row r="4858" spans="1:14">
      <c r="A4858" t="s">
        <v>277</v>
      </c>
      <c r="B4858" t="str">
        <f>_xlfn.XLOOKUP(A4858,'[1]Tissue Data'!$A:$A,'[1]Tissue Data'!$C:$C)</f>
        <v>Spill</v>
      </c>
      <c r="C4858" s="2">
        <f>_xlfn.XLOOKUP(A4858,'[1]Tissue Data'!$A:$A,'[1]Tissue Data'!$D:$D)</f>
        <v>44393</v>
      </c>
      <c r="D4858" s="2" t="str">
        <f>_xlfn.XLOOKUP(A4858,'[1]Tissue Data'!$A:$A,'[1]Tissue Data'!$F:$F)</f>
        <v>Pumpkinseed</v>
      </c>
      <c r="E4858" t="str">
        <f>_xlfn.XLOOKUP(A4858,'[1]Tissue Data'!$A:$A,'[1]Tissue Data'!$H:$H)</f>
        <v>Lepomis</v>
      </c>
      <c r="F4858" t="str">
        <f>_xlfn.XLOOKUP(A4858,'[1]Tissue Data'!$A:$A,'[1]Tissue Data'!$I:$I)</f>
        <v>gibbosus</v>
      </c>
      <c r="G4858" t="str">
        <f>_xlfn.XLOOKUP(A4858,'[1]Tissue Data'!$A:$A,'[1]Tissue Data'!J:J)</f>
        <v>U</v>
      </c>
      <c r="H4858" t="str">
        <f>_xlfn.XLOOKUP(A4858,'[1]Tissue Data'!$A:$A,'[1]Tissue Data'!K:K)</f>
        <v>Whole Body</v>
      </c>
      <c r="I4858">
        <f>_xlfn.XLOOKUP(A4858,'[1]Tissue Data'!$A:$A,'[1]Tissue Data'!L:L)</f>
        <v>8</v>
      </c>
      <c r="J4858">
        <f>_xlfn.XLOOKUP(A4858,'[1]Tissue Data'!$A:$A,'[1]Tissue Data'!M:M)</f>
        <v>8.65</v>
      </c>
      <c r="K4858" t="s">
        <v>18</v>
      </c>
      <c r="L4858" t="str">
        <f>_xlfn.XLOOKUP(K4858,[2]analyte_order!$B:$B,[2]analyte_order!$C:$C)</f>
        <v>335-76-2</v>
      </c>
      <c r="M4858">
        <f>_xlfn.XLOOKUP(L4858,[2]analyte_order!$C:$C,[2]analyte_order!$E:$E)</f>
        <v>7</v>
      </c>
      <c r="N4858">
        <v>7.7</v>
      </c>
    </row>
    <row r="4859" spans="1:14">
      <c r="A4859" t="s">
        <v>277</v>
      </c>
      <c r="B4859" t="str">
        <f>_xlfn.XLOOKUP(A4859,'[1]Tissue Data'!$A:$A,'[1]Tissue Data'!$C:$C)</f>
        <v>Spill</v>
      </c>
      <c r="C4859" s="2">
        <f>_xlfn.XLOOKUP(A4859,'[1]Tissue Data'!$A:$A,'[1]Tissue Data'!$D:$D)</f>
        <v>44393</v>
      </c>
      <c r="D4859" s="2" t="str">
        <f>_xlfn.XLOOKUP(A4859,'[1]Tissue Data'!$A:$A,'[1]Tissue Data'!$F:$F)</f>
        <v>Pumpkinseed</v>
      </c>
      <c r="E4859" t="str">
        <f>_xlfn.XLOOKUP(A4859,'[1]Tissue Data'!$A:$A,'[1]Tissue Data'!$H:$H)</f>
        <v>Lepomis</v>
      </c>
      <c r="F4859" t="str">
        <f>_xlfn.XLOOKUP(A4859,'[1]Tissue Data'!$A:$A,'[1]Tissue Data'!$I:$I)</f>
        <v>gibbosus</v>
      </c>
      <c r="G4859" t="str">
        <f>_xlfn.XLOOKUP(A4859,'[1]Tissue Data'!$A:$A,'[1]Tissue Data'!J:J)</f>
        <v>U</v>
      </c>
      <c r="H4859" t="str">
        <f>_xlfn.XLOOKUP(A4859,'[1]Tissue Data'!$A:$A,'[1]Tissue Data'!K:K)</f>
        <v>Whole Body</v>
      </c>
      <c r="I4859">
        <f>_xlfn.XLOOKUP(A4859,'[1]Tissue Data'!$A:$A,'[1]Tissue Data'!L:L)</f>
        <v>8</v>
      </c>
      <c r="J4859">
        <f>_xlfn.XLOOKUP(A4859,'[1]Tissue Data'!$A:$A,'[1]Tissue Data'!M:M)</f>
        <v>8.65</v>
      </c>
      <c r="K4859" t="s">
        <v>19</v>
      </c>
      <c r="L4859" t="str">
        <f>_xlfn.XLOOKUP(K4859,[2]analyte_order!$B:$B,[2]analyte_order!$C:$C)</f>
        <v>2058-94-8</v>
      </c>
      <c r="M4859">
        <f>_xlfn.XLOOKUP(L4859,[2]analyte_order!$C:$C,[2]analyte_order!$E:$E)</f>
        <v>8</v>
      </c>
      <c r="N4859">
        <v>9.17</v>
      </c>
    </row>
    <row r="4860" spans="1:14">
      <c r="A4860" t="s">
        <v>277</v>
      </c>
      <c r="B4860" t="str">
        <f>_xlfn.XLOOKUP(A4860,'[1]Tissue Data'!$A:$A,'[1]Tissue Data'!$C:$C)</f>
        <v>Spill</v>
      </c>
      <c r="C4860" s="2">
        <f>_xlfn.XLOOKUP(A4860,'[1]Tissue Data'!$A:$A,'[1]Tissue Data'!$D:$D)</f>
        <v>44393</v>
      </c>
      <c r="D4860" s="2" t="str">
        <f>_xlfn.XLOOKUP(A4860,'[1]Tissue Data'!$A:$A,'[1]Tissue Data'!$F:$F)</f>
        <v>Pumpkinseed</v>
      </c>
      <c r="E4860" t="str">
        <f>_xlfn.XLOOKUP(A4860,'[1]Tissue Data'!$A:$A,'[1]Tissue Data'!$H:$H)</f>
        <v>Lepomis</v>
      </c>
      <c r="F4860" t="str">
        <f>_xlfn.XLOOKUP(A4860,'[1]Tissue Data'!$A:$A,'[1]Tissue Data'!$I:$I)</f>
        <v>gibbosus</v>
      </c>
      <c r="G4860" t="str">
        <f>_xlfn.XLOOKUP(A4860,'[1]Tissue Data'!$A:$A,'[1]Tissue Data'!J:J)</f>
        <v>U</v>
      </c>
      <c r="H4860" t="str">
        <f>_xlfn.XLOOKUP(A4860,'[1]Tissue Data'!$A:$A,'[1]Tissue Data'!K:K)</f>
        <v>Whole Body</v>
      </c>
      <c r="I4860">
        <f>_xlfn.XLOOKUP(A4860,'[1]Tissue Data'!$A:$A,'[1]Tissue Data'!L:L)</f>
        <v>8</v>
      </c>
      <c r="J4860">
        <f>_xlfn.XLOOKUP(A4860,'[1]Tissue Data'!$A:$A,'[1]Tissue Data'!M:M)</f>
        <v>8.65</v>
      </c>
      <c r="K4860" t="s">
        <v>20</v>
      </c>
      <c r="L4860" t="str">
        <f>_xlfn.XLOOKUP(K4860,[2]analyte_order!$B:$B,[2]analyte_order!$C:$C)</f>
        <v>307-55-1</v>
      </c>
      <c r="M4860">
        <f>_xlfn.XLOOKUP(L4860,[2]analyte_order!$C:$C,[2]analyte_order!$E:$E)</f>
        <v>9</v>
      </c>
      <c r="N4860">
        <v>8.06</v>
      </c>
    </row>
    <row r="4861" spans="1:14">
      <c r="A4861" t="s">
        <v>277</v>
      </c>
      <c r="B4861" t="str">
        <f>_xlfn.XLOOKUP(A4861,'[1]Tissue Data'!$A:$A,'[1]Tissue Data'!$C:$C)</f>
        <v>Spill</v>
      </c>
      <c r="C4861" s="2">
        <f>_xlfn.XLOOKUP(A4861,'[1]Tissue Data'!$A:$A,'[1]Tissue Data'!$D:$D)</f>
        <v>44393</v>
      </c>
      <c r="D4861" s="2" t="str">
        <f>_xlfn.XLOOKUP(A4861,'[1]Tissue Data'!$A:$A,'[1]Tissue Data'!$F:$F)</f>
        <v>Pumpkinseed</v>
      </c>
      <c r="E4861" t="str">
        <f>_xlfn.XLOOKUP(A4861,'[1]Tissue Data'!$A:$A,'[1]Tissue Data'!$H:$H)</f>
        <v>Lepomis</v>
      </c>
      <c r="F4861" t="str">
        <f>_xlfn.XLOOKUP(A4861,'[1]Tissue Data'!$A:$A,'[1]Tissue Data'!$I:$I)</f>
        <v>gibbosus</v>
      </c>
      <c r="G4861" t="str">
        <f>_xlfn.XLOOKUP(A4861,'[1]Tissue Data'!$A:$A,'[1]Tissue Data'!J:J)</f>
        <v>U</v>
      </c>
      <c r="H4861" t="str">
        <f>_xlfn.XLOOKUP(A4861,'[1]Tissue Data'!$A:$A,'[1]Tissue Data'!K:K)</f>
        <v>Whole Body</v>
      </c>
      <c r="I4861">
        <f>_xlfn.XLOOKUP(A4861,'[1]Tissue Data'!$A:$A,'[1]Tissue Data'!L:L)</f>
        <v>8</v>
      </c>
      <c r="J4861">
        <f>_xlfn.XLOOKUP(A4861,'[1]Tissue Data'!$A:$A,'[1]Tissue Data'!M:M)</f>
        <v>8.65</v>
      </c>
      <c r="K4861" t="s">
        <v>21</v>
      </c>
      <c r="L4861" t="str">
        <f>_xlfn.XLOOKUP(K4861,[2]analyte_order!$B:$B,[2]analyte_order!$C:$C)</f>
        <v>72629-94-8</v>
      </c>
      <c r="M4861">
        <f>_xlfn.XLOOKUP(L4861,[2]analyte_order!$C:$C,[2]analyte_order!$E:$E)</f>
        <v>10</v>
      </c>
      <c r="N4861">
        <v>2.38</v>
      </c>
    </row>
    <row r="4862" spans="1:14">
      <c r="A4862" t="s">
        <v>277</v>
      </c>
      <c r="B4862" t="str">
        <f>_xlfn.XLOOKUP(A4862,'[1]Tissue Data'!$A:$A,'[1]Tissue Data'!$C:$C)</f>
        <v>Spill</v>
      </c>
      <c r="C4862" s="2">
        <f>_xlfn.XLOOKUP(A4862,'[1]Tissue Data'!$A:$A,'[1]Tissue Data'!$D:$D)</f>
        <v>44393</v>
      </c>
      <c r="D4862" s="2" t="str">
        <f>_xlfn.XLOOKUP(A4862,'[1]Tissue Data'!$A:$A,'[1]Tissue Data'!$F:$F)</f>
        <v>Pumpkinseed</v>
      </c>
      <c r="E4862" t="str">
        <f>_xlfn.XLOOKUP(A4862,'[1]Tissue Data'!$A:$A,'[1]Tissue Data'!$H:$H)</f>
        <v>Lepomis</v>
      </c>
      <c r="F4862" t="str">
        <f>_xlfn.XLOOKUP(A4862,'[1]Tissue Data'!$A:$A,'[1]Tissue Data'!$I:$I)</f>
        <v>gibbosus</v>
      </c>
      <c r="G4862" t="str">
        <f>_xlfn.XLOOKUP(A4862,'[1]Tissue Data'!$A:$A,'[1]Tissue Data'!J:J)</f>
        <v>U</v>
      </c>
      <c r="H4862" t="str">
        <f>_xlfn.XLOOKUP(A4862,'[1]Tissue Data'!$A:$A,'[1]Tissue Data'!K:K)</f>
        <v>Whole Body</v>
      </c>
      <c r="I4862">
        <f>_xlfn.XLOOKUP(A4862,'[1]Tissue Data'!$A:$A,'[1]Tissue Data'!L:L)</f>
        <v>8</v>
      </c>
      <c r="J4862">
        <f>_xlfn.XLOOKUP(A4862,'[1]Tissue Data'!$A:$A,'[1]Tissue Data'!M:M)</f>
        <v>8.65</v>
      </c>
      <c r="K4862" t="s">
        <v>22</v>
      </c>
      <c r="L4862" t="str">
        <f>_xlfn.XLOOKUP(K4862,[2]analyte_order!$B:$B,[2]analyte_order!$C:$C)</f>
        <v>376-06-7</v>
      </c>
      <c r="M4862">
        <f>_xlfn.XLOOKUP(L4862,[2]analyte_order!$C:$C,[2]analyte_order!$E:$E)</f>
        <v>11</v>
      </c>
      <c r="N4862">
        <v>7.61</v>
      </c>
    </row>
    <row r="4863" spans="1:14">
      <c r="A4863" t="s">
        <v>277</v>
      </c>
      <c r="B4863" t="str">
        <f>_xlfn.XLOOKUP(A4863,'[1]Tissue Data'!$A:$A,'[1]Tissue Data'!$C:$C)</f>
        <v>Spill</v>
      </c>
      <c r="C4863" s="2">
        <f>_xlfn.XLOOKUP(A4863,'[1]Tissue Data'!$A:$A,'[1]Tissue Data'!$D:$D)</f>
        <v>44393</v>
      </c>
      <c r="D4863" s="2" t="str">
        <f>_xlfn.XLOOKUP(A4863,'[1]Tissue Data'!$A:$A,'[1]Tissue Data'!$F:$F)</f>
        <v>Pumpkinseed</v>
      </c>
      <c r="E4863" t="str">
        <f>_xlfn.XLOOKUP(A4863,'[1]Tissue Data'!$A:$A,'[1]Tissue Data'!$H:$H)</f>
        <v>Lepomis</v>
      </c>
      <c r="F4863" t="str">
        <f>_xlfn.XLOOKUP(A4863,'[1]Tissue Data'!$A:$A,'[1]Tissue Data'!$I:$I)</f>
        <v>gibbosus</v>
      </c>
      <c r="G4863" t="str">
        <f>_xlfn.XLOOKUP(A4863,'[1]Tissue Data'!$A:$A,'[1]Tissue Data'!J:J)</f>
        <v>U</v>
      </c>
      <c r="H4863" t="str">
        <f>_xlfn.XLOOKUP(A4863,'[1]Tissue Data'!$A:$A,'[1]Tissue Data'!K:K)</f>
        <v>Whole Body</v>
      </c>
      <c r="I4863">
        <f>_xlfn.XLOOKUP(A4863,'[1]Tissue Data'!$A:$A,'[1]Tissue Data'!L:L)</f>
        <v>8</v>
      </c>
      <c r="J4863">
        <f>_xlfn.XLOOKUP(A4863,'[1]Tissue Data'!$A:$A,'[1]Tissue Data'!M:M)</f>
        <v>8.65</v>
      </c>
      <c r="K4863" t="s">
        <v>23</v>
      </c>
      <c r="L4863" t="str">
        <f>_xlfn.XLOOKUP(K4863,[2]analyte_order!$B:$B,[2]analyte_order!$C:$C)</f>
        <v>67905-19-5</v>
      </c>
      <c r="M4863">
        <f>_xlfn.XLOOKUP(L4863,[2]analyte_order!$C:$C,[2]analyte_order!$E:$E)</f>
        <v>12</v>
      </c>
      <c r="N4863">
        <v>0.08</v>
      </c>
    </row>
    <row r="4864" spans="1:14">
      <c r="A4864" t="s">
        <v>277</v>
      </c>
      <c r="B4864" t="str">
        <f>_xlfn.XLOOKUP(A4864,'[1]Tissue Data'!$A:$A,'[1]Tissue Data'!$C:$C)</f>
        <v>Spill</v>
      </c>
      <c r="C4864" s="2">
        <f>_xlfn.XLOOKUP(A4864,'[1]Tissue Data'!$A:$A,'[1]Tissue Data'!$D:$D)</f>
        <v>44393</v>
      </c>
      <c r="D4864" s="2" t="str">
        <f>_xlfn.XLOOKUP(A4864,'[1]Tissue Data'!$A:$A,'[1]Tissue Data'!$F:$F)</f>
        <v>Pumpkinseed</v>
      </c>
      <c r="E4864" t="str">
        <f>_xlfn.XLOOKUP(A4864,'[1]Tissue Data'!$A:$A,'[1]Tissue Data'!$H:$H)</f>
        <v>Lepomis</v>
      </c>
      <c r="F4864" t="str">
        <f>_xlfn.XLOOKUP(A4864,'[1]Tissue Data'!$A:$A,'[1]Tissue Data'!$I:$I)</f>
        <v>gibbosus</v>
      </c>
      <c r="G4864" t="str">
        <f>_xlfn.XLOOKUP(A4864,'[1]Tissue Data'!$A:$A,'[1]Tissue Data'!J:J)</f>
        <v>U</v>
      </c>
      <c r="H4864" t="str">
        <f>_xlfn.XLOOKUP(A4864,'[1]Tissue Data'!$A:$A,'[1]Tissue Data'!K:K)</f>
        <v>Whole Body</v>
      </c>
      <c r="I4864">
        <f>_xlfn.XLOOKUP(A4864,'[1]Tissue Data'!$A:$A,'[1]Tissue Data'!L:L)</f>
        <v>8</v>
      </c>
      <c r="J4864">
        <f>_xlfn.XLOOKUP(A4864,'[1]Tissue Data'!$A:$A,'[1]Tissue Data'!M:M)</f>
        <v>8.65</v>
      </c>
      <c r="K4864" t="s">
        <v>24</v>
      </c>
      <c r="L4864" t="str">
        <f>_xlfn.XLOOKUP(K4864,[2]analyte_order!$B:$B,[2]analyte_order!$C:$C)</f>
        <v>423-41-6</v>
      </c>
      <c r="M4864">
        <f>_xlfn.XLOOKUP(L4864,[2]analyte_order!$C:$C,[2]analyte_order!$E:$E)</f>
        <v>53</v>
      </c>
      <c r="N4864">
        <v>6.7500000000000004E-2</v>
      </c>
    </row>
    <row r="4865" spans="1:14">
      <c r="A4865" t="s">
        <v>277</v>
      </c>
      <c r="B4865" t="str">
        <f>_xlfn.XLOOKUP(A4865,'[1]Tissue Data'!$A:$A,'[1]Tissue Data'!$C:$C)</f>
        <v>Spill</v>
      </c>
      <c r="C4865" s="2">
        <f>_xlfn.XLOOKUP(A4865,'[1]Tissue Data'!$A:$A,'[1]Tissue Data'!$D:$D)</f>
        <v>44393</v>
      </c>
      <c r="D4865" s="2" t="str">
        <f>_xlfn.XLOOKUP(A4865,'[1]Tissue Data'!$A:$A,'[1]Tissue Data'!$F:$F)</f>
        <v>Pumpkinseed</v>
      </c>
      <c r="E4865" t="str">
        <f>_xlfn.XLOOKUP(A4865,'[1]Tissue Data'!$A:$A,'[1]Tissue Data'!$H:$H)</f>
        <v>Lepomis</v>
      </c>
      <c r="F4865" t="str">
        <f>_xlfn.XLOOKUP(A4865,'[1]Tissue Data'!$A:$A,'[1]Tissue Data'!$I:$I)</f>
        <v>gibbosus</v>
      </c>
      <c r="G4865" t="str">
        <f>_xlfn.XLOOKUP(A4865,'[1]Tissue Data'!$A:$A,'[1]Tissue Data'!J:J)</f>
        <v>U</v>
      </c>
      <c r="H4865" t="str">
        <f>_xlfn.XLOOKUP(A4865,'[1]Tissue Data'!$A:$A,'[1]Tissue Data'!K:K)</f>
        <v>Whole Body</v>
      </c>
      <c r="I4865">
        <f>_xlfn.XLOOKUP(A4865,'[1]Tissue Data'!$A:$A,'[1]Tissue Data'!L:L)</f>
        <v>8</v>
      </c>
      <c r="J4865">
        <f>_xlfn.XLOOKUP(A4865,'[1]Tissue Data'!$A:$A,'[1]Tissue Data'!M:M)</f>
        <v>8.65</v>
      </c>
      <c r="K4865" t="s">
        <v>25</v>
      </c>
      <c r="L4865" t="str">
        <f>_xlfn.XLOOKUP(K4865,[2]analyte_order!$B:$B,[2]analyte_order!$C:$C)</f>
        <v>375-73-5</v>
      </c>
      <c r="M4865">
        <f>_xlfn.XLOOKUP(L4865,[2]analyte_order!$C:$C,[2]analyte_order!$E:$E)</f>
        <v>14</v>
      </c>
      <c r="N4865">
        <v>0.151</v>
      </c>
    </row>
    <row r="4866" spans="1:14">
      <c r="A4866" t="s">
        <v>277</v>
      </c>
      <c r="B4866" t="str">
        <f>_xlfn.XLOOKUP(A4866,'[1]Tissue Data'!$A:$A,'[1]Tissue Data'!$C:$C)</f>
        <v>Spill</v>
      </c>
      <c r="C4866" s="2">
        <f>_xlfn.XLOOKUP(A4866,'[1]Tissue Data'!$A:$A,'[1]Tissue Data'!$D:$D)</f>
        <v>44393</v>
      </c>
      <c r="D4866" s="2" t="str">
        <f>_xlfn.XLOOKUP(A4866,'[1]Tissue Data'!$A:$A,'[1]Tissue Data'!$F:$F)</f>
        <v>Pumpkinseed</v>
      </c>
      <c r="E4866" t="str">
        <f>_xlfn.XLOOKUP(A4866,'[1]Tissue Data'!$A:$A,'[1]Tissue Data'!$H:$H)</f>
        <v>Lepomis</v>
      </c>
      <c r="F4866" t="str">
        <f>_xlfn.XLOOKUP(A4866,'[1]Tissue Data'!$A:$A,'[1]Tissue Data'!$I:$I)</f>
        <v>gibbosus</v>
      </c>
      <c r="G4866" t="str">
        <f>_xlfn.XLOOKUP(A4866,'[1]Tissue Data'!$A:$A,'[1]Tissue Data'!J:J)</f>
        <v>U</v>
      </c>
      <c r="H4866" t="str">
        <f>_xlfn.XLOOKUP(A4866,'[1]Tissue Data'!$A:$A,'[1]Tissue Data'!K:K)</f>
        <v>Whole Body</v>
      </c>
      <c r="I4866">
        <f>_xlfn.XLOOKUP(A4866,'[1]Tissue Data'!$A:$A,'[1]Tissue Data'!L:L)</f>
        <v>8</v>
      </c>
      <c r="J4866">
        <f>_xlfn.XLOOKUP(A4866,'[1]Tissue Data'!$A:$A,'[1]Tissue Data'!M:M)</f>
        <v>8.65</v>
      </c>
      <c r="K4866" t="s">
        <v>26</v>
      </c>
      <c r="L4866" t="str">
        <f>_xlfn.XLOOKUP(K4866,[2]analyte_order!$B:$B,[2]analyte_order!$C:$C)</f>
        <v>2706-91-4</v>
      </c>
      <c r="M4866">
        <f>_xlfn.XLOOKUP(L4866,[2]analyte_order!$C:$C,[2]analyte_order!$E:$E)</f>
        <v>15</v>
      </c>
      <c r="N4866">
        <v>0.222</v>
      </c>
    </row>
    <row r="4867" spans="1:14">
      <c r="A4867" t="s">
        <v>277</v>
      </c>
      <c r="B4867" t="str">
        <f>_xlfn.XLOOKUP(A4867,'[1]Tissue Data'!$A:$A,'[1]Tissue Data'!$C:$C)</f>
        <v>Spill</v>
      </c>
      <c r="C4867" s="2">
        <f>_xlfn.XLOOKUP(A4867,'[1]Tissue Data'!$A:$A,'[1]Tissue Data'!$D:$D)</f>
        <v>44393</v>
      </c>
      <c r="D4867" s="2" t="str">
        <f>_xlfn.XLOOKUP(A4867,'[1]Tissue Data'!$A:$A,'[1]Tissue Data'!$F:$F)</f>
        <v>Pumpkinseed</v>
      </c>
      <c r="E4867" t="str">
        <f>_xlfn.XLOOKUP(A4867,'[1]Tissue Data'!$A:$A,'[1]Tissue Data'!$H:$H)</f>
        <v>Lepomis</v>
      </c>
      <c r="F4867" t="str">
        <f>_xlfn.XLOOKUP(A4867,'[1]Tissue Data'!$A:$A,'[1]Tissue Data'!$I:$I)</f>
        <v>gibbosus</v>
      </c>
      <c r="G4867" t="str">
        <f>_xlfn.XLOOKUP(A4867,'[1]Tissue Data'!$A:$A,'[1]Tissue Data'!J:J)</f>
        <v>U</v>
      </c>
      <c r="H4867" t="str">
        <f>_xlfn.XLOOKUP(A4867,'[1]Tissue Data'!$A:$A,'[1]Tissue Data'!K:K)</f>
        <v>Whole Body</v>
      </c>
      <c r="I4867">
        <f>_xlfn.XLOOKUP(A4867,'[1]Tissue Data'!$A:$A,'[1]Tissue Data'!L:L)</f>
        <v>8</v>
      </c>
      <c r="J4867">
        <f>_xlfn.XLOOKUP(A4867,'[1]Tissue Data'!$A:$A,'[1]Tissue Data'!M:M)</f>
        <v>8.65</v>
      </c>
      <c r="K4867" t="s">
        <v>27</v>
      </c>
      <c r="L4867" t="str">
        <f>_xlfn.XLOOKUP(K4867,[2]analyte_order!$B:$B,[2]analyte_order!$C:$C)</f>
        <v>355-46-4</v>
      </c>
      <c r="M4867">
        <f>_xlfn.XLOOKUP(L4867,[2]analyte_order!$C:$C,[2]analyte_order!$E:$E)</f>
        <v>16</v>
      </c>
      <c r="N4867">
        <v>30.4</v>
      </c>
    </row>
    <row r="4868" spans="1:14">
      <c r="A4868" t="s">
        <v>277</v>
      </c>
      <c r="B4868" t="str">
        <f>_xlfn.XLOOKUP(A4868,'[1]Tissue Data'!$A:$A,'[1]Tissue Data'!$C:$C)</f>
        <v>Spill</v>
      </c>
      <c r="C4868" s="2">
        <f>_xlfn.XLOOKUP(A4868,'[1]Tissue Data'!$A:$A,'[1]Tissue Data'!$D:$D)</f>
        <v>44393</v>
      </c>
      <c r="D4868" s="2" t="str">
        <f>_xlfn.XLOOKUP(A4868,'[1]Tissue Data'!$A:$A,'[1]Tissue Data'!$F:$F)</f>
        <v>Pumpkinseed</v>
      </c>
      <c r="E4868" t="str">
        <f>_xlfn.XLOOKUP(A4868,'[1]Tissue Data'!$A:$A,'[1]Tissue Data'!$H:$H)</f>
        <v>Lepomis</v>
      </c>
      <c r="F4868" t="str">
        <f>_xlfn.XLOOKUP(A4868,'[1]Tissue Data'!$A:$A,'[1]Tissue Data'!$I:$I)</f>
        <v>gibbosus</v>
      </c>
      <c r="G4868" t="str">
        <f>_xlfn.XLOOKUP(A4868,'[1]Tissue Data'!$A:$A,'[1]Tissue Data'!J:J)</f>
        <v>U</v>
      </c>
      <c r="H4868" t="str">
        <f>_xlfn.XLOOKUP(A4868,'[1]Tissue Data'!$A:$A,'[1]Tissue Data'!K:K)</f>
        <v>Whole Body</v>
      </c>
      <c r="I4868">
        <f>_xlfn.XLOOKUP(A4868,'[1]Tissue Data'!$A:$A,'[1]Tissue Data'!L:L)</f>
        <v>8</v>
      </c>
      <c r="J4868">
        <f>_xlfn.XLOOKUP(A4868,'[1]Tissue Data'!$A:$A,'[1]Tissue Data'!M:M)</f>
        <v>8.65</v>
      </c>
      <c r="K4868" t="s">
        <v>28</v>
      </c>
      <c r="L4868" t="str">
        <f>_xlfn.XLOOKUP(K4868,[2]analyte_order!$B:$B,[2]analyte_order!$C:$C)</f>
        <v>375-92-8</v>
      </c>
      <c r="M4868">
        <f>_xlfn.XLOOKUP(L4868,[2]analyte_order!$C:$C,[2]analyte_order!$E:$E)</f>
        <v>17</v>
      </c>
      <c r="N4868">
        <v>3.4</v>
      </c>
    </row>
    <row r="4869" spans="1:14">
      <c r="A4869" t="s">
        <v>277</v>
      </c>
      <c r="B4869" t="str">
        <f>_xlfn.XLOOKUP(A4869,'[1]Tissue Data'!$A:$A,'[1]Tissue Data'!$C:$C)</f>
        <v>Spill</v>
      </c>
      <c r="C4869" s="2">
        <f>_xlfn.XLOOKUP(A4869,'[1]Tissue Data'!$A:$A,'[1]Tissue Data'!$D:$D)</f>
        <v>44393</v>
      </c>
      <c r="D4869" s="2" t="str">
        <f>_xlfn.XLOOKUP(A4869,'[1]Tissue Data'!$A:$A,'[1]Tissue Data'!$F:$F)</f>
        <v>Pumpkinseed</v>
      </c>
      <c r="E4869" t="str">
        <f>_xlfn.XLOOKUP(A4869,'[1]Tissue Data'!$A:$A,'[1]Tissue Data'!$H:$H)</f>
        <v>Lepomis</v>
      </c>
      <c r="F4869" t="str">
        <f>_xlfn.XLOOKUP(A4869,'[1]Tissue Data'!$A:$A,'[1]Tissue Data'!$I:$I)</f>
        <v>gibbosus</v>
      </c>
      <c r="G4869" t="str">
        <f>_xlfn.XLOOKUP(A4869,'[1]Tissue Data'!$A:$A,'[1]Tissue Data'!J:J)</f>
        <v>U</v>
      </c>
      <c r="H4869" t="str">
        <f>_xlfn.XLOOKUP(A4869,'[1]Tissue Data'!$A:$A,'[1]Tissue Data'!K:K)</f>
        <v>Whole Body</v>
      </c>
      <c r="I4869">
        <f>_xlfn.XLOOKUP(A4869,'[1]Tissue Data'!$A:$A,'[1]Tissue Data'!L:L)</f>
        <v>8</v>
      </c>
      <c r="J4869">
        <f>_xlfn.XLOOKUP(A4869,'[1]Tissue Data'!$A:$A,'[1]Tissue Data'!M:M)</f>
        <v>8.65</v>
      </c>
      <c r="K4869" t="s">
        <v>29</v>
      </c>
      <c r="L4869" t="str">
        <f>_xlfn.XLOOKUP(K4869,[2]analyte_order!$B:$B,[2]analyte_order!$C:$C)</f>
        <v>1763-23-1</v>
      </c>
      <c r="M4869">
        <f>_xlfn.XLOOKUP(L4869,[2]analyte_order!$C:$C,[2]analyte_order!$E:$E)</f>
        <v>18</v>
      </c>
      <c r="N4869">
        <v>688</v>
      </c>
    </row>
    <row r="4870" spans="1:14">
      <c r="A4870" t="s">
        <v>277</v>
      </c>
      <c r="B4870" t="str">
        <f>_xlfn.XLOOKUP(A4870,'[1]Tissue Data'!$A:$A,'[1]Tissue Data'!$C:$C)</f>
        <v>Spill</v>
      </c>
      <c r="C4870" s="2">
        <f>_xlfn.XLOOKUP(A4870,'[1]Tissue Data'!$A:$A,'[1]Tissue Data'!$D:$D)</f>
        <v>44393</v>
      </c>
      <c r="D4870" s="2" t="str">
        <f>_xlfn.XLOOKUP(A4870,'[1]Tissue Data'!$A:$A,'[1]Tissue Data'!$F:$F)</f>
        <v>Pumpkinseed</v>
      </c>
      <c r="E4870" t="str">
        <f>_xlfn.XLOOKUP(A4870,'[1]Tissue Data'!$A:$A,'[1]Tissue Data'!$H:$H)</f>
        <v>Lepomis</v>
      </c>
      <c r="F4870" t="str">
        <f>_xlfn.XLOOKUP(A4870,'[1]Tissue Data'!$A:$A,'[1]Tissue Data'!$I:$I)</f>
        <v>gibbosus</v>
      </c>
      <c r="G4870" t="str">
        <f>_xlfn.XLOOKUP(A4870,'[1]Tissue Data'!$A:$A,'[1]Tissue Data'!J:J)</f>
        <v>U</v>
      </c>
      <c r="H4870" t="str">
        <f>_xlfn.XLOOKUP(A4870,'[1]Tissue Data'!$A:$A,'[1]Tissue Data'!K:K)</f>
        <v>Whole Body</v>
      </c>
      <c r="I4870">
        <f>_xlfn.XLOOKUP(A4870,'[1]Tissue Data'!$A:$A,'[1]Tissue Data'!L:L)</f>
        <v>8</v>
      </c>
      <c r="J4870">
        <f>_xlfn.XLOOKUP(A4870,'[1]Tissue Data'!$A:$A,'[1]Tissue Data'!M:M)</f>
        <v>8.65</v>
      </c>
      <c r="K4870" t="s">
        <v>30</v>
      </c>
      <c r="L4870" t="str">
        <f>_xlfn.XLOOKUP(K4870,[2]analyte_order!$B:$B,[2]analyte_order!$C:$C)</f>
        <v>68259-12-1</v>
      </c>
      <c r="M4870">
        <f>_xlfn.XLOOKUP(L4870,[2]analyte_order!$C:$C,[2]analyte_order!$E:$E)</f>
        <v>19</v>
      </c>
      <c r="N4870">
        <v>2.12</v>
      </c>
    </row>
    <row r="4871" spans="1:14">
      <c r="A4871" t="s">
        <v>277</v>
      </c>
      <c r="B4871" t="str">
        <f>_xlfn.XLOOKUP(A4871,'[1]Tissue Data'!$A:$A,'[1]Tissue Data'!$C:$C)</f>
        <v>Spill</v>
      </c>
      <c r="C4871" s="2">
        <f>_xlfn.XLOOKUP(A4871,'[1]Tissue Data'!$A:$A,'[1]Tissue Data'!$D:$D)</f>
        <v>44393</v>
      </c>
      <c r="D4871" s="2" t="str">
        <f>_xlfn.XLOOKUP(A4871,'[1]Tissue Data'!$A:$A,'[1]Tissue Data'!$F:$F)</f>
        <v>Pumpkinseed</v>
      </c>
      <c r="E4871" t="str">
        <f>_xlfn.XLOOKUP(A4871,'[1]Tissue Data'!$A:$A,'[1]Tissue Data'!$H:$H)</f>
        <v>Lepomis</v>
      </c>
      <c r="F4871" t="str">
        <f>_xlfn.XLOOKUP(A4871,'[1]Tissue Data'!$A:$A,'[1]Tissue Data'!$I:$I)</f>
        <v>gibbosus</v>
      </c>
      <c r="G4871" t="str">
        <f>_xlfn.XLOOKUP(A4871,'[1]Tissue Data'!$A:$A,'[1]Tissue Data'!J:J)</f>
        <v>U</v>
      </c>
      <c r="H4871" t="str">
        <f>_xlfn.XLOOKUP(A4871,'[1]Tissue Data'!$A:$A,'[1]Tissue Data'!K:K)</f>
        <v>Whole Body</v>
      </c>
      <c r="I4871">
        <f>_xlfn.XLOOKUP(A4871,'[1]Tissue Data'!$A:$A,'[1]Tissue Data'!L:L)</f>
        <v>8</v>
      </c>
      <c r="J4871">
        <f>_xlfn.XLOOKUP(A4871,'[1]Tissue Data'!$A:$A,'[1]Tissue Data'!M:M)</f>
        <v>8.65</v>
      </c>
      <c r="K4871" t="s">
        <v>31</v>
      </c>
      <c r="L4871" t="str">
        <f>_xlfn.XLOOKUP(K4871,[2]analyte_order!$B:$B,[2]analyte_order!$C:$C)</f>
        <v>335-77-3</v>
      </c>
      <c r="M4871">
        <f>_xlfn.XLOOKUP(L4871,[2]analyte_order!$C:$C,[2]analyte_order!$E:$E)</f>
        <v>20</v>
      </c>
      <c r="N4871">
        <v>1.63</v>
      </c>
    </row>
    <row r="4872" spans="1:14">
      <c r="A4872" t="s">
        <v>277</v>
      </c>
      <c r="B4872" t="str">
        <f>_xlfn.XLOOKUP(A4872,'[1]Tissue Data'!$A:$A,'[1]Tissue Data'!$C:$C)</f>
        <v>Spill</v>
      </c>
      <c r="C4872" s="2">
        <f>_xlfn.XLOOKUP(A4872,'[1]Tissue Data'!$A:$A,'[1]Tissue Data'!$D:$D)</f>
        <v>44393</v>
      </c>
      <c r="D4872" s="2" t="str">
        <f>_xlfn.XLOOKUP(A4872,'[1]Tissue Data'!$A:$A,'[1]Tissue Data'!$F:$F)</f>
        <v>Pumpkinseed</v>
      </c>
      <c r="E4872" t="str">
        <f>_xlfn.XLOOKUP(A4872,'[1]Tissue Data'!$A:$A,'[1]Tissue Data'!$H:$H)</f>
        <v>Lepomis</v>
      </c>
      <c r="F4872" t="str">
        <f>_xlfn.XLOOKUP(A4872,'[1]Tissue Data'!$A:$A,'[1]Tissue Data'!$I:$I)</f>
        <v>gibbosus</v>
      </c>
      <c r="G4872" t="str">
        <f>_xlfn.XLOOKUP(A4872,'[1]Tissue Data'!$A:$A,'[1]Tissue Data'!J:J)</f>
        <v>U</v>
      </c>
      <c r="H4872" t="str">
        <f>_xlfn.XLOOKUP(A4872,'[1]Tissue Data'!$A:$A,'[1]Tissue Data'!K:K)</f>
        <v>Whole Body</v>
      </c>
      <c r="I4872">
        <f>_xlfn.XLOOKUP(A4872,'[1]Tissue Data'!$A:$A,'[1]Tissue Data'!L:L)</f>
        <v>8</v>
      </c>
      <c r="J4872">
        <f>_xlfn.XLOOKUP(A4872,'[1]Tissue Data'!$A:$A,'[1]Tissue Data'!M:M)</f>
        <v>8.65</v>
      </c>
      <c r="K4872" t="s">
        <v>32</v>
      </c>
      <c r="L4872" t="str">
        <f>_xlfn.XLOOKUP(K4872,[2]analyte_order!$B:$B,[2]analyte_order!$C:$C)</f>
        <v>79780-39-5</v>
      </c>
      <c r="M4872">
        <f>_xlfn.XLOOKUP(L4872,[2]analyte_order!$C:$C,[2]analyte_order!$E:$E)</f>
        <v>21</v>
      </c>
      <c r="N4872">
        <v>0.23749999999999999</v>
      </c>
    </row>
    <row r="4873" spans="1:14">
      <c r="A4873" t="s">
        <v>277</v>
      </c>
      <c r="B4873" t="str">
        <f>_xlfn.XLOOKUP(A4873,'[1]Tissue Data'!$A:$A,'[1]Tissue Data'!$C:$C)</f>
        <v>Spill</v>
      </c>
      <c r="C4873" s="2">
        <f>_xlfn.XLOOKUP(A4873,'[1]Tissue Data'!$A:$A,'[1]Tissue Data'!$D:$D)</f>
        <v>44393</v>
      </c>
      <c r="D4873" s="2" t="str">
        <f>_xlfn.XLOOKUP(A4873,'[1]Tissue Data'!$A:$A,'[1]Tissue Data'!$F:$F)</f>
        <v>Pumpkinseed</v>
      </c>
      <c r="E4873" t="str">
        <f>_xlfn.XLOOKUP(A4873,'[1]Tissue Data'!$A:$A,'[1]Tissue Data'!$H:$H)</f>
        <v>Lepomis</v>
      </c>
      <c r="F4873" t="str">
        <f>_xlfn.XLOOKUP(A4873,'[1]Tissue Data'!$A:$A,'[1]Tissue Data'!$I:$I)</f>
        <v>gibbosus</v>
      </c>
      <c r="G4873" t="str">
        <f>_xlfn.XLOOKUP(A4873,'[1]Tissue Data'!$A:$A,'[1]Tissue Data'!J:J)</f>
        <v>U</v>
      </c>
      <c r="H4873" t="str">
        <f>_xlfn.XLOOKUP(A4873,'[1]Tissue Data'!$A:$A,'[1]Tissue Data'!K:K)</f>
        <v>Whole Body</v>
      </c>
      <c r="I4873">
        <f>_xlfn.XLOOKUP(A4873,'[1]Tissue Data'!$A:$A,'[1]Tissue Data'!L:L)</f>
        <v>8</v>
      </c>
      <c r="J4873">
        <f>_xlfn.XLOOKUP(A4873,'[1]Tissue Data'!$A:$A,'[1]Tissue Data'!M:M)</f>
        <v>8.65</v>
      </c>
      <c r="K4873" t="s">
        <v>33</v>
      </c>
      <c r="L4873" t="str">
        <f>_xlfn.XLOOKUP(K4873,[2]analyte_order!$B:$B,[2]analyte_order!$C:$C)</f>
        <v>777011-38-8</v>
      </c>
      <c r="M4873">
        <f>_xlfn.XLOOKUP(L4873,[2]analyte_order!$C:$C,[2]analyte_order!$E:$E)</f>
        <v>54</v>
      </c>
      <c r="N4873">
        <v>0.13500000000000001</v>
      </c>
    </row>
    <row r="4874" spans="1:14">
      <c r="A4874" t="s">
        <v>277</v>
      </c>
      <c r="B4874" t="str">
        <f>_xlfn.XLOOKUP(A4874,'[1]Tissue Data'!$A:$A,'[1]Tissue Data'!$C:$C)</f>
        <v>Spill</v>
      </c>
      <c r="C4874" s="2">
        <f>_xlfn.XLOOKUP(A4874,'[1]Tissue Data'!$A:$A,'[1]Tissue Data'!$D:$D)</f>
        <v>44393</v>
      </c>
      <c r="D4874" s="2" t="str">
        <f>_xlfn.XLOOKUP(A4874,'[1]Tissue Data'!$A:$A,'[1]Tissue Data'!$F:$F)</f>
        <v>Pumpkinseed</v>
      </c>
      <c r="E4874" t="str">
        <f>_xlfn.XLOOKUP(A4874,'[1]Tissue Data'!$A:$A,'[1]Tissue Data'!$H:$H)</f>
        <v>Lepomis</v>
      </c>
      <c r="F4874" t="str">
        <f>_xlfn.XLOOKUP(A4874,'[1]Tissue Data'!$A:$A,'[1]Tissue Data'!$I:$I)</f>
        <v>gibbosus</v>
      </c>
      <c r="G4874" t="str">
        <f>_xlfn.XLOOKUP(A4874,'[1]Tissue Data'!$A:$A,'[1]Tissue Data'!J:J)</f>
        <v>U</v>
      </c>
      <c r="H4874" t="str">
        <f>_xlfn.XLOOKUP(A4874,'[1]Tissue Data'!$A:$A,'[1]Tissue Data'!K:K)</f>
        <v>Whole Body</v>
      </c>
      <c r="I4874">
        <f>_xlfn.XLOOKUP(A4874,'[1]Tissue Data'!$A:$A,'[1]Tissue Data'!L:L)</f>
        <v>8</v>
      </c>
      <c r="J4874">
        <f>_xlfn.XLOOKUP(A4874,'[1]Tissue Data'!$A:$A,'[1]Tissue Data'!M:M)</f>
        <v>8.65</v>
      </c>
      <c r="K4874" t="s">
        <v>34</v>
      </c>
      <c r="L4874" t="str">
        <f>_xlfn.XLOOKUP(K4874,[2]analyte_order!$B:$B,[2]analyte_order!$C:$C)</f>
        <v>646-83-3</v>
      </c>
      <c r="M4874">
        <f>_xlfn.XLOOKUP(L4874,[2]analyte_order!$C:$C,[2]analyte_order!$E:$E)</f>
        <v>55</v>
      </c>
      <c r="N4874">
        <v>0.222</v>
      </c>
    </row>
    <row r="4875" spans="1:14">
      <c r="A4875" t="s">
        <v>277</v>
      </c>
      <c r="B4875" t="str">
        <f>_xlfn.XLOOKUP(A4875,'[1]Tissue Data'!$A:$A,'[1]Tissue Data'!$C:$C)</f>
        <v>Spill</v>
      </c>
      <c r="C4875" s="2">
        <f>_xlfn.XLOOKUP(A4875,'[1]Tissue Data'!$A:$A,'[1]Tissue Data'!$D:$D)</f>
        <v>44393</v>
      </c>
      <c r="D4875" s="2" t="str">
        <f>_xlfn.XLOOKUP(A4875,'[1]Tissue Data'!$A:$A,'[1]Tissue Data'!$F:$F)</f>
        <v>Pumpkinseed</v>
      </c>
      <c r="E4875" t="str">
        <f>_xlfn.XLOOKUP(A4875,'[1]Tissue Data'!$A:$A,'[1]Tissue Data'!$H:$H)</f>
        <v>Lepomis</v>
      </c>
      <c r="F4875" t="str">
        <f>_xlfn.XLOOKUP(A4875,'[1]Tissue Data'!$A:$A,'[1]Tissue Data'!$I:$I)</f>
        <v>gibbosus</v>
      </c>
      <c r="G4875" t="str">
        <f>_xlfn.XLOOKUP(A4875,'[1]Tissue Data'!$A:$A,'[1]Tissue Data'!J:J)</f>
        <v>U</v>
      </c>
      <c r="H4875" t="str">
        <f>_xlfn.XLOOKUP(A4875,'[1]Tissue Data'!$A:$A,'[1]Tissue Data'!K:K)</f>
        <v>Whole Body</v>
      </c>
      <c r="I4875">
        <f>_xlfn.XLOOKUP(A4875,'[1]Tissue Data'!$A:$A,'[1]Tissue Data'!L:L)</f>
        <v>8</v>
      </c>
      <c r="J4875">
        <f>_xlfn.XLOOKUP(A4875,'[1]Tissue Data'!$A:$A,'[1]Tissue Data'!M:M)</f>
        <v>8.65</v>
      </c>
      <c r="K4875" t="s">
        <v>35</v>
      </c>
      <c r="L4875" t="str">
        <f>_xlfn.XLOOKUP(K4875,[2]analyte_order!$B:$B,[2]analyte_order!$C:$C)</f>
        <v>30334-69-1</v>
      </c>
      <c r="M4875">
        <f>_xlfn.XLOOKUP(L4875,[2]analyte_order!$C:$C,[2]analyte_order!$E:$E)</f>
        <v>51</v>
      </c>
      <c r="N4875">
        <v>35.799999999999997</v>
      </c>
    </row>
    <row r="4876" spans="1:14">
      <c r="A4876" t="s">
        <v>277</v>
      </c>
      <c r="B4876" t="str">
        <f>_xlfn.XLOOKUP(A4876,'[1]Tissue Data'!$A:$A,'[1]Tissue Data'!$C:$C)</f>
        <v>Spill</v>
      </c>
      <c r="C4876" s="2">
        <f>_xlfn.XLOOKUP(A4876,'[1]Tissue Data'!$A:$A,'[1]Tissue Data'!$D:$D)</f>
        <v>44393</v>
      </c>
      <c r="D4876" s="2" t="str">
        <f>_xlfn.XLOOKUP(A4876,'[1]Tissue Data'!$A:$A,'[1]Tissue Data'!$F:$F)</f>
        <v>Pumpkinseed</v>
      </c>
      <c r="E4876" t="str">
        <f>_xlfn.XLOOKUP(A4876,'[1]Tissue Data'!$A:$A,'[1]Tissue Data'!$H:$H)</f>
        <v>Lepomis</v>
      </c>
      <c r="F4876" t="str">
        <f>_xlfn.XLOOKUP(A4876,'[1]Tissue Data'!$A:$A,'[1]Tissue Data'!$I:$I)</f>
        <v>gibbosus</v>
      </c>
      <c r="G4876" t="str">
        <f>_xlfn.XLOOKUP(A4876,'[1]Tissue Data'!$A:$A,'[1]Tissue Data'!J:J)</f>
        <v>U</v>
      </c>
      <c r="H4876" t="str">
        <f>_xlfn.XLOOKUP(A4876,'[1]Tissue Data'!$A:$A,'[1]Tissue Data'!K:K)</f>
        <v>Whole Body</v>
      </c>
      <c r="I4876">
        <f>_xlfn.XLOOKUP(A4876,'[1]Tissue Data'!$A:$A,'[1]Tissue Data'!L:L)</f>
        <v>8</v>
      </c>
      <c r="J4876">
        <f>_xlfn.XLOOKUP(A4876,'[1]Tissue Data'!$A:$A,'[1]Tissue Data'!M:M)</f>
        <v>8.65</v>
      </c>
      <c r="K4876" t="s">
        <v>36</v>
      </c>
      <c r="L4876" t="str">
        <f>_xlfn.XLOOKUP(K4876,[2]analyte_order!$B:$B,[2]analyte_order!$C:$C)</f>
        <v>41997-13-1</v>
      </c>
      <c r="M4876">
        <f>_xlfn.XLOOKUP(L4876,[2]analyte_order!$C:$C,[2]analyte_order!$E:$E)</f>
        <v>52</v>
      </c>
      <c r="N4876">
        <v>114</v>
      </c>
    </row>
    <row r="4877" spans="1:14">
      <c r="A4877" t="s">
        <v>277</v>
      </c>
      <c r="B4877" t="str">
        <f>_xlfn.XLOOKUP(A4877,'[1]Tissue Data'!$A:$A,'[1]Tissue Data'!$C:$C)</f>
        <v>Spill</v>
      </c>
      <c r="C4877" s="2">
        <f>_xlfn.XLOOKUP(A4877,'[1]Tissue Data'!$A:$A,'[1]Tissue Data'!$D:$D)</f>
        <v>44393</v>
      </c>
      <c r="D4877" s="2" t="str">
        <f>_xlfn.XLOOKUP(A4877,'[1]Tissue Data'!$A:$A,'[1]Tissue Data'!$F:$F)</f>
        <v>Pumpkinseed</v>
      </c>
      <c r="E4877" t="str">
        <f>_xlfn.XLOOKUP(A4877,'[1]Tissue Data'!$A:$A,'[1]Tissue Data'!$H:$H)</f>
        <v>Lepomis</v>
      </c>
      <c r="F4877" t="str">
        <f>_xlfn.XLOOKUP(A4877,'[1]Tissue Data'!$A:$A,'[1]Tissue Data'!$I:$I)</f>
        <v>gibbosus</v>
      </c>
      <c r="G4877" t="str">
        <f>_xlfn.XLOOKUP(A4877,'[1]Tissue Data'!$A:$A,'[1]Tissue Data'!J:J)</f>
        <v>U</v>
      </c>
      <c r="H4877" t="str">
        <f>_xlfn.XLOOKUP(A4877,'[1]Tissue Data'!$A:$A,'[1]Tissue Data'!K:K)</f>
        <v>Whole Body</v>
      </c>
      <c r="I4877">
        <f>_xlfn.XLOOKUP(A4877,'[1]Tissue Data'!$A:$A,'[1]Tissue Data'!L:L)</f>
        <v>8</v>
      </c>
      <c r="J4877">
        <f>_xlfn.XLOOKUP(A4877,'[1]Tissue Data'!$A:$A,'[1]Tissue Data'!M:M)</f>
        <v>8.65</v>
      </c>
      <c r="K4877" t="s">
        <v>37</v>
      </c>
      <c r="L4877" t="str">
        <f>_xlfn.XLOOKUP(K4877,[2]analyte_order!$B:$B,[2]analyte_order!$C:$C)</f>
        <v>754-91-6</v>
      </c>
      <c r="M4877">
        <f>_xlfn.XLOOKUP(L4877,[2]analyte_order!$C:$C,[2]analyte_order!$E:$E)</f>
        <v>28</v>
      </c>
      <c r="N4877">
        <v>16.3</v>
      </c>
    </row>
    <row r="4878" spans="1:14">
      <c r="A4878" t="s">
        <v>277</v>
      </c>
      <c r="B4878" t="str">
        <f>_xlfn.XLOOKUP(A4878,'[1]Tissue Data'!$A:$A,'[1]Tissue Data'!$C:$C)</f>
        <v>Spill</v>
      </c>
      <c r="C4878" s="2">
        <f>_xlfn.XLOOKUP(A4878,'[1]Tissue Data'!$A:$A,'[1]Tissue Data'!$D:$D)</f>
        <v>44393</v>
      </c>
      <c r="D4878" s="2" t="str">
        <f>_xlfn.XLOOKUP(A4878,'[1]Tissue Data'!$A:$A,'[1]Tissue Data'!$F:$F)</f>
        <v>Pumpkinseed</v>
      </c>
      <c r="E4878" t="str">
        <f>_xlfn.XLOOKUP(A4878,'[1]Tissue Data'!$A:$A,'[1]Tissue Data'!$H:$H)</f>
        <v>Lepomis</v>
      </c>
      <c r="F4878" t="str">
        <f>_xlfn.XLOOKUP(A4878,'[1]Tissue Data'!$A:$A,'[1]Tissue Data'!$I:$I)</f>
        <v>gibbosus</v>
      </c>
      <c r="G4878" t="str">
        <f>_xlfn.XLOOKUP(A4878,'[1]Tissue Data'!$A:$A,'[1]Tissue Data'!J:J)</f>
        <v>U</v>
      </c>
      <c r="H4878" t="str">
        <f>_xlfn.XLOOKUP(A4878,'[1]Tissue Data'!$A:$A,'[1]Tissue Data'!K:K)</f>
        <v>Whole Body</v>
      </c>
      <c r="I4878">
        <f>_xlfn.XLOOKUP(A4878,'[1]Tissue Data'!$A:$A,'[1]Tissue Data'!L:L)</f>
        <v>8</v>
      </c>
      <c r="J4878">
        <f>_xlfn.XLOOKUP(A4878,'[1]Tissue Data'!$A:$A,'[1]Tissue Data'!M:M)</f>
        <v>8.65</v>
      </c>
      <c r="K4878" t="s">
        <v>38</v>
      </c>
      <c r="L4878" t="str">
        <f>_xlfn.XLOOKUP(K4878,[2]analyte_order!$B:$B,[2]analyte_order!$C:$C)</f>
        <v>31506-32-8</v>
      </c>
      <c r="M4878">
        <f>_xlfn.XLOOKUP(L4878,[2]analyte_order!$C:$C,[2]analyte_order!$E:$E)</f>
        <v>30</v>
      </c>
      <c r="N4878">
        <v>6.7500000000000004E-2</v>
      </c>
    </row>
    <row r="4879" spans="1:14">
      <c r="A4879" t="s">
        <v>277</v>
      </c>
      <c r="B4879" t="str">
        <f>_xlfn.XLOOKUP(A4879,'[1]Tissue Data'!$A:$A,'[1]Tissue Data'!$C:$C)</f>
        <v>Spill</v>
      </c>
      <c r="C4879" s="2">
        <f>_xlfn.XLOOKUP(A4879,'[1]Tissue Data'!$A:$A,'[1]Tissue Data'!$D:$D)</f>
        <v>44393</v>
      </c>
      <c r="D4879" s="2" t="str">
        <f>_xlfn.XLOOKUP(A4879,'[1]Tissue Data'!$A:$A,'[1]Tissue Data'!$F:$F)</f>
        <v>Pumpkinseed</v>
      </c>
      <c r="E4879" t="str">
        <f>_xlfn.XLOOKUP(A4879,'[1]Tissue Data'!$A:$A,'[1]Tissue Data'!$H:$H)</f>
        <v>Lepomis</v>
      </c>
      <c r="F4879" t="str">
        <f>_xlfn.XLOOKUP(A4879,'[1]Tissue Data'!$A:$A,'[1]Tissue Data'!$I:$I)</f>
        <v>gibbosus</v>
      </c>
      <c r="G4879" t="str">
        <f>_xlfn.XLOOKUP(A4879,'[1]Tissue Data'!$A:$A,'[1]Tissue Data'!J:J)</f>
        <v>U</v>
      </c>
      <c r="H4879" t="str">
        <f>_xlfn.XLOOKUP(A4879,'[1]Tissue Data'!$A:$A,'[1]Tissue Data'!K:K)</f>
        <v>Whole Body</v>
      </c>
      <c r="I4879">
        <f>_xlfn.XLOOKUP(A4879,'[1]Tissue Data'!$A:$A,'[1]Tissue Data'!L:L)</f>
        <v>8</v>
      </c>
      <c r="J4879">
        <f>_xlfn.XLOOKUP(A4879,'[1]Tissue Data'!$A:$A,'[1]Tissue Data'!M:M)</f>
        <v>8.65</v>
      </c>
      <c r="K4879" t="s">
        <v>39</v>
      </c>
      <c r="L4879" t="str">
        <f>_xlfn.XLOOKUP(K4879,[2]analyte_order!$B:$B,[2]analyte_order!$C:$C)</f>
        <v>4151-50-2</v>
      </c>
      <c r="M4879">
        <f>_xlfn.XLOOKUP(L4879,[2]analyte_order!$C:$C,[2]analyte_order!$E:$E)</f>
        <v>31</v>
      </c>
      <c r="N4879">
        <v>7.85E-2</v>
      </c>
    </row>
    <row r="4880" spans="1:14">
      <c r="A4880" t="s">
        <v>277</v>
      </c>
      <c r="B4880" t="str">
        <f>_xlfn.XLOOKUP(A4880,'[1]Tissue Data'!$A:$A,'[1]Tissue Data'!$C:$C)</f>
        <v>Spill</v>
      </c>
      <c r="C4880" s="2">
        <f>_xlfn.XLOOKUP(A4880,'[1]Tissue Data'!$A:$A,'[1]Tissue Data'!$D:$D)</f>
        <v>44393</v>
      </c>
      <c r="D4880" s="2" t="str">
        <f>_xlfn.XLOOKUP(A4880,'[1]Tissue Data'!$A:$A,'[1]Tissue Data'!$F:$F)</f>
        <v>Pumpkinseed</v>
      </c>
      <c r="E4880" t="str">
        <f>_xlfn.XLOOKUP(A4880,'[1]Tissue Data'!$A:$A,'[1]Tissue Data'!$H:$H)</f>
        <v>Lepomis</v>
      </c>
      <c r="F4880" t="str">
        <f>_xlfn.XLOOKUP(A4880,'[1]Tissue Data'!$A:$A,'[1]Tissue Data'!$I:$I)</f>
        <v>gibbosus</v>
      </c>
      <c r="G4880" t="str">
        <f>_xlfn.XLOOKUP(A4880,'[1]Tissue Data'!$A:$A,'[1]Tissue Data'!J:J)</f>
        <v>U</v>
      </c>
      <c r="H4880" t="str">
        <f>_xlfn.XLOOKUP(A4880,'[1]Tissue Data'!$A:$A,'[1]Tissue Data'!K:K)</f>
        <v>Whole Body</v>
      </c>
      <c r="I4880">
        <f>_xlfn.XLOOKUP(A4880,'[1]Tissue Data'!$A:$A,'[1]Tissue Data'!L:L)</f>
        <v>8</v>
      </c>
      <c r="J4880">
        <f>_xlfn.XLOOKUP(A4880,'[1]Tissue Data'!$A:$A,'[1]Tissue Data'!M:M)</f>
        <v>8.65</v>
      </c>
      <c r="K4880" t="s">
        <v>40</v>
      </c>
      <c r="L4880" t="str">
        <f>_xlfn.XLOOKUP(K4880,[2]analyte_order!$B:$B,[2]analyte_order!$C:$C)</f>
        <v>2806-24-8</v>
      </c>
      <c r="M4880">
        <f>_xlfn.XLOOKUP(L4880,[2]analyte_order!$C:$C,[2]analyte_order!$E:$E)</f>
        <v>29</v>
      </c>
      <c r="N4880">
        <v>5.2999999999999999E-2</v>
      </c>
    </row>
    <row r="4881" spans="1:14">
      <c r="A4881" t="s">
        <v>277</v>
      </c>
      <c r="B4881" t="str">
        <f>_xlfn.XLOOKUP(A4881,'[1]Tissue Data'!$A:$A,'[1]Tissue Data'!$C:$C)</f>
        <v>Spill</v>
      </c>
      <c r="C4881" s="2">
        <f>_xlfn.XLOOKUP(A4881,'[1]Tissue Data'!$A:$A,'[1]Tissue Data'!$D:$D)</f>
        <v>44393</v>
      </c>
      <c r="D4881" s="2" t="str">
        <f>_xlfn.XLOOKUP(A4881,'[1]Tissue Data'!$A:$A,'[1]Tissue Data'!$F:$F)</f>
        <v>Pumpkinseed</v>
      </c>
      <c r="E4881" t="str">
        <f>_xlfn.XLOOKUP(A4881,'[1]Tissue Data'!$A:$A,'[1]Tissue Data'!$H:$H)</f>
        <v>Lepomis</v>
      </c>
      <c r="F4881" t="str">
        <f>_xlfn.XLOOKUP(A4881,'[1]Tissue Data'!$A:$A,'[1]Tissue Data'!$I:$I)</f>
        <v>gibbosus</v>
      </c>
      <c r="G4881" t="str">
        <f>_xlfn.XLOOKUP(A4881,'[1]Tissue Data'!$A:$A,'[1]Tissue Data'!J:J)</f>
        <v>U</v>
      </c>
      <c r="H4881" t="str">
        <f>_xlfn.XLOOKUP(A4881,'[1]Tissue Data'!$A:$A,'[1]Tissue Data'!K:K)</f>
        <v>Whole Body</v>
      </c>
      <c r="I4881">
        <f>_xlfn.XLOOKUP(A4881,'[1]Tissue Data'!$A:$A,'[1]Tissue Data'!L:L)</f>
        <v>8</v>
      </c>
      <c r="J4881">
        <f>_xlfn.XLOOKUP(A4881,'[1]Tissue Data'!$A:$A,'[1]Tissue Data'!M:M)</f>
        <v>8.65</v>
      </c>
      <c r="K4881" t="s">
        <v>41</v>
      </c>
      <c r="L4881" t="str">
        <f>_xlfn.XLOOKUP(K4881,[2]analyte_order!$B:$B,[2]analyte_order!$C:$C)</f>
        <v>2355-31-9</v>
      </c>
      <c r="M4881">
        <f>_xlfn.XLOOKUP(L4881,[2]analyte_order!$C:$C,[2]analyte_order!$E:$E)</f>
        <v>26</v>
      </c>
      <c r="N4881">
        <v>6.7500000000000004E-2</v>
      </c>
    </row>
    <row r="4882" spans="1:14">
      <c r="A4882" t="s">
        <v>277</v>
      </c>
      <c r="B4882" t="str">
        <f>_xlfn.XLOOKUP(A4882,'[1]Tissue Data'!$A:$A,'[1]Tissue Data'!$C:$C)</f>
        <v>Spill</v>
      </c>
      <c r="C4882" s="2">
        <f>_xlfn.XLOOKUP(A4882,'[1]Tissue Data'!$A:$A,'[1]Tissue Data'!$D:$D)</f>
        <v>44393</v>
      </c>
      <c r="D4882" s="2" t="str">
        <f>_xlfn.XLOOKUP(A4882,'[1]Tissue Data'!$A:$A,'[1]Tissue Data'!$F:$F)</f>
        <v>Pumpkinseed</v>
      </c>
      <c r="E4882" t="str">
        <f>_xlfn.XLOOKUP(A4882,'[1]Tissue Data'!$A:$A,'[1]Tissue Data'!$H:$H)</f>
        <v>Lepomis</v>
      </c>
      <c r="F4882" t="str">
        <f>_xlfn.XLOOKUP(A4882,'[1]Tissue Data'!$A:$A,'[1]Tissue Data'!$I:$I)</f>
        <v>gibbosus</v>
      </c>
      <c r="G4882" t="str">
        <f>_xlfn.XLOOKUP(A4882,'[1]Tissue Data'!$A:$A,'[1]Tissue Data'!J:J)</f>
        <v>U</v>
      </c>
      <c r="H4882" t="str">
        <f>_xlfn.XLOOKUP(A4882,'[1]Tissue Data'!$A:$A,'[1]Tissue Data'!K:K)</f>
        <v>Whole Body</v>
      </c>
      <c r="I4882">
        <f>_xlfn.XLOOKUP(A4882,'[1]Tissue Data'!$A:$A,'[1]Tissue Data'!L:L)</f>
        <v>8</v>
      </c>
      <c r="J4882">
        <f>_xlfn.XLOOKUP(A4882,'[1]Tissue Data'!$A:$A,'[1]Tissue Data'!M:M)</f>
        <v>8.65</v>
      </c>
      <c r="K4882" t="s">
        <v>42</v>
      </c>
      <c r="L4882" t="str">
        <f>_xlfn.XLOOKUP(K4882,[2]analyte_order!$B:$B,[2]analyte_order!$C:$C)</f>
        <v>2991-50-6</v>
      </c>
      <c r="M4882">
        <f>_xlfn.XLOOKUP(L4882,[2]analyte_order!$C:$C,[2]analyte_order!$E:$E)</f>
        <v>27</v>
      </c>
      <c r="N4882">
        <v>5.8500000000000003E-2</v>
      </c>
    </row>
    <row r="4883" spans="1:14">
      <c r="A4883" t="s">
        <v>277</v>
      </c>
      <c r="B4883" t="str">
        <f>_xlfn.XLOOKUP(A4883,'[1]Tissue Data'!$A:$A,'[1]Tissue Data'!$C:$C)</f>
        <v>Spill</v>
      </c>
      <c r="C4883" s="2">
        <f>_xlfn.XLOOKUP(A4883,'[1]Tissue Data'!$A:$A,'[1]Tissue Data'!$D:$D)</f>
        <v>44393</v>
      </c>
      <c r="D4883" s="2" t="str">
        <f>_xlfn.XLOOKUP(A4883,'[1]Tissue Data'!$A:$A,'[1]Tissue Data'!$F:$F)</f>
        <v>Pumpkinseed</v>
      </c>
      <c r="E4883" t="str">
        <f>_xlfn.XLOOKUP(A4883,'[1]Tissue Data'!$A:$A,'[1]Tissue Data'!$H:$H)</f>
        <v>Lepomis</v>
      </c>
      <c r="F4883" t="str">
        <f>_xlfn.XLOOKUP(A4883,'[1]Tissue Data'!$A:$A,'[1]Tissue Data'!$I:$I)</f>
        <v>gibbosus</v>
      </c>
      <c r="G4883" t="str">
        <f>_xlfn.XLOOKUP(A4883,'[1]Tissue Data'!$A:$A,'[1]Tissue Data'!J:J)</f>
        <v>U</v>
      </c>
      <c r="H4883" t="str">
        <f>_xlfn.XLOOKUP(A4883,'[1]Tissue Data'!$A:$A,'[1]Tissue Data'!K:K)</f>
        <v>Whole Body</v>
      </c>
      <c r="I4883">
        <f>_xlfn.XLOOKUP(A4883,'[1]Tissue Data'!$A:$A,'[1]Tissue Data'!L:L)</f>
        <v>8</v>
      </c>
      <c r="J4883">
        <f>_xlfn.XLOOKUP(A4883,'[1]Tissue Data'!$A:$A,'[1]Tissue Data'!M:M)</f>
        <v>8.65</v>
      </c>
      <c r="K4883" t="s">
        <v>43</v>
      </c>
      <c r="L4883" t="str">
        <f>_xlfn.XLOOKUP(K4883,[2]analyte_order!$B:$B,[2]analyte_order!$C:$C)</f>
        <v>757124-72-4</v>
      </c>
      <c r="M4883">
        <f>_xlfn.XLOOKUP(L4883,[2]analyte_order!$C:$C,[2]analyte_order!$E:$E)</f>
        <v>22</v>
      </c>
      <c r="N4883">
        <v>6.7500000000000004E-2</v>
      </c>
    </row>
    <row r="4884" spans="1:14">
      <c r="A4884" t="s">
        <v>277</v>
      </c>
      <c r="B4884" t="str">
        <f>_xlfn.XLOOKUP(A4884,'[1]Tissue Data'!$A:$A,'[1]Tissue Data'!$C:$C)</f>
        <v>Spill</v>
      </c>
      <c r="C4884" s="2">
        <f>_xlfn.XLOOKUP(A4884,'[1]Tissue Data'!$A:$A,'[1]Tissue Data'!$D:$D)</f>
        <v>44393</v>
      </c>
      <c r="D4884" s="2" t="str">
        <f>_xlfn.XLOOKUP(A4884,'[1]Tissue Data'!$A:$A,'[1]Tissue Data'!$F:$F)</f>
        <v>Pumpkinseed</v>
      </c>
      <c r="E4884" t="str">
        <f>_xlfn.XLOOKUP(A4884,'[1]Tissue Data'!$A:$A,'[1]Tissue Data'!$H:$H)</f>
        <v>Lepomis</v>
      </c>
      <c r="F4884" t="str">
        <f>_xlfn.XLOOKUP(A4884,'[1]Tissue Data'!$A:$A,'[1]Tissue Data'!$I:$I)</f>
        <v>gibbosus</v>
      </c>
      <c r="G4884" t="str">
        <f>_xlfn.XLOOKUP(A4884,'[1]Tissue Data'!$A:$A,'[1]Tissue Data'!J:J)</f>
        <v>U</v>
      </c>
      <c r="H4884" t="str">
        <f>_xlfn.XLOOKUP(A4884,'[1]Tissue Data'!$A:$A,'[1]Tissue Data'!K:K)</f>
        <v>Whole Body</v>
      </c>
      <c r="I4884">
        <f>_xlfn.XLOOKUP(A4884,'[1]Tissue Data'!$A:$A,'[1]Tissue Data'!L:L)</f>
        <v>8</v>
      </c>
      <c r="J4884">
        <f>_xlfn.XLOOKUP(A4884,'[1]Tissue Data'!$A:$A,'[1]Tissue Data'!M:M)</f>
        <v>8.65</v>
      </c>
      <c r="K4884" t="s">
        <v>44</v>
      </c>
      <c r="L4884" t="str">
        <f>_xlfn.XLOOKUP(K4884,[2]analyte_order!$B:$B,[2]analyte_order!$C:$C)</f>
        <v>27619-97-2</v>
      </c>
      <c r="M4884">
        <f>_xlfn.XLOOKUP(L4884,[2]analyte_order!$C:$C,[2]analyte_order!$E:$E)</f>
        <v>23</v>
      </c>
      <c r="N4884">
        <v>0.46300000000000002</v>
      </c>
    </row>
    <row r="4885" spans="1:14">
      <c r="A4885" t="s">
        <v>277</v>
      </c>
      <c r="B4885" t="str">
        <f>_xlfn.XLOOKUP(A4885,'[1]Tissue Data'!$A:$A,'[1]Tissue Data'!$C:$C)</f>
        <v>Spill</v>
      </c>
      <c r="C4885" s="2">
        <f>_xlfn.XLOOKUP(A4885,'[1]Tissue Data'!$A:$A,'[1]Tissue Data'!$D:$D)</f>
        <v>44393</v>
      </c>
      <c r="D4885" s="2" t="str">
        <f>_xlfn.XLOOKUP(A4885,'[1]Tissue Data'!$A:$A,'[1]Tissue Data'!$F:$F)</f>
        <v>Pumpkinseed</v>
      </c>
      <c r="E4885" t="str">
        <f>_xlfn.XLOOKUP(A4885,'[1]Tissue Data'!$A:$A,'[1]Tissue Data'!$H:$H)</f>
        <v>Lepomis</v>
      </c>
      <c r="F4885" t="str">
        <f>_xlfn.XLOOKUP(A4885,'[1]Tissue Data'!$A:$A,'[1]Tissue Data'!$I:$I)</f>
        <v>gibbosus</v>
      </c>
      <c r="G4885" t="str">
        <f>_xlfn.XLOOKUP(A4885,'[1]Tissue Data'!$A:$A,'[1]Tissue Data'!J:J)</f>
        <v>U</v>
      </c>
      <c r="H4885" t="str">
        <f>_xlfn.XLOOKUP(A4885,'[1]Tissue Data'!$A:$A,'[1]Tissue Data'!K:K)</f>
        <v>Whole Body</v>
      </c>
      <c r="I4885">
        <f>_xlfn.XLOOKUP(A4885,'[1]Tissue Data'!$A:$A,'[1]Tissue Data'!L:L)</f>
        <v>8</v>
      </c>
      <c r="J4885">
        <f>_xlfn.XLOOKUP(A4885,'[1]Tissue Data'!$A:$A,'[1]Tissue Data'!M:M)</f>
        <v>8.65</v>
      </c>
      <c r="K4885" t="s">
        <v>45</v>
      </c>
      <c r="L4885" t="str">
        <f>_xlfn.XLOOKUP(K4885,[2]analyte_order!$B:$B,[2]analyte_order!$C:$C)</f>
        <v>39108-34-4</v>
      </c>
      <c r="M4885">
        <f>_xlfn.XLOOKUP(L4885,[2]analyte_order!$C:$C,[2]analyte_order!$E:$E)</f>
        <v>24</v>
      </c>
      <c r="N4885">
        <v>10.5</v>
      </c>
    </row>
    <row r="4886" spans="1:14">
      <c r="A4886" t="s">
        <v>277</v>
      </c>
      <c r="B4886" t="str">
        <f>_xlfn.XLOOKUP(A4886,'[1]Tissue Data'!$A:$A,'[1]Tissue Data'!$C:$C)</f>
        <v>Spill</v>
      </c>
      <c r="C4886" s="2">
        <f>_xlfn.XLOOKUP(A4886,'[1]Tissue Data'!$A:$A,'[1]Tissue Data'!$D:$D)</f>
        <v>44393</v>
      </c>
      <c r="D4886" s="2" t="str">
        <f>_xlfn.XLOOKUP(A4886,'[1]Tissue Data'!$A:$A,'[1]Tissue Data'!$F:$F)</f>
        <v>Pumpkinseed</v>
      </c>
      <c r="E4886" t="str">
        <f>_xlfn.XLOOKUP(A4886,'[1]Tissue Data'!$A:$A,'[1]Tissue Data'!$H:$H)</f>
        <v>Lepomis</v>
      </c>
      <c r="F4886" t="str">
        <f>_xlfn.XLOOKUP(A4886,'[1]Tissue Data'!$A:$A,'[1]Tissue Data'!$I:$I)</f>
        <v>gibbosus</v>
      </c>
      <c r="G4886" t="str">
        <f>_xlfn.XLOOKUP(A4886,'[1]Tissue Data'!$A:$A,'[1]Tissue Data'!J:J)</f>
        <v>U</v>
      </c>
      <c r="H4886" t="str">
        <f>_xlfn.XLOOKUP(A4886,'[1]Tissue Data'!$A:$A,'[1]Tissue Data'!K:K)</f>
        <v>Whole Body</v>
      </c>
      <c r="I4886">
        <f>_xlfn.XLOOKUP(A4886,'[1]Tissue Data'!$A:$A,'[1]Tissue Data'!L:L)</f>
        <v>8</v>
      </c>
      <c r="J4886">
        <f>_xlfn.XLOOKUP(A4886,'[1]Tissue Data'!$A:$A,'[1]Tissue Data'!M:M)</f>
        <v>8.65</v>
      </c>
      <c r="K4886" t="s">
        <v>46</v>
      </c>
      <c r="L4886" t="str">
        <f>_xlfn.XLOOKUP(K4886,[2]analyte_order!$B:$B,[2]analyte_order!$C:$C)</f>
        <v>120226-60-0</v>
      </c>
      <c r="M4886">
        <f>_xlfn.XLOOKUP(L4886,[2]analyte_order!$C:$C,[2]analyte_order!$E:$E)</f>
        <v>25</v>
      </c>
      <c r="N4886">
        <v>0.252</v>
      </c>
    </row>
    <row r="4887" spans="1:14">
      <c r="A4887" t="s">
        <v>277</v>
      </c>
      <c r="B4887" t="str">
        <f>_xlfn.XLOOKUP(A4887,'[1]Tissue Data'!$A:$A,'[1]Tissue Data'!$C:$C)</f>
        <v>Spill</v>
      </c>
      <c r="C4887" s="2">
        <f>_xlfn.XLOOKUP(A4887,'[1]Tissue Data'!$A:$A,'[1]Tissue Data'!$D:$D)</f>
        <v>44393</v>
      </c>
      <c r="D4887" s="2" t="str">
        <f>_xlfn.XLOOKUP(A4887,'[1]Tissue Data'!$A:$A,'[1]Tissue Data'!$F:$F)</f>
        <v>Pumpkinseed</v>
      </c>
      <c r="E4887" t="str">
        <f>_xlfn.XLOOKUP(A4887,'[1]Tissue Data'!$A:$A,'[1]Tissue Data'!$H:$H)</f>
        <v>Lepomis</v>
      </c>
      <c r="F4887" t="str">
        <f>_xlfn.XLOOKUP(A4887,'[1]Tissue Data'!$A:$A,'[1]Tissue Data'!$I:$I)</f>
        <v>gibbosus</v>
      </c>
      <c r="G4887" t="str">
        <f>_xlfn.XLOOKUP(A4887,'[1]Tissue Data'!$A:$A,'[1]Tissue Data'!J:J)</f>
        <v>U</v>
      </c>
      <c r="H4887" t="str">
        <f>_xlfn.XLOOKUP(A4887,'[1]Tissue Data'!$A:$A,'[1]Tissue Data'!K:K)</f>
        <v>Whole Body</v>
      </c>
      <c r="I4887">
        <f>_xlfn.XLOOKUP(A4887,'[1]Tissue Data'!$A:$A,'[1]Tissue Data'!L:L)</f>
        <v>8</v>
      </c>
      <c r="J4887">
        <f>_xlfn.XLOOKUP(A4887,'[1]Tissue Data'!$A:$A,'[1]Tissue Data'!M:M)</f>
        <v>8.65</v>
      </c>
      <c r="K4887" t="s">
        <v>47</v>
      </c>
      <c r="L4887" t="str">
        <f>_xlfn.XLOOKUP(K4887,[2]analyte_order!$B:$B,[2]analyte_order!$C:$C)</f>
        <v>356-02-5</v>
      </c>
      <c r="M4887">
        <f>_xlfn.XLOOKUP(L4887,[2]analyte_order!$C:$C,[2]analyte_order!$E:$E)</f>
        <v>38</v>
      </c>
      <c r="N4887">
        <v>7.7499999999999999E-2</v>
      </c>
    </row>
    <row r="4888" spans="1:14">
      <c r="A4888" t="s">
        <v>277</v>
      </c>
      <c r="B4888" t="str">
        <f>_xlfn.XLOOKUP(A4888,'[1]Tissue Data'!$A:$A,'[1]Tissue Data'!$C:$C)</f>
        <v>Spill</v>
      </c>
      <c r="C4888" s="2">
        <f>_xlfn.XLOOKUP(A4888,'[1]Tissue Data'!$A:$A,'[1]Tissue Data'!$D:$D)</f>
        <v>44393</v>
      </c>
      <c r="D4888" s="2" t="str">
        <f>_xlfn.XLOOKUP(A4888,'[1]Tissue Data'!$A:$A,'[1]Tissue Data'!$F:$F)</f>
        <v>Pumpkinseed</v>
      </c>
      <c r="E4888" t="str">
        <f>_xlfn.XLOOKUP(A4888,'[1]Tissue Data'!$A:$A,'[1]Tissue Data'!$H:$H)</f>
        <v>Lepomis</v>
      </c>
      <c r="F4888" t="str">
        <f>_xlfn.XLOOKUP(A4888,'[1]Tissue Data'!$A:$A,'[1]Tissue Data'!$I:$I)</f>
        <v>gibbosus</v>
      </c>
      <c r="G4888" t="str">
        <f>_xlfn.XLOOKUP(A4888,'[1]Tissue Data'!$A:$A,'[1]Tissue Data'!J:J)</f>
        <v>U</v>
      </c>
      <c r="H4888" t="str">
        <f>_xlfn.XLOOKUP(A4888,'[1]Tissue Data'!$A:$A,'[1]Tissue Data'!K:K)</f>
        <v>Whole Body</v>
      </c>
      <c r="I4888">
        <f>_xlfn.XLOOKUP(A4888,'[1]Tissue Data'!$A:$A,'[1]Tissue Data'!L:L)</f>
        <v>8</v>
      </c>
      <c r="J4888">
        <f>_xlfn.XLOOKUP(A4888,'[1]Tissue Data'!$A:$A,'[1]Tissue Data'!M:M)</f>
        <v>8.65</v>
      </c>
      <c r="K4888" t="s">
        <v>48</v>
      </c>
      <c r="L4888" t="str">
        <f>_xlfn.XLOOKUP(K4888,[2]analyte_order!$B:$B,[2]analyte_order!$C:$C)</f>
        <v>914637-49-3</v>
      </c>
      <c r="M4888">
        <f>_xlfn.XLOOKUP(L4888,[2]analyte_order!$C:$C,[2]analyte_order!$E:$E)</f>
        <v>39</v>
      </c>
      <c r="N4888">
        <v>0.74199999999999999</v>
      </c>
    </row>
    <row r="4889" spans="1:14">
      <c r="A4889" t="s">
        <v>277</v>
      </c>
      <c r="B4889" t="str">
        <f>_xlfn.XLOOKUP(A4889,'[1]Tissue Data'!$A:$A,'[1]Tissue Data'!$C:$C)</f>
        <v>Spill</v>
      </c>
      <c r="C4889" s="2">
        <f>_xlfn.XLOOKUP(A4889,'[1]Tissue Data'!$A:$A,'[1]Tissue Data'!$D:$D)</f>
        <v>44393</v>
      </c>
      <c r="D4889" s="2" t="str">
        <f>_xlfn.XLOOKUP(A4889,'[1]Tissue Data'!$A:$A,'[1]Tissue Data'!$F:$F)</f>
        <v>Pumpkinseed</v>
      </c>
      <c r="E4889" t="str">
        <f>_xlfn.XLOOKUP(A4889,'[1]Tissue Data'!$A:$A,'[1]Tissue Data'!$H:$H)</f>
        <v>Lepomis</v>
      </c>
      <c r="F4889" t="str">
        <f>_xlfn.XLOOKUP(A4889,'[1]Tissue Data'!$A:$A,'[1]Tissue Data'!$I:$I)</f>
        <v>gibbosus</v>
      </c>
      <c r="G4889" t="str">
        <f>_xlfn.XLOOKUP(A4889,'[1]Tissue Data'!$A:$A,'[1]Tissue Data'!J:J)</f>
        <v>U</v>
      </c>
      <c r="H4889" t="str">
        <f>_xlfn.XLOOKUP(A4889,'[1]Tissue Data'!$A:$A,'[1]Tissue Data'!K:K)</f>
        <v>Whole Body</v>
      </c>
      <c r="I4889">
        <f>_xlfn.XLOOKUP(A4889,'[1]Tissue Data'!$A:$A,'[1]Tissue Data'!L:L)</f>
        <v>8</v>
      </c>
      <c r="J4889">
        <f>_xlfn.XLOOKUP(A4889,'[1]Tissue Data'!$A:$A,'[1]Tissue Data'!M:M)</f>
        <v>8.65</v>
      </c>
      <c r="K4889" t="s">
        <v>49</v>
      </c>
      <c r="L4889" t="str">
        <f>_xlfn.XLOOKUP(K4889,[2]analyte_order!$B:$B,[2]analyte_order!$C:$C)</f>
        <v>812-70-4</v>
      </c>
      <c r="M4889">
        <f>_xlfn.XLOOKUP(L4889,[2]analyte_order!$C:$C,[2]analyte_order!$E:$E)</f>
        <v>40</v>
      </c>
      <c r="N4889">
        <v>3.15</v>
      </c>
    </row>
    <row r="4890" spans="1:14">
      <c r="A4890" t="s">
        <v>277</v>
      </c>
      <c r="B4890" t="str">
        <f>_xlfn.XLOOKUP(A4890,'[1]Tissue Data'!$A:$A,'[1]Tissue Data'!$C:$C)</f>
        <v>Spill</v>
      </c>
      <c r="C4890" s="2">
        <f>_xlfn.XLOOKUP(A4890,'[1]Tissue Data'!$A:$A,'[1]Tissue Data'!$D:$D)</f>
        <v>44393</v>
      </c>
      <c r="D4890" s="2" t="str">
        <f>_xlfn.XLOOKUP(A4890,'[1]Tissue Data'!$A:$A,'[1]Tissue Data'!$F:$F)</f>
        <v>Pumpkinseed</v>
      </c>
      <c r="E4890" t="str">
        <f>_xlfn.XLOOKUP(A4890,'[1]Tissue Data'!$A:$A,'[1]Tissue Data'!$H:$H)</f>
        <v>Lepomis</v>
      </c>
      <c r="F4890" t="str">
        <f>_xlfn.XLOOKUP(A4890,'[1]Tissue Data'!$A:$A,'[1]Tissue Data'!$I:$I)</f>
        <v>gibbosus</v>
      </c>
      <c r="G4890" t="str">
        <f>_xlfn.XLOOKUP(A4890,'[1]Tissue Data'!$A:$A,'[1]Tissue Data'!J:J)</f>
        <v>U</v>
      </c>
      <c r="H4890" t="str">
        <f>_xlfn.XLOOKUP(A4890,'[1]Tissue Data'!$A:$A,'[1]Tissue Data'!K:K)</f>
        <v>Whole Body</v>
      </c>
      <c r="I4890">
        <f>_xlfn.XLOOKUP(A4890,'[1]Tissue Data'!$A:$A,'[1]Tissue Data'!L:L)</f>
        <v>8</v>
      </c>
      <c r="J4890">
        <f>_xlfn.XLOOKUP(A4890,'[1]Tissue Data'!$A:$A,'[1]Tissue Data'!M:M)</f>
        <v>8.65</v>
      </c>
      <c r="K4890" t="s">
        <v>50</v>
      </c>
      <c r="L4890" t="str">
        <f>_xlfn.XLOOKUP(K4890,[2]analyte_order!$B:$B,[2]analyte_order!$C:$C)</f>
        <v>53826-12-3</v>
      </c>
      <c r="M4890">
        <f>_xlfn.XLOOKUP(L4890,[2]analyte_order!$C:$C,[2]analyte_order!$E:$E)</f>
        <v>41</v>
      </c>
      <c r="N4890">
        <v>6.7500000000000004E-2</v>
      </c>
    </row>
    <row r="4891" spans="1:14">
      <c r="A4891" t="s">
        <v>277</v>
      </c>
      <c r="B4891" t="str">
        <f>_xlfn.XLOOKUP(A4891,'[1]Tissue Data'!$A:$A,'[1]Tissue Data'!$C:$C)</f>
        <v>Spill</v>
      </c>
      <c r="C4891" s="2">
        <f>_xlfn.XLOOKUP(A4891,'[1]Tissue Data'!$A:$A,'[1]Tissue Data'!$D:$D)</f>
        <v>44393</v>
      </c>
      <c r="D4891" s="2" t="str">
        <f>_xlfn.XLOOKUP(A4891,'[1]Tissue Data'!$A:$A,'[1]Tissue Data'!$F:$F)</f>
        <v>Pumpkinseed</v>
      </c>
      <c r="E4891" t="str">
        <f>_xlfn.XLOOKUP(A4891,'[1]Tissue Data'!$A:$A,'[1]Tissue Data'!$H:$H)</f>
        <v>Lepomis</v>
      </c>
      <c r="F4891" t="str">
        <f>_xlfn.XLOOKUP(A4891,'[1]Tissue Data'!$A:$A,'[1]Tissue Data'!$I:$I)</f>
        <v>gibbosus</v>
      </c>
      <c r="G4891" t="str">
        <f>_xlfn.XLOOKUP(A4891,'[1]Tissue Data'!$A:$A,'[1]Tissue Data'!J:J)</f>
        <v>U</v>
      </c>
      <c r="H4891" t="str">
        <f>_xlfn.XLOOKUP(A4891,'[1]Tissue Data'!$A:$A,'[1]Tissue Data'!K:K)</f>
        <v>Whole Body</v>
      </c>
      <c r="I4891">
        <f>_xlfn.XLOOKUP(A4891,'[1]Tissue Data'!$A:$A,'[1]Tissue Data'!L:L)</f>
        <v>8</v>
      </c>
      <c r="J4891">
        <f>_xlfn.XLOOKUP(A4891,'[1]Tissue Data'!$A:$A,'[1]Tissue Data'!M:M)</f>
        <v>8.65</v>
      </c>
      <c r="K4891" t="s">
        <v>51</v>
      </c>
      <c r="L4891" t="str">
        <f>_xlfn.XLOOKUP(K4891,[2]analyte_order!$B:$B,[2]analyte_order!$C:$C)</f>
        <v>27854-31-5</v>
      </c>
      <c r="M4891">
        <f>_xlfn.XLOOKUP(L4891,[2]analyte_order!$C:$C,[2]analyte_order!$E:$E)</f>
        <v>42</v>
      </c>
      <c r="N4891">
        <v>6.7500000000000004E-2</v>
      </c>
    </row>
    <row r="4892" spans="1:14">
      <c r="A4892" t="s">
        <v>277</v>
      </c>
      <c r="B4892" t="str">
        <f>_xlfn.XLOOKUP(A4892,'[1]Tissue Data'!$A:$A,'[1]Tissue Data'!$C:$C)</f>
        <v>Spill</v>
      </c>
      <c r="C4892" s="2">
        <f>_xlfn.XLOOKUP(A4892,'[1]Tissue Data'!$A:$A,'[1]Tissue Data'!$D:$D)</f>
        <v>44393</v>
      </c>
      <c r="D4892" s="2" t="str">
        <f>_xlfn.XLOOKUP(A4892,'[1]Tissue Data'!$A:$A,'[1]Tissue Data'!$F:$F)</f>
        <v>Pumpkinseed</v>
      </c>
      <c r="E4892" t="str">
        <f>_xlfn.XLOOKUP(A4892,'[1]Tissue Data'!$A:$A,'[1]Tissue Data'!$H:$H)</f>
        <v>Lepomis</v>
      </c>
      <c r="F4892" t="str">
        <f>_xlfn.XLOOKUP(A4892,'[1]Tissue Data'!$A:$A,'[1]Tissue Data'!$I:$I)</f>
        <v>gibbosus</v>
      </c>
      <c r="G4892" t="str">
        <f>_xlfn.XLOOKUP(A4892,'[1]Tissue Data'!$A:$A,'[1]Tissue Data'!J:J)</f>
        <v>U</v>
      </c>
      <c r="H4892" t="str">
        <f>_xlfn.XLOOKUP(A4892,'[1]Tissue Data'!$A:$A,'[1]Tissue Data'!K:K)</f>
        <v>Whole Body</v>
      </c>
      <c r="I4892">
        <f>_xlfn.XLOOKUP(A4892,'[1]Tissue Data'!$A:$A,'[1]Tissue Data'!L:L)</f>
        <v>8</v>
      </c>
      <c r="J4892">
        <f>_xlfn.XLOOKUP(A4892,'[1]Tissue Data'!$A:$A,'[1]Tissue Data'!M:M)</f>
        <v>8.65</v>
      </c>
      <c r="K4892" t="s">
        <v>52</v>
      </c>
      <c r="L4892" t="str">
        <f>_xlfn.XLOOKUP(K4892,[2]analyte_order!$B:$B,[2]analyte_order!$C:$C)</f>
        <v>53826-13-4</v>
      </c>
      <c r="M4892">
        <f>_xlfn.XLOOKUP(L4892,[2]analyte_order!$C:$C,[2]analyte_order!$E:$E)</f>
        <v>43</v>
      </c>
      <c r="N4892">
        <v>0.10050000000000001</v>
      </c>
    </row>
    <row r="4893" spans="1:14">
      <c r="A4893" t="s">
        <v>277</v>
      </c>
      <c r="B4893" t="str">
        <f>_xlfn.XLOOKUP(A4893,'[1]Tissue Data'!$A:$A,'[1]Tissue Data'!$C:$C)</f>
        <v>Spill</v>
      </c>
      <c r="C4893" s="2">
        <f>_xlfn.XLOOKUP(A4893,'[1]Tissue Data'!$A:$A,'[1]Tissue Data'!$D:$D)</f>
        <v>44393</v>
      </c>
      <c r="D4893" s="2" t="str">
        <f>_xlfn.XLOOKUP(A4893,'[1]Tissue Data'!$A:$A,'[1]Tissue Data'!$F:$F)</f>
        <v>Pumpkinseed</v>
      </c>
      <c r="E4893" t="str">
        <f>_xlfn.XLOOKUP(A4893,'[1]Tissue Data'!$A:$A,'[1]Tissue Data'!$H:$H)</f>
        <v>Lepomis</v>
      </c>
      <c r="F4893" t="str">
        <f>_xlfn.XLOOKUP(A4893,'[1]Tissue Data'!$A:$A,'[1]Tissue Data'!$I:$I)</f>
        <v>gibbosus</v>
      </c>
      <c r="G4893" t="str">
        <f>_xlfn.XLOOKUP(A4893,'[1]Tissue Data'!$A:$A,'[1]Tissue Data'!J:J)</f>
        <v>U</v>
      </c>
      <c r="H4893" t="str">
        <f>_xlfn.XLOOKUP(A4893,'[1]Tissue Data'!$A:$A,'[1]Tissue Data'!K:K)</f>
        <v>Whole Body</v>
      </c>
      <c r="I4893">
        <f>_xlfn.XLOOKUP(A4893,'[1]Tissue Data'!$A:$A,'[1]Tissue Data'!L:L)</f>
        <v>8</v>
      </c>
      <c r="J4893">
        <f>_xlfn.XLOOKUP(A4893,'[1]Tissue Data'!$A:$A,'[1]Tissue Data'!M:M)</f>
        <v>8.65</v>
      </c>
      <c r="K4893" t="s">
        <v>53</v>
      </c>
      <c r="L4893" t="str">
        <f>_xlfn.XLOOKUP(K4893,[2]analyte_order!$B:$B,[2]analyte_order!$C:$C)</f>
        <v>161094-75-3</v>
      </c>
      <c r="M4893">
        <f>_xlfn.XLOOKUP(L4893,[2]analyte_order!$C:$C,[2]analyte_order!$E:$E)</f>
        <v>44</v>
      </c>
      <c r="N4893">
        <v>5.2999999999999999E-2</v>
      </c>
    </row>
    <row r="4894" spans="1:14">
      <c r="A4894" t="s">
        <v>277</v>
      </c>
      <c r="B4894" t="str">
        <f>_xlfn.XLOOKUP(A4894,'[1]Tissue Data'!$A:$A,'[1]Tissue Data'!$C:$C)</f>
        <v>Spill</v>
      </c>
      <c r="C4894" s="2">
        <f>_xlfn.XLOOKUP(A4894,'[1]Tissue Data'!$A:$A,'[1]Tissue Data'!$D:$D)</f>
        <v>44393</v>
      </c>
      <c r="D4894" s="2" t="str">
        <f>_xlfn.XLOOKUP(A4894,'[1]Tissue Data'!$A:$A,'[1]Tissue Data'!$F:$F)</f>
        <v>Pumpkinseed</v>
      </c>
      <c r="E4894" t="str">
        <f>_xlfn.XLOOKUP(A4894,'[1]Tissue Data'!$A:$A,'[1]Tissue Data'!$H:$H)</f>
        <v>Lepomis</v>
      </c>
      <c r="F4894" t="str">
        <f>_xlfn.XLOOKUP(A4894,'[1]Tissue Data'!$A:$A,'[1]Tissue Data'!$I:$I)</f>
        <v>gibbosus</v>
      </c>
      <c r="G4894" t="str">
        <f>_xlfn.XLOOKUP(A4894,'[1]Tissue Data'!$A:$A,'[1]Tissue Data'!J:J)</f>
        <v>U</v>
      </c>
      <c r="H4894" t="str">
        <f>_xlfn.XLOOKUP(A4894,'[1]Tissue Data'!$A:$A,'[1]Tissue Data'!K:K)</f>
        <v>Whole Body</v>
      </c>
      <c r="I4894">
        <f>_xlfn.XLOOKUP(A4894,'[1]Tissue Data'!$A:$A,'[1]Tissue Data'!L:L)</f>
        <v>8</v>
      </c>
      <c r="J4894">
        <f>_xlfn.XLOOKUP(A4894,'[1]Tissue Data'!$A:$A,'[1]Tissue Data'!M:M)</f>
        <v>8.65</v>
      </c>
      <c r="K4894" t="s">
        <v>54</v>
      </c>
      <c r="L4894" t="str">
        <f>_xlfn.XLOOKUP(K4894,[2]analyte_order!$B:$B,[2]analyte_order!$C:$C)</f>
        <v>70887-84-2</v>
      </c>
      <c r="M4894">
        <f>_xlfn.XLOOKUP(L4894,[2]analyte_order!$C:$C,[2]analyte_order!$E:$E)</f>
        <v>45</v>
      </c>
      <c r="N4894">
        <v>4.0649999999999999E-2</v>
      </c>
    </row>
    <row r="4895" spans="1:14">
      <c r="A4895" t="s">
        <v>277</v>
      </c>
      <c r="B4895" t="str">
        <f>_xlfn.XLOOKUP(A4895,'[1]Tissue Data'!$A:$A,'[1]Tissue Data'!$C:$C)</f>
        <v>Spill</v>
      </c>
      <c r="C4895" s="2">
        <f>_xlfn.XLOOKUP(A4895,'[1]Tissue Data'!$A:$A,'[1]Tissue Data'!$D:$D)</f>
        <v>44393</v>
      </c>
      <c r="D4895" s="2" t="str">
        <f>_xlfn.XLOOKUP(A4895,'[1]Tissue Data'!$A:$A,'[1]Tissue Data'!$F:$F)</f>
        <v>Pumpkinseed</v>
      </c>
      <c r="E4895" t="str">
        <f>_xlfn.XLOOKUP(A4895,'[1]Tissue Data'!$A:$A,'[1]Tissue Data'!$H:$H)</f>
        <v>Lepomis</v>
      </c>
      <c r="F4895" t="str">
        <f>_xlfn.XLOOKUP(A4895,'[1]Tissue Data'!$A:$A,'[1]Tissue Data'!$I:$I)</f>
        <v>gibbosus</v>
      </c>
      <c r="G4895" t="str">
        <f>_xlfn.XLOOKUP(A4895,'[1]Tissue Data'!$A:$A,'[1]Tissue Data'!J:J)</f>
        <v>U</v>
      </c>
      <c r="H4895" t="str">
        <f>_xlfn.XLOOKUP(A4895,'[1]Tissue Data'!$A:$A,'[1]Tissue Data'!K:K)</f>
        <v>Whole Body</v>
      </c>
      <c r="I4895">
        <f>_xlfn.XLOOKUP(A4895,'[1]Tissue Data'!$A:$A,'[1]Tissue Data'!L:L)</f>
        <v>8</v>
      </c>
      <c r="J4895">
        <f>_xlfn.XLOOKUP(A4895,'[1]Tissue Data'!$A:$A,'[1]Tissue Data'!M:M)</f>
        <v>8.65</v>
      </c>
      <c r="K4895" t="s">
        <v>55</v>
      </c>
      <c r="L4895" t="str">
        <f>_xlfn.XLOOKUP(K4895,[2]analyte_order!$B:$B,[2]analyte_order!$C:$C)</f>
        <v>919005-14-4</v>
      </c>
      <c r="M4895">
        <f>_xlfn.XLOOKUP(L4895,[2]analyte_order!$C:$C,[2]analyte_order!$E:$E)</f>
        <v>35</v>
      </c>
      <c r="N4895">
        <v>0.19600000000000001</v>
      </c>
    </row>
    <row r="4896" spans="1:14">
      <c r="A4896" t="s">
        <v>277</v>
      </c>
      <c r="B4896" t="str">
        <f>_xlfn.XLOOKUP(A4896,'[1]Tissue Data'!$A:$A,'[1]Tissue Data'!$C:$C)</f>
        <v>Spill</v>
      </c>
      <c r="C4896" s="2">
        <f>_xlfn.XLOOKUP(A4896,'[1]Tissue Data'!$A:$A,'[1]Tissue Data'!$D:$D)</f>
        <v>44393</v>
      </c>
      <c r="D4896" s="2" t="str">
        <f>_xlfn.XLOOKUP(A4896,'[1]Tissue Data'!$A:$A,'[1]Tissue Data'!$F:$F)</f>
        <v>Pumpkinseed</v>
      </c>
      <c r="E4896" t="str">
        <f>_xlfn.XLOOKUP(A4896,'[1]Tissue Data'!$A:$A,'[1]Tissue Data'!$H:$H)</f>
        <v>Lepomis</v>
      </c>
      <c r="F4896" t="str">
        <f>_xlfn.XLOOKUP(A4896,'[1]Tissue Data'!$A:$A,'[1]Tissue Data'!$I:$I)</f>
        <v>gibbosus</v>
      </c>
      <c r="G4896" t="str">
        <f>_xlfn.XLOOKUP(A4896,'[1]Tissue Data'!$A:$A,'[1]Tissue Data'!J:J)</f>
        <v>U</v>
      </c>
      <c r="H4896" t="str">
        <f>_xlfn.XLOOKUP(A4896,'[1]Tissue Data'!$A:$A,'[1]Tissue Data'!K:K)</f>
        <v>Whole Body</v>
      </c>
      <c r="I4896">
        <f>_xlfn.XLOOKUP(A4896,'[1]Tissue Data'!$A:$A,'[1]Tissue Data'!L:L)</f>
        <v>8</v>
      </c>
      <c r="J4896">
        <f>_xlfn.XLOOKUP(A4896,'[1]Tissue Data'!$A:$A,'[1]Tissue Data'!M:M)</f>
        <v>8.65</v>
      </c>
      <c r="K4896" t="s">
        <v>56</v>
      </c>
      <c r="L4896" t="str">
        <f>_xlfn.XLOOKUP(K4896,[2]analyte_order!$B:$B,[2]analyte_order!$C:$C)</f>
        <v>756426-58-1</v>
      </c>
      <c r="M4896">
        <f>_xlfn.XLOOKUP(L4896,[2]analyte_order!$C:$C,[2]analyte_order!$E:$E)</f>
        <v>36</v>
      </c>
      <c r="N4896">
        <v>6.7500000000000004E-2</v>
      </c>
    </row>
    <row r="4897" spans="1:14">
      <c r="A4897" t="s">
        <v>277</v>
      </c>
      <c r="B4897" t="str">
        <f>_xlfn.XLOOKUP(A4897,'[1]Tissue Data'!$A:$A,'[1]Tissue Data'!$C:$C)</f>
        <v>Spill</v>
      </c>
      <c r="C4897" s="2">
        <f>_xlfn.XLOOKUP(A4897,'[1]Tissue Data'!$A:$A,'[1]Tissue Data'!$D:$D)</f>
        <v>44393</v>
      </c>
      <c r="D4897" s="2" t="str">
        <f>_xlfn.XLOOKUP(A4897,'[1]Tissue Data'!$A:$A,'[1]Tissue Data'!$F:$F)</f>
        <v>Pumpkinseed</v>
      </c>
      <c r="E4897" t="str">
        <f>_xlfn.XLOOKUP(A4897,'[1]Tissue Data'!$A:$A,'[1]Tissue Data'!$H:$H)</f>
        <v>Lepomis</v>
      </c>
      <c r="F4897" t="str">
        <f>_xlfn.XLOOKUP(A4897,'[1]Tissue Data'!$A:$A,'[1]Tissue Data'!$I:$I)</f>
        <v>gibbosus</v>
      </c>
      <c r="G4897" t="str">
        <f>_xlfn.XLOOKUP(A4897,'[1]Tissue Data'!$A:$A,'[1]Tissue Data'!J:J)</f>
        <v>U</v>
      </c>
      <c r="H4897" t="str">
        <f>_xlfn.XLOOKUP(A4897,'[1]Tissue Data'!$A:$A,'[1]Tissue Data'!K:K)</f>
        <v>Whole Body</v>
      </c>
      <c r="I4897">
        <f>_xlfn.XLOOKUP(A4897,'[1]Tissue Data'!$A:$A,'[1]Tissue Data'!L:L)</f>
        <v>8</v>
      </c>
      <c r="J4897">
        <f>_xlfn.XLOOKUP(A4897,'[1]Tissue Data'!$A:$A,'[1]Tissue Data'!M:M)</f>
        <v>8.65</v>
      </c>
      <c r="K4897" t="s">
        <v>57</v>
      </c>
      <c r="L4897" t="str">
        <f>_xlfn.XLOOKUP(K4897,[2]analyte_order!$B:$B,[2]analyte_order!$C:$C)</f>
        <v>763051-92-9</v>
      </c>
      <c r="M4897">
        <f>_xlfn.XLOOKUP(L4897,[2]analyte_order!$C:$C,[2]analyte_order!$E:$E)</f>
        <v>37</v>
      </c>
      <c r="N4897">
        <v>6.7500000000000004E-2</v>
      </c>
    </row>
    <row r="4898" spans="1:14">
      <c r="A4898" t="s">
        <v>277</v>
      </c>
      <c r="B4898" t="str">
        <f>_xlfn.XLOOKUP(A4898,'[1]Tissue Data'!$A:$A,'[1]Tissue Data'!$C:$C)</f>
        <v>Spill</v>
      </c>
      <c r="C4898" s="2">
        <f>_xlfn.XLOOKUP(A4898,'[1]Tissue Data'!$A:$A,'[1]Tissue Data'!$D:$D)</f>
        <v>44393</v>
      </c>
      <c r="D4898" s="2" t="str">
        <f>_xlfn.XLOOKUP(A4898,'[1]Tissue Data'!$A:$A,'[1]Tissue Data'!$F:$F)</f>
        <v>Pumpkinseed</v>
      </c>
      <c r="E4898" t="str">
        <f>_xlfn.XLOOKUP(A4898,'[1]Tissue Data'!$A:$A,'[1]Tissue Data'!$H:$H)</f>
        <v>Lepomis</v>
      </c>
      <c r="F4898" t="str">
        <f>_xlfn.XLOOKUP(A4898,'[1]Tissue Data'!$A:$A,'[1]Tissue Data'!$I:$I)</f>
        <v>gibbosus</v>
      </c>
      <c r="G4898" t="str">
        <f>_xlfn.XLOOKUP(A4898,'[1]Tissue Data'!$A:$A,'[1]Tissue Data'!J:J)</f>
        <v>U</v>
      </c>
      <c r="H4898" t="str">
        <f>_xlfn.XLOOKUP(A4898,'[1]Tissue Data'!$A:$A,'[1]Tissue Data'!K:K)</f>
        <v>Whole Body</v>
      </c>
      <c r="I4898">
        <f>_xlfn.XLOOKUP(A4898,'[1]Tissue Data'!$A:$A,'[1]Tissue Data'!L:L)</f>
        <v>8</v>
      </c>
      <c r="J4898">
        <f>_xlfn.XLOOKUP(A4898,'[1]Tissue Data'!$A:$A,'[1]Tissue Data'!M:M)</f>
        <v>8.65</v>
      </c>
      <c r="K4898" t="s">
        <v>58</v>
      </c>
      <c r="L4898" t="str">
        <f>_xlfn.XLOOKUP(K4898,[2]analyte_order!$B:$B,[2]analyte_order!$C:$C)</f>
        <v>13252-13-6</v>
      </c>
      <c r="M4898">
        <f>_xlfn.XLOOKUP(L4898,[2]analyte_order!$C:$C,[2]analyte_order!$E:$E)</f>
        <v>34</v>
      </c>
      <c r="N4898">
        <v>9.6500000000000002E-2</v>
      </c>
    </row>
    <row r="4899" spans="1:14">
      <c r="A4899" t="s">
        <v>277</v>
      </c>
      <c r="B4899" t="str">
        <f>_xlfn.XLOOKUP(A4899,'[1]Tissue Data'!$A:$A,'[1]Tissue Data'!$C:$C)</f>
        <v>Spill</v>
      </c>
      <c r="C4899" s="2">
        <f>_xlfn.XLOOKUP(A4899,'[1]Tissue Data'!$A:$A,'[1]Tissue Data'!$D:$D)</f>
        <v>44393</v>
      </c>
      <c r="D4899" s="2" t="str">
        <f>_xlfn.XLOOKUP(A4899,'[1]Tissue Data'!$A:$A,'[1]Tissue Data'!$F:$F)</f>
        <v>Pumpkinseed</v>
      </c>
      <c r="E4899" t="str">
        <f>_xlfn.XLOOKUP(A4899,'[1]Tissue Data'!$A:$A,'[1]Tissue Data'!$H:$H)</f>
        <v>Lepomis</v>
      </c>
      <c r="F4899" t="str">
        <f>_xlfn.XLOOKUP(A4899,'[1]Tissue Data'!$A:$A,'[1]Tissue Data'!$I:$I)</f>
        <v>gibbosus</v>
      </c>
      <c r="G4899" t="str">
        <f>_xlfn.XLOOKUP(A4899,'[1]Tissue Data'!$A:$A,'[1]Tissue Data'!J:J)</f>
        <v>U</v>
      </c>
      <c r="H4899" t="str">
        <f>_xlfn.XLOOKUP(A4899,'[1]Tissue Data'!$A:$A,'[1]Tissue Data'!K:K)</f>
        <v>Whole Body</v>
      </c>
      <c r="I4899">
        <f>_xlfn.XLOOKUP(A4899,'[1]Tissue Data'!$A:$A,'[1]Tissue Data'!L:L)</f>
        <v>8</v>
      </c>
      <c r="J4899">
        <f>_xlfn.XLOOKUP(A4899,'[1]Tissue Data'!$A:$A,'[1]Tissue Data'!M:M)</f>
        <v>8.65</v>
      </c>
      <c r="K4899" t="s">
        <v>59</v>
      </c>
      <c r="L4899" t="str">
        <f>_xlfn.XLOOKUP(K4899,[2]analyte_order!$B:$B,[2]analyte_order!$C:$C)</f>
        <v>57677-95-9</v>
      </c>
      <c r="M4899">
        <f>_xlfn.XLOOKUP(L4899,[2]analyte_order!$C:$C,[2]analyte_order!$E:$E)</f>
        <v>46</v>
      </c>
      <c r="N4899">
        <v>7.1499999999999994E-2</v>
      </c>
    </row>
    <row r="4900" spans="1:14">
      <c r="A4900" t="s">
        <v>277</v>
      </c>
      <c r="B4900" t="str">
        <f>_xlfn.XLOOKUP(A4900,'[1]Tissue Data'!$A:$A,'[1]Tissue Data'!$C:$C)</f>
        <v>Spill</v>
      </c>
      <c r="C4900" s="2">
        <f>_xlfn.XLOOKUP(A4900,'[1]Tissue Data'!$A:$A,'[1]Tissue Data'!$D:$D)</f>
        <v>44393</v>
      </c>
      <c r="D4900" s="2" t="str">
        <f>_xlfn.XLOOKUP(A4900,'[1]Tissue Data'!$A:$A,'[1]Tissue Data'!$F:$F)</f>
        <v>Pumpkinseed</v>
      </c>
      <c r="E4900" t="str">
        <f>_xlfn.XLOOKUP(A4900,'[1]Tissue Data'!$A:$A,'[1]Tissue Data'!$H:$H)</f>
        <v>Lepomis</v>
      </c>
      <c r="F4900" t="str">
        <f>_xlfn.XLOOKUP(A4900,'[1]Tissue Data'!$A:$A,'[1]Tissue Data'!$I:$I)</f>
        <v>gibbosus</v>
      </c>
      <c r="G4900" t="str">
        <f>_xlfn.XLOOKUP(A4900,'[1]Tissue Data'!$A:$A,'[1]Tissue Data'!J:J)</f>
        <v>U</v>
      </c>
      <c r="H4900" t="str">
        <f>_xlfn.XLOOKUP(A4900,'[1]Tissue Data'!$A:$A,'[1]Tissue Data'!K:K)</f>
        <v>Whole Body</v>
      </c>
      <c r="I4900">
        <f>_xlfn.XLOOKUP(A4900,'[1]Tissue Data'!$A:$A,'[1]Tissue Data'!L:L)</f>
        <v>8</v>
      </c>
      <c r="J4900">
        <f>_xlfn.XLOOKUP(A4900,'[1]Tissue Data'!$A:$A,'[1]Tissue Data'!M:M)</f>
        <v>8.65</v>
      </c>
      <c r="K4900" t="s">
        <v>60</v>
      </c>
      <c r="L4900" t="str">
        <f>_xlfn.XLOOKUP(K4900,[2]analyte_order!$B:$B,[2]analyte_order!$C:$C)</f>
        <v>678-41-1</v>
      </c>
      <c r="M4900">
        <f>_xlfn.XLOOKUP(L4900,[2]analyte_order!$C:$C,[2]analyte_order!$E:$E)</f>
        <v>56</v>
      </c>
      <c r="N4900">
        <v>8.8999999999999996E-2</v>
      </c>
    </row>
    <row r="4901" spans="1:14">
      <c r="A4901" t="s">
        <v>277</v>
      </c>
      <c r="B4901" t="str">
        <f>_xlfn.XLOOKUP(A4901,'[1]Tissue Data'!$A:$A,'[1]Tissue Data'!$C:$C)</f>
        <v>Spill</v>
      </c>
      <c r="C4901" s="2">
        <f>_xlfn.XLOOKUP(A4901,'[1]Tissue Data'!$A:$A,'[1]Tissue Data'!$D:$D)</f>
        <v>44393</v>
      </c>
      <c r="D4901" s="2" t="str">
        <f>_xlfn.XLOOKUP(A4901,'[1]Tissue Data'!$A:$A,'[1]Tissue Data'!$F:$F)</f>
        <v>Pumpkinseed</v>
      </c>
      <c r="E4901" t="str">
        <f>_xlfn.XLOOKUP(A4901,'[1]Tissue Data'!$A:$A,'[1]Tissue Data'!$H:$H)</f>
        <v>Lepomis</v>
      </c>
      <c r="F4901" t="str">
        <f>_xlfn.XLOOKUP(A4901,'[1]Tissue Data'!$A:$A,'[1]Tissue Data'!$I:$I)</f>
        <v>gibbosus</v>
      </c>
      <c r="G4901" t="str">
        <f>_xlfn.XLOOKUP(A4901,'[1]Tissue Data'!$A:$A,'[1]Tissue Data'!J:J)</f>
        <v>U</v>
      </c>
      <c r="H4901" t="str">
        <f>_xlfn.XLOOKUP(A4901,'[1]Tissue Data'!$A:$A,'[1]Tissue Data'!K:K)</f>
        <v>Whole Body</v>
      </c>
      <c r="I4901">
        <f>_xlfn.XLOOKUP(A4901,'[1]Tissue Data'!$A:$A,'[1]Tissue Data'!L:L)</f>
        <v>8</v>
      </c>
      <c r="J4901">
        <f>_xlfn.XLOOKUP(A4901,'[1]Tissue Data'!$A:$A,'[1]Tissue Data'!M:M)</f>
        <v>8.65</v>
      </c>
      <c r="K4901" t="s">
        <v>61</v>
      </c>
      <c r="L4901" t="str">
        <f>_xlfn.XLOOKUP(K4901,[2]analyte_order!$B:$B,[2]analyte_order!$C:$C)</f>
        <v>2965-52-8</v>
      </c>
      <c r="M4901">
        <f>_xlfn.XLOOKUP(L4901,[2]analyte_order!$C:$C,[2]analyte_order!$E:$E)</f>
        <v>57</v>
      </c>
      <c r="N4901">
        <v>0.11849999999999999</v>
      </c>
    </row>
    <row r="4902" spans="1:14">
      <c r="A4902" t="s">
        <v>278</v>
      </c>
      <c r="B4902" t="str">
        <f>_xlfn.XLOOKUP(A4902,'[1]Tissue Data'!$A:$A,'[1]Tissue Data'!$C:$C)</f>
        <v>Spill</v>
      </c>
      <c r="C4902" s="2">
        <f>_xlfn.XLOOKUP(A4902,'[1]Tissue Data'!$A:$A,'[1]Tissue Data'!$D:$D)</f>
        <v>44393</v>
      </c>
      <c r="D4902" s="2" t="str">
        <f>_xlfn.XLOOKUP(A4902,'[1]Tissue Data'!$A:$A,'[1]Tissue Data'!$F:$F)</f>
        <v>Pumpkinseed</v>
      </c>
      <c r="E4902" t="str">
        <f>_xlfn.XLOOKUP(A4902,'[1]Tissue Data'!$A:$A,'[1]Tissue Data'!$H:$H)</f>
        <v>Lepomis</v>
      </c>
      <c r="F4902" t="str">
        <f>_xlfn.XLOOKUP(A4902,'[1]Tissue Data'!$A:$A,'[1]Tissue Data'!$I:$I)</f>
        <v>gibbosus</v>
      </c>
      <c r="G4902" t="str">
        <f>_xlfn.XLOOKUP(A4902,'[1]Tissue Data'!$A:$A,'[1]Tissue Data'!J:J)</f>
        <v>U</v>
      </c>
      <c r="H4902" t="str">
        <f>_xlfn.XLOOKUP(A4902,'[1]Tissue Data'!$A:$A,'[1]Tissue Data'!K:K)</f>
        <v>Whole Body</v>
      </c>
      <c r="I4902">
        <f>_xlfn.XLOOKUP(A4902,'[1]Tissue Data'!$A:$A,'[1]Tissue Data'!L:L)</f>
        <v>10</v>
      </c>
      <c r="J4902">
        <f>_xlfn.XLOOKUP(A4902,'[1]Tissue Data'!$A:$A,'[1]Tissue Data'!M:M)</f>
        <v>21.27</v>
      </c>
      <c r="K4902" t="s">
        <v>12</v>
      </c>
      <c r="L4902" t="str">
        <f>_xlfn.XLOOKUP(K4902,[2]analyte_order!$B:$B,[2]analyte_order!$C:$C)</f>
        <v>375-22-4</v>
      </c>
      <c r="M4902">
        <f>_xlfn.XLOOKUP(L4902,[2]analyte_order!$C:$C,[2]analyte_order!$E:$E)</f>
        <v>1</v>
      </c>
      <c r="N4902">
        <v>0.23499999999999999</v>
      </c>
    </row>
    <row r="4903" spans="1:14">
      <c r="A4903" t="s">
        <v>278</v>
      </c>
      <c r="B4903" t="str">
        <f>_xlfn.XLOOKUP(A4903,'[1]Tissue Data'!$A:$A,'[1]Tissue Data'!$C:$C)</f>
        <v>Spill</v>
      </c>
      <c r="C4903" s="2">
        <f>_xlfn.XLOOKUP(A4903,'[1]Tissue Data'!$A:$A,'[1]Tissue Data'!$D:$D)</f>
        <v>44393</v>
      </c>
      <c r="D4903" s="2" t="str">
        <f>_xlfn.XLOOKUP(A4903,'[1]Tissue Data'!$A:$A,'[1]Tissue Data'!$F:$F)</f>
        <v>Pumpkinseed</v>
      </c>
      <c r="E4903" t="str">
        <f>_xlfn.XLOOKUP(A4903,'[1]Tissue Data'!$A:$A,'[1]Tissue Data'!$H:$H)</f>
        <v>Lepomis</v>
      </c>
      <c r="F4903" t="str">
        <f>_xlfn.XLOOKUP(A4903,'[1]Tissue Data'!$A:$A,'[1]Tissue Data'!$I:$I)</f>
        <v>gibbosus</v>
      </c>
      <c r="G4903" t="str">
        <f>_xlfn.XLOOKUP(A4903,'[1]Tissue Data'!$A:$A,'[1]Tissue Data'!J:J)</f>
        <v>U</v>
      </c>
      <c r="H4903" t="str">
        <f>_xlfn.XLOOKUP(A4903,'[1]Tissue Data'!$A:$A,'[1]Tissue Data'!K:K)</f>
        <v>Whole Body</v>
      </c>
      <c r="I4903">
        <f>_xlfn.XLOOKUP(A4903,'[1]Tissue Data'!$A:$A,'[1]Tissue Data'!L:L)</f>
        <v>10</v>
      </c>
      <c r="J4903">
        <f>_xlfn.XLOOKUP(A4903,'[1]Tissue Data'!$A:$A,'[1]Tissue Data'!M:M)</f>
        <v>21.27</v>
      </c>
      <c r="K4903" t="s">
        <v>13</v>
      </c>
      <c r="L4903" t="str">
        <f>_xlfn.XLOOKUP(K4903,[2]analyte_order!$B:$B,[2]analyte_order!$C:$C)</f>
        <v>2706-90-3</v>
      </c>
      <c r="M4903">
        <f>_xlfn.XLOOKUP(L4903,[2]analyte_order!$C:$C,[2]analyte_order!$E:$E)</f>
        <v>2</v>
      </c>
      <c r="N4903">
        <v>0.16600000000000001</v>
      </c>
    </row>
    <row r="4904" spans="1:14">
      <c r="A4904" t="s">
        <v>278</v>
      </c>
      <c r="B4904" t="str">
        <f>_xlfn.XLOOKUP(A4904,'[1]Tissue Data'!$A:$A,'[1]Tissue Data'!$C:$C)</f>
        <v>Spill</v>
      </c>
      <c r="C4904" s="2">
        <f>_xlfn.XLOOKUP(A4904,'[1]Tissue Data'!$A:$A,'[1]Tissue Data'!$D:$D)</f>
        <v>44393</v>
      </c>
      <c r="D4904" s="2" t="str">
        <f>_xlfn.XLOOKUP(A4904,'[1]Tissue Data'!$A:$A,'[1]Tissue Data'!$F:$F)</f>
        <v>Pumpkinseed</v>
      </c>
      <c r="E4904" t="str">
        <f>_xlfn.XLOOKUP(A4904,'[1]Tissue Data'!$A:$A,'[1]Tissue Data'!$H:$H)</f>
        <v>Lepomis</v>
      </c>
      <c r="F4904" t="str">
        <f>_xlfn.XLOOKUP(A4904,'[1]Tissue Data'!$A:$A,'[1]Tissue Data'!$I:$I)</f>
        <v>gibbosus</v>
      </c>
      <c r="G4904" t="str">
        <f>_xlfn.XLOOKUP(A4904,'[1]Tissue Data'!$A:$A,'[1]Tissue Data'!J:J)</f>
        <v>U</v>
      </c>
      <c r="H4904" t="str">
        <f>_xlfn.XLOOKUP(A4904,'[1]Tissue Data'!$A:$A,'[1]Tissue Data'!K:K)</f>
        <v>Whole Body</v>
      </c>
      <c r="I4904">
        <f>_xlfn.XLOOKUP(A4904,'[1]Tissue Data'!$A:$A,'[1]Tissue Data'!L:L)</f>
        <v>10</v>
      </c>
      <c r="J4904">
        <f>_xlfn.XLOOKUP(A4904,'[1]Tissue Data'!$A:$A,'[1]Tissue Data'!M:M)</f>
        <v>21.27</v>
      </c>
      <c r="K4904" t="s">
        <v>14</v>
      </c>
      <c r="L4904" t="str">
        <f>_xlfn.XLOOKUP(K4904,[2]analyte_order!$B:$B,[2]analyte_order!$C:$C)</f>
        <v>307-24-4</v>
      </c>
      <c r="M4904">
        <f>_xlfn.XLOOKUP(L4904,[2]analyte_order!$C:$C,[2]analyte_order!$E:$E)</f>
        <v>3</v>
      </c>
      <c r="N4904">
        <v>0.127</v>
      </c>
    </row>
    <row r="4905" spans="1:14">
      <c r="A4905" t="s">
        <v>278</v>
      </c>
      <c r="B4905" t="str">
        <f>_xlfn.XLOOKUP(A4905,'[1]Tissue Data'!$A:$A,'[1]Tissue Data'!$C:$C)</f>
        <v>Spill</v>
      </c>
      <c r="C4905" s="2">
        <f>_xlfn.XLOOKUP(A4905,'[1]Tissue Data'!$A:$A,'[1]Tissue Data'!$D:$D)</f>
        <v>44393</v>
      </c>
      <c r="D4905" s="2" t="str">
        <f>_xlfn.XLOOKUP(A4905,'[1]Tissue Data'!$A:$A,'[1]Tissue Data'!$F:$F)</f>
        <v>Pumpkinseed</v>
      </c>
      <c r="E4905" t="str">
        <f>_xlfn.XLOOKUP(A4905,'[1]Tissue Data'!$A:$A,'[1]Tissue Data'!$H:$H)</f>
        <v>Lepomis</v>
      </c>
      <c r="F4905" t="str">
        <f>_xlfn.XLOOKUP(A4905,'[1]Tissue Data'!$A:$A,'[1]Tissue Data'!$I:$I)</f>
        <v>gibbosus</v>
      </c>
      <c r="G4905" t="str">
        <f>_xlfn.XLOOKUP(A4905,'[1]Tissue Data'!$A:$A,'[1]Tissue Data'!J:J)</f>
        <v>U</v>
      </c>
      <c r="H4905" t="str">
        <f>_xlfn.XLOOKUP(A4905,'[1]Tissue Data'!$A:$A,'[1]Tissue Data'!K:K)</f>
        <v>Whole Body</v>
      </c>
      <c r="I4905">
        <f>_xlfn.XLOOKUP(A4905,'[1]Tissue Data'!$A:$A,'[1]Tissue Data'!L:L)</f>
        <v>10</v>
      </c>
      <c r="J4905">
        <f>_xlfn.XLOOKUP(A4905,'[1]Tissue Data'!$A:$A,'[1]Tissue Data'!M:M)</f>
        <v>21.27</v>
      </c>
      <c r="K4905" t="s">
        <v>15</v>
      </c>
      <c r="L4905" t="str">
        <f>_xlfn.XLOOKUP(K4905,[2]analyte_order!$B:$B,[2]analyte_order!$C:$C)</f>
        <v>375-85-9</v>
      </c>
      <c r="M4905">
        <f>_xlfn.XLOOKUP(L4905,[2]analyte_order!$C:$C,[2]analyte_order!$E:$E)</f>
        <v>4</v>
      </c>
      <c r="N4905">
        <v>2.34</v>
      </c>
    </row>
    <row r="4906" spans="1:14">
      <c r="A4906" t="s">
        <v>278</v>
      </c>
      <c r="B4906" t="str">
        <f>_xlfn.XLOOKUP(A4906,'[1]Tissue Data'!$A:$A,'[1]Tissue Data'!$C:$C)</f>
        <v>Spill</v>
      </c>
      <c r="C4906" s="2">
        <f>_xlfn.XLOOKUP(A4906,'[1]Tissue Data'!$A:$A,'[1]Tissue Data'!$D:$D)</f>
        <v>44393</v>
      </c>
      <c r="D4906" s="2" t="str">
        <f>_xlfn.XLOOKUP(A4906,'[1]Tissue Data'!$A:$A,'[1]Tissue Data'!$F:$F)</f>
        <v>Pumpkinseed</v>
      </c>
      <c r="E4906" t="str">
        <f>_xlfn.XLOOKUP(A4906,'[1]Tissue Data'!$A:$A,'[1]Tissue Data'!$H:$H)</f>
        <v>Lepomis</v>
      </c>
      <c r="F4906" t="str">
        <f>_xlfn.XLOOKUP(A4906,'[1]Tissue Data'!$A:$A,'[1]Tissue Data'!$I:$I)</f>
        <v>gibbosus</v>
      </c>
      <c r="G4906" t="str">
        <f>_xlfn.XLOOKUP(A4906,'[1]Tissue Data'!$A:$A,'[1]Tissue Data'!J:J)</f>
        <v>U</v>
      </c>
      <c r="H4906" t="str">
        <f>_xlfn.XLOOKUP(A4906,'[1]Tissue Data'!$A:$A,'[1]Tissue Data'!K:K)</f>
        <v>Whole Body</v>
      </c>
      <c r="I4906">
        <f>_xlfn.XLOOKUP(A4906,'[1]Tissue Data'!$A:$A,'[1]Tissue Data'!L:L)</f>
        <v>10</v>
      </c>
      <c r="J4906">
        <f>_xlfn.XLOOKUP(A4906,'[1]Tissue Data'!$A:$A,'[1]Tissue Data'!M:M)</f>
        <v>21.27</v>
      </c>
      <c r="K4906" t="s">
        <v>16</v>
      </c>
      <c r="L4906" t="str">
        <f>_xlfn.XLOOKUP(K4906,[2]analyte_order!$B:$B,[2]analyte_order!$C:$C)</f>
        <v>335-67-1</v>
      </c>
      <c r="M4906">
        <f>_xlfn.XLOOKUP(L4906,[2]analyte_order!$C:$C,[2]analyte_order!$E:$E)</f>
        <v>5</v>
      </c>
      <c r="N4906">
        <v>2.31</v>
      </c>
    </row>
    <row r="4907" spans="1:14">
      <c r="A4907" t="s">
        <v>278</v>
      </c>
      <c r="B4907" t="str">
        <f>_xlfn.XLOOKUP(A4907,'[1]Tissue Data'!$A:$A,'[1]Tissue Data'!$C:$C)</f>
        <v>Spill</v>
      </c>
      <c r="C4907" s="2">
        <f>_xlfn.XLOOKUP(A4907,'[1]Tissue Data'!$A:$A,'[1]Tissue Data'!$D:$D)</f>
        <v>44393</v>
      </c>
      <c r="D4907" s="2" t="str">
        <f>_xlfn.XLOOKUP(A4907,'[1]Tissue Data'!$A:$A,'[1]Tissue Data'!$F:$F)</f>
        <v>Pumpkinseed</v>
      </c>
      <c r="E4907" t="str">
        <f>_xlfn.XLOOKUP(A4907,'[1]Tissue Data'!$A:$A,'[1]Tissue Data'!$H:$H)</f>
        <v>Lepomis</v>
      </c>
      <c r="F4907" t="str">
        <f>_xlfn.XLOOKUP(A4907,'[1]Tissue Data'!$A:$A,'[1]Tissue Data'!$I:$I)</f>
        <v>gibbosus</v>
      </c>
      <c r="G4907" t="str">
        <f>_xlfn.XLOOKUP(A4907,'[1]Tissue Data'!$A:$A,'[1]Tissue Data'!J:J)</f>
        <v>U</v>
      </c>
      <c r="H4907" t="str">
        <f>_xlfn.XLOOKUP(A4907,'[1]Tissue Data'!$A:$A,'[1]Tissue Data'!K:K)</f>
        <v>Whole Body</v>
      </c>
      <c r="I4907">
        <f>_xlfn.XLOOKUP(A4907,'[1]Tissue Data'!$A:$A,'[1]Tissue Data'!L:L)</f>
        <v>10</v>
      </c>
      <c r="J4907">
        <f>_xlfn.XLOOKUP(A4907,'[1]Tissue Data'!$A:$A,'[1]Tissue Data'!M:M)</f>
        <v>21.27</v>
      </c>
      <c r="K4907" t="s">
        <v>17</v>
      </c>
      <c r="L4907" t="str">
        <f>_xlfn.XLOOKUP(K4907,[2]analyte_order!$B:$B,[2]analyte_order!$C:$C)</f>
        <v>375-95-1</v>
      </c>
      <c r="M4907">
        <f>_xlfn.XLOOKUP(L4907,[2]analyte_order!$C:$C,[2]analyte_order!$E:$E)</f>
        <v>6</v>
      </c>
      <c r="N4907">
        <v>1.55</v>
      </c>
    </row>
    <row r="4908" spans="1:14">
      <c r="A4908" t="s">
        <v>278</v>
      </c>
      <c r="B4908" t="str">
        <f>_xlfn.XLOOKUP(A4908,'[1]Tissue Data'!$A:$A,'[1]Tissue Data'!$C:$C)</f>
        <v>Spill</v>
      </c>
      <c r="C4908" s="2">
        <f>_xlfn.XLOOKUP(A4908,'[1]Tissue Data'!$A:$A,'[1]Tissue Data'!$D:$D)</f>
        <v>44393</v>
      </c>
      <c r="D4908" s="2" t="str">
        <f>_xlfn.XLOOKUP(A4908,'[1]Tissue Data'!$A:$A,'[1]Tissue Data'!$F:$F)</f>
        <v>Pumpkinseed</v>
      </c>
      <c r="E4908" t="str">
        <f>_xlfn.XLOOKUP(A4908,'[1]Tissue Data'!$A:$A,'[1]Tissue Data'!$H:$H)</f>
        <v>Lepomis</v>
      </c>
      <c r="F4908" t="str">
        <f>_xlfn.XLOOKUP(A4908,'[1]Tissue Data'!$A:$A,'[1]Tissue Data'!$I:$I)</f>
        <v>gibbosus</v>
      </c>
      <c r="G4908" t="str">
        <f>_xlfn.XLOOKUP(A4908,'[1]Tissue Data'!$A:$A,'[1]Tissue Data'!J:J)</f>
        <v>U</v>
      </c>
      <c r="H4908" t="str">
        <f>_xlfn.XLOOKUP(A4908,'[1]Tissue Data'!$A:$A,'[1]Tissue Data'!K:K)</f>
        <v>Whole Body</v>
      </c>
      <c r="I4908">
        <f>_xlfn.XLOOKUP(A4908,'[1]Tissue Data'!$A:$A,'[1]Tissue Data'!L:L)</f>
        <v>10</v>
      </c>
      <c r="J4908">
        <f>_xlfn.XLOOKUP(A4908,'[1]Tissue Data'!$A:$A,'[1]Tissue Data'!M:M)</f>
        <v>21.27</v>
      </c>
      <c r="K4908" t="s">
        <v>18</v>
      </c>
      <c r="L4908" t="str">
        <f>_xlfn.XLOOKUP(K4908,[2]analyte_order!$B:$B,[2]analyte_order!$C:$C)</f>
        <v>335-76-2</v>
      </c>
      <c r="M4908">
        <f>_xlfn.XLOOKUP(L4908,[2]analyte_order!$C:$C,[2]analyte_order!$E:$E)</f>
        <v>7</v>
      </c>
      <c r="N4908">
        <v>6.33</v>
      </c>
    </row>
    <row r="4909" spans="1:14">
      <c r="A4909" t="s">
        <v>278</v>
      </c>
      <c r="B4909" t="str">
        <f>_xlfn.XLOOKUP(A4909,'[1]Tissue Data'!$A:$A,'[1]Tissue Data'!$C:$C)</f>
        <v>Spill</v>
      </c>
      <c r="C4909" s="2">
        <f>_xlfn.XLOOKUP(A4909,'[1]Tissue Data'!$A:$A,'[1]Tissue Data'!$D:$D)</f>
        <v>44393</v>
      </c>
      <c r="D4909" s="2" t="str">
        <f>_xlfn.XLOOKUP(A4909,'[1]Tissue Data'!$A:$A,'[1]Tissue Data'!$F:$F)</f>
        <v>Pumpkinseed</v>
      </c>
      <c r="E4909" t="str">
        <f>_xlfn.XLOOKUP(A4909,'[1]Tissue Data'!$A:$A,'[1]Tissue Data'!$H:$H)</f>
        <v>Lepomis</v>
      </c>
      <c r="F4909" t="str">
        <f>_xlfn.XLOOKUP(A4909,'[1]Tissue Data'!$A:$A,'[1]Tissue Data'!$I:$I)</f>
        <v>gibbosus</v>
      </c>
      <c r="G4909" t="str">
        <f>_xlfn.XLOOKUP(A4909,'[1]Tissue Data'!$A:$A,'[1]Tissue Data'!J:J)</f>
        <v>U</v>
      </c>
      <c r="H4909" t="str">
        <f>_xlfn.XLOOKUP(A4909,'[1]Tissue Data'!$A:$A,'[1]Tissue Data'!K:K)</f>
        <v>Whole Body</v>
      </c>
      <c r="I4909">
        <f>_xlfn.XLOOKUP(A4909,'[1]Tissue Data'!$A:$A,'[1]Tissue Data'!L:L)</f>
        <v>10</v>
      </c>
      <c r="J4909">
        <f>_xlfn.XLOOKUP(A4909,'[1]Tissue Data'!$A:$A,'[1]Tissue Data'!M:M)</f>
        <v>21.27</v>
      </c>
      <c r="K4909" t="s">
        <v>19</v>
      </c>
      <c r="L4909" t="str">
        <f>_xlfn.XLOOKUP(K4909,[2]analyte_order!$B:$B,[2]analyte_order!$C:$C)</f>
        <v>2058-94-8</v>
      </c>
      <c r="M4909">
        <f>_xlfn.XLOOKUP(L4909,[2]analyte_order!$C:$C,[2]analyte_order!$E:$E)</f>
        <v>8</v>
      </c>
      <c r="N4909">
        <v>8.5399999999999991</v>
      </c>
    </row>
    <row r="4910" spans="1:14">
      <c r="A4910" t="s">
        <v>278</v>
      </c>
      <c r="B4910" t="str">
        <f>_xlfn.XLOOKUP(A4910,'[1]Tissue Data'!$A:$A,'[1]Tissue Data'!$C:$C)</f>
        <v>Spill</v>
      </c>
      <c r="C4910" s="2">
        <f>_xlfn.XLOOKUP(A4910,'[1]Tissue Data'!$A:$A,'[1]Tissue Data'!$D:$D)</f>
        <v>44393</v>
      </c>
      <c r="D4910" s="2" t="str">
        <f>_xlfn.XLOOKUP(A4910,'[1]Tissue Data'!$A:$A,'[1]Tissue Data'!$F:$F)</f>
        <v>Pumpkinseed</v>
      </c>
      <c r="E4910" t="str">
        <f>_xlfn.XLOOKUP(A4910,'[1]Tissue Data'!$A:$A,'[1]Tissue Data'!$H:$H)</f>
        <v>Lepomis</v>
      </c>
      <c r="F4910" t="str">
        <f>_xlfn.XLOOKUP(A4910,'[1]Tissue Data'!$A:$A,'[1]Tissue Data'!$I:$I)</f>
        <v>gibbosus</v>
      </c>
      <c r="G4910" t="str">
        <f>_xlfn.XLOOKUP(A4910,'[1]Tissue Data'!$A:$A,'[1]Tissue Data'!J:J)</f>
        <v>U</v>
      </c>
      <c r="H4910" t="str">
        <f>_xlfn.XLOOKUP(A4910,'[1]Tissue Data'!$A:$A,'[1]Tissue Data'!K:K)</f>
        <v>Whole Body</v>
      </c>
      <c r="I4910">
        <f>_xlfn.XLOOKUP(A4910,'[1]Tissue Data'!$A:$A,'[1]Tissue Data'!L:L)</f>
        <v>10</v>
      </c>
      <c r="J4910">
        <f>_xlfn.XLOOKUP(A4910,'[1]Tissue Data'!$A:$A,'[1]Tissue Data'!M:M)</f>
        <v>21.27</v>
      </c>
      <c r="K4910" t="s">
        <v>20</v>
      </c>
      <c r="L4910" t="str">
        <f>_xlfn.XLOOKUP(K4910,[2]analyte_order!$B:$B,[2]analyte_order!$C:$C)</f>
        <v>307-55-1</v>
      </c>
      <c r="M4910">
        <f>_xlfn.XLOOKUP(L4910,[2]analyte_order!$C:$C,[2]analyte_order!$E:$E)</f>
        <v>9</v>
      </c>
      <c r="N4910">
        <v>15.7</v>
      </c>
    </row>
    <row r="4911" spans="1:14">
      <c r="A4911" t="s">
        <v>278</v>
      </c>
      <c r="B4911" t="str">
        <f>_xlfn.XLOOKUP(A4911,'[1]Tissue Data'!$A:$A,'[1]Tissue Data'!$C:$C)</f>
        <v>Spill</v>
      </c>
      <c r="C4911" s="2">
        <f>_xlfn.XLOOKUP(A4911,'[1]Tissue Data'!$A:$A,'[1]Tissue Data'!$D:$D)</f>
        <v>44393</v>
      </c>
      <c r="D4911" s="2" t="str">
        <f>_xlfn.XLOOKUP(A4911,'[1]Tissue Data'!$A:$A,'[1]Tissue Data'!$F:$F)</f>
        <v>Pumpkinseed</v>
      </c>
      <c r="E4911" t="str">
        <f>_xlfn.XLOOKUP(A4911,'[1]Tissue Data'!$A:$A,'[1]Tissue Data'!$H:$H)</f>
        <v>Lepomis</v>
      </c>
      <c r="F4911" t="str">
        <f>_xlfn.XLOOKUP(A4911,'[1]Tissue Data'!$A:$A,'[1]Tissue Data'!$I:$I)</f>
        <v>gibbosus</v>
      </c>
      <c r="G4911" t="str">
        <f>_xlfn.XLOOKUP(A4911,'[1]Tissue Data'!$A:$A,'[1]Tissue Data'!J:J)</f>
        <v>U</v>
      </c>
      <c r="H4911" t="str">
        <f>_xlfn.XLOOKUP(A4911,'[1]Tissue Data'!$A:$A,'[1]Tissue Data'!K:K)</f>
        <v>Whole Body</v>
      </c>
      <c r="I4911">
        <f>_xlfn.XLOOKUP(A4911,'[1]Tissue Data'!$A:$A,'[1]Tissue Data'!L:L)</f>
        <v>10</v>
      </c>
      <c r="J4911">
        <f>_xlfn.XLOOKUP(A4911,'[1]Tissue Data'!$A:$A,'[1]Tissue Data'!M:M)</f>
        <v>21.27</v>
      </c>
      <c r="K4911" t="s">
        <v>21</v>
      </c>
      <c r="L4911" t="str">
        <f>_xlfn.XLOOKUP(K4911,[2]analyte_order!$B:$B,[2]analyte_order!$C:$C)</f>
        <v>72629-94-8</v>
      </c>
      <c r="M4911">
        <f>_xlfn.XLOOKUP(L4911,[2]analyte_order!$C:$C,[2]analyte_order!$E:$E)</f>
        <v>10</v>
      </c>
      <c r="N4911">
        <v>4.1399999999999997</v>
      </c>
    </row>
    <row r="4912" spans="1:14">
      <c r="A4912" t="s">
        <v>278</v>
      </c>
      <c r="B4912" t="str">
        <f>_xlfn.XLOOKUP(A4912,'[1]Tissue Data'!$A:$A,'[1]Tissue Data'!$C:$C)</f>
        <v>Spill</v>
      </c>
      <c r="C4912" s="2">
        <f>_xlfn.XLOOKUP(A4912,'[1]Tissue Data'!$A:$A,'[1]Tissue Data'!$D:$D)</f>
        <v>44393</v>
      </c>
      <c r="D4912" s="2" t="str">
        <f>_xlfn.XLOOKUP(A4912,'[1]Tissue Data'!$A:$A,'[1]Tissue Data'!$F:$F)</f>
        <v>Pumpkinseed</v>
      </c>
      <c r="E4912" t="str">
        <f>_xlfn.XLOOKUP(A4912,'[1]Tissue Data'!$A:$A,'[1]Tissue Data'!$H:$H)</f>
        <v>Lepomis</v>
      </c>
      <c r="F4912" t="str">
        <f>_xlfn.XLOOKUP(A4912,'[1]Tissue Data'!$A:$A,'[1]Tissue Data'!$I:$I)</f>
        <v>gibbosus</v>
      </c>
      <c r="G4912" t="str">
        <f>_xlfn.XLOOKUP(A4912,'[1]Tissue Data'!$A:$A,'[1]Tissue Data'!J:J)</f>
        <v>U</v>
      </c>
      <c r="H4912" t="str">
        <f>_xlfn.XLOOKUP(A4912,'[1]Tissue Data'!$A:$A,'[1]Tissue Data'!K:K)</f>
        <v>Whole Body</v>
      </c>
      <c r="I4912">
        <f>_xlfn.XLOOKUP(A4912,'[1]Tissue Data'!$A:$A,'[1]Tissue Data'!L:L)</f>
        <v>10</v>
      </c>
      <c r="J4912">
        <f>_xlfn.XLOOKUP(A4912,'[1]Tissue Data'!$A:$A,'[1]Tissue Data'!M:M)</f>
        <v>21.27</v>
      </c>
      <c r="K4912" t="s">
        <v>22</v>
      </c>
      <c r="L4912" t="str">
        <f>_xlfn.XLOOKUP(K4912,[2]analyte_order!$B:$B,[2]analyte_order!$C:$C)</f>
        <v>376-06-7</v>
      </c>
      <c r="M4912">
        <f>_xlfn.XLOOKUP(L4912,[2]analyte_order!$C:$C,[2]analyte_order!$E:$E)</f>
        <v>11</v>
      </c>
      <c r="N4912">
        <v>17.600000000000001</v>
      </c>
    </row>
    <row r="4913" spans="1:14">
      <c r="A4913" t="s">
        <v>278</v>
      </c>
      <c r="B4913" t="str">
        <f>_xlfn.XLOOKUP(A4913,'[1]Tissue Data'!$A:$A,'[1]Tissue Data'!$C:$C)</f>
        <v>Spill</v>
      </c>
      <c r="C4913" s="2">
        <f>_xlfn.XLOOKUP(A4913,'[1]Tissue Data'!$A:$A,'[1]Tissue Data'!$D:$D)</f>
        <v>44393</v>
      </c>
      <c r="D4913" s="2" t="str">
        <f>_xlfn.XLOOKUP(A4913,'[1]Tissue Data'!$A:$A,'[1]Tissue Data'!$F:$F)</f>
        <v>Pumpkinseed</v>
      </c>
      <c r="E4913" t="str">
        <f>_xlfn.XLOOKUP(A4913,'[1]Tissue Data'!$A:$A,'[1]Tissue Data'!$H:$H)</f>
        <v>Lepomis</v>
      </c>
      <c r="F4913" t="str">
        <f>_xlfn.XLOOKUP(A4913,'[1]Tissue Data'!$A:$A,'[1]Tissue Data'!$I:$I)</f>
        <v>gibbosus</v>
      </c>
      <c r="G4913" t="str">
        <f>_xlfn.XLOOKUP(A4913,'[1]Tissue Data'!$A:$A,'[1]Tissue Data'!J:J)</f>
        <v>U</v>
      </c>
      <c r="H4913" t="str">
        <f>_xlfn.XLOOKUP(A4913,'[1]Tissue Data'!$A:$A,'[1]Tissue Data'!K:K)</f>
        <v>Whole Body</v>
      </c>
      <c r="I4913">
        <f>_xlfn.XLOOKUP(A4913,'[1]Tissue Data'!$A:$A,'[1]Tissue Data'!L:L)</f>
        <v>10</v>
      </c>
      <c r="J4913">
        <f>_xlfn.XLOOKUP(A4913,'[1]Tissue Data'!$A:$A,'[1]Tissue Data'!M:M)</f>
        <v>21.27</v>
      </c>
      <c r="K4913" t="s">
        <v>23</v>
      </c>
      <c r="L4913" t="str">
        <f>_xlfn.XLOOKUP(K4913,[2]analyte_order!$B:$B,[2]analyte_order!$C:$C)</f>
        <v>67905-19-5</v>
      </c>
      <c r="M4913">
        <f>_xlfn.XLOOKUP(L4913,[2]analyte_order!$C:$C,[2]analyte_order!$E:$E)</f>
        <v>12</v>
      </c>
      <c r="N4913">
        <v>0.28000000000000003</v>
      </c>
    </row>
    <row r="4914" spans="1:14">
      <c r="A4914" t="s">
        <v>278</v>
      </c>
      <c r="B4914" t="str">
        <f>_xlfn.XLOOKUP(A4914,'[1]Tissue Data'!$A:$A,'[1]Tissue Data'!$C:$C)</f>
        <v>Spill</v>
      </c>
      <c r="C4914" s="2">
        <f>_xlfn.XLOOKUP(A4914,'[1]Tissue Data'!$A:$A,'[1]Tissue Data'!$D:$D)</f>
        <v>44393</v>
      </c>
      <c r="D4914" s="2" t="str">
        <f>_xlfn.XLOOKUP(A4914,'[1]Tissue Data'!$A:$A,'[1]Tissue Data'!$F:$F)</f>
        <v>Pumpkinseed</v>
      </c>
      <c r="E4914" t="str">
        <f>_xlfn.XLOOKUP(A4914,'[1]Tissue Data'!$A:$A,'[1]Tissue Data'!$H:$H)</f>
        <v>Lepomis</v>
      </c>
      <c r="F4914" t="str">
        <f>_xlfn.XLOOKUP(A4914,'[1]Tissue Data'!$A:$A,'[1]Tissue Data'!$I:$I)</f>
        <v>gibbosus</v>
      </c>
      <c r="G4914" t="str">
        <f>_xlfn.XLOOKUP(A4914,'[1]Tissue Data'!$A:$A,'[1]Tissue Data'!J:J)</f>
        <v>U</v>
      </c>
      <c r="H4914" t="str">
        <f>_xlfn.XLOOKUP(A4914,'[1]Tissue Data'!$A:$A,'[1]Tissue Data'!K:K)</f>
        <v>Whole Body</v>
      </c>
      <c r="I4914">
        <f>_xlfn.XLOOKUP(A4914,'[1]Tissue Data'!$A:$A,'[1]Tissue Data'!L:L)</f>
        <v>10</v>
      </c>
      <c r="J4914">
        <f>_xlfn.XLOOKUP(A4914,'[1]Tissue Data'!$A:$A,'[1]Tissue Data'!M:M)</f>
        <v>21.27</v>
      </c>
      <c r="K4914" t="s">
        <v>24</v>
      </c>
      <c r="L4914" t="str">
        <f>_xlfn.XLOOKUP(K4914,[2]analyte_order!$B:$B,[2]analyte_order!$C:$C)</f>
        <v>423-41-6</v>
      </c>
      <c r="M4914">
        <f>_xlfn.XLOOKUP(L4914,[2]analyte_order!$C:$C,[2]analyte_order!$E:$E)</f>
        <v>53</v>
      </c>
      <c r="N4914">
        <v>7.0999999999999994E-2</v>
      </c>
    </row>
    <row r="4915" spans="1:14">
      <c r="A4915" t="s">
        <v>278</v>
      </c>
      <c r="B4915" t="str">
        <f>_xlfn.XLOOKUP(A4915,'[1]Tissue Data'!$A:$A,'[1]Tissue Data'!$C:$C)</f>
        <v>Spill</v>
      </c>
      <c r="C4915" s="2">
        <f>_xlfn.XLOOKUP(A4915,'[1]Tissue Data'!$A:$A,'[1]Tissue Data'!$D:$D)</f>
        <v>44393</v>
      </c>
      <c r="D4915" s="2" t="str">
        <f>_xlfn.XLOOKUP(A4915,'[1]Tissue Data'!$A:$A,'[1]Tissue Data'!$F:$F)</f>
        <v>Pumpkinseed</v>
      </c>
      <c r="E4915" t="str">
        <f>_xlfn.XLOOKUP(A4915,'[1]Tissue Data'!$A:$A,'[1]Tissue Data'!$H:$H)</f>
        <v>Lepomis</v>
      </c>
      <c r="F4915" t="str">
        <f>_xlfn.XLOOKUP(A4915,'[1]Tissue Data'!$A:$A,'[1]Tissue Data'!$I:$I)</f>
        <v>gibbosus</v>
      </c>
      <c r="G4915" t="str">
        <f>_xlfn.XLOOKUP(A4915,'[1]Tissue Data'!$A:$A,'[1]Tissue Data'!J:J)</f>
        <v>U</v>
      </c>
      <c r="H4915" t="str">
        <f>_xlfn.XLOOKUP(A4915,'[1]Tissue Data'!$A:$A,'[1]Tissue Data'!K:K)</f>
        <v>Whole Body</v>
      </c>
      <c r="I4915">
        <f>_xlfn.XLOOKUP(A4915,'[1]Tissue Data'!$A:$A,'[1]Tissue Data'!L:L)</f>
        <v>10</v>
      </c>
      <c r="J4915">
        <f>_xlfn.XLOOKUP(A4915,'[1]Tissue Data'!$A:$A,'[1]Tissue Data'!M:M)</f>
        <v>21.27</v>
      </c>
      <c r="K4915" t="s">
        <v>25</v>
      </c>
      <c r="L4915" t="str">
        <f>_xlfn.XLOOKUP(K4915,[2]analyte_order!$B:$B,[2]analyte_order!$C:$C)</f>
        <v>375-73-5</v>
      </c>
      <c r="M4915">
        <f>_xlfn.XLOOKUP(L4915,[2]analyte_order!$C:$C,[2]analyte_order!$E:$E)</f>
        <v>14</v>
      </c>
      <c r="N4915">
        <v>0.16</v>
      </c>
    </row>
    <row r="4916" spans="1:14">
      <c r="A4916" t="s">
        <v>278</v>
      </c>
      <c r="B4916" t="str">
        <f>_xlfn.XLOOKUP(A4916,'[1]Tissue Data'!$A:$A,'[1]Tissue Data'!$C:$C)</f>
        <v>Spill</v>
      </c>
      <c r="C4916" s="2">
        <f>_xlfn.XLOOKUP(A4916,'[1]Tissue Data'!$A:$A,'[1]Tissue Data'!$D:$D)</f>
        <v>44393</v>
      </c>
      <c r="D4916" s="2" t="str">
        <f>_xlfn.XLOOKUP(A4916,'[1]Tissue Data'!$A:$A,'[1]Tissue Data'!$F:$F)</f>
        <v>Pumpkinseed</v>
      </c>
      <c r="E4916" t="str">
        <f>_xlfn.XLOOKUP(A4916,'[1]Tissue Data'!$A:$A,'[1]Tissue Data'!$H:$H)</f>
        <v>Lepomis</v>
      </c>
      <c r="F4916" t="str">
        <f>_xlfn.XLOOKUP(A4916,'[1]Tissue Data'!$A:$A,'[1]Tissue Data'!$I:$I)</f>
        <v>gibbosus</v>
      </c>
      <c r="G4916" t="str">
        <f>_xlfn.XLOOKUP(A4916,'[1]Tissue Data'!$A:$A,'[1]Tissue Data'!J:J)</f>
        <v>U</v>
      </c>
      <c r="H4916" t="str">
        <f>_xlfn.XLOOKUP(A4916,'[1]Tissue Data'!$A:$A,'[1]Tissue Data'!K:K)</f>
        <v>Whole Body</v>
      </c>
      <c r="I4916">
        <f>_xlfn.XLOOKUP(A4916,'[1]Tissue Data'!$A:$A,'[1]Tissue Data'!L:L)</f>
        <v>10</v>
      </c>
      <c r="J4916">
        <f>_xlfn.XLOOKUP(A4916,'[1]Tissue Data'!$A:$A,'[1]Tissue Data'!M:M)</f>
        <v>21.27</v>
      </c>
      <c r="K4916" t="s">
        <v>26</v>
      </c>
      <c r="L4916" t="str">
        <f>_xlfn.XLOOKUP(K4916,[2]analyte_order!$B:$B,[2]analyte_order!$C:$C)</f>
        <v>2706-91-4</v>
      </c>
      <c r="M4916">
        <f>_xlfn.XLOOKUP(L4916,[2]analyte_order!$C:$C,[2]analyte_order!$E:$E)</f>
        <v>15</v>
      </c>
      <c r="N4916">
        <v>0.23499999999999999</v>
      </c>
    </row>
    <row r="4917" spans="1:14">
      <c r="A4917" t="s">
        <v>278</v>
      </c>
      <c r="B4917" t="str">
        <f>_xlfn.XLOOKUP(A4917,'[1]Tissue Data'!$A:$A,'[1]Tissue Data'!$C:$C)</f>
        <v>Spill</v>
      </c>
      <c r="C4917" s="2">
        <f>_xlfn.XLOOKUP(A4917,'[1]Tissue Data'!$A:$A,'[1]Tissue Data'!$D:$D)</f>
        <v>44393</v>
      </c>
      <c r="D4917" s="2" t="str">
        <f>_xlfn.XLOOKUP(A4917,'[1]Tissue Data'!$A:$A,'[1]Tissue Data'!$F:$F)</f>
        <v>Pumpkinseed</v>
      </c>
      <c r="E4917" t="str">
        <f>_xlfn.XLOOKUP(A4917,'[1]Tissue Data'!$A:$A,'[1]Tissue Data'!$H:$H)</f>
        <v>Lepomis</v>
      </c>
      <c r="F4917" t="str">
        <f>_xlfn.XLOOKUP(A4917,'[1]Tissue Data'!$A:$A,'[1]Tissue Data'!$I:$I)</f>
        <v>gibbosus</v>
      </c>
      <c r="G4917" t="str">
        <f>_xlfn.XLOOKUP(A4917,'[1]Tissue Data'!$A:$A,'[1]Tissue Data'!J:J)</f>
        <v>U</v>
      </c>
      <c r="H4917" t="str">
        <f>_xlfn.XLOOKUP(A4917,'[1]Tissue Data'!$A:$A,'[1]Tissue Data'!K:K)</f>
        <v>Whole Body</v>
      </c>
      <c r="I4917">
        <f>_xlfn.XLOOKUP(A4917,'[1]Tissue Data'!$A:$A,'[1]Tissue Data'!L:L)</f>
        <v>10</v>
      </c>
      <c r="J4917">
        <f>_xlfn.XLOOKUP(A4917,'[1]Tissue Data'!$A:$A,'[1]Tissue Data'!M:M)</f>
        <v>21.27</v>
      </c>
      <c r="K4917" t="s">
        <v>27</v>
      </c>
      <c r="L4917" t="str">
        <f>_xlfn.XLOOKUP(K4917,[2]analyte_order!$B:$B,[2]analyte_order!$C:$C)</f>
        <v>355-46-4</v>
      </c>
      <c r="M4917">
        <f>_xlfn.XLOOKUP(L4917,[2]analyte_order!$C:$C,[2]analyte_order!$E:$E)</f>
        <v>16</v>
      </c>
      <c r="N4917">
        <v>23.2</v>
      </c>
    </row>
    <row r="4918" spans="1:14">
      <c r="A4918" t="s">
        <v>278</v>
      </c>
      <c r="B4918" t="str">
        <f>_xlfn.XLOOKUP(A4918,'[1]Tissue Data'!$A:$A,'[1]Tissue Data'!$C:$C)</f>
        <v>Spill</v>
      </c>
      <c r="C4918" s="2">
        <f>_xlfn.XLOOKUP(A4918,'[1]Tissue Data'!$A:$A,'[1]Tissue Data'!$D:$D)</f>
        <v>44393</v>
      </c>
      <c r="D4918" s="2" t="str">
        <f>_xlfn.XLOOKUP(A4918,'[1]Tissue Data'!$A:$A,'[1]Tissue Data'!$F:$F)</f>
        <v>Pumpkinseed</v>
      </c>
      <c r="E4918" t="str">
        <f>_xlfn.XLOOKUP(A4918,'[1]Tissue Data'!$A:$A,'[1]Tissue Data'!$H:$H)</f>
        <v>Lepomis</v>
      </c>
      <c r="F4918" t="str">
        <f>_xlfn.XLOOKUP(A4918,'[1]Tissue Data'!$A:$A,'[1]Tissue Data'!$I:$I)</f>
        <v>gibbosus</v>
      </c>
      <c r="G4918" t="str">
        <f>_xlfn.XLOOKUP(A4918,'[1]Tissue Data'!$A:$A,'[1]Tissue Data'!J:J)</f>
        <v>U</v>
      </c>
      <c r="H4918" t="str">
        <f>_xlfn.XLOOKUP(A4918,'[1]Tissue Data'!$A:$A,'[1]Tissue Data'!K:K)</f>
        <v>Whole Body</v>
      </c>
      <c r="I4918">
        <f>_xlfn.XLOOKUP(A4918,'[1]Tissue Data'!$A:$A,'[1]Tissue Data'!L:L)</f>
        <v>10</v>
      </c>
      <c r="J4918">
        <f>_xlfn.XLOOKUP(A4918,'[1]Tissue Data'!$A:$A,'[1]Tissue Data'!M:M)</f>
        <v>21.27</v>
      </c>
      <c r="K4918" t="s">
        <v>28</v>
      </c>
      <c r="L4918" t="str">
        <f>_xlfn.XLOOKUP(K4918,[2]analyte_order!$B:$B,[2]analyte_order!$C:$C)</f>
        <v>375-92-8</v>
      </c>
      <c r="M4918">
        <f>_xlfn.XLOOKUP(L4918,[2]analyte_order!$C:$C,[2]analyte_order!$E:$E)</f>
        <v>17</v>
      </c>
      <c r="N4918">
        <v>4.03</v>
      </c>
    </row>
    <row r="4919" spans="1:14">
      <c r="A4919" t="s">
        <v>278</v>
      </c>
      <c r="B4919" t="str">
        <f>_xlfn.XLOOKUP(A4919,'[1]Tissue Data'!$A:$A,'[1]Tissue Data'!$C:$C)</f>
        <v>Spill</v>
      </c>
      <c r="C4919" s="2">
        <f>_xlfn.XLOOKUP(A4919,'[1]Tissue Data'!$A:$A,'[1]Tissue Data'!$D:$D)</f>
        <v>44393</v>
      </c>
      <c r="D4919" s="2" t="str">
        <f>_xlfn.XLOOKUP(A4919,'[1]Tissue Data'!$A:$A,'[1]Tissue Data'!$F:$F)</f>
        <v>Pumpkinseed</v>
      </c>
      <c r="E4919" t="str">
        <f>_xlfn.XLOOKUP(A4919,'[1]Tissue Data'!$A:$A,'[1]Tissue Data'!$H:$H)</f>
        <v>Lepomis</v>
      </c>
      <c r="F4919" t="str">
        <f>_xlfn.XLOOKUP(A4919,'[1]Tissue Data'!$A:$A,'[1]Tissue Data'!$I:$I)</f>
        <v>gibbosus</v>
      </c>
      <c r="G4919" t="str">
        <f>_xlfn.XLOOKUP(A4919,'[1]Tissue Data'!$A:$A,'[1]Tissue Data'!J:J)</f>
        <v>U</v>
      </c>
      <c r="H4919" t="str">
        <f>_xlfn.XLOOKUP(A4919,'[1]Tissue Data'!$A:$A,'[1]Tissue Data'!K:K)</f>
        <v>Whole Body</v>
      </c>
      <c r="I4919">
        <f>_xlfn.XLOOKUP(A4919,'[1]Tissue Data'!$A:$A,'[1]Tissue Data'!L:L)</f>
        <v>10</v>
      </c>
      <c r="J4919">
        <f>_xlfn.XLOOKUP(A4919,'[1]Tissue Data'!$A:$A,'[1]Tissue Data'!M:M)</f>
        <v>21.27</v>
      </c>
      <c r="K4919" t="s">
        <v>29</v>
      </c>
      <c r="L4919" t="str">
        <f>_xlfn.XLOOKUP(K4919,[2]analyte_order!$B:$B,[2]analyte_order!$C:$C)</f>
        <v>1763-23-1</v>
      </c>
      <c r="M4919">
        <f>_xlfn.XLOOKUP(L4919,[2]analyte_order!$C:$C,[2]analyte_order!$E:$E)</f>
        <v>18</v>
      </c>
      <c r="N4919">
        <v>853</v>
      </c>
    </row>
    <row r="4920" spans="1:14">
      <c r="A4920" t="s">
        <v>278</v>
      </c>
      <c r="B4920" t="str">
        <f>_xlfn.XLOOKUP(A4920,'[1]Tissue Data'!$A:$A,'[1]Tissue Data'!$C:$C)</f>
        <v>Spill</v>
      </c>
      <c r="C4920" s="2">
        <f>_xlfn.XLOOKUP(A4920,'[1]Tissue Data'!$A:$A,'[1]Tissue Data'!$D:$D)</f>
        <v>44393</v>
      </c>
      <c r="D4920" s="2" t="str">
        <f>_xlfn.XLOOKUP(A4920,'[1]Tissue Data'!$A:$A,'[1]Tissue Data'!$F:$F)</f>
        <v>Pumpkinseed</v>
      </c>
      <c r="E4920" t="str">
        <f>_xlfn.XLOOKUP(A4920,'[1]Tissue Data'!$A:$A,'[1]Tissue Data'!$H:$H)</f>
        <v>Lepomis</v>
      </c>
      <c r="F4920" t="str">
        <f>_xlfn.XLOOKUP(A4920,'[1]Tissue Data'!$A:$A,'[1]Tissue Data'!$I:$I)</f>
        <v>gibbosus</v>
      </c>
      <c r="G4920" t="str">
        <f>_xlfn.XLOOKUP(A4920,'[1]Tissue Data'!$A:$A,'[1]Tissue Data'!J:J)</f>
        <v>U</v>
      </c>
      <c r="H4920" t="str">
        <f>_xlfn.XLOOKUP(A4920,'[1]Tissue Data'!$A:$A,'[1]Tissue Data'!K:K)</f>
        <v>Whole Body</v>
      </c>
      <c r="I4920">
        <f>_xlfn.XLOOKUP(A4920,'[1]Tissue Data'!$A:$A,'[1]Tissue Data'!L:L)</f>
        <v>10</v>
      </c>
      <c r="J4920">
        <f>_xlfn.XLOOKUP(A4920,'[1]Tissue Data'!$A:$A,'[1]Tissue Data'!M:M)</f>
        <v>21.27</v>
      </c>
      <c r="K4920" t="s">
        <v>30</v>
      </c>
      <c r="L4920" t="str">
        <f>_xlfn.XLOOKUP(K4920,[2]analyte_order!$B:$B,[2]analyte_order!$C:$C)</f>
        <v>68259-12-1</v>
      </c>
      <c r="M4920">
        <f>_xlfn.XLOOKUP(L4920,[2]analyte_order!$C:$C,[2]analyte_order!$E:$E)</f>
        <v>19</v>
      </c>
      <c r="N4920">
        <v>2.83</v>
      </c>
    </row>
    <row r="4921" spans="1:14">
      <c r="A4921" t="s">
        <v>278</v>
      </c>
      <c r="B4921" t="str">
        <f>_xlfn.XLOOKUP(A4921,'[1]Tissue Data'!$A:$A,'[1]Tissue Data'!$C:$C)</f>
        <v>Spill</v>
      </c>
      <c r="C4921" s="2">
        <f>_xlfn.XLOOKUP(A4921,'[1]Tissue Data'!$A:$A,'[1]Tissue Data'!$D:$D)</f>
        <v>44393</v>
      </c>
      <c r="D4921" s="2" t="str">
        <f>_xlfn.XLOOKUP(A4921,'[1]Tissue Data'!$A:$A,'[1]Tissue Data'!$F:$F)</f>
        <v>Pumpkinseed</v>
      </c>
      <c r="E4921" t="str">
        <f>_xlfn.XLOOKUP(A4921,'[1]Tissue Data'!$A:$A,'[1]Tissue Data'!$H:$H)</f>
        <v>Lepomis</v>
      </c>
      <c r="F4921" t="str">
        <f>_xlfn.XLOOKUP(A4921,'[1]Tissue Data'!$A:$A,'[1]Tissue Data'!$I:$I)</f>
        <v>gibbosus</v>
      </c>
      <c r="G4921" t="str">
        <f>_xlfn.XLOOKUP(A4921,'[1]Tissue Data'!$A:$A,'[1]Tissue Data'!J:J)</f>
        <v>U</v>
      </c>
      <c r="H4921" t="str">
        <f>_xlfn.XLOOKUP(A4921,'[1]Tissue Data'!$A:$A,'[1]Tissue Data'!K:K)</f>
        <v>Whole Body</v>
      </c>
      <c r="I4921">
        <f>_xlfn.XLOOKUP(A4921,'[1]Tissue Data'!$A:$A,'[1]Tissue Data'!L:L)</f>
        <v>10</v>
      </c>
      <c r="J4921">
        <f>_xlfn.XLOOKUP(A4921,'[1]Tissue Data'!$A:$A,'[1]Tissue Data'!M:M)</f>
        <v>21.27</v>
      </c>
      <c r="K4921" t="s">
        <v>31</v>
      </c>
      <c r="L4921" t="str">
        <f>_xlfn.XLOOKUP(K4921,[2]analyte_order!$B:$B,[2]analyte_order!$C:$C)</f>
        <v>335-77-3</v>
      </c>
      <c r="M4921">
        <f>_xlfn.XLOOKUP(L4921,[2]analyte_order!$C:$C,[2]analyte_order!$E:$E)</f>
        <v>20</v>
      </c>
      <c r="N4921">
        <v>2.83</v>
      </c>
    </row>
    <row r="4922" spans="1:14">
      <c r="A4922" t="s">
        <v>278</v>
      </c>
      <c r="B4922" t="str">
        <f>_xlfn.XLOOKUP(A4922,'[1]Tissue Data'!$A:$A,'[1]Tissue Data'!$C:$C)</f>
        <v>Spill</v>
      </c>
      <c r="C4922" s="2">
        <f>_xlfn.XLOOKUP(A4922,'[1]Tissue Data'!$A:$A,'[1]Tissue Data'!$D:$D)</f>
        <v>44393</v>
      </c>
      <c r="D4922" s="2" t="str">
        <f>_xlfn.XLOOKUP(A4922,'[1]Tissue Data'!$A:$A,'[1]Tissue Data'!$F:$F)</f>
        <v>Pumpkinseed</v>
      </c>
      <c r="E4922" t="str">
        <f>_xlfn.XLOOKUP(A4922,'[1]Tissue Data'!$A:$A,'[1]Tissue Data'!$H:$H)</f>
        <v>Lepomis</v>
      </c>
      <c r="F4922" t="str">
        <f>_xlfn.XLOOKUP(A4922,'[1]Tissue Data'!$A:$A,'[1]Tissue Data'!$I:$I)</f>
        <v>gibbosus</v>
      </c>
      <c r="G4922" t="str">
        <f>_xlfn.XLOOKUP(A4922,'[1]Tissue Data'!$A:$A,'[1]Tissue Data'!J:J)</f>
        <v>U</v>
      </c>
      <c r="H4922" t="str">
        <f>_xlfn.XLOOKUP(A4922,'[1]Tissue Data'!$A:$A,'[1]Tissue Data'!K:K)</f>
        <v>Whole Body</v>
      </c>
      <c r="I4922">
        <f>_xlfn.XLOOKUP(A4922,'[1]Tissue Data'!$A:$A,'[1]Tissue Data'!L:L)</f>
        <v>10</v>
      </c>
      <c r="J4922">
        <f>_xlfn.XLOOKUP(A4922,'[1]Tissue Data'!$A:$A,'[1]Tissue Data'!M:M)</f>
        <v>21.27</v>
      </c>
      <c r="K4922" t="s">
        <v>32</v>
      </c>
      <c r="L4922" t="str">
        <f>_xlfn.XLOOKUP(K4922,[2]analyte_order!$B:$B,[2]analyte_order!$C:$C)</f>
        <v>79780-39-5</v>
      </c>
      <c r="M4922">
        <f>_xlfn.XLOOKUP(L4922,[2]analyte_order!$C:$C,[2]analyte_order!$E:$E)</f>
        <v>21</v>
      </c>
      <c r="N4922">
        <v>0.57999999999999996</v>
      </c>
    </row>
    <row r="4923" spans="1:14">
      <c r="A4923" t="s">
        <v>278</v>
      </c>
      <c r="B4923" t="str">
        <f>_xlfn.XLOOKUP(A4923,'[1]Tissue Data'!$A:$A,'[1]Tissue Data'!$C:$C)</f>
        <v>Spill</v>
      </c>
      <c r="C4923" s="2">
        <f>_xlfn.XLOOKUP(A4923,'[1]Tissue Data'!$A:$A,'[1]Tissue Data'!$D:$D)</f>
        <v>44393</v>
      </c>
      <c r="D4923" s="2" t="str">
        <f>_xlfn.XLOOKUP(A4923,'[1]Tissue Data'!$A:$A,'[1]Tissue Data'!$F:$F)</f>
        <v>Pumpkinseed</v>
      </c>
      <c r="E4923" t="str">
        <f>_xlfn.XLOOKUP(A4923,'[1]Tissue Data'!$A:$A,'[1]Tissue Data'!$H:$H)</f>
        <v>Lepomis</v>
      </c>
      <c r="F4923" t="str">
        <f>_xlfn.XLOOKUP(A4923,'[1]Tissue Data'!$A:$A,'[1]Tissue Data'!$I:$I)</f>
        <v>gibbosus</v>
      </c>
      <c r="G4923" t="str">
        <f>_xlfn.XLOOKUP(A4923,'[1]Tissue Data'!$A:$A,'[1]Tissue Data'!J:J)</f>
        <v>U</v>
      </c>
      <c r="H4923" t="str">
        <f>_xlfn.XLOOKUP(A4923,'[1]Tissue Data'!$A:$A,'[1]Tissue Data'!K:K)</f>
        <v>Whole Body</v>
      </c>
      <c r="I4923">
        <f>_xlfn.XLOOKUP(A4923,'[1]Tissue Data'!$A:$A,'[1]Tissue Data'!L:L)</f>
        <v>10</v>
      </c>
      <c r="J4923">
        <f>_xlfn.XLOOKUP(A4923,'[1]Tissue Data'!$A:$A,'[1]Tissue Data'!M:M)</f>
        <v>21.27</v>
      </c>
      <c r="K4923" t="s">
        <v>33</v>
      </c>
      <c r="L4923" t="str">
        <f>_xlfn.XLOOKUP(K4923,[2]analyte_order!$B:$B,[2]analyte_order!$C:$C)</f>
        <v>777011-38-8</v>
      </c>
      <c r="M4923">
        <f>_xlfn.XLOOKUP(L4923,[2]analyte_order!$C:$C,[2]analyte_order!$E:$E)</f>
        <v>54</v>
      </c>
      <c r="N4923">
        <v>0.14299999999999999</v>
      </c>
    </row>
    <row r="4924" spans="1:14">
      <c r="A4924" t="s">
        <v>278</v>
      </c>
      <c r="B4924" t="str">
        <f>_xlfn.XLOOKUP(A4924,'[1]Tissue Data'!$A:$A,'[1]Tissue Data'!$C:$C)</f>
        <v>Spill</v>
      </c>
      <c r="C4924" s="2">
        <f>_xlfn.XLOOKUP(A4924,'[1]Tissue Data'!$A:$A,'[1]Tissue Data'!$D:$D)</f>
        <v>44393</v>
      </c>
      <c r="D4924" s="2" t="str">
        <f>_xlfn.XLOOKUP(A4924,'[1]Tissue Data'!$A:$A,'[1]Tissue Data'!$F:$F)</f>
        <v>Pumpkinseed</v>
      </c>
      <c r="E4924" t="str">
        <f>_xlfn.XLOOKUP(A4924,'[1]Tissue Data'!$A:$A,'[1]Tissue Data'!$H:$H)</f>
        <v>Lepomis</v>
      </c>
      <c r="F4924" t="str">
        <f>_xlfn.XLOOKUP(A4924,'[1]Tissue Data'!$A:$A,'[1]Tissue Data'!$I:$I)</f>
        <v>gibbosus</v>
      </c>
      <c r="G4924" t="str">
        <f>_xlfn.XLOOKUP(A4924,'[1]Tissue Data'!$A:$A,'[1]Tissue Data'!J:J)</f>
        <v>U</v>
      </c>
      <c r="H4924" t="str">
        <f>_xlfn.XLOOKUP(A4924,'[1]Tissue Data'!$A:$A,'[1]Tissue Data'!K:K)</f>
        <v>Whole Body</v>
      </c>
      <c r="I4924">
        <f>_xlfn.XLOOKUP(A4924,'[1]Tissue Data'!$A:$A,'[1]Tissue Data'!L:L)</f>
        <v>10</v>
      </c>
      <c r="J4924">
        <f>_xlfn.XLOOKUP(A4924,'[1]Tissue Data'!$A:$A,'[1]Tissue Data'!M:M)</f>
        <v>21.27</v>
      </c>
      <c r="K4924" t="s">
        <v>34</v>
      </c>
      <c r="L4924" t="str">
        <f>_xlfn.XLOOKUP(K4924,[2]analyte_order!$B:$B,[2]analyte_order!$C:$C)</f>
        <v>646-83-3</v>
      </c>
      <c r="M4924">
        <f>_xlfn.XLOOKUP(L4924,[2]analyte_order!$C:$C,[2]analyte_order!$E:$E)</f>
        <v>55</v>
      </c>
      <c r="N4924">
        <v>0.23499999999999999</v>
      </c>
    </row>
    <row r="4925" spans="1:14">
      <c r="A4925" t="s">
        <v>278</v>
      </c>
      <c r="B4925" t="str">
        <f>_xlfn.XLOOKUP(A4925,'[1]Tissue Data'!$A:$A,'[1]Tissue Data'!$C:$C)</f>
        <v>Spill</v>
      </c>
      <c r="C4925" s="2">
        <f>_xlfn.XLOOKUP(A4925,'[1]Tissue Data'!$A:$A,'[1]Tissue Data'!$D:$D)</f>
        <v>44393</v>
      </c>
      <c r="D4925" s="2" t="str">
        <f>_xlfn.XLOOKUP(A4925,'[1]Tissue Data'!$A:$A,'[1]Tissue Data'!$F:$F)</f>
        <v>Pumpkinseed</v>
      </c>
      <c r="E4925" t="str">
        <f>_xlfn.XLOOKUP(A4925,'[1]Tissue Data'!$A:$A,'[1]Tissue Data'!$H:$H)</f>
        <v>Lepomis</v>
      </c>
      <c r="F4925" t="str">
        <f>_xlfn.XLOOKUP(A4925,'[1]Tissue Data'!$A:$A,'[1]Tissue Data'!$I:$I)</f>
        <v>gibbosus</v>
      </c>
      <c r="G4925" t="str">
        <f>_xlfn.XLOOKUP(A4925,'[1]Tissue Data'!$A:$A,'[1]Tissue Data'!J:J)</f>
        <v>U</v>
      </c>
      <c r="H4925" t="str">
        <f>_xlfn.XLOOKUP(A4925,'[1]Tissue Data'!$A:$A,'[1]Tissue Data'!K:K)</f>
        <v>Whole Body</v>
      </c>
      <c r="I4925">
        <f>_xlfn.XLOOKUP(A4925,'[1]Tissue Data'!$A:$A,'[1]Tissue Data'!L:L)</f>
        <v>10</v>
      </c>
      <c r="J4925">
        <f>_xlfn.XLOOKUP(A4925,'[1]Tissue Data'!$A:$A,'[1]Tissue Data'!M:M)</f>
        <v>21.27</v>
      </c>
      <c r="K4925" t="s">
        <v>35</v>
      </c>
      <c r="L4925" t="str">
        <f>_xlfn.XLOOKUP(K4925,[2]analyte_order!$B:$B,[2]analyte_order!$C:$C)</f>
        <v>30334-69-1</v>
      </c>
      <c r="M4925">
        <f>_xlfn.XLOOKUP(L4925,[2]analyte_order!$C:$C,[2]analyte_order!$E:$E)</f>
        <v>51</v>
      </c>
      <c r="N4925">
        <v>27.4</v>
      </c>
    </row>
    <row r="4926" spans="1:14">
      <c r="A4926" t="s">
        <v>278</v>
      </c>
      <c r="B4926" t="str">
        <f>_xlfn.XLOOKUP(A4926,'[1]Tissue Data'!$A:$A,'[1]Tissue Data'!$C:$C)</f>
        <v>Spill</v>
      </c>
      <c r="C4926" s="2">
        <f>_xlfn.XLOOKUP(A4926,'[1]Tissue Data'!$A:$A,'[1]Tissue Data'!$D:$D)</f>
        <v>44393</v>
      </c>
      <c r="D4926" s="2" t="str">
        <f>_xlfn.XLOOKUP(A4926,'[1]Tissue Data'!$A:$A,'[1]Tissue Data'!$F:$F)</f>
        <v>Pumpkinseed</v>
      </c>
      <c r="E4926" t="str">
        <f>_xlfn.XLOOKUP(A4926,'[1]Tissue Data'!$A:$A,'[1]Tissue Data'!$H:$H)</f>
        <v>Lepomis</v>
      </c>
      <c r="F4926" t="str">
        <f>_xlfn.XLOOKUP(A4926,'[1]Tissue Data'!$A:$A,'[1]Tissue Data'!$I:$I)</f>
        <v>gibbosus</v>
      </c>
      <c r="G4926" t="str">
        <f>_xlfn.XLOOKUP(A4926,'[1]Tissue Data'!$A:$A,'[1]Tissue Data'!J:J)</f>
        <v>U</v>
      </c>
      <c r="H4926" t="str">
        <f>_xlfn.XLOOKUP(A4926,'[1]Tissue Data'!$A:$A,'[1]Tissue Data'!K:K)</f>
        <v>Whole Body</v>
      </c>
      <c r="I4926">
        <f>_xlfn.XLOOKUP(A4926,'[1]Tissue Data'!$A:$A,'[1]Tissue Data'!L:L)</f>
        <v>10</v>
      </c>
      <c r="J4926">
        <f>_xlfn.XLOOKUP(A4926,'[1]Tissue Data'!$A:$A,'[1]Tissue Data'!M:M)</f>
        <v>21.27</v>
      </c>
      <c r="K4926" t="s">
        <v>36</v>
      </c>
      <c r="L4926" t="str">
        <f>_xlfn.XLOOKUP(K4926,[2]analyte_order!$B:$B,[2]analyte_order!$C:$C)</f>
        <v>41997-13-1</v>
      </c>
      <c r="M4926">
        <f>_xlfn.XLOOKUP(L4926,[2]analyte_order!$C:$C,[2]analyte_order!$E:$E)</f>
        <v>52</v>
      </c>
      <c r="N4926">
        <v>124</v>
      </c>
    </row>
    <row r="4927" spans="1:14">
      <c r="A4927" t="s">
        <v>278</v>
      </c>
      <c r="B4927" t="str">
        <f>_xlfn.XLOOKUP(A4927,'[1]Tissue Data'!$A:$A,'[1]Tissue Data'!$C:$C)</f>
        <v>Spill</v>
      </c>
      <c r="C4927" s="2">
        <f>_xlfn.XLOOKUP(A4927,'[1]Tissue Data'!$A:$A,'[1]Tissue Data'!$D:$D)</f>
        <v>44393</v>
      </c>
      <c r="D4927" s="2" t="str">
        <f>_xlfn.XLOOKUP(A4927,'[1]Tissue Data'!$A:$A,'[1]Tissue Data'!$F:$F)</f>
        <v>Pumpkinseed</v>
      </c>
      <c r="E4927" t="str">
        <f>_xlfn.XLOOKUP(A4927,'[1]Tissue Data'!$A:$A,'[1]Tissue Data'!$H:$H)</f>
        <v>Lepomis</v>
      </c>
      <c r="F4927" t="str">
        <f>_xlfn.XLOOKUP(A4927,'[1]Tissue Data'!$A:$A,'[1]Tissue Data'!$I:$I)</f>
        <v>gibbosus</v>
      </c>
      <c r="G4927" t="str">
        <f>_xlfn.XLOOKUP(A4927,'[1]Tissue Data'!$A:$A,'[1]Tissue Data'!J:J)</f>
        <v>U</v>
      </c>
      <c r="H4927" t="str">
        <f>_xlfn.XLOOKUP(A4927,'[1]Tissue Data'!$A:$A,'[1]Tissue Data'!K:K)</f>
        <v>Whole Body</v>
      </c>
      <c r="I4927">
        <f>_xlfn.XLOOKUP(A4927,'[1]Tissue Data'!$A:$A,'[1]Tissue Data'!L:L)</f>
        <v>10</v>
      </c>
      <c r="J4927">
        <f>_xlfn.XLOOKUP(A4927,'[1]Tissue Data'!$A:$A,'[1]Tissue Data'!M:M)</f>
        <v>21.27</v>
      </c>
      <c r="K4927" t="s">
        <v>37</v>
      </c>
      <c r="L4927" t="str">
        <f>_xlfn.XLOOKUP(K4927,[2]analyte_order!$B:$B,[2]analyte_order!$C:$C)</f>
        <v>754-91-6</v>
      </c>
      <c r="M4927">
        <f>_xlfn.XLOOKUP(L4927,[2]analyte_order!$C:$C,[2]analyte_order!$E:$E)</f>
        <v>28</v>
      </c>
      <c r="N4927">
        <v>20.5</v>
      </c>
    </row>
    <row r="4928" spans="1:14">
      <c r="A4928" t="s">
        <v>278</v>
      </c>
      <c r="B4928" t="str">
        <f>_xlfn.XLOOKUP(A4928,'[1]Tissue Data'!$A:$A,'[1]Tissue Data'!$C:$C)</f>
        <v>Spill</v>
      </c>
      <c r="C4928" s="2">
        <f>_xlfn.XLOOKUP(A4928,'[1]Tissue Data'!$A:$A,'[1]Tissue Data'!$D:$D)</f>
        <v>44393</v>
      </c>
      <c r="D4928" s="2" t="str">
        <f>_xlfn.XLOOKUP(A4928,'[1]Tissue Data'!$A:$A,'[1]Tissue Data'!$F:$F)</f>
        <v>Pumpkinseed</v>
      </c>
      <c r="E4928" t="str">
        <f>_xlfn.XLOOKUP(A4928,'[1]Tissue Data'!$A:$A,'[1]Tissue Data'!$H:$H)</f>
        <v>Lepomis</v>
      </c>
      <c r="F4928" t="str">
        <f>_xlfn.XLOOKUP(A4928,'[1]Tissue Data'!$A:$A,'[1]Tissue Data'!$I:$I)</f>
        <v>gibbosus</v>
      </c>
      <c r="G4928" t="str">
        <f>_xlfn.XLOOKUP(A4928,'[1]Tissue Data'!$A:$A,'[1]Tissue Data'!J:J)</f>
        <v>U</v>
      </c>
      <c r="H4928" t="str">
        <f>_xlfn.XLOOKUP(A4928,'[1]Tissue Data'!$A:$A,'[1]Tissue Data'!K:K)</f>
        <v>Whole Body</v>
      </c>
      <c r="I4928">
        <f>_xlfn.XLOOKUP(A4928,'[1]Tissue Data'!$A:$A,'[1]Tissue Data'!L:L)</f>
        <v>10</v>
      </c>
      <c r="J4928">
        <f>_xlfn.XLOOKUP(A4928,'[1]Tissue Data'!$A:$A,'[1]Tissue Data'!M:M)</f>
        <v>21.27</v>
      </c>
      <c r="K4928" t="s">
        <v>38</v>
      </c>
      <c r="L4928" t="str">
        <f>_xlfn.XLOOKUP(K4928,[2]analyte_order!$B:$B,[2]analyte_order!$C:$C)</f>
        <v>31506-32-8</v>
      </c>
      <c r="M4928">
        <f>_xlfn.XLOOKUP(L4928,[2]analyte_order!$C:$C,[2]analyte_order!$E:$E)</f>
        <v>30</v>
      </c>
      <c r="N4928">
        <v>7.0999999999999994E-2</v>
      </c>
    </row>
    <row r="4929" spans="1:14">
      <c r="A4929" t="s">
        <v>278</v>
      </c>
      <c r="B4929" t="str">
        <f>_xlfn.XLOOKUP(A4929,'[1]Tissue Data'!$A:$A,'[1]Tissue Data'!$C:$C)</f>
        <v>Spill</v>
      </c>
      <c r="C4929" s="2">
        <f>_xlfn.XLOOKUP(A4929,'[1]Tissue Data'!$A:$A,'[1]Tissue Data'!$D:$D)</f>
        <v>44393</v>
      </c>
      <c r="D4929" s="2" t="str">
        <f>_xlfn.XLOOKUP(A4929,'[1]Tissue Data'!$A:$A,'[1]Tissue Data'!$F:$F)</f>
        <v>Pumpkinseed</v>
      </c>
      <c r="E4929" t="str">
        <f>_xlfn.XLOOKUP(A4929,'[1]Tissue Data'!$A:$A,'[1]Tissue Data'!$H:$H)</f>
        <v>Lepomis</v>
      </c>
      <c r="F4929" t="str">
        <f>_xlfn.XLOOKUP(A4929,'[1]Tissue Data'!$A:$A,'[1]Tissue Data'!$I:$I)</f>
        <v>gibbosus</v>
      </c>
      <c r="G4929" t="str">
        <f>_xlfn.XLOOKUP(A4929,'[1]Tissue Data'!$A:$A,'[1]Tissue Data'!J:J)</f>
        <v>U</v>
      </c>
      <c r="H4929" t="str">
        <f>_xlfn.XLOOKUP(A4929,'[1]Tissue Data'!$A:$A,'[1]Tissue Data'!K:K)</f>
        <v>Whole Body</v>
      </c>
      <c r="I4929">
        <f>_xlfn.XLOOKUP(A4929,'[1]Tissue Data'!$A:$A,'[1]Tissue Data'!L:L)</f>
        <v>10</v>
      </c>
      <c r="J4929">
        <f>_xlfn.XLOOKUP(A4929,'[1]Tissue Data'!$A:$A,'[1]Tissue Data'!M:M)</f>
        <v>21.27</v>
      </c>
      <c r="K4929" t="s">
        <v>39</v>
      </c>
      <c r="L4929" t="str">
        <f>_xlfn.XLOOKUP(K4929,[2]analyte_order!$B:$B,[2]analyte_order!$C:$C)</f>
        <v>4151-50-2</v>
      </c>
      <c r="M4929">
        <f>_xlfn.XLOOKUP(L4929,[2]analyte_order!$C:$C,[2]analyte_order!$E:$E)</f>
        <v>31</v>
      </c>
      <c r="N4929">
        <v>8.3000000000000004E-2</v>
      </c>
    </row>
    <row r="4930" spans="1:14">
      <c r="A4930" t="s">
        <v>278</v>
      </c>
      <c r="B4930" t="str">
        <f>_xlfn.XLOOKUP(A4930,'[1]Tissue Data'!$A:$A,'[1]Tissue Data'!$C:$C)</f>
        <v>Spill</v>
      </c>
      <c r="C4930" s="2">
        <f>_xlfn.XLOOKUP(A4930,'[1]Tissue Data'!$A:$A,'[1]Tissue Data'!$D:$D)</f>
        <v>44393</v>
      </c>
      <c r="D4930" s="2" t="str">
        <f>_xlfn.XLOOKUP(A4930,'[1]Tissue Data'!$A:$A,'[1]Tissue Data'!$F:$F)</f>
        <v>Pumpkinseed</v>
      </c>
      <c r="E4930" t="str">
        <f>_xlfn.XLOOKUP(A4930,'[1]Tissue Data'!$A:$A,'[1]Tissue Data'!$H:$H)</f>
        <v>Lepomis</v>
      </c>
      <c r="F4930" t="str">
        <f>_xlfn.XLOOKUP(A4930,'[1]Tissue Data'!$A:$A,'[1]Tissue Data'!$I:$I)</f>
        <v>gibbosus</v>
      </c>
      <c r="G4930" t="str">
        <f>_xlfn.XLOOKUP(A4930,'[1]Tissue Data'!$A:$A,'[1]Tissue Data'!J:J)</f>
        <v>U</v>
      </c>
      <c r="H4930" t="str">
        <f>_xlfn.XLOOKUP(A4930,'[1]Tissue Data'!$A:$A,'[1]Tissue Data'!K:K)</f>
        <v>Whole Body</v>
      </c>
      <c r="I4930">
        <f>_xlfn.XLOOKUP(A4930,'[1]Tissue Data'!$A:$A,'[1]Tissue Data'!L:L)</f>
        <v>10</v>
      </c>
      <c r="J4930">
        <f>_xlfn.XLOOKUP(A4930,'[1]Tissue Data'!$A:$A,'[1]Tissue Data'!M:M)</f>
        <v>21.27</v>
      </c>
      <c r="K4930" t="s">
        <v>40</v>
      </c>
      <c r="L4930" t="str">
        <f>_xlfn.XLOOKUP(K4930,[2]analyte_order!$B:$B,[2]analyte_order!$C:$C)</f>
        <v>2806-24-8</v>
      </c>
      <c r="M4930">
        <f>_xlfn.XLOOKUP(L4930,[2]analyte_order!$C:$C,[2]analyte_order!$E:$E)</f>
        <v>29</v>
      </c>
      <c r="N4930">
        <v>5.6000000000000001E-2</v>
      </c>
    </row>
    <row r="4931" spans="1:14">
      <c r="A4931" t="s">
        <v>278</v>
      </c>
      <c r="B4931" t="str">
        <f>_xlfn.XLOOKUP(A4931,'[1]Tissue Data'!$A:$A,'[1]Tissue Data'!$C:$C)</f>
        <v>Spill</v>
      </c>
      <c r="C4931" s="2">
        <f>_xlfn.XLOOKUP(A4931,'[1]Tissue Data'!$A:$A,'[1]Tissue Data'!$D:$D)</f>
        <v>44393</v>
      </c>
      <c r="D4931" s="2" t="str">
        <f>_xlfn.XLOOKUP(A4931,'[1]Tissue Data'!$A:$A,'[1]Tissue Data'!$F:$F)</f>
        <v>Pumpkinseed</v>
      </c>
      <c r="E4931" t="str">
        <f>_xlfn.XLOOKUP(A4931,'[1]Tissue Data'!$A:$A,'[1]Tissue Data'!$H:$H)</f>
        <v>Lepomis</v>
      </c>
      <c r="F4931" t="str">
        <f>_xlfn.XLOOKUP(A4931,'[1]Tissue Data'!$A:$A,'[1]Tissue Data'!$I:$I)</f>
        <v>gibbosus</v>
      </c>
      <c r="G4931" t="str">
        <f>_xlfn.XLOOKUP(A4931,'[1]Tissue Data'!$A:$A,'[1]Tissue Data'!J:J)</f>
        <v>U</v>
      </c>
      <c r="H4931" t="str">
        <f>_xlfn.XLOOKUP(A4931,'[1]Tissue Data'!$A:$A,'[1]Tissue Data'!K:K)</f>
        <v>Whole Body</v>
      </c>
      <c r="I4931">
        <f>_xlfn.XLOOKUP(A4931,'[1]Tissue Data'!$A:$A,'[1]Tissue Data'!L:L)</f>
        <v>10</v>
      </c>
      <c r="J4931">
        <f>_xlfn.XLOOKUP(A4931,'[1]Tissue Data'!$A:$A,'[1]Tissue Data'!M:M)</f>
        <v>21.27</v>
      </c>
      <c r="K4931" t="s">
        <v>41</v>
      </c>
      <c r="L4931" t="str">
        <f>_xlfn.XLOOKUP(K4931,[2]analyte_order!$B:$B,[2]analyte_order!$C:$C)</f>
        <v>2355-31-9</v>
      </c>
      <c r="M4931">
        <f>_xlfn.XLOOKUP(L4931,[2]analyte_order!$C:$C,[2]analyte_order!$E:$E)</f>
        <v>26</v>
      </c>
      <c r="N4931">
        <v>7.1499999999999994E-2</v>
      </c>
    </row>
    <row r="4932" spans="1:14">
      <c r="A4932" t="s">
        <v>278</v>
      </c>
      <c r="B4932" t="str">
        <f>_xlfn.XLOOKUP(A4932,'[1]Tissue Data'!$A:$A,'[1]Tissue Data'!$C:$C)</f>
        <v>Spill</v>
      </c>
      <c r="C4932" s="2">
        <f>_xlfn.XLOOKUP(A4932,'[1]Tissue Data'!$A:$A,'[1]Tissue Data'!$D:$D)</f>
        <v>44393</v>
      </c>
      <c r="D4932" s="2" t="str">
        <f>_xlfn.XLOOKUP(A4932,'[1]Tissue Data'!$A:$A,'[1]Tissue Data'!$F:$F)</f>
        <v>Pumpkinseed</v>
      </c>
      <c r="E4932" t="str">
        <f>_xlfn.XLOOKUP(A4932,'[1]Tissue Data'!$A:$A,'[1]Tissue Data'!$H:$H)</f>
        <v>Lepomis</v>
      </c>
      <c r="F4932" t="str">
        <f>_xlfn.XLOOKUP(A4932,'[1]Tissue Data'!$A:$A,'[1]Tissue Data'!$I:$I)</f>
        <v>gibbosus</v>
      </c>
      <c r="G4932" t="str">
        <f>_xlfn.XLOOKUP(A4932,'[1]Tissue Data'!$A:$A,'[1]Tissue Data'!J:J)</f>
        <v>U</v>
      </c>
      <c r="H4932" t="str">
        <f>_xlfn.XLOOKUP(A4932,'[1]Tissue Data'!$A:$A,'[1]Tissue Data'!K:K)</f>
        <v>Whole Body</v>
      </c>
      <c r="I4932">
        <f>_xlfn.XLOOKUP(A4932,'[1]Tissue Data'!$A:$A,'[1]Tissue Data'!L:L)</f>
        <v>10</v>
      </c>
      <c r="J4932">
        <f>_xlfn.XLOOKUP(A4932,'[1]Tissue Data'!$A:$A,'[1]Tissue Data'!M:M)</f>
        <v>21.27</v>
      </c>
      <c r="K4932" t="s">
        <v>42</v>
      </c>
      <c r="L4932" t="str">
        <f>_xlfn.XLOOKUP(K4932,[2]analyte_order!$B:$B,[2]analyte_order!$C:$C)</f>
        <v>2991-50-6</v>
      </c>
      <c r="M4932">
        <f>_xlfn.XLOOKUP(L4932,[2]analyte_order!$C:$C,[2]analyte_order!$E:$E)</f>
        <v>27</v>
      </c>
      <c r="N4932">
        <v>6.2E-2</v>
      </c>
    </row>
    <row r="4933" spans="1:14">
      <c r="A4933" t="s">
        <v>278</v>
      </c>
      <c r="B4933" t="str">
        <f>_xlfn.XLOOKUP(A4933,'[1]Tissue Data'!$A:$A,'[1]Tissue Data'!$C:$C)</f>
        <v>Spill</v>
      </c>
      <c r="C4933" s="2">
        <f>_xlfn.XLOOKUP(A4933,'[1]Tissue Data'!$A:$A,'[1]Tissue Data'!$D:$D)</f>
        <v>44393</v>
      </c>
      <c r="D4933" s="2" t="str">
        <f>_xlfn.XLOOKUP(A4933,'[1]Tissue Data'!$A:$A,'[1]Tissue Data'!$F:$F)</f>
        <v>Pumpkinseed</v>
      </c>
      <c r="E4933" t="str">
        <f>_xlfn.XLOOKUP(A4933,'[1]Tissue Data'!$A:$A,'[1]Tissue Data'!$H:$H)</f>
        <v>Lepomis</v>
      </c>
      <c r="F4933" t="str">
        <f>_xlfn.XLOOKUP(A4933,'[1]Tissue Data'!$A:$A,'[1]Tissue Data'!$I:$I)</f>
        <v>gibbosus</v>
      </c>
      <c r="G4933" t="str">
        <f>_xlfn.XLOOKUP(A4933,'[1]Tissue Data'!$A:$A,'[1]Tissue Data'!J:J)</f>
        <v>U</v>
      </c>
      <c r="H4933" t="str">
        <f>_xlfn.XLOOKUP(A4933,'[1]Tissue Data'!$A:$A,'[1]Tissue Data'!K:K)</f>
        <v>Whole Body</v>
      </c>
      <c r="I4933">
        <f>_xlfn.XLOOKUP(A4933,'[1]Tissue Data'!$A:$A,'[1]Tissue Data'!L:L)</f>
        <v>10</v>
      </c>
      <c r="J4933">
        <f>_xlfn.XLOOKUP(A4933,'[1]Tissue Data'!$A:$A,'[1]Tissue Data'!M:M)</f>
        <v>21.27</v>
      </c>
      <c r="K4933" t="s">
        <v>43</v>
      </c>
      <c r="L4933" t="str">
        <f>_xlfn.XLOOKUP(K4933,[2]analyte_order!$B:$B,[2]analyte_order!$C:$C)</f>
        <v>757124-72-4</v>
      </c>
      <c r="M4933">
        <f>_xlfn.XLOOKUP(L4933,[2]analyte_order!$C:$C,[2]analyte_order!$E:$E)</f>
        <v>22</v>
      </c>
      <c r="N4933">
        <v>7.0999999999999994E-2</v>
      </c>
    </row>
    <row r="4934" spans="1:14">
      <c r="A4934" t="s">
        <v>278</v>
      </c>
      <c r="B4934" t="str">
        <f>_xlfn.XLOOKUP(A4934,'[1]Tissue Data'!$A:$A,'[1]Tissue Data'!$C:$C)</f>
        <v>Spill</v>
      </c>
      <c r="C4934" s="2">
        <f>_xlfn.XLOOKUP(A4934,'[1]Tissue Data'!$A:$A,'[1]Tissue Data'!$D:$D)</f>
        <v>44393</v>
      </c>
      <c r="D4934" s="2" t="str">
        <f>_xlfn.XLOOKUP(A4934,'[1]Tissue Data'!$A:$A,'[1]Tissue Data'!$F:$F)</f>
        <v>Pumpkinseed</v>
      </c>
      <c r="E4934" t="str">
        <f>_xlfn.XLOOKUP(A4934,'[1]Tissue Data'!$A:$A,'[1]Tissue Data'!$H:$H)</f>
        <v>Lepomis</v>
      </c>
      <c r="F4934" t="str">
        <f>_xlfn.XLOOKUP(A4934,'[1]Tissue Data'!$A:$A,'[1]Tissue Data'!$I:$I)</f>
        <v>gibbosus</v>
      </c>
      <c r="G4934" t="str">
        <f>_xlfn.XLOOKUP(A4934,'[1]Tissue Data'!$A:$A,'[1]Tissue Data'!J:J)</f>
        <v>U</v>
      </c>
      <c r="H4934" t="str">
        <f>_xlfn.XLOOKUP(A4934,'[1]Tissue Data'!$A:$A,'[1]Tissue Data'!K:K)</f>
        <v>Whole Body</v>
      </c>
      <c r="I4934">
        <f>_xlfn.XLOOKUP(A4934,'[1]Tissue Data'!$A:$A,'[1]Tissue Data'!L:L)</f>
        <v>10</v>
      </c>
      <c r="J4934">
        <f>_xlfn.XLOOKUP(A4934,'[1]Tissue Data'!$A:$A,'[1]Tissue Data'!M:M)</f>
        <v>21.27</v>
      </c>
      <c r="K4934" t="s">
        <v>44</v>
      </c>
      <c r="L4934" t="str">
        <f>_xlfn.XLOOKUP(K4934,[2]analyte_order!$B:$B,[2]analyte_order!$C:$C)</f>
        <v>27619-97-2</v>
      </c>
      <c r="M4934">
        <f>_xlfn.XLOOKUP(L4934,[2]analyte_order!$C:$C,[2]analyte_order!$E:$E)</f>
        <v>23</v>
      </c>
      <c r="N4934">
        <v>0.71799999999999997</v>
      </c>
    </row>
    <row r="4935" spans="1:14">
      <c r="A4935" t="s">
        <v>278</v>
      </c>
      <c r="B4935" t="str">
        <f>_xlfn.XLOOKUP(A4935,'[1]Tissue Data'!$A:$A,'[1]Tissue Data'!$C:$C)</f>
        <v>Spill</v>
      </c>
      <c r="C4935" s="2">
        <f>_xlfn.XLOOKUP(A4935,'[1]Tissue Data'!$A:$A,'[1]Tissue Data'!$D:$D)</f>
        <v>44393</v>
      </c>
      <c r="D4935" s="2" t="str">
        <f>_xlfn.XLOOKUP(A4935,'[1]Tissue Data'!$A:$A,'[1]Tissue Data'!$F:$F)</f>
        <v>Pumpkinseed</v>
      </c>
      <c r="E4935" t="str">
        <f>_xlfn.XLOOKUP(A4935,'[1]Tissue Data'!$A:$A,'[1]Tissue Data'!$H:$H)</f>
        <v>Lepomis</v>
      </c>
      <c r="F4935" t="str">
        <f>_xlfn.XLOOKUP(A4935,'[1]Tissue Data'!$A:$A,'[1]Tissue Data'!$I:$I)</f>
        <v>gibbosus</v>
      </c>
      <c r="G4935" t="str">
        <f>_xlfn.XLOOKUP(A4935,'[1]Tissue Data'!$A:$A,'[1]Tissue Data'!J:J)</f>
        <v>U</v>
      </c>
      <c r="H4935" t="str">
        <f>_xlfn.XLOOKUP(A4935,'[1]Tissue Data'!$A:$A,'[1]Tissue Data'!K:K)</f>
        <v>Whole Body</v>
      </c>
      <c r="I4935">
        <f>_xlfn.XLOOKUP(A4935,'[1]Tissue Data'!$A:$A,'[1]Tissue Data'!L:L)</f>
        <v>10</v>
      </c>
      <c r="J4935">
        <f>_xlfn.XLOOKUP(A4935,'[1]Tissue Data'!$A:$A,'[1]Tissue Data'!M:M)</f>
        <v>21.27</v>
      </c>
      <c r="K4935" t="s">
        <v>45</v>
      </c>
      <c r="L4935" t="str">
        <f>_xlfn.XLOOKUP(K4935,[2]analyte_order!$B:$B,[2]analyte_order!$C:$C)</f>
        <v>39108-34-4</v>
      </c>
      <c r="M4935">
        <f>_xlfn.XLOOKUP(L4935,[2]analyte_order!$C:$C,[2]analyte_order!$E:$E)</f>
        <v>24</v>
      </c>
      <c r="N4935">
        <v>7.54</v>
      </c>
    </row>
    <row r="4936" spans="1:14">
      <c r="A4936" t="s">
        <v>278</v>
      </c>
      <c r="B4936" t="str">
        <f>_xlfn.XLOOKUP(A4936,'[1]Tissue Data'!$A:$A,'[1]Tissue Data'!$C:$C)</f>
        <v>Spill</v>
      </c>
      <c r="C4936" s="2">
        <f>_xlfn.XLOOKUP(A4936,'[1]Tissue Data'!$A:$A,'[1]Tissue Data'!$D:$D)</f>
        <v>44393</v>
      </c>
      <c r="D4936" s="2" t="str">
        <f>_xlfn.XLOOKUP(A4936,'[1]Tissue Data'!$A:$A,'[1]Tissue Data'!$F:$F)</f>
        <v>Pumpkinseed</v>
      </c>
      <c r="E4936" t="str">
        <f>_xlfn.XLOOKUP(A4936,'[1]Tissue Data'!$A:$A,'[1]Tissue Data'!$H:$H)</f>
        <v>Lepomis</v>
      </c>
      <c r="F4936" t="str">
        <f>_xlfn.XLOOKUP(A4936,'[1]Tissue Data'!$A:$A,'[1]Tissue Data'!$I:$I)</f>
        <v>gibbosus</v>
      </c>
      <c r="G4936" t="str">
        <f>_xlfn.XLOOKUP(A4936,'[1]Tissue Data'!$A:$A,'[1]Tissue Data'!J:J)</f>
        <v>U</v>
      </c>
      <c r="H4936" t="str">
        <f>_xlfn.XLOOKUP(A4936,'[1]Tissue Data'!$A:$A,'[1]Tissue Data'!K:K)</f>
        <v>Whole Body</v>
      </c>
      <c r="I4936">
        <f>_xlfn.XLOOKUP(A4936,'[1]Tissue Data'!$A:$A,'[1]Tissue Data'!L:L)</f>
        <v>10</v>
      </c>
      <c r="J4936">
        <f>_xlfn.XLOOKUP(A4936,'[1]Tissue Data'!$A:$A,'[1]Tissue Data'!M:M)</f>
        <v>21.27</v>
      </c>
      <c r="K4936" t="s">
        <v>46</v>
      </c>
      <c r="L4936" t="str">
        <f>_xlfn.XLOOKUP(K4936,[2]analyte_order!$B:$B,[2]analyte_order!$C:$C)</f>
        <v>120226-60-0</v>
      </c>
      <c r="M4936">
        <f>_xlfn.XLOOKUP(L4936,[2]analyte_order!$C:$C,[2]analyte_order!$E:$E)</f>
        <v>25</v>
      </c>
      <c r="N4936">
        <v>0.26700000000000002</v>
      </c>
    </row>
    <row r="4937" spans="1:14">
      <c r="A4937" t="s">
        <v>278</v>
      </c>
      <c r="B4937" t="str">
        <f>_xlfn.XLOOKUP(A4937,'[1]Tissue Data'!$A:$A,'[1]Tissue Data'!$C:$C)</f>
        <v>Spill</v>
      </c>
      <c r="C4937" s="2">
        <f>_xlfn.XLOOKUP(A4937,'[1]Tissue Data'!$A:$A,'[1]Tissue Data'!$D:$D)</f>
        <v>44393</v>
      </c>
      <c r="D4937" s="2" t="str">
        <f>_xlfn.XLOOKUP(A4937,'[1]Tissue Data'!$A:$A,'[1]Tissue Data'!$F:$F)</f>
        <v>Pumpkinseed</v>
      </c>
      <c r="E4937" t="str">
        <f>_xlfn.XLOOKUP(A4937,'[1]Tissue Data'!$A:$A,'[1]Tissue Data'!$H:$H)</f>
        <v>Lepomis</v>
      </c>
      <c r="F4937" t="str">
        <f>_xlfn.XLOOKUP(A4937,'[1]Tissue Data'!$A:$A,'[1]Tissue Data'!$I:$I)</f>
        <v>gibbosus</v>
      </c>
      <c r="G4937" t="str">
        <f>_xlfn.XLOOKUP(A4937,'[1]Tissue Data'!$A:$A,'[1]Tissue Data'!J:J)</f>
        <v>U</v>
      </c>
      <c r="H4937" t="str">
        <f>_xlfn.XLOOKUP(A4937,'[1]Tissue Data'!$A:$A,'[1]Tissue Data'!K:K)</f>
        <v>Whole Body</v>
      </c>
      <c r="I4937">
        <f>_xlfn.XLOOKUP(A4937,'[1]Tissue Data'!$A:$A,'[1]Tissue Data'!L:L)</f>
        <v>10</v>
      </c>
      <c r="J4937">
        <f>_xlfn.XLOOKUP(A4937,'[1]Tissue Data'!$A:$A,'[1]Tissue Data'!M:M)</f>
        <v>21.27</v>
      </c>
      <c r="K4937" t="s">
        <v>47</v>
      </c>
      <c r="L4937" t="str">
        <f>_xlfn.XLOOKUP(K4937,[2]analyte_order!$B:$B,[2]analyte_order!$C:$C)</f>
        <v>356-02-5</v>
      </c>
      <c r="M4937">
        <f>_xlfn.XLOOKUP(L4937,[2]analyte_order!$C:$C,[2]analyte_order!$E:$E)</f>
        <v>38</v>
      </c>
      <c r="N4937">
        <v>8.2000000000000003E-2</v>
      </c>
    </row>
    <row r="4938" spans="1:14">
      <c r="A4938" t="s">
        <v>278</v>
      </c>
      <c r="B4938" t="str">
        <f>_xlfn.XLOOKUP(A4938,'[1]Tissue Data'!$A:$A,'[1]Tissue Data'!$C:$C)</f>
        <v>Spill</v>
      </c>
      <c r="C4938" s="2">
        <f>_xlfn.XLOOKUP(A4938,'[1]Tissue Data'!$A:$A,'[1]Tissue Data'!$D:$D)</f>
        <v>44393</v>
      </c>
      <c r="D4938" s="2" t="str">
        <f>_xlfn.XLOOKUP(A4938,'[1]Tissue Data'!$A:$A,'[1]Tissue Data'!$F:$F)</f>
        <v>Pumpkinseed</v>
      </c>
      <c r="E4938" t="str">
        <f>_xlfn.XLOOKUP(A4938,'[1]Tissue Data'!$A:$A,'[1]Tissue Data'!$H:$H)</f>
        <v>Lepomis</v>
      </c>
      <c r="F4938" t="str">
        <f>_xlfn.XLOOKUP(A4938,'[1]Tissue Data'!$A:$A,'[1]Tissue Data'!$I:$I)</f>
        <v>gibbosus</v>
      </c>
      <c r="G4938" t="str">
        <f>_xlfn.XLOOKUP(A4938,'[1]Tissue Data'!$A:$A,'[1]Tissue Data'!J:J)</f>
        <v>U</v>
      </c>
      <c r="H4938" t="str">
        <f>_xlfn.XLOOKUP(A4938,'[1]Tissue Data'!$A:$A,'[1]Tissue Data'!K:K)</f>
        <v>Whole Body</v>
      </c>
      <c r="I4938">
        <f>_xlfn.XLOOKUP(A4938,'[1]Tissue Data'!$A:$A,'[1]Tissue Data'!L:L)</f>
        <v>10</v>
      </c>
      <c r="J4938">
        <f>_xlfn.XLOOKUP(A4938,'[1]Tissue Data'!$A:$A,'[1]Tissue Data'!M:M)</f>
        <v>21.27</v>
      </c>
      <c r="K4938" t="s">
        <v>48</v>
      </c>
      <c r="L4938" t="str">
        <f>_xlfn.XLOOKUP(K4938,[2]analyte_order!$B:$B,[2]analyte_order!$C:$C)</f>
        <v>914637-49-3</v>
      </c>
      <c r="M4938">
        <f>_xlfn.XLOOKUP(L4938,[2]analyte_order!$C:$C,[2]analyte_order!$E:$E)</f>
        <v>39</v>
      </c>
      <c r="N4938">
        <v>0.17749999999999999</v>
      </c>
    </row>
    <row r="4939" spans="1:14">
      <c r="A4939" t="s">
        <v>278</v>
      </c>
      <c r="B4939" t="str">
        <f>_xlfn.XLOOKUP(A4939,'[1]Tissue Data'!$A:$A,'[1]Tissue Data'!$C:$C)</f>
        <v>Spill</v>
      </c>
      <c r="C4939" s="2">
        <f>_xlfn.XLOOKUP(A4939,'[1]Tissue Data'!$A:$A,'[1]Tissue Data'!$D:$D)</f>
        <v>44393</v>
      </c>
      <c r="D4939" s="2" t="str">
        <f>_xlfn.XLOOKUP(A4939,'[1]Tissue Data'!$A:$A,'[1]Tissue Data'!$F:$F)</f>
        <v>Pumpkinseed</v>
      </c>
      <c r="E4939" t="str">
        <f>_xlfn.XLOOKUP(A4939,'[1]Tissue Data'!$A:$A,'[1]Tissue Data'!$H:$H)</f>
        <v>Lepomis</v>
      </c>
      <c r="F4939" t="str">
        <f>_xlfn.XLOOKUP(A4939,'[1]Tissue Data'!$A:$A,'[1]Tissue Data'!$I:$I)</f>
        <v>gibbosus</v>
      </c>
      <c r="G4939" t="str">
        <f>_xlfn.XLOOKUP(A4939,'[1]Tissue Data'!$A:$A,'[1]Tissue Data'!J:J)</f>
        <v>U</v>
      </c>
      <c r="H4939" t="str">
        <f>_xlfn.XLOOKUP(A4939,'[1]Tissue Data'!$A:$A,'[1]Tissue Data'!K:K)</f>
        <v>Whole Body</v>
      </c>
      <c r="I4939">
        <f>_xlfn.XLOOKUP(A4939,'[1]Tissue Data'!$A:$A,'[1]Tissue Data'!L:L)</f>
        <v>10</v>
      </c>
      <c r="J4939">
        <f>_xlfn.XLOOKUP(A4939,'[1]Tissue Data'!$A:$A,'[1]Tissue Data'!M:M)</f>
        <v>21.27</v>
      </c>
      <c r="K4939" t="s">
        <v>49</v>
      </c>
      <c r="L4939" t="str">
        <f>_xlfn.XLOOKUP(K4939,[2]analyte_order!$B:$B,[2]analyte_order!$C:$C)</f>
        <v>812-70-4</v>
      </c>
      <c r="M4939">
        <f>_xlfn.XLOOKUP(L4939,[2]analyte_order!$C:$C,[2]analyte_order!$E:$E)</f>
        <v>40</v>
      </c>
      <c r="N4939">
        <v>1.55</v>
      </c>
    </row>
    <row r="4940" spans="1:14">
      <c r="A4940" t="s">
        <v>278</v>
      </c>
      <c r="B4940" t="str">
        <f>_xlfn.XLOOKUP(A4940,'[1]Tissue Data'!$A:$A,'[1]Tissue Data'!$C:$C)</f>
        <v>Spill</v>
      </c>
      <c r="C4940" s="2">
        <f>_xlfn.XLOOKUP(A4940,'[1]Tissue Data'!$A:$A,'[1]Tissue Data'!$D:$D)</f>
        <v>44393</v>
      </c>
      <c r="D4940" s="2" t="str">
        <f>_xlfn.XLOOKUP(A4940,'[1]Tissue Data'!$A:$A,'[1]Tissue Data'!$F:$F)</f>
        <v>Pumpkinseed</v>
      </c>
      <c r="E4940" t="str">
        <f>_xlfn.XLOOKUP(A4940,'[1]Tissue Data'!$A:$A,'[1]Tissue Data'!$H:$H)</f>
        <v>Lepomis</v>
      </c>
      <c r="F4940" t="str">
        <f>_xlfn.XLOOKUP(A4940,'[1]Tissue Data'!$A:$A,'[1]Tissue Data'!$I:$I)</f>
        <v>gibbosus</v>
      </c>
      <c r="G4940" t="str">
        <f>_xlfn.XLOOKUP(A4940,'[1]Tissue Data'!$A:$A,'[1]Tissue Data'!J:J)</f>
        <v>U</v>
      </c>
      <c r="H4940" t="str">
        <f>_xlfn.XLOOKUP(A4940,'[1]Tissue Data'!$A:$A,'[1]Tissue Data'!K:K)</f>
        <v>Whole Body</v>
      </c>
      <c r="I4940">
        <f>_xlfn.XLOOKUP(A4940,'[1]Tissue Data'!$A:$A,'[1]Tissue Data'!L:L)</f>
        <v>10</v>
      </c>
      <c r="J4940">
        <f>_xlfn.XLOOKUP(A4940,'[1]Tissue Data'!$A:$A,'[1]Tissue Data'!M:M)</f>
        <v>21.27</v>
      </c>
      <c r="K4940" t="s">
        <v>50</v>
      </c>
      <c r="L4940" t="str">
        <f>_xlfn.XLOOKUP(K4940,[2]analyte_order!$B:$B,[2]analyte_order!$C:$C)</f>
        <v>53826-12-3</v>
      </c>
      <c r="M4940">
        <f>_xlfn.XLOOKUP(L4940,[2]analyte_order!$C:$C,[2]analyte_order!$E:$E)</f>
        <v>41</v>
      </c>
      <c r="N4940">
        <v>7.0999999999999994E-2</v>
      </c>
    </row>
    <row r="4941" spans="1:14">
      <c r="A4941" t="s">
        <v>278</v>
      </c>
      <c r="B4941" t="str">
        <f>_xlfn.XLOOKUP(A4941,'[1]Tissue Data'!$A:$A,'[1]Tissue Data'!$C:$C)</f>
        <v>Spill</v>
      </c>
      <c r="C4941" s="2">
        <f>_xlfn.XLOOKUP(A4941,'[1]Tissue Data'!$A:$A,'[1]Tissue Data'!$D:$D)</f>
        <v>44393</v>
      </c>
      <c r="D4941" s="2" t="str">
        <f>_xlfn.XLOOKUP(A4941,'[1]Tissue Data'!$A:$A,'[1]Tissue Data'!$F:$F)</f>
        <v>Pumpkinseed</v>
      </c>
      <c r="E4941" t="str">
        <f>_xlfn.XLOOKUP(A4941,'[1]Tissue Data'!$A:$A,'[1]Tissue Data'!$H:$H)</f>
        <v>Lepomis</v>
      </c>
      <c r="F4941" t="str">
        <f>_xlfn.XLOOKUP(A4941,'[1]Tissue Data'!$A:$A,'[1]Tissue Data'!$I:$I)</f>
        <v>gibbosus</v>
      </c>
      <c r="G4941" t="str">
        <f>_xlfn.XLOOKUP(A4941,'[1]Tissue Data'!$A:$A,'[1]Tissue Data'!J:J)</f>
        <v>U</v>
      </c>
      <c r="H4941" t="str">
        <f>_xlfn.XLOOKUP(A4941,'[1]Tissue Data'!$A:$A,'[1]Tissue Data'!K:K)</f>
        <v>Whole Body</v>
      </c>
      <c r="I4941">
        <f>_xlfn.XLOOKUP(A4941,'[1]Tissue Data'!$A:$A,'[1]Tissue Data'!L:L)</f>
        <v>10</v>
      </c>
      <c r="J4941">
        <f>_xlfn.XLOOKUP(A4941,'[1]Tissue Data'!$A:$A,'[1]Tissue Data'!M:M)</f>
        <v>21.27</v>
      </c>
      <c r="K4941" t="s">
        <v>51</v>
      </c>
      <c r="L4941" t="str">
        <f>_xlfn.XLOOKUP(K4941,[2]analyte_order!$B:$B,[2]analyte_order!$C:$C)</f>
        <v>27854-31-5</v>
      </c>
      <c r="M4941">
        <f>_xlfn.XLOOKUP(L4941,[2]analyte_order!$C:$C,[2]analyte_order!$E:$E)</f>
        <v>42</v>
      </c>
      <c r="N4941">
        <v>7.0999999999999994E-2</v>
      </c>
    </row>
    <row r="4942" spans="1:14">
      <c r="A4942" t="s">
        <v>278</v>
      </c>
      <c r="B4942" t="str">
        <f>_xlfn.XLOOKUP(A4942,'[1]Tissue Data'!$A:$A,'[1]Tissue Data'!$C:$C)</f>
        <v>Spill</v>
      </c>
      <c r="C4942" s="2">
        <f>_xlfn.XLOOKUP(A4942,'[1]Tissue Data'!$A:$A,'[1]Tissue Data'!$D:$D)</f>
        <v>44393</v>
      </c>
      <c r="D4942" s="2" t="str">
        <f>_xlfn.XLOOKUP(A4942,'[1]Tissue Data'!$A:$A,'[1]Tissue Data'!$F:$F)</f>
        <v>Pumpkinseed</v>
      </c>
      <c r="E4942" t="str">
        <f>_xlfn.XLOOKUP(A4942,'[1]Tissue Data'!$A:$A,'[1]Tissue Data'!$H:$H)</f>
        <v>Lepomis</v>
      </c>
      <c r="F4942" t="str">
        <f>_xlfn.XLOOKUP(A4942,'[1]Tissue Data'!$A:$A,'[1]Tissue Data'!$I:$I)</f>
        <v>gibbosus</v>
      </c>
      <c r="G4942" t="str">
        <f>_xlfn.XLOOKUP(A4942,'[1]Tissue Data'!$A:$A,'[1]Tissue Data'!J:J)</f>
        <v>U</v>
      </c>
      <c r="H4942" t="str">
        <f>_xlfn.XLOOKUP(A4942,'[1]Tissue Data'!$A:$A,'[1]Tissue Data'!K:K)</f>
        <v>Whole Body</v>
      </c>
      <c r="I4942">
        <f>_xlfn.XLOOKUP(A4942,'[1]Tissue Data'!$A:$A,'[1]Tissue Data'!L:L)</f>
        <v>10</v>
      </c>
      <c r="J4942">
        <f>_xlfn.XLOOKUP(A4942,'[1]Tissue Data'!$A:$A,'[1]Tissue Data'!M:M)</f>
        <v>21.27</v>
      </c>
      <c r="K4942" t="s">
        <v>52</v>
      </c>
      <c r="L4942" t="str">
        <f>_xlfn.XLOOKUP(K4942,[2]analyte_order!$B:$B,[2]analyte_order!$C:$C)</f>
        <v>53826-13-4</v>
      </c>
      <c r="M4942">
        <f>_xlfn.XLOOKUP(L4942,[2]analyte_order!$C:$C,[2]analyte_order!$E:$E)</f>
        <v>43</v>
      </c>
      <c r="N4942">
        <v>0.1065</v>
      </c>
    </row>
    <row r="4943" spans="1:14">
      <c r="A4943" t="s">
        <v>278</v>
      </c>
      <c r="B4943" t="str">
        <f>_xlfn.XLOOKUP(A4943,'[1]Tissue Data'!$A:$A,'[1]Tissue Data'!$C:$C)</f>
        <v>Spill</v>
      </c>
      <c r="C4943" s="2">
        <f>_xlfn.XLOOKUP(A4943,'[1]Tissue Data'!$A:$A,'[1]Tissue Data'!$D:$D)</f>
        <v>44393</v>
      </c>
      <c r="D4943" s="2" t="str">
        <f>_xlfn.XLOOKUP(A4943,'[1]Tissue Data'!$A:$A,'[1]Tissue Data'!$F:$F)</f>
        <v>Pumpkinseed</v>
      </c>
      <c r="E4943" t="str">
        <f>_xlfn.XLOOKUP(A4943,'[1]Tissue Data'!$A:$A,'[1]Tissue Data'!$H:$H)</f>
        <v>Lepomis</v>
      </c>
      <c r="F4943" t="str">
        <f>_xlfn.XLOOKUP(A4943,'[1]Tissue Data'!$A:$A,'[1]Tissue Data'!$I:$I)</f>
        <v>gibbosus</v>
      </c>
      <c r="G4943" t="str">
        <f>_xlfn.XLOOKUP(A4943,'[1]Tissue Data'!$A:$A,'[1]Tissue Data'!J:J)</f>
        <v>U</v>
      </c>
      <c r="H4943" t="str">
        <f>_xlfn.XLOOKUP(A4943,'[1]Tissue Data'!$A:$A,'[1]Tissue Data'!K:K)</f>
        <v>Whole Body</v>
      </c>
      <c r="I4943">
        <f>_xlfn.XLOOKUP(A4943,'[1]Tissue Data'!$A:$A,'[1]Tissue Data'!L:L)</f>
        <v>10</v>
      </c>
      <c r="J4943">
        <f>_xlfn.XLOOKUP(A4943,'[1]Tissue Data'!$A:$A,'[1]Tissue Data'!M:M)</f>
        <v>21.27</v>
      </c>
      <c r="K4943" t="s">
        <v>53</v>
      </c>
      <c r="L4943" t="str">
        <f>_xlfn.XLOOKUP(K4943,[2]analyte_order!$B:$B,[2]analyte_order!$C:$C)</f>
        <v>161094-75-3</v>
      </c>
      <c r="M4943">
        <f>_xlfn.XLOOKUP(L4943,[2]analyte_order!$C:$C,[2]analyte_order!$E:$E)</f>
        <v>44</v>
      </c>
      <c r="N4943">
        <v>5.6000000000000001E-2</v>
      </c>
    </row>
    <row r="4944" spans="1:14">
      <c r="A4944" t="s">
        <v>278</v>
      </c>
      <c r="B4944" t="str">
        <f>_xlfn.XLOOKUP(A4944,'[1]Tissue Data'!$A:$A,'[1]Tissue Data'!$C:$C)</f>
        <v>Spill</v>
      </c>
      <c r="C4944" s="2">
        <f>_xlfn.XLOOKUP(A4944,'[1]Tissue Data'!$A:$A,'[1]Tissue Data'!$D:$D)</f>
        <v>44393</v>
      </c>
      <c r="D4944" s="2" t="str">
        <f>_xlfn.XLOOKUP(A4944,'[1]Tissue Data'!$A:$A,'[1]Tissue Data'!$F:$F)</f>
        <v>Pumpkinseed</v>
      </c>
      <c r="E4944" t="str">
        <f>_xlfn.XLOOKUP(A4944,'[1]Tissue Data'!$A:$A,'[1]Tissue Data'!$H:$H)</f>
        <v>Lepomis</v>
      </c>
      <c r="F4944" t="str">
        <f>_xlfn.XLOOKUP(A4944,'[1]Tissue Data'!$A:$A,'[1]Tissue Data'!$I:$I)</f>
        <v>gibbosus</v>
      </c>
      <c r="G4944" t="str">
        <f>_xlfn.XLOOKUP(A4944,'[1]Tissue Data'!$A:$A,'[1]Tissue Data'!J:J)</f>
        <v>U</v>
      </c>
      <c r="H4944" t="str">
        <f>_xlfn.XLOOKUP(A4944,'[1]Tissue Data'!$A:$A,'[1]Tissue Data'!K:K)</f>
        <v>Whole Body</v>
      </c>
      <c r="I4944">
        <f>_xlfn.XLOOKUP(A4944,'[1]Tissue Data'!$A:$A,'[1]Tissue Data'!L:L)</f>
        <v>10</v>
      </c>
      <c r="J4944">
        <f>_xlfn.XLOOKUP(A4944,'[1]Tissue Data'!$A:$A,'[1]Tissue Data'!M:M)</f>
        <v>21.27</v>
      </c>
      <c r="K4944" t="s">
        <v>54</v>
      </c>
      <c r="L4944" t="str">
        <f>_xlfn.XLOOKUP(K4944,[2]analyte_order!$B:$B,[2]analyte_order!$C:$C)</f>
        <v>70887-84-2</v>
      </c>
      <c r="M4944">
        <f>_xlfn.XLOOKUP(L4944,[2]analyte_order!$C:$C,[2]analyte_order!$E:$E)</f>
        <v>45</v>
      </c>
      <c r="N4944">
        <v>4.3049999999999998E-2</v>
      </c>
    </row>
    <row r="4945" spans="1:14">
      <c r="A4945" t="s">
        <v>278</v>
      </c>
      <c r="B4945" t="str">
        <f>_xlfn.XLOOKUP(A4945,'[1]Tissue Data'!$A:$A,'[1]Tissue Data'!$C:$C)</f>
        <v>Spill</v>
      </c>
      <c r="C4945" s="2">
        <f>_xlfn.XLOOKUP(A4945,'[1]Tissue Data'!$A:$A,'[1]Tissue Data'!$D:$D)</f>
        <v>44393</v>
      </c>
      <c r="D4945" s="2" t="str">
        <f>_xlfn.XLOOKUP(A4945,'[1]Tissue Data'!$A:$A,'[1]Tissue Data'!$F:$F)</f>
        <v>Pumpkinseed</v>
      </c>
      <c r="E4945" t="str">
        <f>_xlfn.XLOOKUP(A4945,'[1]Tissue Data'!$A:$A,'[1]Tissue Data'!$H:$H)</f>
        <v>Lepomis</v>
      </c>
      <c r="F4945" t="str">
        <f>_xlfn.XLOOKUP(A4945,'[1]Tissue Data'!$A:$A,'[1]Tissue Data'!$I:$I)</f>
        <v>gibbosus</v>
      </c>
      <c r="G4945" t="str">
        <f>_xlfn.XLOOKUP(A4945,'[1]Tissue Data'!$A:$A,'[1]Tissue Data'!J:J)</f>
        <v>U</v>
      </c>
      <c r="H4945" t="str">
        <f>_xlfn.XLOOKUP(A4945,'[1]Tissue Data'!$A:$A,'[1]Tissue Data'!K:K)</f>
        <v>Whole Body</v>
      </c>
      <c r="I4945">
        <f>_xlfn.XLOOKUP(A4945,'[1]Tissue Data'!$A:$A,'[1]Tissue Data'!L:L)</f>
        <v>10</v>
      </c>
      <c r="J4945">
        <f>_xlfn.XLOOKUP(A4945,'[1]Tissue Data'!$A:$A,'[1]Tissue Data'!M:M)</f>
        <v>21.27</v>
      </c>
      <c r="K4945" t="s">
        <v>55</v>
      </c>
      <c r="L4945" t="str">
        <f>_xlfn.XLOOKUP(K4945,[2]analyte_order!$B:$B,[2]analyte_order!$C:$C)</f>
        <v>919005-14-4</v>
      </c>
      <c r="M4945">
        <f>_xlfn.XLOOKUP(L4945,[2]analyte_order!$C:$C,[2]analyte_order!$E:$E)</f>
        <v>35</v>
      </c>
      <c r="N4945">
        <v>6.3E-2</v>
      </c>
    </row>
    <row r="4946" spans="1:14">
      <c r="A4946" t="s">
        <v>278</v>
      </c>
      <c r="B4946" t="str">
        <f>_xlfn.XLOOKUP(A4946,'[1]Tissue Data'!$A:$A,'[1]Tissue Data'!$C:$C)</f>
        <v>Spill</v>
      </c>
      <c r="C4946" s="2">
        <f>_xlfn.XLOOKUP(A4946,'[1]Tissue Data'!$A:$A,'[1]Tissue Data'!$D:$D)</f>
        <v>44393</v>
      </c>
      <c r="D4946" s="2" t="str">
        <f>_xlfn.XLOOKUP(A4946,'[1]Tissue Data'!$A:$A,'[1]Tissue Data'!$F:$F)</f>
        <v>Pumpkinseed</v>
      </c>
      <c r="E4946" t="str">
        <f>_xlfn.XLOOKUP(A4946,'[1]Tissue Data'!$A:$A,'[1]Tissue Data'!$H:$H)</f>
        <v>Lepomis</v>
      </c>
      <c r="F4946" t="str">
        <f>_xlfn.XLOOKUP(A4946,'[1]Tissue Data'!$A:$A,'[1]Tissue Data'!$I:$I)</f>
        <v>gibbosus</v>
      </c>
      <c r="G4946" t="str">
        <f>_xlfn.XLOOKUP(A4946,'[1]Tissue Data'!$A:$A,'[1]Tissue Data'!J:J)</f>
        <v>U</v>
      </c>
      <c r="H4946" t="str">
        <f>_xlfn.XLOOKUP(A4946,'[1]Tissue Data'!$A:$A,'[1]Tissue Data'!K:K)</f>
        <v>Whole Body</v>
      </c>
      <c r="I4946">
        <f>_xlfn.XLOOKUP(A4946,'[1]Tissue Data'!$A:$A,'[1]Tissue Data'!L:L)</f>
        <v>10</v>
      </c>
      <c r="J4946">
        <f>_xlfn.XLOOKUP(A4946,'[1]Tissue Data'!$A:$A,'[1]Tissue Data'!M:M)</f>
        <v>21.27</v>
      </c>
      <c r="K4946" t="s">
        <v>56</v>
      </c>
      <c r="L4946" t="str">
        <f>_xlfn.XLOOKUP(K4946,[2]analyte_order!$B:$B,[2]analyte_order!$C:$C)</f>
        <v>756426-58-1</v>
      </c>
      <c r="M4946">
        <f>_xlfn.XLOOKUP(L4946,[2]analyte_order!$C:$C,[2]analyte_order!$E:$E)</f>
        <v>36</v>
      </c>
      <c r="N4946">
        <v>7.0999999999999994E-2</v>
      </c>
    </row>
    <row r="4947" spans="1:14">
      <c r="A4947" t="s">
        <v>278</v>
      </c>
      <c r="B4947" t="str">
        <f>_xlfn.XLOOKUP(A4947,'[1]Tissue Data'!$A:$A,'[1]Tissue Data'!$C:$C)</f>
        <v>Spill</v>
      </c>
      <c r="C4947" s="2">
        <f>_xlfn.XLOOKUP(A4947,'[1]Tissue Data'!$A:$A,'[1]Tissue Data'!$D:$D)</f>
        <v>44393</v>
      </c>
      <c r="D4947" s="2" t="str">
        <f>_xlfn.XLOOKUP(A4947,'[1]Tissue Data'!$A:$A,'[1]Tissue Data'!$F:$F)</f>
        <v>Pumpkinseed</v>
      </c>
      <c r="E4947" t="str">
        <f>_xlfn.XLOOKUP(A4947,'[1]Tissue Data'!$A:$A,'[1]Tissue Data'!$H:$H)</f>
        <v>Lepomis</v>
      </c>
      <c r="F4947" t="str">
        <f>_xlfn.XLOOKUP(A4947,'[1]Tissue Data'!$A:$A,'[1]Tissue Data'!$I:$I)</f>
        <v>gibbosus</v>
      </c>
      <c r="G4947" t="str">
        <f>_xlfn.XLOOKUP(A4947,'[1]Tissue Data'!$A:$A,'[1]Tissue Data'!J:J)</f>
        <v>U</v>
      </c>
      <c r="H4947" t="str">
        <f>_xlfn.XLOOKUP(A4947,'[1]Tissue Data'!$A:$A,'[1]Tissue Data'!K:K)</f>
        <v>Whole Body</v>
      </c>
      <c r="I4947">
        <f>_xlfn.XLOOKUP(A4947,'[1]Tissue Data'!$A:$A,'[1]Tissue Data'!L:L)</f>
        <v>10</v>
      </c>
      <c r="J4947">
        <f>_xlfn.XLOOKUP(A4947,'[1]Tissue Data'!$A:$A,'[1]Tissue Data'!M:M)</f>
        <v>21.27</v>
      </c>
      <c r="K4947" t="s">
        <v>57</v>
      </c>
      <c r="L4947" t="str">
        <f>_xlfn.XLOOKUP(K4947,[2]analyte_order!$B:$B,[2]analyte_order!$C:$C)</f>
        <v>763051-92-9</v>
      </c>
      <c r="M4947">
        <f>_xlfn.XLOOKUP(L4947,[2]analyte_order!$C:$C,[2]analyte_order!$E:$E)</f>
        <v>37</v>
      </c>
      <c r="N4947">
        <v>7.0999999999999994E-2</v>
      </c>
    </row>
    <row r="4948" spans="1:14">
      <c r="A4948" t="s">
        <v>278</v>
      </c>
      <c r="B4948" t="str">
        <f>_xlfn.XLOOKUP(A4948,'[1]Tissue Data'!$A:$A,'[1]Tissue Data'!$C:$C)</f>
        <v>Spill</v>
      </c>
      <c r="C4948" s="2">
        <f>_xlfn.XLOOKUP(A4948,'[1]Tissue Data'!$A:$A,'[1]Tissue Data'!$D:$D)</f>
        <v>44393</v>
      </c>
      <c r="D4948" s="2" t="str">
        <f>_xlfn.XLOOKUP(A4948,'[1]Tissue Data'!$A:$A,'[1]Tissue Data'!$F:$F)</f>
        <v>Pumpkinseed</v>
      </c>
      <c r="E4948" t="str">
        <f>_xlfn.XLOOKUP(A4948,'[1]Tissue Data'!$A:$A,'[1]Tissue Data'!$H:$H)</f>
        <v>Lepomis</v>
      </c>
      <c r="F4948" t="str">
        <f>_xlfn.XLOOKUP(A4948,'[1]Tissue Data'!$A:$A,'[1]Tissue Data'!$I:$I)</f>
        <v>gibbosus</v>
      </c>
      <c r="G4948" t="str">
        <f>_xlfn.XLOOKUP(A4948,'[1]Tissue Data'!$A:$A,'[1]Tissue Data'!J:J)</f>
        <v>U</v>
      </c>
      <c r="H4948" t="str">
        <f>_xlfn.XLOOKUP(A4948,'[1]Tissue Data'!$A:$A,'[1]Tissue Data'!K:K)</f>
        <v>Whole Body</v>
      </c>
      <c r="I4948">
        <f>_xlfn.XLOOKUP(A4948,'[1]Tissue Data'!$A:$A,'[1]Tissue Data'!L:L)</f>
        <v>10</v>
      </c>
      <c r="J4948">
        <f>_xlfn.XLOOKUP(A4948,'[1]Tissue Data'!$A:$A,'[1]Tissue Data'!M:M)</f>
        <v>21.27</v>
      </c>
      <c r="K4948" t="s">
        <v>58</v>
      </c>
      <c r="L4948" t="str">
        <f>_xlfn.XLOOKUP(K4948,[2]analyte_order!$B:$B,[2]analyte_order!$C:$C)</f>
        <v>13252-13-6</v>
      </c>
      <c r="M4948">
        <f>_xlfn.XLOOKUP(L4948,[2]analyte_order!$C:$C,[2]analyte_order!$E:$E)</f>
        <v>34</v>
      </c>
      <c r="N4948">
        <v>0.10199999999999999</v>
      </c>
    </row>
    <row r="4949" spans="1:14">
      <c r="A4949" t="s">
        <v>278</v>
      </c>
      <c r="B4949" t="str">
        <f>_xlfn.XLOOKUP(A4949,'[1]Tissue Data'!$A:$A,'[1]Tissue Data'!$C:$C)</f>
        <v>Spill</v>
      </c>
      <c r="C4949" s="2">
        <f>_xlfn.XLOOKUP(A4949,'[1]Tissue Data'!$A:$A,'[1]Tissue Data'!$D:$D)</f>
        <v>44393</v>
      </c>
      <c r="D4949" s="2" t="str">
        <f>_xlfn.XLOOKUP(A4949,'[1]Tissue Data'!$A:$A,'[1]Tissue Data'!$F:$F)</f>
        <v>Pumpkinseed</v>
      </c>
      <c r="E4949" t="str">
        <f>_xlfn.XLOOKUP(A4949,'[1]Tissue Data'!$A:$A,'[1]Tissue Data'!$H:$H)</f>
        <v>Lepomis</v>
      </c>
      <c r="F4949" t="str">
        <f>_xlfn.XLOOKUP(A4949,'[1]Tissue Data'!$A:$A,'[1]Tissue Data'!$I:$I)</f>
        <v>gibbosus</v>
      </c>
      <c r="G4949" t="str">
        <f>_xlfn.XLOOKUP(A4949,'[1]Tissue Data'!$A:$A,'[1]Tissue Data'!J:J)</f>
        <v>U</v>
      </c>
      <c r="H4949" t="str">
        <f>_xlfn.XLOOKUP(A4949,'[1]Tissue Data'!$A:$A,'[1]Tissue Data'!K:K)</f>
        <v>Whole Body</v>
      </c>
      <c r="I4949">
        <f>_xlfn.XLOOKUP(A4949,'[1]Tissue Data'!$A:$A,'[1]Tissue Data'!L:L)</f>
        <v>10</v>
      </c>
      <c r="J4949">
        <f>_xlfn.XLOOKUP(A4949,'[1]Tissue Data'!$A:$A,'[1]Tissue Data'!M:M)</f>
        <v>21.27</v>
      </c>
      <c r="K4949" t="s">
        <v>59</v>
      </c>
      <c r="L4949" t="str">
        <f>_xlfn.XLOOKUP(K4949,[2]analyte_order!$B:$B,[2]analyte_order!$C:$C)</f>
        <v>57677-95-9</v>
      </c>
      <c r="M4949">
        <f>_xlfn.XLOOKUP(L4949,[2]analyte_order!$C:$C,[2]analyte_order!$E:$E)</f>
        <v>46</v>
      </c>
      <c r="N4949">
        <v>7.5999999999999998E-2</v>
      </c>
    </row>
    <row r="4950" spans="1:14">
      <c r="A4950" t="s">
        <v>278</v>
      </c>
      <c r="B4950" t="str">
        <f>_xlfn.XLOOKUP(A4950,'[1]Tissue Data'!$A:$A,'[1]Tissue Data'!$C:$C)</f>
        <v>Spill</v>
      </c>
      <c r="C4950" s="2">
        <f>_xlfn.XLOOKUP(A4950,'[1]Tissue Data'!$A:$A,'[1]Tissue Data'!$D:$D)</f>
        <v>44393</v>
      </c>
      <c r="D4950" s="2" t="str">
        <f>_xlfn.XLOOKUP(A4950,'[1]Tissue Data'!$A:$A,'[1]Tissue Data'!$F:$F)</f>
        <v>Pumpkinseed</v>
      </c>
      <c r="E4950" t="str">
        <f>_xlfn.XLOOKUP(A4950,'[1]Tissue Data'!$A:$A,'[1]Tissue Data'!$H:$H)</f>
        <v>Lepomis</v>
      </c>
      <c r="F4950" t="str">
        <f>_xlfn.XLOOKUP(A4950,'[1]Tissue Data'!$A:$A,'[1]Tissue Data'!$I:$I)</f>
        <v>gibbosus</v>
      </c>
      <c r="G4950" t="str">
        <f>_xlfn.XLOOKUP(A4950,'[1]Tissue Data'!$A:$A,'[1]Tissue Data'!J:J)</f>
        <v>U</v>
      </c>
      <c r="H4950" t="str">
        <f>_xlfn.XLOOKUP(A4950,'[1]Tissue Data'!$A:$A,'[1]Tissue Data'!K:K)</f>
        <v>Whole Body</v>
      </c>
      <c r="I4950">
        <f>_xlfn.XLOOKUP(A4950,'[1]Tissue Data'!$A:$A,'[1]Tissue Data'!L:L)</f>
        <v>10</v>
      </c>
      <c r="J4950">
        <f>_xlfn.XLOOKUP(A4950,'[1]Tissue Data'!$A:$A,'[1]Tissue Data'!M:M)</f>
        <v>21.27</v>
      </c>
      <c r="K4950" t="s">
        <v>60</v>
      </c>
      <c r="L4950" t="str">
        <f>_xlfn.XLOOKUP(K4950,[2]analyte_order!$B:$B,[2]analyte_order!$C:$C)</f>
        <v>678-41-1</v>
      </c>
      <c r="M4950">
        <f>_xlfn.XLOOKUP(L4950,[2]analyte_order!$C:$C,[2]analyte_order!$E:$E)</f>
        <v>56</v>
      </c>
      <c r="N4950">
        <v>9.4500000000000001E-2</v>
      </c>
    </row>
    <row r="4951" spans="1:14">
      <c r="A4951" t="s">
        <v>278</v>
      </c>
      <c r="B4951" t="str">
        <f>_xlfn.XLOOKUP(A4951,'[1]Tissue Data'!$A:$A,'[1]Tissue Data'!$C:$C)</f>
        <v>Spill</v>
      </c>
      <c r="C4951" s="2">
        <f>_xlfn.XLOOKUP(A4951,'[1]Tissue Data'!$A:$A,'[1]Tissue Data'!$D:$D)</f>
        <v>44393</v>
      </c>
      <c r="D4951" s="2" t="str">
        <f>_xlfn.XLOOKUP(A4951,'[1]Tissue Data'!$A:$A,'[1]Tissue Data'!$F:$F)</f>
        <v>Pumpkinseed</v>
      </c>
      <c r="E4951" t="str">
        <f>_xlfn.XLOOKUP(A4951,'[1]Tissue Data'!$A:$A,'[1]Tissue Data'!$H:$H)</f>
        <v>Lepomis</v>
      </c>
      <c r="F4951" t="str">
        <f>_xlfn.XLOOKUP(A4951,'[1]Tissue Data'!$A:$A,'[1]Tissue Data'!$I:$I)</f>
        <v>gibbosus</v>
      </c>
      <c r="G4951" t="str">
        <f>_xlfn.XLOOKUP(A4951,'[1]Tissue Data'!$A:$A,'[1]Tissue Data'!J:J)</f>
        <v>U</v>
      </c>
      <c r="H4951" t="str">
        <f>_xlfn.XLOOKUP(A4951,'[1]Tissue Data'!$A:$A,'[1]Tissue Data'!K:K)</f>
        <v>Whole Body</v>
      </c>
      <c r="I4951">
        <f>_xlfn.XLOOKUP(A4951,'[1]Tissue Data'!$A:$A,'[1]Tissue Data'!L:L)</f>
        <v>10</v>
      </c>
      <c r="J4951">
        <f>_xlfn.XLOOKUP(A4951,'[1]Tissue Data'!$A:$A,'[1]Tissue Data'!M:M)</f>
        <v>21.27</v>
      </c>
      <c r="K4951" t="s">
        <v>61</v>
      </c>
      <c r="L4951" t="str">
        <f>_xlfn.XLOOKUP(K4951,[2]analyte_order!$B:$B,[2]analyte_order!$C:$C)</f>
        <v>2965-52-8</v>
      </c>
      <c r="M4951">
        <f>_xlfn.XLOOKUP(L4951,[2]analyte_order!$C:$C,[2]analyte_order!$E:$E)</f>
        <v>57</v>
      </c>
      <c r="N4951">
        <v>0.1255</v>
      </c>
    </row>
    <row r="4952" spans="1:14">
      <c r="A4952" t="s">
        <v>279</v>
      </c>
      <c r="B4952" t="str">
        <f>_xlfn.XLOOKUP(A4952,'[1]Tissue Data'!$A:$A,'[1]Tissue Data'!$C:$C)</f>
        <v>Spill</v>
      </c>
      <c r="C4952" s="2">
        <f>_xlfn.XLOOKUP(A4952,'[1]Tissue Data'!$A:$A,'[1]Tissue Data'!$D:$D)</f>
        <v>44393</v>
      </c>
      <c r="D4952" s="2" t="str">
        <f>_xlfn.XLOOKUP(A4952,'[1]Tissue Data'!$A:$A,'[1]Tissue Data'!$F:$F)</f>
        <v>Pumpkinseed</v>
      </c>
      <c r="E4952" t="str">
        <f>_xlfn.XLOOKUP(A4952,'[1]Tissue Data'!$A:$A,'[1]Tissue Data'!$H:$H)</f>
        <v>Lepomis</v>
      </c>
      <c r="F4952" t="str">
        <f>_xlfn.XLOOKUP(A4952,'[1]Tissue Data'!$A:$A,'[1]Tissue Data'!$I:$I)</f>
        <v>gibbosus</v>
      </c>
      <c r="G4952" t="str">
        <f>_xlfn.XLOOKUP(A4952,'[1]Tissue Data'!$A:$A,'[1]Tissue Data'!J:J)</f>
        <v>U</v>
      </c>
      <c r="H4952" t="str">
        <f>_xlfn.XLOOKUP(A4952,'[1]Tissue Data'!$A:$A,'[1]Tissue Data'!K:K)</f>
        <v>Whole Body</v>
      </c>
      <c r="I4952">
        <f>_xlfn.XLOOKUP(A4952,'[1]Tissue Data'!$A:$A,'[1]Tissue Data'!L:L)</f>
        <v>5.5</v>
      </c>
      <c r="J4952">
        <f>_xlfn.XLOOKUP(A4952,'[1]Tissue Data'!$A:$A,'[1]Tissue Data'!M:M)</f>
        <v>3.24</v>
      </c>
      <c r="K4952" t="s">
        <v>12</v>
      </c>
      <c r="L4952" t="str">
        <f>_xlfn.XLOOKUP(K4952,[2]analyte_order!$B:$B,[2]analyte_order!$C:$C)</f>
        <v>375-22-4</v>
      </c>
      <c r="M4952">
        <f>_xlfn.XLOOKUP(L4952,[2]analyte_order!$C:$C,[2]analyte_order!$E:$E)</f>
        <v>1</v>
      </c>
      <c r="N4952">
        <v>0.22750000000000001</v>
      </c>
    </row>
    <row r="4953" spans="1:14">
      <c r="A4953" t="s">
        <v>279</v>
      </c>
      <c r="B4953" t="str">
        <f>_xlfn.XLOOKUP(A4953,'[1]Tissue Data'!$A:$A,'[1]Tissue Data'!$C:$C)</f>
        <v>Spill</v>
      </c>
      <c r="C4953" s="2">
        <f>_xlfn.XLOOKUP(A4953,'[1]Tissue Data'!$A:$A,'[1]Tissue Data'!$D:$D)</f>
        <v>44393</v>
      </c>
      <c r="D4953" s="2" t="str">
        <f>_xlfn.XLOOKUP(A4953,'[1]Tissue Data'!$A:$A,'[1]Tissue Data'!$F:$F)</f>
        <v>Pumpkinseed</v>
      </c>
      <c r="E4953" t="str">
        <f>_xlfn.XLOOKUP(A4953,'[1]Tissue Data'!$A:$A,'[1]Tissue Data'!$H:$H)</f>
        <v>Lepomis</v>
      </c>
      <c r="F4953" t="str">
        <f>_xlfn.XLOOKUP(A4953,'[1]Tissue Data'!$A:$A,'[1]Tissue Data'!$I:$I)</f>
        <v>gibbosus</v>
      </c>
      <c r="G4953" t="str">
        <f>_xlfn.XLOOKUP(A4953,'[1]Tissue Data'!$A:$A,'[1]Tissue Data'!J:J)</f>
        <v>U</v>
      </c>
      <c r="H4953" t="str">
        <f>_xlfn.XLOOKUP(A4953,'[1]Tissue Data'!$A:$A,'[1]Tissue Data'!K:K)</f>
        <v>Whole Body</v>
      </c>
      <c r="I4953">
        <f>_xlfn.XLOOKUP(A4953,'[1]Tissue Data'!$A:$A,'[1]Tissue Data'!L:L)</f>
        <v>5.5</v>
      </c>
      <c r="J4953">
        <f>_xlfn.XLOOKUP(A4953,'[1]Tissue Data'!$A:$A,'[1]Tissue Data'!M:M)</f>
        <v>3.24</v>
      </c>
      <c r="K4953" t="s">
        <v>13</v>
      </c>
      <c r="L4953" t="str">
        <f>_xlfn.XLOOKUP(K4953,[2]analyte_order!$B:$B,[2]analyte_order!$C:$C)</f>
        <v>2706-90-3</v>
      </c>
      <c r="M4953">
        <f>_xlfn.XLOOKUP(L4953,[2]analyte_order!$C:$C,[2]analyte_order!$E:$E)</f>
        <v>2</v>
      </c>
      <c r="N4953">
        <v>4.8750000000000002E-2</v>
      </c>
    </row>
    <row r="4954" spans="1:14">
      <c r="A4954" t="s">
        <v>279</v>
      </c>
      <c r="B4954" t="str">
        <f>_xlfn.XLOOKUP(A4954,'[1]Tissue Data'!$A:$A,'[1]Tissue Data'!$C:$C)</f>
        <v>Spill</v>
      </c>
      <c r="C4954" s="2">
        <f>_xlfn.XLOOKUP(A4954,'[1]Tissue Data'!$A:$A,'[1]Tissue Data'!$D:$D)</f>
        <v>44393</v>
      </c>
      <c r="D4954" s="2" t="str">
        <f>_xlfn.XLOOKUP(A4954,'[1]Tissue Data'!$A:$A,'[1]Tissue Data'!$F:$F)</f>
        <v>Pumpkinseed</v>
      </c>
      <c r="E4954" t="str">
        <f>_xlfn.XLOOKUP(A4954,'[1]Tissue Data'!$A:$A,'[1]Tissue Data'!$H:$H)</f>
        <v>Lepomis</v>
      </c>
      <c r="F4954" t="str">
        <f>_xlfn.XLOOKUP(A4954,'[1]Tissue Data'!$A:$A,'[1]Tissue Data'!$I:$I)</f>
        <v>gibbosus</v>
      </c>
      <c r="G4954" t="str">
        <f>_xlfn.XLOOKUP(A4954,'[1]Tissue Data'!$A:$A,'[1]Tissue Data'!J:J)</f>
        <v>U</v>
      </c>
      <c r="H4954" t="str">
        <f>_xlfn.XLOOKUP(A4954,'[1]Tissue Data'!$A:$A,'[1]Tissue Data'!K:K)</f>
        <v>Whole Body</v>
      </c>
      <c r="I4954">
        <f>_xlfn.XLOOKUP(A4954,'[1]Tissue Data'!$A:$A,'[1]Tissue Data'!L:L)</f>
        <v>5.5</v>
      </c>
      <c r="J4954">
        <f>_xlfn.XLOOKUP(A4954,'[1]Tissue Data'!$A:$A,'[1]Tissue Data'!M:M)</f>
        <v>3.24</v>
      </c>
      <c r="K4954" t="s">
        <v>14</v>
      </c>
      <c r="L4954" t="str">
        <f>_xlfn.XLOOKUP(K4954,[2]analyte_order!$B:$B,[2]analyte_order!$C:$C)</f>
        <v>307-24-4</v>
      </c>
      <c r="M4954">
        <f>_xlfn.XLOOKUP(L4954,[2]analyte_order!$C:$C,[2]analyte_order!$E:$E)</f>
        <v>3</v>
      </c>
      <c r="N4954">
        <v>3.7249999999999998E-2</v>
      </c>
    </row>
    <row r="4955" spans="1:14">
      <c r="A4955" t="s">
        <v>279</v>
      </c>
      <c r="B4955" t="str">
        <f>_xlfn.XLOOKUP(A4955,'[1]Tissue Data'!$A:$A,'[1]Tissue Data'!$C:$C)</f>
        <v>Spill</v>
      </c>
      <c r="C4955" s="2">
        <f>_xlfn.XLOOKUP(A4955,'[1]Tissue Data'!$A:$A,'[1]Tissue Data'!$D:$D)</f>
        <v>44393</v>
      </c>
      <c r="D4955" s="2" t="str">
        <f>_xlfn.XLOOKUP(A4955,'[1]Tissue Data'!$A:$A,'[1]Tissue Data'!$F:$F)</f>
        <v>Pumpkinseed</v>
      </c>
      <c r="E4955" t="str">
        <f>_xlfn.XLOOKUP(A4955,'[1]Tissue Data'!$A:$A,'[1]Tissue Data'!$H:$H)</f>
        <v>Lepomis</v>
      </c>
      <c r="F4955" t="str">
        <f>_xlfn.XLOOKUP(A4955,'[1]Tissue Data'!$A:$A,'[1]Tissue Data'!$I:$I)</f>
        <v>gibbosus</v>
      </c>
      <c r="G4955" t="str">
        <f>_xlfn.XLOOKUP(A4955,'[1]Tissue Data'!$A:$A,'[1]Tissue Data'!J:J)</f>
        <v>U</v>
      </c>
      <c r="H4955" t="str">
        <f>_xlfn.XLOOKUP(A4955,'[1]Tissue Data'!$A:$A,'[1]Tissue Data'!K:K)</f>
        <v>Whole Body</v>
      </c>
      <c r="I4955">
        <f>_xlfn.XLOOKUP(A4955,'[1]Tissue Data'!$A:$A,'[1]Tissue Data'!L:L)</f>
        <v>5.5</v>
      </c>
      <c r="J4955">
        <f>_xlfn.XLOOKUP(A4955,'[1]Tissue Data'!$A:$A,'[1]Tissue Data'!M:M)</f>
        <v>3.24</v>
      </c>
      <c r="K4955" t="s">
        <v>15</v>
      </c>
      <c r="L4955" t="str">
        <f>_xlfn.XLOOKUP(K4955,[2]analyte_order!$B:$B,[2]analyte_order!$C:$C)</f>
        <v>375-85-9</v>
      </c>
      <c r="M4955">
        <f>_xlfn.XLOOKUP(L4955,[2]analyte_order!$C:$C,[2]analyte_order!$E:$E)</f>
        <v>4</v>
      </c>
      <c r="N4955">
        <v>2.76E-2</v>
      </c>
    </row>
    <row r="4956" spans="1:14">
      <c r="A4956" t="s">
        <v>279</v>
      </c>
      <c r="B4956" t="str">
        <f>_xlfn.XLOOKUP(A4956,'[1]Tissue Data'!$A:$A,'[1]Tissue Data'!$C:$C)</f>
        <v>Spill</v>
      </c>
      <c r="C4956" s="2">
        <f>_xlfn.XLOOKUP(A4956,'[1]Tissue Data'!$A:$A,'[1]Tissue Data'!$D:$D)</f>
        <v>44393</v>
      </c>
      <c r="D4956" s="2" t="str">
        <f>_xlfn.XLOOKUP(A4956,'[1]Tissue Data'!$A:$A,'[1]Tissue Data'!$F:$F)</f>
        <v>Pumpkinseed</v>
      </c>
      <c r="E4956" t="str">
        <f>_xlfn.XLOOKUP(A4956,'[1]Tissue Data'!$A:$A,'[1]Tissue Data'!$H:$H)</f>
        <v>Lepomis</v>
      </c>
      <c r="F4956" t="str">
        <f>_xlfn.XLOOKUP(A4956,'[1]Tissue Data'!$A:$A,'[1]Tissue Data'!$I:$I)</f>
        <v>gibbosus</v>
      </c>
      <c r="G4956" t="str">
        <f>_xlfn.XLOOKUP(A4956,'[1]Tissue Data'!$A:$A,'[1]Tissue Data'!J:J)</f>
        <v>U</v>
      </c>
      <c r="H4956" t="str">
        <f>_xlfn.XLOOKUP(A4956,'[1]Tissue Data'!$A:$A,'[1]Tissue Data'!K:K)</f>
        <v>Whole Body</v>
      </c>
      <c r="I4956">
        <f>_xlfn.XLOOKUP(A4956,'[1]Tissue Data'!$A:$A,'[1]Tissue Data'!L:L)</f>
        <v>5.5</v>
      </c>
      <c r="J4956">
        <f>_xlfn.XLOOKUP(A4956,'[1]Tissue Data'!$A:$A,'[1]Tissue Data'!M:M)</f>
        <v>3.24</v>
      </c>
      <c r="K4956" t="s">
        <v>16</v>
      </c>
      <c r="L4956" t="str">
        <f>_xlfn.XLOOKUP(K4956,[2]analyte_order!$B:$B,[2]analyte_order!$C:$C)</f>
        <v>335-67-1</v>
      </c>
      <c r="M4956">
        <f>_xlfn.XLOOKUP(L4956,[2]analyte_order!$C:$C,[2]analyte_order!$E:$E)</f>
        <v>5</v>
      </c>
      <c r="N4956">
        <v>1.42</v>
      </c>
    </row>
    <row r="4957" spans="1:14">
      <c r="A4957" t="s">
        <v>279</v>
      </c>
      <c r="B4957" t="str">
        <f>_xlfn.XLOOKUP(A4957,'[1]Tissue Data'!$A:$A,'[1]Tissue Data'!$C:$C)</f>
        <v>Spill</v>
      </c>
      <c r="C4957" s="2">
        <f>_xlfn.XLOOKUP(A4957,'[1]Tissue Data'!$A:$A,'[1]Tissue Data'!$D:$D)</f>
        <v>44393</v>
      </c>
      <c r="D4957" s="2" t="str">
        <f>_xlfn.XLOOKUP(A4957,'[1]Tissue Data'!$A:$A,'[1]Tissue Data'!$F:$F)</f>
        <v>Pumpkinseed</v>
      </c>
      <c r="E4957" t="str">
        <f>_xlfn.XLOOKUP(A4957,'[1]Tissue Data'!$A:$A,'[1]Tissue Data'!$H:$H)</f>
        <v>Lepomis</v>
      </c>
      <c r="F4957" t="str">
        <f>_xlfn.XLOOKUP(A4957,'[1]Tissue Data'!$A:$A,'[1]Tissue Data'!$I:$I)</f>
        <v>gibbosus</v>
      </c>
      <c r="G4957" t="str">
        <f>_xlfn.XLOOKUP(A4957,'[1]Tissue Data'!$A:$A,'[1]Tissue Data'!J:J)</f>
        <v>U</v>
      </c>
      <c r="H4957" t="str">
        <f>_xlfn.XLOOKUP(A4957,'[1]Tissue Data'!$A:$A,'[1]Tissue Data'!K:K)</f>
        <v>Whole Body</v>
      </c>
      <c r="I4957">
        <f>_xlfn.XLOOKUP(A4957,'[1]Tissue Data'!$A:$A,'[1]Tissue Data'!L:L)</f>
        <v>5.5</v>
      </c>
      <c r="J4957">
        <f>_xlfn.XLOOKUP(A4957,'[1]Tissue Data'!$A:$A,'[1]Tissue Data'!M:M)</f>
        <v>3.24</v>
      </c>
      <c r="K4957" t="s">
        <v>17</v>
      </c>
      <c r="L4957" t="str">
        <f>_xlfn.XLOOKUP(K4957,[2]analyte_order!$B:$B,[2]analyte_order!$C:$C)</f>
        <v>375-95-1</v>
      </c>
      <c r="M4957">
        <f>_xlfn.XLOOKUP(L4957,[2]analyte_order!$C:$C,[2]analyte_order!$E:$E)</f>
        <v>6</v>
      </c>
      <c r="N4957">
        <v>0.1575</v>
      </c>
    </row>
    <row r="4958" spans="1:14">
      <c r="A4958" t="s">
        <v>279</v>
      </c>
      <c r="B4958" t="str">
        <f>_xlfn.XLOOKUP(A4958,'[1]Tissue Data'!$A:$A,'[1]Tissue Data'!$C:$C)</f>
        <v>Spill</v>
      </c>
      <c r="C4958" s="2">
        <f>_xlfn.XLOOKUP(A4958,'[1]Tissue Data'!$A:$A,'[1]Tissue Data'!$D:$D)</f>
        <v>44393</v>
      </c>
      <c r="D4958" s="2" t="str">
        <f>_xlfn.XLOOKUP(A4958,'[1]Tissue Data'!$A:$A,'[1]Tissue Data'!$F:$F)</f>
        <v>Pumpkinseed</v>
      </c>
      <c r="E4958" t="str">
        <f>_xlfn.XLOOKUP(A4958,'[1]Tissue Data'!$A:$A,'[1]Tissue Data'!$H:$H)</f>
        <v>Lepomis</v>
      </c>
      <c r="F4958" t="str">
        <f>_xlfn.XLOOKUP(A4958,'[1]Tissue Data'!$A:$A,'[1]Tissue Data'!$I:$I)</f>
        <v>gibbosus</v>
      </c>
      <c r="G4958" t="str">
        <f>_xlfn.XLOOKUP(A4958,'[1]Tissue Data'!$A:$A,'[1]Tissue Data'!J:J)</f>
        <v>U</v>
      </c>
      <c r="H4958" t="str">
        <f>_xlfn.XLOOKUP(A4958,'[1]Tissue Data'!$A:$A,'[1]Tissue Data'!K:K)</f>
        <v>Whole Body</v>
      </c>
      <c r="I4958">
        <f>_xlfn.XLOOKUP(A4958,'[1]Tissue Data'!$A:$A,'[1]Tissue Data'!L:L)</f>
        <v>5.5</v>
      </c>
      <c r="J4958">
        <f>_xlfn.XLOOKUP(A4958,'[1]Tissue Data'!$A:$A,'[1]Tissue Data'!M:M)</f>
        <v>3.24</v>
      </c>
      <c r="K4958" t="s">
        <v>18</v>
      </c>
      <c r="L4958" t="str">
        <f>_xlfn.XLOOKUP(K4958,[2]analyte_order!$B:$B,[2]analyte_order!$C:$C)</f>
        <v>335-76-2</v>
      </c>
      <c r="M4958">
        <f>_xlfn.XLOOKUP(L4958,[2]analyte_order!$C:$C,[2]analyte_order!$E:$E)</f>
        <v>7</v>
      </c>
      <c r="N4958">
        <v>4.0199999999999996</v>
      </c>
    </row>
    <row r="4959" spans="1:14">
      <c r="A4959" t="s">
        <v>279</v>
      </c>
      <c r="B4959" t="str">
        <f>_xlfn.XLOOKUP(A4959,'[1]Tissue Data'!$A:$A,'[1]Tissue Data'!$C:$C)</f>
        <v>Spill</v>
      </c>
      <c r="C4959" s="2">
        <f>_xlfn.XLOOKUP(A4959,'[1]Tissue Data'!$A:$A,'[1]Tissue Data'!$D:$D)</f>
        <v>44393</v>
      </c>
      <c r="D4959" s="2" t="str">
        <f>_xlfn.XLOOKUP(A4959,'[1]Tissue Data'!$A:$A,'[1]Tissue Data'!$F:$F)</f>
        <v>Pumpkinseed</v>
      </c>
      <c r="E4959" t="str">
        <f>_xlfn.XLOOKUP(A4959,'[1]Tissue Data'!$A:$A,'[1]Tissue Data'!$H:$H)</f>
        <v>Lepomis</v>
      </c>
      <c r="F4959" t="str">
        <f>_xlfn.XLOOKUP(A4959,'[1]Tissue Data'!$A:$A,'[1]Tissue Data'!$I:$I)</f>
        <v>gibbosus</v>
      </c>
      <c r="G4959" t="str">
        <f>_xlfn.XLOOKUP(A4959,'[1]Tissue Data'!$A:$A,'[1]Tissue Data'!J:J)</f>
        <v>U</v>
      </c>
      <c r="H4959" t="str">
        <f>_xlfn.XLOOKUP(A4959,'[1]Tissue Data'!$A:$A,'[1]Tissue Data'!K:K)</f>
        <v>Whole Body</v>
      </c>
      <c r="I4959">
        <f>_xlfn.XLOOKUP(A4959,'[1]Tissue Data'!$A:$A,'[1]Tissue Data'!L:L)</f>
        <v>5.5</v>
      </c>
      <c r="J4959">
        <f>_xlfn.XLOOKUP(A4959,'[1]Tissue Data'!$A:$A,'[1]Tissue Data'!M:M)</f>
        <v>3.24</v>
      </c>
      <c r="K4959" t="s">
        <v>19</v>
      </c>
      <c r="L4959" t="str">
        <f>_xlfn.XLOOKUP(K4959,[2]analyte_order!$B:$B,[2]analyte_order!$C:$C)</f>
        <v>2058-94-8</v>
      </c>
      <c r="M4959">
        <f>_xlfn.XLOOKUP(L4959,[2]analyte_order!$C:$C,[2]analyte_order!$E:$E)</f>
        <v>8</v>
      </c>
      <c r="N4959">
        <v>7.24</v>
      </c>
    </row>
    <row r="4960" spans="1:14">
      <c r="A4960" t="s">
        <v>279</v>
      </c>
      <c r="B4960" t="str">
        <f>_xlfn.XLOOKUP(A4960,'[1]Tissue Data'!$A:$A,'[1]Tissue Data'!$C:$C)</f>
        <v>Spill</v>
      </c>
      <c r="C4960" s="2">
        <f>_xlfn.XLOOKUP(A4960,'[1]Tissue Data'!$A:$A,'[1]Tissue Data'!$D:$D)</f>
        <v>44393</v>
      </c>
      <c r="D4960" s="2" t="str">
        <f>_xlfn.XLOOKUP(A4960,'[1]Tissue Data'!$A:$A,'[1]Tissue Data'!$F:$F)</f>
        <v>Pumpkinseed</v>
      </c>
      <c r="E4960" t="str">
        <f>_xlfn.XLOOKUP(A4960,'[1]Tissue Data'!$A:$A,'[1]Tissue Data'!$H:$H)</f>
        <v>Lepomis</v>
      </c>
      <c r="F4960" t="str">
        <f>_xlfn.XLOOKUP(A4960,'[1]Tissue Data'!$A:$A,'[1]Tissue Data'!$I:$I)</f>
        <v>gibbosus</v>
      </c>
      <c r="G4960" t="str">
        <f>_xlfn.XLOOKUP(A4960,'[1]Tissue Data'!$A:$A,'[1]Tissue Data'!J:J)</f>
        <v>U</v>
      </c>
      <c r="H4960" t="str">
        <f>_xlfn.XLOOKUP(A4960,'[1]Tissue Data'!$A:$A,'[1]Tissue Data'!K:K)</f>
        <v>Whole Body</v>
      </c>
      <c r="I4960">
        <f>_xlfn.XLOOKUP(A4960,'[1]Tissue Data'!$A:$A,'[1]Tissue Data'!L:L)</f>
        <v>5.5</v>
      </c>
      <c r="J4960">
        <f>_xlfn.XLOOKUP(A4960,'[1]Tissue Data'!$A:$A,'[1]Tissue Data'!M:M)</f>
        <v>3.24</v>
      </c>
      <c r="K4960" t="s">
        <v>20</v>
      </c>
      <c r="L4960" t="str">
        <f>_xlfn.XLOOKUP(K4960,[2]analyte_order!$B:$B,[2]analyte_order!$C:$C)</f>
        <v>307-55-1</v>
      </c>
      <c r="M4960">
        <f>_xlfn.XLOOKUP(L4960,[2]analyte_order!$C:$C,[2]analyte_order!$E:$E)</f>
        <v>9</v>
      </c>
      <c r="N4960">
        <v>26.3</v>
      </c>
    </row>
    <row r="4961" spans="1:14">
      <c r="A4961" t="s">
        <v>279</v>
      </c>
      <c r="B4961" t="str">
        <f>_xlfn.XLOOKUP(A4961,'[1]Tissue Data'!$A:$A,'[1]Tissue Data'!$C:$C)</f>
        <v>Spill</v>
      </c>
      <c r="C4961" s="2">
        <f>_xlfn.XLOOKUP(A4961,'[1]Tissue Data'!$A:$A,'[1]Tissue Data'!$D:$D)</f>
        <v>44393</v>
      </c>
      <c r="D4961" s="2" t="str">
        <f>_xlfn.XLOOKUP(A4961,'[1]Tissue Data'!$A:$A,'[1]Tissue Data'!$F:$F)</f>
        <v>Pumpkinseed</v>
      </c>
      <c r="E4961" t="str">
        <f>_xlfn.XLOOKUP(A4961,'[1]Tissue Data'!$A:$A,'[1]Tissue Data'!$H:$H)</f>
        <v>Lepomis</v>
      </c>
      <c r="F4961" t="str">
        <f>_xlfn.XLOOKUP(A4961,'[1]Tissue Data'!$A:$A,'[1]Tissue Data'!$I:$I)</f>
        <v>gibbosus</v>
      </c>
      <c r="G4961" t="str">
        <f>_xlfn.XLOOKUP(A4961,'[1]Tissue Data'!$A:$A,'[1]Tissue Data'!J:J)</f>
        <v>U</v>
      </c>
      <c r="H4961" t="str">
        <f>_xlfn.XLOOKUP(A4961,'[1]Tissue Data'!$A:$A,'[1]Tissue Data'!K:K)</f>
        <v>Whole Body</v>
      </c>
      <c r="I4961">
        <f>_xlfn.XLOOKUP(A4961,'[1]Tissue Data'!$A:$A,'[1]Tissue Data'!L:L)</f>
        <v>5.5</v>
      </c>
      <c r="J4961">
        <f>_xlfn.XLOOKUP(A4961,'[1]Tissue Data'!$A:$A,'[1]Tissue Data'!M:M)</f>
        <v>3.24</v>
      </c>
      <c r="K4961" t="s">
        <v>21</v>
      </c>
      <c r="L4961" t="str">
        <f>_xlfn.XLOOKUP(K4961,[2]analyte_order!$B:$B,[2]analyte_order!$C:$C)</f>
        <v>72629-94-8</v>
      </c>
      <c r="M4961">
        <f>_xlfn.XLOOKUP(L4961,[2]analyte_order!$C:$C,[2]analyte_order!$E:$E)</f>
        <v>10</v>
      </c>
      <c r="N4961">
        <v>7.25</v>
      </c>
    </row>
    <row r="4962" spans="1:14">
      <c r="A4962" t="s">
        <v>279</v>
      </c>
      <c r="B4962" t="str">
        <f>_xlfn.XLOOKUP(A4962,'[1]Tissue Data'!$A:$A,'[1]Tissue Data'!$C:$C)</f>
        <v>Spill</v>
      </c>
      <c r="C4962" s="2">
        <f>_xlfn.XLOOKUP(A4962,'[1]Tissue Data'!$A:$A,'[1]Tissue Data'!$D:$D)</f>
        <v>44393</v>
      </c>
      <c r="D4962" s="2" t="str">
        <f>_xlfn.XLOOKUP(A4962,'[1]Tissue Data'!$A:$A,'[1]Tissue Data'!$F:$F)</f>
        <v>Pumpkinseed</v>
      </c>
      <c r="E4962" t="str">
        <f>_xlfn.XLOOKUP(A4962,'[1]Tissue Data'!$A:$A,'[1]Tissue Data'!$H:$H)</f>
        <v>Lepomis</v>
      </c>
      <c r="F4962" t="str">
        <f>_xlfn.XLOOKUP(A4962,'[1]Tissue Data'!$A:$A,'[1]Tissue Data'!$I:$I)</f>
        <v>gibbosus</v>
      </c>
      <c r="G4962" t="str">
        <f>_xlfn.XLOOKUP(A4962,'[1]Tissue Data'!$A:$A,'[1]Tissue Data'!J:J)</f>
        <v>U</v>
      </c>
      <c r="H4962" t="str">
        <f>_xlfn.XLOOKUP(A4962,'[1]Tissue Data'!$A:$A,'[1]Tissue Data'!K:K)</f>
        <v>Whole Body</v>
      </c>
      <c r="I4962">
        <f>_xlfn.XLOOKUP(A4962,'[1]Tissue Data'!$A:$A,'[1]Tissue Data'!L:L)</f>
        <v>5.5</v>
      </c>
      <c r="J4962">
        <f>_xlfn.XLOOKUP(A4962,'[1]Tissue Data'!$A:$A,'[1]Tissue Data'!M:M)</f>
        <v>3.24</v>
      </c>
      <c r="K4962" t="s">
        <v>22</v>
      </c>
      <c r="L4962" t="str">
        <f>_xlfn.XLOOKUP(K4962,[2]analyte_order!$B:$B,[2]analyte_order!$C:$C)</f>
        <v>376-06-7</v>
      </c>
      <c r="M4962">
        <f>_xlfn.XLOOKUP(L4962,[2]analyte_order!$C:$C,[2]analyte_order!$E:$E)</f>
        <v>11</v>
      </c>
      <c r="N4962">
        <v>35.6</v>
      </c>
    </row>
    <row r="4963" spans="1:14">
      <c r="A4963" t="s">
        <v>279</v>
      </c>
      <c r="B4963" t="str">
        <f>_xlfn.XLOOKUP(A4963,'[1]Tissue Data'!$A:$A,'[1]Tissue Data'!$C:$C)</f>
        <v>Spill</v>
      </c>
      <c r="C4963" s="2">
        <f>_xlfn.XLOOKUP(A4963,'[1]Tissue Data'!$A:$A,'[1]Tissue Data'!$D:$D)</f>
        <v>44393</v>
      </c>
      <c r="D4963" s="2" t="str">
        <f>_xlfn.XLOOKUP(A4963,'[1]Tissue Data'!$A:$A,'[1]Tissue Data'!$F:$F)</f>
        <v>Pumpkinseed</v>
      </c>
      <c r="E4963" t="str">
        <f>_xlfn.XLOOKUP(A4963,'[1]Tissue Data'!$A:$A,'[1]Tissue Data'!$H:$H)</f>
        <v>Lepomis</v>
      </c>
      <c r="F4963" t="str">
        <f>_xlfn.XLOOKUP(A4963,'[1]Tissue Data'!$A:$A,'[1]Tissue Data'!$I:$I)</f>
        <v>gibbosus</v>
      </c>
      <c r="G4963" t="str">
        <f>_xlfn.XLOOKUP(A4963,'[1]Tissue Data'!$A:$A,'[1]Tissue Data'!J:J)</f>
        <v>U</v>
      </c>
      <c r="H4963" t="str">
        <f>_xlfn.XLOOKUP(A4963,'[1]Tissue Data'!$A:$A,'[1]Tissue Data'!K:K)</f>
        <v>Whole Body</v>
      </c>
      <c r="I4963">
        <f>_xlfn.XLOOKUP(A4963,'[1]Tissue Data'!$A:$A,'[1]Tissue Data'!L:L)</f>
        <v>5.5</v>
      </c>
      <c r="J4963">
        <f>_xlfn.XLOOKUP(A4963,'[1]Tissue Data'!$A:$A,'[1]Tissue Data'!M:M)</f>
        <v>3.24</v>
      </c>
      <c r="K4963" t="s">
        <v>23</v>
      </c>
      <c r="L4963" t="str">
        <f>_xlfn.XLOOKUP(K4963,[2]analyte_order!$B:$B,[2]analyte_order!$C:$C)</f>
        <v>67905-19-5</v>
      </c>
      <c r="M4963">
        <f>_xlfn.XLOOKUP(L4963,[2]analyte_order!$C:$C,[2]analyte_order!$E:$E)</f>
        <v>12</v>
      </c>
      <c r="N4963">
        <v>0.96299999999999997</v>
      </c>
    </row>
    <row r="4964" spans="1:14">
      <c r="A4964" t="s">
        <v>279</v>
      </c>
      <c r="B4964" t="str">
        <f>_xlfn.XLOOKUP(A4964,'[1]Tissue Data'!$A:$A,'[1]Tissue Data'!$C:$C)</f>
        <v>Spill</v>
      </c>
      <c r="C4964" s="2">
        <f>_xlfn.XLOOKUP(A4964,'[1]Tissue Data'!$A:$A,'[1]Tissue Data'!$D:$D)</f>
        <v>44393</v>
      </c>
      <c r="D4964" s="2" t="str">
        <f>_xlfn.XLOOKUP(A4964,'[1]Tissue Data'!$A:$A,'[1]Tissue Data'!$F:$F)</f>
        <v>Pumpkinseed</v>
      </c>
      <c r="E4964" t="str">
        <f>_xlfn.XLOOKUP(A4964,'[1]Tissue Data'!$A:$A,'[1]Tissue Data'!$H:$H)</f>
        <v>Lepomis</v>
      </c>
      <c r="F4964" t="str">
        <f>_xlfn.XLOOKUP(A4964,'[1]Tissue Data'!$A:$A,'[1]Tissue Data'!$I:$I)</f>
        <v>gibbosus</v>
      </c>
      <c r="G4964" t="str">
        <f>_xlfn.XLOOKUP(A4964,'[1]Tissue Data'!$A:$A,'[1]Tissue Data'!J:J)</f>
        <v>U</v>
      </c>
      <c r="H4964" t="str">
        <f>_xlfn.XLOOKUP(A4964,'[1]Tissue Data'!$A:$A,'[1]Tissue Data'!K:K)</f>
        <v>Whole Body</v>
      </c>
      <c r="I4964">
        <f>_xlfn.XLOOKUP(A4964,'[1]Tissue Data'!$A:$A,'[1]Tissue Data'!L:L)</f>
        <v>5.5</v>
      </c>
      <c r="J4964">
        <f>_xlfn.XLOOKUP(A4964,'[1]Tissue Data'!$A:$A,'[1]Tissue Data'!M:M)</f>
        <v>3.24</v>
      </c>
      <c r="K4964" t="s">
        <v>24</v>
      </c>
      <c r="L4964" t="str">
        <f>_xlfn.XLOOKUP(K4964,[2]analyte_order!$B:$B,[2]analyte_order!$C:$C)</f>
        <v>423-41-6</v>
      </c>
      <c r="M4964">
        <f>_xlfn.XLOOKUP(L4964,[2]analyte_order!$C:$C,[2]analyte_order!$E:$E)</f>
        <v>53</v>
      </c>
      <c r="N4964">
        <v>6.9000000000000006E-2</v>
      </c>
    </row>
    <row r="4965" spans="1:14">
      <c r="A4965" t="s">
        <v>279</v>
      </c>
      <c r="B4965" t="str">
        <f>_xlfn.XLOOKUP(A4965,'[1]Tissue Data'!$A:$A,'[1]Tissue Data'!$C:$C)</f>
        <v>Spill</v>
      </c>
      <c r="C4965" s="2">
        <f>_xlfn.XLOOKUP(A4965,'[1]Tissue Data'!$A:$A,'[1]Tissue Data'!$D:$D)</f>
        <v>44393</v>
      </c>
      <c r="D4965" s="2" t="str">
        <f>_xlfn.XLOOKUP(A4965,'[1]Tissue Data'!$A:$A,'[1]Tissue Data'!$F:$F)</f>
        <v>Pumpkinseed</v>
      </c>
      <c r="E4965" t="str">
        <f>_xlfn.XLOOKUP(A4965,'[1]Tissue Data'!$A:$A,'[1]Tissue Data'!$H:$H)</f>
        <v>Lepomis</v>
      </c>
      <c r="F4965" t="str">
        <f>_xlfn.XLOOKUP(A4965,'[1]Tissue Data'!$A:$A,'[1]Tissue Data'!$I:$I)</f>
        <v>gibbosus</v>
      </c>
      <c r="G4965" t="str">
        <f>_xlfn.XLOOKUP(A4965,'[1]Tissue Data'!$A:$A,'[1]Tissue Data'!J:J)</f>
        <v>U</v>
      </c>
      <c r="H4965" t="str">
        <f>_xlfn.XLOOKUP(A4965,'[1]Tissue Data'!$A:$A,'[1]Tissue Data'!K:K)</f>
        <v>Whole Body</v>
      </c>
      <c r="I4965">
        <f>_xlfn.XLOOKUP(A4965,'[1]Tissue Data'!$A:$A,'[1]Tissue Data'!L:L)</f>
        <v>5.5</v>
      </c>
      <c r="J4965">
        <f>_xlfn.XLOOKUP(A4965,'[1]Tissue Data'!$A:$A,'[1]Tissue Data'!M:M)</f>
        <v>3.24</v>
      </c>
      <c r="K4965" t="s">
        <v>25</v>
      </c>
      <c r="L4965" t="str">
        <f>_xlfn.XLOOKUP(K4965,[2]analyte_order!$B:$B,[2]analyte_order!$C:$C)</f>
        <v>375-73-5</v>
      </c>
      <c r="M4965">
        <f>_xlfn.XLOOKUP(L4965,[2]analyte_order!$C:$C,[2]analyte_order!$E:$E)</f>
        <v>14</v>
      </c>
      <c r="N4965">
        <v>0.155</v>
      </c>
    </row>
    <row r="4966" spans="1:14">
      <c r="A4966" t="s">
        <v>279</v>
      </c>
      <c r="B4966" t="str">
        <f>_xlfn.XLOOKUP(A4966,'[1]Tissue Data'!$A:$A,'[1]Tissue Data'!$C:$C)</f>
        <v>Spill</v>
      </c>
      <c r="C4966" s="2">
        <f>_xlfn.XLOOKUP(A4966,'[1]Tissue Data'!$A:$A,'[1]Tissue Data'!$D:$D)</f>
        <v>44393</v>
      </c>
      <c r="D4966" s="2" t="str">
        <f>_xlfn.XLOOKUP(A4966,'[1]Tissue Data'!$A:$A,'[1]Tissue Data'!$F:$F)</f>
        <v>Pumpkinseed</v>
      </c>
      <c r="E4966" t="str">
        <f>_xlfn.XLOOKUP(A4966,'[1]Tissue Data'!$A:$A,'[1]Tissue Data'!$H:$H)</f>
        <v>Lepomis</v>
      </c>
      <c r="F4966" t="str">
        <f>_xlfn.XLOOKUP(A4966,'[1]Tissue Data'!$A:$A,'[1]Tissue Data'!$I:$I)</f>
        <v>gibbosus</v>
      </c>
      <c r="G4966" t="str">
        <f>_xlfn.XLOOKUP(A4966,'[1]Tissue Data'!$A:$A,'[1]Tissue Data'!J:J)</f>
        <v>U</v>
      </c>
      <c r="H4966" t="str">
        <f>_xlfn.XLOOKUP(A4966,'[1]Tissue Data'!$A:$A,'[1]Tissue Data'!K:K)</f>
        <v>Whole Body</v>
      </c>
      <c r="I4966">
        <f>_xlfn.XLOOKUP(A4966,'[1]Tissue Data'!$A:$A,'[1]Tissue Data'!L:L)</f>
        <v>5.5</v>
      </c>
      <c r="J4966">
        <f>_xlfn.XLOOKUP(A4966,'[1]Tissue Data'!$A:$A,'[1]Tissue Data'!M:M)</f>
        <v>3.24</v>
      </c>
      <c r="K4966" t="s">
        <v>26</v>
      </c>
      <c r="L4966" t="str">
        <f>_xlfn.XLOOKUP(K4966,[2]analyte_order!$B:$B,[2]analyte_order!$C:$C)</f>
        <v>2706-91-4</v>
      </c>
      <c r="M4966">
        <f>_xlfn.XLOOKUP(L4966,[2]analyte_order!$C:$C,[2]analyte_order!$E:$E)</f>
        <v>15</v>
      </c>
      <c r="N4966">
        <v>0.22750000000000001</v>
      </c>
    </row>
    <row r="4967" spans="1:14">
      <c r="A4967" t="s">
        <v>279</v>
      </c>
      <c r="B4967" t="str">
        <f>_xlfn.XLOOKUP(A4967,'[1]Tissue Data'!$A:$A,'[1]Tissue Data'!$C:$C)</f>
        <v>Spill</v>
      </c>
      <c r="C4967" s="2">
        <f>_xlfn.XLOOKUP(A4967,'[1]Tissue Data'!$A:$A,'[1]Tissue Data'!$D:$D)</f>
        <v>44393</v>
      </c>
      <c r="D4967" s="2" t="str">
        <f>_xlfn.XLOOKUP(A4967,'[1]Tissue Data'!$A:$A,'[1]Tissue Data'!$F:$F)</f>
        <v>Pumpkinseed</v>
      </c>
      <c r="E4967" t="str">
        <f>_xlfn.XLOOKUP(A4967,'[1]Tissue Data'!$A:$A,'[1]Tissue Data'!$H:$H)</f>
        <v>Lepomis</v>
      </c>
      <c r="F4967" t="str">
        <f>_xlfn.XLOOKUP(A4967,'[1]Tissue Data'!$A:$A,'[1]Tissue Data'!$I:$I)</f>
        <v>gibbosus</v>
      </c>
      <c r="G4967" t="str">
        <f>_xlfn.XLOOKUP(A4967,'[1]Tissue Data'!$A:$A,'[1]Tissue Data'!J:J)</f>
        <v>U</v>
      </c>
      <c r="H4967" t="str">
        <f>_xlfn.XLOOKUP(A4967,'[1]Tissue Data'!$A:$A,'[1]Tissue Data'!K:K)</f>
        <v>Whole Body</v>
      </c>
      <c r="I4967">
        <f>_xlfn.XLOOKUP(A4967,'[1]Tissue Data'!$A:$A,'[1]Tissue Data'!L:L)</f>
        <v>5.5</v>
      </c>
      <c r="J4967">
        <f>_xlfn.XLOOKUP(A4967,'[1]Tissue Data'!$A:$A,'[1]Tissue Data'!M:M)</f>
        <v>3.24</v>
      </c>
      <c r="K4967" t="s">
        <v>27</v>
      </c>
      <c r="L4967" t="str">
        <f>_xlfn.XLOOKUP(K4967,[2]analyte_order!$B:$B,[2]analyte_order!$C:$C)</f>
        <v>355-46-4</v>
      </c>
      <c r="M4967">
        <f>_xlfn.XLOOKUP(L4967,[2]analyte_order!$C:$C,[2]analyte_order!$E:$E)</f>
        <v>16</v>
      </c>
      <c r="N4967">
        <v>29</v>
      </c>
    </row>
    <row r="4968" spans="1:14">
      <c r="A4968" t="s">
        <v>279</v>
      </c>
      <c r="B4968" t="str">
        <f>_xlfn.XLOOKUP(A4968,'[1]Tissue Data'!$A:$A,'[1]Tissue Data'!$C:$C)</f>
        <v>Spill</v>
      </c>
      <c r="C4968" s="2">
        <f>_xlfn.XLOOKUP(A4968,'[1]Tissue Data'!$A:$A,'[1]Tissue Data'!$D:$D)</f>
        <v>44393</v>
      </c>
      <c r="D4968" s="2" t="str">
        <f>_xlfn.XLOOKUP(A4968,'[1]Tissue Data'!$A:$A,'[1]Tissue Data'!$F:$F)</f>
        <v>Pumpkinseed</v>
      </c>
      <c r="E4968" t="str">
        <f>_xlfn.XLOOKUP(A4968,'[1]Tissue Data'!$A:$A,'[1]Tissue Data'!$H:$H)</f>
        <v>Lepomis</v>
      </c>
      <c r="F4968" t="str">
        <f>_xlfn.XLOOKUP(A4968,'[1]Tissue Data'!$A:$A,'[1]Tissue Data'!$I:$I)</f>
        <v>gibbosus</v>
      </c>
      <c r="G4968" t="str">
        <f>_xlfn.XLOOKUP(A4968,'[1]Tissue Data'!$A:$A,'[1]Tissue Data'!J:J)</f>
        <v>U</v>
      </c>
      <c r="H4968" t="str">
        <f>_xlfn.XLOOKUP(A4968,'[1]Tissue Data'!$A:$A,'[1]Tissue Data'!K:K)</f>
        <v>Whole Body</v>
      </c>
      <c r="I4968">
        <f>_xlfn.XLOOKUP(A4968,'[1]Tissue Data'!$A:$A,'[1]Tissue Data'!L:L)</f>
        <v>5.5</v>
      </c>
      <c r="J4968">
        <f>_xlfn.XLOOKUP(A4968,'[1]Tissue Data'!$A:$A,'[1]Tissue Data'!M:M)</f>
        <v>3.24</v>
      </c>
      <c r="K4968" t="s">
        <v>28</v>
      </c>
      <c r="L4968" t="str">
        <f>_xlfn.XLOOKUP(K4968,[2]analyte_order!$B:$B,[2]analyte_order!$C:$C)</f>
        <v>375-92-8</v>
      </c>
      <c r="M4968">
        <f>_xlfn.XLOOKUP(L4968,[2]analyte_order!$C:$C,[2]analyte_order!$E:$E)</f>
        <v>17</v>
      </c>
      <c r="N4968">
        <v>4.97</v>
      </c>
    </row>
    <row r="4969" spans="1:14">
      <c r="A4969" t="s">
        <v>279</v>
      </c>
      <c r="B4969" t="str">
        <f>_xlfn.XLOOKUP(A4969,'[1]Tissue Data'!$A:$A,'[1]Tissue Data'!$C:$C)</f>
        <v>Spill</v>
      </c>
      <c r="C4969" s="2">
        <f>_xlfn.XLOOKUP(A4969,'[1]Tissue Data'!$A:$A,'[1]Tissue Data'!$D:$D)</f>
        <v>44393</v>
      </c>
      <c r="D4969" s="2" t="str">
        <f>_xlfn.XLOOKUP(A4969,'[1]Tissue Data'!$A:$A,'[1]Tissue Data'!$F:$F)</f>
        <v>Pumpkinseed</v>
      </c>
      <c r="E4969" t="str">
        <f>_xlfn.XLOOKUP(A4969,'[1]Tissue Data'!$A:$A,'[1]Tissue Data'!$H:$H)</f>
        <v>Lepomis</v>
      </c>
      <c r="F4969" t="str">
        <f>_xlfn.XLOOKUP(A4969,'[1]Tissue Data'!$A:$A,'[1]Tissue Data'!$I:$I)</f>
        <v>gibbosus</v>
      </c>
      <c r="G4969" t="str">
        <f>_xlfn.XLOOKUP(A4969,'[1]Tissue Data'!$A:$A,'[1]Tissue Data'!J:J)</f>
        <v>U</v>
      </c>
      <c r="H4969" t="str">
        <f>_xlfn.XLOOKUP(A4969,'[1]Tissue Data'!$A:$A,'[1]Tissue Data'!K:K)</f>
        <v>Whole Body</v>
      </c>
      <c r="I4969">
        <f>_xlfn.XLOOKUP(A4969,'[1]Tissue Data'!$A:$A,'[1]Tissue Data'!L:L)</f>
        <v>5.5</v>
      </c>
      <c r="J4969">
        <f>_xlfn.XLOOKUP(A4969,'[1]Tissue Data'!$A:$A,'[1]Tissue Data'!M:M)</f>
        <v>3.24</v>
      </c>
      <c r="K4969" t="s">
        <v>29</v>
      </c>
      <c r="L4969" t="str">
        <f>_xlfn.XLOOKUP(K4969,[2]analyte_order!$B:$B,[2]analyte_order!$C:$C)</f>
        <v>1763-23-1</v>
      </c>
      <c r="M4969">
        <f>_xlfn.XLOOKUP(L4969,[2]analyte_order!$C:$C,[2]analyte_order!$E:$E)</f>
        <v>18</v>
      </c>
      <c r="N4969">
        <v>913</v>
      </c>
    </row>
    <row r="4970" spans="1:14">
      <c r="A4970" t="s">
        <v>279</v>
      </c>
      <c r="B4970" t="str">
        <f>_xlfn.XLOOKUP(A4970,'[1]Tissue Data'!$A:$A,'[1]Tissue Data'!$C:$C)</f>
        <v>Spill</v>
      </c>
      <c r="C4970" s="2">
        <f>_xlfn.XLOOKUP(A4970,'[1]Tissue Data'!$A:$A,'[1]Tissue Data'!$D:$D)</f>
        <v>44393</v>
      </c>
      <c r="D4970" s="2" t="str">
        <f>_xlfn.XLOOKUP(A4970,'[1]Tissue Data'!$A:$A,'[1]Tissue Data'!$F:$F)</f>
        <v>Pumpkinseed</v>
      </c>
      <c r="E4970" t="str">
        <f>_xlfn.XLOOKUP(A4970,'[1]Tissue Data'!$A:$A,'[1]Tissue Data'!$H:$H)</f>
        <v>Lepomis</v>
      </c>
      <c r="F4970" t="str">
        <f>_xlfn.XLOOKUP(A4970,'[1]Tissue Data'!$A:$A,'[1]Tissue Data'!$I:$I)</f>
        <v>gibbosus</v>
      </c>
      <c r="G4970" t="str">
        <f>_xlfn.XLOOKUP(A4970,'[1]Tissue Data'!$A:$A,'[1]Tissue Data'!J:J)</f>
        <v>U</v>
      </c>
      <c r="H4970" t="str">
        <f>_xlfn.XLOOKUP(A4970,'[1]Tissue Data'!$A:$A,'[1]Tissue Data'!K:K)</f>
        <v>Whole Body</v>
      </c>
      <c r="I4970">
        <f>_xlfn.XLOOKUP(A4970,'[1]Tissue Data'!$A:$A,'[1]Tissue Data'!L:L)</f>
        <v>5.5</v>
      </c>
      <c r="J4970">
        <f>_xlfn.XLOOKUP(A4970,'[1]Tissue Data'!$A:$A,'[1]Tissue Data'!M:M)</f>
        <v>3.24</v>
      </c>
      <c r="K4970" t="s">
        <v>30</v>
      </c>
      <c r="L4970" t="str">
        <f>_xlfn.XLOOKUP(K4970,[2]analyte_order!$B:$B,[2]analyte_order!$C:$C)</f>
        <v>68259-12-1</v>
      </c>
      <c r="M4970">
        <f>_xlfn.XLOOKUP(L4970,[2]analyte_order!$C:$C,[2]analyte_order!$E:$E)</f>
        <v>19</v>
      </c>
      <c r="N4970">
        <v>2.08</v>
      </c>
    </row>
    <row r="4971" spans="1:14">
      <c r="A4971" t="s">
        <v>279</v>
      </c>
      <c r="B4971" t="str">
        <f>_xlfn.XLOOKUP(A4971,'[1]Tissue Data'!$A:$A,'[1]Tissue Data'!$C:$C)</f>
        <v>Spill</v>
      </c>
      <c r="C4971" s="2">
        <f>_xlfn.XLOOKUP(A4971,'[1]Tissue Data'!$A:$A,'[1]Tissue Data'!$D:$D)</f>
        <v>44393</v>
      </c>
      <c r="D4971" s="2" t="str">
        <f>_xlfn.XLOOKUP(A4971,'[1]Tissue Data'!$A:$A,'[1]Tissue Data'!$F:$F)</f>
        <v>Pumpkinseed</v>
      </c>
      <c r="E4971" t="str">
        <f>_xlfn.XLOOKUP(A4971,'[1]Tissue Data'!$A:$A,'[1]Tissue Data'!$H:$H)</f>
        <v>Lepomis</v>
      </c>
      <c r="F4971" t="str">
        <f>_xlfn.XLOOKUP(A4971,'[1]Tissue Data'!$A:$A,'[1]Tissue Data'!$I:$I)</f>
        <v>gibbosus</v>
      </c>
      <c r="G4971" t="str">
        <f>_xlfn.XLOOKUP(A4971,'[1]Tissue Data'!$A:$A,'[1]Tissue Data'!J:J)</f>
        <v>U</v>
      </c>
      <c r="H4971" t="str">
        <f>_xlfn.XLOOKUP(A4971,'[1]Tissue Data'!$A:$A,'[1]Tissue Data'!K:K)</f>
        <v>Whole Body</v>
      </c>
      <c r="I4971">
        <f>_xlfn.XLOOKUP(A4971,'[1]Tissue Data'!$A:$A,'[1]Tissue Data'!L:L)</f>
        <v>5.5</v>
      </c>
      <c r="J4971">
        <f>_xlfn.XLOOKUP(A4971,'[1]Tissue Data'!$A:$A,'[1]Tissue Data'!M:M)</f>
        <v>3.24</v>
      </c>
      <c r="K4971" t="s">
        <v>31</v>
      </c>
      <c r="L4971" t="str">
        <f>_xlfn.XLOOKUP(K4971,[2]analyte_order!$B:$B,[2]analyte_order!$C:$C)</f>
        <v>335-77-3</v>
      </c>
      <c r="M4971">
        <f>_xlfn.XLOOKUP(L4971,[2]analyte_order!$C:$C,[2]analyte_order!$E:$E)</f>
        <v>20</v>
      </c>
      <c r="N4971">
        <v>2.5</v>
      </c>
    </row>
    <row r="4972" spans="1:14">
      <c r="A4972" t="s">
        <v>279</v>
      </c>
      <c r="B4972" t="str">
        <f>_xlfn.XLOOKUP(A4972,'[1]Tissue Data'!$A:$A,'[1]Tissue Data'!$C:$C)</f>
        <v>Spill</v>
      </c>
      <c r="C4972" s="2">
        <f>_xlfn.XLOOKUP(A4972,'[1]Tissue Data'!$A:$A,'[1]Tissue Data'!$D:$D)</f>
        <v>44393</v>
      </c>
      <c r="D4972" s="2" t="str">
        <f>_xlfn.XLOOKUP(A4972,'[1]Tissue Data'!$A:$A,'[1]Tissue Data'!$F:$F)</f>
        <v>Pumpkinseed</v>
      </c>
      <c r="E4972" t="str">
        <f>_xlfn.XLOOKUP(A4972,'[1]Tissue Data'!$A:$A,'[1]Tissue Data'!$H:$H)</f>
        <v>Lepomis</v>
      </c>
      <c r="F4972" t="str">
        <f>_xlfn.XLOOKUP(A4972,'[1]Tissue Data'!$A:$A,'[1]Tissue Data'!$I:$I)</f>
        <v>gibbosus</v>
      </c>
      <c r="G4972" t="str">
        <f>_xlfn.XLOOKUP(A4972,'[1]Tissue Data'!$A:$A,'[1]Tissue Data'!J:J)</f>
        <v>U</v>
      </c>
      <c r="H4972" t="str">
        <f>_xlfn.XLOOKUP(A4972,'[1]Tissue Data'!$A:$A,'[1]Tissue Data'!K:K)</f>
        <v>Whole Body</v>
      </c>
      <c r="I4972">
        <f>_xlfn.XLOOKUP(A4972,'[1]Tissue Data'!$A:$A,'[1]Tissue Data'!L:L)</f>
        <v>5.5</v>
      </c>
      <c r="J4972">
        <f>_xlfn.XLOOKUP(A4972,'[1]Tissue Data'!$A:$A,'[1]Tissue Data'!M:M)</f>
        <v>3.24</v>
      </c>
      <c r="K4972" t="s">
        <v>32</v>
      </c>
      <c r="L4972" t="str">
        <f>_xlfn.XLOOKUP(K4972,[2]analyte_order!$B:$B,[2]analyte_order!$C:$C)</f>
        <v>79780-39-5</v>
      </c>
      <c r="M4972">
        <f>_xlfn.XLOOKUP(L4972,[2]analyte_order!$C:$C,[2]analyte_order!$E:$E)</f>
        <v>21</v>
      </c>
      <c r="N4972">
        <v>1.1499999999999999</v>
      </c>
    </row>
    <row r="4973" spans="1:14">
      <c r="A4973" t="s">
        <v>279</v>
      </c>
      <c r="B4973" t="str">
        <f>_xlfn.XLOOKUP(A4973,'[1]Tissue Data'!$A:$A,'[1]Tissue Data'!$C:$C)</f>
        <v>Spill</v>
      </c>
      <c r="C4973" s="2">
        <f>_xlfn.XLOOKUP(A4973,'[1]Tissue Data'!$A:$A,'[1]Tissue Data'!$D:$D)</f>
        <v>44393</v>
      </c>
      <c r="D4973" s="2" t="str">
        <f>_xlfn.XLOOKUP(A4973,'[1]Tissue Data'!$A:$A,'[1]Tissue Data'!$F:$F)</f>
        <v>Pumpkinseed</v>
      </c>
      <c r="E4973" t="str">
        <f>_xlfn.XLOOKUP(A4973,'[1]Tissue Data'!$A:$A,'[1]Tissue Data'!$H:$H)</f>
        <v>Lepomis</v>
      </c>
      <c r="F4973" t="str">
        <f>_xlfn.XLOOKUP(A4973,'[1]Tissue Data'!$A:$A,'[1]Tissue Data'!$I:$I)</f>
        <v>gibbosus</v>
      </c>
      <c r="G4973" t="str">
        <f>_xlfn.XLOOKUP(A4973,'[1]Tissue Data'!$A:$A,'[1]Tissue Data'!J:J)</f>
        <v>U</v>
      </c>
      <c r="H4973" t="str">
        <f>_xlfn.XLOOKUP(A4973,'[1]Tissue Data'!$A:$A,'[1]Tissue Data'!K:K)</f>
        <v>Whole Body</v>
      </c>
      <c r="I4973">
        <f>_xlfn.XLOOKUP(A4973,'[1]Tissue Data'!$A:$A,'[1]Tissue Data'!L:L)</f>
        <v>5.5</v>
      </c>
      <c r="J4973">
        <f>_xlfn.XLOOKUP(A4973,'[1]Tissue Data'!$A:$A,'[1]Tissue Data'!M:M)</f>
        <v>3.24</v>
      </c>
      <c r="K4973" t="s">
        <v>33</v>
      </c>
      <c r="L4973" t="str">
        <f>_xlfn.XLOOKUP(K4973,[2]analyte_order!$B:$B,[2]analyte_order!$C:$C)</f>
        <v>777011-38-8</v>
      </c>
      <c r="M4973">
        <f>_xlfn.XLOOKUP(L4973,[2]analyte_order!$C:$C,[2]analyte_order!$E:$E)</f>
        <v>54</v>
      </c>
      <c r="N4973">
        <v>0.13850000000000001</v>
      </c>
    </row>
    <row r="4974" spans="1:14">
      <c r="A4974" t="s">
        <v>279</v>
      </c>
      <c r="B4974" t="str">
        <f>_xlfn.XLOOKUP(A4974,'[1]Tissue Data'!$A:$A,'[1]Tissue Data'!$C:$C)</f>
        <v>Spill</v>
      </c>
      <c r="C4974" s="2">
        <f>_xlfn.XLOOKUP(A4974,'[1]Tissue Data'!$A:$A,'[1]Tissue Data'!$D:$D)</f>
        <v>44393</v>
      </c>
      <c r="D4974" s="2" t="str">
        <f>_xlfn.XLOOKUP(A4974,'[1]Tissue Data'!$A:$A,'[1]Tissue Data'!$F:$F)</f>
        <v>Pumpkinseed</v>
      </c>
      <c r="E4974" t="str">
        <f>_xlfn.XLOOKUP(A4974,'[1]Tissue Data'!$A:$A,'[1]Tissue Data'!$H:$H)</f>
        <v>Lepomis</v>
      </c>
      <c r="F4974" t="str">
        <f>_xlfn.XLOOKUP(A4974,'[1]Tissue Data'!$A:$A,'[1]Tissue Data'!$I:$I)</f>
        <v>gibbosus</v>
      </c>
      <c r="G4974" t="str">
        <f>_xlfn.XLOOKUP(A4974,'[1]Tissue Data'!$A:$A,'[1]Tissue Data'!J:J)</f>
        <v>U</v>
      </c>
      <c r="H4974" t="str">
        <f>_xlfn.XLOOKUP(A4974,'[1]Tissue Data'!$A:$A,'[1]Tissue Data'!K:K)</f>
        <v>Whole Body</v>
      </c>
      <c r="I4974">
        <f>_xlfn.XLOOKUP(A4974,'[1]Tissue Data'!$A:$A,'[1]Tissue Data'!L:L)</f>
        <v>5.5</v>
      </c>
      <c r="J4974">
        <f>_xlfn.XLOOKUP(A4974,'[1]Tissue Data'!$A:$A,'[1]Tissue Data'!M:M)</f>
        <v>3.24</v>
      </c>
      <c r="K4974" t="s">
        <v>34</v>
      </c>
      <c r="L4974" t="str">
        <f>_xlfn.XLOOKUP(K4974,[2]analyte_order!$B:$B,[2]analyte_order!$C:$C)</f>
        <v>646-83-3</v>
      </c>
      <c r="M4974">
        <f>_xlfn.XLOOKUP(L4974,[2]analyte_order!$C:$C,[2]analyte_order!$E:$E)</f>
        <v>55</v>
      </c>
      <c r="N4974">
        <v>0.22750000000000001</v>
      </c>
    </row>
    <row r="4975" spans="1:14">
      <c r="A4975" t="s">
        <v>279</v>
      </c>
      <c r="B4975" t="str">
        <f>_xlfn.XLOOKUP(A4975,'[1]Tissue Data'!$A:$A,'[1]Tissue Data'!$C:$C)</f>
        <v>Spill</v>
      </c>
      <c r="C4975" s="2">
        <f>_xlfn.XLOOKUP(A4975,'[1]Tissue Data'!$A:$A,'[1]Tissue Data'!$D:$D)</f>
        <v>44393</v>
      </c>
      <c r="D4975" s="2" t="str">
        <f>_xlfn.XLOOKUP(A4975,'[1]Tissue Data'!$A:$A,'[1]Tissue Data'!$F:$F)</f>
        <v>Pumpkinseed</v>
      </c>
      <c r="E4975" t="str">
        <f>_xlfn.XLOOKUP(A4975,'[1]Tissue Data'!$A:$A,'[1]Tissue Data'!$H:$H)</f>
        <v>Lepomis</v>
      </c>
      <c r="F4975" t="str">
        <f>_xlfn.XLOOKUP(A4975,'[1]Tissue Data'!$A:$A,'[1]Tissue Data'!$I:$I)</f>
        <v>gibbosus</v>
      </c>
      <c r="G4975" t="str">
        <f>_xlfn.XLOOKUP(A4975,'[1]Tissue Data'!$A:$A,'[1]Tissue Data'!J:J)</f>
        <v>U</v>
      </c>
      <c r="H4975" t="str">
        <f>_xlfn.XLOOKUP(A4975,'[1]Tissue Data'!$A:$A,'[1]Tissue Data'!K:K)</f>
        <v>Whole Body</v>
      </c>
      <c r="I4975">
        <f>_xlfn.XLOOKUP(A4975,'[1]Tissue Data'!$A:$A,'[1]Tissue Data'!L:L)</f>
        <v>5.5</v>
      </c>
      <c r="J4975">
        <f>_xlfn.XLOOKUP(A4975,'[1]Tissue Data'!$A:$A,'[1]Tissue Data'!M:M)</f>
        <v>3.24</v>
      </c>
      <c r="K4975" t="s">
        <v>35</v>
      </c>
      <c r="L4975" t="str">
        <f>_xlfn.XLOOKUP(K4975,[2]analyte_order!$B:$B,[2]analyte_order!$C:$C)</f>
        <v>30334-69-1</v>
      </c>
      <c r="M4975">
        <f>_xlfn.XLOOKUP(L4975,[2]analyte_order!$C:$C,[2]analyte_order!$E:$E)</f>
        <v>51</v>
      </c>
      <c r="N4975">
        <v>25.9</v>
      </c>
    </row>
    <row r="4976" spans="1:14">
      <c r="A4976" t="s">
        <v>279</v>
      </c>
      <c r="B4976" t="str">
        <f>_xlfn.XLOOKUP(A4976,'[1]Tissue Data'!$A:$A,'[1]Tissue Data'!$C:$C)</f>
        <v>Spill</v>
      </c>
      <c r="C4976" s="2">
        <f>_xlfn.XLOOKUP(A4976,'[1]Tissue Data'!$A:$A,'[1]Tissue Data'!$D:$D)</f>
        <v>44393</v>
      </c>
      <c r="D4976" s="2" t="str">
        <f>_xlfn.XLOOKUP(A4976,'[1]Tissue Data'!$A:$A,'[1]Tissue Data'!$F:$F)</f>
        <v>Pumpkinseed</v>
      </c>
      <c r="E4976" t="str">
        <f>_xlfn.XLOOKUP(A4976,'[1]Tissue Data'!$A:$A,'[1]Tissue Data'!$H:$H)</f>
        <v>Lepomis</v>
      </c>
      <c r="F4976" t="str">
        <f>_xlfn.XLOOKUP(A4976,'[1]Tissue Data'!$A:$A,'[1]Tissue Data'!$I:$I)</f>
        <v>gibbosus</v>
      </c>
      <c r="G4976" t="str">
        <f>_xlfn.XLOOKUP(A4976,'[1]Tissue Data'!$A:$A,'[1]Tissue Data'!J:J)</f>
        <v>U</v>
      </c>
      <c r="H4976" t="str">
        <f>_xlfn.XLOOKUP(A4976,'[1]Tissue Data'!$A:$A,'[1]Tissue Data'!K:K)</f>
        <v>Whole Body</v>
      </c>
      <c r="I4976">
        <f>_xlfn.XLOOKUP(A4976,'[1]Tissue Data'!$A:$A,'[1]Tissue Data'!L:L)</f>
        <v>5.5</v>
      </c>
      <c r="J4976">
        <f>_xlfn.XLOOKUP(A4976,'[1]Tissue Data'!$A:$A,'[1]Tissue Data'!M:M)</f>
        <v>3.24</v>
      </c>
      <c r="K4976" t="s">
        <v>36</v>
      </c>
      <c r="L4976" t="str">
        <f>_xlfn.XLOOKUP(K4976,[2]analyte_order!$B:$B,[2]analyte_order!$C:$C)</f>
        <v>41997-13-1</v>
      </c>
      <c r="M4976">
        <f>_xlfn.XLOOKUP(L4976,[2]analyte_order!$C:$C,[2]analyte_order!$E:$E)</f>
        <v>52</v>
      </c>
      <c r="N4976">
        <v>82.2</v>
      </c>
    </row>
    <row r="4977" spans="1:14">
      <c r="A4977" t="s">
        <v>279</v>
      </c>
      <c r="B4977" t="str">
        <f>_xlfn.XLOOKUP(A4977,'[1]Tissue Data'!$A:$A,'[1]Tissue Data'!$C:$C)</f>
        <v>Spill</v>
      </c>
      <c r="C4977" s="2">
        <f>_xlfn.XLOOKUP(A4977,'[1]Tissue Data'!$A:$A,'[1]Tissue Data'!$D:$D)</f>
        <v>44393</v>
      </c>
      <c r="D4977" s="2" t="str">
        <f>_xlfn.XLOOKUP(A4977,'[1]Tissue Data'!$A:$A,'[1]Tissue Data'!$F:$F)</f>
        <v>Pumpkinseed</v>
      </c>
      <c r="E4977" t="str">
        <f>_xlfn.XLOOKUP(A4977,'[1]Tissue Data'!$A:$A,'[1]Tissue Data'!$H:$H)</f>
        <v>Lepomis</v>
      </c>
      <c r="F4977" t="str">
        <f>_xlfn.XLOOKUP(A4977,'[1]Tissue Data'!$A:$A,'[1]Tissue Data'!$I:$I)</f>
        <v>gibbosus</v>
      </c>
      <c r="G4977" t="str">
        <f>_xlfn.XLOOKUP(A4977,'[1]Tissue Data'!$A:$A,'[1]Tissue Data'!J:J)</f>
        <v>U</v>
      </c>
      <c r="H4977" t="str">
        <f>_xlfn.XLOOKUP(A4977,'[1]Tissue Data'!$A:$A,'[1]Tissue Data'!K:K)</f>
        <v>Whole Body</v>
      </c>
      <c r="I4977">
        <f>_xlfn.XLOOKUP(A4977,'[1]Tissue Data'!$A:$A,'[1]Tissue Data'!L:L)</f>
        <v>5.5</v>
      </c>
      <c r="J4977">
        <f>_xlfn.XLOOKUP(A4977,'[1]Tissue Data'!$A:$A,'[1]Tissue Data'!M:M)</f>
        <v>3.24</v>
      </c>
      <c r="K4977" t="s">
        <v>37</v>
      </c>
      <c r="L4977" t="str">
        <f>_xlfn.XLOOKUP(K4977,[2]analyte_order!$B:$B,[2]analyte_order!$C:$C)</f>
        <v>754-91-6</v>
      </c>
      <c r="M4977">
        <f>_xlfn.XLOOKUP(L4977,[2]analyte_order!$C:$C,[2]analyte_order!$E:$E)</f>
        <v>28</v>
      </c>
      <c r="N4977">
        <v>12.9</v>
      </c>
    </row>
    <row r="4978" spans="1:14">
      <c r="A4978" t="s">
        <v>279</v>
      </c>
      <c r="B4978" t="str">
        <f>_xlfn.XLOOKUP(A4978,'[1]Tissue Data'!$A:$A,'[1]Tissue Data'!$C:$C)</f>
        <v>Spill</v>
      </c>
      <c r="C4978" s="2">
        <f>_xlfn.XLOOKUP(A4978,'[1]Tissue Data'!$A:$A,'[1]Tissue Data'!$D:$D)</f>
        <v>44393</v>
      </c>
      <c r="D4978" s="2" t="str">
        <f>_xlfn.XLOOKUP(A4978,'[1]Tissue Data'!$A:$A,'[1]Tissue Data'!$F:$F)</f>
        <v>Pumpkinseed</v>
      </c>
      <c r="E4978" t="str">
        <f>_xlfn.XLOOKUP(A4978,'[1]Tissue Data'!$A:$A,'[1]Tissue Data'!$H:$H)</f>
        <v>Lepomis</v>
      </c>
      <c r="F4978" t="str">
        <f>_xlfn.XLOOKUP(A4978,'[1]Tissue Data'!$A:$A,'[1]Tissue Data'!$I:$I)</f>
        <v>gibbosus</v>
      </c>
      <c r="G4978" t="str">
        <f>_xlfn.XLOOKUP(A4978,'[1]Tissue Data'!$A:$A,'[1]Tissue Data'!J:J)</f>
        <v>U</v>
      </c>
      <c r="H4978" t="str">
        <f>_xlfn.XLOOKUP(A4978,'[1]Tissue Data'!$A:$A,'[1]Tissue Data'!K:K)</f>
        <v>Whole Body</v>
      </c>
      <c r="I4978">
        <f>_xlfn.XLOOKUP(A4978,'[1]Tissue Data'!$A:$A,'[1]Tissue Data'!L:L)</f>
        <v>5.5</v>
      </c>
      <c r="J4978">
        <f>_xlfn.XLOOKUP(A4978,'[1]Tissue Data'!$A:$A,'[1]Tissue Data'!M:M)</f>
        <v>3.24</v>
      </c>
      <c r="K4978" t="s">
        <v>38</v>
      </c>
      <c r="L4978" t="str">
        <f>_xlfn.XLOOKUP(K4978,[2]analyte_order!$B:$B,[2]analyte_order!$C:$C)</f>
        <v>31506-32-8</v>
      </c>
      <c r="M4978">
        <f>_xlfn.XLOOKUP(L4978,[2]analyte_order!$C:$C,[2]analyte_order!$E:$E)</f>
        <v>30</v>
      </c>
      <c r="N4978">
        <v>6.9000000000000006E-2</v>
      </c>
    </row>
    <row r="4979" spans="1:14">
      <c r="A4979" t="s">
        <v>279</v>
      </c>
      <c r="B4979" t="str">
        <f>_xlfn.XLOOKUP(A4979,'[1]Tissue Data'!$A:$A,'[1]Tissue Data'!$C:$C)</f>
        <v>Spill</v>
      </c>
      <c r="C4979" s="2">
        <f>_xlfn.XLOOKUP(A4979,'[1]Tissue Data'!$A:$A,'[1]Tissue Data'!$D:$D)</f>
        <v>44393</v>
      </c>
      <c r="D4979" s="2" t="str">
        <f>_xlfn.XLOOKUP(A4979,'[1]Tissue Data'!$A:$A,'[1]Tissue Data'!$F:$F)</f>
        <v>Pumpkinseed</v>
      </c>
      <c r="E4979" t="str">
        <f>_xlfn.XLOOKUP(A4979,'[1]Tissue Data'!$A:$A,'[1]Tissue Data'!$H:$H)</f>
        <v>Lepomis</v>
      </c>
      <c r="F4979" t="str">
        <f>_xlfn.XLOOKUP(A4979,'[1]Tissue Data'!$A:$A,'[1]Tissue Data'!$I:$I)</f>
        <v>gibbosus</v>
      </c>
      <c r="G4979" t="str">
        <f>_xlfn.XLOOKUP(A4979,'[1]Tissue Data'!$A:$A,'[1]Tissue Data'!J:J)</f>
        <v>U</v>
      </c>
      <c r="H4979" t="str">
        <f>_xlfn.XLOOKUP(A4979,'[1]Tissue Data'!$A:$A,'[1]Tissue Data'!K:K)</f>
        <v>Whole Body</v>
      </c>
      <c r="I4979">
        <f>_xlfn.XLOOKUP(A4979,'[1]Tissue Data'!$A:$A,'[1]Tissue Data'!L:L)</f>
        <v>5.5</v>
      </c>
      <c r="J4979">
        <f>_xlfn.XLOOKUP(A4979,'[1]Tissue Data'!$A:$A,'[1]Tissue Data'!M:M)</f>
        <v>3.24</v>
      </c>
      <c r="K4979" t="s">
        <v>39</v>
      </c>
      <c r="L4979" t="str">
        <f>_xlfn.XLOOKUP(K4979,[2]analyte_order!$B:$B,[2]analyte_order!$C:$C)</f>
        <v>4151-50-2</v>
      </c>
      <c r="M4979">
        <f>_xlfn.XLOOKUP(L4979,[2]analyte_order!$C:$C,[2]analyte_order!$E:$E)</f>
        <v>31</v>
      </c>
      <c r="N4979">
        <v>8.0500000000000002E-2</v>
      </c>
    </row>
    <row r="4980" spans="1:14">
      <c r="A4980" t="s">
        <v>279</v>
      </c>
      <c r="B4980" t="str">
        <f>_xlfn.XLOOKUP(A4980,'[1]Tissue Data'!$A:$A,'[1]Tissue Data'!$C:$C)</f>
        <v>Spill</v>
      </c>
      <c r="C4980" s="2">
        <f>_xlfn.XLOOKUP(A4980,'[1]Tissue Data'!$A:$A,'[1]Tissue Data'!$D:$D)</f>
        <v>44393</v>
      </c>
      <c r="D4980" s="2" t="str">
        <f>_xlfn.XLOOKUP(A4980,'[1]Tissue Data'!$A:$A,'[1]Tissue Data'!$F:$F)</f>
        <v>Pumpkinseed</v>
      </c>
      <c r="E4980" t="str">
        <f>_xlfn.XLOOKUP(A4980,'[1]Tissue Data'!$A:$A,'[1]Tissue Data'!$H:$H)</f>
        <v>Lepomis</v>
      </c>
      <c r="F4980" t="str">
        <f>_xlfn.XLOOKUP(A4980,'[1]Tissue Data'!$A:$A,'[1]Tissue Data'!$I:$I)</f>
        <v>gibbosus</v>
      </c>
      <c r="G4980" t="str">
        <f>_xlfn.XLOOKUP(A4980,'[1]Tissue Data'!$A:$A,'[1]Tissue Data'!J:J)</f>
        <v>U</v>
      </c>
      <c r="H4980" t="str">
        <f>_xlfn.XLOOKUP(A4980,'[1]Tissue Data'!$A:$A,'[1]Tissue Data'!K:K)</f>
        <v>Whole Body</v>
      </c>
      <c r="I4980">
        <f>_xlfn.XLOOKUP(A4980,'[1]Tissue Data'!$A:$A,'[1]Tissue Data'!L:L)</f>
        <v>5.5</v>
      </c>
      <c r="J4980">
        <f>_xlfn.XLOOKUP(A4980,'[1]Tissue Data'!$A:$A,'[1]Tissue Data'!M:M)</f>
        <v>3.24</v>
      </c>
      <c r="K4980" t="s">
        <v>40</v>
      </c>
      <c r="L4980" t="str">
        <f>_xlfn.XLOOKUP(K4980,[2]analyte_order!$B:$B,[2]analyte_order!$C:$C)</f>
        <v>2806-24-8</v>
      </c>
      <c r="M4980">
        <f>_xlfn.XLOOKUP(L4980,[2]analyte_order!$C:$C,[2]analyte_order!$E:$E)</f>
        <v>29</v>
      </c>
      <c r="N4980">
        <v>5.45E-2</v>
      </c>
    </row>
    <row r="4981" spans="1:14">
      <c r="A4981" t="s">
        <v>279</v>
      </c>
      <c r="B4981" t="str">
        <f>_xlfn.XLOOKUP(A4981,'[1]Tissue Data'!$A:$A,'[1]Tissue Data'!$C:$C)</f>
        <v>Spill</v>
      </c>
      <c r="C4981" s="2">
        <f>_xlfn.XLOOKUP(A4981,'[1]Tissue Data'!$A:$A,'[1]Tissue Data'!$D:$D)</f>
        <v>44393</v>
      </c>
      <c r="D4981" s="2" t="str">
        <f>_xlfn.XLOOKUP(A4981,'[1]Tissue Data'!$A:$A,'[1]Tissue Data'!$F:$F)</f>
        <v>Pumpkinseed</v>
      </c>
      <c r="E4981" t="str">
        <f>_xlfn.XLOOKUP(A4981,'[1]Tissue Data'!$A:$A,'[1]Tissue Data'!$H:$H)</f>
        <v>Lepomis</v>
      </c>
      <c r="F4981" t="str">
        <f>_xlfn.XLOOKUP(A4981,'[1]Tissue Data'!$A:$A,'[1]Tissue Data'!$I:$I)</f>
        <v>gibbosus</v>
      </c>
      <c r="G4981" t="str">
        <f>_xlfn.XLOOKUP(A4981,'[1]Tissue Data'!$A:$A,'[1]Tissue Data'!J:J)</f>
        <v>U</v>
      </c>
      <c r="H4981" t="str">
        <f>_xlfn.XLOOKUP(A4981,'[1]Tissue Data'!$A:$A,'[1]Tissue Data'!K:K)</f>
        <v>Whole Body</v>
      </c>
      <c r="I4981">
        <f>_xlfn.XLOOKUP(A4981,'[1]Tissue Data'!$A:$A,'[1]Tissue Data'!L:L)</f>
        <v>5.5</v>
      </c>
      <c r="J4981">
        <f>_xlfn.XLOOKUP(A4981,'[1]Tissue Data'!$A:$A,'[1]Tissue Data'!M:M)</f>
        <v>3.24</v>
      </c>
      <c r="K4981" t="s">
        <v>41</v>
      </c>
      <c r="L4981" t="str">
        <f>_xlfn.XLOOKUP(K4981,[2]analyte_order!$B:$B,[2]analyte_order!$C:$C)</f>
        <v>2355-31-9</v>
      </c>
      <c r="M4981">
        <f>_xlfn.XLOOKUP(L4981,[2]analyte_order!$C:$C,[2]analyte_order!$E:$E)</f>
        <v>26</v>
      </c>
      <c r="N4981">
        <v>6.9500000000000006E-2</v>
      </c>
    </row>
    <row r="4982" spans="1:14">
      <c r="A4982" t="s">
        <v>279</v>
      </c>
      <c r="B4982" t="str">
        <f>_xlfn.XLOOKUP(A4982,'[1]Tissue Data'!$A:$A,'[1]Tissue Data'!$C:$C)</f>
        <v>Spill</v>
      </c>
      <c r="C4982" s="2">
        <f>_xlfn.XLOOKUP(A4982,'[1]Tissue Data'!$A:$A,'[1]Tissue Data'!$D:$D)</f>
        <v>44393</v>
      </c>
      <c r="D4982" s="2" t="str">
        <f>_xlfn.XLOOKUP(A4982,'[1]Tissue Data'!$A:$A,'[1]Tissue Data'!$F:$F)</f>
        <v>Pumpkinseed</v>
      </c>
      <c r="E4982" t="str">
        <f>_xlfn.XLOOKUP(A4982,'[1]Tissue Data'!$A:$A,'[1]Tissue Data'!$H:$H)</f>
        <v>Lepomis</v>
      </c>
      <c r="F4982" t="str">
        <f>_xlfn.XLOOKUP(A4982,'[1]Tissue Data'!$A:$A,'[1]Tissue Data'!$I:$I)</f>
        <v>gibbosus</v>
      </c>
      <c r="G4982" t="str">
        <f>_xlfn.XLOOKUP(A4982,'[1]Tissue Data'!$A:$A,'[1]Tissue Data'!J:J)</f>
        <v>U</v>
      </c>
      <c r="H4982" t="str">
        <f>_xlfn.XLOOKUP(A4982,'[1]Tissue Data'!$A:$A,'[1]Tissue Data'!K:K)</f>
        <v>Whole Body</v>
      </c>
      <c r="I4982">
        <f>_xlfn.XLOOKUP(A4982,'[1]Tissue Data'!$A:$A,'[1]Tissue Data'!L:L)</f>
        <v>5.5</v>
      </c>
      <c r="J4982">
        <f>_xlfn.XLOOKUP(A4982,'[1]Tissue Data'!$A:$A,'[1]Tissue Data'!M:M)</f>
        <v>3.24</v>
      </c>
      <c r="K4982" t="s">
        <v>42</v>
      </c>
      <c r="L4982" t="str">
        <f>_xlfn.XLOOKUP(K4982,[2]analyte_order!$B:$B,[2]analyte_order!$C:$C)</f>
        <v>2991-50-6</v>
      </c>
      <c r="M4982">
        <f>_xlfn.XLOOKUP(L4982,[2]analyte_order!$C:$C,[2]analyte_order!$E:$E)</f>
        <v>27</v>
      </c>
      <c r="N4982">
        <v>0.06</v>
      </c>
    </row>
    <row r="4983" spans="1:14">
      <c r="A4983" t="s">
        <v>279</v>
      </c>
      <c r="B4983" t="str">
        <f>_xlfn.XLOOKUP(A4983,'[1]Tissue Data'!$A:$A,'[1]Tissue Data'!$C:$C)</f>
        <v>Spill</v>
      </c>
      <c r="C4983" s="2">
        <f>_xlfn.XLOOKUP(A4983,'[1]Tissue Data'!$A:$A,'[1]Tissue Data'!$D:$D)</f>
        <v>44393</v>
      </c>
      <c r="D4983" s="2" t="str">
        <f>_xlfn.XLOOKUP(A4983,'[1]Tissue Data'!$A:$A,'[1]Tissue Data'!$F:$F)</f>
        <v>Pumpkinseed</v>
      </c>
      <c r="E4983" t="str">
        <f>_xlfn.XLOOKUP(A4983,'[1]Tissue Data'!$A:$A,'[1]Tissue Data'!$H:$H)</f>
        <v>Lepomis</v>
      </c>
      <c r="F4983" t="str">
        <f>_xlfn.XLOOKUP(A4983,'[1]Tissue Data'!$A:$A,'[1]Tissue Data'!$I:$I)</f>
        <v>gibbosus</v>
      </c>
      <c r="G4983" t="str">
        <f>_xlfn.XLOOKUP(A4983,'[1]Tissue Data'!$A:$A,'[1]Tissue Data'!J:J)</f>
        <v>U</v>
      </c>
      <c r="H4983" t="str">
        <f>_xlfn.XLOOKUP(A4983,'[1]Tissue Data'!$A:$A,'[1]Tissue Data'!K:K)</f>
        <v>Whole Body</v>
      </c>
      <c r="I4983">
        <f>_xlfn.XLOOKUP(A4983,'[1]Tissue Data'!$A:$A,'[1]Tissue Data'!L:L)</f>
        <v>5.5</v>
      </c>
      <c r="J4983">
        <f>_xlfn.XLOOKUP(A4983,'[1]Tissue Data'!$A:$A,'[1]Tissue Data'!M:M)</f>
        <v>3.24</v>
      </c>
      <c r="K4983" t="s">
        <v>43</v>
      </c>
      <c r="L4983" t="str">
        <f>_xlfn.XLOOKUP(K4983,[2]analyte_order!$B:$B,[2]analyte_order!$C:$C)</f>
        <v>757124-72-4</v>
      </c>
      <c r="M4983">
        <f>_xlfn.XLOOKUP(L4983,[2]analyte_order!$C:$C,[2]analyte_order!$E:$E)</f>
        <v>22</v>
      </c>
      <c r="N4983">
        <v>6.9000000000000006E-2</v>
      </c>
    </row>
    <row r="4984" spans="1:14">
      <c r="A4984" t="s">
        <v>279</v>
      </c>
      <c r="B4984" t="str">
        <f>_xlfn.XLOOKUP(A4984,'[1]Tissue Data'!$A:$A,'[1]Tissue Data'!$C:$C)</f>
        <v>Spill</v>
      </c>
      <c r="C4984" s="2">
        <f>_xlfn.XLOOKUP(A4984,'[1]Tissue Data'!$A:$A,'[1]Tissue Data'!$D:$D)</f>
        <v>44393</v>
      </c>
      <c r="D4984" s="2" t="str">
        <f>_xlfn.XLOOKUP(A4984,'[1]Tissue Data'!$A:$A,'[1]Tissue Data'!$F:$F)</f>
        <v>Pumpkinseed</v>
      </c>
      <c r="E4984" t="str">
        <f>_xlfn.XLOOKUP(A4984,'[1]Tissue Data'!$A:$A,'[1]Tissue Data'!$H:$H)</f>
        <v>Lepomis</v>
      </c>
      <c r="F4984" t="str">
        <f>_xlfn.XLOOKUP(A4984,'[1]Tissue Data'!$A:$A,'[1]Tissue Data'!$I:$I)</f>
        <v>gibbosus</v>
      </c>
      <c r="G4984" t="str">
        <f>_xlfn.XLOOKUP(A4984,'[1]Tissue Data'!$A:$A,'[1]Tissue Data'!J:J)</f>
        <v>U</v>
      </c>
      <c r="H4984" t="str">
        <f>_xlfn.XLOOKUP(A4984,'[1]Tissue Data'!$A:$A,'[1]Tissue Data'!K:K)</f>
        <v>Whole Body</v>
      </c>
      <c r="I4984">
        <f>_xlfn.XLOOKUP(A4984,'[1]Tissue Data'!$A:$A,'[1]Tissue Data'!L:L)</f>
        <v>5.5</v>
      </c>
      <c r="J4984">
        <f>_xlfn.XLOOKUP(A4984,'[1]Tissue Data'!$A:$A,'[1]Tissue Data'!M:M)</f>
        <v>3.24</v>
      </c>
      <c r="K4984" t="s">
        <v>44</v>
      </c>
      <c r="L4984" t="str">
        <f>_xlfn.XLOOKUP(K4984,[2]analyte_order!$B:$B,[2]analyte_order!$C:$C)</f>
        <v>27619-97-2</v>
      </c>
      <c r="M4984">
        <f>_xlfn.XLOOKUP(L4984,[2]analyte_order!$C:$C,[2]analyte_order!$E:$E)</f>
        <v>23</v>
      </c>
      <c r="N4984">
        <v>0.78400000000000003</v>
      </c>
    </row>
    <row r="4985" spans="1:14">
      <c r="A4985" t="s">
        <v>279</v>
      </c>
      <c r="B4985" t="str">
        <f>_xlfn.XLOOKUP(A4985,'[1]Tissue Data'!$A:$A,'[1]Tissue Data'!$C:$C)</f>
        <v>Spill</v>
      </c>
      <c r="C4985" s="2">
        <f>_xlfn.XLOOKUP(A4985,'[1]Tissue Data'!$A:$A,'[1]Tissue Data'!$D:$D)</f>
        <v>44393</v>
      </c>
      <c r="D4985" s="2" t="str">
        <f>_xlfn.XLOOKUP(A4985,'[1]Tissue Data'!$A:$A,'[1]Tissue Data'!$F:$F)</f>
        <v>Pumpkinseed</v>
      </c>
      <c r="E4985" t="str">
        <f>_xlfn.XLOOKUP(A4985,'[1]Tissue Data'!$A:$A,'[1]Tissue Data'!$H:$H)</f>
        <v>Lepomis</v>
      </c>
      <c r="F4985" t="str">
        <f>_xlfn.XLOOKUP(A4985,'[1]Tissue Data'!$A:$A,'[1]Tissue Data'!$I:$I)</f>
        <v>gibbosus</v>
      </c>
      <c r="G4985" t="str">
        <f>_xlfn.XLOOKUP(A4985,'[1]Tissue Data'!$A:$A,'[1]Tissue Data'!J:J)</f>
        <v>U</v>
      </c>
      <c r="H4985" t="str">
        <f>_xlfn.XLOOKUP(A4985,'[1]Tissue Data'!$A:$A,'[1]Tissue Data'!K:K)</f>
        <v>Whole Body</v>
      </c>
      <c r="I4985">
        <f>_xlfn.XLOOKUP(A4985,'[1]Tissue Data'!$A:$A,'[1]Tissue Data'!L:L)</f>
        <v>5.5</v>
      </c>
      <c r="J4985">
        <f>_xlfn.XLOOKUP(A4985,'[1]Tissue Data'!$A:$A,'[1]Tissue Data'!M:M)</f>
        <v>3.24</v>
      </c>
      <c r="K4985" t="s">
        <v>45</v>
      </c>
      <c r="L4985" t="str">
        <f>_xlfn.XLOOKUP(K4985,[2]analyte_order!$B:$B,[2]analyte_order!$C:$C)</f>
        <v>39108-34-4</v>
      </c>
      <c r="M4985">
        <f>_xlfn.XLOOKUP(L4985,[2]analyte_order!$C:$C,[2]analyte_order!$E:$E)</f>
        <v>24</v>
      </c>
      <c r="N4985">
        <v>3.69</v>
      </c>
    </row>
    <row r="4986" spans="1:14">
      <c r="A4986" t="s">
        <v>279</v>
      </c>
      <c r="B4986" t="str">
        <f>_xlfn.XLOOKUP(A4986,'[1]Tissue Data'!$A:$A,'[1]Tissue Data'!$C:$C)</f>
        <v>Spill</v>
      </c>
      <c r="C4986" s="2">
        <f>_xlfn.XLOOKUP(A4986,'[1]Tissue Data'!$A:$A,'[1]Tissue Data'!$D:$D)</f>
        <v>44393</v>
      </c>
      <c r="D4986" s="2" t="str">
        <f>_xlfn.XLOOKUP(A4986,'[1]Tissue Data'!$A:$A,'[1]Tissue Data'!$F:$F)</f>
        <v>Pumpkinseed</v>
      </c>
      <c r="E4986" t="str">
        <f>_xlfn.XLOOKUP(A4986,'[1]Tissue Data'!$A:$A,'[1]Tissue Data'!$H:$H)</f>
        <v>Lepomis</v>
      </c>
      <c r="F4986" t="str">
        <f>_xlfn.XLOOKUP(A4986,'[1]Tissue Data'!$A:$A,'[1]Tissue Data'!$I:$I)</f>
        <v>gibbosus</v>
      </c>
      <c r="G4986" t="str">
        <f>_xlfn.XLOOKUP(A4986,'[1]Tissue Data'!$A:$A,'[1]Tissue Data'!J:J)</f>
        <v>U</v>
      </c>
      <c r="H4986" t="str">
        <f>_xlfn.XLOOKUP(A4986,'[1]Tissue Data'!$A:$A,'[1]Tissue Data'!K:K)</f>
        <v>Whole Body</v>
      </c>
      <c r="I4986">
        <f>_xlfn.XLOOKUP(A4986,'[1]Tissue Data'!$A:$A,'[1]Tissue Data'!L:L)</f>
        <v>5.5</v>
      </c>
      <c r="J4986">
        <f>_xlfn.XLOOKUP(A4986,'[1]Tissue Data'!$A:$A,'[1]Tissue Data'!M:M)</f>
        <v>3.24</v>
      </c>
      <c r="K4986" t="s">
        <v>46</v>
      </c>
      <c r="L4986" t="str">
        <f>_xlfn.XLOOKUP(K4986,[2]analyte_order!$B:$B,[2]analyte_order!$C:$C)</f>
        <v>120226-60-0</v>
      </c>
      <c r="M4986">
        <f>_xlfn.XLOOKUP(L4986,[2]analyte_order!$C:$C,[2]analyte_order!$E:$E)</f>
        <v>25</v>
      </c>
      <c r="N4986">
        <v>0.25850000000000001</v>
      </c>
    </row>
    <row r="4987" spans="1:14">
      <c r="A4987" t="s">
        <v>279</v>
      </c>
      <c r="B4987" t="str">
        <f>_xlfn.XLOOKUP(A4987,'[1]Tissue Data'!$A:$A,'[1]Tissue Data'!$C:$C)</f>
        <v>Spill</v>
      </c>
      <c r="C4987" s="2">
        <f>_xlfn.XLOOKUP(A4987,'[1]Tissue Data'!$A:$A,'[1]Tissue Data'!$D:$D)</f>
        <v>44393</v>
      </c>
      <c r="D4987" s="2" t="str">
        <f>_xlfn.XLOOKUP(A4987,'[1]Tissue Data'!$A:$A,'[1]Tissue Data'!$F:$F)</f>
        <v>Pumpkinseed</v>
      </c>
      <c r="E4987" t="str">
        <f>_xlfn.XLOOKUP(A4987,'[1]Tissue Data'!$A:$A,'[1]Tissue Data'!$H:$H)</f>
        <v>Lepomis</v>
      </c>
      <c r="F4987" t="str">
        <f>_xlfn.XLOOKUP(A4987,'[1]Tissue Data'!$A:$A,'[1]Tissue Data'!$I:$I)</f>
        <v>gibbosus</v>
      </c>
      <c r="G4987" t="str">
        <f>_xlfn.XLOOKUP(A4987,'[1]Tissue Data'!$A:$A,'[1]Tissue Data'!J:J)</f>
        <v>U</v>
      </c>
      <c r="H4987" t="str">
        <f>_xlfn.XLOOKUP(A4987,'[1]Tissue Data'!$A:$A,'[1]Tissue Data'!K:K)</f>
        <v>Whole Body</v>
      </c>
      <c r="I4987">
        <f>_xlfn.XLOOKUP(A4987,'[1]Tissue Data'!$A:$A,'[1]Tissue Data'!L:L)</f>
        <v>5.5</v>
      </c>
      <c r="J4987">
        <f>_xlfn.XLOOKUP(A4987,'[1]Tissue Data'!$A:$A,'[1]Tissue Data'!M:M)</f>
        <v>3.24</v>
      </c>
      <c r="K4987" t="s">
        <v>47</v>
      </c>
      <c r="L4987" t="str">
        <f>_xlfn.XLOOKUP(K4987,[2]analyte_order!$B:$B,[2]analyte_order!$C:$C)</f>
        <v>356-02-5</v>
      </c>
      <c r="M4987">
        <f>_xlfn.XLOOKUP(L4987,[2]analyte_order!$C:$C,[2]analyte_order!$E:$E)</f>
        <v>38</v>
      </c>
      <c r="N4987">
        <v>7.9500000000000001E-2</v>
      </c>
    </row>
    <row r="4988" spans="1:14">
      <c r="A4988" t="s">
        <v>279</v>
      </c>
      <c r="B4988" t="str">
        <f>_xlfn.XLOOKUP(A4988,'[1]Tissue Data'!$A:$A,'[1]Tissue Data'!$C:$C)</f>
        <v>Spill</v>
      </c>
      <c r="C4988" s="2">
        <f>_xlfn.XLOOKUP(A4988,'[1]Tissue Data'!$A:$A,'[1]Tissue Data'!$D:$D)</f>
        <v>44393</v>
      </c>
      <c r="D4988" s="2" t="str">
        <f>_xlfn.XLOOKUP(A4988,'[1]Tissue Data'!$A:$A,'[1]Tissue Data'!$F:$F)</f>
        <v>Pumpkinseed</v>
      </c>
      <c r="E4988" t="str">
        <f>_xlfn.XLOOKUP(A4988,'[1]Tissue Data'!$A:$A,'[1]Tissue Data'!$H:$H)</f>
        <v>Lepomis</v>
      </c>
      <c r="F4988" t="str">
        <f>_xlfn.XLOOKUP(A4988,'[1]Tissue Data'!$A:$A,'[1]Tissue Data'!$I:$I)</f>
        <v>gibbosus</v>
      </c>
      <c r="G4988" t="str">
        <f>_xlfn.XLOOKUP(A4988,'[1]Tissue Data'!$A:$A,'[1]Tissue Data'!J:J)</f>
        <v>U</v>
      </c>
      <c r="H4988" t="str">
        <f>_xlfn.XLOOKUP(A4988,'[1]Tissue Data'!$A:$A,'[1]Tissue Data'!K:K)</f>
        <v>Whole Body</v>
      </c>
      <c r="I4988">
        <f>_xlfn.XLOOKUP(A4988,'[1]Tissue Data'!$A:$A,'[1]Tissue Data'!L:L)</f>
        <v>5.5</v>
      </c>
      <c r="J4988">
        <f>_xlfn.XLOOKUP(A4988,'[1]Tissue Data'!$A:$A,'[1]Tissue Data'!M:M)</f>
        <v>3.24</v>
      </c>
      <c r="K4988" t="s">
        <v>48</v>
      </c>
      <c r="L4988" t="str">
        <f>_xlfn.XLOOKUP(K4988,[2]analyte_order!$B:$B,[2]analyte_order!$C:$C)</f>
        <v>914637-49-3</v>
      </c>
      <c r="M4988">
        <f>_xlfn.XLOOKUP(L4988,[2]analyte_order!$C:$C,[2]analyte_order!$E:$E)</f>
        <v>39</v>
      </c>
      <c r="N4988">
        <v>3.27</v>
      </c>
    </row>
    <row r="4989" spans="1:14">
      <c r="A4989" t="s">
        <v>279</v>
      </c>
      <c r="B4989" t="str">
        <f>_xlfn.XLOOKUP(A4989,'[1]Tissue Data'!$A:$A,'[1]Tissue Data'!$C:$C)</f>
        <v>Spill</v>
      </c>
      <c r="C4989" s="2">
        <f>_xlfn.XLOOKUP(A4989,'[1]Tissue Data'!$A:$A,'[1]Tissue Data'!$D:$D)</f>
        <v>44393</v>
      </c>
      <c r="D4989" s="2" t="str">
        <f>_xlfn.XLOOKUP(A4989,'[1]Tissue Data'!$A:$A,'[1]Tissue Data'!$F:$F)</f>
        <v>Pumpkinseed</v>
      </c>
      <c r="E4989" t="str">
        <f>_xlfn.XLOOKUP(A4989,'[1]Tissue Data'!$A:$A,'[1]Tissue Data'!$H:$H)</f>
        <v>Lepomis</v>
      </c>
      <c r="F4989" t="str">
        <f>_xlfn.XLOOKUP(A4989,'[1]Tissue Data'!$A:$A,'[1]Tissue Data'!$I:$I)</f>
        <v>gibbosus</v>
      </c>
      <c r="G4989" t="str">
        <f>_xlfn.XLOOKUP(A4989,'[1]Tissue Data'!$A:$A,'[1]Tissue Data'!J:J)</f>
        <v>U</v>
      </c>
      <c r="H4989" t="str">
        <f>_xlfn.XLOOKUP(A4989,'[1]Tissue Data'!$A:$A,'[1]Tissue Data'!K:K)</f>
        <v>Whole Body</v>
      </c>
      <c r="I4989">
        <f>_xlfn.XLOOKUP(A4989,'[1]Tissue Data'!$A:$A,'[1]Tissue Data'!L:L)</f>
        <v>5.5</v>
      </c>
      <c r="J4989">
        <f>_xlfn.XLOOKUP(A4989,'[1]Tissue Data'!$A:$A,'[1]Tissue Data'!M:M)</f>
        <v>3.24</v>
      </c>
      <c r="K4989" t="s">
        <v>49</v>
      </c>
      <c r="L4989" t="str">
        <f>_xlfn.XLOOKUP(K4989,[2]analyte_order!$B:$B,[2]analyte_order!$C:$C)</f>
        <v>812-70-4</v>
      </c>
      <c r="M4989">
        <f>_xlfn.XLOOKUP(L4989,[2]analyte_order!$C:$C,[2]analyte_order!$E:$E)</f>
        <v>40</v>
      </c>
      <c r="N4989">
        <v>14.1</v>
      </c>
    </row>
    <row r="4990" spans="1:14">
      <c r="A4990" t="s">
        <v>279</v>
      </c>
      <c r="B4990" t="str">
        <f>_xlfn.XLOOKUP(A4990,'[1]Tissue Data'!$A:$A,'[1]Tissue Data'!$C:$C)</f>
        <v>Spill</v>
      </c>
      <c r="C4990" s="2">
        <f>_xlfn.XLOOKUP(A4990,'[1]Tissue Data'!$A:$A,'[1]Tissue Data'!$D:$D)</f>
        <v>44393</v>
      </c>
      <c r="D4990" s="2" t="str">
        <f>_xlfn.XLOOKUP(A4990,'[1]Tissue Data'!$A:$A,'[1]Tissue Data'!$F:$F)</f>
        <v>Pumpkinseed</v>
      </c>
      <c r="E4990" t="str">
        <f>_xlfn.XLOOKUP(A4990,'[1]Tissue Data'!$A:$A,'[1]Tissue Data'!$H:$H)</f>
        <v>Lepomis</v>
      </c>
      <c r="F4990" t="str">
        <f>_xlfn.XLOOKUP(A4990,'[1]Tissue Data'!$A:$A,'[1]Tissue Data'!$I:$I)</f>
        <v>gibbosus</v>
      </c>
      <c r="G4990" t="str">
        <f>_xlfn.XLOOKUP(A4990,'[1]Tissue Data'!$A:$A,'[1]Tissue Data'!J:J)</f>
        <v>U</v>
      </c>
      <c r="H4990" t="str">
        <f>_xlfn.XLOOKUP(A4990,'[1]Tissue Data'!$A:$A,'[1]Tissue Data'!K:K)</f>
        <v>Whole Body</v>
      </c>
      <c r="I4990">
        <f>_xlfn.XLOOKUP(A4990,'[1]Tissue Data'!$A:$A,'[1]Tissue Data'!L:L)</f>
        <v>5.5</v>
      </c>
      <c r="J4990">
        <f>_xlfn.XLOOKUP(A4990,'[1]Tissue Data'!$A:$A,'[1]Tissue Data'!M:M)</f>
        <v>3.24</v>
      </c>
      <c r="K4990" t="s">
        <v>50</v>
      </c>
      <c r="L4990" t="str">
        <f>_xlfn.XLOOKUP(K4990,[2]analyte_order!$B:$B,[2]analyte_order!$C:$C)</f>
        <v>53826-12-3</v>
      </c>
      <c r="M4990">
        <f>_xlfn.XLOOKUP(L4990,[2]analyte_order!$C:$C,[2]analyte_order!$E:$E)</f>
        <v>41</v>
      </c>
      <c r="N4990">
        <v>6.9000000000000006E-2</v>
      </c>
    </row>
    <row r="4991" spans="1:14">
      <c r="A4991" t="s">
        <v>279</v>
      </c>
      <c r="B4991" t="str">
        <f>_xlfn.XLOOKUP(A4991,'[1]Tissue Data'!$A:$A,'[1]Tissue Data'!$C:$C)</f>
        <v>Spill</v>
      </c>
      <c r="C4991" s="2">
        <f>_xlfn.XLOOKUP(A4991,'[1]Tissue Data'!$A:$A,'[1]Tissue Data'!$D:$D)</f>
        <v>44393</v>
      </c>
      <c r="D4991" s="2" t="str">
        <f>_xlfn.XLOOKUP(A4991,'[1]Tissue Data'!$A:$A,'[1]Tissue Data'!$F:$F)</f>
        <v>Pumpkinseed</v>
      </c>
      <c r="E4991" t="str">
        <f>_xlfn.XLOOKUP(A4991,'[1]Tissue Data'!$A:$A,'[1]Tissue Data'!$H:$H)</f>
        <v>Lepomis</v>
      </c>
      <c r="F4991" t="str">
        <f>_xlfn.XLOOKUP(A4991,'[1]Tissue Data'!$A:$A,'[1]Tissue Data'!$I:$I)</f>
        <v>gibbosus</v>
      </c>
      <c r="G4991" t="str">
        <f>_xlfn.XLOOKUP(A4991,'[1]Tissue Data'!$A:$A,'[1]Tissue Data'!J:J)</f>
        <v>U</v>
      </c>
      <c r="H4991" t="str">
        <f>_xlfn.XLOOKUP(A4991,'[1]Tissue Data'!$A:$A,'[1]Tissue Data'!K:K)</f>
        <v>Whole Body</v>
      </c>
      <c r="I4991">
        <f>_xlfn.XLOOKUP(A4991,'[1]Tissue Data'!$A:$A,'[1]Tissue Data'!L:L)</f>
        <v>5.5</v>
      </c>
      <c r="J4991">
        <f>_xlfn.XLOOKUP(A4991,'[1]Tissue Data'!$A:$A,'[1]Tissue Data'!M:M)</f>
        <v>3.24</v>
      </c>
      <c r="K4991" t="s">
        <v>51</v>
      </c>
      <c r="L4991" t="str">
        <f>_xlfn.XLOOKUP(K4991,[2]analyte_order!$B:$B,[2]analyte_order!$C:$C)</f>
        <v>27854-31-5</v>
      </c>
      <c r="M4991">
        <f>_xlfn.XLOOKUP(L4991,[2]analyte_order!$C:$C,[2]analyte_order!$E:$E)</f>
        <v>42</v>
      </c>
      <c r="N4991">
        <v>6.9000000000000006E-2</v>
      </c>
    </row>
    <row r="4992" spans="1:14">
      <c r="A4992" t="s">
        <v>279</v>
      </c>
      <c r="B4992" t="str">
        <f>_xlfn.XLOOKUP(A4992,'[1]Tissue Data'!$A:$A,'[1]Tissue Data'!$C:$C)</f>
        <v>Spill</v>
      </c>
      <c r="C4992" s="2">
        <f>_xlfn.XLOOKUP(A4992,'[1]Tissue Data'!$A:$A,'[1]Tissue Data'!$D:$D)</f>
        <v>44393</v>
      </c>
      <c r="D4992" s="2" t="str">
        <f>_xlfn.XLOOKUP(A4992,'[1]Tissue Data'!$A:$A,'[1]Tissue Data'!$F:$F)</f>
        <v>Pumpkinseed</v>
      </c>
      <c r="E4992" t="str">
        <f>_xlfn.XLOOKUP(A4992,'[1]Tissue Data'!$A:$A,'[1]Tissue Data'!$H:$H)</f>
        <v>Lepomis</v>
      </c>
      <c r="F4992" t="str">
        <f>_xlfn.XLOOKUP(A4992,'[1]Tissue Data'!$A:$A,'[1]Tissue Data'!$I:$I)</f>
        <v>gibbosus</v>
      </c>
      <c r="G4992" t="str">
        <f>_xlfn.XLOOKUP(A4992,'[1]Tissue Data'!$A:$A,'[1]Tissue Data'!J:J)</f>
        <v>U</v>
      </c>
      <c r="H4992" t="str">
        <f>_xlfn.XLOOKUP(A4992,'[1]Tissue Data'!$A:$A,'[1]Tissue Data'!K:K)</f>
        <v>Whole Body</v>
      </c>
      <c r="I4992">
        <f>_xlfn.XLOOKUP(A4992,'[1]Tissue Data'!$A:$A,'[1]Tissue Data'!L:L)</f>
        <v>5.5</v>
      </c>
      <c r="J4992">
        <f>_xlfn.XLOOKUP(A4992,'[1]Tissue Data'!$A:$A,'[1]Tissue Data'!M:M)</f>
        <v>3.24</v>
      </c>
      <c r="K4992" t="s">
        <v>52</v>
      </c>
      <c r="L4992" t="str">
        <f>_xlfn.XLOOKUP(K4992,[2]analyte_order!$B:$B,[2]analyte_order!$C:$C)</f>
        <v>53826-13-4</v>
      </c>
      <c r="M4992">
        <f>_xlfn.XLOOKUP(L4992,[2]analyte_order!$C:$C,[2]analyte_order!$E:$E)</f>
        <v>43</v>
      </c>
      <c r="N4992">
        <v>0.10299999999999999</v>
      </c>
    </row>
    <row r="4993" spans="1:14">
      <c r="A4993" t="s">
        <v>279</v>
      </c>
      <c r="B4993" t="str">
        <f>_xlfn.XLOOKUP(A4993,'[1]Tissue Data'!$A:$A,'[1]Tissue Data'!$C:$C)</f>
        <v>Spill</v>
      </c>
      <c r="C4993" s="2">
        <f>_xlfn.XLOOKUP(A4993,'[1]Tissue Data'!$A:$A,'[1]Tissue Data'!$D:$D)</f>
        <v>44393</v>
      </c>
      <c r="D4993" s="2" t="str">
        <f>_xlfn.XLOOKUP(A4993,'[1]Tissue Data'!$A:$A,'[1]Tissue Data'!$F:$F)</f>
        <v>Pumpkinseed</v>
      </c>
      <c r="E4993" t="str">
        <f>_xlfn.XLOOKUP(A4993,'[1]Tissue Data'!$A:$A,'[1]Tissue Data'!$H:$H)</f>
        <v>Lepomis</v>
      </c>
      <c r="F4993" t="str">
        <f>_xlfn.XLOOKUP(A4993,'[1]Tissue Data'!$A:$A,'[1]Tissue Data'!$I:$I)</f>
        <v>gibbosus</v>
      </c>
      <c r="G4993" t="str">
        <f>_xlfn.XLOOKUP(A4993,'[1]Tissue Data'!$A:$A,'[1]Tissue Data'!J:J)</f>
        <v>U</v>
      </c>
      <c r="H4993" t="str">
        <f>_xlfn.XLOOKUP(A4993,'[1]Tissue Data'!$A:$A,'[1]Tissue Data'!K:K)</f>
        <v>Whole Body</v>
      </c>
      <c r="I4993">
        <f>_xlfn.XLOOKUP(A4993,'[1]Tissue Data'!$A:$A,'[1]Tissue Data'!L:L)</f>
        <v>5.5</v>
      </c>
      <c r="J4993">
        <f>_xlfn.XLOOKUP(A4993,'[1]Tissue Data'!$A:$A,'[1]Tissue Data'!M:M)</f>
        <v>3.24</v>
      </c>
      <c r="K4993" t="s">
        <v>53</v>
      </c>
      <c r="L4993" t="str">
        <f>_xlfn.XLOOKUP(K4993,[2]analyte_order!$B:$B,[2]analyte_order!$C:$C)</f>
        <v>161094-75-3</v>
      </c>
      <c r="M4993">
        <f>_xlfn.XLOOKUP(L4993,[2]analyte_order!$C:$C,[2]analyte_order!$E:$E)</f>
        <v>44</v>
      </c>
      <c r="N4993">
        <v>5.3999999999999999E-2</v>
      </c>
    </row>
    <row r="4994" spans="1:14">
      <c r="A4994" t="s">
        <v>279</v>
      </c>
      <c r="B4994" t="str">
        <f>_xlfn.XLOOKUP(A4994,'[1]Tissue Data'!$A:$A,'[1]Tissue Data'!$C:$C)</f>
        <v>Spill</v>
      </c>
      <c r="C4994" s="2">
        <f>_xlfn.XLOOKUP(A4994,'[1]Tissue Data'!$A:$A,'[1]Tissue Data'!$D:$D)</f>
        <v>44393</v>
      </c>
      <c r="D4994" s="2" t="str">
        <f>_xlfn.XLOOKUP(A4994,'[1]Tissue Data'!$A:$A,'[1]Tissue Data'!$F:$F)</f>
        <v>Pumpkinseed</v>
      </c>
      <c r="E4994" t="str">
        <f>_xlfn.XLOOKUP(A4994,'[1]Tissue Data'!$A:$A,'[1]Tissue Data'!$H:$H)</f>
        <v>Lepomis</v>
      </c>
      <c r="F4994" t="str">
        <f>_xlfn.XLOOKUP(A4994,'[1]Tissue Data'!$A:$A,'[1]Tissue Data'!$I:$I)</f>
        <v>gibbosus</v>
      </c>
      <c r="G4994" t="str">
        <f>_xlfn.XLOOKUP(A4994,'[1]Tissue Data'!$A:$A,'[1]Tissue Data'!J:J)</f>
        <v>U</v>
      </c>
      <c r="H4994" t="str">
        <f>_xlfn.XLOOKUP(A4994,'[1]Tissue Data'!$A:$A,'[1]Tissue Data'!K:K)</f>
        <v>Whole Body</v>
      </c>
      <c r="I4994">
        <f>_xlfn.XLOOKUP(A4994,'[1]Tissue Data'!$A:$A,'[1]Tissue Data'!L:L)</f>
        <v>5.5</v>
      </c>
      <c r="J4994">
        <f>_xlfn.XLOOKUP(A4994,'[1]Tissue Data'!$A:$A,'[1]Tissue Data'!M:M)</f>
        <v>3.24</v>
      </c>
      <c r="K4994" t="s">
        <v>54</v>
      </c>
      <c r="L4994" t="str">
        <f>_xlfn.XLOOKUP(K4994,[2]analyte_order!$B:$B,[2]analyte_order!$C:$C)</f>
        <v>70887-84-2</v>
      </c>
      <c r="M4994">
        <f>_xlfn.XLOOKUP(L4994,[2]analyte_order!$C:$C,[2]analyte_order!$E:$E)</f>
        <v>45</v>
      </c>
      <c r="N4994">
        <v>4.1700000000000001E-2</v>
      </c>
    </row>
    <row r="4995" spans="1:14">
      <c r="A4995" t="s">
        <v>279</v>
      </c>
      <c r="B4995" t="str">
        <f>_xlfn.XLOOKUP(A4995,'[1]Tissue Data'!$A:$A,'[1]Tissue Data'!$C:$C)</f>
        <v>Spill</v>
      </c>
      <c r="C4995" s="2">
        <f>_xlfn.XLOOKUP(A4995,'[1]Tissue Data'!$A:$A,'[1]Tissue Data'!$D:$D)</f>
        <v>44393</v>
      </c>
      <c r="D4995" s="2" t="str">
        <f>_xlfn.XLOOKUP(A4995,'[1]Tissue Data'!$A:$A,'[1]Tissue Data'!$F:$F)</f>
        <v>Pumpkinseed</v>
      </c>
      <c r="E4995" t="str">
        <f>_xlfn.XLOOKUP(A4995,'[1]Tissue Data'!$A:$A,'[1]Tissue Data'!$H:$H)</f>
        <v>Lepomis</v>
      </c>
      <c r="F4995" t="str">
        <f>_xlfn.XLOOKUP(A4995,'[1]Tissue Data'!$A:$A,'[1]Tissue Data'!$I:$I)</f>
        <v>gibbosus</v>
      </c>
      <c r="G4995" t="str">
        <f>_xlfn.XLOOKUP(A4995,'[1]Tissue Data'!$A:$A,'[1]Tissue Data'!J:J)</f>
        <v>U</v>
      </c>
      <c r="H4995" t="str">
        <f>_xlfn.XLOOKUP(A4995,'[1]Tissue Data'!$A:$A,'[1]Tissue Data'!K:K)</f>
        <v>Whole Body</v>
      </c>
      <c r="I4995">
        <f>_xlfn.XLOOKUP(A4995,'[1]Tissue Data'!$A:$A,'[1]Tissue Data'!L:L)</f>
        <v>5.5</v>
      </c>
      <c r="J4995">
        <f>_xlfn.XLOOKUP(A4995,'[1]Tissue Data'!$A:$A,'[1]Tissue Data'!M:M)</f>
        <v>3.24</v>
      </c>
      <c r="K4995" t="s">
        <v>55</v>
      </c>
      <c r="L4995" t="str">
        <f>_xlfn.XLOOKUP(K4995,[2]analyte_order!$B:$B,[2]analyte_order!$C:$C)</f>
        <v>919005-14-4</v>
      </c>
      <c r="M4995">
        <f>_xlfn.XLOOKUP(L4995,[2]analyte_order!$C:$C,[2]analyte_order!$E:$E)</f>
        <v>35</v>
      </c>
      <c r="N4995">
        <v>6.0999999999999999E-2</v>
      </c>
    </row>
    <row r="4996" spans="1:14">
      <c r="A4996" t="s">
        <v>279</v>
      </c>
      <c r="B4996" t="str">
        <f>_xlfn.XLOOKUP(A4996,'[1]Tissue Data'!$A:$A,'[1]Tissue Data'!$C:$C)</f>
        <v>Spill</v>
      </c>
      <c r="C4996" s="2">
        <f>_xlfn.XLOOKUP(A4996,'[1]Tissue Data'!$A:$A,'[1]Tissue Data'!$D:$D)</f>
        <v>44393</v>
      </c>
      <c r="D4996" s="2" t="str">
        <f>_xlfn.XLOOKUP(A4996,'[1]Tissue Data'!$A:$A,'[1]Tissue Data'!$F:$F)</f>
        <v>Pumpkinseed</v>
      </c>
      <c r="E4996" t="str">
        <f>_xlfn.XLOOKUP(A4996,'[1]Tissue Data'!$A:$A,'[1]Tissue Data'!$H:$H)</f>
        <v>Lepomis</v>
      </c>
      <c r="F4996" t="str">
        <f>_xlfn.XLOOKUP(A4996,'[1]Tissue Data'!$A:$A,'[1]Tissue Data'!$I:$I)</f>
        <v>gibbosus</v>
      </c>
      <c r="G4996" t="str">
        <f>_xlfn.XLOOKUP(A4996,'[1]Tissue Data'!$A:$A,'[1]Tissue Data'!J:J)</f>
        <v>U</v>
      </c>
      <c r="H4996" t="str">
        <f>_xlfn.XLOOKUP(A4996,'[1]Tissue Data'!$A:$A,'[1]Tissue Data'!K:K)</f>
        <v>Whole Body</v>
      </c>
      <c r="I4996">
        <f>_xlfn.XLOOKUP(A4996,'[1]Tissue Data'!$A:$A,'[1]Tissue Data'!L:L)</f>
        <v>5.5</v>
      </c>
      <c r="J4996">
        <f>_xlfn.XLOOKUP(A4996,'[1]Tissue Data'!$A:$A,'[1]Tissue Data'!M:M)</f>
        <v>3.24</v>
      </c>
      <c r="K4996" t="s">
        <v>56</v>
      </c>
      <c r="L4996" t="str">
        <f>_xlfn.XLOOKUP(K4996,[2]analyte_order!$B:$B,[2]analyte_order!$C:$C)</f>
        <v>756426-58-1</v>
      </c>
      <c r="M4996">
        <f>_xlfn.XLOOKUP(L4996,[2]analyte_order!$C:$C,[2]analyte_order!$E:$E)</f>
        <v>36</v>
      </c>
      <c r="N4996">
        <v>6.9000000000000006E-2</v>
      </c>
    </row>
    <row r="4997" spans="1:14">
      <c r="A4997" t="s">
        <v>279</v>
      </c>
      <c r="B4997" t="str">
        <f>_xlfn.XLOOKUP(A4997,'[1]Tissue Data'!$A:$A,'[1]Tissue Data'!$C:$C)</f>
        <v>Spill</v>
      </c>
      <c r="C4997" s="2">
        <f>_xlfn.XLOOKUP(A4997,'[1]Tissue Data'!$A:$A,'[1]Tissue Data'!$D:$D)</f>
        <v>44393</v>
      </c>
      <c r="D4997" s="2" t="str">
        <f>_xlfn.XLOOKUP(A4997,'[1]Tissue Data'!$A:$A,'[1]Tissue Data'!$F:$F)</f>
        <v>Pumpkinseed</v>
      </c>
      <c r="E4997" t="str">
        <f>_xlfn.XLOOKUP(A4997,'[1]Tissue Data'!$A:$A,'[1]Tissue Data'!$H:$H)</f>
        <v>Lepomis</v>
      </c>
      <c r="F4997" t="str">
        <f>_xlfn.XLOOKUP(A4997,'[1]Tissue Data'!$A:$A,'[1]Tissue Data'!$I:$I)</f>
        <v>gibbosus</v>
      </c>
      <c r="G4997" t="str">
        <f>_xlfn.XLOOKUP(A4997,'[1]Tissue Data'!$A:$A,'[1]Tissue Data'!J:J)</f>
        <v>U</v>
      </c>
      <c r="H4997" t="str">
        <f>_xlfn.XLOOKUP(A4997,'[1]Tissue Data'!$A:$A,'[1]Tissue Data'!K:K)</f>
        <v>Whole Body</v>
      </c>
      <c r="I4997">
        <f>_xlfn.XLOOKUP(A4997,'[1]Tissue Data'!$A:$A,'[1]Tissue Data'!L:L)</f>
        <v>5.5</v>
      </c>
      <c r="J4997">
        <f>_xlfn.XLOOKUP(A4997,'[1]Tissue Data'!$A:$A,'[1]Tissue Data'!M:M)</f>
        <v>3.24</v>
      </c>
      <c r="K4997" t="s">
        <v>57</v>
      </c>
      <c r="L4997" t="str">
        <f>_xlfn.XLOOKUP(K4997,[2]analyte_order!$B:$B,[2]analyte_order!$C:$C)</f>
        <v>763051-92-9</v>
      </c>
      <c r="M4997">
        <f>_xlfn.XLOOKUP(L4997,[2]analyte_order!$C:$C,[2]analyte_order!$E:$E)</f>
        <v>37</v>
      </c>
      <c r="N4997">
        <v>6.9000000000000006E-2</v>
      </c>
    </row>
    <row r="4998" spans="1:14">
      <c r="A4998" t="s">
        <v>279</v>
      </c>
      <c r="B4998" t="str">
        <f>_xlfn.XLOOKUP(A4998,'[1]Tissue Data'!$A:$A,'[1]Tissue Data'!$C:$C)</f>
        <v>Spill</v>
      </c>
      <c r="C4998" s="2">
        <f>_xlfn.XLOOKUP(A4998,'[1]Tissue Data'!$A:$A,'[1]Tissue Data'!$D:$D)</f>
        <v>44393</v>
      </c>
      <c r="D4998" s="2" t="str">
        <f>_xlfn.XLOOKUP(A4998,'[1]Tissue Data'!$A:$A,'[1]Tissue Data'!$F:$F)</f>
        <v>Pumpkinseed</v>
      </c>
      <c r="E4998" t="str">
        <f>_xlfn.XLOOKUP(A4998,'[1]Tissue Data'!$A:$A,'[1]Tissue Data'!$H:$H)</f>
        <v>Lepomis</v>
      </c>
      <c r="F4998" t="str">
        <f>_xlfn.XLOOKUP(A4998,'[1]Tissue Data'!$A:$A,'[1]Tissue Data'!$I:$I)</f>
        <v>gibbosus</v>
      </c>
      <c r="G4998" t="str">
        <f>_xlfn.XLOOKUP(A4998,'[1]Tissue Data'!$A:$A,'[1]Tissue Data'!J:J)</f>
        <v>U</v>
      </c>
      <c r="H4998" t="str">
        <f>_xlfn.XLOOKUP(A4998,'[1]Tissue Data'!$A:$A,'[1]Tissue Data'!K:K)</f>
        <v>Whole Body</v>
      </c>
      <c r="I4998">
        <f>_xlfn.XLOOKUP(A4998,'[1]Tissue Data'!$A:$A,'[1]Tissue Data'!L:L)</f>
        <v>5.5</v>
      </c>
      <c r="J4998">
        <f>_xlfn.XLOOKUP(A4998,'[1]Tissue Data'!$A:$A,'[1]Tissue Data'!M:M)</f>
        <v>3.24</v>
      </c>
      <c r="K4998" t="s">
        <v>58</v>
      </c>
      <c r="L4998" t="str">
        <f>_xlfn.XLOOKUP(K4998,[2]analyte_order!$B:$B,[2]analyte_order!$C:$C)</f>
        <v>13252-13-6</v>
      </c>
      <c r="M4998">
        <f>_xlfn.XLOOKUP(L4998,[2]analyte_order!$C:$C,[2]analyte_order!$E:$E)</f>
        <v>34</v>
      </c>
      <c r="N4998">
        <v>9.9000000000000005E-2</v>
      </c>
    </row>
    <row r="4999" spans="1:14">
      <c r="A4999" t="s">
        <v>279</v>
      </c>
      <c r="B4999" t="str">
        <f>_xlfn.XLOOKUP(A4999,'[1]Tissue Data'!$A:$A,'[1]Tissue Data'!$C:$C)</f>
        <v>Spill</v>
      </c>
      <c r="C4999" s="2">
        <f>_xlfn.XLOOKUP(A4999,'[1]Tissue Data'!$A:$A,'[1]Tissue Data'!$D:$D)</f>
        <v>44393</v>
      </c>
      <c r="D4999" s="2" t="str">
        <f>_xlfn.XLOOKUP(A4999,'[1]Tissue Data'!$A:$A,'[1]Tissue Data'!$F:$F)</f>
        <v>Pumpkinseed</v>
      </c>
      <c r="E4999" t="str">
        <f>_xlfn.XLOOKUP(A4999,'[1]Tissue Data'!$A:$A,'[1]Tissue Data'!$H:$H)</f>
        <v>Lepomis</v>
      </c>
      <c r="F4999" t="str">
        <f>_xlfn.XLOOKUP(A4999,'[1]Tissue Data'!$A:$A,'[1]Tissue Data'!$I:$I)</f>
        <v>gibbosus</v>
      </c>
      <c r="G4999" t="str">
        <f>_xlfn.XLOOKUP(A4999,'[1]Tissue Data'!$A:$A,'[1]Tissue Data'!J:J)</f>
        <v>U</v>
      </c>
      <c r="H4999" t="str">
        <f>_xlfn.XLOOKUP(A4999,'[1]Tissue Data'!$A:$A,'[1]Tissue Data'!K:K)</f>
        <v>Whole Body</v>
      </c>
      <c r="I4999">
        <f>_xlfn.XLOOKUP(A4999,'[1]Tissue Data'!$A:$A,'[1]Tissue Data'!L:L)</f>
        <v>5.5</v>
      </c>
      <c r="J4999">
        <f>_xlfn.XLOOKUP(A4999,'[1]Tissue Data'!$A:$A,'[1]Tissue Data'!M:M)</f>
        <v>3.24</v>
      </c>
      <c r="K4999" t="s">
        <v>59</v>
      </c>
      <c r="L4999" t="str">
        <f>_xlfn.XLOOKUP(K4999,[2]analyte_order!$B:$B,[2]analyte_order!$C:$C)</f>
        <v>57677-95-9</v>
      </c>
      <c r="M4999">
        <f>_xlfn.XLOOKUP(L4999,[2]analyte_order!$C:$C,[2]analyte_order!$E:$E)</f>
        <v>46</v>
      </c>
      <c r="N4999">
        <v>7.3499999999999996E-2</v>
      </c>
    </row>
    <row r="5000" spans="1:14">
      <c r="A5000" t="s">
        <v>279</v>
      </c>
      <c r="B5000" t="str">
        <f>_xlfn.XLOOKUP(A5000,'[1]Tissue Data'!$A:$A,'[1]Tissue Data'!$C:$C)</f>
        <v>Spill</v>
      </c>
      <c r="C5000" s="2">
        <f>_xlfn.XLOOKUP(A5000,'[1]Tissue Data'!$A:$A,'[1]Tissue Data'!$D:$D)</f>
        <v>44393</v>
      </c>
      <c r="D5000" s="2" t="str">
        <f>_xlfn.XLOOKUP(A5000,'[1]Tissue Data'!$A:$A,'[1]Tissue Data'!$F:$F)</f>
        <v>Pumpkinseed</v>
      </c>
      <c r="E5000" t="str">
        <f>_xlfn.XLOOKUP(A5000,'[1]Tissue Data'!$A:$A,'[1]Tissue Data'!$H:$H)</f>
        <v>Lepomis</v>
      </c>
      <c r="F5000" t="str">
        <f>_xlfn.XLOOKUP(A5000,'[1]Tissue Data'!$A:$A,'[1]Tissue Data'!$I:$I)</f>
        <v>gibbosus</v>
      </c>
      <c r="G5000" t="str">
        <f>_xlfn.XLOOKUP(A5000,'[1]Tissue Data'!$A:$A,'[1]Tissue Data'!J:J)</f>
        <v>U</v>
      </c>
      <c r="H5000" t="str">
        <f>_xlfn.XLOOKUP(A5000,'[1]Tissue Data'!$A:$A,'[1]Tissue Data'!K:K)</f>
        <v>Whole Body</v>
      </c>
      <c r="I5000">
        <f>_xlfn.XLOOKUP(A5000,'[1]Tissue Data'!$A:$A,'[1]Tissue Data'!L:L)</f>
        <v>5.5</v>
      </c>
      <c r="J5000">
        <f>_xlfn.XLOOKUP(A5000,'[1]Tissue Data'!$A:$A,'[1]Tissue Data'!M:M)</f>
        <v>3.24</v>
      </c>
      <c r="K5000" t="s">
        <v>60</v>
      </c>
      <c r="L5000" t="str">
        <f>_xlfn.XLOOKUP(K5000,[2]analyte_order!$B:$B,[2]analyte_order!$C:$C)</f>
        <v>678-41-1</v>
      </c>
      <c r="M5000">
        <f>_xlfn.XLOOKUP(L5000,[2]analyte_order!$C:$C,[2]analyte_order!$E:$E)</f>
        <v>56</v>
      </c>
      <c r="N5000">
        <v>9.1499999999999998E-2</v>
      </c>
    </row>
    <row r="5001" spans="1:14">
      <c r="A5001" t="s">
        <v>279</v>
      </c>
      <c r="B5001" t="str">
        <f>_xlfn.XLOOKUP(A5001,'[1]Tissue Data'!$A:$A,'[1]Tissue Data'!$C:$C)</f>
        <v>Spill</v>
      </c>
      <c r="C5001" s="2">
        <f>_xlfn.XLOOKUP(A5001,'[1]Tissue Data'!$A:$A,'[1]Tissue Data'!$D:$D)</f>
        <v>44393</v>
      </c>
      <c r="D5001" s="2" t="str">
        <f>_xlfn.XLOOKUP(A5001,'[1]Tissue Data'!$A:$A,'[1]Tissue Data'!$F:$F)</f>
        <v>Pumpkinseed</v>
      </c>
      <c r="E5001" t="str">
        <f>_xlfn.XLOOKUP(A5001,'[1]Tissue Data'!$A:$A,'[1]Tissue Data'!$H:$H)</f>
        <v>Lepomis</v>
      </c>
      <c r="F5001" t="str">
        <f>_xlfn.XLOOKUP(A5001,'[1]Tissue Data'!$A:$A,'[1]Tissue Data'!$I:$I)</f>
        <v>gibbosus</v>
      </c>
      <c r="G5001" t="str">
        <f>_xlfn.XLOOKUP(A5001,'[1]Tissue Data'!$A:$A,'[1]Tissue Data'!J:J)</f>
        <v>U</v>
      </c>
      <c r="H5001" t="str">
        <f>_xlfn.XLOOKUP(A5001,'[1]Tissue Data'!$A:$A,'[1]Tissue Data'!K:K)</f>
        <v>Whole Body</v>
      </c>
      <c r="I5001">
        <f>_xlfn.XLOOKUP(A5001,'[1]Tissue Data'!$A:$A,'[1]Tissue Data'!L:L)</f>
        <v>5.5</v>
      </c>
      <c r="J5001">
        <f>_xlfn.XLOOKUP(A5001,'[1]Tissue Data'!$A:$A,'[1]Tissue Data'!M:M)</f>
        <v>3.24</v>
      </c>
      <c r="K5001" t="s">
        <v>61</v>
      </c>
      <c r="L5001" t="str">
        <f>_xlfn.XLOOKUP(K5001,[2]analyte_order!$B:$B,[2]analyte_order!$C:$C)</f>
        <v>2965-52-8</v>
      </c>
      <c r="M5001">
        <f>_xlfn.XLOOKUP(L5001,[2]analyte_order!$C:$C,[2]analyte_order!$E:$E)</f>
        <v>57</v>
      </c>
      <c r="N5001">
        <v>0.1215</v>
      </c>
    </row>
    <row r="5002" spans="1:14">
      <c r="A5002" t="s">
        <v>280</v>
      </c>
      <c r="B5002" t="str">
        <f>_xlfn.XLOOKUP(A5002,'[1]Tissue Data'!$A:$A,'[1]Tissue Data'!$C:$C)</f>
        <v>Spill</v>
      </c>
      <c r="C5002" s="2">
        <f>_xlfn.XLOOKUP(A5002,'[1]Tissue Data'!$A:$A,'[1]Tissue Data'!$D:$D)</f>
        <v>44393</v>
      </c>
      <c r="D5002" s="2" t="str">
        <f>_xlfn.XLOOKUP(A5002,'[1]Tissue Data'!$A:$A,'[1]Tissue Data'!$F:$F)</f>
        <v>Pumpkinseed</v>
      </c>
      <c r="E5002" t="str">
        <f>_xlfn.XLOOKUP(A5002,'[1]Tissue Data'!$A:$A,'[1]Tissue Data'!$H:$H)</f>
        <v>Lepomis</v>
      </c>
      <c r="F5002" t="str">
        <f>_xlfn.XLOOKUP(A5002,'[1]Tissue Data'!$A:$A,'[1]Tissue Data'!$I:$I)</f>
        <v>gibbosus</v>
      </c>
      <c r="G5002" t="str">
        <f>_xlfn.XLOOKUP(A5002,'[1]Tissue Data'!$A:$A,'[1]Tissue Data'!J:J)</f>
        <v>U</v>
      </c>
      <c r="H5002" t="str">
        <f>_xlfn.XLOOKUP(A5002,'[1]Tissue Data'!$A:$A,'[1]Tissue Data'!K:K)</f>
        <v>Whole Body</v>
      </c>
      <c r="I5002">
        <f>_xlfn.XLOOKUP(A5002,'[1]Tissue Data'!$A:$A,'[1]Tissue Data'!L:L)</f>
        <v>7</v>
      </c>
      <c r="J5002">
        <f>_xlfn.XLOOKUP(A5002,'[1]Tissue Data'!$A:$A,'[1]Tissue Data'!M:M)</f>
        <v>5.78</v>
      </c>
      <c r="K5002" t="s">
        <v>12</v>
      </c>
      <c r="L5002" t="str">
        <f>_xlfn.XLOOKUP(K5002,[2]analyte_order!$B:$B,[2]analyte_order!$C:$C)</f>
        <v>375-22-4</v>
      </c>
      <c r="M5002">
        <f>_xlfn.XLOOKUP(L5002,[2]analyte_order!$C:$C,[2]analyte_order!$E:$E)</f>
        <v>1</v>
      </c>
      <c r="N5002">
        <v>0.24149999999999999</v>
      </c>
    </row>
    <row r="5003" spans="1:14">
      <c r="A5003" t="s">
        <v>280</v>
      </c>
      <c r="B5003" t="str">
        <f>_xlfn.XLOOKUP(A5003,'[1]Tissue Data'!$A:$A,'[1]Tissue Data'!$C:$C)</f>
        <v>Spill</v>
      </c>
      <c r="C5003" s="2">
        <f>_xlfn.XLOOKUP(A5003,'[1]Tissue Data'!$A:$A,'[1]Tissue Data'!$D:$D)</f>
        <v>44393</v>
      </c>
      <c r="D5003" s="2" t="str">
        <f>_xlfn.XLOOKUP(A5003,'[1]Tissue Data'!$A:$A,'[1]Tissue Data'!$F:$F)</f>
        <v>Pumpkinseed</v>
      </c>
      <c r="E5003" t="str">
        <f>_xlfn.XLOOKUP(A5003,'[1]Tissue Data'!$A:$A,'[1]Tissue Data'!$H:$H)</f>
        <v>Lepomis</v>
      </c>
      <c r="F5003" t="str">
        <f>_xlfn.XLOOKUP(A5003,'[1]Tissue Data'!$A:$A,'[1]Tissue Data'!$I:$I)</f>
        <v>gibbosus</v>
      </c>
      <c r="G5003" t="str">
        <f>_xlfn.XLOOKUP(A5003,'[1]Tissue Data'!$A:$A,'[1]Tissue Data'!J:J)</f>
        <v>U</v>
      </c>
      <c r="H5003" t="str">
        <f>_xlfn.XLOOKUP(A5003,'[1]Tissue Data'!$A:$A,'[1]Tissue Data'!K:K)</f>
        <v>Whole Body</v>
      </c>
      <c r="I5003">
        <f>_xlfn.XLOOKUP(A5003,'[1]Tissue Data'!$A:$A,'[1]Tissue Data'!L:L)</f>
        <v>7</v>
      </c>
      <c r="J5003">
        <f>_xlfn.XLOOKUP(A5003,'[1]Tissue Data'!$A:$A,'[1]Tissue Data'!M:M)</f>
        <v>5.78</v>
      </c>
      <c r="K5003" t="s">
        <v>13</v>
      </c>
      <c r="L5003" t="str">
        <f>_xlfn.XLOOKUP(K5003,[2]analyte_order!$B:$B,[2]analyte_order!$C:$C)</f>
        <v>2706-90-3</v>
      </c>
      <c r="M5003">
        <f>_xlfn.XLOOKUP(L5003,[2]analyte_order!$C:$C,[2]analyte_order!$E:$E)</f>
        <v>2</v>
      </c>
      <c r="N5003">
        <v>5.1499999999999997E-2</v>
      </c>
    </row>
    <row r="5004" spans="1:14">
      <c r="A5004" t="s">
        <v>280</v>
      </c>
      <c r="B5004" t="str">
        <f>_xlfn.XLOOKUP(A5004,'[1]Tissue Data'!$A:$A,'[1]Tissue Data'!$C:$C)</f>
        <v>Spill</v>
      </c>
      <c r="C5004" s="2">
        <f>_xlfn.XLOOKUP(A5004,'[1]Tissue Data'!$A:$A,'[1]Tissue Data'!$D:$D)</f>
        <v>44393</v>
      </c>
      <c r="D5004" s="2" t="str">
        <f>_xlfn.XLOOKUP(A5004,'[1]Tissue Data'!$A:$A,'[1]Tissue Data'!$F:$F)</f>
        <v>Pumpkinseed</v>
      </c>
      <c r="E5004" t="str">
        <f>_xlfn.XLOOKUP(A5004,'[1]Tissue Data'!$A:$A,'[1]Tissue Data'!$H:$H)</f>
        <v>Lepomis</v>
      </c>
      <c r="F5004" t="str">
        <f>_xlfn.XLOOKUP(A5004,'[1]Tissue Data'!$A:$A,'[1]Tissue Data'!$I:$I)</f>
        <v>gibbosus</v>
      </c>
      <c r="G5004" t="str">
        <f>_xlfn.XLOOKUP(A5004,'[1]Tissue Data'!$A:$A,'[1]Tissue Data'!J:J)</f>
        <v>U</v>
      </c>
      <c r="H5004" t="str">
        <f>_xlfn.XLOOKUP(A5004,'[1]Tissue Data'!$A:$A,'[1]Tissue Data'!K:K)</f>
        <v>Whole Body</v>
      </c>
      <c r="I5004">
        <f>_xlfn.XLOOKUP(A5004,'[1]Tissue Data'!$A:$A,'[1]Tissue Data'!L:L)</f>
        <v>7</v>
      </c>
      <c r="J5004">
        <f>_xlfn.XLOOKUP(A5004,'[1]Tissue Data'!$A:$A,'[1]Tissue Data'!M:M)</f>
        <v>5.78</v>
      </c>
      <c r="K5004" t="s">
        <v>14</v>
      </c>
      <c r="L5004" t="str">
        <f>_xlfn.XLOOKUP(K5004,[2]analyte_order!$B:$B,[2]analyte_order!$C:$C)</f>
        <v>307-24-4</v>
      </c>
      <c r="M5004">
        <f>_xlfn.XLOOKUP(L5004,[2]analyte_order!$C:$C,[2]analyte_order!$E:$E)</f>
        <v>3</v>
      </c>
      <c r="N5004">
        <v>0.1305</v>
      </c>
    </row>
    <row r="5005" spans="1:14">
      <c r="A5005" t="s">
        <v>280</v>
      </c>
      <c r="B5005" t="str">
        <f>_xlfn.XLOOKUP(A5005,'[1]Tissue Data'!$A:$A,'[1]Tissue Data'!$C:$C)</f>
        <v>Spill</v>
      </c>
      <c r="C5005" s="2">
        <f>_xlfn.XLOOKUP(A5005,'[1]Tissue Data'!$A:$A,'[1]Tissue Data'!$D:$D)</f>
        <v>44393</v>
      </c>
      <c r="D5005" s="2" t="str">
        <f>_xlfn.XLOOKUP(A5005,'[1]Tissue Data'!$A:$A,'[1]Tissue Data'!$F:$F)</f>
        <v>Pumpkinseed</v>
      </c>
      <c r="E5005" t="str">
        <f>_xlfn.XLOOKUP(A5005,'[1]Tissue Data'!$A:$A,'[1]Tissue Data'!$H:$H)</f>
        <v>Lepomis</v>
      </c>
      <c r="F5005" t="str">
        <f>_xlfn.XLOOKUP(A5005,'[1]Tissue Data'!$A:$A,'[1]Tissue Data'!$I:$I)</f>
        <v>gibbosus</v>
      </c>
      <c r="G5005" t="str">
        <f>_xlfn.XLOOKUP(A5005,'[1]Tissue Data'!$A:$A,'[1]Tissue Data'!J:J)</f>
        <v>U</v>
      </c>
      <c r="H5005" t="str">
        <f>_xlfn.XLOOKUP(A5005,'[1]Tissue Data'!$A:$A,'[1]Tissue Data'!K:K)</f>
        <v>Whole Body</v>
      </c>
      <c r="I5005">
        <f>_xlfn.XLOOKUP(A5005,'[1]Tissue Data'!$A:$A,'[1]Tissue Data'!L:L)</f>
        <v>7</v>
      </c>
      <c r="J5005">
        <f>_xlfn.XLOOKUP(A5005,'[1]Tissue Data'!$A:$A,'[1]Tissue Data'!M:M)</f>
        <v>5.78</v>
      </c>
      <c r="K5005" t="s">
        <v>15</v>
      </c>
      <c r="L5005" t="str">
        <f>_xlfn.XLOOKUP(K5005,[2]analyte_order!$B:$B,[2]analyte_order!$C:$C)</f>
        <v>375-85-9</v>
      </c>
      <c r="M5005">
        <f>_xlfn.XLOOKUP(L5005,[2]analyte_order!$C:$C,[2]analyte_order!$E:$E)</f>
        <v>4</v>
      </c>
      <c r="N5005">
        <v>9.6500000000000002E-2</v>
      </c>
    </row>
    <row r="5006" spans="1:14">
      <c r="A5006" t="s">
        <v>280</v>
      </c>
      <c r="B5006" t="str">
        <f>_xlfn.XLOOKUP(A5006,'[1]Tissue Data'!$A:$A,'[1]Tissue Data'!$C:$C)</f>
        <v>Spill</v>
      </c>
      <c r="C5006" s="2">
        <f>_xlfn.XLOOKUP(A5006,'[1]Tissue Data'!$A:$A,'[1]Tissue Data'!$D:$D)</f>
        <v>44393</v>
      </c>
      <c r="D5006" s="2" t="str">
        <f>_xlfn.XLOOKUP(A5006,'[1]Tissue Data'!$A:$A,'[1]Tissue Data'!$F:$F)</f>
        <v>Pumpkinseed</v>
      </c>
      <c r="E5006" t="str">
        <f>_xlfn.XLOOKUP(A5006,'[1]Tissue Data'!$A:$A,'[1]Tissue Data'!$H:$H)</f>
        <v>Lepomis</v>
      </c>
      <c r="F5006" t="str">
        <f>_xlfn.XLOOKUP(A5006,'[1]Tissue Data'!$A:$A,'[1]Tissue Data'!$I:$I)</f>
        <v>gibbosus</v>
      </c>
      <c r="G5006" t="str">
        <f>_xlfn.XLOOKUP(A5006,'[1]Tissue Data'!$A:$A,'[1]Tissue Data'!J:J)</f>
        <v>U</v>
      </c>
      <c r="H5006" t="str">
        <f>_xlfn.XLOOKUP(A5006,'[1]Tissue Data'!$A:$A,'[1]Tissue Data'!K:K)</f>
        <v>Whole Body</v>
      </c>
      <c r="I5006">
        <f>_xlfn.XLOOKUP(A5006,'[1]Tissue Data'!$A:$A,'[1]Tissue Data'!L:L)</f>
        <v>7</v>
      </c>
      <c r="J5006">
        <f>_xlfn.XLOOKUP(A5006,'[1]Tissue Data'!$A:$A,'[1]Tissue Data'!M:M)</f>
        <v>5.78</v>
      </c>
      <c r="K5006" t="s">
        <v>16</v>
      </c>
      <c r="L5006" t="str">
        <f>_xlfn.XLOOKUP(K5006,[2]analyte_order!$B:$B,[2]analyte_order!$C:$C)</f>
        <v>335-67-1</v>
      </c>
      <c r="M5006">
        <f>_xlfn.XLOOKUP(L5006,[2]analyte_order!$C:$C,[2]analyte_order!$E:$E)</f>
        <v>5</v>
      </c>
      <c r="N5006">
        <v>0.71499999999999997</v>
      </c>
    </row>
    <row r="5007" spans="1:14">
      <c r="A5007" t="s">
        <v>280</v>
      </c>
      <c r="B5007" t="str">
        <f>_xlfn.XLOOKUP(A5007,'[1]Tissue Data'!$A:$A,'[1]Tissue Data'!$C:$C)</f>
        <v>Spill</v>
      </c>
      <c r="C5007" s="2">
        <f>_xlfn.XLOOKUP(A5007,'[1]Tissue Data'!$A:$A,'[1]Tissue Data'!$D:$D)</f>
        <v>44393</v>
      </c>
      <c r="D5007" s="2" t="str">
        <f>_xlfn.XLOOKUP(A5007,'[1]Tissue Data'!$A:$A,'[1]Tissue Data'!$F:$F)</f>
        <v>Pumpkinseed</v>
      </c>
      <c r="E5007" t="str">
        <f>_xlfn.XLOOKUP(A5007,'[1]Tissue Data'!$A:$A,'[1]Tissue Data'!$H:$H)</f>
        <v>Lepomis</v>
      </c>
      <c r="F5007" t="str">
        <f>_xlfn.XLOOKUP(A5007,'[1]Tissue Data'!$A:$A,'[1]Tissue Data'!$I:$I)</f>
        <v>gibbosus</v>
      </c>
      <c r="G5007" t="str">
        <f>_xlfn.XLOOKUP(A5007,'[1]Tissue Data'!$A:$A,'[1]Tissue Data'!J:J)</f>
        <v>U</v>
      </c>
      <c r="H5007" t="str">
        <f>_xlfn.XLOOKUP(A5007,'[1]Tissue Data'!$A:$A,'[1]Tissue Data'!K:K)</f>
        <v>Whole Body</v>
      </c>
      <c r="I5007">
        <f>_xlfn.XLOOKUP(A5007,'[1]Tissue Data'!$A:$A,'[1]Tissue Data'!L:L)</f>
        <v>7</v>
      </c>
      <c r="J5007">
        <f>_xlfn.XLOOKUP(A5007,'[1]Tissue Data'!$A:$A,'[1]Tissue Data'!M:M)</f>
        <v>5.78</v>
      </c>
      <c r="K5007" t="s">
        <v>17</v>
      </c>
      <c r="L5007" t="str">
        <f>_xlfn.XLOOKUP(K5007,[2]analyte_order!$B:$B,[2]analyte_order!$C:$C)</f>
        <v>375-95-1</v>
      </c>
      <c r="M5007">
        <f>_xlfn.XLOOKUP(L5007,[2]analyte_order!$C:$C,[2]analyte_order!$E:$E)</f>
        <v>6</v>
      </c>
      <c r="N5007">
        <v>0.37</v>
      </c>
    </row>
    <row r="5008" spans="1:14">
      <c r="A5008" t="s">
        <v>280</v>
      </c>
      <c r="B5008" t="str">
        <f>_xlfn.XLOOKUP(A5008,'[1]Tissue Data'!$A:$A,'[1]Tissue Data'!$C:$C)</f>
        <v>Spill</v>
      </c>
      <c r="C5008" s="2">
        <f>_xlfn.XLOOKUP(A5008,'[1]Tissue Data'!$A:$A,'[1]Tissue Data'!$D:$D)</f>
        <v>44393</v>
      </c>
      <c r="D5008" s="2" t="str">
        <f>_xlfn.XLOOKUP(A5008,'[1]Tissue Data'!$A:$A,'[1]Tissue Data'!$F:$F)</f>
        <v>Pumpkinseed</v>
      </c>
      <c r="E5008" t="str">
        <f>_xlfn.XLOOKUP(A5008,'[1]Tissue Data'!$A:$A,'[1]Tissue Data'!$H:$H)</f>
        <v>Lepomis</v>
      </c>
      <c r="F5008" t="str">
        <f>_xlfn.XLOOKUP(A5008,'[1]Tissue Data'!$A:$A,'[1]Tissue Data'!$I:$I)</f>
        <v>gibbosus</v>
      </c>
      <c r="G5008" t="str">
        <f>_xlfn.XLOOKUP(A5008,'[1]Tissue Data'!$A:$A,'[1]Tissue Data'!J:J)</f>
        <v>U</v>
      </c>
      <c r="H5008" t="str">
        <f>_xlfn.XLOOKUP(A5008,'[1]Tissue Data'!$A:$A,'[1]Tissue Data'!K:K)</f>
        <v>Whole Body</v>
      </c>
      <c r="I5008">
        <f>_xlfn.XLOOKUP(A5008,'[1]Tissue Data'!$A:$A,'[1]Tissue Data'!L:L)</f>
        <v>7</v>
      </c>
      <c r="J5008">
        <f>_xlfn.XLOOKUP(A5008,'[1]Tissue Data'!$A:$A,'[1]Tissue Data'!M:M)</f>
        <v>5.78</v>
      </c>
      <c r="K5008" t="s">
        <v>18</v>
      </c>
      <c r="L5008" t="str">
        <f>_xlfn.XLOOKUP(K5008,[2]analyte_order!$B:$B,[2]analyte_order!$C:$C)</f>
        <v>335-76-2</v>
      </c>
      <c r="M5008">
        <f>_xlfn.XLOOKUP(L5008,[2]analyte_order!$C:$C,[2]analyte_order!$E:$E)</f>
        <v>7</v>
      </c>
      <c r="N5008">
        <v>3.85</v>
      </c>
    </row>
    <row r="5009" spans="1:14">
      <c r="A5009" t="s">
        <v>280</v>
      </c>
      <c r="B5009" t="str">
        <f>_xlfn.XLOOKUP(A5009,'[1]Tissue Data'!$A:$A,'[1]Tissue Data'!$C:$C)</f>
        <v>Spill</v>
      </c>
      <c r="C5009" s="2">
        <f>_xlfn.XLOOKUP(A5009,'[1]Tissue Data'!$A:$A,'[1]Tissue Data'!$D:$D)</f>
        <v>44393</v>
      </c>
      <c r="D5009" s="2" t="str">
        <f>_xlfn.XLOOKUP(A5009,'[1]Tissue Data'!$A:$A,'[1]Tissue Data'!$F:$F)</f>
        <v>Pumpkinseed</v>
      </c>
      <c r="E5009" t="str">
        <f>_xlfn.XLOOKUP(A5009,'[1]Tissue Data'!$A:$A,'[1]Tissue Data'!$H:$H)</f>
        <v>Lepomis</v>
      </c>
      <c r="F5009" t="str">
        <f>_xlfn.XLOOKUP(A5009,'[1]Tissue Data'!$A:$A,'[1]Tissue Data'!$I:$I)</f>
        <v>gibbosus</v>
      </c>
      <c r="G5009" t="str">
        <f>_xlfn.XLOOKUP(A5009,'[1]Tissue Data'!$A:$A,'[1]Tissue Data'!J:J)</f>
        <v>U</v>
      </c>
      <c r="H5009" t="str">
        <f>_xlfn.XLOOKUP(A5009,'[1]Tissue Data'!$A:$A,'[1]Tissue Data'!K:K)</f>
        <v>Whole Body</v>
      </c>
      <c r="I5009">
        <f>_xlfn.XLOOKUP(A5009,'[1]Tissue Data'!$A:$A,'[1]Tissue Data'!L:L)</f>
        <v>7</v>
      </c>
      <c r="J5009">
        <f>_xlfn.XLOOKUP(A5009,'[1]Tissue Data'!$A:$A,'[1]Tissue Data'!M:M)</f>
        <v>5.78</v>
      </c>
      <c r="K5009" t="s">
        <v>19</v>
      </c>
      <c r="L5009" t="str">
        <f>_xlfn.XLOOKUP(K5009,[2]analyte_order!$B:$B,[2]analyte_order!$C:$C)</f>
        <v>2058-94-8</v>
      </c>
      <c r="M5009">
        <f>_xlfn.XLOOKUP(L5009,[2]analyte_order!$C:$C,[2]analyte_order!$E:$E)</f>
        <v>8</v>
      </c>
      <c r="N5009">
        <v>6.8</v>
      </c>
    </row>
    <row r="5010" spans="1:14">
      <c r="A5010" t="s">
        <v>280</v>
      </c>
      <c r="B5010" t="str">
        <f>_xlfn.XLOOKUP(A5010,'[1]Tissue Data'!$A:$A,'[1]Tissue Data'!$C:$C)</f>
        <v>Spill</v>
      </c>
      <c r="C5010" s="2">
        <f>_xlfn.XLOOKUP(A5010,'[1]Tissue Data'!$A:$A,'[1]Tissue Data'!$D:$D)</f>
        <v>44393</v>
      </c>
      <c r="D5010" s="2" t="str">
        <f>_xlfn.XLOOKUP(A5010,'[1]Tissue Data'!$A:$A,'[1]Tissue Data'!$F:$F)</f>
        <v>Pumpkinseed</v>
      </c>
      <c r="E5010" t="str">
        <f>_xlfn.XLOOKUP(A5010,'[1]Tissue Data'!$A:$A,'[1]Tissue Data'!$H:$H)</f>
        <v>Lepomis</v>
      </c>
      <c r="F5010" t="str">
        <f>_xlfn.XLOOKUP(A5010,'[1]Tissue Data'!$A:$A,'[1]Tissue Data'!$I:$I)</f>
        <v>gibbosus</v>
      </c>
      <c r="G5010" t="str">
        <f>_xlfn.XLOOKUP(A5010,'[1]Tissue Data'!$A:$A,'[1]Tissue Data'!J:J)</f>
        <v>U</v>
      </c>
      <c r="H5010" t="str">
        <f>_xlfn.XLOOKUP(A5010,'[1]Tissue Data'!$A:$A,'[1]Tissue Data'!K:K)</f>
        <v>Whole Body</v>
      </c>
      <c r="I5010">
        <f>_xlfn.XLOOKUP(A5010,'[1]Tissue Data'!$A:$A,'[1]Tissue Data'!L:L)</f>
        <v>7</v>
      </c>
      <c r="J5010">
        <f>_xlfn.XLOOKUP(A5010,'[1]Tissue Data'!$A:$A,'[1]Tissue Data'!M:M)</f>
        <v>5.78</v>
      </c>
      <c r="K5010" t="s">
        <v>20</v>
      </c>
      <c r="L5010" t="str">
        <f>_xlfn.XLOOKUP(K5010,[2]analyte_order!$B:$B,[2]analyte_order!$C:$C)</f>
        <v>307-55-1</v>
      </c>
      <c r="M5010">
        <f>_xlfn.XLOOKUP(L5010,[2]analyte_order!$C:$C,[2]analyte_order!$E:$E)</f>
        <v>9</v>
      </c>
      <c r="N5010">
        <v>21</v>
      </c>
    </row>
    <row r="5011" spans="1:14">
      <c r="A5011" t="s">
        <v>280</v>
      </c>
      <c r="B5011" t="str">
        <f>_xlfn.XLOOKUP(A5011,'[1]Tissue Data'!$A:$A,'[1]Tissue Data'!$C:$C)</f>
        <v>Spill</v>
      </c>
      <c r="C5011" s="2">
        <f>_xlfn.XLOOKUP(A5011,'[1]Tissue Data'!$A:$A,'[1]Tissue Data'!$D:$D)</f>
        <v>44393</v>
      </c>
      <c r="D5011" s="2" t="str">
        <f>_xlfn.XLOOKUP(A5011,'[1]Tissue Data'!$A:$A,'[1]Tissue Data'!$F:$F)</f>
        <v>Pumpkinseed</v>
      </c>
      <c r="E5011" t="str">
        <f>_xlfn.XLOOKUP(A5011,'[1]Tissue Data'!$A:$A,'[1]Tissue Data'!$H:$H)</f>
        <v>Lepomis</v>
      </c>
      <c r="F5011" t="str">
        <f>_xlfn.XLOOKUP(A5011,'[1]Tissue Data'!$A:$A,'[1]Tissue Data'!$I:$I)</f>
        <v>gibbosus</v>
      </c>
      <c r="G5011" t="str">
        <f>_xlfn.XLOOKUP(A5011,'[1]Tissue Data'!$A:$A,'[1]Tissue Data'!J:J)</f>
        <v>U</v>
      </c>
      <c r="H5011" t="str">
        <f>_xlfn.XLOOKUP(A5011,'[1]Tissue Data'!$A:$A,'[1]Tissue Data'!K:K)</f>
        <v>Whole Body</v>
      </c>
      <c r="I5011">
        <f>_xlfn.XLOOKUP(A5011,'[1]Tissue Data'!$A:$A,'[1]Tissue Data'!L:L)</f>
        <v>7</v>
      </c>
      <c r="J5011">
        <f>_xlfn.XLOOKUP(A5011,'[1]Tissue Data'!$A:$A,'[1]Tissue Data'!M:M)</f>
        <v>5.78</v>
      </c>
      <c r="K5011" t="s">
        <v>21</v>
      </c>
      <c r="L5011" t="str">
        <f>_xlfn.XLOOKUP(K5011,[2]analyte_order!$B:$B,[2]analyte_order!$C:$C)</f>
        <v>72629-94-8</v>
      </c>
      <c r="M5011">
        <f>_xlfn.XLOOKUP(L5011,[2]analyte_order!$C:$C,[2]analyte_order!$E:$E)</f>
        <v>10</v>
      </c>
      <c r="N5011">
        <v>8.42</v>
      </c>
    </row>
    <row r="5012" spans="1:14">
      <c r="A5012" t="s">
        <v>280</v>
      </c>
      <c r="B5012" t="str">
        <f>_xlfn.XLOOKUP(A5012,'[1]Tissue Data'!$A:$A,'[1]Tissue Data'!$C:$C)</f>
        <v>Spill</v>
      </c>
      <c r="C5012" s="2">
        <f>_xlfn.XLOOKUP(A5012,'[1]Tissue Data'!$A:$A,'[1]Tissue Data'!$D:$D)</f>
        <v>44393</v>
      </c>
      <c r="D5012" s="2" t="str">
        <f>_xlfn.XLOOKUP(A5012,'[1]Tissue Data'!$A:$A,'[1]Tissue Data'!$F:$F)</f>
        <v>Pumpkinseed</v>
      </c>
      <c r="E5012" t="str">
        <f>_xlfn.XLOOKUP(A5012,'[1]Tissue Data'!$A:$A,'[1]Tissue Data'!$H:$H)</f>
        <v>Lepomis</v>
      </c>
      <c r="F5012" t="str">
        <f>_xlfn.XLOOKUP(A5012,'[1]Tissue Data'!$A:$A,'[1]Tissue Data'!$I:$I)</f>
        <v>gibbosus</v>
      </c>
      <c r="G5012" t="str">
        <f>_xlfn.XLOOKUP(A5012,'[1]Tissue Data'!$A:$A,'[1]Tissue Data'!J:J)</f>
        <v>U</v>
      </c>
      <c r="H5012" t="str">
        <f>_xlfn.XLOOKUP(A5012,'[1]Tissue Data'!$A:$A,'[1]Tissue Data'!K:K)</f>
        <v>Whole Body</v>
      </c>
      <c r="I5012">
        <f>_xlfn.XLOOKUP(A5012,'[1]Tissue Data'!$A:$A,'[1]Tissue Data'!L:L)</f>
        <v>7</v>
      </c>
      <c r="J5012">
        <f>_xlfn.XLOOKUP(A5012,'[1]Tissue Data'!$A:$A,'[1]Tissue Data'!M:M)</f>
        <v>5.78</v>
      </c>
      <c r="K5012" t="s">
        <v>22</v>
      </c>
      <c r="L5012" t="str">
        <f>_xlfn.XLOOKUP(K5012,[2]analyte_order!$B:$B,[2]analyte_order!$C:$C)</f>
        <v>376-06-7</v>
      </c>
      <c r="M5012">
        <f>_xlfn.XLOOKUP(L5012,[2]analyte_order!$C:$C,[2]analyte_order!$E:$E)</f>
        <v>11</v>
      </c>
      <c r="N5012">
        <v>19</v>
      </c>
    </row>
    <row r="5013" spans="1:14">
      <c r="A5013" t="s">
        <v>280</v>
      </c>
      <c r="B5013" t="str">
        <f>_xlfn.XLOOKUP(A5013,'[1]Tissue Data'!$A:$A,'[1]Tissue Data'!$C:$C)</f>
        <v>Spill</v>
      </c>
      <c r="C5013" s="2">
        <f>_xlfn.XLOOKUP(A5013,'[1]Tissue Data'!$A:$A,'[1]Tissue Data'!$D:$D)</f>
        <v>44393</v>
      </c>
      <c r="D5013" s="2" t="str">
        <f>_xlfn.XLOOKUP(A5013,'[1]Tissue Data'!$A:$A,'[1]Tissue Data'!$F:$F)</f>
        <v>Pumpkinseed</v>
      </c>
      <c r="E5013" t="str">
        <f>_xlfn.XLOOKUP(A5013,'[1]Tissue Data'!$A:$A,'[1]Tissue Data'!$H:$H)</f>
        <v>Lepomis</v>
      </c>
      <c r="F5013" t="str">
        <f>_xlfn.XLOOKUP(A5013,'[1]Tissue Data'!$A:$A,'[1]Tissue Data'!$I:$I)</f>
        <v>gibbosus</v>
      </c>
      <c r="G5013" t="str">
        <f>_xlfn.XLOOKUP(A5013,'[1]Tissue Data'!$A:$A,'[1]Tissue Data'!J:J)</f>
        <v>U</v>
      </c>
      <c r="H5013" t="str">
        <f>_xlfn.XLOOKUP(A5013,'[1]Tissue Data'!$A:$A,'[1]Tissue Data'!K:K)</f>
        <v>Whole Body</v>
      </c>
      <c r="I5013">
        <f>_xlfn.XLOOKUP(A5013,'[1]Tissue Data'!$A:$A,'[1]Tissue Data'!L:L)</f>
        <v>7</v>
      </c>
      <c r="J5013">
        <f>_xlfn.XLOOKUP(A5013,'[1]Tissue Data'!$A:$A,'[1]Tissue Data'!M:M)</f>
        <v>5.78</v>
      </c>
      <c r="K5013" t="s">
        <v>23</v>
      </c>
      <c r="L5013" t="str">
        <f>_xlfn.XLOOKUP(K5013,[2]analyte_order!$B:$B,[2]analyte_order!$C:$C)</f>
        <v>67905-19-5</v>
      </c>
      <c r="M5013">
        <f>_xlfn.XLOOKUP(L5013,[2]analyte_order!$C:$C,[2]analyte_order!$E:$E)</f>
        <v>12</v>
      </c>
      <c r="N5013">
        <v>8.6999999999999994E-2</v>
      </c>
    </row>
    <row r="5014" spans="1:14">
      <c r="A5014" t="s">
        <v>280</v>
      </c>
      <c r="B5014" t="str">
        <f>_xlfn.XLOOKUP(A5014,'[1]Tissue Data'!$A:$A,'[1]Tissue Data'!$C:$C)</f>
        <v>Spill</v>
      </c>
      <c r="C5014" s="2">
        <f>_xlfn.XLOOKUP(A5014,'[1]Tissue Data'!$A:$A,'[1]Tissue Data'!$D:$D)</f>
        <v>44393</v>
      </c>
      <c r="D5014" s="2" t="str">
        <f>_xlfn.XLOOKUP(A5014,'[1]Tissue Data'!$A:$A,'[1]Tissue Data'!$F:$F)</f>
        <v>Pumpkinseed</v>
      </c>
      <c r="E5014" t="str">
        <f>_xlfn.XLOOKUP(A5014,'[1]Tissue Data'!$A:$A,'[1]Tissue Data'!$H:$H)</f>
        <v>Lepomis</v>
      </c>
      <c r="F5014" t="str">
        <f>_xlfn.XLOOKUP(A5014,'[1]Tissue Data'!$A:$A,'[1]Tissue Data'!$I:$I)</f>
        <v>gibbosus</v>
      </c>
      <c r="G5014" t="str">
        <f>_xlfn.XLOOKUP(A5014,'[1]Tissue Data'!$A:$A,'[1]Tissue Data'!J:J)</f>
        <v>U</v>
      </c>
      <c r="H5014" t="str">
        <f>_xlfn.XLOOKUP(A5014,'[1]Tissue Data'!$A:$A,'[1]Tissue Data'!K:K)</f>
        <v>Whole Body</v>
      </c>
      <c r="I5014">
        <f>_xlfn.XLOOKUP(A5014,'[1]Tissue Data'!$A:$A,'[1]Tissue Data'!L:L)</f>
        <v>7</v>
      </c>
      <c r="J5014">
        <f>_xlfn.XLOOKUP(A5014,'[1]Tissue Data'!$A:$A,'[1]Tissue Data'!M:M)</f>
        <v>5.78</v>
      </c>
      <c r="K5014" t="s">
        <v>24</v>
      </c>
      <c r="L5014" t="str">
        <f>_xlfn.XLOOKUP(K5014,[2]analyte_order!$B:$B,[2]analyte_order!$C:$C)</f>
        <v>423-41-6</v>
      </c>
      <c r="M5014">
        <f>_xlfn.XLOOKUP(L5014,[2]analyte_order!$C:$C,[2]analyte_order!$E:$E)</f>
        <v>53</v>
      </c>
      <c r="N5014">
        <v>7.2999999999999995E-2</v>
      </c>
    </row>
    <row r="5015" spans="1:14">
      <c r="A5015" t="s">
        <v>280</v>
      </c>
      <c r="B5015" t="str">
        <f>_xlfn.XLOOKUP(A5015,'[1]Tissue Data'!$A:$A,'[1]Tissue Data'!$C:$C)</f>
        <v>Spill</v>
      </c>
      <c r="C5015" s="2">
        <f>_xlfn.XLOOKUP(A5015,'[1]Tissue Data'!$A:$A,'[1]Tissue Data'!$D:$D)</f>
        <v>44393</v>
      </c>
      <c r="D5015" s="2" t="str">
        <f>_xlfn.XLOOKUP(A5015,'[1]Tissue Data'!$A:$A,'[1]Tissue Data'!$F:$F)</f>
        <v>Pumpkinseed</v>
      </c>
      <c r="E5015" t="str">
        <f>_xlfn.XLOOKUP(A5015,'[1]Tissue Data'!$A:$A,'[1]Tissue Data'!$H:$H)</f>
        <v>Lepomis</v>
      </c>
      <c r="F5015" t="str">
        <f>_xlfn.XLOOKUP(A5015,'[1]Tissue Data'!$A:$A,'[1]Tissue Data'!$I:$I)</f>
        <v>gibbosus</v>
      </c>
      <c r="G5015" t="str">
        <f>_xlfn.XLOOKUP(A5015,'[1]Tissue Data'!$A:$A,'[1]Tissue Data'!J:J)</f>
        <v>U</v>
      </c>
      <c r="H5015" t="str">
        <f>_xlfn.XLOOKUP(A5015,'[1]Tissue Data'!$A:$A,'[1]Tissue Data'!K:K)</f>
        <v>Whole Body</v>
      </c>
      <c r="I5015">
        <f>_xlfn.XLOOKUP(A5015,'[1]Tissue Data'!$A:$A,'[1]Tissue Data'!L:L)</f>
        <v>7</v>
      </c>
      <c r="J5015">
        <f>_xlfn.XLOOKUP(A5015,'[1]Tissue Data'!$A:$A,'[1]Tissue Data'!M:M)</f>
        <v>5.78</v>
      </c>
      <c r="K5015" t="s">
        <v>25</v>
      </c>
      <c r="L5015" t="str">
        <f>_xlfn.XLOOKUP(K5015,[2]analyte_order!$B:$B,[2]analyte_order!$C:$C)</f>
        <v>375-73-5</v>
      </c>
      <c r="M5015">
        <f>_xlfn.XLOOKUP(L5015,[2]analyte_order!$C:$C,[2]analyte_order!$E:$E)</f>
        <v>14</v>
      </c>
      <c r="N5015">
        <v>0.16450000000000001</v>
      </c>
    </row>
    <row r="5016" spans="1:14">
      <c r="A5016" t="s">
        <v>280</v>
      </c>
      <c r="B5016" t="str">
        <f>_xlfn.XLOOKUP(A5016,'[1]Tissue Data'!$A:$A,'[1]Tissue Data'!$C:$C)</f>
        <v>Spill</v>
      </c>
      <c r="C5016" s="2">
        <f>_xlfn.XLOOKUP(A5016,'[1]Tissue Data'!$A:$A,'[1]Tissue Data'!$D:$D)</f>
        <v>44393</v>
      </c>
      <c r="D5016" s="2" t="str">
        <f>_xlfn.XLOOKUP(A5016,'[1]Tissue Data'!$A:$A,'[1]Tissue Data'!$F:$F)</f>
        <v>Pumpkinseed</v>
      </c>
      <c r="E5016" t="str">
        <f>_xlfn.XLOOKUP(A5016,'[1]Tissue Data'!$A:$A,'[1]Tissue Data'!$H:$H)</f>
        <v>Lepomis</v>
      </c>
      <c r="F5016" t="str">
        <f>_xlfn.XLOOKUP(A5016,'[1]Tissue Data'!$A:$A,'[1]Tissue Data'!$I:$I)</f>
        <v>gibbosus</v>
      </c>
      <c r="G5016" t="str">
        <f>_xlfn.XLOOKUP(A5016,'[1]Tissue Data'!$A:$A,'[1]Tissue Data'!J:J)</f>
        <v>U</v>
      </c>
      <c r="H5016" t="str">
        <f>_xlfn.XLOOKUP(A5016,'[1]Tissue Data'!$A:$A,'[1]Tissue Data'!K:K)</f>
        <v>Whole Body</v>
      </c>
      <c r="I5016">
        <f>_xlfn.XLOOKUP(A5016,'[1]Tissue Data'!$A:$A,'[1]Tissue Data'!L:L)</f>
        <v>7</v>
      </c>
      <c r="J5016">
        <f>_xlfn.XLOOKUP(A5016,'[1]Tissue Data'!$A:$A,'[1]Tissue Data'!M:M)</f>
        <v>5.78</v>
      </c>
      <c r="K5016" t="s">
        <v>26</v>
      </c>
      <c r="L5016" t="str">
        <f>_xlfn.XLOOKUP(K5016,[2]analyte_order!$B:$B,[2]analyte_order!$C:$C)</f>
        <v>2706-91-4</v>
      </c>
      <c r="M5016">
        <f>_xlfn.XLOOKUP(L5016,[2]analyte_order!$C:$C,[2]analyte_order!$E:$E)</f>
        <v>15</v>
      </c>
      <c r="N5016">
        <v>7.2999999999999995E-2</v>
      </c>
    </row>
    <row r="5017" spans="1:14">
      <c r="A5017" t="s">
        <v>280</v>
      </c>
      <c r="B5017" t="str">
        <f>_xlfn.XLOOKUP(A5017,'[1]Tissue Data'!$A:$A,'[1]Tissue Data'!$C:$C)</f>
        <v>Spill</v>
      </c>
      <c r="C5017" s="2">
        <f>_xlfn.XLOOKUP(A5017,'[1]Tissue Data'!$A:$A,'[1]Tissue Data'!$D:$D)</f>
        <v>44393</v>
      </c>
      <c r="D5017" s="2" t="str">
        <f>_xlfn.XLOOKUP(A5017,'[1]Tissue Data'!$A:$A,'[1]Tissue Data'!$F:$F)</f>
        <v>Pumpkinseed</v>
      </c>
      <c r="E5017" t="str">
        <f>_xlfn.XLOOKUP(A5017,'[1]Tissue Data'!$A:$A,'[1]Tissue Data'!$H:$H)</f>
        <v>Lepomis</v>
      </c>
      <c r="F5017" t="str">
        <f>_xlfn.XLOOKUP(A5017,'[1]Tissue Data'!$A:$A,'[1]Tissue Data'!$I:$I)</f>
        <v>gibbosus</v>
      </c>
      <c r="G5017" t="str">
        <f>_xlfn.XLOOKUP(A5017,'[1]Tissue Data'!$A:$A,'[1]Tissue Data'!J:J)</f>
        <v>U</v>
      </c>
      <c r="H5017" t="str">
        <f>_xlfn.XLOOKUP(A5017,'[1]Tissue Data'!$A:$A,'[1]Tissue Data'!K:K)</f>
        <v>Whole Body</v>
      </c>
      <c r="I5017">
        <f>_xlfn.XLOOKUP(A5017,'[1]Tissue Data'!$A:$A,'[1]Tissue Data'!L:L)</f>
        <v>7</v>
      </c>
      <c r="J5017">
        <f>_xlfn.XLOOKUP(A5017,'[1]Tissue Data'!$A:$A,'[1]Tissue Data'!M:M)</f>
        <v>5.78</v>
      </c>
      <c r="K5017" t="s">
        <v>27</v>
      </c>
      <c r="L5017" t="str">
        <f>_xlfn.XLOOKUP(K5017,[2]analyte_order!$B:$B,[2]analyte_order!$C:$C)</f>
        <v>355-46-4</v>
      </c>
      <c r="M5017">
        <f>_xlfn.XLOOKUP(L5017,[2]analyte_order!$C:$C,[2]analyte_order!$E:$E)</f>
        <v>16</v>
      </c>
      <c r="N5017">
        <v>8.49</v>
      </c>
    </row>
    <row r="5018" spans="1:14">
      <c r="A5018" t="s">
        <v>280</v>
      </c>
      <c r="B5018" t="str">
        <f>_xlfn.XLOOKUP(A5018,'[1]Tissue Data'!$A:$A,'[1]Tissue Data'!$C:$C)</f>
        <v>Spill</v>
      </c>
      <c r="C5018" s="2">
        <f>_xlfn.XLOOKUP(A5018,'[1]Tissue Data'!$A:$A,'[1]Tissue Data'!$D:$D)</f>
        <v>44393</v>
      </c>
      <c r="D5018" s="2" t="str">
        <f>_xlfn.XLOOKUP(A5018,'[1]Tissue Data'!$A:$A,'[1]Tissue Data'!$F:$F)</f>
        <v>Pumpkinseed</v>
      </c>
      <c r="E5018" t="str">
        <f>_xlfn.XLOOKUP(A5018,'[1]Tissue Data'!$A:$A,'[1]Tissue Data'!$H:$H)</f>
        <v>Lepomis</v>
      </c>
      <c r="F5018" t="str">
        <f>_xlfn.XLOOKUP(A5018,'[1]Tissue Data'!$A:$A,'[1]Tissue Data'!$I:$I)</f>
        <v>gibbosus</v>
      </c>
      <c r="G5018" t="str">
        <f>_xlfn.XLOOKUP(A5018,'[1]Tissue Data'!$A:$A,'[1]Tissue Data'!J:J)</f>
        <v>U</v>
      </c>
      <c r="H5018" t="str">
        <f>_xlfn.XLOOKUP(A5018,'[1]Tissue Data'!$A:$A,'[1]Tissue Data'!K:K)</f>
        <v>Whole Body</v>
      </c>
      <c r="I5018">
        <f>_xlfn.XLOOKUP(A5018,'[1]Tissue Data'!$A:$A,'[1]Tissue Data'!L:L)</f>
        <v>7</v>
      </c>
      <c r="J5018">
        <f>_xlfn.XLOOKUP(A5018,'[1]Tissue Data'!$A:$A,'[1]Tissue Data'!M:M)</f>
        <v>5.78</v>
      </c>
      <c r="K5018" t="s">
        <v>28</v>
      </c>
      <c r="L5018" t="str">
        <f>_xlfn.XLOOKUP(K5018,[2]analyte_order!$B:$B,[2]analyte_order!$C:$C)</f>
        <v>375-92-8</v>
      </c>
      <c r="M5018">
        <f>_xlfn.XLOOKUP(L5018,[2]analyte_order!$C:$C,[2]analyte_order!$E:$E)</f>
        <v>17</v>
      </c>
      <c r="N5018">
        <v>0.83399999999999996</v>
      </c>
    </row>
    <row r="5019" spans="1:14">
      <c r="A5019" t="s">
        <v>280</v>
      </c>
      <c r="B5019" t="str">
        <f>_xlfn.XLOOKUP(A5019,'[1]Tissue Data'!$A:$A,'[1]Tissue Data'!$C:$C)</f>
        <v>Spill</v>
      </c>
      <c r="C5019" s="2">
        <f>_xlfn.XLOOKUP(A5019,'[1]Tissue Data'!$A:$A,'[1]Tissue Data'!$D:$D)</f>
        <v>44393</v>
      </c>
      <c r="D5019" s="2" t="str">
        <f>_xlfn.XLOOKUP(A5019,'[1]Tissue Data'!$A:$A,'[1]Tissue Data'!$F:$F)</f>
        <v>Pumpkinseed</v>
      </c>
      <c r="E5019" t="str">
        <f>_xlfn.XLOOKUP(A5019,'[1]Tissue Data'!$A:$A,'[1]Tissue Data'!$H:$H)</f>
        <v>Lepomis</v>
      </c>
      <c r="F5019" t="str">
        <f>_xlfn.XLOOKUP(A5019,'[1]Tissue Data'!$A:$A,'[1]Tissue Data'!$I:$I)</f>
        <v>gibbosus</v>
      </c>
      <c r="G5019" t="str">
        <f>_xlfn.XLOOKUP(A5019,'[1]Tissue Data'!$A:$A,'[1]Tissue Data'!J:J)</f>
        <v>U</v>
      </c>
      <c r="H5019" t="str">
        <f>_xlfn.XLOOKUP(A5019,'[1]Tissue Data'!$A:$A,'[1]Tissue Data'!K:K)</f>
        <v>Whole Body</v>
      </c>
      <c r="I5019">
        <f>_xlfn.XLOOKUP(A5019,'[1]Tissue Data'!$A:$A,'[1]Tissue Data'!L:L)</f>
        <v>7</v>
      </c>
      <c r="J5019">
        <f>_xlfn.XLOOKUP(A5019,'[1]Tissue Data'!$A:$A,'[1]Tissue Data'!M:M)</f>
        <v>5.78</v>
      </c>
      <c r="K5019" t="s">
        <v>29</v>
      </c>
      <c r="L5019" t="str">
        <f>_xlfn.XLOOKUP(K5019,[2]analyte_order!$B:$B,[2]analyte_order!$C:$C)</f>
        <v>1763-23-1</v>
      </c>
      <c r="M5019">
        <f>_xlfn.XLOOKUP(L5019,[2]analyte_order!$C:$C,[2]analyte_order!$E:$E)</f>
        <v>18</v>
      </c>
      <c r="N5019">
        <v>1010</v>
      </c>
    </row>
    <row r="5020" spans="1:14">
      <c r="A5020" t="s">
        <v>280</v>
      </c>
      <c r="B5020" t="str">
        <f>_xlfn.XLOOKUP(A5020,'[1]Tissue Data'!$A:$A,'[1]Tissue Data'!$C:$C)</f>
        <v>Spill</v>
      </c>
      <c r="C5020" s="2">
        <f>_xlfn.XLOOKUP(A5020,'[1]Tissue Data'!$A:$A,'[1]Tissue Data'!$D:$D)</f>
        <v>44393</v>
      </c>
      <c r="D5020" s="2" t="str">
        <f>_xlfn.XLOOKUP(A5020,'[1]Tissue Data'!$A:$A,'[1]Tissue Data'!$F:$F)</f>
        <v>Pumpkinseed</v>
      </c>
      <c r="E5020" t="str">
        <f>_xlfn.XLOOKUP(A5020,'[1]Tissue Data'!$A:$A,'[1]Tissue Data'!$H:$H)</f>
        <v>Lepomis</v>
      </c>
      <c r="F5020" t="str">
        <f>_xlfn.XLOOKUP(A5020,'[1]Tissue Data'!$A:$A,'[1]Tissue Data'!$I:$I)</f>
        <v>gibbosus</v>
      </c>
      <c r="G5020" t="str">
        <f>_xlfn.XLOOKUP(A5020,'[1]Tissue Data'!$A:$A,'[1]Tissue Data'!J:J)</f>
        <v>U</v>
      </c>
      <c r="H5020" t="str">
        <f>_xlfn.XLOOKUP(A5020,'[1]Tissue Data'!$A:$A,'[1]Tissue Data'!K:K)</f>
        <v>Whole Body</v>
      </c>
      <c r="I5020">
        <f>_xlfn.XLOOKUP(A5020,'[1]Tissue Data'!$A:$A,'[1]Tissue Data'!L:L)</f>
        <v>7</v>
      </c>
      <c r="J5020">
        <f>_xlfn.XLOOKUP(A5020,'[1]Tissue Data'!$A:$A,'[1]Tissue Data'!M:M)</f>
        <v>5.78</v>
      </c>
      <c r="K5020" t="s">
        <v>30</v>
      </c>
      <c r="L5020" t="str">
        <f>_xlfn.XLOOKUP(K5020,[2]analyte_order!$B:$B,[2]analyte_order!$C:$C)</f>
        <v>68259-12-1</v>
      </c>
      <c r="M5020">
        <f>_xlfn.XLOOKUP(L5020,[2]analyte_order!$C:$C,[2]analyte_order!$E:$E)</f>
        <v>19</v>
      </c>
      <c r="N5020">
        <v>1.1399999999999999</v>
      </c>
    </row>
    <row r="5021" spans="1:14">
      <c r="A5021" t="s">
        <v>280</v>
      </c>
      <c r="B5021" t="str">
        <f>_xlfn.XLOOKUP(A5021,'[1]Tissue Data'!$A:$A,'[1]Tissue Data'!$C:$C)</f>
        <v>Spill</v>
      </c>
      <c r="C5021" s="2">
        <f>_xlfn.XLOOKUP(A5021,'[1]Tissue Data'!$A:$A,'[1]Tissue Data'!$D:$D)</f>
        <v>44393</v>
      </c>
      <c r="D5021" s="2" t="str">
        <f>_xlfn.XLOOKUP(A5021,'[1]Tissue Data'!$A:$A,'[1]Tissue Data'!$F:$F)</f>
        <v>Pumpkinseed</v>
      </c>
      <c r="E5021" t="str">
        <f>_xlfn.XLOOKUP(A5021,'[1]Tissue Data'!$A:$A,'[1]Tissue Data'!$H:$H)</f>
        <v>Lepomis</v>
      </c>
      <c r="F5021" t="str">
        <f>_xlfn.XLOOKUP(A5021,'[1]Tissue Data'!$A:$A,'[1]Tissue Data'!$I:$I)</f>
        <v>gibbosus</v>
      </c>
      <c r="G5021" t="str">
        <f>_xlfn.XLOOKUP(A5021,'[1]Tissue Data'!$A:$A,'[1]Tissue Data'!J:J)</f>
        <v>U</v>
      </c>
      <c r="H5021" t="str">
        <f>_xlfn.XLOOKUP(A5021,'[1]Tissue Data'!$A:$A,'[1]Tissue Data'!K:K)</f>
        <v>Whole Body</v>
      </c>
      <c r="I5021">
        <f>_xlfn.XLOOKUP(A5021,'[1]Tissue Data'!$A:$A,'[1]Tissue Data'!L:L)</f>
        <v>7</v>
      </c>
      <c r="J5021">
        <f>_xlfn.XLOOKUP(A5021,'[1]Tissue Data'!$A:$A,'[1]Tissue Data'!M:M)</f>
        <v>5.78</v>
      </c>
      <c r="K5021" t="s">
        <v>31</v>
      </c>
      <c r="L5021" t="str">
        <f>_xlfn.XLOOKUP(K5021,[2]analyte_order!$B:$B,[2]analyte_order!$C:$C)</f>
        <v>335-77-3</v>
      </c>
      <c r="M5021">
        <f>_xlfn.XLOOKUP(L5021,[2]analyte_order!$C:$C,[2]analyte_order!$E:$E)</f>
        <v>20</v>
      </c>
      <c r="N5021">
        <v>1.69</v>
      </c>
    </row>
    <row r="5022" spans="1:14">
      <c r="A5022" t="s">
        <v>280</v>
      </c>
      <c r="B5022" t="str">
        <f>_xlfn.XLOOKUP(A5022,'[1]Tissue Data'!$A:$A,'[1]Tissue Data'!$C:$C)</f>
        <v>Spill</v>
      </c>
      <c r="C5022" s="2">
        <f>_xlfn.XLOOKUP(A5022,'[1]Tissue Data'!$A:$A,'[1]Tissue Data'!$D:$D)</f>
        <v>44393</v>
      </c>
      <c r="D5022" s="2" t="str">
        <f>_xlfn.XLOOKUP(A5022,'[1]Tissue Data'!$A:$A,'[1]Tissue Data'!$F:$F)</f>
        <v>Pumpkinseed</v>
      </c>
      <c r="E5022" t="str">
        <f>_xlfn.XLOOKUP(A5022,'[1]Tissue Data'!$A:$A,'[1]Tissue Data'!$H:$H)</f>
        <v>Lepomis</v>
      </c>
      <c r="F5022" t="str">
        <f>_xlfn.XLOOKUP(A5022,'[1]Tissue Data'!$A:$A,'[1]Tissue Data'!$I:$I)</f>
        <v>gibbosus</v>
      </c>
      <c r="G5022" t="str">
        <f>_xlfn.XLOOKUP(A5022,'[1]Tissue Data'!$A:$A,'[1]Tissue Data'!J:J)</f>
        <v>U</v>
      </c>
      <c r="H5022" t="str">
        <f>_xlfn.XLOOKUP(A5022,'[1]Tissue Data'!$A:$A,'[1]Tissue Data'!K:K)</f>
        <v>Whole Body</v>
      </c>
      <c r="I5022">
        <f>_xlfn.XLOOKUP(A5022,'[1]Tissue Data'!$A:$A,'[1]Tissue Data'!L:L)</f>
        <v>7</v>
      </c>
      <c r="J5022">
        <f>_xlfn.XLOOKUP(A5022,'[1]Tissue Data'!$A:$A,'[1]Tissue Data'!M:M)</f>
        <v>5.78</v>
      </c>
      <c r="K5022" t="s">
        <v>32</v>
      </c>
      <c r="L5022" t="str">
        <f>_xlfn.XLOOKUP(K5022,[2]analyte_order!$B:$B,[2]analyte_order!$C:$C)</f>
        <v>79780-39-5</v>
      </c>
      <c r="M5022">
        <f>_xlfn.XLOOKUP(L5022,[2]analyte_order!$C:$C,[2]analyte_order!$E:$E)</f>
        <v>21</v>
      </c>
      <c r="N5022">
        <v>0.56000000000000005</v>
      </c>
    </row>
    <row r="5023" spans="1:14">
      <c r="A5023" t="s">
        <v>280</v>
      </c>
      <c r="B5023" t="str">
        <f>_xlfn.XLOOKUP(A5023,'[1]Tissue Data'!$A:$A,'[1]Tissue Data'!$C:$C)</f>
        <v>Spill</v>
      </c>
      <c r="C5023" s="2">
        <f>_xlfn.XLOOKUP(A5023,'[1]Tissue Data'!$A:$A,'[1]Tissue Data'!$D:$D)</f>
        <v>44393</v>
      </c>
      <c r="D5023" s="2" t="str">
        <f>_xlfn.XLOOKUP(A5023,'[1]Tissue Data'!$A:$A,'[1]Tissue Data'!$F:$F)</f>
        <v>Pumpkinseed</v>
      </c>
      <c r="E5023" t="str">
        <f>_xlfn.XLOOKUP(A5023,'[1]Tissue Data'!$A:$A,'[1]Tissue Data'!$H:$H)</f>
        <v>Lepomis</v>
      </c>
      <c r="F5023" t="str">
        <f>_xlfn.XLOOKUP(A5023,'[1]Tissue Data'!$A:$A,'[1]Tissue Data'!$I:$I)</f>
        <v>gibbosus</v>
      </c>
      <c r="G5023" t="str">
        <f>_xlfn.XLOOKUP(A5023,'[1]Tissue Data'!$A:$A,'[1]Tissue Data'!J:J)</f>
        <v>U</v>
      </c>
      <c r="H5023" t="str">
        <f>_xlfn.XLOOKUP(A5023,'[1]Tissue Data'!$A:$A,'[1]Tissue Data'!K:K)</f>
        <v>Whole Body</v>
      </c>
      <c r="I5023">
        <f>_xlfn.XLOOKUP(A5023,'[1]Tissue Data'!$A:$A,'[1]Tissue Data'!L:L)</f>
        <v>7</v>
      </c>
      <c r="J5023">
        <f>_xlfn.XLOOKUP(A5023,'[1]Tissue Data'!$A:$A,'[1]Tissue Data'!M:M)</f>
        <v>5.78</v>
      </c>
      <c r="K5023" t="s">
        <v>33</v>
      </c>
      <c r="L5023" t="str">
        <f>_xlfn.XLOOKUP(K5023,[2]analyte_order!$B:$B,[2]analyte_order!$C:$C)</f>
        <v>777011-38-8</v>
      </c>
      <c r="M5023">
        <f>_xlfn.XLOOKUP(L5023,[2]analyte_order!$C:$C,[2]analyte_order!$E:$E)</f>
        <v>54</v>
      </c>
      <c r="N5023">
        <v>0.14649999999999999</v>
      </c>
    </row>
    <row r="5024" spans="1:14">
      <c r="A5024" t="s">
        <v>280</v>
      </c>
      <c r="B5024" t="str">
        <f>_xlfn.XLOOKUP(A5024,'[1]Tissue Data'!$A:$A,'[1]Tissue Data'!$C:$C)</f>
        <v>Spill</v>
      </c>
      <c r="C5024" s="2">
        <f>_xlfn.XLOOKUP(A5024,'[1]Tissue Data'!$A:$A,'[1]Tissue Data'!$D:$D)</f>
        <v>44393</v>
      </c>
      <c r="D5024" s="2" t="str">
        <f>_xlfn.XLOOKUP(A5024,'[1]Tissue Data'!$A:$A,'[1]Tissue Data'!$F:$F)</f>
        <v>Pumpkinseed</v>
      </c>
      <c r="E5024" t="str">
        <f>_xlfn.XLOOKUP(A5024,'[1]Tissue Data'!$A:$A,'[1]Tissue Data'!$H:$H)</f>
        <v>Lepomis</v>
      </c>
      <c r="F5024" t="str">
        <f>_xlfn.XLOOKUP(A5024,'[1]Tissue Data'!$A:$A,'[1]Tissue Data'!$I:$I)</f>
        <v>gibbosus</v>
      </c>
      <c r="G5024" t="str">
        <f>_xlfn.XLOOKUP(A5024,'[1]Tissue Data'!$A:$A,'[1]Tissue Data'!J:J)</f>
        <v>U</v>
      </c>
      <c r="H5024" t="str">
        <f>_xlfn.XLOOKUP(A5024,'[1]Tissue Data'!$A:$A,'[1]Tissue Data'!K:K)</f>
        <v>Whole Body</v>
      </c>
      <c r="I5024">
        <f>_xlfn.XLOOKUP(A5024,'[1]Tissue Data'!$A:$A,'[1]Tissue Data'!L:L)</f>
        <v>7</v>
      </c>
      <c r="J5024">
        <f>_xlfn.XLOOKUP(A5024,'[1]Tissue Data'!$A:$A,'[1]Tissue Data'!M:M)</f>
        <v>5.78</v>
      </c>
      <c r="K5024" t="s">
        <v>34</v>
      </c>
      <c r="L5024" t="str">
        <f>_xlfn.XLOOKUP(K5024,[2]analyte_order!$B:$B,[2]analyte_order!$C:$C)</f>
        <v>646-83-3</v>
      </c>
      <c r="M5024">
        <f>_xlfn.XLOOKUP(L5024,[2]analyte_order!$C:$C,[2]analyte_order!$E:$E)</f>
        <v>55</v>
      </c>
      <c r="N5024">
        <v>0.24149999999999999</v>
      </c>
    </row>
    <row r="5025" spans="1:14">
      <c r="A5025" t="s">
        <v>280</v>
      </c>
      <c r="B5025" t="str">
        <f>_xlfn.XLOOKUP(A5025,'[1]Tissue Data'!$A:$A,'[1]Tissue Data'!$C:$C)</f>
        <v>Spill</v>
      </c>
      <c r="C5025" s="2">
        <f>_xlfn.XLOOKUP(A5025,'[1]Tissue Data'!$A:$A,'[1]Tissue Data'!$D:$D)</f>
        <v>44393</v>
      </c>
      <c r="D5025" s="2" t="str">
        <f>_xlfn.XLOOKUP(A5025,'[1]Tissue Data'!$A:$A,'[1]Tissue Data'!$F:$F)</f>
        <v>Pumpkinseed</v>
      </c>
      <c r="E5025" t="str">
        <f>_xlfn.XLOOKUP(A5025,'[1]Tissue Data'!$A:$A,'[1]Tissue Data'!$H:$H)</f>
        <v>Lepomis</v>
      </c>
      <c r="F5025" t="str">
        <f>_xlfn.XLOOKUP(A5025,'[1]Tissue Data'!$A:$A,'[1]Tissue Data'!$I:$I)</f>
        <v>gibbosus</v>
      </c>
      <c r="G5025" t="str">
        <f>_xlfn.XLOOKUP(A5025,'[1]Tissue Data'!$A:$A,'[1]Tissue Data'!J:J)</f>
        <v>U</v>
      </c>
      <c r="H5025" t="str">
        <f>_xlfn.XLOOKUP(A5025,'[1]Tissue Data'!$A:$A,'[1]Tissue Data'!K:K)</f>
        <v>Whole Body</v>
      </c>
      <c r="I5025">
        <f>_xlfn.XLOOKUP(A5025,'[1]Tissue Data'!$A:$A,'[1]Tissue Data'!L:L)</f>
        <v>7</v>
      </c>
      <c r="J5025">
        <f>_xlfn.XLOOKUP(A5025,'[1]Tissue Data'!$A:$A,'[1]Tissue Data'!M:M)</f>
        <v>5.78</v>
      </c>
      <c r="K5025" t="s">
        <v>35</v>
      </c>
      <c r="L5025" t="str">
        <f>_xlfn.XLOOKUP(K5025,[2]analyte_order!$B:$B,[2]analyte_order!$C:$C)</f>
        <v>30334-69-1</v>
      </c>
      <c r="M5025">
        <f>_xlfn.XLOOKUP(L5025,[2]analyte_order!$C:$C,[2]analyte_order!$E:$E)</f>
        <v>51</v>
      </c>
      <c r="N5025">
        <v>72.2</v>
      </c>
    </row>
    <row r="5026" spans="1:14">
      <c r="A5026" t="s">
        <v>280</v>
      </c>
      <c r="B5026" t="str">
        <f>_xlfn.XLOOKUP(A5026,'[1]Tissue Data'!$A:$A,'[1]Tissue Data'!$C:$C)</f>
        <v>Spill</v>
      </c>
      <c r="C5026" s="2">
        <f>_xlfn.XLOOKUP(A5026,'[1]Tissue Data'!$A:$A,'[1]Tissue Data'!$D:$D)</f>
        <v>44393</v>
      </c>
      <c r="D5026" s="2" t="str">
        <f>_xlfn.XLOOKUP(A5026,'[1]Tissue Data'!$A:$A,'[1]Tissue Data'!$F:$F)</f>
        <v>Pumpkinseed</v>
      </c>
      <c r="E5026" t="str">
        <f>_xlfn.XLOOKUP(A5026,'[1]Tissue Data'!$A:$A,'[1]Tissue Data'!$H:$H)</f>
        <v>Lepomis</v>
      </c>
      <c r="F5026" t="str">
        <f>_xlfn.XLOOKUP(A5026,'[1]Tissue Data'!$A:$A,'[1]Tissue Data'!$I:$I)</f>
        <v>gibbosus</v>
      </c>
      <c r="G5026" t="str">
        <f>_xlfn.XLOOKUP(A5026,'[1]Tissue Data'!$A:$A,'[1]Tissue Data'!J:J)</f>
        <v>U</v>
      </c>
      <c r="H5026" t="str">
        <f>_xlfn.XLOOKUP(A5026,'[1]Tissue Data'!$A:$A,'[1]Tissue Data'!K:K)</f>
        <v>Whole Body</v>
      </c>
      <c r="I5026">
        <f>_xlfn.XLOOKUP(A5026,'[1]Tissue Data'!$A:$A,'[1]Tissue Data'!L:L)</f>
        <v>7</v>
      </c>
      <c r="J5026">
        <f>_xlfn.XLOOKUP(A5026,'[1]Tissue Data'!$A:$A,'[1]Tissue Data'!M:M)</f>
        <v>5.78</v>
      </c>
      <c r="K5026" t="s">
        <v>36</v>
      </c>
      <c r="L5026" t="str">
        <f>_xlfn.XLOOKUP(K5026,[2]analyte_order!$B:$B,[2]analyte_order!$C:$C)</f>
        <v>41997-13-1</v>
      </c>
      <c r="M5026">
        <f>_xlfn.XLOOKUP(L5026,[2]analyte_order!$C:$C,[2]analyte_order!$E:$E)</f>
        <v>52</v>
      </c>
      <c r="N5026">
        <v>116</v>
      </c>
    </row>
    <row r="5027" spans="1:14">
      <c r="A5027" t="s">
        <v>280</v>
      </c>
      <c r="B5027" t="str">
        <f>_xlfn.XLOOKUP(A5027,'[1]Tissue Data'!$A:$A,'[1]Tissue Data'!$C:$C)</f>
        <v>Spill</v>
      </c>
      <c r="C5027" s="2">
        <f>_xlfn.XLOOKUP(A5027,'[1]Tissue Data'!$A:$A,'[1]Tissue Data'!$D:$D)</f>
        <v>44393</v>
      </c>
      <c r="D5027" s="2" t="str">
        <f>_xlfn.XLOOKUP(A5027,'[1]Tissue Data'!$A:$A,'[1]Tissue Data'!$F:$F)</f>
        <v>Pumpkinseed</v>
      </c>
      <c r="E5027" t="str">
        <f>_xlfn.XLOOKUP(A5027,'[1]Tissue Data'!$A:$A,'[1]Tissue Data'!$H:$H)</f>
        <v>Lepomis</v>
      </c>
      <c r="F5027" t="str">
        <f>_xlfn.XLOOKUP(A5027,'[1]Tissue Data'!$A:$A,'[1]Tissue Data'!$I:$I)</f>
        <v>gibbosus</v>
      </c>
      <c r="G5027" t="str">
        <f>_xlfn.XLOOKUP(A5027,'[1]Tissue Data'!$A:$A,'[1]Tissue Data'!J:J)</f>
        <v>U</v>
      </c>
      <c r="H5027" t="str">
        <f>_xlfn.XLOOKUP(A5027,'[1]Tissue Data'!$A:$A,'[1]Tissue Data'!K:K)</f>
        <v>Whole Body</v>
      </c>
      <c r="I5027">
        <f>_xlfn.XLOOKUP(A5027,'[1]Tissue Data'!$A:$A,'[1]Tissue Data'!L:L)</f>
        <v>7</v>
      </c>
      <c r="J5027">
        <f>_xlfn.XLOOKUP(A5027,'[1]Tissue Data'!$A:$A,'[1]Tissue Data'!M:M)</f>
        <v>5.78</v>
      </c>
      <c r="K5027" t="s">
        <v>37</v>
      </c>
      <c r="L5027" t="str">
        <f>_xlfn.XLOOKUP(K5027,[2]analyte_order!$B:$B,[2]analyte_order!$C:$C)</f>
        <v>754-91-6</v>
      </c>
      <c r="M5027">
        <f>_xlfn.XLOOKUP(L5027,[2]analyte_order!$C:$C,[2]analyte_order!$E:$E)</f>
        <v>28</v>
      </c>
      <c r="N5027">
        <v>16.600000000000001</v>
      </c>
    </row>
    <row r="5028" spans="1:14">
      <c r="A5028" t="s">
        <v>280</v>
      </c>
      <c r="B5028" t="str">
        <f>_xlfn.XLOOKUP(A5028,'[1]Tissue Data'!$A:$A,'[1]Tissue Data'!$C:$C)</f>
        <v>Spill</v>
      </c>
      <c r="C5028" s="2">
        <f>_xlfn.XLOOKUP(A5028,'[1]Tissue Data'!$A:$A,'[1]Tissue Data'!$D:$D)</f>
        <v>44393</v>
      </c>
      <c r="D5028" s="2" t="str">
        <f>_xlfn.XLOOKUP(A5028,'[1]Tissue Data'!$A:$A,'[1]Tissue Data'!$F:$F)</f>
        <v>Pumpkinseed</v>
      </c>
      <c r="E5028" t="str">
        <f>_xlfn.XLOOKUP(A5028,'[1]Tissue Data'!$A:$A,'[1]Tissue Data'!$H:$H)</f>
        <v>Lepomis</v>
      </c>
      <c r="F5028" t="str">
        <f>_xlfn.XLOOKUP(A5028,'[1]Tissue Data'!$A:$A,'[1]Tissue Data'!$I:$I)</f>
        <v>gibbosus</v>
      </c>
      <c r="G5028" t="str">
        <f>_xlfn.XLOOKUP(A5028,'[1]Tissue Data'!$A:$A,'[1]Tissue Data'!J:J)</f>
        <v>U</v>
      </c>
      <c r="H5028" t="str">
        <f>_xlfn.XLOOKUP(A5028,'[1]Tissue Data'!$A:$A,'[1]Tissue Data'!K:K)</f>
        <v>Whole Body</v>
      </c>
      <c r="I5028">
        <f>_xlfn.XLOOKUP(A5028,'[1]Tissue Data'!$A:$A,'[1]Tissue Data'!L:L)</f>
        <v>7</v>
      </c>
      <c r="J5028">
        <f>_xlfn.XLOOKUP(A5028,'[1]Tissue Data'!$A:$A,'[1]Tissue Data'!M:M)</f>
        <v>5.78</v>
      </c>
      <c r="K5028" t="s">
        <v>38</v>
      </c>
      <c r="L5028" t="str">
        <f>_xlfn.XLOOKUP(K5028,[2]analyte_order!$B:$B,[2]analyte_order!$C:$C)</f>
        <v>31506-32-8</v>
      </c>
      <c r="M5028">
        <f>_xlfn.XLOOKUP(L5028,[2]analyte_order!$C:$C,[2]analyte_order!$E:$E)</f>
        <v>30</v>
      </c>
      <c r="N5028">
        <v>7.2999999999999995E-2</v>
      </c>
    </row>
    <row r="5029" spans="1:14">
      <c r="A5029" t="s">
        <v>280</v>
      </c>
      <c r="B5029" t="str">
        <f>_xlfn.XLOOKUP(A5029,'[1]Tissue Data'!$A:$A,'[1]Tissue Data'!$C:$C)</f>
        <v>Spill</v>
      </c>
      <c r="C5029" s="2">
        <f>_xlfn.XLOOKUP(A5029,'[1]Tissue Data'!$A:$A,'[1]Tissue Data'!$D:$D)</f>
        <v>44393</v>
      </c>
      <c r="D5029" s="2" t="str">
        <f>_xlfn.XLOOKUP(A5029,'[1]Tissue Data'!$A:$A,'[1]Tissue Data'!$F:$F)</f>
        <v>Pumpkinseed</v>
      </c>
      <c r="E5029" t="str">
        <f>_xlfn.XLOOKUP(A5029,'[1]Tissue Data'!$A:$A,'[1]Tissue Data'!$H:$H)</f>
        <v>Lepomis</v>
      </c>
      <c r="F5029" t="str">
        <f>_xlfn.XLOOKUP(A5029,'[1]Tissue Data'!$A:$A,'[1]Tissue Data'!$I:$I)</f>
        <v>gibbosus</v>
      </c>
      <c r="G5029" t="str">
        <f>_xlfn.XLOOKUP(A5029,'[1]Tissue Data'!$A:$A,'[1]Tissue Data'!J:J)</f>
        <v>U</v>
      </c>
      <c r="H5029" t="str">
        <f>_xlfn.XLOOKUP(A5029,'[1]Tissue Data'!$A:$A,'[1]Tissue Data'!K:K)</f>
        <v>Whole Body</v>
      </c>
      <c r="I5029">
        <f>_xlfn.XLOOKUP(A5029,'[1]Tissue Data'!$A:$A,'[1]Tissue Data'!L:L)</f>
        <v>7</v>
      </c>
      <c r="J5029">
        <f>_xlfn.XLOOKUP(A5029,'[1]Tissue Data'!$A:$A,'[1]Tissue Data'!M:M)</f>
        <v>5.78</v>
      </c>
      <c r="K5029" t="s">
        <v>39</v>
      </c>
      <c r="L5029" t="str">
        <f>_xlfn.XLOOKUP(K5029,[2]analyte_order!$B:$B,[2]analyte_order!$C:$C)</f>
        <v>4151-50-2</v>
      </c>
      <c r="M5029">
        <f>_xlfn.XLOOKUP(L5029,[2]analyte_order!$C:$C,[2]analyte_order!$E:$E)</f>
        <v>31</v>
      </c>
      <c r="N5029">
        <v>8.5500000000000007E-2</v>
      </c>
    </row>
    <row r="5030" spans="1:14">
      <c r="A5030" t="s">
        <v>280</v>
      </c>
      <c r="B5030" t="str">
        <f>_xlfn.XLOOKUP(A5030,'[1]Tissue Data'!$A:$A,'[1]Tissue Data'!$C:$C)</f>
        <v>Spill</v>
      </c>
      <c r="C5030" s="2">
        <f>_xlfn.XLOOKUP(A5030,'[1]Tissue Data'!$A:$A,'[1]Tissue Data'!$D:$D)</f>
        <v>44393</v>
      </c>
      <c r="D5030" s="2" t="str">
        <f>_xlfn.XLOOKUP(A5030,'[1]Tissue Data'!$A:$A,'[1]Tissue Data'!$F:$F)</f>
        <v>Pumpkinseed</v>
      </c>
      <c r="E5030" t="str">
        <f>_xlfn.XLOOKUP(A5030,'[1]Tissue Data'!$A:$A,'[1]Tissue Data'!$H:$H)</f>
        <v>Lepomis</v>
      </c>
      <c r="F5030" t="str">
        <f>_xlfn.XLOOKUP(A5030,'[1]Tissue Data'!$A:$A,'[1]Tissue Data'!$I:$I)</f>
        <v>gibbosus</v>
      </c>
      <c r="G5030" t="str">
        <f>_xlfn.XLOOKUP(A5030,'[1]Tissue Data'!$A:$A,'[1]Tissue Data'!J:J)</f>
        <v>U</v>
      </c>
      <c r="H5030" t="str">
        <f>_xlfn.XLOOKUP(A5030,'[1]Tissue Data'!$A:$A,'[1]Tissue Data'!K:K)</f>
        <v>Whole Body</v>
      </c>
      <c r="I5030">
        <f>_xlfn.XLOOKUP(A5030,'[1]Tissue Data'!$A:$A,'[1]Tissue Data'!L:L)</f>
        <v>7</v>
      </c>
      <c r="J5030">
        <f>_xlfn.XLOOKUP(A5030,'[1]Tissue Data'!$A:$A,'[1]Tissue Data'!M:M)</f>
        <v>5.78</v>
      </c>
      <c r="K5030" t="s">
        <v>40</v>
      </c>
      <c r="L5030" t="str">
        <f>_xlfn.XLOOKUP(K5030,[2]analyte_order!$B:$B,[2]analyte_order!$C:$C)</f>
        <v>2806-24-8</v>
      </c>
      <c r="M5030">
        <f>_xlfn.XLOOKUP(L5030,[2]analyte_order!$C:$C,[2]analyte_order!$E:$E)</f>
        <v>29</v>
      </c>
      <c r="N5030">
        <v>5.7500000000000002E-2</v>
      </c>
    </row>
    <row r="5031" spans="1:14">
      <c r="A5031" t="s">
        <v>280</v>
      </c>
      <c r="B5031" t="str">
        <f>_xlfn.XLOOKUP(A5031,'[1]Tissue Data'!$A:$A,'[1]Tissue Data'!$C:$C)</f>
        <v>Spill</v>
      </c>
      <c r="C5031" s="2">
        <f>_xlfn.XLOOKUP(A5031,'[1]Tissue Data'!$A:$A,'[1]Tissue Data'!$D:$D)</f>
        <v>44393</v>
      </c>
      <c r="D5031" s="2" t="str">
        <f>_xlfn.XLOOKUP(A5031,'[1]Tissue Data'!$A:$A,'[1]Tissue Data'!$F:$F)</f>
        <v>Pumpkinseed</v>
      </c>
      <c r="E5031" t="str">
        <f>_xlfn.XLOOKUP(A5031,'[1]Tissue Data'!$A:$A,'[1]Tissue Data'!$H:$H)</f>
        <v>Lepomis</v>
      </c>
      <c r="F5031" t="str">
        <f>_xlfn.XLOOKUP(A5031,'[1]Tissue Data'!$A:$A,'[1]Tissue Data'!$I:$I)</f>
        <v>gibbosus</v>
      </c>
      <c r="G5031" t="str">
        <f>_xlfn.XLOOKUP(A5031,'[1]Tissue Data'!$A:$A,'[1]Tissue Data'!J:J)</f>
        <v>U</v>
      </c>
      <c r="H5031" t="str">
        <f>_xlfn.XLOOKUP(A5031,'[1]Tissue Data'!$A:$A,'[1]Tissue Data'!K:K)</f>
        <v>Whole Body</v>
      </c>
      <c r="I5031">
        <f>_xlfn.XLOOKUP(A5031,'[1]Tissue Data'!$A:$A,'[1]Tissue Data'!L:L)</f>
        <v>7</v>
      </c>
      <c r="J5031">
        <f>_xlfn.XLOOKUP(A5031,'[1]Tissue Data'!$A:$A,'[1]Tissue Data'!M:M)</f>
        <v>5.78</v>
      </c>
      <c r="K5031" t="s">
        <v>41</v>
      </c>
      <c r="L5031" t="str">
        <f>_xlfn.XLOOKUP(K5031,[2]analyte_order!$B:$B,[2]analyte_order!$C:$C)</f>
        <v>2355-31-9</v>
      </c>
      <c r="M5031">
        <f>_xlfn.XLOOKUP(L5031,[2]analyte_order!$C:$C,[2]analyte_order!$E:$E)</f>
        <v>26</v>
      </c>
      <c r="N5031">
        <v>7.3499999999999996E-2</v>
      </c>
    </row>
    <row r="5032" spans="1:14">
      <c r="A5032" t="s">
        <v>280</v>
      </c>
      <c r="B5032" t="str">
        <f>_xlfn.XLOOKUP(A5032,'[1]Tissue Data'!$A:$A,'[1]Tissue Data'!$C:$C)</f>
        <v>Spill</v>
      </c>
      <c r="C5032" s="2">
        <f>_xlfn.XLOOKUP(A5032,'[1]Tissue Data'!$A:$A,'[1]Tissue Data'!$D:$D)</f>
        <v>44393</v>
      </c>
      <c r="D5032" s="2" t="str">
        <f>_xlfn.XLOOKUP(A5032,'[1]Tissue Data'!$A:$A,'[1]Tissue Data'!$F:$F)</f>
        <v>Pumpkinseed</v>
      </c>
      <c r="E5032" t="str">
        <f>_xlfn.XLOOKUP(A5032,'[1]Tissue Data'!$A:$A,'[1]Tissue Data'!$H:$H)</f>
        <v>Lepomis</v>
      </c>
      <c r="F5032" t="str">
        <f>_xlfn.XLOOKUP(A5032,'[1]Tissue Data'!$A:$A,'[1]Tissue Data'!$I:$I)</f>
        <v>gibbosus</v>
      </c>
      <c r="G5032" t="str">
        <f>_xlfn.XLOOKUP(A5032,'[1]Tissue Data'!$A:$A,'[1]Tissue Data'!J:J)</f>
        <v>U</v>
      </c>
      <c r="H5032" t="str">
        <f>_xlfn.XLOOKUP(A5032,'[1]Tissue Data'!$A:$A,'[1]Tissue Data'!K:K)</f>
        <v>Whole Body</v>
      </c>
      <c r="I5032">
        <f>_xlfn.XLOOKUP(A5032,'[1]Tissue Data'!$A:$A,'[1]Tissue Data'!L:L)</f>
        <v>7</v>
      </c>
      <c r="J5032">
        <f>_xlfn.XLOOKUP(A5032,'[1]Tissue Data'!$A:$A,'[1]Tissue Data'!M:M)</f>
        <v>5.78</v>
      </c>
      <c r="K5032" t="s">
        <v>42</v>
      </c>
      <c r="L5032" t="str">
        <f>_xlfn.XLOOKUP(K5032,[2]analyte_order!$B:$B,[2]analyte_order!$C:$C)</f>
        <v>2991-50-6</v>
      </c>
      <c r="M5032">
        <f>_xlfn.XLOOKUP(L5032,[2]analyte_order!$C:$C,[2]analyte_order!$E:$E)</f>
        <v>27</v>
      </c>
      <c r="N5032">
        <v>6.3500000000000001E-2</v>
      </c>
    </row>
    <row r="5033" spans="1:14">
      <c r="A5033" t="s">
        <v>280</v>
      </c>
      <c r="B5033" t="str">
        <f>_xlfn.XLOOKUP(A5033,'[1]Tissue Data'!$A:$A,'[1]Tissue Data'!$C:$C)</f>
        <v>Spill</v>
      </c>
      <c r="C5033" s="2">
        <f>_xlfn.XLOOKUP(A5033,'[1]Tissue Data'!$A:$A,'[1]Tissue Data'!$D:$D)</f>
        <v>44393</v>
      </c>
      <c r="D5033" s="2" t="str">
        <f>_xlfn.XLOOKUP(A5033,'[1]Tissue Data'!$A:$A,'[1]Tissue Data'!$F:$F)</f>
        <v>Pumpkinseed</v>
      </c>
      <c r="E5033" t="str">
        <f>_xlfn.XLOOKUP(A5033,'[1]Tissue Data'!$A:$A,'[1]Tissue Data'!$H:$H)</f>
        <v>Lepomis</v>
      </c>
      <c r="F5033" t="str">
        <f>_xlfn.XLOOKUP(A5033,'[1]Tissue Data'!$A:$A,'[1]Tissue Data'!$I:$I)</f>
        <v>gibbosus</v>
      </c>
      <c r="G5033" t="str">
        <f>_xlfn.XLOOKUP(A5033,'[1]Tissue Data'!$A:$A,'[1]Tissue Data'!J:J)</f>
        <v>U</v>
      </c>
      <c r="H5033" t="str">
        <f>_xlfn.XLOOKUP(A5033,'[1]Tissue Data'!$A:$A,'[1]Tissue Data'!K:K)</f>
        <v>Whole Body</v>
      </c>
      <c r="I5033">
        <f>_xlfn.XLOOKUP(A5033,'[1]Tissue Data'!$A:$A,'[1]Tissue Data'!L:L)</f>
        <v>7</v>
      </c>
      <c r="J5033">
        <f>_xlfn.XLOOKUP(A5033,'[1]Tissue Data'!$A:$A,'[1]Tissue Data'!M:M)</f>
        <v>5.78</v>
      </c>
      <c r="K5033" t="s">
        <v>43</v>
      </c>
      <c r="L5033" t="str">
        <f>_xlfn.XLOOKUP(K5033,[2]analyte_order!$B:$B,[2]analyte_order!$C:$C)</f>
        <v>757124-72-4</v>
      </c>
      <c r="M5033">
        <f>_xlfn.XLOOKUP(L5033,[2]analyte_order!$C:$C,[2]analyte_order!$E:$E)</f>
        <v>22</v>
      </c>
      <c r="N5033">
        <v>7.2999999999999995E-2</v>
      </c>
    </row>
    <row r="5034" spans="1:14">
      <c r="A5034" t="s">
        <v>280</v>
      </c>
      <c r="B5034" t="str">
        <f>_xlfn.XLOOKUP(A5034,'[1]Tissue Data'!$A:$A,'[1]Tissue Data'!$C:$C)</f>
        <v>Spill</v>
      </c>
      <c r="C5034" s="2">
        <f>_xlfn.XLOOKUP(A5034,'[1]Tissue Data'!$A:$A,'[1]Tissue Data'!$D:$D)</f>
        <v>44393</v>
      </c>
      <c r="D5034" s="2" t="str">
        <f>_xlfn.XLOOKUP(A5034,'[1]Tissue Data'!$A:$A,'[1]Tissue Data'!$F:$F)</f>
        <v>Pumpkinseed</v>
      </c>
      <c r="E5034" t="str">
        <f>_xlfn.XLOOKUP(A5034,'[1]Tissue Data'!$A:$A,'[1]Tissue Data'!$H:$H)</f>
        <v>Lepomis</v>
      </c>
      <c r="F5034" t="str">
        <f>_xlfn.XLOOKUP(A5034,'[1]Tissue Data'!$A:$A,'[1]Tissue Data'!$I:$I)</f>
        <v>gibbosus</v>
      </c>
      <c r="G5034" t="str">
        <f>_xlfn.XLOOKUP(A5034,'[1]Tissue Data'!$A:$A,'[1]Tissue Data'!J:J)</f>
        <v>U</v>
      </c>
      <c r="H5034" t="str">
        <f>_xlfn.XLOOKUP(A5034,'[1]Tissue Data'!$A:$A,'[1]Tissue Data'!K:K)</f>
        <v>Whole Body</v>
      </c>
      <c r="I5034">
        <f>_xlfn.XLOOKUP(A5034,'[1]Tissue Data'!$A:$A,'[1]Tissue Data'!L:L)</f>
        <v>7</v>
      </c>
      <c r="J5034">
        <f>_xlfn.XLOOKUP(A5034,'[1]Tissue Data'!$A:$A,'[1]Tissue Data'!M:M)</f>
        <v>5.78</v>
      </c>
      <c r="K5034" t="s">
        <v>44</v>
      </c>
      <c r="L5034" t="str">
        <f>_xlfn.XLOOKUP(K5034,[2]analyte_order!$B:$B,[2]analyte_order!$C:$C)</f>
        <v>27619-97-2</v>
      </c>
      <c r="M5034">
        <f>_xlfn.XLOOKUP(L5034,[2]analyte_order!$C:$C,[2]analyte_order!$E:$E)</f>
        <v>23</v>
      </c>
      <c r="N5034">
        <v>0.38300000000000001</v>
      </c>
    </row>
    <row r="5035" spans="1:14">
      <c r="A5035" t="s">
        <v>280</v>
      </c>
      <c r="B5035" t="str">
        <f>_xlfn.XLOOKUP(A5035,'[1]Tissue Data'!$A:$A,'[1]Tissue Data'!$C:$C)</f>
        <v>Spill</v>
      </c>
      <c r="C5035" s="2">
        <f>_xlfn.XLOOKUP(A5035,'[1]Tissue Data'!$A:$A,'[1]Tissue Data'!$D:$D)</f>
        <v>44393</v>
      </c>
      <c r="D5035" s="2" t="str">
        <f>_xlfn.XLOOKUP(A5035,'[1]Tissue Data'!$A:$A,'[1]Tissue Data'!$F:$F)</f>
        <v>Pumpkinseed</v>
      </c>
      <c r="E5035" t="str">
        <f>_xlfn.XLOOKUP(A5035,'[1]Tissue Data'!$A:$A,'[1]Tissue Data'!$H:$H)</f>
        <v>Lepomis</v>
      </c>
      <c r="F5035" t="str">
        <f>_xlfn.XLOOKUP(A5035,'[1]Tissue Data'!$A:$A,'[1]Tissue Data'!$I:$I)</f>
        <v>gibbosus</v>
      </c>
      <c r="G5035" t="str">
        <f>_xlfn.XLOOKUP(A5035,'[1]Tissue Data'!$A:$A,'[1]Tissue Data'!J:J)</f>
        <v>U</v>
      </c>
      <c r="H5035" t="str">
        <f>_xlfn.XLOOKUP(A5035,'[1]Tissue Data'!$A:$A,'[1]Tissue Data'!K:K)</f>
        <v>Whole Body</v>
      </c>
      <c r="I5035">
        <f>_xlfn.XLOOKUP(A5035,'[1]Tissue Data'!$A:$A,'[1]Tissue Data'!L:L)</f>
        <v>7</v>
      </c>
      <c r="J5035">
        <f>_xlfn.XLOOKUP(A5035,'[1]Tissue Data'!$A:$A,'[1]Tissue Data'!M:M)</f>
        <v>5.78</v>
      </c>
      <c r="K5035" t="s">
        <v>45</v>
      </c>
      <c r="L5035" t="str">
        <f>_xlfn.XLOOKUP(K5035,[2]analyte_order!$B:$B,[2]analyte_order!$C:$C)</f>
        <v>39108-34-4</v>
      </c>
      <c r="M5035">
        <f>_xlfn.XLOOKUP(L5035,[2]analyte_order!$C:$C,[2]analyte_order!$E:$E)</f>
        <v>24</v>
      </c>
      <c r="N5035">
        <v>2.96</v>
      </c>
    </row>
    <row r="5036" spans="1:14">
      <c r="A5036" t="s">
        <v>280</v>
      </c>
      <c r="B5036" t="str">
        <f>_xlfn.XLOOKUP(A5036,'[1]Tissue Data'!$A:$A,'[1]Tissue Data'!$C:$C)</f>
        <v>Spill</v>
      </c>
      <c r="C5036" s="2">
        <f>_xlfn.XLOOKUP(A5036,'[1]Tissue Data'!$A:$A,'[1]Tissue Data'!$D:$D)</f>
        <v>44393</v>
      </c>
      <c r="D5036" s="2" t="str">
        <f>_xlfn.XLOOKUP(A5036,'[1]Tissue Data'!$A:$A,'[1]Tissue Data'!$F:$F)</f>
        <v>Pumpkinseed</v>
      </c>
      <c r="E5036" t="str">
        <f>_xlfn.XLOOKUP(A5036,'[1]Tissue Data'!$A:$A,'[1]Tissue Data'!$H:$H)</f>
        <v>Lepomis</v>
      </c>
      <c r="F5036" t="str">
        <f>_xlfn.XLOOKUP(A5036,'[1]Tissue Data'!$A:$A,'[1]Tissue Data'!$I:$I)</f>
        <v>gibbosus</v>
      </c>
      <c r="G5036" t="str">
        <f>_xlfn.XLOOKUP(A5036,'[1]Tissue Data'!$A:$A,'[1]Tissue Data'!J:J)</f>
        <v>U</v>
      </c>
      <c r="H5036" t="str">
        <f>_xlfn.XLOOKUP(A5036,'[1]Tissue Data'!$A:$A,'[1]Tissue Data'!K:K)</f>
        <v>Whole Body</v>
      </c>
      <c r="I5036">
        <f>_xlfn.XLOOKUP(A5036,'[1]Tissue Data'!$A:$A,'[1]Tissue Data'!L:L)</f>
        <v>7</v>
      </c>
      <c r="J5036">
        <f>_xlfn.XLOOKUP(A5036,'[1]Tissue Data'!$A:$A,'[1]Tissue Data'!M:M)</f>
        <v>5.78</v>
      </c>
      <c r="K5036" t="s">
        <v>46</v>
      </c>
      <c r="L5036" t="str">
        <f>_xlfn.XLOOKUP(K5036,[2]analyte_order!$B:$B,[2]analyte_order!$C:$C)</f>
        <v>120226-60-0</v>
      </c>
      <c r="M5036">
        <f>_xlfn.XLOOKUP(L5036,[2]analyte_order!$C:$C,[2]analyte_order!$E:$E)</f>
        <v>25</v>
      </c>
      <c r="N5036">
        <v>0.27400000000000002</v>
      </c>
    </row>
    <row r="5037" spans="1:14">
      <c r="A5037" t="s">
        <v>280</v>
      </c>
      <c r="B5037" t="str">
        <f>_xlfn.XLOOKUP(A5037,'[1]Tissue Data'!$A:$A,'[1]Tissue Data'!$C:$C)</f>
        <v>Spill</v>
      </c>
      <c r="C5037" s="2">
        <f>_xlfn.XLOOKUP(A5037,'[1]Tissue Data'!$A:$A,'[1]Tissue Data'!$D:$D)</f>
        <v>44393</v>
      </c>
      <c r="D5037" s="2" t="str">
        <f>_xlfn.XLOOKUP(A5037,'[1]Tissue Data'!$A:$A,'[1]Tissue Data'!$F:$F)</f>
        <v>Pumpkinseed</v>
      </c>
      <c r="E5037" t="str">
        <f>_xlfn.XLOOKUP(A5037,'[1]Tissue Data'!$A:$A,'[1]Tissue Data'!$H:$H)</f>
        <v>Lepomis</v>
      </c>
      <c r="F5037" t="str">
        <f>_xlfn.XLOOKUP(A5037,'[1]Tissue Data'!$A:$A,'[1]Tissue Data'!$I:$I)</f>
        <v>gibbosus</v>
      </c>
      <c r="G5037" t="str">
        <f>_xlfn.XLOOKUP(A5037,'[1]Tissue Data'!$A:$A,'[1]Tissue Data'!J:J)</f>
        <v>U</v>
      </c>
      <c r="H5037" t="str">
        <f>_xlfn.XLOOKUP(A5037,'[1]Tissue Data'!$A:$A,'[1]Tissue Data'!K:K)</f>
        <v>Whole Body</v>
      </c>
      <c r="I5037">
        <f>_xlfn.XLOOKUP(A5037,'[1]Tissue Data'!$A:$A,'[1]Tissue Data'!L:L)</f>
        <v>7</v>
      </c>
      <c r="J5037">
        <f>_xlfn.XLOOKUP(A5037,'[1]Tissue Data'!$A:$A,'[1]Tissue Data'!M:M)</f>
        <v>5.78</v>
      </c>
      <c r="K5037" t="s">
        <v>47</v>
      </c>
      <c r="L5037" t="str">
        <f>_xlfn.XLOOKUP(K5037,[2]analyte_order!$B:$B,[2]analyte_order!$C:$C)</f>
        <v>356-02-5</v>
      </c>
      <c r="M5037">
        <f>_xlfn.XLOOKUP(L5037,[2]analyte_order!$C:$C,[2]analyte_order!$E:$E)</f>
        <v>38</v>
      </c>
      <c r="N5037">
        <v>8.4500000000000006E-2</v>
      </c>
    </row>
    <row r="5038" spans="1:14">
      <c r="A5038" t="s">
        <v>280</v>
      </c>
      <c r="B5038" t="str">
        <f>_xlfn.XLOOKUP(A5038,'[1]Tissue Data'!$A:$A,'[1]Tissue Data'!$C:$C)</f>
        <v>Spill</v>
      </c>
      <c r="C5038" s="2">
        <f>_xlfn.XLOOKUP(A5038,'[1]Tissue Data'!$A:$A,'[1]Tissue Data'!$D:$D)</f>
        <v>44393</v>
      </c>
      <c r="D5038" s="2" t="str">
        <f>_xlfn.XLOOKUP(A5038,'[1]Tissue Data'!$A:$A,'[1]Tissue Data'!$F:$F)</f>
        <v>Pumpkinseed</v>
      </c>
      <c r="E5038" t="str">
        <f>_xlfn.XLOOKUP(A5038,'[1]Tissue Data'!$A:$A,'[1]Tissue Data'!$H:$H)</f>
        <v>Lepomis</v>
      </c>
      <c r="F5038" t="str">
        <f>_xlfn.XLOOKUP(A5038,'[1]Tissue Data'!$A:$A,'[1]Tissue Data'!$I:$I)</f>
        <v>gibbosus</v>
      </c>
      <c r="G5038" t="str">
        <f>_xlfn.XLOOKUP(A5038,'[1]Tissue Data'!$A:$A,'[1]Tissue Data'!J:J)</f>
        <v>U</v>
      </c>
      <c r="H5038" t="str">
        <f>_xlfn.XLOOKUP(A5038,'[1]Tissue Data'!$A:$A,'[1]Tissue Data'!K:K)</f>
        <v>Whole Body</v>
      </c>
      <c r="I5038">
        <f>_xlfn.XLOOKUP(A5038,'[1]Tissue Data'!$A:$A,'[1]Tissue Data'!L:L)</f>
        <v>7</v>
      </c>
      <c r="J5038">
        <f>_xlfn.XLOOKUP(A5038,'[1]Tissue Data'!$A:$A,'[1]Tissue Data'!M:M)</f>
        <v>5.78</v>
      </c>
      <c r="K5038" t="s">
        <v>48</v>
      </c>
      <c r="L5038" t="str">
        <f>_xlfn.XLOOKUP(K5038,[2]analyte_order!$B:$B,[2]analyte_order!$C:$C)</f>
        <v>914637-49-3</v>
      </c>
      <c r="M5038">
        <f>_xlfn.XLOOKUP(L5038,[2]analyte_order!$C:$C,[2]analyte_order!$E:$E)</f>
        <v>39</v>
      </c>
      <c r="N5038">
        <v>2.82</v>
      </c>
    </row>
    <row r="5039" spans="1:14">
      <c r="A5039" t="s">
        <v>280</v>
      </c>
      <c r="B5039" t="str">
        <f>_xlfn.XLOOKUP(A5039,'[1]Tissue Data'!$A:$A,'[1]Tissue Data'!$C:$C)</f>
        <v>Spill</v>
      </c>
      <c r="C5039" s="2">
        <f>_xlfn.XLOOKUP(A5039,'[1]Tissue Data'!$A:$A,'[1]Tissue Data'!$D:$D)</f>
        <v>44393</v>
      </c>
      <c r="D5039" s="2" t="str">
        <f>_xlfn.XLOOKUP(A5039,'[1]Tissue Data'!$A:$A,'[1]Tissue Data'!$F:$F)</f>
        <v>Pumpkinseed</v>
      </c>
      <c r="E5039" t="str">
        <f>_xlfn.XLOOKUP(A5039,'[1]Tissue Data'!$A:$A,'[1]Tissue Data'!$H:$H)</f>
        <v>Lepomis</v>
      </c>
      <c r="F5039" t="str">
        <f>_xlfn.XLOOKUP(A5039,'[1]Tissue Data'!$A:$A,'[1]Tissue Data'!$I:$I)</f>
        <v>gibbosus</v>
      </c>
      <c r="G5039" t="str">
        <f>_xlfn.XLOOKUP(A5039,'[1]Tissue Data'!$A:$A,'[1]Tissue Data'!J:J)</f>
        <v>U</v>
      </c>
      <c r="H5039" t="str">
        <f>_xlfn.XLOOKUP(A5039,'[1]Tissue Data'!$A:$A,'[1]Tissue Data'!K:K)</f>
        <v>Whole Body</v>
      </c>
      <c r="I5039">
        <f>_xlfn.XLOOKUP(A5039,'[1]Tissue Data'!$A:$A,'[1]Tissue Data'!L:L)</f>
        <v>7</v>
      </c>
      <c r="J5039">
        <f>_xlfn.XLOOKUP(A5039,'[1]Tissue Data'!$A:$A,'[1]Tissue Data'!M:M)</f>
        <v>5.78</v>
      </c>
      <c r="K5039" t="s">
        <v>49</v>
      </c>
      <c r="L5039" t="str">
        <f>_xlfn.XLOOKUP(K5039,[2]analyte_order!$B:$B,[2]analyte_order!$C:$C)</f>
        <v>812-70-4</v>
      </c>
      <c r="M5039">
        <f>_xlfn.XLOOKUP(L5039,[2]analyte_order!$C:$C,[2]analyte_order!$E:$E)</f>
        <v>40</v>
      </c>
      <c r="N5039">
        <v>43.6</v>
      </c>
    </row>
    <row r="5040" spans="1:14">
      <c r="A5040" t="s">
        <v>280</v>
      </c>
      <c r="B5040" t="str">
        <f>_xlfn.XLOOKUP(A5040,'[1]Tissue Data'!$A:$A,'[1]Tissue Data'!$C:$C)</f>
        <v>Spill</v>
      </c>
      <c r="C5040" s="2">
        <f>_xlfn.XLOOKUP(A5040,'[1]Tissue Data'!$A:$A,'[1]Tissue Data'!$D:$D)</f>
        <v>44393</v>
      </c>
      <c r="D5040" s="2" t="str">
        <f>_xlfn.XLOOKUP(A5040,'[1]Tissue Data'!$A:$A,'[1]Tissue Data'!$F:$F)</f>
        <v>Pumpkinseed</v>
      </c>
      <c r="E5040" t="str">
        <f>_xlfn.XLOOKUP(A5040,'[1]Tissue Data'!$A:$A,'[1]Tissue Data'!$H:$H)</f>
        <v>Lepomis</v>
      </c>
      <c r="F5040" t="str">
        <f>_xlfn.XLOOKUP(A5040,'[1]Tissue Data'!$A:$A,'[1]Tissue Data'!$I:$I)</f>
        <v>gibbosus</v>
      </c>
      <c r="G5040" t="str">
        <f>_xlfn.XLOOKUP(A5040,'[1]Tissue Data'!$A:$A,'[1]Tissue Data'!J:J)</f>
        <v>U</v>
      </c>
      <c r="H5040" t="str">
        <f>_xlfn.XLOOKUP(A5040,'[1]Tissue Data'!$A:$A,'[1]Tissue Data'!K:K)</f>
        <v>Whole Body</v>
      </c>
      <c r="I5040">
        <f>_xlfn.XLOOKUP(A5040,'[1]Tissue Data'!$A:$A,'[1]Tissue Data'!L:L)</f>
        <v>7</v>
      </c>
      <c r="J5040">
        <f>_xlfn.XLOOKUP(A5040,'[1]Tissue Data'!$A:$A,'[1]Tissue Data'!M:M)</f>
        <v>5.78</v>
      </c>
      <c r="K5040" t="s">
        <v>50</v>
      </c>
      <c r="L5040" t="str">
        <f>_xlfn.XLOOKUP(K5040,[2]analyte_order!$B:$B,[2]analyte_order!$C:$C)</f>
        <v>53826-12-3</v>
      </c>
      <c r="M5040">
        <f>_xlfn.XLOOKUP(L5040,[2]analyte_order!$C:$C,[2]analyte_order!$E:$E)</f>
        <v>41</v>
      </c>
      <c r="N5040">
        <v>7.2999999999999995E-2</v>
      </c>
    </row>
    <row r="5041" spans="1:14">
      <c r="A5041" t="s">
        <v>280</v>
      </c>
      <c r="B5041" t="str">
        <f>_xlfn.XLOOKUP(A5041,'[1]Tissue Data'!$A:$A,'[1]Tissue Data'!$C:$C)</f>
        <v>Spill</v>
      </c>
      <c r="C5041" s="2">
        <f>_xlfn.XLOOKUP(A5041,'[1]Tissue Data'!$A:$A,'[1]Tissue Data'!$D:$D)</f>
        <v>44393</v>
      </c>
      <c r="D5041" s="2" t="str">
        <f>_xlfn.XLOOKUP(A5041,'[1]Tissue Data'!$A:$A,'[1]Tissue Data'!$F:$F)</f>
        <v>Pumpkinseed</v>
      </c>
      <c r="E5041" t="str">
        <f>_xlfn.XLOOKUP(A5041,'[1]Tissue Data'!$A:$A,'[1]Tissue Data'!$H:$H)</f>
        <v>Lepomis</v>
      </c>
      <c r="F5041" t="str">
        <f>_xlfn.XLOOKUP(A5041,'[1]Tissue Data'!$A:$A,'[1]Tissue Data'!$I:$I)</f>
        <v>gibbosus</v>
      </c>
      <c r="G5041" t="str">
        <f>_xlfn.XLOOKUP(A5041,'[1]Tissue Data'!$A:$A,'[1]Tissue Data'!J:J)</f>
        <v>U</v>
      </c>
      <c r="H5041" t="str">
        <f>_xlfn.XLOOKUP(A5041,'[1]Tissue Data'!$A:$A,'[1]Tissue Data'!K:K)</f>
        <v>Whole Body</v>
      </c>
      <c r="I5041">
        <f>_xlfn.XLOOKUP(A5041,'[1]Tissue Data'!$A:$A,'[1]Tissue Data'!L:L)</f>
        <v>7</v>
      </c>
      <c r="J5041">
        <f>_xlfn.XLOOKUP(A5041,'[1]Tissue Data'!$A:$A,'[1]Tissue Data'!M:M)</f>
        <v>5.78</v>
      </c>
      <c r="K5041" t="s">
        <v>51</v>
      </c>
      <c r="L5041" t="str">
        <f>_xlfn.XLOOKUP(K5041,[2]analyte_order!$B:$B,[2]analyte_order!$C:$C)</f>
        <v>27854-31-5</v>
      </c>
      <c r="M5041">
        <f>_xlfn.XLOOKUP(L5041,[2]analyte_order!$C:$C,[2]analyte_order!$E:$E)</f>
        <v>42</v>
      </c>
      <c r="N5041">
        <v>7.2999999999999995E-2</v>
      </c>
    </row>
    <row r="5042" spans="1:14">
      <c r="A5042" t="s">
        <v>280</v>
      </c>
      <c r="B5042" t="str">
        <f>_xlfn.XLOOKUP(A5042,'[1]Tissue Data'!$A:$A,'[1]Tissue Data'!$C:$C)</f>
        <v>Spill</v>
      </c>
      <c r="C5042" s="2">
        <f>_xlfn.XLOOKUP(A5042,'[1]Tissue Data'!$A:$A,'[1]Tissue Data'!$D:$D)</f>
        <v>44393</v>
      </c>
      <c r="D5042" s="2" t="str">
        <f>_xlfn.XLOOKUP(A5042,'[1]Tissue Data'!$A:$A,'[1]Tissue Data'!$F:$F)</f>
        <v>Pumpkinseed</v>
      </c>
      <c r="E5042" t="str">
        <f>_xlfn.XLOOKUP(A5042,'[1]Tissue Data'!$A:$A,'[1]Tissue Data'!$H:$H)</f>
        <v>Lepomis</v>
      </c>
      <c r="F5042" t="str">
        <f>_xlfn.XLOOKUP(A5042,'[1]Tissue Data'!$A:$A,'[1]Tissue Data'!$I:$I)</f>
        <v>gibbosus</v>
      </c>
      <c r="G5042" t="str">
        <f>_xlfn.XLOOKUP(A5042,'[1]Tissue Data'!$A:$A,'[1]Tissue Data'!J:J)</f>
        <v>U</v>
      </c>
      <c r="H5042" t="str">
        <f>_xlfn.XLOOKUP(A5042,'[1]Tissue Data'!$A:$A,'[1]Tissue Data'!K:K)</f>
        <v>Whole Body</v>
      </c>
      <c r="I5042">
        <f>_xlfn.XLOOKUP(A5042,'[1]Tissue Data'!$A:$A,'[1]Tissue Data'!L:L)</f>
        <v>7</v>
      </c>
      <c r="J5042">
        <f>_xlfn.XLOOKUP(A5042,'[1]Tissue Data'!$A:$A,'[1]Tissue Data'!M:M)</f>
        <v>5.78</v>
      </c>
      <c r="K5042" t="s">
        <v>52</v>
      </c>
      <c r="L5042" t="str">
        <f>_xlfn.XLOOKUP(K5042,[2]analyte_order!$B:$B,[2]analyte_order!$C:$C)</f>
        <v>53826-13-4</v>
      </c>
      <c r="M5042">
        <f>_xlfn.XLOOKUP(L5042,[2]analyte_order!$C:$C,[2]analyte_order!$E:$E)</f>
        <v>43</v>
      </c>
      <c r="N5042">
        <v>0.109</v>
      </c>
    </row>
    <row r="5043" spans="1:14">
      <c r="A5043" t="s">
        <v>280</v>
      </c>
      <c r="B5043" t="str">
        <f>_xlfn.XLOOKUP(A5043,'[1]Tissue Data'!$A:$A,'[1]Tissue Data'!$C:$C)</f>
        <v>Spill</v>
      </c>
      <c r="C5043" s="2">
        <f>_xlfn.XLOOKUP(A5043,'[1]Tissue Data'!$A:$A,'[1]Tissue Data'!$D:$D)</f>
        <v>44393</v>
      </c>
      <c r="D5043" s="2" t="str">
        <f>_xlfn.XLOOKUP(A5043,'[1]Tissue Data'!$A:$A,'[1]Tissue Data'!$F:$F)</f>
        <v>Pumpkinseed</v>
      </c>
      <c r="E5043" t="str">
        <f>_xlfn.XLOOKUP(A5043,'[1]Tissue Data'!$A:$A,'[1]Tissue Data'!$H:$H)</f>
        <v>Lepomis</v>
      </c>
      <c r="F5043" t="str">
        <f>_xlfn.XLOOKUP(A5043,'[1]Tissue Data'!$A:$A,'[1]Tissue Data'!$I:$I)</f>
        <v>gibbosus</v>
      </c>
      <c r="G5043" t="str">
        <f>_xlfn.XLOOKUP(A5043,'[1]Tissue Data'!$A:$A,'[1]Tissue Data'!J:J)</f>
        <v>U</v>
      </c>
      <c r="H5043" t="str">
        <f>_xlfn.XLOOKUP(A5043,'[1]Tissue Data'!$A:$A,'[1]Tissue Data'!K:K)</f>
        <v>Whole Body</v>
      </c>
      <c r="I5043">
        <f>_xlfn.XLOOKUP(A5043,'[1]Tissue Data'!$A:$A,'[1]Tissue Data'!L:L)</f>
        <v>7</v>
      </c>
      <c r="J5043">
        <f>_xlfn.XLOOKUP(A5043,'[1]Tissue Data'!$A:$A,'[1]Tissue Data'!M:M)</f>
        <v>5.78</v>
      </c>
      <c r="K5043" t="s">
        <v>53</v>
      </c>
      <c r="L5043" t="str">
        <f>_xlfn.XLOOKUP(K5043,[2]analyte_order!$B:$B,[2]analyte_order!$C:$C)</f>
        <v>161094-75-3</v>
      </c>
      <c r="M5043">
        <f>_xlfn.XLOOKUP(L5043,[2]analyte_order!$C:$C,[2]analyte_order!$E:$E)</f>
        <v>44</v>
      </c>
      <c r="N5043">
        <v>5.7500000000000002E-2</v>
      </c>
    </row>
    <row r="5044" spans="1:14">
      <c r="A5044" t="s">
        <v>280</v>
      </c>
      <c r="B5044" t="str">
        <f>_xlfn.XLOOKUP(A5044,'[1]Tissue Data'!$A:$A,'[1]Tissue Data'!$C:$C)</f>
        <v>Spill</v>
      </c>
      <c r="C5044" s="2">
        <f>_xlfn.XLOOKUP(A5044,'[1]Tissue Data'!$A:$A,'[1]Tissue Data'!$D:$D)</f>
        <v>44393</v>
      </c>
      <c r="D5044" s="2" t="str">
        <f>_xlfn.XLOOKUP(A5044,'[1]Tissue Data'!$A:$A,'[1]Tissue Data'!$F:$F)</f>
        <v>Pumpkinseed</v>
      </c>
      <c r="E5044" t="str">
        <f>_xlfn.XLOOKUP(A5044,'[1]Tissue Data'!$A:$A,'[1]Tissue Data'!$H:$H)</f>
        <v>Lepomis</v>
      </c>
      <c r="F5044" t="str">
        <f>_xlfn.XLOOKUP(A5044,'[1]Tissue Data'!$A:$A,'[1]Tissue Data'!$I:$I)</f>
        <v>gibbosus</v>
      </c>
      <c r="G5044" t="str">
        <f>_xlfn.XLOOKUP(A5044,'[1]Tissue Data'!$A:$A,'[1]Tissue Data'!J:J)</f>
        <v>U</v>
      </c>
      <c r="H5044" t="str">
        <f>_xlfn.XLOOKUP(A5044,'[1]Tissue Data'!$A:$A,'[1]Tissue Data'!K:K)</f>
        <v>Whole Body</v>
      </c>
      <c r="I5044">
        <f>_xlfn.XLOOKUP(A5044,'[1]Tissue Data'!$A:$A,'[1]Tissue Data'!L:L)</f>
        <v>7</v>
      </c>
      <c r="J5044">
        <f>_xlfn.XLOOKUP(A5044,'[1]Tissue Data'!$A:$A,'[1]Tissue Data'!M:M)</f>
        <v>5.78</v>
      </c>
      <c r="K5044" t="s">
        <v>54</v>
      </c>
      <c r="L5044" t="str">
        <f>_xlfn.XLOOKUP(K5044,[2]analyte_order!$B:$B,[2]analyte_order!$C:$C)</f>
        <v>70887-84-2</v>
      </c>
      <c r="M5044">
        <f>_xlfn.XLOOKUP(L5044,[2]analyte_order!$C:$C,[2]analyte_order!$E:$E)</f>
        <v>45</v>
      </c>
      <c r="N5044">
        <v>4.4200000000000003E-2</v>
      </c>
    </row>
    <row r="5045" spans="1:14">
      <c r="A5045" t="s">
        <v>280</v>
      </c>
      <c r="B5045" t="str">
        <f>_xlfn.XLOOKUP(A5045,'[1]Tissue Data'!$A:$A,'[1]Tissue Data'!$C:$C)</f>
        <v>Spill</v>
      </c>
      <c r="C5045" s="2">
        <f>_xlfn.XLOOKUP(A5045,'[1]Tissue Data'!$A:$A,'[1]Tissue Data'!$D:$D)</f>
        <v>44393</v>
      </c>
      <c r="D5045" s="2" t="str">
        <f>_xlfn.XLOOKUP(A5045,'[1]Tissue Data'!$A:$A,'[1]Tissue Data'!$F:$F)</f>
        <v>Pumpkinseed</v>
      </c>
      <c r="E5045" t="str">
        <f>_xlfn.XLOOKUP(A5045,'[1]Tissue Data'!$A:$A,'[1]Tissue Data'!$H:$H)</f>
        <v>Lepomis</v>
      </c>
      <c r="F5045" t="str">
        <f>_xlfn.XLOOKUP(A5045,'[1]Tissue Data'!$A:$A,'[1]Tissue Data'!$I:$I)</f>
        <v>gibbosus</v>
      </c>
      <c r="G5045" t="str">
        <f>_xlfn.XLOOKUP(A5045,'[1]Tissue Data'!$A:$A,'[1]Tissue Data'!J:J)</f>
        <v>U</v>
      </c>
      <c r="H5045" t="str">
        <f>_xlfn.XLOOKUP(A5045,'[1]Tissue Data'!$A:$A,'[1]Tissue Data'!K:K)</f>
        <v>Whole Body</v>
      </c>
      <c r="I5045">
        <f>_xlfn.XLOOKUP(A5045,'[1]Tissue Data'!$A:$A,'[1]Tissue Data'!L:L)</f>
        <v>7</v>
      </c>
      <c r="J5045">
        <f>_xlfn.XLOOKUP(A5045,'[1]Tissue Data'!$A:$A,'[1]Tissue Data'!M:M)</f>
        <v>5.78</v>
      </c>
      <c r="K5045" t="s">
        <v>55</v>
      </c>
      <c r="L5045" t="str">
        <f>_xlfn.XLOOKUP(K5045,[2]analyte_order!$B:$B,[2]analyte_order!$C:$C)</f>
        <v>919005-14-4</v>
      </c>
      <c r="M5045">
        <f>_xlfn.XLOOKUP(L5045,[2]analyte_order!$C:$C,[2]analyte_order!$E:$E)</f>
        <v>35</v>
      </c>
      <c r="N5045">
        <v>6.4500000000000002E-2</v>
      </c>
    </row>
    <row r="5046" spans="1:14">
      <c r="A5046" t="s">
        <v>280</v>
      </c>
      <c r="B5046" t="str">
        <f>_xlfn.XLOOKUP(A5046,'[1]Tissue Data'!$A:$A,'[1]Tissue Data'!$C:$C)</f>
        <v>Spill</v>
      </c>
      <c r="C5046" s="2">
        <f>_xlfn.XLOOKUP(A5046,'[1]Tissue Data'!$A:$A,'[1]Tissue Data'!$D:$D)</f>
        <v>44393</v>
      </c>
      <c r="D5046" s="2" t="str">
        <f>_xlfn.XLOOKUP(A5046,'[1]Tissue Data'!$A:$A,'[1]Tissue Data'!$F:$F)</f>
        <v>Pumpkinseed</v>
      </c>
      <c r="E5046" t="str">
        <f>_xlfn.XLOOKUP(A5046,'[1]Tissue Data'!$A:$A,'[1]Tissue Data'!$H:$H)</f>
        <v>Lepomis</v>
      </c>
      <c r="F5046" t="str">
        <f>_xlfn.XLOOKUP(A5046,'[1]Tissue Data'!$A:$A,'[1]Tissue Data'!$I:$I)</f>
        <v>gibbosus</v>
      </c>
      <c r="G5046" t="str">
        <f>_xlfn.XLOOKUP(A5046,'[1]Tissue Data'!$A:$A,'[1]Tissue Data'!J:J)</f>
        <v>U</v>
      </c>
      <c r="H5046" t="str">
        <f>_xlfn.XLOOKUP(A5046,'[1]Tissue Data'!$A:$A,'[1]Tissue Data'!K:K)</f>
        <v>Whole Body</v>
      </c>
      <c r="I5046">
        <f>_xlfn.XLOOKUP(A5046,'[1]Tissue Data'!$A:$A,'[1]Tissue Data'!L:L)</f>
        <v>7</v>
      </c>
      <c r="J5046">
        <f>_xlfn.XLOOKUP(A5046,'[1]Tissue Data'!$A:$A,'[1]Tissue Data'!M:M)</f>
        <v>5.78</v>
      </c>
      <c r="K5046" t="s">
        <v>56</v>
      </c>
      <c r="L5046" t="str">
        <f>_xlfn.XLOOKUP(K5046,[2]analyte_order!$B:$B,[2]analyte_order!$C:$C)</f>
        <v>756426-58-1</v>
      </c>
      <c r="M5046">
        <f>_xlfn.XLOOKUP(L5046,[2]analyte_order!$C:$C,[2]analyte_order!$E:$E)</f>
        <v>36</v>
      </c>
      <c r="N5046">
        <v>7.2999999999999995E-2</v>
      </c>
    </row>
    <row r="5047" spans="1:14">
      <c r="A5047" t="s">
        <v>280</v>
      </c>
      <c r="B5047" t="str">
        <f>_xlfn.XLOOKUP(A5047,'[1]Tissue Data'!$A:$A,'[1]Tissue Data'!$C:$C)</f>
        <v>Spill</v>
      </c>
      <c r="C5047" s="2">
        <f>_xlfn.XLOOKUP(A5047,'[1]Tissue Data'!$A:$A,'[1]Tissue Data'!$D:$D)</f>
        <v>44393</v>
      </c>
      <c r="D5047" s="2" t="str">
        <f>_xlfn.XLOOKUP(A5047,'[1]Tissue Data'!$A:$A,'[1]Tissue Data'!$F:$F)</f>
        <v>Pumpkinseed</v>
      </c>
      <c r="E5047" t="str">
        <f>_xlfn.XLOOKUP(A5047,'[1]Tissue Data'!$A:$A,'[1]Tissue Data'!$H:$H)</f>
        <v>Lepomis</v>
      </c>
      <c r="F5047" t="str">
        <f>_xlfn.XLOOKUP(A5047,'[1]Tissue Data'!$A:$A,'[1]Tissue Data'!$I:$I)</f>
        <v>gibbosus</v>
      </c>
      <c r="G5047" t="str">
        <f>_xlfn.XLOOKUP(A5047,'[1]Tissue Data'!$A:$A,'[1]Tissue Data'!J:J)</f>
        <v>U</v>
      </c>
      <c r="H5047" t="str">
        <f>_xlfn.XLOOKUP(A5047,'[1]Tissue Data'!$A:$A,'[1]Tissue Data'!K:K)</f>
        <v>Whole Body</v>
      </c>
      <c r="I5047">
        <f>_xlfn.XLOOKUP(A5047,'[1]Tissue Data'!$A:$A,'[1]Tissue Data'!L:L)</f>
        <v>7</v>
      </c>
      <c r="J5047">
        <f>_xlfn.XLOOKUP(A5047,'[1]Tissue Data'!$A:$A,'[1]Tissue Data'!M:M)</f>
        <v>5.78</v>
      </c>
      <c r="K5047" t="s">
        <v>57</v>
      </c>
      <c r="L5047" t="str">
        <f>_xlfn.XLOOKUP(K5047,[2]analyte_order!$B:$B,[2]analyte_order!$C:$C)</f>
        <v>763051-92-9</v>
      </c>
      <c r="M5047">
        <f>_xlfn.XLOOKUP(L5047,[2]analyte_order!$C:$C,[2]analyte_order!$E:$E)</f>
        <v>37</v>
      </c>
      <c r="N5047">
        <v>7.2999999999999995E-2</v>
      </c>
    </row>
    <row r="5048" spans="1:14">
      <c r="A5048" t="s">
        <v>280</v>
      </c>
      <c r="B5048" t="str">
        <f>_xlfn.XLOOKUP(A5048,'[1]Tissue Data'!$A:$A,'[1]Tissue Data'!$C:$C)</f>
        <v>Spill</v>
      </c>
      <c r="C5048" s="2">
        <f>_xlfn.XLOOKUP(A5048,'[1]Tissue Data'!$A:$A,'[1]Tissue Data'!$D:$D)</f>
        <v>44393</v>
      </c>
      <c r="D5048" s="2" t="str">
        <f>_xlfn.XLOOKUP(A5048,'[1]Tissue Data'!$A:$A,'[1]Tissue Data'!$F:$F)</f>
        <v>Pumpkinseed</v>
      </c>
      <c r="E5048" t="str">
        <f>_xlfn.XLOOKUP(A5048,'[1]Tissue Data'!$A:$A,'[1]Tissue Data'!$H:$H)</f>
        <v>Lepomis</v>
      </c>
      <c r="F5048" t="str">
        <f>_xlfn.XLOOKUP(A5048,'[1]Tissue Data'!$A:$A,'[1]Tissue Data'!$I:$I)</f>
        <v>gibbosus</v>
      </c>
      <c r="G5048" t="str">
        <f>_xlfn.XLOOKUP(A5048,'[1]Tissue Data'!$A:$A,'[1]Tissue Data'!J:J)</f>
        <v>U</v>
      </c>
      <c r="H5048" t="str">
        <f>_xlfn.XLOOKUP(A5048,'[1]Tissue Data'!$A:$A,'[1]Tissue Data'!K:K)</f>
        <v>Whole Body</v>
      </c>
      <c r="I5048">
        <f>_xlfn.XLOOKUP(A5048,'[1]Tissue Data'!$A:$A,'[1]Tissue Data'!L:L)</f>
        <v>7</v>
      </c>
      <c r="J5048">
        <f>_xlfn.XLOOKUP(A5048,'[1]Tissue Data'!$A:$A,'[1]Tissue Data'!M:M)</f>
        <v>5.78</v>
      </c>
      <c r="K5048" t="s">
        <v>58</v>
      </c>
      <c r="L5048" t="str">
        <f>_xlfn.XLOOKUP(K5048,[2]analyte_order!$B:$B,[2]analyte_order!$C:$C)</f>
        <v>13252-13-6</v>
      </c>
      <c r="M5048">
        <f>_xlfn.XLOOKUP(L5048,[2]analyte_order!$C:$C,[2]analyte_order!$E:$E)</f>
        <v>34</v>
      </c>
      <c r="N5048">
        <v>0.105</v>
      </c>
    </row>
    <row r="5049" spans="1:14">
      <c r="A5049" t="s">
        <v>280</v>
      </c>
      <c r="B5049" t="str">
        <f>_xlfn.XLOOKUP(A5049,'[1]Tissue Data'!$A:$A,'[1]Tissue Data'!$C:$C)</f>
        <v>Spill</v>
      </c>
      <c r="C5049" s="2">
        <f>_xlfn.XLOOKUP(A5049,'[1]Tissue Data'!$A:$A,'[1]Tissue Data'!$D:$D)</f>
        <v>44393</v>
      </c>
      <c r="D5049" s="2" t="str">
        <f>_xlfn.XLOOKUP(A5049,'[1]Tissue Data'!$A:$A,'[1]Tissue Data'!$F:$F)</f>
        <v>Pumpkinseed</v>
      </c>
      <c r="E5049" t="str">
        <f>_xlfn.XLOOKUP(A5049,'[1]Tissue Data'!$A:$A,'[1]Tissue Data'!$H:$H)</f>
        <v>Lepomis</v>
      </c>
      <c r="F5049" t="str">
        <f>_xlfn.XLOOKUP(A5049,'[1]Tissue Data'!$A:$A,'[1]Tissue Data'!$I:$I)</f>
        <v>gibbosus</v>
      </c>
      <c r="G5049" t="str">
        <f>_xlfn.XLOOKUP(A5049,'[1]Tissue Data'!$A:$A,'[1]Tissue Data'!J:J)</f>
        <v>U</v>
      </c>
      <c r="H5049" t="str">
        <f>_xlfn.XLOOKUP(A5049,'[1]Tissue Data'!$A:$A,'[1]Tissue Data'!K:K)</f>
        <v>Whole Body</v>
      </c>
      <c r="I5049">
        <f>_xlfn.XLOOKUP(A5049,'[1]Tissue Data'!$A:$A,'[1]Tissue Data'!L:L)</f>
        <v>7</v>
      </c>
      <c r="J5049">
        <f>_xlfn.XLOOKUP(A5049,'[1]Tissue Data'!$A:$A,'[1]Tissue Data'!M:M)</f>
        <v>5.78</v>
      </c>
      <c r="K5049" t="s">
        <v>59</v>
      </c>
      <c r="L5049" t="str">
        <f>_xlfn.XLOOKUP(K5049,[2]analyte_order!$B:$B,[2]analyte_order!$C:$C)</f>
        <v>57677-95-9</v>
      </c>
      <c r="M5049">
        <f>_xlfn.XLOOKUP(L5049,[2]analyte_order!$C:$C,[2]analyte_order!$E:$E)</f>
        <v>46</v>
      </c>
      <c r="N5049">
        <v>7.8E-2</v>
      </c>
    </row>
    <row r="5050" spans="1:14">
      <c r="A5050" t="s">
        <v>280</v>
      </c>
      <c r="B5050" t="str">
        <f>_xlfn.XLOOKUP(A5050,'[1]Tissue Data'!$A:$A,'[1]Tissue Data'!$C:$C)</f>
        <v>Spill</v>
      </c>
      <c r="C5050" s="2">
        <f>_xlfn.XLOOKUP(A5050,'[1]Tissue Data'!$A:$A,'[1]Tissue Data'!$D:$D)</f>
        <v>44393</v>
      </c>
      <c r="D5050" s="2" t="str">
        <f>_xlfn.XLOOKUP(A5050,'[1]Tissue Data'!$A:$A,'[1]Tissue Data'!$F:$F)</f>
        <v>Pumpkinseed</v>
      </c>
      <c r="E5050" t="str">
        <f>_xlfn.XLOOKUP(A5050,'[1]Tissue Data'!$A:$A,'[1]Tissue Data'!$H:$H)</f>
        <v>Lepomis</v>
      </c>
      <c r="F5050" t="str">
        <f>_xlfn.XLOOKUP(A5050,'[1]Tissue Data'!$A:$A,'[1]Tissue Data'!$I:$I)</f>
        <v>gibbosus</v>
      </c>
      <c r="G5050" t="str">
        <f>_xlfn.XLOOKUP(A5050,'[1]Tissue Data'!$A:$A,'[1]Tissue Data'!J:J)</f>
        <v>U</v>
      </c>
      <c r="H5050" t="str">
        <f>_xlfn.XLOOKUP(A5050,'[1]Tissue Data'!$A:$A,'[1]Tissue Data'!K:K)</f>
        <v>Whole Body</v>
      </c>
      <c r="I5050">
        <f>_xlfn.XLOOKUP(A5050,'[1]Tissue Data'!$A:$A,'[1]Tissue Data'!L:L)</f>
        <v>7</v>
      </c>
      <c r="J5050">
        <f>_xlfn.XLOOKUP(A5050,'[1]Tissue Data'!$A:$A,'[1]Tissue Data'!M:M)</f>
        <v>5.78</v>
      </c>
      <c r="K5050" t="s">
        <v>60</v>
      </c>
      <c r="L5050" t="str">
        <f>_xlfn.XLOOKUP(K5050,[2]analyte_order!$B:$B,[2]analyte_order!$C:$C)</f>
        <v>678-41-1</v>
      </c>
      <c r="M5050">
        <f>_xlfn.XLOOKUP(L5050,[2]analyte_order!$C:$C,[2]analyte_order!$E:$E)</f>
        <v>56</v>
      </c>
      <c r="N5050">
        <v>9.7000000000000003E-2</v>
      </c>
    </row>
    <row r="5051" spans="1:14">
      <c r="A5051" t="s">
        <v>280</v>
      </c>
      <c r="B5051" t="str">
        <f>_xlfn.XLOOKUP(A5051,'[1]Tissue Data'!$A:$A,'[1]Tissue Data'!$C:$C)</f>
        <v>Spill</v>
      </c>
      <c r="C5051" s="2">
        <f>_xlfn.XLOOKUP(A5051,'[1]Tissue Data'!$A:$A,'[1]Tissue Data'!$D:$D)</f>
        <v>44393</v>
      </c>
      <c r="D5051" s="2" t="str">
        <f>_xlfn.XLOOKUP(A5051,'[1]Tissue Data'!$A:$A,'[1]Tissue Data'!$F:$F)</f>
        <v>Pumpkinseed</v>
      </c>
      <c r="E5051" t="str">
        <f>_xlfn.XLOOKUP(A5051,'[1]Tissue Data'!$A:$A,'[1]Tissue Data'!$H:$H)</f>
        <v>Lepomis</v>
      </c>
      <c r="F5051" t="str">
        <f>_xlfn.XLOOKUP(A5051,'[1]Tissue Data'!$A:$A,'[1]Tissue Data'!$I:$I)</f>
        <v>gibbosus</v>
      </c>
      <c r="G5051" t="str">
        <f>_xlfn.XLOOKUP(A5051,'[1]Tissue Data'!$A:$A,'[1]Tissue Data'!J:J)</f>
        <v>U</v>
      </c>
      <c r="H5051" t="str">
        <f>_xlfn.XLOOKUP(A5051,'[1]Tissue Data'!$A:$A,'[1]Tissue Data'!K:K)</f>
        <v>Whole Body</v>
      </c>
      <c r="I5051">
        <f>_xlfn.XLOOKUP(A5051,'[1]Tissue Data'!$A:$A,'[1]Tissue Data'!L:L)</f>
        <v>7</v>
      </c>
      <c r="J5051">
        <f>_xlfn.XLOOKUP(A5051,'[1]Tissue Data'!$A:$A,'[1]Tissue Data'!M:M)</f>
        <v>5.78</v>
      </c>
      <c r="K5051" t="s">
        <v>61</v>
      </c>
      <c r="L5051" t="str">
        <f>_xlfn.XLOOKUP(K5051,[2]analyte_order!$B:$B,[2]analyte_order!$C:$C)</f>
        <v>2965-52-8</v>
      </c>
      <c r="M5051">
        <f>_xlfn.XLOOKUP(L5051,[2]analyte_order!$C:$C,[2]analyte_order!$E:$E)</f>
        <v>57</v>
      </c>
      <c r="N5051">
        <v>0.1285</v>
      </c>
    </row>
    <row r="5052" spans="1:14">
      <c r="A5052" t="s">
        <v>281</v>
      </c>
      <c r="B5052" t="str">
        <f>_xlfn.XLOOKUP(A5052,'[1]Tissue Data'!$A:$A,'[1]Tissue Data'!$C:$C)</f>
        <v>Spill</v>
      </c>
      <c r="C5052" s="2">
        <f>_xlfn.XLOOKUP(A5052,'[1]Tissue Data'!$A:$A,'[1]Tissue Data'!$D:$D)</f>
        <v>44393</v>
      </c>
      <c r="D5052" s="2" t="str">
        <f>_xlfn.XLOOKUP(A5052,'[1]Tissue Data'!$A:$A,'[1]Tissue Data'!$F:$F)</f>
        <v>Pumpkinseed</v>
      </c>
      <c r="E5052" t="str">
        <f>_xlfn.XLOOKUP(A5052,'[1]Tissue Data'!$A:$A,'[1]Tissue Data'!$H:$H)</f>
        <v>Lepomis</v>
      </c>
      <c r="F5052" t="str">
        <f>_xlfn.XLOOKUP(A5052,'[1]Tissue Data'!$A:$A,'[1]Tissue Data'!$I:$I)</f>
        <v>gibbosus</v>
      </c>
      <c r="G5052" t="str">
        <f>_xlfn.XLOOKUP(A5052,'[1]Tissue Data'!$A:$A,'[1]Tissue Data'!J:J)</f>
        <v>U</v>
      </c>
      <c r="H5052" t="str">
        <f>_xlfn.XLOOKUP(A5052,'[1]Tissue Data'!$A:$A,'[1]Tissue Data'!K:K)</f>
        <v>Whole Body</v>
      </c>
      <c r="I5052">
        <f>_xlfn.XLOOKUP(A5052,'[1]Tissue Data'!$A:$A,'[1]Tissue Data'!L:L)</f>
        <v>6.5</v>
      </c>
      <c r="J5052">
        <f>_xlfn.XLOOKUP(A5052,'[1]Tissue Data'!$A:$A,'[1]Tissue Data'!M:M)</f>
        <v>4.38</v>
      </c>
      <c r="K5052" t="s">
        <v>12</v>
      </c>
      <c r="L5052" t="str">
        <f>_xlfn.XLOOKUP(K5052,[2]analyte_order!$B:$B,[2]analyte_order!$C:$C)</f>
        <v>375-22-4</v>
      </c>
      <c r="M5052">
        <f>_xlfn.XLOOKUP(L5052,[2]analyte_order!$C:$C,[2]analyte_order!$E:$E)</f>
        <v>1</v>
      </c>
      <c r="N5052">
        <v>6.6500000000000004E-2</v>
      </c>
    </row>
    <row r="5053" spans="1:14">
      <c r="A5053" t="s">
        <v>281</v>
      </c>
      <c r="B5053" t="str">
        <f>_xlfn.XLOOKUP(A5053,'[1]Tissue Data'!$A:$A,'[1]Tissue Data'!$C:$C)</f>
        <v>Spill</v>
      </c>
      <c r="C5053" s="2">
        <f>_xlfn.XLOOKUP(A5053,'[1]Tissue Data'!$A:$A,'[1]Tissue Data'!$D:$D)</f>
        <v>44393</v>
      </c>
      <c r="D5053" s="2" t="str">
        <f>_xlfn.XLOOKUP(A5053,'[1]Tissue Data'!$A:$A,'[1]Tissue Data'!$F:$F)</f>
        <v>Pumpkinseed</v>
      </c>
      <c r="E5053" t="str">
        <f>_xlfn.XLOOKUP(A5053,'[1]Tissue Data'!$A:$A,'[1]Tissue Data'!$H:$H)</f>
        <v>Lepomis</v>
      </c>
      <c r="F5053" t="str">
        <f>_xlfn.XLOOKUP(A5053,'[1]Tissue Data'!$A:$A,'[1]Tissue Data'!$I:$I)</f>
        <v>gibbosus</v>
      </c>
      <c r="G5053" t="str">
        <f>_xlfn.XLOOKUP(A5053,'[1]Tissue Data'!$A:$A,'[1]Tissue Data'!J:J)</f>
        <v>U</v>
      </c>
      <c r="H5053" t="str">
        <f>_xlfn.XLOOKUP(A5053,'[1]Tissue Data'!$A:$A,'[1]Tissue Data'!K:K)</f>
        <v>Whole Body</v>
      </c>
      <c r="I5053">
        <f>_xlfn.XLOOKUP(A5053,'[1]Tissue Data'!$A:$A,'[1]Tissue Data'!L:L)</f>
        <v>6.5</v>
      </c>
      <c r="J5053">
        <f>_xlfn.XLOOKUP(A5053,'[1]Tissue Data'!$A:$A,'[1]Tissue Data'!M:M)</f>
        <v>4.38</v>
      </c>
      <c r="K5053" t="s">
        <v>13</v>
      </c>
      <c r="L5053" t="str">
        <f>_xlfn.XLOOKUP(K5053,[2]analyte_order!$B:$B,[2]analyte_order!$C:$C)</f>
        <v>2706-90-3</v>
      </c>
      <c r="M5053">
        <f>_xlfn.XLOOKUP(L5053,[2]analyte_order!$C:$C,[2]analyte_order!$E:$E)</f>
        <v>2</v>
      </c>
      <c r="N5053">
        <v>4.6949999999999999E-2</v>
      </c>
    </row>
    <row r="5054" spans="1:14">
      <c r="A5054" t="s">
        <v>281</v>
      </c>
      <c r="B5054" t="str">
        <f>_xlfn.XLOOKUP(A5054,'[1]Tissue Data'!$A:$A,'[1]Tissue Data'!$C:$C)</f>
        <v>Spill</v>
      </c>
      <c r="C5054" s="2">
        <f>_xlfn.XLOOKUP(A5054,'[1]Tissue Data'!$A:$A,'[1]Tissue Data'!$D:$D)</f>
        <v>44393</v>
      </c>
      <c r="D5054" s="2" t="str">
        <f>_xlfn.XLOOKUP(A5054,'[1]Tissue Data'!$A:$A,'[1]Tissue Data'!$F:$F)</f>
        <v>Pumpkinseed</v>
      </c>
      <c r="E5054" t="str">
        <f>_xlfn.XLOOKUP(A5054,'[1]Tissue Data'!$A:$A,'[1]Tissue Data'!$H:$H)</f>
        <v>Lepomis</v>
      </c>
      <c r="F5054" t="str">
        <f>_xlfn.XLOOKUP(A5054,'[1]Tissue Data'!$A:$A,'[1]Tissue Data'!$I:$I)</f>
        <v>gibbosus</v>
      </c>
      <c r="G5054" t="str">
        <f>_xlfn.XLOOKUP(A5054,'[1]Tissue Data'!$A:$A,'[1]Tissue Data'!J:J)</f>
        <v>U</v>
      </c>
      <c r="H5054" t="str">
        <f>_xlfn.XLOOKUP(A5054,'[1]Tissue Data'!$A:$A,'[1]Tissue Data'!K:K)</f>
        <v>Whole Body</v>
      </c>
      <c r="I5054">
        <f>_xlfn.XLOOKUP(A5054,'[1]Tissue Data'!$A:$A,'[1]Tissue Data'!L:L)</f>
        <v>6.5</v>
      </c>
      <c r="J5054">
        <f>_xlfn.XLOOKUP(A5054,'[1]Tissue Data'!$A:$A,'[1]Tissue Data'!M:M)</f>
        <v>4.38</v>
      </c>
      <c r="K5054" t="s">
        <v>14</v>
      </c>
      <c r="L5054" t="str">
        <f>_xlfn.XLOOKUP(K5054,[2]analyte_order!$B:$B,[2]analyte_order!$C:$C)</f>
        <v>307-24-4</v>
      </c>
      <c r="M5054">
        <f>_xlfn.XLOOKUP(L5054,[2]analyte_order!$C:$C,[2]analyte_order!$E:$E)</f>
        <v>3</v>
      </c>
      <c r="N5054">
        <v>0.11849999999999999</v>
      </c>
    </row>
    <row r="5055" spans="1:14">
      <c r="A5055" t="s">
        <v>281</v>
      </c>
      <c r="B5055" t="str">
        <f>_xlfn.XLOOKUP(A5055,'[1]Tissue Data'!$A:$A,'[1]Tissue Data'!$C:$C)</f>
        <v>Spill</v>
      </c>
      <c r="C5055" s="2">
        <f>_xlfn.XLOOKUP(A5055,'[1]Tissue Data'!$A:$A,'[1]Tissue Data'!$D:$D)</f>
        <v>44393</v>
      </c>
      <c r="D5055" s="2" t="str">
        <f>_xlfn.XLOOKUP(A5055,'[1]Tissue Data'!$A:$A,'[1]Tissue Data'!$F:$F)</f>
        <v>Pumpkinseed</v>
      </c>
      <c r="E5055" t="str">
        <f>_xlfn.XLOOKUP(A5055,'[1]Tissue Data'!$A:$A,'[1]Tissue Data'!$H:$H)</f>
        <v>Lepomis</v>
      </c>
      <c r="F5055" t="str">
        <f>_xlfn.XLOOKUP(A5055,'[1]Tissue Data'!$A:$A,'[1]Tissue Data'!$I:$I)</f>
        <v>gibbosus</v>
      </c>
      <c r="G5055" t="str">
        <f>_xlfn.XLOOKUP(A5055,'[1]Tissue Data'!$A:$A,'[1]Tissue Data'!J:J)</f>
        <v>U</v>
      </c>
      <c r="H5055" t="str">
        <f>_xlfn.XLOOKUP(A5055,'[1]Tissue Data'!$A:$A,'[1]Tissue Data'!K:K)</f>
        <v>Whole Body</v>
      </c>
      <c r="I5055">
        <f>_xlfn.XLOOKUP(A5055,'[1]Tissue Data'!$A:$A,'[1]Tissue Data'!L:L)</f>
        <v>6.5</v>
      </c>
      <c r="J5055">
        <f>_xlfn.XLOOKUP(A5055,'[1]Tissue Data'!$A:$A,'[1]Tissue Data'!M:M)</f>
        <v>4.38</v>
      </c>
      <c r="K5055" t="s">
        <v>15</v>
      </c>
      <c r="L5055" t="str">
        <f>_xlfn.XLOOKUP(K5055,[2]analyte_order!$B:$B,[2]analyte_order!$C:$C)</f>
        <v>375-85-9</v>
      </c>
      <c r="M5055">
        <f>_xlfn.XLOOKUP(L5055,[2]analyte_order!$C:$C,[2]analyte_order!$E:$E)</f>
        <v>4</v>
      </c>
      <c r="N5055">
        <v>2.6599999999999999E-2</v>
      </c>
    </row>
    <row r="5056" spans="1:14">
      <c r="A5056" t="s">
        <v>281</v>
      </c>
      <c r="B5056" t="str">
        <f>_xlfn.XLOOKUP(A5056,'[1]Tissue Data'!$A:$A,'[1]Tissue Data'!$C:$C)</f>
        <v>Spill</v>
      </c>
      <c r="C5056" s="2">
        <f>_xlfn.XLOOKUP(A5056,'[1]Tissue Data'!$A:$A,'[1]Tissue Data'!$D:$D)</f>
        <v>44393</v>
      </c>
      <c r="D5056" s="2" t="str">
        <f>_xlfn.XLOOKUP(A5056,'[1]Tissue Data'!$A:$A,'[1]Tissue Data'!$F:$F)</f>
        <v>Pumpkinseed</v>
      </c>
      <c r="E5056" t="str">
        <f>_xlfn.XLOOKUP(A5056,'[1]Tissue Data'!$A:$A,'[1]Tissue Data'!$H:$H)</f>
        <v>Lepomis</v>
      </c>
      <c r="F5056" t="str">
        <f>_xlfn.XLOOKUP(A5056,'[1]Tissue Data'!$A:$A,'[1]Tissue Data'!$I:$I)</f>
        <v>gibbosus</v>
      </c>
      <c r="G5056" t="str">
        <f>_xlfn.XLOOKUP(A5056,'[1]Tissue Data'!$A:$A,'[1]Tissue Data'!J:J)</f>
        <v>U</v>
      </c>
      <c r="H5056" t="str">
        <f>_xlfn.XLOOKUP(A5056,'[1]Tissue Data'!$A:$A,'[1]Tissue Data'!K:K)</f>
        <v>Whole Body</v>
      </c>
      <c r="I5056">
        <f>_xlfn.XLOOKUP(A5056,'[1]Tissue Data'!$A:$A,'[1]Tissue Data'!L:L)</f>
        <v>6.5</v>
      </c>
      <c r="J5056">
        <f>_xlfn.XLOOKUP(A5056,'[1]Tissue Data'!$A:$A,'[1]Tissue Data'!M:M)</f>
        <v>4.38</v>
      </c>
      <c r="K5056" t="s">
        <v>16</v>
      </c>
      <c r="L5056" t="str">
        <f>_xlfn.XLOOKUP(K5056,[2]analyte_order!$B:$B,[2]analyte_order!$C:$C)</f>
        <v>335-67-1</v>
      </c>
      <c r="M5056">
        <f>_xlfn.XLOOKUP(L5056,[2]analyte_order!$C:$C,[2]analyte_order!$E:$E)</f>
        <v>5</v>
      </c>
      <c r="N5056">
        <v>0.78</v>
      </c>
    </row>
    <row r="5057" spans="1:14">
      <c r="A5057" t="s">
        <v>281</v>
      </c>
      <c r="B5057" t="str">
        <f>_xlfn.XLOOKUP(A5057,'[1]Tissue Data'!$A:$A,'[1]Tissue Data'!$C:$C)</f>
        <v>Spill</v>
      </c>
      <c r="C5057" s="2">
        <f>_xlfn.XLOOKUP(A5057,'[1]Tissue Data'!$A:$A,'[1]Tissue Data'!$D:$D)</f>
        <v>44393</v>
      </c>
      <c r="D5057" s="2" t="str">
        <f>_xlfn.XLOOKUP(A5057,'[1]Tissue Data'!$A:$A,'[1]Tissue Data'!$F:$F)</f>
        <v>Pumpkinseed</v>
      </c>
      <c r="E5057" t="str">
        <f>_xlfn.XLOOKUP(A5057,'[1]Tissue Data'!$A:$A,'[1]Tissue Data'!$H:$H)</f>
        <v>Lepomis</v>
      </c>
      <c r="F5057" t="str">
        <f>_xlfn.XLOOKUP(A5057,'[1]Tissue Data'!$A:$A,'[1]Tissue Data'!$I:$I)</f>
        <v>gibbosus</v>
      </c>
      <c r="G5057" t="str">
        <f>_xlfn.XLOOKUP(A5057,'[1]Tissue Data'!$A:$A,'[1]Tissue Data'!J:J)</f>
        <v>U</v>
      </c>
      <c r="H5057" t="str">
        <f>_xlfn.XLOOKUP(A5057,'[1]Tissue Data'!$A:$A,'[1]Tissue Data'!K:K)</f>
        <v>Whole Body</v>
      </c>
      <c r="I5057">
        <f>_xlfn.XLOOKUP(A5057,'[1]Tissue Data'!$A:$A,'[1]Tissue Data'!L:L)</f>
        <v>6.5</v>
      </c>
      <c r="J5057">
        <f>_xlfn.XLOOKUP(A5057,'[1]Tissue Data'!$A:$A,'[1]Tissue Data'!M:M)</f>
        <v>4.38</v>
      </c>
      <c r="K5057" t="s">
        <v>17</v>
      </c>
      <c r="L5057" t="str">
        <f>_xlfn.XLOOKUP(K5057,[2]analyte_order!$B:$B,[2]analyte_order!$C:$C)</f>
        <v>375-95-1</v>
      </c>
      <c r="M5057">
        <f>_xlfn.XLOOKUP(L5057,[2]analyte_order!$C:$C,[2]analyte_order!$E:$E)</f>
        <v>6</v>
      </c>
      <c r="N5057">
        <v>0.38900000000000001</v>
      </c>
    </row>
    <row r="5058" spans="1:14">
      <c r="A5058" t="s">
        <v>281</v>
      </c>
      <c r="B5058" t="str">
        <f>_xlfn.XLOOKUP(A5058,'[1]Tissue Data'!$A:$A,'[1]Tissue Data'!$C:$C)</f>
        <v>Spill</v>
      </c>
      <c r="C5058" s="2">
        <f>_xlfn.XLOOKUP(A5058,'[1]Tissue Data'!$A:$A,'[1]Tissue Data'!$D:$D)</f>
        <v>44393</v>
      </c>
      <c r="D5058" s="2" t="str">
        <f>_xlfn.XLOOKUP(A5058,'[1]Tissue Data'!$A:$A,'[1]Tissue Data'!$F:$F)</f>
        <v>Pumpkinseed</v>
      </c>
      <c r="E5058" t="str">
        <f>_xlfn.XLOOKUP(A5058,'[1]Tissue Data'!$A:$A,'[1]Tissue Data'!$H:$H)</f>
        <v>Lepomis</v>
      </c>
      <c r="F5058" t="str">
        <f>_xlfn.XLOOKUP(A5058,'[1]Tissue Data'!$A:$A,'[1]Tissue Data'!$I:$I)</f>
        <v>gibbosus</v>
      </c>
      <c r="G5058" t="str">
        <f>_xlfn.XLOOKUP(A5058,'[1]Tissue Data'!$A:$A,'[1]Tissue Data'!J:J)</f>
        <v>U</v>
      </c>
      <c r="H5058" t="str">
        <f>_xlfn.XLOOKUP(A5058,'[1]Tissue Data'!$A:$A,'[1]Tissue Data'!K:K)</f>
        <v>Whole Body</v>
      </c>
      <c r="I5058">
        <f>_xlfn.XLOOKUP(A5058,'[1]Tissue Data'!$A:$A,'[1]Tissue Data'!L:L)</f>
        <v>6.5</v>
      </c>
      <c r="J5058">
        <f>_xlfn.XLOOKUP(A5058,'[1]Tissue Data'!$A:$A,'[1]Tissue Data'!M:M)</f>
        <v>4.38</v>
      </c>
      <c r="K5058" t="s">
        <v>18</v>
      </c>
      <c r="L5058" t="str">
        <f>_xlfn.XLOOKUP(K5058,[2]analyte_order!$B:$B,[2]analyte_order!$C:$C)</f>
        <v>335-76-2</v>
      </c>
      <c r="M5058">
        <f>_xlfn.XLOOKUP(L5058,[2]analyte_order!$C:$C,[2]analyte_order!$E:$E)</f>
        <v>7</v>
      </c>
      <c r="N5058">
        <v>3.82</v>
      </c>
    </row>
    <row r="5059" spans="1:14">
      <c r="A5059" t="s">
        <v>281</v>
      </c>
      <c r="B5059" t="str">
        <f>_xlfn.XLOOKUP(A5059,'[1]Tissue Data'!$A:$A,'[1]Tissue Data'!$C:$C)</f>
        <v>Spill</v>
      </c>
      <c r="C5059" s="2">
        <f>_xlfn.XLOOKUP(A5059,'[1]Tissue Data'!$A:$A,'[1]Tissue Data'!$D:$D)</f>
        <v>44393</v>
      </c>
      <c r="D5059" s="2" t="str">
        <f>_xlfn.XLOOKUP(A5059,'[1]Tissue Data'!$A:$A,'[1]Tissue Data'!$F:$F)</f>
        <v>Pumpkinseed</v>
      </c>
      <c r="E5059" t="str">
        <f>_xlfn.XLOOKUP(A5059,'[1]Tissue Data'!$A:$A,'[1]Tissue Data'!$H:$H)</f>
        <v>Lepomis</v>
      </c>
      <c r="F5059" t="str">
        <f>_xlfn.XLOOKUP(A5059,'[1]Tissue Data'!$A:$A,'[1]Tissue Data'!$I:$I)</f>
        <v>gibbosus</v>
      </c>
      <c r="G5059" t="str">
        <f>_xlfn.XLOOKUP(A5059,'[1]Tissue Data'!$A:$A,'[1]Tissue Data'!J:J)</f>
        <v>U</v>
      </c>
      <c r="H5059" t="str">
        <f>_xlfn.XLOOKUP(A5059,'[1]Tissue Data'!$A:$A,'[1]Tissue Data'!K:K)</f>
        <v>Whole Body</v>
      </c>
      <c r="I5059">
        <f>_xlfn.XLOOKUP(A5059,'[1]Tissue Data'!$A:$A,'[1]Tissue Data'!L:L)</f>
        <v>6.5</v>
      </c>
      <c r="J5059">
        <f>_xlfn.XLOOKUP(A5059,'[1]Tissue Data'!$A:$A,'[1]Tissue Data'!M:M)</f>
        <v>4.38</v>
      </c>
      <c r="K5059" t="s">
        <v>19</v>
      </c>
      <c r="L5059" t="str">
        <f>_xlfn.XLOOKUP(K5059,[2]analyte_order!$B:$B,[2]analyte_order!$C:$C)</f>
        <v>2058-94-8</v>
      </c>
      <c r="M5059">
        <f>_xlfn.XLOOKUP(L5059,[2]analyte_order!$C:$C,[2]analyte_order!$E:$E)</f>
        <v>8</v>
      </c>
      <c r="N5059">
        <v>6.82</v>
      </c>
    </row>
    <row r="5060" spans="1:14">
      <c r="A5060" t="s">
        <v>281</v>
      </c>
      <c r="B5060" t="str">
        <f>_xlfn.XLOOKUP(A5060,'[1]Tissue Data'!$A:$A,'[1]Tissue Data'!$C:$C)</f>
        <v>Spill</v>
      </c>
      <c r="C5060" s="2">
        <f>_xlfn.XLOOKUP(A5060,'[1]Tissue Data'!$A:$A,'[1]Tissue Data'!$D:$D)</f>
        <v>44393</v>
      </c>
      <c r="D5060" s="2" t="str">
        <f>_xlfn.XLOOKUP(A5060,'[1]Tissue Data'!$A:$A,'[1]Tissue Data'!$F:$F)</f>
        <v>Pumpkinseed</v>
      </c>
      <c r="E5060" t="str">
        <f>_xlfn.XLOOKUP(A5060,'[1]Tissue Data'!$A:$A,'[1]Tissue Data'!$H:$H)</f>
        <v>Lepomis</v>
      </c>
      <c r="F5060" t="str">
        <f>_xlfn.XLOOKUP(A5060,'[1]Tissue Data'!$A:$A,'[1]Tissue Data'!$I:$I)</f>
        <v>gibbosus</v>
      </c>
      <c r="G5060" t="str">
        <f>_xlfn.XLOOKUP(A5060,'[1]Tissue Data'!$A:$A,'[1]Tissue Data'!J:J)</f>
        <v>U</v>
      </c>
      <c r="H5060" t="str">
        <f>_xlfn.XLOOKUP(A5060,'[1]Tissue Data'!$A:$A,'[1]Tissue Data'!K:K)</f>
        <v>Whole Body</v>
      </c>
      <c r="I5060">
        <f>_xlfn.XLOOKUP(A5060,'[1]Tissue Data'!$A:$A,'[1]Tissue Data'!L:L)</f>
        <v>6.5</v>
      </c>
      <c r="J5060">
        <f>_xlfn.XLOOKUP(A5060,'[1]Tissue Data'!$A:$A,'[1]Tissue Data'!M:M)</f>
        <v>4.38</v>
      </c>
      <c r="K5060" t="s">
        <v>20</v>
      </c>
      <c r="L5060" t="str">
        <f>_xlfn.XLOOKUP(K5060,[2]analyte_order!$B:$B,[2]analyte_order!$C:$C)</f>
        <v>307-55-1</v>
      </c>
      <c r="M5060">
        <f>_xlfn.XLOOKUP(L5060,[2]analyte_order!$C:$C,[2]analyte_order!$E:$E)</f>
        <v>9</v>
      </c>
      <c r="N5060">
        <v>12.3</v>
      </c>
    </row>
    <row r="5061" spans="1:14">
      <c r="A5061" t="s">
        <v>281</v>
      </c>
      <c r="B5061" t="str">
        <f>_xlfn.XLOOKUP(A5061,'[1]Tissue Data'!$A:$A,'[1]Tissue Data'!$C:$C)</f>
        <v>Spill</v>
      </c>
      <c r="C5061" s="2">
        <f>_xlfn.XLOOKUP(A5061,'[1]Tissue Data'!$A:$A,'[1]Tissue Data'!$D:$D)</f>
        <v>44393</v>
      </c>
      <c r="D5061" s="2" t="str">
        <f>_xlfn.XLOOKUP(A5061,'[1]Tissue Data'!$A:$A,'[1]Tissue Data'!$F:$F)</f>
        <v>Pumpkinseed</v>
      </c>
      <c r="E5061" t="str">
        <f>_xlfn.XLOOKUP(A5061,'[1]Tissue Data'!$A:$A,'[1]Tissue Data'!$H:$H)</f>
        <v>Lepomis</v>
      </c>
      <c r="F5061" t="str">
        <f>_xlfn.XLOOKUP(A5061,'[1]Tissue Data'!$A:$A,'[1]Tissue Data'!$I:$I)</f>
        <v>gibbosus</v>
      </c>
      <c r="G5061" t="str">
        <f>_xlfn.XLOOKUP(A5061,'[1]Tissue Data'!$A:$A,'[1]Tissue Data'!J:J)</f>
        <v>U</v>
      </c>
      <c r="H5061" t="str">
        <f>_xlfn.XLOOKUP(A5061,'[1]Tissue Data'!$A:$A,'[1]Tissue Data'!K:K)</f>
        <v>Whole Body</v>
      </c>
      <c r="I5061">
        <f>_xlfn.XLOOKUP(A5061,'[1]Tissue Data'!$A:$A,'[1]Tissue Data'!L:L)</f>
        <v>6.5</v>
      </c>
      <c r="J5061">
        <f>_xlfn.XLOOKUP(A5061,'[1]Tissue Data'!$A:$A,'[1]Tissue Data'!M:M)</f>
        <v>4.38</v>
      </c>
      <c r="K5061" t="s">
        <v>21</v>
      </c>
      <c r="L5061" t="str">
        <f>_xlfn.XLOOKUP(K5061,[2]analyte_order!$B:$B,[2]analyte_order!$C:$C)</f>
        <v>72629-94-8</v>
      </c>
      <c r="M5061">
        <f>_xlfn.XLOOKUP(L5061,[2]analyte_order!$C:$C,[2]analyte_order!$E:$E)</f>
        <v>10</v>
      </c>
      <c r="N5061">
        <v>4.03</v>
      </c>
    </row>
    <row r="5062" spans="1:14">
      <c r="A5062" t="s">
        <v>281</v>
      </c>
      <c r="B5062" t="str">
        <f>_xlfn.XLOOKUP(A5062,'[1]Tissue Data'!$A:$A,'[1]Tissue Data'!$C:$C)</f>
        <v>Spill</v>
      </c>
      <c r="C5062" s="2">
        <f>_xlfn.XLOOKUP(A5062,'[1]Tissue Data'!$A:$A,'[1]Tissue Data'!$D:$D)</f>
        <v>44393</v>
      </c>
      <c r="D5062" s="2" t="str">
        <f>_xlfn.XLOOKUP(A5062,'[1]Tissue Data'!$A:$A,'[1]Tissue Data'!$F:$F)</f>
        <v>Pumpkinseed</v>
      </c>
      <c r="E5062" t="str">
        <f>_xlfn.XLOOKUP(A5062,'[1]Tissue Data'!$A:$A,'[1]Tissue Data'!$H:$H)</f>
        <v>Lepomis</v>
      </c>
      <c r="F5062" t="str">
        <f>_xlfn.XLOOKUP(A5062,'[1]Tissue Data'!$A:$A,'[1]Tissue Data'!$I:$I)</f>
        <v>gibbosus</v>
      </c>
      <c r="G5062" t="str">
        <f>_xlfn.XLOOKUP(A5062,'[1]Tissue Data'!$A:$A,'[1]Tissue Data'!J:J)</f>
        <v>U</v>
      </c>
      <c r="H5062" t="str">
        <f>_xlfn.XLOOKUP(A5062,'[1]Tissue Data'!$A:$A,'[1]Tissue Data'!K:K)</f>
        <v>Whole Body</v>
      </c>
      <c r="I5062">
        <f>_xlfn.XLOOKUP(A5062,'[1]Tissue Data'!$A:$A,'[1]Tissue Data'!L:L)</f>
        <v>6.5</v>
      </c>
      <c r="J5062">
        <f>_xlfn.XLOOKUP(A5062,'[1]Tissue Data'!$A:$A,'[1]Tissue Data'!M:M)</f>
        <v>4.38</v>
      </c>
      <c r="K5062" t="s">
        <v>22</v>
      </c>
      <c r="L5062" t="str">
        <f>_xlfn.XLOOKUP(K5062,[2]analyte_order!$B:$B,[2]analyte_order!$C:$C)</f>
        <v>376-06-7</v>
      </c>
      <c r="M5062">
        <f>_xlfn.XLOOKUP(L5062,[2]analyte_order!$C:$C,[2]analyte_order!$E:$E)</f>
        <v>11</v>
      </c>
      <c r="N5062">
        <v>13.3</v>
      </c>
    </row>
    <row r="5063" spans="1:14">
      <c r="A5063" t="s">
        <v>281</v>
      </c>
      <c r="B5063" t="str">
        <f>_xlfn.XLOOKUP(A5063,'[1]Tissue Data'!$A:$A,'[1]Tissue Data'!$C:$C)</f>
        <v>Spill</v>
      </c>
      <c r="C5063" s="2">
        <f>_xlfn.XLOOKUP(A5063,'[1]Tissue Data'!$A:$A,'[1]Tissue Data'!$D:$D)</f>
        <v>44393</v>
      </c>
      <c r="D5063" s="2" t="str">
        <f>_xlfn.XLOOKUP(A5063,'[1]Tissue Data'!$A:$A,'[1]Tissue Data'!$F:$F)</f>
        <v>Pumpkinseed</v>
      </c>
      <c r="E5063" t="str">
        <f>_xlfn.XLOOKUP(A5063,'[1]Tissue Data'!$A:$A,'[1]Tissue Data'!$H:$H)</f>
        <v>Lepomis</v>
      </c>
      <c r="F5063" t="str">
        <f>_xlfn.XLOOKUP(A5063,'[1]Tissue Data'!$A:$A,'[1]Tissue Data'!$I:$I)</f>
        <v>gibbosus</v>
      </c>
      <c r="G5063" t="str">
        <f>_xlfn.XLOOKUP(A5063,'[1]Tissue Data'!$A:$A,'[1]Tissue Data'!J:J)</f>
        <v>U</v>
      </c>
      <c r="H5063" t="str">
        <f>_xlfn.XLOOKUP(A5063,'[1]Tissue Data'!$A:$A,'[1]Tissue Data'!K:K)</f>
        <v>Whole Body</v>
      </c>
      <c r="I5063">
        <f>_xlfn.XLOOKUP(A5063,'[1]Tissue Data'!$A:$A,'[1]Tissue Data'!L:L)</f>
        <v>6.5</v>
      </c>
      <c r="J5063">
        <f>_xlfn.XLOOKUP(A5063,'[1]Tissue Data'!$A:$A,'[1]Tissue Data'!M:M)</f>
        <v>4.38</v>
      </c>
      <c r="K5063" t="s">
        <v>23</v>
      </c>
      <c r="L5063" t="str">
        <f>_xlfn.XLOOKUP(K5063,[2]analyte_order!$B:$B,[2]analyte_order!$C:$C)</f>
        <v>67905-19-5</v>
      </c>
      <c r="M5063">
        <f>_xlfn.XLOOKUP(L5063,[2]analyte_order!$C:$C,[2]analyte_order!$E:$E)</f>
        <v>12</v>
      </c>
      <c r="N5063">
        <v>7.9000000000000001E-2</v>
      </c>
    </row>
    <row r="5064" spans="1:14">
      <c r="A5064" t="s">
        <v>281</v>
      </c>
      <c r="B5064" t="str">
        <f>_xlfn.XLOOKUP(A5064,'[1]Tissue Data'!$A:$A,'[1]Tissue Data'!$C:$C)</f>
        <v>Spill</v>
      </c>
      <c r="C5064" s="2">
        <f>_xlfn.XLOOKUP(A5064,'[1]Tissue Data'!$A:$A,'[1]Tissue Data'!$D:$D)</f>
        <v>44393</v>
      </c>
      <c r="D5064" s="2" t="str">
        <f>_xlfn.XLOOKUP(A5064,'[1]Tissue Data'!$A:$A,'[1]Tissue Data'!$F:$F)</f>
        <v>Pumpkinseed</v>
      </c>
      <c r="E5064" t="str">
        <f>_xlfn.XLOOKUP(A5064,'[1]Tissue Data'!$A:$A,'[1]Tissue Data'!$H:$H)</f>
        <v>Lepomis</v>
      </c>
      <c r="F5064" t="str">
        <f>_xlfn.XLOOKUP(A5064,'[1]Tissue Data'!$A:$A,'[1]Tissue Data'!$I:$I)</f>
        <v>gibbosus</v>
      </c>
      <c r="G5064" t="str">
        <f>_xlfn.XLOOKUP(A5064,'[1]Tissue Data'!$A:$A,'[1]Tissue Data'!J:J)</f>
        <v>U</v>
      </c>
      <c r="H5064" t="str">
        <f>_xlfn.XLOOKUP(A5064,'[1]Tissue Data'!$A:$A,'[1]Tissue Data'!K:K)</f>
        <v>Whole Body</v>
      </c>
      <c r="I5064">
        <f>_xlfn.XLOOKUP(A5064,'[1]Tissue Data'!$A:$A,'[1]Tissue Data'!L:L)</f>
        <v>6.5</v>
      </c>
      <c r="J5064">
        <f>_xlfn.XLOOKUP(A5064,'[1]Tissue Data'!$A:$A,'[1]Tissue Data'!M:M)</f>
        <v>4.38</v>
      </c>
      <c r="K5064" t="s">
        <v>24</v>
      </c>
      <c r="L5064" t="str">
        <f>_xlfn.XLOOKUP(K5064,[2]analyte_order!$B:$B,[2]analyte_order!$C:$C)</f>
        <v>423-41-6</v>
      </c>
      <c r="M5064">
        <f>_xlfn.XLOOKUP(L5064,[2]analyte_order!$C:$C,[2]analyte_order!$E:$E)</f>
        <v>53</v>
      </c>
      <c r="N5064">
        <v>6.6500000000000004E-2</v>
      </c>
    </row>
    <row r="5065" spans="1:14">
      <c r="A5065" t="s">
        <v>281</v>
      </c>
      <c r="B5065" t="str">
        <f>_xlfn.XLOOKUP(A5065,'[1]Tissue Data'!$A:$A,'[1]Tissue Data'!$C:$C)</f>
        <v>Spill</v>
      </c>
      <c r="C5065" s="2">
        <f>_xlfn.XLOOKUP(A5065,'[1]Tissue Data'!$A:$A,'[1]Tissue Data'!$D:$D)</f>
        <v>44393</v>
      </c>
      <c r="D5065" s="2" t="str">
        <f>_xlfn.XLOOKUP(A5065,'[1]Tissue Data'!$A:$A,'[1]Tissue Data'!$F:$F)</f>
        <v>Pumpkinseed</v>
      </c>
      <c r="E5065" t="str">
        <f>_xlfn.XLOOKUP(A5065,'[1]Tissue Data'!$A:$A,'[1]Tissue Data'!$H:$H)</f>
        <v>Lepomis</v>
      </c>
      <c r="F5065" t="str">
        <f>_xlfn.XLOOKUP(A5065,'[1]Tissue Data'!$A:$A,'[1]Tissue Data'!$I:$I)</f>
        <v>gibbosus</v>
      </c>
      <c r="G5065" t="str">
        <f>_xlfn.XLOOKUP(A5065,'[1]Tissue Data'!$A:$A,'[1]Tissue Data'!J:J)</f>
        <v>U</v>
      </c>
      <c r="H5065" t="str">
        <f>_xlfn.XLOOKUP(A5065,'[1]Tissue Data'!$A:$A,'[1]Tissue Data'!K:K)</f>
        <v>Whole Body</v>
      </c>
      <c r="I5065">
        <f>_xlfn.XLOOKUP(A5065,'[1]Tissue Data'!$A:$A,'[1]Tissue Data'!L:L)</f>
        <v>6.5</v>
      </c>
      <c r="J5065">
        <f>_xlfn.XLOOKUP(A5065,'[1]Tissue Data'!$A:$A,'[1]Tissue Data'!M:M)</f>
        <v>4.38</v>
      </c>
      <c r="K5065" t="s">
        <v>25</v>
      </c>
      <c r="L5065" t="str">
        <f>_xlfn.XLOOKUP(K5065,[2]analyte_order!$B:$B,[2]analyte_order!$C:$C)</f>
        <v>375-73-5</v>
      </c>
      <c r="M5065">
        <f>_xlfn.XLOOKUP(L5065,[2]analyte_order!$C:$C,[2]analyte_order!$E:$E)</f>
        <v>14</v>
      </c>
      <c r="N5065">
        <v>4.5249999999999999E-2</v>
      </c>
    </row>
    <row r="5066" spans="1:14">
      <c r="A5066" t="s">
        <v>281</v>
      </c>
      <c r="B5066" t="str">
        <f>_xlfn.XLOOKUP(A5066,'[1]Tissue Data'!$A:$A,'[1]Tissue Data'!$C:$C)</f>
        <v>Spill</v>
      </c>
      <c r="C5066" s="2">
        <f>_xlfn.XLOOKUP(A5066,'[1]Tissue Data'!$A:$A,'[1]Tissue Data'!$D:$D)</f>
        <v>44393</v>
      </c>
      <c r="D5066" s="2" t="str">
        <f>_xlfn.XLOOKUP(A5066,'[1]Tissue Data'!$A:$A,'[1]Tissue Data'!$F:$F)</f>
        <v>Pumpkinseed</v>
      </c>
      <c r="E5066" t="str">
        <f>_xlfn.XLOOKUP(A5066,'[1]Tissue Data'!$A:$A,'[1]Tissue Data'!$H:$H)</f>
        <v>Lepomis</v>
      </c>
      <c r="F5066" t="str">
        <f>_xlfn.XLOOKUP(A5066,'[1]Tissue Data'!$A:$A,'[1]Tissue Data'!$I:$I)</f>
        <v>gibbosus</v>
      </c>
      <c r="G5066" t="str">
        <f>_xlfn.XLOOKUP(A5066,'[1]Tissue Data'!$A:$A,'[1]Tissue Data'!J:J)</f>
        <v>U</v>
      </c>
      <c r="H5066" t="str">
        <f>_xlfn.XLOOKUP(A5066,'[1]Tissue Data'!$A:$A,'[1]Tissue Data'!K:K)</f>
        <v>Whole Body</v>
      </c>
      <c r="I5066">
        <f>_xlfn.XLOOKUP(A5066,'[1]Tissue Data'!$A:$A,'[1]Tissue Data'!L:L)</f>
        <v>6.5</v>
      </c>
      <c r="J5066">
        <f>_xlfn.XLOOKUP(A5066,'[1]Tissue Data'!$A:$A,'[1]Tissue Data'!M:M)</f>
        <v>4.38</v>
      </c>
      <c r="K5066" t="s">
        <v>26</v>
      </c>
      <c r="L5066" t="str">
        <f>_xlfn.XLOOKUP(K5066,[2]analyte_order!$B:$B,[2]analyte_order!$C:$C)</f>
        <v>2706-91-4</v>
      </c>
      <c r="M5066">
        <f>_xlfn.XLOOKUP(L5066,[2]analyte_order!$C:$C,[2]analyte_order!$E:$E)</f>
        <v>15</v>
      </c>
      <c r="N5066">
        <v>0.2195</v>
      </c>
    </row>
    <row r="5067" spans="1:14">
      <c r="A5067" t="s">
        <v>281</v>
      </c>
      <c r="B5067" t="str">
        <f>_xlfn.XLOOKUP(A5067,'[1]Tissue Data'!$A:$A,'[1]Tissue Data'!$C:$C)</f>
        <v>Spill</v>
      </c>
      <c r="C5067" s="2">
        <f>_xlfn.XLOOKUP(A5067,'[1]Tissue Data'!$A:$A,'[1]Tissue Data'!$D:$D)</f>
        <v>44393</v>
      </c>
      <c r="D5067" s="2" t="str">
        <f>_xlfn.XLOOKUP(A5067,'[1]Tissue Data'!$A:$A,'[1]Tissue Data'!$F:$F)</f>
        <v>Pumpkinseed</v>
      </c>
      <c r="E5067" t="str">
        <f>_xlfn.XLOOKUP(A5067,'[1]Tissue Data'!$A:$A,'[1]Tissue Data'!$H:$H)</f>
        <v>Lepomis</v>
      </c>
      <c r="F5067" t="str">
        <f>_xlfn.XLOOKUP(A5067,'[1]Tissue Data'!$A:$A,'[1]Tissue Data'!$I:$I)</f>
        <v>gibbosus</v>
      </c>
      <c r="G5067" t="str">
        <f>_xlfn.XLOOKUP(A5067,'[1]Tissue Data'!$A:$A,'[1]Tissue Data'!J:J)</f>
        <v>U</v>
      </c>
      <c r="H5067" t="str">
        <f>_xlfn.XLOOKUP(A5067,'[1]Tissue Data'!$A:$A,'[1]Tissue Data'!K:K)</f>
        <v>Whole Body</v>
      </c>
      <c r="I5067">
        <f>_xlfn.XLOOKUP(A5067,'[1]Tissue Data'!$A:$A,'[1]Tissue Data'!L:L)</f>
        <v>6.5</v>
      </c>
      <c r="J5067">
        <f>_xlfn.XLOOKUP(A5067,'[1]Tissue Data'!$A:$A,'[1]Tissue Data'!M:M)</f>
        <v>4.38</v>
      </c>
      <c r="K5067" t="s">
        <v>27</v>
      </c>
      <c r="L5067" t="str">
        <f>_xlfn.XLOOKUP(K5067,[2]analyte_order!$B:$B,[2]analyte_order!$C:$C)</f>
        <v>355-46-4</v>
      </c>
      <c r="M5067">
        <f>_xlfn.XLOOKUP(L5067,[2]analyte_order!$C:$C,[2]analyte_order!$E:$E)</f>
        <v>16</v>
      </c>
      <c r="N5067">
        <v>11</v>
      </c>
    </row>
    <row r="5068" spans="1:14">
      <c r="A5068" t="s">
        <v>281</v>
      </c>
      <c r="B5068" t="str">
        <f>_xlfn.XLOOKUP(A5068,'[1]Tissue Data'!$A:$A,'[1]Tissue Data'!$C:$C)</f>
        <v>Spill</v>
      </c>
      <c r="C5068" s="2">
        <f>_xlfn.XLOOKUP(A5068,'[1]Tissue Data'!$A:$A,'[1]Tissue Data'!$D:$D)</f>
        <v>44393</v>
      </c>
      <c r="D5068" s="2" t="str">
        <f>_xlfn.XLOOKUP(A5068,'[1]Tissue Data'!$A:$A,'[1]Tissue Data'!$F:$F)</f>
        <v>Pumpkinseed</v>
      </c>
      <c r="E5068" t="str">
        <f>_xlfn.XLOOKUP(A5068,'[1]Tissue Data'!$A:$A,'[1]Tissue Data'!$H:$H)</f>
        <v>Lepomis</v>
      </c>
      <c r="F5068" t="str">
        <f>_xlfn.XLOOKUP(A5068,'[1]Tissue Data'!$A:$A,'[1]Tissue Data'!$I:$I)</f>
        <v>gibbosus</v>
      </c>
      <c r="G5068" t="str">
        <f>_xlfn.XLOOKUP(A5068,'[1]Tissue Data'!$A:$A,'[1]Tissue Data'!J:J)</f>
        <v>U</v>
      </c>
      <c r="H5068" t="str">
        <f>_xlfn.XLOOKUP(A5068,'[1]Tissue Data'!$A:$A,'[1]Tissue Data'!K:K)</f>
        <v>Whole Body</v>
      </c>
      <c r="I5068">
        <f>_xlfn.XLOOKUP(A5068,'[1]Tissue Data'!$A:$A,'[1]Tissue Data'!L:L)</f>
        <v>6.5</v>
      </c>
      <c r="J5068">
        <f>_xlfn.XLOOKUP(A5068,'[1]Tissue Data'!$A:$A,'[1]Tissue Data'!M:M)</f>
        <v>4.38</v>
      </c>
      <c r="K5068" t="s">
        <v>28</v>
      </c>
      <c r="L5068" t="str">
        <f>_xlfn.XLOOKUP(K5068,[2]analyte_order!$B:$B,[2]analyte_order!$C:$C)</f>
        <v>375-92-8</v>
      </c>
      <c r="M5068">
        <f>_xlfn.XLOOKUP(L5068,[2]analyte_order!$C:$C,[2]analyte_order!$E:$E)</f>
        <v>17</v>
      </c>
      <c r="N5068">
        <v>3.45</v>
      </c>
    </row>
    <row r="5069" spans="1:14">
      <c r="A5069" t="s">
        <v>281</v>
      </c>
      <c r="B5069" t="str">
        <f>_xlfn.XLOOKUP(A5069,'[1]Tissue Data'!$A:$A,'[1]Tissue Data'!$C:$C)</f>
        <v>Spill</v>
      </c>
      <c r="C5069" s="2">
        <f>_xlfn.XLOOKUP(A5069,'[1]Tissue Data'!$A:$A,'[1]Tissue Data'!$D:$D)</f>
        <v>44393</v>
      </c>
      <c r="D5069" s="2" t="str">
        <f>_xlfn.XLOOKUP(A5069,'[1]Tissue Data'!$A:$A,'[1]Tissue Data'!$F:$F)</f>
        <v>Pumpkinseed</v>
      </c>
      <c r="E5069" t="str">
        <f>_xlfn.XLOOKUP(A5069,'[1]Tissue Data'!$A:$A,'[1]Tissue Data'!$H:$H)</f>
        <v>Lepomis</v>
      </c>
      <c r="F5069" t="str">
        <f>_xlfn.XLOOKUP(A5069,'[1]Tissue Data'!$A:$A,'[1]Tissue Data'!$I:$I)</f>
        <v>gibbosus</v>
      </c>
      <c r="G5069" t="str">
        <f>_xlfn.XLOOKUP(A5069,'[1]Tissue Data'!$A:$A,'[1]Tissue Data'!J:J)</f>
        <v>U</v>
      </c>
      <c r="H5069" t="str">
        <f>_xlfn.XLOOKUP(A5069,'[1]Tissue Data'!$A:$A,'[1]Tissue Data'!K:K)</f>
        <v>Whole Body</v>
      </c>
      <c r="I5069">
        <f>_xlfn.XLOOKUP(A5069,'[1]Tissue Data'!$A:$A,'[1]Tissue Data'!L:L)</f>
        <v>6.5</v>
      </c>
      <c r="J5069">
        <f>_xlfn.XLOOKUP(A5069,'[1]Tissue Data'!$A:$A,'[1]Tissue Data'!M:M)</f>
        <v>4.38</v>
      </c>
      <c r="K5069" t="s">
        <v>29</v>
      </c>
      <c r="L5069" t="str">
        <f>_xlfn.XLOOKUP(K5069,[2]analyte_order!$B:$B,[2]analyte_order!$C:$C)</f>
        <v>1763-23-1</v>
      </c>
      <c r="M5069">
        <f>_xlfn.XLOOKUP(L5069,[2]analyte_order!$C:$C,[2]analyte_order!$E:$E)</f>
        <v>18</v>
      </c>
      <c r="N5069">
        <v>776</v>
      </c>
    </row>
    <row r="5070" spans="1:14">
      <c r="A5070" t="s">
        <v>281</v>
      </c>
      <c r="B5070" t="str">
        <f>_xlfn.XLOOKUP(A5070,'[1]Tissue Data'!$A:$A,'[1]Tissue Data'!$C:$C)</f>
        <v>Spill</v>
      </c>
      <c r="C5070" s="2">
        <f>_xlfn.XLOOKUP(A5070,'[1]Tissue Data'!$A:$A,'[1]Tissue Data'!$D:$D)</f>
        <v>44393</v>
      </c>
      <c r="D5070" s="2" t="str">
        <f>_xlfn.XLOOKUP(A5070,'[1]Tissue Data'!$A:$A,'[1]Tissue Data'!$F:$F)</f>
        <v>Pumpkinseed</v>
      </c>
      <c r="E5070" t="str">
        <f>_xlfn.XLOOKUP(A5070,'[1]Tissue Data'!$A:$A,'[1]Tissue Data'!$H:$H)</f>
        <v>Lepomis</v>
      </c>
      <c r="F5070" t="str">
        <f>_xlfn.XLOOKUP(A5070,'[1]Tissue Data'!$A:$A,'[1]Tissue Data'!$I:$I)</f>
        <v>gibbosus</v>
      </c>
      <c r="G5070" t="str">
        <f>_xlfn.XLOOKUP(A5070,'[1]Tissue Data'!$A:$A,'[1]Tissue Data'!J:J)</f>
        <v>U</v>
      </c>
      <c r="H5070" t="str">
        <f>_xlfn.XLOOKUP(A5070,'[1]Tissue Data'!$A:$A,'[1]Tissue Data'!K:K)</f>
        <v>Whole Body</v>
      </c>
      <c r="I5070">
        <f>_xlfn.XLOOKUP(A5070,'[1]Tissue Data'!$A:$A,'[1]Tissue Data'!L:L)</f>
        <v>6.5</v>
      </c>
      <c r="J5070">
        <f>_xlfn.XLOOKUP(A5070,'[1]Tissue Data'!$A:$A,'[1]Tissue Data'!M:M)</f>
        <v>4.38</v>
      </c>
      <c r="K5070" t="s">
        <v>30</v>
      </c>
      <c r="L5070" t="str">
        <f>_xlfn.XLOOKUP(K5070,[2]analyte_order!$B:$B,[2]analyte_order!$C:$C)</f>
        <v>68259-12-1</v>
      </c>
      <c r="M5070">
        <f>_xlfn.XLOOKUP(L5070,[2]analyte_order!$C:$C,[2]analyte_order!$E:$E)</f>
        <v>19</v>
      </c>
      <c r="N5070">
        <v>5.43</v>
      </c>
    </row>
    <row r="5071" spans="1:14">
      <c r="A5071" t="s">
        <v>281</v>
      </c>
      <c r="B5071" t="str">
        <f>_xlfn.XLOOKUP(A5071,'[1]Tissue Data'!$A:$A,'[1]Tissue Data'!$C:$C)</f>
        <v>Spill</v>
      </c>
      <c r="C5071" s="2">
        <f>_xlfn.XLOOKUP(A5071,'[1]Tissue Data'!$A:$A,'[1]Tissue Data'!$D:$D)</f>
        <v>44393</v>
      </c>
      <c r="D5071" s="2" t="str">
        <f>_xlfn.XLOOKUP(A5071,'[1]Tissue Data'!$A:$A,'[1]Tissue Data'!$F:$F)</f>
        <v>Pumpkinseed</v>
      </c>
      <c r="E5071" t="str">
        <f>_xlfn.XLOOKUP(A5071,'[1]Tissue Data'!$A:$A,'[1]Tissue Data'!$H:$H)</f>
        <v>Lepomis</v>
      </c>
      <c r="F5071" t="str">
        <f>_xlfn.XLOOKUP(A5071,'[1]Tissue Data'!$A:$A,'[1]Tissue Data'!$I:$I)</f>
        <v>gibbosus</v>
      </c>
      <c r="G5071" t="str">
        <f>_xlfn.XLOOKUP(A5071,'[1]Tissue Data'!$A:$A,'[1]Tissue Data'!J:J)</f>
        <v>U</v>
      </c>
      <c r="H5071" t="str">
        <f>_xlfn.XLOOKUP(A5071,'[1]Tissue Data'!$A:$A,'[1]Tissue Data'!K:K)</f>
        <v>Whole Body</v>
      </c>
      <c r="I5071">
        <f>_xlfn.XLOOKUP(A5071,'[1]Tissue Data'!$A:$A,'[1]Tissue Data'!L:L)</f>
        <v>6.5</v>
      </c>
      <c r="J5071">
        <f>_xlfn.XLOOKUP(A5071,'[1]Tissue Data'!$A:$A,'[1]Tissue Data'!M:M)</f>
        <v>4.38</v>
      </c>
      <c r="K5071" t="s">
        <v>31</v>
      </c>
      <c r="L5071" t="str">
        <f>_xlfn.XLOOKUP(K5071,[2]analyte_order!$B:$B,[2]analyte_order!$C:$C)</f>
        <v>335-77-3</v>
      </c>
      <c r="M5071">
        <f>_xlfn.XLOOKUP(L5071,[2]analyte_order!$C:$C,[2]analyte_order!$E:$E)</f>
        <v>20</v>
      </c>
      <c r="N5071">
        <v>6.07</v>
      </c>
    </row>
    <row r="5072" spans="1:14">
      <c r="A5072" t="s">
        <v>281</v>
      </c>
      <c r="B5072" t="str">
        <f>_xlfn.XLOOKUP(A5072,'[1]Tissue Data'!$A:$A,'[1]Tissue Data'!$C:$C)</f>
        <v>Spill</v>
      </c>
      <c r="C5072" s="2">
        <f>_xlfn.XLOOKUP(A5072,'[1]Tissue Data'!$A:$A,'[1]Tissue Data'!$D:$D)</f>
        <v>44393</v>
      </c>
      <c r="D5072" s="2" t="str">
        <f>_xlfn.XLOOKUP(A5072,'[1]Tissue Data'!$A:$A,'[1]Tissue Data'!$F:$F)</f>
        <v>Pumpkinseed</v>
      </c>
      <c r="E5072" t="str">
        <f>_xlfn.XLOOKUP(A5072,'[1]Tissue Data'!$A:$A,'[1]Tissue Data'!$H:$H)</f>
        <v>Lepomis</v>
      </c>
      <c r="F5072" t="str">
        <f>_xlfn.XLOOKUP(A5072,'[1]Tissue Data'!$A:$A,'[1]Tissue Data'!$I:$I)</f>
        <v>gibbosus</v>
      </c>
      <c r="G5072" t="str">
        <f>_xlfn.XLOOKUP(A5072,'[1]Tissue Data'!$A:$A,'[1]Tissue Data'!J:J)</f>
        <v>U</v>
      </c>
      <c r="H5072" t="str">
        <f>_xlfn.XLOOKUP(A5072,'[1]Tissue Data'!$A:$A,'[1]Tissue Data'!K:K)</f>
        <v>Whole Body</v>
      </c>
      <c r="I5072">
        <f>_xlfn.XLOOKUP(A5072,'[1]Tissue Data'!$A:$A,'[1]Tissue Data'!L:L)</f>
        <v>6.5</v>
      </c>
      <c r="J5072">
        <f>_xlfn.XLOOKUP(A5072,'[1]Tissue Data'!$A:$A,'[1]Tissue Data'!M:M)</f>
        <v>4.38</v>
      </c>
      <c r="K5072" t="s">
        <v>32</v>
      </c>
      <c r="L5072" t="str">
        <f>_xlfn.XLOOKUP(K5072,[2]analyte_order!$B:$B,[2]analyte_order!$C:$C)</f>
        <v>79780-39-5</v>
      </c>
      <c r="M5072">
        <f>_xlfn.XLOOKUP(L5072,[2]analyte_order!$C:$C,[2]analyte_order!$E:$E)</f>
        <v>21</v>
      </c>
      <c r="N5072">
        <v>1.81</v>
      </c>
    </row>
    <row r="5073" spans="1:14">
      <c r="A5073" t="s">
        <v>281</v>
      </c>
      <c r="B5073" t="str">
        <f>_xlfn.XLOOKUP(A5073,'[1]Tissue Data'!$A:$A,'[1]Tissue Data'!$C:$C)</f>
        <v>Spill</v>
      </c>
      <c r="C5073" s="2">
        <f>_xlfn.XLOOKUP(A5073,'[1]Tissue Data'!$A:$A,'[1]Tissue Data'!$D:$D)</f>
        <v>44393</v>
      </c>
      <c r="D5073" s="2" t="str">
        <f>_xlfn.XLOOKUP(A5073,'[1]Tissue Data'!$A:$A,'[1]Tissue Data'!$F:$F)</f>
        <v>Pumpkinseed</v>
      </c>
      <c r="E5073" t="str">
        <f>_xlfn.XLOOKUP(A5073,'[1]Tissue Data'!$A:$A,'[1]Tissue Data'!$H:$H)</f>
        <v>Lepomis</v>
      </c>
      <c r="F5073" t="str">
        <f>_xlfn.XLOOKUP(A5073,'[1]Tissue Data'!$A:$A,'[1]Tissue Data'!$I:$I)</f>
        <v>gibbosus</v>
      </c>
      <c r="G5073" t="str">
        <f>_xlfn.XLOOKUP(A5073,'[1]Tissue Data'!$A:$A,'[1]Tissue Data'!J:J)</f>
        <v>U</v>
      </c>
      <c r="H5073" t="str">
        <f>_xlfn.XLOOKUP(A5073,'[1]Tissue Data'!$A:$A,'[1]Tissue Data'!K:K)</f>
        <v>Whole Body</v>
      </c>
      <c r="I5073">
        <f>_xlfn.XLOOKUP(A5073,'[1]Tissue Data'!$A:$A,'[1]Tissue Data'!L:L)</f>
        <v>6.5</v>
      </c>
      <c r="J5073">
        <f>_xlfn.XLOOKUP(A5073,'[1]Tissue Data'!$A:$A,'[1]Tissue Data'!M:M)</f>
        <v>4.38</v>
      </c>
      <c r="K5073" t="s">
        <v>33</v>
      </c>
      <c r="L5073" t="str">
        <f>_xlfn.XLOOKUP(K5073,[2]analyte_order!$B:$B,[2]analyte_order!$C:$C)</f>
        <v>777011-38-8</v>
      </c>
      <c r="M5073">
        <f>_xlfn.XLOOKUP(L5073,[2]analyte_order!$C:$C,[2]analyte_order!$E:$E)</f>
        <v>54</v>
      </c>
      <c r="N5073">
        <v>0.13350000000000001</v>
      </c>
    </row>
    <row r="5074" spans="1:14">
      <c r="A5074" t="s">
        <v>281</v>
      </c>
      <c r="B5074" t="str">
        <f>_xlfn.XLOOKUP(A5074,'[1]Tissue Data'!$A:$A,'[1]Tissue Data'!$C:$C)</f>
        <v>Spill</v>
      </c>
      <c r="C5074" s="2">
        <f>_xlfn.XLOOKUP(A5074,'[1]Tissue Data'!$A:$A,'[1]Tissue Data'!$D:$D)</f>
        <v>44393</v>
      </c>
      <c r="D5074" s="2" t="str">
        <f>_xlfn.XLOOKUP(A5074,'[1]Tissue Data'!$A:$A,'[1]Tissue Data'!$F:$F)</f>
        <v>Pumpkinseed</v>
      </c>
      <c r="E5074" t="str">
        <f>_xlfn.XLOOKUP(A5074,'[1]Tissue Data'!$A:$A,'[1]Tissue Data'!$H:$H)</f>
        <v>Lepomis</v>
      </c>
      <c r="F5074" t="str">
        <f>_xlfn.XLOOKUP(A5074,'[1]Tissue Data'!$A:$A,'[1]Tissue Data'!$I:$I)</f>
        <v>gibbosus</v>
      </c>
      <c r="G5074" t="str">
        <f>_xlfn.XLOOKUP(A5074,'[1]Tissue Data'!$A:$A,'[1]Tissue Data'!J:J)</f>
        <v>U</v>
      </c>
      <c r="H5074" t="str">
        <f>_xlfn.XLOOKUP(A5074,'[1]Tissue Data'!$A:$A,'[1]Tissue Data'!K:K)</f>
        <v>Whole Body</v>
      </c>
      <c r="I5074">
        <f>_xlfn.XLOOKUP(A5074,'[1]Tissue Data'!$A:$A,'[1]Tissue Data'!L:L)</f>
        <v>6.5</v>
      </c>
      <c r="J5074">
        <f>_xlfn.XLOOKUP(A5074,'[1]Tissue Data'!$A:$A,'[1]Tissue Data'!M:M)</f>
        <v>4.38</v>
      </c>
      <c r="K5074" t="s">
        <v>34</v>
      </c>
      <c r="L5074" t="str">
        <f>_xlfn.XLOOKUP(K5074,[2]analyte_order!$B:$B,[2]analyte_order!$C:$C)</f>
        <v>646-83-3</v>
      </c>
      <c r="M5074">
        <f>_xlfn.XLOOKUP(L5074,[2]analyte_order!$C:$C,[2]analyte_order!$E:$E)</f>
        <v>55</v>
      </c>
      <c r="N5074">
        <v>0.2195</v>
      </c>
    </row>
    <row r="5075" spans="1:14">
      <c r="A5075" t="s">
        <v>281</v>
      </c>
      <c r="B5075" t="str">
        <f>_xlfn.XLOOKUP(A5075,'[1]Tissue Data'!$A:$A,'[1]Tissue Data'!$C:$C)</f>
        <v>Spill</v>
      </c>
      <c r="C5075" s="2">
        <f>_xlfn.XLOOKUP(A5075,'[1]Tissue Data'!$A:$A,'[1]Tissue Data'!$D:$D)</f>
        <v>44393</v>
      </c>
      <c r="D5075" s="2" t="str">
        <f>_xlfn.XLOOKUP(A5075,'[1]Tissue Data'!$A:$A,'[1]Tissue Data'!$F:$F)</f>
        <v>Pumpkinseed</v>
      </c>
      <c r="E5075" t="str">
        <f>_xlfn.XLOOKUP(A5075,'[1]Tissue Data'!$A:$A,'[1]Tissue Data'!$H:$H)</f>
        <v>Lepomis</v>
      </c>
      <c r="F5075" t="str">
        <f>_xlfn.XLOOKUP(A5075,'[1]Tissue Data'!$A:$A,'[1]Tissue Data'!$I:$I)</f>
        <v>gibbosus</v>
      </c>
      <c r="G5075" t="str">
        <f>_xlfn.XLOOKUP(A5075,'[1]Tissue Data'!$A:$A,'[1]Tissue Data'!J:J)</f>
        <v>U</v>
      </c>
      <c r="H5075" t="str">
        <f>_xlfn.XLOOKUP(A5075,'[1]Tissue Data'!$A:$A,'[1]Tissue Data'!K:K)</f>
        <v>Whole Body</v>
      </c>
      <c r="I5075">
        <f>_xlfn.XLOOKUP(A5075,'[1]Tissue Data'!$A:$A,'[1]Tissue Data'!L:L)</f>
        <v>6.5</v>
      </c>
      <c r="J5075">
        <f>_xlfn.XLOOKUP(A5075,'[1]Tissue Data'!$A:$A,'[1]Tissue Data'!M:M)</f>
        <v>4.38</v>
      </c>
      <c r="K5075" t="s">
        <v>35</v>
      </c>
      <c r="L5075" t="str">
        <f>_xlfn.XLOOKUP(K5075,[2]analyte_order!$B:$B,[2]analyte_order!$C:$C)</f>
        <v>30334-69-1</v>
      </c>
      <c r="M5075">
        <f>_xlfn.XLOOKUP(L5075,[2]analyte_order!$C:$C,[2]analyte_order!$E:$E)</f>
        <v>51</v>
      </c>
      <c r="N5075">
        <v>16.2</v>
      </c>
    </row>
    <row r="5076" spans="1:14">
      <c r="A5076" t="s">
        <v>281</v>
      </c>
      <c r="B5076" t="str">
        <f>_xlfn.XLOOKUP(A5076,'[1]Tissue Data'!$A:$A,'[1]Tissue Data'!$C:$C)</f>
        <v>Spill</v>
      </c>
      <c r="C5076" s="2">
        <f>_xlfn.XLOOKUP(A5076,'[1]Tissue Data'!$A:$A,'[1]Tissue Data'!$D:$D)</f>
        <v>44393</v>
      </c>
      <c r="D5076" s="2" t="str">
        <f>_xlfn.XLOOKUP(A5076,'[1]Tissue Data'!$A:$A,'[1]Tissue Data'!$F:$F)</f>
        <v>Pumpkinseed</v>
      </c>
      <c r="E5076" t="str">
        <f>_xlfn.XLOOKUP(A5076,'[1]Tissue Data'!$A:$A,'[1]Tissue Data'!$H:$H)</f>
        <v>Lepomis</v>
      </c>
      <c r="F5076" t="str">
        <f>_xlfn.XLOOKUP(A5076,'[1]Tissue Data'!$A:$A,'[1]Tissue Data'!$I:$I)</f>
        <v>gibbosus</v>
      </c>
      <c r="G5076" t="str">
        <f>_xlfn.XLOOKUP(A5076,'[1]Tissue Data'!$A:$A,'[1]Tissue Data'!J:J)</f>
        <v>U</v>
      </c>
      <c r="H5076" t="str">
        <f>_xlfn.XLOOKUP(A5076,'[1]Tissue Data'!$A:$A,'[1]Tissue Data'!K:K)</f>
        <v>Whole Body</v>
      </c>
      <c r="I5076">
        <f>_xlfn.XLOOKUP(A5076,'[1]Tissue Data'!$A:$A,'[1]Tissue Data'!L:L)</f>
        <v>6.5</v>
      </c>
      <c r="J5076">
        <f>_xlfn.XLOOKUP(A5076,'[1]Tissue Data'!$A:$A,'[1]Tissue Data'!M:M)</f>
        <v>4.38</v>
      </c>
      <c r="K5076" t="s">
        <v>36</v>
      </c>
      <c r="L5076" t="str">
        <f>_xlfn.XLOOKUP(K5076,[2]analyte_order!$B:$B,[2]analyte_order!$C:$C)</f>
        <v>41997-13-1</v>
      </c>
      <c r="M5076">
        <f>_xlfn.XLOOKUP(L5076,[2]analyte_order!$C:$C,[2]analyte_order!$E:$E)</f>
        <v>52</v>
      </c>
      <c r="N5076">
        <v>27.2</v>
      </c>
    </row>
    <row r="5077" spans="1:14">
      <c r="A5077" t="s">
        <v>281</v>
      </c>
      <c r="B5077" t="str">
        <f>_xlfn.XLOOKUP(A5077,'[1]Tissue Data'!$A:$A,'[1]Tissue Data'!$C:$C)</f>
        <v>Spill</v>
      </c>
      <c r="C5077" s="2">
        <f>_xlfn.XLOOKUP(A5077,'[1]Tissue Data'!$A:$A,'[1]Tissue Data'!$D:$D)</f>
        <v>44393</v>
      </c>
      <c r="D5077" s="2" t="str">
        <f>_xlfn.XLOOKUP(A5077,'[1]Tissue Data'!$A:$A,'[1]Tissue Data'!$F:$F)</f>
        <v>Pumpkinseed</v>
      </c>
      <c r="E5077" t="str">
        <f>_xlfn.XLOOKUP(A5077,'[1]Tissue Data'!$A:$A,'[1]Tissue Data'!$H:$H)</f>
        <v>Lepomis</v>
      </c>
      <c r="F5077" t="str">
        <f>_xlfn.XLOOKUP(A5077,'[1]Tissue Data'!$A:$A,'[1]Tissue Data'!$I:$I)</f>
        <v>gibbosus</v>
      </c>
      <c r="G5077" t="str">
        <f>_xlfn.XLOOKUP(A5077,'[1]Tissue Data'!$A:$A,'[1]Tissue Data'!J:J)</f>
        <v>U</v>
      </c>
      <c r="H5077" t="str">
        <f>_xlfn.XLOOKUP(A5077,'[1]Tissue Data'!$A:$A,'[1]Tissue Data'!K:K)</f>
        <v>Whole Body</v>
      </c>
      <c r="I5077">
        <f>_xlfn.XLOOKUP(A5077,'[1]Tissue Data'!$A:$A,'[1]Tissue Data'!L:L)</f>
        <v>6.5</v>
      </c>
      <c r="J5077">
        <f>_xlfn.XLOOKUP(A5077,'[1]Tissue Data'!$A:$A,'[1]Tissue Data'!M:M)</f>
        <v>4.38</v>
      </c>
      <c r="K5077" t="s">
        <v>37</v>
      </c>
      <c r="L5077" t="str">
        <f>_xlfn.XLOOKUP(K5077,[2]analyte_order!$B:$B,[2]analyte_order!$C:$C)</f>
        <v>754-91-6</v>
      </c>
      <c r="M5077">
        <f>_xlfn.XLOOKUP(L5077,[2]analyte_order!$C:$C,[2]analyte_order!$E:$E)</f>
        <v>28</v>
      </c>
      <c r="N5077">
        <v>8.9</v>
      </c>
    </row>
    <row r="5078" spans="1:14">
      <c r="A5078" t="s">
        <v>281</v>
      </c>
      <c r="B5078" t="str">
        <f>_xlfn.XLOOKUP(A5078,'[1]Tissue Data'!$A:$A,'[1]Tissue Data'!$C:$C)</f>
        <v>Spill</v>
      </c>
      <c r="C5078" s="2">
        <f>_xlfn.XLOOKUP(A5078,'[1]Tissue Data'!$A:$A,'[1]Tissue Data'!$D:$D)</f>
        <v>44393</v>
      </c>
      <c r="D5078" s="2" t="str">
        <f>_xlfn.XLOOKUP(A5078,'[1]Tissue Data'!$A:$A,'[1]Tissue Data'!$F:$F)</f>
        <v>Pumpkinseed</v>
      </c>
      <c r="E5078" t="str">
        <f>_xlfn.XLOOKUP(A5078,'[1]Tissue Data'!$A:$A,'[1]Tissue Data'!$H:$H)</f>
        <v>Lepomis</v>
      </c>
      <c r="F5078" t="str">
        <f>_xlfn.XLOOKUP(A5078,'[1]Tissue Data'!$A:$A,'[1]Tissue Data'!$I:$I)</f>
        <v>gibbosus</v>
      </c>
      <c r="G5078" t="str">
        <f>_xlfn.XLOOKUP(A5078,'[1]Tissue Data'!$A:$A,'[1]Tissue Data'!J:J)</f>
        <v>U</v>
      </c>
      <c r="H5078" t="str">
        <f>_xlfn.XLOOKUP(A5078,'[1]Tissue Data'!$A:$A,'[1]Tissue Data'!K:K)</f>
        <v>Whole Body</v>
      </c>
      <c r="I5078">
        <f>_xlfn.XLOOKUP(A5078,'[1]Tissue Data'!$A:$A,'[1]Tissue Data'!L:L)</f>
        <v>6.5</v>
      </c>
      <c r="J5078">
        <f>_xlfn.XLOOKUP(A5078,'[1]Tissue Data'!$A:$A,'[1]Tissue Data'!M:M)</f>
        <v>4.38</v>
      </c>
      <c r="K5078" t="s">
        <v>38</v>
      </c>
      <c r="L5078" t="str">
        <f>_xlfn.XLOOKUP(K5078,[2]analyte_order!$B:$B,[2]analyte_order!$C:$C)</f>
        <v>31506-32-8</v>
      </c>
      <c r="M5078">
        <f>_xlfn.XLOOKUP(L5078,[2]analyte_order!$C:$C,[2]analyte_order!$E:$E)</f>
        <v>30</v>
      </c>
      <c r="N5078">
        <v>6.6500000000000004E-2</v>
      </c>
    </row>
    <row r="5079" spans="1:14">
      <c r="A5079" t="s">
        <v>281</v>
      </c>
      <c r="B5079" t="str">
        <f>_xlfn.XLOOKUP(A5079,'[1]Tissue Data'!$A:$A,'[1]Tissue Data'!$C:$C)</f>
        <v>Spill</v>
      </c>
      <c r="C5079" s="2">
        <f>_xlfn.XLOOKUP(A5079,'[1]Tissue Data'!$A:$A,'[1]Tissue Data'!$D:$D)</f>
        <v>44393</v>
      </c>
      <c r="D5079" s="2" t="str">
        <f>_xlfn.XLOOKUP(A5079,'[1]Tissue Data'!$A:$A,'[1]Tissue Data'!$F:$F)</f>
        <v>Pumpkinseed</v>
      </c>
      <c r="E5079" t="str">
        <f>_xlfn.XLOOKUP(A5079,'[1]Tissue Data'!$A:$A,'[1]Tissue Data'!$H:$H)</f>
        <v>Lepomis</v>
      </c>
      <c r="F5079" t="str">
        <f>_xlfn.XLOOKUP(A5079,'[1]Tissue Data'!$A:$A,'[1]Tissue Data'!$I:$I)</f>
        <v>gibbosus</v>
      </c>
      <c r="G5079" t="str">
        <f>_xlfn.XLOOKUP(A5079,'[1]Tissue Data'!$A:$A,'[1]Tissue Data'!J:J)</f>
        <v>U</v>
      </c>
      <c r="H5079" t="str">
        <f>_xlfn.XLOOKUP(A5079,'[1]Tissue Data'!$A:$A,'[1]Tissue Data'!K:K)</f>
        <v>Whole Body</v>
      </c>
      <c r="I5079">
        <f>_xlfn.XLOOKUP(A5079,'[1]Tissue Data'!$A:$A,'[1]Tissue Data'!L:L)</f>
        <v>6.5</v>
      </c>
      <c r="J5079">
        <f>_xlfn.XLOOKUP(A5079,'[1]Tissue Data'!$A:$A,'[1]Tissue Data'!M:M)</f>
        <v>4.38</v>
      </c>
      <c r="K5079" t="s">
        <v>39</v>
      </c>
      <c r="L5079" t="str">
        <f>_xlfn.XLOOKUP(K5079,[2]analyte_order!$B:$B,[2]analyte_order!$C:$C)</f>
        <v>4151-50-2</v>
      </c>
      <c r="M5079">
        <f>_xlfn.XLOOKUP(L5079,[2]analyte_order!$C:$C,[2]analyte_order!$E:$E)</f>
        <v>31</v>
      </c>
      <c r="N5079">
        <v>7.7499999999999999E-2</v>
      </c>
    </row>
    <row r="5080" spans="1:14">
      <c r="A5080" t="s">
        <v>281</v>
      </c>
      <c r="B5080" t="str">
        <f>_xlfn.XLOOKUP(A5080,'[1]Tissue Data'!$A:$A,'[1]Tissue Data'!$C:$C)</f>
        <v>Spill</v>
      </c>
      <c r="C5080" s="2">
        <f>_xlfn.XLOOKUP(A5080,'[1]Tissue Data'!$A:$A,'[1]Tissue Data'!$D:$D)</f>
        <v>44393</v>
      </c>
      <c r="D5080" s="2" t="str">
        <f>_xlfn.XLOOKUP(A5080,'[1]Tissue Data'!$A:$A,'[1]Tissue Data'!$F:$F)</f>
        <v>Pumpkinseed</v>
      </c>
      <c r="E5080" t="str">
        <f>_xlfn.XLOOKUP(A5080,'[1]Tissue Data'!$A:$A,'[1]Tissue Data'!$H:$H)</f>
        <v>Lepomis</v>
      </c>
      <c r="F5080" t="str">
        <f>_xlfn.XLOOKUP(A5080,'[1]Tissue Data'!$A:$A,'[1]Tissue Data'!$I:$I)</f>
        <v>gibbosus</v>
      </c>
      <c r="G5080" t="str">
        <f>_xlfn.XLOOKUP(A5080,'[1]Tissue Data'!$A:$A,'[1]Tissue Data'!J:J)</f>
        <v>U</v>
      </c>
      <c r="H5080" t="str">
        <f>_xlfn.XLOOKUP(A5080,'[1]Tissue Data'!$A:$A,'[1]Tissue Data'!K:K)</f>
        <v>Whole Body</v>
      </c>
      <c r="I5080">
        <f>_xlfn.XLOOKUP(A5080,'[1]Tissue Data'!$A:$A,'[1]Tissue Data'!L:L)</f>
        <v>6.5</v>
      </c>
      <c r="J5080">
        <f>_xlfn.XLOOKUP(A5080,'[1]Tissue Data'!$A:$A,'[1]Tissue Data'!M:M)</f>
        <v>4.38</v>
      </c>
      <c r="K5080" t="s">
        <v>40</v>
      </c>
      <c r="L5080" t="str">
        <f>_xlfn.XLOOKUP(K5080,[2]analyte_order!$B:$B,[2]analyte_order!$C:$C)</f>
        <v>2806-24-8</v>
      </c>
      <c r="M5080">
        <f>_xlfn.XLOOKUP(L5080,[2]analyte_order!$C:$C,[2]analyte_order!$E:$E)</f>
        <v>29</v>
      </c>
      <c r="N5080">
        <v>5.2499999999999998E-2</v>
      </c>
    </row>
    <row r="5081" spans="1:14">
      <c r="A5081" t="s">
        <v>281</v>
      </c>
      <c r="B5081" t="str">
        <f>_xlfn.XLOOKUP(A5081,'[1]Tissue Data'!$A:$A,'[1]Tissue Data'!$C:$C)</f>
        <v>Spill</v>
      </c>
      <c r="C5081" s="2">
        <f>_xlfn.XLOOKUP(A5081,'[1]Tissue Data'!$A:$A,'[1]Tissue Data'!$D:$D)</f>
        <v>44393</v>
      </c>
      <c r="D5081" s="2" t="str">
        <f>_xlfn.XLOOKUP(A5081,'[1]Tissue Data'!$A:$A,'[1]Tissue Data'!$F:$F)</f>
        <v>Pumpkinseed</v>
      </c>
      <c r="E5081" t="str">
        <f>_xlfn.XLOOKUP(A5081,'[1]Tissue Data'!$A:$A,'[1]Tissue Data'!$H:$H)</f>
        <v>Lepomis</v>
      </c>
      <c r="F5081" t="str">
        <f>_xlfn.XLOOKUP(A5081,'[1]Tissue Data'!$A:$A,'[1]Tissue Data'!$I:$I)</f>
        <v>gibbosus</v>
      </c>
      <c r="G5081" t="str">
        <f>_xlfn.XLOOKUP(A5081,'[1]Tissue Data'!$A:$A,'[1]Tissue Data'!J:J)</f>
        <v>U</v>
      </c>
      <c r="H5081" t="str">
        <f>_xlfn.XLOOKUP(A5081,'[1]Tissue Data'!$A:$A,'[1]Tissue Data'!K:K)</f>
        <v>Whole Body</v>
      </c>
      <c r="I5081">
        <f>_xlfn.XLOOKUP(A5081,'[1]Tissue Data'!$A:$A,'[1]Tissue Data'!L:L)</f>
        <v>6.5</v>
      </c>
      <c r="J5081">
        <f>_xlfn.XLOOKUP(A5081,'[1]Tissue Data'!$A:$A,'[1]Tissue Data'!M:M)</f>
        <v>4.38</v>
      </c>
      <c r="K5081" t="s">
        <v>41</v>
      </c>
      <c r="L5081" t="str">
        <f>_xlfn.XLOOKUP(K5081,[2]analyte_order!$B:$B,[2]analyte_order!$C:$C)</f>
        <v>2355-31-9</v>
      </c>
      <c r="M5081">
        <f>_xlfn.XLOOKUP(L5081,[2]analyte_order!$C:$C,[2]analyte_order!$E:$E)</f>
        <v>26</v>
      </c>
      <c r="N5081">
        <v>6.7000000000000004E-2</v>
      </c>
    </row>
    <row r="5082" spans="1:14">
      <c r="A5082" t="s">
        <v>281</v>
      </c>
      <c r="B5082" t="str">
        <f>_xlfn.XLOOKUP(A5082,'[1]Tissue Data'!$A:$A,'[1]Tissue Data'!$C:$C)</f>
        <v>Spill</v>
      </c>
      <c r="C5082" s="2">
        <f>_xlfn.XLOOKUP(A5082,'[1]Tissue Data'!$A:$A,'[1]Tissue Data'!$D:$D)</f>
        <v>44393</v>
      </c>
      <c r="D5082" s="2" t="str">
        <f>_xlfn.XLOOKUP(A5082,'[1]Tissue Data'!$A:$A,'[1]Tissue Data'!$F:$F)</f>
        <v>Pumpkinseed</v>
      </c>
      <c r="E5082" t="str">
        <f>_xlfn.XLOOKUP(A5082,'[1]Tissue Data'!$A:$A,'[1]Tissue Data'!$H:$H)</f>
        <v>Lepomis</v>
      </c>
      <c r="F5082" t="str">
        <f>_xlfn.XLOOKUP(A5082,'[1]Tissue Data'!$A:$A,'[1]Tissue Data'!$I:$I)</f>
        <v>gibbosus</v>
      </c>
      <c r="G5082" t="str">
        <f>_xlfn.XLOOKUP(A5082,'[1]Tissue Data'!$A:$A,'[1]Tissue Data'!J:J)</f>
        <v>U</v>
      </c>
      <c r="H5082" t="str">
        <f>_xlfn.XLOOKUP(A5082,'[1]Tissue Data'!$A:$A,'[1]Tissue Data'!K:K)</f>
        <v>Whole Body</v>
      </c>
      <c r="I5082">
        <f>_xlfn.XLOOKUP(A5082,'[1]Tissue Data'!$A:$A,'[1]Tissue Data'!L:L)</f>
        <v>6.5</v>
      </c>
      <c r="J5082">
        <f>_xlfn.XLOOKUP(A5082,'[1]Tissue Data'!$A:$A,'[1]Tissue Data'!M:M)</f>
        <v>4.38</v>
      </c>
      <c r="K5082" t="s">
        <v>42</v>
      </c>
      <c r="L5082" t="str">
        <f>_xlfn.XLOOKUP(K5082,[2]analyte_order!$B:$B,[2]analyte_order!$C:$C)</f>
        <v>2991-50-6</v>
      </c>
      <c r="M5082">
        <f>_xlfn.XLOOKUP(L5082,[2]analyte_order!$C:$C,[2]analyte_order!$E:$E)</f>
        <v>27</v>
      </c>
      <c r="N5082">
        <v>5.7500000000000002E-2</v>
      </c>
    </row>
    <row r="5083" spans="1:14">
      <c r="A5083" t="s">
        <v>281</v>
      </c>
      <c r="B5083" t="str">
        <f>_xlfn.XLOOKUP(A5083,'[1]Tissue Data'!$A:$A,'[1]Tissue Data'!$C:$C)</f>
        <v>Spill</v>
      </c>
      <c r="C5083" s="2">
        <f>_xlfn.XLOOKUP(A5083,'[1]Tissue Data'!$A:$A,'[1]Tissue Data'!$D:$D)</f>
        <v>44393</v>
      </c>
      <c r="D5083" s="2" t="str">
        <f>_xlfn.XLOOKUP(A5083,'[1]Tissue Data'!$A:$A,'[1]Tissue Data'!$F:$F)</f>
        <v>Pumpkinseed</v>
      </c>
      <c r="E5083" t="str">
        <f>_xlfn.XLOOKUP(A5083,'[1]Tissue Data'!$A:$A,'[1]Tissue Data'!$H:$H)</f>
        <v>Lepomis</v>
      </c>
      <c r="F5083" t="str">
        <f>_xlfn.XLOOKUP(A5083,'[1]Tissue Data'!$A:$A,'[1]Tissue Data'!$I:$I)</f>
        <v>gibbosus</v>
      </c>
      <c r="G5083" t="str">
        <f>_xlfn.XLOOKUP(A5083,'[1]Tissue Data'!$A:$A,'[1]Tissue Data'!J:J)</f>
        <v>U</v>
      </c>
      <c r="H5083" t="str">
        <f>_xlfn.XLOOKUP(A5083,'[1]Tissue Data'!$A:$A,'[1]Tissue Data'!K:K)</f>
        <v>Whole Body</v>
      </c>
      <c r="I5083">
        <f>_xlfn.XLOOKUP(A5083,'[1]Tissue Data'!$A:$A,'[1]Tissue Data'!L:L)</f>
        <v>6.5</v>
      </c>
      <c r="J5083">
        <f>_xlfn.XLOOKUP(A5083,'[1]Tissue Data'!$A:$A,'[1]Tissue Data'!M:M)</f>
        <v>4.38</v>
      </c>
      <c r="K5083" t="s">
        <v>43</v>
      </c>
      <c r="L5083" t="str">
        <f>_xlfn.XLOOKUP(K5083,[2]analyte_order!$B:$B,[2]analyte_order!$C:$C)</f>
        <v>757124-72-4</v>
      </c>
      <c r="M5083">
        <f>_xlfn.XLOOKUP(L5083,[2]analyte_order!$C:$C,[2]analyte_order!$E:$E)</f>
        <v>22</v>
      </c>
      <c r="N5083">
        <v>6.6500000000000004E-2</v>
      </c>
    </row>
    <row r="5084" spans="1:14">
      <c r="A5084" t="s">
        <v>281</v>
      </c>
      <c r="B5084" t="str">
        <f>_xlfn.XLOOKUP(A5084,'[1]Tissue Data'!$A:$A,'[1]Tissue Data'!$C:$C)</f>
        <v>Spill</v>
      </c>
      <c r="C5084" s="2">
        <f>_xlfn.XLOOKUP(A5084,'[1]Tissue Data'!$A:$A,'[1]Tissue Data'!$D:$D)</f>
        <v>44393</v>
      </c>
      <c r="D5084" s="2" t="str">
        <f>_xlfn.XLOOKUP(A5084,'[1]Tissue Data'!$A:$A,'[1]Tissue Data'!$F:$F)</f>
        <v>Pumpkinseed</v>
      </c>
      <c r="E5084" t="str">
        <f>_xlfn.XLOOKUP(A5084,'[1]Tissue Data'!$A:$A,'[1]Tissue Data'!$H:$H)</f>
        <v>Lepomis</v>
      </c>
      <c r="F5084" t="str">
        <f>_xlfn.XLOOKUP(A5084,'[1]Tissue Data'!$A:$A,'[1]Tissue Data'!$I:$I)</f>
        <v>gibbosus</v>
      </c>
      <c r="G5084" t="str">
        <f>_xlfn.XLOOKUP(A5084,'[1]Tissue Data'!$A:$A,'[1]Tissue Data'!J:J)</f>
        <v>U</v>
      </c>
      <c r="H5084" t="str">
        <f>_xlfn.XLOOKUP(A5084,'[1]Tissue Data'!$A:$A,'[1]Tissue Data'!K:K)</f>
        <v>Whole Body</v>
      </c>
      <c r="I5084">
        <f>_xlfn.XLOOKUP(A5084,'[1]Tissue Data'!$A:$A,'[1]Tissue Data'!L:L)</f>
        <v>6.5</v>
      </c>
      <c r="J5084">
        <f>_xlfn.XLOOKUP(A5084,'[1]Tissue Data'!$A:$A,'[1]Tissue Data'!M:M)</f>
        <v>4.38</v>
      </c>
      <c r="K5084" t="s">
        <v>44</v>
      </c>
      <c r="L5084" t="str">
        <f>_xlfn.XLOOKUP(K5084,[2]analyte_order!$B:$B,[2]analyte_order!$C:$C)</f>
        <v>27619-97-2</v>
      </c>
      <c r="M5084">
        <f>_xlfn.XLOOKUP(L5084,[2]analyte_order!$C:$C,[2]analyte_order!$E:$E)</f>
        <v>23</v>
      </c>
      <c r="N5084">
        <v>0.77600000000000002</v>
      </c>
    </row>
    <row r="5085" spans="1:14">
      <c r="A5085" t="s">
        <v>281</v>
      </c>
      <c r="B5085" t="str">
        <f>_xlfn.XLOOKUP(A5085,'[1]Tissue Data'!$A:$A,'[1]Tissue Data'!$C:$C)</f>
        <v>Spill</v>
      </c>
      <c r="C5085" s="2">
        <f>_xlfn.XLOOKUP(A5085,'[1]Tissue Data'!$A:$A,'[1]Tissue Data'!$D:$D)</f>
        <v>44393</v>
      </c>
      <c r="D5085" s="2" t="str">
        <f>_xlfn.XLOOKUP(A5085,'[1]Tissue Data'!$A:$A,'[1]Tissue Data'!$F:$F)</f>
        <v>Pumpkinseed</v>
      </c>
      <c r="E5085" t="str">
        <f>_xlfn.XLOOKUP(A5085,'[1]Tissue Data'!$A:$A,'[1]Tissue Data'!$H:$H)</f>
        <v>Lepomis</v>
      </c>
      <c r="F5085" t="str">
        <f>_xlfn.XLOOKUP(A5085,'[1]Tissue Data'!$A:$A,'[1]Tissue Data'!$I:$I)</f>
        <v>gibbosus</v>
      </c>
      <c r="G5085" t="str">
        <f>_xlfn.XLOOKUP(A5085,'[1]Tissue Data'!$A:$A,'[1]Tissue Data'!J:J)</f>
        <v>U</v>
      </c>
      <c r="H5085" t="str">
        <f>_xlfn.XLOOKUP(A5085,'[1]Tissue Data'!$A:$A,'[1]Tissue Data'!K:K)</f>
        <v>Whole Body</v>
      </c>
      <c r="I5085">
        <f>_xlfn.XLOOKUP(A5085,'[1]Tissue Data'!$A:$A,'[1]Tissue Data'!L:L)</f>
        <v>6.5</v>
      </c>
      <c r="J5085">
        <f>_xlfn.XLOOKUP(A5085,'[1]Tissue Data'!$A:$A,'[1]Tissue Data'!M:M)</f>
        <v>4.38</v>
      </c>
      <c r="K5085" t="s">
        <v>45</v>
      </c>
      <c r="L5085" t="str">
        <f>_xlfn.XLOOKUP(K5085,[2]analyte_order!$B:$B,[2]analyte_order!$C:$C)</f>
        <v>39108-34-4</v>
      </c>
      <c r="M5085">
        <f>_xlfn.XLOOKUP(L5085,[2]analyte_order!$C:$C,[2]analyte_order!$E:$E)</f>
        <v>24</v>
      </c>
      <c r="N5085">
        <v>3.76</v>
      </c>
    </row>
    <row r="5086" spans="1:14">
      <c r="A5086" t="s">
        <v>281</v>
      </c>
      <c r="B5086" t="str">
        <f>_xlfn.XLOOKUP(A5086,'[1]Tissue Data'!$A:$A,'[1]Tissue Data'!$C:$C)</f>
        <v>Spill</v>
      </c>
      <c r="C5086" s="2">
        <f>_xlfn.XLOOKUP(A5086,'[1]Tissue Data'!$A:$A,'[1]Tissue Data'!$D:$D)</f>
        <v>44393</v>
      </c>
      <c r="D5086" s="2" t="str">
        <f>_xlfn.XLOOKUP(A5086,'[1]Tissue Data'!$A:$A,'[1]Tissue Data'!$F:$F)</f>
        <v>Pumpkinseed</v>
      </c>
      <c r="E5086" t="str">
        <f>_xlfn.XLOOKUP(A5086,'[1]Tissue Data'!$A:$A,'[1]Tissue Data'!$H:$H)</f>
        <v>Lepomis</v>
      </c>
      <c r="F5086" t="str">
        <f>_xlfn.XLOOKUP(A5086,'[1]Tissue Data'!$A:$A,'[1]Tissue Data'!$I:$I)</f>
        <v>gibbosus</v>
      </c>
      <c r="G5086" t="str">
        <f>_xlfn.XLOOKUP(A5086,'[1]Tissue Data'!$A:$A,'[1]Tissue Data'!J:J)</f>
        <v>U</v>
      </c>
      <c r="H5086" t="str">
        <f>_xlfn.XLOOKUP(A5086,'[1]Tissue Data'!$A:$A,'[1]Tissue Data'!K:K)</f>
        <v>Whole Body</v>
      </c>
      <c r="I5086">
        <f>_xlfn.XLOOKUP(A5086,'[1]Tissue Data'!$A:$A,'[1]Tissue Data'!L:L)</f>
        <v>6.5</v>
      </c>
      <c r="J5086">
        <f>_xlfn.XLOOKUP(A5086,'[1]Tissue Data'!$A:$A,'[1]Tissue Data'!M:M)</f>
        <v>4.38</v>
      </c>
      <c r="K5086" t="s">
        <v>46</v>
      </c>
      <c r="L5086" t="str">
        <f>_xlfn.XLOOKUP(K5086,[2]analyte_order!$B:$B,[2]analyte_order!$C:$C)</f>
        <v>120226-60-0</v>
      </c>
      <c r="M5086">
        <f>_xlfn.XLOOKUP(L5086,[2]analyte_order!$C:$C,[2]analyte_order!$E:$E)</f>
        <v>25</v>
      </c>
      <c r="N5086">
        <v>0.249</v>
      </c>
    </row>
    <row r="5087" spans="1:14">
      <c r="A5087" t="s">
        <v>281</v>
      </c>
      <c r="B5087" t="str">
        <f>_xlfn.XLOOKUP(A5087,'[1]Tissue Data'!$A:$A,'[1]Tissue Data'!$C:$C)</f>
        <v>Spill</v>
      </c>
      <c r="C5087" s="2">
        <f>_xlfn.XLOOKUP(A5087,'[1]Tissue Data'!$A:$A,'[1]Tissue Data'!$D:$D)</f>
        <v>44393</v>
      </c>
      <c r="D5087" s="2" t="str">
        <f>_xlfn.XLOOKUP(A5087,'[1]Tissue Data'!$A:$A,'[1]Tissue Data'!$F:$F)</f>
        <v>Pumpkinseed</v>
      </c>
      <c r="E5087" t="str">
        <f>_xlfn.XLOOKUP(A5087,'[1]Tissue Data'!$A:$A,'[1]Tissue Data'!$H:$H)</f>
        <v>Lepomis</v>
      </c>
      <c r="F5087" t="str">
        <f>_xlfn.XLOOKUP(A5087,'[1]Tissue Data'!$A:$A,'[1]Tissue Data'!$I:$I)</f>
        <v>gibbosus</v>
      </c>
      <c r="G5087" t="str">
        <f>_xlfn.XLOOKUP(A5087,'[1]Tissue Data'!$A:$A,'[1]Tissue Data'!J:J)</f>
        <v>U</v>
      </c>
      <c r="H5087" t="str">
        <f>_xlfn.XLOOKUP(A5087,'[1]Tissue Data'!$A:$A,'[1]Tissue Data'!K:K)</f>
        <v>Whole Body</v>
      </c>
      <c r="I5087">
        <f>_xlfn.XLOOKUP(A5087,'[1]Tissue Data'!$A:$A,'[1]Tissue Data'!L:L)</f>
        <v>6.5</v>
      </c>
      <c r="J5087">
        <f>_xlfn.XLOOKUP(A5087,'[1]Tissue Data'!$A:$A,'[1]Tissue Data'!M:M)</f>
        <v>4.38</v>
      </c>
      <c r="K5087" t="s">
        <v>47</v>
      </c>
      <c r="L5087" t="str">
        <f>_xlfn.XLOOKUP(K5087,[2]analyte_order!$B:$B,[2]analyte_order!$C:$C)</f>
        <v>356-02-5</v>
      </c>
      <c r="M5087">
        <f>_xlfn.XLOOKUP(L5087,[2]analyte_order!$C:$C,[2]analyte_order!$E:$E)</f>
        <v>38</v>
      </c>
      <c r="N5087">
        <v>7.6499999999999999E-2</v>
      </c>
    </row>
    <row r="5088" spans="1:14">
      <c r="A5088" t="s">
        <v>281</v>
      </c>
      <c r="B5088" t="str">
        <f>_xlfn.XLOOKUP(A5088,'[1]Tissue Data'!$A:$A,'[1]Tissue Data'!$C:$C)</f>
        <v>Spill</v>
      </c>
      <c r="C5088" s="2">
        <f>_xlfn.XLOOKUP(A5088,'[1]Tissue Data'!$A:$A,'[1]Tissue Data'!$D:$D)</f>
        <v>44393</v>
      </c>
      <c r="D5088" s="2" t="str">
        <f>_xlfn.XLOOKUP(A5088,'[1]Tissue Data'!$A:$A,'[1]Tissue Data'!$F:$F)</f>
        <v>Pumpkinseed</v>
      </c>
      <c r="E5088" t="str">
        <f>_xlfn.XLOOKUP(A5088,'[1]Tissue Data'!$A:$A,'[1]Tissue Data'!$H:$H)</f>
        <v>Lepomis</v>
      </c>
      <c r="F5088" t="str">
        <f>_xlfn.XLOOKUP(A5088,'[1]Tissue Data'!$A:$A,'[1]Tissue Data'!$I:$I)</f>
        <v>gibbosus</v>
      </c>
      <c r="G5088" t="str">
        <f>_xlfn.XLOOKUP(A5088,'[1]Tissue Data'!$A:$A,'[1]Tissue Data'!J:J)</f>
        <v>U</v>
      </c>
      <c r="H5088" t="str">
        <f>_xlfn.XLOOKUP(A5088,'[1]Tissue Data'!$A:$A,'[1]Tissue Data'!K:K)</f>
        <v>Whole Body</v>
      </c>
      <c r="I5088">
        <f>_xlfn.XLOOKUP(A5088,'[1]Tissue Data'!$A:$A,'[1]Tissue Data'!L:L)</f>
        <v>6.5</v>
      </c>
      <c r="J5088">
        <f>_xlfn.XLOOKUP(A5088,'[1]Tissue Data'!$A:$A,'[1]Tissue Data'!M:M)</f>
        <v>4.38</v>
      </c>
      <c r="K5088" t="s">
        <v>48</v>
      </c>
      <c r="L5088" t="str">
        <f>_xlfn.XLOOKUP(K5088,[2]analyte_order!$B:$B,[2]analyte_order!$C:$C)</f>
        <v>914637-49-3</v>
      </c>
      <c r="M5088">
        <f>_xlfn.XLOOKUP(L5088,[2]analyte_order!$C:$C,[2]analyte_order!$E:$E)</f>
        <v>39</v>
      </c>
      <c r="N5088">
        <v>0.52600000000000002</v>
      </c>
    </row>
    <row r="5089" spans="1:14">
      <c r="A5089" t="s">
        <v>281</v>
      </c>
      <c r="B5089" t="str">
        <f>_xlfn.XLOOKUP(A5089,'[1]Tissue Data'!$A:$A,'[1]Tissue Data'!$C:$C)</f>
        <v>Spill</v>
      </c>
      <c r="C5089" s="2">
        <f>_xlfn.XLOOKUP(A5089,'[1]Tissue Data'!$A:$A,'[1]Tissue Data'!$D:$D)</f>
        <v>44393</v>
      </c>
      <c r="D5089" s="2" t="str">
        <f>_xlfn.XLOOKUP(A5089,'[1]Tissue Data'!$A:$A,'[1]Tissue Data'!$F:$F)</f>
        <v>Pumpkinseed</v>
      </c>
      <c r="E5089" t="str">
        <f>_xlfn.XLOOKUP(A5089,'[1]Tissue Data'!$A:$A,'[1]Tissue Data'!$H:$H)</f>
        <v>Lepomis</v>
      </c>
      <c r="F5089" t="str">
        <f>_xlfn.XLOOKUP(A5089,'[1]Tissue Data'!$A:$A,'[1]Tissue Data'!$I:$I)</f>
        <v>gibbosus</v>
      </c>
      <c r="G5089" t="str">
        <f>_xlfn.XLOOKUP(A5089,'[1]Tissue Data'!$A:$A,'[1]Tissue Data'!J:J)</f>
        <v>U</v>
      </c>
      <c r="H5089" t="str">
        <f>_xlfn.XLOOKUP(A5089,'[1]Tissue Data'!$A:$A,'[1]Tissue Data'!K:K)</f>
        <v>Whole Body</v>
      </c>
      <c r="I5089">
        <f>_xlfn.XLOOKUP(A5089,'[1]Tissue Data'!$A:$A,'[1]Tissue Data'!L:L)</f>
        <v>6.5</v>
      </c>
      <c r="J5089">
        <f>_xlfn.XLOOKUP(A5089,'[1]Tissue Data'!$A:$A,'[1]Tissue Data'!M:M)</f>
        <v>4.38</v>
      </c>
      <c r="K5089" t="s">
        <v>49</v>
      </c>
      <c r="L5089" t="str">
        <f>_xlfn.XLOOKUP(K5089,[2]analyte_order!$B:$B,[2]analyte_order!$C:$C)</f>
        <v>812-70-4</v>
      </c>
      <c r="M5089">
        <f>_xlfn.XLOOKUP(L5089,[2]analyte_order!$C:$C,[2]analyte_order!$E:$E)</f>
        <v>40</v>
      </c>
      <c r="N5089">
        <v>74.599999999999994</v>
      </c>
    </row>
    <row r="5090" spans="1:14">
      <c r="A5090" t="s">
        <v>281</v>
      </c>
      <c r="B5090" t="str">
        <f>_xlfn.XLOOKUP(A5090,'[1]Tissue Data'!$A:$A,'[1]Tissue Data'!$C:$C)</f>
        <v>Spill</v>
      </c>
      <c r="C5090" s="2">
        <f>_xlfn.XLOOKUP(A5090,'[1]Tissue Data'!$A:$A,'[1]Tissue Data'!$D:$D)</f>
        <v>44393</v>
      </c>
      <c r="D5090" s="2" t="str">
        <f>_xlfn.XLOOKUP(A5090,'[1]Tissue Data'!$A:$A,'[1]Tissue Data'!$F:$F)</f>
        <v>Pumpkinseed</v>
      </c>
      <c r="E5090" t="str">
        <f>_xlfn.XLOOKUP(A5090,'[1]Tissue Data'!$A:$A,'[1]Tissue Data'!$H:$H)</f>
        <v>Lepomis</v>
      </c>
      <c r="F5090" t="str">
        <f>_xlfn.XLOOKUP(A5090,'[1]Tissue Data'!$A:$A,'[1]Tissue Data'!$I:$I)</f>
        <v>gibbosus</v>
      </c>
      <c r="G5090" t="str">
        <f>_xlfn.XLOOKUP(A5090,'[1]Tissue Data'!$A:$A,'[1]Tissue Data'!J:J)</f>
        <v>U</v>
      </c>
      <c r="H5090" t="str">
        <f>_xlfn.XLOOKUP(A5090,'[1]Tissue Data'!$A:$A,'[1]Tissue Data'!K:K)</f>
        <v>Whole Body</v>
      </c>
      <c r="I5090">
        <f>_xlfn.XLOOKUP(A5090,'[1]Tissue Data'!$A:$A,'[1]Tissue Data'!L:L)</f>
        <v>6.5</v>
      </c>
      <c r="J5090">
        <f>_xlfn.XLOOKUP(A5090,'[1]Tissue Data'!$A:$A,'[1]Tissue Data'!M:M)</f>
        <v>4.38</v>
      </c>
      <c r="K5090" t="s">
        <v>50</v>
      </c>
      <c r="L5090" t="str">
        <f>_xlfn.XLOOKUP(K5090,[2]analyte_order!$B:$B,[2]analyte_order!$C:$C)</f>
        <v>53826-12-3</v>
      </c>
      <c r="M5090">
        <f>_xlfn.XLOOKUP(L5090,[2]analyte_order!$C:$C,[2]analyte_order!$E:$E)</f>
        <v>41</v>
      </c>
      <c r="N5090">
        <v>6.6500000000000004E-2</v>
      </c>
    </row>
    <row r="5091" spans="1:14">
      <c r="A5091" t="s">
        <v>281</v>
      </c>
      <c r="B5091" t="str">
        <f>_xlfn.XLOOKUP(A5091,'[1]Tissue Data'!$A:$A,'[1]Tissue Data'!$C:$C)</f>
        <v>Spill</v>
      </c>
      <c r="C5091" s="2">
        <f>_xlfn.XLOOKUP(A5091,'[1]Tissue Data'!$A:$A,'[1]Tissue Data'!$D:$D)</f>
        <v>44393</v>
      </c>
      <c r="D5091" s="2" t="str">
        <f>_xlfn.XLOOKUP(A5091,'[1]Tissue Data'!$A:$A,'[1]Tissue Data'!$F:$F)</f>
        <v>Pumpkinseed</v>
      </c>
      <c r="E5091" t="str">
        <f>_xlfn.XLOOKUP(A5091,'[1]Tissue Data'!$A:$A,'[1]Tissue Data'!$H:$H)</f>
        <v>Lepomis</v>
      </c>
      <c r="F5091" t="str">
        <f>_xlfn.XLOOKUP(A5091,'[1]Tissue Data'!$A:$A,'[1]Tissue Data'!$I:$I)</f>
        <v>gibbosus</v>
      </c>
      <c r="G5091" t="str">
        <f>_xlfn.XLOOKUP(A5091,'[1]Tissue Data'!$A:$A,'[1]Tissue Data'!J:J)</f>
        <v>U</v>
      </c>
      <c r="H5091" t="str">
        <f>_xlfn.XLOOKUP(A5091,'[1]Tissue Data'!$A:$A,'[1]Tissue Data'!K:K)</f>
        <v>Whole Body</v>
      </c>
      <c r="I5091">
        <f>_xlfn.XLOOKUP(A5091,'[1]Tissue Data'!$A:$A,'[1]Tissue Data'!L:L)</f>
        <v>6.5</v>
      </c>
      <c r="J5091">
        <f>_xlfn.XLOOKUP(A5091,'[1]Tissue Data'!$A:$A,'[1]Tissue Data'!M:M)</f>
        <v>4.38</v>
      </c>
      <c r="K5091" t="s">
        <v>51</v>
      </c>
      <c r="L5091" t="str">
        <f>_xlfn.XLOOKUP(K5091,[2]analyte_order!$B:$B,[2]analyte_order!$C:$C)</f>
        <v>27854-31-5</v>
      </c>
      <c r="M5091">
        <f>_xlfn.XLOOKUP(L5091,[2]analyte_order!$C:$C,[2]analyte_order!$E:$E)</f>
        <v>42</v>
      </c>
      <c r="N5091">
        <v>6.6500000000000004E-2</v>
      </c>
    </row>
    <row r="5092" spans="1:14">
      <c r="A5092" t="s">
        <v>281</v>
      </c>
      <c r="B5092" t="str">
        <f>_xlfn.XLOOKUP(A5092,'[1]Tissue Data'!$A:$A,'[1]Tissue Data'!$C:$C)</f>
        <v>Spill</v>
      </c>
      <c r="C5092" s="2">
        <f>_xlfn.XLOOKUP(A5092,'[1]Tissue Data'!$A:$A,'[1]Tissue Data'!$D:$D)</f>
        <v>44393</v>
      </c>
      <c r="D5092" s="2" t="str">
        <f>_xlfn.XLOOKUP(A5092,'[1]Tissue Data'!$A:$A,'[1]Tissue Data'!$F:$F)</f>
        <v>Pumpkinseed</v>
      </c>
      <c r="E5092" t="str">
        <f>_xlfn.XLOOKUP(A5092,'[1]Tissue Data'!$A:$A,'[1]Tissue Data'!$H:$H)</f>
        <v>Lepomis</v>
      </c>
      <c r="F5092" t="str">
        <f>_xlfn.XLOOKUP(A5092,'[1]Tissue Data'!$A:$A,'[1]Tissue Data'!$I:$I)</f>
        <v>gibbosus</v>
      </c>
      <c r="G5092" t="str">
        <f>_xlfn.XLOOKUP(A5092,'[1]Tissue Data'!$A:$A,'[1]Tissue Data'!J:J)</f>
        <v>U</v>
      </c>
      <c r="H5092" t="str">
        <f>_xlfn.XLOOKUP(A5092,'[1]Tissue Data'!$A:$A,'[1]Tissue Data'!K:K)</f>
        <v>Whole Body</v>
      </c>
      <c r="I5092">
        <f>_xlfn.XLOOKUP(A5092,'[1]Tissue Data'!$A:$A,'[1]Tissue Data'!L:L)</f>
        <v>6.5</v>
      </c>
      <c r="J5092">
        <f>_xlfn.XLOOKUP(A5092,'[1]Tissue Data'!$A:$A,'[1]Tissue Data'!M:M)</f>
        <v>4.38</v>
      </c>
      <c r="K5092" t="s">
        <v>52</v>
      </c>
      <c r="L5092" t="str">
        <f>_xlfn.XLOOKUP(K5092,[2]analyte_order!$B:$B,[2]analyte_order!$C:$C)</f>
        <v>53826-13-4</v>
      </c>
      <c r="M5092">
        <f>_xlfn.XLOOKUP(L5092,[2]analyte_order!$C:$C,[2]analyte_order!$E:$E)</f>
        <v>43</v>
      </c>
      <c r="N5092">
        <v>9.9000000000000005E-2</v>
      </c>
    </row>
    <row r="5093" spans="1:14">
      <c r="A5093" t="s">
        <v>281</v>
      </c>
      <c r="B5093" t="str">
        <f>_xlfn.XLOOKUP(A5093,'[1]Tissue Data'!$A:$A,'[1]Tissue Data'!$C:$C)</f>
        <v>Spill</v>
      </c>
      <c r="C5093" s="2">
        <f>_xlfn.XLOOKUP(A5093,'[1]Tissue Data'!$A:$A,'[1]Tissue Data'!$D:$D)</f>
        <v>44393</v>
      </c>
      <c r="D5093" s="2" t="str">
        <f>_xlfn.XLOOKUP(A5093,'[1]Tissue Data'!$A:$A,'[1]Tissue Data'!$F:$F)</f>
        <v>Pumpkinseed</v>
      </c>
      <c r="E5093" t="str">
        <f>_xlfn.XLOOKUP(A5093,'[1]Tissue Data'!$A:$A,'[1]Tissue Data'!$H:$H)</f>
        <v>Lepomis</v>
      </c>
      <c r="F5093" t="str">
        <f>_xlfn.XLOOKUP(A5093,'[1]Tissue Data'!$A:$A,'[1]Tissue Data'!$I:$I)</f>
        <v>gibbosus</v>
      </c>
      <c r="G5093" t="str">
        <f>_xlfn.XLOOKUP(A5093,'[1]Tissue Data'!$A:$A,'[1]Tissue Data'!J:J)</f>
        <v>U</v>
      </c>
      <c r="H5093" t="str">
        <f>_xlfn.XLOOKUP(A5093,'[1]Tissue Data'!$A:$A,'[1]Tissue Data'!K:K)</f>
        <v>Whole Body</v>
      </c>
      <c r="I5093">
        <f>_xlfn.XLOOKUP(A5093,'[1]Tissue Data'!$A:$A,'[1]Tissue Data'!L:L)</f>
        <v>6.5</v>
      </c>
      <c r="J5093">
        <f>_xlfn.XLOOKUP(A5093,'[1]Tissue Data'!$A:$A,'[1]Tissue Data'!M:M)</f>
        <v>4.38</v>
      </c>
      <c r="K5093" t="s">
        <v>53</v>
      </c>
      <c r="L5093" t="str">
        <f>_xlfn.XLOOKUP(K5093,[2]analyte_order!$B:$B,[2]analyte_order!$C:$C)</f>
        <v>161094-75-3</v>
      </c>
      <c r="M5093">
        <f>_xlfn.XLOOKUP(L5093,[2]analyte_order!$C:$C,[2]analyte_order!$E:$E)</f>
        <v>44</v>
      </c>
      <c r="N5093">
        <v>5.1999999999999998E-2</v>
      </c>
    </row>
    <row r="5094" spans="1:14">
      <c r="A5094" t="s">
        <v>281</v>
      </c>
      <c r="B5094" t="str">
        <f>_xlfn.XLOOKUP(A5094,'[1]Tissue Data'!$A:$A,'[1]Tissue Data'!$C:$C)</f>
        <v>Spill</v>
      </c>
      <c r="C5094" s="2">
        <f>_xlfn.XLOOKUP(A5094,'[1]Tissue Data'!$A:$A,'[1]Tissue Data'!$D:$D)</f>
        <v>44393</v>
      </c>
      <c r="D5094" s="2" t="str">
        <f>_xlfn.XLOOKUP(A5094,'[1]Tissue Data'!$A:$A,'[1]Tissue Data'!$F:$F)</f>
        <v>Pumpkinseed</v>
      </c>
      <c r="E5094" t="str">
        <f>_xlfn.XLOOKUP(A5094,'[1]Tissue Data'!$A:$A,'[1]Tissue Data'!$H:$H)</f>
        <v>Lepomis</v>
      </c>
      <c r="F5094" t="str">
        <f>_xlfn.XLOOKUP(A5094,'[1]Tissue Data'!$A:$A,'[1]Tissue Data'!$I:$I)</f>
        <v>gibbosus</v>
      </c>
      <c r="G5094" t="str">
        <f>_xlfn.XLOOKUP(A5094,'[1]Tissue Data'!$A:$A,'[1]Tissue Data'!J:J)</f>
        <v>U</v>
      </c>
      <c r="H5094" t="str">
        <f>_xlfn.XLOOKUP(A5094,'[1]Tissue Data'!$A:$A,'[1]Tissue Data'!K:K)</f>
        <v>Whole Body</v>
      </c>
      <c r="I5094">
        <f>_xlfn.XLOOKUP(A5094,'[1]Tissue Data'!$A:$A,'[1]Tissue Data'!L:L)</f>
        <v>6.5</v>
      </c>
      <c r="J5094">
        <f>_xlfn.XLOOKUP(A5094,'[1]Tissue Data'!$A:$A,'[1]Tissue Data'!M:M)</f>
        <v>4.38</v>
      </c>
      <c r="K5094" t="s">
        <v>54</v>
      </c>
      <c r="L5094" t="str">
        <f>_xlfn.XLOOKUP(K5094,[2]analyte_order!$B:$B,[2]analyte_order!$C:$C)</f>
        <v>70887-84-2</v>
      </c>
      <c r="M5094">
        <f>_xlfn.XLOOKUP(L5094,[2]analyte_order!$C:$C,[2]analyte_order!$E:$E)</f>
        <v>45</v>
      </c>
      <c r="N5094">
        <v>4.0149999999999998E-2</v>
      </c>
    </row>
    <row r="5095" spans="1:14">
      <c r="A5095" t="s">
        <v>281</v>
      </c>
      <c r="B5095" t="str">
        <f>_xlfn.XLOOKUP(A5095,'[1]Tissue Data'!$A:$A,'[1]Tissue Data'!$C:$C)</f>
        <v>Spill</v>
      </c>
      <c r="C5095" s="2">
        <f>_xlfn.XLOOKUP(A5095,'[1]Tissue Data'!$A:$A,'[1]Tissue Data'!$D:$D)</f>
        <v>44393</v>
      </c>
      <c r="D5095" s="2" t="str">
        <f>_xlfn.XLOOKUP(A5095,'[1]Tissue Data'!$A:$A,'[1]Tissue Data'!$F:$F)</f>
        <v>Pumpkinseed</v>
      </c>
      <c r="E5095" t="str">
        <f>_xlfn.XLOOKUP(A5095,'[1]Tissue Data'!$A:$A,'[1]Tissue Data'!$H:$H)</f>
        <v>Lepomis</v>
      </c>
      <c r="F5095" t="str">
        <f>_xlfn.XLOOKUP(A5095,'[1]Tissue Data'!$A:$A,'[1]Tissue Data'!$I:$I)</f>
        <v>gibbosus</v>
      </c>
      <c r="G5095" t="str">
        <f>_xlfn.XLOOKUP(A5095,'[1]Tissue Data'!$A:$A,'[1]Tissue Data'!J:J)</f>
        <v>U</v>
      </c>
      <c r="H5095" t="str">
        <f>_xlfn.XLOOKUP(A5095,'[1]Tissue Data'!$A:$A,'[1]Tissue Data'!K:K)</f>
        <v>Whole Body</v>
      </c>
      <c r="I5095">
        <f>_xlfn.XLOOKUP(A5095,'[1]Tissue Data'!$A:$A,'[1]Tissue Data'!L:L)</f>
        <v>6.5</v>
      </c>
      <c r="J5095">
        <f>_xlfn.XLOOKUP(A5095,'[1]Tissue Data'!$A:$A,'[1]Tissue Data'!M:M)</f>
        <v>4.38</v>
      </c>
      <c r="K5095" t="s">
        <v>55</v>
      </c>
      <c r="L5095" t="str">
        <f>_xlfn.XLOOKUP(K5095,[2]analyte_order!$B:$B,[2]analyte_order!$C:$C)</f>
        <v>919005-14-4</v>
      </c>
      <c r="M5095">
        <f>_xlfn.XLOOKUP(L5095,[2]analyte_order!$C:$C,[2]analyte_order!$E:$E)</f>
        <v>35</v>
      </c>
      <c r="N5095">
        <v>0.19350000000000001</v>
      </c>
    </row>
    <row r="5096" spans="1:14">
      <c r="A5096" t="s">
        <v>281</v>
      </c>
      <c r="B5096" t="str">
        <f>_xlfn.XLOOKUP(A5096,'[1]Tissue Data'!$A:$A,'[1]Tissue Data'!$C:$C)</f>
        <v>Spill</v>
      </c>
      <c r="C5096" s="2">
        <f>_xlfn.XLOOKUP(A5096,'[1]Tissue Data'!$A:$A,'[1]Tissue Data'!$D:$D)</f>
        <v>44393</v>
      </c>
      <c r="D5096" s="2" t="str">
        <f>_xlfn.XLOOKUP(A5096,'[1]Tissue Data'!$A:$A,'[1]Tissue Data'!$F:$F)</f>
        <v>Pumpkinseed</v>
      </c>
      <c r="E5096" t="str">
        <f>_xlfn.XLOOKUP(A5096,'[1]Tissue Data'!$A:$A,'[1]Tissue Data'!$H:$H)</f>
        <v>Lepomis</v>
      </c>
      <c r="F5096" t="str">
        <f>_xlfn.XLOOKUP(A5096,'[1]Tissue Data'!$A:$A,'[1]Tissue Data'!$I:$I)</f>
        <v>gibbosus</v>
      </c>
      <c r="G5096" t="str">
        <f>_xlfn.XLOOKUP(A5096,'[1]Tissue Data'!$A:$A,'[1]Tissue Data'!J:J)</f>
        <v>U</v>
      </c>
      <c r="H5096" t="str">
        <f>_xlfn.XLOOKUP(A5096,'[1]Tissue Data'!$A:$A,'[1]Tissue Data'!K:K)</f>
        <v>Whole Body</v>
      </c>
      <c r="I5096">
        <f>_xlfn.XLOOKUP(A5096,'[1]Tissue Data'!$A:$A,'[1]Tissue Data'!L:L)</f>
        <v>6.5</v>
      </c>
      <c r="J5096">
        <f>_xlfn.XLOOKUP(A5096,'[1]Tissue Data'!$A:$A,'[1]Tissue Data'!M:M)</f>
        <v>4.38</v>
      </c>
      <c r="K5096" t="s">
        <v>56</v>
      </c>
      <c r="L5096" t="str">
        <f>_xlfn.XLOOKUP(K5096,[2]analyte_order!$B:$B,[2]analyte_order!$C:$C)</f>
        <v>756426-58-1</v>
      </c>
      <c r="M5096">
        <f>_xlfn.XLOOKUP(L5096,[2]analyte_order!$C:$C,[2]analyte_order!$E:$E)</f>
        <v>36</v>
      </c>
      <c r="N5096">
        <v>6.6500000000000004E-2</v>
      </c>
    </row>
    <row r="5097" spans="1:14">
      <c r="A5097" t="s">
        <v>281</v>
      </c>
      <c r="B5097" t="str">
        <f>_xlfn.XLOOKUP(A5097,'[1]Tissue Data'!$A:$A,'[1]Tissue Data'!$C:$C)</f>
        <v>Spill</v>
      </c>
      <c r="C5097" s="2">
        <f>_xlfn.XLOOKUP(A5097,'[1]Tissue Data'!$A:$A,'[1]Tissue Data'!$D:$D)</f>
        <v>44393</v>
      </c>
      <c r="D5097" s="2" t="str">
        <f>_xlfn.XLOOKUP(A5097,'[1]Tissue Data'!$A:$A,'[1]Tissue Data'!$F:$F)</f>
        <v>Pumpkinseed</v>
      </c>
      <c r="E5097" t="str">
        <f>_xlfn.XLOOKUP(A5097,'[1]Tissue Data'!$A:$A,'[1]Tissue Data'!$H:$H)</f>
        <v>Lepomis</v>
      </c>
      <c r="F5097" t="str">
        <f>_xlfn.XLOOKUP(A5097,'[1]Tissue Data'!$A:$A,'[1]Tissue Data'!$I:$I)</f>
        <v>gibbosus</v>
      </c>
      <c r="G5097" t="str">
        <f>_xlfn.XLOOKUP(A5097,'[1]Tissue Data'!$A:$A,'[1]Tissue Data'!J:J)</f>
        <v>U</v>
      </c>
      <c r="H5097" t="str">
        <f>_xlfn.XLOOKUP(A5097,'[1]Tissue Data'!$A:$A,'[1]Tissue Data'!K:K)</f>
        <v>Whole Body</v>
      </c>
      <c r="I5097">
        <f>_xlfn.XLOOKUP(A5097,'[1]Tissue Data'!$A:$A,'[1]Tissue Data'!L:L)</f>
        <v>6.5</v>
      </c>
      <c r="J5097">
        <f>_xlfn.XLOOKUP(A5097,'[1]Tissue Data'!$A:$A,'[1]Tissue Data'!M:M)</f>
        <v>4.38</v>
      </c>
      <c r="K5097" t="s">
        <v>57</v>
      </c>
      <c r="L5097" t="str">
        <f>_xlfn.XLOOKUP(K5097,[2]analyte_order!$B:$B,[2]analyte_order!$C:$C)</f>
        <v>763051-92-9</v>
      </c>
      <c r="M5097">
        <f>_xlfn.XLOOKUP(L5097,[2]analyte_order!$C:$C,[2]analyte_order!$E:$E)</f>
        <v>37</v>
      </c>
      <c r="N5097">
        <v>6.6500000000000004E-2</v>
      </c>
    </row>
    <row r="5098" spans="1:14">
      <c r="A5098" t="s">
        <v>281</v>
      </c>
      <c r="B5098" t="str">
        <f>_xlfn.XLOOKUP(A5098,'[1]Tissue Data'!$A:$A,'[1]Tissue Data'!$C:$C)</f>
        <v>Spill</v>
      </c>
      <c r="C5098" s="2">
        <f>_xlfn.XLOOKUP(A5098,'[1]Tissue Data'!$A:$A,'[1]Tissue Data'!$D:$D)</f>
        <v>44393</v>
      </c>
      <c r="D5098" s="2" t="str">
        <f>_xlfn.XLOOKUP(A5098,'[1]Tissue Data'!$A:$A,'[1]Tissue Data'!$F:$F)</f>
        <v>Pumpkinseed</v>
      </c>
      <c r="E5098" t="str">
        <f>_xlfn.XLOOKUP(A5098,'[1]Tissue Data'!$A:$A,'[1]Tissue Data'!$H:$H)</f>
        <v>Lepomis</v>
      </c>
      <c r="F5098" t="str">
        <f>_xlfn.XLOOKUP(A5098,'[1]Tissue Data'!$A:$A,'[1]Tissue Data'!$I:$I)</f>
        <v>gibbosus</v>
      </c>
      <c r="G5098" t="str">
        <f>_xlfn.XLOOKUP(A5098,'[1]Tissue Data'!$A:$A,'[1]Tissue Data'!J:J)</f>
        <v>U</v>
      </c>
      <c r="H5098" t="str">
        <f>_xlfn.XLOOKUP(A5098,'[1]Tissue Data'!$A:$A,'[1]Tissue Data'!K:K)</f>
        <v>Whole Body</v>
      </c>
      <c r="I5098">
        <f>_xlfn.XLOOKUP(A5098,'[1]Tissue Data'!$A:$A,'[1]Tissue Data'!L:L)</f>
        <v>6.5</v>
      </c>
      <c r="J5098">
        <f>_xlfn.XLOOKUP(A5098,'[1]Tissue Data'!$A:$A,'[1]Tissue Data'!M:M)</f>
        <v>4.38</v>
      </c>
      <c r="K5098" t="s">
        <v>58</v>
      </c>
      <c r="L5098" t="str">
        <f>_xlfn.XLOOKUP(K5098,[2]analyte_order!$B:$B,[2]analyte_order!$C:$C)</f>
        <v>13252-13-6</v>
      </c>
      <c r="M5098">
        <f>_xlfn.XLOOKUP(L5098,[2]analyte_order!$C:$C,[2]analyte_order!$E:$E)</f>
        <v>34</v>
      </c>
      <c r="N5098">
        <v>9.5500000000000002E-2</v>
      </c>
    </row>
    <row r="5099" spans="1:14">
      <c r="A5099" t="s">
        <v>281</v>
      </c>
      <c r="B5099" t="str">
        <f>_xlfn.XLOOKUP(A5099,'[1]Tissue Data'!$A:$A,'[1]Tissue Data'!$C:$C)</f>
        <v>Spill</v>
      </c>
      <c r="C5099" s="2">
        <f>_xlfn.XLOOKUP(A5099,'[1]Tissue Data'!$A:$A,'[1]Tissue Data'!$D:$D)</f>
        <v>44393</v>
      </c>
      <c r="D5099" s="2" t="str">
        <f>_xlfn.XLOOKUP(A5099,'[1]Tissue Data'!$A:$A,'[1]Tissue Data'!$F:$F)</f>
        <v>Pumpkinseed</v>
      </c>
      <c r="E5099" t="str">
        <f>_xlfn.XLOOKUP(A5099,'[1]Tissue Data'!$A:$A,'[1]Tissue Data'!$H:$H)</f>
        <v>Lepomis</v>
      </c>
      <c r="F5099" t="str">
        <f>_xlfn.XLOOKUP(A5099,'[1]Tissue Data'!$A:$A,'[1]Tissue Data'!$I:$I)</f>
        <v>gibbosus</v>
      </c>
      <c r="G5099" t="str">
        <f>_xlfn.XLOOKUP(A5099,'[1]Tissue Data'!$A:$A,'[1]Tissue Data'!J:J)</f>
        <v>U</v>
      </c>
      <c r="H5099" t="str">
        <f>_xlfn.XLOOKUP(A5099,'[1]Tissue Data'!$A:$A,'[1]Tissue Data'!K:K)</f>
        <v>Whole Body</v>
      </c>
      <c r="I5099">
        <f>_xlfn.XLOOKUP(A5099,'[1]Tissue Data'!$A:$A,'[1]Tissue Data'!L:L)</f>
        <v>6.5</v>
      </c>
      <c r="J5099">
        <f>_xlfn.XLOOKUP(A5099,'[1]Tissue Data'!$A:$A,'[1]Tissue Data'!M:M)</f>
        <v>4.38</v>
      </c>
      <c r="K5099" t="s">
        <v>59</v>
      </c>
      <c r="L5099" t="str">
        <f>_xlfn.XLOOKUP(K5099,[2]analyte_order!$B:$B,[2]analyte_order!$C:$C)</f>
        <v>57677-95-9</v>
      </c>
      <c r="M5099">
        <f>_xlfn.XLOOKUP(L5099,[2]analyte_order!$C:$C,[2]analyte_order!$E:$E)</f>
        <v>46</v>
      </c>
      <c r="N5099">
        <v>7.0499999999999993E-2</v>
      </c>
    </row>
    <row r="5100" spans="1:14">
      <c r="A5100" t="s">
        <v>281</v>
      </c>
      <c r="B5100" t="str">
        <f>_xlfn.XLOOKUP(A5100,'[1]Tissue Data'!$A:$A,'[1]Tissue Data'!$C:$C)</f>
        <v>Spill</v>
      </c>
      <c r="C5100" s="2">
        <f>_xlfn.XLOOKUP(A5100,'[1]Tissue Data'!$A:$A,'[1]Tissue Data'!$D:$D)</f>
        <v>44393</v>
      </c>
      <c r="D5100" s="2" t="str">
        <f>_xlfn.XLOOKUP(A5100,'[1]Tissue Data'!$A:$A,'[1]Tissue Data'!$F:$F)</f>
        <v>Pumpkinseed</v>
      </c>
      <c r="E5100" t="str">
        <f>_xlfn.XLOOKUP(A5100,'[1]Tissue Data'!$A:$A,'[1]Tissue Data'!$H:$H)</f>
        <v>Lepomis</v>
      </c>
      <c r="F5100" t="str">
        <f>_xlfn.XLOOKUP(A5100,'[1]Tissue Data'!$A:$A,'[1]Tissue Data'!$I:$I)</f>
        <v>gibbosus</v>
      </c>
      <c r="G5100" t="str">
        <f>_xlfn.XLOOKUP(A5100,'[1]Tissue Data'!$A:$A,'[1]Tissue Data'!J:J)</f>
        <v>U</v>
      </c>
      <c r="H5100" t="str">
        <f>_xlfn.XLOOKUP(A5100,'[1]Tissue Data'!$A:$A,'[1]Tissue Data'!K:K)</f>
        <v>Whole Body</v>
      </c>
      <c r="I5100">
        <f>_xlfn.XLOOKUP(A5100,'[1]Tissue Data'!$A:$A,'[1]Tissue Data'!L:L)</f>
        <v>6.5</v>
      </c>
      <c r="J5100">
        <f>_xlfn.XLOOKUP(A5100,'[1]Tissue Data'!$A:$A,'[1]Tissue Data'!M:M)</f>
        <v>4.38</v>
      </c>
      <c r="K5100" t="s">
        <v>60</v>
      </c>
      <c r="L5100" t="str">
        <f>_xlfn.XLOOKUP(K5100,[2]analyte_order!$B:$B,[2]analyte_order!$C:$C)</f>
        <v>678-41-1</v>
      </c>
      <c r="M5100">
        <f>_xlfn.XLOOKUP(L5100,[2]analyte_order!$C:$C,[2]analyte_order!$E:$E)</f>
        <v>56</v>
      </c>
      <c r="N5100">
        <v>8.7999999999999995E-2</v>
      </c>
    </row>
    <row r="5101" spans="1:14">
      <c r="A5101" t="s">
        <v>281</v>
      </c>
      <c r="B5101" t="str">
        <f>_xlfn.XLOOKUP(A5101,'[1]Tissue Data'!$A:$A,'[1]Tissue Data'!$C:$C)</f>
        <v>Spill</v>
      </c>
      <c r="C5101" s="2">
        <f>_xlfn.XLOOKUP(A5101,'[1]Tissue Data'!$A:$A,'[1]Tissue Data'!$D:$D)</f>
        <v>44393</v>
      </c>
      <c r="D5101" s="2" t="str">
        <f>_xlfn.XLOOKUP(A5101,'[1]Tissue Data'!$A:$A,'[1]Tissue Data'!$F:$F)</f>
        <v>Pumpkinseed</v>
      </c>
      <c r="E5101" t="str">
        <f>_xlfn.XLOOKUP(A5101,'[1]Tissue Data'!$A:$A,'[1]Tissue Data'!$H:$H)</f>
        <v>Lepomis</v>
      </c>
      <c r="F5101" t="str">
        <f>_xlfn.XLOOKUP(A5101,'[1]Tissue Data'!$A:$A,'[1]Tissue Data'!$I:$I)</f>
        <v>gibbosus</v>
      </c>
      <c r="G5101" t="str">
        <f>_xlfn.XLOOKUP(A5101,'[1]Tissue Data'!$A:$A,'[1]Tissue Data'!J:J)</f>
        <v>U</v>
      </c>
      <c r="H5101" t="str">
        <f>_xlfn.XLOOKUP(A5101,'[1]Tissue Data'!$A:$A,'[1]Tissue Data'!K:K)</f>
        <v>Whole Body</v>
      </c>
      <c r="I5101">
        <f>_xlfn.XLOOKUP(A5101,'[1]Tissue Data'!$A:$A,'[1]Tissue Data'!L:L)</f>
        <v>6.5</v>
      </c>
      <c r="J5101">
        <f>_xlfn.XLOOKUP(A5101,'[1]Tissue Data'!$A:$A,'[1]Tissue Data'!M:M)</f>
        <v>4.38</v>
      </c>
      <c r="K5101" t="s">
        <v>61</v>
      </c>
      <c r="L5101" t="str">
        <f>_xlfn.XLOOKUP(K5101,[2]analyte_order!$B:$B,[2]analyte_order!$C:$C)</f>
        <v>2965-52-8</v>
      </c>
      <c r="M5101">
        <f>_xlfn.XLOOKUP(L5101,[2]analyte_order!$C:$C,[2]analyte_order!$E:$E)</f>
        <v>57</v>
      </c>
      <c r="N5101">
        <v>0.11700000000000001</v>
      </c>
    </row>
    <row r="5102" spans="1:14">
      <c r="A5102" t="s">
        <v>282</v>
      </c>
      <c r="B5102" t="str">
        <f>_xlfn.XLOOKUP(A5102,'[1]Tissue Data'!$A:$A,'[1]Tissue Data'!$C:$C)</f>
        <v>Spill</v>
      </c>
      <c r="C5102" s="2">
        <f>_xlfn.XLOOKUP(A5102,'[1]Tissue Data'!$A:$A,'[1]Tissue Data'!$D:$D)</f>
        <v>44393</v>
      </c>
      <c r="D5102" s="2" t="str">
        <f>_xlfn.XLOOKUP(A5102,'[1]Tissue Data'!$A:$A,'[1]Tissue Data'!$F:$F)</f>
        <v>Pumpkinseed</v>
      </c>
      <c r="E5102" t="str">
        <f>_xlfn.XLOOKUP(A5102,'[1]Tissue Data'!$A:$A,'[1]Tissue Data'!$H:$H)</f>
        <v>Lepomis</v>
      </c>
      <c r="F5102" t="str">
        <f>_xlfn.XLOOKUP(A5102,'[1]Tissue Data'!$A:$A,'[1]Tissue Data'!$I:$I)</f>
        <v>gibbosus</v>
      </c>
      <c r="G5102" t="str">
        <f>_xlfn.XLOOKUP(A5102,'[1]Tissue Data'!$A:$A,'[1]Tissue Data'!J:J)</f>
        <v>U</v>
      </c>
      <c r="H5102" t="str">
        <f>_xlfn.XLOOKUP(A5102,'[1]Tissue Data'!$A:$A,'[1]Tissue Data'!K:K)</f>
        <v>Whole Body</v>
      </c>
      <c r="I5102">
        <f>_xlfn.XLOOKUP(A5102,'[1]Tissue Data'!$A:$A,'[1]Tissue Data'!L:L)</f>
        <v>5.5</v>
      </c>
      <c r="J5102">
        <f>_xlfn.XLOOKUP(A5102,'[1]Tissue Data'!$A:$A,'[1]Tissue Data'!M:M)</f>
        <v>3.29</v>
      </c>
      <c r="K5102" t="s">
        <v>12</v>
      </c>
      <c r="L5102" t="str">
        <f>_xlfn.XLOOKUP(K5102,[2]analyte_order!$B:$B,[2]analyte_order!$C:$C)</f>
        <v>375-22-4</v>
      </c>
      <c r="M5102">
        <f>_xlfn.XLOOKUP(L5102,[2]analyte_order!$C:$C,[2]analyte_order!$E:$E)</f>
        <v>1</v>
      </c>
      <c r="N5102">
        <v>0.23949999999999999</v>
      </c>
    </row>
    <row r="5103" spans="1:14">
      <c r="A5103" t="s">
        <v>282</v>
      </c>
      <c r="B5103" t="str">
        <f>_xlfn.XLOOKUP(A5103,'[1]Tissue Data'!$A:$A,'[1]Tissue Data'!$C:$C)</f>
        <v>Spill</v>
      </c>
      <c r="C5103" s="2">
        <f>_xlfn.XLOOKUP(A5103,'[1]Tissue Data'!$A:$A,'[1]Tissue Data'!$D:$D)</f>
        <v>44393</v>
      </c>
      <c r="D5103" s="2" t="str">
        <f>_xlfn.XLOOKUP(A5103,'[1]Tissue Data'!$A:$A,'[1]Tissue Data'!$F:$F)</f>
        <v>Pumpkinseed</v>
      </c>
      <c r="E5103" t="str">
        <f>_xlfn.XLOOKUP(A5103,'[1]Tissue Data'!$A:$A,'[1]Tissue Data'!$H:$H)</f>
        <v>Lepomis</v>
      </c>
      <c r="F5103" t="str">
        <f>_xlfn.XLOOKUP(A5103,'[1]Tissue Data'!$A:$A,'[1]Tissue Data'!$I:$I)</f>
        <v>gibbosus</v>
      </c>
      <c r="G5103" t="str">
        <f>_xlfn.XLOOKUP(A5103,'[1]Tissue Data'!$A:$A,'[1]Tissue Data'!J:J)</f>
        <v>U</v>
      </c>
      <c r="H5103" t="str">
        <f>_xlfn.XLOOKUP(A5103,'[1]Tissue Data'!$A:$A,'[1]Tissue Data'!K:K)</f>
        <v>Whole Body</v>
      </c>
      <c r="I5103">
        <f>_xlfn.XLOOKUP(A5103,'[1]Tissue Data'!$A:$A,'[1]Tissue Data'!L:L)</f>
        <v>5.5</v>
      </c>
      <c r="J5103">
        <f>_xlfn.XLOOKUP(A5103,'[1]Tissue Data'!$A:$A,'[1]Tissue Data'!M:M)</f>
        <v>3.29</v>
      </c>
      <c r="K5103" t="s">
        <v>13</v>
      </c>
      <c r="L5103" t="str">
        <f>_xlfn.XLOOKUP(K5103,[2]analyte_order!$B:$B,[2]analyte_order!$C:$C)</f>
        <v>2706-90-3</v>
      </c>
      <c r="M5103">
        <f>_xlfn.XLOOKUP(L5103,[2]analyte_order!$C:$C,[2]analyte_order!$E:$E)</f>
        <v>2</v>
      </c>
      <c r="N5103">
        <v>5.1499999999999997E-2</v>
      </c>
    </row>
    <row r="5104" spans="1:14">
      <c r="A5104" t="s">
        <v>282</v>
      </c>
      <c r="B5104" t="str">
        <f>_xlfn.XLOOKUP(A5104,'[1]Tissue Data'!$A:$A,'[1]Tissue Data'!$C:$C)</f>
        <v>Spill</v>
      </c>
      <c r="C5104" s="2">
        <f>_xlfn.XLOOKUP(A5104,'[1]Tissue Data'!$A:$A,'[1]Tissue Data'!$D:$D)</f>
        <v>44393</v>
      </c>
      <c r="D5104" s="2" t="str">
        <f>_xlfn.XLOOKUP(A5104,'[1]Tissue Data'!$A:$A,'[1]Tissue Data'!$F:$F)</f>
        <v>Pumpkinseed</v>
      </c>
      <c r="E5104" t="str">
        <f>_xlfn.XLOOKUP(A5104,'[1]Tissue Data'!$A:$A,'[1]Tissue Data'!$H:$H)</f>
        <v>Lepomis</v>
      </c>
      <c r="F5104" t="str">
        <f>_xlfn.XLOOKUP(A5104,'[1]Tissue Data'!$A:$A,'[1]Tissue Data'!$I:$I)</f>
        <v>gibbosus</v>
      </c>
      <c r="G5104" t="str">
        <f>_xlfn.XLOOKUP(A5104,'[1]Tissue Data'!$A:$A,'[1]Tissue Data'!J:J)</f>
        <v>U</v>
      </c>
      <c r="H5104" t="str">
        <f>_xlfn.XLOOKUP(A5104,'[1]Tissue Data'!$A:$A,'[1]Tissue Data'!K:K)</f>
        <v>Whole Body</v>
      </c>
      <c r="I5104">
        <f>_xlfn.XLOOKUP(A5104,'[1]Tissue Data'!$A:$A,'[1]Tissue Data'!L:L)</f>
        <v>5.5</v>
      </c>
      <c r="J5104">
        <f>_xlfn.XLOOKUP(A5104,'[1]Tissue Data'!$A:$A,'[1]Tissue Data'!M:M)</f>
        <v>3.29</v>
      </c>
      <c r="K5104" t="s">
        <v>14</v>
      </c>
      <c r="L5104" t="str">
        <f>_xlfn.XLOOKUP(K5104,[2]analyte_order!$B:$B,[2]analyte_order!$C:$C)</f>
        <v>307-24-4</v>
      </c>
      <c r="M5104">
        <f>_xlfn.XLOOKUP(L5104,[2]analyte_order!$C:$C,[2]analyte_order!$E:$E)</f>
        <v>3</v>
      </c>
      <c r="N5104">
        <v>3.9149999999999997E-2</v>
      </c>
    </row>
    <row r="5105" spans="1:14">
      <c r="A5105" t="s">
        <v>282</v>
      </c>
      <c r="B5105" t="str">
        <f>_xlfn.XLOOKUP(A5105,'[1]Tissue Data'!$A:$A,'[1]Tissue Data'!$C:$C)</f>
        <v>Spill</v>
      </c>
      <c r="C5105" s="2">
        <f>_xlfn.XLOOKUP(A5105,'[1]Tissue Data'!$A:$A,'[1]Tissue Data'!$D:$D)</f>
        <v>44393</v>
      </c>
      <c r="D5105" s="2" t="str">
        <f>_xlfn.XLOOKUP(A5105,'[1]Tissue Data'!$A:$A,'[1]Tissue Data'!$F:$F)</f>
        <v>Pumpkinseed</v>
      </c>
      <c r="E5105" t="str">
        <f>_xlfn.XLOOKUP(A5105,'[1]Tissue Data'!$A:$A,'[1]Tissue Data'!$H:$H)</f>
        <v>Lepomis</v>
      </c>
      <c r="F5105" t="str">
        <f>_xlfn.XLOOKUP(A5105,'[1]Tissue Data'!$A:$A,'[1]Tissue Data'!$I:$I)</f>
        <v>gibbosus</v>
      </c>
      <c r="G5105" t="str">
        <f>_xlfn.XLOOKUP(A5105,'[1]Tissue Data'!$A:$A,'[1]Tissue Data'!J:J)</f>
        <v>U</v>
      </c>
      <c r="H5105" t="str">
        <f>_xlfn.XLOOKUP(A5105,'[1]Tissue Data'!$A:$A,'[1]Tissue Data'!K:K)</f>
        <v>Whole Body</v>
      </c>
      <c r="I5105">
        <f>_xlfn.XLOOKUP(A5105,'[1]Tissue Data'!$A:$A,'[1]Tissue Data'!L:L)</f>
        <v>5.5</v>
      </c>
      <c r="J5105">
        <f>_xlfn.XLOOKUP(A5105,'[1]Tissue Data'!$A:$A,'[1]Tissue Data'!M:M)</f>
        <v>3.29</v>
      </c>
      <c r="K5105" t="s">
        <v>15</v>
      </c>
      <c r="L5105" t="str">
        <f>_xlfn.XLOOKUP(K5105,[2]analyte_order!$B:$B,[2]analyte_order!$C:$C)</f>
        <v>375-85-9</v>
      </c>
      <c r="M5105">
        <f>_xlfn.XLOOKUP(L5105,[2]analyte_order!$C:$C,[2]analyte_order!$E:$E)</f>
        <v>4</v>
      </c>
      <c r="N5105">
        <v>9.6000000000000002E-2</v>
      </c>
    </row>
    <row r="5106" spans="1:14">
      <c r="A5106" t="s">
        <v>282</v>
      </c>
      <c r="B5106" t="str">
        <f>_xlfn.XLOOKUP(A5106,'[1]Tissue Data'!$A:$A,'[1]Tissue Data'!$C:$C)</f>
        <v>Spill</v>
      </c>
      <c r="C5106" s="2">
        <f>_xlfn.XLOOKUP(A5106,'[1]Tissue Data'!$A:$A,'[1]Tissue Data'!$D:$D)</f>
        <v>44393</v>
      </c>
      <c r="D5106" s="2" t="str">
        <f>_xlfn.XLOOKUP(A5106,'[1]Tissue Data'!$A:$A,'[1]Tissue Data'!$F:$F)</f>
        <v>Pumpkinseed</v>
      </c>
      <c r="E5106" t="str">
        <f>_xlfn.XLOOKUP(A5106,'[1]Tissue Data'!$A:$A,'[1]Tissue Data'!$H:$H)</f>
        <v>Lepomis</v>
      </c>
      <c r="F5106" t="str">
        <f>_xlfn.XLOOKUP(A5106,'[1]Tissue Data'!$A:$A,'[1]Tissue Data'!$I:$I)</f>
        <v>gibbosus</v>
      </c>
      <c r="G5106" t="str">
        <f>_xlfn.XLOOKUP(A5106,'[1]Tissue Data'!$A:$A,'[1]Tissue Data'!J:J)</f>
        <v>U</v>
      </c>
      <c r="H5106" t="str">
        <f>_xlfn.XLOOKUP(A5106,'[1]Tissue Data'!$A:$A,'[1]Tissue Data'!K:K)</f>
        <v>Whole Body</v>
      </c>
      <c r="I5106">
        <f>_xlfn.XLOOKUP(A5106,'[1]Tissue Data'!$A:$A,'[1]Tissue Data'!L:L)</f>
        <v>5.5</v>
      </c>
      <c r="J5106">
        <f>_xlfn.XLOOKUP(A5106,'[1]Tissue Data'!$A:$A,'[1]Tissue Data'!M:M)</f>
        <v>3.29</v>
      </c>
      <c r="K5106" t="s">
        <v>16</v>
      </c>
      <c r="L5106" t="str">
        <f>_xlfn.XLOOKUP(K5106,[2]analyte_order!$B:$B,[2]analyte_order!$C:$C)</f>
        <v>335-67-1</v>
      </c>
      <c r="M5106">
        <f>_xlfn.XLOOKUP(L5106,[2]analyte_order!$C:$C,[2]analyte_order!$E:$E)</f>
        <v>5</v>
      </c>
      <c r="N5106">
        <v>0.623</v>
      </c>
    </row>
    <row r="5107" spans="1:14">
      <c r="A5107" t="s">
        <v>282</v>
      </c>
      <c r="B5107" t="str">
        <f>_xlfn.XLOOKUP(A5107,'[1]Tissue Data'!$A:$A,'[1]Tissue Data'!$C:$C)</f>
        <v>Spill</v>
      </c>
      <c r="C5107" s="2">
        <f>_xlfn.XLOOKUP(A5107,'[1]Tissue Data'!$A:$A,'[1]Tissue Data'!$D:$D)</f>
        <v>44393</v>
      </c>
      <c r="D5107" s="2" t="str">
        <f>_xlfn.XLOOKUP(A5107,'[1]Tissue Data'!$A:$A,'[1]Tissue Data'!$F:$F)</f>
        <v>Pumpkinseed</v>
      </c>
      <c r="E5107" t="str">
        <f>_xlfn.XLOOKUP(A5107,'[1]Tissue Data'!$A:$A,'[1]Tissue Data'!$H:$H)</f>
        <v>Lepomis</v>
      </c>
      <c r="F5107" t="str">
        <f>_xlfn.XLOOKUP(A5107,'[1]Tissue Data'!$A:$A,'[1]Tissue Data'!$I:$I)</f>
        <v>gibbosus</v>
      </c>
      <c r="G5107" t="str">
        <f>_xlfn.XLOOKUP(A5107,'[1]Tissue Data'!$A:$A,'[1]Tissue Data'!J:J)</f>
        <v>U</v>
      </c>
      <c r="H5107" t="str">
        <f>_xlfn.XLOOKUP(A5107,'[1]Tissue Data'!$A:$A,'[1]Tissue Data'!K:K)</f>
        <v>Whole Body</v>
      </c>
      <c r="I5107">
        <f>_xlfn.XLOOKUP(A5107,'[1]Tissue Data'!$A:$A,'[1]Tissue Data'!L:L)</f>
        <v>5.5</v>
      </c>
      <c r="J5107">
        <f>_xlfn.XLOOKUP(A5107,'[1]Tissue Data'!$A:$A,'[1]Tissue Data'!M:M)</f>
        <v>3.29</v>
      </c>
      <c r="K5107" t="s">
        <v>17</v>
      </c>
      <c r="L5107" t="str">
        <f>_xlfn.XLOOKUP(K5107,[2]analyte_order!$B:$B,[2]analyte_order!$C:$C)</f>
        <v>375-95-1</v>
      </c>
      <c r="M5107">
        <f>_xlfn.XLOOKUP(L5107,[2]analyte_order!$C:$C,[2]analyte_order!$E:$E)</f>
        <v>6</v>
      </c>
      <c r="N5107">
        <v>0.05</v>
      </c>
    </row>
    <row r="5108" spans="1:14">
      <c r="A5108" t="s">
        <v>282</v>
      </c>
      <c r="B5108" t="str">
        <f>_xlfn.XLOOKUP(A5108,'[1]Tissue Data'!$A:$A,'[1]Tissue Data'!$C:$C)</f>
        <v>Spill</v>
      </c>
      <c r="C5108" s="2">
        <f>_xlfn.XLOOKUP(A5108,'[1]Tissue Data'!$A:$A,'[1]Tissue Data'!$D:$D)</f>
        <v>44393</v>
      </c>
      <c r="D5108" s="2" t="str">
        <f>_xlfn.XLOOKUP(A5108,'[1]Tissue Data'!$A:$A,'[1]Tissue Data'!$F:$F)</f>
        <v>Pumpkinseed</v>
      </c>
      <c r="E5108" t="str">
        <f>_xlfn.XLOOKUP(A5108,'[1]Tissue Data'!$A:$A,'[1]Tissue Data'!$H:$H)</f>
        <v>Lepomis</v>
      </c>
      <c r="F5108" t="str">
        <f>_xlfn.XLOOKUP(A5108,'[1]Tissue Data'!$A:$A,'[1]Tissue Data'!$I:$I)</f>
        <v>gibbosus</v>
      </c>
      <c r="G5108" t="str">
        <f>_xlfn.XLOOKUP(A5108,'[1]Tissue Data'!$A:$A,'[1]Tissue Data'!J:J)</f>
        <v>U</v>
      </c>
      <c r="H5108" t="str">
        <f>_xlfn.XLOOKUP(A5108,'[1]Tissue Data'!$A:$A,'[1]Tissue Data'!K:K)</f>
        <v>Whole Body</v>
      </c>
      <c r="I5108">
        <f>_xlfn.XLOOKUP(A5108,'[1]Tissue Data'!$A:$A,'[1]Tissue Data'!L:L)</f>
        <v>5.5</v>
      </c>
      <c r="J5108">
        <f>_xlfn.XLOOKUP(A5108,'[1]Tissue Data'!$A:$A,'[1]Tissue Data'!M:M)</f>
        <v>3.29</v>
      </c>
      <c r="K5108" t="s">
        <v>18</v>
      </c>
      <c r="L5108" t="str">
        <f>_xlfn.XLOOKUP(K5108,[2]analyte_order!$B:$B,[2]analyte_order!$C:$C)</f>
        <v>335-76-2</v>
      </c>
      <c r="M5108">
        <f>_xlfn.XLOOKUP(L5108,[2]analyte_order!$C:$C,[2]analyte_order!$E:$E)</f>
        <v>7</v>
      </c>
      <c r="N5108">
        <v>3.43</v>
      </c>
    </row>
    <row r="5109" spans="1:14">
      <c r="A5109" t="s">
        <v>282</v>
      </c>
      <c r="B5109" t="str">
        <f>_xlfn.XLOOKUP(A5109,'[1]Tissue Data'!$A:$A,'[1]Tissue Data'!$C:$C)</f>
        <v>Spill</v>
      </c>
      <c r="C5109" s="2">
        <f>_xlfn.XLOOKUP(A5109,'[1]Tissue Data'!$A:$A,'[1]Tissue Data'!$D:$D)</f>
        <v>44393</v>
      </c>
      <c r="D5109" s="2" t="str">
        <f>_xlfn.XLOOKUP(A5109,'[1]Tissue Data'!$A:$A,'[1]Tissue Data'!$F:$F)</f>
        <v>Pumpkinseed</v>
      </c>
      <c r="E5109" t="str">
        <f>_xlfn.XLOOKUP(A5109,'[1]Tissue Data'!$A:$A,'[1]Tissue Data'!$H:$H)</f>
        <v>Lepomis</v>
      </c>
      <c r="F5109" t="str">
        <f>_xlfn.XLOOKUP(A5109,'[1]Tissue Data'!$A:$A,'[1]Tissue Data'!$I:$I)</f>
        <v>gibbosus</v>
      </c>
      <c r="G5109" t="str">
        <f>_xlfn.XLOOKUP(A5109,'[1]Tissue Data'!$A:$A,'[1]Tissue Data'!J:J)</f>
        <v>U</v>
      </c>
      <c r="H5109" t="str">
        <f>_xlfn.XLOOKUP(A5109,'[1]Tissue Data'!$A:$A,'[1]Tissue Data'!K:K)</f>
        <v>Whole Body</v>
      </c>
      <c r="I5109">
        <f>_xlfn.XLOOKUP(A5109,'[1]Tissue Data'!$A:$A,'[1]Tissue Data'!L:L)</f>
        <v>5.5</v>
      </c>
      <c r="J5109">
        <f>_xlfn.XLOOKUP(A5109,'[1]Tissue Data'!$A:$A,'[1]Tissue Data'!M:M)</f>
        <v>3.29</v>
      </c>
      <c r="K5109" t="s">
        <v>19</v>
      </c>
      <c r="L5109" t="str">
        <f>_xlfn.XLOOKUP(K5109,[2]analyte_order!$B:$B,[2]analyte_order!$C:$C)</f>
        <v>2058-94-8</v>
      </c>
      <c r="M5109">
        <f>_xlfn.XLOOKUP(L5109,[2]analyte_order!$C:$C,[2]analyte_order!$E:$E)</f>
        <v>8</v>
      </c>
      <c r="N5109">
        <v>6.85</v>
      </c>
    </row>
    <row r="5110" spans="1:14">
      <c r="A5110" t="s">
        <v>282</v>
      </c>
      <c r="B5110" t="str">
        <f>_xlfn.XLOOKUP(A5110,'[1]Tissue Data'!$A:$A,'[1]Tissue Data'!$C:$C)</f>
        <v>Spill</v>
      </c>
      <c r="C5110" s="2">
        <f>_xlfn.XLOOKUP(A5110,'[1]Tissue Data'!$A:$A,'[1]Tissue Data'!$D:$D)</f>
        <v>44393</v>
      </c>
      <c r="D5110" s="2" t="str">
        <f>_xlfn.XLOOKUP(A5110,'[1]Tissue Data'!$A:$A,'[1]Tissue Data'!$F:$F)</f>
        <v>Pumpkinseed</v>
      </c>
      <c r="E5110" t="str">
        <f>_xlfn.XLOOKUP(A5110,'[1]Tissue Data'!$A:$A,'[1]Tissue Data'!$H:$H)</f>
        <v>Lepomis</v>
      </c>
      <c r="F5110" t="str">
        <f>_xlfn.XLOOKUP(A5110,'[1]Tissue Data'!$A:$A,'[1]Tissue Data'!$I:$I)</f>
        <v>gibbosus</v>
      </c>
      <c r="G5110" t="str">
        <f>_xlfn.XLOOKUP(A5110,'[1]Tissue Data'!$A:$A,'[1]Tissue Data'!J:J)</f>
        <v>U</v>
      </c>
      <c r="H5110" t="str">
        <f>_xlfn.XLOOKUP(A5110,'[1]Tissue Data'!$A:$A,'[1]Tissue Data'!K:K)</f>
        <v>Whole Body</v>
      </c>
      <c r="I5110">
        <f>_xlfn.XLOOKUP(A5110,'[1]Tissue Data'!$A:$A,'[1]Tissue Data'!L:L)</f>
        <v>5.5</v>
      </c>
      <c r="J5110">
        <f>_xlfn.XLOOKUP(A5110,'[1]Tissue Data'!$A:$A,'[1]Tissue Data'!M:M)</f>
        <v>3.29</v>
      </c>
      <c r="K5110" t="s">
        <v>20</v>
      </c>
      <c r="L5110" t="str">
        <f>_xlfn.XLOOKUP(K5110,[2]analyte_order!$B:$B,[2]analyte_order!$C:$C)</f>
        <v>307-55-1</v>
      </c>
      <c r="M5110">
        <f>_xlfn.XLOOKUP(L5110,[2]analyte_order!$C:$C,[2]analyte_order!$E:$E)</f>
        <v>9</v>
      </c>
      <c r="N5110">
        <v>13.3</v>
      </c>
    </row>
    <row r="5111" spans="1:14">
      <c r="A5111" t="s">
        <v>282</v>
      </c>
      <c r="B5111" t="str">
        <f>_xlfn.XLOOKUP(A5111,'[1]Tissue Data'!$A:$A,'[1]Tissue Data'!$C:$C)</f>
        <v>Spill</v>
      </c>
      <c r="C5111" s="2">
        <f>_xlfn.XLOOKUP(A5111,'[1]Tissue Data'!$A:$A,'[1]Tissue Data'!$D:$D)</f>
        <v>44393</v>
      </c>
      <c r="D5111" s="2" t="str">
        <f>_xlfn.XLOOKUP(A5111,'[1]Tissue Data'!$A:$A,'[1]Tissue Data'!$F:$F)</f>
        <v>Pumpkinseed</v>
      </c>
      <c r="E5111" t="str">
        <f>_xlfn.XLOOKUP(A5111,'[1]Tissue Data'!$A:$A,'[1]Tissue Data'!$H:$H)</f>
        <v>Lepomis</v>
      </c>
      <c r="F5111" t="str">
        <f>_xlfn.XLOOKUP(A5111,'[1]Tissue Data'!$A:$A,'[1]Tissue Data'!$I:$I)</f>
        <v>gibbosus</v>
      </c>
      <c r="G5111" t="str">
        <f>_xlfn.XLOOKUP(A5111,'[1]Tissue Data'!$A:$A,'[1]Tissue Data'!J:J)</f>
        <v>U</v>
      </c>
      <c r="H5111" t="str">
        <f>_xlfn.XLOOKUP(A5111,'[1]Tissue Data'!$A:$A,'[1]Tissue Data'!K:K)</f>
        <v>Whole Body</v>
      </c>
      <c r="I5111">
        <f>_xlfn.XLOOKUP(A5111,'[1]Tissue Data'!$A:$A,'[1]Tissue Data'!L:L)</f>
        <v>5.5</v>
      </c>
      <c r="J5111">
        <f>_xlfn.XLOOKUP(A5111,'[1]Tissue Data'!$A:$A,'[1]Tissue Data'!M:M)</f>
        <v>3.29</v>
      </c>
      <c r="K5111" t="s">
        <v>21</v>
      </c>
      <c r="L5111" t="str">
        <f>_xlfn.XLOOKUP(K5111,[2]analyte_order!$B:$B,[2]analyte_order!$C:$C)</f>
        <v>72629-94-8</v>
      </c>
      <c r="M5111">
        <f>_xlfn.XLOOKUP(L5111,[2]analyte_order!$C:$C,[2]analyte_order!$E:$E)</f>
        <v>10</v>
      </c>
      <c r="N5111">
        <v>3.53</v>
      </c>
    </row>
    <row r="5112" spans="1:14">
      <c r="A5112" t="s">
        <v>282</v>
      </c>
      <c r="B5112" t="str">
        <f>_xlfn.XLOOKUP(A5112,'[1]Tissue Data'!$A:$A,'[1]Tissue Data'!$C:$C)</f>
        <v>Spill</v>
      </c>
      <c r="C5112" s="2">
        <f>_xlfn.XLOOKUP(A5112,'[1]Tissue Data'!$A:$A,'[1]Tissue Data'!$D:$D)</f>
        <v>44393</v>
      </c>
      <c r="D5112" s="2" t="str">
        <f>_xlfn.XLOOKUP(A5112,'[1]Tissue Data'!$A:$A,'[1]Tissue Data'!$F:$F)</f>
        <v>Pumpkinseed</v>
      </c>
      <c r="E5112" t="str">
        <f>_xlfn.XLOOKUP(A5112,'[1]Tissue Data'!$A:$A,'[1]Tissue Data'!$H:$H)</f>
        <v>Lepomis</v>
      </c>
      <c r="F5112" t="str">
        <f>_xlfn.XLOOKUP(A5112,'[1]Tissue Data'!$A:$A,'[1]Tissue Data'!$I:$I)</f>
        <v>gibbosus</v>
      </c>
      <c r="G5112" t="str">
        <f>_xlfn.XLOOKUP(A5112,'[1]Tissue Data'!$A:$A,'[1]Tissue Data'!J:J)</f>
        <v>U</v>
      </c>
      <c r="H5112" t="str">
        <f>_xlfn.XLOOKUP(A5112,'[1]Tissue Data'!$A:$A,'[1]Tissue Data'!K:K)</f>
        <v>Whole Body</v>
      </c>
      <c r="I5112">
        <f>_xlfn.XLOOKUP(A5112,'[1]Tissue Data'!$A:$A,'[1]Tissue Data'!L:L)</f>
        <v>5.5</v>
      </c>
      <c r="J5112">
        <f>_xlfn.XLOOKUP(A5112,'[1]Tissue Data'!$A:$A,'[1]Tissue Data'!M:M)</f>
        <v>3.29</v>
      </c>
      <c r="K5112" t="s">
        <v>22</v>
      </c>
      <c r="L5112" t="str">
        <f>_xlfn.XLOOKUP(K5112,[2]analyte_order!$B:$B,[2]analyte_order!$C:$C)</f>
        <v>376-06-7</v>
      </c>
      <c r="M5112">
        <f>_xlfn.XLOOKUP(L5112,[2]analyte_order!$C:$C,[2]analyte_order!$E:$E)</f>
        <v>11</v>
      </c>
      <c r="N5112">
        <v>12</v>
      </c>
    </row>
    <row r="5113" spans="1:14">
      <c r="A5113" t="s">
        <v>282</v>
      </c>
      <c r="B5113" t="str">
        <f>_xlfn.XLOOKUP(A5113,'[1]Tissue Data'!$A:$A,'[1]Tissue Data'!$C:$C)</f>
        <v>Spill</v>
      </c>
      <c r="C5113" s="2">
        <f>_xlfn.XLOOKUP(A5113,'[1]Tissue Data'!$A:$A,'[1]Tissue Data'!$D:$D)</f>
        <v>44393</v>
      </c>
      <c r="D5113" s="2" t="str">
        <f>_xlfn.XLOOKUP(A5113,'[1]Tissue Data'!$A:$A,'[1]Tissue Data'!$F:$F)</f>
        <v>Pumpkinseed</v>
      </c>
      <c r="E5113" t="str">
        <f>_xlfn.XLOOKUP(A5113,'[1]Tissue Data'!$A:$A,'[1]Tissue Data'!$H:$H)</f>
        <v>Lepomis</v>
      </c>
      <c r="F5113" t="str">
        <f>_xlfn.XLOOKUP(A5113,'[1]Tissue Data'!$A:$A,'[1]Tissue Data'!$I:$I)</f>
        <v>gibbosus</v>
      </c>
      <c r="G5113" t="str">
        <f>_xlfn.XLOOKUP(A5113,'[1]Tissue Data'!$A:$A,'[1]Tissue Data'!J:J)</f>
        <v>U</v>
      </c>
      <c r="H5113" t="str">
        <f>_xlfn.XLOOKUP(A5113,'[1]Tissue Data'!$A:$A,'[1]Tissue Data'!K:K)</f>
        <v>Whole Body</v>
      </c>
      <c r="I5113">
        <f>_xlfn.XLOOKUP(A5113,'[1]Tissue Data'!$A:$A,'[1]Tissue Data'!L:L)</f>
        <v>5.5</v>
      </c>
      <c r="J5113">
        <f>_xlfn.XLOOKUP(A5113,'[1]Tissue Data'!$A:$A,'[1]Tissue Data'!M:M)</f>
        <v>3.29</v>
      </c>
      <c r="K5113" t="s">
        <v>23</v>
      </c>
      <c r="L5113" t="str">
        <f>_xlfn.XLOOKUP(K5113,[2]analyte_order!$B:$B,[2]analyte_order!$C:$C)</f>
        <v>67905-19-5</v>
      </c>
      <c r="M5113">
        <f>_xlfn.XLOOKUP(L5113,[2]analyte_order!$C:$C,[2]analyte_order!$E:$E)</f>
        <v>12</v>
      </c>
      <c r="N5113">
        <v>8.6499999999999994E-2</v>
      </c>
    </row>
    <row r="5114" spans="1:14">
      <c r="A5114" t="s">
        <v>282</v>
      </c>
      <c r="B5114" t="str">
        <f>_xlfn.XLOOKUP(A5114,'[1]Tissue Data'!$A:$A,'[1]Tissue Data'!$C:$C)</f>
        <v>Spill</v>
      </c>
      <c r="C5114" s="2">
        <f>_xlfn.XLOOKUP(A5114,'[1]Tissue Data'!$A:$A,'[1]Tissue Data'!$D:$D)</f>
        <v>44393</v>
      </c>
      <c r="D5114" s="2" t="str">
        <f>_xlfn.XLOOKUP(A5114,'[1]Tissue Data'!$A:$A,'[1]Tissue Data'!$F:$F)</f>
        <v>Pumpkinseed</v>
      </c>
      <c r="E5114" t="str">
        <f>_xlfn.XLOOKUP(A5114,'[1]Tissue Data'!$A:$A,'[1]Tissue Data'!$H:$H)</f>
        <v>Lepomis</v>
      </c>
      <c r="F5114" t="str">
        <f>_xlfn.XLOOKUP(A5114,'[1]Tissue Data'!$A:$A,'[1]Tissue Data'!$I:$I)</f>
        <v>gibbosus</v>
      </c>
      <c r="G5114" t="str">
        <f>_xlfn.XLOOKUP(A5114,'[1]Tissue Data'!$A:$A,'[1]Tissue Data'!J:J)</f>
        <v>U</v>
      </c>
      <c r="H5114" t="str">
        <f>_xlfn.XLOOKUP(A5114,'[1]Tissue Data'!$A:$A,'[1]Tissue Data'!K:K)</f>
        <v>Whole Body</v>
      </c>
      <c r="I5114">
        <f>_xlfn.XLOOKUP(A5114,'[1]Tissue Data'!$A:$A,'[1]Tissue Data'!L:L)</f>
        <v>5.5</v>
      </c>
      <c r="J5114">
        <f>_xlfn.XLOOKUP(A5114,'[1]Tissue Data'!$A:$A,'[1]Tissue Data'!M:M)</f>
        <v>3.29</v>
      </c>
      <c r="K5114" t="s">
        <v>24</v>
      </c>
      <c r="L5114" t="str">
        <f>_xlfn.XLOOKUP(K5114,[2]analyte_order!$B:$B,[2]analyte_order!$C:$C)</f>
        <v>423-41-6</v>
      </c>
      <c r="M5114">
        <f>_xlfn.XLOOKUP(L5114,[2]analyte_order!$C:$C,[2]analyte_order!$E:$E)</f>
        <v>53</v>
      </c>
      <c r="N5114">
        <v>7.2499999999999995E-2</v>
      </c>
    </row>
    <row r="5115" spans="1:14">
      <c r="A5115" t="s">
        <v>282</v>
      </c>
      <c r="B5115" t="str">
        <f>_xlfn.XLOOKUP(A5115,'[1]Tissue Data'!$A:$A,'[1]Tissue Data'!$C:$C)</f>
        <v>Spill</v>
      </c>
      <c r="C5115" s="2">
        <f>_xlfn.XLOOKUP(A5115,'[1]Tissue Data'!$A:$A,'[1]Tissue Data'!$D:$D)</f>
        <v>44393</v>
      </c>
      <c r="D5115" s="2" t="str">
        <f>_xlfn.XLOOKUP(A5115,'[1]Tissue Data'!$A:$A,'[1]Tissue Data'!$F:$F)</f>
        <v>Pumpkinseed</v>
      </c>
      <c r="E5115" t="str">
        <f>_xlfn.XLOOKUP(A5115,'[1]Tissue Data'!$A:$A,'[1]Tissue Data'!$H:$H)</f>
        <v>Lepomis</v>
      </c>
      <c r="F5115" t="str">
        <f>_xlfn.XLOOKUP(A5115,'[1]Tissue Data'!$A:$A,'[1]Tissue Data'!$I:$I)</f>
        <v>gibbosus</v>
      </c>
      <c r="G5115" t="str">
        <f>_xlfn.XLOOKUP(A5115,'[1]Tissue Data'!$A:$A,'[1]Tissue Data'!J:J)</f>
        <v>U</v>
      </c>
      <c r="H5115" t="str">
        <f>_xlfn.XLOOKUP(A5115,'[1]Tissue Data'!$A:$A,'[1]Tissue Data'!K:K)</f>
        <v>Whole Body</v>
      </c>
      <c r="I5115">
        <f>_xlfn.XLOOKUP(A5115,'[1]Tissue Data'!$A:$A,'[1]Tissue Data'!L:L)</f>
        <v>5.5</v>
      </c>
      <c r="J5115">
        <f>_xlfn.XLOOKUP(A5115,'[1]Tissue Data'!$A:$A,'[1]Tissue Data'!M:M)</f>
        <v>3.29</v>
      </c>
      <c r="K5115" t="s">
        <v>25</v>
      </c>
      <c r="L5115" t="str">
        <f>_xlfn.XLOOKUP(K5115,[2]analyte_order!$B:$B,[2]analyte_order!$C:$C)</f>
        <v>375-73-5</v>
      </c>
      <c r="M5115">
        <f>_xlfn.XLOOKUP(L5115,[2]analyte_order!$C:$C,[2]analyte_order!$E:$E)</f>
        <v>14</v>
      </c>
      <c r="N5115">
        <v>4.9399999999999999E-2</v>
      </c>
    </row>
    <row r="5116" spans="1:14">
      <c r="A5116" t="s">
        <v>282</v>
      </c>
      <c r="B5116" t="str">
        <f>_xlfn.XLOOKUP(A5116,'[1]Tissue Data'!$A:$A,'[1]Tissue Data'!$C:$C)</f>
        <v>Spill</v>
      </c>
      <c r="C5116" s="2">
        <f>_xlfn.XLOOKUP(A5116,'[1]Tissue Data'!$A:$A,'[1]Tissue Data'!$D:$D)</f>
        <v>44393</v>
      </c>
      <c r="D5116" s="2" t="str">
        <f>_xlfn.XLOOKUP(A5116,'[1]Tissue Data'!$A:$A,'[1]Tissue Data'!$F:$F)</f>
        <v>Pumpkinseed</v>
      </c>
      <c r="E5116" t="str">
        <f>_xlfn.XLOOKUP(A5116,'[1]Tissue Data'!$A:$A,'[1]Tissue Data'!$H:$H)</f>
        <v>Lepomis</v>
      </c>
      <c r="F5116" t="str">
        <f>_xlfn.XLOOKUP(A5116,'[1]Tissue Data'!$A:$A,'[1]Tissue Data'!$I:$I)</f>
        <v>gibbosus</v>
      </c>
      <c r="G5116" t="str">
        <f>_xlfn.XLOOKUP(A5116,'[1]Tissue Data'!$A:$A,'[1]Tissue Data'!J:J)</f>
        <v>U</v>
      </c>
      <c r="H5116" t="str">
        <f>_xlfn.XLOOKUP(A5116,'[1]Tissue Data'!$A:$A,'[1]Tissue Data'!K:K)</f>
        <v>Whole Body</v>
      </c>
      <c r="I5116">
        <f>_xlfn.XLOOKUP(A5116,'[1]Tissue Data'!$A:$A,'[1]Tissue Data'!L:L)</f>
        <v>5.5</v>
      </c>
      <c r="J5116">
        <f>_xlfn.XLOOKUP(A5116,'[1]Tissue Data'!$A:$A,'[1]Tissue Data'!M:M)</f>
        <v>3.29</v>
      </c>
      <c r="K5116" t="s">
        <v>26</v>
      </c>
      <c r="L5116" t="str">
        <f>_xlfn.XLOOKUP(K5116,[2]analyte_order!$B:$B,[2]analyte_order!$C:$C)</f>
        <v>2706-91-4</v>
      </c>
      <c r="M5116">
        <f>_xlfn.XLOOKUP(L5116,[2]analyte_order!$C:$C,[2]analyte_order!$E:$E)</f>
        <v>15</v>
      </c>
      <c r="N5116">
        <v>7.2499999999999995E-2</v>
      </c>
    </row>
    <row r="5117" spans="1:14">
      <c r="A5117" t="s">
        <v>282</v>
      </c>
      <c r="B5117" t="str">
        <f>_xlfn.XLOOKUP(A5117,'[1]Tissue Data'!$A:$A,'[1]Tissue Data'!$C:$C)</f>
        <v>Spill</v>
      </c>
      <c r="C5117" s="2">
        <f>_xlfn.XLOOKUP(A5117,'[1]Tissue Data'!$A:$A,'[1]Tissue Data'!$D:$D)</f>
        <v>44393</v>
      </c>
      <c r="D5117" s="2" t="str">
        <f>_xlfn.XLOOKUP(A5117,'[1]Tissue Data'!$A:$A,'[1]Tissue Data'!$F:$F)</f>
        <v>Pumpkinseed</v>
      </c>
      <c r="E5117" t="str">
        <f>_xlfn.XLOOKUP(A5117,'[1]Tissue Data'!$A:$A,'[1]Tissue Data'!$H:$H)</f>
        <v>Lepomis</v>
      </c>
      <c r="F5117" t="str">
        <f>_xlfn.XLOOKUP(A5117,'[1]Tissue Data'!$A:$A,'[1]Tissue Data'!$I:$I)</f>
        <v>gibbosus</v>
      </c>
      <c r="G5117" t="str">
        <f>_xlfn.XLOOKUP(A5117,'[1]Tissue Data'!$A:$A,'[1]Tissue Data'!J:J)</f>
        <v>U</v>
      </c>
      <c r="H5117" t="str">
        <f>_xlfn.XLOOKUP(A5117,'[1]Tissue Data'!$A:$A,'[1]Tissue Data'!K:K)</f>
        <v>Whole Body</v>
      </c>
      <c r="I5117">
        <f>_xlfn.XLOOKUP(A5117,'[1]Tissue Data'!$A:$A,'[1]Tissue Data'!L:L)</f>
        <v>5.5</v>
      </c>
      <c r="J5117">
        <f>_xlfn.XLOOKUP(A5117,'[1]Tissue Data'!$A:$A,'[1]Tissue Data'!M:M)</f>
        <v>3.29</v>
      </c>
      <c r="K5117" t="s">
        <v>27</v>
      </c>
      <c r="L5117" t="str">
        <f>_xlfn.XLOOKUP(K5117,[2]analyte_order!$B:$B,[2]analyte_order!$C:$C)</f>
        <v>355-46-4</v>
      </c>
      <c r="M5117">
        <f>_xlfn.XLOOKUP(L5117,[2]analyte_order!$C:$C,[2]analyte_order!$E:$E)</f>
        <v>16</v>
      </c>
      <c r="N5117">
        <v>10.8</v>
      </c>
    </row>
    <row r="5118" spans="1:14">
      <c r="A5118" t="s">
        <v>282</v>
      </c>
      <c r="B5118" t="str">
        <f>_xlfn.XLOOKUP(A5118,'[1]Tissue Data'!$A:$A,'[1]Tissue Data'!$C:$C)</f>
        <v>Spill</v>
      </c>
      <c r="C5118" s="2">
        <f>_xlfn.XLOOKUP(A5118,'[1]Tissue Data'!$A:$A,'[1]Tissue Data'!$D:$D)</f>
        <v>44393</v>
      </c>
      <c r="D5118" s="2" t="str">
        <f>_xlfn.XLOOKUP(A5118,'[1]Tissue Data'!$A:$A,'[1]Tissue Data'!$F:$F)</f>
        <v>Pumpkinseed</v>
      </c>
      <c r="E5118" t="str">
        <f>_xlfn.XLOOKUP(A5118,'[1]Tissue Data'!$A:$A,'[1]Tissue Data'!$H:$H)</f>
        <v>Lepomis</v>
      </c>
      <c r="F5118" t="str">
        <f>_xlfn.XLOOKUP(A5118,'[1]Tissue Data'!$A:$A,'[1]Tissue Data'!$I:$I)</f>
        <v>gibbosus</v>
      </c>
      <c r="G5118" t="str">
        <f>_xlfn.XLOOKUP(A5118,'[1]Tissue Data'!$A:$A,'[1]Tissue Data'!J:J)</f>
        <v>U</v>
      </c>
      <c r="H5118" t="str">
        <f>_xlfn.XLOOKUP(A5118,'[1]Tissue Data'!$A:$A,'[1]Tissue Data'!K:K)</f>
        <v>Whole Body</v>
      </c>
      <c r="I5118">
        <f>_xlfn.XLOOKUP(A5118,'[1]Tissue Data'!$A:$A,'[1]Tissue Data'!L:L)</f>
        <v>5.5</v>
      </c>
      <c r="J5118">
        <f>_xlfn.XLOOKUP(A5118,'[1]Tissue Data'!$A:$A,'[1]Tissue Data'!M:M)</f>
        <v>3.29</v>
      </c>
      <c r="K5118" t="s">
        <v>28</v>
      </c>
      <c r="L5118" t="str">
        <f>_xlfn.XLOOKUP(K5118,[2]analyte_order!$B:$B,[2]analyte_order!$C:$C)</f>
        <v>375-92-8</v>
      </c>
      <c r="M5118">
        <f>_xlfn.XLOOKUP(L5118,[2]analyte_order!$C:$C,[2]analyte_order!$E:$E)</f>
        <v>17</v>
      </c>
      <c r="N5118">
        <v>1.61</v>
      </c>
    </row>
    <row r="5119" spans="1:14">
      <c r="A5119" t="s">
        <v>282</v>
      </c>
      <c r="B5119" t="str">
        <f>_xlfn.XLOOKUP(A5119,'[1]Tissue Data'!$A:$A,'[1]Tissue Data'!$C:$C)</f>
        <v>Spill</v>
      </c>
      <c r="C5119" s="2">
        <f>_xlfn.XLOOKUP(A5119,'[1]Tissue Data'!$A:$A,'[1]Tissue Data'!$D:$D)</f>
        <v>44393</v>
      </c>
      <c r="D5119" s="2" t="str">
        <f>_xlfn.XLOOKUP(A5119,'[1]Tissue Data'!$A:$A,'[1]Tissue Data'!$F:$F)</f>
        <v>Pumpkinseed</v>
      </c>
      <c r="E5119" t="str">
        <f>_xlfn.XLOOKUP(A5119,'[1]Tissue Data'!$A:$A,'[1]Tissue Data'!$H:$H)</f>
        <v>Lepomis</v>
      </c>
      <c r="F5119" t="str">
        <f>_xlfn.XLOOKUP(A5119,'[1]Tissue Data'!$A:$A,'[1]Tissue Data'!$I:$I)</f>
        <v>gibbosus</v>
      </c>
      <c r="G5119" t="str">
        <f>_xlfn.XLOOKUP(A5119,'[1]Tissue Data'!$A:$A,'[1]Tissue Data'!J:J)</f>
        <v>U</v>
      </c>
      <c r="H5119" t="str">
        <f>_xlfn.XLOOKUP(A5119,'[1]Tissue Data'!$A:$A,'[1]Tissue Data'!K:K)</f>
        <v>Whole Body</v>
      </c>
      <c r="I5119">
        <f>_xlfn.XLOOKUP(A5119,'[1]Tissue Data'!$A:$A,'[1]Tissue Data'!L:L)</f>
        <v>5.5</v>
      </c>
      <c r="J5119">
        <f>_xlfn.XLOOKUP(A5119,'[1]Tissue Data'!$A:$A,'[1]Tissue Data'!M:M)</f>
        <v>3.29</v>
      </c>
      <c r="K5119" t="s">
        <v>29</v>
      </c>
      <c r="L5119" t="str">
        <f>_xlfn.XLOOKUP(K5119,[2]analyte_order!$B:$B,[2]analyte_order!$C:$C)</f>
        <v>1763-23-1</v>
      </c>
      <c r="M5119">
        <f>_xlfn.XLOOKUP(L5119,[2]analyte_order!$C:$C,[2]analyte_order!$E:$E)</f>
        <v>18</v>
      </c>
      <c r="N5119">
        <v>992</v>
      </c>
    </row>
    <row r="5120" spans="1:14">
      <c r="A5120" t="s">
        <v>282</v>
      </c>
      <c r="B5120" t="str">
        <f>_xlfn.XLOOKUP(A5120,'[1]Tissue Data'!$A:$A,'[1]Tissue Data'!$C:$C)</f>
        <v>Spill</v>
      </c>
      <c r="C5120" s="2">
        <f>_xlfn.XLOOKUP(A5120,'[1]Tissue Data'!$A:$A,'[1]Tissue Data'!$D:$D)</f>
        <v>44393</v>
      </c>
      <c r="D5120" s="2" t="str">
        <f>_xlfn.XLOOKUP(A5120,'[1]Tissue Data'!$A:$A,'[1]Tissue Data'!$F:$F)</f>
        <v>Pumpkinseed</v>
      </c>
      <c r="E5120" t="str">
        <f>_xlfn.XLOOKUP(A5120,'[1]Tissue Data'!$A:$A,'[1]Tissue Data'!$H:$H)</f>
        <v>Lepomis</v>
      </c>
      <c r="F5120" t="str">
        <f>_xlfn.XLOOKUP(A5120,'[1]Tissue Data'!$A:$A,'[1]Tissue Data'!$I:$I)</f>
        <v>gibbosus</v>
      </c>
      <c r="G5120" t="str">
        <f>_xlfn.XLOOKUP(A5120,'[1]Tissue Data'!$A:$A,'[1]Tissue Data'!J:J)</f>
        <v>U</v>
      </c>
      <c r="H5120" t="str">
        <f>_xlfn.XLOOKUP(A5120,'[1]Tissue Data'!$A:$A,'[1]Tissue Data'!K:K)</f>
        <v>Whole Body</v>
      </c>
      <c r="I5120">
        <f>_xlfn.XLOOKUP(A5120,'[1]Tissue Data'!$A:$A,'[1]Tissue Data'!L:L)</f>
        <v>5.5</v>
      </c>
      <c r="J5120">
        <f>_xlfn.XLOOKUP(A5120,'[1]Tissue Data'!$A:$A,'[1]Tissue Data'!M:M)</f>
        <v>3.29</v>
      </c>
      <c r="K5120" t="s">
        <v>30</v>
      </c>
      <c r="L5120" t="str">
        <f>_xlfn.XLOOKUP(K5120,[2]analyte_order!$B:$B,[2]analyte_order!$C:$C)</f>
        <v>68259-12-1</v>
      </c>
      <c r="M5120">
        <f>_xlfn.XLOOKUP(L5120,[2]analyte_order!$C:$C,[2]analyte_order!$E:$E)</f>
        <v>19</v>
      </c>
      <c r="N5120">
        <v>2.52</v>
      </c>
    </row>
    <row r="5121" spans="1:14">
      <c r="A5121" t="s">
        <v>282</v>
      </c>
      <c r="B5121" t="str">
        <f>_xlfn.XLOOKUP(A5121,'[1]Tissue Data'!$A:$A,'[1]Tissue Data'!$C:$C)</f>
        <v>Spill</v>
      </c>
      <c r="C5121" s="2">
        <f>_xlfn.XLOOKUP(A5121,'[1]Tissue Data'!$A:$A,'[1]Tissue Data'!$D:$D)</f>
        <v>44393</v>
      </c>
      <c r="D5121" s="2" t="str">
        <f>_xlfn.XLOOKUP(A5121,'[1]Tissue Data'!$A:$A,'[1]Tissue Data'!$F:$F)</f>
        <v>Pumpkinseed</v>
      </c>
      <c r="E5121" t="str">
        <f>_xlfn.XLOOKUP(A5121,'[1]Tissue Data'!$A:$A,'[1]Tissue Data'!$H:$H)</f>
        <v>Lepomis</v>
      </c>
      <c r="F5121" t="str">
        <f>_xlfn.XLOOKUP(A5121,'[1]Tissue Data'!$A:$A,'[1]Tissue Data'!$I:$I)</f>
        <v>gibbosus</v>
      </c>
      <c r="G5121" t="str">
        <f>_xlfn.XLOOKUP(A5121,'[1]Tissue Data'!$A:$A,'[1]Tissue Data'!J:J)</f>
        <v>U</v>
      </c>
      <c r="H5121" t="str">
        <f>_xlfn.XLOOKUP(A5121,'[1]Tissue Data'!$A:$A,'[1]Tissue Data'!K:K)</f>
        <v>Whole Body</v>
      </c>
      <c r="I5121">
        <f>_xlfn.XLOOKUP(A5121,'[1]Tissue Data'!$A:$A,'[1]Tissue Data'!L:L)</f>
        <v>5.5</v>
      </c>
      <c r="J5121">
        <f>_xlfn.XLOOKUP(A5121,'[1]Tissue Data'!$A:$A,'[1]Tissue Data'!M:M)</f>
        <v>3.29</v>
      </c>
      <c r="K5121" t="s">
        <v>31</v>
      </c>
      <c r="L5121" t="str">
        <f>_xlfn.XLOOKUP(K5121,[2]analyte_order!$B:$B,[2]analyte_order!$C:$C)</f>
        <v>335-77-3</v>
      </c>
      <c r="M5121">
        <f>_xlfn.XLOOKUP(L5121,[2]analyte_order!$C:$C,[2]analyte_order!$E:$E)</f>
        <v>20</v>
      </c>
      <c r="N5121">
        <v>2.15</v>
      </c>
    </row>
    <row r="5122" spans="1:14">
      <c r="A5122" t="s">
        <v>282</v>
      </c>
      <c r="B5122" t="str">
        <f>_xlfn.XLOOKUP(A5122,'[1]Tissue Data'!$A:$A,'[1]Tissue Data'!$C:$C)</f>
        <v>Spill</v>
      </c>
      <c r="C5122" s="2">
        <f>_xlfn.XLOOKUP(A5122,'[1]Tissue Data'!$A:$A,'[1]Tissue Data'!$D:$D)</f>
        <v>44393</v>
      </c>
      <c r="D5122" s="2" t="str">
        <f>_xlfn.XLOOKUP(A5122,'[1]Tissue Data'!$A:$A,'[1]Tissue Data'!$F:$F)</f>
        <v>Pumpkinseed</v>
      </c>
      <c r="E5122" t="str">
        <f>_xlfn.XLOOKUP(A5122,'[1]Tissue Data'!$A:$A,'[1]Tissue Data'!$H:$H)</f>
        <v>Lepomis</v>
      </c>
      <c r="F5122" t="str">
        <f>_xlfn.XLOOKUP(A5122,'[1]Tissue Data'!$A:$A,'[1]Tissue Data'!$I:$I)</f>
        <v>gibbosus</v>
      </c>
      <c r="G5122" t="str">
        <f>_xlfn.XLOOKUP(A5122,'[1]Tissue Data'!$A:$A,'[1]Tissue Data'!J:J)</f>
        <v>U</v>
      </c>
      <c r="H5122" t="str">
        <f>_xlfn.XLOOKUP(A5122,'[1]Tissue Data'!$A:$A,'[1]Tissue Data'!K:K)</f>
        <v>Whole Body</v>
      </c>
      <c r="I5122">
        <f>_xlfn.XLOOKUP(A5122,'[1]Tissue Data'!$A:$A,'[1]Tissue Data'!L:L)</f>
        <v>5.5</v>
      </c>
      <c r="J5122">
        <f>_xlfn.XLOOKUP(A5122,'[1]Tissue Data'!$A:$A,'[1]Tissue Data'!M:M)</f>
        <v>3.29</v>
      </c>
      <c r="K5122" t="s">
        <v>32</v>
      </c>
      <c r="L5122" t="str">
        <f>_xlfn.XLOOKUP(K5122,[2]analyte_order!$B:$B,[2]analyte_order!$C:$C)</f>
        <v>79780-39-5</v>
      </c>
      <c r="M5122">
        <f>_xlfn.XLOOKUP(L5122,[2]analyte_order!$C:$C,[2]analyte_order!$E:$E)</f>
        <v>21</v>
      </c>
      <c r="N5122">
        <v>0.623</v>
      </c>
    </row>
    <row r="5123" spans="1:14">
      <c r="A5123" t="s">
        <v>282</v>
      </c>
      <c r="B5123" t="str">
        <f>_xlfn.XLOOKUP(A5123,'[1]Tissue Data'!$A:$A,'[1]Tissue Data'!$C:$C)</f>
        <v>Spill</v>
      </c>
      <c r="C5123" s="2">
        <f>_xlfn.XLOOKUP(A5123,'[1]Tissue Data'!$A:$A,'[1]Tissue Data'!$D:$D)</f>
        <v>44393</v>
      </c>
      <c r="D5123" s="2" t="str">
        <f>_xlfn.XLOOKUP(A5123,'[1]Tissue Data'!$A:$A,'[1]Tissue Data'!$F:$F)</f>
        <v>Pumpkinseed</v>
      </c>
      <c r="E5123" t="str">
        <f>_xlfn.XLOOKUP(A5123,'[1]Tissue Data'!$A:$A,'[1]Tissue Data'!$H:$H)</f>
        <v>Lepomis</v>
      </c>
      <c r="F5123" t="str">
        <f>_xlfn.XLOOKUP(A5123,'[1]Tissue Data'!$A:$A,'[1]Tissue Data'!$I:$I)</f>
        <v>gibbosus</v>
      </c>
      <c r="G5123" t="str">
        <f>_xlfn.XLOOKUP(A5123,'[1]Tissue Data'!$A:$A,'[1]Tissue Data'!J:J)</f>
        <v>U</v>
      </c>
      <c r="H5123" t="str">
        <f>_xlfn.XLOOKUP(A5123,'[1]Tissue Data'!$A:$A,'[1]Tissue Data'!K:K)</f>
        <v>Whole Body</v>
      </c>
      <c r="I5123">
        <f>_xlfn.XLOOKUP(A5123,'[1]Tissue Data'!$A:$A,'[1]Tissue Data'!L:L)</f>
        <v>5.5</v>
      </c>
      <c r="J5123">
        <f>_xlfn.XLOOKUP(A5123,'[1]Tissue Data'!$A:$A,'[1]Tissue Data'!M:M)</f>
        <v>3.29</v>
      </c>
      <c r="K5123" t="s">
        <v>33</v>
      </c>
      <c r="L5123" t="str">
        <f>_xlfn.XLOOKUP(K5123,[2]analyte_order!$B:$B,[2]analyte_order!$C:$C)</f>
        <v>777011-38-8</v>
      </c>
      <c r="M5123">
        <f>_xlfn.XLOOKUP(L5123,[2]analyte_order!$C:$C,[2]analyte_order!$E:$E)</f>
        <v>54</v>
      </c>
      <c r="N5123">
        <v>0.14549999999999999</v>
      </c>
    </row>
    <row r="5124" spans="1:14">
      <c r="A5124" t="s">
        <v>282</v>
      </c>
      <c r="B5124" t="str">
        <f>_xlfn.XLOOKUP(A5124,'[1]Tissue Data'!$A:$A,'[1]Tissue Data'!$C:$C)</f>
        <v>Spill</v>
      </c>
      <c r="C5124" s="2">
        <f>_xlfn.XLOOKUP(A5124,'[1]Tissue Data'!$A:$A,'[1]Tissue Data'!$D:$D)</f>
        <v>44393</v>
      </c>
      <c r="D5124" s="2" t="str">
        <f>_xlfn.XLOOKUP(A5124,'[1]Tissue Data'!$A:$A,'[1]Tissue Data'!$F:$F)</f>
        <v>Pumpkinseed</v>
      </c>
      <c r="E5124" t="str">
        <f>_xlfn.XLOOKUP(A5124,'[1]Tissue Data'!$A:$A,'[1]Tissue Data'!$H:$H)</f>
        <v>Lepomis</v>
      </c>
      <c r="F5124" t="str">
        <f>_xlfn.XLOOKUP(A5124,'[1]Tissue Data'!$A:$A,'[1]Tissue Data'!$I:$I)</f>
        <v>gibbosus</v>
      </c>
      <c r="G5124" t="str">
        <f>_xlfn.XLOOKUP(A5124,'[1]Tissue Data'!$A:$A,'[1]Tissue Data'!J:J)</f>
        <v>U</v>
      </c>
      <c r="H5124" t="str">
        <f>_xlfn.XLOOKUP(A5124,'[1]Tissue Data'!$A:$A,'[1]Tissue Data'!K:K)</f>
        <v>Whole Body</v>
      </c>
      <c r="I5124">
        <f>_xlfn.XLOOKUP(A5124,'[1]Tissue Data'!$A:$A,'[1]Tissue Data'!L:L)</f>
        <v>5.5</v>
      </c>
      <c r="J5124">
        <f>_xlfn.XLOOKUP(A5124,'[1]Tissue Data'!$A:$A,'[1]Tissue Data'!M:M)</f>
        <v>3.29</v>
      </c>
      <c r="K5124" t="s">
        <v>34</v>
      </c>
      <c r="L5124" t="str">
        <f>_xlfn.XLOOKUP(K5124,[2]analyte_order!$B:$B,[2]analyte_order!$C:$C)</f>
        <v>646-83-3</v>
      </c>
      <c r="M5124">
        <f>_xlfn.XLOOKUP(L5124,[2]analyte_order!$C:$C,[2]analyte_order!$E:$E)</f>
        <v>55</v>
      </c>
      <c r="N5124">
        <v>0.23949999999999999</v>
      </c>
    </row>
    <row r="5125" spans="1:14">
      <c r="A5125" t="s">
        <v>282</v>
      </c>
      <c r="B5125" t="str">
        <f>_xlfn.XLOOKUP(A5125,'[1]Tissue Data'!$A:$A,'[1]Tissue Data'!$C:$C)</f>
        <v>Spill</v>
      </c>
      <c r="C5125" s="2">
        <f>_xlfn.XLOOKUP(A5125,'[1]Tissue Data'!$A:$A,'[1]Tissue Data'!$D:$D)</f>
        <v>44393</v>
      </c>
      <c r="D5125" s="2" t="str">
        <f>_xlfn.XLOOKUP(A5125,'[1]Tissue Data'!$A:$A,'[1]Tissue Data'!$F:$F)</f>
        <v>Pumpkinseed</v>
      </c>
      <c r="E5125" t="str">
        <f>_xlfn.XLOOKUP(A5125,'[1]Tissue Data'!$A:$A,'[1]Tissue Data'!$H:$H)</f>
        <v>Lepomis</v>
      </c>
      <c r="F5125" t="str">
        <f>_xlfn.XLOOKUP(A5125,'[1]Tissue Data'!$A:$A,'[1]Tissue Data'!$I:$I)</f>
        <v>gibbosus</v>
      </c>
      <c r="G5125" t="str">
        <f>_xlfn.XLOOKUP(A5125,'[1]Tissue Data'!$A:$A,'[1]Tissue Data'!J:J)</f>
        <v>U</v>
      </c>
      <c r="H5125" t="str">
        <f>_xlfn.XLOOKUP(A5125,'[1]Tissue Data'!$A:$A,'[1]Tissue Data'!K:K)</f>
        <v>Whole Body</v>
      </c>
      <c r="I5125">
        <f>_xlfn.XLOOKUP(A5125,'[1]Tissue Data'!$A:$A,'[1]Tissue Data'!L:L)</f>
        <v>5.5</v>
      </c>
      <c r="J5125">
        <f>_xlfn.XLOOKUP(A5125,'[1]Tissue Data'!$A:$A,'[1]Tissue Data'!M:M)</f>
        <v>3.29</v>
      </c>
      <c r="K5125" t="s">
        <v>35</v>
      </c>
      <c r="L5125" t="str">
        <f>_xlfn.XLOOKUP(K5125,[2]analyte_order!$B:$B,[2]analyte_order!$C:$C)</f>
        <v>30334-69-1</v>
      </c>
      <c r="M5125">
        <f>_xlfn.XLOOKUP(L5125,[2]analyte_order!$C:$C,[2]analyte_order!$E:$E)</f>
        <v>51</v>
      </c>
      <c r="N5125">
        <v>28.2</v>
      </c>
    </row>
    <row r="5126" spans="1:14">
      <c r="A5126" t="s">
        <v>282</v>
      </c>
      <c r="B5126" t="str">
        <f>_xlfn.XLOOKUP(A5126,'[1]Tissue Data'!$A:$A,'[1]Tissue Data'!$C:$C)</f>
        <v>Spill</v>
      </c>
      <c r="C5126" s="2">
        <f>_xlfn.XLOOKUP(A5126,'[1]Tissue Data'!$A:$A,'[1]Tissue Data'!$D:$D)</f>
        <v>44393</v>
      </c>
      <c r="D5126" s="2" t="str">
        <f>_xlfn.XLOOKUP(A5126,'[1]Tissue Data'!$A:$A,'[1]Tissue Data'!$F:$F)</f>
        <v>Pumpkinseed</v>
      </c>
      <c r="E5126" t="str">
        <f>_xlfn.XLOOKUP(A5126,'[1]Tissue Data'!$A:$A,'[1]Tissue Data'!$H:$H)</f>
        <v>Lepomis</v>
      </c>
      <c r="F5126" t="str">
        <f>_xlfn.XLOOKUP(A5126,'[1]Tissue Data'!$A:$A,'[1]Tissue Data'!$I:$I)</f>
        <v>gibbosus</v>
      </c>
      <c r="G5126" t="str">
        <f>_xlfn.XLOOKUP(A5126,'[1]Tissue Data'!$A:$A,'[1]Tissue Data'!J:J)</f>
        <v>U</v>
      </c>
      <c r="H5126" t="str">
        <f>_xlfn.XLOOKUP(A5126,'[1]Tissue Data'!$A:$A,'[1]Tissue Data'!K:K)</f>
        <v>Whole Body</v>
      </c>
      <c r="I5126">
        <f>_xlfn.XLOOKUP(A5126,'[1]Tissue Data'!$A:$A,'[1]Tissue Data'!L:L)</f>
        <v>5.5</v>
      </c>
      <c r="J5126">
        <f>_xlfn.XLOOKUP(A5126,'[1]Tissue Data'!$A:$A,'[1]Tissue Data'!M:M)</f>
        <v>3.29</v>
      </c>
      <c r="K5126" t="s">
        <v>36</v>
      </c>
      <c r="L5126" t="str">
        <f>_xlfn.XLOOKUP(K5126,[2]analyte_order!$B:$B,[2]analyte_order!$C:$C)</f>
        <v>41997-13-1</v>
      </c>
      <c r="M5126">
        <f>_xlfn.XLOOKUP(L5126,[2]analyte_order!$C:$C,[2]analyte_order!$E:$E)</f>
        <v>52</v>
      </c>
      <c r="N5126">
        <v>54.6</v>
      </c>
    </row>
    <row r="5127" spans="1:14">
      <c r="A5127" t="s">
        <v>282</v>
      </c>
      <c r="B5127" t="str">
        <f>_xlfn.XLOOKUP(A5127,'[1]Tissue Data'!$A:$A,'[1]Tissue Data'!$C:$C)</f>
        <v>Spill</v>
      </c>
      <c r="C5127" s="2">
        <f>_xlfn.XLOOKUP(A5127,'[1]Tissue Data'!$A:$A,'[1]Tissue Data'!$D:$D)</f>
        <v>44393</v>
      </c>
      <c r="D5127" s="2" t="str">
        <f>_xlfn.XLOOKUP(A5127,'[1]Tissue Data'!$A:$A,'[1]Tissue Data'!$F:$F)</f>
        <v>Pumpkinseed</v>
      </c>
      <c r="E5127" t="str">
        <f>_xlfn.XLOOKUP(A5127,'[1]Tissue Data'!$A:$A,'[1]Tissue Data'!$H:$H)</f>
        <v>Lepomis</v>
      </c>
      <c r="F5127" t="str">
        <f>_xlfn.XLOOKUP(A5127,'[1]Tissue Data'!$A:$A,'[1]Tissue Data'!$I:$I)</f>
        <v>gibbosus</v>
      </c>
      <c r="G5127" t="str">
        <f>_xlfn.XLOOKUP(A5127,'[1]Tissue Data'!$A:$A,'[1]Tissue Data'!J:J)</f>
        <v>U</v>
      </c>
      <c r="H5127" t="str">
        <f>_xlfn.XLOOKUP(A5127,'[1]Tissue Data'!$A:$A,'[1]Tissue Data'!K:K)</f>
        <v>Whole Body</v>
      </c>
      <c r="I5127">
        <f>_xlfn.XLOOKUP(A5127,'[1]Tissue Data'!$A:$A,'[1]Tissue Data'!L:L)</f>
        <v>5.5</v>
      </c>
      <c r="J5127">
        <f>_xlfn.XLOOKUP(A5127,'[1]Tissue Data'!$A:$A,'[1]Tissue Data'!M:M)</f>
        <v>3.29</v>
      </c>
      <c r="K5127" t="s">
        <v>37</v>
      </c>
      <c r="L5127" t="str">
        <f>_xlfn.XLOOKUP(K5127,[2]analyte_order!$B:$B,[2]analyte_order!$C:$C)</f>
        <v>754-91-6</v>
      </c>
      <c r="M5127">
        <f>_xlfn.XLOOKUP(L5127,[2]analyte_order!$C:$C,[2]analyte_order!$E:$E)</f>
        <v>28</v>
      </c>
      <c r="N5127">
        <v>9.0500000000000007</v>
      </c>
    </row>
    <row r="5128" spans="1:14">
      <c r="A5128" t="s">
        <v>282</v>
      </c>
      <c r="B5128" t="str">
        <f>_xlfn.XLOOKUP(A5128,'[1]Tissue Data'!$A:$A,'[1]Tissue Data'!$C:$C)</f>
        <v>Spill</v>
      </c>
      <c r="C5128" s="2">
        <f>_xlfn.XLOOKUP(A5128,'[1]Tissue Data'!$A:$A,'[1]Tissue Data'!$D:$D)</f>
        <v>44393</v>
      </c>
      <c r="D5128" s="2" t="str">
        <f>_xlfn.XLOOKUP(A5128,'[1]Tissue Data'!$A:$A,'[1]Tissue Data'!$F:$F)</f>
        <v>Pumpkinseed</v>
      </c>
      <c r="E5128" t="str">
        <f>_xlfn.XLOOKUP(A5128,'[1]Tissue Data'!$A:$A,'[1]Tissue Data'!$H:$H)</f>
        <v>Lepomis</v>
      </c>
      <c r="F5128" t="str">
        <f>_xlfn.XLOOKUP(A5128,'[1]Tissue Data'!$A:$A,'[1]Tissue Data'!$I:$I)</f>
        <v>gibbosus</v>
      </c>
      <c r="G5128" t="str">
        <f>_xlfn.XLOOKUP(A5128,'[1]Tissue Data'!$A:$A,'[1]Tissue Data'!J:J)</f>
        <v>U</v>
      </c>
      <c r="H5128" t="str">
        <f>_xlfn.XLOOKUP(A5128,'[1]Tissue Data'!$A:$A,'[1]Tissue Data'!K:K)</f>
        <v>Whole Body</v>
      </c>
      <c r="I5128">
        <f>_xlfn.XLOOKUP(A5128,'[1]Tissue Data'!$A:$A,'[1]Tissue Data'!L:L)</f>
        <v>5.5</v>
      </c>
      <c r="J5128">
        <f>_xlfn.XLOOKUP(A5128,'[1]Tissue Data'!$A:$A,'[1]Tissue Data'!M:M)</f>
        <v>3.29</v>
      </c>
      <c r="K5128" t="s">
        <v>38</v>
      </c>
      <c r="L5128" t="str">
        <f>_xlfn.XLOOKUP(K5128,[2]analyte_order!$B:$B,[2]analyte_order!$C:$C)</f>
        <v>31506-32-8</v>
      </c>
      <c r="M5128">
        <f>_xlfn.XLOOKUP(L5128,[2]analyte_order!$C:$C,[2]analyte_order!$E:$E)</f>
        <v>30</v>
      </c>
      <c r="N5128">
        <v>7.2499999999999995E-2</v>
      </c>
    </row>
    <row r="5129" spans="1:14">
      <c r="A5129" t="s">
        <v>282</v>
      </c>
      <c r="B5129" t="str">
        <f>_xlfn.XLOOKUP(A5129,'[1]Tissue Data'!$A:$A,'[1]Tissue Data'!$C:$C)</f>
        <v>Spill</v>
      </c>
      <c r="C5129" s="2">
        <f>_xlfn.XLOOKUP(A5129,'[1]Tissue Data'!$A:$A,'[1]Tissue Data'!$D:$D)</f>
        <v>44393</v>
      </c>
      <c r="D5129" s="2" t="str">
        <f>_xlfn.XLOOKUP(A5129,'[1]Tissue Data'!$A:$A,'[1]Tissue Data'!$F:$F)</f>
        <v>Pumpkinseed</v>
      </c>
      <c r="E5129" t="str">
        <f>_xlfn.XLOOKUP(A5129,'[1]Tissue Data'!$A:$A,'[1]Tissue Data'!$H:$H)</f>
        <v>Lepomis</v>
      </c>
      <c r="F5129" t="str">
        <f>_xlfn.XLOOKUP(A5129,'[1]Tissue Data'!$A:$A,'[1]Tissue Data'!$I:$I)</f>
        <v>gibbosus</v>
      </c>
      <c r="G5129" t="str">
        <f>_xlfn.XLOOKUP(A5129,'[1]Tissue Data'!$A:$A,'[1]Tissue Data'!J:J)</f>
        <v>U</v>
      </c>
      <c r="H5129" t="str">
        <f>_xlfn.XLOOKUP(A5129,'[1]Tissue Data'!$A:$A,'[1]Tissue Data'!K:K)</f>
        <v>Whole Body</v>
      </c>
      <c r="I5129">
        <f>_xlfn.XLOOKUP(A5129,'[1]Tissue Data'!$A:$A,'[1]Tissue Data'!L:L)</f>
        <v>5.5</v>
      </c>
      <c r="J5129">
        <f>_xlfn.XLOOKUP(A5129,'[1]Tissue Data'!$A:$A,'[1]Tissue Data'!M:M)</f>
        <v>3.29</v>
      </c>
      <c r="K5129" t="s">
        <v>39</v>
      </c>
      <c r="L5129" t="str">
        <f>_xlfn.XLOOKUP(K5129,[2]analyte_order!$B:$B,[2]analyte_order!$C:$C)</f>
        <v>4151-50-2</v>
      </c>
      <c r="M5129">
        <f>_xlfn.XLOOKUP(L5129,[2]analyte_order!$C:$C,[2]analyte_order!$E:$E)</f>
        <v>31</v>
      </c>
      <c r="N5129">
        <v>8.4500000000000006E-2</v>
      </c>
    </row>
    <row r="5130" spans="1:14">
      <c r="A5130" t="s">
        <v>282</v>
      </c>
      <c r="B5130" t="str">
        <f>_xlfn.XLOOKUP(A5130,'[1]Tissue Data'!$A:$A,'[1]Tissue Data'!$C:$C)</f>
        <v>Spill</v>
      </c>
      <c r="C5130" s="2">
        <f>_xlfn.XLOOKUP(A5130,'[1]Tissue Data'!$A:$A,'[1]Tissue Data'!$D:$D)</f>
        <v>44393</v>
      </c>
      <c r="D5130" s="2" t="str">
        <f>_xlfn.XLOOKUP(A5130,'[1]Tissue Data'!$A:$A,'[1]Tissue Data'!$F:$F)</f>
        <v>Pumpkinseed</v>
      </c>
      <c r="E5130" t="str">
        <f>_xlfn.XLOOKUP(A5130,'[1]Tissue Data'!$A:$A,'[1]Tissue Data'!$H:$H)</f>
        <v>Lepomis</v>
      </c>
      <c r="F5130" t="str">
        <f>_xlfn.XLOOKUP(A5130,'[1]Tissue Data'!$A:$A,'[1]Tissue Data'!$I:$I)</f>
        <v>gibbosus</v>
      </c>
      <c r="G5130" t="str">
        <f>_xlfn.XLOOKUP(A5130,'[1]Tissue Data'!$A:$A,'[1]Tissue Data'!J:J)</f>
        <v>U</v>
      </c>
      <c r="H5130" t="str">
        <f>_xlfn.XLOOKUP(A5130,'[1]Tissue Data'!$A:$A,'[1]Tissue Data'!K:K)</f>
        <v>Whole Body</v>
      </c>
      <c r="I5130">
        <f>_xlfn.XLOOKUP(A5130,'[1]Tissue Data'!$A:$A,'[1]Tissue Data'!L:L)</f>
        <v>5.5</v>
      </c>
      <c r="J5130">
        <f>_xlfn.XLOOKUP(A5130,'[1]Tissue Data'!$A:$A,'[1]Tissue Data'!M:M)</f>
        <v>3.29</v>
      </c>
      <c r="K5130" t="s">
        <v>40</v>
      </c>
      <c r="L5130" t="str">
        <f>_xlfn.XLOOKUP(K5130,[2]analyte_order!$B:$B,[2]analyte_order!$C:$C)</f>
        <v>2806-24-8</v>
      </c>
      <c r="M5130">
        <f>_xlfn.XLOOKUP(L5130,[2]analyte_order!$C:$C,[2]analyte_order!$E:$E)</f>
        <v>29</v>
      </c>
      <c r="N5130">
        <v>5.7000000000000002E-2</v>
      </c>
    </row>
    <row r="5131" spans="1:14">
      <c r="A5131" t="s">
        <v>282</v>
      </c>
      <c r="B5131" t="str">
        <f>_xlfn.XLOOKUP(A5131,'[1]Tissue Data'!$A:$A,'[1]Tissue Data'!$C:$C)</f>
        <v>Spill</v>
      </c>
      <c r="C5131" s="2">
        <f>_xlfn.XLOOKUP(A5131,'[1]Tissue Data'!$A:$A,'[1]Tissue Data'!$D:$D)</f>
        <v>44393</v>
      </c>
      <c r="D5131" s="2" t="str">
        <f>_xlfn.XLOOKUP(A5131,'[1]Tissue Data'!$A:$A,'[1]Tissue Data'!$F:$F)</f>
        <v>Pumpkinseed</v>
      </c>
      <c r="E5131" t="str">
        <f>_xlfn.XLOOKUP(A5131,'[1]Tissue Data'!$A:$A,'[1]Tissue Data'!$H:$H)</f>
        <v>Lepomis</v>
      </c>
      <c r="F5131" t="str">
        <f>_xlfn.XLOOKUP(A5131,'[1]Tissue Data'!$A:$A,'[1]Tissue Data'!$I:$I)</f>
        <v>gibbosus</v>
      </c>
      <c r="G5131" t="str">
        <f>_xlfn.XLOOKUP(A5131,'[1]Tissue Data'!$A:$A,'[1]Tissue Data'!J:J)</f>
        <v>U</v>
      </c>
      <c r="H5131" t="str">
        <f>_xlfn.XLOOKUP(A5131,'[1]Tissue Data'!$A:$A,'[1]Tissue Data'!K:K)</f>
        <v>Whole Body</v>
      </c>
      <c r="I5131">
        <f>_xlfn.XLOOKUP(A5131,'[1]Tissue Data'!$A:$A,'[1]Tissue Data'!L:L)</f>
        <v>5.5</v>
      </c>
      <c r="J5131">
        <f>_xlfn.XLOOKUP(A5131,'[1]Tissue Data'!$A:$A,'[1]Tissue Data'!M:M)</f>
        <v>3.29</v>
      </c>
      <c r="K5131" t="s">
        <v>41</v>
      </c>
      <c r="L5131" t="str">
        <f>_xlfn.XLOOKUP(K5131,[2]analyte_order!$B:$B,[2]analyte_order!$C:$C)</f>
        <v>2355-31-9</v>
      </c>
      <c r="M5131">
        <f>_xlfn.XLOOKUP(L5131,[2]analyte_order!$C:$C,[2]analyte_order!$E:$E)</f>
        <v>26</v>
      </c>
      <c r="N5131">
        <v>7.2999999999999995E-2</v>
      </c>
    </row>
    <row r="5132" spans="1:14">
      <c r="A5132" t="s">
        <v>282</v>
      </c>
      <c r="B5132" t="str">
        <f>_xlfn.XLOOKUP(A5132,'[1]Tissue Data'!$A:$A,'[1]Tissue Data'!$C:$C)</f>
        <v>Spill</v>
      </c>
      <c r="C5132" s="2">
        <f>_xlfn.XLOOKUP(A5132,'[1]Tissue Data'!$A:$A,'[1]Tissue Data'!$D:$D)</f>
        <v>44393</v>
      </c>
      <c r="D5132" s="2" t="str">
        <f>_xlfn.XLOOKUP(A5132,'[1]Tissue Data'!$A:$A,'[1]Tissue Data'!$F:$F)</f>
        <v>Pumpkinseed</v>
      </c>
      <c r="E5132" t="str">
        <f>_xlfn.XLOOKUP(A5132,'[1]Tissue Data'!$A:$A,'[1]Tissue Data'!$H:$H)</f>
        <v>Lepomis</v>
      </c>
      <c r="F5132" t="str">
        <f>_xlfn.XLOOKUP(A5132,'[1]Tissue Data'!$A:$A,'[1]Tissue Data'!$I:$I)</f>
        <v>gibbosus</v>
      </c>
      <c r="G5132" t="str">
        <f>_xlfn.XLOOKUP(A5132,'[1]Tissue Data'!$A:$A,'[1]Tissue Data'!J:J)</f>
        <v>U</v>
      </c>
      <c r="H5132" t="str">
        <f>_xlfn.XLOOKUP(A5132,'[1]Tissue Data'!$A:$A,'[1]Tissue Data'!K:K)</f>
        <v>Whole Body</v>
      </c>
      <c r="I5132">
        <f>_xlfn.XLOOKUP(A5132,'[1]Tissue Data'!$A:$A,'[1]Tissue Data'!L:L)</f>
        <v>5.5</v>
      </c>
      <c r="J5132">
        <f>_xlfn.XLOOKUP(A5132,'[1]Tissue Data'!$A:$A,'[1]Tissue Data'!M:M)</f>
        <v>3.29</v>
      </c>
      <c r="K5132" t="s">
        <v>42</v>
      </c>
      <c r="L5132" t="str">
        <f>_xlfn.XLOOKUP(K5132,[2]analyte_order!$B:$B,[2]analyte_order!$C:$C)</f>
        <v>2991-50-6</v>
      </c>
      <c r="M5132">
        <f>_xlfn.XLOOKUP(L5132,[2]analyte_order!$C:$C,[2]analyte_order!$E:$E)</f>
        <v>27</v>
      </c>
      <c r="N5132">
        <v>6.3E-2</v>
      </c>
    </row>
    <row r="5133" spans="1:14">
      <c r="A5133" t="s">
        <v>282</v>
      </c>
      <c r="B5133" t="str">
        <f>_xlfn.XLOOKUP(A5133,'[1]Tissue Data'!$A:$A,'[1]Tissue Data'!$C:$C)</f>
        <v>Spill</v>
      </c>
      <c r="C5133" s="2">
        <f>_xlfn.XLOOKUP(A5133,'[1]Tissue Data'!$A:$A,'[1]Tissue Data'!$D:$D)</f>
        <v>44393</v>
      </c>
      <c r="D5133" s="2" t="str">
        <f>_xlfn.XLOOKUP(A5133,'[1]Tissue Data'!$A:$A,'[1]Tissue Data'!$F:$F)</f>
        <v>Pumpkinseed</v>
      </c>
      <c r="E5133" t="str">
        <f>_xlfn.XLOOKUP(A5133,'[1]Tissue Data'!$A:$A,'[1]Tissue Data'!$H:$H)</f>
        <v>Lepomis</v>
      </c>
      <c r="F5133" t="str">
        <f>_xlfn.XLOOKUP(A5133,'[1]Tissue Data'!$A:$A,'[1]Tissue Data'!$I:$I)</f>
        <v>gibbosus</v>
      </c>
      <c r="G5133" t="str">
        <f>_xlfn.XLOOKUP(A5133,'[1]Tissue Data'!$A:$A,'[1]Tissue Data'!J:J)</f>
        <v>U</v>
      </c>
      <c r="H5133" t="str">
        <f>_xlfn.XLOOKUP(A5133,'[1]Tissue Data'!$A:$A,'[1]Tissue Data'!K:K)</f>
        <v>Whole Body</v>
      </c>
      <c r="I5133">
        <f>_xlfn.XLOOKUP(A5133,'[1]Tissue Data'!$A:$A,'[1]Tissue Data'!L:L)</f>
        <v>5.5</v>
      </c>
      <c r="J5133">
        <f>_xlfn.XLOOKUP(A5133,'[1]Tissue Data'!$A:$A,'[1]Tissue Data'!M:M)</f>
        <v>3.29</v>
      </c>
      <c r="K5133" t="s">
        <v>43</v>
      </c>
      <c r="L5133" t="str">
        <f>_xlfn.XLOOKUP(K5133,[2]analyte_order!$B:$B,[2]analyte_order!$C:$C)</f>
        <v>757124-72-4</v>
      </c>
      <c r="M5133">
        <f>_xlfn.XLOOKUP(L5133,[2]analyte_order!$C:$C,[2]analyte_order!$E:$E)</f>
        <v>22</v>
      </c>
      <c r="N5133">
        <v>7.2499999999999995E-2</v>
      </c>
    </row>
    <row r="5134" spans="1:14">
      <c r="A5134" t="s">
        <v>282</v>
      </c>
      <c r="B5134" t="str">
        <f>_xlfn.XLOOKUP(A5134,'[1]Tissue Data'!$A:$A,'[1]Tissue Data'!$C:$C)</f>
        <v>Spill</v>
      </c>
      <c r="C5134" s="2">
        <f>_xlfn.XLOOKUP(A5134,'[1]Tissue Data'!$A:$A,'[1]Tissue Data'!$D:$D)</f>
        <v>44393</v>
      </c>
      <c r="D5134" s="2" t="str">
        <f>_xlfn.XLOOKUP(A5134,'[1]Tissue Data'!$A:$A,'[1]Tissue Data'!$F:$F)</f>
        <v>Pumpkinseed</v>
      </c>
      <c r="E5134" t="str">
        <f>_xlfn.XLOOKUP(A5134,'[1]Tissue Data'!$A:$A,'[1]Tissue Data'!$H:$H)</f>
        <v>Lepomis</v>
      </c>
      <c r="F5134" t="str">
        <f>_xlfn.XLOOKUP(A5134,'[1]Tissue Data'!$A:$A,'[1]Tissue Data'!$I:$I)</f>
        <v>gibbosus</v>
      </c>
      <c r="G5134" t="str">
        <f>_xlfn.XLOOKUP(A5134,'[1]Tissue Data'!$A:$A,'[1]Tissue Data'!J:J)</f>
        <v>U</v>
      </c>
      <c r="H5134" t="str">
        <f>_xlfn.XLOOKUP(A5134,'[1]Tissue Data'!$A:$A,'[1]Tissue Data'!K:K)</f>
        <v>Whole Body</v>
      </c>
      <c r="I5134">
        <f>_xlfn.XLOOKUP(A5134,'[1]Tissue Data'!$A:$A,'[1]Tissue Data'!L:L)</f>
        <v>5.5</v>
      </c>
      <c r="J5134">
        <f>_xlfn.XLOOKUP(A5134,'[1]Tissue Data'!$A:$A,'[1]Tissue Data'!M:M)</f>
        <v>3.29</v>
      </c>
      <c r="K5134" t="s">
        <v>44</v>
      </c>
      <c r="L5134" t="str">
        <f>_xlfn.XLOOKUP(K5134,[2]analyte_order!$B:$B,[2]analyte_order!$C:$C)</f>
        <v>27619-97-2</v>
      </c>
      <c r="M5134">
        <f>_xlfn.XLOOKUP(L5134,[2]analyte_order!$C:$C,[2]analyte_order!$E:$E)</f>
        <v>23</v>
      </c>
      <c r="N5134">
        <v>0.70899999999999996</v>
      </c>
    </row>
    <row r="5135" spans="1:14">
      <c r="A5135" t="s">
        <v>282</v>
      </c>
      <c r="B5135" t="str">
        <f>_xlfn.XLOOKUP(A5135,'[1]Tissue Data'!$A:$A,'[1]Tissue Data'!$C:$C)</f>
        <v>Spill</v>
      </c>
      <c r="C5135" s="2">
        <f>_xlfn.XLOOKUP(A5135,'[1]Tissue Data'!$A:$A,'[1]Tissue Data'!$D:$D)</f>
        <v>44393</v>
      </c>
      <c r="D5135" s="2" t="str">
        <f>_xlfn.XLOOKUP(A5135,'[1]Tissue Data'!$A:$A,'[1]Tissue Data'!$F:$F)</f>
        <v>Pumpkinseed</v>
      </c>
      <c r="E5135" t="str">
        <f>_xlfn.XLOOKUP(A5135,'[1]Tissue Data'!$A:$A,'[1]Tissue Data'!$H:$H)</f>
        <v>Lepomis</v>
      </c>
      <c r="F5135" t="str">
        <f>_xlfn.XLOOKUP(A5135,'[1]Tissue Data'!$A:$A,'[1]Tissue Data'!$I:$I)</f>
        <v>gibbosus</v>
      </c>
      <c r="G5135" t="str">
        <f>_xlfn.XLOOKUP(A5135,'[1]Tissue Data'!$A:$A,'[1]Tissue Data'!J:J)</f>
        <v>U</v>
      </c>
      <c r="H5135" t="str">
        <f>_xlfn.XLOOKUP(A5135,'[1]Tissue Data'!$A:$A,'[1]Tissue Data'!K:K)</f>
        <v>Whole Body</v>
      </c>
      <c r="I5135">
        <f>_xlfn.XLOOKUP(A5135,'[1]Tissue Data'!$A:$A,'[1]Tissue Data'!L:L)</f>
        <v>5.5</v>
      </c>
      <c r="J5135">
        <f>_xlfn.XLOOKUP(A5135,'[1]Tissue Data'!$A:$A,'[1]Tissue Data'!M:M)</f>
        <v>3.29</v>
      </c>
      <c r="K5135" t="s">
        <v>45</v>
      </c>
      <c r="L5135" t="str">
        <f>_xlfn.XLOOKUP(K5135,[2]analyte_order!$B:$B,[2]analyte_order!$C:$C)</f>
        <v>39108-34-4</v>
      </c>
      <c r="M5135">
        <f>_xlfn.XLOOKUP(L5135,[2]analyte_order!$C:$C,[2]analyte_order!$E:$E)</f>
        <v>24</v>
      </c>
      <c r="N5135">
        <v>4.3499999999999996</v>
      </c>
    </row>
    <row r="5136" spans="1:14">
      <c r="A5136" t="s">
        <v>282</v>
      </c>
      <c r="B5136" t="str">
        <f>_xlfn.XLOOKUP(A5136,'[1]Tissue Data'!$A:$A,'[1]Tissue Data'!$C:$C)</f>
        <v>Spill</v>
      </c>
      <c r="C5136" s="2">
        <f>_xlfn.XLOOKUP(A5136,'[1]Tissue Data'!$A:$A,'[1]Tissue Data'!$D:$D)</f>
        <v>44393</v>
      </c>
      <c r="D5136" s="2" t="str">
        <f>_xlfn.XLOOKUP(A5136,'[1]Tissue Data'!$A:$A,'[1]Tissue Data'!$F:$F)</f>
        <v>Pumpkinseed</v>
      </c>
      <c r="E5136" t="str">
        <f>_xlfn.XLOOKUP(A5136,'[1]Tissue Data'!$A:$A,'[1]Tissue Data'!$H:$H)</f>
        <v>Lepomis</v>
      </c>
      <c r="F5136" t="str">
        <f>_xlfn.XLOOKUP(A5136,'[1]Tissue Data'!$A:$A,'[1]Tissue Data'!$I:$I)</f>
        <v>gibbosus</v>
      </c>
      <c r="G5136" t="str">
        <f>_xlfn.XLOOKUP(A5136,'[1]Tissue Data'!$A:$A,'[1]Tissue Data'!J:J)</f>
        <v>U</v>
      </c>
      <c r="H5136" t="str">
        <f>_xlfn.XLOOKUP(A5136,'[1]Tissue Data'!$A:$A,'[1]Tissue Data'!K:K)</f>
        <v>Whole Body</v>
      </c>
      <c r="I5136">
        <f>_xlfn.XLOOKUP(A5136,'[1]Tissue Data'!$A:$A,'[1]Tissue Data'!L:L)</f>
        <v>5.5</v>
      </c>
      <c r="J5136">
        <f>_xlfn.XLOOKUP(A5136,'[1]Tissue Data'!$A:$A,'[1]Tissue Data'!M:M)</f>
        <v>3.29</v>
      </c>
      <c r="K5136" t="s">
        <v>46</v>
      </c>
      <c r="L5136" t="str">
        <f>_xlfn.XLOOKUP(K5136,[2]analyte_order!$B:$B,[2]analyte_order!$C:$C)</f>
        <v>120226-60-0</v>
      </c>
      <c r="M5136">
        <f>_xlfn.XLOOKUP(L5136,[2]analyte_order!$C:$C,[2]analyte_order!$E:$E)</f>
        <v>25</v>
      </c>
      <c r="N5136">
        <v>0.27200000000000002</v>
      </c>
    </row>
    <row r="5137" spans="1:14">
      <c r="A5137" t="s">
        <v>282</v>
      </c>
      <c r="B5137" t="str">
        <f>_xlfn.XLOOKUP(A5137,'[1]Tissue Data'!$A:$A,'[1]Tissue Data'!$C:$C)</f>
        <v>Spill</v>
      </c>
      <c r="C5137" s="2">
        <f>_xlfn.XLOOKUP(A5137,'[1]Tissue Data'!$A:$A,'[1]Tissue Data'!$D:$D)</f>
        <v>44393</v>
      </c>
      <c r="D5137" s="2" t="str">
        <f>_xlfn.XLOOKUP(A5137,'[1]Tissue Data'!$A:$A,'[1]Tissue Data'!$F:$F)</f>
        <v>Pumpkinseed</v>
      </c>
      <c r="E5137" t="str">
        <f>_xlfn.XLOOKUP(A5137,'[1]Tissue Data'!$A:$A,'[1]Tissue Data'!$H:$H)</f>
        <v>Lepomis</v>
      </c>
      <c r="F5137" t="str">
        <f>_xlfn.XLOOKUP(A5137,'[1]Tissue Data'!$A:$A,'[1]Tissue Data'!$I:$I)</f>
        <v>gibbosus</v>
      </c>
      <c r="G5137" t="str">
        <f>_xlfn.XLOOKUP(A5137,'[1]Tissue Data'!$A:$A,'[1]Tissue Data'!J:J)</f>
        <v>U</v>
      </c>
      <c r="H5137" t="str">
        <f>_xlfn.XLOOKUP(A5137,'[1]Tissue Data'!$A:$A,'[1]Tissue Data'!K:K)</f>
        <v>Whole Body</v>
      </c>
      <c r="I5137">
        <f>_xlfn.XLOOKUP(A5137,'[1]Tissue Data'!$A:$A,'[1]Tissue Data'!L:L)</f>
        <v>5.5</v>
      </c>
      <c r="J5137">
        <f>_xlfn.XLOOKUP(A5137,'[1]Tissue Data'!$A:$A,'[1]Tissue Data'!M:M)</f>
        <v>3.29</v>
      </c>
      <c r="K5137" t="s">
        <v>47</v>
      </c>
      <c r="L5137" t="str">
        <f>_xlfn.XLOOKUP(K5137,[2]analyte_order!$B:$B,[2]analyte_order!$C:$C)</f>
        <v>356-02-5</v>
      </c>
      <c r="M5137">
        <f>_xlfn.XLOOKUP(L5137,[2]analyte_order!$C:$C,[2]analyte_order!$E:$E)</f>
        <v>38</v>
      </c>
      <c r="N5137">
        <v>8.3500000000000005E-2</v>
      </c>
    </row>
    <row r="5138" spans="1:14">
      <c r="A5138" t="s">
        <v>282</v>
      </c>
      <c r="B5138" t="str">
        <f>_xlfn.XLOOKUP(A5138,'[1]Tissue Data'!$A:$A,'[1]Tissue Data'!$C:$C)</f>
        <v>Spill</v>
      </c>
      <c r="C5138" s="2">
        <f>_xlfn.XLOOKUP(A5138,'[1]Tissue Data'!$A:$A,'[1]Tissue Data'!$D:$D)</f>
        <v>44393</v>
      </c>
      <c r="D5138" s="2" t="str">
        <f>_xlfn.XLOOKUP(A5138,'[1]Tissue Data'!$A:$A,'[1]Tissue Data'!$F:$F)</f>
        <v>Pumpkinseed</v>
      </c>
      <c r="E5138" t="str">
        <f>_xlfn.XLOOKUP(A5138,'[1]Tissue Data'!$A:$A,'[1]Tissue Data'!$H:$H)</f>
        <v>Lepomis</v>
      </c>
      <c r="F5138" t="str">
        <f>_xlfn.XLOOKUP(A5138,'[1]Tissue Data'!$A:$A,'[1]Tissue Data'!$I:$I)</f>
        <v>gibbosus</v>
      </c>
      <c r="G5138" t="str">
        <f>_xlfn.XLOOKUP(A5138,'[1]Tissue Data'!$A:$A,'[1]Tissue Data'!J:J)</f>
        <v>U</v>
      </c>
      <c r="H5138" t="str">
        <f>_xlfn.XLOOKUP(A5138,'[1]Tissue Data'!$A:$A,'[1]Tissue Data'!K:K)</f>
        <v>Whole Body</v>
      </c>
      <c r="I5138">
        <f>_xlfn.XLOOKUP(A5138,'[1]Tissue Data'!$A:$A,'[1]Tissue Data'!L:L)</f>
        <v>5.5</v>
      </c>
      <c r="J5138">
        <f>_xlfn.XLOOKUP(A5138,'[1]Tissue Data'!$A:$A,'[1]Tissue Data'!M:M)</f>
        <v>3.29</v>
      </c>
      <c r="K5138" t="s">
        <v>48</v>
      </c>
      <c r="L5138" t="str">
        <f>_xlfn.XLOOKUP(K5138,[2]analyte_order!$B:$B,[2]analyte_order!$C:$C)</f>
        <v>914637-49-3</v>
      </c>
      <c r="M5138">
        <f>_xlfn.XLOOKUP(L5138,[2]analyte_order!$C:$C,[2]analyte_order!$E:$E)</f>
        <v>39</v>
      </c>
      <c r="N5138">
        <v>11</v>
      </c>
    </row>
    <row r="5139" spans="1:14">
      <c r="A5139" t="s">
        <v>282</v>
      </c>
      <c r="B5139" t="str">
        <f>_xlfn.XLOOKUP(A5139,'[1]Tissue Data'!$A:$A,'[1]Tissue Data'!$C:$C)</f>
        <v>Spill</v>
      </c>
      <c r="C5139" s="2">
        <f>_xlfn.XLOOKUP(A5139,'[1]Tissue Data'!$A:$A,'[1]Tissue Data'!$D:$D)</f>
        <v>44393</v>
      </c>
      <c r="D5139" s="2" t="str">
        <f>_xlfn.XLOOKUP(A5139,'[1]Tissue Data'!$A:$A,'[1]Tissue Data'!$F:$F)</f>
        <v>Pumpkinseed</v>
      </c>
      <c r="E5139" t="str">
        <f>_xlfn.XLOOKUP(A5139,'[1]Tissue Data'!$A:$A,'[1]Tissue Data'!$H:$H)</f>
        <v>Lepomis</v>
      </c>
      <c r="F5139" t="str">
        <f>_xlfn.XLOOKUP(A5139,'[1]Tissue Data'!$A:$A,'[1]Tissue Data'!$I:$I)</f>
        <v>gibbosus</v>
      </c>
      <c r="G5139" t="str">
        <f>_xlfn.XLOOKUP(A5139,'[1]Tissue Data'!$A:$A,'[1]Tissue Data'!J:J)</f>
        <v>U</v>
      </c>
      <c r="H5139" t="str">
        <f>_xlfn.XLOOKUP(A5139,'[1]Tissue Data'!$A:$A,'[1]Tissue Data'!K:K)</f>
        <v>Whole Body</v>
      </c>
      <c r="I5139">
        <f>_xlfn.XLOOKUP(A5139,'[1]Tissue Data'!$A:$A,'[1]Tissue Data'!L:L)</f>
        <v>5.5</v>
      </c>
      <c r="J5139">
        <f>_xlfn.XLOOKUP(A5139,'[1]Tissue Data'!$A:$A,'[1]Tissue Data'!M:M)</f>
        <v>3.29</v>
      </c>
      <c r="K5139" t="s">
        <v>49</v>
      </c>
      <c r="L5139" t="str">
        <f>_xlfn.XLOOKUP(K5139,[2]analyte_order!$B:$B,[2]analyte_order!$C:$C)</f>
        <v>812-70-4</v>
      </c>
      <c r="M5139">
        <f>_xlfn.XLOOKUP(L5139,[2]analyte_order!$C:$C,[2]analyte_order!$E:$E)</f>
        <v>40</v>
      </c>
      <c r="N5139">
        <v>6.75</v>
      </c>
    </row>
    <row r="5140" spans="1:14">
      <c r="A5140" t="s">
        <v>282</v>
      </c>
      <c r="B5140" t="str">
        <f>_xlfn.XLOOKUP(A5140,'[1]Tissue Data'!$A:$A,'[1]Tissue Data'!$C:$C)</f>
        <v>Spill</v>
      </c>
      <c r="C5140" s="2">
        <f>_xlfn.XLOOKUP(A5140,'[1]Tissue Data'!$A:$A,'[1]Tissue Data'!$D:$D)</f>
        <v>44393</v>
      </c>
      <c r="D5140" s="2" t="str">
        <f>_xlfn.XLOOKUP(A5140,'[1]Tissue Data'!$A:$A,'[1]Tissue Data'!$F:$F)</f>
        <v>Pumpkinseed</v>
      </c>
      <c r="E5140" t="str">
        <f>_xlfn.XLOOKUP(A5140,'[1]Tissue Data'!$A:$A,'[1]Tissue Data'!$H:$H)</f>
        <v>Lepomis</v>
      </c>
      <c r="F5140" t="str">
        <f>_xlfn.XLOOKUP(A5140,'[1]Tissue Data'!$A:$A,'[1]Tissue Data'!$I:$I)</f>
        <v>gibbosus</v>
      </c>
      <c r="G5140" t="str">
        <f>_xlfn.XLOOKUP(A5140,'[1]Tissue Data'!$A:$A,'[1]Tissue Data'!J:J)</f>
        <v>U</v>
      </c>
      <c r="H5140" t="str">
        <f>_xlfn.XLOOKUP(A5140,'[1]Tissue Data'!$A:$A,'[1]Tissue Data'!K:K)</f>
        <v>Whole Body</v>
      </c>
      <c r="I5140">
        <f>_xlfn.XLOOKUP(A5140,'[1]Tissue Data'!$A:$A,'[1]Tissue Data'!L:L)</f>
        <v>5.5</v>
      </c>
      <c r="J5140">
        <f>_xlfn.XLOOKUP(A5140,'[1]Tissue Data'!$A:$A,'[1]Tissue Data'!M:M)</f>
        <v>3.29</v>
      </c>
      <c r="K5140" t="s">
        <v>50</v>
      </c>
      <c r="L5140" t="str">
        <f>_xlfn.XLOOKUP(K5140,[2]analyte_order!$B:$B,[2]analyte_order!$C:$C)</f>
        <v>53826-12-3</v>
      </c>
      <c r="M5140">
        <f>_xlfn.XLOOKUP(L5140,[2]analyte_order!$C:$C,[2]analyte_order!$E:$E)</f>
        <v>41</v>
      </c>
      <c r="N5140">
        <v>7.2499999999999995E-2</v>
      </c>
    </row>
    <row r="5141" spans="1:14">
      <c r="A5141" t="s">
        <v>282</v>
      </c>
      <c r="B5141" t="str">
        <f>_xlfn.XLOOKUP(A5141,'[1]Tissue Data'!$A:$A,'[1]Tissue Data'!$C:$C)</f>
        <v>Spill</v>
      </c>
      <c r="C5141" s="2">
        <f>_xlfn.XLOOKUP(A5141,'[1]Tissue Data'!$A:$A,'[1]Tissue Data'!$D:$D)</f>
        <v>44393</v>
      </c>
      <c r="D5141" s="2" t="str">
        <f>_xlfn.XLOOKUP(A5141,'[1]Tissue Data'!$A:$A,'[1]Tissue Data'!$F:$F)</f>
        <v>Pumpkinseed</v>
      </c>
      <c r="E5141" t="str">
        <f>_xlfn.XLOOKUP(A5141,'[1]Tissue Data'!$A:$A,'[1]Tissue Data'!$H:$H)</f>
        <v>Lepomis</v>
      </c>
      <c r="F5141" t="str">
        <f>_xlfn.XLOOKUP(A5141,'[1]Tissue Data'!$A:$A,'[1]Tissue Data'!$I:$I)</f>
        <v>gibbosus</v>
      </c>
      <c r="G5141" t="str">
        <f>_xlfn.XLOOKUP(A5141,'[1]Tissue Data'!$A:$A,'[1]Tissue Data'!J:J)</f>
        <v>U</v>
      </c>
      <c r="H5141" t="str">
        <f>_xlfn.XLOOKUP(A5141,'[1]Tissue Data'!$A:$A,'[1]Tissue Data'!K:K)</f>
        <v>Whole Body</v>
      </c>
      <c r="I5141">
        <f>_xlfn.XLOOKUP(A5141,'[1]Tissue Data'!$A:$A,'[1]Tissue Data'!L:L)</f>
        <v>5.5</v>
      </c>
      <c r="J5141">
        <f>_xlfn.XLOOKUP(A5141,'[1]Tissue Data'!$A:$A,'[1]Tissue Data'!M:M)</f>
        <v>3.29</v>
      </c>
      <c r="K5141" t="s">
        <v>51</v>
      </c>
      <c r="L5141" t="str">
        <f>_xlfn.XLOOKUP(K5141,[2]analyte_order!$B:$B,[2]analyte_order!$C:$C)</f>
        <v>27854-31-5</v>
      </c>
      <c r="M5141">
        <f>_xlfn.XLOOKUP(L5141,[2]analyte_order!$C:$C,[2]analyte_order!$E:$E)</f>
        <v>42</v>
      </c>
      <c r="N5141">
        <v>7.2499999999999995E-2</v>
      </c>
    </row>
    <row r="5142" spans="1:14">
      <c r="A5142" t="s">
        <v>282</v>
      </c>
      <c r="B5142" t="str">
        <f>_xlfn.XLOOKUP(A5142,'[1]Tissue Data'!$A:$A,'[1]Tissue Data'!$C:$C)</f>
        <v>Spill</v>
      </c>
      <c r="C5142" s="2">
        <f>_xlfn.XLOOKUP(A5142,'[1]Tissue Data'!$A:$A,'[1]Tissue Data'!$D:$D)</f>
        <v>44393</v>
      </c>
      <c r="D5142" s="2" t="str">
        <f>_xlfn.XLOOKUP(A5142,'[1]Tissue Data'!$A:$A,'[1]Tissue Data'!$F:$F)</f>
        <v>Pumpkinseed</v>
      </c>
      <c r="E5142" t="str">
        <f>_xlfn.XLOOKUP(A5142,'[1]Tissue Data'!$A:$A,'[1]Tissue Data'!$H:$H)</f>
        <v>Lepomis</v>
      </c>
      <c r="F5142" t="str">
        <f>_xlfn.XLOOKUP(A5142,'[1]Tissue Data'!$A:$A,'[1]Tissue Data'!$I:$I)</f>
        <v>gibbosus</v>
      </c>
      <c r="G5142" t="str">
        <f>_xlfn.XLOOKUP(A5142,'[1]Tissue Data'!$A:$A,'[1]Tissue Data'!J:J)</f>
        <v>U</v>
      </c>
      <c r="H5142" t="str">
        <f>_xlfn.XLOOKUP(A5142,'[1]Tissue Data'!$A:$A,'[1]Tissue Data'!K:K)</f>
        <v>Whole Body</v>
      </c>
      <c r="I5142">
        <f>_xlfn.XLOOKUP(A5142,'[1]Tissue Data'!$A:$A,'[1]Tissue Data'!L:L)</f>
        <v>5.5</v>
      </c>
      <c r="J5142">
        <f>_xlfn.XLOOKUP(A5142,'[1]Tissue Data'!$A:$A,'[1]Tissue Data'!M:M)</f>
        <v>3.29</v>
      </c>
      <c r="K5142" t="s">
        <v>52</v>
      </c>
      <c r="L5142" t="str">
        <f>_xlfn.XLOOKUP(K5142,[2]analyte_order!$B:$B,[2]analyte_order!$C:$C)</f>
        <v>53826-13-4</v>
      </c>
      <c r="M5142">
        <f>_xlfn.XLOOKUP(L5142,[2]analyte_order!$C:$C,[2]analyte_order!$E:$E)</f>
        <v>43</v>
      </c>
      <c r="N5142">
        <v>0.1085</v>
      </c>
    </row>
    <row r="5143" spans="1:14">
      <c r="A5143" t="s">
        <v>282</v>
      </c>
      <c r="B5143" t="str">
        <f>_xlfn.XLOOKUP(A5143,'[1]Tissue Data'!$A:$A,'[1]Tissue Data'!$C:$C)</f>
        <v>Spill</v>
      </c>
      <c r="C5143" s="2">
        <f>_xlfn.XLOOKUP(A5143,'[1]Tissue Data'!$A:$A,'[1]Tissue Data'!$D:$D)</f>
        <v>44393</v>
      </c>
      <c r="D5143" s="2" t="str">
        <f>_xlfn.XLOOKUP(A5143,'[1]Tissue Data'!$A:$A,'[1]Tissue Data'!$F:$F)</f>
        <v>Pumpkinseed</v>
      </c>
      <c r="E5143" t="str">
        <f>_xlfn.XLOOKUP(A5143,'[1]Tissue Data'!$A:$A,'[1]Tissue Data'!$H:$H)</f>
        <v>Lepomis</v>
      </c>
      <c r="F5143" t="str">
        <f>_xlfn.XLOOKUP(A5143,'[1]Tissue Data'!$A:$A,'[1]Tissue Data'!$I:$I)</f>
        <v>gibbosus</v>
      </c>
      <c r="G5143" t="str">
        <f>_xlfn.XLOOKUP(A5143,'[1]Tissue Data'!$A:$A,'[1]Tissue Data'!J:J)</f>
        <v>U</v>
      </c>
      <c r="H5143" t="str">
        <f>_xlfn.XLOOKUP(A5143,'[1]Tissue Data'!$A:$A,'[1]Tissue Data'!K:K)</f>
        <v>Whole Body</v>
      </c>
      <c r="I5143">
        <f>_xlfn.XLOOKUP(A5143,'[1]Tissue Data'!$A:$A,'[1]Tissue Data'!L:L)</f>
        <v>5.5</v>
      </c>
      <c r="J5143">
        <f>_xlfn.XLOOKUP(A5143,'[1]Tissue Data'!$A:$A,'[1]Tissue Data'!M:M)</f>
        <v>3.29</v>
      </c>
      <c r="K5143" t="s">
        <v>53</v>
      </c>
      <c r="L5143" t="str">
        <f>_xlfn.XLOOKUP(K5143,[2]analyte_order!$B:$B,[2]analyte_order!$C:$C)</f>
        <v>161094-75-3</v>
      </c>
      <c r="M5143">
        <f>_xlfn.XLOOKUP(L5143,[2]analyte_order!$C:$C,[2]analyte_order!$E:$E)</f>
        <v>44</v>
      </c>
      <c r="N5143">
        <v>5.7000000000000002E-2</v>
      </c>
    </row>
    <row r="5144" spans="1:14">
      <c r="A5144" t="s">
        <v>282</v>
      </c>
      <c r="B5144" t="str">
        <f>_xlfn.XLOOKUP(A5144,'[1]Tissue Data'!$A:$A,'[1]Tissue Data'!$C:$C)</f>
        <v>Spill</v>
      </c>
      <c r="C5144" s="2">
        <f>_xlfn.XLOOKUP(A5144,'[1]Tissue Data'!$A:$A,'[1]Tissue Data'!$D:$D)</f>
        <v>44393</v>
      </c>
      <c r="D5144" s="2" t="str">
        <f>_xlfn.XLOOKUP(A5144,'[1]Tissue Data'!$A:$A,'[1]Tissue Data'!$F:$F)</f>
        <v>Pumpkinseed</v>
      </c>
      <c r="E5144" t="str">
        <f>_xlfn.XLOOKUP(A5144,'[1]Tissue Data'!$A:$A,'[1]Tissue Data'!$H:$H)</f>
        <v>Lepomis</v>
      </c>
      <c r="F5144" t="str">
        <f>_xlfn.XLOOKUP(A5144,'[1]Tissue Data'!$A:$A,'[1]Tissue Data'!$I:$I)</f>
        <v>gibbosus</v>
      </c>
      <c r="G5144" t="str">
        <f>_xlfn.XLOOKUP(A5144,'[1]Tissue Data'!$A:$A,'[1]Tissue Data'!J:J)</f>
        <v>U</v>
      </c>
      <c r="H5144" t="str">
        <f>_xlfn.XLOOKUP(A5144,'[1]Tissue Data'!$A:$A,'[1]Tissue Data'!K:K)</f>
        <v>Whole Body</v>
      </c>
      <c r="I5144">
        <f>_xlfn.XLOOKUP(A5144,'[1]Tissue Data'!$A:$A,'[1]Tissue Data'!L:L)</f>
        <v>5.5</v>
      </c>
      <c r="J5144">
        <f>_xlfn.XLOOKUP(A5144,'[1]Tissue Data'!$A:$A,'[1]Tissue Data'!M:M)</f>
        <v>3.29</v>
      </c>
      <c r="K5144" t="s">
        <v>54</v>
      </c>
      <c r="L5144" t="str">
        <f>_xlfn.XLOOKUP(K5144,[2]analyte_order!$B:$B,[2]analyte_order!$C:$C)</f>
        <v>70887-84-2</v>
      </c>
      <c r="M5144">
        <f>_xlfn.XLOOKUP(L5144,[2]analyte_order!$C:$C,[2]analyte_order!$E:$E)</f>
        <v>45</v>
      </c>
      <c r="N5144">
        <v>4.385E-2</v>
      </c>
    </row>
    <row r="5145" spans="1:14">
      <c r="A5145" t="s">
        <v>282</v>
      </c>
      <c r="B5145" t="str">
        <f>_xlfn.XLOOKUP(A5145,'[1]Tissue Data'!$A:$A,'[1]Tissue Data'!$C:$C)</f>
        <v>Spill</v>
      </c>
      <c r="C5145" s="2">
        <f>_xlfn.XLOOKUP(A5145,'[1]Tissue Data'!$A:$A,'[1]Tissue Data'!$D:$D)</f>
        <v>44393</v>
      </c>
      <c r="D5145" s="2" t="str">
        <f>_xlfn.XLOOKUP(A5145,'[1]Tissue Data'!$A:$A,'[1]Tissue Data'!$F:$F)</f>
        <v>Pumpkinseed</v>
      </c>
      <c r="E5145" t="str">
        <f>_xlfn.XLOOKUP(A5145,'[1]Tissue Data'!$A:$A,'[1]Tissue Data'!$H:$H)</f>
        <v>Lepomis</v>
      </c>
      <c r="F5145" t="str">
        <f>_xlfn.XLOOKUP(A5145,'[1]Tissue Data'!$A:$A,'[1]Tissue Data'!$I:$I)</f>
        <v>gibbosus</v>
      </c>
      <c r="G5145" t="str">
        <f>_xlfn.XLOOKUP(A5145,'[1]Tissue Data'!$A:$A,'[1]Tissue Data'!J:J)</f>
        <v>U</v>
      </c>
      <c r="H5145" t="str">
        <f>_xlfn.XLOOKUP(A5145,'[1]Tissue Data'!$A:$A,'[1]Tissue Data'!K:K)</f>
        <v>Whole Body</v>
      </c>
      <c r="I5145">
        <f>_xlfn.XLOOKUP(A5145,'[1]Tissue Data'!$A:$A,'[1]Tissue Data'!L:L)</f>
        <v>5.5</v>
      </c>
      <c r="J5145">
        <f>_xlfn.XLOOKUP(A5145,'[1]Tissue Data'!$A:$A,'[1]Tissue Data'!M:M)</f>
        <v>3.29</v>
      </c>
      <c r="K5145" t="s">
        <v>55</v>
      </c>
      <c r="L5145" t="str">
        <f>_xlfn.XLOOKUP(K5145,[2]analyte_order!$B:$B,[2]analyte_order!$C:$C)</f>
        <v>919005-14-4</v>
      </c>
      <c r="M5145">
        <f>_xlfn.XLOOKUP(L5145,[2]analyte_order!$C:$C,[2]analyte_order!$E:$E)</f>
        <v>35</v>
      </c>
      <c r="N5145">
        <v>0.21149999999999999</v>
      </c>
    </row>
    <row r="5146" spans="1:14">
      <c r="A5146" t="s">
        <v>282</v>
      </c>
      <c r="B5146" t="str">
        <f>_xlfn.XLOOKUP(A5146,'[1]Tissue Data'!$A:$A,'[1]Tissue Data'!$C:$C)</f>
        <v>Spill</v>
      </c>
      <c r="C5146" s="2">
        <f>_xlfn.XLOOKUP(A5146,'[1]Tissue Data'!$A:$A,'[1]Tissue Data'!$D:$D)</f>
        <v>44393</v>
      </c>
      <c r="D5146" s="2" t="str">
        <f>_xlfn.XLOOKUP(A5146,'[1]Tissue Data'!$A:$A,'[1]Tissue Data'!$F:$F)</f>
        <v>Pumpkinseed</v>
      </c>
      <c r="E5146" t="str">
        <f>_xlfn.XLOOKUP(A5146,'[1]Tissue Data'!$A:$A,'[1]Tissue Data'!$H:$H)</f>
        <v>Lepomis</v>
      </c>
      <c r="F5146" t="str">
        <f>_xlfn.XLOOKUP(A5146,'[1]Tissue Data'!$A:$A,'[1]Tissue Data'!$I:$I)</f>
        <v>gibbosus</v>
      </c>
      <c r="G5146" t="str">
        <f>_xlfn.XLOOKUP(A5146,'[1]Tissue Data'!$A:$A,'[1]Tissue Data'!J:J)</f>
        <v>U</v>
      </c>
      <c r="H5146" t="str">
        <f>_xlfn.XLOOKUP(A5146,'[1]Tissue Data'!$A:$A,'[1]Tissue Data'!K:K)</f>
        <v>Whole Body</v>
      </c>
      <c r="I5146">
        <f>_xlfn.XLOOKUP(A5146,'[1]Tissue Data'!$A:$A,'[1]Tissue Data'!L:L)</f>
        <v>5.5</v>
      </c>
      <c r="J5146">
        <f>_xlfn.XLOOKUP(A5146,'[1]Tissue Data'!$A:$A,'[1]Tissue Data'!M:M)</f>
        <v>3.29</v>
      </c>
      <c r="K5146" t="s">
        <v>56</v>
      </c>
      <c r="L5146" t="str">
        <f>_xlfn.XLOOKUP(K5146,[2]analyte_order!$B:$B,[2]analyte_order!$C:$C)</f>
        <v>756426-58-1</v>
      </c>
      <c r="M5146">
        <f>_xlfn.XLOOKUP(L5146,[2]analyte_order!$C:$C,[2]analyte_order!$E:$E)</f>
        <v>36</v>
      </c>
      <c r="N5146">
        <v>7.2499999999999995E-2</v>
      </c>
    </row>
    <row r="5147" spans="1:14">
      <c r="A5147" t="s">
        <v>282</v>
      </c>
      <c r="B5147" t="str">
        <f>_xlfn.XLOOKUP(A5147,'[1]Tissue Data'!$A:$A,'[1]Tissue Data'!$C:$C)</f>
        <v>Spill</v>
      </c>
      <c r="C5147" s="2">
        <f>_xlfn.XLOOKUP(A5147,'[1]Tissue Data'!$A:$A,'[1]Tissue Data'!$D:$D)</f>
        <v>44393</v>
      </c>
      <c r="D5147" s="2" t="str">
        <f>_xlfn.XLOOKUP(A5147,'[1]Tissue Data'!$A:$A,'[1]Tissue Data'!$F:$F)</f>
        <v>Pumpkinseed</v>
      </c>
      <c r="E5147" t="str">
        <f>_xlfn.XLOOKUP(A5147,'[1]Tissue Data'!$A:$A,'[1]Tissue Data'!$H:$H)</f>
        <v>Lepomis</v>
      </c>
      <c r="F5147" t="str">
        <f>_xlfn.XLOOKUP(A5147,'[1]Tissue Data'!$A:$A,'[1]Tissue Data'!$I:$I)</f>
        <v>gibbosus</v>
      </c>
      <c r="G5147" t="str">
        <f>_xlfn.XLOOKUP(A5147,'[1]Tissue Data'!$A:$A,'[1]Tissue Data'!J:J)</f>
        <v>U</v>
      </c>
      <c r="H5147" t="str">
        <f>_xlfn.XLOOKUP(A5147,'[1]Tissue Data'!$A:$A,'[1]Tissue Data'!K:K)</f>
        <v>Whole Body</v>
      </c>
      <c r="I5147">
        <f>_xlfn.XLOOKUP(A5147,'[1]Tissue Data'!$A:$A,'[1]Tissue Data'!L:L)</f>
        <v>5.5</v>
      </c>
      <c r="J5147">
        <f>_xlfn.XLOOKUP(A5147,'[1]Tissue Data'!$A:$A,'[1]Tissue Data'!M:M)</f>
        <v>3.29</v>
      </c>
      <c r="K5147" t="s">
        <v>57</v>
      </c>
      <c r="L5147" t="str">
        <f>_xlfn.XLOOKUP(K5147,[2]analyte_order!$B:$B,[2]analyte_order!$C:$C)</f>
        <v>763051-92-9</v>
      </c>
      <c r="M5147">
        <f>_xlfn.XLOOKUP(L5147,[2]analyte_order!$C:$C,[2]analyte_order!$E:$E)</f>
        <v>37</v>
      </c>
      <c r="N5147">
        <v>7.2499999999999995E-2</v>
      </c>
    </row>
    <row r="5148" spans="1:14">
      <c r="A5148" t="s">
        <v>282</v>
      </c>
      <c r="B5148" t="str">
        <f>_xlfn.XLOOKUP(A5148,'[1]Tissue Data'!$A:$A,'[1]Tissue Data'!$C:$C)</f>
        <v>Spill</v>
      </c>
      <c r="C5148" s="2">
        <f>_xlfn.XLOOKUP(A5148,'[1]Tissue Data'!$A:$A,'[1]Tissue Data'!$D:$D)</f>
        <v>44393</v>
      </c>
      <c r="D5148" s="2" t="str">
        <f>_xlfn.XLOOKUP(A5148,'[1]Tissue Data'!$A:$A,'[1]Tissue Data'!$F:$F)</f>
        <v>Pumpkinseed</v>
      </c>
      <c r="E5148" t="str">
        <f>_xlfn.XLOOKUP(A5148,'[1]Tissue Data'!$A:$A,'[1]Tissue Data'!$H:$H)</f>
        <v>Lepomis</v>
      </c>
      <c r="F5148" t="str">
        <f>_xlfn.XLOOKUP(A5148,'[1]Tissue Data'!$A:$A,'[1]Tissue Data'!$I:$I)</f>
        <v>gibbosus</v>
      </c>
      <c r="G5148" t="str">
        <f>_xlfn.XLOOKUP(A5148,'[1]Tissue Data'!$A:$A,'[1]Tissue Data'!J:J)</f>
        <v>U</v>
      </c>
      <c r="H5148" t="str">
        <f>_xlfn.XLOOKUP(A5148,'[1]Tissue Data'!$A:$A,'[1]Tissue Data'!K:K)</f>
        <v>Whole Body</v>
      </c>
      <c r="I5148">
        <f>_xlfn.XLOOKUP(A5148,'[1]Tissue Data'!$A:$A,'[1]Tissue Data'!L:L)</f>
        <v>5.5</v>
      </c>
      <c r="J5148">
        <f>_xlfn.XLOOKUP(A5148,'[1]Tissue Data'!$A:$A,'[1]Tissue Data'!M:M)</f>
        <v>3.29</v>
      </c>
      <c r="K5148" t="s">
        <v>58</v>
      </c>
      <c r="L5148" t="str">
        <f>_xlfn.XLOOKUP(K5148,[2]analyte_order!$B:$B,[2]analyte_order!$C:$C)</f>
        <v>13252-13-6</v>
      </c>
      <c r="M5148">
        <f>_xlfn.XLOOKUP(L5148,[2]analyte_order!$C:$C,[2]analyte_order!$E:$E)</f>
        <v>34</v>
      </c>
      <c r="N5148">
        <v>0.104</v>
      </c>
    </row>
    <row r="5149" spans="1:14">
      <c r="A5149" t="s">
        <v>282</v>
      </c>
      <c r="B5149" t="str">
        <f>_xlfn.XLOOKUP(A5149,'[1]Tissue Data'!$A:$A,'[1]Tissue Data'!$C:$C)</f>
        <v>Spill</v>
      </c>
      <c r="C5149" s="2">
        <f>_xlfn.XLOOKUP(A5149,'[1]Tissue Data'!$A:$A,'[1]Tissue Data'!$D:$D)</f>
        <v>44393</v>
      </c>
      <c r="D5149" s="2" t="str">
        <f>_xlfn.XLOOKUP(A5149,'[1]Tissue Data'!$A:$A,'[1]Tissue Data'!$F:$F)</f>
        <v>Pumpkinseed</v>
      </c>
      <c r="E5149" t="str">
        <f>_xlfn.XLOOKUP(A5149,'[1]Tissue Data'!$A:$A,'[1]Tissue Data'!$H:$H)</f>
        <v>Lepomis</v>
      </c>
      <c r="F5149" t="str">
        <f>_xlfn.XLOOKUP(A5149,'[1]Tissue Data'!$A:$A,'[1]Tissue Data'!$I:$I)</f>
        <v>gibbosus</v>
      </c>
      <c r="G5149" t="str">
        <f>_xlfn.XLOOKUP(A5149,'[1]Tissue Data'!$A:$A,'[1]Tissue Data'!J:J)</f>
        <v>U</v>
      </c>
      <c r="H5149" t="str">
        <f>_xlfn.XLOOKUP(A5149,'[1]Tissue Data'!$A:$A,'[1]Tissue Data'!K:K)</f>
        <v>Whole Body</v>
      </c>
      <c r="I5149">
        <f>_xlfn.XLOOKUP(A5149,'[1]Tissue Data'!$A:$A,'[1]Tissue Data'!L:L)</f>
        <v>5.5</v>
      </c>
      <c r="J5149">
        <f>_xlfn.XLOOKUP(A5149,'[1]Tissue Data'!$A:$A,'[1]Tissue Data'!M:M)</f>
        <v>3.29</v>
      </c>
      <c r="K5149" t="s">
        <v>59</v>
      </c>
      <c r="L5149" t="str">
        <f>_xlfn.XLOOKUP(K5149,[2]analyte_order!$B:$B,[2]analyte_order!$C:$C)</f>
        <v>57677-95-9</v>
      </c>
      <c r="M5149">
        <f>_xlfn.XLOOKUP(L5149,[2]analyte_order!$C:$C,[2]analyte_order!$E:$E)</f>
        <v>46</v>
      </c>
      <c r="N5149">
        <v>7.7499999999999999E-2</v>
      </c>
    </row>
    <row r="5150" spans="1:14">
      <c r="A5150" t="s">
        <v>282</v>
      </c>
      <c r="B5150" t="str">
        <f>_xlfn.XLOOKUP(A5150,'[1]Tissue Data'!$A:$A,'[1]Tissue Data'!$C:$C)</f>
        <v>Spill</v>
      </c>
      <c r="C5150" s="2">
        <f>_xlfn.XLOOKUP(A5150,'[1]Tissue Data'!$A:$A,'[1]Tissue Data'!$D:$D)</f>
        <v>44393</v>
      </c>
      <c r="D5150" s="2" t="str">
        <f>_xlfn.XLOOKUP(A5150,'[1]Tissue Data'!$A:$A,'[1]Tissue Data'!$F:$F)</f>
        <v>Pumpkinseed</v>
      </c>
      <c r="E5150" t="str">
        <f>_xlfn.XLOOKUP(A5150,'[1]Tissue Data'!$A:$A,'[1]Tissue Data'!$H:$H)</f>
        <v>Lepomis</v>
      </c>
      <c r="F5150" t="str">
        <f>_xlfn.XLOOKUP(A5150,'[1]Tissue Data'!$A:$A,'[1]Tissue Data'!$I:$I)</f>
        <v>gibbosus</v>
      </c>
      <c r="G5150" t="str">
        <f>_xlfn.XLOOKUP(A5150,'[1]Tissue Data'!$A:$A,'[1]Tissue Data'!J:J)</f>
        <v>U</v>
      </c>
      <c r="H5150" t="str">
        <f>_xlfn.XLOOKUP(A5150,'[1]Tissue Data'!$A:$A,'[1]Tissue Data'!K:K)</f>
        <v>Whole Body</v>
      </c>
      <c r="I5150">
        <f>_xlfn.XLOOKUP(A5150,'[1]Tissue Data'!$A:$A,'[1]Tissue Data'!L:L)</f>
        <v>5.5</v>
      </c>
      <c r="J5150">
        <f>_xlfn.XLOOKUP(A5150,'[1]Tissue Data'!$A:$A,'[1]Tissue Data'!M:M)</f>
        <v>3.29</v>
      </c>
      <c r="K5150" t="s">
        <v>60</v>
      </c>
      <c r="L5150" t="str">
        <f>_xlfn.XLOOKUP(K5150,[2]analyte_order!$B:$B,[2]analyte_order!$C:$C)</f>
        <v>678-41-1</v>
      </c>
      <c r="M5150">
        <f>_xlfn.XLOOKUP(L5150,[2]analyte_order!$C:$C,[2]analyte_order!$E:$E)</f>
        <v>56</v>
      </c>
      <c r="N5150">
        <v>9.6000000000000002E-2</v>
      </c>
    </row>
    <row r="5151" spans="1:14">
      <c r="A5151" t="s">
        <v>282</v>
      </c>
      <c r="B5151" t="str">
        <f>_xlfn.XLOOKUP(A5151,'[1]Tissue Data'!$A:$A,'[1]Tissue Data'!$C:$C)</f>
        <v>Spill</v>
      </c>
      <c r="C5151" s="2">
        <f>_xlfn.XLOOKUP(A5151,'[1]Tissue Data'!$A:$A,'[1]Tissue Data'!$D:$D)</f>
        <v>44393</v>
      </c>
      <c r="D5151" s="2" t="str">
        <f>_xlfn.XLOOKUP(A5151,'[1]Tissue Data'!$A:$A,'[1]Tissue Data'!$F:$F)</f>
        <v>Pumpkinseed</v>
      </c>
      <c r="E5151" t="str">
        <f>_xlfn.XLOOKUP(A5151,'[1]Tissue Data'!$A:$A,'[1]Tissue Data'!$H:$H)</f>
        <v>Lepomis</v>
      </c>
      <c r="F5151" t="str">
        <f>_xlfn.XLOOKUP(A5151,'[1]Tissue Data'!$A:$A,'[1]Tissue Data'!$I:$I)</f>
        <v>gibbosus</v>
      </c>
      <c r="G5151" t="str">
        <f>_xlfn.XLOOKUP(A5151,'[1]Tissue Data'!$A:$A,'[1]Tissue Data'!J:J)</f>
        <v>U</v>
      </c>
      <c r="H5151" t="str">
        <f>_xlfn.XLOOKUP(A5151,'[1]Tissue Data'!$A:$A,'[1]Tissue Data'!K:K)</f>
        <v>Whole Body</v>
      </c>
      <c r="I5151">
        <f>_xlfn.XLOOKUP(A5151,'[1]Tissue Data'!$A:$A,'[1]Tissue Data'!L:L)</f>
        <v>5.5</v>
      </c>
      <c r="J5151">
        <f>_xlfn.XLOOKUP(A5151,'[1]Tissue Data'!$A:$A,'[1]Tissue Data'!M:M)</f>
        <v>3.29</v>
      </c>
      <c r="K5151" t="s">
        <v>61</v>
      </c>
      <c r="L5151" t="str">
        <f>_xlfn.XLOOKUP(K5151,[2]analyte_order!$B:$B,[2]analyte_order!$C:$C)</f>
        <v>2965-52-8</v>
      </c>
      <c r="M5151">
        <f>_xlfn.XLOOKUP(L5151,[2]analyte_order!$C:$C,[2]analyte_order!$E:$E)</f>
        <v>57</v>
      </c>
      <c r="N5151">
        <v>0.1275</v>
      </c>
    </row>
    <row r="5152" spans="1:14">
      <c r="A5152" t="s">
        <v>283</v>
      </c>
      <c r="B5152" t="str">
        <f>_xlfn.XLOOKUP(A5152,'[1]Tissue Data'!$A:$A,'[1]Tissue Data'!$C:$C)</f>
        <v>Spill</v>
      </c>
      <c r="C5152" s="2">
        <f>_xlfn.XLOOKUP(A5152,'[1]Tissue Data'!$A:$A,'[1]Tissue Data'!$D:$D)</f>
        <v>44393</v>
      </c>
      <c r="D5152" s="2" t="str">
        <f>_xlfn.XLOOKUP(A5152,'[1]Tissue Data'!$A:$A,'[1]Tissue Data'!$F:$F)</f>
        <v>Pumpkinseed</v>
      </c>
      <c r="E5152" t="str">
        <f>_xlfn.XLOOKUP(A5152,'[1]Tissue Data'!$A:$A,'[1]Tissue Data'!$H:$H)</f>
        <v>Lepomis</v>
      </c>
      <c r="F5152" t="str">
        <f>_xlfn.XLOOKUP(A5152,'[1]Tissue Data'!$A:$A,'[1]Tissue Data'!$I:$I)</f>
        <v>gibbosus</v>
      </c>
      <c r="G5152" t="str">
        <f>_xlfn.XLOOKUP(A5152,'[1]Tissue Data'!$A:$A,'[1]Tissue Data'!J:J)</f>
        <v>U</v>
      </c>
      <c r="H5152" t="str">
        <f>_xlfn.XLOOKUP(A5152,'[1]Tissue Data'!$A:$A,'[1]Tissue Data'!K:K)</f>
        <v>Whole Body</v>
      </c>
      <c r="I5152">
        <f>_xlfn.XLOOKUP(A5152,'[1]Tissue Data'!$A:$A,'[1]Tissue Data'!L:L)</f>
        <v>6.5</v>
      </c>
      <c r="J5152">
        <f>_xlfn.XLOOKUP(A5152,'[1]Tissue Data'!$A:$A,'[1]Tissue Data'!M:M)</f>
        <v>5.55</v>
      </c>
      <c r="K5152" t="s">
        <v>12</v>
      </c>
      <c r="L5152" t="str">
        <f>_xlfn.XLOOKUP(K5152,[2]analyte_order!$B:$B,[2]analyte_order!$C:$C)</f>
        <v>375-22-4</v>
      </c>
      <c r="M5152">
        <f>_xlfn.XLOOKUP(L5152,[2]analyte_order!$C:$C,[2]analyte_order!$E:$E)</f>
        <v>1</v>
      </c>
      <c r="N5152">
        <v>0.23150000000000001</v>
      </c>
    </row>
    <row r="5153" spans="1:14">
      <c r="A5153" t="s">
        <v>283</v>
      </c>
      <c r="B5153" t="str">
        <f>_xlfn.XLOOKUP(A5153,'[1]Tissue Data'!$A:$A,'[1]Tissue Data'!$C:$C)</f>
        <v>Spill</v>
      </c>
      <c r="C5153" s="2">
        <f>_xlfn.XLOOKUP(A5153,'[1]Tissue Data'!$A:$A,'[1]Tissue Data'!$D:$D)</f>
        <v>44393</v>
      </c>
      <c r="D5153" s="2" t="str">
        <f>_xlfn.XLOOKUP(A5153,'[1]Tissue Data'!$A:$A,'[1]Tissue Data'!$F:$F)</f>
        <v>Pumpkinseed</v>
      </c>
      <c r="E5153" t="str">
        <f>_xlfn.XLOOKUP(A5153,'[1]Tissue Data'!$A:$A,'[1]Tissue Data'!$H:$H)</f>
        <v>Lepomis</v>
      </c>
      <c r="F5153" t="str">
        <f>_xlfn.XLOOKUP(A5153,'[1]Tissue Data'!$A:$A,'[1]Tissue Data'!$I:$I)</f>
        <v>gibbosus</v>
      </c>
      <c r="G5153" t="str">
        <f>_xlfn.XLOOKUP(A5153,'[1]Tissue Data'!$A:$A,'[1]Tissue Data'!J:J)</f>
        <v>U</v>
      </c>
      <c r="H5153" t="str">
        <f>_xlfn.XLOOKUP(A5153,'[1]Tissue Data'!$A:$A,'[1]Tissue Data'!K:K)</f>
        <v>Whole Body</v>
      </c>
      <c r="I5153">
        <f>_xlfn.XLOOKUP(A5153,'[1]Tissue Data'!$A:$A,'[1]Tissue Data'!L:L)</f>
        <v>6.5</v>
      </c>
      <c r="J5153">
        <f>_xlfn.XLOOKUP(A5153,'[1]Tissue Data'!$A:$A,'[1]Tissue Data'!M:M)</f>
        <v>5.55</v>
      </c>
      <c r="K5153" t="s">
        <v>13</v>
      </c>
      <c r="L5153" t="str">
        <f>_xlfn.XLOOKUP(K5153,[2]analyte_order!$B:$B,[2]analyte_order!$C:$C)</f>
        <v>2706-90-3</v>
      </c>
      <c r="M5153">
        <f>_xlfn.XLOOKUP(L5153,[2]analyte_order!$C:$C,[2]analyte_order!$E:$E)</f>
        <v>2</v>
      </c>
      <c r="N5153">
        <v>4.9500000000000002E-2</v>
      </c>
    </row>
    <row r="5154" spans="1:14">
      <c r="A5154" t="s">
        <v>283</v>
      </c>
      <c r="B5154" t="str">
        <f>_xlfn.XLOOKUP(A5154,'[1]Tissue Data'!$A:$A,'[1]Tissue Data'!$C:$C)</f>
        <v>Spill</v>
      </c>
      <c r="C5154" s="2">
        <f>_xlfn.XLOOKUP(A5154,'[1]Tissue Data'!$A:$A,'[1]Tissue Data'!$D:$D)</f>
        <v>44393</v>
      </c>
      <c r="D5154" s="2" t="str">
        <f>_xlfn.XLOOKUP(A5154,'[1]Tissue Data'!$A:$A,'[1]Tissue Data'!$F:$F)</f>
        <v>Pumpkinseed</v>
      </c>
      <c r="E5154" t="str">
        <f>_xlfn.XLOOKUP(A5154,'[1]Tissue Data'!$A:$A,'[1]Tissue Data'!$H:$H)</f>
        <v>Lepomis</v>
      </c>
      <c r="F5154" t="str">
        <f>_xlfn.XLOOKUP(A5154,'[1]Tissue Data'!$A:$A,'[1]Tissue Data'!$I:$I)</f>
        <v>gibbosus</v>
      </c>
      <c r="G5154" t="str">
        <f>_xlfn.XLOOKUP(A5154,'[1]Tissue Data'!$A:$A,'[1]Tissue Data'!J:J)</f>
        <v>U</v>
      </c>
      <c r="H5154" t="str">
        <f>_xlfn.XLOOKUP(A5154,'[1]Tissue Data'!$A:$A,'[1]Tissue Data'!K:K)</f>
        <v>Whole Body</v>
      </c>
      <c r="I5154">
        <f>_xlfn.XLOOKUP(A5154,'[1]Tissue Data'!$A:$A,'[1]Tissue Data'!L:L)</f>
        <v>6.5</v>
      </c>
      <c r="J5154">
        <f>_xlfn.XLOOKUP(A5154,'[1]Tissue Data'!$A:$A,'[1]Tissue Data'!M:M)</f>
        <v>5.55</v>
      </c>
      <c r="K5154" t="s">
        <v>14</v>
      </c>
      <c r="L5154" t="str">
        <f>_xlfn.XLOOKUP(K5154,[2]analyte_order!$B:$B,[2]analyte_order!$C:$C)</f>
        <v>307-24-4</v>
      </c>
      <c r="M5154">
        <f>_xlfn.XLOOKUP(L5154,[2]analyte_order!$C:$C,[2]analyte_order!$E:$E)</f>
        <v>3</v>
      </c>
      <c r="N5154">
        <v>3.7850000000000002E-2</v>
      </c>
    </row>
    <row r="5155" spans="1:14">
      <c r="A5155" t="s">
        <v>283</v>
      </c>
      <c r="B5155" t="str">
        <f>_xlfn.XLOOKUP(A5155,'[1]Tissue Data'!$A:$A,'[1]Tissue Data'!$C:$C)</f>
        <v>Spill</v>
      </c>
      <c r="C5155" s="2">
        <f>_xlfn.XLOOKUP(A5155,'[1]Tissue Data'!$A:$A,'[1]Tissue Data'!$D:$D)</f>
        <v>44393</v>
      </c>
      <c r="D5155" s="2" t="str">
        <f>_xlfn.XLOOKUP(A5155,'[1]Tissue Data'!$A:$A,'[1]Tissue Data'!$F:$F)</f>
        <v>Pumpkinseed</v>
      </c>
      <c r="E5155" t="str">
        <f>_xlfn.XLOOKUP(A5155,'[1]Tissue Data'!$A:$A,'[1]Tissue Data'!$H:$H)</f>
        <v>Lepomis</v>
      </c>
      <c r="F5155" t="str">
        <f>_xlfn.XLOOKUP(A5155,'[1]Tissue Data'!$A:$A,'[1]Tissue Data'!$I:$I)</f>
        <v>gibbosus</v>
      </c>
      <c r="G5155" t="str">
        <f>_xlfn.XLOOKUP(A5155,'[1]Tissue Data'!$A:$A,'[1]Tissue Data'!J:J)</f>
        <v>U</v>
      </c>
      <c r="H5155" t="str">
        <f>_xlfn.XLOOKUP(A5155,'[1]Tissue Data'!$A:$A,'[1]Tissue Data'!K:K)</f>
        <v>Whole Body</v>
      </c>
      <c r="I5155">
        <f>_xlfn.XLOOKUP(A5155,'[1]Tissue Data'!$A:$A,'[1]Tissue Data'!L:L)</f>
        <v>6.5</v>
      </c>
      <c r="J5155">
        <f>_xlfn.XLOOKUP(A5155,'[1]Tissue Data'!$A:$A,'[1]Tissue Data'!M:M)</f>
        <v>5.55</v>
      </c>
      <c r="K5155" t="s">
        <v>15</v>
      </c>
      <c r="L5155" t="str">
        <f>_xlfn.XLOOKUP(K5155,[2]analyte_order!$B:$B,[2]analyte_order!$C:$C)</f>
        <v>375-85-9</v>
      </c>
      <c r="M5155">
        <f>_xlfn.XLOOKUP(L5155,[2]analyte_order!$C:$C,[2]analyte_order!$E:$E)</f>
        <v>4</v>
      </c>
      <c r="N5155">
        <v>2.8049999999999999E-2</v>
      </c>
    </row>
    <row r="5156" spans="1:14">
      <c r="A5156" t="s">
        <v>283</v>
      </c>
      <c r="B5156" t="str">
        <f>_xlfn.XLOOKUP(A5156,'[1]Tissue Data'!$A:$A,'[1]Tissue Data'!$C:$C)</f>
        <v>Spill</v>
      </c>
      <c r="C5156" s="2">
        <f>_xlfn.XLOOKUP(A5156,'[1]Tissue Data'!$A:$A,'[1]Tissue Data'!$D:$D)</f>
        <v>44393</v>
      </c>
      <c r="D5156" s="2" t="str">
        <f>_xlfn.XLOOKUP(A5156,'[1]Tissue Data'!$A:$A,'[1]Tissue Data'!$F:$F)</f>
        <v>Pumpkinseed</v>
      </c>
      <c r="E5156" t="str">
        <f>_xlfn.XLOOKUP(A5156,'[1]Tissue Data'!$A:$A,'[1]Tissue Data'!$H:$H)</f>
        <v>Lepomis</v>
      </c>
      <c r="F5156" t="str">
        <f>_xlfn.XLOOKUP(A5156,'[1]Tissue Data'!$A:$A,'[1]Tissue Data'!$I:$I)</f>
        <v>gibbosus</v>
      </c>
      <c r="G5156" t="str">
        <f>_xlfn.XLOOKUP(A5156,'[1]Tissue Data'!$A:$A,'[1]Tissue Data'!J:J)</f>
        <v>U</v>
      </c>
      <c r="H5156" t="str">
        <f>_xlfn.XLOOKUP(A5156,'[1]Tissue Data'!$A:$A,'[1]Tissue Data'!K:K)</f>
        <v>Whole Body</v>
      </c>
      <c r="I5156">
        <f>_xlfn.XLOOKUP(A5156,'[1]Tissue Data'!$A:$A,'[1]Tissue Data'!L:L)</f>
        <v>6.5</v>
      </c>
      <c r="J5156">
        <f>_xlfn.XLOOKUP(A5156,'[1]Tissue Data'!$A:$A,'[1]Tissue Data'!M:M)</f>
        <v>5.55</v>
      </c>
      <c r="K5156" t="s">
        <v>16</v>
      </c>
      <c r="L5156" t="str">
        <f>_xlfn.XLOOKUP(K5156,[2]analyte_order!$B:$B,[2]analyte_order!$C:$C)</f>
        <v>335-67-1</v>
      </c>
      <c r="M5156">
        <f>_xlfn.XLOOKUP(L5156,[2]analyte_order!$C:$C,[2]analyte_order!$E:$E)</f>
        <v>5</v>
      </c>
      <c r="N5156">
        <v>0.59299999999999997</v>
      </c>
    </row>
    <row r="5157" spans="1:14">
      <c r="A5157" t="s">
        <v>283</v>
      </c>
      <c r="B5157" t="str">
        <f>_xlfn.XLOOKUP(A5157,'[1]Tissue Data'!$A:$A,'[1]Tissue Data'!$C:$C)</f>
        <v>Spill</v>
      </c>
      <c r="C5157" s="2">
        <f>_xlfn.XLOOKUP(A5157,'[1]Tissue Data'!$A:$A,'[1]Tissue Data'!$D:$D)</f>
        <v>44393</v>
      </c>
      <c r="D5157" s="2" t="str">
        <f>_xlfn.XLOOKUP(A5157,'[1]Tissue Data'!$A:$A,'[1]Tissue Data'!$F:$F)</f>
        <v>Pumpkinseed</v>
      </c>
      <c r="E5157" t="str">
        <f>_xlfn.XLOOKUP(A5157,'[1]Tissue Data'!$A:$A,'[1]Tissue Data'!$H:$H)</f>
        <v>Lepomis</v>
      </c>
      <c r="F5157" t="str">
        <f>_xlfn.XLOOKUP(A5157,'[1]Tissue Data'!$A:$A,'[1]Tissue Data'!$I:$I)</f>
        <v>gibbosus</v>
      </c>
      <c r="G5157" t="str">
        <f>_xlfn.XLOOKUP(A5157,'[1]Tissue Data'!$A:$A,'[1]Tissue Data'!J:J)</f>
        <v>U</v>
      </c>
      <c r="H5157" t="str">
        <f>_xlfn.XLOOKUP(A5157,'[1]Tissue Data'!$A:$A,'[1]Tissue Data'!K:K)</f>
        <v>Whole Body</v>
      </c>
      <c r="I5157">
        <f>_xlfn.XLOOKUP(A5157,'[1]Tissue Data'!$A:$A,'[1]Tissue Data'!L:L)</f>
        <v>6.5</v>
      </c>
      <c r="J5157">
        <f>_xlfn.XLOOKUP(A5157,'[1]Tissue Data'!$A:$A,'[1]Tissue Data'!M:M)</f>
        <v>5.55</v>
      </c>
      <c r="K5157" t="s">
        <v>17</v>
      </c>
      <c r="L5157" t="str">
        <f>_xlfn.XLOOKUP(K5157,[2]analyte_order!$B:$B,[2]analyte_order!$C:$C)</f>
        <v>375-95-1</v>
      </c>
      <c r="M5157">
        <f>_xlfn.XLOOKUP(L5157,[2]analyte_order!$C:$C,[2]analyte_order!$E:$E)</f>
        <v>6</v>
      </c>
      <c r="N5157">
        <v>4.8500000000000001E-2</v>
      </c>
    </row>
    <row r="5158" spans="1:14">
      <c r="A5158" t="s">
        <v>283</v>
      </c>
      <c r="B5158" t="str">
        <f>_xlfn.XLOOKUP(A5158,'[1]Tissue Data'!$A:$A,'[1]Tissue Data'!$C:$C)</f>
        <v>Spill</v>
      </c>
      <c r="C5158" s="2">
        <f>_xlfn.XLOOKUP(A5158,'[1]Tissue Data'!$A:$A,'[1]Tissue Data'!$D:$D)</f>
        <v>44393</v>
      </c>
      <c r="D5158" s="2" t="str">
        <f>_xlfn.XLOOKUP(A5158,'[1]Tissue Data'!$A:$A,'[1]Tissue Data'!$F:$F)</f>
        <v>Pumpkinseed</v>
      </c>
      <c r="E5158" t="str">
        <f>_xlfn.XLOOKUP(A5158,'[1]Tissue Data'!$A:$A,'[1]Tissue Data'!$H:$H)</f>
        <v>Lepomis</v>
      </c>
      <c r="F5158" t="str">
        <f>_xlfn.XLOOKUP(A5158,'[1]Tissue Data'!$A:$A,'[1]Tissue Data'!$I:$I)</f>
        <v>gibbosus</v>
      </c>
      <c r="G5158" t="str">
        <f>_xlfn.XLOOKUP(A5158,'[1]Tissue Data'!$A:$A,'[1]Tissue Data'!J:J)</f>
        <v>U</v>
      </c>
      <c r="H5158" t="str">
        <f>_xlfn.XLOOKUP(A5158,'[1]Tissue Data'!$A:$A,'[1]Tissue Data'!K:K)</f>
        <v>Whole Body</v>
      </c>
      <c r="I5158">
        <f>_xlfn.XLOOKUP(A5158,'[1]Tissue Data'!$A:$A,'[1]Tissue Data'!L:L)</f>
        <v>6.5</v>
      </c>
      <c r="J5158">
        <f>_xlfn.XLOOKUP(A5158,'[1]Tissue Data'!$A:$A,'[1]Tissue Data'!M:M)</f>
        <v>5.55</v>
      </c>
      <c r="K5158" t="s">
        <v>18</v>
      </c>
      <c r="L5158" t="str">
        <f>_xlfn.XLOOKUP(K5158,[2]analyte_order!$B:$B,[2]analyte_order!$C:$C)</f>
        <v>335-76-2</v>
      </c>
      <c r="M5158">
        <f>_xlfn.XLOOKUP(L5158,[2]analyte_order!$C:$C,[2]analyte_order!$E:$E)</f>
        <v>7</v>
      </c>
      <c r="N5158">
        <v>3.36</v>
      </c>
    </row>
    <row r="5159" spans="1:14">
      <c r="A5159" t="s">
        <v>283</v>
      </c>
      <c r="B5159" t="str">
        <f>_xlfn.XLOOKUP(A5159,'[1]Tissue Data'!$A:$A,'[1]Tissue Data'!$C:$C)</f>
        <v>Spill</v>
      </c>
      <c r="C5159" s="2">
        <f>_xlfn.XLOOKUP(A5159,'[1]Tissue Data'!$A:$A,'[1]Tissue Data'!$D:$D)</f>
        <v>44393</v>
      </c>
      <c r="D5159" s="2" t="str">
        <f>_xlfn.XLOOKUP(A5159,'[1]Tissue Data'!$A:$A,'[1]Tissue Data'!$F:$F)</f>
        <v>Pumpkinseed</v>
      </c>
      <c r="E5159" t="str">
        <f>_xlfn.XLOOKUP(A5159,'[1]Tissue Data'!$A:$A,'[1]Tissue Data'!$H:$H)</f>
        <v>Lepomis</v>
      </c>
      <c r="F5159" t="str">
        <f>_xlfn.XLOOKUP(A5159,'[1]Tissue Data'!$A:$A,'[1]Tissue Data'!$I:$I)</f>
        <v>gibbosus</v>
      </c>
      <c r="G5159" t="str">
        <f>_xlfn.XLOOKUP(A5159,'[1]Tissue Data'!$A:$A,'[1]Tissue Data'!J:J)</f>
        <v>U</v>
      </c>
      <c r="H5159" t="str">
        <f>_xlfn.XLOOKUP(A5159,'[1]Tissue Data'!$A:$A,'[1]Tissue Data'!K:K)</f>
        <v>Whole Body</v>
      </c>
      <c r="I5159">
        <f>_xlfn.XLOOKUP(A5159,'[1]Tissue Data'!$A:$A,'[1]Tissue Data'!L:L)</f>
        <v>6.5</v>
      </c>
      <c r="J5159">
        <f>_xlfn.XLOOKUP(A5159,'[1]Tissue Data'!$A:$A,'[1]Tissue Data'!M:M)</f>
        <v>5.55</v>
      </c>
      <c r="K5159" t="s">
        <v>19</v>
      </c>
      <c r="L5159" t="str">
        <f>_xlfn.XLOOKUP(K5159,[2]analyte_order!$B:$B,[2]analyte_order!$C:$C)</f>
        <v>2058-94-8</v>
      </c>
      <c r="M5159">
        <f>_xlfn.XLOOKUP(L5159,[2]analyte_order!$C:$C,[2]analyte_order!$E:$E)</f>
        <v>8</v>
      </c>
      <c r="N5159">
        <v>12.6</v>
      </c>
    </row>
    <row r="5160" spans="1:14">
      <c r="A5160" t="s">
        <v>283</v>
      </c>
      <c r="B5160" t="str">
        <f>_xlfn.XLOOKUP(A5160,'[1]Tissue Data'!$A:$A,'[1]Tissue Data'!$C:$C)</f>
        <v>Spill</v>
      </c>
      <c r="C5160" s="2">
        <f>_xlfn.XLOOKUP(A5160,'[1]Tissue Data'!$A:$A,'[1]Tissue Data'!$D:$D)</f>
        <v>44393</v>
      </c>
      <c r="D5160" s="2" t="str">
        <f>_xlfn.XLOOKUP(A5160,'[1]Tissue Data'!$A:$A,'[1]Tissue Data'!$F:$F)</f>
        <v>Pumpkinseed</v>
      </c>
      <c r="E5160" t="str">
        <f>_xlfn.XLOOKUP(A5160,'[1]Tissue Data'!$A:$A,'[1]Tissue Data'!$H:$H)</f>
        <v>Lepomis</v>
      </c>
      <c r="F5160" t="str">
        <f>_xlfn.XLOOKUP(A5160,'[1]Tissue Data'!$A:$A,'[1]Tissue Data'!$I:$I)</f>
        <v>gibbosus</v>
      </c>
      <c r="G5160" t="str">
        <f>_xlfn.XLOOKUP(A5160,'[1]Tissue Data'!$A:$A,'[1]Tissue Data'!J:J)</f>
        <v>U</v>
      </c>
      <c r="H5160" t="str">
        <f>_xlfn.XLOOKUP(A5160,'[1]Tissue Data'!$A:$A,'[1]Tissue Data'!K:K)</f>
        <v>Whole Body</v>
      </c>
      <c r="I5160">
        <f>_xlfn.XLOOKUP(A5160,'[1]Tissue Data'!$A:$A,'[1]Tissue Data'!L:L)</f>
        <v>6.5</v>
      </c>
      <c r="J5160">
        <f>_xlfn.XLOOKUP(A5160,'[1]Tissue Data'!$A:$A,'[1]Tissue Data'!M:M)</f>
        <v>5.55</v>
      </c>
      <c r="K5160" t="s">
        <v>20</v>
      </c>
      <c r="L5160" t="str">
        <f>_xlfn.XLOOKUP(K5160,[2]analyte_order!$B:$B,[2]analyte_order!$C:$C)</f>
        <v>307-55-1</v>
      </c>
      <c r="M5160">
        <f>_xlfn.XLOOKUP(L5160,[2]analyte_order!$C:$C,[2]analyte_order!$E:$E)</f>
        <v>9</v>
      </c>
      <c r="N5160">
        <v>18.399999999999999</v>
      </c>
    </row>
    <row r="5161" spans="1:14">
      <c r="A5161" t="s">
        <v>283</v>
      </c>
      <c r="B5161" t="str">
        <f>_xlfn.XLOOKUP(A5161,'[1]Tissue Data'!$A:$A,'[1]Tissue Data'!$C:$C)</f>
        <v>Spill</v>
      </c>
      <c r="C5161" s="2">
        <f>_xlfn.XLOOKUP(A5161,'[1]Tissue Data'!$A:$A,'[1]Tissue Data'!$D:$D)</f>
        <v>44393</v>
      </c>
      <c r="D5161" s="2" t="str">
        <f>_xlfn.XLOOKUP(A5161,'[1]Tissue Data'!$A:$A,'[1]Tissue Data'!$F:$F)</f>
        <v>Pumpkinseed</v>
      </c>
      <c r="E5161" t="str">
        <f>_xlfn.XLOOKUP(A5161,'[1]Tissue Data'!$A:$A,'[1]Tissue Data'!$H:$H)</f>
        <v>Lepomis</v>
      </c>
      <c r="F5161" t="str">
        <f>_xlfn.XLOOKUP(A5161,'[1]Tissue Data'!$A:$A,'[1]Tissue Data'!$I:$I)</f>
        <v>gibbosus</v>
      </c>
      <c r="G5161" t="str">
        <f>_xlfn.XLOOKUP(A5161,'[1]Tissue Data'!$A:$A,'[1]Tissue Data'!J:J)</f>
        <v>U</v>
      </c>
      <c r="H5161" t="str">
        <f>_xlfn.XLOOKUP(A5161,'[1]Tissue Data'!$A:$A,'[1]Tissue Data'!K:K)</f>
        <v>Whole Body</v>
      </c>
      <c r="I5161">
        <f>_xlfn.XLOOKUP(A5161,'[1]Tissue Data'!$A:$A,'[1]Tissue Data'!L:L)</f>
        <v>6.5</v>
      </c>
      <c r="J5161">
        <f>_xlfn.XLOOKUP(A5161,'[1]Tissue Data'!$A:$A,'[1]Tissue Data'!M:M)</f>
        <v>5.55</v>
      </c>
      <c r="K5161" t="s">
        <v>21</v>
      </c>
      <c r="L5161" t="str">
        <f>_xlfn.XLOOKUP(K5161,[2]analyte_order!$B:$B,[2]analyte_order!$C:$C)</f>
        <v>72629-94-8</v>
      </c>
      <c r="M5161">
        <f>_xlfn.XLOOKUP(L5161,[2]analyte_order!$C:$C,[2]analyte_order!$E:$E)</f>
        <v>10</v>
      </c>
      <c r="N5161">
        <v>3.84</v>
      </c>
    </row>
    <row r="5162" spans="1:14">
      <c r="A5162" t="s">
        <v>283</v>
      </c>
      <c r="B5162" t="str">
        <f>_xlfn.XLOOKUP(A5162,'[1]Tissue Data'!$A:$A,'[1]Tissue Data'!$C:$C)</f>
        <v>Spill</v>
      </c>
      <c r="C5162" s="2">
        <f>_xlfn.XLOOKUP(A5162,'[1]Tissue Data'!$A:$A,'[1]Tissue Data'!$D:$D)</f>
        <v>44393</v>
      </c>
      <c r="D5162" s="2" t="str">
        <f>_xlfn.XLOOKUP(A5162,'[1]Tissue Data'!$A:$A,'[1]Tissue Data'!$F:$F)</f>
        <v>Pumpkinseed</v>
      </c>
      <c r="E5162" t="str">
        <f>_xlfn.XLOOKUP(A5162,'[1]Tissue Data'!$A:$A,'[1]Tissue Data'!$H:$H)</f>
        <v>Lepomis</v>
      </c>
      <c r="F5162" t="str">
        <f>_xlfn.XLOOKUP(A5162,'[1]Tissue Data'!$A:$A,'[1]Tissue Data'!$I:$I)</f>
        <v>gibbosus</v>
      </c>
      <c r="G5162" t="str">
        <f>_xlfn.XLOOKUP(A5162,'[1]Tissue Data'!$A:$A,'[1]Tissue Data'!J:J)</f>
        <v>U</v>
      </c>
      <c r="H5162" t="str">
        <f>_xlfn.XLOOKUP(A5162,'[1]Tissue Data'!$A:$A,'[1]Tissue Data'!K:K)</f>
        <v>Whole Body</v>
      </c>
      <c r="I5162">
        <f>_xlfn.XLOOKUP(A5162,'[1]Tissue Data'!$A:$A,'[1]Tissue Data'!L:L)</f>
        <v>6.5</v>
      </c>
      <c r="J5162">
        <f>_xlfn.XLOOKUP(A5162,'[1]Tissue Data'!$A:$A,'[1]Tissue Data'!M:M)</f>
        <v>5.55</v>
      </c>
      <c r="K5162" t="s">
        <v>22</v>
      </c>
      <c r="L5162" t="str">
        <f>_xlfn.XLOOKUP(K5162,[2]analyte_order!$B:$B,[2]analyte_order!$C:$C)</f>
        <v>376-06-7</v>
      </c>
      <c r="M5162">
        <f>_xlfn.XLOOKUP(L5162,[2]analyte_order!$C:$C,[2]analyte_order!$E:$E)</f>
        <v>11</v>
      </c>
      <c r="N5162">
        <v>9.34</v>
      </c>
    </row>
    <row r="5163" spans="1:14">
      <c r="A5163" t="s">
        <v>283</v>
      </c>
      <c r="B5163" t="str">
        <f>_xlfn.XLOOKUP(A5163,'[1]Tissue Data'!$A:$A,'[1]Tissue Data'!$C:$C)</f>
        <v>Spill</v>
      </c>
      <c r="C5163" s="2">
        <f>_xlfn.XLOOKUP(A5163,'[1]Tissue Data'!$A:$A,'[1]Tissue Data'!$D:$D)</f>
        <v>44393</v>
      </c>
      <c r="D5163" s="2" t="str">
        <f>_xlfn.XLOOKUP(A5163,'[1]Tissue Data'!$A:$A,'[1]Tissue Data'!$F:$F)</f>
        <v>Pumpkinseed</v>
      </c>
      <c r="E5163" t="str">
        <f>_xlfn.XLOOKUP(A5163,'[1]Tissue Data'!$A:$A,'[1]Tissue Data'!$H:$H)</f>
        <v>Lepomis</v>
      </c>
      <c r="F5163" t="str">
        <f>_xlfn.XLOOKUP(A5163,'[1]Tissue Data'!$A:$A,'[1]Tissue Data'!$I:$I)</f>
        <v>gibbosus</v>
      </c>
      <c r="G5163" t="str">
        <f>_xlfn.XLOOKUP(A5163,'[1]Tissue Data'!$A:$A,'[1]Tissue Data'!J:J)</f>
        <v>U</v>
      </c>
      <c r="H5163" t="str">
        <f>_xlfn.XLOOKUP(A5163,'[1]Tissue Data'!$A:$A,'[1]Tissue Data'!K:K)</f>
        <v>Whole Body</v>
      </c>
      <c r="I5163">
        <f>_xlfn.XLOOKUP(A5163,'[1]Tissue Data'!$A:$A,'[1]Tissue Data'!L:L)</f>
        <v>6.5</v>
      </c>
      <c r="J5163">
        <f>_xlfn.XLOOKUP(A5163,'[1]Tissue Data'!$A:$A,'[1]Tissue Data'!M:M)</f>
        <v>5.55</v>
      </c>
      <c r="K5163" t="s">
        <v>23</v>
      </c>
      <c r="L5163" t="str">
        <f>_xlfn.XLOOKUP(K5163,[2]analyte_order!$B:$B,[2]analyte_order!$C:$C)</f>
        <v>67905-19-5</v>
      </c>
      <c r="M5163">
        <f>_xlfn.XLOOKUP(L5163,[2]analyte_order!$C:$C,[2]analyte_order!$E:$E)</f>
        <v>12</v>
      </c>
      <c r="N5163">
        <v>8.3500000000000005E-2</v>
      </c>
    </row>
    <row r="5164" spans="1:14">
      <c r="A5164" t="s">
        <v>283</v>
      </c>
      <c r="B5164" t="str">
        <f>_xlfn.XLOOKUP(A5164,'[1]Tissue Data'!$A:$A,'[1]Tissue Data'!$C:$C)</f>
        <v>Spill</v>
      </c>
      <c r="C5164" s="2">
        <f>_xlfn.XLOOKUP(A5164,'[1]Tissue Data'!$A:$A,'[1]Tissue Data'!$D:$D)</f>
        <v>44393</v>
      </c>
      <c r="D5164" s="2" t="str">
        <f>_xlfn.XLOOKUP(A5164,'[1]Tissue Data'!$A:$A,'[1]Tissue Data'!$F:$F)</f>
        <v>Pumpkinseed</v>
      </c>
      <c r="E5164" t="str">
        <f>_xlfn.XLOOKUP(A5164,'[1]Tissue Data'!$A:$A,'[1]Tissue Data'!$H:$H)</f>
        <v>Lepomis</v>
      </c>
      <c r="F5164" t="str">
        <f>_xlfn.XLOOKUP(A5164,'[1]Tissue Data'!$A:$A,'[1]Tissue Data'!$I:$I)</f>
        <v>gibbosus</v>
      </c>
      <c r="G5164" t="str">
        <f>_xlfn.XLOOKUP(A5164,'[1]Tissue Data'!$A:$A,'[1]Tissue Data'!J:J)</f>
        <v>U</v>
      </c>
      <c r="H5164" t="str">
        <f>_xlfn.XLOOKUP(A5164,'[1]Tissue Data'!$A:$A,'[1]Tissue Data'!K:K)</f>
        <v>Whole Body</v>
      </c>
      <c r="I5164">
        <f>_xlfn.XLOOKUP(A5164,'[1]Tissue Data'!$A:$A,'[1]Tissue Data'!L:L)</f>
        <v>6.5</v>
      </c>
      <c r="J5164">
        <f>_xlfn.XLOOKUP(A5164,'[1]Tissue Data'!$A:$A,'[1]Tissue Data'!M:M)</f>
        <v>5.55</v>
      </c>
      <c r="K5164" t="s">
        <v>24</v>
      </c>
      <c r="L5164" t="str">
        <f>_xlfn.XLOOKUP(K5164,[2]analyte_order!$B:$B,[2]analyte_order!$C:$C)</f>
        <v>423-41-6</v>
      </c>
      <c r="M5164">
        <f>_xlfn.XLOOKUP(L5164,[2]analyte_order!$C:$C,[2]analyte_order!$E:$E)</f>
        <v>53</v>
      </c>
      <c r="N5164">
        <v>7.0000000000000007E-2</v>
      </c>
    </row>
    <row r="5165" spans="1:14">
      <c r="A5165" t="s">
        <v>283</v>
      </c>
      <c r="B5165" t="str">
        <f>_xlfn.XLOOKUP(A5165,'[1]Tissue Data'!$A:$A,'[1]Tissue Data'!$C:$C)</f>
        <v>Spill</v>
      </c>
      <c r="C5165" s="2">
        <f>_xlfn.XLOOKUP(A5165,'[1]Tissue Data'!$A:$A,'[1]Tissue Data'!$D:$D)</f>
        <v>44393</v>
      </c>
      <c r="D5165" s="2" t="str">
        <f>_xlfn.XLOOKUP(A5165,'[1]Tissue Data'!$A:$A,'[1]Tissue Data'!$F:$F)</f>
        <v>Pumpkinseed</v>
      </c>
      <c r="E5165" t="str">
        <f>_xlfn.XLOOKUP(A5165,'[1]Tissue Data'!$A:$A,'[1]Tissue Data'!$H:$H)</f>
        <v>Lepomis</v>
      </c>
      <c r="F5165" t="str">
        <f>_xlfn.XLOOKUP(A5165,'[1]Tissue Data'!$A:$A,'[1]Tissue Data'!$I:$I)</f>
        <v>gibbosus</v>
      </c>
      <c r="G5165" t="str">
        <f>_xlfn.XLOOKUP(A5165,'[1]Tissue Data'!$A:$A,'[1]Tissue Data'!J:J)</f>
        <v>U</v>
      </c>
      <c r="H5165" t="str">
        <f>_xlfn.XLOOKUP(A5165,'[1]Tissue Data'!$A:$A,'[1]Tissue Data'!K:K)</f>
        <v>Whole Body</v>
      </c>
      <c r="I5165">
        <f>_xlfn.XLOOKUP(A5165,'[1]Tissue Data'!$A:$A,'[1]Tissue Data'!L:L)</f>
        <v>6.5</v>
      </c>
      <c r="J5165">
        <f>_xlfn.XLOOKUP(A5165,'[1]Tissue Data'!$A:$A,'[1]Tissue Data'!M:M)</f>
        <v>5.55</v>
      </c>
      <c r="K5165" t="s">
        <v>25</v>
      </c>
      <c r="L5165" t="str">
        <f>_xlfn.XLOOKUP(K5165,[2]analyte_order!$B:$B,[2]analyte_order!$C:$C)</f>
        <v>375-73-5</v>
      </c>
      <c r="M5165">
        <f>_xlfn.XLOOKUP(L5165,[2]analyte_order!$C:$C,[2]analyte_order!$E:$E)</f>
        <v>14</v>
      </c>
      <c r="N5165">
        <v>0.1575</v>
      </c>
    </row>
    <row r="5166" spans="1:14">
      <c r="A5166" t="s">
        <v>283</v>
      </c>
      <c r="B5166" t="str">
        <f>_xlfn.XLOOKUP(A5166,'[1]Tissue Data'!$A:$A,'[1]Tissue Data'!$C:$C)</f>
        <v>Spill</v>
      </c>
      <c r="C5166" s="2">
        <f>_xlfn.XLOOKUP(A5166,'[1]Tissue Data'!$A:$A,'[1]Tissue Data'!$D:$D)</f>
        <v>44393</v>
      </c>
      <c r="D5166" s="2" t="str">
        <f>_xlfn.XLOOKUP(A5166,'[1]Tissue Data'!$A:$A,'[1]Tissue Data'!$F:$F)</f>
        <v>Pumpkinseed</v>
      </c>
      <c r="E5166" t="str">
        <f>_xlfn.XLOOKUP(A5166,'[1]Tissue Data'!$A:$A,'[1]Tissue Data'!$H:$H)</f>
        <v>Lepomis</v>
      </c>
      <c r="F5166" t="str">
        <f>_xlfn.XLOOKUP(A5166,'[1]Tissue Data'!$A:$A,'[1]Tissue Data'!$I:$I)</f>
        <v>gibbosus</v>
      </c>
      <c r="G5166" t="str">
        <f>_xlfn.XLOOKUP(A5166,'[1]Tissue Data'!$A:$A,'[1]Tissue Data'!J:J)</f>
        <v>U</v>
      </c>
      <c r="H5166" t="str">
        <f>_xlfn.XLOOKUP(A5166,'[1]Tissue Data'!$A:$A,'[1]Tissue Data'!K:K)</f>
        <v>Whole Body</v>
      </c>
      <c r="I5166">
        <f>_xlfn.XLOOKUP(A5166,'[1]Tissue Data'!$A:$A,'[1]Tissue Data'!L:L)</f>
        <v>6.5</v>
      </c>
      <c r="J5166">
        <f>_xlfn.XLOOKUP(A5166,'[1]Tissue Data'!$A:$A,'[1]Tissue Data'!M:M)</f>
        <v>5.55</v>
      </c>
      <c r="K5166" t="s">
        <v>26</v>
      </c>
      <c r="L5166" t="str">
        <f>_xlfn.XLOOKUP(K5166,[2]analyte_order!$B:$B,[2]analyte_order!$C:$C)</f>
        <v>2706-91-4</v>
      </c>
      <c r="M5166">
        <f>_xlfn.XLOOKUP(L5166,[2]analyte_order!$C:$C,[2]analyte_order!$E:$E)</f>
        <v>15</v>
      </c>
      <c r="N5166">
        <v>0.23150000000000001</v>
      </c>
    </row>
    <row r="5167" spans="1:14">
      <c r="A5167" t="s">
        <v>283</v>
      </c>
      <c r="B5167" t="str">
        <f>_xlfn.XLOOKUP(A5167,'[1]Tissue Data'!$A:$A,'[1]Tissue Data'!$C:$C)</f>
        <v>Spill</v>
      </c>
      <c r="C5167" s="2">
        <f>_xlfn.XLOOKUP(A5167,'[1]Tissue Data'!$A:$A,'[1]Tissue Data'!$D:$D)</f>
        <v>44393</v>
      </c>
      <c r="D5167" s="2" t="str">
        <f>_xlfn.XLOOKUP(A5167,'[1]Tissue Data'!$A:$A,'[1]Tissue Data'!$F:$F)</f>
        <v>Pumpkinseed</v>
      </c>
      <c r="E5167" t="str">
        <f>_xlfn.XLOOKUP(A5167,'[1]Tissue Data'!$A:$A,'[1]Tissue Data'!$H:$H)</f>
        <v>Lepomis</v>
      </c>
      <c r="F5167" t="str">
        <f>_xlfn.XLOOKUP(A5167,'[1]Tissue Data'!$A:$A,'[1]Tissue Data'!$I:$I)</f>
        <v>gibbosus</v>
      </c>
      <c r="G5167" t="str">
        <f>_xlfn.XLOOKUP(A5167,'[1]Tissue Data'!$A:$A,'[1]Tissue Data'!J:J)</f>
        <v>U</v>
      </c>
      <c r="H5167" t="str">
        <f>_xlfn.XLOOKUP(A5167,'[1]Tissue Data'!$A:$A,'[1]Tissue Data'!K:K)</f>
        <v>Whole Body</v>
      </c>
      <c r="I5167">
        <f>_xlfn.XLOOKUP(A5167,'[1]Tissue Data'!$A:$A,'[1]Tissue Data'!L:L)</f>
        <v>6.5</v>
      </c>
      <c r="J5167">
        <f>_xlfn.XLOOKUP(A5167,'[1]Tissue Data'!$A:$A,'[1]Tissue Data'!M:M)</f>
        <v>5.55</v>
      </c>
      <c r="K5167" t="s">
        <v>27</v>
      </c>
      <c r="L5167" t="str">
        <f>_xlfn.XLOOKUP(K5167,[2]analyte_order!$B:$B,[2]analyte_order!$C:$C)</f>
        <v>355-46-4</v>
      </c>
      <c r="M5167">
        <f>_xlfn.XLOOKUP(L5167,[2]analyte_order!$C:$C,[2]analyte_order!$E:$E)</f>
        <v>16</v>
      </c>
      <c r="N5167">
        <v>12.9</v>
      </c>
    </row>
    <row r="5168" spans="1:14">
      <c r="A5168" t="s">
        <v>283</v>
      </c>
      <c r="B5168" t="str">
        <f>_xlfn.XLOOKUP(A5168,'[1]Tissue Data'!$A:$A,'[1]Tissue Data'!$C:$C)</f>
        <v>Spill</v>
      </c>
      <c r="C5168" s="2">
        <f>_xlfn.XLOOKUP(A5168,'[1]Tissue Data'!$A:$A,'[1]Tissue Data'!$D:$D)</f>
        <v>44393</v>
      </c>
      <c r="D5168" s="2" t="str">
        <f>_xlfn.XLOOKUP(A5168,'[1]Tissue Data'!$A:$A,'[1]Tissue Data'!$F:$F)</f>
        <v>Pumpkinseed</v>
      </c>
      <c r="E5168" t="str">
        <f>_xlfn.XLOOKUP(A5168,'[1]Tissue Data'!$A:$A,'[1]Tissue Data'!$H:$H)</f>
        <v>Lepomis</v>
      </c>
      <c r="F5168" t="str">
        <f>_xlfn.XLOOKUP(A5168,'[1]Tissue Data'!$A:$A,'[1]Tissue Data'!$I:$I)</f>
        <v>gibbosus</v>
      </c>
      <c r="G5168" t="str">
        <f>_xlfn.XLOOKUP(A5168,'[1]Tissue Data'!$A:$A,'[1]Tissue Data'!J:J)</f>
        <v>U</v>
      </c>
      <c r="H5168" t="str">
        <f>_xlfn.XLOOKUP(A5168,'[1]Tissue Data'!$A:$A,'[1]Tissue Data'!K:K)</f>
        <v>Whole Body</v>
      </c>
      <c r="I5168">
        <f>_xlfn.XLOOKUP(A5168,'[1]Tissue Data'!$A:$A,'[1]Tissue Data'!L:L)</f>
        <v>6.5</v>
      </c>
      <c r="J5168">
        <f>_xlfn.XLOOKUP(A5168,'[1]Tissue Data'!$A:$A,'[1]Tissue Data'!M:M)</f>
        <v>5.55</v>
      </c>
      <c r="K5168" t="s">
        <v>28</v>
      </c>
      <c r="L5168" t="str">
        <f>_xlfn.XLOOKUP(K5168,[2]analyte_order!$B:$B,[2]analyte_order!$C:$C)</f>
        <v>375-92-8</v>
      </c>
      <c r="M5168">
        <f>_xlfn.XLOOKUP(L5168,[2]analyte_order!$C:$C,[2]analyte_order!$E:$E)</f>
        <v>17</v>
      </c>
      <c r="N5168">
        <v>3.86</v>
      </c>
    </row>
    <row r="5169" spans="1:14">
      <c r="A5169" t="s">
        <v>283</v>
      </c>
      <c r="B5169" t="str">
        <f>_xlfn.XLOOKUP(A5169,'[1]Tissue Data'!$A:$A,'[1]Tissue Data'!$C:$C)</f>
        <v>Spill</v>
      </c>
      <c r="C5169" s="2">
        <f>_xlfn.XLOOKUP(A5169,'[1]Tissue Data'!$A:$A,'[1]Tissue Data'!$D:$D)</f>
        <v>44393</v>
      </c>
      <c r="D5169" s="2" t="str">
        <f>_xlfn.XLOOKUP(A5169,'[1]Tissue Data'!$A:$A,'[1]Tissue Data'!$F:$F)</f>
        <v>Pumpkinseed</v>
      </c>
      <c r="E5169" t="str">
        <f>_xlfn.XLOOKUP(A5169,'[1]Tissue Data'!$A:$A,'[1]Tissue Data'!$H:$H)</f>
        <v>Lepomis</v>
      </c>
      <c r="F5169" t="str">
        <f>_xlfn.XLOOKUP(A5169,'[1]Tissue Data'!$A:$A,'[1]Tissue Data'!$I:$I)</f>
        <v>gibbosus</v>
      </c>
      <c r="G5169" t="str">
        <f>_xlfn.XLOOKUP(A5169,'[1]Tissue Data'!$A:$A,'[1]Tissue Data'!J:J)</f>
        <v>U</v>
      </c>
      <c r="H5169" t="str">
        <f>_xlfn.XLOOKUP(A5169,'[1]Tissue Data'!$A:$A,'[1]Tissue Data'!K:K)</f>
        <v>Whole Body</v>
      </c>
      <c r="I5169">
        <f>_xlfn.XLOOKUP(A5169,'[1]Tissue Data'!$A:$A,'[1]Tissue Data'!L:L)</f>
        <v>6.5</v>
      </c>
      <c r="J5169">
        <f>_xlfn.XLOOKUP(A5169,'[1]Tissue Data'!$A:$A,'[1]Tissue Data'!M:M)</f>
        <v>5.55</v>
      </c>
      <c r="K5169" t="s">
        <v>29</v>
      </c>
      <c r="L5169" t="str">
        <f>_xlfn.XLOOKUP(K5169,[2]analyte_order!$B:$B,[2]analyte_order!$C:$C)</f>
        <v>1763-23-1</v>
      </c>
      <c r="M5169">
        <f>_xlfn.XLOOKUP(L5169,[2]analyte_order!$C:$C,[2]analyte_order!$E:$E)</f>
        <v>18</v>
      </c>
      <c r="N5169">
        <v>573</v>
      </c>
    </row>
    <row r="5170" spans="1:14">
      <c r="A5170" t="s">
        <v>283</v>
      </c>
      <c r="B5170" t="str">
        <f>_xlfn.XLOOKUP(A5170,'[1]Tissue Data'!$A:$A,'[1]Tissue Data'!$C:$C)</f>
        <v>Spill</v>
      </c>
      <c r="C5170" s="2">
        <f>_xlfn.XLOOKUP(A5170,'[1]Tissue Data'!$A:$A,'[1]Tissue Data'!$D:$D)</f>
        <v>44393</v>
      </c>
      <c r="D5170" s="2" t="str">
        <f>_xlfn.XLOOKUP(A5170,'[1]Tissue Data'!$A:$A,'[1]Tissue Data'!$F:$F)</f>
        <v>Pumpkinseed</v>
      </c>
      <c r="E5170" t="str">
        <f>_xlfn.XLOOKUP(A5170,'[1]Tissue Data'!$A:$A,'[1]Tissue Data'!$H:$H)</f>
        <v>Lepomis</v>
      </c>
      <c r="F5170" t="str">
        <f>_xlfn.XLOOKUP(A5170,'[1]Tissue Data'!$A:$A,'[1]Tissue Data'!$I:$I)</f>
        <v>gibbosus</v>
      </c>
      <c r="G5170" t="str">
        <f>_xlfn.XLOOKUP(A5170,'[1]Tissue Data'!$A:$A,'[1]Tissue Data'!J:J)</f>
        <v>U</v>
      </c>
      <c r="H5170" t="str">
        <f>_xlfn.XLOOKUP(A5170,'[1]Tissue Data'!$A:$A,'[1]Tissue Data'!K:K)</f>
        <v>Whole Body</v>
      </c>
      <c r="I5170">
        <f>_xlfn.XLOOKUP(A5170,'[1]Tissue Data'!$A:$A,'[1]Tissue Data'!L:L)</f>
        <v>6.5</v>
      </c>
      <c r="J5170">
        <f>_xlfn.XLOOKUP(A5170,'[1]Tissue Data'!$A:$A,'[1]Tissue Data'!M:M)</f>
        <v>5.55</v>
      </c>
      <c r="K5170" t="s">
        <v>30</v>
      </c>
      <c r="L5170" t="str">
        <f>_xlfn.XLOOKUP(K5170,[2]analyte_order!$B:$B,[2]analyte_order!$C:$C)</f>
        <v>68259-12-1</v>
      </c>
      <c r="M5170">
        <f>_xlfn.XLOOKUP(L5170,[2]analyte_order!$C:$C,[2]analyte_order!$E:$E)</f>
        <v>19</v>
      </c>
      <c r="N5170">
        <v>1.3</v>
      </c>
    </row>
    <row r="5171" spans="1:14">
      <c r="A5171" t="s">
        <v>283</v>
      </c>
      <c r="B5171" t="str">
        <f>_xlfn.XLOOKUP(A5171,'[1]Tissue Data'!$A:$A,'[1]Tissue Data'!$C:$C)</f>
        <v>Spill</v>
      </c>
      <c r="C5171" s="2">
        <f>_xlfn.XLOOKUP(A5171,'[1]Tissue Data'!$A:$A,'[1]Tissue Data'!$D:$D)</f>
        <v>44393</v>
      </c>
      <c r="D5171" s="2" t="str">
        <f>_xlfn.XLOOKUP(A5171,'[1]Tissue Data'!$A:$A,'[1]Tissue Data'!$F:$F)</f>
        <v>Pumpkinseed</v>
      </c>
      <c r="E5171" t="str">
        <f>_xlfn.XLOOKUP(A5171,'[1]Tissue Data'!$A:$A,'[1]Tissue Data'!$H:$H)</f>
        <v>Lepomis</v>
      </c>
      <c r="F5171" t="str">
        <f>_xlfn.XLOOKUP(A5171,'[1]Tissue Data'!$A:$A,'[1]Tissue Data'!$I:$I)</f>
        <v>gibbosus</v>
      </c>
      <c r="G5171" t="str">
        <f>_xlfn.XLOOKUP(A5171,'[1]Tissue Data'!$A:$A,'[1]Tissue Data'!J:J)</f>
        <v>U</v>
      </c>
      <c r="H5171" t="str">
        <f>_xlfn.XLOOKUP(A5171,'[1]Tissue Data'!$A:$A,'[1]Tissue Data'!K:K)</f>
        <v>Whole Body</v>
      </c>
      <c r="I5171">
        <f>_xlfn.XLOOKUP(A5171,'[1]Tissue Data'!$A:$A,'[1]Tissue Data'!L:L)</f>
        <v>6.5</v>
      </c>
      <c r="J5171">
        <f>_xlfn.XLOOKUP(A5171,'[1]Tissue Data'!$A:$A,'[1]Tissue Data'!M:M)</f>
        <v>5.55</v>
      </c>
      <c r="K5171" t="s">
        <v>31</v>
      </c>
      <c r="L5171" t="str">
        <f>_xlfn.XLOOKUP(K5171,[2]analyte_order!$B:$B,[2]analyte_order!$C:$C)</f>
        <v>335-77-3</v>
      </c>
      <c r="M5171">
        <f>_xlfn.XLOOKUP(L5171,[2]analyte_order!$C:$C,[2]analyte_order!$E:$E)</f>
        <v>20</v>
      </c>
      <c r="N5171">
        <v>1.57</v>
      </c>
    </row>
    <row r="5172" spans="1:14">
      <c r="A5172" t="s">
        <v>283</v>
      </c>
      <c r="B5172" t="str">
        <f>_xlfn.XLOOKUP(A5172,'[1]Tissue Data'!$A:$A,'[1]Tissue Data'!$C:$C)</f>
        <v>Spill</v>
      </c>
      <c r="C5172" s="2">
        <f>_xlfn.XLOOKUP(A5172,'[1]Tissue Data'!$A:$A,'[1]Tissue Data'!$D:$D)</f>
        <v>44393</v>
      </c>
      <c r="D5172" s="2" t="str">
        <f>_xlfn.XLOOKUP(A5172,'[1]Tissue Data'!$A:$A,'[1]Tissue Data'!$F:$F)</f>
        <v>Pumpkinseed</v>
      </c>
      <c r="E5172" t="str">
        <f>_xlfn.XLOOKUP(A5172,'[1]Tissue Data'!$A:$A,'[1]Tissue Data'!$H:$H)</f>
        <v>Lepomis</v>
      </c>
      <c r="F5172" t="str">
        <f>_xlfn.XLOOKUP(A5172,'[1]Tissue Data'!$A:$A,'[1]Tissue Data'!$I:$I)</f>
        <v>gibbosus</v>
      </c>
      <c r="G5172" t="str">
        <f>_xlfn.XLOOKUP(A5172,'[1]Tissue Data'!$A:$A,'[1]Tissue Data'!J:J)</f>
        <v>U</v>
      </c>
      <c r="H5172" t="str">
        <f>_xlfn.XLOOKUP(A5172,'[1]Tissue Data'!$A:$A,'[1]Tissue Data'!K:K)</f>
        <v>Whole Body</v>
      </c>
      <c r="I5172">
        <f>_xlfn.XLOOKUP(A5172,'[1]Tissue Data'!$A:$A,'[1]Tissue Data'!L:L)</f>
        <v>6.5</v>
      </c>
      <c r="J5172">
        <f>_xlfn.XLOOKUP(A5172,'[1]Tissue Data'!$A:$A,'[1]Tissue Data'!M:M)</f>
        <v>5.55</v>
      </c>
      <c r="K5172" t="s">
        <v>32</v>
      </c>
      <c r="L5172" t="str">
        <f>_xlfn.XLOOKUP(K5172,[2]analyte_order!$B:$B,[2]analyte_order!$C:$C)</f>
        <v>79780-39-5</v>
      </c>
      <c r="M5172">
        <f>_xlfn.XLOOKUP(L5172,[2]analyte_order!$C:$C,[2]analyte_order!$E:$E)</f>
        <v>21</v>
      </c>
      <c r="N5172">
        <v>0.2475</v>
      </c>
    </row>
    <row r="5173" spans="1:14">
      <c r="A5173" t="s">
        <v>283</v>
      </c>
      <c r="B5173" t="str">
        <f>_xlfn.XLOOKUP(A5173,'[1]Tissue Data'!$A:$A,'[1]Tissue Data'!$C:$C)</f>
        <v>Spill</v>
      </c>
      <c r="C5173" s="2">
        <f>_xlfn.XLOOKUP(A5173,'[1]Tissue Data'!$A:$A,'[1]Tissue Data'!$D:$D)</f>
        <v>44393</v>
      </c>
      <c r="D5173" s="2" t="str">
        <f>_xlfn.XLOOKUP(A5173,'[1]Tissue Data'!$A:$A,'[1]Tissue Data'!$F:$F)</f>
        <v>Pumpkinseed</v>
      </c>
      <c r="E5173" t="str">
        <f>_xlfn.XLOOKUP(A5173,'[1]Tissue Data'!$A:$A,'[1]Tissue Data'!$H:$H)</f>
        <v>Lepomis</v>
      </c>
      <c r="F5173" t="str">
        <f>_xlfn.XLOOKUP(A5173,'[1]Tissue Data'!$A:$A,'[1]Tissue Data'!$I:$I)</f>
        <v>gibbosus</v>
      </c>
      <c r="G5173" t="str">
        <f>_xlfn.XLOOKUP(A5173,'[1]Tissue Data'!$A:$A,'[1]Tissue Data'!J:J)</f>
        <v>U</v>
      </c>
      <c r="H5173" t="str">
        <f>_xlfn.XLOOKUP(A5173,'[1]Tissue Data'!$A:$A,'[1]Tissue Data'!K:K)</f>
        <v>Whole Body</v>
      </c>
      <c r="I5173">
        <f>_xlfn.XLOOKUP(A5173,'[1]Tissue Data'!$A:$A,'[1]Tissue Data'!L:L)</f>
        <v>6.5</v>
      </c>
      <c r="J5173">
        <f>_xlfn.XLOOKUP(A5173,'[1]Tissue Data'!$A:$A,'[1]Tissue Data'!M:M)</f>
        <v>5.55</v>
      </c>
      <c r="K5173" t="s">
        <v>33</v>
      </c>
      <c r="L5173" t="str">
        <f>_xlfn.XLOOKUP(K5173,[2]analyte_order!$B:$B,[2]analyte_order!$C:$C)</f>
        <v>777011-38-8</v>
      </c>
      <c r="M5173">
        <f>_xlfn.XLOOKUP(L5173,[2]analyte_order!$C:$C,[2]analyte_order!$E:$E)</f>
        <v>54</v>
      </c>
      <c r="N5173">
        <v>0.14050000000000001</v>
      </c>
    </row>
    <row r="5174" spans="1:14">
      <c r="A5174" t="s">
        <v>283</v>
      </c>
      <c r="B5174" t="str">
        <f>_xlfn.XLOOKUP(A5174,'[1]Tissue Data'!$A:$A,'[1]Tissue Data'!$C:$C)</f>
        <v>Spill</v>
      </c>
      <c r="C5174" s="2">
        <f>_xlfn.XLOOKUP(A5174,'[1]Tissue Data'!$A:$A,'[1]Tissue Data'!$D:$D)</f>
        <v>44393</v>
      </c>
      <c r="D5174" s="2" t="str">
        <f>_xlfn.XLOOKUP(A5174,'[1]Tissue Data'!$A:$A,'[1]Tissue Data'!$F:$F)</f>
        <v>Pumpkinseed</v>
      </c>
      <c r="E5174" t="str">
        <f>_xlfn.XLOOKUP(A5174,'[1]Tissue Data'!$A:$A,'[1]Tissue Data'!$H:$H)</f>
        <v>Lepomis</v>
      </c>
      <c r="F5174" t="str">
        <f>_xlfn.XLOOKUP(A5174,'[1]Tissue Data'!$A:$A,'[1]Tissue Data'!$I:$I)</f>
        <v>gibbosus</v>
      </c>
      <c r="G5174" t="str">
        <f>_xlfn.XLOOKUP(A5174,'[1]Tissue Data'!$A:$A,'[1]Tissue Data'!J:J)</f>
        <v>U</v>
      </c>
      <c r="H5174" t="str">
        <f>_xlfn.XLOOKUP(A5174,'[1]Tissue Data'!$A:$A,'[1]Tissue Data'!K:K)</f>
        <v>Whole Body</v>
      </c>
      <c r="I5174">
        <f>_xlfn.XLOOKUP(A5174,'[1]Tissue Data'!$A:$A,'[1]Tissue Data'!L:L)</f>
        <v>6.5</v>
      </c>
      <c r="J5174">
        <f>_xlfn.XLOOKUP(A5174,'[1]Tissue Data'!$A:$A,'[1]Tissue Data'!M:M)</f>
        <v>5.55</v>
      </c>
      <c r="K5174" t="s">
        <v>34</v>
      </c>
      <c r="L5174" t="str">
        <f>_xlfn.XLOOKUP(K5174,[2]analyte_order!$B:$B,[2]analyte_order!$C:$C)</f>
        <v>646-83-3</v>
      </c>
      <c r="M5174">
        <f>_xlfn.XLOOKUP(L5174,[2]analyte_order!$C:$C,[2]analyte_order!$E:$E)</f>
        <v>55</v>
      </c>
      <c r="N5174">
        <v>0.23150000000000001</v>
      </c>
    </row>
    <row r="5175" spans="1:14">
      <c r="A5175" t="s">
        <v>283</v>
      </c>
      <c r="B5175" t="str">
        <f>_xlfn.XLOOKUP(A5175,'[1]Tissue Data'!$A:$A,'[1]Tissue Data'!$C:$C)</f>
        <v>Spill</v>
      </c>
      <c r="C5175" s="2">
        <f>_xlfn.XLOOKUP(A5175,'[1]Tissue Data'!$A:$A,'[1]Tissue Data'!$D:$D)</f>
        <v>44393</v>
      </c>
      <c r="D5175" s="2" t="str">
        <f>_xlfn.XLOOKUP(A5175,'[1]Tissue Data'!$A:$A,'[1]Tissue Data'!$F:$F)</f>
        <v>Pumpkinseed</v>
      </c>
      <c r="E5175" t="str">
        <f>_xlfn.XLOOKUP(A5175,'[1]Tissue Data'!$A:$A,'[1]Tissue Data'!$H:$H)</f>
        <v>Lepomis</v>
      </c>
      <c r="F5175" t="str">
        <f>_xlfn.XLOOKUP(A5175,'[1]Tissue Data'!$A:$A,'[1]Tissue Data'!$I:$I)</f>
        <v>gibbosus</v>
      </c>
      <c r="G5175" t="str">
        <f>_xlfn.XLOOKUP(A5175,'[1]Tissue Data'!$A:$A,'[1]Tissue Data'!J:J)</f>
        <v>U</v>
      </c>
      <c r="H5175" t="str">
        <f>_xlfn.XLOOKUP(A5175,'[1]Tissue Data'!$A:$A,'[1]Tissue Data'!K:K)</f>
        <v>Whole Body</v>
      </c>
      <c r="I5175">
        <f>_xlfn.XLOOKUP(A5175,'[1]Tissue Data'!$A:$A,'[1]Tissue Data'!L:L)</f>
        <v>6.5</v>
      </c>
      <c r="J5175">
        <f>_xlfn.XLOOKUP(A5175,'[1]Tissue Data'!$A:$A,'[1]Tissue Data'!M:M)</f>
        <v>5.55</v>
      </c>
      <c r="K5175" t="s">
        <v>35</v>
      </c>
      <c r="L5175" t="str">
        <f>_xlfn.XLOOKUP(K5175,[2]analyte_order!$B:$B,[2]analyte_order!$C:$C)</f>
        <v>30334-69-1</v>
      </c>
      <c r="M5175">
        <f>_xlfn.XLOOKUP(L5175,[2]analyte_order!$C:$C,[2]analyte_order!$E:$E)</f>
        <v>51</v>
      </c>
      <c r="N5175">
        <v>30.9</v>
      </c>
    </row>
    <row r="5176" spans="1:14">
      <c r="A5176" t="s">
        <v>283</v>
      </c>
      <c r="B5176" t="str">
        <f>_xlfn.XLOOKUP(A5176,'[1]Tissue Data'!$A:$A,'[1]Tissue Data'!$C:$C)</f>
        <v>Spill</v>
      </c>
      <c r="C5176" s="2">
        <f>_xlfn.XLOOKUP(A5176,'[1]Tissue Data'!$A:$A,'[1]Tissue Data'!$D:$D)</f>
        <v>44393</v>
      </c>
      <c r="D5176" s="2" t="str">
        <f>_xlfn.XLOOKUP(A5176,'[1]Tissue Data'!$A:$A,'[1]Tissue Data'!$F:$F)</f>
        <v>Pumpkinseed</v>
      </c>
      <c r="E5176" t="str">
        <f>_xlfn.XLOOKUP(A5176,'[1]Tissue Data'!$A:$A,'[1]Tissue Data'!$H:$H)</f>
        <v>Lepomis</v>
      </c>
      <c r="F5176" t="str">
        <f>_xlfn.XLOOKUP(A5176,'[1]Tissue Data'!$A:$A,'[1]Tissue Data'!$I:$I)</f>
        <v>gibbosus</v>
      </c>
      <c r="G5176" t="str">
        <f>_xlfn.XLOOKUP(A5176,'[1]Tissue Data'!$A:$A,'[1]Tissue Data'!J:J)</f>
        <v>U</v>
      </c>
      <c r="H5176" t="str">
        <f>_xlfn.XLOOKUP(A5176,'[1]Tissue Data'!$A:$A,'[1]Tissue Data'!K:K)</f>
        <v>Whole Body</v>
      </c>
      <c r="I5176">
        <f>_xlfn.XLOOKUP(A5176,'[1]Tissue Data'!$A:$A,'[1]Tissue Data'!L:L)</f>
        <v>6.5</v>
      </c>
      <c r="J5176">
        <f>_xlfn.XLOOKUP(A5176,'[1]Tissue Data'!$A:$A,'[1]Tissue Data'!M:M)</f>
        <v>5.55</v>
      </c>
      <c r="K5176" t="s">
        <v>36</v>
      </c>
      <c r="L5176" t="str">
        <f>_xlfn.XLOOKUP(K5176,[2]analyte_order!$B:$B,[2]analyte_order!$C:$C)</f>
        <v>41997-13-1</v>
      </c>
      <c r="M5176">
        <f>_xlfn.XLOOKUP(L5176,[2]analyte_order!$C:$C,[2]analyte_order!$E:$E)</f>
        <v>52</v>
      </c>
      <c r="N5176">
        <v>135</v>
      </c>
    </row>
    <row r="5177" spans="1:14">
      <c r="A5177" t="s">
        <v>283</v>
      </c>
      <c r="B5177" t="str">
        <f>_xlfn.XLOOKUP(A5177,'[1]Tissue Data'!$A:$A,'[1]Tissue Data'!$C:$C)</f>
        <v>Spill</v>
      </c>
      <c r="C5177" s="2">
        <f>_xlfn.XLOOKUP(A5177,'[1]Tissue Data'!$A:$A,'[1]Tissue Data'!$D:$D)</f>
        <v>44393</v>
      </c>
      <c r="D5177" s="2" t="str">
        <f>_xlfn.XLOOKUP(A5177,'[1]Tissue Data'!$A:$A,'[1]Tissue Data'!$F:$F)</f>
        <v>Pumpkinseed</v>
      </c>
      <c r="E5177" t="str">
        <f>_xlfn.XLOOKUP(A5177,'[1]Tissue Data'!$A:$A,'[1]Tissue Data'!$H:$H)</f>
        <v>Lepomis</v>
      </c>
      <c r="F5177" t="str">
        <f>_xlfn.XLOOKUP(A5177,'[1]Tissue Data'!$A:$A,'[1]Tissue Data'!$I:$I)</f>
        <v>gibbosus</v>
      </c>
      <c r="G5177" t="str">
        <f>_xlfn.XLOOKUP(A5177,'[1]Tissue Data'!$A:$A,'[1]Tissue Data'!J:J)</f>
        <v>U</v>
      </c>
      <c r="H5177" t="str">
        <f>_xlfn.XLOOKUP(A5177,'[1]Tissue Data'!$A:$A,'[1]Tissue Data'!K:K)</f>
        <v>Whole Body</v>
      </c>
      <c r="I5177">
        <f>_xlfn.XLOOKUP(A5177,'[1]Tissue Data'!$A:$A,'[1]Tissue Data'!L:L)</f>
        <v>6.5</v>
      </c>
      <c r="J5177">
        <f>_xlfn.XLOOKUP(A5177,'[1]Tissue Data'!$A:$A,'[1]Tissue Data'!M:M)</f>
        <v>5.55</v>
      </c>
      <c r="K5177" t="s">
        <v>37</v>
      </c>
      <c r="L5177" t="str">
        <f>_xlfn.XLOOKUP(K5177,[2]analyte_order!$B:$B,[2]analyte_order!$C:$C)</f>
        <v>754-91-6</v>
      </c>
      <c r="M5177">
        <f>_xlfn.XLOOKUP(L5177,[2]analyte_order!$C:$C,[2]analyte_order!$E:$E)</f>
        <v>28</v>
      </c>
      <c r="N5177">
        <v>11.4</v>
      </c>
    </row>
    <row r="5178" spans="1:14">
      <c r="A5178" t="s">
        <v>283</v>
      </c>
      <c r="B5178" t="str">
        <f>_xlfn.XLOOKUP(A5178,'[1]Tissue Data'!$A:$A,'[1]Tissue Data'!$C:$C)</f>
        <v>Spill</v>
      </c>
      <c r="C5178" s="2">
        <f>_xlfn.XLOOKUP(A5178,'[1]Tissue Data'!$A:$A,'[1]Tissue Data'!$D:$D)</f>
        <v>44393</v>
      </c>
      <c r="D5178" s="2" t="str">
        <f>_xlfn.XLOOKUP(A5178,'[1]Tissue Data'!$A:$A,'[1]Tissue Data'!$F:$F)</f>
        <v>Pumpkinseed</v>
      </c>
      <c r="E5178" t="str">
        <f>_xlfn.XLOOKUP(A5178,'[1]Tissue Data'!$A:$A,'[1]Tissue Data'!$H:$H)</f>
        <v>Lepomis</v>
      </c>
      <c r="F5178" t="str">
        <f>_xlfn.XLOOKUP(A5178,'[1]Tissue Data'!$A:$A,'[1]Tissue Data'!$I:$I)</f>
        <v>gibbosus</v>
      </c>
      <c r="G5178" t="str">
        <f>_xlfn.XLOOKUP(A5178,'[1]Tissue Data'!$A:$A,'[1]Tissue Data'!J:J)</f>
        <v>U</v>
      </c>
      <c r="H5178" t="str">
        <f>_xlfn.XLOOKUP(A5178,'[1]Tissue Data'!$A:$A,'[1]Tissue Data'!K:K)</f>
        <v>Whole Body</v>
      </c>
      <c r="I5178">
        <f>_xlfn.XLOOKUP(A5178,'[1]Tissue Data'!$A:$A,'[1]Tissue Data'!L:L)</f>
        <v>6.5</v>
      </c>
      <c r="J5178">
        <f>_xlfn.XLOOKUP(A5178,'[1]Tissue Data'!$A:$A,'[1]Tissue Data'!M:M)</f>
        <v>5.55</v>
      </c>
      <c r="K5178" t="s">
        <v>38</v>
      </c>
      <c r="L5178" t="str">
        <f>_xlfn.XLOOKUP(K5178,[2]analyte_order!$B:$B,[2]analyte_order!$C:$C)</f>
        <v>31506-32-8</v>
      </c>
      <c r="M5178">
        <f>_xlfn.XLOOKUP(L5178,[2]analyte_order!$C:$C,[2]analyte_order!$E:$E)</f>
        <v>30</v>
      </c>
      <c r="N5178">
        <v>7.0000000000000007E-2</v>
      </c>
    </row>
    <row r="5179" spans="1:14">
      <c r="A5179" t="s">
        <v>283</v>
      </c>
      <c r="B5179" t="str">
        <f>_xlfn.XLOOKUP(A5179,'[1]Tissue Data'!$A:$A,'[1]Tissue Data'!$C:$C)</f>
        <v>Spill</v>
      </c>
      <c r="C5179" s="2">
        <f>_xlfn.XLOOKUP(A5179,'[1]Tissue Data'!$A:$A,'[1]Tissue Data'!$D:$D)</f>
        <v>44393</v>
      </c>
      <c r="D5179" s="2" t="str">
        <f>_xlfn.XLOOKUP(A5179,'[1]Tissue Data'!$A:$A,'[1]Tissue Data'!$F:$F)</f>
        <v>Pumpkinseed</v>
      </c>
      <c r="E5179" t="str">
        <f>_xlfn.XLOOKUP(A5179,'[1]Tissue Data'!$A:$A,'[1]Tissue Data'!$H:$H)</f>
        <v>Lepomis</v>
      </c>
      <c r="F5179" t="str">
        <f>_xlfn.XLOOKUP(A5179,'[1]Tissue Data'!$A:$A,'[1]Tissue Data'!$I:$I)</f>
        <v>gibbosus</v>
      </c>
      <c r="G5179" t="str">
        <f>_xlfn.XLOOKUP(A5179,'[1]Tissue Data'!$A:$A,'[1]Tissue Data'!J:J)</f>
        <v>U</v>
      </c>
      <c r="H5179" t="str">
        <f>_xlfn.XLOOKUP(A5179,'[1]Tissue Data'!$A:$A,'[1]Tissue Data'!K:K)</f>
        <v>Whole Body</v>
      </c>
      <c r="I5179">
        <f>_xlfn.XLOOKUP(A5179,'[1]Tissue Data'!$A:$A,'[1]Tissue Data'!L:L)</f>
        <v>6.5</v>
      </c>
      <c r="J5179">
        <f>_xlfn.XLOOKUP(A5179,'[1]Tissue Data'!$A:$A,'[1]Tissue Data'!M:M)</f>
        <v>5.55</v>
      </c>
      <c r="K5179" t="s">
        <v>39</v>
      </c>
      <c r="L5179" t="str">
        <f>_xlfn.XLOOKUP(K5179,[2]analyte_order!$B:$B,[2]analyte_order!$C:$C)</f>
        <v>4151-50-2</v>
      </c>
      <c r="M5179">
        <f>_xlfn.XLOOKUP(L5179,[2]analyte_order!$C:$C,[2]analyte_order!$E:$E)</f>
        <v>31</v>
      </c>
      <c r="N5179">
        <v>8.2000000000000003E-2</v>
      </c>
    </row>
    <row r="5180" spans="1:14">
      <c r="A5180" t="s">
        <v>283</v>
      </c>
      <c r="B5180" t="str">
        <f>_xlfn.XLOOKUP(A5180,'[1]Tissue Data'!$A:$A,'[1]Tissue Data'!$C:$C)</f>
        <v>Spill</v>
      </c>
      <c r="C5180" s="2">
        <f>_xlfn.XLOOKUP(A5180,'[1]Tissue Data'!$A:$A,'[1]Tissue Data'!$D:$D)</f>
        <v>44393</v>
      </c>
      <c r="D5180" s="2" t="str">
        <f>_xlfn.XLOOKUP(A5180,'[1]Tissue Data'!$A:$A,'[1]Tissue Data'!$F:$F)</f>
        <v>Pumpkinseed</v>
      </c>
      <c r="E5180" t="str">
        <f>_xlfn.XLOOKUP(A5180,'[1]Tissue Data'!$A:$A,'[1]Tissue Data'!$H:$H)</f>
        <v>Lepomis</v>
      </c>
      <c r="F5180" t="str">
        <f>_xlfn.XLOOKUP(A5180,'[1]Tissue Data'!$A:$A,'[1]Tissue Data'!$I:$I)</f>
        <v>gibbosus</v>
      </c>
      <c r="G5180" t="str">
        <f>_xlfn.XLOOKUP(A5180,'[1]Tissue Data'!$A:$A,'[1]Tissue Data'!J:J)</f>
        <v>U</v>
      </c>
      <c r="H5180" t="str">
        <f>_xlfn.XLOOKUP(A5180,'[1]Tissue Data'!$A:$A,'[1]Tissue Data'!K:K)</f>
        <v>Whole Body</v>
      </c>
      <c r="I5180">
        <f>_xlfn.XLOOKUP(A5180,'[1]Tissue Data'!$A:$A,'[1]Tissue Data'!L:L)</f>
        <v>6.5</v>
      </c>
      <c r="J5180">
        <f>_xlfn.XLOOKUP(A5180,'[1]Tissue Data'!$A:$A,'[1]Tissue Data'!M:M)</f>
        <v>5.55</v>
      </c>
      <c r="K5180" t="s">
        <v>40</v>
      </c>
      <c r="L5180" t="str">
        <f>_xlfn.XLOOKUP(K5180,[2]analyte_order!$B:$B,[2]analyte_order!$C:$C)</f>
        <v>2806-24-8</v>
      </c>
      <c r="M5180">
        <f>_xlfn.XLOOKUP(L5180,[2]analyte_order!$C:$C,[2]analyte_order!$E:$E)</f>
        <v>29</v>
      </c>
      <c r="N5180">
        <v>5.5E-2</v>
      </c>
    </row>
    <row r="5181" spans="1:14">
      <c r="A5181" t="s">
        <v>283</v>
      </c>
      <c r="B5181" t="str">
        <f>_xlfn.XLOOKUP(A5181,'[1]Tissue Data'!$A:$A,'[1]Tissue Data'!$C:$C)</f>
        <v>Spill</v>
      </c>
      <c r="C5181" s="2">
        <f>_xlfn.XLOOKUP(A5181,'[1]Tissue Data'!$A:$A,'[1]Tissue Data'!$D:$D)</f>
        <v>44393</v>
      </c>
      <c r="D5181" s="2" t="str">
        <f>_xlfn.XLOOKUP(A5181,'[1]Tissue Data'!$A:$A,'[1]Tissue Data'!$F:$F)</f>
        <v>Pumpkinseed</v>
      </c>
      <c r="E5181" t="str">
        <f>_xlfn.XLOOKUP(A5181,'[1]Tissue Data'!$A:$A,'[1]Tissue Data'!$H:$H)</f>
        <v>Lepomis</v>
      </c>
      <c r="F5181" t="str">
        <f>_xlfn.XLOOKUP(A5181,'[1]Tissue Data'!$A:$A,'[1]Tissue Data'!$I:$I)</f>
        <v>gibbosus</v>
      </c>
      <c r="G5181" t="str">
        <f>_xlfn.XLOOKUP(A5181,'[1]Tissue Data'!$A:$A,'[1]Tissue Data'!J:J)</f>
        <v>U</v>
      </c>
      <c r="H5181" t="str">
        <f>_xlfn.XLOOKUP(A5181,'[1]Tissue Data'!$A:$A,'[1]Tissue Data'!K:K)</f>
        <v>Whole Body</v>
      </c>
      <c r="I5181">
        <f>_xlfn.XLOOKUP(A5181,'[1]Tissue Data'!$A:$A,'[1]Tissue Data'!L:L)</f>
        <v>6.5</v>
      </c>
      <c r="J5181">
        <f>_xlfn.XLOOKUP(A5181,'[1]Tissue Data'!$A:$A,'[1]Tissue Data'!M:M)</f>
        <v>5.55</v>
      </c>
      <c r="K5181" t="s">
        <v>41</v>
      </c>
      <c r="L5181" t="str">
        <f>_xlfn.XLOOKUP(K5181,[2]analyte_order!$B:$B,[2]analyte_order!$C:$C)</f>
        <v>2355-31-9</v>
      </c>
      <c r="M5181">
        <f>_xlfn.XLOOKUP(L5181,[2]analyte_order!$C:$C,[2]analyte_order!$E:$E)</f>
        <v>26</v>
      </c>
      <c r="N5181">
        <v>0.23250000000000001</v>
      </c>
    </row>
    <row r="5182" spans="1:14">
      <c r="A5182" t="s">
        <v>283</v>
      </c>
      <c r="B5182" t="str">
        <f>_xlfn.XLOOKUP(A5182,'[1]Tissue Data'!$A:$A,'[1]Tissue Data'!$C:$C)</f>
        <v>Spill</v>
      </c>
      <c r="C5182" s="2">
        <f>_xlfn.XLOOKUP(A5182,'[1]Tissue Data'!$A:$A,'[1]Tissue Data'!$D:$D)</f>
        <v>44393</v>
      </c>
      <c r="D5182" s="2" t="str">
        <f>_xlfn.XLOOKUP(A5182,'[1]Tissue Data'!$A:$A,'[1]Tissue Data'!$F:$F)</f>
        <v>Pumpkinseed</v>
      </c>
      <c r="E5182" t="str">
        <f>_xlfn.XLOOKUP(A5182,'[1]Tissue Data'!$A:$A,'[1]Tissue Data'!$H:$H)</f>
        <v>Lepomis</v>
      </c>
      <c r="F5182" t="str">
        <f>_xlfn.XLOOKUP(A5182,'[1]Tissue Data'!$A:$A,'[1]Tissue Data'!$I:$I)</f>
        <v>gibbosus</v>
      </c>
      <c r="G5182" t="str">
        <f>_xlfn.XLOOKUP(A5182,'[1]Tissue Data'!$A:$A,'[1]Tissue Data'!J:J)</f>
        <v>U</v>
      </c>
      <c r="H5182" t="str">
        <f>_xlfn.XLOOKUP(A5182,'[1]Tissue Data'!$A:$A,'[1]Tissue Data'!K:K)</f>
        <v>Whole Body</v>
      </c>
      <c r="I5182">
        <f>_xlfn.XLOOKUP(A5182,'[1]Tissue Data'!$A:$A,'[1]Tissue Data'!L:L)</f>
        <v>6.5</v>
      </c>
      <c r="J5182">
        <f>_xlfn.XLOOKUP(A5182,'[1]Tissue Data'!$A:$A,'[1]Tissue Data'!M:M)</f>
        <v>5.55</v>
      </c>
      <c r="K5182" t="s">
        <v>42</v>
      </c>
      <c r="L5182" t="str">
        <f>_xlfn.XLOOKUP(K5182,[2]analyte_order!$B:$B,[2]analyte_order!$C:$C)</f>
        <v>2991-50-6</v>
      </c>
      <c r="M5182">
        <f>_xlfn.XLOOKUP(L5182,[2]analyte_order!$C:$C,[2]analyte_order!$E:$E)</f>
        <v>27</v>
      </c>
      <c r="N5182">
        <v>6.0999999999999999E-2</v>
      </c>
    </row>
    <row r="5183" spans="1:14">
      <c r="A5183" t="s">
        <v>283</v>
      </c>
      <c r="B5183" t="str">
        <f>_xlfn.XLOOKUP(A5183,'[1]Tissue Data'!$A:$A,'[1]Tissue Data'!$C:$C)</f>
        <v>Spill</v>
      </c>
      <c r="C5183" s="2">
        <f>_xlfn.XLOOKUP(A5183,'[1]Tissue Data'!$A:$A,'[1]Tissue Data'!$D:$D)</f>
        <v>44393</v>
      </c>
      <c r="D5183" s="2" t="str">
        <f>_xlfn.XLOOKUP(A5183,'[1]Tissue Data'!$A:$A,'[1]Tissue Data'!$F:$F)</f>
        <v>Pumpkinseed</v>
      </c>
      <c r="E5183" t="str">
        <f>_xlfn.XLOOKUP(A5183,'[1]Tissue Data'!$A:$A,'[1]Tissue Data'!$H:$H)</f>
        <v>Lepomis</v>
      </c>
      <c r="F5183" t="str">
        <f>_xlfn.XLOOKUP(A5183,'[1]Tissue Data'!$A:$A,'[1]Tissue Data'!$I:$I)</f>
        <v>gibbosus</v>
      </c>
      <c r="G5183" t="str">
        <f>_xlfn.XLOOKUP(A5183,'[1]Tissue Data'!$A:$A,'[1]Tissue Data'!J:J)</f>
        <v>U</v>
      </c>
      <c r="H5183" t="str">
        <f>_xlfn.XLOOKUP(A5183,'[1]Tissue Data'!$A:$A,'[1]Tissue Data'!K:K)</f>
        <v>Whole Body</v>
      </c>
      <c r="I5183">
        <f>_xlfn.XLOOKUP(A5183,'[1]Tissue Data'!$A:$A,'[1]Tissue Data'!L:L)</f>
        <v>6.5</v>
      </c>
      <c r="J5183">
        <f>_xlfn.XLOOKUP(A5183,'[1]Tissue Data'!$A:$A,'[1]Tissue Data'!M:M)</f>
        <v>5.55</v>
      </c>
      <c r="K5183" t="s">
        <v>43</v>
      </c>
      <c r="L5183" t="str">
        <f>_xlfn.XLOOKUP(K5183,[2]analyte_order!$B:$B,[2]analyte_order!$C:$C)</f>
        <v>757124-72-4</v>
      </c>
      <c r="M5183">
        <f>_xlfn.XLOOKUP(L5183,[2]analyte_order!$C:$C,[2]analyte_order!$E:$E)</f>
        <v>22</v>
      </c>
      <c r="N5183">
        <v>7.0000000000000007E-2</v>
      </c>
    </row>
    <row r="5184" spans="1:14">
      <c r="A5184" t="s">
        <v>283</v>
      </c>
      <c r="B5184" t="str">
        <f>_xlfn.XLOOKUP(A5184,'[1]Tissue Data'!$A:$A,'[1]Tissue Data'!$C:$C)</f>
        <v>Spill</v>
      </c>
      <c r="C5184" s="2">
        <f>_xlfn.XLOOKUP(A5184,'[1]Tissue Data'!$A:$A,'[1]Tissue Data'!$D:$D)</f>
        <v>44393</v>
      </c>
      <c r="D5184" s="2" t="str">
        <f>_xlfn.XLOOKUP(A5184,'[1]Tissue Data'!$A:$A,'[1]Tissue Data'!$F:$F)</f>
        <v>Pumpkinseed</v>
      </c>
      <c r="E5184" t="str">
        <f>_xlfn.XLOOKUP(A5184,'[1]Tissue Data'!$A:$A,'[1]Tissue Data'!$H:$H)</f>
        <v>Lepomis</v>
      </c>
      <c r="F5184" t="str">
        <f>_xlfn.XLOOKUP(A5184,'[1]Tissue Data'!$A:$A,'[1]Tissue Data'!$I:$I)</f>
        <v>gibbosus</v>
      </c>
      <c r="G5184" t="str">
        <f>_xlfn.XLOOKUP(A5184,'[1]Tissue Data'!$A:$A,'[1]Tissue Data'!J:J)</f>
        <v>U</v>
      </c>
      <c r="H5184" t="str">
        <f>_xlfn.XLOOKUP(A5184,'[1]Tissue Data'!$A:$A,'[1]Tissue Data'!K:K)</f>
        <v>Whole Body</v>
      </c>
      <c r="I5184">
        <f>_xlfn.XLOOKUP(A5184,'[1]Tissue Data'!$A:$A,'[1]Tissue Data'!L:L)</f>
        <v>6.5</v>
      </c>
      <c r="J5184">
        <f>_xlfn.XLOOKUP(A5184,'[1]Tissue Data'!$A:$A,'[1]Tissue Data'!M:M)</f>
        <v>5.55</v>
      </c>
      <c r="K5184" t="s">
        <v>44</v>
      </c>
      <c r="L5184" t="str">
        <f>_xlfn.XLOOKUP(K5184,[2]analyte_order!$B:$B,[2]analyte_order!$C:$C)</f>
        <v>27619-97-2</v>
      </c>
      <c r="M5184">
        <f>_xlfn.XLOOKUP(L5184,[2]analyte_order!$C:$C,[2]analyte_order!$E:$E)</f>
        <v>23</v>
      </c>
      <c r="N5184">
        <v>0.85899999999999999</v>
      </c>
    </row>
    <row r="5185" spans="1:14">
      <c r="A5185" t="s">
        <v>283</v>
      </c>
      <c r="B5185" t="str">
        <f>_xlfn.XLOOKUP(A5185,'[1]Tissue Data'!$A:$A,'[1]Tissue Data'!$C:$C)</f>
        <v>Spill</v>
      </c>
      <c r="C5185" s="2">
        <f>_xlfn.XLOOKUP(A5185,'[1]Tissue Data'!$A:$A,'[1]Tissue Data'!$D:$D)</f>
        <v>44393</v>
      </c>
      <c r="D5185" s="2" t="str">
        <f>_xlfn.XLOOKUP(A5185,'[1]Tissue Data'!$A:$A,'[1]Tissue Data'!$F:$F)</f>
        <v>Pumpkinseed</v>
      </c>
      <c r="E5185" t="str">
        <f>_xlfn.XLOOKUP(A5185,'[1]Tissue Data'!$A:$A,'[1]Tissue Data'!$H:$H)</f>
        <v>Lepomis</v>
      </c>
      <c r="F5185" t="str">
        <f>_xlfn.XLOOKUP(A5185,'[1]Tissue Data'!$A:$A,'[1]Tissue Data'!$I:$I)</f>
        <v>gibbosus</v>
      </c>
      <c r="G5185" t="str">
        <f>_xlfn.XLOOKUP(A5185,'[1]Tissue Data'!$A:$A,'[1]Tissue Data'!J:J)</f>
        <v>U</v>
      </c>
      <c r="H5185" t="str">
        <f>_xlfn.XLOOKUP(A5185,'[1]Tissue Data'!$A:$A,'[1]Tissue Data'!K:K)</f>
        <v>Whole Body</v>
      </c>
      <c r="I5185">
        <f>_xlfn.XLOOKUP(A5185,'[1]Tissue Data'!$A:$A,'[1]Tissue Data'!L:L)</f>
        <v>6.5</v>
      </c>
      <c r="J5185">
        <f>_xlfn.XLOOKUP(A5185,'[1]Tissue Data'!$A:$A,'[1]Tissue Data'!M:M)</f>
        <v>5.55</v>
      </c>
      <c r="K5185" t="s">
        <v>45</v>
      </c>
      <c r="L5185" t="str">
        <f>_xlfn.XLOOKUP(K5185,[2]analyte_order!$B:$B,[2]analyte_order!$C:$C)</f>
        <v>39108-34-4</v>
      </c>
      <c r="M5185">
        <f>_xlfn.XLOOKUP(L5185,[2]analyte_order!$C:$C,[2]analyte_order!$E:$E)</f>
        <v>24</v>
      </c>
      <c r="N5185">
        <v>4.04</v>
      </c>
    </row>
    <row r="5186" spans="1:14">
      <c r="A5186" t="s">
        <v>283</v>
      </c>
      <c r="B5186" t="str">
        <f>_xlfn.XLOOKUP(A5186,'[1]Tissue Data'!$A:$A,'[1]Tissue Data'!$C:$C)</f>
        <v>Spill</v>
      </c>
      <c r="C5186" s="2">
        <f>_xlfn.XLOOKUP(A5186,'[1]Tissue Data'!$A:$A,'[1]Tissue Data'!$D:$D)</f>
        <v>44393</v>
      </c>
      <c r="D5186" s="2" t="str">
        <f>_xlfn.XLOOKUP(A5186,'[1]Tissue Data'!$A:$A,'[1]Tissue Data'!$F:$F)</f>
        <v>Pumpkinseed</v>
      </c>
      <c r="E5186" t="str">
        <f>_xlfn.XLOOKUP(A5186,'[1]Tissue Data'!$A:$A,'[1]Tissue Data'!$H:$H)</f>
        <v>Lepomis</v>
      </c>
      <c r="F5186" t="str">
        <f>_xlfn.XLOOKUP(A5186,'[1]Tissue Data'!$A:$A,'[1]Tissue Data'!$I:$I)</f>
        <v>gibbosus</v>
      </c>
      <c r="G5186" t="str">
        <f>_xlfn.XLOOKUP(A5186,'[1]Tissue Data'!$A:$A,'[1]Tissue Data'!J:J)</f>
        <v>U</v>
      </c>
      <c r="H5186" t="str">
        <f>_xlfn.XLOOKUP(A5186,'[1]Tissue Data'!$A:$A,'[1]Tissue Data'!K:K)</f>
        <v>Whole Body</v>
      </c>
      <c r="I5186">
        <f>_xlfn.XLOOKUP(A5186,'[1]Tissue Data'!$A:$A,'[1]Tissue Data'!L:L)</f>
        <v>6.5</v>
      </c>
      <c r="J5186">
        <f>_xlfn.XLOOKUP(A5186,'[1]Tissue Data'!$A:$A,'[1]Tissue Data'!M:M)</f>
        <v>5.55</v>
      </c>
      <c r="K5186" t="s">
        <v>46</v>
      </c>
      <c r="L5186" t="str">
        <f>_xlfn.XLOOKUP(K5186,[2]analyte_order!$B:$B,[2]analyte_order!$C:$C)</f>
        <v>120226-60-0</v>
      </c>
      <c r="M5186">
        <f>_xlfn.XLOOKUP(L5186,[2]analyte_order!$C:$C,[2]analyte_order!$E:$E)</f>
        <v>25</v>
      </c>
      <c r="N5186">
        <v>0.26250000000000001</v>
      </c>
    </row>
    <row r="5187" spans="1:14">
      <c r="A5187" t="s">
        <v>283</v>
      </c>
      <c r="B5187" t="str">
        <f>_xlfn.XLOOKUP(A5187,'[1]Tissue Data'!$A:$A,'[1]Tissue Data'!$C:$C)</f>
        <v>Spill</v>
      </c>
      <c r="C5187" s="2">
        <f>_xlfn.XLOOKUP(A5187,'[1]Tissue Data'!$A:$A,'[1]Tissue Data'!$D:$D)</f>
        <v>44393</v>
      </c>
      <c r="D5187" s="2" t="str">
        <f>_xlfn.XLOOKUP(A5187,'[1]Tissue Data'!$A:$A,'[1]Tissue Data'!$F:$F)</f>
        <v>Pumpkinseed</v>
      </c>
      <c r="E5187" t="str">
        <f>_xlfn.XLOOKUP(A5187,'[1]Tissue Data'!$A:$A,'[1]Tissue Data'!$H:$H)</f>
        <v>Lepomis</v>
      </c>
      <c r="F5187" t="str">
        <f>_xlfn.XLOOKUP(A5187,'[1]Tissue Data'!$A:$A,'[1]Tissue Data'!$I:$I)</f>
        <v>gibbosus</v>
      </c>
      <c r="G5187" t="str">
        <f>_xlfn.XLOOKUP(A5187,'[1]Tissue Data'!$A:$A,'[1]Tissue Data'!J:J)</f>
        <v>U</v>
      </c>
      <c r="H5187" t="str">
        <f>_xlfn.XLOOKUP(A5187,'[1]Tissue Data'!$A:$A,'[1]Tissue Data'!K:K)</f>
        <v>Whole Body</v>
      </c>
      <c r="I5187">
        <f>_xlfn.XLOOKUP(A5187,'[1]Tissue Data'!$A:$A,'[1]Tissue Data'!L:L)</f>
        <v>6.5</v>
      </c>
      <c r="J5187">
        <f>_xlfn.XLOOKUP(A5187,'[1]Tissue Data'!$A:$A,'[1]Tissue Data'!M:M)</f>
        <v>5.55</v>
      </c>
      <c r="K5187" t="s">
        <v>47</v>
      </c>
      <c r="L5187" t="str">
        <f>_xlfn.XLOOKUP(K5187,[2]analyte_order!$B:$B,[2]analyte_order!$C:$C)</f>
        <v>356-02-5</v>
      </c>
      <c r="M5187">
        <f>_xlfn.XLOOKUP(L5187,[2]analyte_order!$C:$C,[2]analyte_order!$E:$E)</f>
        <v>38</v>
      </c>
      <c r="N5187">
        <v>8.1000000000000003E-2</v>
      </c>
    </row>
    <row r="5188" spans="1:14">
      <c r="A5188" t="s">
        <v>283</v>
      </c>
      <c r="B5188" t="str">
        <f>_xlfn.XLOOKUP(A5188,'[1]Tissue Data'!$A:$A,'[1]Tissue Data'!$C:$C)</f>
        <v>Spill</v>
      </c>
      <c r="C5188" s="2">
        <f>_xlfn.XLOOKUP(A5188,'[1]Tissue Data'!$A:$A,'[1]Tissue Data'!$D:$D)</f>
        <v>44393</v>
      </c>
      <c r="D5188" s="2" t="str">
        <f>_xlfn.XLOOKUP(A5188,'[1]Tissue Data'!$A:$A,'[1]Tissue Data'!$F:$F)</f>
        <v>Pumpkinseed</v>
      </c>
      <c r="E5188" t="str">
        <f>_xlfn.XLOOKUP(A5188,'[1]Tissue Data'!$A:$A,'[1]Tissue Data'!$H:$H)</f>
        <v>Lepomis</v>
      </c>
      <c r="F5188" t="str">
        <f>_xlfn.XLOOKUP(A5188,'[1]Tissue Data'!$A:$A,'[1]Tissue Data'!$I:$I)</f>
        <v>gibbosus</v>
      </c>
      <c r="G5188" t="str">
        <f>_xlfn.XLOOKUP(A5188,'[1]Tissue Data'!$A:$A,'[1]Tissue Data'!J:J)</f>
        <v>U</v>
      </c>
      <c r="H5188" t="str">
        <f>_xlfn.XLOOKUP(A5188,'[1]Tissue Data'!$A:$A,'[1]Tissue Data'!K:K)</f>
        <v>Whole Body</v>
      </c>
      <c r="I5188">
        <f>_xlfn.XLOOKUP(A5188,'[1]Tissue Data'!$A:$A,'[1]Tissue Data'!L:L)</f>
        <v>6.5</v>
      </c>
      <c r="J5188">
        <f>_xlfn.XLOOKUP(A5188,'[1]Tissue Data'!$A:$A,'[1]Tissue Data'!M:M)</f>
        <v>5.55</v>
      </c>
      <c r="K5188" t="s">
        <v>48</v>
      </c>
      <c r="L5188" t="str">
        <f>_xlfn.XLOOKUP(K5188,[2]analyte_order!$B:$B,[2]analyte_order!$C:$C)</f>
        <v>914637-49-3</v>
      </c>
      <c r="M5188">
        <f>_xlfn.XLOOKUP(L5188,[2]analyte_order!$C:$C,[2]analyte_order!$E:$E)</f>
        <v>39</v>
      </c>
      <c r="N5188">
        <v>5.2999999999999999E-2</v>
      </c>
    </row>
    <row r="5189" spans="1:14">
      <c r="A5189" t="s">
        <v>283</v>
      </c>
      <c r="B5189" t="str">
        <f>_xlfn.XLOOKUP(A5189,'[1]Tissue Data'!$A:$A,'[1]Tissue Data'!$C:$C)</f>
        <v>Spill</v>
      </c>
      <c r="C5189" s="2">
        <f>_xlfn.XLOOKUP(A5189,'[1]Tissue Data'!$A:$A,'[1]Tissue Data'!$D:$D)</f>
        <v>44393</v>
      </c>
      <c r="D5189" s="2" t="str">
        <f>_xlfn.XLOOKUP(A5189,'[1]Tissue Data'!$A:$A,'[1]Tissue Data'!$F:$F)</f>
        <v>Pumpkinseed</v>
      </c>
      <c r="E5189" t="str">
        <f>_xlfn.XLOOKUP(A5189,'[1]Tissue Data'!$A:$A,'[1]Tissue Data'!$H:$H)</f>
        <v>Lepomis</v>
      </c>
      <c r="F5189" t="str">
        <f>_xlfn.XLOOKUP(A5189,'[1]Tissue Data'!$A:$A,'[1]Tissue Data'!$I:$I)</f>
        <v>gibbosus</v>
      </c>
      <c r="G5189" t="str">
        <f>_xlfn.XLOOKUP(A5189,'[1]Tissue Data'!$A:$A,'[1]Tissue Data'!J:J)</f>
        <v>U</v>
      </c>
      <c r="H5189" t="str">
        <f>_xlfn.XLOOKUP(A5189,'[1]Tissue Data'!$A:$A,'[1]Tissue Data'!K:K)</f>
        <v>Whole Body</v>
      </c>
      <c r="I5189">
        <f>_xlfn.XLOOKUP(A5189,'[1]Tissue Data'!$A:$A,'[1]Tissue Data'!L:L)</f>
        <v>6.5</v>
      </c>
      <c r="J5189">
        <f>_xlfn.XLOOKUP(A5189,'[1]Tissue Data'!$A:$A,'[1]Tissue Data'!M:M)</f>
        <v>5.55</v>
      </c>
      <c r="K5189" t="s">
        <v>49</v>
      </c>
      <c r="L5189" t="str">
        <f>_xlfn.XLOOKUP(K5189,[2]analyte_order!$B:$B,[2]analyte_order!$C:$C)</f>
        <v>812-70-4</v>
      </c>
      <c r="M5189">
        <f>_xlfn.XLOOKUP(L5189,[2]analyte_order!$C:$C,[2]analyte_order!$E:$E)</f>
        <v>40</v>
      </c>
      <c r="N5189">
        <v>2.87</v>
      </c>
    </row>
    <row r="5190" spans="1:14">
      <c r="A5190" t="s">
        <v>283</v>
      </c>
      <c r="B5190" t="str">
        <f>_xlfn.XLOOKUP(A5190,'[1]Tissue Data'!$A:$A,'[1]Tissue Data'!$C:$C)</f>
        <v>Spill</v>
      </c>
      <c r="C5190" s="2">
        <f>_xlfn.XLOOKUP(A5190,'[1]Tissue Data'!$A:$A,'[1]Tissue Data'!$D:$D)</f>
        <v>44393</v>
      </c>
      <c r="D5190" s="2" t="str">
        <f>_xlfn.XLOOKUP(A5190,'[1]Tissue Data'!$A:$A,'[1]Tissue Data'!$F:$F)</f>
        <v>Pumpkinseed</v>
      </c>
      <c r="E5190" t="str">
        <f>_xlfn.XLOOKUP(A5190,'[1]Tissue Data'!$A:$A,'[1]Tissue Data'!$H:$H)</f>
        <v>Lepomis</v>
      </c>
      <c r="F5190" t="str">
        <f>_xlfn.XLOOKUP(A5190,'[1]Tissue Data'!$A:$A,'[1]Tissue Data'!$I:$I)</f>
        <v>gibbosus</v>
      </c>
      <c r="G5190" t="str">
        <f>_xlfn.XLOOKUP(A5190,'[1]Tissue Data'!$A:$A,'[1]Tissue Data'!J:J)</f>
        <v>U</v>
      </c>
      <c r="H5190" t="str">
        <f>_xlfn.XLOOKUP(A5190,'[1]Tissue Data'!$A:$A,'[1]Tissue Data'!K:K)</f>
        <v>Whole Body</v>
      </c>
      <c r="I5190">
        <f>_xlfn.XLOOKUP(A5190,'[1]Tissue Data'!$A:$A,'[1]Tissue Data'!L:L)</f>
        <v>6.5</v>
      </c>
      <c r="J5190">
        <f>_xlfn.XLOOKUP(A5190,'[1]Tissue Data'!$A:$A,'[1]Tissue Data'!M:M)</f>
        <v>5.55</v>
      </c>
      <c r="K5190" t="s">
        <v>50</v>
      </c>
      <c r="L5190" t="str">
        <f>_xlfn.XLOOKUP(K5190,[2]analyte_order!$B:$B,[2]analyte_order!$C:$C)</f>
        <v>53826-12-3</v>
      </c>
      <c r="M5190">
        <f>_xlfn.XLOOKUP(L5190,[2]analyte_order!$C:$C,[2]analyte_order!$E:$E)</f>
        <v>41</v>
      </c>
      <c r="N5190">
        <v>0.57199999999999995</v>
      </c>
    </row>
    <row r="5191" spans="1:14">
      <c r="A5191" t="s">
        <v>283</v>
      </c>
      <c r="B5191" t="str">
        <f>_xlfn.XLOOKUP(A5191,'[1]Tissue Data'!$A:$A,'[1]Tissue Data'!$C:$C)</f>
        <v>Spill</v>
      </c>
      <c r="C5191" s="2">
        <f>_xlfn.XLOOKUP(A5191,'[1]Tissue Data'!$A:$A,'[1]Tissue Data'!$D:$D)</f>
        <v>44393</v>
      </c>
      <c r="D5191" s="2" t="str">
        <f>_xlfn.XLOOKUP(A5191,'[1]Tissue Data'!$A:$A,'[1]Tissue Data'!$F:$F)</f>
        <v>Pumpkinseed</v>
      </c>
      <c r="E5191" t="str">
        <f>_xlfn.XLOOKUP(A5191,'[1]Tissue Data'!$A:$A,'[1]Tissue Data'!$H:$H)</f>
        <v>Lepomis</v>
      </c>
      <c r="F5191" t="str">
        <f>_xlfn.XLOOKUP(A5191,'[1]Tissue Data'!$A:$A,'[1]Tissue Data'!$I:$I)</f>
        <v>gibbosus</v>
      </c>
      <c r="G5191" t="str">
        <f>_xlfn.XLOOKUP(A5191,'[1]Tissue Data'!$A:$A,'[1]Tissue Data'!J:J)</f>
        <v>U</v>
      </c>
      <c r="H5191" t="str">
        <f>_xlfn.XLOOKUP(A5191,'[1]Tissue Data'!$A:$A,'[1]Tissue Data'!K:K)</f>
        <v>Whole Body</v>
      </c>
      <c r="I5191">
        <f>_xlfn.XLOOKUP(A5191,'[1]Tissue Data'!$A:$A,'[1]Tissue Data'!L:L)</f>
        <v>6.5</v>
      </c>
      <c r="J5191">
        <f>_xlfn.XLOOKUP(A5191,'[1]Tissue Data'!$A:$A,'[1]Tissue Data'!M:M)</f>
        <v>5.55</v>
      </c>
      <c r="K5191" t="s">
        <v>51</v>
      </c>
      <c r="L5191" t="str">
        <f>_xlfn.XLOOKUP(K5191,[2]analyte_order!$B:$B,[2]analyte_order!$C:$C)</f>
        <v>27854-31-5</v>
      </c>
      <c r="M5191">
        <f>_xlfn.XLOOKUP(L5191,[2]analyte_order!$C:$C,[2]analyte_order!$E:$E)</f>
        <v>42</v>
      </c>
      <c r="N5191">
        <v>7.0000000000000007E-2</v>
      </c>
    </row>
    <row r="5192" spans="1:14">
      <c r="A5192" t="s">
        <v>283</v>
      </c>
      <c r="B5192" t="str">
        <f>_xlfn.XLOOKUP(A5192,'[1]Tissue Data'!$A:$A,'[1]Tissue Data'!$C:$C)</f>
        <v>Spill</v>
      </c>
      <c r="C5192" s="2">
        <f>_xlfn.XLOOKUP(A5192,'[1]Tissue Data'!$A:$A,'[1]Tissue Data'!$D:$D)</f>
        <v>44393</v>
      </c>
      <c r="D5192" s="2" t="str">
        <f>_xlfn.XLOOKUP(A5192,'[1]Tissue Data'!$A:$A,'[1]Tissue Data'!$F:$F)</f>
        <v>Pumpkinseed</v>
      </c>
      <c r="E5192" t="str">
        <f>_xlfn.XLOOKUP(A5192,'[1]Tissue Data'!$A:$A,'[1]Tissue Data'!$H:$H)</f>
        <v>Lepomis</v>
      </c>
      <c r="F5192" t="str">
        <f>_xlfn.XLOOKUP(A5192,'[1]Tissue Data'!$A:$A,'[1]Tissue Data'!$I:$I)</f>
        <v>gibbosus</v>
      </c>
      <c r="G5192" t="str">
        <f>_xlfn.XLOOKUP(A5192,'[1]Tissue Data'!$A:$A,'[1]Tissue Data'!J:J)</f>
        <v>U</v>
      </c>
      <c r="H5192" t="str">
        <f>_xlfn.XLOOKUP(A5192,'[1]Tissue Data'!$A:$A,'[1]Tissue Data'!K:K)</f>
        <v>Whole Body</v>
      </c>
      <c r="I5192">
        <f>_xlfn.XLOOKUP(A5192,'[1]Tissue Data'!$A:$A,'[1]Tissue Data'!L:L)</f>
        <v>6.5</v>
      </c>
      <c r="J5192">
        <f>_xlfn.XLOOKUP(A5192,'[1]Tissue Data'!$A:$A,'[1]Tissue Data'!M:M)</f>
        <v>5.55</v>
      </c>
      <c r="K5192" t="s">
        <v>52</v>
      </c>
      <c r="L5192" t="str">
        <f>_xlfn.XLOOKUP(K5192,[2]analyte_order!$B:$B,[2]analyte_order!$C:$C)</f>
        <v>53826-13-4</v>
      </c>
      <c r="M5192">
        <f>_xlfn.XLOOKUP(L5192,[2]analyte_order!$C:$C,[2]analyte_order!$E:$E)</f>
        <v>43</v>
      </c>
      <c r="N5192">
        <v>0.1045</v>
      </c>
    </row>
    <row r="5193" spans="1:14">
      <c r="A5193" t="s">
        <v>283</v>
      </c>
      <c r="B5193" t="str">
        <f>_xlfn.XLOOKUP(A5193,'[1]Tissue Data'!$A:$A,'[1]Tissue Data'!$C:$C)</f>
        <v>Spill</v>
      </c>
      <c r="C5193" s="2">
        <f>_xlfn.XLOOKUP(A5193,'[1]Tissue Data'!$A:$A,'[1]Tissue Data'!$D:$D)</f>
        <v>44393</v>
      </c>
      <c r="D5193" s="2" t="str">
        <f>_xlfn.XLOOKUP(A5193,'[1]Tissue Data'!$A:$A,'[1]Tissue Data'!$F:$F)</f>
        <v>Pumpkinseed</v>
      </c>
      <c r="E5193" t="str">
        <f>_xlfn.XLOOKUP(A5193,'[1]Tissue Data'!$A:$A,'[1]Tissue Data'!$H:$H)</f>
        <v>Lepomis</v>
      </c>
      <c r="F5193" t="str">
        <f>_xlfn.XLOOKUP(A5193,'[1]Tissue Data'!$A:$A,'[1]Tissue Data'!$I:$I)</f>
        <v>gibbosus</v>
      </c>
      <c r="G5193" t="str">
        <f>_xlfn.XLOOKUP(A5193,'[1]Tissue Data'!$A:$A,'[1]Tissue Data'!J:J)</f>
        <v>U</v>
      </c>
      <c r="H5193" t="str">
        <f>_xlfn.XLOOKUP(A5193,'[1]Tissue Data'!$A:$A,'[1]Tissue Data'!K:K)</f>
        <v>Whole Body</v>
      </c>
      <c r="I5193">
        <f>_xlfn.XLOOKUP(A5193,'[1]Tissue Data'!$A:$A,'[1]Tissue Data'!L:L)</f>
        <v>6.5</v>
      </c>
      <c r="J5193">
        <f>_xlfn.XLOOKUP(A5193,'[1]Tissue Data'!$A:$A,'[1]Tissue Data'!M:M)</f>
        <v>5.55</v>
      </c>
      <c r="K5193" t="s">
        <v>53</v>
      </c>
      <c r="L5193" t="str">
        <f>_xlfn.XLOOKUP(K5193,[2]analyte_order!$B:$B,[2]analyte_order!$C:$C)</f>
        <v>161094-75-3</v>
      </c>
      <c r="M5193">
        <f>_xlfn.XLOOKUP(L5193,[2]analyte_order!$C:$C,[2]analyte_order!$E:$E)</f>
        <v>44</v>
      </c>
      <c r="N5193">
        <v>5.5E-2</v>
      </c>
    </row>
    <row r="5194" spans="1:14">
      <c r="A5194" t="s">
        <v>283</v>
      </c>
      <c r="B5194" t="str">
        <f>_xlfn.XLOOKUP(A5194,'[1]Tissue Data'!$A:$A,'[1]Tissue Data'!$C:$C)</f>
        <v>Spill</v>
      </c>
      <c r="C5194" s="2">
        <f>_xlfn.XLOOKUP(A5194,'[1]Tissue Data'!$A:$A,'[1]Tissue Data'!$D:$D)</f>
        <v>44393</v>
      </c>
      <c r="D5194" s="2" t="str">
        <f>_xlfn.XLOOKUP(A5194,'[1]Tissue Data'!$A:$A,'[1]Tissue Data'!$F:$F)</f>
        <v>Pumpkinseed</v>
      </c>
      <c r="E5194" t="str">
        <f>_xlfn.XLOOKUP(A5194,'[1]Tissue Data'!$A:$A,'[1]Tissue Data'!$H:$H)</f>
        <v>Lepomis</v>
      </c>
      <c r="F5194" t="str">
        <f>_xlfn.XLOOKUP(A5194,'[1]Tissue Data'!$A:$A,'[1]Tissue Data'!$I:$I)</f>
        <v>gibbosus</v>
      </c>
      <c r="G5194" t="str">
        <f>_xlfn.XLOOKUP(A5194,'[1]Tissue Data'!$A:$A,'[1]Tissue Data'!J:J)</f>
        <v>U</v>
      </c>
      <c r="H5194" t="str">
        <f>_xlfn.XLOOKUP(A5194,'[1]Tissue Data'!$A:$A,'[1]Tissue Data'!K:K)</f>
        <v>Whole Body</v>
      </c>
      <c r="I5194">
        <f>_xlfn.XLOOKUP(A5194,'[1]Tissue Data'!$A:$A,'[1]Tissue Data'!L:L)</f>
        <v>6.5</v>
      </c>
      <c r="J5194">
        <f>_xlfn.XLOOKUP(A5194,'[1]Tissue Data'!$A:$A,'[1]Tissue Data'!M:M)</f>
        <v>5.55</v>
      </c>
      <c r="K5194" t="s">
        <v>54</v>
      </c>
      <c r="L5194" t="str">
        <f>_xlfn.XLOOKUP(K5194,[2]analyte_order!$B:$B,[2]analyte_order!$C:$C)</f>
        <v>70887-84-2</v>
      </c>
      <c r="M5194">
        <f>_xlfn.XLOOKUP(L5194,[2]analyte_order!$C:$C,[2]analyte_order!$E:$E)</f>
        <v>45</v>
      </c>
      <c r="N5194">
        <v>4.2349999999999999E-2</v>
      </c>
    </row>
    <row r="5195" spans="1:14">
      <c r="A5195" t="s">
        <v>283</v>
      </c>
      <c r="B5195" t="str">
        <f>_xlfn.XLOOKUP(A5195,'[1]Tissue Data'!$A:$A,'[1]Tissue Data'!$C:$C)</f>
        <v>Spill</v>
      </c>
      <c r="C5195" s="2">
        <f>_xlfn.XLOOKUP(A5195,'[1]Tissue Data'!$A:$A,'[1]Tissue Data'!$D:$D)</f>
        <v>44393</v>
      </c>
      <c r="D5195" s="2" t="str">
        <f>_xlfn.XLOOKUP(A5195,'[1]Tissue Data'!$A:$A,'[1]Tissue Data'!$F:$F)</f>
        <v>Pumpkinseed</v>
      </c>
      <c r="E5195" t="str">
        <f>_xlfn.XLOOKUP(A5195,'[1]Tissue Data'!$A:$A,'[1]Tissue Data'!$H:$H)</f>
        <v>Lepomis</v>
      </c>
      <c r="F5195" t="str">
        <f>_xlfn.XLOOKUP(A5195,'[1]Tissue Data'!$A:$A,'[1]Tissue Data'!$I:$I)</f>
        <v>gibbosus</v>
      </c>
      <c r="G5195" t="str">
        <f>_xlfn.XLOOKUP(A5195,'[1]Tissue Data'!$A:$A,'[1]Tissue Data'!J:J)</f>
        <v>U</v>
      </c>
      <c r="H5195" t="str">
        <f>_xlfn.XLOOKUP(A5195,'[1]Tissue Data'!$A:$A,'[1]Tissue Data'!K:K)</f>
        <v>Whole Body</v>
      </c>
      <c r="I5195">
        <f>_xlfn.XLOOKUP(A5195,'[1]Tissue Data'!$A:$A,'[1]Tissue Data'!L:L)</f>
        <v>6.5</v>
      </c>
      <c r="J5195">
        <f>_xlfn.XLOOKUP(A5195,'[1]Tissue Data'!$A:$A,'[1]Tissue Data'!M:M)</f>
        <v>5.55</v>
      </c>
      <c r="K5195" t="s">
        <v>55</v>
      </c>
      <c r="L5195" t="str">
        <f>_xlfn.XLOOKUP(K5195,[2]analyte_order!$B:$B,[2]analyte_order!$C:$C)</f>
        <v>919005-14-4</v>
      </c>
      <c r="M5195">
        <f>_xlfn.XLOOKUP(L5195,[2]analyte_order!$C:$C,[2]analyte_order!$E:$E)</f>
        <v>35</v>
      </c>
      <c r="N5195">
        <v>6.2E-2</v>
      </c>
    </row>
    <row r="5196" spans="1:14">
      <c r="A5196" t="s">
        <v>283</v>
      </c>
      <c r="B5196" t="str">
        <f>_xlfn.XLOOKUP(A5196,'[1]Tissue Data'!$A:$A,'[1]Tissue Data'!$C:$C)</f>
        <v>Spill</v>
      </c>
      <c r="C5196" s="2">
        <f>_xlfn.XLOOKUP(A5196,'[1]Tissue Data'!$A:$A,'[1]Tissue Data'!$D:$D)</f>
        <v>44393</v>
      </c>
      <c r="D5196" s="2" t="str">
        <f>_xlfn.XLOOKUP(A5196,'[1]Tissue Data'!$A:$A,'[1]Tissue Data'!$F:$F)</f>
        <v>Pumpkinseed</v>
      </c>
      <c r="E5196" t="str">
        <f>_xlfn.XLOOKUP(A5196,'[1]Tissue Data'!$A:$A,'[1]Tissue Data'!$H:$H)</f>
        <v>Lepomis</v>
      </c>
      <c r="F5196" t="str">
        <f>_xlfn.XLOOKUP(A5196,'[1]Tissue Data'!$A:$A,'[1]Tissue Data'!$I:$I)</f>
        <v>gibbosus</v>
      </c>
      <c r="G5196" t="str">
        <f>_xlfn.XLOOKUP(A5196,'[1]Tissue Data'!$A:$A,'[1]Tissue Data'!J:J)</f>
        <v>U</v>
      </c>
      <c r="H5196" t="str">
        <f>_xlfn.XLOOKUP(A5196,'[1]Tissue Data'!$A:$A,'[1]Tissue Data'!K:K)</f>
        <v>Whole Body</v>
      </c>
      <c r="I5196">
        <f>_xlfn.XLOOKUP(A5196,'[1]Tissue Data'!$A:$A,'[1]Tissue Data'!L:L)</f>
        <v>6.5</v>
      </c>
      <c r="J5196">
        <f>_xlfn.XLOOKUP(A5196,'[1]Tissue Data'!$A:$A,'[1]Tissue Data'!M:M)</f>
        <v>5.55</v>
      </c>
      <c r="K5196" t="s">
        <v>56</v>
      </c>
      <c r="L5196" t="str">
        <f>_xlfn.XLOOKUP(K5196,[2]analyte_order!$B:$B,[2]analyte_order!$C:$C)</f>
        <v>756426-58-1</v>
      </c>
      <c r="M5196">
        <f>_xlfn.XLOOKUP(L5196,[2]analyte_order!$C:$C,[2]analyte_order!$E:$E)</f>
        <v>36</v>
      </c>
      <c r="N5196">
        <v>7.0000000000000007E-2</v>
      </c>
    </row>
    <row r="5197" spans="1:14">
      <c r="A5197" t="s">
        <v>283</v>
      </c>
      <c r="B5197" t="str">
        <f>_xlfn.XLOOKUP(A5197,'[1]Tissue Data'!$A:$A,'[1]Tissue Data'!$C:$C)</f>
        <v>Spill</v>
      </c>
      <c r="C5197" s="2">
        <f>_xlfn.XLOOKUP(A5197,'[1]Tissue Data'!$A:$A,'[1]Tissue Data'!$D:$D)</f>
        <v>44393</v>
      </c>
      <c r="D5197" s="2" t="str">
        <f>_xlfn.XLOOKUP(A5197,'[1]Tissue Data'!$A:$A,'[1]Tissue Data'!$F:$F)</f>
        <v>Pumpkinseed</v>
      </c>
      <c r="E5197" t="str">
        <f>_xlfn.XLOOKUP(A5197,'[1]Tissue Data'!$A:$A,'[1]Tissue Data'!$H:$H)</f>
        <v>Lepomis</v>
      </c>
      <c r="F5197" t="str">
        <f>_xlfn.XLOOKUP(A5197,'[1]Tissue Data'!$A:$A,'[1]Tissue Data'!$I:$I)</f>
        <v>gibbosus</v>
      </c>
      <c r="G5197" t="str">
        <f>_xlfn.XLOOKUP(A5197,'[1]Tissue Data'!$A:$A,'[1]Tissue Data'!J:J)</f>
        <v>U</v>
      </c>
      <c r="H5197" t="str">
        <f>_xlfn.XLOOKUP(A5197,'[1]Tissue Data'!$A:$A,'[1]Tissue Data'!K:K)</f>
        <v>Whole Body</v>
      </c>
      <c r="I5197">
        <f>_xlfn.XLOOKUP(A5197,'[1]Tissue Data'!$A:$A,'[1]Tissue Data'!L:L)</f>
        <v>6.5</v>
      </c>
      <c r="J5197">
        <f>_xlfn.XLOOKUP(A5197,'[1]Tissue Data'!$A:$A,'[1]Tissue Data'!M:M)</f>
        <v>5.55</v>
      </c>
      <c r="K5197" t="s">
        <v>57</v>
      </c>
      <c r="L5197" t="str">
        <f>_xlfn.XLOOKUP(K5197,[2]analyte_order!$B:$B,[2]analyte_order!$C:$C)</f>
        <v>763051-92-9</v>
      </c>
      <c r="M5197">
        <f>_xlfn.XLOOKUP(L5197,[2]analyte_order!$C:$C,[2]analyte_order!$E:$E)</f>
        <v>37</v>
      </c>
      <c r="N5197">
        <v>7.0000000000000007E-2</v>
      </c>
    </row>
    <row r="5198" spans="1:14">
      <c r="A5198" t="s">
        <v>283</v>
      </c>
      <c r="B5198" t="str">
        <f>_xlfn.XLOOKUP(A5198,'[1]Tissue Data'!$A:$A,'[1]Tissue Data'!$C:$C)</f>
        <v>Spill</v>
      </c>
      <c r="C5198" s="2">
        <f>_xlfn.XLOOKUP(A5198,'[1]Tissue Data'!$A:$A,'[1]Tissue Data'!$D:$D)</f>
        <v>44393</v>
      </c>
      <c r="D5198" s="2" t="str">
        <f>_xlfn.XLOOKUP(A5198,'[1]Tissue Data'!$A:$A,'[1]Tissue Data'!$F:$F)</f>
        <v>Pumpkinseed</v>
      </c>
      <c r="E5198" t="str">
        <f>_xlfn.XLOOKUP(A5198,'[1]Tissue Data'!$A:$A,'[1]Tissue Data'!$H:$H)</f>
        <v>Lepomis</v>
      </c>
      <c r="F5198" t="str">
        <f>_xlfn.XLOOKUP(A5198,'[1]Tissue Data'!$A:$A,'[1]Tissue Data'!$I:$I)</f>
        <v>gibbosus</v>
      </c>
      <c r="G5198" t="str">
        <f>_xlfn.XLOOKUP(A5198,'[1]Tissue Data'!$A:$A,'[1]Tissue Data'!J:J)</f>
        <v>U</v>
      </c>
      <c r="H5198" t="str">
        <f>_xlfn.XLOOKUP(A5198,'[1]Tissue Data'!$A:$A,'[1]Tissue Data'!K:K)</f>
        <v>Whole Body</v>
      </c>
      <c r="I5198">
        <f>_xlfn.XLOOKUP(A5198,'[1]Tissue Data'!$A:$A,'[1]Tissue Data'!L:L)</f>
        <v>6.5</v>
      </c>
      <c r="J5198">
        <f>_xlfn.XLOOKUP(A5198,'[1]Tissue Data'!$A:$A,'[1]Tissue Data'!M:M)</f>
        <v>5.55</v>
      </c>
      <c r="K5198" t="s">
        <v>58</v>
      </c>
      <c r="L5198" t="str">
        <f>_xlfn.XLOOKUP(K5198,[2]analyte_order!$B:$B,[2]analyte_order!$C:$C)</f>
        <v>13252-13-6</v>
      </c>
      <c r="M5198">
        <f>_xlfn.XLOOKUP(L5198,[2]analyte_order!$C:$C,[2]analyte_order!$E:$E)</f>
        <v>34</v>
      </c>
      <c r="N5198">
        <v>0.10050000000000001</v>
      </c>
    </row>
    <row r="5199" spans="1:14">
      <c r="A5199" t="s">
        <v>283</v>
      </c>
      <c r="B5199" t="str">
        <f>_xlfn.XLOOKUP(A5199,'[1]Tissue Data'!$A:$A,'[1]Tissue Data'!$C:$C)</f>
        <v>Spill</v>
      </c>
      <c r="C5199" s="2">
        <f>_xlfn.XLOOKUP(A5199,'[1]Tissue Data'!$A:$A,'[1]Tissue Data'!$D:$D)</f>
        <v>44393</v>
      </c>
      <c r="D5199" s="2" t="str">
        <f>_xlfn.XLOOKUP(A5199,'[1]Tissue Data'!$A:$A,'[1]Tissue Data'!$F:$F)</f>
        <v>Pumpkinseed</v>
      </c>
      <c r="E5199" t="str">
        <f>_xlfn.XLOOKUP(A5199,'[1]Tissue Data'!$A:$A,'[1]Tissue Data'!$H:$H)</f>
        <v>Lepomis</v>
      </c>
      <c r="F5199" t="str">
        <f>_xlfn.XLOOKUP(A5199,'[1]Tissue Data'!$A:$A,'[1]Tissue Data'!$I:$I)</f>
        <v>gibbosus</v>
      </c>
      <c r="G5199" t="str">
        <f>_xlfn.XLOOKUP(A5199,'[1]Tissue Data'!$A:$A,'[1]Tissue Data'!J:J)</f>
        <v>U</v>
      </c>
      <c r="H5199" t="str">
        <f>_xlfn.XLOOKUP(A5199,'[1]Tissue Data'!$A:$A,'[1]Tissue Data'!K:K)</f>
        <v>Whole Body</v>
      </c>
      <c r="I5199">
        <f>_xlfn.XLOOKUP(A5199,'[1]Tissue Data'!$A:$A,'[1]Tissue Data'!L:L)</f>
        <v>6.5</v>
      </c>
      <c r="J5199">
        <f>_xlfn.XLOOKUP(A5199,'[1]Tissue Data'!$A:$A,'[1]Tissue Data'!M:M)</f>
        <v>5.55</v>
      </c>
      <c r="K5199" t="s">
        <v>59</v>
      </c>
      <c r="L5199" t="str">
        <f>_xlfn.XLOOKUP(K5199,[2]analyte_order!$B:$B,[2]analyte_order!$C:$C)</f>
        <v>57677-95-9</v>
      </c>
      <c r="M5199">
        <f>_xlfn.XLOOKUP(L5199,[2]analyte_order!$C:$C,[2]analyte_order!$E:$E)</f>
        <v>46</v>
      </c>
      <c r="N5199">
        <v>7.4499999999999997E-2</v>
      </c>
    </row>
    <row r="5200" spans="1:14">
      <c r="A5200" t="s">
        <v>283</v>
      </c>
      <c r="B5200" t="str">
        <f>_xlfn.XLOOKUP(A5200,'[1]Tissue Data'!$A:$A,'[1]Tissue Data'!$C:$C)</f>
        <v>Spill</v>
      </c>
      <c r="C5200" s="2">
        <f>_xlfn.XLOOKUP(A5200,'[1]Tissue Data'!$A:$A,'[1]Tissue Data'!$D:$D)</f>
        <v>44393</v>
      </c>
      <c r="D5200" s="2" t="str">
        <f>_xlfn.XLOOKUP(A5200,'[1]Tissue Data'!$A:$A,'[1]Tissue Data'!$F:$F)</f>
        <v>Pumpkinseed</v>
      </c>
      <c r="E5200" t="str">
        <f>_xlfn.XLOOKUP(A5200,'[1]Tissue Data'!$A:$A,'[1]Tissue Data'!$H:$H)</f>
        <v>Lepomis</v>
      </c>
      <c r="F5200" t="str">
        <f>_xlfn.XLOOKUP(A5200,'[1]Tissue Data'!$A:$A,'[1]Tissue Data'!$I:$I)</f>
        <v>gibbosus</v>
      </c>
      <c r="G5200" t="str">
        <f>_xlfn.XLOOKUP(A5200,'[1]Tissue Data'!$A:$A,'[1]Tissue Data'!J:J)</f>
        <v>U</v>
      </c>
      <c r="H5200" t="str">
        <f>_xlfn.XLOOKUP(A5200,'[1]Tissue Data'!$A:$A,'[1]Tissue Data'!K:K)</f>
        <v>Whole Body</v>
      </c>
      <c r="I5200">
        <f>_xlfn.XLOOKUP(A5200,'[1]Tissue Data'!$A:$A,'[1]Tissue Data'!L:L)</f>
        <v>6.5</v>
      </c>
      <c r="J5200">
        <f>_xlfn.XLOOKUP(A5200,'[1]Tissue Data'!$A:$A,'[1]Tissue Data'!M:M)</f>
        <v>5.55</v>
      </c>
      <c r="K5200" t="s">
        <v>60</v>
      </c>
      <c r="L5200" t="str">
        <f>_xlfn.XLOOKUP(K5200,[2]analyte_order!$B:$B,[2]analyte_order!$C:$C)</f>
        <v>678-41-1</v>
      </c>
      <c r="M5200">
        <f>_xlfn.XLOOKUP(L5200,[2]analyte_order!$C:$C,[2]analyte_order!$E:$E)</f>
        <v>56</v>
      </c>
      <c r="N5200">
        <v>9.2999999999999999E-2</v>
      </c>
    </row>
    <row r="5201" spans="1:14">
      <c r="A5201" t="s">
        <v>283</v>
      </c>
      <c r="B5201" t="str">
        <f>_xlfn.XLOOKUP(A5201,'[1]Tissue Data'!$A:$A,'[1]Tissue Data'!$C:$C)</f>
        <v>Spill</v>
      </c>
      <c r="C5201" s="2">
        <f>_xlfn.XLOOKUP(A5201,'[1]Tissue Data'!$A:$A,'[1]Tissue Data'!$D:$D)</f>
        <v>44393</v>
      </c>
      <c r="D5201" s="2" t="str">
        <f>_xlfn.XLOOKUP(A5201,'[1]Tissue Data'!$A:$A,'[1]Tissue Data'!$F:$F)</f>
        <v>Pumpkinseed</v>
      </c>
      <c r="E5201" t="str">
        <f>_xlfn.XLOOKUP(A5201,'[1]Tissue Data'!$A:$A,'[1]Tissue Data'!$H:$H)</f>
        <v>Lepomis</v>
      </c>
      <c r="F5201" t="str">
        <f>_xlfn.XLOOKUP(A5201,'[1]Tissue Data'!$A:$A,'[1]Tissue Data'!$I:$I)</f>
        <v>gibbosus</v>
      </c>
      <c r="G5201" t="str">
        <f>_xlfn.XLOOKUP(A5201,'[1]Tissue Data'!$A:$A,'[1]Tissue Data'!J:J)</f>
        <v>U</v>
      </c>
      <c r="H5201" t="str">
        <f>_xlfn.XLOOKUP(A5201,'[1]Tissue Data'!$A:$A,'[1]Tissue Data'!K:K)</f>
        <v>Whole Body</v>
      </c>
      <c r="I5201">
        <f>_xlfn.XLOOKUP(A5201,'[1]Tissue Data'!$A:$A,'[1]Tissue Data'!L:L)</f>
        <v>6.5</v>
      </c>
      <c r="J5201">
        <f>_xlfn.XLOOKUP(A5201,'[1]Tissue Data'!$A:$A,'[1]Tissue Data'!M:M)</f>
        <v>5.55</v>
      </c>
      <c r="K5201" t="s">
        <v>61</v>
      </c>
      <c r="L5201" t="str">
        <f>_xlfn.XLOOKUP(K5201,[2]analyte_order!$B:$B,[2]analyte_order!$C:$C)</f>
        <v>2965-52-8</v>
      </c>
      <c r="M5201">
        <f>_xlfn.XLOOKUP(L5201,[2]analyte_order!$C:$C,[2]analyte_order!$E:$E)</f>
        <v>57</v>
      </c>
      <c r="N5201">
        <v>0.1235</v>
      </c>
    </row>
    <row r="5202" spans="1:14">
      <c r="A5202" t="s">
        <v>284</v>
      </c>
      <c r="B5202" t="str">
        <f>_xlfn.XLOOKUP(A5202,'[1]Tissue Data'!$A:$A,'[1]Tissue Data'!$C:$C)</f>
        <v>Spill</v>
      </c>
      <c r="C5202" s="2">
        <f>_xlfn.XLOOKUP(A5202,'[1]Tissue Data'!$A:$A,'[1]Tissue Data'!$D:$D)</f>
        <v>44393</v>
      </c>
      <c r="D5202" s="2" t="str">
        <f>_xlfn.XLOOKUP(A5202,'[1]Tissue Data'!$A:$A,'[1]Tissue Data'!$F:$F)</f>
        <v>Pumpkinseed</v>
      </c>
      <c r="E5202" t="str">
        <f>_xlfn.XLOOKUP(A5202,'[1]Tissue Data'!$A:$A,'[1]Tissue Data'!$H:$H)</f>
        <v>Lepomis</v>
      </c>
      <c r="F5202" t="str">
        <f>_xlfn.XLOOKUP(A5202,'[1]Tissue Data'!$A:$A,'[1]Tissue Data'!$I:$I)</f>
        <v>gibbosus</v>
      </c>
      <c r="G5202" t="str">
        <f>_xlfn.XLOOKUP(A5202,'[1]Tissue Data'!$A:$A,'[1]Tissue Data'!J:J)</f>
        <v>U</v>
      </c>
      <c r="H5202" t="str">
        <f>_xlfn.XLOOKUP(A5202,'[1]Tissue Data'!$A:$A,'[1]Tissue Data'!K:K)</f>
        <v>Whole Body</v>
      </c>
      <c r="I5202">
        <f>_xlfn.XLOOKUP(A5202,'[1]Tissue Data'!$A:$A,'[1]Tissue Data'!L:L)</f>
        <v>5</v>
      </c>
      <c r="J5202">
        <f>_xlfn.XLOOKUP(A5202,'[1]Tissue Data'!$A:$A,'[1]Tissue Data'!M:M)</f>
        <v>4.68</v>
      </c>
      <c r="K5202" t="s">
        <v>12</v>
      </c>
      <c r="L5202" t="str">
        <f>_xlfn.XLOOKUP(K5202,[2]analyte_order!$B:$B,[2]analyte_order!$C:$C)</f>
        <v>375-22-4</v>
      </c>
      <c r="M5202">
        <f>_xlfn.XLOOKUP(L5202,[2]analyte_order!$C:$C,[2]analyte_order!$E:$E)</f>
        <v>1</v>
      </c>
      <c r="N5202">
        <v>0.217</v>
      </c>
    </row>
    <row r="5203" spans="1:14">
      <c r="A5203" t="s">
        <v>284</v>
      </c>
      <c r="B5203" t="str">
        <f>_xlfn.XLOOKUP(A5203,'[1]Tissue Data'!$A:$A,'[1]Tissue Data'!$C:$C)</f>
        <v>Spill</v>
      </c>
      <c r="C5203" s="2">
        <f>_xlfn.XLOOKUP(A5203,'[1]Tissue Data'!$A:$A,'[1]Tissue Data'!$D:$D)</f>
        <v>44393</v>
      </c>
      <c r="D5203" s="2" t="str">
        <f>_xlfn.XLOOKUP(A5203,'[1]Tissue Data'!$A:$A,'[1]Tissue Data'!$F:$F)</f>
        <v>Pumpkinseed</v>
      </c>
      <c r="E5203" t="str">
        <f>_xlfn.XLOOKUP(A5203,'[1]Tissue Data'!$A:$A,'[1]Tissue Data'!$H:$H)</f>
        <v>Lepomis</v>
      </c>
      <c r="F5203" t="str">
        <f>_xlfn.XLOOKUP(A5203,'[1]Tissue Data'!$A:$A,'[1]Tissue Data'!$I:$I)</f>
        <v>gibbosus</v>
      </c>
      <c r="G5203" t="str">
        <f>_xlfn.XLOOKUP(A5203,'[1]Tissue Data'!$A:$A,'[1]Tissue Data'!J:J)</f>
        <v>U</v>
      </c>
      <c r="H5203" t="str">
        <f>_xlfn.XLOOKUP(A5203,'[1]Tissue Data'!$A:$A,'[1]Tissue Data'!K:K)</f>
        <v>Whole Body</v>
      </c>
      <c r="I5203">
        <f>_xlfn.XLOOKUP(A5203,'[1]Tissue Data'!$A:$A,'[1]Tissue Data'!L:L)</f>
        <v>5</v>
      </c>
      <c r="J5203">
        <f>_xlfn.XLOOKUP(A5203,'[1]Tissue Data'!$A:$A,'[1]Tissue Data'!M:M)</f>
        <v>4.68</v>
      </c>
      <c r="K5203" t="s">
        <v>13</v>
      </c>
      <c r="L5203" t="str">
        <f>_xlfn.XLOOKUP(K5203,[2]analyte_order!$B:$B,[2]analyte_order!$C:$C)</f>
        <v>2706-90-3</v>
      </c>
      <c r="M5203">
        <f>_xlfn.XLOOKUP(L5203,[2]analyte_order!$C:$C,[2]analyte_order!$E:$E)</f>
        <v>2</v>
      </c>
      <c r="N5203">
        <v>4.6449999999999998E-2</v>
      </c>
    </row>
    <row r="5204" spans="1:14">
      <c r="A5204" t="s">
        <v>284</v>
      </c>
      <c r="B5204" t="str">
        <f>_xlfn.XLOOKUP(A5204,'[1]Tissue Data'!$A:$A,'[1]Tissue Data'!$C:$C)</f>
        <v>Spill</v>
      </c>
      <c r="C5204" s="2">
        <f>_xlfn.XLOOKUP(A5204,'[1]Tissue Data'!$A:$A,'[1]Tissue Data'!$D:$D)</f>
        <v>44393</v>
      </c>
      <c r="D5204" s="2" t="str">
        <f>_xlfn.XLOOKUP(A5204,'[1]Tissue Data'!$A:$A,'[1]Tissue Data'!$F:$F)</f>
        <v>Pumpkinseed</v>
      </c>
      <c r="E5204" t="str">
        <f>_xlfn.XLOOKUP(A5204,'[1]Tissue Data'!$A:$A,'[1]Tissue Data'!$H:$H)</f>
        <v>Lepomis</v>
      </c>
      <c r="F5204" t="str">
        <f>_xlfn.XLOOKUP(A5204,'[1]Tissue Data'!$A:$A,'[1]Tissue Data'!$I:$I)</f>
        <v>gibbosus</v>
      </c>
      <c r="G5204" t="str">
        <f>_xlfn.XLOOKUP(A5204,'[1]Tissue Data'!$A:$A,'[1]Tissue Data'!J:J)</f>
        <v>U</v>
      </c>
      <c r="H5204" t="str">
        <f>_xlfn.XLOOKUP(A5204,'[1]Tissue Data'!$A:$A,'[1]Tissue Data'!K:K)</f>
        <v>Whole Body</v>
      </c>
      <c r="I5204">
        <f>_xlfn.XLOOKUP(A5204,'[1]Tissue Data'!$A:$A,'[1]Tissue Data'!L:L)</f>
        <v>5</v>
      </c>
      <c r="J5204">
        <f>_xlfn.XLOOKUP(A5204,'[1]Tissue Data'!$A:$A,'[1]Tissue Data'!M:M)</f>
        <v>4.68</v>
      </c>
      <c r="K5204" t="s">
        <v>14</v>
      </c>
      <c r="L5204" t="str">
        <f>_xlfn.XLOOKUP(K5204,[2]analyte_order!$B:$B,[2]analyte_order!$C:$C)</f>
        <v>307-24-4</v>
      </c>
      <c r="M5204">
        <f>_xlfn.XLOOKUP(L5204,[2]analyte_order!$C:$C,[2]analyte_order!$E:$E)</f>
        <v>3</v>
      </c>
      <c r="N5204">
        <v>0.11700000000000001</v>
      </c>
    </row>
    <row r="5205" spans="1:14">
      <c r="A5205" t="s">
        <v>284</v>
      </c>
      <c r="B5205" t="str">
        <f>_xlfn.XLOOKUP(A5205,'[1]Tissue Data'!$A:$A,'[1]Tissue Data'!$C:$C)</f>
        <v>Spill</v>
      </c>
      <c r="C5205" s="2">
        <f>_xlfn.XLOOKUP(A5205,'[1]Tissue Data'!$A:$A,'[1]Tissue Data'!$D:$D)</f>
        <v>44393</v>
      </c>
      <c r="D5205" s="2" t="str">
        <f>_xlfn.XLOOKUP(A5205,'[1]Tissue Data'!$A:$A,'[1]Tissue Data'!$F:$F)</f>
        <v>Pumpkinseed</v>
      </c>
      <c r="E5205" t="str">
        <f>_xlfn.XLOOKUP(A5205,'[1]Tissue Data'!$A:$A,'[1]Tissue Data'!$H:$H)</f>
        <v>Lepomis</v>
      </c>
      <c r="F5205" t="str">
        <f>_xlfn.XLOOKUP(A5205,'[1]Tissue Data'!$A:$A,'[1]Tissue Data'!$I:$I)</f>
        <v>gibbosus</v>
      </c>
      <c r="G5205" t="str">
        <f>_xlfn.XLOOKUP(A5205,'[1]Tissue Data'!$A:$A,'[1]Tissue Data'!J:J)</f>
        <v>U</v>
      </c>
      <c r="H5205" t="str">
        <f>_xlfn.XLOOKUP(A5205,'[1]Tissue Data'!$A:$A,'[1]Tissue Data'!K:K)</f>
        <v>Whole Body</v>
      </c>
      <c r="I5205">
        <f>_xlfn.XLOOKUP(A5205,'[1]Tissue Data'!$A:$A,'[1]Tissue Data'!L:L)</f>
        <v>5</v>
      </c>
      <c r="J5205">
        <f>_xlfn.XLOOKUP(A5205,'[1]Tissue Data'!$A:$A,'[1]Tissue Data'!M:M)</f>
        <v>4.68</v>
      </c>
      <c r="K5205" t="s">
        <v>15</v>
      </c>
      <c r="L5205" t="str">
        <f>_xlfn.XLOOKUP(K5205,[2]analyte_order!$B:$B,[2]analyte_order!$C:$C)</f>
        <v>375-85-9</v>
      </c>
      <c r="M5205">
        <f>_xlfn.XLOOKUP(L5205,[2]analyte_order!$C:$C,[2]analyte_order!$E:$E)</f>
        <v>4</v>
      </c>
      <c r="N5205">
        <v>8.6499999999999994E-2</v>
      </c>
    </row>
    <row r="5206" spans="1:14">
      <c r="A5206" t="s">
        <v>284</v>
      </c>
      <c r="B5206" t="str">
        <f>_xlfn.XLOOKUP(A5206,'[1]Tissue Data'!$A:$A,'[1]Tissue Data'!$C:$C)</f>
        <v>Spill</v>
      </c>
      <c r="C5206" s="2">
        <f>_xlfn.XLOOKUP(A5206,'[1]Tissue Data'!$A:$A,'[1]Tissue Data'!$D:$D)</f>
        <v>44393</v>
      </c>
      <c r="D5206" s="2" t="str">
        <f>_xlfn.XLOOKUP(A5206,'[1]Tissue Data'!$A:$A,'[1]Tissue Data'!$F:$F)</f>
        <v>Pumpkinseed</v>
      </c>
      <c r="E5206" t="str">
        <f>_xlfn.XLOOKUP(A5206,'[1]Tissue Data'!$A:$A,'[1]Tissue Data'!$H:$H)</f>
        <v>Lepomis</v>
      </c>
      <c r="F5206" t="str">
        <f>_xlfn.XLOOKUP(A5206,'[1]Tissue Data'!$A:$A,'[1]Tissue Data'!$I:$I)</f>
        <v>gibbosus</v>
      </c>
      <c r="G5206" t="str">
        <f>_xlfn.XLOOKUP(A5206,'[1]Tissue Data'!$A:$A,'[1]Tissue Data'!J:J)</f>
        <v>U</v>
      </c>
      <c r="H5206" t="str">
        <f>_xlfn.XLOOKUP(A5206,'[1]Tissue Data'!$A:$A,'[1]Tissue Data'!K:K)</f>
        <v>Whole Body</v>
      </c>
      <c r="I5206">
        <f>_xlfn.XLOOKUP(A5206,'[1]Tissue Data'!$A:$A,'[1]Tissue Data'!L:L)</f>
        <v>5</v>
      </c>
      <c r="J5206">
        <f>_xlfn.XLOOKUP(A5206,'[1]Tissue Data'!$A:$A,'[1]Tissue Data'!M:M)</f>
        <v>4.68</v>
      </c>
      <c r="K5206" t="s">
        <v>16</v>
      </c>
      <c r="L5206" t="str">
        <f>_xlfn.XLOOKUP(K5206,[2]analyte_order!$B:$B,[2]analyte_order!$C:$C)</f>
        <v>335-67-1</v>
      </c>
      <c r="M5206">
        <f>_xlfn.XLOOKUP(L5206,[2]analyte_order!$C:$C,[2]analyte_order!$E:$E)</f>
        <v>5</v>
      </c>
      <c r="N5206">
        <v>1.04</v>
      </c>
    </row>
    <row r="5207" spans="1:14">
      <c r="A5207" t="s">
        <v>284</v>
      </c>
      <c r="B5207" t="str">
        <f>_xlfn.XLOOKUP(A5207,'[1]Tissue Data'!$A:$A,'[1]Tissue Data'!$C:$C)</f>
        <v>Spill</v>
      </c>
      <c r="C5207" s="2">
        <f>_xlfn.XLOOKUP(A5207,'[1]Tissue Data'!$A:$A,'[1]Tissue Data'!$D:$D)</f>
        <v>44393</v>
      </c>
      <c r="D5207" s="2" t="str">
        <f>_xlfn.XLOOKUP(A5207,'[1]Tissue Data'!$A:$A,'[1]Tissue Data'!$F:$F)</f>
        <v>Pumpkinseed</v>
      </c>
      <c r="E5207" t="str">
        <f>_xlfn.XLOOKUP(A5207,'[1]Tissue Data'!$A:$A,'[1]Tissue Data'!$H:$H)</f>
        <v>Lepomis</v>
      </c>
      <c r="F5207" t="str">
        <f>_xlfn.XLOOKUP(A5207,'[1]Tissue Data'!$A:$A,'[1]Tissue Data'!$I:$I)</f>
        <v>gibbosus</v>
      </c>
      <c r="G5207" t="str">
        <f>_xlfn.XLOOKUP(A5207,'[1]Tissue Data'!$A:$A,'[1]Tissue Data'!J:J)</f>
        <v>U</v>
      </c>
      <c r="H5207" t="str">
        <f>_xlfn.XLOOKUP(A5207,'[1]Tissue Data'!$A:$A,'[1]Tissue Data'!K:K)</f>
        <v>Whole Body</v>
      </c>
      <c r="I5207">
        <f>_xlfn.XLOOKUP(A5207,'[1]Tissue Data'!$A:$A,'[1]Tissue Data'!L:L)</f>
        <v>5</v>
      </c>
      <c r="J5207">
        <f>_xlfn.XLOOKUP(A5207,'[1]Tissue Data'!$A:$A,'[1]Tissue Data'!M:M)</f>
        <v>4.68</v>
      </c>
      <c r="K5207" t="s">
        <v>17</v>
      </c>
      <c r="L5207" t="str">
        <f>_xlfn.XLOOKUP(K5207,[2]analyte_order!$B:$B,[2]analyte_order!$C:$C)</f>
        <v>375-95-1</v>
      </c>
      <c r="M5207">
        <f>_xlfn.XLOOKUP(L5207,[2]analyte_order!$C:$C,[2]analyte_order!$E:$E)</f>
        <v>6</v>
      </c>
      <c r="N5207">
        <v>0.30399999999999999</v>
      </c>
    </row>
    <row r="5208" spans="1:14">
      <c r="A5208" t="s">
        <v>284</v>
      </c>
      <c r="B5208" t="str">
        <f>_xlfn.XLOOKUP(A5208,'[1]Tissue Data'!$A:$A,'[1]Tissue Data'!$C:$C)</f>
        <v>Spill</v>
      </c>
      <c r="C5208" s="2">
        <f>_xlfn.XLOOKUP(A5208,'[1]Tissue Data'!$A:$A,'[1]Tissue Data'!$D:$D)</f>
        <v>44393</v>
      </c>
      <c r="D5208" s="2" t="str">
        <f>_xlfn.XLOOKUP(A5208,'[1]Tissue Data'!$A:$A,'[1]Tissue Data'!$F:$F)</f>
        <v>Pumpkinseed</v>
      </c>
      <c r="E5208" t="str">
        <f>_xlfn.XLOOKUP(A5208,'[1]Tissue Data'!$A:$A,'[1]Tissue Data'!$H:$H)</f>
        <v>Lepomis</v>
      </c>
      <c r="F5208" t="str">
        <f>_xlfn.XLOOKUP(A5208,'[1]Tissue Data'!$A:$A,'[1]Tissue Data'!$I:$I)</f>
        <v>gibbosus</v>
      </c>
      <c r="G5208" t="str">
        <f>_xlfn.XLOOKUP(A5208,'[1]Tissue Data'!$A:$A,'[1]Tissue Data'!J:J)</f>
        <v>U</v>
      </c>
      <c r="H5208" t="str">
        <f>_xlfn.XLOOKUP(A5208,'[1]Tissue Data'!$A:$A,'[1]Tissue Data'!K:K)</f>
        <v>Whole Body</v>
      </c>
      <c r="I5208">
        <f>_xlfn.XLOOKUP(A5208,'[1]Tissue Data'!$A:$A,'[1]Tissue Data'!L:L)</f>
        <v>5</v>
      </c>
      <c r="J5208">
        <f>_xlfn.XLOOKUP(A5208,'[1]Tissue Data'!$A:$A,'[1]Tissue Data'!M:M)</f>
        <v>4.68</v>
      </c>
      <c r="K5208" t="s">
        <v>18</v>
      </c>
      <c r="L5208" t="str">
        <f>_xlfn.XLOOKUP(K5208,[2]analyte_order!$B:$B,[2]analyte_order!$C:$C)</f>
        <v>335-76-2</v>
      </c>
      <c r="M5208">
        <f>_xlfn.XLOOKUP(L5208,[2]analyte_order!$C:$C,[2]analyte_order!$E:$E)</f>
        <v>7</v>
      </c>
      <c r="N5208">
        <v>3.19</v>
      </c>
    </row>
    <row r="5209" spans="1:14">
      <c r="A5209" t="s">
        <v>284</v>
      </c>
      <c r="B5209" t="str">
        <f>_xlfn.XLOOKUP(A5209,'[1]Tissue Data'!$A:$A,'[1]Tissue Data'!$C:$C)</f>
        <v>Spill</v>
      </c>
      <c r="C5209" s="2">
        <f>_xlfn.XLOOKUP(A5209,'[1]Tissue Data'!$A:$A,'[1]Tissue Data'!$D:$D)</f>
        <v>44393</v>
      </c>
      <c r="D5209" s="2" t="str">
        <f>_xlfn.XLOOKUP(A5209,'[1]Tissue Data'!$A:$A,'[1]Tissue Data'!$F:$F)</f>
        <v>Pumpkinseed</v>
      </c>
      <c r="E5209" t="str">
        <f>_xlfn.XLOOKUP(A5209,'[1]Tissue Data'!$A:$A,'[1]Tissue Data'!$H:$H)</f>
        <v>Lepomis</v>
      </c>
      <c r="F5209" t="str">
        <f>_xlfn.XLOOKUP(A5209,'[1]Tissue Data'!$A:$A,'[1]Tissue Data'!$I:$I)</f>
        <v>gibbosus</v>
      </c>
      <c r="G5209" t="str">
        <f>_xlfn.XLOOKUP(A5209,'[1]Tissue Data'!$A:$A,'[1]Tissue Data'!J:J)</f>
        <v>U</v>
      </c>
      <c r="H5209" t="str">
        <f>_xlfn.XLOOKUP(A5209,'[1]Tissue Data'!$A:$A,'[1]Tissue Data'!K:K)</f>
        <v>Whole Body</v>
      </c>
      <c r="I5209">
        <f>_xlfn.XLOOKUP(A5209,'[1]Tissue Data'!$A:$A,'[1]Tissue Data'!L:L)</f>
        <v>5</v>
      </c>
      <c r="J5209">
        <f>_xlfn.XLOOKUP(A5209,'[1]Tissue Data'!$A:$A,'[1]Tissue Data'!M:M)</f>
        <v>4.68</v>
      </c>
      <c r="K5209" t="s">
        <v>19</v>
      </c>
      <c r="L5209" t="str">
        <f>_xlfn.XLOOKUP(K5209,[2]analyte_order!$B:$B,[2]analyte_order!$C:$C)</f>
        <v>2058-94-8</v>
      </c>
      <c r="M5209">
        <f>_xlfn.XLOOKUP(L5209,[2]analyte_order!$C:$C,[2]analyte_order!$E:$E)</f>
        <v>8</v>
      </c>
      <c r="N5209">
        <v>5.88</v>
      </c>
    </row>
    <row r="5210" spans="1:14">
      <c r="A5210" t="s">
        <v>284</v>
      </c>
      <c r="B5210" t="str">
        <f>_xlfn.XLOOKUP(A5210,'[1]Tissue Data'!$A:$A,'[1]Tissue Data'!$C:$C)</f>
        <v>Spill</v>
      </c>
      <c r="C5210" s="2">
        <f>_xlfn.XLOOKUP(A5210,'[1]Tissue Data'!$A:$A,'[1]Tissue Data'!$D:$D)</f>
        <v>44393</v>
      </c>
      <c r="D5210" s="2" t="str">
        <f>_xlfn.XLOOKUP(A5210,'[1]Tissue Data'!$A:$A,'[1]Tissue Data'!$F:$F)</f>
        <v>Pumpkinseed</v>
      </c>
      <c r="E5210" t="str">
        <f>_xlfn.XLOOKUP(A5210,'[1]Tissue Data'!$A:$A,'[1]Tissue Data'!$H:$H)</f>
        <v>Lepomis</v>
      </c>
      <c r="F5210" t="str">
        <f>_xlfn.XLOOKUP(A5210,'[1]Tissue Data'!$A:$A,'[1]Tissue Data'!$I:$I)</f>
        <v>gibbosus</v>
      </c>
      <c r="G5210" t="str">
        <f>_xlfn.XLOOKUP(A5210,'[1]Tissue Data'!$A:$A,'[1]Tissue Data'!J:J)</f>
        <v>U</v>
      </c>
      <c r="H5210" t="str">
        <f>_xlfn.XLOOKUP(A5210,'[1]Tissue Data'!$A:$A,'[1]Tissue Data'!K:K)</f>
        <v>Whole Body</v>
      </c>
      <c r="I5210">
        <f>_xlfn.XLOOKUP(A5210,'[1]Tissue Data'!$A:$A,'[1]Tissue Data'!L:L)</f>
        <v>5</v>
      </c>
      <c r="J5210">
        <f>_xlfn.XLOOKUP(A5210,'[1]Tissue Data'!$A:$A,'[1]Tissue Data'!M:M)</f>
        <v>4.68</v>
      </c>
      <c r="K5210" t="s">
        <v>20</v>
      </c>
      <c r="L5210" t="str">
        <f>_xlfn.XLOOKUP(K5210,[2]analyte_order!$B:$B,[2]analyte_order!$C:$C)</f>
        <v>307-55-1</v>
      </c>
      <c r="M5210">
        <f>_xlfn.XLOOKUP(L5210,[2]analyte_order!$C:$C,[2]analyte_order!$E:$E)</f>
        <v>9</v>
      </c>
      <c r="N5210">
        <v>14.5</v>
      </c>
    </row>
    <row r="5211" spans="1:14">
      <c r="A5211" t="s">
        <v>284</v>
      </c>
      <c r="B5211" t="str">
        <f>_xlfn.XLOOKUP(A5211,'[1]Tissue Data'!$A:$A,'[1]Tissue Data'!$C:$C)</f>
        <v>Spill</v>
      </c>
      <c r="C5211" s="2">
        <f>_xlfn.XLOOKUP(A5211,'[1]Tissue Data'!$A:$A,'[1]Tissue Data'!$D:$D)</f>
        <v>44393</v>
      </c>
      <c r="D5211" s="2" t="str">
        <f>_xlfn.XLOOKUP(A5211,'[1]Tissue Data'!$A:$A,'[1]Tissue Data'!$F:$F)</f>
        <v>Pumpkinseed</v>
      </c>
      <c r="E5211" t="str">
        <f>_xlfn.XLOOKUP(A5211,'[1]Tissue Data'!$A:$A,'[1]Tissue Data'!$H:$H)</f>
        <v>Lepomis</v>
      </c>
      <c r="F5211" t="str">
        <f>_xlfn.XLOOKUP(A5211,'[1]Tissue Data'!$A:$A,'[1]Tissue Data'!$I:$I)</f>
        <v>gibbosus</v>
      </c>
      <c r="G5211" t="str">
        <f>_xlfn.XLOOKUP(A5211,'[1]Tissue Data'!$A:$A,'[1]Tissue Data'!J:J)</f>
        <v>U</v>
      </c>
      <c r="H5211" t="str">
        <f>_xlfn.XLOOKUP(A5211,'[1]Tissue Data'!$A:$A,'[1]Tissue Data'!K:K)</f>
        <v>Whole Body</v>
      </c>
      <c r="I5211">
        <f>_xlfn.XLOOKUP(A5211,'[1]Tissue Data'!$A:$A,'[1]Tissue Data'!L:L)</f>
        <v>5</v>
      </c>
      <c r="J5211">
        <f>_xlfn.XLOOKUP(A5211,'[1]Tissue Data'!$A:$A,'[1]Tissue Data'!M:M)</f>
        <v>4.68</v>
      </c>
      <c r="K5211" t="s">
        <v>21</v>
      </c>
      <c r="L5211" t="str">
        <f>_xlfn.XLOOKUP(K5211,[2]analyte_order!$B:$B,[2]analyte_order!$C:$C)</f>
        <v>72629-94-8</v>
      </c>
      <c r="M5211">
        <f>_xlfn.XLOOKUP(L5211,[2]analyte_order!$C:$C,[2]analyte_order!$E:$E)</f>
        <v>10</v>
      </c>
      <c r="N5211">
        <v>3.51</v>
      </c>
    </row>
    <row r="5212" spans="1:14">
      <c r="A5212" t="s">
        <v>284</v>
      </c>
      <c r="B5212" t="str">
        <f>_xlfn.XLOOKUP(A5212,'[1]Tissue Data'!$A:$A,'[1]Tissue Data'!$C:$C)</f>
        <v>Spill</v>
      </c>
      <c r="C5212" s="2">
        <f>_xlfn.XLOOKUP(A5212,'[1]Tissue Data'!$A:$A,'[1]Tissue Data'!$D:$D)</f>
        <v>44393</v>
      </c>
      <c r="D5212" s="2" t="str">
        <f>_xlfn.XLOOKUP(A5212,'[1]Tissue Data'!$A:$A,'[1]Tissue Data'!$F:$F)</f>
        <v>Pumpkinseed</v>
      </c>
      <c r="E5212" t="str">
        <f>_xlfn.XLOOKUP(A5212,'[1]Tissue Data'!$A:$A,'[1]Tissue Data'!$H:$H)</f>
        <v>Lepomis</v>
      </c>
      <c r="F5212" t="str">
        <f>_xlfn.XLOOKUP(A5212,'[1]Tissue Data'!$A:$A,'[1]Tissue Data'!$I:$I)</f>
        <v>gibbosus</v>
      </c>
      <c r="G5212" t="str">
        <f>_xlfn.XLOOKUP(A5212,'[1]Tissue Data'!$A:$A,'[1]Tissue Data'!J:J)</f>
        <v>U</v>
      </c>
      <c r="H5212" t="str">
        <f>_xlfn.XLOOKUP(A5212,'[1]Tissue Data'!$A:$A,'[1]Tissue Data'!K:K)</f>
        <v>Whole Body</v>
      </c>
      <c r="I5212">
        <f>_xlfn.XLOOKUP(A5212,'[1]Tissue Data'!$A:$A,'[1]Tissue Data'!L:L)</f>
        <v>5</v>
      </c>
      <c r="J5212">
        <f>_xlfn.XLOOKUP(A5212,'[1]Tissue Data'!$A:$A,'[1]Tissue Data'!M:M)</f>
        <v>4.68</v>
      </c>
      <c r="K5212" t="s">
        <v>22</v>
      </c>
      <c r="L5212" t="str">
        <f>_xlfn.XLOOKUP(K5212,[2]analyte_order!$B:$B,[2]analyte_order!$C:$C)</f>
        <v>376-06-7</v>
      </c>
      <c r="M5212">
        <f>_xlfn.XLOOKUP(L5212,[2]analyte_order!$C:$C,[2]analyte_order!$E:$E)</f>
        <v>11</v>
      </c>
      <c r="N5212">
        <v>9.32</v>
      </c>
    </row>
    <row r="5213" spans="1:14">
      <c r="A5213" t="s">
        <v>284</v>
      </c>
      <c r="B5213" t="str">
        <f>_xlfn.XLOOKUP(A5213,'[1]Tissue Data'!$A:$A,'[1]Tissue Data'!$C:$C)</f>
        <v>Spill</v>
      </c>
      <c r="C5213" s="2">
        <f>_xlfn.XLOOKUP(A5213,'[1]Tissue Data'!$A:$A,'[1]Tissue Data'!$D:$D)</f>
        <v>44393</v>
      </c>
      <c r="D5213" s="2" t="str">
        <f>_xlfn.XLOOKUP(A5213,'[1]Tissue Data'!$A:$A,'[1]Tissue Data'!$F:$F)</f>
        <v>Pumpkinseed</v>
      </c>
      <c r="E5213" t="str">
        <f>_xlfn.XLOOKUP(A5213,'[1]Tissue Data'!$A:$A,'[1]Tissue Data'!$H:$H)</f>
        <v>Lepomis</v>
      </c>
      <c r="F5213" t="str">
        <f>_xlfn.XLOOKUP(A5213,'[1]Tissue Data'!$A:$A,'[1]Tissue Data'!$I:$I)</f>
        <v>gibbosus</v>
      </c>
      <c r="G5213" t="str">
        <f>_xlfn.XLOOKUP(A5213,'[1]Tissue Data'!$A:$A,'[1]Tissue Data'!J:J)</f>
        <v>U</v>
      </c>
      <c r="H5213" t="str">
        <f>_xlfn.XLOOKUP(A5213,'[1]Tissue Data'!$A:$A,'[1]Tissue Data'!K:K)</f>
        <v>Whole Body</v>
      </c>
      <c r="I5213">
        <f>_xlfn.XLOOKUP(A5213,'[1]Tissue Data'!$A:$A,'[1]Tissue Data'!L:L)</f>
        <v>5</v>
      </c>
      <c r="J5213">
        <f>_xlfn.XLOOKUP(A5213,'[1]Tissue Data'!$A:$A,'[1]Tissue Data'!M:M)</f>
        <v>4.68</v>
      </c>
      <c r="K5213" t="s">
        <v>23</v>
      </c>
      <c r="L5213" t="str">
        <f>_xlfn.XLOOKUP(K5213,[2]analyte_order!$B:$B,[2]analyte_order!$C:$C)</f>
        <v>67905-19-5</v>
      </c>
      <c r="M5213">
        <f>_xlfn.XLOOKUP(L5213,[2]analyte_order!$C:$C,[2]analyte_order!$E:$E)</f>
        <v>12</v>
      </c>
      <c r="N5213">
        <v>7.85E-2</v>
      </c>
    </row>
    <row r="5214" spans="1:14">
      <c r="A5214" t="s">
        <v>284</v>
      </c>
      <c r="B5214" t="str">
        <f>_xlfn.XLOOKUP(A5214,'[1]Tissue Data'!$A:$A,'[1]Tissue Data'!$C:$C)</f>
        <v>Spill</v>
      </c>
      <c r="C5214" s="2">
        <f>_xlfn.XLOOKUP(A5214,'[1]Tissue Data'!$A:$A,'[1]Tissue Data'!$D:$D)</f>
        <v>44393</v>
      </c>
      <c r="D5214" s="2" t="str">
        <f>_xlfn.XLOOKUP(A5214,'[1]Tissue Data'!$A:$A,'[1]Tissue Data'!$F:$F)</f>
        <v>Pumpkinseed</v>
      </c>
      <c r="E5214" t="str">
        <f>_xlfn.XLOOKUP(A5214,'[1]Tissue Data'!$A:$A,'[1]Tissue Data'!$H:$H)</f>
        <v>Lepomis</v>
      </c>
      <c r="F5214" t="str">
        <f>_xlfn.XLOOKUP(A5214,'[1]Tissue Data'!$A:$A,'[1]Tissue Data'!$I:$I)</f>
        <v>gibbosus</v>
      </c>
      <c r="G5214" t="str">
        <f>_xlfn.XLOOKUP(A5214,'[1]Tissue Data'!$A:$A,'[1]Tissue Data'!J:J)</f>
        <v>U</v>
      </c>
      <c r="H5214" t="str">
        <f>_xlfn.XLOOKUP(A5214,'[1]Tissue Data'!$A:$A,'[1]Tissue Data'!K:K)</f>
        <v>Whole Body</v>
      </c>
      <c r="I5214">
        <f>_xlfn.XLOOKUP(A5214,'[1]Tissue Data'!$A:$A,'[1]Tissue Data'!L:L)</f>
        <v>5</v>
      </c>
      <c r="J5214">
        <f>_xlfn.XLOOKUP(A5214,'[1]Tissue Data'!$A:$A,'[1]Tissue Data'!M:M)</f>
        <v>4.68</v>
      </c>
      <c r="K5214" t="s">
        <v>24</v>
      </c>
      <c r="L5214" t="str">
        <f>_xlfn.XLOOKUP(K5214,[2]analyte_order!$B:$B,[2]analyte_order!$C:$C)</f>
        <v>423-41-6</v>
      </c>
      <c r="M5214">
        <f>_xlfn.XLOOKUP(L5214,[2]analyte_order!$C:$C,[2]analyte_order!$E:$E)</f>
        <v>53</v>
      </c>
      <c r="N5214">
        <v>6.5500000000000003E-2</v>
      </c>
    </row>
    <row r="5215" spans="1:14">
      <c r="A5215" t="s">
        <v>284</v>
      </c>
      <c r="B5215" t="str">
        <f>_xlfn.XLOOKUP(A5215,'[1]Tissue Data'!$A:$A,'[1]Tissue Data'!$C:$C)</f>
        <v>Spill</v>
      </c>
      <c r="C5215" s="2">
        <f>_xlfn.XLOOKUP(A5215,'[1]Tissue Data'!$A:$A,'[1]Tissue Data'!$D:$D)</f>
        <v>44393</v>
      </c>
      <c r="D5215" s="2" t="str">
        <f>_xlfn.XLOOKUP(A5215,'[1]Tissue Data'!$A:$A,'[1]Tissue Data'!$F:$F)</f>
        <v>Pumpkinseed</v>
      </c>
      <c r="E5215" t="str">
        <f>_xlfn.XLOOKUP(A5215,'[1]Tissue Data'!$A:$A,'[1]Tissue Data'!$H:$H)</f>
        <v>Lepomis</v>
      </c>
      <c r="F5215" t="str">
        <f>_xlfn.XLOOKUP(A5215,'[1]Tissue Data'!$A:$A,'[1]Tissue Data'!$I:$I)</f>
        <v>gibbosus</v>
      </c>
      <c r="G5215" t="str">
        <f>_xlfn.XLOOKUP(A5215,'[1]Tissue Data'!$A:$A,'[1]Tissue Data'!J:J)</f>
        <v>U</v>
      </c>
      <c r="H5215" t="str">
        <f>_xlfn.XLOOKUP(A5215,'[1]Tissue Data'!$A:$A,'[1]Tissue Data'!K:K)</f>
        <v>Whole Body</v>
      </c>
      <c r="I5215">
        <f>_xlfn.XLOOKUP(A5215,'[1]Tissue Data'!$A:$A,'[1]Tissue Data'!L:L)</f>
        <v>5</v>
      </c>
      <c r="J5215">
        <f>_xlfn.XLOOKUP(A5215,'[1]Tissue Data'!$A:$A,'[1]Tissue Data'!M:M)</f>
        <v>4.68</v>
      </c>
      <c r="K5215" t="s">
        <v>25</v>
      </c>
      <c r="L5215" t="str">
        <f>_xlfn.XLOOKUP(K5215,[2]analyte_order!$B:$B,[2]analyte_order!$C:$C)</f>
        <v>375-73-5</v>
      </c>
      <c r="M5215">
        <f>_xlfn.XLOOKUP(L5215,[2]analyte_order!$C:$C,[2]analyte_order!$E:$E)</f>
        <v>14</v>
      </c>
      <c r="N5215">
        <v>0.437</v>
      </c>
    </row>
    <row r="5216" spans="1:14">
      <c r="A5216" t="s">
        <v>284</v>
      </c>
      <c r="B5216" t="str">
        <f>_xlfn.XLOOKUP(A5216,'[1]Tissue Data'!$A:$A,'[1]Tissue Data'!$C:$C)</f>
        <v>Spill</v>
      </c>
      <c r="C5216" s="2">
        <f>_xlfn.XLOOKUP(A5216,'[1]Tissue Data'!$A:$A,'[1]Tissue Data'!$D:$D)</f>
        <v>44393</v>
      </c>
      <c r="D5216" s="2" t="str">
        <f>_xlfn.XLOOKUP(A5216,'[1]Tissue Data'!$A:$A,'[1]Tissue Data'!$F:$F)</f>
        <v>Pumpkinseed</v>
      </c>
      <c r="E5216" t="str">
        <f>_xlfn.XLOOKUP(A5216,'[1]Tissue Data'!$A:$A,'[1]Tissue Data'!$H:$H)</f>
        <v>Lepomis</v>
      </c>
      <c r="F5216" t="str">
        <f>_xlfn.XLOOKUP(A5216,'[1]Tissue Data'!$A:$A,'[1]Tissue Data'!$I:$I)</f>
        <v>gibbosus</v>
      </c>
      <c r="G5216" t="str">
        <f>_xlfn.XLOOKUP(A5216,'[1]Tissue Data'!$A:$A,'[1]Tissue Data'!J:J)</f>
        <v>U</v>
      </c>
      <c r="H5216" t="str">
        <f>_xlfn.XLOOKUP(A5216,'[1]Tissue Data'!$A:$A,'[1]Tissue Data'!K:K)</f>
        <v>Whole Body</v>
      </c>
      <c r="I5216">
        <f>_xlfn.XLOOKUP(A5216,'[1]Tissue Data'!$A:$A,'[1]Tissue Data'!L:L)</f>
        <v>5</v>
      </c>
      <c r="J5216">
        <f>_xlfn.XLOOKUP(A5216,'[1]Tissue Data'!$A:$A,'[1]Tissue Data'!M:M)</f>
        <v>4.68</v>
      </c>
      <c r="K5216" t="s">
        <v>26</v>
      </c>
      <c r="L5216" t="str">
        <f>_xlfn.XLOOKUP(K5216,[2]analyte_order!$B:$B,[2]analyte_order!$C:$C)</f>
        <v>2706-91-4</v>
      </c>
      <c r="M5216">
        <f>_xlfn.XLOOKUP(L5216,[2]analyte_order!$C:$C,[2]analyte_order!$E:$E)</f>
        <v>15</v>
      </c>
      <c r="N5216">
        <v>0.217</v>
      </c>
    </row>
    <row r="5217" spans="1:14">
      <c r="A5217" t="s">
        <v>284</v>
      </c>
      <c r="B5217" t="str">
        <f>_xlfn.XLOOKUP(A5217,'[1]Tissue Data'!$A:$A,'[1]Tissue Data'!$C:$C)</f>
        <v>Spill</v>
      </c>
      <c r="C5217" s="2">
        <f>_xlfn.XLOOKUP(A5217,'[1]Tissue Data'!$A:$A,'[1]Tissue Data'!$D:$D)</f>
        <v>44393</v>
      </c>
      <c r="D5217" s="2" t="str">
        <f>_xlfn.XLOOKUP(A5217,'[1]Tissue Data'!$A:$A,'[1]Tissue Data'!$F:$F)</f>
        <v>Pumpkinseed</v>
      </c>
      <c r="E5217" t="str">
        <f>_xlfn.XLOOKUP(A5217,'[1]Tissue Data'!$A:$A,'[1]Tissue Data'!$H:$H)</f>
        <v>Lepomis</v>
      </c>
      <c r="F5217" t="str">
        <f>_xlfn.XLOOKUP(A5217,'[1]Tissue Data'!$A:$A,'[1]Tissue Data'!$I:$I)</f>
        <v>gibbosus</v>
      </c>
      <c r="G5217" t="str">
        <f>_xlfn.XLOOKUP(A5217,'[1]Tissue Data'!$A:$A,'[1]Tissue Data'!J:J)</f>
        <v>U</v>
      </c>
      <c r="H5217" t="str">
        <f>_xlfn.XLOOKUP(A5217,'[1]Tissue Data'!$A:$A,'[1]Tissue Data'!K:K)</f>
        <v>Whole Body</v>
      </c>
      <c r="I5217">
        <f>_xlfn.XLOOKUP(A5217,'[1]Tissue Data'!$A:$A,'[1]Tissue Data'!L:L)</f>
        <v>5</v>
      </c>
      <c r="J5217">
        <f>_xlfn.XLOOKUP(A5217,'[1]Tissue Data'!$A:$A,'[1]Tissue Data'!M:M)</f>
        <v>4.68</v>
      </c>
      <c r="K5217" t="s">
        <v>27</v>
      </c>
      <c r="L5217" t="str">
        <f>_xlfn.XLOOKUP(K5217,[2]analyte_order!$B:$B,[2]analyte_order!$C:$C)</f>
        <v>355-46-4</v>
      </c>
      <c r="M5217">
        <f>_xlfn.XLOOKUP(L5217,[2]analyte_order!$C:$C,[2]analyte_order!$E:$E)</f>
        <v>16</v>
      </c>
      <c r="N5217">
        <v>15.2</v>
      </c>
    </row>
    <row r="5218" spans="1:14">
      <c r="A5218" t="s">
        <v>284</v>
      </c>
      <c r="B5218" t="str">
        <f>_xlfn.XLOOKUP(A5218,'[1]Tissue Data'!$A:$A,'[1]Tissue Data'!$C:$C)</f>
        <v>Spill</v>
      </c>
      <c r="C5218" s="2">
        <f>_xlfn.XLOOKUP(A5218,'[1]Tissue Data'!$A:$A,'[1]Tissue Data'!$D:$D)</f>
        <v>44393</v>
      </c>
      <c r="D5218" s="2" t="str">
        <f>_xlfn.XLOOKUP(A5218,'[1]Tissue Data'!$A:$A,'[1]Tissue Data'!$F:$F)</f>
        <v>Pumpkinseed</v>
      </c>
      <c r="E5218" t="str">
        <f>_xlfn.XLOOKUP(A5218,'[1]Tissue Data'!$A:$A,'[1]Tissue Data'!$H:$H)</f>
        <v>Lepomis</v>
      </c>
      <c r="F5218" t="str">
        <f>_xlfn.XLOOKUP(A5218,'[1]Tissue Data'!$A:$A,'[1]Tissue Data'!$I:$I)</f>
        <v>gibbosus</v>
      </c>
      <c r="G5218" t="str">
        <f>_xlfn.XLOOKUP(A5218,'[1]Tissue Data'!$A:$A,'[1]Tissue Data'!J:J)</f>
        <v>U</v>
      </c>
      <c r="H5218" t="str">
        <f>_xlfn.XLOOKUP(A5218,'[1]Tissue Data'!$A:$A,'[1]Tissue Data'!K:K)</f>
        <v>Whole Body</v>
      </c>
      <c r="I5218">
        <f>_xlfn.XLOOKUP(A5218,'[1]Tissue Data'!$A:$A,'[1]Tissue Data'!L:L)</f>
        <v>5</v>
      </c>
      <c r="J5218">
        <f>_xlfn.XLOOKUP(A5218,'[1]Tissue Data'!$A:$A,'[1]Tissue Data'!M:M)</f>
        <v>4.68</v>
      </c>
      <c r="K5218" t="s">
        <v>28</v>
      </c>
      <c r="L5218" t="str">
        <f>_xlfn.XLOOKUP(K5218,[2]analyte_order!$B:$B,[2]analyte_order!$C:$C)</f>
        <v>375-92-8</v>
      </c>
      <c r="M5218">
        <f>_xlfn.XLOOKUP(L5218,[2]analyte_order!$C:$C,[2]analyte_order!$E:$E)</f>
        <v>17</v>
      </c>
      <c r="N5218">
        <v>2.78</v>
      </c>
    </row>
    <row r="5219" spans="1:14">
      <c r="A5219" t="s">
        <v>284</v>
      </c>
      <c r="B5219" t="str">
        <f>_xlfn.XLOOKUP(A5219,'[1]Tissue Data'!$A:$A,'[1]Tissue Data'!$C:$C)</f>
        <v>Spill</v>
      </c>
      <c r="C5219" s="2">
        <f>_xlfn.XLOOKUP(A5219,'[1]Tissue Data'!$A:$A,'[1]Tissue Data'!$D:$D)</f>
        <v>44393</v>
      </c>
      <c r="D5219" s="2" t="str">
        <f>_xlfn.XLOOKUP(A5219,'[1]Tissue Data'!$A:$A,'[1]Tissue Data'!$F:$F)</f>
        <v>Pumpkinseed</v>
      </c>
      <c r="E5219" t="str">
        <f>_xlfn.XLOOKUP(A5219,'[1]Tissue Data'!$A:$A,'[1]Tissue Data'!$H:$H)</f>
        <v>Lepomis</v>
      </c>
      <c r="F5219" t="str">
        <f>_xlfn.XLOOKUP(A5219,'[1]Tissue Data'!$A:$A,'[1]Tissue Data'!$I:$I)</f>
        <v>gibbosus</v>
      </c>
      <c r="G5219" t="str">
        <f>_xlfn.XLOOKUP(A5219,'[1]Tissue Data'!$A:$A,'[1]Tissue Data'!J:J)</f>
        <v>U</v>
      </c>
      <c r="H5219" t="str">
        <f>_xlfn.XLOOKUP(A5219,'[1]Tissue Data'!$A:$A,'[1]Tissue Data'!K:K)</f>
        <v>Whole Body</v>
      </c>
      <c r="I5219">
        <f>_xlfn.XLOOKUP(A5219,'[1]Tissue Data'!$A:$A,'[1]Tissue Data'!L:L)</f>
        <v>5</v>
      </c>
      <c r="J5219">
        <f>_xlfn.XLOOKUP(A5219,'[1]Tissue Data'!$A:$A,'[1]Tissue Data'!M:M)</f>
        <v>4.68</v>
      </c>
      <c r="K5219" t="s">
        <v>29</v>
      </c>
      <c r="L5219" t="str">
        <f>_xlfn.XLOOKUP(K5219,[2]analyte_order!$B:$B,[2]analyte_order!$C:$C)</f>
        <v>1763-23-1</v>
      </c>
      <c r="M5219">
        <f>_xlfn.XLOOKUP(L5219,[2]analyte_order!$C:$C,[2]analyte_order!$E:$E)</f>
        <v>18</v>
      </c>
      <c r="N5219">
        <v>899</v>
      </c>
    </row>
    <row r="5220" spans="1:14">
      <c r="A5220" t="s">
        <v>284</v>
      </c>
      <c r="B5220" t="str">
        <f>_xlfn.XLOOKUP(A5220,'[1]Tissue Data'!$A:$A,'[1]Tissue Data'!$C:$C)</f>
        <v>Spill</v>
      </c>
      <c r="C5220" s="2">
        <f>_xlfn.XLOOKUP(A5220,'[1]Tissue Data'!$A:$A,'[1]Tissue Data'!$D:$D)</f>
        <v>44393</v>
      </c>
      <c r="D5220" s="2" t="str">
        <f>_xlfn.XLOOKUP(A5220,'[1]Tissue Data'!$A:$A,'[1]Tissue Data'!$F:$F)</f>
        <v>Pumpkinseed</v>
      </c>
      <c r="E5220" t="str">
        <f>_xlfn.XLOOKUP(A5220,'[1]Tissue Data'!$A:$A,'[1]Tissue Data'!$H:$H)</f>
        <v>Lepomis</v>
      </c>
      <c r="F5220" t="str">
        <f>_xlfn.XLOOKUP(A5220,'[1]Tissue Data'!$A:$A,'[1]Tissue Data'!$I:$I)</f>
        <v>gibbosus</v>
      </c>
      <c r="G5220" t="str">
        <f>_xlfn.XLOOKUP(A5220,'[1]Tissue Data'!$A:$A,'[1]Tissue Data'!J:J)</f>
        <v>U</v>
      </c>
      <c r="H5220" t="str">
        <f>_xlfn.XLOOKUP(A5220,'[1]Tissue Data'!$A:$A,'[1]Tissue Data'!K:K)</f>
        <v>Whole Body</v>
      </c>
      <c r="I5220">
        <f>_xlfn.XLOOKUP(A5220,'[1]Tissue Data'!$A:$A,'[1]Tissue Data'!L:L)</f>
        <v>5</v>
      </c>
      <c r="J5220">
        <f>_xlfn.XLOOKUP(A5220,'[1]Tissue Data'!$A:$A,'[1]Tissue Data'!M:M)</f>
        <v>4.68</v>
      </c>
      <c r="K5220" t="s">
        <v>30</v>
      </c>
      <c r="L5220" t="str">
        <f>_xlfn.XLOOKUP(K5220,[2]analyte_order!$B:$B,[2]analyte_order!$C:$C)</f>
        <v>68259-12-1</v>
      </c>
      <c r="M5220">
        <f>_xlfn.XLOOKUP(L5220,[2]analyte_order!$C:$C,[2]analyte_order!$E:$E)</f>
        <v>19</v>
      </c>
      <c r="N5220">
        <v>1.94</v>
      </c>
    </row>
    <row r="5221" spans="1:14">
      <c r="A5221" t="s">
        <v>284</v>
      </c>
      <c r="B5221" t="str">
        <f>_xlfn.XLOOKUP(A5221,'[1]Tissue Data'!$A:$A,'[1]Tissue Data'!$C:$C)</f>
        <v>Spill</v>
      </c>
      <c r="C5221" s="2">
        <f>_xlfn.XLOOKUP(A5221,'[1]Tissue Data'!$A:$A,'[1]Tissue Data'!$D:$D)</f>
        <v>44393</v>
      </c>
      <c r="D5221" s="2" t="str">
        <f>_xlfn.XLOOKUP(A5221,'[1]Tissue Data'!$A:$A,'[1]Tissue Data'!$F:$F)</f>
        <v>Pumpkinseed</v>
      </c>
      <c r="E5221" t="str">
        <f>_xlfn.XLOOKUP(A5221,'[1]Tissue Data'!$A:$A,'[1]Tissue Data'!$H:$H)</f>
        <v>Lepomis</v>
      </c>
      <c r="F5221" t="str">
        <f>_xlfn.XLOOKUP(A5221,'[1]Tissue Data'!$A:$A,'[1]Tissue Data'!$I:$I)</f>
        <v>gibbosus</v>
      </c>
      <c r="G5221" t="str">
        <f>_xlfn.XLOOKUP(A5221,'[1]Tissue Data'!$A:$A,'[1]Tissue Data'!J:J)</f>
        <v>U</v>
      </c>
      <c r="H5221" t="str">
        <f>_xlfn.XLOOKUP(A5221,'[1]Tissue Data'!$A:$A,'[1]Tissue Data'!K:K)</f>
        <v>Whole Body</v>
      </c>
      <c r="I5221">
        <f>_xlfn.XLOOKUP(A5221,'[1]Tissue Data'!$A:$A,'[1]Tissue Data'!L:L)</f>
        <v>5</v>
      </c>
      <c r="J5221">
        <f>_xlfn.XLOOKUP(A5221,'[1]Tissue Data'!$A:$A,'[1]Tissue Data'!M:M)</f>
        <v>4.68</v>
      </c>
      <c r="K5221" t="s">
        <v>31</v>
      </c>
      <c r="L5221" t="str">
        <f>_xlfn.XLOOKUP(K5221,[2]analyte_order!$B:$B,[2]analyte_order!$C:$C)</f>
        <v>335-77-3</v>
      </c>
      <c r="M5221">
        <f>_xlfn.XLOOKUP(L5221,[2]analyte_order!$C:$C,[2]analyte_order!$E:$E)</f>
        <v>20</v>
      </c>
      <c r="N5221">
        <v>3.03</v>
      </c>
    </row>
    <row r="5222" spans="1:14">
      <c r="A5222" t="s">
        <v>284</v>
      </c>
      <c r="B5222" t="str">
        <f>_xlfn.XLOOKUP(A5222,'[1]Tissue Data'!$A:$A,'[1]Tissue Data'!$C:$C)</f>
        <v>Spill</v>
      </c>
      <c r="C5222" s="2">
        <f>_xlfn.XLOOKUP(A5222,'[1]Tissue Data'!$A:$A,'[1]Tissue Data'!$D:$D)</f>
        <v>44393</v>
      </c>
      <c r="D5222" s="2" t="str">
        <f>_xlfn.XLOOKUP(A5222,'[1]Tissue Data'!$A:$A,'[1]Tissue Data'!$F:$F)</f>
        <v>Pumpkinseed</v>
      </c>
      <c r="E5222" t="str">
        <f>_xlfn.XLOOKUP(A5222,'[1]Tissue Data'!$A:$A,'[1]Tissue Data'!$H:$H)</f>
        <v>Lepomis</v>
      </c>
      <c r="F5222" t="str">
        <f>_xlfn.XLOOKUP(A5222,'[1]Tissue Data'!$A:$A,'[1]Tissue Data'!$I:$I)</f>
        <v>gibbosus</v>
      </c>
      <c r="G5222" t="str">
        <f>_xlfn.XLOOKUP(A5222,'[1]Tissue Data'!$A:$A,'[1]Tissue Data'!J:J)</f>
        <v>U</v>
      </c>
      <c r="H5222" t="str">
        <f>_xlfn.XLOOKUP(A5222,'[1]Tissue Data'!$A:$A,'[1]Tissue Data'!K:K)</f>
        <v>Whole Body</v>
      </c>
      <c r="I5222">
        <f>_xlfn.XLOOKUP(A5222,'[1]Tissue Data'!$A:$A,'[1]Tissue Data'!L:L)</f>
        <v>5</v>
      </c>
      <c r="J5222">
        <f>_xlfn.XLOOKUP(A5222,'[1]Tissue Data'!$A:$A,'[1]Tissue Data'!M:M)</f>
        <v>4.68</v>
      </c>
      <c r="K5222" t="s">
        <v>32</v>
      </c>
      <c r="L5222" t="str">
        <f>_xlfn.XLOOKUP(K5222,[2]analyte_order!$B:$B,[2]analyte_order!$C:$C)</f>
        <v>79780-39-5</v>
      </c>
      <c r="M5222">
        <f>_xlfn.XLOOKUP(L5222,[2]analyte_order!$C:$C,[2]analyte_order!$E:$E)</f>
        <v>21</v>
      </c>
      <c r="N5222">
        <v>1.1599999999999999</v>
      </c>
    </row>
    <row r="5223" spans="1:14">
      <c r="A5223" t="s">
        <v>284</v>
      </c>
      <c r="B5223" t="str">
        <f>_xlfn.XLOOKUP(A5223,'[1]Tissue Data'!$A:$A,'[1]Tissue Data'!$C:$C)</f>
        <v>Spill</v>
      </c>
      <c r="C5223" s="2">
        <f>_xlfn.XLOOKUP(A5223,'[1]Tissue Data'!$A:$A,'[1]Tissue Data'!$D:$D)</f>
        <v>44393</v>
      </c>
      <c r="D5223" s="2" t="str">
        <f>_xlfn.XLOOKUP(A5223,'[1]Tissue Data'!$A:$A,'[1]Tissue Data'!$F:$F)</f>
        <v>Pumpkinseed</v>
      </c>
      <c r="E5223" t="str">
        <f>_xlfn.XLOOKUP(A5223,'[1]Tissue Data'!$A:$A,'[1]Tissue Data'!$H:$H)</f>
        <v>Lepomis</v>
      </c>
      <c r="F5223" t="str">
        <f>_xlfn.XLOOKUP(A5223,'[1]Tissue Data'!$A:$A,'[1]Tissue Data'!$I:$I)</f>
        <v>gibbosus</v>
      </c>
      <c r="G5223" t="str">
        <f>_xlfn.XLOOKUP(A5223,'[1]Tissue Data'!$A:$A,'[1]Tissue Data'!J:J)</f>
        <v>U</v>
      </c>
      <c r="H5223" t="str">
        <f>_xlfn.XLOOKUP(A5223,'[1]Tissue Data'!$A:$A,'[1]Tissue Data'!K:K)</f>
        <v>Whole Body</v>
      </c>
      <c r="I5223">
        <f>_xlfn.XLOOKUP(A5223,'[1]Tissue Data'!$A:$A,'[1]Tissue Data'!L:L)</f>
        <v>5</v>
      </c>
      <c r="J5223">
        <f>_xlfn.XLOOKUP(A5223,'[1]Tissue Data'!$A:$A,'[1]Tissue Data'!M:M)</f>
        <v>4.68</v>
      </c>
      <c r="K5223" t="s">
        <v>33</v>
      </c>
      <c r="L5223" t="str">
        <f>_xlfn.XLOOKUP(K5223,[2]analyte_order!$B:$B,[2]analyte_order!$C:$C)</f>
        <v>777011-38-8</v>
      </c>
      <c r="M5223">
        <f>_xlfn.XLOOKUP(L5223,[2]analyte_order!$C:$C,[2]analyte_order!$E:$E)</f>
        <v>54</v>
      </c>
      <c r="N5223">
        <v>0.13200000000000001</v>
      </c>
    </row>
    <row r="5224" spans="1:14">
      <c r="A5224" t="s">
        <v>284</v>
      </c>
      <c r="B5224" t="str">
        <f>_xlfn.XLOOKUP(A5224,'[1]Tissue Data'!$A:$A,'[1]Tissue Data'!$C:$C)</f>
        <v>Spill</v>
      </c>
      <c r="C5224" s="2">
        <f>_xlfn.XLOOKUP(A5224,'[1]Tissue Data'!$A:$A,'[1]Tissue Data'!$D:$D)</f>
        <v>44393</v>
      </c>
      <c r="D5224" s="2" t="str">
        <f>_xlfn.XLOOKUP(A5224,'[1]Tissue Data'!$A:$A,'[1]Tissue Data'!$F:$F)</f>
        <v>Pumpkinseed</v>
      </c>
      <c r="E5224" t="str">
        <f>_xlfn.XLOOKUP(A5224,'[1]Tissue Data'!$A:$A,'[1]Tissue Data'!$H:$H)</f>
        <v>Lepomis</v>
      </c>
      <c r="F5224" t="str">
        <f>_xlfn.XLOOKUP(A5224,'[1]Tissue Data'!$A:$A,'[1]Tissue Data'!$I:$I)</f>
        <v>gibbosus</v>
      </c>
      <c r="G5224" t="str">
        <f>_xlfn.XLOOKUP(A5224,'[1]Tissue Data'!$A:$A,'[1]Tissue Data'!J:J)</f>
        <v>U</v>
      </c>
      <c r="H5224" t="str">
        <f>_xlfn.XLOOKUP(A5224,'[1]Tissue Data'!$A:$A,'[1]Tissue Data'!K:K)</f>
        <v>Whole Body</v>
      </c>
      <c r="I5224">
        <f>_xlfn.XLOOKUP(A5224,'[1]Tissue Data'!$A:$A,'[1]Tissue Data'!L:L)</f>
        <v>5</v>
      </c>
      <c r="J5224">
        <f>_xlfn.XLOOKUP(A5224,'[1]Tissue Data'!$A:$A,'[1]Tissue Data'!M:M)</f>
        <v>4.68</v>
      </c>
      <c r="K5224" t="s">
        <v>34</v>
      </c>
      <c r="L5224" t="str">
        <f>_xlfn.XLOOKUP(K5224,[2]analyte_order!$B:$B,[2]analyte_order!$C:$C)</f>
        <v>646-83-3</v>
      </c>
      <c r="M5224">
        <f>_xlfn.XLOOKUP(L5224,[2]analyte_order!$C:$C,[2]analyte_order!$E:$E)</f>
        <v>55</v>
      </c>
      <c r="N5224">
        <v>0.217</v>
      </c>
    </row>
    <row r="5225" spans="1:14">
      <c r="A5225" t="s">
        <v>284</v>
      </c>
      <c r="B5225" t="str">
        <f>_xlfn.XLOOKUP(A5225,'[1]Tissue Data'!$A:$A,'[1]Tissue Data'!$C:$C)</f>
        <v>Spill</v>
      </c>
      <c r="C5225" s="2">
        <f>_xlfn.XLOOKUP(A5225,'[1]Tissue Data'!$A:$A,'[1]Tissue Data'!$D:$D)</f>
        <v>44393</v>
      </c>
      <c r="D5225" s="2" t="str">
        <f>_xlfn.XLOOKUP(A5225,'[1]Tissue Data'!$A:$A,'[1]Tissue Data'!$F:$F)</f>
        <v>Pumpkinseed</v>
      </c>
      <c r="E5225" t="str">
        <f>_xlfn.XLOOKUP(A5225,'[1]Tissue Data'!$A:$A,'[1]Tissue Data'!$H:$H)</f>
        <v>Lepomis</v>
      </c>
      <c r="F5225" t="str">
        <f>_xlfn.XLOOKUP(A5225,'[1]Tissue Data'!$A:$A,'[1]Tissue Data'!$I:$I)</f>
        <v>gibbosus</v>
      </c>
      <c r="G5225" t="str">
        <f>_xlfn.XLOOKUP(A5225,'[1]Tissue Data'!$A:$A,'[1]Tissue Data'!J:J)</f>
        <v>U</v>
      </c>
      <c r="H5225" t="str">
        <f>_xlfn.XLOOKUP(A5225,'[1]Tissue Data'!$A:$A,'[1]Tissue Data'!K:K)</f>
        <v>Whole Body</v>
      </c>
      <c r="I5225">
        <f>_xlfn.XLOOKUP(A5225,'[1]Tissue Data'!$A:$A,'[1]Tissue Data'!L:L)</f>
        <v>5</v>
      </c>
      <c r="J5225">
        <f>_xlfn.XLOOKUP(A5225,'[1]Tissue Data'!$A:$A,'[1]Tissue Data'!M:M)</f>
        <v>4.68</v>
      </c>
      <c r="K5225" t="s">
        <v>35</v>
      </c>
      <c r="L5225" t="str">
        <f>_xlfn.XLOOKUP(K5225,[2]analyte_order!$B:$B,[2]analyte_order!$C:$C)</f>
        <v>30334-69-1</v>
      </c>
      <c r="M5225">
        <f>_xlfn.XLOOKUP(L5225,[2]analyte_order!$C:$C,[2]analyte_order!$E:$E)</f>
        <v>51</v>
      </c>
      <c r="N5225">
        <v>31.3</v>
      </c>
    </row>
    <row r="5226" spans="1:14">
      <c r="A5226" t="s">
        <v>284</v>
      </c>
      <c r="B5226" t="str">
        <f>_xlfn.XLOOKUP(A5226,'[1]Tissue Data'!$A:$A,'[1]Tissue Data'!$C:$C)</f>
        <v>Spill</v>
      </c>
      <c r="C5226" s="2">
        <f>_xlfn.XLOOKUP(A5226,'[1]Tissue Data'!$A:$A,'[1]Tissue Data'!$D:$D)</f>
        <v>44393</v>
      </c>
      <c r="D5226" s="2" t="str">
        <f>_xlfn.XLOOKUP(A5226,'[1]Tissue Data'!$A:$A,'[1]Tissue Data'!$F:$F)</f>
        <v>Pumpkinseed</v>
      </c>
      <c r="E5226" t="str">
        <f>_xlfn.XLOOKUP(A5226,'[1]Tissue Data'!$A:$A,'[1]Tissue Data'!$H:$H)</f>
        <v>Lepomis</v>
      </c>
      <c r="F5226" t="str">
        <f>_xlfn.XLOOKUP(A5226,'[1]Tissue Data'!$A:$A,'[1]Tissue Data'!$I:$I)</f>
        <v>gibbosus</v>
      </c>
      <c r="G5226" t="str">
        <f>_xlfn.XLOOKUP(A5226,'[1]Tissue Data'!$A:$A,'[1]Tissue Data'!J:J)</f>
        <v>U</v>
      </c>
      <c r="H5226" t="str">
        <f>_xlfn.XLOOKUP(A5226,'[1]Tissue Data'!$A:$A,'[1]Tissue Data'!K:K)</f>
        <v>Whole Body</v>
      </c>
      <c r="I5226">
        <f>_xlfn.XLOOKUP(A5226,'[1]Tissue Data'!$A:$A,'[1]Tissue Data'!L:L)</f>
        <v>5</v>
      </c>
      <c r="J5226">
        <f>_xlfn.XLOOKUP(A5226,'[1]Tissue Data'!$A:$A,'[1]Tissue Data'!M:M)</f>
        <v>4.68</v>
      </c>
      <c r="K5226" t="s">
        <v>36</v>
      </c>
      <c r="L5226" t="str">
        <f>_xlfn.XLOOKUP(K5226,[2]analyte_order!$B:$B,[2]analyte_order!$C:$C)</f>
        <v>41997-13-1</v>
      </c>
      <c r="M5226">
        <f>_xlfn.XLOOKUP(L5226,[2]analyte_order!$C:$C,[2]analyte_order!$E:$E)</f>
        <v>52</v>
      </c>
      <c r="N5226">
        <v>70.5</v>
      </c>
    </row>
    <row r="5227" spans="1:14">
      <c r="A5227" t="s">
        <v>284</v>
      </c>
      <c r="B5227" t="str">
        <f>_xlfn.XLOOKUP(A5227,'[1]Tissue Data'!$A:$A,'[1]Tissue Data'!$C:$C)</f>
        <v>Spill</v>
      </c>
      <c r="C5227" s="2">
        <f>_xlfn.XLOOKUP(A5227,'[1]Tissue Data'!$A:$A,'[1]Tissue Data'!$D:$D)</f>
        <v>44393</v>
      </c>
      <c r="D5227" s="2" t="str">
        <f>_xlfn.XLOOKUP(A5227,'[1]Tissue Data'!$A:$A,'[1]Tissue Data'!$F:$F)</f>
        <v>Pumpkinseed</v>
      </c>
      <c r="E5227" t="str">
        <f>_xlfn.XLOOKUP(A5227,'[1]Tissue Data'!$A:$A,'[1]Tissue Data'!$H:$H)</f>
        <v>Lepomis</v>
      </c>
      <c r="F5227" t="str">
        <f>_xlfn.XLOOKUP(A5227,'[1]Tissue Data'!$A:$A,'[1]Tissue Data'!$I:$I)</f>
        <v>gibbosus</v>
      </c>
      <c r="G5227" t="str">
        <f>_xlfn.XLOOKUP(A5227,'[1]Tissue Data'!$A:$A,'[1]Tissue Data'!J:J)</f>
        <v>U</v>
      </c>
      <c r="H5227" t="str">
        <f>_xlfn.XLOOKUP(A5227,'[1]Tissue Data'!$A:$A,'[1]Tissue Data'!K:K)</f>
        <v>Whole Body</v>
      </c>
      <c r="I5227">
        <f>_xlfn.XLOOKUP(A5227,'[1]Tissue Data'!$A:$A,'[1]Tissue Data'!L:L)</f>
        <v>5</v>
      </c>
      <c r="J5227">
        <f>_xlfn.XLOOKUP(A5227,'[1]Tissue Data'!$A:$A,'[1]Tissue Data'!M:M)</f>
        <v>4.68</v>
      </c>
      <c r="K5227" t="s">
        <v>37</v>
      </c>
      <c r="L5227" t="str">
        <f>_xlfn.XLOOKUP(K5227,[2]analyte_order!$B:$B,[2]analyte_order!$C:$C)</f>
        <v>754-91-6</v>
      </c>
      <c r="M5227">
        <f>_xlfn.XLOOKUP(L5227,[2]analyte_order!$C:$C,[2]analyte_order!$E:$E)</f>
        <v>28</v>
      </c>
      <c r="N5227">
        <v>11.6</v>
      </c>
    </row>
    <row r="5228" spans="1:14">
      <c r="A5228" t="s">
        <v>284</v>
      </c>
      <c r="B5228" t="str">
        <f>_xlfn.XLOOKUP(A5228,'[1]Tissue Data'!$A:$A,'[1]Tissue Data'!$C:$C)</f>
        <v>Spill</v>
      </c>
      <c r="C5228" s="2">
        <f>_xlfn.XLOOKUP(A5228,'[1]Tissue Data'!$A:$A,'[1]Tissue Data'!$D:$D)</f>
        <v>44393</v>
      </c>
      <c r="D5228" s="2" t="str">
        <f>_xlfn.XLOOKUP(A5228,'[1]Tissue Data'!$A:$A,'[1]Tissue Data'!$F:$F)</f>
        <v>Pumpkinseed</v>
      </c>
      <c r="E5228" t="str">
        <f>_xlfn.XLOOKUP(A5228,'[1]Tissue Data'!$A:$A,'[1]Tissue Data'!$H:$H)</f>
        <v>Lepomis</v>
      </c>
      <c r="F5228" t="str">
        <f>_xlfn.XLOOKUP(A5228,'[1]Tissue Data'!$A:$A,'[1]Tissue Data'!$I:$I)</f>
        <v>gibbosus</v>
      </c>
      <c r="G5228" t="str">
        <f>_xlfn.XLOOKUP(A5228,'[1]Tissue Data'!$A:$A,'[1]Tissue Data'!J:J)</f>
        <v>U</v>
      </c>
      <c r="H5228" t="str">
        <f>_xlfn.XLOOKUP(A5228,'[1]Tissue Data'!$A:$A,'[1]Tissue Data'!K:K)</f>
        <v>Whole Body</v>
      </c>
      <c r="I5228">
        <f>_xlfn.XLOOKUP(A5228,'[1]Tissue Data'!$A:$A,'[1]Tissue Data'!L:L)</f>
        <v>5</v>
      </c>
      <c r="J5228">
        <f>_xlfn.XLOOKUP(A5228,'[1]Tissue Data'!$A:$A,'[1]Tissue Data'!M:M)</f>
        <v>4.68</v>
      </c>
      <c r="K5228" t="s">
        <v>38</v>
      </c>
      <c r="L5228" t="str">
        <f>_xlfn.XLOOKUP(K5228,[2]analyte_order!$B:$B,[2]analyte_order!$C:$C)</f>
        <v>31506-32-8</v>
      </c>
      <c r="M5228">
        <f>_xlfn.XLOOKUP(L5228,[2]analyte_order!$C:$C,[2]analyte_order!$E:$E)</f>
        <v>30</v>
      </c>
      <c r="N5228">
        <v>6.5500000000000003E-2</v>
      </c>
    </row>
    <row r="5229" spans="1:14">
      <c r="A5229" t="s">
        <v>284</v>
      </c>
      <c r="B5229" t="str">
        <f>_xlfn.XLOOKUP(A5229,'[1]Tissue Data'!$A:$A,'[1]Tissue Data'!$C:$C)</f>
        <v>Spill</v>
      </c>
      <c r="C5229" s="2">
        <f>_xlfn.XLOOKUP(A5229,'[1]Tissue Data'!$A:$A,'[1]Tissue Data'!$D:$D)</f>
        <v>44393</v>
      </c>
      <c r="D5229" s="2" t="str">
        <f>_xlfn.XLOOKUP(A5229,'[1]Tissue Data'!$A:$A,'[1]Tissue Data'!$F:$F)</f>
        <v>Pumpkinseed</v>
      </c>
      <c r="E5229" t="str">
        <f>_xlfn.XLOOKUP(A5229,'[1]Tissue Data'!$A:$A,'[1]Tissue Data'!$H:$H)</f>
        <v>Lepomis</v>
      </c>
      <c r="F5229" t="str">
        <f>_xlfn.XLOOKUP(A5229,'[1]Tissue Data'!$A:$A,'[1]Tissue Data'!$I:$I)</f>
        <v>gibbosus</v>
      </c>
      <c r="G5229" t="str">
        <f>_xlfn.XLOOKUP(A5229,'[1]Tissue Data'!$A:$A,'[1]Tissue Data'!J:J)</f>
        <v>U</v>
      </c>
      <c r="H5229" t="str">
        <f>_xlfn.XLOOKUP(A5229,'[1]Tissue Data'!$A:$A,'[1]Tissue Data'!K:K)</f>
        <v>Whole Body</v>
      </c>
      <c r="I5229">
        <f>_xlfn.XLOOKUP(A5229,'[1]Tissue Data'!$A:$A,'[1]Tissue Data'!L:L)</f>
        <v>5</v>
      </c>
      <c r="J5229">
        <f>_xlfn.XLOOKUP(A5229,'[1]Tissue Data'!$A:$A,'[1]Tissue Data'!M:M)</f>
        <v>4.68</v>
      </c>
      <c r="K5229" t="s">
        <v>39</v>
      </c>
      <c r="L5229" t="str">
        <f>_xlfn.XLOOKUP(K5229,[2]analyte_order!$B:$B,[2]analyte_order!$C:$C)</f>
        <v>4151-50-2</v>
      </c>
      <c r="M5229">
        <f>_xlfn.XLOOKUP(L5229,[2]analyte_order!$C:$C,[2]analyte_order!$E:$E)</f>
        <v>31</v>
      </c>
      <c r="N5229">
        <v>7.6499999999999999E-2</v>
      </c>
    </row>
    <row r="5230" spans="1:14">
      <c r="A5230" t="s">
        <v>284</v>
      </c>
      <c r="B5230" t="str">
        <f>_xlfn.XLOOKUP(A5230,'[1]Tissue Data'!$A:$A,'[1]Tissue Data'!$C:$C)</f>
        <v>Spill</v>
      </c>
      <c r="C5230" s="2">
        <f>_xlfn.XLOOKUP(A5230,'[1]Tissue Data'!$A:$A,'[1]Tissue Data'!$D:$D)</f>
        <v>44393</v>
      </c>
      <c r="D5230" s="2" t="str">
        <f>_xlfn.XLOOKUP(A5230,'[1]Tissue Data'!$A:$A,'[1]Tissue Data'!$F:$F)</f>
        <v>Pumpkinseed</v>
      </c>
      <c r="E5230" t="str">
        <f>_xlfn.XLOOKUP(A5230,'[1]Tissue Data'!$A:$A,'[1]Tissue Data'!$H:$H)</f>
        <v>Lepomis</v>
      </c>
      <c r="F5230" t="str">
        <f>_xlfn.XLOOKUP(A5230,'[1]Tissue Data'!$A:$A,'[1]Tissue Data'!$I:$I)</f>
        <v>gibbosus</v>
      </c>
      <c r="G5230" t="str">
        <f>_xlfn.XLOOKUP(A5230,'[1]Tissue Data'!$A:$A,'[1]Tissue Data'!J:J)</f>
        <v>U</v>
      </c>
      <c r="H5230" t="str">
        <f>_xlfn.XLOOKUP(A5230,'[1]Tissue Data'!$A:$A,'[1]Tissue Data'!K:K)</f>
        <v>Whole Body</v>
      </c>
      <c r="I5230">
        <f>_xlfn.XLOOKUP(A5230,'[1]Tissue Data'!$A:$A,'[1]Tissue Data'!L:L)</f>
        <v>5</v>
      </c>
      <c r="J5230">
        <f>_xlfn.XLOOKUP(A5230,'[1]Tissue Data'!$A:$A,'[1]Tissue Data'!M:M)</f>
        <v>4.68</v>
      </c>
      <c r="K5230" t="s">
        <v>40</v>
      </c>
      <c r="L5230" t="str">
        <f>_xlfn.XLOOKUP(K5230,[2]analyte_order!$B:$B,[2]analyte_order!$C:$C)</f>
        <v>2806-24-8</v>
      </c>
      <c r="M5230">
        <f>_xlfn.XLOOKUP(L5230,[2]analyte_order!$C:$C,[2]analyte_order!$E:$E)</f>
        <v>29</v>
      </c>
      <c r="N5230">
        <v>5.1999999999999998E-2</v>
      </c>
    </row>
    <row r="5231" spans="1:14">
      <c r="A5231" t="s">
        <v>284</v>
      </c>
      <c r="B5231" t="str">
        <f>_xlfn.XLOOKUP(A5231,'[1]Tissue Data'!$A:$A,'[1]Tissue Data'!$C:$C)</f>
        <v>Spill</v>
      </c>
      <c r="C5231" s="2">
        <f>_xlfn.XLOOKUP(A5231,'[1]Tissue Data'!$A:$A,'[1]Tissue Data'!$D:$D)</f>
        <v>44393</v>
      </c>
      <c r="D5231" s="2" t="str">
        <f>_xlfn.XLOOKUP(A5231,'[1]Tissue Data'!$A:$A,'[1]Tissue Data'!$F:$F)</f>
        <v>Pumpkinseed</v>
      </c>
      <c r="E5231" t="str">
        <f>_xlfn.XLOOKUP(A5231,'[1]Tissue Data'!$A:$A,'[1]Tissue Data'!$H:$H)</f>
        <v>Lepomis</v>
      </c>
      <c r="F5231" t="str">
        <f>_xlfn.XLOOKUP(A5231,'[1]Tissue Data'!$A:$A,'[1]Tissue Data'!$I:$I)</f>
        <v>gibbosus</v>
      </c>
      <c r="G5231" t="str">
        <f>_xlfn.XLOOKUP(A5231,'[1]Tissue Data'!$A:$A,'[1]Tissue Data'!J:J)</f>
        <v>U</v>
      </c>
      <c r="H5231" t="str">
        <f>_xlfn.XLOOKUP(A5231,'[1]Tissue Data'!$A:$A,'[1]Tissue Data'!K:K)</f>
        <v>Whole Body</v>
      </c>
      <c r="I5231">
        <f>_xlfn.XLOOKUP(A5231,'[1]Tissue Data'!$A:$A,'[1]Tissue Data'!L:L)</f>
        <v>5</v>
      </c>
      <c r="J5231">
        <f>_xlfn.XLOOKUP(A5231,'[1]Tissue Data'!$A:$A,'[1]Tissue Data'!M:M)</f>
        <v>4.68</v>
      </c>
      <c r="K5231" t="s">
        <v>41</v>
      </c>
      <c r="L5231" t="str">
        <f>_xlfn.XLOOKUP(K5231,[2]analyte_order!$B:$B,[2]analyte_order!$C:$C)</f>
        <v>2355-31-9</v>
      </c>
      <c r="M5231">
        <f>_xlfn.XLOOKUP(L5231,[2]analyte_order!$C:$C,[2]analyte_order!$E:$E)</f>
        <v>26</v>
      </c>
      <c r="N5231">
        <v>6.6000000000000003E-2</v>
      </c>
    </row>
    <row r="5232" spans="1:14">
      <c r="A5232" t="s">
        <v>284</v>
      </c>
      <c r="B5232" t="str">
        <f>_xlfn.XLOOKUP(A5232,'[1]Tissue Data'!$A:$A,'[1]Tissue Data'!$C:$C)</f>
        <v>Spill</v>
      </c>
      <c r="C5232" s="2">
        <f>_xlfn.XLOOKUP(A5232,'[1]Tissue Data'!$A:$A,'[1]Tissue Data'!$D:$D)</f>
        <v>44393</v>
      </c>
      <c r="D5232" s="2" t="str">
        <f>_xlfn.XLOOKUP(A5232,'[1]Tissue Data'!$A:$A,'[1]Tissue Data'!$F:$F)</f>
        <v>Pumpkinseed</v>
      </c>
      <c r="E5232" t="str">
        <f>_xlfn.XLOOKUP(A5232,'[1]Tissue Data'!$A:$A,'[1]Tissue Data'!$H:$H)</f>
        <v>Lepomis</v>
      </c>
      <c r="F5232" t="str">
        <f>_xlfn.XLOOKUP(A5232,'[1]Tissue Data'!$A:$A,'[1]Tissue Data'!$I:$I)</f>
        <v>gibbosus</v>
      </c>
      <c r="G5232" t="str">
        <f>_xlfn.XLOOKUP(A5232,'[1]Tissue Data'!$A:$A,'[1]Tissue Data'!J:J)</f>
        <v>U</v>
      </c>
      <c r="H5232" t="str">
        <f>_xlfn.XLOOKUP(A5232,'[1]Tissue Data'!$A:$A,'[1]Tissue Data'!K:K)</f>
        <v>Whole Body</v>
      </c>
      <c r="I5232">
        <f>_xlfn.XLOOKUP(A5232,'[1]Tissue Data'!$A:$A,'[1]Tissue Data'!L:L)</f>
        <v>5</v>
      </c>
      <c r="J5232">
        <f>_xlfn.XLOOKUP(A5232,'[1]Tissue Data'!$A:$A,'[1]Tissue Data'!M:M)</f>
        <v>4.68</v>
      </c>
      <c r="K5232" t="s">
        <v>42</v>
      </c>
      <c r="L5232" t="str">
        <f>_xlfn.XLOOKUP(K5232,[2]analyte_order!$B:$B,[2]analyte_order!$C:$C)</f>
        <v>2991-50-6</v>
      </c>
      <c r="M5232">
        <f>_xlfn.XLOOKUP(L5232,[2]analyte_order!$C:$C,[2]analyte_order!$E:$E)</f>
        <v>27</v>
      </c>
      <c r="N5232">
        <v>5.7000000000000002E-2</v>
      </c>
    </row>
    <row r="5233" spans="1:14">
      <c r="A5233" t="s">
        <v>284</v>
      </c>
      <c r="B5233" t="str">
        <f>_xlfn.XLOOKUP(A5233,'[1]Tissue Data'!$A:$A,'[1]Tissue Data'!$C:$C)</f>
        <v>Spill</v>
      </c>
      <c r="C5233" s="2">
        <f>_xlfn.XLOOKUP(A5233,'[1]Tissue Data'!$A:$A,'[1]Tissue Data'!$D:$D)</f>
        <v>44393</v>
      </c>
      <c r="D5233" s="2" t="str">
        <f>_xlfn.XLOOKUP(A5233,'[1]Tissue Data'!$A:$A,'[1]Tissue Data'!$F:$F)</f>
        <v>Pumpkinseed</v>
      </c>
      <c r="E5233" t="str">
        <f>_xlfn.XLOOKUP(A5233,'[1]Tissue Data'!$A:$A,'[1]Tissue Data'!$H:$H)</f>
        <v>Lepomis</v>
      </c>
      <c r="F5233" t="str">
        <f>_xlfn.XLOOKUP(A5233,'[1]Tissue Data'!$A:$A,'[1]Tissue Data'!$I:$I)</f>
        <v>gibbosus</v>
      </c>
      <c r="G5233" t="str">
        <f>_xlfn.XLOOKUP(A5233,'[1]Tissue Data'!$A:$A,'[1]Tissue Data'!J:J)</f>
        <v>U</v>
      </c>
      <c r="H5233" t="str">
        <f>_xlfn.XLOOKUP(A5233,'[1]Tissue Data'!$A:$A,'[1]Tissue Data'!K:K)</f>
        <v>Whole Body</v>
      </c>
      <c r="I5233">
        <f>_xlfn.XLOOKUP(A5233,'[1]Tissue Data'!$A:$A,'[1]Tissue Data'!L:L)</f>
        <v>5</v>
      </c>
      <c r="J5233">
        <f>_xlfn.XLOOKUP(A5233,'[1]Tissue Data'!$A:$A,'[1]Tissue Data'!M:M)</f>
        <v>4.68</v>
      </c>
      <c r="K5233" t="s">
        <v>43</v>
      </c>
      <c r="L5233" t="str">
        <f>_xlfn.XLOOKUP(K5233,[2]analyte_order!$B:$B,[2]analyte_order!$C:$C)</f>
        <v>757124-72-4</v>
      </c>
      <c r="M5233">
        <f>_xlfn.XLOOKUP(L5233,[2]analyte_order!$C:$C,[2]analyte_order!$E:$E)</f>
        <v>22</v>
      </c>
      <c r="N5233">
        <v>6.5500000000000003E-2</v>
      </c>
    </row>
    <row r="5234" spans="1:14">
      <c r="A5234" t="s">
        <v>284</v>
      </c>
      <c r="B5234" t="str">
        <f>_xlfn.XLOOKUP(A5234,'[1]Tissue Data'!$A:$A,'[1]Tissue Data'!$C:$C)</f>
        <v>Spill</v>
      </c>
      <c r="C5234" s="2">
        <f>_xlfn.XLOOKUP(A5234,'[1]Tissue Data'!$A:$A,'[1]Tissue Data'!$D:$D)</f>
        <v>44393</v>
      </c>
      <c r="D5234" s="2" t="str">
        <f>_xlfn.XLOOKUP(A5234,'[1]Tissue Data'!$A:$A,'[1]Tissue Data'!$F:$F)</f>
        <v>Pumpkinseed</v>
      </c>
      <c r="E5234" t="str">
        <f>_xlfn.XLOOKUP(A5234,'[1]Tissue Data'!$A:$A,'[1]Tissue Data'!$H:$H)</f>
        <v>Lepomis</v>
      </c>
      <c r="F5234" t="str">
        <f>_xlfn.XLOOKUP(A5234,'[1]Tissue Data'!$A:$A,'[1]Tissue Data'!$I:$I)</f>
        <v>gibbosus</v>
      </c>
      <c r="G5234" t="str">
        <f>_xlfn.XLOOKUP(A5234,'[1]Tissue Data'!$A:$A,'[1]Tissue Data'!J:J)</f>
        <v>U</v>
      </c>
      <c r="H5234" t="str">
        <f>_xlfn.XLOOKUP(A5234,'[1]Tissue Data'!$A:$A,'[1]Tissue Data'!K:K)</f>
        <v>Whole Body</v>
      </c>
      <c r="I5234">
        <f>_xlfn.XLOOKUP(A5234,'[1]Tissue Data'!$A:$A,'[1]Tissue Data'!L:L)</f>
        <v>5</v>
      </c>
      <c r="J5234">
        <f>_xlfn.XLOOKUP(A5234,'[1]Tissue Data'!$A:$A,'[1]Tissue Data'!M:M)</f>
        <v>4.68</v>
      </c>
      <c r="K5234" t="s">
        <v>44</v>
      </c>
      <c r="L5234" t="str">
        <f>_xlfn.XLOOKUP(K5234,[2]analyte_order!$B:$B,[2]analyte_order!$C:$C)</f>
        <v>27619-97-2</v>
      </c>
      <c r="M5234">
        <f>_xlfn.XLOOKUP(L5234,[2]analyte_order!$C:$C,[2]analyte_order!$E:$E)</f>
        <v>23</v>
      </c>
      <c r="N5234">
        <v>1.27</v>
      </c>
    </row>
    <row r="5235" spans="1:14">
      <c r="A5235" t="s">
        <v>284</v>
      </c>
      <c r="B5235" t="str">
        <f>_xlfn.XLOOKUP(A5235,'[1]Tissue Data'!$A:$A,'[1]Tissue Data'!$C:$C)</f>
        <v>Spill</v>
      </c>
      <c r="C5235" s="2">
        <f>_xlfn.XLOOKUP(A5235,'[1]Tissue Data'!$A:$A,'[1]Tissue Data'!$D:$D)</f>
        <v>44393</v>
      </c>
      <c r="D5235" s="2" t="str">
        <f>_xlfn.XLOOKUP(A5235,'[1]Tissue Data'!$A:$A,'[1]Tissue Data'!$F:$F)</f>
        <v>Pumpkinseed</v>
      </c>
      <c r="E5235" t="str">
        <f>_xlfn.XLOOKUP(A5235,'[1]Tissue Data'!$A:$A,'[1]Tissue Data'!$H:$H)</f>
        <v>Lepomis</v>
      </c>
      <c r="F5235" t="str">
        <f>_xlfn.XLOOKUP(A5235,'[1]Tissue Data'!$A:$A,'[1]Tissue Data'!$I:$I)</f>
        <v>gibbosus</v>
      </c>
      <c r="G5235" t="str">
        <f>_xlfn.XLOOKUP(A5235,'[1]Tissue Data'!$A:$A,'[1]Tissue Data'!J:J)</f>
        <v>U</v>
      </c>
      <c r="H5235" t="str">
        <f>_xlfn.XLOOKUP(A5235,'[1]Tissue Data'!$A:$A,'[1]Tissue Data'!K:K)</f>
        <v>Whole Body</v>
      </c>
      <c r="I5235">
        <f>_xlfn.XLOOKUP(A5235,'[1]Tissue Data'!$A:$A,'[1]Tissue Data'!L:L)</f>
        <v>5</v>
      </c>
      <c r="J5235">
        <f>_xlfn.XLOOKUP(A5235,'[1]Tissue Data'!$A:$A,'[1]Tissue Data'!M:M)</f>
        <v>4.68</v>
      </c>
      <c r="K5235" t="s">
        <v>45</v>
      </c>
      <c r="L5235" t="str">
        <f>_xlfn.XLOOKUP(K5235,[2]analyte_order!$B:$B,[2]analyte_order!$C:$C)</f>
        <v>39108-34-4</v>
      </c>
      <c r="M5235">
        <f>_xlfn.XLOOKUP(L5235,[2]analyte_order!$C:$C,[2]analyte_order!$E:$E)</f>
        <v>24</v>
      </c>
      <c r="N5235">
        <v>3.82</v>
      </c>
    </row>
    <row r="5236" spans="1:14">
      <c r="A5236" t="s">
        <v>284</v>
      </c>
      <c r="B5236" t="str">
        <f>_xlfn.XLOOKUP(A5236,'[1]Tissue Data'!$A:$A,'[1]Tissue Data'!$C:$C)</f>
        <v>Spill</v>
      </c>
      <c r="C5236" s="2">
        <f>_xlfn.XLOOKUP(A5236,'[1]Tissue Data'!$A:$A,'[1]Tissue Data'!$D:$D)</f>
        <v>44393</v>
      </c>
      <c r="D5236" s="2" t="str">
        <f>_xlfn.XLOOKUP(A5236,'[1]Tissue Data'!$A:$A,'[1]Tissue Data'!$F:$F)</f>
        <v>Pumpkinseed</v>
      </c>
      <c r="E5236" t="str">
        <f>_xlfn.XLOOKUP(A5236,'[1]Tissue Data'!$A:$A,'[1]Tissue Data'!$H:$H)</f>
        <v>Lepomis</v>
      </c>
      <c r="F5236" t="str">
        <f>_xlfn.XLOOKUP(A5236,'[1]Tissue Data'!$A:$A,'[1]Tissue Data'!$I:$I)</f>
        <v>gibbosus</v>
      </c>
      <c r="G5236" t="str">
        <f>_xlfn.XLOOKUP(A5236,'[1]Tissue Data'!$A:$A,'[1]Tissue Data'!J:J)</f>
        <v>U</v>
      </c>
      <c r="H5236" t="str">
        <f>_xlfn.XLOOKUP(A5236,'[1]Tissue Data'!$A:$A,'[1]Tissue Data'!K:K)</f>
        <v>Whole Body</v>
      </c>
      <c r="I5236">
        <f>_xlfn.XLOOKUP(A5236,'[1]Tissue Data'!$A:$A,'[1]Tissue Data'!L:L)</f>
        <v>5</v>
      </c>
      <c r="J5236">
        <f>_xlfn.XLOOKUP(A5236,'[1]Tissue Data'!$A:$A,'[1]Tissue Data'!M:M)</f>
        <v>4.68</v>
      </c>
      <c r="K5236" t="s">
        <v>46</v>
      </c>
      <c r="L5236" t="str">
        <f>_xlfn.XLOOKUP(K5236,[2]analyte_order!$B:$B,[2]analyte_order!$C:$C)</f>
        <v>120226-60-0</v>
      </c>
      <c r="M5236">
        <f>_xlfn.XLOOKUP(L5236,[2]analyte_order!$C:$C,[2]analyte_order!$E:$E)</f>
        <v>25</v>
      </c>
      <c r="N5236">
        <v>0.52500000000000002</v>
      </c>
    </row>
    <row r="5237" spans="1:14">
      <c r="A5237" t="s">
        <v>284</v>
      </c>
      <c r="B5237" t="str">
        <f>_xlfn.XLOOKUP(A5237,'[1]Tissue Data'!$A:$A,'[1]Tissue Data'!$C:$C)</f>
        <v>Spill</v>
      </c>
      <c r="C5237" s="2">
        <f>_xlfn.XLOOKUP(A5237,'[1]Tissue Data'!$A:$A,'[1]Tissue Data'!$D:$D)</f>
        <v>44393</v>
      </c>
      <c r="D5237" s="2" t="str">
        <f>_xlfn.XLOOKUP(A5237,'[1]Tissue Data'!$A:$A,'[1]Tissue Data'!$F:$F)</f>
        <v>Pumpkinseed</v>
      </c>
      <c r="E5237" t="str">
        <f>_xlfn.XLOOKUP(A5237,'[1]Tissue Data'!$A:$A,'[1]Tissue Data'!$H:$H)</f>
        <v>Lepomis</v>
      </c>
      <c r="F5237" t="str">
        <f>_xlfn.XLOOKUP(A5237,'[1]Tissue Data'!$A:$A,'[1]Tissue Data'!$I:$I)</f>
        <v>gibbosus</v>
      </c>
      <c r="G5237" t="str">
        <f>_xlfn.XLOOKUP(A5237,'[1]Tissue Data'!$A:$A,'[1]Tissue Data'!J:J)</f>
        <v>U</v>
      </c>
      <c r="H5237" t="str">
        <f>_xlfn.XLOOKUP(A5237,'[1]Tissue Data'!$A:$A,'[1]Tissue Data'!K:K)</f>
        <v>Whole Body</v>
      </c>
      <c r="I5237">
        <f>_xlfn.XLOOKUP(A5237,'[1]Tissue Data'!$A:$A,'[1]Tissue Data'!L:L)</f>
        <v>5</v>
      </c>
      <c r="J5237">
        <f>_xlfn.XLOOKUP(A5237,'[1]Tissue Data'!$A:$A,'[1]Tissue Data'!M:M)</f>
        <v>4.68</v>
      </c>
      <c r="K5237" t="s">
        <v>47</v>
      </c>
      <c r="L5237" t="str">
        <f>_xlfn.XLOOKUP(K5237,[2]analyte_order!$B:$B,[2]analyte_order!$C:$C)</f>
        <v>356-02-5</v>
      </c>
      <c r="M5237">
        <f>_xlfn.XLOOKUP(L5237,[2]analyte_order!$C:$C,[2]analyte_order!$E:$E)</f>
        <v>38</v>
      </c>
      <c r="N5237">
        <v>7.5999999999999998E-2</v>
      </c>
    </row>
    <row r="5238" spans="1:14">
      <c r="A5238" t="s">
        <v>284</v>
      </c>
      <c r="B5238" t="str">
        <f>_xlfn.XLOOKUP(A5238,'[1]Tissue Data'!$A:$A,'[1]Tissue Data'!$C:$C)</f>
        <v>Spill</v>
      </c>
      <c r="C5238" s="2">
        <f>_xlfn.XLOOKUP(A5238,'[1]Tissue Data'!$A:$A,'[1]Tissue Data'!$D:$D)</f>
        <v>44393</v>
      </c>
      <c r="D5238" s="2" t="str">
        <f>_xlfn.XLOOKUP(A5238,'[1]Tissue Data'!$A:$A,'[1]Tissue Data'!$F:$F)</f>
        <v>Pumpkinseed</v>
      </c>
      <c r="E5238" t="str">
        <f>_xlfn.XLOOKUP(A5238,'[1]Tissue Data'!$A:$A,'[1]Tissue Data'!$H:$H)</f>
        <v>Lepomis</v>
      </c>
      <c r="F5238" t="str">
        <f>_xlfn.XLOOKUP(A5238,'[1]Tissue Data'!$A:$A,'[1]Tissue Data'!$I:$I)</f>
        <v>gibbosus</v>
      </c>
      <c r="G5238" t="str">
        <f>_xlfn.XLOOKUP(A5238,'[1]Tissue Data'!$A:$A,'[1]Tissue Data'!J:J)</f>
        <v>U</v>
      </c>
      <c r="H5238" t="str">
        <f>_xlfn.XLOOKUP(A5238,'[1]Tissue Data'!$A:$A,'[1]Tissue Data'!K:K)</f>
        <v>Whole Body</v>
      </c>
      <c r="I5238">
        <f>_xlfn.XLOOKUP(A5238,'[1]Tissue Data'!$A:$A,'[1]Tissue Data'!L:L)</f>
        <v>5</v>
      </c>
      <c r="J5238">
        <f>_xlfn.XLOOKUP(A5238,'[1]Tissue Data'!$A:$A,'[1]Tissue Data'!M:M)</f>
        <v>4.68</v>
      </c>
      <c r="K5238" t="s">
        <v>48</v>
      </c>
      <c r="L5238" t="str">
        <f>_xlfn.XLOOKUP(K5238,[2]analyte_order!$B:$B,[2]analyte_order!$C:$C)</f>
        <v>914637-49-3</v>
      </c>
      <c r="M5238">
        <f>_xlfn.XLOOKUP(L5238,[2]analyte_order!$C:$C,[2]analyte_order!$E:$E)</f>
        <v>39</v>
      </c>
      <c r="N5238">
        <v>0.82499999999999996</v>
      </c>
    </row>
    <row r="5239" spans="1:14">
      <c r="A5239" t="s">
        <v>284</v>
      </c>
      <c r="B5239" t="str">
        <f>_xlfn.XLOOKUP(A5239,'[1]Tissue Data'!$A:$A,'[1]Tissue Data'!$C:$C)</f>
        <v>Spill</v>
      </c>
      <c r="C5239" s="2">
        <f>_xlfn.XLOOKUP(A5239,'[1]Tissue Data'!$A:$A,'[1]Tissue Data'!$D:$D)</f>
        <v>44393</v>
      </c>
      <c r="D5239" s="2" t="str">
        <f>_xlfn.XLOOKUP(A5239,'[1]Tissue Data'!$A:$A,'[1]Tissue Data'!$F:$F)</f>
        <v>Pumpkinseed</v>
      </c>
      <c r="E5239" t="str">
        <f>_xlfn.XLOOKUP(A5239,'[1]Tissue Data'!$A:$A,'[1]Tissue Data'!$H:$H)</f>
        <v>Lepomis</v>
      </c>
      <c r="F5239" t="str">
        <f>_xlfn.XLOOKUP(A5239,'[1]Tissue Data'!$A:$A,'[1]Tissue Data'!$I:$I)</f>
        <v>gibbosus</v>
      </c>
      <c r="G5239" t="str">
        <f>_xlfn.XLOOKUP(A5239,'[1]Tissue Data'!$A:$A,'[1]Tissue Data'!J:J)</f>
        <v>U</v>
      </c>
      <c r="H5239" t="str">
        <f>_xlfn.XLOOKUP(A5239,'[1]Tissue Data'!$A:$A,'[1]Tissue Data'!K:K)</f>
        <v>Whole Body</v>
      </c>
      <c r="I5239">
        <f>_xlfn.XLOOKUP(A5239,'[1]Tissue Data'!$A:$A,'[1]Tissue Data'!L:L)</f>
        <v>5</v>
      </c>
      <c r="J5239">
        <f>_xlfn.XLOOKUP(A5239,'[1]Tissue Data'!$A:$A,'[1]Tissue Data'!M:M)</f>
        <v>4.68</v>
      </c>
      <c r="K5239" t="s">
        <v>49</v>
      </c>
      <c r="L5239" t="str">
        <f>_xlfn.XLOOKUP(K5239,[2]analyte_order!$B:$B,[2]analyte_order!$C:$C)</f>
        <v>812-70-4</v>
      </c>
      <c r="M5239">
        <f>_xlfn.XLOOKUP(L5239,[2]analyte_order!$C:$C,[2]analyte_order!$E:$E)</f>
        <v>40</v>
      </c>
      <c r="N5239">
        <v>6.5500000000000003E-2</v>
      </c>
    </row>
    <row r="5240" spans="1:14">
      <c r="A5240" t="s">
        <v>284</v>
      </c>
      <c r="B5240" t="str">
        <f>_xlfn.XLOOKUP(A5240,'[1]Tissue Data'!$A:$A,'[1]Tissue Data'!$C:$C)</f>
        <v>Spill</v>
      </c>
      <c r="C5240" s="2">
        <f>_xlfn.XLOOKUP(A5240,'[1]Tissue Data'!$A:$A,'[1]Tissue Data'!$D:$D)</f>
        <v>44393</v>
      </c>
      <c r="D5240" s="2" t="str">
        <f>_xlfn.XLOOKUP(A5240,'[1]Tissue Data'!$A:$A,'[1]Tissue Data'!$F:$F)</f>
        <v>Pumpkinseed</v>
      </c>
      <c r="E5240" t="str">
        <f>_xlfn.XLOOKUP(A5240,'[1]Tissue Data'!$A:$A,'[1]Tissue Data'!$H:$H)</f>
        <v>Lepomis</v>
      </c>
      <c r="F5240" t="str">
        <f>_xlfn.XLOOKUP(A5240,'[1]Tissue Data'!$A:$A,'[1]Tissue Data'!$I:$I)</f>
        <v>gibbosus</v>
      </c>
      <c r="G5240" t="str">
        <f>_xlfn.XLOOKUP(A5240,'[1]Tissue Data'!$A:$A,'[1]Tissue Data'!J:J)</f>
        <v>U</v>
      </c>
      <c r="H5240" t="str">
        <f>_xlfn.XLOOKUP(A5240,'[1]Tissue Data'!$A:$A,'[1]Tissue Data'!K:K)</f>
        <v>Whole Body</v>
      </c>
      <c r="I5240">
        <f>_xlfn.XLOOKUP(A5240,'[1]Tissue Data'!$A:$A,'[1]Tissue Data'!L:L)</f>
        <v>5</v>
      </c>
      <c r="J5240">
        <f>_xlfn.XLOOKUP(A5240,'[1]Tissue Data'!$A:$A,'[1]Tissue Data'!M:M)</f>
        <v>4.68</v>
      </c>
      <c r="K5240" t="s">
        <v>50</v>
      </c>
      <c r="L5240" t="str">
        <f>_xlfn.XLOOKUP(K5240,[2]analyte_order!$B:$B,[2]analyte_order!$C:$C)</f>
        <v>53826-12-3</v>
      </c>
      <c r="M5240">
        <f>_xlfn.XLOOKUP(L5240,[2]analyte_order!$C:$C,[2]analyte_order!$E:$E)</f>
        <v>41</v>
      </c>
      <c r="N5240">
        <v>6.5500000000000003E-2</v>
      </c>
    </row>
    <row r="5241" spans="1:14">
      <c r="A5241" t="s">
        <v>284</v>
      </c>
      <c r="B5241" t="str">
        <f>_xlfn.XLOOKUP(A5241,'[1]Tissue Data'!$A:$A,'[1]Tissue Data'!$C:$C)</f>
        <v>Spill</v>
      </c>
      <c r="C5241" s="2">
        <f>_xlfn.XLOOKUP(A5241,'[1]Tissue Data'!$A:$A,'[1]Tissue Data'!$D:$D)</f>
        <v>44393</v>
      </c>
      <c r="D5241" s="2" t="str">
        <f>_xlfn.XLOOKUP(A5241,'[1]Tissue Data'!$A:$A,'[1]Tissue Data'!$F:$F)</f>
        <v>Pumpkinseed</v>
      </c>
      <c r="E5241" t="str">
        <f>_xlfn.XLOOKUP(A5241,'[1]Tissue Data'!$A:$A,'[1]Tissue Data'!$H:$H)</f>
        <v>Lepomis</v>
      </c>
      <c r="F5241" t="str">
        <f>_xlfn.XLOOKUP(A5241,'[1]Tissue Data'!$A:$A,'[1]Tissue Data'!$I:$I)</f>
        <v>gibbosus</v>
      </c>
      <c r="G5241" t="str">
        <f>_xlfn.XLOOKUP(A5241,'[1]Tissue Data'!$A:$A,'[1]Tissue Data'!J:J)</f>
        <v>U</v>
      </c>
      <c r="H5241" t="str">
        <f>_xlfn.XLOOKUP(A5241,'[1]Tissue Data'!$A:$A,'[1]Tissue Data'!K:K)</f>
        <v>Whole Body</v>
      </c>
      <c r="I5241">
        <f>_xlfn.XLOOKUP(A5241,'[1]Tissue Data'!$A:$A,'[1]Tissue Data'!L:L)</f>
        <v>5</v>
      </c>
      <c r="J5241">
        <f>_xlfn.XLOOKUP(A5241,'[1]Tissue Data'!$A:$A,'[1]Tissue Data'!M:M)</f>
        <v>4.68</v>
      </c>
      <c r="K5241" t="s">
        <v>51</v>
      </c>
      <c r="L5241" t="str">
        <f>_xlfn.XLOOKUP(K5241,[2]analyte_order!$B:$B,[2]analyte_order!$C:$C)</f>
        <v>27854-31-5</v>
      </c>
      <c r="M5241">
        <f>_xlfn.XLOOKUP(L5241,[2]analyte_order!$C:$C,[2]analyte_order!$E:$E)</f>
        <v>42</v>
      </c>
      <c r="N5241">
        <v>6.5500000000000003E-2</v>
      </c>
    </row>
    <row r="5242" spans="1:14">
      <c r="A5242" t="s">
        <v>284</v>
      </c>
      <c r="B5242" t="str">
        <f>_xlfn.XLOOKUP(A5242,'[1]Tissue Data'!$A:$A,'[1]Tissue Data'!$C:$C)</f>
        <v>Spill</v>
      </c>
      <c r="C5242" s="2">
        <f>_xlfn.XLOOKUP(A5242,'[1]Tissue Data'!$A:$A,'[1]Tissue Data'!$D:$D)</f>
        <v>44393</v>
      </c>
      <c r="D5242" s="2" t="str">
        <f>_xlfn.XLOOKUP(A5242,'[1]Tissue Data'!$A:$A,'[1]Tissue Data'!$F:$F)</f>
        <v>Pumpkinseed</v>
      </c>
      <c r="E5242" t="str">
        <f>_xlfn.XLOOKUP(A5242,'[1]Tissue Data'!$A:$A,'[1]Tissue Data'!$H:$H)</f>
        <v>Lepomis</v>
      </c>
      <c r="F5242" t="str">
        <f>_xlfn.XLOOKUP(A5242,'[1]Tissue Data'!$A:$A,'[1]Tissue Data'!$I:$I)</f>
        <v>gibbosus</v>
      </c>
      <c r="G5242" t="str">
        <f>_xlfn.XLOOKUP(A5242,'[1]Tissue Data'!$A:$A,'[1]Tissue Data'!J:J)</f>
        <v>U</v>
      </c>
      <c r="H5242" t="str">
        <f>_xlfn.XLOOKUP(A5242,'[1]Tissue Data'!$A:$A,'[1]Tissue Data'!K:K)</f>
        <v>Whole Body</v>
      </c>
      <c r="I5242">
        <f>_xlfn.XLOOKUP(A5242,'[1]Tissue Data'!$A:$A,'[1]Tissue Data'!L:L)</f>
        <v>5</v>
      </c>
      <c r="J5242">
        <f>_xlfn.XLOOKUP(A5242,'[1]Tissue Data'!$A:$A,'[1]Tissue Data'!M:M)</f>
        <v>4.68</v>
      </c>
      <c r="K5242" t="s">
        <v>52</v>
      </c>
      <c r="L5242" t="str">
        <f>_xlfn.XLOOKUP(K5242,[2]analyte_order!$B:$B,[2]analyte_order!$C:$C)</f>
        <v>53826-13-4</v>
      </c>
      <c r="M5242">
        <f>_xlfn.XLOOKUP(L5242,[2]analyte_order!$C:$C,[2]analyte_order!$E:$E)</f>
        <v>43</v>
      </c>
      <c r="N5242">
        <v>9.8000000000000004E-2</v>
      </c>
    </row>
    <row r="5243" spans="1:14">
      <c r="A5243" t="s">
        <v>284</v>
      </c>
      <c r="B5243" t="str">
        <f>_xlfn.XLOOKUP(A5243,'[1]Tissue Data'!$A:$A,'[1]Tissue Data'!$C:$C)</f>
        <v>Spill</v>
      </c>
      <c r="C5243" s="2">
        <f>_xlfn.XLOOKUP(A5243,'[1]Tissue Data'!$A:$A,'[1]Tissue Data'!$D:$D)</f>
        <v>44393</v>
      </c>
      <c r="D5243" s="2" t="str">
        <f>_xlfn.XLOOKUP(A5243,'[1]Tissue Data'!$A:$A,'[1]Tissue Data'!$F:$F)</f>
        <v>Pumpkinseed</v>
      </c>
      <c r="E5243" t="str">
        <f>_xlfn.XLOOKUP(A5243,'[1]Tissue Data'!$A:$A,'[1]Tissue Data'!$H:$H)</f>
        <v>Lepomis</v>
      </c>
      <c r="F5243" t="str">
        <f>_xlfn.XLOOKUP(A5243,'[1]Tissue Data'!$A:$A,'[1]Tissue Data'!$I:$I)</f>
        <v>gibbosus</v>
      </c>
      <c r="G5243" t="str">
        <f>_xlfn.XLOOKUP(A5243,'[1]Tissue Data'!$A:$A,'[1]Tissue Data'!J:J)</f>
        <v>U</v>
      </c>
      <c r="H5243" t="str">
        <f>_xlfn.XLOOKUP(A5243,'[1]Tissue Data'!$A:$A,'[1]Tissue Data'!K:K)</f>
        <v>Whole Body</v>
      </c>
      <c r="I5243">
        <f>_xlfn.XLOOKUP(A5243,'[1]Tissue Data'!$A:$A,'[1]Tissue Data'!L:L)</f>
        <v>5</v>
      </c>
      <c r="J5243">
        <f>_xlfn.XLOOKUP(A5243,'[1]Tissue Data'!$A:$A,'[1]Tissue Data'!M:M)</f>
        <v>4.68</v>
      </c>
      <c r="K5243" t="s">
        <v>53</v>
      </c>
      <c r="L5243" t="str">
        <f>_xlfn.XLOOKUP(K5243,[2]analyte_order!$B:$B,[2]analyte_order!$C:$C)</f>
        <v>161094-75-3</v>
      </c>
      <c r="M5243">
        <f>_xlfn.XLOOKUP(L5243,[2]analyte_order!$C:$C,[2]analyte_order!$E:$E)</f>
        <v>44</v>
      </c>
      <c r="N5243">
        <v>5.1499999999999997E-2</v>
      </c>
    </row>
    <row r="5244" spans="1:14">
      <c r="A5244" t="s">
        <v>284</v>
      </c>
      <c r="B5244" t="str">
        <f>_xlfn.XLOOKUP(A5244,'[1]Tissue Data'!$A:$A,'[1]Tissue Data'!$C:$C)</f>
        <v>Spill</v>
      </c>
      <c r="C5244" s="2">
        <f>_xlfn.XLOOKUP(A5244,'[1]Tissue Data'!$A:$A,'[1]Tissue Data'!$D:$D)</f>
        <v>44393</v>
      </c>
      <c r="D5244" s="2" t="str">
        <f>_xlfn.XLOOKUP(A5244,'[1]Tissue Data'!$A:$A,'[1]Tissue Data'!$F:$F)</f>
        <v>Pumpkinseed</v>
      </c>
      <c r="E5244" t="str">
        <f>_xlfn.XLOOKUP(A5244,'[1]Tissue Data'!$A:$A,'[1]Tissue Data'!$H:$H)</f>
        <v>Lepomis</v>
      </c>
      <c r="F5244" t="str">
        <f>_xlfn.XLOOKUP(A5244,'[1]Tissue Data'!$A:$A,'[1]Tissue Data'!$I:$I)</f>
        <v>gibbosus</v>
      </c>
      <c r="G5244" t="str">
        <f>_xlfn.XLOOKUP(A5244,'[1]Tissue Data'!$A:$A,'[1]Tissue Data'!J:J)</f>
        <v>U</v>
      </c>
      <c r="H5244" t="str">
        <f>_xlfn.XLOOKUP(A5244,'[1]Tissue Data'!$A:$A,'[1]Tissue Data'!K:K)</f>
        <v>Whole Body</v>
      </c>
      <c r="I5244">
        <f>_xlfn.XLOOKUP(A5244,'[1]Tissue Data'!$A:$A,'[1]Tissue Data'!L:L)</f>
        <v>5</v>
      </c>
      <c r="J5244">
        <f>_xlfn.XLOOKUP(A5244,'[1]Tissue Data'!$A:$A,'[1]Tissue Data'!M:M)</f>
        <v>4.68</v>
      </c>
      <c r="K5244" t="s">
        <v>54</v>
      </c>
      <c r="L5244" t="str">
        <f>_xlfn.XLOOKUP(K5244,[2]analyte_order!$B:$B,[2]analyte_order!$C:$C)</f>
        <v>70887-84-2</v>
      </c>
      <c r="M5244">
        <f>_xlfn.XLOOKUP(L5244,[2]analyte_order!$C:$C,[2]analyte_order!$E:$E)</f>
        <v>45</v>
      </c>
      <c r="N5244">
        <v>3.9699999999999999E-2</v>
      </c>
    </row>
    <row r="5245" spans="1:14">
      <c r="A5245" t="s">
        <v>284</v>
      </c>
      <c r="B5245" t="str">
        <f>_xlfn.XLOOKUP(A5245,'[1]Tissue Data'!$A:$A,'[1]Tissue Data'!$C:$C)</f>
        <v>Spill</v>
      </c>
      <c r="C5245" s="2">
        <f>_xlfn.XLOOKUP(A5245,'[1]Tissue Data'!$A:$A,'[1]Tissue Data'!$D:$D)</f>
        <v>44393</v>
      </c>
      <c r="D5245" s="2" t="str">
        <f>_xlfn.XLOOKUP(A5245,'[1]Tissue Data'!$A:$A,'[1]Tissue Data'!$F:$F)</f>
        <v>Pumpkinseed</v>
      </c>
      <c r="E5245" t="str">
        <f>_xlfn.XLOOKUP(A5245,'[1]Tissue Data'!$A:$A,'[1]Tissue Data'!$H:$H)</f>
        <v>Lepomis</v>
      </c>
      <c r="F5245" t="str">
        <f>_xlfn.XLOOKUP(A5245,'[1]Tissue Data'!$A:$A,'[1]Tissue Data'!$I:$I)</f>
        <v>gibbosus</v>
      </c>
      <c r="G5245" t="str">
        <f>_xlfn.XLOOKUP(A5245,'[1]Tissue Data'!$A:$A,'[1]Tissue Data'!J:J)</f>
        <v>U</v>
      </c>
      <c r="H5245" t="str">
        <f>_xlfn.XLOOKUP(A5245,'[1]Tissue Data'!$A:$A,'[1]Tissue Data'!K:K)</f>
        <v>Whole Body</v>
      </c>
      <c r="I5245">
        <f>_xlfn.XLOOKUP(A5245,'[1]Tissue Data'!$A:$A,'[1]Tissue Data'!L:L)</f>
        <v>5</v>
      </c>
      <c r="J5245">
        <f>_xlfn.XLOOKUP(A5245,'[1]Tissue Data'!$A:$A,'[1]Tissue Data'!M:M)</f>
        <v>4.68</v>
      </c>
      <c r="K5245" t="s">
        <v>55</v>
      </c>
      <c r="L5245" t="str">
        <f>_xlfn.XLOOKUP(K5245,[2]analyte_order!$B:$B,[2]analyte_order!$C:$C)</f>
        <v>919005-14-4</v>
      </c>
      <c r="M5245">
        <f>_xlfn.XLOOKUP(L5245,[2]analyte_order!$C:$C,[2]analyte_order!$E:$E)</f>
        <v>35</v>
      </c>
      <c r="N5245">
        <v>5.8000000000000003E-2</v>
      </c>
    </row>
    <row r="5246" spans="1:14">
      <c r="A5246" t="s">
        <v>284</v>
      </c>
      <c r="B5246" t="str">
        <f>_xlfn.XLOOKUP(A5246,'[1]Tissue Data'!$A:$A,'[1]Tissue Data'!$C:$C)</f>
        <v>Spill</v>
      </c>
      <c r="C5246" s="2">
        <f>_xlfn.XLOOKUP(A5246,'[1]Tissue Data'!$A:$A,'[1]Tissue Data'!$D:$D)</f>
        <v>44393</v>
      </c>
      <c r="D5246" s="2" t="str">
        <f>_xlfn.XLOOKUP(A5246,'[1]Tissue Data'!$A:$A,'[1]Tissue Data'!$F:$F)</f>
        <v>Pumpkinseed</v>
      </c>
      <c r="E5246" t="str">
        <f>_xlfn.XLOOKUP(A5246,'[1]Tissue Data'!$A:$A,'[1]Tissue Data'!$H:$H)</f>
        <v>Lepomis</v>
      </c>
      <c r="F5246" t="str">
        <f>_xlfn.XLOOKUP(A5246,'[1]Tissue Data'!$A:$A,'[1]Tissue Data'!$I:$I)</f>
        <v>gibbosus</v>
      </c>
      <c r="G5246" t="str">
        <f>_xlfn.XLOOKUP(A5246,'[1]Tissue Data'!$A:$A,'[1]Tissue Data'!J:J)</f>
        <v>U</v>
      </c>
      <c r="H5246" t="str">
        <f>_xlfn.XLOOKUP(A5246,'[1]Tissue Data'!$A:$A,'[1]Tissue Data'!K:K)</f>
        <v>Whole Body</v>
      </c>
      <c r="I5246">
        <f>_xlfn.XLOOKUP(A5246,'[1]Tissue Data'!$A:$A,'[1]Tissue Data'!L:L)</f>
        <v>5</v>
      </c>
      <c r="J5246">
        <f>_xlfn.XLOOKUP(A5246,'[1]Tissue Data'!$A:$A,'[1]Tissue Data'!M:M)</f>
        <v>4.68</v>
      </c>
      <c r="K5246" t="s">
        <v>56</v>
      </c>
      <c r="L5246" t="str">
        <f>_xlfn.XLOOKUP(K5246,[2]analyte_order!$B:$B,[2]analyte_order!$C:$C)</f>
        <v>756426-58-1</v>
      </c>
      <c r="M5246">
        <f>_xlfn.XLOOKUP(L5246,[2]analyte_order!$C:$C,[2]analyte_order!$E:$E)</f>
        <v>36</v>
      </c>
      <c r="N5246">
        <v>6.5500000000000003E-2</v>
      </c>
    </row>
    <row r="5247" spans="1:14">
      <c r="A5247" t="s">
        <v>284</v>
      </c>
      <c r="B5247" t="str">
        <f>_xlfn.XLOOKUP(A5247,'[1]Tissue Data'!$A:$A,'[1]Tissue Data'!$C:$C)</f>
        <v>Spill</v>
      </c>
      <c r="C5247" s="2">
        <f>_xlfn.XLOOKUP(A5247,'[1]Tissue Data'!$A:$A,'[1]Tissue Data'!$D:$D)</f>
        <v>44393</v>
      </c>
      <c r="D5247" s="2" t="str">
        <f>_xlfn.XLOOKUP(A5247,'[1]Tissue Data'!$A:$A,'[1]Tissue Data'!$F:$F)</f>
        <v>Pumpkinseed</v>
      </c>
      <c r="E5247" t="str">
        <f>_xlfn.XLOOKUP(A5247,'[1]Tissue Data'!$A:$A,'[1]Tissue Data'!$H:$H)</f>
        <v>Lepomis</v>
      </c>
      <c r="F5247" t="str">
        <f>_xlfn.XLOOKUP(A5247,'[1]Tissue Data'!$A:$A,'[1]Tissue Data'!$I:$I)</f>
        <v>gibbosus</v>
      </c>
      <c r="G5247" t="str">
        <f>_xlfn.XLOOKUP(A5247,'[1]Tissue Data'!$A:$A,'[1]Tissue Data'!J:J)</f>
        <v>U</v>
      </c>
      <c r="H5247" t="str">
        <f>_xlfn.XLOOKUP(A5247,'[1]Tissue Data'!$A:$A,'[1]Tissue Data'!K:K)</f>
        <v>Whole Body</v>
      </c>
      <c r="I5247">
        <f>_xlfn.XLOOKUP(A5247,'[1]Tissue Data'!$A:$A,'[1]Tissue Data'!L:L)</f>
        <v>5</v>
      </c>
      <c r="J5247">
        <f>_xlfn.XLOOKUP(A5247,'[1]Tissue Data'!$A:$A,'[1]Tissue Data'!M:M)</f>
        <v>4.68</v>
      </c>
      <c r="K5247" t="s">
        <v>57</v>
      </c>
      <c r="L5247" t="str">
        <f>_xlfn.XLOOKUP(K5247,[2]analyte_order!$B:$B,[2]analyte_order!$C:$C)</f>
        <v>763051-92-9</v>
      </c>
      <c r="M5247">
        <f>_xlfn.XLOOKUP(L5247,[2]analyte_order!$C:$C,[2]analyte_order!$E:$E)</f>
        <v>37</v>
      </c>
      <c r="N5247">
        <v>6.5500000000000003E-2</v>
      </c>
    </row>
    <row r="5248" spans="1:14">
      <c r="A5248" t="s">
        <v>284</v>
      </c>
      <c r="B5248" t="str">
        <f>_xlfn.XLOOKUP(A5248,'[1]Tissue Data'!$A:$A,'[1]Tissue Data'!$C:$C)</f>
        <v>Spill</v>
      </c>
      <c r="C5248" s="2">
        <f>_xlfn.XLOOKUP(A5248,'[1]Tissue Data'!$A:$A,'[1]Tissue Data'!$D:$D)</f>
        <v>44393</v>
      </c>
      <c r="D5248" s="2" t="str">
        <f>_xlfn.XLOOKUP(A5248,'[1]Tissue Data'!$A:$A,'[1]Tissue Data'!$F:$F)</f>
        <v>Pumpkinseed</v>
      </c>
      <c r="E5248" t="str">
        <f>_xlfn.XLOOKUP(A5248,'[1]Tissue Data'!$A:$A,'[1]Tissue Data'!$H:$H)</f>
        <v>Lepomis</v>
      </c>
      <c r="F5248" t="str">
        <f>_xlfn.XLOOKUP(A5248,'[1]Tissue Data'!$A:$A,'[1]Tissue Data'!$I:$I)</f>
        <v>gibbosus</v>
      </c>
      <c r="G5248" t="str">
        <f>_xlfn.XLOOKUP(A5248,'[1]Tissue Data'!$A:$A,'[1]Tissue Data'!J:J)</f>
        <v>U</v>
      </c>
      <c r="H5248" t="str">
        <f>_xlfn.XLOOKUP(A5248,'[1]Tissue Data'!$A:$A,'[1]Tissue Data'!K:K)</f>
        <v>Whole Body</v>
      </c>
      <c r="I5248">
        <f>_xlfn.XLOOKUP(A5248,'[1]Tissue Data'!$A:$A,'[1]Tissue Data'!L:L)</f>
        <v>5</v>
      </c>
      <c r="J5248">
        <f>_xlfn.XLOOKUP(A5248,'[1]Tissue Data'!$A:$A,'[1]Tissue Data'!M:M)</f>
        <v>4.68</v>
      </c>
      <c r="K5248" t="s">
        <v>58</v>
      </c>
      <c r="L5248" t="str">
        <f>_xlfn.XLOOKUP(K5248,[2]analyte_order!$B:$B,[2]analyte_order!$C:$C)</f>
        <v>13252-13-6</v>
      </c>
      <c r="M5248">
        <f>_xlfn.XLOOKUP(L5248,[2]analyte_order!$C:$C,[2]analyte_order!$E:$E)</f>
        <v>34</v>
      </c>
      <c r="N5248">
        <v>9.4500000000000001E-2</v>
      </c>
    </row>
    <row r="5249" spans="1:14">
      <c r="A5249" t="s">
        <v>284</v>
      </c>
      <c r="B5249" t="str">
        <f>_xlfn.XLOOKUP(A5249,'[1]Tissue Data'!$A:$A,'[1]Tissue Data'!$C:$C)</f>
        <v>Spill</v>
      </c>
      <c r="C5249" s="2">
        <f>_xlfn.XLOOKUP(A5249,'[1]Tissue Data'!$A:$A,'[1]Tissue Data'!$D:$D)</f>
        <v>44393</v>
      </c>
      <c r="D5249" s="2" t="str">
        <f>_xlfn.XLOOKUP(A5249,'[1]Tissue Data'!$A:$A,'[1]Tissue Data'!$F:$F)</f>
        <v>Pumpkinseed</v>
      </c>
      <c r="E5249" t="str">
        <f>_xlfn.XLOOKUP(A5249,'[1]Tissue Data'!$A:$A,'[1]Tissue Data'!$H:$H)</f>
        <v>Lepomis</v>
      </c>
      <c r="F5249" t="str">
        <f>_xlfn.XLOOKUP(A5249,'[1]Tissue Data'!$A:$A,'[1]Tissue Data'!$I:$I)</f>
        <v>gibbosus</v>
      </c>
      <c r="G5249" t="str">
        <f>_xlfn.XLOOKUP(A5249,'[1]Tissue Data'!$A:$A,'[1]Tissue Data'!J:J)</f>
        <v>U</v>
      </c>
      <c r="H5249" t="str">
        <f>_xlfn.XLOOKUP(A5249,'[1]Tissue Data'!$A:$A,'[1]Tissue Data'!K:K)</f>
        <v>Whole Body</v>
      </c>
      <c r="I5249">
        <f>_xlfn.XLOOKUP(A5249,'[1]Tissue Data'!$A:$A,'[1]Tissue Data'!L:L)</f>
        <v>5</v>
      </c>
      <c r="J5249">
        <f>_xlfn.XLOOKUP(A5249,'[1]Tissue Data'!$A:$A,'[1]Tissue Data'!M:M)</f>
        <v>4.68</v>
      </c>
      <c r="K5249" t="s">
        <v>59</v>
      </c>
      <c r="L5249" t="str">
        <f>_xlfn.XLOOKUP(K5249,[2]analyte_order!$B:$B,[2]analyte_order!$C:$C)</f>
        <v>57677-95-9</v>
      </c>
      <c r="M5249">
        <f>_xlfn.XLOOKUP(L5249,[2]analyte_order!$C:$C,[2]analyte_order!$E:$E)</f>
        <v>46</v>
      </c>
      <c r="N5249">
        <v>7.0000000000000007E-2</v>
      </c>
    </row>
    <row r="5250" spans="1:14">
      <c r="A5250" t="s">
        <v>284</v>
      </c>
      <c r="B5250" t="str">
        <f>_xlfn.XLOOKUP(A5250,'[1]Tissue Data'!$A:$A,'[1]Tissue Data'!$C:$C)</f>
        <v>Spill</v>
      </c>
      <c r="C5250" s="2">
        <f>_xlfn.XLOOKUP(A5250,'[1]Tissue Data'!$A:$A,'[1]Tissue Data'!$D:$D)</f>
        <v>44393</v>
      </c>
      <c r="D5250" s="2" t="str">
        <f>_xlfn.XLOOKUP(A5250,'[1]Tissue Data'!$A:$A,'[1]Tissue Data'!$F:$F)</f>
        <v>Pumpkinseed</v>
      </c>
      <c r="E5250" t="str">
        <f>_xlfn.XLOOKUP(A5250,'[1]Tissue Data'!$A:$A,'[1]Tissue Data'!$H:$H)</f>
        <v>Lepomis</v>
      </c>
      <c r="F5250" t="str">
        <f>_xlfn.XLOOKUP(A5250,'[1]Tissue Data'!$A:$A,'[1]Tissue Data'!$I:$I)</f>
        <v>gibbosus</v>
      </c>
      <c r="G5250" t="str">
        <f>_xlfn.XLOOKUP(A5250,'[1]Tissue Data'!$A:$A,'[1]Tissue Data'!J:J)</f>
        <v>U</v>
      </c>
      <c r="H5250" t="str">
        <f>_xlfn.XLOOKUP(A5250,'[1]Tissue Data'!$A:$A,'[1]Tissue Data'!K:K)</f>
        <v>Whole Body</v>
      </c>
      <c r="I5250">
        <f>_xlfn.XLOOKUP(A5250,'[1]Tissue Data'!$A:$A,'[1]Tissue Data'!L:L)</f>
        <v>5</v>
      </c>
      <c r="J5250">
        <f>_xlfn.XLOOKUP(A5250,'[1]Tissue Data'!$A:$A,'[1]Tissue Data'!M:M)</f>
        <v>4.68</v>
      </c>
      <c r="K5250" t="s">
        <v>60</v>
      </c>
      <c r="L5250" t="str">
        <f>_xlfn.XLOOKUP(K5250,[2]analyte_order!$B:$B,[2]analyte_order!$C:$C)</f>
        <v>678-41-1</v>
      </c>
      <c r="M5250">
        <f>_xlfn.XLOOKUP(L5250,[2]analyte_order!$C:$C,[2]analyte_order!$E:$E)</f>
        <v>56</v>
      </c>
      <c r="N5250">
        <v>8.6999999999999994E-2</v>
      </c>
    </row>
    <row r="5251" spans="1:14">
      <c r="A5251" t="s">
        <v>284</v>
      </c>
      <c r="B5251" t="str">
        <f>_xlfn.XLOOKUP(A5251,'[1]Tissue Data'!$A:$A,'[1]Tissue Data'!$C:$C)</f>
        <v>Spill</v>
      </c>
      <c r="C5251" s="2">
        <f>_xlfn.XLOOKUP(A5251,'[1]Tissue Data'!$A:$A,'[1]Tissue Data'!$D:$D)</f>
        <v>44393</v>
      </c>
      <c r="D5251" s="2" t="str">
        <f>_xlfn.XLOOKUP(A5251,'[1]Tissue Data'!$A:$A,'[1]Tissue Data'!$F:$F)</f>
        <v>Pumpkinseed</v>
      </c>
      <c r="E5251" t="str">
        <f>_xlfn.XLOOKUP(A5251,'[1]Tissue Data'!$A:$A,'[1]Tissue Data'!$H:$H)</f>
        <v>Lepomis</v>
      </c>
      <c r="F5251" t="str">
        <f>_xlfn.XLOOKUP(A5251,'[1]Tissue Data'!$A:$A,'[1]Tissue Data'!$I:$I)</f>
        <v>gibbosus</v>
      </c>
      <c r="G5251" t="str">
        <f>_xlfn.XLOOKUP(A5251,'[1]Tissue Data'!$A:$A,'[1]Tissue Data'!J:J)</f>
        <v>U</v>
      </c>
      <c r="H5251" t="str">
        <f>_xlfn.XLOOKUP(A5251,'[1]Tissue Data'!$A:$A,'[1]Tissue Data'!K:K)</f>
        <v>Whole Body</v>
      </c>
      <c r="I5251">
        <f>_xlfn.XLOOKUP(A5251,'[1]Tissue Data'!$A:$A,'[1]Tissue Data'!L:L)</f>
        <v>5</v>
      </c>
      <c r="J5251">
        <f>_xlfn.XLOOKUP(A5251,'[1]Tissue Data'!$A:$A,'[1]Tissue Data'!M:M)</f>
        <v>4.68</v>
      </c>
      <c r="K5251" t="s">
        <v>61</v>
      </c>
      <c r="L5251" t="str">
        <f>_xlfn.XLOOKUP(K5251,[2]analyte_order!$B:$B,[2]analyte_order!$C:$C)</f>
        <v>2965-52-8</v>
      </c>
      <c r="M5251">
        <f>_xlfn.XLOOKUP(L5251,[2]analyte_order!$C:$C,[2]analyte_order!$E:$E)</f>
        <v>57</v>
      </c>
      <c r="N5251">
        <v>0.11550000000000001</v>
      </c>
    </row>
    <row r="5252" spans="1:14">
      <c r="A5252" t="s">
        <v>285</v>
      </c>
      <c r="B5252" t="str">
        <f>_xlfn.XLOOKUP(A5252,'[1]Tissue Data'!$A:$A,'[1]Tissue Data'!$C:$C)</f>
        <v>Spill</v>
      </c>
      <c r="C5252" s="2">
        <f>_xlfn.XLOOKUP(A5252,'[1]Tissue Data'!$A:$A,'[1]Tissue Data'!$D:$D)</f>
        <v>44393</v>
      </c>
      <c r="D5252" s="2" t="str">
        <f>_xlfn.XLOOKUP(A5252,'[1]Tissue Data'!$A:$A,'[1]Tissue Data'!$F:$F)</f>
        <v>Pumpkinseed</v>
      </c>
      <c r="E5252" t="str">
        <f>_xlfn.XLOOKUP(A5252,'[1]Tissue Data'!$A:$A,'[1]Tissue Data'!$H:$H)</f>
        <v>Lepomis</v>
      </c>
      <c r="F5252" t="str">
        <f>_xlfn.XLOOKUP(A5252,'[1]Tissue Data'!$A:$A,'[1]Tissue Data'!$I:$I)</f>
        <v>gibbosus</v>
      </c>
      <c r="G5252" t="str">
        <f>_xlfn.XLOOKUP(A5252,'[1]Tissue Data'!$A:$A,'[1]Tissue Data'!J:J)</f>
        <v>U</v>
      </c>
      <c r="H5252" t="str">
        <f>_xlfn.XLOOKUP(A5252,'[1]Tissue Data'!$A:$A,'[1]Tissue Data'!K:K)</f>
        <v>Whole Body</v>
      </c>
      <c r="I5252">
        <f>_xlfn.XLOOKUP(A5252,'[1]Tissue Data'!$A:$A,'[1]Tissue Data'!L:L)</f>
        <v>7.5</v>
      </c>
      <c r="J5252">
        <f>_xlfn.XLOOKUP(A5252,'[1]Tissue Data'!$A:$A,'[1]Tissue Data'!M:M)</f>
        <v>9.56</v>
      </c>
      <c r="K5252" t="s">
        <v>12</v>
      </c>
      <c r="L5252" t="str">
        <f>_xlfn.XLOOKUP(K5252,[2]analyte_order!$B:$B,[2]analyte_order!$C:$C)</f>
        <v>375-22-4</v>
      </c>
      <c r="M5252">
        <f>_xlfn.XLOOKUP(L5252,[2]analyte_order!$C:$C,[2]analyte_order!$E:$E)</f>
        <v>1</v>
      </c>
      <c r="N5252">
        <v>0.22650000000000001</v>
      </c>
    </row>
    <row r="5253" spans="1:14">
      <c r="A5253" t="s">
        <v>285</v>
      </c>
      <c r="B5253" t="str">
        <f>_xlfn.XLOOKUP(A5253,'[1]Tissue Data'!$A:$A,'[1]Tissue Data'!$C:$C)</f>
        <v>Spill</v>
      </c>
      <c r="C5253" s="2">
        <f>_xlfn.XLOOKUP(A5253,'[1]Tissue Data'!$A:$A,'[1]Tissue Data'!$D:$D)</f>
        <v>44393</v>
      </c>
      <c r="D5253" s="2" t="str">
        <f>_xlfn.XLOOKUP(A5253,'[1]Tissue Data'!$A:$A,'[1]Tissue Data'!$F:$F)</f>
        <v>Pumpkinseed</v>
      </c>
      <c r="E5253" t="str">
        <f>_xlfn.XLOOKUP(A5253,'[1]Tissue Data'!$A:$A,'[1]Tissue Data'!$H:$H)</f>
        <v>Lepomis</v>
      </c>
      <c r="F5253" t="str">
        <f>_xlfn.XLOOKUP(A5253,'[1]Tissue Data'!$A:$A,'[1]Tissue Data'!$I:$I)</f>
        <v>gibbosus</v>
      </c>
      <c r="G5253" t="str">
        <f>_xlfn.XLOOKUP(A5253,'[1]Tissue Data'!$A:$A,'[1]Tissue Data'!J:J)</f>
        <v>U</v>
      </c>
      <c r="H5253" t="str">
        <f>_xlfn.XLOOKUP(A5253,'[1]Tissue Data'!$A:$A,'[1]Tissue Data'!K:K)</f>
        <v>Whole Body</v>
      </c>
      <c r="I5253">
        <f>_xlfn.XLOOKUP(A5253,'[1]Tissue Data'!$A:$A,'[1]Tissue Data'!L:L)</f>
        <v>7.5</v>
      </c>
      <c r="J5253">
        <f>_xlfn.XLOOKUP(A5253,'[1]Tissue Data'!$A:$A,'[1]Tissue Data'!M:M)</f>
        <v>9.56</v>
      </c>
      <c r="K5253" t="s">
        <v>13</v>
      </c>
      <c r="L5253" t="str">
        <f>_xlfn.XLOOKUP(K5253,[2]analyte_order!$B:$B,[2]analyte_order!$C:$C)</f>
        <v>2706-90-3</v>
      </c>
      <c r="M5253">
        <f>_xlfn.XLOOKUP(L5253,[2]analyte_order!$C:$C,[2]analyte_order!$E:$E)</f>
        <v>2</v>
      </c>
      <c r="N5253">
        <v>4.8500000000000001E-2</v>
      </c>
    </row>
    <row r="5254" spans="1:14">
      <c r="A5254" t="s">
        <v>285</v>
      </c>
      <c r="B5254" t="str">
        <f>_xlfn.XLOOKUP(A5254,'[1]Tissue Data'!$A:$A,'[1]Tissue Data'!$C:$C)</f>
        <v>Spill</v>
      </c>
      <c r="C5254" s="2">
        <f>_xlfn.XLOOKUP(A5254,'[1]Tissue Data'!$A:$A,'[1]Tissue Data'!$D:$D)</f>
        <v>44393</v>
      </c>
      <c r="D5254" s="2" t="str">
        <f>_xlfn.XLOOKUP(A5254,'[1]Tissue Data'!$A:$A,'[1]Tissue Data'!$F:$F)</f>
        <v>Pumpkinseed</v>
      </c>
      <c r="E5254" t="str">
        <f>_xlfn.XLOOKUP(A5254,'[1]Tissue Data'!$A:$A,'[1]Tissue Data'!$H:$H)</f>
        <v>Lepomis</v>
      </c>
      <c r="F5254" t="str">
        <f>_xlfn.XLOOKUP(A5254,'[1]Tissue Data'!$A:$A,'[1]Tissue Data'!$I:$I)</f>
        <v>gibbosus</v>
      </c>
      <c r="G5254" t="str">
        <f>_xlfn.XLOOKUP(A5254,'[1]Tissue Data'!$A:$A,'[1]Tissue Data'!J:J)</f>
        <v>U</v>
      </c>
      <c r="H5254" t="str">
        <f>_xlfn.XLOOKUP(A5254,'[1]Tissue Data'!$A:$A,'[1]Tissue Data'!K:K)</f>
        <v>Whole Body</v>
      </c>
      <c r="I5254">
        <f>_xlfn.XLOOKUP(A5254,'[1]Tissue Data'!$A:$A,'[1]Tissue Data'!L:L)</f>
        <v>7.5</v>
      </c>
      <c r="J5254">
        <f>_xlfn.XLOOKUP(A5254,'[1]Tissue Data'!$A:$A,'[1]Tissue Data'!M:M)</f>
        <v>9.56</v>
      </c>
      <c r="K5254" t="s">
        <v>14</v>
      </c>
      <c r="L5254" t="str">
        <f>_xlfn.XLOOKUP(K5254,[2]analyte_order!$B:$B,[2]analyte_order!$C:$C)</f>
        <v>307-24-4</v>
      </c>
      <c r="M5254">
        <f>_xlfn.XLOOKUP(L5254,[2]analyte_order!$C:$C,[2]analyte_order!$E:$E)</f>
        <v>3</v>
      </c>
      <c r="N5254">
        <v>0.122</v>
      </c>
    </row>
    <row r="5255" spans="1:14">
      <c r="A5255" t="s">
        <v>285</v>
      </c>
      <c r="B5255" t="str">
        <f>_xlfn.XLOOKUP(A5255,'[1]Tissue Data'!$A:$A,'[1]Tissue Data'!$C:$C)</f>
        <v>Spill</v>
      </c>
      <c r="C5255" s="2">
        <f>_xlfn.XLOOKUP(A5255,'[1]Tissue Data'!$A:$A,'[1]Tissue Data'!$D:$D)</f>
        <v>44393</v>
      </c>
      <c r="D5255" s="2" t="str">
        <f>_xlfn.XLOOKUP(A5255,'[1]Tissue Data'!$A:$A,'[1]Tissue Data'!$F:$F)</f>
        <v>Pumpkinseed</v>
      </c>
      <c r="E5255" t="str">
        <f>_xlfn.XLOOKUP(A5255,'[1]Tissue Data'!$A:$A,'[1]Tissue Data'!$H:$H)</f>
        <v>Lepomis</v>
      </c>
      <c r="F5255" t="str">
        <f>_xlfn.XLOOKUP(A5255,'[1]Tissue Data'!$A:$A,'[1]Tissue Data'!$I:$I)</f>
        <v>gibbosus</v>
      </c>
      <c r="G5255" t="str">
        <f>_xlfn.XLOOKUP(A5255,'[1]Tissue Data'!$A:$A,'[1]Tissue Data'!J:J)</f>
        <v>U</v>
      </c>
      <c r="H5255" t="str">
        <f>_xlfn.XLOOKUP(A5255,'[1]Tissue Data'!$A:$A,'[1]Tissue Data'!K:K)</f>
        <v>Whole Body</v>
      </c>
      <c r="I5255">
        <f>_xlfn.XLOOKUP(A5255,'[1]Tissue Data'!$A:$A,'[1]Tissue Data'!L:L)</f>
        <v>7.5</v>
      </c>
      <c r="J5255">
        <f>_xlfn.XLOOKUP(A5255,'[1]Tissue Data'!$A:$A,'[1]Tissue Data'!M:M)</f>
        <v>9.56</v>
      </c>
      <c r="K5255" t="s">
        <v>15</v>
      </c>
      <c r="L5255" t="str">
        <f>_xlfn.XLOOKUP(K5255,[2]analyte_order!$B:$B,[2]analyte_order!$C:$C)</f>
        <v>375-85-9</v>
      </c>
      <c r="M5255">
        <f>_xlfn.XLOOKUP(L5255,[2]analyte_order!$C:$C,[2]analyte_order!$E:$E)</f>
        <v>4</v>
      </c>
      <c r="N5255">
        <v>2.7449999999999999E-2</v>
      </c>
    </row>
    <row r="5256" spans="1:14">
      <c r="A5256" t="s">
        <v>285</v>
      </c>
      <c r="B5256" t="str">
        <f>_xlfn.XLOOKUP(A5256,'[1]Tissue Data'!$A:$A,'[1]Tissue Data'!$C:$C)</f>
        <v>Spill</v>
      </c>
      <c r="C5256" s="2">
        <f>_xlfn.XLOOKUP(A5256,'[1]Tissue Data'!$A:$A,'[1]Tissue Data'!$D:$D)</f>
        <v>44393</v>
      </c>
      <c r="D5256" s="2" t="str">
        <f>_xlfn.XLOOKUP(A5256,'[1]Tissue Data'!$A:$A,'[1]Tissue Data'!$F:$F)</f>
        <v>Pumpkinseed</v>
      </c>
      <c r="E5256" t="str">
        <f>_xlfn.XLOOKUP(A5256,'[1]Tissue Data'!$A:$A,'[1]Tissue Data'!$H:$H)</f>
        <v>Lepomis</v>
      </c>
      <c r="F5256" t="str">
        <f>_xlfn.XLOOKUP(A5256,'[1]Tissue Data'!$A:$A,'[1]Tissue Data'!$I:$I)</f>
        <v>gibbosus</v>
      </c>
      <c r="G5256" t="str">
        <f>_xlfn.XLOOKUP(A5256,'[1]Tissue Data'!$A:$A,'[1]Tissue Data'!J:J)</f>
        <v>U</v>
      </c>
      <c r="H5256" t="str">
        <f>_xlfn.XLOOKUP(A5256,'[1]Tissue Data'!$A:$A,'[1]Tissue Data'!K:K)</f>
        <v>Whole Body</v>
      </c>
      <c r="I5256">
        <f>_xlfn.XLOOKUP(A5256,'[1]Tissue Data'!$A:$A,'[1]Tissue Data'!L:L)</f>
        <v>7.5</v>
      </c>
      <c r="J5256">
        <f>_xlfn.XLOOKUP(A5256,'[1]Tissue Data'!$A:$A,'[1]Tissue Data'!M:M)</f>
        <v>9.56</v>
      </c>
      <c r="K5256" t="s">
        <v>16</v>
      </c>
      <c r="L5256" t="str">
        <f>_xlfn.XLOOKUP(K5256,[2]analyte_order!$B:$B,[2]analyte_order!$C:$C)</f>
        <v>335-67-1</v>
      </c>
      <c r="M5256">
        <f>_xlfn.XLOOKUP(L5256,[2]analyte_order!$C:$C,[2]analyte_order!$E:$E)</f>
        <v>5</v>
      </c>
      <c r="N5256">
        <v>0.61599999999999999</v>
      </c>
    </row>
    <row r="5257" spans="1:14">
      <c r="A5257" t="s">
        <v>285</v>
      </c>
      <c r="B5257" t="str">
        <f>_xlfn.XLOOKUP(A5257,'[1]Tissue Data'!$A:$A,'[1]Tissue Data'!$C:$C)</f>
        <v>Spill</v>
      </c>
      <c r="C5257" s="2">
        <f>_xlfn.XLOOKUP(A5257,'[1]Tissue Data'!$A:$A,'[1]Tissue Data'!$D:$D)</f>
        <v>44393</v>
      </c>
      <c r="D5257" s="2" t="str">
        <f>_xlfn.XLOOKUP(A5257,'[1]Tissue Data'!$A:$A,'[1]Tissue Data'!$F:$F)</f>
        <v>Pumpkinseed</v>
      </c>
      <c r="E5257" t="str">
        <f>_xlfn.XLOOKUP(A5257,'[1]Tissue Data'!$A:$A,'[1]Tissue Data'!$H:$H)</f>
        <v>Lepomis</v>
      </c>
      <c r="F5257" t="str">
        <f>_xlfn.XLOOKUP(A5257,'[1]Tissue Data'!$A:$A,'[1]Tissue Data'!$I:$I)</f>
        <v>gibbosus</v>
      </c>
      <c r="G5257" t="str">
        <f>_xlfn.XLOOKUP(A5257,'[1]Tissue Data'!$A:$A,'[1]Tissue Data'!J:J)</f>
        <v>U</v>
      </c>
      <c r="H5257" t="str">
        <f>_xlfn.XLOOKUP(A5257,'[1]Tissue Data'!$A:$A,'[1]Tissue Data'!K:K)</f>
        <v>Whole Body</v>
      </c>
      <c r="I5257">
        <f>_xlfn.XLOOKUP(A5257,'[1]Tissue Data'!$A:$A,'[1]Tissue Data'!L:L)</f>
        <v>7.5</v>
      </c>
      <c r="J5257">
        <f>_xlfn.XLOOKUP(A5257,'[1]Tissue Data'!$A:$A,'[1]Tissue Data'!M:M)</f>
        <v>9.56</v>
      </c>
      <c r="K5257" t="s">
        <v>17</v>
      </c>
      <c r="L5257" t="str">
        <f>_xlfn.XLOOKUP(K5257,[2]analyte_order!$B:$B,[2]analyte_order!$C:$C)</f>
        <v>375-95-1</v>
      </c>
      <c r="M5257">
        <f>_xlfn.XLOOKUP(L5257,[2]analyte_order!$C:$C,[2]analyte_order!$E:$E)</f>
        <v>6</v>
      </c>
      <c r="N5257">
        <v>0.1565</v>
      </c>
    </row>
    <row r="5258" spans="1:14">
      <c r="A5258" t="s">
        <v>285</v>
      </c>
      <c r="B5258" t="str">
        <f>_xlfn.XLOOKUP(A5258,'[1]Tissue Data'!$A:$A,'[1]Tissue Data'!$C:$C)</f>
        <v>Spill</v>
      </c>
      <c r="C5258" s="2">
        <f>_xlfn.XLOOKUP(A5258,'[1]Tissue Data'!$A:$A,'[1]Tissue Data'!$D:$D)</f>
        <v>44393</v>
      </c>
      <c r="D5258" s="2" t="str">
        <f>_xlfn.XLOOKUP(A5258,'[1]Tissue Data'!$A:$A,'[1]Tissue Data'!$F:$F)</f>
        <v>Pumpkinseed</v>
      </c>
      <c r="E5258" t="str">
        <f>_xlfn.XLOOKUP(A5258,'[1]Tissue Data'!$A:$A,'[1]Tissue Data'!$H:$H)</f>
        <v>Lepomis</v>
      </c>
      <c r="F5258" t="str">
        <f>_xlfn.XLOOKUP(A5258,'[1]Tissue Data'!$A:$A,'[1]Tissue Data'!$I:$I)</f>
        <v>gibbosus</v>
      </c>
      <c r="G5258" t="str">
        <f>_xlfn.XLOOKUP(A5258,'[1]Tissue Data'!$A:$A,'[1]Tissue Data'!J:J)</f>
        <v>U</v>
      </c>
      <c r="H5258" t="str">
        <f>_xlfn.XLOOKUP(A5258,'[1]Tissue Data'!$A:$A,'[1]Tissue Data'!K:K)</f>
        <v>Whole Body</v>
      </c>
      <c r="I5258">
        <f>_xlfn.XLOOKUP(A5258,'[1]Tissue Data'!$A:$A,'[1]Tissue Data'!L:L)</f>
        <v>7.5</v>
      </c>
      <c r="J5258">
        <f>_xlfn.XLOOKUP(A5258,'[1]Tissue Data'!$A:$A,'[1]Tissue Data'!M:M)</f>
        <v>9.56</v>
      </c>
      <c r="K5258" t="s">
        <v>18</v>
      </c>
      <c r="L5258" t="str">
        <f>_xlfn.XLOOKUP(K5258,[2]analyte_order!$B:$B,[2]analyte_order!$C:$C)</f>
        <v>335-76-2</v>
      </c>
      <c r="M5258">
        <f>_xlfn.XLOOKUP(L5258,[2]analyte_order!$C:$C,[2]analyte_order!$E:$E)</f>
        <v>7</v>
      </c>
      <c r="N5258">
        <v>5.42</v>
      </c>
    </row>
    <row r="5259" spans="1:14">
      <c r="A5259" t="s">
        <v>285</v>
      </c>
      <c r="B5259" t="str">
        <f>_xlfn.XLOOKUP(A5259,'[1]Tissue Data'!$A:$A,'[1]Tissue Data'!$C:$C)</f>
        <v>Spill</v>
      </c>
      <c r="C5259" s="2">
        <f>_xlfn.XLOOKUP(A5259,'[1]Tissue Data'!$A:$A,'[1]Tissue Data'!$D:$D)</f>
        <v>44393</v>
      </c>
      <c r="D5259" s="2" t="str">
        <f>_xlfn.XLOOKUP(A5259,'[1]Tissue Data'!$A:$A,'[1]Tissue Data'!$F:$F)</f>
        <v>Pumpkinseed</v>
      </c>
      <c r="E5259" t="str">
        <f>_xlfn.XLOOKUP(A5259,'[1]Tissue Data'!$A:$A,'[1]Tissue Data'!$H:$H)</f>
        <v>Lepomis</v>
      </c>
      <c r="F5259" t="str">
        <f>_xlfn.XLOOKUP(A5259,'[1]Tissue Data'!$A:$A,'[1]Tissue Data'!$I:$I)</f>
        <v>gibbosus</v>
      </c>
      <c r="G5259" t="str">
        <f>_xlfn.XLOOKUP(A5259,'[1]Tissue Data'!$A:$A,'[1]Tissue Data'!J:J)</f>
        <v>U</v>
      </c>
      <c r="H5259" t="str">
        <f>_xlfn.XLOOKUP(A5259,'[1]Tissue Data'!$A:$A,'[1]Tissue Data'!K:K)</f>
        <v>Whole Body</v>
      </c>
      <c r="I5259">
        <f>_xlfn.XLOOKUP(A5259,'[1]Tissue Data'!$A:$A,'[1]Tissue Data'!L:L)</f>
        <v>7.5</v>
      </c>
      <c r="J5259">
        <f>_xlfn.XLOOKUP(A5259,'[1]Tissue Data'!$A:$A,'[1]Tissue Data'!M:M)</f>
        <v>9.56</v>
      </c>
      <c r="K5259" t="s">
        <v>19</v>
      </c>
      <c r="L5259" t="str">
        <f>_xlfn.XLOOKUP(K5259,[2]analyte_order!$B:$B,[2]analyte_order!$C:$C)</f>
        <v>2058-94-8</v>
      </c>
      <c r="M5259">
        <f>_xlfn.XLOOKUP(L5259,[2]analyte_order!$C:$C,[2]analyte_order!$E:$E)</f>
        <v>8</v>
      </c>
      <c r="N5259">
        <v>8.93</v>
      </c>
    </row>
    <row r="5260" spans="1:14">
      <c r="A5260" t="s">
        <v>285</v>
      </c>
      <c r="B5260" t="str">
        <f>_xlfn.XLOOKUP(A5260,'[1]Tissue Data'!$A:$A,'[1]Tissue Data'!$C:$C)</f>
        <v>Spill</v>
      </c>
      <c r="C5260" s="2">
        <f>_xlfn.XLOOKUP(A5260,'[1]Tissue Data'!$A:$A,'[1]Tissue Data'!$D:$D)</f>
        <v>44393</v>
      </c>
      <c r="D5260" s="2" t="str">
        <f>_xlfn.XLOOKUP(A5260,'[1]Tissue Data'!$A:$A,'[1]Tissue Data'!$F:$F)</f>
        <v>Pumpkinseed</v>
      </c>
      <c r="E5260" t="str">
        <f>_xlfn.XLOOKUP(A5260,'[1]Tissue Data'!$A:$A,'[1]Tissue Data'!$H:$H)</f>
        <v>Lepomis</v>
      </c>
      <c r="F5260" t="str">
        <f>_xlfn.XLOOKUP(A5260,'[1]Tissue Data'!$A:$A,'[1]Tissue Data'!$I:$I)</f>
        <v>gibbosus</v>
      </c>
      <c r="G5260" t="str">
        <f>_xlfn.XLOOKUP(A5260,'[1]Tissue Data'!$A:$A,'[1]Tissue Data'!J:J)</f>
        <v>U</v>
      </c>
      <c r="H5260" t="str">
        <f>_xlfn.XLOOKUP(A5260,'[1]Tissue Data'!$A:$A,'[1]Tissue Data'!K:K)</f>
        <v>Whole Body</v>
      </c>
      <c r="I5260">
        <f>_xlfn.XLOOKUP(A5260,'[1]Tissue Data'!$A:$A,'[1]Tissue Data'!L:L)</f>
        <v>7.5</v>
      </c>
      <c r="J5260">
        <f>_xlfn.XLOOKUP(A5260,'[1]Tissue Data'!$A:$A,'[1]Tissue Data'!M:M)</f>
        <v>9.56</v>
      </c>
      <c r="K5260" t="s">
        <v>20</v>
      </c>
      <c r="L5260" t="str">
        <f>_xlfn.XLOOKUP(K5260,[2]analyte_order!$B:$B,[2]analyte_order!$C:$C)</f>
        <v>307-55-1</v>
      </c>
      <c r="M5260">
        <f>_xlfn.XLOOKUP(L5260,[2]analyte_order!$C:$C,[2]analyte_order!$E:$E)</f>
        <v>9</v>
      </c>
      <c r="N5260">
        <v>30.1</v>
      </c>
    </row>
    <row r="5261" spans="1:14">
      <c r="A5261" t="s">
        <v>285</v>
      </c>
      <c r="B5261" t="str">
        <f>_xlfn.XLOOKUP(A5261,'[1]Tissue Data'!$A:$A,'[1]Tissue Data'!$C:$C)</f>
        <v>Spill</v>
      </c>
      <c r="C5261" s="2">
        <f>_xlfn.XLOOKUP(A5261,'[1]Tissue Data'!$A:$A,'[1]Tissue Data'!$D:$D)</f>
        <v>44393</v>
      </c>
      <c r="D5261" s="2" t="str">
        <f>_xlfn.XLOOKUP(A5261,'[1]Tissue Data'!$A:$A,'[1]Tissue Data'!$F:$F)</f>
        <v>Pumpkinseed</v>
      </c>
      <c r="E5261" t="str">
        <f>_xlfn.XLOOKUP(A5261,'[1]Tissue Data'!$A:$A,'[1]Tissue Data'!$H:$H)</f>
        <v>Lepomis</v>
      </c>
      <c r="F5261" t="str">
        <f>_xlfn.XLOOKUP(A5261,'[1]Tissue Data'!$A:$A,'[1]Tissue Data'!$I:$I)</f>
        <v>gibbosus</v>
      </c>
      <c r="G5261" t="str">
        <f>_xlfn.XLOOKUP(A5261,'[1]Tissue Data'!$A:$A,'[1]Tissue Data'!J:J)</f>
        <v>U</v>
      </c>
      <c r="H5261" t="str">
        <f>_xlfn.XLOOKUP(A5261,'[1]Tissue Data'!$A:$A,'[1]Tissue Data'!K:K)</f>
        <v>Whole Body</v>
      </c>
      <c r="I5261">
        <f>_xlfn.XLOOKUP(A5261,'[1]Tissue Data'!$A:$A,'[1]Tissue Data'!L:L)</f>
        <v>7.5</v>
      </c>
      <c r="J5261">
        <f>_xlfn.XLOOKUP(A5261,'[1]Tissue Data'!$A:$A,'[1]Tissue Data'!M:M)</f>
        <v>9.56</v>
      </c>
      <c r="K5261" t="s">
        <v>21</v>
      </c>
      <c r="L5261" t="str">
        <f>_xlfn.XLOOKUP(K5261,[2]analyte_order!$B:$B,[2]analyte_order!$C:$C)</f>
        <v>72629-94-8</v>
      </c>
      <c r="M5261">
        <f>_xlfn.XLOOKUP(L5261,[2]analyte_order!$C:$C,[2]analyte_order!$E:$E)</f>
        <v>10</v>
      </c>
      <c r="N5261">
        <v>6.45</v>
      </c>
    </row>
    <row r="5262" spans="1:14">
      <c r="A5262" t="s">
        <v>285</v>
      </c>
      <c r="B5262" t="str">
        <f>_xlfn.XLOOKUP(A5262,'[1]Tissue Data'!$A:$A,'[1]Tissue Data'!$C:$C)</f>
        <v>Spill</v>
      </c>
      <c r="C5262" s="2">
        <f>_xlfn.XLOOKUP(A5262,'[1]Tissue Data'!$A:$A,'[1]Tissue Data'!$D:$D)</f>
        <v>44393</v>
      </c>
      <c r="D5262" s="2" t="str">
        <f>_xlfn.XLOOKUP(A5262,'[1]Tissue Data'!$A:$A,'[1]Tissue Data'!$F:$F)</f>
        <v>Pumpkinseed</v>
      </c>
      <c r="E5262" t="str">
        <f>_xlfn.XLOOKUP(A5262,'[1]Tissue Data'!$A:$A,'[1]Tissue Data'!$H:$H)</f>
        <v>Lepomis</v>
      </c>
      <c r="F5262" t="str">
        <f>_xlfn.XLOOKUP(A5262,'[1]Tissue Data'!$A:$A,'[1]Tissue Data'!$I:$I)</f>
        <v>gibbosus</v>
      </c>
      <c r="G5262" t="str">
        <f>_xlfn.XLOOKUP(A5262,'[1]Tissue Data'!$A:$A,'[1]Tissue Data'!J:J)</f>
        <v>U</v>
      </c>
      <c r="H5262" t="str">
        <f>_xlfn.XLOOKUP(A5262,'[1]Tissue Data'!$A:$A,'[1]Tissue Data'!K:K)</f>
        <v>Whole Body</v>
      </c>
      <c r="I5262">
        <f>_xlfn.XLOOKUP(A5262,'[1]Tissue Data'!$A:$A,'[1]Tissue Data'!L:L)</f>
        <v>7.5</v>
      </c>
      <c r="J5262">
        <f>_xlfn.XLOOKUP(A5262,'[1]Tissue Data'!$A:$A,'[1]Tissue Data'!M:M)</f>
        <v>9.56</v>
      </c>
      <c r="K5262" t="s">
        <v>22</v>
      </c>
      <c r="L5262" t="str">
        <f>_xlfn.XLOOKUP(K5262,[2]analyte_order!$B:$B,[2]analyte_order!$C:$C)</f>
        <v>376-06-7</v>
      </c>
      <c r="M5262">
        <f>_xlfn.XLOOKUP(L5262,[2]analyte_order!$C:$C,[2]analyte_order!$E:$E)</f>
        <v>11</v>
      </c>
      <c r="N5262">
        <v>27.6</v>
      </c>
    </row>
    <row r="5263" spans="1:14">
      <c r="A5263" t="s">
        <v>285</v>
      </c>
      <c r="B5263" t="str">
        <f>_xlfn.XLOOKUP(A5263,'[1]Tissue Data'!$A:$A,'[1]Tissue Data'!$C:$C)</f>
        <v>Spill</v>
      </c>
      <c r="C5263" s="2">
        <f>_xlfn.XLOOKUP(A5263,'[1]Tissue Data'!$A:$A,'[1]Tissue Data'!$D:$D)</f>
        <v>44393</v>
      </c>
      <c r="D5263" s="2" t="str">
        <f>_xlfn.XLOOKUP(A5263,'[1]Tissue Data'!$A:$A,'[1]Tissue Data'!$F:$F)</f>
        <v>Pumpkinseed</v>
      </c>
      <c r="E5263" t="str">
        <f>_xlfn.XLOOKUP(A5263,'[1]Tissue Data'!$A:$A,'[1]Tissue Data'!$H:$H)</f>
        <v>Lepomis</v>
      </c>
      <c r="F5263" t="str">
        <f>_xlfn.XLOOKUP(A5263,'[1]Tissue Data'!$A:$A,'[1]Tissue Data'!$I:$I)</f>
        <v>gibbosus</v>
      </c>
      <c r="G5263" t="str">
        <f>_xlfn.XLOOKUP(A5263,'[1]Tissue Data'!$A:$A,'[1]Tissue Data'!J:J)</f>
        <v>U</v>
      </c>
      <c r="H5263" t="str">
        <f>_xlfn.XLOOKUP(A5263,'[1]Tissue Data'!$A:$A,'[1]Tissue Data'!K:K)</f>
        <v>Whole Body</v>
      </c>
      <c r="I5263">
        <f>_xlfn.XLOOKUP(A5263,'[1]Tissue Data'!$A:$A,'[1]Tissue Data'!L:L)</f>
        <v>7.5</v>
      </c>
      <c r="J5263">
        <f>_xlfn.XLOOKUP(A5263,'[1]Tissue Data'!$A:$A,'[1]Tissue Data'!M:M)</f>
        <v>9.56</v>
      </c>
      <c r="K5263" t="s">
        <v>23</v>
      </c>
      <c r="L5263" t="str">
        <f>_xlfn.XLOOKUP(K5263,[2]analyte_order!$B:$B,[2]analyte_order!$C:$C)</f>
        <v>67905-19-5</v>
      </c>
      <c r="M5263">
        <f>_xlfn.XLOOKUP(L5263,[2]analyte_order!$C:$C,[2]analyte_order!$E:$E)</f>
        <v>12</v>
      </c>
      <c r="N5263">
        <v>8.2000000000000003E-2</v>
      </c>
    </row>
    <row r="5264" spans="1:14">
      <c r="A5264" t="s">
        <v>285</v>
      </c>
      <c r="B5264" t="str">
        <f>_xlfn.XLOOKUP(A5264,'[1]Tissue Data'!$A:$A,'[1]Tissue Data'!$C:$C)</f>
        <v>Spill</v>
      </c>
      <c r="C5264" s="2">
        <f>_xlfn.XLOOKUP(A5264,'[1]Tissue Data'!$A:$A,'[1]Tissue Data'!$D:$D)</f>
        <v>44393</v>
      </c>
      <c r="D5264" s="2" t="str">
        <f>_xlfn.XLOOKUP(A5264,'[1]Tissue Data'!$A:$A,'[1]Tissue Data'!$F:$F)</f>
        <v>Pumpkinseed</v>
      </c>
      <c r="E5264" t="str">
        <f>_xlfn.XLOOKUP(A5264,'[1]Tissue Data'!$A:$A,'[1]Tissue Data'!$H:$H)</f>
        <v>Lepomis</v>
      </c>
      <c r="F5264" t="str">
        <f>_xlfn.XLOOKUP(A5264,'[1]Tissue Data'!$A:$A,'[1]Tissue Data'!$I:$I)</f>
        <v>gibbosus</v>
      </c>
      <c r="G5264" t="str">
        <f>_xlfn.XLOOKUP(A5264,'[1]Tissue Data'!$A:$A,'[1]Tissue Data'!J:J)</f>
        <v>U</v>
      </c>
      <c r="H5264" t="str">
        <f>_xlfn.XLOOKUP(A5264,'[1]Tissue Data'!$A:$A,'[1]Tissue Data'!K:K)</f>
        <v>Whole Body</v>
      </c>
      <c r="I5264">
        <f>_xlfn.XLOOKUP(A5264,'[1]Tissue Data'!$A:$A,'[1]Tissue Data'!L:L)</f>
        <v>7.5</v>
      </c>
      <c r="J5264">
        <f>_xlfn.XLOOKUP(A5264,'[1]Tissue Data'!$A:$A,'[1]Tissue Data'!M:M)</f>
        <v>9.56</v>
      </c>
      <c r="K5264" t="s">
        <v>24</v>
      </c>
      <c r="L5264" t="str">
        <f>_xlfn.XLOOKUP(K5264,[2]analyte_order!$B:$B,[2]analyte_order!$C:$C)</f>
        <v>423-41-6</v>
      </c>
      <c r="M5264">
        <f>_xlfn.XLOOKUP(L5264,[2]analyte_order!$C:$C,[2]analyte_order!$E:$E)</f>
        <v>53</v>
      </c>
      <c r="N5264">
        <v>6.8500000000000005E-2</v>
      </c>
    </row>
    <row r="5265" spans="1:14">
      <c r="A5265" t="s">
        <v>285</v>
      </c>
      <c r="B5265" t="str">
        <f>_xlfn.XLOOKUP(A5265,'[1]Tissue Data'!$A:$A,'[1]Tissue Data'!$C:$C)</f>
        <v>Spill</v>
      </c>
      <c r="C5265" s="2">
        <f>_xlfn.XLOOKUP(A5265,'[1]Tissue Data'!$A:$A,'[1]Tissue Data'!$D:$D)</f>
        <v>44393</v>
      </c>
      <c r="D5265" s="2" t="str">
        <f>_xlfn.XLOOKUP(A5265,'[1]Tissue Data'!$A:$A,'[1]Tissue Data'!$F:$F)</f>
        <v>Pumpkinseed</v>
      </c>
      <c r="E5265" t="str">
        <f>_xlfn.XLOOKUP(A5265,'[1]Tissue Data'!$A:$A,'[1]Tissue Data'!$H:$H)</f>
        <v>Lepomis</v>
      </c>
      <c r="F5265" t="str">
        <f>_xlfn.XLOOKUP(A5265,'[1]Tissue Data'!$A:$A,'[1]Tissue Data'!$I:$I)</f>
        <v>gibbosus</v>
      </c>
      <c r="G5265" t="str">
        <f>_xlfn.XLOOKUP(A5265,'[1]Tissue Data'!$A:$A,'[1]Tissue Data'!J:J)</f>
        <v>U</v>
      </c>
      <c r="H5265" t="str">
        <f>_xlfn.XLOOKUP(A5265,'[1]Tissue Data'!$A:$A,'[1]Tissue Data'!K:K)</f>
        <v>Whole Body</v>
      </c>
      <c r="I5265">
        <f>_xlfn.XLOOKUP(A5265,'[1]Tissue Data'!$A:$A,'[1]Tissue Data'!L:L)</f>
        <v>7.5</v>
      </c>
      <c r="J5265">
        <f>_xlfn.XLOOKUP(A5265,'[1]Tissue Data'!$A:$A,'[1]Tissue Data'!M:M)</f>
        <v>9.56</v>
      </c>
      <c r="K5265" t="s">
        <v>25</v>
      </c>
      <c r="L5265" t="str">
        <f>_xlfn.XLOOKUP(K5265,[2]analyte_order!$B:$B,[2]analyte_order!$C:$C)</f>
        <v>375-73-5</v>
      </c>
      <c r="M5265">
        <f>_xlfn.XLOOKUP(L5265,[2]analyte_order!$C:$C,[2]analyte_order!$E:$E)</f>
        <v>14</v>
      </c>
      <c r="N5265">
        <v>0.51200000000000001</v>
      </c>
    </row>
    <row r="5266" spans="1:14">
      <c r="A5266" t="s">
        <v>285</v>
      </c>
      <c r="B5266" t="str">
        <f>_xlfn.XLOOKUP(A5266,'[1]Tissue Data'!$A:$A,'[1]Tissue Data'!$C:$C)</f>
        <v>Spill</v>
      </c>
      <c r="C5266" s="2">
        <f>_xlfn.XLOOKUP(A5266,'[1]Tissue Data'!$A:$A,'[1]Tissue Data'!$D:$D)</f>
        <v>44393</v>
      </c>
      <c r="D5266" s="2" t="str">
        <f>_xlfn.XLOOKUP(A5266,'[1]Tissue Data'!$A:$A,'[1]Tissue Data'!$F:$F)</f>
        <v>Pumpkinseed</v>
      </c>
      <c r="E5266" t="str">
        <f>_xlfn.XLOOKUP(A5266,'[1]Tissue Data'!$A:$A,'[1]Tissue Data'!$H:$H)</f>
        <v>Lepomis</v>
      </c>
      <c r="F5266" t="str">
        <f>_xlfn.XLOOKUP(A5266,'[1]Tissue Data'!$A:$A,'[1]Tissue Data'!$I:$I)</f>
        <v>gibbosus</v>
      </c>
      <c r="G5266" t="str">
        <f>_xlfn.XLOOKUP(A5266,'[1]Tissue Data'!$A:$A,'[1]Tissue Data'!J:J)</f>
        <v>U</v>
      </c>
      <c r="H5266" t="str">
        <f>_xlfn.XLOOKUP(A5266,'[1]Tissue Data'!$A:$A,'[1]Tissue Data'!K:K)</f>
        <v>Whole Body</v>
      </c>
      <c r="I5266">
        <f>_xlfn.XLOOKUP(A5266,'[1]Tissue Data'!$A:$A,'[1]Tissue Data'!L:L)</f>
        <v>7.5</v>
      </c>
      <c r="J5266">
        <f>_xlfn.XLOOKUP(A5266,'[1]Tissue Data'!$A:$A,'[1]Tissue Data'!M:M)</f>
        <v>9.56</v>
      </c>
      <c r="K5266" t="s">
        <v>26</v>
      </c>
      <c r="L5266" t="str">
        <f>_xlfn.XLOOKUP(K5266,[2]analyte_order!$B:$B,[2]analyte_order!$C:$C)</f>
        <v>2706-91-4</v>
      </c>
      <c r="M5266">
        <f>_xlfn.XLOOKUP(L5266,[2]analyte_order!$C:$C,[2]analyte_order!$E:$E)</f>
        <v>15</v>
      </c>
      <c r="N5266">
        <v>0.22650000000000001</v>
      </c>
    </row>
    <row r="5267" spans="1:14">
      <c r="A5267" t="s">
        <v>285</v>
      </c>
      <c r="B5267" t="str">
        <f>_xlfn.XLOOKUP(A5267,'[1]Tissue Data'!$A:$A,'[1]Tissue Data'!$C:$C)</f>
        <v>Spill</v>
      </c>
      <c r="C5267" s="2">
        <f>_xlfn.XLOOKUP(A5267,'[1]Tissue Data'!$A:$A,'[1]Tissue Data'!$D:$D)</f>
        <v>44393</v>
      </c>
      <c r="D5267" s="2" t="str">
        <f>_xlfn.XLOOKUP(A5267,'[1]Tissue Data'!$A:$A,'[1]Tissue Data'!$F:$F)</f>
        <v>Pumpkinseed</v>
      </c>
      <c r="E5267" t="str">
        <f>_xlfn.XLOOKUP(A5267,'[1]Tissue Data'!$A:$A,'[1]Tissue Data'!$H:$H)</f>
        <v>Lepomis</v>
      </c>
      <c r="F5267" t="str">
        <f>_xlfn.XLOOKUP(A5267,'[1]Tissue Data'!$A:$A,'[1]Tissue Data'!$I:$I)</f>
        <v>gibbosus</v>
      </c>
      <c r="G5267" t="str">
        <f>_xlfn.XLOOKUP(A5267,'[1]Tissue Data'!$A:$A,'[1]Tissue Data'!J:J)</f>
        <v>U</v>
      </c>
      <c r="H5267" t="str">
        <f>_xlfn.XLOOKUP(A5267,'[1]Tissue Data'!$A:$A,'[1]Tissue Data'!K:K)</f>
        <v>Whole Body</v>
      </c>
      <c r="I5267">
        <f>_xlfn.XLOOKUP(A5267,'[1]Tissue Data'!$A:$A,'[1]Tissue Data'!L:L)</f>
        <v>7.5</v>
      </c>
      <c r="J5267">
        <f>_xlfn.XLOOKUP(A5267,'[1]Tissue Data'!$A:$A,'[1]Tissue Data'!M:M)</f>
        <v>9.56</v>
      </c>
      <c r="K5267" t="s">
        <v>27</v>
      </c>
      <c r="L5267" t="str">
        <f>_xlfn.XLOOKUP(K5267,[2]analyte_order!$B:$B,[2]analyte_order!$C:$C)</f>
        <v>355-46-4</v>
      </c>
      <c r="M5267">
        <f>_xlfn.XLOOKUP(L5267,[2]analyte_order!$C:$C,[2]analyte_order!$E:$E)</f>
        <v>16</v>
      </c>
      <c r="N5267">
        <v>9.64</v>
      </c>
    </row>
    <row r="5268" spans="1:14">
      <c r="A5268" t="s">
        <v>285</v>
      </c>
      <c r="B5268" t="str">
        <f>_xlfn.XLOOKUP(A5268,'[1]Tissue Data'!$A:$A,'[1]Tissue Data'!$C:$C)</f>
        <v>Spill</v>
      </c>
      <c r="C5268" s="2">
        <f>_xlfn.XLOOKUP(A5268,'[1]Tissue Data'!$A:$A,'[1]Tissue Data'!$D:$D)</f>
        <v>44393</v>
      </c>
      <c r="D5268" s="2" t="str">
        <f>_xlfn.XLOOKUP(A5268,'[1]Tissue Data'!$A:$A,'[1]Tissue Data'!$F:$F)</f>
        <v>Pumpkinseed</v>
      </c>
      <c r="E5268" t="str">
        <f>_xlfn.XLOOKUP(A5268,'[1]Tissue Data'!$A:$A,'[1]Tissue Data'!$H:$H)</f>
        <v>Lepomis</v>
      </c>
      <c r="F5268" t="str">
        <f>_xlfn.XLOOKUP(A5268,'[1]Tissue Data'!$A:$A,'[1]Tissue Data'!$I:$I)</f>
        <v>gibbosus</v>
      </c>
      <c r="G5268" t="str">
        <f>_xlfn.XLOOKUP(A5268,'[1]Tissue Data'!$A:$A,'[1]Tissue Data'!J:J)</f>
        <v>U</v>
      </c>
      <c r="H5268" t="str">
        <f>_xlfn.XLOOKUP(A5268,'[1]Tissue Data'!$A:$A,'[1]Tissue Data'!K:K)</f>
        <v>Whole Body</v>
      </c>
      <c r="I5268">
        <f>_xlfn.XLOOKUP(A5268,'[1]Tissue Data'!$A:$A,'[1]Tissue Data'!L:L)</f>
        <v>7.5</v>
      </c>
      <c r="J5268">
        <f>_xlfn.XLOOKUP(A5268,'[1]Tissue Data'!$A:$A,'[1]Tissue Data'!M:M)</f>
        <v>9.56</v>
      </c>
      <c r="K5268" t="s">
        <v>28</v>
      </c>
      <c r="L5268" t="str">
        <f>_xlfn.XLOOKUP(K5268,[2]analyte_order!$B:$B,[2]analyte_order!$C:$C)</f>
        <v>375-92-8</v>
      </c>
      <c r="M5268">
        <f>_xlfn.XLOOKUP(L5268,[2]analyte_order!$C:$C,[2]analyte_order!$E:$E)</f>
        <v>17</v>
      </c>
      <c r="N5268">
        <v>1.07</v>
      </c>
    </row>
    <row r="5269" spans="1:14">
      <c r="A5269" t="s">
        <v>285</v>
      </c>
      <c r="B5269" t="str">
        <f>_xlfn.XLOOKUP(A5269,'[1]Tissue Data'!$A:$A,'[1]Tissue Data'!$C:$C)</f>
        <v>Spill</v>
      </c>
      <c r="C5269" s="2">
        <f>_xlfn.XLOOKUP(A5269,'[1]Tissue Data'!$A:$A,'[1]Tissue Data'!$D:$D)</f>
        <v>44393</v>
      </c>
      <c r="D5269" s="2" t="str">
        <f>_xlfn.XLOOKUP(A5269,'[1]Tissue Data'!$A:$A,'[1]Tissue Data'!$F:$F)</f>
        <v>Pumpkinseed</v>
      </c>
      <c r="E5269" t="str">
        <f>_xlfn.XLOOKUP(A5269,'[1]Tissue Data'!$A:$A,'[1]Tissue Data'!$H:$H)</f>
        <v>Lepomis</v>
      </c>
      <c r="F5269" t="str">
        <f>_xlfn.XLOOKUP(A5269,'[1]Tissue Data'!$A:$A,'[1]Tissue Data'!$I:$I)</f>
        <v>gibbosus</v>
      </c>
      <c r="G5269" t="str">
        <f>_xlfn.XLOOKUP(A5269,'[1]Tissue Data'!$A:$A,'[1]Tissue Data'!J:J)</f>
        <v>U</v>
      </c>
      <c r="H5269" t="str">
        <f>_xlfn.XLOOKUP(A5269,'[1]Tissue Data'!$A:$A,'[1]Tissue Data'!K:K)</f>
        <v>Whole Body</v>
      </c>
      <c r="I5269">
        <f>_xlfn.XLOOKUP(A5269,'[1]Tissue Data'!$A:$A,'[1]Tissue Data'!L:L)</f>
        <v>7.5</v>
      </c>
      <c r="J5269">
        <f>_xlfn.XLOOKUP(A5269,'[1]Tissue Data'!$A:$A,'[1]Tissue Data'!M:M)</f>
        <v>9.56</v>
      </c>
      <c r="K5269" t="s">
        <v>29</v>
      </c>
      <c r="L5269" t="str">
        <f>_xlfn.XLOOKUP(K5269,[2]analyte_order!$B:$B,[2]analyte_order!$C:$C)</f>
        <v>1763-23-1</v>
      </c>
      <c r="M5269">
        <f>_xlfn.XLOOKUP(L5269,[2]analyte_order!$C:$C,[2]analyte_order!$E:$E)</f>
        <v>18</v>
      </c>
      <c r="N5269">
        <v>761</v>
      </c>
    </row>
    <row r="5270" spans="1:14">
      <c r="A5270" t="s">
        <v>285</v>
      </c>
      <c r="B5270" t="str">
        <f>_xlfn.XLOOKUP(A5270,'[1]Tissue Data'!$A:$A,'[1]Tissue Data'!$C:$C)</f>
        <v>Spill</v>
      </c>
      <c r="C5270" s="2">
        <f>_xlfn.XLOOKUP(A5270,'[1]Tissue Data'!$A:$A,'[1]Tissue Data'!$D:$D)</f>
        <v>44393</v>
      </c>
      <c r="D5270" s="2" t="str">
        <f>_xlfn.XLOOKUP(A5270,'[1]Tissue Data'!$A:$A,'[1]Tissue Data'!$F:$F)</f>
        <v>Pumpkinseed</v>
      </c>
      <c r="E5270" t="str">
        <f>_xlfn.XLOOKUP(A5270,'[1]Tissue Data'!$A:$A,'[1]Tissue Data'!$H:$H)</f>
        <v>Lepomis</v>
      </c>
      <c r="F5270" t="str">
        <f>_xlfn.XLOOKUP(A5270,'[1]Tissue Data'!$A:$A,'[1]Tissue Data'!$I:$I)</f>
        <v>gibbosus</v>
      </c>
      <c r="G5270" t="str">
        <f>_xlfn.XLOOKUP(A5270,'[1]Tissue Data'!$A:$A,'[1]Tissue Data'!J:J)</f>
        <v>U</v>
      </c>
      <c r="H5270" t="str">
        <f>_xlfn.XLOOKUP(A5270,'[1]Tissue Data'!$A:$A,'[1]Tissue Data'!K:K)</f>
        <v>Whole Body</v>
      </c>
      <c r="I5270">
        <f>_xlfn.XLOOKUP(A5270,'[1]Tissue Data'!$A:$A,'[1]Tissue Data'!L:L)</f>
        <v>7.5</v>
      </c>
      <c r="J5270">
        <f>_xlfn.XLOOKUP(A5270,'[1]Tissue Data'!$A:$A,'[1]Tissue Data'!M:M)</f>
        <v>9.56</v>
      </c>
      <c r="K5270" t="s">
        <v>30</v>
      </c>
      <c r="L5270" t="str">
        <f>_xlfn.XLOOKUP(K5270,[2]analyte_order!$B:$B,[2]analyte_order!$C:$C)</f>
        <v>68259-12-1</v>
      </c>
      <c r="M5270">
        <f>_xlfn.XLOOKUP(L5270,[2]analyte_order!$C:$C,[2]analyte_order!$E:$E)</f>
        <v>19</v>
      </c>
      <c r="N5270">
        <v>1.77</v>
      </c>
    </row>
    <row r="5271" spans="1:14">
      <c r="A5271" t="s">
        <v>285</v>
      </c>
      <c r="B5271" t="str">
        <f>_xlfn.XLOOKUP(A5271,'[1]Tissue Data'!$A:$A,'[1]Tissue Data'!$C:$C)</f>
        <v>Spill</v>
      </c>
      <c r="C5271" s="2">
        <f>_xlfn.XLOOKUP(A5271,'[1]Tissue Data'!$A:$A,'[1]Tissue Data'!$D:$D)</f>
        <v>44393</v>
      </c>
      <c r="D5271" s="2" t="str">
        <f>_xlfn.XLOOKUP(A5271,'[1]Tissue Data'!$A:$A,'[1]Tissue Data'!$F:$F)</f>
        <v>Pumpkinseed</v>
      </c>
      <c r="E5271" t="str">
        <f>_xlfn.XLOOKUP(A5271,'[1]Tissue Data'!$A:$A,'[1]Tissue Data'!$H:$H)</f>
        <v>Lepomis</v>
      </c>
      <c r="F5271" t="str">
        <f>_xlfn.XLOOKUP(A5271,'[1]Tissue Data'!$A:$A,'[1]Tissue Data'!$I:$I)</f>
        <v>gibbosus</v>
      </c>
      <c r="G5271" t="str">
        <f>_xlfn.XLOOKUP(A5271,'[1]Tissue Data'!$A:$A,'[1]Tissue Data'!J:J)</f>
        <v>U</v>
      </c>
      <c r="H5271" t="str">
        <f>_xlfn.XLOOKUP(A5271,'[1]Tissue Data'!$A:$A,'[1]Tissue Data'!K:K)</f>
        <v>Whole Body</v>
      </c>
      <c r="I5271">
        <f>_xlfn.XLOOKUP(A5271,'[1]Tissue Data'!$A:$A,'[1]Tissue Data'!L:L)</f>
        <v>7.5</v>
      </c>
      <c r="J5271">
        <f>_xlfn.XLOOKUP(A5271,'[1]Tissue Data'!$A:$A,'[1]Tissue Data'!M:M)</f>
        <v>9.56</v>
      </c>
      <c r="K5271" t="s">
        <v>31</v>
      </c>
      <c r="L5271" t="str">
        <f>_xlfn.XLOOKUP(K5271,[2]analyte_order!$B:$B,[2]analyte_order!$C:$C)</f>
        <v>335-77-3</v>
      </c>
      <c r="M5271">
        <f>_xlfn.XLOOKUP(L5271,[2]analyte_order!$C:$C,[2]analyte_order!$E:$E)</f>
        <v>20</v>
      </c>
      <c r="N5271">
        <v>2.39</v>
      </c>
    </row>
    <row r="5272" spans="1:14">
      <c r="A5272" t="s">
        <v>285</v>
      </c>
      <c r="B5272" t="str">
        <f>_xlfn.XLOOKUP(A5272,'[1]Tissue Data'!$A:$A,'[1]Tissue Data'!$C:$C)</f>
        <v>Spill</v>
      </c>
      <c r="C5272" s="2">
        <f>_xlfn.XLOOKUP(A5272,'[1]Tissue Data'!$A:$A,'[1]Tissue Data'!$D:$D)</f>
        <v>44393</v>
      </c>
      <c r="D5272" s="2" t="str">
        <f>_xlfn.XLOOKUP(A5272,'[1]Tissue Data'!$A:$A,'[1]Tissue Data'!$F:$F)</f>
        <v>Pumpkinseed</v>
      </c>
      <c r="E5272" t="str">
        <f>_xlfn.XLOOKUP(A5272,'[1]Tissue Data'!$A:$A,'[1]Tissue Data'!$H:$H)</f>
        <v>Lepomis</v>
      </c>
      <c r="F5272" t="str">
        <f>_xlfn.XLOOKUP(A5272,'[1]Tissue Data'!$A:$A,'[1]Tissue Data'!$I:$I)</f>
        <v>gibbosus</v>
      </c>
      <c r="G5272" t="str">
        <f>_xlfn.XLOOKUP(A5272,'[1]Tissue Data'!$A:$A,'[1]Tissue Data'!J:J)</f>
        <v>U</v>
      </c>
      <c r="H5272" t="str">
        <f>_xlfn.XLOOKUP(A5272,'[1]Tissue Data'!$A:$A,'[1]Tissue Data'!K:K)</f>
        <v>Whole Body</v>
      </c>
      <c r="I5272">
        <f>_xlfn.XLOOKUP(A5272,'[1]Tissue Data'!$A:$A,'[1]Tissue Data'!L:L)</f>
        <v>7.5</v>
      </c>
      <c r="J5272">
        <f>_xlfn.XLOOKUP(A5272,'[1]Tissue Data'!$A:$A,'[1]Tissue Data'!M:M)</f>
        <v>9.56</v>
      </c>
      <c r="K5272" t="s">
        <v>32</v>
      </c>
      <c r="L5272" t="str">
        <f>_xlfn.XLOOKUP(K5272,[2]analyte_order!$B:$B,[2]analyte_order!$C:$C)</f>
        <v>79780-39-5</v>
      </c>
      <c r="M5272">
        <f>_xlfn.XLOOKUP(L5272,[2]analyte_order!$C:$C,[2]analyte_order!$E:$E)</f>
        <v>21</v>
      </c>
      <c r="N5272">
        <v>0.55500000000000005</v>
      </c>
    </row>
    <row r="5273" spans="1:14">
      <c r="A5273" t="s">
        <v>285</v>
      </c>
      <c r="B5273" t="str">
        <f>_xlfn.XLOOKUP(A5273,'[1]Tissue Data'!$A:$A,'[1]Tissue Data'!$C:$C)</f>
        <v>Spill</v>
      </c>
      <c r="C5273" s="2">
        <f>_xlfn.XLOOKUP(A5273,'[1]Tissue Data'!$A:$A,'[1]Tissue Data'!$D:$D)</f>
        <v>44393</v>
      </c>
      <c r="D5273" s="2" t="str">
        <f>_xlfn.XLOOKUP(A5273,'[1]Tissue Data'!$A:$A,'[1]Tissue Data'!$F:$F)</f>
        <v>Pumpkinseed</v>
      </c>
      <c r="E5273" t="str">
        <f>_xlfn.XLOOKUP(A5273,'[1]Tissue Data'!$A:$A,'[1]Tissue Data'!$H:$H)</f>
        <v>Lepomis</v>
      </c>
      <c r="F5273" t="str">
        <f>_xlfn.XLOOKUP(A5273,'[1]Tissue Data'!$A:$A,'[1]Tissue Data'!$I:$I)</f>
        <v>gibbosus</v>
      </c>
      <c r="G5273" t="str">
        <f>_xlfn.XLOOKUP(A5273,'[1]Tissue Data'!$A:$A,'[1]Tissue Data'!J:J)</f>
        <v>U</v>
      </c>
      <c r="H5273" t="str">
        <f>_xlfn.XLOOKUP(A5273,'[1]Tissue Data'!$A:$A,'[1]Tissue Data'!K:K)</f>
        <v>Whole Body</v>
      </c>
      <c r="I5273">
        <f>_xlfn.XLOOKUP(A5273,'[1]Tissue Data'!$A:$A,'[1]Tissue Data'!L:L)</f>
        <v>7.5</v>
      </c>
      <c r="J5273">
        <f>_xlfn.XLOOKUP(A5273,'[1]Tissue Data'!$A:$A,'[1]Tissue Data'!M:M)</f>
        <v>9.56</v>
      </c>
      <c r="K5273" t="s">
        <v>33</v>
      </c>
      <c r="L5273" t="str">
        <f>_xlfn.XLOOKUP(K5273,[2]analyte_order!$B:$B,[2]analyte_order!$C:$C)</f>
        <v>777011-38-8</v>
      </c>
      <c r="M5273">
        <f>_xlfn.XLOOKUP(L5273,[2]analyte_order!$C:$C,[2]analyte_order!$E:$E)</f>
        <v>54</v>
      </c>
      <c r="N5273">
        <v>0.13750000000000001</v>
      </c>
    </row>
    <row r="5274" spans="1:14">
      <c r="A5274" t="s">
        <v>285</v>
      </c>
      <c r="B5274" t="str">
        <f>_xlfn.XLOOKUP(A5274,'[1]Tissue Data'!$A:$A,'[1]Tissue Data'!$C:$C)</f>
        <v>Spill</v>
      </c>
      <c r="C5274" s="2">
        <f>_xlfn.XLOOKUP(A5274,'[1]Tissue Data'!$A:$A,'[1]Tissue Data'!$D:$D)</f>
        <v>44393</v>
      </c>
      <c r="D5274" s="2" t="str">
        <f>_xlfn.XLOOKUP(A5274,'[1]Tissue Data'!$A:$A,'[1]Tissue Data'!$F:$F)</f>
        <v>Pumpkinseed</v>
      </c>
      <c r="E5274" t="str">
        <f>_xlfn.XLOOKUP(A5274,'[1]Tissue Data'!$A:$A,'[1]Tissue Data'!$H:$H)</f>
        <v>Lepomis</v>
      </c>
      <c r="F5274" t="str">
        <f>_xlfn.XLOOKUP(A5274,'[1]Tissue Data'!$A:$A,'[1]Tissue Data'!$I:$I)</f>
        <v>gibbosus</v>
      </c>
      <c r="G5274" t="str">
        <f>_xlfn.XLOOKUP(A5274,'[1]Tissue Data'!$A:$A,'[1]Tissue Data'!J:J)</f>
        <v>U</v>
      </c>
      <c r="H5274" t="str">
        <f>_xlfn.XLOOKUP(A5274,'[1]Tissue Data'!$A:$A,'[1]Tissue Data'!K:K)</f>
        <v>Whole Body</v>
      </c>
      <c r="I5274">
        <f>_xlfn.XLOOKUP(A5274,'[1]Tissue Data'!$A:$A,'[1]Tissue Data'!L:L)</f>
        <v>7.5</v>
      </c>
      <c r="J5274">
        <f>_xlfn.XLOOKUP(A5274,'[1]Tissue Data'!$A:$A,'[1]Tissue Data'!M:M)</f>
        <v>9.56</v>
      </c>
      <c r="K5274" t="s">
        <v>34</v>
      </c>
      <c r="L5274" t="str">
        <f>_xlfn.XLOOKUP(K5274,[2]analyte_order!$B:$B,[2]analyte_order!$C:$C)</f>
        <v>646-83-3</v>
      </c>
      <c r="M5274">
        <f>_xlfn.XLOOKUP(L5274,[2]analyte_order!$C:$C,[2]analyte_order!$E:$E)</f>
        <v>55</v>
      </c>
      <c r="N5274">
        <v>0.22650000000000001</v>
      </c>
    </row>
    <row r="5275" spans="1:14">
      <c r="A5275" t="s">
        <v>285</v>
      </c>
      <c r="B5275" t="str">
        <f>_xlfn.XLOOKUP(A5275,'[1]Tissue Data'!$A:$A,'[1]Tissue Data'!$C:$C)</f>
        <v>Spill</v>
      </c>
      <c r="C5275" s="2">
        <f>_xlfn.XLOOKUP(A5275,'[1]Tissue Data'!$A:$A,'[1]Tissue Data'!$D:$D)</f>
        <v>44393</v>
      </c>
      <c r="D5275" s="2" t="str">
        <f>_xlfn.XLOOKUP(A5275,'[1]Tissue Data'!$A:$A,'[1]Tissue Data'!$F:$F)</f>
        <v>Pumpkinseed</v>
      </c>
      <c r="E5275" t="str">
        <f>_xlfn.XLOOKUP(A5275,'[1]Tissue Data'!$A:$A,'[1]Tissue Data'!$H:$H)</f>
        <v>Lepomis</v>
      </c>
      <c r="F5275" t="str">
        <f>_xlfn.XLOOKUP(A5275,'[1]Tissue Data'!$A:$A,'[1]Tissue Data'!$I:$I)</f>
        <v>gibbosus</v>
      </c>
      <c r="G5275" t="str">
        <f>_xlfn.XLOOKUP(A5275,'[1]Tissue Data'!$A:$A,'[1]Tissue Data'!J:J)</f>
        <v>U</v>
      </c>
      <c r="H5275" t="str">
        <f>_xlfn.XLOOKUP(A5275,'[1]Tissue Data'!$A:$A,'[1]Tissue Data'!K:K)</f>
        <v>Whole Body</v>
      </c>
      <c r="I5275">
        <f>_xlfn.XLOOKUP(A5275,'[1]Tissue Data'!$A:$A,'[1]Tissue Data'!L:L)</f>
        <v>7.5</v>
      </c>
      <c r="J5275">
        <f>_xlfn.XLOOKUP(A5275,'[1]Tissue Data'!$A:$A,'[1]Tissue Data'!M:M)</f>
        <v>9.56</v>
      </c>
      <c r="K5275" t="s">
        <v>35</v>
      </c>
      <c r="L5275" t="str">
        <f>_xlfn.XLOOKUP(K5275,[2]analyte_order!$B:$B,[2]analyte_order!$C:$C)</f>
        <v>30334-69-1</v>
      </c>
      <c r="M5275">
        <f>_xlfn.XLOOKUP(L5275,[2]analyte_order!$C:$C,[2]analyte_order!$E:$E)</f>
        <v>51</v>
      </c>
      <c r="N5275">
        <v>31</v>
      </c>
    </row>
    <row r="5276" spans="1:14">
      <c r="A5276" t="s">
        <v>285</v>
      </c>
      <c r="B5276" t="str">
        <f>_xlfn.XLOOKUP(A5276,'[1]Tissue Data'!$A:$A,'[1]Tissue Data'!$C:$C)</f>
        <v>Spill</v>
      </c>
      <c r="C5276" s="2">
        <f>_xlfn.XLOOKUP(A5276,'[1]Tissue Data'!$A:$A,'[1]Tissue Data'!$D:$D)</f>
        <v>44393</v>
      </c>
      <c r="D5276" s="2" t="str">
        <f>_xlfn.XLOOKUP(A5276,'[1]Tissue Data'!$A:$A,'[1]Tissue Data'!$F:$F)</f>
        <v>Pumpkinseed</v>
      </c>
      <c r="E5276" t="str">
        <f>_xlfn.XLOOKUP(A5276,'[1]Tissue Data'!$A:$A,'[1]Tissue Data'!$H:$H)</f>
        <v>Lepomis</v>
      </c>
      <c r="F5276" t="str">
        <f>_xlfn.XLOOKUP(A5276,'[1]Tissue Data'!$A:$A,'[1]Tissue Data'!$I:$I)</f>
        <v>gibbosus</v>
      </c>
      <c r="G5276" t="str">
        <f>_xlfn.XLOOKUP(A5276,'[1]Tissue Data'!$A:$A,'[1]Tissue Data'!J:J)</f>
        <v>U</v>
      </c>
      <c r="H5276" t="str">
        <f>_xlfn.XLOOKUP(A5276,'[1]Tissue Data'!$A:$A,'[1]Tissue Data'!K:K)</f>
        <v>Whole Body</v>
      </c>
      <c r="I5276">
        <f>_xlfn.XLOOKUP(A5276,'[1]Tissue Data'!$A:$A,'[1]Tissue Data'!L:L)</f>
        <v>7.5</v>
      </c>
      <c r="J5276">
        <f>_xlfn.XLOOKUP(A5276,'[1]Tissue Data'!$A:$A,'[1]Tissue Data'!M:M)</f>
        <v>9.56</v>
      </c>
      <c r="K5276" t="s">
        <v>36</v>
      </c>
      <c r="L5276" t="str">
        <f>_xlfn.XLOOKUP(K5276,[2]analyte_order!$B:$B,[2]analyte_order!$C:$C)</f>
        <v>41997-13-1</v>
      </c>
      <c r="M5276">
        <f>_xlfn.XLOOKUP(L5276,[2]analyte_order!$C:$C,[2]analyte_order!$E:$E)</f>
        <v>52</v>
      </c>
      <c r="N5276">
        <v>42.3</v>
      </c>
    </row>
    <row r="5277" spans="1:14">
      <c r="A5277" t="s">
        <v>285</v>
      </c>
      <c r="B5277" t="str">
        <f>_xlfn.XLOOKUP(A5277,'[1]Tissue Data'!$A:$A,'[1]Tissue Data'!$C:$C)</f>
        <v>Spill</v>
      </c>
      <c r="C5277" s="2">
        <f>_xlfn.XLOOKUP(A5277,'[1]Tissue Data'!$A:$A,'[1]Tissue Data'!$D:$D)</f>
        <v>44393</v>
      </c>
      <c r="D5277" s="2" t="str">
        <f>_xlfn.XLOOKUP(A5277,'[1]Tissue Data'!$A:$A,'[1]Tissue Data'!$F:$F)</f>
        <v>Pumpkinseed</v>
      </c>
      <c r="E5277" t="str">
        <f>_xlfn.XLOOKUP(A5277,'[1]Tissue Data'!$A:$A,'[1]Tissue Data'!$H:$H)</f>
        <v>Lepomis</v>
      </c>
      <c r="F5277" t="str">
        <f>_xlfn.XLOOKUP(A5277,'[1]Tissue Data'!$A:$A,'[1]Tissue Data'!$I:$I)</f>
        <v>gibbosus</v>
      </c>
      <c r="G5277" t="str">
        <f>_xlfn.XLOOKUP(A5277,'[1]Tissue Data'!$A:$A,'[1]Tissue Data'!J:J)</f>
        <v>U</v>
      </c>
      <c r="H5277" t="str">
        <f>_xlfn.XLOOKUP(A5277,'[1]Tissue Data'!$A:$A,'[1]Tissue Data'!K:K)</f>
        <v>Whole Body</v>
      </c>
      <c r="I5277">
        <f>_xlfn.XLOOKUP(A5277,'[1]Tissue Data'!$A:$A,'[1]Tissue Data'!L:L)</f>
        <v>7.5</v>
      </c>
      <c r="J5277">
        <f>_xlfn.XLOOKUP(A5277,'[1]Tissue Data'!$A:$A,'[1]Tissue Data'!M:M)</f>
        <v>9.56</v>
      </c>
      <c r="K5277" t="s">
        <v>37</v>
      </c>
      <c r="L5277" t="str">
        <f>_xlfn.XLOOKUP(K5277,[2]analyte_order!$B:$B,[2]analyte_order!$C:$C)</f>
        <v>754-91-6</v>
      </c>
      <c r="M5277">
        <f>_xlfn.XLOOKUP(L5277,[2]analyte_order!$C:$C,[2]analyte_order!$E:$E)</f>
        <v>28</v>
      </c>
      <c r="N5277">
        <v>8.76</v>
      </c>
    </row>
    <row r="5278" spans="1:14">
      <c r="A5278" t="s">
        <v>285</v>
      </c>
      <c r="B5278" t="str">
        <f>_xlfn.XLOOKUP(A5278,'[1]Tissue Data'!$A:$A,'[1]Tissue Data'!$C:$C)</f>
        <v>Spill</v>
      </c>
      <c r="C5278" s="2">
        <f>_xlfn.XLOOKUP(A5278,'[1]Tissue Data'!$A:$A,'[1]Tissue Data'!$D:$D)</f>
        <v>44393</v>
      </c>
      <c r="D5278" s="2" t="str">
        <f>_xlfn.XLOOKUP(A5278,'[1]Tissue Data'!$A:$A,'[1]Tissue Data'!$F:$F)</f>
        <v>Pumpkinseed</v>
      </c>
      <c r="E5278" t="str">
        <f>_xlfn.XLOOKUP(A5278,'[1]Tissue Data'!$A:$A,'[1]Tissue Data'!$H:$H)</f>
        <v>Lepomis</v>
      </c>
      <c r="F5278" t="str">
        <f>_xlfn.XLOOKUP(A5278,'[1]Tissue Data'!$A:$A,'[1]Tissue Data'!$I:$I)</f>
        <v>gibbosus</v>
      </c>
      <c r="G5278" t="str">
        <f>_xlfn.XLOOKUP(A5278,'[1]Tissue Data'!$A:$A,'[1]Tissue Data'!J:J)</f>
        <v>U</v>
      </c>
      <c r="H5278" t="str">
        <f>_xlfn.XLOOKUP(A5278,'[1]Tissue Data'!$A:$A,'[1]Tissue Data'!K:K)</f>
        <v>Whole Body</v>
      </c>
      <c r="I5278">
        <f>_xlfn.XLOOKUP(A5278,'[1]Tissue Data'!$A:$A,'[1]Tissue Data'!L:L)</f>
        <v>7.5</v>
      </c>
      <c r="J5278">
        <f>_xlfn.XLOOKUP(A5278,'[1]Tissue Data'!$A:$A,'[1]Tissue Data'!M:M)</f>
        <v>9.56</v>
      </c>
      <c r="K5278" t="s">
        <v>38</v>
      </c>
      <c r="L5278" t="str">
        <f>_xlfn.XLOOKUP(K5278,[2]analyte_order!$B:$B,[2]analyte_order!$C:$C)</f>
        <v>31506-32-8</v>
      </c>
      <c r="M5278">
        <f>_xlfn.XLOOKUP(L5278,[2]analyte_order!$C:$C,[2]analyte_order!$E:$E)</f>
        <v>30</v>
      </c>
      <c r="N5278">
        <v>6.8500000000000005E-2</v>
      </c>
    </row>
    <row r="5279" spans="1:14">
      <c r="A5279" t="s">
        <v>285</v>
      </c>
      <c r="B5279" t="str">
        <f>_xlfn.XLOOKUP(A5279,'[1]Tissue Data'!$A:$A,'[1]Tissue Data'!$C:$C)</f>
        <v>Spill</v>
      </c>
      <c r="C5279" s="2">
        <f>_xlfn.XLOOKUP(A5279,'[1]Tissue Data'!$A:$A,'[1]Tissue Data'!$D:$D)</f>
        <v>44393</v>
      </c>
      <c r="D5279" s="2" t="str">
        <f>_xlfn.XLOOKUP(A5279,'[1]Tissue Data'!$A:$A,'[1]Tissue Data'!$F:$F)</f>
        <v>Pumpkinseed</v>
      </c>
      <c r="E5279" t="str">
        <f>_xlfn.XLOOKUP(A5279,'[1]Tissue Data'!$A:$A,'[1]Tissue Data'!$H:$H)</f>
        <v>Lepomis</v>
      </c>
      <c r="F5279" t="str">
        <f>_xlfn.XLOOKUP(A5279,'[1]Tissue Data'!$A:$A,'[1]Tissue Data'!$I:$I)</f>
        <v>gibbosus</v>
      </c>
      <c r="G5279" t="str">
        <f>_xlfn.XLOOKUP(A5279,'[1]Tissue Data'!$A:$A,'[1]Tissue Data'!J:J)</f>
        <v>U</v>
      </c>
      <c r="H5279" t="str">
        <f>_xlfn.XLOOKUP(A5279,'[1]Tissue Data'!$A:$A,'[1]Tissue Data'!K:K)</f>
        <v>Whole Body</v>
      </c>
      <c r="I5279">
        <f>_xlfn.XLOOKUP(A5279,'[1]Tissue Data'!$A:$A,'[1]Tissue Data'!L:L)</f>
        <v>7.5</v>
      </c>
      <c r="J5279">
        <f>_xlfn.XLOOKUP(A5279,'[1]Tissue Data'!$A:$A,'[1]Tissue Data'!M:M)</f>
        <v>9.56</v>
      </c>
      <c r="K5279" t="s">
        <v>39</v>
      </c>
      <c r="L5279" t="str">
        <f>_xlfn.XLOOKUP(K5279,[2]analyte_order!$B:$B,[2]analyte_order!$C:$C)</f>
        <v>4151-50-2</v>
      </c>
      <c r="M5279">
        <f>_xlfn.XLOOKUP(L5279,[2]analyte_order!$C:$C,[2]analyte_order!$E:$E)</f>
        <v>31</v>
      </c>
      <c r="N5279">
        <v>0.08</v>
      </c>
    </row>
    <row r="5280" spans="1:14">
      <c r="A5280" t="s">
        <v>285</v>
      </c>
      <c r="B5280" t="str">
        <f>_xlfn.XLOOKUP(A5280,'[1]Tissue Data'!$A:$A,'[1]Tissue Data'!$C:$C)</f>
        <v>Spill</v>
      </c>
      <c r="C5280" s="2">
        <f>_xlfn.XLOOKUP(A5280,'[1]Tissue Data'!$A:$A,'[1]Tissue Data'!$D:$D)</f>
        <v>44393</v>
      </c>
      <c r="D5280" s="2" t="str">
        <f>_xlfn.XLOOKUP(A5280,'[1]Tissue Data'!$A:$A,'[1]Tissue Data'!$F:$F)</f>
        <v>Pumpkinseed</v>
      </c>
      <c r="E5280" t="str">
        <f>_xlfn.XLOOKUP(A5280,'[1]Tissue Data'!$A:$A,'[1]Tissue Data'!$H:$H)</f>
        <v>Lepomis</v>
      </c>
      <c r="F5280" t="str">
        <f>_xlfn.XLOOKUP(A5280,'[1]Tissue Data'!$A:$A,'[1]Tissue Data'!$I:$I)</f>
        <v>gibbosus</v>
      </c>
      <c r="G5280" t="str">
        <f>_xlfn.XLOOKUP(A5280,'[1]Tissue Data'!$A:$A,'[1]Tissue Data'!J:J)</f>
        <v>U</v>
      </c>
      <c r="H5280" t="str">
        <f>_xlfn.XLOOKUP(A5280,'[1]Tissue Data'!$A:$A,'[1]Tissue Data'!K:K)</f>
        <v>Whole Body</v>
      </c>
      <c r="I5280">
        <f>_xlfn.XLOOKUP(A5280,'[1]Tissue Data'!$A:$A,'[1]Tissue Data'!L:L)</f>
        <v>7.5</v>
      </c>
      <c r="J5280">
        <f>_xlfn.XLOOKUP(A5280,'[1]Tissue Data'!$A:$A,'[1]Tissue Data'!M:M)</f>
        <v>9.56</v>
      </c>
      <c r="K5280" t="s">
        <v>40</v>
      </c>
      <c r="L5280" t="str">
        <f>_xlfn.XLOOKUP(K5280,[2]analyte_order!$B:$B,[2]analyte_order!$C:$C)</f>
        <v>2806-24-8</v>
      </c>
      <c r="M5280">
        <f>_xlfn.XLOOKUP(L5280,[2]analyte_order!$C:$C,[2]analyte_order!$E:$E)</f>
        <v>29</v>
      </c>
      <c r="N5280">
        <v>5.3999999999999999E-2</v>
      </c>
    </row>
    <row r="5281" spans="1:14">
      <c r="A5281" t="s">
        <v>285</v>
      </c>
      <c r="B5281" t="str">
        <f>_xlfn.XLOOKUP(A5281,'[1]Tissue Data'!$A:$A,'[1]Tissue Data'!$C:$C)</f>
        <v>Spill</v>
      </c>
      <c r="C5281" s="2">
        <f>_xlfn.XLOOKUP(A5281,'[1]Tissue Data'!$A:$A,'[1]Tissue Data'!$D:$D)</f>
        <v>44393</v>
      </c>
      <c r="D5281" s="2" t="str">
        <f>_xlfn.XLOOKUP(A5281,'[1]Tissue Data'!$A:$A,'[1]Tissue Data'!$F:$F)</f>
        <v>Pumpkinseed</v>
      </c>
      <c r="E5281" t="str">
        <f>_xlfn.XLOOKUP(A5281,'[1]Tissue Data'!$A:$A,'[1]Tissue Data'!$H:$H)</f>
        <v>Lepomis</v>
      </c>
      <c r="F5281" t="str">
        <f>_xlfn.XLOOKUP(A5281,'[1]Tissue Data'!$A:$A,'[1]Tissue Data'!$I:$I)</f>
        <v>gibbosus</v>
      </c>
      <c r="G5281" t="str">
        <f>_xlfn.XLOOKUP(A5281,'[1]Tissue Data'!$A:$A,'[1]Tissue Data'!J:J)</f>
        <v>U</v>
      </c>
      <c r="H5281" t="str">
        <f>_xlfn.XLOOKUP(A5281,'[1]Tissue Data'!$A:$A,'[1]Tissue Data'!K:K)</f>
        <v>Whole Body</v>
      </c>
      <c r="I5281">
        <f>_xlfn.XLOOKUP(A5281,'[1]Tissue Data'!$A:$A,'[1]Tissue Data'!L:L)</f>
        <v>7.5</v>
      </c>
      <c r="J5281">
        <f>_xlfn.XLOOKUP(A5281,'[1]Tissue Data'!$A:$A,'[1]Tissue Data'!M:M)</f>
        <v>9.56</v>
      </c>
      <c r="K5281" t="s">
        <v>41</v>
      </c>
      <c r="L5281" t="str">
        <f>_xlfn.XLOOKUP(K5281,[2]analyte_order!$B:$B,[2]analyte_order!$C:$C)</f>
        <v>2355-31-9</v>
      </c>
      <c r="M5281">
        <f>_xlfn.XLOOKUP(L5281,[2]analyte_order!$C:$C,[2]analyte_order!$E:$E)</f>
        <v>26</v>
      </c>
      <c r="N5281">
        <v>6.9000000000000006E-2</v>
      </c>
    </row>
    <row r="5282" spans="1:14">
      <c r="A5282" t="s">
        <v>285</v>
      </c>
      <c r="B5282" t="str">
        <f>_xlfn.XLOOKUP(A5282,'[1]Tissue Data'!$A:$A,'[1]Tissue Data'!$C:$C)</f>
        <v>Spill</v>
      </c>
      <c r="C5282" s="2">
        <f>_xlfn.XLOOKUP(A5282,'[1]Tissue Data'!$A:$A,'[1]Tissue Data'!$D:$D)</f>
        <v>44393</v>
      </c>
      <c r="D5282" s="2" t="str">
        <f>_xlfn.XLOOKUP(A5282,'[1]Tissue Data'!$A:$A,'[1]Tissue Data'!$F:$F)</f>
        <v>Pumpkinseed</v>
      </c>
      <c r="E5282" t="str">
        <f>_xlfn.XLOOKUP(A5282,'[1]Tissue Data'!$A:$A,'[1]Tissue Data'!$H:$H)</f>
        <v>Lepomis</v>
      </c>
      <c r="F5282" t="str">
        <f>_xlfn.XLOOKUP(A5282,'[1]Tissue Data'!$A:$A,'[1]Tissue Data'!$I:$I)</f>
        <v>gibbosus</v>
      </c>
      <c r="G5282" t="str">
        <f>_xlfn.XLOOKUP(A5282,'[1]Tissue Data'!$A:$A,'[1]Tissue Data'!J:J)</f>
        <v>U</v>
      </c>
      <c r="H5282" t="str">
        <f>_xlfn.XLOOKUP(A5282,'[1]Tissue Data'!$A:$A,'[1]Tissue Data'!K:K)</f>
        <v>Whole Body</v>
      </c>
      <c r="I5282">
        <f>_xlfn.XLOOKUP(A5282,'[1]Tissue Data'!$A:$A,'[1]Tissue Data'!L:L)</f>
        <v>7.5</v>
      </c>
      <c r="J5282">
        <f>_xlfn.XLOOKUP(A5282,'[1]Tissue Data'!$A:$A,'[1]Tissue Data'!M:M)</f>
        <v>9.56</v>
      </c>
      <c r="K5282" t="s">
        <v>42</v>
      </c>
      <c r="L5282" t="str">
        <f>_xlfn.XLOOKUP(K5282,[2]analyte_order!$B:$B,[2]analyte_order!$C:$C)</f>
        <v>2991-50-6</v>
      </c>
      <c r="M5282">
        <f>_xlfn.XLOOKUP(L5282,[2]analyte_order!$C:$C,[2]analyte_order!$E:$E)</f>
        <v>27</v>
      </c>
      <c r="N5282">
        <v>5.9499999999999997E-2</v>
      </c>
    </row>
    <row r="5283" spans="1:14">
      <c r="A5283" t="s">
        <v>285</v>
      </c>
      <c r="B5283" t="str">
        <f>_xlfn.XLOOKUP(A5283,'[1]Tissue Data'!$A:$A,'[1]Tissue Data'!$C:$C)</f>
        <v>Spill</v>
      </c>
      <c r="C5283" s="2">
        <f>_xlfn.XLOOKUP(A5283,'[1]Tissue Data'!$A:$A,'[1]Tissue Data'!$D:$D)</f>
        <v>44393</v>
      </c>
      <c r="D5283" s="2" t="str">
        <f>_xlfn.XLOOKUP(A5283,'[1]Tissue Data'!$A:$A,'[1]Tissue Data'!$F:$F)</f>
        <v>Pumpkinseed</v>
      </c>
      <c r="E5283" t="str">
        <f>_xlfn.XLOOKUP(A5283,'[1]Tissue Data'!$A:$A,'[1]Tissue Data'!$H:$H)</f>
        <v>Lepomis</v>
      </c>
      <c r="F5283" t="str">
        <f>_xlfn.XLOOKUP(A5283,'[1]Tissue Data'!$A:$A,'[1]Tissue Data'!$I:$I)</f>
        <v>gibbosus</v>
      </c>
      <c r="G5283" t="str">
        <f>_xlfn.XLOOKUP(A5283,'[1]Tissue Data'!$A:$A,'[1]Tissue Data'!J:J)</f>
        <v>U</v>
      </c>
      <c r="H5283" t="str">
        <f>_xlfn.XLOOKUP(A5283,'[1]Tissue Data'!$A:$A,'[1]Tissue Data'!K:K)</f>
        <v>Whole Body</v>
      </c>
      <c r="I5283">
        <f>_xlfn.XLOOKUP(A5283,'[1]Tissue Data'!$A:$A,'[1]Tissue Data'!L:L)</f>
        <v>7.5</v>
      </c>
      <c r="J5283">
        <f>_xlfn.XLOOKUP(A5283,'[1]Tissue Data'!$A:$A,'[1]Tissue Data'!M:M)</f>
        <v>9.56</v>
      </c>
      <c r="K5283" t="s">
        <v>43</v>
      </c>
      <c r="L5283" t="str">
        <f>_xlfn.XLOOKUP(K5283,[2]analyte_order!$B:$B,[2]analyte_order!$C:$C)</f>
        <v>757124-72-4</v>
      </c>
      <c r="M5283">
        <f>_xlfn.XLOOKUP(L5283,[2]analyte_order!$C:$C,[2]analyte_order!$E:$E)</f>
        <v>22</v>
      </c>
      <c r="N5283">
        <v>6.8500000000000005E-2</v>
      </c>
    </row>
    <row r="5284" spans="1:14">
      <c r="A5284" t="s">
        <v>285</v>
      </c>
      <c r="B5284" t="str">
        <f>_xlfn.XLOOKUP(A5284,'[1]Tissue Data'!$A:$A,'[1]Tissue Data'!$C:$C)</f>
        <v>Spill</v>
      </c>
      <c r="C5284" s="2">
        <f>_xlfn.XLOOKUP(A5284,'[1]Tissue Data'!$A:$A,'[1]Tissue Data'!$D:$D)</f>
        <v>44393</v>
      </c>
      <c r="D5284" s="2" t="str">
        <f>_xlfn.XLOOKUP(A5284,'[1]Tissue Data'!$A:$A,'[1]Tissue Data'!$F:$F)</f>
        <v>Pumpkinseed</v>
      </c>
      <c r="E5284" t="str">
        <f>_xlfn.XLOOKUP(A5284,'[1]Tissue Data'!$A:$A,'[1]Tissue Data'!$H:$H)</f>
        <v>Lepomis</v>
      </c>
      <c r="F5284" t="str">
        <f>_xlfn.XLOOKUP(A5284,'[1]Tissue Data'!$A:$A,'[1]Tissue Data'!$I:$I)</f>
        <v>gibbosus</v>
      </c>
      <c r="G5284" t="str">
        <f>_xlfn.XLOOKUP(A5284,'[1]Tissue Data'!$A:$A,'[1]Tissue Data'!J:J)</f>
        <v>U</v>
      </c>
      <c r="H5284" t="str">
        <f>_xlfn.XLOOKUP(A5284,'[1]Tissue Data'!$A:$A,'[1]Tissue Data'!K:K)</f>
        <v>Whole Body</v>
      </c>
      <c r="I5284">
        <f>_xlfn.XLOOKUP(A5284,'[1]Tissue Data'!$A:$A,'[1]Tissue Data'!L:L)</f>
        <v>7.5</v>
      </c>
      <c r="J5284">
        <f>_xlfn.XLOOKUP(A5284,'[1]Tissue Data'!$A:$A,'[1]Tissue Data'!M:M)</f>
        <v>9.56</v>
      </c>
      <c r="K5284" t="s">
        <v>44</v>
      </c>
      <c r="L5284" t="str">
        <f>_xlfn.XLOOKUP(K5284,[2]analyte_order!$B:$B,[2]analyte_order!$C:$C)</f>
        <v>27619-97-2</v>
      </c>
      <c r="M5284">
        <f>_xlfn.XLOOKUP(L5284,[2]analyte_order!$C:$C,[2]analyte_order!$E:$E)</f>
        <v>23</v>
      </c>
      <c r="N5284">
        <v>0.39700000000000002</v>
      </c>
    </row>
    <row r="5285" spans="1:14">
      <c r="A5285" t="s">
        <v>285</v>
      </c>
      <c r="B5285" t="str">
        <f>_xlfn.XLOOKUP(A5285,'[1]Tissue Data'!$A:$A,'[1]Tissue Data'!$C:$C)</f>
        <v>Spill</v>
      </c>
      <c r="C5285" s="2">
        <f>_xlfn.XLOOKUP(A5285,'[1]Tissue Data'!$A:$A,'[1]Tissue Data'!$D:$D)</f>
        <v>44393</v>
      </c>
      <c r="D5285" s="2" t="str">
        <f>_xlfn.XLOOKUP(A5285,'[1]Tissue Data'!$A:$A,'[1]Tissue Data'!$F:$F)</f>
        <v>Pumpkinseed</v>
      </c>
      <c r="E5285" t="str">
        <f>_xlfn.XLOOKUP(A5285,'[1]Tissue Data'!$A:$A,'[1]Tissue Data'!$H:$H)</f>
        <v>Lepomis</v>
      </c>
      <c r="F5285" t="str">
        <f>_xlfn.XLOOKUP(A5285,'[1]Tissue Data'!$A:$A,'[1]Tissue Data'!$I:$I)</f>
        <v>gibbosus</v>
      </c>
      <c r="G5285" t="str">
        <f>_xlfn.XLOOKUP(A5285,'[1]Tissue Data'!$A:$A,'[1]Tissue Data'!J:J)</f>
        <v>U</v>
      </c>
      <c r="H5285" t="str">
        <f>_xlfn.XLOOKUP(A5285,'[1]Tissue Data'!$A:$A,'[1]Tissue Data'!K:K)</f>
        <v>Whole Body</v>
      </c>
      <c r="I5285">
        <f>_xlfn.XLOOKUP(A5285,'[1]Tissue Data'!$A:$A,'[1]Tissue Data'!L:L)</f>
        <v>7.5</v>
      </c>
      <c r="J5285">
        <f>_xlfn.XLOOKUP(A5285,'[1]Tissue Data'!$A:$A,'[1]Tissue Data'!M:M)</f>
        <v>9.56</v>
      </c>
      <c r="K5285" t="s">
        <v>45</v>
      </c>
      <c r="L5285" t="str">
        <f>_xlfn.XLOOKUP(K5285,[2]analyte_order!$B:$B,[2]analyte_order!$C:$C)</f>
        <v>39108-34-4</v>
      </c>
      <c r="M5285">
        <f>_xlfn.XLOOKUP(L5285,[2]analyte_order!$C:$C,[2]analyte_order!$E:$E)</f>
        <v>24</v>
      </c>
      <c r="N5285">
        <v>3.01</v>
      </c>
    </row>
    <row r="5286" spans="1:14">
      <c r="A5286" t="s">
        <v>285</v>
      </c>
      <c r="B5286" t="str">
        <f>_xlfn.XLOOKUP(A5286,'[1]Tissue Data'!$A:$A,'[1]Tissue Data'!$C:$C)</f>
        <v>Spill</v>
      </c>
      <c r="C5286" s="2">
        <f>_xlfn.XLOOKUP(A5286,'[1]Tissue Data'!$A:$A,'[1]Tissue Data'!$D:$D)</f>
        <v>44393</v>
      </c>
      <c r="D5286" s="2" t="str">
        <f>_xlfn.XLOOKUP(A5286,'[1]Tissue Data'!$A:$A,'[1]Tissue Data'!$F:$F)</f>
        <v>Pumpkinseed</v>
      </c>
      <c r="E5286" t="str">
        <f>_xlfn.XLOOKUP(A5286,'[1]Tissue Data'!$A:$A,'[1]Tissue Data'!$H:$H)</f>
        <v>Lepomis</v>
      </c>
      <c r="F5286" t="str">
        <f>_xlfn.XLOOKUP(A5286,'[1]Tissue Data'!$A:$A,'[1]Tissue Data'!$I:$I)</f>
        <v>gibbosus</v>
      </c>
      <c r="G5286" t="str">
        <f>_xlfn.XLOOKUP(A5286,'[1]Tissue Data'!$A:$A,'[1]Tissue Data'!J:J)</f>
        <v>U</v>
      </c>
      <c r="H5286" t="str">
        <f>_xlfn.XLOOKUP(A5286,'[1]Tissue Data'!$A:$A,'[1]Tissue Data'!K:K)</f>
        <v>Whole Body</v>
      </c>
      <c r="I5286">
        <f>_xlfn.XLOOKUP(A5286,'[1]Tissue Data'!$A:$A,'[1]Tissue Data'!L:L)</f>
        <v>7.5</v>
      </c>
      <c r="J5286">
        <f>_xlfn.XLOOKUP(A5286,'[1]Tissue Data'!$A:$A,'[1]Tissue Data'!M:M)</f>
        <v>9.56</v>
      </c>
      <c r="K5286" t="s">
        <v>46</v>
      </c>
      <c r="L5286" t="str">
        <f>_xlfn.XLOOKUP(K5286,[2]analyte_order!$B:$B,[2]analyte_order!$C:$C)</f>
        <v>120226-60-0</v>
      </c>
      <c r="M5286">
        <f>_xlfn.XLOOKUP(L5286,[2]analyte_order!$C:$C,[2]analyte_order!$E:$E)</f>
        <v>25</v>
      </c>
      <c r="N5286">
        <v>0.25700000000000001</v>
      </c>
    </row>
    <row r="5287" spans="1:14">
      <c r="A5287" t="s">
        <v>285</v>
      </c>
      <c r="B5287" t="str">
        <f>_xlfn.XLOOKUP(A5287,'[1]Tissue Data'!$A:$A,'[1]Tissue Data'!$C:$C)</f>
        <v>Spill</v>
      </c>
      <c r="C5287" s="2">
        <f>_xlfn.XLOOKUP(A5287,'[1]Tissue Data'!$A:$A,'[1]Tissue Data'!$D:$D)</f>
        <v>44393</v>
      </c>
      <c r="D5287" s="2" t="str">
        <f>_xlfn.XLOOKUP(A5287,'[1]Tissue Data'!$A:$A,'[1]Tissue Data'!$F:$F)</f>
        <v>Pumpkinseed</v>
      </c>
      <c r="E5287" t="str">
        <f>_xlfn.XLOOKUP(A5287,'[1]Tissue Data'!$A:$A,'[1]Tissue Data'!$H:$H)</f>
        <v>Lepomis</v>
      </c>
      <c r="F5287" t="str">
        <f>_xlfn.XLOOKUP(A5287,'[1]Tissue Data'!$A:$A,'[1]Tissue Data'!$I:$I)</f>
        <v>gibbosus</v>
      </c>
      <c r="G5287" t="str">
        <f>_xlfn.XLOOKUP(A5287,'[1]Tissue Data'!$A:$A,'[1]Tissue Data'!J:J)</f>
        <v>U</v>
      </c>
      <c r="H5287" t="str">
        <f>_xlfn.XLOOKUP(A5287,'[1]Tissue Data'!$A:$A,'[1]Tissue Data'!K:K)</f>
        <v>Whole Body</v>
      </c>
      <c r="I5287">
        <f>_xlfn.XLOOKUP(A5287,'[1]Tissue Data'!$A:$A,'[1]Tissue Data'!L:L)</f>
        <v>7.5</v>
      </c>
      <c r="J5287">
        <f>_xlfn.XLOOKUP(A5287,'[1]Tissue Data'!$A:$A,'[1]Tissue Data'!M:M)</f>
        <v>9.56</v>
      </c>
      <c r="K5287" t="s">
        <v>47</v>
      </c>
      <c r="L5287" t="str">
        <f>_xlfn.XLOOKUP(K5287,[2]analyte_order!$B:$B,[2]analyte_order!$C:$C)</f>
        <v>356-02-5</v>
      </c>
      <c r="M5287">
        <f>_xlfn.XLOOKUP(L5287,[2]analyte_order!$C:$C,[2]analyte_order!$E:$E)</f>
        <v>38</v>
      </c>
      <c r="N5287">
        <v>7.9000000000000001E-2</v>
      </c>
    </row>
    <row r="5288" spans="1:14">
      <c r="A5288" t="s">
        <v>285</v>
      </c>
      <c r="B5288" t="str">
        <f>_xlfn.XLOOKUP(A5288,'[1]Tissue Data'!$A:$A,'[1]Tissue Data'!$C:$C)</f>
        <v>Spill</v>
      </c>
      <c r="C5288" s="2">
        <f>_xlfn.XLOOKUP(A5288,'[1]Tissue Data'!$A:$A,'[1]Tissue Data'!$D:$D)</f>
        <v>44393</v>
      </c>
      <c r="D5288" s="2" t="str">
        <f>_xlfn.XLOOKUP(A5288,'[1]Tissue Data'!$A:$A,'[1]Tissue Data'!$F:$F)</f>
        <v>Pumpkinseed</v>
      </c>
      <c r="E5288" t="str">
        <f>_xlfn.XLOOKUP(A5288,'[1]Tissue Data'!$A:$A,'[1]Tissue Data'!$H:$H)</f>
        <v>Lepomis</v>
      </c>
      <c r="F5288" t="str">
        <f>_xlfn.XLOOKUP(A5288,'[1]Tissue Data'!$A:$A,'[1]Tissue Data'!$I:$I)</f>
        <v>gibbosus</v>
      </c>
      <c r="G5288" t="str">
        <f>_xlfn.XLOOKUP(A5288,'[1]Tissue Data'!$A:$A,'[1]Tissue Data'!J:J)</f>
        <v>U</v>
      </c>
      <c r="H5288" t="str">
        <f>_xlfn.XLOOKUP(A5288,'[1]Tissue Data'!$A:$A,'[1]Tissue Data'!K:K)</f>
        <v>Whole Body</v>
      </c>
      <c r="I5288">
        <f>_xlfn.XLOOKUP(A5288,'[1]Tissue Data'!$A:$A,'[1]Tissue Data'!L:L)</f>
        <v>7.5</v>
      </c>
      <c r="J5288">
        <f>_xlfn.XLOOKUP(A5288,'[1]Tissue Data'!$A:$A,'[1]Tissue Data'!M:M)</f>
        <v>9.56</v>
      </c>
      <c r="K5288" t="s">
        <v>48</v>
      </c>
      <c r="L5288" t="str">
        <f>_xlfn.XLOOKUP(K5288,[2]analyte_order!$B:$B,[2]analyte_order!$C:$C)</f>
        <v>914637-49-3</v>
      </c>
      <c r="M5288">
        <f>_xlfn.XLOOKUP(L5288,[2]analyte_order!$C:$C,[2]analyte_order!$E:$E)</f>
        <v>39</v>
      </c>
      <c r="N5288">
        <v>1.28</v>
      </c>
    </row>
    <row r="5289" spans="1:14">
      <c r="A5289" t="s">
        <v>285</v>
      </c>
      <c r="B5289" t="str">
        <f>_xlfn.XLOOKUP(A5289,'[1]Tissue Data'!$A:$A,'[1]Tissue Data'!$C:$C)</f>
        <v>Spill</v>
      </c>
      <c r="C5289" s="2">
        <f>_xlfn.XLOOKUP(A5289,'[1]Tissue Data'!$A:$A,'[1]Tissue Data'!$D:$D)</f>
        <v>44393</v>
      </c>
      <c r="D5289" s="2" t="str">
        <f>_xlfn.XLOOKUP(A5289,'[1]Tissue Data'!$A:$A,'[1]Tissue Data'!$F:$F)</f>
        <v>Pumpkinseed</v>
      </c>
      <c r="E5289" t="str">
        <f>_xlfn.XLOOKUP(A5289,'[1]Tissue Data'!$A:$A,'[1]Tissue Data'!$H:$H)</f>
        <v>Lepomis</v>
      </c>
      <c r="F5289" t="str">
        <f>_xlfn.XLOOKUP(A5289,'[1]Tissue Data'!$A:$A,'[1]Tissue Data'!$I:$I)</f>
        <v>gibbosus</v>
      </c>
      <c r="G5289" t="str">
        <f>_xlfn.XLOOKUP(A5289,'[1]Tissue Data'!$A:$A,'[1]Tissue Data'!J:J)</f>
        <v>U</v>
      </c>
      <c r="H5289" t="str">
        <f>_xlfn.XLOOKUP(A5289,'[1]Tissue Data'!$A:$A,'[1]Tissue Data'!K:K)</f>
        <v>Whole Body</v>
      </c>
      <c r="I5289">
        <f>_xlfn.XLOOKUP(A5289,'[1]Tissue Data'!$A:$A,'[1]Tissue Data'!L:L)</f>
        <v>7.5</v>
      </c>
      <c r="J5289">
        <f>_xlfn.XLOOKUP(A5289,'[1]Tissue Data'!$A:$A,'[1]Tissue Data'!M:M)</f>
        <v>9.56</v>
      </c>
      <c r="K5289" t="s">
        <v>49</v>
      </c>
      <c r="L5289" t="str">
        <f>_xlfn.XLOOKUP(K5289,[2]analyte_order!$B:$B,[2]analyte_order!$C:$C)</f>
        <v>812-70-4</v>
      </c>
      <c r="M5289">
        <f>_xlfn.XLOOKUP(L5289,[2]analyte_order!$C:$C,[2]analyte_order!$E:$E)</f>
        <v>40</v>
      </c>
      <c r="N5289">
        <v>8.32</v>
      </c>
    </row>
    <row r="5290" spans="1:14">
      <c r="A5290" t="s">
        <v>285</v>
      </c>
      <c r="B5290" t="str">
        <f>_xlfn.XLOOKUP(A5290,'[1]Tissue Data'!$A:$A,'[1]Tissue Data'!$C:$C)</f>
        <v>Spill</v>
      </c>
      <c r="C5290" s="2">
        <f>_xlfn.XLOOKUP(A5290,'[1]Tissue Data'!$A:$A,'[1]Tissue Data'!$D:$D)</f>
        <v>44393</v>
      </c>
      <c r="D5290" s="2" t="str">
        <f>_xlfn.XLOOKUP(A5290,'[1]Tissue Data'!$A:$A,'[1]Tissue Data'!$F:$F)</f>
        <v>Pumpkinseed</v>
      </c>
      <c r="E5290" t="str">
        <f>_xlfn.XLOOKUP(A5290,'[1]Tissue Data'!$A:$A,'[1]Tissue Data'!$H:$H)</f>
        <v>Lepomis</v>
      </c>
      <c r="F5290" t="str">
        <f>_xlfn.XLOOKUP(A5290,'[1]Tissue Data'!$A:$A,'[1]Tissue Data'!$I:$I)</f>
        <v>gibbosus</v>
      </c>
      <c r="G5290" t="str">
        <f>_xlfn.XLOOKUP(A5290,'[1]Tissue Data'!$A:$A,'[1]Tissue Data'!J:J)</f>
        <v>U</v>
      </c>
      <c r="H5290" t="str">
        <f>_xlfn.XLOOKUP(A5290,'[1]Tissue Data'!$A:$A,'[1]Tissue Data'!K:K)</f>
        <v>Whole Body</v>
      </c>
      <c r="I5290">
        <f>_xlfn.XLOOKUP(A5290,'[1]Tissue Data'!$A:$A,'[1]Tissue Data'!L:L)</f>
        <v>7.5</v>
      </c>
      <c r="J5290">
        <f>_xlfn.XLOOKUP(A5290,'[1]Tissue Data'!$A:$A,'[1]Tissue Data'!M:M)</f>
        <v>9.56</v>
      </c>
      <c r="K5290" t="s">
        <v>50</v>
      </c>
      <c r="L5290" t="str">
        <f>_xlfn.XLOOKUP(K5290,[2]analyte_order!$B:$B,[2]analyte_order!$C:$C)</f>
        <v>53826-12-3</v>
      </c>
      <c r="M5290">
        <f>_xlfn.XLOOKUP(L5290,[2]analyte_order!$C:$C,[2]analyte_order!$E:$E)</f>
        <v>41</v>
      </c>
      <c r="N5290">
        <v>6.8500000000000005E-2</v>
      </c>
    </row>
    <row r="5291" spans="1:14">
      <c r="A5291" t="s">
        <v>285</v>
      </c>
      <c r="B5291" t="str">
        <f>_xlfn.XLOOKUP(A5291,'[1]Tissue Data'!$A:$A,'[1]Tissue Data'!$C:$C)</f>
        <v>Spill</v>
      </c>
      <c r="C5291" s="2">
        <f>_xlfn.XLOOKUP(A5291,'[1]Tissue Data'!$A:$A,'[1]Tissue Data'!$D:$D)</f>
        <v>44393</v>
      </c>
      <c r="D5291" s="2" t="str">
        <f>_xlfn.XLOOKUP(A5291,'[1]Tissue Data'!$A:$A,'[1]Tissue Data'!$F:$F)</f>
        <v>Pumpkinseed</v>
      </c>
      <c r="E5291" t="str">
        <f>_xlfn.XLOOKUP(A5291,'[1]Tissue Data'!$A:$A,'[1]Tissue Data'!$H:$H)</f>
        <v>Lepomis</v>
      </c>
      <c r="F5291" t="str">
        <f>_xlfn.XLOOKUP(A5291,'[1]Tissue Data'!$A:$A,'[1]Tissue Data'!$I:$I)</f>
        <v>gibbosus</v>
      </c>
      <c r="G5291" t="str">
        <f>_xlfn.XLOOKUP(A5291,'[1]Tissue Data'!$A:$A,'[1]Tissue Data'!J:J)</f>
        <v>U</v>
      </c>
      <c r="H5291" t="str">
        <f>_xlfn.XLOOKUP(A5291,'[1]Tissue Data'!$A:$A,'[1]Tissue Data'!K:K)</f>
        <v>Whole Body</v>
      </c>
      <c r="I5291">
        <f>_xlfn.XLOOKUP(A5291,'[1]Tissue Data'!$A:$A,'[1]Tissue Data'!L:L)</f>
        <v>7.5</v>
      </c>
      <c r="J5291">
        <f>_xlfn.XLOOKUP(A5291,'[1]Tissue Data'!$A:$A,'[1]Tissue Data'!M:M)</f>
        <v>9.56</v>
      </c>
      <c r="K5291" t="s">
        <v>51</v>
      </c>
      <c r="L5291" t="str">
        <f>_xlfn.XLOOKUP(K5291,[2]analyte_order!$B:$B,[2]analyte_order!$C:$C)</f>
        <v>27854-31-5</v>
      </c>
      <c r="M5291">
        <f>_xlfn.XLOOKUP(L5291,[2]analyte_order!$C:$C,[2]analyte_order!$E:$E)</f>
        <v>42</v>
      </c>
      <c r="N5291">
        <v>6.8500000000000005E-2</v>
      </c>
    </row>
    <row r="5292" spans="1:14">
      <c r="A5292" t="s">
        <v>285</v>
      </c>
      <c r="B5292" t="str">
        <f>_xlfn.XLOOKUP(A5292,'[1]Tissue Data'!$A:$A,'[1]Tissue Data'!$C:$C)</f>
        <v>Spill</v>
      </c>
      <c r="C5292" s="2">
        <f>_xlfn.XLOOKUP(A5292,'[1]Tissue Data'!$A:$A,'[1]Tissue Data'!$D:$D)</f>
        <v>44393</v>
      </c>
      <c r="D5292" s="2" t="str">
        <f>_xlfn.XLOOKUP(A5292,'[1]Tissue Data'!$A:$A,'[1]Tissue Data'!$F:$F)</f>
        <v>Pumpkinseed</v>
      </c>
      <c r="E5292" t="str">
        <f>_xlfn.XLOOKUP(A5292,'[1]Tissue Data'!$A:$A,'[1]Tissue Data'!$H:$H)</f>
        <v>Lepomis</v>
      </c>
      <c r="F5292" t="str">
        <f>_xlfn.XLOOKUP(A5292,'[1]Tissue Data'!$A:$A,'[1]Tissue Data'!$I:$I)</f>
        <v>gibbosus</v>
      </c>
      <c r="G5292" t="str">
        <f>_xlfn.XLOOKUP(A5292,'[1]Tissue Data'!$A:$A,'[1]Tissue Data'!J:J)</f>
        <v>U</v>
      </c>
      <c r="H5292" t="str">
        <f>_xlfn.XLOOKUP(A5292,'[1]Tissue Data'!$A:$A,'[1]Tissue Data'!K:K)</f>
        <v>Whole Body</v>
      </c>
      <c r="I5292">
        <f>_xlfn.XLOOKUP(A5292,'[1]Tissue Data'!$A:$A,'[1]Tissue Data'!L:L)</f>
        <v>7.5</v>
      </c>
      <c r="J5292">
        <f>_xlfn.XLOOKUP(A5292,'[1]Tissue Data'!$A:$A,'[1]Tissue Data'!M:M)</f>
        <v>9.56</v>
      </c>
      <c r="K5292" t="s">
        <v>52</v>
      </c>
      <c r="L5292" t="str">
        <f>_xlfn.XLOOKUP(K5292,[2]analyte_order!$B:$B,[2]analyte_order!$C:$C)</f>
        <v>53826-13-4</v>
      </c>
      <c r="M5292">
        <f>_xlfn.XLOOKUP(L5292,[2]analyte_order!$C:$C,[2]analyte_order!$E:$E)</f>
        <v>43</v>
      </c>
      <c r="N5292">
        <v>0.10249999999999999</v>
      </c>
    </row>
    <row r="5293" spans="1:14">
      <c r="A5293" t="s">
        <v>285</v>
      </c>
      <c r="B5293" t="str">
        <f>_xlfn.XLOOKUP(A5293,'[1]Tissue Data'!$A:$A,'[1]Tissue Data'!$C:$C)</f>
        <v>Spill</v>
      </c>
      <c r="C5293" s="2">
        <f>_xlfn.XLOOKUP(A5293,'[1]Tissue Data'!$A:$A,'[1]Tissue Data'!$D:$D)</f>
        <v>44393</v>
      </c>
      <c r="D5293" s="2" t="str">
        <f>_xlfn.XLOOKUP(A5293,'[1]Tissue Data'!$A:$A,'[1]Tissue Data'!$F:$F)</f>
        <v>Pumpkinseed</v>
      </c>
      <c r="E5293" t="str">
        <f>_xlfn.XLOOKUP(A5293,'[1]Tissue Data'!$A:$A,'[1]Tissue Data'!$H:$H)</f>
        <v>Lepomis</v>
      </c>
      <c r="F5293" t="str">
        <f>_xlfn.XLOOKUP(A5293,'[1]Tissue Data'!$A:$A,'[1]Tissue Data'!$I:$I)</f>
        <v>gibbosus</v>
      </c>
      <c r="G5293" t="str">
        <f>_xlfn.XLOOKUP(A5293,'[1]Tissue Data'!$A:$A,'[1]Tissue Data'!J:J)</f>
        <v>U</v>
      </c>
      <c r="H5293" t="str">
        <f>_xlfn.XLOOKUP(A5293,'[1]Tissue Data'!$A:$A,'[1]Tissue Data'!K:K)</f>
        <v>Whole Body</v>
      </c>
      <c r="I5293">
        <f>_xlfn.XLOOKUP(A5293,'[1]Tissue Data'!$A:$A,'[1]Tissue Data'!L:L)</f>
        <v>7.5</v>
      </c>
      <c r="J5293">
        <f>_xlfn.XLOOKUP(A5293,'[1]Tissue Data'!$A:$A,'[1]Tissue Data'!M:M)</f>
        <v>9.56</v>
      </c>
      <c r="K5293" t="s">
        <v>53</v>
      </c>
      <c r="L5293" t="str">
        <f>_xlfn.XLOOKUP(K5293,[2]analyte_order!$B:$B,[2]analyte_order!$C:$C)</f>
        <v>161094-75-3</v>
      </c>
      <c r="M5293">
        <f>_xlfn.XLOOKUP(L5293,[2]analyte_order!$C:$C,[2]analyte_order!$E:$E)</f>
        <v>44</v>
      </c>
      <c r="N5293">
        <v>5.3999999999999999E-2</v>
      </c>
    </row>
    <row r="5294" spans="1:14">
      <c r="A5294" t="s">
        <v>285</v>
      </c>
      <c r="B5294" t="str">
        <f>_xlfn.XLOOKUP(A5294,'[1]Tissue Data'!$A:$A,'[1]Tissue Data'!$C:$C)</f>
        <v>Spill</v>
      </c>
      <c r="C5294" s="2">
        <f>_xlfn.XLOOKUP(A5294,'[1]Tissue Data'!$A:$A,'[1]Tissue Data'!$D:$D)</f>
        <v>44393</v>
      </c>
      <c r="D5294" s="2" t="str">
        <f>_xlfn.XLOOKUP(A5294,'[1]Tissue Data'!$A:$A,'[1]Tissue Data'!$F:$F)</f>
        <v>Pumpkinseed</v>
      </c>
      <c r="E5294" t="str">
        <f>_xlfn.XLOOKUP(A5294,'[1]Tissue Data'!$A:$A,'[1]Tissue Data'!$H:$H)</f>
        <v>Lepomis</v>
      </c>
      <c r="F5294" t="str">
        <f>_xlfn.XLOOKUP(A5294,'[1]Tissue Data'!$A:$A,'[1]Tissue Data'!$I:$I)</f>
        <v>gibbosus</v>
      </c>
      <c r="G5294" t="str">
        <f>_xlfn.XLOOKUP(A5294,'[1]Tissue Data'!$A:$A,'[1]Tissue Data'!J:J)</f>
        <v>U</v>
      </c>
      <c r="H5294" t="str">
        <f>_xlfn.XLOOKUP(A5294,'[1]Tissue Data'!$A:$A,'[1]Tissue Data'!K:K)</f>
        <v>Whole Body</v>
      </c>
      <c r="I5294">
        <f>_xlfn.XLOOKUP(A5294,'[1]Tissue Data'!$A:$A,'[1]Tissue Data'!L:L)</f>
        <v>7.5</v>
      </c>
      <c r="J5294">
        <f>_xlfn.XLOOKUP(A5294,'[1]Tissue Data'!$A:$A,'[1]Tissue Data'!M:M)</f>
        <v>9.56</v>
      </c>
      <c r="K5294" t="s">
        <v>54</v>
      </c>
      <c r="L5294" t="str">
        <f>_xlfn.XLOOKUP(K5294,[2]analyte_order!$B:$B,[2]analyte_order!$C:$C)</f>
        <v>70887-84-2</v>
      </c>
      <c r="M5294">
        <f>_xlfn.XLOOKUP(L5294,[2]analyte_order!$C:$C,[2]analyte_order!$E:$E)</f>
        <v>45</v>
      </c>
      <c r="N5294">
        <v>4.1500000000000002E-2</v>
      </c>
    </row>
    <row r="5295" spans="1:14">
      <c r="A5295" t="s">
        <v>285</v>
      </c>
      <c r="B5295" t="str">
        <f>_xlfn.XLOOKUP(A5295,'[1]Tissue Data'!$A:$A,'[1]Tissue Data'!$C:$C)</f>
        <v>Spill</v>
      </c>
      <c r="C5295" s="2">
        <f>_xlfn.XLOOKUP(A5295,'[1]Tissue Data'!$A:$A,'[1]Tissue Data'!$D:$D)</f>
        <v>44393</v>
      </c>
      <c r="D5295" s="2" t="str">
        <f>_xlfn.XLOOKUP(A5295,'[1]Tissue Data'!$A:$A,'[1]Tissue Data'!$F:$F)</f>
        <v>Pumpkinseed</v>
      </c>
      <c r="E5295" t="str">
        <f>_xlfn.XLOOKUP(A5295,'[1]Tissue Data'!$A:$A,'[1]Tissue Data'!$H:$H)</f>
        <v>Lepomis</v>
      </c>
      <c r="F5295" t="str">
        <f>_xlfn.XLOOKUP(A5295,'[1]Tissue Data'!$A:$A,'[1]Tissue Data'!$I:$I)</f>
        <v>gibbosus</v>
      </c>
      <c r="G5295" t="str">
        <f>_xlfn.XLOOKUP(A5295,'[1]Tissue Data'!$A:$A,'[1]Tissue Data'!J:J)</f>
        <v>U</v>
      </c>
      <c r="H5295" t="str">
        <f>_xlfn.XLOOKUP(A5295,'[1]Tissue Data'!$A:$A,'[1]Tissue Data'!K:K)</f>
        <v>Whole Body</v>
      </c>
      <c r="I5295">
        <f>_xlfn.XLOOKUP(A5295,'[1]Tissue Data'!$A:$A,'[1]Tissue Data'!L:L)</f>
        <v>7.5</v>
      </c>
      <c r="J5295">
        <f>_xlfn.XLOOKUP(A5295,'[1]Tissue Data'!$A:$A,'[1]Tissue Data'!M:M)</f>
        <v>9.56</v>
      </c>
      <c r="K5295" t="s">
        <v>55</v>
      </c>
      <c r="L5295" t="str">
        <f>_xlfn.XLOOKUP(K5295,[2]analyte_order!$B:$B,[2]analyte_order!$C:$C)</f>
        <v>919005-14-4</v>
      </c>
      <c r="M5295">
        <f>_xlfn.XLOOKUP(L5295,[2]analyte_order!$C:$C,[2]analyte_order!$E:$E)</f>
        <v>35</v>
      </c>
      <c r="N5295">
        <v>6.0499999999999998E-2</v>
      </c>
    </row>
    <row r="5296" spans="1:14">
      <c r="A5296" t="s">
        <v>285</v>
      </c>
      <c r="B5296" t="str">
        <f>_xlfn.XLOOKUP(A5296,'[1]Tissue Data'!$A:$A,'[1]Tissue Data'!$C:$C)</f>
        <v>Spill</v>
      </c>
      <c r="C5296" s="2">
        <f>_xlfn.XLOOKUP(A5296,'[1]Tissue Data'!$A:$A,'[1]Tissue Data'!$D:$D)</f>
        <v>44393</v>
      </c>
      <c r="D5296" s="2" t="str">
        <f>_xlfn.XLOOKUP(A5296,'[1]Tissue Data'!$A:$A,'[1]Tissue Data'!$F:$F)</f>
        <v>Pumpkinseed</v>
      </c>
      <c r="E5296" t="str">
        <f>_xlfn.XLOOKUP(A5296,'[1]Tissue Data'!$A:$A,'[1]Tissue Data'!$H:$H)</f>
        <v>Lepomis</v>
      </c>
      <c r="F5296" t="str">
        <f>_xlfn.XLOOKUP(A5296,'[1]Tissue Data'!$A:$A,'[1]Tissue Data'!$I:$I)</f>
        <v>gibbosus</v>
      </c>
      <c r="G5296" t="str">
        <f>_xlfn.XLOOKUP(A5296,'[1]Tissue Data'!$A:$A,'[1]Tissue Data'!J:J)</f>
        <v>U</v>
      </c>
      <c r="H5296" t="str">
        <f>_xlfn.XLOOKUP(A5296,'[1]Tissue Data'!$A:$A,'[1]Tissue Data'!K:K)</f>
        <v>Whole Body</v>
      </c>
      <c r="I5296">
        <f>_xlfn.XLOOKUP(A5296,'[1]Tissue Data'!$A:$A,'[1]Tissue Data'!L:L)</f>
        <v>7.5</v>
      </c>
      <c r="J5296">
        <f>_xlfn.XLOOKUP(A5296,'[1]Tissue Data'!$A:$A,'[1]Tissue Data'!M:M)</f>
        <v>9.56</v>
      </c>
      <c r="K5296" t="s">
        <v>56</v>
      </c>
      <c r="L5296" t="str">
        <f>_xlfn.XLOOKUP(K5296,[2]analyte_order!$B:$B,[2]analyte_order!$C:$C)</f>
        <v>756426-58-1</v>
      </c>
      <c r="M5296">
        <f>_xlfn.XLOOKUP(L5296,[2]analyte_order!$C:$C,[2]analyte_order!$E:$E)</f>
        <v>36</v>
      </c>
      <c r="N5296">
        <v>6.8500000000000005E-2</v>
      </c>
    </row>
    <row r="5297" spans="1:14">
      <c r="A5297" t="s">
        <v>285</v>
      </c>
      <c r="B5297" t="str">
        <f>_xlfn.XLOOKUP(A5297,'[1]Tissue Data'!$A:$A,'[1]Tissue Data'!$C:$C)</f>
        <v>Spill</v>
      </c>
      <c r="C5297" s="2">
        <f>_xlfn.XLOOKUP(A5297,'[1]Tissue Data'!$A:$A,'[1]Tissue Data'!$D:$D)</f>
        <v>44393</v>
      </c>
      <c r="D5297" s="2" t="str">
        <f>_xlfn.XLOOKUP(A5297,'[1]Tissue Data'!$A:$A,'[1]Tissue Data'!$F:$F)</f>
        <v>Pumpkinseed</v>
      </c>
      <c r="E5297" t="str">
        <f>_xlfn.XLOOKUP(A5297,'[1]Tissue Data'!$A:$A,'[1]Tissue Data'!$H:$H)</f>
        <v>Lepomis</v>
      </c>
      <c r="F5297" t="str">
        <f>_xlfn.XLOOKUP(A5297,'[1]Tissue Data'!$A:$A,'[1]Tissue Data'!$I:$I)</f>
        <v>gibbosus</v>
      </c>
      <c r="G5297" t="str">
        <f>_xlfn.XLOOKUP(A5297,'[1]Tissue Data'!$A:$A,'[1]Tissue Data'!J:J)</f>
        <v>U</v>
      </c>
      <c r="H5297" t="str">
        <f>_xlfn.XLOOKUP(A5297,'[1]Tissue Data'!$A:$A,'[1]Tissue Data'!K:K)</f>
        <v>Whole Body</v>
      </c>
      <c r="I5297">
        <f>_xlfn.XLOOKUP(A5297,'[1]Tissue Data'!$A:$A,'[1]Tissue Data'!L:L)</f>
        <v>7.5</v>
      </c>
      <c r="J5297">
        <f>_xlfn.XLOOKUP(A5297,'[1]Tissue Data'!$A:$A,'[1]Tissue Data'!M:M)</f>
        <v>9.56</v>
      </c>
      <c r="K5297" t="s">
        <v>57</v>
      </c>
      <c r="L5297" t="str">
        <f>_xlfn.XLOOKUP(K5297,[2]analyte_order!$B:$B,[2]analyte_order!$C:$C)</f>
        <v>763051-92-9</v>
      </c>
      <c r="M5297">
        <f>_xlfn.XLOOKUP(L5297,[2]analyte_order!$C:$C,[2]analyte_order!$E:$E)</f>
        <v>37</v>
      </c>
      <c r="N5297">
        <v>6.8500000000000005E-2</v>
      </c>
    </row>
    <row r="5298" spans="1:14">
      <c r="A5298" t="s">
        <v>285</v>
      </c>
      <c r="B5298" t="str">
        <f>_xlfn.XLOOKUP(A5298,'[1]Tissue Data'!$A:$A,'[1]Tissue Data'!$C:$C)</f>
        <v>Spill</v>
      </c>
      <c r="C5298" s="2">
        <f>_xlfn.XLOOKUP(A5298,'[1]Tissue Data'!$A:$A,'[1]Tissue Data'!$D:$D)</f>
        <v>44393</v>
      </c>
      <c r="D5298" s="2" t="str">
        <f>_xlfn.XLOOKUP(A5298,'[1]Tissue Data'!$A:$A,'[1]Tissue Data'!$F:$F)</f>
        <v>Pumpkinseed</v>
      </c>
      <c r="E5298" t="str">
        <f>_xlfn.XLOOKUP(A5298,'[1]Tissue Data'!$A:$A,'[1]Tissue Data'!$H:$H)</f>
        <v>Lepomis</v>
      </c>
      <c r="F5298" t="str">
        <f>_xlfn.XLOOKUP(A5298,'[1]Tissue Data'!$A:$A,'[1]Tissue Data'!$I:$I)</f>
        <v>gibbosus</v>
      </c>
      <c r="G5298" t="str">
        <f>_xlfn.XLOOKUP(A5298,'[1]Tissue Data'!$A:$A,'[1]Tissue Data'!J:J)</f>
        <v>U</v>
      </c>
      <c r="H5298" t="str">
        <f>_xlfn.XLOOKUP(A5298,'[1]Tissue Data'!$A:$A,'[1]Tissue Data'!K:K)</f>
        <v>Whole Body</v>
      </c>
      <c r="I5298">
        <f>_xlfn.XLOOKUP(A5298,'[1]Tissue Data'!$A:$A,'[1]Tissue Data'!L:L)</f>
        <v>7.5</v>
      </c>
      <c r="J5298">
        <f>_xlfn.XLOOKUP(A5298,'[1]Tissue Data'!$A:$A,'[1]Tissue Data'!M:M)</f>
        <v>9.56</v>
      </c>
      <c r="K5298" t="s">
        <v>58</v>
      </c>
      <c r="L5298" t="str">
        <f>_xlfn.XLOOKUP(K5298,[2]analyte_order!$B:$B,[2]analyte_order!$C:$C)</f>
        <v>13252-13-6</v>
      </c>
      <c r="M5298">
        <f>_xlfn.XLOOKUP(L5298,[2]analyte_order!$C:$C,[2]analyte_order!$E:$E)</f>
        <v>34</v>
      </c>
      <c r="N5298">
        <v>9.8500000000000004E-2</v>
      </c>
    </row>
    <row r="5299" spans="1:14">
      <c r="A5299" t="s">
        <v>285</v>
      </c>
      <c r="B5299" t="str">
        <f>_xlfn.XLOOKUP(A5299,'[1]Tissue Data'!$A:$A,'[1]Tissue Data'!$C:$C)</f>
        <v>Spill</v>
      </c>
      <c r="C5299" s="2">
        <f>_xlfn.XLOOKUP(A5299,'[1]Tissue Data'!$A:$A,'[1]Tissue Data'!$D:$D)</f>
        <v>44393</v>
      </c>
      <c r="D5299" s="2" t="str">
        <f>_xlfn.XLOOKUP(A5299,'[1]Tissue Data'!$A:$A,'[1]Tissue Data'!$F:$F)</f>
        <v>Pumpkinseed</v>
      </c>
      <c r="E5299" t="str">
        <f>_xlfn.XLOOKUP(A5299,'[1]Tissue Data'!$A:$A,'[1]Tissue Data'!$H:$H)</f>
        <v>Lepomis</v>
      </c>
      <c r="F5299" t="str">
        <f>_xlfn.XLOOKUP(A5299,'[1]Tissue Data'!$A:$A,'[1]Tissue Data'!$I:$I)</f>
        <v>gibbosus</v>
      </c>
      <c r="G5299" t="str">
        <f>_xlfn.XLOOKUP(A5299,'[1]Tissue Data'!$A:$A,'[1]Tissue Data'!J:J)</f>
        <v>U</v>
      </c>
      <c r="H5299" t="str">
        <f>_xlfn.XLOOKUP(A5299,'[1]Tissue Data'!$A:$A,'[1]Tissue Data'!K:K)</f>
        <v>Whole Body</v>
      </c>
      <c r="I5299">
        <f>_xlfn.XLOOKUP(A5299,'[1]Tissue Data'!$A:$A,'[1]Tissue Data'!L:L)</f>
        <v>7.5</v>
      </c>
      <c r="J5299">
        <f>_xlfn.XLOOKUP(A5299,'[1]Tissue Data'!$A:$A,'[1]Tissue Data'!M:M)</f>
        <v>9.56</v>
      </c>
      <c r="K5299" t="s">
        <v>59</v>
      </c>
      <c r="L5299" t="str">
        <f>_xlfn.XLOOKUP(K5299,[2]analyte_order!$B:$B,[2]analyte_order!$C:$C)</f>
        <v>57677-95-9</v>
      </c>
      <c r="M5299">
        <f>_xlfn.XLOOKUP(L5299,[2]analyte_order!$C:$C,[2]analyte_order!$E:$E)</f>
        <v>46</v>
      </c>
      <c r="N5299">
        <v>7.2999999999999995E-2</v>
      </c>
    </row>
    <row r="5300" spans="1:14">
      <c r="A5300" t="s">
        <v>285</v>
      </c>
      <c r="B5300" t="str">
        <f>_xlfn.XLOOKUP(A5300,'[1]Tissue Data'!$A:$A,'[1]Tissue Data'!$C:$C)</f>
        <v>Spill</v>
      </c>
      <c r="C5300" s="2">
        <f>_xlfn.XLOOKUP(A5300,'[1]Tissue Data'!$A:$A,'[1]Tissue Data'!$D:$D)</f>
        <v>44393</v>
      </c>
      <c r="D5300" s="2" t="str">
        <f>_xlfn.XLOOKUP(A5300,'[1]Tissue Data'!$A:$A,'[1]Tissue Data'!$F:$F)</f>
        <v>Pumpkinseed</v>
      </c>
      <c r="E5300" t="str">
        <f>_xlfn.XLOOKUP(A5300,'[1]Tissue Data'!$A:$A,'[1]Tissue Data'!$H:$H)</f>
        <v>Lepomis</v>
      </c>
      <c r="F5300" t="str">
        <f>_xlfn.XLOOKUP(A5300,'[1]Tissue Data'!$A:$A,'[1]Tissue Data'!$I:$I)</f>
        <v>gibbosus</v>
      </c>
      <c r="G5300" t="str">
        <f>_xlfn.XLOOKUP(A5300,'[1]Tissue Data'!$A:$A,'[1]Tissue Data'!J:J)</f>
        <v>U</v>
      </c>
      <c r="H5300" t="str">
        <f>_xlfn.XLOOKUP(A5300,'[1]Tissue Data'!$A:$A,'[1]Tissue Data'!K:K)</f>
        <v>Whole Body</v>
      </c>
      <c r="I5300">
        <f>_xlfn.XLOOKUP(A5300,'[1]Tissue Data'!$A:$A,'[1]Tissue Data'!L:L)</f>
        <v>7.5</v>
      </c>
      <c r="J5300">
        <f>_xlfn.XLOOKUP(A5300,'[1]Tissue Data'!$A:$A,'[1]Tissue Data'!M:M)</f>
        <v>9.56</v>
      </c>
      <c r="K5300" t="s">
        <v>60</v>
      </c>
      <c r="L5300" t="str">
        <f>_xlfn.XLOOKUP(K5300,[2]analyte_order!$B:$B,[2]analyte_order!$C:$C)</f>
        <v>678-41-1</v>
      </c>
      <c r="M5300">
        <f>_xlfn.XLOOKUP(L5300,[2]analyte_order!$C:$C,[2]analyte_order!$E:$E)</f>
        <v>56</v>
      </c>
      <c r="N5300">
        <v>9.0999999999999998E-2</v>
      </c>
    </row>
    <row r="5301" spans="1:14">
      <c r="A5301" t="s">
        <v>285</v>
      </c>
      <c r="B5301" t="str">
        <f>_xlfn.XLOOKUP(A5301,'[1]Tissue Data'!$A:$A,'[1]Tissue Data'!$C:$C)</f>
        <v>Spill</v>
      </c>
      <c r="C5301" s="2">
        <f>_xlfn.XLOOKUP(A5301,'[1]Tissue Data'!$A:$A,'[1]Tissue Data'!$D:$D)</f>
        <v>44393</v>
      </c>
      <c r="D5301" s="2" t="str">
        <f>_xlfn.XLOOKUP(A5301,'[1]Tissue Data'!$A:$A,'[1]Tissue Data'!$F:$F)</f>
        <v>Pumpkinseed</v>
      </c>
      <c r="E5301" t="str">
        <f>_xlfn.XLOOKUP(A5301,'[1]Tissue Data'!$A:$A,'[1]Tissue Data'!$H:$H)</f>
        <v>Lepomis</v>
      </c>
      <c r="F5301" t="str">
        <f>_xlfn.XLOOKUP(A5301,'[1]Tissue Data'!$A:$A,'[1]Tissue Data'!$I:$I)</f>
        <v>gibbosus</v>
      </c>
      <c r="G5301" t="str">
        <f>_xlfn.XLOOKUP(A5301,'[1]Tissue Data'!$A:$A,'[1]Tissue Data'!J:J)</f>
        <v>U</v>
      </c>
      <c r="H5301" t="str">
        <f>_xlfn.XLOOKUP(A5301,'[1]Tissue Data'!$A:$A,'[1]Tissue Data'!K:K)</f>
        <v>Whole Body</v>
      </c>
      <c r="I5301">
        <f>_xlfn.XLOOKUP(A5301,'[1]Tissue Data'!$A:$A,'[1]Tissue Data'!L:L)</f>
        <v>7.5</v>
      </c>
      <c r="J5301">
        <f>_xlfn.XLOOKUP(A5301,'[1]Tissue Data'!$A:$A,'[1]Tissue Data'!M:M)</f>
        <v>9.56</v>
      </c>
      <c r="K5301" t="s">
        <v>61</v>
      </c>
      <c r="L5301" t="str">
        <f>_xlfn.XLOOKUP(K5301,[2]analyte_order!$B:$B,[2]analyte_order!$C:$C)</f>
        <v>2965-52-8</v>
      </c>
      <c r="M5301">
        <f>_xlfn.XLOOKUP(L5301,[2]analyte_order!$C:$C,[2]analyte_order!$E:$E)</f>
        <v>57</v>
      </c>
      <c r="N5301">
        <v>0.121</v>
      </c>
    </row>
    <row r="5302" spans="1:14">
      <c r="A5302" t="s">
        <v>286</v>
      </c>
      <c r="B5302" t="str">
        <f>_xlfn.XLOOKUP(A5302,'[1]Tissue Data'!$A:$A,'[1]Tissue Data'!$C:$C)</f>
        <v>Spill</v>
      </c>
      <c r="C5302" s="2">
        <f>_xlfn.XLOOKUP(A5302,'[1]Tissue Data'!$A:$A,'[1]Tissue Data'!$D:$D)</f>
        <v>44393</v>
      </c>
      <c r="D5302" s="2" t="str">
        <f>_xlfn.XLOOKUP(A5302,'[1]Tissue Data'!$A:$A,'[1]Tissue Data'!$F:$F)</f>
        <v>Pumpkinseed</v>
      </c>
      <c r="E5302" t="str">
        <f>_xlfn.XLOOKUP(A5302,'[1]Tissue Data'!$A:$A,'[1]Tissue Data'!$H:$H)</f>
        <v>Lepomis</v>
      </c>
      <c r="F5302" t="str">
        <f>_xlfn.XLOOKUP(A5302,'[1]Tissue Data'!$A:$A,'[1]Tissue Data'!$I:$I)</f>
        <v>gibbosus</v>
      </c>
      <c r="G5302" t="str">
        <f>_xlfn.XLOOKUP(A5302,'[1]Tissue Data'!$A:$A,'[1]Tissue Data'!J:J)</f>
        <v>U</v>
      </c>
      <c r="H5302" t="str">
        <f>_xlfn.XLOOKUP(A5302,'[1]Tissue Data'!$A:$A,'[1]Tissue Data'!K:K)</f>
        <v>Whole Body</v>
      </c>
      <c r="I5302">
        <f>_xlfn.XLOOKUP(A5302,'[1]Tissue Data'!$A:$A,'[1]Tissue Data'!L:L)</f>
        <v>8</v>
      </c>
      <c r="J5302">
        <f>_xlfn.XLOOKUP(A5302,'[1]Tissue Data'!$A:$A,'[1]Tissue Data'!M:M)</f>
        <v>11.85</v>
      </c>
      <c r="K5302" t="s">
        <v>12</v>
      </c>
      <c r="L5302" t="str">
        <f>_xlfn.XLOOKUP(K5302,[2]analyte_order!$B:$B,[2]analyte_order!$C:$C)</f>
        <v>375-22-4</v>
      </c>
      <c r="M5302">
        <f>_xlfn.XLOOKUP(L5302,[2]analyte_order!$C:$C,[2]analyte_order!$E:$E)</f>
        <v>1</v>
      </c>
      <c r="N5302">
        <v>0.217</v>
      </c>
    </row>
    <row r="5303" spans="1:14">
      <c r="A5303" t="s">
        <v>286</v>
      </c>
      <c r="B5303" t="str">
        <f>_xlfn.XLOOKUP(A5303,'[1]Tissue Data'!$A:$A,'[1]Tissue Data'!$C:$C)</f>
        <v>Spill</v>
      </c>
      <c r="C5303" s="2">
        <f>_xlfn.XLOOKUP(A5303,'[1]Tissue Data'!$A:$A,'[1]Tissue Data'!$D:$D)</f>
        <v>44393</v>
      </c>
      <c r="D5303" s="2" t="str">
        <f>_xlfn.XLOOKUP(A5303,'[1]Tissue Data'!$A:$A,'[1]Tissue Data'!$F:$F)</f>
        <v>Pumpkinseed</v>
      </c>
      <c r="E5303" t="str">
        <f>_xlfn.XLOOKUP(A5303,'[1]Tissue Data'!$A:$A,'[1]Tissue Data'!$H:$H)</f>
        <v>Lepomis</v>
      </c>
      <c r="F5303" t="str">
        <f>_xlfn.XLOOKUP(A5303,'[1]Tissue Data'!$A:$A,'[1]Tissue Data'!$I:$I)</f>
        <v>gibbosus</v>
      </c>
      <c r="G5303" t="str">
        <f>_xlfn.XLOOKUP(A5303,'[1]Tissue Data'!$A:$A,'[1]Tissue Data'!J:J)</f>
        <v>U</v>
      </c>
      <c r="H5303" t="str">
        <f>_xlfn.XLOOKUP(A5303,'[1]Tissue Data'!$A:$A,'[1]Tissue Data'!K:K)</f>
        <v>Whole Body</v>
      </c>
      <c r="I5303">
        <f>_xlfn.XLOOKUP(A5303,'[1]Tissue Data'!$A:$A,'[1]Tissue Data'!L:L)</f>
        <v>8</v>
      </c>
      <c r="J5303">
        <f>_xlfn.XLOOKUP(A5303,'[1]Tissue Data'!$A:$A,'[1]Tissue Data'!M:M)</f>
        <v>11.85</v>
      </c>
      <c r="K5303" t="s">
        <v>13</v>
      </c>
      <c r="L5303" t="str">
        <f>_xlfn.XLOOKUP(K5303,[2]analyte_order!$B:$B,[2]analyte_order!$C:$C)</f>
        <v>2706-90-3</v>
      </c>
      <c r="M5303">
        <f>_xlfn.XLOOKUP(L5303,[2]analyte_order!$C:$C,[2]analyte_order!$E:$E)</f>
        <v>2</v>
      </c>
      <c r="N5303">
        <v>4.6399999999999997E-2</v>
      </c>
    </row>
    <row r="5304" spans="1:14">
      <c r="A5304" t="s">
        <v>286</v>
      </c>
      <c r="B5304" t="str">
        <f>_xlfn.XLOOKUP(A5304,'[1]Tissue Data'!$A:$A,'[1]Tissue Data'!$C:$C)</f>
        <v>Spill</v>
      </c>
      <c r="C5304" s="2">
        <f>_xlfn.XLOOKUP(A5304,'[1]Tissue Data'!$A:$A,'[1]Tissue Data'!$D:$D)</f>
        <v>44393</v>
      </c>
      <c r="D5304" s="2" t="str">
        <f>_xlfn.XLOOKUP(A5304,'[1]Tissue Data'!$A:$A,'[1]Tissue Data'!$F:$F)</f>
        <v>Pumpkinseed</v>
      </c>
      <c r="E5304" t="str">
        <f>_xlfn.XLOOKUP(A5304,'[1]Tissue Data'!$A:$A,'[1]Tissue Data'!$H:$H)</f>
        <v>Lepomis</v>
      </c>
      <c r="F5304" t="str">
        <f>_xlfn.XLOOKUP(A5304,'[1]Tissue Data'!$A:$A,'[1]Tissue Data'!$I:$I)</f>
        <v>gibbosus</v>
      </c>
      <c r="G5304" t="str">
        <f>_xlfn.XLOOKUP(A5304,'[1]Tissue Data'!$A:$A,'[1]Tissue Data'!J:J)</f>
        <v>U</v>
      </c>
      <c r="H5304" t="str">
        <f>_xlfn.XLOOKUP(A5304,'[1]Tissue Data'!$A:$A,'[1]Tissue Data'!K:K)</f>
        <v>Whole Body</v>
      </c>
      <c r="I5304">
        <f>_xlfn.XLOOKUP(A5304,'[1]Tissue Data'!$A:$A,'[1]Tissue Data'!L:L)</f>
        <v>8</v>
      </c>
      <c r="J5304">
        <f>_xlfn.XLOOKUP(A5304,'[1]Tissue Data'!$A:$A,'[1]Tissue Data'!M:M)</f>
        <v>11.85</v>
      </c>
      <c r="K5304" t="s">
        <v>14</v>
      </c>
      <c r="L5304" t="str">
        <f>_xlfn.XLOOKUP(K5304,[2]analyte_order!$B:$B,[2]analyte_order!$C:$C)</f>
        <v>307-24-4</v>
      </c>
      <c r="M5304">
        <f>_xlfn.XLOOKUP(L5304,[2]analyte_order!$C:$C,[2]analyte_order!$E:$E)</f>
        <v>3</v>
      </c>
      <c r="N5304">
        <v>0.11700000000000001</v>
      </c>
    </row>
    <row r="5305" spans="1:14">
      <c r="A5305" t="s">
        <v>286</v>
      </c>
      <c r="B5305" t="str">
        <f>_xlfn.XLOOKUP(A5305,'[1]Tissue Data'!$A:$A,'[1]Tissue Data'!$C:$C)</f>
        <v>Spill</v>
      </c>
      <c r="C5305" s="2">
        <f>_xlfn.XLOOKUP(A5305,'[1]Tissue Data'!$A:$A,'[1]Tissue Data'!$D:$D)</f>
        <v>44393</v>
      </c>
      <c r="D5305" s="2" t="str">
        <f>_xlfn.XLOOKUP(A5305,'[1]Tissue Data'!$A:$A,'[1]Tissue Data'!$F:$F)</f>
        <v>Pumpkinseed</v>
      </c>
      <c r="E5305" t="str">
        <f>_xlfn.XLOOKUP(A5305,'[1]Tissue Data'!$A:$A,'[1]Tissue Data'!$H:$H)</f>
        <v>Lepomis</v>
      </c>
      <c r="F5305" t="str">
        <f>_xlfn.XLOOKUP(A5305,'[1]Tissue Data'!$A:$A,'[1]Tissue Data'!$I:$I)</f>
        <v>gibbosus</v>
      </c>
      <c r="G5305" t="str">
        <f>_xlfn.XLOOKUP(A5305,'[1]Tissue Data'!$A:$A,'[1]Tissue Data'!J:J)</f>
        <v>U</v>
      </c>
      <c r="H5305" t="str">
        <f>_xlfn.XLOOKUP(A5305,'[1]Tissue Data'!$A:$A,'[1]Tissue Data'!K:K)</f>
        <v>Whole Body</v>
      </c>
      <c r="I5305">
        <f>_xlfn.XLOOKUP(A5305,'[1]Tissue Data'!$A:$A,'[1]Tissue Data'!L:L)</f>
        <v>8</v>
      </c>
      <c r="J5305">
        <f>_xlfn.XLOOKUP(A5305,'[1]Tissue Data'!$A:$A,'[1]Tissue Data'!M:M)</f>
        <v>11.85</v>
      </c>
      <c r="K5305" t="s">
        <v>15</v>
      </c>
      <c r="L5305" t="str">
        <f>_xlfn.XLOOKUP(K5305,[2]analyte_order!$B:$B,[2]analyte_order!$C:$C)</f>
        <v>375-85-9</v>
      </c>
      <c r="M5305">
        <f>_xlfn.XLOOKUP(L5305,[2]analyte_order!$C:$C,[2]analyte_order!$E:$E)</f>
        <v>4</v>
      </c>
      <c r="N5305">
        <v>8.6499999999999994E-2</v>
      </c>
    </row>
    <row r="5306" spans="1:14">
      <c r="A5306" t="s">
        <v>286</v>
      </c>
      <c r="B5306" t="str">
        <f>_xlfn.XLOOKUP(A5306,'[1]Tissue Data'!$A:$A,'[1]Tissue Data'!$C:$C)</f>
        <v>Spill</v>
      </c>
      <c r="C5306" s="2">
        <f>_xlfn.XLOOKUP(A5306,'[1]Tissue Data'!$A:$A,'[1]Tissue Data'!$D:$D)</f>
        <v>44393</v>
      </c>
      <c r="D5306" s="2" t="str">
        <f>_xlfn.XLOOKUP(A5306,'[1]Tissue Data'!$A:$A,'[1]Tissue Data'!$F:$F)</f>
        <v>Pumpkinseed</v>
      </c>
      <c r="E5306" t="str">
        <f>_xlfn.XLOOKUP(A5306,'[1]Tissue Data'!$A:$A,'[1]Tissue Data'!$H:$H)</f>
        <v>Lepomis</v>
      </c>
      <c r="F5306" t="str">
        <f>_xlfn.XLOOKUP(A5306,'[1]Tissue Data'!$A:$A,'[1]Tissue Data'!$I:$I)</f>
        <v>gibbosus</v>
      </c>
      <c r="G5306" t="str">
        <f>_xlfn.XLOOKUP(A5306,'[1]Tissue Data'!$A:$A,'[1]Tissue Data'!J:J)</f>
        <v>U</v>
      </c>
      <c r="H5306" t="str">
        <f>_xlfn.XLOOKUP(A5306,'[1]Tissue Data'!$A:$A,'[1]Tissue Data'!K:K)</f>
        <v>Whole Body</v>
      </c>
      <c r="I5306">
        <f>_xlfn.XLOOKUP(A5306,'[1]Tissue Data'!$A:$A,'[1]Tissue Data'!L:L)</f>
        <v>8</v>
      </c>
      <c r="J5306">
        <f>_xlfn.XLOOKUP(A5306,'[1]Tissue Data'!$A:$A,'[1]Tissue Data'!M:M)</f>
        <v>11.85</v>
      </c>
      <c r="K5306" t="s">
        <v>16</v>
      </c>
      <c r="L5306" t="str">
        <f>_xlfn.XLOOKUP(K5306,[2]analyte_order!$B:$B,[2]analyte_order!$C:$C)</f>
        <v>335-67-1</v>
      </c>
      <c r="M5306">
        <f>_xlfn.XLOOKUP(L5306,[2]analyte_order!$C:$C,[2]analyte_order!$E:$E)</f>
        <v>5</v>
      </c>
      <c r="N5306">
        <v>2.27</v>
      </c>
    </row>
    <row r="5307" spans="1:14">
      <c r="A5307" t="s">
        <v>286</v>
      </c>
      <c r="B5307" t="str">
        <f>_xlfn.XLOOKUP(A5307,'[1]Tissue Data'!$A:$A,'[1]Tissue Data'!$C:$C)</f>
        <v>Spill</v>
      </c>
      <c r="C5307" s="2">
        <f>_xlfn.XLOOKUP(A5307,'[1]Tissue Data'!$A:$A,'[1]Tissue Data'!$D:$D)</f>
        <v>44393</v>
      </c>
      <c r="D5307" s="2" t="str">
        <f>_xlfn.XLOOKUP(A5307,'[1]Tissue Data'!$A:$A,'[1]Tissue Data'!$F:$F)</f>
        <v>Pumpkinseed</v>
      </c>
      <c r="E5307" t="str">
        <f>_xlfn.XLOOKUP(A5307,'[1]Tissue Data'!$A:$A,'[1]Tissue Data'!$H:$H)</f>
        <v>Lepomis</v>
      </c>
      <c r="F5307" t="str">
        <f>_xlfn.XLOOKUP(A5307,'[1]Tissue Data'!$A:$A,'[1]Tissue Data'!$I:$I)</f>
        <v>gibbosus</v>
      </c>
      <c r="G5307" t="str">
        <f>_xlfn.XLOOKUP(A5307,'[1]Tissue Data'!$A:$A,'[1]Tissue Data'!J:J)</f>
        <v>U</v>
      </c>
      <c r="H5307" t="str">
        <f>_xlfn.XLOOKUP(A5307,'[1]Tissue Data'!$A:$A,'[1]Tissue Data'!K:K)</f>
        <v>Whole Body</v>
      </c>
      <c r="I5307">
        <f>_xlfn.XLOOKUP(A5307,'[1]Tissue Data'!$A:$A,'[1]Tissue Data'!L:L)</f>
        <v>8</v>
      </c>
      <c r="J5307">
        <f>_xlfn.XLOOKUP(A5307,'[1]Tissue Data'!$A:$A,'[1]Tissue Data'!M:M)</f>
        <v>11.85</v>
      </c>
      <c r="K5307" t="s">
        <v>17</v>
      </c>
      <c r="L5307" t="str">
        <f>_xlfn.XLOOKUP(K5307,[2]analyte_order!$B:$B,[2]analyte_order!$C:$C)</f>
        <v>375-95-1</v>
      </c>
      <c r="M5307">
        <f>_xlfn.XLOOKUP(L5307,[2]analyte_order!$C:$C,[2]analyte_order!$E:$E)</f>
        <v>6</v>
      </c>
      <c r="N5307">
        <v>1.26</v>
      </c>
    </row>
    <row r="5308" spans="1:14">
      <c r="A5308" t="s">
        <v>286</v>
      </c>
      <c r="B5308" t="str">
        <f>_xlfn.XLOOKUP(A5308,'[1]Tissue Data'!$A:$A,'[1]Tissue Data'!$C:$C)</f>
        <v>Spill</v>
      </c>
      <c r="C5308" s="2">
        <f>_xlfn.XLOOKUP(A5308,'[1]Tissue Data'!$A:$A,'[1]Tissue Data'!$D:$D)</f>
        <v>44393</v>
      </c>
      <c r="D5308" s="2" t="str">
        <f>_xlfn.XLOOKUP(A5308,'[1]Tissue Data'!$A:$A,'[1]Tissue Data'!$F:$F)</f>
        <v>Pumpkinseed</v>
      </c>
      <c r="E5308" t="str">
        <f>_xlfn.XLOOKUP(A5308,'[1]Tissue Data'!$A:$A,'[1]Tissue Data'!$H:$H)</f>
        <v>Lepomis</v>
      </c>
      <c r="F5308" t="str">
        <f>_xlfn.XLOOKUP(A5308,'[1]Tissue Data'!$A:$A,'[1]Tissue Data'!$I:$I)</f>
        <v>gibbosus</v>
      </c>
      <c r="G5308" t="str">
        <f>_xlfn.XLOOKUP(A5308,'[1]Tissue Data'!$A:$A,'[1]Tissue Data'!J:J)</f>
        <v>U</v>
      </c>
      <c r="H5308" t="str">
        <f>_xlfn.XLOOKUP(A5308,'[1]Tissue Data'!$A:$A,'[1]Tissue Data'!K:K)</f>
        <v>Whole Body</v>
      </c>
      <c r="I5308">
        <f>_xlfn.XLOOKUP(A5308,'[1]Tissue Data'!$A:$A,'[1]Tissue Data'!L:L)</f>
        <v>8</v>
      </c>
      <c r="J5308">
        <f>_xlfn.XLOOKUP(A5308,'[1]Tissue Data'!$A:$A,'[1]Tissue Data'!M:M)</f>
        <v>11.85</v>
      </c>
      <c r="K5308" t="s">
        <v>18</v>
      </c>
      <c r="L5308" t="str">
        <f>_xlfn.XLOOKUP(K5308,[2]analyte_order!$B:$B,[2]analyte_order!$C:$C)</f>
        <v>335-76-2</v>
      </c>
      <c r="M5308">
        <f>_xlfn.XLOOKUP(L5308,[2]analyte_order!$C:$C,[2]analyte_order!$E:$E)</f>
        <v>7</v>
      </c>
      <c r="N5308">
        <v>9.65</v>
      </c>
    </row>
    <row r="5309" spans="1:14">
      <c r="A5309" t="s">
        <v>286</v>
      </c>
      <c r="B5309" t="str">
        <f>_xlfn.XLOOKUP(A5309,'[1]Tissue Data'!$A:$A,'[1]Tissue Data'!$C:$C)</f>
        <v>Spill</v>
      </c>
      <c r="C5309" s="2">
        <f>_xlfn.XLOOKUP(A5309,'[1]Tissue Data'!$A:$A,'[1]Tissue Data'!$D:$D)</f>
        <v>44393</v>
      </c>
      <c r="D5309" s="2" t="str">
        <f>_xlfn.XLOOKUP(A5309,'[1]Tissue Data'!$A:$A,'[1]Tissue Data'!$F:$F)</f>
        <v>Pumpkinseed</v>
      </c>
      <c r="E5309" t="str">
        <f>_xlfn.XLOOKUP(A5309,'[1]Tissue Data'!$A:$A,'[1]Tissue Data'!$H:$H)</f>
        <v>Lepomis</v>
      </c>
      <c r="F5309" t="str">
        <f>_xlfn.XLOOKUP(A5309,'[1]Tissue Data'!$A:$A,'[1]Tissue Data'!$I:$I)</f>
        <v>gibbosus</v>
      </c>
      <c r="G5309" t="str">
        <f>_xlfn.XLOOKUP(A5309,'[1]Tissue Data'!$A:$A,'[1]Tissue Data'!J:J)</f>
        <v>U</v>
      </c>
      <c r="H5309" t="str">
        <f>_xlfn.XLOOKUP(A5309,'[1]Tissue Data'!$A:$A,'[1]Tissue Data'!K:K)</f>
        <v>Whole Body</v>
      </c>
      <c r="I5309">
        <f>_xlfn.XLOOKUP(A5309,'[1]Tissue Data'!$A:$A,'[1]Tissue Data'!L:L)</f>
        <v>8</v>
      </c>
      <c r="J5309">
        <f>_xlfn.XLOOKUP(A5309,'[1]Tissue Data'!$A:$A,'[1]Tissue Data'!M:M)</f>
        <v>11.85</v>
      </c>
      <c r="K5309" t="s">
        <v>19</v>
      </c>
      <c r="L5309" t="str">
        <f>_xlfn.XLOOKUP(K5309,[2]analyte_order!$B:$B,[2]analyte_order!$C:$C)</f>
        <v>2058-94-8</v>
      </c>
      <c r="M5309">
        <f>_xlfn.XLOOKUP(L5309,[2]analyte_order!$C:$C,[2]analyte_order!$E:$E)</f>
        <v>8</v>
      </c>
      <c r="N5309">
        <v>11.1</v>
      </c>
    </row>
    <row r="5310" spans="1:14">
      <c r="A5310" t="s">
        <v>286</v>
      </c>
      <c r="B5310" t="str">
        <f>_xlfn.XLOOKUP(A5310,'[1]Tissue Data'!$A:$A,'[1]Tissue Data'!$C:$C)</f>
        <v>Spill</v>
      </c>
      <c r="C5310" s="2">
        <f>_xlfn.XLOOKUP(A5310,'[1]Tissue Data'!$A:$A,'[1]Tissue Data'!$D:$D)</f>
        <v>44393</v>
      </c>
      <c r="D5310" s="2" t="str">
        <f>_xlfn.XLOOKUP(A5310,'[1]Tissue Data'!$A:$A,'[1]Tissue Data'!$F:$F)</f>
        <v>Pumpkinseed</v>
      </c>
      <c r="E5310" t="str">
        <f>_xlfn.XLOOKUP(A5310,'[1]Tissue Data'!$A:$A,'[1]Tissue Data'!$H:$H)</f>
        <v>Lepomis</v>
      </c>
      <c r="F5310" t="str">
        <f>_xlfn.XLOOKUP(A5310,'[1]Tissue Data'!$A:$A,'[1]Tissue Data'!$I:$I)</f>
        <v>gibbosus</v>
      </c>
      <c r="G5310" t="str">
        <f>_xlfn.XLOOKUP(A5310,'[1]Tissue Data'!$A:$A,'[1]Tissue Data'!J:J)</f>
        <v>U</v>
      </c>
      <c r="H5310" t="str">
        <f>_xlfn.XLOOKUP(A5310,'[1]Tissue Data'!$A:$A,'[1]Tissue Data'!K:K)</f>
        <v>Whole Body</v>
      </c>
      <c r="I5310">
        <f>_xlfn.XLOOKUP(A5310,'[1]Tissue Data'!$A:$A,'[1]Tissue Data'!L:L)</f>
        <v>8</v>
      </c>
      <c r="J5310">
        <f>_xlfn.XLOOKUP(A5310,'[1]Tissue Data'!$A:$A,'[1]Tissue Data'!M:M)</f>
        <v>11.85</v>
      </c>
      <c r="K5310" t="s">
        <v>20</v>
      </c>
      <c r="L5310" t="str">
        <f>_xlfn.XLOOKUP(K5310,[2]analyte_order!$B:$B,[2]analyte_order!$C:$C)</f>
        <v>307-55-1</v>
      </c>
      <c r="M5310">
        <f>_xlfn.XLOOKUP(L5310,[2]analyte_order!$C:$C,[2]analyte_order!$E:$E)</f>
        <v>9</v>
      </c>
      <c r="N5310">
        <v>27.8</v>
      </c>
    </row>
    <row r="5311" spans="1:14">
      <c r="A5311" t="s">
        <v>286</v>
      </c>
      <c r="B5311" t="str">
        <f>_xlfn.XLOOKUP(A5311,'[1]Tissue Data'!$A:$A,'[1]Tissue Data'!$C:$C)</f>
        <v>Spill</v>
      </c>
      <c r="C5311" s="2">
        <f>_xlfn.XLOOKUP(A5311,'[1]Tissue Data'!$A:$A,'[1]Tissue Data'!$D:$D)</f>
        <v>44393</v>
      </c>
      <c r="D5311" s="2" t="str">
        <f>_xlfn.XLOOKUP(A5311,'[1]Tissue Data'!$A:$A,'[1]Tissue Data'!$F:$F)</f>
        <v>Pumpkinseed</v>
      </c>
      <c r="E5311" t="str">
        <f>_xlfn.XLOOKUP(A5311,'[1]Tissue Data'!$A:$A,'[1]Tissue Data'!$H:$H)</f>
        <v>Lepomis</v>
      </c>
      <c r="F5311" t="str">
        <f>_xlfn.XLOOKUP(A5311,'[1]Tissue Data'!$A:$A,'[1]Tissue Data'!$I:$I)</f>
        <v>gibbosus</v>
      </c>
      <c r="G5311" t="str">
        <f>_xlfn.XLOOKUP(A5311,'[1]Tissue Data'!$A:$A,'[1]Tissue Data'!J:J)</f>
        <v>U</v>
      </c>
      <c r="H5311" t="str">
        <f>_xlfn.XLOOKUP(A5311,'[1]Tissue Data'!$A:$A,'[1]Tissue Data'!K:K)</f>
        <v>Whole Body</v>
      </c>
      <c r="I5311">
        <f>_xlfn.XLOOKUP(A5311,'[1]Tissue Data'!$A:$A,'[1]Tissue Data'!L:L)</f>
        <v>8</v>
      </c>
      <c r="J5311">
        <f>_xlfn.XLOOKUP(A5311,'[1]Tissue Data'!$A:$A,'[1]Tissue Data'!M:M)</f>
        <v>11.85</v>
      </c>
      <c r="K5311" t="s">
        <v>21</v>
      </c>
      <c r="L5311" t="str">
        <f>_xlfn.XLOOKUP(K5311,[2]analyte_order!$B:$B,[2]analyte_order!$C:$C)</f>
        <v>72629-94-8</v>
      </c>
      <c r="M5311">
        <f>_xlfn.XLOOKUP(L5311,[2]analyte_order!$C:$C,[2]analyte_order!$E:$E)</f>
        <v>10</v>
      </c>
      <c r="N5311">
        <v>6.47</v>
      </c>
    </row>
    <row r="5312" spans="1:14">
      <c r="A5312" t="s">
        <v>286</v>
      </c>
      <c r="B5312" t="str">
        <f>_xlfn.XLOOKUP(A5312,'[1]Tissue Data'!$A:$A,'[1]Tissue Data'!$C:$C)</f>
        <v>Spill</v>
      </c>
      <c r="C5312" s="2">
        <f>_xlfn.XLOOKUP(A5312,'[1]Tissue Data'!$A:$A,'[1]Tissue Data'!$D:$D)</f>
        <v>44393</v>
      </c>
      <c r="D5312" s="2" t="str">
        <f>_xlfn.XLOOKUP(A5312,'[1]Tissue Data'!$A:$A,'[1]Tissue Data'!$F:$F)</f>
        <v>Pumpkinseed</v>
      </c>
      <c r="E5312" t="str">
        <f>_xlfn.XLOOKUP(A5312,'[1]Tissue Data'!$A:$A,'[1]Tissue Data'!$H:$H)</f>
        <v>Lepomis</v>
      </c>
      <c r="F5312" t="str">
        <f>_xlfn.XLOOKUP(A5312,'[1]Tissue Data'!$A:$A,'[1]Tissue Data'!$I:$I)</f>
        <v>gibbosus</v>
      </c>
      <c r="G5312" t="str">
        <f>_xlfn.XLOOKUP(A5312,'[1]Tissue Data'!$A:$A,'[1]Tissue Data'!J:J)</f>
        <v>U</v>
      </c>
      <c r="H5312" t="str">
        <f>_xlfn.XLOOKUP(A5312,'[1]Tissue Data'!$A:$A,'[1]Tissue Data'!K:K)</f>
        <v>Whole Body</v>
      </c>
      <c r="I5312">
        <f>_xlfn.XLOOKUP(A5312,'[1]Tissue Data'!$A:$A,'[1]Tissue Data'!L:L)</f>
        <v>8</v>
      </c>
      <c r="J5312">
        <f>_xlfn.XLOOKUP(A5312,'[1]Tissue Data'!$A:$A,'[1]Tissue Data'!M:M)</f>
        <v>11.85</v>
      </c>
      <c r="K5312" t="s">
        <v>22</v>
      </c>
      <c r="L5312" t="str">
        <f>_xlfn.XLOOKUP(K5312,[2]analyte_order!$B:$B,[2]analyte_order!$C:$C)</f>
        <v>376-06-7</v>
      </c>
      <c r="M5312">
        <f>_xlfn.XLOOKUP(L5312,[2]analyte_order!$C:$C,[2]analyte_order!$E:$E)</f>
        <v>11</v>
      </c>
      <c r="N5312">
        <v>25.6</v>
      </c>
    </row>
    <row r="5313" spans="1:14">
      <c r="A5313" t="s">
        <v>286</v>
      </c>
      <c r="B5313" t="str">
        <f>_xlfn.XLOOKUP(A5313,'[1]Tissue Data'!$A:$A,'[1]Tissue Data'!$C:$C)</f>
        <v>Spill</v>
      </c>
      <c r="C5313" s="2">
        <f>_xlfn.XLOOKUP(A5313,'[1]Tissue Data'!$A:$A,'[1]Tissue Data'!$D:$D)</f>
        <v>44393</v>
      </c>
      <c r="D5313" s="2" t="str">
        <f>_xlfn.XLOOKUP(A5313,'[1]Tissue Data'!$A:$A,'[1]Tissue Data'!$F:$F)</f>
        <v>Pumpkinseed</v>
      </c>
      <c r="E5313" t="str">
        <f>_xlfn.XLOOKUP(A5313,'[1]Tissue Data'!$A:$A,'[1]Tissue Data'!$H:$H)</f>
        <v>Lepomis</v>
      </c>
      <c r="F5313" t="str">
        <f>_xlfn.XLOOKUP(A5313,'[1]Tissue Data'!$A:$A,'[1]Tissue Data'!$I:$I)</f>
        <v>gibbosus</v>
      </c>
      <c r="G5313" t="str">
        <f>_xlfn.XLOOKUP(A5313,'[1]Tissue Data'!$A:$A,'[1]Tissue Data'!J:J)</f>
        <v>U</v>
      </c>
      <c r="H5313" t="str">
        <f>_xlfn.XLOOKUP(A5313,'[1]Tissue Data'!$A:$A,'[1]Tissue Data'!K:K)</f>
        <v>Whole Body</v>
      </c>
      <c r="I5313">
        <f>_xlfn.XLOOKUP(A5313,'[1]Tissue Data'!$A:$A,'[1]Tissue Data'!L:L)</f>
        <v>8</v>
      </c>
      <c r="J5313">
        <f>_xlfn.XLOOKUP(A5313,'[1]Tissue Data'!$A:$A,'[1]Tissue Data'!M:M)</f>
        <v>11.85</v>
      </c>
      <c r="K5313" t="s">
        <v>23</v>
      </c>
      <c r="L5313" t="str">
        <f>_xlfn.XLOOKUP(K5313,[2]analyte_order!$B:$B,[2]analyte_order!$C:$C)</f>
        <v>67905-19-5</v>
      </c>
      <c r="M5313">
        <f>_xlfn.XLOOKUP(L5313,[2]analyte_order!$C:$C,[2]analyte_order!$E:$E)</f>
        <v>12</v>
      </c>
      <c r="N5313">
        <v>0.25850000000000001</v>
      </c>
    </row>
    <row r="5314" spans="1:14">
      <c r="A5314" t="s">
        <v>286</v>
      </c>
      <c r="B5314" t="str">
        <f>_xlfn.XLOOKUP(A5314,'[1]Tissue Data'!$A:$A,'[1]Tissue Data'!$C:$C)</f>
        <v>Spill</v>
      </c>
      <c r="C5314" s="2">
        <f>_xlfn.XLOOKUP(A5314,'[1]Tissue Data'!$A:$A,'[1]Tissue Data'!$D:$D)</f>
        <v>44393</v>
      </c>
      <c r="D5314" s="2" t="str">
        <f>_xlfn.XLOOKUP(A5314,'[1]Tissue Data'!$A:$A,'[1]Tissue Data'!$F:$F)</f>
        <v>Pumpkinseed</v>
      </c>
      <c r="E5314" t="str">
        <f>_xlfn.XLOOKUP(A5314,'[1]Tissue Data'!$A:$A,'[1]Tissue Data'!$H:$H)</f>
        <v>Lepomis</v>
      </c>
      <c r="F5314" t="str">
        <f>_xlfn.XLOOKUP(A5314,'[1]Tissue Data'!$A:$A,'[1]Tissue Data'!$I:$I)</f>
        <v>gibbosus</v>
      </c>
      <c r="G5314" t="str">
        <f>_xlfn.XLOOKUP(A5314,'[1]Tissue Data'!$A:$A,'[1]Tissue Data'!J:J)</f>
        <v>U</v>
      </c>
      <c r="H5314" t="str">
        <f>_xlfn.XLOOKUP(A5314,'[1]Tissue Data'!$A:$A,'[1]Tissue Data'!K:K)</f>
        <v>Whole Body</v>
      </c>
      <c r="I5314">
        <f>_xlfn.XLOOKUP(A5314,'[1]Tissue Data'!$A:$A,'[1]Tissue Data'!L:L)</f>
        <v>8</v>
      </c>
      <c r="J5314">
        <f>_xlfn.XLOOKUP(A5314,'[1]Tissue Data'!$A:$A,'[1]Tissue Data'!M:M)</f>
        <v>11.85</v>
      </c>
      <c r="K5314" t="s">
        <v>24</v>
      </c>
      <c r="L5314" t="str">
        <f>_xlfn.XLOOKUP(K5314,[2]analyte_order!$B:$B,[2]analyte_order!$C:$C)</f>
        <v>423-41-6</v>
      </c>
      <c r="M5314">
        <f>_xlfn.XLOOKUP(L5314,[2]analyte_order!$C:$C,[2]analyte_order!$E:$E)</f>
        <v>53</v>
      </c>
      <c r="N5314">
        <v>6.5500000000000003E-2</v>
      </c>
    </row>
    <row r="5315" spans="1:14">
      <c r="A5315" t="s">
        <v>286</v>
      </c>
      <c r="B5315" t="str">
        <f>_xlfn.XLOOKUP(A5315,'[1]Tissue Data'!$A:$A,'[1]Tissue Data'!$C:$C)</f>
        <v>Spill</v>
      </c>
      <c r="C5315" s="2">
        <f>_xlfn.XLOOKUP(A5315,'[1]Tissue Data'!$A:$A,'[1]Tissue Data'!$D:$D)</f>
        <v>44393</v>
      </c>
      <c r="D5315" s="2" t="str">
        <f>_xlfn.XLOOKUP(A5315,'[1]Tissue Data'!$A:$A,'[1]Tissue Data'!$F:$F)</f>
        <v>Pumpkinseed</v>
      </c>
      <c r="E5315" t="str">
        <f>_xlfn.XLOOKUP(A5315,'[1]Tissue Data'!$A:$A,'[1]Tissue Data'!$H:$H)</f>
        <v>Lepomis</v>
      </c>
      <c r="F5315" t="str">
        <f>_xlfn.XLOOKUP(A5315,'[1]Tissue Data'!$A:$A,'[1]Tissue Data'!$I:$I)</f>
        <v>gibbosus</v>
      </c>
      <c r="G5315" t="str">
        <f>_xlfn.XLOOKUP(A5315,'[1]Tissue Data'!$A:$A,'[1]Tissue Data'!J:J)</f>
        <v>U</v>
      </c>
      <c r="H5315" t="str">
        <f>_xlfn.XLOOKUP(A5315,'[1]Tissue Data'!$A:$A,'[1]Tissue Data'!K:K)</f>
        <v>Whole Body</v>
      </c>
      <c r="I5315">
        <f>_xlfn.XLOOKUP(A5315,'[1]Tissue Data'!$A:$A,'[1]Tissue Data'!L:L)</f>
        <v>8</v>
      </c>
      <c r="J5315">
        <f>_xlfn.XLOOKUP(A5315,'[1]Tissue Data'!$A:$A,'[1]Tissue Data'!M:M)</f>
        <v>11.85</v>
      </c>
      <c r="K5315" t="s">
        <v>25</v>
      </c>
      <c r="L5315" t="str">
        <f>_xlfn.XLOOKUP(K5315,[2]analyte_order!$B:$B,[2]analyte_order!$C:$C)</f>
        <v>375-73-5</v>
      </c>
      <c r="M5315">
        <f>_xlfn.XLOOKUP(L5315,[2]analyte_order!$C:$C,[2]analyte_order!$E:$E)</f>
        <v>14</v>
      </c>
      <c r="N5315">
        <v>0.14749999999999999</v>
      </c>
    </row>
    <row r="5316" spans="1:14">
      <c r="A5316" t="s">
        <v>286</v>
      </c>
      <c r="B5316" t="str">
        <f>_xlfn.XLOOKUP(A5316,'[1]Tissue Data'!$A:$A,'[1]Tissue Data'!$C:$C)</f>
        <v>Spill</v>
      </c>
      <c r="C5316" s="2">
        <f>_xlfn.XLOOKUP(A5316,'[1]Tissue Data'!$A:$A,'[1]Tissue Data'!$D:$D)</f>
        <v>44393</v>
      </c>
      <c r="D5316" s="2" t="str">
        <f>_xlfn.XLOOKUP(A5316,'[1]Tissue Data'!$A:$A,'[1]Tissue Data'!$F:$F)</f>
        <v>Pumpkinseed</v>
      </c>
      <c r="E5316" t="str">
        <f>_xlfn.XLOOKUP(A5316,'[1]Tissue Data'!$A:$A,'[1]Tissue Data'!$H:$H)</f>
        <v>Lepomis</v>
      </c>
      <c r="F5316" t="str">
        <f>_xlfn.XLOOKUP(A5316,'[1]Tissue Data'!$A:$A,'[1]Tissue Data'!$I:$I)</f>
        <v>gibbosus</v>
      </c>
      <c r="G5316" t="str">
        <f>_xlfn.XLOOKUP(A5316,'[1]Tissue Data'!$A:$A,'[1]Tissue Data'!J:J)</f>
        <v>U</v>
      </c>
      <c r="H5316" t="str">
        <f>_xlfn.XLOOKUP(A5316,'[1]Tissue Data'!$A:$A,'[1]Tissue Data'!K:K)</f>
        <v>Whole Body</v>
      </c>
      <c r="I5316">
        <f>_xlfn.XLOOKUP(A5316,'[1]Tissue Data'!$A:$A,'[1]Tissue Data'!L:L)</f>
        <v>8</v>
      </c>
      <c r="J5316">
        <f>_xlfn.XLOOKUP(A5316,'[1]Tissue Data'!$A:$A,'[1]Tissue Data'!M:M)</f>
        <v>11.85</v>
      </c>
      <c r="K5316" t="s">
        <v>26</v>
      </c>
      <c r="L5316" t="str">
        <f>_xlfn.XLOOKUP(K5316,[2]analyte_order!$B:$B,[2]analyte_order!$C:$C)</f>
        <v>2706-91-4</v>
      </c>
      <c r="M5316">
        <f>_xlfn.XLOOKUP(L5316,[2]analyte_order!$C:$C,[2]analyte_order!$E:$E)</f>
        <v>15</v>
      </c>
      <c r="N5316">
        <v>0.217</v>
      </c>
    </row>
    <row r="5317" spans="1:14">
      <c r="A5317" t="s">
        <v>286</v>
      </c>
      <c r="B5317" t="str">
        <f>_xlfn.XLOOKUP(A5317,'[1]Tissue Data'!$A:$A,'[1]Tissue Data'!$C:$C)</f>
        <v>Spill</v>
      </c>
      <c r="C5317" s="2">
        <f>_xlfn.XLOOKUP(A5317,'[1]Tissue Data'!$A:$A,'[1]Tissue Data'!$D:$D)</f>
        <v>44393</v>
      </c>
      <c r="D5317" s="2" t="str">
        <f>_xlfn.XLOOKUP(A5317,'[1]Tissue Data'!$A:$A,'[1]Tissue Data'!$F:$F)</f>
        <v>Pumpkinseed</v>
      </c>
      <c r="E5317" t="str">
        <f>_xlfn.XLOOKUP(A5317,'[1]Tissue Data'!$A:$A,'[1]Tissue Data'!$H:$H)</f>
        <v>Lepomis</v>
      </c>
      <c r="F5317" t="str">
        <f>_xlfn.XLOOKUP(A5317,'[1]Tissue Data'!$A:$A,'[1]Tissue Data'!$I:$I)</f>
        <v>gibbosus</v>
      </c>
      <c r="G5317" t="str">
        <f>_xlfn.XLOOKUP(A5317,'[1]Tissue Data'!$A:$A,'[1]Tissue Data'!J:J)</f>
        <v>U</v>
      </c>
      <c r="H5317" t="str">
        <f>_xlfn.XLOOKUP(A5317,'[1]Tissue Data'!$A:$A,'[1]Tissue Data'!K:K)</f>
        <v>Whole Body</v>
      </c>
      <c r="I5317">
        <f>_xlfn.XLOOKUP(A5317,'[1]Tissue Data'!$A:$A,'[1]Tissue Data'!L:L)</f>
        <v>8</v>
      </c>
      <c r="J5317">
        <f>_xlfn.XLOOKUP(A5317,'[1]Tissue Data'!$A:$A,'[1]Tissue Data'!M:M)</f>
        <v>11.85</v>
      </c>
      <c r="K5317" t="s">
        <v>27</v>
      </c>
      <c r="L5317" t="str">
        <f>_xlfn.XLOOKUP(K5317,[2]analyte_order!$B:$B,[2]analyte_order!$C:$C)</f>
        <v>355-46-4</v>
      </c>
      <c r="M5317">
        <f>_xlfn.XLOOKUP(L5317,[2]analyte_order!$C:$C,[2]analyte_order!$E:$E)</f>
        <v>16</v>
      </c>
      <c r="N5317">
        <v>24.8</v>
      </c>
    </row>
    <row r="5318" spans="1:14">
      <c r="A5318" t="s">
        <v>286</v>
      </c>
      <c r="B5318" t="str">
        <f>_xlfn.XLOOKUP(A5318,'[1]Tissue Data'!$A:$A,'[1]Tissue Data'!$C:$C)</f>
        <v>Spill</v>
      </c>
      <c r="C5318" s="2">
        <f>_xlfn.XLOOKUP(A5318,'[1]Tissue Data'!$A:$A,'[1]Tissue Data'!$D:$D)</f>
        <v>44393</v>
      </c>
      <c r="D5318" s="2" t="str">
        <f>_xlfn.XLOOKUP(A5318,'[1]Tissue Data'!$A:$A,'[1]Tissue Data'!$F:$F)</f>
        <v>Pumpkinseed</v>
      </c>
      <c r="E5318" t="str">
        <f>_xlfn.XLOOKUP(A5318,'[1]Tissue Data'!$A:$A,'[1]Tissue Data'!$H:$H)</f>
        <v>Lepomis</v>
      </c>
      <c r="F5318" t="str">
        <f>_xlfn.XLOOKUP(A5318,'[1]Tissue Data'!$A:$A,'[1]Tissue Data'!$I:$I)</f>
        <v>gibbosus</v>
      </c>
      <c r="G5318" t="str">
        <f>_xlfn.XLOOKUP(A5318,'[1]Tissue Data'!$A:$A,'[1]Tissue Data'!J:J)</f>
        <v>U</v>
      </c>
      <c r="H5318" t="str">
        <f>_xlfn.XLOOKUP(A5318,'[1]Tissue Data'!$A:$A,'[1]Tissue Data'!K:K)</f>
        <v>Whole Body</v>
      </c>
      <c r="I5318">
        <f>_xlfn.XLOOKUP(A5318,'[1]Tissue Data'!$A:$A,'[1]Tissue Data'!L:L)</f>
        <v>8</v>
      </c>
      <c r="J5318">
        <f>_xlfn.XLOOKUP(A5318,'[1]Tissue Data'!$A:$A,'[1]Tissue Data'!M:M)</f>
        <v>11.85</v>
      </c>
      <c r="K5318" t="s">
        <v>28</v>
      </c>
      <c r="L5318" t="str">
        <f>_xlfn.XLOOKUP(K5318,[2]analyte_order!$B:$B,[2]analyte_order!$C:$C)</f>
        <v>375-92-8</v>
      </c>
      <c r="M5318">
        <f>_xlfn.XLOOKUP(L5318,[2]analyte_order!$C:$C,[2]analyte_order!$E:$E)</f>
        <v>17</v>
      </c>
      <c r="N5318">
        <v>2.2400000000000002</v>
      </c>
    </row>
    <row r="5319" spans="1:14">
      <c r="A5319" t="s">
        <v>286</v>
      </c>
      <c r="B5319" t="str">
        <f>_xlfn.XLOOKUP(A5319,'[1]Tissue Data'!$A:$A,'[1]Tissue Data'!$C:$C)</f>
        <v>Spill</v>
      </c>
      <c r="C5319" s="2">
        <f>_xlfn.XLOOKUP(A5319,'[1]Tissue Data'!$A:$A,'[1]Tissue Data'!$D:$D)</f>
        <v>44393</v>
      </c>
      <c r="D5319" s="2" t="str">
        <f>_xlfn.XLOOKUP(A5319,'[1]Tissue Data'!$A:$A,'[1]Tissue Data'!$F:$F)</f>
        <v>Pumpkinseed</v>
      </c>
      <c r="E5319" t="str">
        <f>_xlfn.XLOOKUP(A5319,'[1]Tissue Data'!$A:$A,'[1]Tissue Data'!$H:$H)</f>
        <v>Lepomis</v>
      </c>
      <c r="F5319" t="str">
        <f>_xlfn.XLOOKUP(A5319,'[1]Tissue Data'!$A:$A,'[1]Tissue Data'!$I:$I)</f>
        <v>gibbosus</v>
      </c>
      <c r="G5319" t="str">
        <f>_xlfn.XLOOKUP(A5319,'[1]Tissue Data'!$A:$A,'[1]Tissue Data'!J:J)</f>
        <v>U</v>
      </c>
      <c r="H5319" t="str">
        <f>_xlfn.XLOOKUP(A5319,'[1]Tissue Data'!$A:$A,'[1]Tissue Data'!K:K)</f>
        <v>Whole Body</v>
      </c>
      <c r="I5319">
        <f>_xlfn.XLOOKUP(A5319,'[1]Tissue Data'!$A:$A,'[1]Tissue Data'!L:L)</f>
        <v>8</v>
      </c>
      <c r="J5319">
        <f>_xlfn.XLOOKUP(A5319,'[1]Tissue Data'!$A:$A,'[1]Tissue Data'!M:M)</f>
        <v>11.85</v>
      </c>
      <c r="K5319" t="s">
        <v>29</v>
      </c>
      <c r="L5319" t="str">
        <f>_xlfn.XLOOKUP(K5319,[2]analyte_order!$B:$B,[2]analyte_order!$C:$C)</f>
        <v>1763-23-1</v>
      </c>
      <c r="M5319">
        <f>_xlfn.XLOOKUP(L5319,[2]analyte_order!$C:$C,[2]analyte_order!$E:$E)</f>
        <v>18</v>
      </c>
      <c r="N5319">
        <v>961</v>
      </c>
    </row>
    <row r="5320" spans="1:14">
      <c r="A5320" t="s">
        <v>286</v>
      </c>
      <c r="B5320" t="str">
        <f>_xlfn.XLOOKUP(A5320,'[1]Tissue Data'!$A:$A,'[1]Tissue Data'!$C:$C)</f>
        <v>Spill</v>
      </c>
      <c r="C5320" s="2">
        <f>_xlfn.XLOOKUP(A5320,'[1]Tissue Data'!$A:$A,'[1]Tissue Data'!$D:$D)</f>
        <v>44393</v>
      </c>
      <c r="D5320" s="2" t="str">
        <f>_xlfn.XLOOKUP(A5320,'[1]Tissue Data'!$A:$A,'[1]Tissue Data'!$F:$F)</f>
        <v>Pumpkinseed</v>
      </c>
      <c r="E5320" t="str">
        <f>_xlfn.XLOOKUP(A5320,'[1]Tissue Data'!$A:$A,'[1]Tissue Data'!$H:$H)</f>
        <v>Lepomis</v>
      </c>
      <c r="F5320" t="str">
        <f>_xlfn.XLOOKUP(A5320,'[1]Tissue Data'!$A:$A,'[1]Tissue Data'!$I:$I)</f>
        <v>gibbosus</v>
      </c>
      <c r="G5320" t="str">
        <f>_xlfn.XLOOKUP(A5320,'[1]Tissue Data'!$A:$A,'[1]Tissue Data'!J:J)</f>
        <v>U</v>
      </c>
      <c r="H5320" t="str">
        <f>_xlfn.XLOOKUP(A5320,'[1]Tissue Data'!$A:$A,'[1]Tissue Data'!K:K)</f>
        <v>Whole Body</v>
      </c>
      <c r="I5320">
        <f>_xlfn.XLOOKUP(A5320,'[1]Tissue Data'!$A:$A,'[1]Tissue Data'!L:L)</f>
        <v>8</v>
      </c>
      <c r="J5320">
        <f>_xlfn.XLOOKUP(A5320,'[1]Tissue Data'!$A:$A,'[1]Tissue Data'!M:M)</f>
        <v>11.85</v>
      </c>
      <c r="K5320" t="s">
        <v>30</v>
      </c>
      <c r="L5320" t="str">
        <f>_xlfn.XLOOKUP(K5320,[2]analyte_order!$B:$B,[2]analyte_order!$C:$C)</f>
        <v>68259-12-1</v>
      </c>
      <c r="M5320">
        <f>_xlfn.XLOOKUP(L5320,[2]analyte_order!$C:$C,[2]analyte_order!$E:$E)</f>
        <v>19</v>
      </c>
      <c r="N5320">
        <v>2.68</v>
      </c>
    </row>
    <row r="5321" spans="1:14">
      <c r="A5321" t="s">
        <v>286</v>
      </c>
      <c r="B5321" t="str">
        <f>_xlfn.XLOOKUP(A5321,'[1]Tissue Data'!$A:$A,'[1]Tissue Data'!$C:$C)</f>
        <v>Spill</v>
      </c>
      <c r="C5321" s="2">
        <f>_xlfn.XLOOKUP(A5321,'[1]Tissue Data'!$A:$A,'[1]Tissue Data'!$D:$D)</f>
        <v>44393</v>
      </c>
      <c r="D5321" s="2" t="str">
        <f>_xlfn.XLOOKUP(A5321,'[1]Tissue Data'!$A:$A,'[1]Tissue Data'!$F:$F)</f>
        <v>Pumpkinseed</v>
      </c>
      <c r="E5321" t="str">
        <f>_xlfn.XLOOKUP(A5321,'[1]Tissue Data'!$A:$A,'[1]Tissue Data'!$H:$H)</f>
        <v>Lepomis</v>
      </c>
      <c r="F5321" t="str">
        <f>_xlfn.XLOOKUP(A5321,'[1]Tissue Data'!$A:$A,'[1]Tissue Data'!$I:$I)</f>
        <v>gibbosus</v>
      </c>
      <c r="G5321" t="str">
        <f>_xlfn.XLOOKUP(A5321,'[1]Tissue Data'!$A:$A,'[1]Tissue Data'!J:J)</f>
        <v>U</v>
      </c>
      <c r="H5321" t="str">
        <f>_xlfn.XLOOKUP(A5321,'[1]Tissue Data'!$A:$A,'[1]Tissue Data'!K:K)</f>
        <v>Whole Body</v>
      </c>
      <c r="I5321">
        <f>_xlfn.XLOOKUP(A5321,'[1]Tissue Data'!$A:$A,'[1]Tissue Data'!L:L)</f>
        <v>8</v>
      </c>
      <c r="J5321">
        <f>_xlfn.XLOOKUP(A5321,'[1]Tissue Data'!$A:$A,'[1]Tissue Data'!M:M)</f>
        <v>11.85</v>
      </c>
      <c r="K5321" t="s">
        <v>31</v>
      </c>
      <c r="L5321" t="str">
        <f>_xlfn.XLOOKUP(K5321,[2]analyte_order!$B:$B,[2]analyte_order!$C:$C)</f>
        <v>335-77-3</v>
      </c>
      <c r="M5321">
        <f>_xlfn.XLOOKUP(L5321,[2]analyte_order!$C:$C,[2]analyte_order!$E:$E)</f>
        <v>20</v>
      </c>
      <c r="N5321">
        <v>2.95</v>
      </c>
    </row>
    <row r="5322" spans="1:14">
      <c r="A5322" t="s">
        <v>286</v>
      </c>
      <c r="B5322" t="str">
        <f>_xlfn.XLOOKUP(A5322,'[1]Tissue Data'!$A:$A,'[1]Tissue Data'!$C:$C)</f>
        <v>Spill</v>
      </c>
      <c r="C5322" s="2">
        <f>_xlfn.XLOOKUP(A5322,'[1]Tissue Data'!$A:$A,'[1]Tissue Data'!$D:$D)</f>
        <v>44393</v>
      </c>
      <c r="D5322" s="2" t="str">
        <f>_xlfn.XLOOKUP(A5322,'[1]Tissue Data'!$A:$A,'[1]Tissue Data'!$F:$F)</f>
        <v>Pumpkinseed</v>
      </c>
      <c r="E5322" t="str">
        <f>_xlfn.XLOOKUP(A5322,'[1]Tissue Data'!$A:$A,'[1]Tissue Data'!$H:$H)</f>
        <v>Lepomis</v>
      </c>
      <c r="F5322" t="str">
        <f>_xlfn.XLOOKUP(A5322,'[1]Tissue Data'!$A:$A,'[1]Tissue Data'!$I:$I)</f>
        <v>gibbosus</v>
      </c>
      <c r="G5322" t="str">
        <f>_xlfn.XLOOKUP(A5322,'[1]Tissue Data'!$A:$A,'[1]Tissue Data'!J:J)</f>
        <v>U</v>
      </c>
      <c r="H5322" t="str">
        <f>_xlfn.XLOOKUP(A5322,'[1]Tissue Data'!$A:$A,'[1]Tissue Data'!K:K)</f>
        <v>Whole Body</v>
      </c>
      <c r="I5322">
        <f>_xlfn.XLOOKUP(A5322,'[1]Tissue Data'!$A:$A,'[1]Tissue Data'!L:L)</f>
        <v>8</v>
      </c>
      <c r="J5322">
        <f>_xlfn.XLOOKUP(A5322,'[1]Tissue Data'!$A:$A,'[1]Tissue Data'!M:M)</f>
        <v>11.85</v>
      </c>
      <c r="K5322" t="s">
        <v>32</v>
      </c>
      <c r="L5322" t="str">
        <f>_xlfn.XLOOKUP(K5322,[2]analyte_order!$B:$B,[2]analyte_order!$C:$C)</f>
        <v>79780-39-5</v>
      </c>
      <c r="M5322">
        <f>_xlfn.XLOOKUP(L5322,[2]analyte_order!$C:$C,[2]analyte_order!$E:$E)</f>
        <v>21</v>
      </c>
      <c r="N5322">
        <v>1.1499999999999999</v>
      </c>
    </row>
    <row r="5323" spans="1:14">
      <c r="A5323" t="s">
        <v>286</v>
      </c>
      <c r="B5323" t="str">
        <f>_xlfn.XLOOKUP(A5323,'[1]Tissue Data'!$A:$A,'[1]Tissue Data'!$C:$C)</f>
        <v>Spill</v>
      </c>
      <c r="C5323" s="2">
        <f>_xlfn.XLOOKUP(A5323,'[1]Tissue Data'!$A:$A,'[1]Tissue Data'!$D:$D)</f>
        <v>44393</v>
      </c>
      <c r="D5323" s="2" t="str">
        <f>_xlfn.XLOOKUP(A5323,'[1]Tissue Data'!$A:$A,'[1]Tissue Data'!$F:$F)</f>
        <v>Pumpkinseed</v>
      </c>
      <c r="E5323" t="str">
        <f>_xlfn.XLOOKUP(A5323,'[1]Tissue Data'!$A:$A,'[1]Tissue Data'!$H:$H)</f>
        <v>Lepomis</v>
      </c>
      <c r="F5323" t="str">
        <f>_xlfn.XLOOKUP(A5323,'[1]Tissue Data'!$A:$A,'[1]Tissue Data'!$I:$I)</f>
        <v>gibbosus</v>
      </c>
      <c r="G5323" t="str">
        <f>_xlfn.XLOOKUP(A5323,'[1]Tissue Data'!$A:$A,'[1]Tissue Data'!J:J)</f>
        <v>U</v>
      </c>
      <c r="H5323" t="str">
        <f>_xlfn.XLOOKUP(A5323,'[1]Tissue Data'!$A:$A,'[1]Tissue Data'!K:K)</f>
        <v>Whole Body</v>
      </c>
      <c r="I5323">
        <f>_xlfn.XLOOKUP(A5323,'[1]Tissue Data'!$A:$A,'[1]Tissue Data'!L:L)</f>
        <v>8</v>
      </c>
      <c r="J5323">
        <f>_xlfn.XLOOKUP(A5323,'[1]Tissue Data'!$A:$A,'[1]Tissue Data'!M:M)</f>
        <v>11.85</v>
      </c>
      <c r="K5323" t="s">
        <v>33</v>
      </c>
      <c r="L5323" t="str">
        <f>_xlfn.XLOOKUP(K5323,[2]analyte_order!$B:$B,[2]analyte_order!$C:$C)</f>
        <v>777011-38-8</v>
      </c>
      <c r="M5323">
        <f>_xlfn.XLOOKUP(L5323,[2]analyte_order!$C:$C,[2]analyte_order!$E:$E)</f>
        <v>54</v>
      </c>
      <c r="N5323">
        <v>0.13150000000000001</v>
      </c>
    </row>
    <row r="5324" spans="1:14">
      <c r="A5324" t="s">
        <v>286</v>
      </c>
      <c r="B5324" t="str">
        <f>_xlfn.XLOOKUP(A5324,'[1]Tissue Data'!$A:$A,'[1]Tissue Data'!$C:$C)</f>
        <v>Spill</v>
      </c>
      <c r="C5324" s="2">
        <f>_xlfn.XLOOKUP(A5324,'[1]Tissue Data'!$A:$A,'[1]Tissue Data'!$D:$D)</f>
        <v>44393</v>
      </c>
      <c r="D5324" s="2" t="str">
        <f>_xlfn.XLOOKUP(A5324,'[1]Tissue Data'!$A:$A,'[1]Tissue Data'!$F:$F)</f>
        <v>Pumpkinseed</v>
      </c>
      <c r="E5324" t="str">
        <f>_xlfn.XLOOKUP(A5324,'[1]Tissue Data'!$A:$A,'[1]Tissue Data'!$H:$H)</f>
        <v>Lepomis</v>
      </c>
      <c r="F5324" t="str">
        <f>_xlfn.XLOOKUP(A5324,'[1]Tissue Data'!$A:$A,'[1]Tissue Data'!$I:$I)</f>
        <v>gibbosus</v>
      </c>
      <c r="G5324" t="str">
        <f>_xlfn.XLOOKUP(A5324,'[1]Tissue Data'!$A:$A,'[1]Tissue Data'!J:J)</f>
        <v>U</v>
      </c>
      <c r="H5324" t="str">
        <f>_xlfn.XLOOKUP(A5324,'[1]Tissue Data'!$A:$A,'[1]Tissue Data'!K:K)</f>
        <v>Whole Body</v>
      </c>
      <c r="I5324">
        <f>_xlfn.XLOOKUP(A5324,'[1]Tissue Data'!$A:$A,'[1]Tissue Data'!L:L)</f>
        <v>8</v>
      </c>
      <c r="J5324">
        <f>_xlfn.XLOOKUP(A5324,'[1]Tissue Data'!$A:$A,'[1]Tissue Data'!M:M)</f>
        <v>11.85</v>
      </c>
      <c r="K5324" t="s">
        <v>34</v>
      </c>
      <c r="L5324" t="str">
        <f>_xlfn.XLOOKUP(K5324,[2]analyte_order!$B:$B,[2]analyte_order!$C:$C)</f>
        <v>646-83-3</v>
      </c>
      <c r="M5324">
        <f>_xlfn.XLOOKUP(L5324,[2]analyte_order!$C:$C,[2]analyte_order!$E:$E)</f>
        <v>55</v>
      </c>
      <c r="N5324">
        <v>0.217</v>
      </c>
    </row>
    <row r="5325" spans="1:14">
      <c r="A5325" t="s">
        <v>286</v>
      </c>
      <c r="B5325" t="str">
        <f>_xlfn.XLOOKUP(A5325,'[1]Tissue Data'!$A:$A,'[1]Tissue Data'!$C:$C)</f>
        <v>Spill</v>
      </c>
      <c r="C5325" s="2">
        <f>_xlfn.XLOOKUP(A5325,'[1]Tissue Data'!$A:$A,'[1]Tissue Data'!$D:$D)</f>
        <v>44393</v>
      </c>
      <c r="D5325" s="2" t="str">
        <f>_xlfn.XLOOKUP(A5325,'[1]Tissue Data'!$A:$A,'[1]Tissue Data'!$F:$F)</f>
        <v>Pumpkinseed</v>
      </c>
      <c r="E5325" t="str">
        <f>_xlfn.XLOOKUP(A5325,'[1]Tissue Data'!$A:$A,'[1]Tissue Data'!$H:$H)</f>
        <v>Lepomis</v>
      </c>
      <c r="F5325" t="str">
        <f>_xlfn.XLOOKUP(A5325,'[1]Tissue Data'!$A:$A,'[1]Tissue Data'!$I:$I)</f>
        <v>gibbosus</v>
      </c>
      <c r="G5325" t="str">
        <f>_xlfn.XLOOKUP(A5325,'[1]Tissue Data'!$A:$A,'[1]Tissue Data'!J:J)</f>
        <v>U</v>
      </c>
      <c r="H5325" t="str">
        <f>_xlfn.XLOOKUP(A5325,'[1]Tissue Data'!$A:$A,'[1]Tissue Data'!K:K)</f>
        <v>Whole Body</v>
      </c>
      <c r="I5325">
        <f>_xlfn.XLOOKUP(A5325,'[1]Tissue Data'!$A:$A,'[1]Tissue Data'!L:L)</f>
        <v>8</v>
      </c>
      <c r="J5325">
        <f>_xlfn.XLOOKUP(A5325,'[1]Tissue Data'!$A:$A,'[1]Tissue Data'!M:M)</f>
        <v>11.85</v>
      </c>
      <c r="K5325" t="s">
        <v>35</v>
      </c>
      <c r="L5325" t="str">
        <f>_xlfn.XLOOKUP(K5325,[2]analyte_order!$B:$B,[2]analyte_order!$C:$C)</f>
        <v>30334-69-1</v>
      </c>
      <c r="M5325">
        <f>_xlfn.XLOOKUP(L5325,[2]analyte_order!$C:$C,[2]analyte_order!$E:$E)</f>
        <v>51</v>
      </c>
      <c r="N5325">
        <v>32.9</v>
      </c>
    </row>
    <row r="5326" spans="1:14">
      <c r="A5326" t="s">
        <v>286</v>
      </c>
      <c r="B5326" t="str">
        <f>_xlfn.XLOOKUP(A5326,'[1]Tissue Data'!$A:$A,'[1]Tissue Data'!$C:$C)</f>
        <v>Spill</v>
      </c>
      <c r="C5326" s="2">
        <f>_xlfn.XLOOKUP(A5326,'[1]Tissue Data'!$A:$A,'[1]Tissue Data'!$D:$D)</f>
        <v>44393</v>
      </c>
      <c r="D5326" s="2" t="str">
        <f>_xlfn.XLOOKUP(A5326,'[1]Tissue Data'!$A:$A,'[1]Tissue Data'!$F:$F)</f>
        <v>Pumpkinseed</v>
      </c>
      <c r="E5326" t="str">
        <f>_xlfn.XLOOKUP(A5326,'[1]Tissue Data'!$A:$A,'[1]Tissue Data'!$H:$H)</f>
        <v>Lepomis</v>
      </c>
      <c r="F5326" t="str">
        <f>_xlfn.XLOOKUP(A5326,'[1]Tissue Data'!$A:$A,'[1]Tissue Data'!$I:$I)</f>
        <v>gibbosus</v>
      </c>
      <c r="G5326" t="str">
        <f>_xlfn.XLOOKUP(A5326,'[1]Tissue Data'!$A:$A,'[1]Tissue Data'!J:J)</f>
        <v>U</v>
      </c>
      <c r="H5326" t="str">
        <f>_xlfn.XLOOKUP(A5326,'[1]Tissue Data'!$A:$A,'[1]Tissue Data'!K:K)</f>
        <v>Whole Body</v>
      </c>
      <c r="I5326">
        <f>_xlfn.XLOOKUP(A5326,'[1]Tissue Data'!$A:$A,'[1]Tissue Data'!L:L)</f>
        <v>8</v>
      </c>
      <c r="J5326">
        <f>_xlfn.XLOOKUP(A5326,'[1]Tissue Data'!$A:$A,'[1]Tissue Data'!M:M)</f>
        <v>11.85</v>
      </c>
      <c r="K5326" t="s">
        <v>36</v>
      </c>
      <c r="L5326" t="str">
        <f>_xlfn.XLOOKUP(K5326,[2]analyte_order!$B:$B,[2]analyte_order!$C:$C)</f>
        <v>41997-13-1</v>
      </c>
      <c r="M5326">
        <f>_xlfn.XLOOKUP(L5326,[2]analyte_order!$C:$C,[2]analyte_order!$E:$E)</f>
        <v>52</v>
      </c>
      <c r="N5326">
        <v>63</v>
      </c>
    </row>
    <row r="5327" spans="1:14">
      <c r="A5327" t="s">
        <v>286</v>
      </c>
      <c r="B5327" t="str">
        <f>_xlfn.XLOOKUP(A5327,'[1]Tissue Data'!$A:$A,'[1]Tissue Data'!$C:$C)</f>
        <v>Spill</v>
      </c>
      <c r="C5327" s="2">
        <f>_xlfn.XLOOKUP(A5327,'[1]Tissue Data'!$A:$A,'[1]Tissue Data'!$D:$D)</f>
        <v>44393</v>
      </c>
      <c r="D5327" s="2" t="str">
        <f>_xlfn.XLOOKUP(A5327,'[1]Tissue Data'!$A:$A,'[1]Tissue Data'!$F:$F)</f>
        <v>Pumpkinseed</v>
      </c>
      <c r="E5327" t="str">
        <f>_xlfn.XLOOKUP(A5327,'[1]Tissue Data'!$A:$A,'[1]Tissue Data'!$H:$H)</f>
        <v>Lepomis</v>
      </c>
      <c r="F5327" t="str">
        <f>_xlfn.XLOOKUP(A5327,'[1]Tissue Data'!$A:$A,'[1]Tissue Data'!$I:$I)</f>
        <v>gibbosus</v>
      </c>
      <c r="G5327" t="str">
        <f>_xlfn.XLOOKUP(A5327,'[1]Tissue Data'!$A:$A,'[1]Tissue Data'!J:J)</f>
        <v>U</v>
      </c>
      <c r="H5327" t="str">
        <f>_xlfn.XLOOKUP(A5327,'[1]Tissue Data'!$A:$A,'[1]Tissue Data'!K:K)</f>
        <v>Whole Body</v>
      </c>
      <c r="I5327">
        <f>_xlfn.XLOOKUP(A5327,'[1]Tissue Data'!$A:$A,'[1]Tissue Data'!L:L)</f>
        <v>8</v>
      </c>
      <c r="J5327">
        <f>_xlfn.XLOOKUP(A5327,'[1]Tissue Data'!$A:$A,'[1]Tissue Data'!M:M)</f>
        <v>11.85</v>
      </c>
      <c r="K5327" t="s">
        <v>37</v>
      </c>
      <c r="L5327" t="str">
        <f>_xlfn.XLOOKUP(K5327,[2]analyte_order!$B:$B,[2]analyte_order!$C:$C)</f>
        <v>754-91-6</v>
      </c>
      <c r="M5327">
        <f>_xlfn.XLOOKUP(L5327,[2]analyte_order!$C:$C,[2]analyte_order!$E:$E)</f>
        <v>28</v>
      </c>
      <c r="N5327">
        <v>13.8</v>
      </c>
    </row>
    <row r="5328" spans="1:14">
      <c r="A5328" t="s">
        <v>286</v>
      </c>
      <c r="B5328" t="str">
        <f>_xlfn.XLOOKUP(A5328,'[1]Tissue Data'!$A:$A,'[1]Tissue Data'!$C:$C)</f>
        <v>Spill</v>
      </c>
      <c r="C5328" s="2">
        <f>_xlfn.XLOOKUP(A5328,'[1]Tissue Data'!$A:$A,'[1]Tissue Data'!$D:$D)</f>
        <v>44393</v>
      </c>
      <c r="D5328" s="2" t="str">
        <f>_xlfn.XLOOKUP(A5328,'[1]Tissue Data'!$A:$A,'[1]Tissue Data'!$F:$F)</f>
        <v>Pumpkinseed</v>
      </c>
      <c r="E5328" t="str">
        <f>_xlfn.XLOOKUP(A5328,'[1]Tissue Data'!$A:$A,'[1]Tissue Data'!$H:$H)</f>
        <v>Lepomis</v>
      </c>
      <c r="F5328" t="str">
        <f>_xlfn.XLOOKUP(A5328,'[1]Tissue Data'!$A:$A,'[1]Tissue Data'!$I:$I)</f>
        <v>gibbosus</v>
      </c>
      <c r="G5328" t="str">
        <f>_xlfn.XLOOKUP(A5328,'[1]Tissue Data'!$A:$A,'[1]Tissue Data'!J:J)</f>
        <v>U</v>
      </c>
      <c r="H5328" t="str">
        <f>_xlfn.XLOOKUP(A5328,'[1]Tissue Data'!$A:$A,'[1]Tissue Data'!K:K)</f>
        <v>Whole Body</v>
      </c>
      <c r="I5328">
        <f>_xlfn.XLOOKUP(A5328,'[1]Tissue Data'!$A:$A,'[1]Tissue Data'!L:L)</f>
        <v>8</v>
      </c>
      <c r="J5328">
        <f>_xlfn.XLOOKUP(A5328,'[1]Tissue Data'!$A:$A,'[1]Tissue Data'!M:M)</f>
        <v>11.85</v>
      </c>
      <c r="K5328" t="s">
        <v>38</v>
      </c>
      <c r="L5328" t="str">
        <f>_xlfn.XLOOKUP(K5328,[2]analyte_order!$B:$B,[2]analyte_order!$C:$C)</f>
        <v>31506-32-8</v>
      </c>
      <c r="M5328">
        <f>_xlfn.XLOOKUP(L5328,[2]analyte_order!$C:$C,[2]analyte_order!$E:$E)</f>
        <v>30</v>
      </c>
      <c r="N5328">
        <v>6.5500000000000003E-2</v>
      </c>
    </row>
    <row r="5329" spans="1:14">
      <c r="A5329" t="s">
        <v>286</v>
      </c>
      <c r="B5329" t="str">
        <f>_xlfn.XLOOKUP(A5329,'[1]Tissue Data'!$A:$A,'[1]Tissue Data'!$C:$C)</f>
        <v>Spill</v>
      </c>
      <c r="C5329" s="2">
        <f>_xlfn.XLOOKUP(A5329,'[1]Tissue Data'!$A:$A,'[1]Tissue Data'!$D:$D)</f>
        <v>44393</v>
      </c>
      <c r="D5329" s="2" t="str">
        <f>_xlfn.XLOOKUP(A5329,'[1]Tissue Data'!$A:$A,'[1]Tissue Data'!$F:$F)</f>
        <v>Pumpkinseed</v>
      </c>
      <c r="E5329" t="str">
        <f>_xlfn.XLOOKUP(A5329,'[1]Tissue Data'!$A:$A,'[1]Tissue Data'!$H:$H)</f>
        <v>Lepomis</v>
      </c>
      <c r="F5329" t="str">
        <f>_xlfn.XLOOKUP(A5329,'[1]Tissue Data'!$A:$A,'[1]Tissue Data'!$I:$I)</f>
        <v>gibbosus</v>
      </c>
      <c r="G5329" t="str">
        <f>_xlfn.XLOOKUP(A5329,'[1]Tissue Data'!$A:$A,'[1]Tissue Data'!J:J)</f>
        <v>U</v>
      </c>
      <c r="H5329" t="str">
        <f>_xlfn.XLOOKUP(A5329,'[1]Tissue Data'!$A:$A,'[1]Tissue Data'!K:K)</f>
        <v>Whole Body</v>
      </c>
      <c r="I5329">
        <f>_xlfn.XLOOKUP(A5329,'[1]Tissue Data'!$A:$A,'[1]Tissue Data'!L:L)</f>
        <v>8</v>
      </c>
      <c r="J5329">
        <f>_xlfn.XLOOKUP(A5329,'[1]Tissue Data'!$A:$A,'[1]Tissue Data'!M:M)</f>
        <v>11.85</v>
      </c>
      <c r="K5329" t="s">
        <v>39</v>
      </c>
      <c r="L5329" t="str">
        <f>_xlfn.XLOOKUP(K5329,[2]analyte_order!$B:$B,[2]analyte_order!$C:$C)</f>
        <v>4151-50-2</v>
      </c>
      <c r="M5329">
        <f>_xlfn.XLOOKUP(L5329,[2]analyte_order!$C:$C,[2]analyte_order!$E:$E)</f>
        <v>31</v>
      </c>
      <c r="N5329">
        <v>7.6499999999999999E-2</v>
      </c>
    </row>
    <row r="5330" spans="1:14">
      <c r="A5330" t="s">
        <v>286</v>
      </c>
      <c r="B5330" t="str">
        <f>_xlfn.XLOOKUP(A5330,'[1]Tissue Data'!$A:$A,'[1]Tissue Data'!$C:$C)</f>
        <v>Spill</v>
      </c>
      <c r="C5330" s="2">
        <f>_xlfn.XLOOKUP(A5330,'[1]Tissue Data'!$A:$A,'[1]Tissue Data'!$D:$D)</f>
        <v>44393</v>
      </c>
      <c r="D5330" s="2" t="str">
        <f>_xlfn.XLOOKUP(A5330,'[1]Tissue Data'!$A:$A,'[1]Tissue Data'!$F:$F)</f>
        <v>Pumpkinseed</v>
      </c>
      <c r="E5330" t="str">
        <f>_xlfn.XLOOKUP(A5330,'[1]Tissue Data'!$A:$A,'[1]Tissue Data'!$H:$H)</f>
        <v>Lepomis</v>
      </c>
      <c r="F5330" t="str">
        <f>_xlfn.XLOOKUP(A5330,'[1]Tissue Data'!$A:$A,'[1]Tissue Data'!$I:$I)</f>
        <v>gibbosus</v>
      </c>
      <c r="G5330" t="str">
        <f>_xlfn.XLOOKUP(A5330,'[1]Tissue Data'!$A:$A,'[1]Tissue Data'!J:J)</f>
        <v>U</v>
      </c>
      <c r="H5330" t="str">
        <f>_xlfn.XLOOKUP(A5330,'[1]Tissue Data'!$A:$A,'[1]Tissue Data'!K:K)</f>
        <v>Whole Body</v>
      </c>
      <c r="I5330">
        <f>_xlfn.XLOOKUP(A5330,'[1]Tissue Data'!$A:$A,'[1]Tissue Data'!L:L)</f>
        <v>8</v>
      </c>
      <c r="J5330">
        <f>_xlfn.XLOOKUP(A5330,'[1]Tissue Data'!$A:$A,'[1]Tissue Data'!M:M)</f>
        <v>11.85</v>
      </c>
      <c r="K5330" t="s">
        <v>40</v>
      </c>
      <c r="L5330" t="str">
        <f>_xlfn.XLOOKUP(K5330,[2]analyte_order!$B:$B,[2]analyte_order!$C:$C)</f>
        <v>2806-24-8</v>
      </c>
      <c r="M5330">
        <f>_xlfn.XLOOKUP(L5330,[2]analyte_order!$C:$C,[2]analyte_order!$E:$E)</f>
        <v>29</v>
      </c>
      <c r="N5330">
        <v>5.1999999999999998E-2</v>
      </c>
    </row>
    <row r="5331" spans="1:14">
      <c r="A5331" t="s">
        <v>286</v>
      </c>
      <c r="B5331" t="str">
        <f>_xlfn.XLOOKUP(A5331,'[1]Tissue Data'!$A:$A,'[1]Tissue Data'!$C:$C)</f>
        <v>Spill</v>
      </c>
      <c r="C5331" s="2">
        <f>_xlfn.XLOOKUP(A5331,'[1]Tissue Data'!$A:$A,'[1]Tissue Data'!$D:$D)</f>
        <v>44393</v>
      </c>
      <c r="D5331" s="2" t="str">
        <f>_xlfn.XLOOKUP(A5331,'[1]Tissue Data'!$A:$A,'[1]Tissue Data'!$F:$F)</f>
        <v>Pumpkinseed</v>
      </c>
      <c r="E5331" t="str">
        <f>_xlfn.XLOOKUP(A5331,'[1]Tissue Data'!$A:$A,'[1]Tissue Data'!$H:$H)</f>
        <v>Lepomis</v>
      </c>
      <c r="F5331" t="str">
        <f>_xlfn.XLOOKUP(A5331,'[1]Tissue Data'!$A:$A,'[1]Tissue Data'!$I:$I)</f>
        <v>gibbosus</v>
      </c>
      <c r="G5331" t="str">
        <f>_xlfn.XLOOKUP(A5331,'[1]Tissue Data'!$A:$A,'[1]Tissue Data'!J:J)</f>
        <v>U</v>
      </c>
      <c r="H5331" t="str">
        <f>_xlfn.XLOOKUP(A5331,'[1]Tissue Data'!$A:$A,'[1]Tissue Data'!K:K)</f>
        <v>Whole Body</v>
      </c>
      <c r="I5331">
        <f>_xlfn.XLOOKUP(A5331,'[1]Tissue Data'!$A:$A,'[1]Tissue Data'!L:L)</f>
        <v>8</v>
      </c>
      <c r="J5331">
        <f>_xlfn.XLOOKUP(A5331,'[1]Tissue Data'!$A:$A,'[1]Tissue Data'!M:M)</f>
        <v>11.85</v>
      </c>
      <c r="K5331" t="s">
        <v>41</v>
      </c>
      <c r="L5331" t="str">
        <f>_xlfn.XLOOKUP(K5331,[2]analyte_order!$B:$B,[2]analyte_order!$C:$C)</f>
        <v>2355-31-9</v>
      </c>
      <c r="M5331">
        <f>_xlfn.XLOOKUP(L5331,[2]analyte_order!$C:$C,[2]analyte_order!$E:$E)</f>
        <v>26</v>
      </c>
      <c r="N5331">
        <v>0.218</v>
      </c>
    </row>
    <row r="5332" spans="1:14">
      <c r="A5332" t="s">
        <v>286</v>
      </c>
      <c r="B5332" t="str">
        <f>_xlfn.XLOOKUP(A5332,'[1]Tissue Data'!$A:$A,'[1]Tissue Data'!$C:$C)</f>
        <v>Spill</v>
      </c>
      <c r="C5332" s="2">
        <f>_xlfn.XLOOKUP(A5332,'[1]Tissue Data'!$A:$A,'[1]Tissue Data'!$D:$D)</f>
        <v>44393</v>
      </c>
      <c r="D5332" s="2" t="str">
        <f>_xlfn.XLOOKUP(A5332,'[1]Tissue Data'!$A:$A,'[1]Tissue Data'!$F:$F)</f>
        <v>Pumpkinseed</v>
      </c>
      <c r="E5332" t="str">
        <f>_xlfn.XLOOKUP(A5332,'[1]Tissue Data'!$A:$A,'[1]Tissue Data'!$H:$H)</f>
        <v>Lepomis</v>
      </c>
      <c r="F5332" t="str">
        <f>_xlfn.XLOOKUP(A5332,'[1]Tissue Data'!$A:$A,'[1]Tissue Data'!$I:$I)</f>
        <v>gibbosus</v>
      </c>
      <c r="G5332" t="str">
        <f>_xlfn.XLOOKUP(A5332,'[1]Tissue Data'!$A:$A,'[1]Tissue Data'!J:J)</f>
        <v>U</v>
      </c>
      <c r="H5332" t="str">
        <f>_xlfn.XLOOKUP(A5332,'[1]Tissue Data'!$A:$A,'[1]Tissue Data'!K:K)</f>
        <v>Whole Body</v>
      </c>
      <c r="I5332">
        <f>_xlfn.XLOOKUP(A5332,'[1]Tissue Data'!$A:$A,'[1]Tissue Data'!L:L)</f>
        <v>8</v>
      </c>
      <c r="J5332">
        <f>_xlfn.XLOOKUP(A5332,'[1]Tissue Data'!$A:$A,'[1]Tissue Data'!M:M)</f>
        <v>11.85</v>
      </c>
      <c r="K5332" t="s">
        <v>42</v>
      </c>
      <c r="L5332" t="str">
        <f>_xlfn.XLOOKUP(K5332,[2]analyte_order!$B:$B,[2]analyte_order!$C:$C)</f>
        <v>2991-50-6</v>
      </c>
      <c r="M5332">
        <f>_xlfn.XLOOKUP(L5332,[2]analyte_order!$C:$C,[2]analyte_order!$E:$E)</f>
        <v>27</v>
      </c>
      <c r="N5332">
        <v>5.7000000000000002E-2</v>
      </c>
    </row>
    <row r="5333" spans="1:14">
      <c r="A5333" t="s">
        <v>286</v>
      </c>
      <c r="B5333" t="str">
        <f>_xlfn.XLOOKUP(A5333,'[1]Tissue Data'!$A:$A,'[1]Tissue Data'!$C:$C)</f>
        <v>Spill</v>
      </c>
      <c r="C5333" s="2">
        <f>_xlfn.XLOOKUP(A5333,'[1]Tissue Data'!$A:$A,'[1]Tissue Data'!$D:$D)</f>
        <v>44393</v>
      </c>
      <c r="D5333" s="2" t="str">
        <f>_xlfn.XLOOKUP(A5333,'[1]Tissue Data'!$A:$A,'[1]Tissue Data'!$F:$F)</f>
        <v>Pumpkinseed</v>
      </c>
      <c r="E5333" t="str">
        <f>_xlfn.XLOOKUP(A5333,'[1]Tissue Data'!$A:$A,'[1]Tissue Data'!$H:$H)</f>
        <v>Lepomis</v>
      </c>
      <c r="F5333" t="str">
        <f>_xlfn.XLOOKUP(A5333,'[1]Tissue Data'!$A:$A,'[1]Tissue Data'!$I:$I)</f>
        <v>gibbosus</v>
      </c>
      <c r="G5333" t="str">
        <f>_xlfn.XLOOKUP(A5333,'[1]Tissue Data'!$A:$A,'[1]Tissue Data'!J:J)</f>
        <v>U</v>
      </c>
      <c r="H5333" t="str">
        <f>_xlfn.XLOOKUP(A5333,'[1]Tissue Data'!$A:$A,'[1]Tissue Data'!K:K)</f>
        <v>Whole Body</v>
      </c>
      <c r="I5333">
        <f>_xlfn.XLOOKUP(A5333,'[1]Tissue Data'!$A:$A,'[1]Tissue Data'!L:L)</f>
        <v>8</v>
      </c>
      <c r="J5333">
        <f>_xlfn.XLOOKUP(A5333,'[1]Tissue Data'!$A:$A,'[1]Tissue Data'!M:M)</f>
        <v>11.85</v>
      </c>
      <c r="K5333" t="s">
        <v>43</v>
      </c>
      <c r="L5333" t="str">
        <f>_xlfn.XLOOKUP(K5333,[2]analyte_order!$B:$B,[2]analyte_order!$C:$C)</f>
        <v>757124-72-4</v>
      </c>
      <c r="M5333">
        <f>_xlfn.XLOOKUP(L5333,[2]analyte_order!$C:$C,[2]analyte_order!$E:$E)</f>
        <v>22</v>
      </c>
      <c r="N5333">
        <v>6.5500000000000003E-2</v>
      </c>
    </row>
    <row r="5334" spans="1:14">
      <c r="A5334" t="s">
        <v>286</v>
      </c>
      <c r="B5334" t="str">
        <f>_xlfn.XLOOKUP(A5334,'[1]Tissue Data'!$A:$A,'[1]Tissue Data'!$C:$C)</f>
        <v>Spill</v>
      </c>
      <c r="C5334" s="2">
        <f>_xlfn.XLOOKUP(A5334,'[1]Tissue Data'!$A:$A,'[1]Tissue Data'!$D:$D)</f>
        <v>44393</v>
      </c>
      <c r="D5334" s="2" t="str">
        <f>_xlfn.XLOOKUP(A5334,'[1]Tissue Data'!$A:$A,'[1]Tissue Data'!$F:$F)</f>
        <v>Pumpkinseed</v>
      </c>
      <c r="E5334" t="str">
        <f>_xlfn.XLOOKUP(A5334,'[1]Tissue Data'!$A:$A,'[1]Tissue Data'!$H:$H)</f>
        <v>Lepomis</v>
      </c>
      <c r="F5334" t="str">
        <f>_xlfn.XLOOKUP(A5334,'[1]Tissue Data'!$A:$A,'[1]Tissue Data'!$I:$I)</f>
        <v>gibbosus</v>
      </c>
      <c r="G5334" t="str">
        <f>_xlfn.XLOOKUP(A5334,'[1]Tissue Data'!$A:$A,'[1]Tissue Data'!J:J)</f>
        <v>U</v>
      </c>
      <c r="H5334" t="str">
        <f>_xlfn.XLOOKUP(A5334,'[1]Tissue Data'!$A:$A,'[1]Tissue Data'!K:K)</f>
        <v>Whole Body</v>
      </c>
      <c r="I5334">
        <f>_xlfn.XLOOKUP(A5334,'[1]Tissue Data'!$A:$A,'[1]Tissue Data'!L:L)</f>
        <v>8</v>
      </c>
      <c r="J5334">
        <f>_xlfn.XLOOKUP(A5334,'[1]Tissue Data'!$A:$A,'[1]Tissue Data'!M:M)</f>
        <v>11.85</v>
      </c>
      <c r="K5334" t="s">
        <v>44</v>
      </c>
      <c r="L5334" t="str">
        <f>_xlfn.XLOOKUP(K5334,[2]analyte_order!$B:$B,[2]analyte_order!$C:$C)</f>
        <v>27619-97-2</v>
      </c>
      <c r="M5334">
        <f>_xlfn.XLOOKUP(L5334,[2]analyte_order!$C:$C,[2]analyte_order!$E:$E)</f>
        <v>23</v>
      </c>
      <c r="N5334">
        <v>1.35</v>
      </c>
    </row>
    <row r="5335" spans="1:14">
      <c r="A5335" t="s">
        <v>286</v>
      </c>
      <c r="B5335" t="str">
        <f>_xlfn.XLOOKUP(A5335,'[1]Tissue Data'!$A:$A,'[1]Tissue Data'!$C:$C)</f>
        <v>Spill</v>
      </c>
      <c r="C5335" s="2">
        <f>_xlfn.XLOOKUP(A5335,'[1]Tissue Data'!$A:$A,'[1]Tissue Data'!$D:$D)</f>
        <v>44393</v>
      </c>
      <c r="D5335" s="2" t="str">
        <f>_xlfn.XLOOKUP(A5335,'[1]Tissue Data'!$A:$A,'[1]Tissue Data'!$F:$F)</f>
        <v>Pumpkinseed</v>
      </c>
      <c r="E5335" t="str">
        <f>_xlfn.XLOOKUP(A5335,'[1]Tissue Data'!$A:$A,'[1]Tissue Data'!$H:$H)</f>
        <v>Lepomis</v>
      </c>
      <c r="F5335" t="str">
        <f>_xlfn.XLOOKUP(A5335,'[1]Tissue Data'!$A:$A,'[1]Tissue Data'!$I:$I)</f>
        <v>gibbosus</v>
      </c>
      <c r="G5335" t="str">
        <f>_xlfn.XLOOKUP(A5335,'[1]Tissue Data'!$A:$A,'[1]Tissue Data'!J:J)</f>
        <v>U</v>
      </c>
      <c r="H5335" t="str">
        <f>_xlfn.XLOOKUP(A5335,'[1]Tissue Data'!$A:$A,'[1]Tissue Data'!K:K)</f>
        <v>Whole Body</v>
      </c>
      <c r="I5335">
        <f>_xlfn.XLOOKUP(A5335,'[1]Tissue Data'!$A:$A,'[1]Tissue Data'!L:L)</f>
        <v>8</v>
      </c>
      <c r="J5335">
        <f>_xlfn.XLOOKUP(A5335,'[1]Tissue Data'!$A:$A,'[1]Tissue Data'!M:M)</f>
        <v>11.85</v>
      </c>
      <c r="K5335" t="s">
        <v>45</v>
      </c>
      <c r="L5335" t="str">
        <f>_xlfn.XLOOKUP(K5335,[2]analyte_order!$B:$B,[2]analyte_order!$C:$C)</f>
        <v>39108-34-4</v>
      </c>
      <c r="M5335">
        <f>_xlfn.XLOOKUP(L5335,[2]analyte_order!$C:$C,[2]analyte_order!$E:$E)</f>
        <v>24</v>
      </c>
      <c r="N5335">
        <v>5.45</v>
      </c>
    </row>
    <row r="5336" spans="1:14">
      <c r="A5336" t="s">
        <v>286</v>
      </c>
      <c r="B5336" t="str">
        <f>_xlfn.XLOOKUP(A5336,'[1]Tissue Data'!$A:$A,'[1]Tissue Data'!$C:$C)</f>
        <v>Spill</v>
      </c>
      <c r="C5336" s="2">
        <f>_xlfn.XLOOKUP(A5336,'[1]Tissue Data'!$A:$A,'[1]Tissue Data'!$D:$D)</f>
        <v>44393</v>
      </c>
      <c r="D5336" s="2" t="str">
        <f>_xlfn.XLOOKUP(A5336,'[1]Tissue Data'!$A:$A,'[1]Tissue Data'!$F:$F)</f>
        <v>Pumpkinseed</v>
      </c>
      <c r="E5336" t="str">
        <f>_xlfn.XLOOKUP(A5336,'[1]Tissue Data'!$A:$A,'[1]Tissue Data'!$H:$H)</f>
        <v>Lepomis</v>
      </c>
      <c r="F5336" t="str">
        <f>_xlfn.XLOOKUP(A5336,'[1]Tissue Data'!$A:$A,'[1]Tissue Data'!$I:$I)</f>
        <v>gibbosus</v>
      </c>
      <c r="G5336" t="str">
        <f>_xlfn.XLOOKUP(A5336,'[1]Tissue Data'!$A:$A,'[1]Tissue Data'!J:J)</f>
        <v>U</v>
      </c>
      <c r="H5336" t="str">
        <f>_xlfn.XLOOKUP(A5336,'[1]Tissue Data'!$A:$A,'[1]Tissue Data'!K:K)</f>
        <v>Whole Body</v>
      </c>
      <c r="I5336">
        <f>_xlfn.XLOOKUP(A5336,'[1]Tissue Data'!$A:$A,'[1]Tissue Data'!L:L)</f>
        <v>8</v>
      </c>
      <c r="J5336">
        <f>_xlfn.XLOOKUP(A5336,'[1]Tissue Data'!$A:$A,'[1]Tissue Data'!M:M)</f>
        <v>11.85</v>
      </c>
      <c r="K5336" t="s">
        <v>46</v>
      </c>
      <c r="L5336" t="str">
        <f>_xlfn.XLOOKUP(K5336,[2]analyte_order!$B:$B,[2]analyte_order!$C:$C)</f>
        <v>120226-60-0</v>
      </c>
      <c r="M5336">
        <f>_xlfn.XLOOKUP(L5336,[2]analyte_order!$C:$C,[2]analyte_order!$E:$E)</f>
        <v>25</v>
      </c>
      <c r="N5336">
        <v>0.246</v>
      </c>
    </row>
    <row r="5337" spans="1:14">
      <c r="A5337" t="s">
        <v>286</v>
      </c>
      <c r="B5337" t="str">
        <f>_xlfn.XLOOKUP(A5337,'[1]Tissue Data'!$A:$A,'[1]Tissue Data'!$C:$C)</f>
        <v>Spill</v>
      </c>
      <c r="C5337" s="2">
        <f>_xlfn.XLOOKUP(A5337,'[1]Tissue Data'!$A:$A,'[1]Tissue Data'!$D:$D)</f>
        <v>44393</v>
      </c>
      <c r="D5337" s="2" t="str">
        <f>_xlfn.XLOOKUP(A5337,'[1]Tissue Data'!$A:$A,'[1]Tissue Data'!$F:$F)</f>
        <v>Pumpkinseed</v>
      </c>
      <c r="E5337" t="str">
        <f>_xlfn.XLOOKUP(A5337,'[1]Tissue Data'!$A:$A,'[1]Tissue Data'!$H:$H)</f>
        <v>Lepomis</v>
      </c>
      <c r="F5337" t="str">
        <f>_xlfn.XLOOKUP(A5337,'[1]Tissue Data'!$A:$A,'[1]Tissue Data'!$I:$I)</f>
        <v>gibbosus</v>
      </c>
      <c r="G5337" t="str">
        <f>_xlfn.XLOOKUP(A5337,'[1]Tissue Data'!$A:$A,'[1]Tissue Data'!J:J)</f>
        <v>U</v>
      </c>
      <c r="H5337" t="str">
        <f>_xlfn.XLOOKUP(A5337,'[1]Tissue Data'!$A:$A,'[1]Tissue Data'!K:K)</f>
        <v>Whole Body</v>
      </c>
      <c r="I5337">
        <f>_xlfn.XLOOKUP(A5337,'[1]Tissue Data'!$A:$A,'[1]Tissue Data'!L:L)</f>
        <v>8</v>
      </c>
      <c r="J5337">
        <f>_xlfn.XLOOKUP(A5337,'[1]Tissue Data'!$A:$A,'[1]Tissue Data'!M:M)</f>
        <v>11.85</v>
      </c>
      <c r="K5337" t="s">
        <v>47</v>
      </c>
      <c r="L5337" t="str">
        <f>_xlfn.XLOOKUP(K5337,[2]analyte_order!$B:$B,[2]analyte_order!$C:$C)</f>
        <v>356-02-5</v>
      </c>
      <c r="M5337">
        <f>_xlfn.XLOOKUP(L5337,[2]analyte_order!$C:$C,[2]analyte_order!$E:$E)</f>
        <v>38</v>
      </c>
      <c r="N5337">
        <v>7.5999999999999998E-2</v>
      </c>
    </row>
    <row r="5338" spans="1:14">
      <c r="A5338" t="s">
        <v>286</v>
      </c>
      <c r="B5338" t="str">
        <f>_xlfn.XLOOKUP(A5338,'[1]Tissue Data'!$A:$A,'[1]Tissue Data'!$C:$C)</f>
        <v>Spill</v>
      </c>
      <c r="C5338" s="2">
        <f>_xlfn.XLOOKUP(A5338,'[1]Tissue Data'!$A:$A,'[1]Tissue Data'!$D:$D)</f>
        <v>44393</v>
      </c>
      <c r="D5338" s="2" t="str">
        <f>_xlfn.XLOOKUP(A5338,'[1]Tissue Data'!$A:$A,'[1]Tissue Data'!$F:$F)</f>
        <v>Pumpkinseed</v>
      </c>
      <c r="E5338" t="str">
        <f>_xlfn.XLOOKUP(A5338,'[1]Tissue Data'!$A:$A,'[1]Tissue Data'!$H:$H)</f>
        <v>Lepomis</v>
      </c>
      <c r="F5338" t="str">
        <f>_xlfn.XLOOKUP(A5338,'[1]Tissue Data'!$A:$A,'[1]Tissue Data'!$I:$I)</f>
        <v>gibbosus</v>
      </c>
      <c r="G5338" t="str">
        <f>_xlfn.XLOOKUP(A5338,'[1]Tissue Data'!$A:$A,'[1]Tissue Data'!J:J)</f>
        <v>U</v>
      </c>
      <c r="H5338" t="str">
        <f>_xlfn.XLOOKUP(A5338,'[1]Tissue Data'!$A:$A,'[1]Tissue Data'!K:K)</f>
        <v>Whole Body</v>
      </c>
      <c r="I5338">
        <f>_xlfn.XLOOKUP(A5338,'[1]Tissue Data'!$A:$A,'[1]Tissue Data'!L:L)</f>
        <v>8</v>
      </c>
      <c r="J5338">
        <f>_xlfn.XLOOKUP(A5338,'[1]Tissue Data'!$A:$A,'[1]Tissue Data'!M:M)</f>
        <v>11.85</v>
      </c>
      <c r="K5338" t="s">
        <v>48</v>
      </c>
      <c r="L5338" t="str">
        <f>_xlfn.XLOOKUP(K5338,[2]analyte_order!$B:$B,[2]analyte_order!$C:$C)</f>
        <v>914637-49-3</v>
      </c>
      <c r="M5338">
        <f>_xlfn.XLOOKUP(L5338,[2]analyte_order!$C:$C,[2]analyte_order!$E:$E)</f>
        <v>39</v>
      </c>
      <c r="N5338">
        <v>0.16350000000000001</v>
      </c>
    </row>
    <row r="5339" spans="1:14">
      <c r="A5339" t="s">
        <v>286</v>
      </c>
      <c r="B5339" t="str">
        <f>_xlfn.XLOOKUP(A5339,'[1]Tissue Data'!$A:$A,'[1]Tissue Data'!$C:$C)</f>
        <v>Spill</v>
      </c>
      <c r="C5339" s="2">
        <f>_xlfn.XLOOKUP(A5339,'[1]Tissue Data'!$A:$A,'[1]Tissue Data'!$D:$D)</f>
        <v>44393</v>
      </c>
      <c r="D5339" s="2" t="str">
        <f>_xlfn.XLOOKUP(A5339,'[1]Tissue Data'!$A:$A,'[1]Tissue Data'!$F:$F)</f>
        <v>Pumpkinseed</v>
      </c>
      <c r="E5339" t="str">
        <f>_xlfn.XLOOKUP(A5339,'[1]Tissue Data'!$A:$A,'[1]Tissue Data'!$H:$H)</f>
        <v>Lepomis</v>
      </c>
      <c r="F5339" t="str">
        <f>_xlfn.XLOOKUP(A5339,'[1]Tissue Data'!$A:$A,'[1]Tissue Data'!$I:$I)</f>
        <v>gibbosus</v>
      </c>
      <c r="G5339" t="str">
        <f>_xlfn.XLOOKUP(A5339,'[1]Tissue Data'!$A:$A,'[1]Tissue Data'!J:J)</f>
        <v>U</v>
      </c>
      <c r="H5339" t="str">
        <f>_xlfn.XLOOKUP(A5339,'[1]Tissue Data'!$A:$A,'[1]Tissue Data'!K:K)</f>
        <v>Whole Body</v>
      </c>
      <c r="I5339">
        <f>_xlfn.XLOOKUP(A5339,'[1]Tissue Data'!$A:$A,'[1]Tissue Data'!L:L)</f>
        <v>8</v>
      </c>
      <c r="J5339">
        <f>_xlfn.XLOOKUP(A5339,'[1]Tissue Data'!$A:$A,'[1]Tissue Data'!M:M)</f>
        <v>11.85</v>
      </c>
      <c r="K5339" t="s">
        <v>49</v>
      </c>
      <c r="L5339" t="str">
        <f>_xlfn.XLOOKUP(K5339,[2]analyte_order!$B:$B,[2]analyte_order!$C:$C)</f>
        <v>812-70-4</v>
      </c>
      <c r="M5339">
        <f>_xlfn.XLOOKUP(L5339,[2]analyte_order!$C:$C,[2]analyte_order!$E:$E)</f>
        <v>40</v>
      </c>
      <c r="N5339">
        <v>2.74</v>
      </c>
    </row>
    <row r="5340" spans="1:14">
      <c r="A5340" t="s">
        <v>286</v>
      </c>
      <c r="B5340" t="str">
        <f>_xlfn.XLOOKUP(A5340,'[1]Tissue Data'!$A:$A,'[1]Tissue Data'!$C:$C)</f>
        <v>Spill</v>
      </c>
      <c r="C5340" s="2">
        <f>_xlfn.XLOOKUP(A5340,'[1]Tissue Data'!$A:$A,'[1]Tissue Data'!$D:$D)</f>
        <v>44393</v>
      </c>
      <c r="D5340" s="2" t="str">
        <f>_xlfn.XLOOKUP(A5340,'[1]Tissue Data'!$A:$A,'[1]Tissue Data'!$F:$F)</f>
        <v>Pumpkinseed</v>
      </c>
      <c r="E5340" t="str">
        <f>_xlfn.XLOOKUP(A5340,'[1]Tissue Data'!$A:$A,'[1]Tissue Data'!$H:$H)</f>
        <v>Lepomis</v>
      </c>
      <c r="F5340" t="str">
        <f>_xlfn.XLOOKUP(A5340,'[1]Tissue Data'!$A:$A,'[1]Tissue Data'!$I:$I)</f>
        <v>gibbosus</v>
      </c>
      <c r="G5340" t="str">
        <f>_xlfn.XLOOKUP(A5340,'[1]Tissue Data'!$A:$A,'[1]Tissue Data'!J:J)</f>
        <v>U</v>
      </c>
      <c r="H5340" t="str">
        <f>_xlfn.XLOOKUP(A5340,'[1]Tissue Data'!$A:$A,'[1]Tissue Data'!K:K)</f>
        <v>Whole Body</v>
      </c>
      <c r="I5340">
        <f>_xlfn.XLOOKUP(A5340,'[1]Tissue Data'!$A:$A,'[1]Tissue Data'!L:L)</f>
        <v>8</v>
      </c>
      <c r="J5340">
        <f>_xlfn.XLOOKUP(A5340,'[1]Tissue Data'!$A:$A,'[1]Tissue Data'!M:M)</f>
        <v>11.85</v>
      </c>
      <c r="K5340" t="s">
        <v>50</v>
      </c>
      <c r="L5340" t="str">
        <f>_xlfn.XLOOKUP(K5340,[2]analyte_order!$B:$B,[2]analyte_order!$C:$C)</f>
        <v>53826-12-3</v>
      </c>
      <c r="M5340">
        <f>_xlfn.XLOOKUP(L5340,[2]analyte_order!$C:$C,[2]analyte_order!$E:$E)</f>
        <v>41</v>
      </c>
      <c r="N5340">
        <v>6.5500000000000003E-2</v>
      </c>
    </row>
    <row r="5341" spans="1:14">
      <c r="A5341" t="s">
        <v>286</v>
      </c>
      <c r="B5341" t="str">
        <f>_xlfn.XLOOKUP(A5341,'[1]Tissue Data'!$A:$A,'[1]Tissue Data'!$C:$C)</f>
        <v>Spill</v>
      </c>
      <c r="C5341" s="2">
        <f>_xlfn.XLOOKUP(A5341,'[1]Tissue Data'!$A:$A,'[1]Tissue Data'!$D:$D)</f>
        <v>44393</v>
      </c>
      <c r="D5341" s="2" t="str">
        <f>_xlfn.XLOOKUP(A5341,'[1]Tissue Data'!$A:$A,'[1]Tissue Data'!$F:$F)</f>
        <v>Pumpkinseed</v>
      </c>
      <c r="E5341" t="str">
        <f>_xlfn.XLOOKUP(A5341,'[1]Tissue Data'!$A:$A,'[1]Tissue Data'!$H:$H)</f>
        <v>Lepomis</v>
      </c>
      <c r="F5341" t="str">
        <f>_xlfn.XLOOKUP(A5341,'[1]Tissue Data'!$A:$A,'[1]Tissue Data'!$I:$I)</f>
        <v>gibbosus</v>
      </c>
      <c r="G5341" t="str">
        <f>_xlfn.XLOOKUP(A5341,'[1]Tissue Data'!$A:$A,'[1]Tissue Data'!J:J)</f>
        <v>U</v>
      </c>
      <c r="H5341" t="str">
        <f>_xlfn.XLOOKUP(A5341,'[1]Tissue Data'!$A:$A,'[1]Tissue Data'!K:K)</f>
        <v>Whole Body</v>
      </c>
      <c r="I5341">
        <f>_xlfn.XLOOKUP(A5341,'[1]Tissue Data'!$A:$A,'[1]Tissue Data'!L:L)</f>
        <v>8</v>
      </c>
      <c r="J5341">
        <f>_xlfn.XLOOKUP(A5341,'[1]Tissue Data'!$A:$A,'[1]Tissue Data'!M:M)</f>
        <v>11.85</v>
      </c>
      <c r="K5341" t="s">
        <v>51</v>
      </c>
      <c r="L5341" t="str">
        <f>_xlfn.XLOOKUP(K5341,[2]analyte_order!$B:$B,[2]analyte_order!$C:$C)</f>
        <v>27854-31-5</v>
      </c>
      <c r="M5341">
        <f>_xlfn.XLOOKUP(L5341,[2]analyte_order!$C:$C,[2]analyte_order!$E:$E)</f>
        <v>42</v>
      </c>
      <c r="N5341">
        <v>6.5500000000000003E-2</v>
      </c>
    </row>
    <row r="5342" spans="1:14">
      <c r="A5342" t="s">
        <v>286</v>
      </c>
      <c r="B5342" t="str">
        <f>_xlfn.XLOOKUP(A5342,'[1]Tissue Data'!$A:$A,'[1]Tissue Data'!$C:$C)</f>
        <v>Spill</v>
      </c>
      <c r="C5342" s="2">
        <f>_xlfn.XLOOKUP(A5342,'[1]Tissue Data'!$A:$A,'[1]Tissue Data'!$D:$D)</f>
        <v>44393</v>
      </c>
      <c r="D5342" s="2" t="str">
        <f>_xlfn.XLOOKUP(A5342,'[1]Tissue Data'!$A:$A,'[1]Tissue Data'!$F:$F)</f>
        <v>Pumpkinseed</v>
      </c>
      <c r="E5342" t="str">
        <f>_xlfn.XLOOKUP(A5342,'[1]Tissue Data'!$A:$A,'[1]Tissue Data'!$H:$H)</f>
        <v>Lepomis</v>
      </c>
      <c r="F5342" t="str">
        <f>_xlfn.XLOOKUP(A5342,'[1]Tissue Data'!$A:$A,'[1]Tissue Data'!$I:$I)</f>
        <v>gibbosus</v>
      </c>
      <c r="G5342" t="str">
        <f>_xlfn.XLOOKUP(A5342,'[1]Tissue Data'!$A:$A,'[1]Tissue Data'!J:J)</f>
        <v>U</v>
      </c>
      <c r="H5342" t="str">
        <f>_xlfn.XLOOKUP(A5342,'[1]Tissue Data'!$A:$A,'[1]Tissue Data'!K:K)</f>
        <v>Whole Body</v>
      </c>
      <c r="I5342">
        <f>_xlfn.XLOOKUP(A5342,'[1]Tissue Data'!$A:$A,'[1]Tissue Data'!L:L)</f>
        <v>8</v>
      </c>
      <c r="J5342">
        <f>_xlfn.XLOOKUP(A5342,'[1]Tissue Data'!$A:$A,'[1]Tissue Data'!M:M)</f>
        <v>11.85</v>
      </c>
      <c r="K5342" t="s">
        <v>52</v>
      </c>
      <c r="L5342" t="str">
        <f>_xlfn.XLOOKUP(K5342,[2]analyte_order!$B:$B,[2]analyte_order!$C:$C)</f>
        <v>53826-13-4</v>
      </c>
      <c r="M5342">
        <f>_xlfn.XLOOKUP(L5342,[2]analyte_order!$C:$C,[2]analyte_order!$E:$E)</f>
        <v>43</v>
      </c>
      <c r="N5342">
        <v>9.8000000000000004E-2</v>
      </c>
    </row>
    <row r="5343" spans="1:14">
      <c r="A5343" t="s">
        <v>286</v>
      </c>
      <c r="B5343" t="str">
        <f>_xlfn.XLOOKUP(A5343,'[1]Tissue Data'!$A:$A,'[1]Tissue Data'!$C:$C)</f>
        <v>Spill</v>
      </c>
      <c r="C5343" s="2">
        <f>_xlfn.XLOOKUP(A5343,'[1]Tissue Data'!$A:$A,'[1]Tissue Data'!$D:$D)</f>
        <v>44393</v>
      </c>
      <c r="D5343" s="2" t="str">
        <f>_xlfn.XLOOKUP(A5343,'[1]Tissue Data'!$A:$A,'[1]Tissue Data'!$F:$F)</f>
        <v>Pumpkinseed</v>
      </c>
      <c r="E5343" t="str">
        <f>_xlfn.XLOOKUP(A5343,'[1]Tissue Data'!$A:$A,'[1]Tissue Data'!$H:$H)</f>
        <v>Lepomis</v>
      </c>
      <c r="F5343" t="str">
        <f>_xlfn.XLOOKUP(A5343,'[1]Tissue Data'!$A:$A,'[1]Tissue Data'!$I:$I)</f>
        <v>gibbosus</v>
      </c>
      <c r="G5343" t="str">
        <f>_xlfn.XLOOKUP(A5343,'[1]Tissue Data'!$A:$A,'[1]Tissue Data'!J:J)</f>
        <v>U</v>
      </c>
      <c r="H5343" t="str">
        <f>_xlfn.XLOOKUP(A5343,'[1]Tissue Data'!$A:$A,'[1]Tissue Data'!K:K)</f>
        <v>Whole Body</v>
      </c>
      <c r="I5343">
        <f>_xlfn.XLOOKUP(A5343,'[1]Tissue Data'!$A:$A,'[1]Tissue Data'!L:L)</f>
        <v>8</v>
      </c>
      <c r="J5343">
        <f>_xlfn.XLOOKUP(A5343,'[1]Tissue Data'!$A:$A,'[1]Tissue Data'!M:M)</f>
        <v>11.85</v>
      </c>
      <c r="K5343" t="s">
        <v>53</v>
      </c>
      <c r="L5343" t="str">
        <f>_xlfn.XLOOKUP(K5343,[2]analyte_order!$B:$B,[2]analyte_order!$C:$C)</f>
        <v>161094-75-3</v>
      </c>
      <c r="M5343">
        <f>_xlfn.XLOOKUP(L5343,[2]analyte_order!$C:$C,[2]analyte_order!$E:$E)</f>
        <v>44</v>
      </c>
      <c r="N5343">
        <v>5.1499999999999997E-2</v>
      </c>
    </row>
    <row r="5344" spans="1:14">
      <c r="A5344" t="s">
        <v>286</v>
      </c>
      <c r="B5344" t="str">
        <f>_xlfn.XLOOKUP(A5344,'[1]Tissue Data'!$A:$A,'[1]Tissue Data'!$C:$C)</f>
        <v>Spill</v>
      </c>
      <c r="C5344" s="2">
        <f>_xlfn.XLOOKUP(A5344,'[1]Tissue Data'!$A:$A,'[1]Tissue Data'!$D:$D)</f>
        <v>44393</v>
      </c>
      <c r="D5344" s="2" t="str">
        <f>_xlfn.XLOOKUP(A5344,'[1]Tissue Data'!$A:$A,'[1]Tissue Data'!$F:$F)</f>
        <v>Pumpkinseed</v>
      </c>
      <c r="E5344" t="str">
        <f>_xlfn.XLOOKUP(A5344,'[1]Tissue Data'!$A:$A,'[1]Tissue Data'!$H:$H)</f>
        <v>Lepomis</v>
      </c>
      <c r="F5344" t="str">
        <f>_xlfn.XLOOKUP(A5344,'[1]Tissue Data'!$A:$A,'[1]Tissue Data'!$I:$I)</f>
        <v>gibbosus</v>
      </c>
      <c r="G5344" t="str">
        <f>_xlfn.XLOOKUP(A5344,'[1]Tissue Data'!$A:$A,'[1]Tissue Data'!J:J)</f>
        <v>U</v>
      </c>
      <c r="H5344" t="str">
        <f>_xlfn.XLOOKUP(A5344,'[1]Tissue Data'!$A:$A,'[1]Tissue Data'!K:K)</f>
        <v>Whole Body</v>
      </c>
      <c r="I5344">
        <f>_xlfn.XLOOKUP(A5344,'[1]Tissue Data'!$A:$A,'[1]Tissue Data'!L:L)</f>
        <v>8</v>
      </c>
      <c r="J5344">
        <f>_xlfn.XLOOKUP(A5344,'[1]Tissue Data'!$A:$A,'[1]Tissue Data'!M:M)</f>
        <v>11.85</v>
      </c>
      <c r="K5344" t="s">
        <v>54</v>
      </c>
      <c r="L5344" t="str">
        <f>_xlfn.XLOOKUP(K5344,[2]analyte_order!$B:$B,[2]analyte_order!$C:$C)</f>
        <v>70887-84-2</v>
      </c>
      <c r="M5344">
        <f>_xlfn.XLOOKUP(L5344,[2]analyte_order!$C:$C,[2]analyte_order!$E:$E)</f>
        <v>45</v>
      </c>
      <c r="N5344">
        <v>3.9699999999999999E-2</v>
      </c>
    </row>
    <row r="5345" spans="1:14">
      <c r="A5345" t="s">
        <v>286</v>
      </c>
      <c r="B5345" t="str">
        <f>_xlfn.XLOOKUP(A5345,'[1]Tissue Data'!$A:$A,'[1]Tissue Data'!$C:$C)</f>
        <v>Spill</v>
      </c>
      <c r="C5345" s="2">
        <f>_xlfn.XLOOKUP(A5345,'[1]Tissue Data'!$A:$A,'[1]Tissue Data'!$D:$D)</f>
        <v>44393</v>
      </c>
      <c r="D5345" s="2" t="str">
        <f>_xlfn.XLOOKUP(A5345,'[1]Tissue Data'!$A:$A,'[1]Tissue Data'!$F:$F)</f>
        <v>Pumpkinseed</v>
      </c>
      <c r="E5345" t="str">
        <f>_xlfn.XLOOKUP(A5345,'[1]Tissue Data'!$A:$A,'[1]Tissue Data'!$H:$H)</f>
        <v>Lepomis</v>
      </c>
      <c r="F5345" t="str">
        <f>_xlfn.XLOOKUP(A5345,'[1]Tissue Data'!$A:$A,'[1]Tissue Data'!$I:$I)</f>
        <v>gibbosus</v>
      </c>
      <c r="G5345" t="str">
        <f>_xlfn.XLOOKUP(A5345,'[1]Tissue Data'!$A:$A,'[1]Tissue Data'!J:J)</f>
        <v>U</v>
      </c>
      <c r="H5345" t="str">
        <f>_xlfn.XLOOKUP(A5345,'[1]Tissue Data'!$A:$A,'[1]Tissue Data'!K:K)</f>
        <v>Whole Body</v>
      </c>
      <c r="I5345">
        <f>_xlfn.XLOOKUP(A5345,'[1]Tissue Data'!$A:$A,'[1]Tissue Data'!L:L)</f>
        <v>8</v>
      </c>
      <c r="J5345">
        <f>_xlfn.XLOOKUP(A5345,'[1]Tissue Data'!$A:$A,'[1]Tissue Data'!M:M)</f>
        <v>11.85</v>
      </c>
      <c r="K5345" t="s">
        <v>55</v>
      </c>
      <c r="L5345" t="str">
        <f>_xlfn.XLOOKUP(K5345,[2]analyte_order!$B:$B,[2]analyte_order!$C:$C)</f>
        <v>919005-14-4</v>
      </c>
      <c r="M5345">
        <f>_xlfn.XLOOKUP(L5345,[2]analyte_order!$C:$C,[2]analyte_order!$E:$E)</f>
        <v>35</v>
      </c>
      <c r="N5345">
        <v>5.8000000000000003E-2</v>
      </c>
    </row>
    <row r="5346" spans="1:14">
      <c r="A5346" t="s">
        <v>286</v>
      </c>
      <c r="B5346" t="str">
        <f>_xlfn.XLOOKUP(A5346,'[1]Tissue Data'!$A:$A,'[1]Tissue Data'!$C:$C)</f>
        <v>Spill</v>
      </c>
      <c r="C5346" s="2">
        <f>_xlfn.XLOOKUP(A5346,'[1]Tissue Data'!$A:$A,'[1]Tissue Data'!$D:$D)</f>
        <v>44393</v>
      </c>
      <c r="D5346" s="2" t="str">
        <f>_xlfn.XLOOKUP(A5346,'[1]Tissue Data'!$A:$A,'[1]Tissue Data'!$F:$F)</f>
        <v>Pumpkinseed</v>
      </c>
      <c r="E5346" t="str">
        <f>_xlfn.XLOOKUP(A5346,'[1]Tissue Data'!$A:$A,'[1]Tissue Data'!$H:$H)</f>
        <v>Lepomis</v>
      </c>
      <c r="F5346" t="str">
        <f>_xlfn.XLOOKUP(A5346,'[1]Tissue Data'!$A:$A,'[1]Tissue Data'!$I:$I)</f>
        <v>gibbosus</v>
      </c>
      <c r="G5346" t="str">
        <f>_xlfn.XLOOKUP(A5346,'[1]Tissue Data'!$A:$A,'[1]Tissue Data'!J:J)</f>
        <v>U</v>
      </c>
      <c r="H5346" t="str">
        <f>_xlfn.XLOOKUP(A5346,'[1]Tissue Data'!$A:$A,'[1]Tissue Data'!K:K)</f>
        <v>Whole Body</v>
      </c>
      <c r="I5346">
        <f>_xlfn.XLOOKUP(A5346,'[1]Tissue Data'!$A:$A,'[1]Tissue Data'!L:L)</f>
        <v>8</v>
      </c>
      <c r="J5346">
        <f>_xlfn.XLOOKUP(A5346,'[1]Tissue Data'!$A:$A,'[1]Tissue Data'!M:M)</f>
        <v>11.85</v>
      </c>
      <c r="K5346" t="s">
        <v>56</v>
      </c>
      <c r="L5346" t="str">
        <f>_xlfn.XLOOKUP(K5346,[2]analyte_order!$B:$B,[2]analyte_order!$C:$C)</f>
        <v>756426-58-1</v>
      </c>
      <c r="M5346">
        <f>_xlfn.XLOOKUP(L5346,[2]analyte_order!$C:$C,[2]analyte_order!$E:$E)</f>
        <v>36</v>
      </c>
      <c r="N5346">
        <v>6.5500000000000003E-2</v>
      </c>
    </row>
    <row r="5347" spans="1:14">
      <c r="A5347" t="s">
        <v>286</v>
      </c>
      <c r="B5347" t="str">
        <f>_xlfn.XLOOKUP(A5347,'[1]Tissue Data'!$A:$A,'[1]Tissue Data'!$C:$C)</f>
        <v>Spill</v>
      </c>
      <c r="C5347" s="2">
        <f>_xlfn.XLOOKUP(A5347,'[1]Tissue Data'!$A:$A,'[1]Tissue Data'!$D:$D)</f>
        <v>44393</v>
      </c>
      <c r="D5347" s="2" t="str">
        <f>_xlfn.XLOOKUP(A5347,'[1]Tissue Data'!$A:$A,'[1]Tissue Data'!$F:$F)</f>
        <v>Pumpkinseed</v>
      </c>
      <c r="E5347" t="str">
        <f>_xlfn.XLOOKUP(A5347,'[1]Tissue Data'!$A:$A,'[1]Tissue Data'!$H:$H)</f>
        <v>Lepomis</v>
      </c>
      <c r="F5347" t="str">
        <f>_xlfn.XLOOKUP(A5347,'[1]Tissue Data'!$A:$A,'[1]Tissue Data'!$I:$I)</f>
        <v>gibbosus</v>
      </c>
      <c r="G5347" t="str">
        <f>_xlfn.XLOOKUP(A5347,'[1]Tissue Data'!$A:$A,'[1]Tissue Data'!J:J)</f>
        <v>U</v>
      </c>
      <c r="H5347" t="str">
        <f>_xlfn.XLOOKUP(A5347,'[1]Tissue Data'!$A:$A,'[1]Tissue Data'!K:K)</f>
        <v>Whole Body</v>
      </c>
      <c r="I5347">
        <f>_xlfn.XLOOKUP(A5347,'[1]Tissue Data'!$A:$A,'[1]Tissue Data'!L:L)</f>
        <v>8</v>
      </c>
      <c r="J5347">
        <f>_xlfn.XLOOKUP(A5347,'[1]Tissue Data'!$A:$A,'[1]Tissue Data'!M:M)</f>
        <v>11.85</v>
      </c>
      <c r="K5347" t="s">
        <v>57</v>
      </c>
      <c r="L5347" t="str">
        <f>_xlfn.XLOOKUP(K5347,[2]analyte_order!$B:$B,[2]analyte_order!$C:$C)</f>
        <v>763051-92-9</v>
      </c>
      <c r="M5347">
        <f>_xlfn.XLOOKUP(L5347,[2]analyte_order!$C:$C,[2]analyte_order!$E:$E)</f>
        <v>37</v>
      </c>
      <c r="N5347">
        <v>6.5500000000000003E-2</v>
      </c>
    </row>
    <row r="5348" spans="1:14">
      <c r="A5348" t="s">
        <v>286</v>
      </c>
      <c r="B5348" t="str">
        <f>_xlfn.XLOOKUP(A5348,'[1]Tissue Data'!$A:$A,'[1]Tissue Data'!$C:$C)</f>
        <v>Spill</v>
      </c>
      <c r="C5348" s="2">
        <f>_xlfn.XLOOKUP(A5348,'[1]Tissue Data'!$A:$A,'[1]Tissue Data'!$D:$D)</f>
        <v>44393</v>
      </c>
      <c r="D5348" s="2" t="str">
        <f>_xlfn.XLOOKUP(A5348,'[1]Tissue Data'!$A:$A,'[1]Tissue Data'!$F:$F)</f>
        <v>Pumpkinseed</v>
      </c>
      <c r="E5348" t="str">
        <f>_xlfn.XLOOKUP(A5348,'[1]Tissue Data'!$A:$A,'[1]Tissue Data'!$H:$H)</f>
        <v>Lepomis</v>
      </c>
      <c r="F5348" t="str">
        <f>_xlfn.XLOOKUP(A5348,'[1]Tissue Data'!$A:$A,'[1]Tissue Data'!$I:$I)</f>
        <v>gibbosus</v>
      </c>
      <c r="G5348" t="str">
        <f>_xlfn.XLOOKUP(A5348,'[1]Tissue Data'!$A:$A,'[1]Tissue Data'!J:J)</f>
        <v>U</v>
      </c>
      <c r="H5348" t="str">
        <f>_xlfn.XLOOKUP(A5348,'[1]Tissue Data'!$A:$A,'[1]Tissue Data'!K:K)</f>
        <v>Whole Body</v>
      </c>
      <c r="I5348">
        <f>_xlfn.XLOOKUP(A5348,'[1]Tissue Data'!$A:$A,'[1]Tissue Data'!L:L)</f>
        <v>8</v>
      </c>
      <c r="J5348">
        <f>_xlfn.XLOOKUP(A5348,'[1]Tissue Data'!$A:$A,'[1]Tissue Data'!M:M)</f>
        <v>11.85</v>
      </c>
      <c r="K5348" t="s">
        <v>58</v>
      </c>
      <c r="L5348" t="str">
        <f>_xlfn.XLOOKUP(K5348,[2]analyte_order!$B:$B,[2]analyte_order!$C:$C)</f>
        <v>13252-13-6</v>
      </c>
      <c r="M5348">
        <f>_xlfn.XLOOKUP(L5348,[2]analyte_order!$C:$C,[2]analyte_order!$E:$E)</f>
        <v>34</v>
      </c>
      <c r="N5348">
        <v>9.4500000000000001E-2</v>
      </c>
    </row>
    <row r="5349" spans="1:14">
      <c r="A5349" t="s">
        <v>286</v>
      </c>
      <c r="B5349" t="str">
        <f>_xlfn.XLOOKUP(A5349,'[1]Tissue Data'!$A:$A,'[1]Tissue Data'!$C:$C)</f>
        <v>Spill</v>
      </c>
      <c r="C5349" s="2">
        <f>_xlfn.XLOOKUP(A5349,'[1]Tissue Data'!$A:$A,'[1]Tissue Data'!$D:$D)</f>
        <v>44393</v>
      </c>
      <c r="D5349" s="2" t="str">
        <f>_xlfn.XLOOKUP(A5349,'[1]Tissue Data'!$A:$A,'[1]Tissue Data'!$F:$F)</f>
        <v>Pumpkinseed</v>
      </c>
      <c r="E5349" t="str">
        <f>_xlfn.XLOOKUP(A5349,'[1]Tissue Data'!$A:$A,'[1]Tissue Data'!$H:$H)</f>
        <v>Lepomis</v>
      </c>
      <c r="F5349" t="str">
        <f>_xlfn.XLOOKUP(A5349,'[1]Tissue Data'!$A:$A,'[1]Tissue Data'!$I:$I)</f>
        <v>gibbosus</v>
      </c>
      <c r="G5349" t="str">
        <f>_xlfn.XLOOKUP(A5349,'[1]Tissue Data'!$A:$A,'[1]Tissue Data'!J:J)</f>
        <v>U</v>
      </c>
      <c r="H5349" t="str">
        <f>_xlfn.XLOOKUP(A5349,'[1]Tissue Data'!$A:$A,'[1]Tissue Data'!K:K)</f>
        <v>Whole Body</v>
      </c>
      <c r="I5349">
        <f>_xlfn.XLOOKUP(A5349,'[1]Tissue Data'!$A:$A,'[1]Tissue Data'!L:L)</f>
        <v>8</v>
      </c>
      <c r="J5349">
        <f>_xlfn.XLOOKUP(A5349,'[1]Tissue Data'!$A:$A,'[1]Tissue Data'!M:M)</f>
        <v>11.85</v>
      </c>
      <c r="K5349" t="s">
        <v>59</v>
      </c>
      <c r="L5349" t="str">
        <f>_xlfn.XLOOKUP(K5349,[2]analyte_order!$B:$B,[2]analyte_order!$C:$C)</f>
        <v>57677-95-9</v>
      </c>
      <c r="M5349">
        <f>_xlfn.XLOOKUP(L5349,[2]analyte_order!$C:$C,[2]analyte_order!$E:$E)</f>
        <v>46</v>
      </c>
      <c r="N5349">
        <v>7.0000000000000007E-2</v>
      </c>
    </row>
    <row r="5350" spans="1:14">
      <c r="A5350" t="s">
        <v>286</v>
      </c>
      <c r="B5350" t="str">
        <f>_xlfn.XLOOKUP(A5350,'[1]Tissue Data'!$A:$A,'[1]Tissue Data'!$C:$C)</f>
        <v>Spill</v>
      </c>
      <c r="C5350" s="2">
        <f>_xlfn.XLOOKUP(A5350,'[1]Tissue Data'!$A:$A,'[1]Tissue Data'!$D:$D)</f>
        <v>44393</v>
      </c>
      <c r="D5350" s="2" t="str">
        <f>_xlfn.XLOOKUP(A5350,'[1]Tissue Data'!$A:$A,'[1]Tissue Data'!$F:$F)</f>
        <v>Pumpkinseed</v>
      </c>
      <c r="E5350" t="str">
        <f>_xlfn.XLOOKUP(A5350,'[1]Tissue Data'!$A:$A,'[1]Tissue Data'!$H:$H)</f>
        <v>Lepomis</v>
      </c>
      <c r="F5350" t="str">
        <f>_xlfn.XLOOKUP(A5350,'[1]Tissue Data'!$A:$A,'[1]Tissue Data'!$I:$I)</f>
        <v>gibbosus</v>
      </c>
      <c r="G5350" t="str">
        <f>_xlfn.XLOOKUP(A5350,'[1]Tissue Data'!$A:$A,'[1]Tissue Data'!J:J)</f>
        <v>U</v>
      </c>
      <c r="H5350" t="str">
        <f>_xlfn.XLOOKUP(A5350,'[1]Tissue Data'!$A:$A,'[1]Tissue Data'!K:K)</f>
        <v>Whole Body</v>
      </c>
      <c r="I5350">
        <f>_xlfn.XLOOKUP(A5350,'[1]Tissue Data'!$A:$A,'[1]Tissue Data'!L:L)</f>
        <v>8</v>
      </c>
      <c r="J5350">
        <f>_xlfn.XLOOKUP(A5350,'[1]Tissue Data'!$A:$A,'[1]Tissue Data'!M:M)</f>
        <v>11.85</v>
      </c>
      <c r="K5350" t="s">
        <v>60</v>
      </c>
      <c r="L5350" t="str">
        <f>_xlfn.XLOOKUP(K5350,[2]analyte_order!$B:$B,[2]analyte_order!$C:$C)</f>
        <v>678-41-1</v>
      </c>
      <c r="M5350">
        <f>_xlfn.XLOOKUP(L5350,[2]analyte_order!$C:$C,[2]analyte_order!$E:$E)</f>
        <v>56</v>
      </c>
      <c r="N5350">
        <v>8.6999999999999994E-2</v>
      </c>
    </row>
    <row r="5351" spans="1:14">
      <c r="A5351" t="s">
        <v>286</v>
      </c>
      <c r="B5351" t="str">
        <f>_xlfn.XLOOKUP(A5351,'[1]Tissue Data'!$A:$A,'[1]Tissue Data'!$C:$C)</f>
        <v>Spill</v>
      </c>
      <c r="C5351" s="2">
        <f>_xlfn.XLOOKUP(A5351,'[1]Tissue Data'!$A:$A,'[1]Tissue Data'!$D:$D)</f>
        <v>44393</v>
      </c>
      <c r="D5351" s="2" t="str">
        <f>_xlfn.XLOOKUP(A5351,'[1]Tissue Data'!$A:$A,'[1]Tissue Data'!$F:$F)</f>
        <v>Pumpkinseed</v>
      </c>
      <c r="E5351" t="str">
        <f>_xlfn.XLOOKUP(A5351,'[1]Tissue Data'!$A:$A,'[1]Tissue Data'!$H:$H)</f>
        <v>Lepomis</v>
      </c>
      <c r="F5351" t="str">
        <f>_xlfn.XLOOKUP(A5351,'[1]Tissue Data'!$A:$A,'[1]Tissue Data'!$I:$I)</f>
        <v>gibbosus</v>
      </c>
      <c r="G5351" t="str">
        <f>_xlfn.XLOOKUP(A5351,'[1]Tissue Data'!$A:$A,'[1]Tissue Data'!J:J)</f>
        <v>U</v>
      </c>
      <c r="H5351" t="str">
        <f>_xlfn.XLOOKUP(A5351,'[1]Tissue Data'!$A:$A,'[1]Tissue Data'!K:K)</f>
        <v>Whole Body</v>
      </c>
      <c r="I5351">
        <f>_xlfn.XLOOKUP(A5351,'[1]Tissue Data'!$A:$A,'[1]Tissue Data'!L:L)</f>
        <v>8</v>
      </c>
      <c r="J5351">
        <f>_xlfn.XLOOKUP(A5351,'[1]Tissue Data'!$A:$A,'[1]Tissue Data'!M:M)</f>
        <v>11.85</v>
      </c>
      <c r="K5351" t="s">
        <v>61</v>
      </c>
      <c r="L5351" t="str">
        <f>_xlfn.XLOOKUP(K5351,[2]analyte_order!$B:$B,[2]analyte_order!$C:$C)</f>
        <v>2965-52-8</v>
      </c>
      <c r="M5351">
        <f>_xlfn.XLOOKUP(L5351,[2]analyte_order!$C:$C,[2]analyte_order!$E:$E)</f>
        <v>57</v>
      </c>
      <c r="N5351">
        <v>0.11550000000000001</v>
      </c>
    </row>
    <row r="5352" spans="1:14">
      <c r="A5352" t="s">
        <v>287</v>
      </c>
      <c r="B5352" t="str">
        <f>_xlfn.XLOOKUP(A5352,'[1]Tissue Data'!$A:$A,'[1]Tissue Data'!$C:$C)</f>
        <v>Spill</v>
      </c>
      <c r="C5352" s="2">
        <f>_xlfn.XLOOKUP(A5352,'[1]Tissue Data'!$A:$A,'[1]Tissue Data'!$D:$D)</f>
        <v>44393</v>
      </c>
      <c r="D5352" s="2" t="str">
        <f>_xlfn.XLOOKUP(A5352,'[1]Tissue Data'!$A:$A,'[1]Tissue Data'!$F:$F)</f>
        <v>Pumpkinseed</v>
      </c>
      <c r="E5352" t="str">
        <f>_xlfn.XLOOKUP(A5352,'[1]Tissue Data'!$A:$A,'[1]Tissue Data'!$H:$H)</f>
        <v>Lepomis</v>
      </c>
      <c r="F5352" t="str">
        <f>_xlfn.XLOOKUP(A5352,'[1]Tissue Data'!$A:$A,'[1]Tissue Data'!$I:$I)</f>
        <v>gibbosus</v>
      </c>
      <c r="G5352" t="str">
        <f>_xlfn.XLOOKUP(A5352,'[1]Tissue Data'!$A:$A,'[1]Tissue Data'!J:J)</f>
        <v>U</v>
      </c>
      <c r="H5352" t="str">
        <f>_xlfn.XLOOKUP(A5352,'[1]Tissue Data'!$A:$A,'[1]Tissue Data'!K:K)</f>
        <v>Whole Body</v>
      </c>
      <c r="I5352">
        <f>_xlfn.XLOOKUP(A5352,'[1]Tissue Data'!$A:$A,'[1]Tissue Data'!L:L)</f>
        <v>8.5</v>
      </c>
      <c r="J5352">
        <f>_xlfn.XLOOKUP(A5352,'[1]Tissue Data'!$A:$A,'[1]Tissue Data'!M:M)</f>
        <v>12.25</v>
      </c>
      <c r="K5352" t="s">
        <v>12</v>
      </c>
      <c r="L5352" t="str">
        <f>_xlfn.XLOOKUP(K5352,[2]analyte_order!$B:$B,[2]analyte_order!$C:$C)</f>
        <v>375-22-4</v>
      </c>
      <c r="M5352">
        <f>_xlfn.XLOOKUP(L5352,[2]analyte_order!$C:$C,[2]analyte_order!$E:$E)</f>
        <v>1</v>
      </c>
      <c r="N5352">
        <v>0.23150000000000001</v>
      </c>
    </row>
    <row r="5353" spans="1:14">
      <c r="A5353" t="s">
        <v>287</v>
      </c>
      <c r="B5353" t="str">
        <f>_xlfn.XLOOKUP(A5353,'[1]Tissue Data'!$A:$A,'[1]Tissue Data'!$C:$C)</f>
        <v>Spill</v>
      </c>
      <c r="C5353" s="2">
        <f>_xlfn.XLOOKUP(A5353,'[1]Tissue Data'!$A:$A,'[1]Tissue Data'!$D:$D)</f>
        <v>44393</v>
      </c>
      <c r="D5353" s="2" t="str">
        <f>_xlfn.XLOOKUP(A5353,'[1]Tissue Data'!$A:$A,'[1]Tissue Data'!$F:$F)</f>
        <v>Pumpkinseed</v>
      </c>
      <c r="E5353" t="str">
        <f>_xlfn.XLOOKUP(A5353,'[1]Tissue Data'!$A:$A,'[1]Tissue Data'!$H:$H)</f>
        <v>Lepomis</v>
      </c>
      <c r="F5353" t="str">
        <f>_xlfn.XLOOKUP(A5353,'[1]Tissue Data'!$A:$A,'[1]Tissue Data'!$I:$I)</f>
        <v>gibbosus</v>
      </c>
      <c r="G5353" t="str">
        <f>_xlfn.XLOOKUP(A5353,'[1]Tissue Data'!$A:$A,'[1]Tissue Data'!J:J)</f>
        <v>U</v>
      </c>
      <c r="H5353" t="str">
        <f>_xlfn.XLOOKUP(A5353,'[1]Tissue Data'!$A:$A,'[1]Tissue Data'!K:K)</f>
        <v>Whole Body</v>
      </c>
      <c r="I5353">
        <f>_xlfn.XLOOKUP(A5353,'[1]Tissue Data'!$A:$A,'[1]Tissue Data'!L:L)</f>
        <v>8.5</v>
      </c>
      <c r="J5353">
        <f>_xlfn.XLOOKUP(A5353,'[1]Tissue Data'!$A:$A,'[1]Tissue Data'!M:M)</f>
        <v>12.25</v>
      </c>
      <c r="K5353" t="s">
        <v>13</v>
      </c>
      <c r="L5353" t="str">
        <f>_xlfn.XLOOKUP(K5353,[2]analyte_order!$B:$B,[2]analyte_order!$C:$C)</f>
        <v>2706-90-3</v>
      </c>
      <c r="M5353">
        <f>_xlfn.XLOOKUP(L5353,[2]analyte_order!$C:$C,[2]analyte_order!$E:$E)</f>
        <v>2</v>
      </c>
      <c r="N5353">
        <v>4.9549999999999997E-2</v>
      </c>
    </row>
    <row r="5354" spans="1:14">
      <c r="A5354" t="s">
        <v>287</v>
      </c>
      <c r="B5354" t="str">
        <f>_xlfn.XLOOKUP(A5354,'[1]Tissue Data'!$A:$A,'[1]Tissue Data'!$C:$C)</f>
        <v>Spill</v>
      </c>
      <c r="C5354" s="2">
        <f>_xlfn.XLOOKUP(A5354,'[1]Tissue Data'!$A:$A,'[1]Tissue Data'!$D:$D)</f>
        <v>44393</v>
      </c>
      <c r="D5354" s="2" t="str">
        <f>_xlfn.XLOOKUP(A5354,'[1]Tissue Data'!$A:$A,'[1]Tissue Data'!$F:$F)</f>
        <v>Pumpkinseed</v>
      </c>
      <c r="E5354" t="str">
        <f>_xlfn.XLOOKUP(A5354,'[1]Tissue Data'!$A:$A,'[1]Tissue Data'!$H:$H)</f>
        <v>Lepomis</v>
      </c>
      <c r="F5354" t="str">
        <f>_xlfn.XLOOKUP(A5354,'[1]Tissue Data'!$A:$A,'[1]Tissue Data'!$I:$I)</f>
        <v>gibbosus</v>
      </c>
      <c r="G5354" t="str">
        <f>_xlfn.XLOOKUP(A5354,'[1]Tissue Data'!$A:$A,'[1]Tissue Data'!J:J)</f>
        <v>U</v>
      </c>
      <c r="H5354" t="str">
        <f>_xlfn.XLOOKUP(A5354,'[1]Tissue Data'!$A:$A,'[1]Tissue Data'!K:K)</f>
        <v>Whole Body</v>
      </c>
      <c r="I5354">
        <f>_xlfn.XLOOKUP(A5354,'[1]Tissue Data'!$A:$A,'[1]Tissue Data'!L:L)</f>
        <v>8.5</v>
      </c>
      <c r="J5354">
        <f>_xlfn.XLOOKUP(A5354,'[1]Tissue Data'!$A:$A,'[1]Tissue Data'!M:M)</f>
        <v>12.25</v>
      </c>
      <c r="K5354" t="s">
        <v>14</v>
      </c>
      <c r="L5354" t="str">
        <f>_xlfn.XLOOKUP(K5354,[2]analyte_order!$B:$B,[2]analyte_order!$C:$C)</f>
        <v>307-24-4</v>
      </c>
      <c r="M5354">
        <f>_xlfn.XLOOKUP(L5354,[2]analyte_order!$C:$C,[2]analyte_order!$E:$E)</f>
        <v>3</v>
      </c>
      <c r="N5354">
        <v>3.7850000000000002E-2</v>
      </c>
    </row>
    <row r="5355" spans="1:14">
      <c r="A5355" t="s">
        <v>287</v>
      </c>
      <c r="B5355" t="str">
        <f>_xlfn.XLOOKUP(A5355,'[1]Tissue Data'!$A:$A,'[1]Tissue Data'!$C:$C)</f>
        <v>Spill</v>
      </c>
      <c r="C5355" s="2">
        <f>_xlfn.XLOOKUP(A5355,'[1]Tissue Data'!$A:$A,'[1]Tissue Data'!$D:$D)</f>
        <v>44393</v>
      </c>
      <c r="D5355" s="2" t="str">
        <f>_xlfn.XLOOKUP(A5355,'[1]Tissue Data'!$A:$A,'[1]Tissue Data'!$F:$F)</f>
        <v>Pumpkinseed</v>
      </c>
      <c r="E5355" t="str">
        <f>_xlfn.XLOOKUP(A5355,'[1]Tissue Data'!$A:$A,'[1]Tissue Data'!$H:$H)</f>
        <v>Lepomis</v>
      </c>
      <c r="F5355" t="str">
        <f>_xlfn.XLOOKUP(A5355,'[1]Tissue Data'!$A:$A,'[1]Tissue Data'!$I:$I)</f>
        <v>gibbosus</v>
      </c>
      <c r="G5355" t="str">
        <f>_xlfn.XLOOKUP(A5355,'[1]Tissue Data'!$A:$A,'[1]Tissue Data'!J:J)</f>
        <v>U</v>
      </c>
      <c r="H5355" t="str">
        <f>_xlfn.XLOOKUP(A5355,'[1]Tissue Data'!$A:$A,'[1]Tissue Data'!K:K)</f>
        <v>Whole Body</v>
      </c>
      <c r="I5355">
        <f>_xlfn.XLOOKUP(A5355,'[1]Tissue Data'!$A:$A,'[1]Tissue Data'!L:L)</f>
        <v>8.5</v>
      </c>
      <c r="J5355">
        <f>_xlfn.XLOOKUP(A5355,'[1]Tissue Data'!$A:$A,'[1]Tissue Data'!M:M)</f>
        <v>12.25</v>
      </c>
      <c r="K5355" t="s">
        <v>15</v>
      </c>
      <c r="L5355" t="str">
        <f>_xlfn.XLOOKUP(K5355,[2]analyte_order!$B:$B,[2]analyte_order!$C:$C)</f>
        <v>375-85-9</v>
      </c>
      <c r="M5355">
        <f>_xlfn.XLOOKUP(L5355,[2]analyte_order!$C:$C,[2]analyte_order!$E:$E)</f>
        <v>4</v>
      </c>
      <c r="N5355">
        <v>2.8049999999999999E-2</v>
      </c>
    </row>
    <row r="5356" spans="1:14">
      <c r="A5356" t="s">
        <v>287</v>
      </c>
      <c r="B5356" t="str">
        <f>_xlfn.XLOOKUP(A5356,'[1]Tissue Data'!$A:$A,'[1]Tissue Data'!$C:$C)</f>
        <v>Spill</v>
      </c>
      <c r="C5356" s="2">
        <f>_xlfn.XLOOKUP(A5356,'[1]Tissue Data'!$A:$A,'[1]Tissue Data'!$D:$D)</f>
        <v>44393</v>
      </c>
      <c r="D5356" s="2" t="str">
        <f>_xlfn.XLOOKUP(A5356,'[1]Tissue Data'!$A:$A,'[1]Tissue Data'!$F:$F)</f>
        <v>Pumpkinseed</v>
      </c>
      <c r="E5356" t="str">
        <f>_xlfn.XLOOKUP(A5356,'[1]Tissue Data'!$A:$A,'[1]Tissue Data'!$H:$H)</f>
        <v>Lepomis</v>
      </c>
      <c r="F5356" t="str">
        <f>_xlfn.XLOOKUP(A5356,'[1]Tissue Data'!$A:$A,'[1]Tissue Data'!$I:$I)</f>
        <v>gibbosus</v>
      </c>
      <c r="G5356" t="str">
        <f>_xlfn.XLOOKUP(A5356,'[1]Tissue Data'!$A:$A,'[1]Tissue Data'!J:J)</f>
        <v>U</v>
      </c>
      <c r="H5356" t="str">
        <f>_xlfn.XLOOKUP(A5356,'[1]Tissue Data'!$A:$A,'[1]Tissue Data'!K:K)</f>
        <v>Whole Body</v>
      </c>
      <c r="I5356">
        <f>_xlfn.XLOOKUP(A5356,'[1]Tissue Data'!$A:$A,'[1]Tissue Data'!L:L)</f>
        <v>8.5</v>
      </c>
      <c r="J5356">
        <f>_xlfn.XLOOKUP(A5356,'[1]Tissue Data'!$A:$A,'[1]Tissue Data'!M:M)</f>
        <v>12.25</v>
      </c>
      <c r="K5356" t="s">
        <v>16</v>
      </c>
      <c r="L5356" t="str">
        <f>_xlfn.XLOOKUP(K5356,[2]analyte_order!$B:$B,[2]analyte_order!$C:$C)</f>
        <v>335-67-1</v>
      </c>
      <c r="M5356">
        <f>_xlfn.XLOOKUP(L5356,[2]analyte_order!$C:$C,[2]analyte_order!$E:$E)</f>
        <v>5</v>
      </c>
      <c r="N5356">
        <v>3.05</v>
      </c>
    </row>
    <row r="5357" spans="1:14">
      <c r="A5357" t="s">
        <v>287</v>
      </c>
      <c r="B5357" t="str">
        <f>_xlfn.XLOOKUP(A5357,'[1]Tissue Data'!$A:$A,'[1]Tissue Data'!$C:$C)</f>
        <v>Spill</v>
      </c>
      <c r="C5357" s="2">
        <f>_xlfn.XLOOKUP(A5357,'[1]Tissue Data'!$A:$A,'[1]Tissue Data'!$D:$D)</f>
        <v>44393</v>
      </c>
      <c r="D5357" s="2" t="str">
        <f>_xlfn.XLOOKUP(A5357,'[1]Tissue Data'!$A:$A,'[1]Tissue Data'!$F:$F)</f>
        <v>Pumpkinseed</v>
      </c>
      <c r="E5357" t="str">
        <f>_xlfn.XLOOKUP(A5357,'[1]Tissue Data'!$A:$A,'[1]Tissue Data'!$H:$H)</f>
        <v>Lepomis</v>
      </c>
      <c r="F5357" t="str">
        <f>_xlfn.XLOOKUP(A5357,'[1]Tissue Data'!$A:$A,'[1]Tissue Data'!$I:$I)</f>
        <v>gibbosus</v>
      </c>
      <c r="G5357" t="str">
        <f>_xlfn.XLOOKUP(A5357,'[1]Tissue Data'!$A:$A,'[1]Tissue Data'!J:J)</f>
        <v>U</v>
      </c>
      <c r="H5357" t="str">
        <f>_xlfn.XLOOKUP(A5357,'[1]Tissue Data'!$A:$A,'[1]Tissue Data'!K:K)</f>
        <v>Whole Body</v>
      </c>
      <c r="I5357">
        <f>_xlfn.XLOOKUP(A5357,'[1]Tissue Data'!$A:$A,'[1]Tissue Data'!L:L)</f>
        <v>8.5</v>
      </c>
      <c r="J5357">
        <f>_xlfn.XLOOKUP(A5357,'[1]Tissue Data'!$A:$A,'[1]Tissue Data'!M:M)</f>
        <v>12.25</v>
      </c>
      <c r="K5357" t="s">
        <v>17</v>
      </c>
      <c r="L5357" t="str">
        <f>_xlfn.XLOOKUP(K5357,[2]analyte_order!$B:$B,[2]analyte_order!$C:$C)</f>
        <v>375-95-1</v>
      </c>
      <c r="M5357">
        <f>_xlfn.XLOOKUP(L5357,[2]analyte_order!$C:$C,[2]analyte_order!$E:$E)</f>
        <v>6</v>
      </c>
      <c r="N5357">
        <v>2.96</v>
      </c>
    </row>
    <row r="5358" spans="1:14">
      <c r="A5358" t="s">
        <v>287</v>
      </c>
      <c r="B5358" t="str">
        <f>_xlfn.XLOOKUP(A5358,'[1]Tissue Data'!$A:$A,'[1]Tissue Data'!$C:$C)</f>
        <v>Spill</v>
      </c>
      <c r="C5358" s="2">
        <f>_xlfn.XLOOKUP(A5358,'[1]Tissue Data'!$A:$A,'[1]Tissue Data'!$D:$D)</f>
        <v>44393</v>
      </c>
      <c r="D5358" s="2" t="str">
        <f>_xlfn.XLOOKUP(A5358,'[1]Tissue Data'!$A:$A,'[1]Tissue Data'!$F:$F)</f>
        <v>Pumpkinseed</v>
      </c>
      <c r="E5358" t="str">
        <f>_xlfn.XLOOKUP(A5358,'[1]Tissue Data'!$A:$A,'[1]Tissue Data'!$H:$H)</f>
        <v>Lepomis</v>
      </c>
      <c r="F5358" t="str">
        <f>_xlfn.XLOOKUP(A5358,'[1]Tissue Data'!$A:$A,'[1]Tissue Data'!$I:$I)</f>
        <v>gibbosus</v>
      </c>
      <c r="G5358" t="str">
        <f>_xlfn.XLOOKUP(A5358,'[1]Tissue Data'!$A:$A,'[1]Tissue Data'!J:J)</f>
        <v>U</v>
      </c>
      <c r="H5358" t="str">
        <f>_xlfn.XLOOKUP(A5358,'[1]Tissue Data'!$A:$A,'[1]Tissue Data'!K:K)</f>
        <v>Whole Body</v>
      </c>
      <c r="I5358">
        <f>_xlfn.XLOOKUP(A5358,'[1]Tissue Data'!$A:$A,'[1]Tissue Data'!L:L)</f>
        <v>8.5</v>
      </c>
      <c r="J5358">
        <f>_xlfn.XLOOKUP(A5358,'[1]Tissue Data'!$A:$A,'[1]Tissue Data'!M:M)</f>
        <v>12.25</v>
      </c>
      <c r="K5358" t="s">
        <v>18</v>
      </c>
      <c r="L5358" t="str">
        <f>_xlfn.XLOOKUP(K5358,[2]analyte_order!$B:$B,[2]analyte_order!$C:$C)</f>
        <v>335-76-2</v>
      </c>
      <c r="M5358">
        <f>_xlfn.XLOOKUP(L5358,[2]analyte_order!$C:$C,[2]analyte_order!$E:$E)</f>
        <v>7</v>
      </c>
      <c r="N5358">
        <v>7.22</v>
      </c>
    </row>
    <row r="5359" spans="1:14">
      <c r="A5359" t="s">
        <v>287</v>
      </c>
      <c r="B5359" t="str">
        <f>_xlfn.XLOOKUP(A5359,'[1]Tissue Data'!$A:$A,'[1]Tissue Data'!$C:$C)</f>
        <v>Spill</v>
      </c>
      <c r="C5359" s="2">
        <f>_xlfn.XLOOKUP(A5359,'[1]Tissue Data'!$A:$A,'[1]Tissue Data'!$D:$D)</f>
        <v>44393</v>
      </c>
      <c r="D5359" s="2" t="str">
        <f>_xlfn.XLOOKUP(A5359,'[1]Tissue Data'!$A:$A,'[1]Tissue Data'!$F:$F)</f>
        <v>Pumpkinseed</v>
      </c>
      <c r="E5359" t="str">
        <f>_xlfn.XLOOKUP(A5359,'[1]Tissue Data'!$A:$A,'[1]Tissue Data'!$H:$H)</f>
        <v>Lepomis</v>
      </c>
      <c r="F5359" t="str">
        <f>_xlfn.XLOOKUP(A5359,'[1]Tissue Data'!$A:$A,'[1]Tissue Data'!$I:$I)</f>
        <v>gibbosus</v>
      </c>
      <c r="G5359" t="str">
        <f>_xlfn.XLOOKUP(A5359,'[1]Tissue Data'!$A:$A,'[1]Tissue Data'!J:J)</f>
        <v>U</v>
      </c>
      <c r="H5359" t="str">
        <f>_xlfn.XLOOKUP(A5359,'[1]Tissue Data'!$A:$A,'[1]Tissue Data'!K:K)</f>
        <v>Whole Body</v>
      </c>
      <c r="I5359">
        <f>_xlfn.XLOOKUP(A5359,'[1]Tissue Data'!$A:$A,'[1]Tissue Data'!L:L)</f>
        <v>8.5</v>
      </c>
      <c r="J5359">
        <f>_xlfn.XLOOKUP(A5359,'[1]Tissue Data'!$A:$A,'[1]Tissue Data'!M:M)</f>
        <v>12.25</v>
      </c>
      <c r="K5359" t="s">
        <v>19</v>
      </c>
      <c r="L5359" t="str">
        <f>_xlfn.XLOOKUP(K5359,[2]analyte_order!$B:$B,[2]analyte_order!$C:$C)</f>
        <v>2058-94-8</v>
      </c>
      <c r="M5359">
        <f>_xlfn.XLOOKUP(L5359,[2]analyte_order!$C:$C,[2]analyte_order!$E:$E)</f>
        <v>8</v>
      </c>
      <c r="N5359">
        <v>10.1</v>
      </c>
    </row>
    <row r="5360" spans="1:14">
      <c r="A5360" t="s">
        <v>287</v>
      </c>
      <c r="B5360" t="str">
        <f>_xlfn.XLOOKUP(A5360,'[1]Tissue Data'!$A:$A,'[1]Tissue Data'!$C:$C)</f>
        <v>Spill</v>
      </c>
      <c r="C5360" s="2">
        <f>_xlfn.XLOOKUP(A5360,'[1]Tissue Data'!$A:$A,'[1]Tissue Data'!$D:$D)</f>
        <v>44393</v>
      </c>
      <c r="D5360" s="2" t="str">
        <f>_xlfn.XLOOKUP(A5360,'[1]Tissue Data'!$A:$A,'[1]Tissue Data'!$F:$F)</f>
        <v>Pumpkinseed</v>
      </c>
      <c r="E5360" t="str">
        <f>_xlfn.XLOOKUP(A5360,'[1]Tissue Data'!$A:$A,'[1]Tissue Data'!$H:$H)</f>
        <v>Lepomis</v>
      </c>
      <c r="F5360" t="str">
        <f>_xlfn.XLOOKUP(A5360,'[1]Tissue Data'!$A:$A,'[1]Tissue Data'!$I:$I)</f>
        <v>gibbosus</v>
      </c>
      <c r="G5360" t="str">
        <f>_xlfn.XLOOKUP(A5360,'[1]Tissue Data'!$A:$A,'[1]Tissue Data'!J:J)</f>
        <v>U</v>
      </c>
      <c r="H5360" t="str">
        <f>_xlfn.XLOOKUP(A5360,'[1]Tissue Data'!$A:$A,'[1]Tissue Data'!K:K)</f>
        <v>Whole Body</v>
      </c>
      <c r="I5360">
        <f>_xlfn.XLOOKUP(A5360,'[1]Tissue Data'!$A:$A,'[1]Tissue Data'!L:L)</f>
        <v>8.5</v>
      </c>
      <c r="J5360">
        <f>_xlfn.XLOOKUP(A5360,'[1]Tissue Data'!$A:$A,'[1]Tissue Data'!M:M)</f>
        <v>12.25</v>
      </c>
      <c r="K5360" t="s">
        <v>20</v>
      </c>
      <c r="L5360" t="str">
        <f>_xlfn.XLOOKUP(K5360,[2]analyte_order!$B:$B,[2]analyte_order!$C:$C)</f>
        <v>307-55-1</v>
      </c>
      <c r="M5360">
        <f>_xlfn.XLOOKUP(L5360,[2]analyte_order!$C:$C,[2]analyte_order!$E:$E)</f>
        <v>9</v>
      </c>
      <c r="N5360">
        <v>22.4</v>
      </c>
    </row>
    <row r="5361" spans="1:14">
      <c r="A5361" t="s">
        <v>287</v>
      </c>
      <c r="B5361" t="str">
        <f>_xlfn.XLOOKUP(A5361,'[1]Tissue Data'!$A:$A,'[1]Tissue Data'!$C:$C)</f>
        <v>Spill</v>
      </c>
      <c r="C5361" s="2">
        <f>_xlfn.XLOOKUP(A5361,'[1]Tissue Data'!$A:$A,'[1]Tissue Data'!$D:$D)</f>
        <v>44393</v>
      </c>
      <c r="D5361" s="2" t="str">
        <f>_xlfn.XLOOKUP(A5361,'[1]Tissue Data'!$A:$A,'[1]Tissue Data'!$F:$F)</f>
        <v>Pumpkinseed</v>
      </c>
      <c r="E5361" t="str">
        <f>_xlfn.XLOOKUP(A5361,'[1]Tissue Data'!$A:$A,'[1]Tissue Data'!$H:$H)</f>
        <v>Lepomis</v>
      </c>
      <c r="F5361" t="str">
        <f>_xlfn.XLOOKUP(A5361,'[1]Tissue Data'!$A:$A,'[1]Tissue Data'!$I:$I)</f>
        <v>gibbosus</v>
      </c>
      <c r="G5361" t="str">
        <f>_xlfn.XLOOKUP(A5361,'[1]Tissue Data'!$A:$A,'[1]Tissue Data'!J:J)</f>
        <v>U</v>
      </c>
      <c r="H5361" t="str">
        <f>_xlfn.XLOOKUP(A5361,'[1]Tissue Data'!$A:$A,'[1]Tissue Data'!K:K)</f>
        <v>Whole Body</v>
      </c>
      <c r="I5361">
        <f>_xlfn.XLOOKUP(A5361,'[1]Tissue Data'!$A:$A,'[1]Tissue Data'!L:L)</f>
        <v>8.5</v>
      </c>
      <c r="J5361">
        <f>_xlfn.XLOOKUP(A5361,'[1]Tissue Data'!$A:$A,'[1]Tissue Data'!M:M)</f>
        <v>12.25</v>
      </c>
      <c r="K5361" t="s">
        <v>21</v>
      </c>
      <c r="L5361" t="str">
        <f>_xlfn.XLOOKUP(K5361,[2]analyte_order!$B:$B,[2]analyte_order!$C:$C)</f>
        <v>72629-94-8</v>
      </c>
      <c r="M5361">
        <f>_xlfn.XLOOKUP(L5361,[2]analyte_order!$C:$C,[2]analyte_order!$E:$E)</f>
        <v>10</v>
      </c>
      <c r="N5361">
        <v>3.04</v>
      </c>
    </row>
    <row r="5362" spans="1:14">
      <c r="A5362" t="s">
        <v>287</v>
      </c>
      <c r="B5362" t="str">
        <f>_xlfn.XLOOKUP(A5362,'[1]Tissue Data'!$A:$A,'[1]Tissue Data'!$C:$C)</f>
        <v>Spill</v>
      </c>
      <c r="C5362" s="2">
        <f>_xlfn.XLOOKUP(A5362,'[1]Tissue Data'!$A:$A,'[1]Tissue Data'!$D:$D)</f>
        <v>44393</v>
      </c>
      <c r="D5362" s="2" t="str">
        <f>_xlfn.XLOOKUP(A5362,'[1]Tissue Data'!$A:$A,'[1]Tissue Data'!$F:$F)</f>
        <v>Pumpkinseed</v>
      </c>
      <c r="E5362" t="str">
        <f>_xlfn.XLOOKUP(A5362,'[1]Tissue Data'!$A:$A,'[1]Tissue Data'!$H:$H)</f>
        <v>Lepomis</v>
      </c>
      <c r="F5362" t="str">
        <f>_xlfn.XLOOKUP(A5362,'[1]Tissue Data'!$A:$A,'[1]Tissue Data'!$I:$I)</f>
        <v>gibbosus</v>
      </c>
      <c r="G5362" t="str">
        <f>_xlfn.XLOOKUP(A5362,'[1]Tissue Data'!$A:$A,'[1]Tissue Data'!J:J)</f>
        <v>U</v>
      </c>
      <c r="H5362" t="str">
        <f>_xlfn.XLOOKUP(A5362,'[1]Tissue Data'!$A:$A,'[1]Tissue Data'!K:K)</f>
        <v>Whole Body</v>
      </c>
      <c r="I5362">
        <f>_xlfn.XLOOKUP(A5362,'[1]Tissue Data'!$A:$A,'[1]Tissue Data'!L:L)</f>
        <v>8.5</v>
      </c>
      <c r="J5362">
        <f>_xlfn.XLOOKUP(A5362,'[1]Tissue Data'!$A:$A,'[1]Tissue Data'!M:M)</f>
        <v>12.25</v>
      </c>
      <c r="K5362" t="s">
        <v>22</v>
      </c>
      <c r="L5362" t="str">
        <f>_xlfn.XLOOKUP(K5362,[2]analyte_order!$B:$B,[2]analyte_order!$C:$C)</f>
        <v>376-06-7</v>
      </c>
      <c r="M5362">
        <f>_xlfn.XLOOKUP(L5362,[2]analyte_order!$C:$C,[2]analyte_order!$E:$E)</f>
        <v>11</v>
      </c>
      <c r="N5362">
        <v>15.4</v>
      </c>
    </row>
    <row r="5363" spans="1:14">
      <c r="A5363" t="s">
        <v>287</v>
      </c>
      <c r="B5363" t="str">
        <f>_xlfn.XLOOKUP(A5363,'[1]Tissue Data'!$A:$A,'[1]Tissue Data'!$C:$C)</f>
        <v>Spill</v>
      </c>
      <c r="C5363" s="2">
        <f>_xlfn.XLOOKUP(A5363,'[1]Tissue Data'!$A:$A,'[1]Tissue Data'!$D:$D)</f>
        <v>44393</v>
      </c>
      <c r="D5363" s="2" t="str">
        <f>_xlfn.XLOOKUP(A5363,'[1]Tissue Data'!$A:$A,'[1]Tissue Data'!$F:$F)</f>
        <v>Pumpkinseed</v>
      </c>
      <c r="E5363" t="str">
        <f>_xlfn.XLOOKUP(A5363,'[1]Tissue Data'!$A:$A,'[1]Tissue Data'!$H:$H)</f>
        <v>Lepomis</v>
      </c>
      <c r="F5363" t="str">
        <f>_xlfn.XLOOKUP(A5363,'[1]Tissue Data'!$A:$A,'[1]Tissue Data'!$I:$I)</f>
        <v>gibbosus</v>
      </c>
      <c r="G5363" t="str">
        <f>_xlfn.XLOOKUP(A5363,'[1]Tissue Data'!$A:$A,'[1]Tissue Data'!J:J)</f>
        <v>U</v>
      </c>
      <c r="H5363" t="str">
        <f>_xlfn.XLOOKUP(A5363,'[1]Tissue Data'!$A:$A,'[1]Tissue Data'!K:K)</f>
        <v>Whole Body</v>
      </c>
      <c r="I5363">
        <f>_xlfn.XLOOKUP(A5363,'[1]Tissue Data'!$A:$A,'[1]Tissue Data'!L:L)</f>
        <v>8.5</v>
      </c>
      <c r="J5363">
        <f>_xlfn.XLOOKUP(A5363,'[1]Tissue Data'!$A:$A,'[1]Tissue Data'!M:M)</f>
        <v>12.25</v>
      </c>
      <c r="K5363" t="s">
        <v>23</v>
      </c>
      <c r="L5363" t="str">
        <f>_xlfn.XLOOKUP(K5363,[2]analyte_order!$B:$B,[2]analyte_order!$C:$C)</f>
        <v>67905-19-5</v>
      </c>
      <c r="M5363">
        <f>_xlfn.XLOOKUP(L5363,[2]analyte_order!$C:$C,[2]analyte_order!$E:$E)</f>
        <v>12</v>
      </c>
      <c r="N5363">
        <v>0.27600000000000002</v>
      </c>
    </row>
    <row r="5364" spans="1:14">
      <c r="A5364" t="s">
        <v>287</v>
      </c>
      <c r="B5364" t="str">
        <f>_xlfn.XLOOKUP(A5364,'[1]Tissue Data'!$A:$A,'[1]Tissue Data'!$C:$C)</f>
        <v>Spill</v>
      </c>
      <c r="C5364" s="2">
        <f>_xlfn.XLOOKUP(A5364,'[1]Tissue Data'!$A:$A,'[1]Tissue Data'!$D:$D)</f>
        <v>44393</v>
      </c>
      <c r="D5364" s="2" t="str">
        <f>_xlfn.XLOOKUP(A5364,'[1]Tissue Data'!$A:$A,'[1]Tissue Data'!$F:$F)</f>
        <v>Pumpkinseed</v>
      </c>
      <c r="E5364" t="str">
        <f>_xlfn.XLOOKUP(A5364,'[1]Tissue Data'!$A:$A,'[1]Tissue Data'!$H:$H)</f>
        <v>Lepomis</v>
      </c>
      <c r="F5364" t="str">
        <f>_xlfn.XLOOKUP(A5364,'[1]Tissue Data'!$A:$A,'[1]Tissue Data'!$I:$I)</f>
        <v>gibbosus</v>
      </c>
      <c r="G5364" t="str">
        <f>_xlfn.XLOOKUP(A5364,'[1]Tissue Data'!$A:$A,'[1]Tissue Data'!J:J)</f>
        <v>U</v>
      </c>
      <c r="H5364" t="str">
        <f>_xlfn.XLOOKUP(A5364,'[1]Tissue Data'!$A:$A,'[1]Tissue Data'!K:K)</f>
        <v>Whole Body</v>
      </c>
      <c r="I5364">
        <f>_xlfn.XLOOKUP(A5364,'[1]Tissue Data'!$A:$A,'[1]Tissue Data'!L:L)</f>
        <v>8.5</v>
      </c>
      <c r="J5364">
        <f>_xlfn.XLOOKUP(A5364,'[1]Tissue Data'!$A:$A,'[1]Tissue Data'!M:M)</f>
        <v>12.25</v>
      </c>
      <c r="K5364" t="s">
        <v>24</v>
      </c>
      <c r="L5364" t="str">
        <f>_xlfn.XLOOKUP(K5364,[2]analyte_order!$B:$B,[2]analyte_order!$C:$C)</f>
        <v>423-41-6</v>
      </c>
      <c r="M5364">
        <f>_xlfn.XLOOKUP(L5364,[2]analyte_order!$C:$C,[2]analyte_order!$E:$E)</f>
        <v>53</v>
      </c>
      <c r="N5364">
        <v>7.0000000000000007E-2</v>
      </c>
    </row>
    <row r="5365" spans="1:14">
      <c r="A5365" t="s">
        <v>287</v>
      </c>
      <c r="B5365" t="str">
        <f>_xlfn.XLOOKUP(A5365,'[1]Tissue Data'!$A:$A,'[1]Tissue Data'!$C:$C)</f>
        <v>Spill</v>
      </c>
      <c r="C5365" s="2">
        <f>_xlfn.XLOOKUP(A5365,'[1]Tissue Data'!$A:$A,'[1]Tissue Data'!$D:$D)</f>
        <v>44393</v>
      </c>
      <c r="D5365" s="2" t="str">
        <f>_xlfn.XLOOKUP(A5365,'[1]Tissue Data'!$A:$A,'[1]Tissue Data'!$F:$F)</f>
        <v>Pumpkinseed</v>
      </c>
      <c r="E5365" t="str">
        <f>_xlfn.XLOOKUP(A5365,'[1]Tissue Data'!$A:$A,'[1]Tissue Data'!$H:$H)</f>
        <v>Lepomis</v>
      </c>
      <c r="F5365" t="str">
        <f>_xlfn.XLOOKUP(A5365,'[1]Tissue Data'!$A:$A,'[1]Tissue Data'!$I:$I)</f>
        <v>gibbosus</v>
      </c>
      <c r="G5365" t="str">
        <f>_xlfn.XLOOKUP(A5365,'[1]Tissue Data'!$A:$A,'[1]Tissue Data'!J:J)</f>
        <v>U</v>
      </c>
      <c r="H5365" t="str">
        <f>_xlfn.XLOOKUP(A5365,'[1]Tissue Data'!$A:$A,'[1]Tissue Data'!K:K)</f>
        <v>Whole Body</v>
      </c>
      <c r="I5365">
        <f>_xlfn.XLOOKUP(A5365,'[1]Tissue Data'!$A:$A,'[1]Tissue Data'!L:L)</f>
        <v>8.5</v>
      </c>
      <c r="J5365">
        <f>_xlfn.XLOOKUP(A5365,'[1]Tissue Data'!$A:$A,'[1]Tissue Data'!M:M)</f>
        <v>12.25</v>
      </c>
      <c r="K5365" t="s">
        <v>25</v>
      </c>
      <c r="L5365" t="str">
        <f>_xlfn.XLOOKUP(K5365,[2]analyte_order!$B:$B,[2]analyte_order!$C:$C)</f>
        <v>375-73-5</v>
      </c>
      <c r="M5365">
        <f>_xlfn.XLOOKUP(L5365,[2]analyte_order!$C:$C,[2]analyte_order!$E:$E)</f>
        <v>14</v>
      </c>
      <c r="N5365">
        <v>0.1575</v>
      </c>
    </row>
    <row r="5366" spans="1:14">
      <c r="A5366" t="s">
        <v>287</v>
      </c>
      <c r="B5366" t="str">
        <f>_xlfn.XLOOKUP(A5366,'[1]Tissue Data'!$A:$A,'[1]Tissue Data'!$C:$C)</f>
        <v>Spill</v>
      </c>
      <c r="C5366" s="2">
        <f>_xlfn.XLOOKUP(A5366,'[1]Tissue Data'!$A:$A,'[1]Tissue Data'!$D:$D)</f>
        <v>44393</v>
      </c>
      <c r="D5366" s="2" t="str">
        <f>_xlfn.XLOOKUP(A5366,'[1]Tissue Data'!$A:$A,'[1]Tissue Data'!$F:$F)</f>
        <v>Pumpkinseed</v>
      </c>
      <c r="E5366" t="str">
        <f>_xlfn.XLOOKUP(A5366,'[1]Tissue Data'!$A:$A,'[1]Tissue Data'!$H:$H)</f>
        <v>Lepomis</v>
      </c>
      <c r="F5366" t="str">
        <f>_xlfn.XLOOKUP(A5366,'[1]Tissue Data'!$A:$A,'[1]Tissue Data'!$I:$I)</f>
        <v>gibbosus</v>
      </c>
      <c r="G5366" t="str">
        <f>_xlfn.XLOOKUP(A5366,'[1]Tissue Data'!$A:$A,'[1]Tissue Data'!J:J)</f>
        <v>U</v>
      </c>
      <c r="H5366" t="str">
        <f>_xlfn.XLOOKUP(A5366,'[1]Tissue Data'!$A:$A,'[1]Tissue Data'!K:K)</f>
        <v>Whole Body</v>
      </c>
      <c r="I5366">
        <f>_xlfn.XLOOKUP(A5366,'[1]Tissue Data'!$A:$A,'[1]Tissue Data'!L:L)</f>
        <v>8.5</v>
      </c>
      <c r="J5366">
        <f>_xlfn.XLOOKUP(A5366,'[1]Tissue Data'!$A:$A,'[1]Tissue Data'!M:M)</f>
        <v>12.25</v>
      </c>
      <c r="K5366" t="s">
        <v>26</v>
      </c>
      <c r="L5366" t="str">
        <f>_xlfn.XLOOKUP(K5366,[2]analyte_order!$B:$B,[2]analyte_order!$C:$C)</f>
        <v>2706-91-4</v>
      </c>
      <c r="M5366">
        <f>_xlfn.XLOOKUP(L5366,[2]analyte_order!$C:$C,[2]analyte_order!$E:$E)</f>
        <v>15</v>
      </c>
      <c r="N5366">
        <v>0.23150000000000001</v>
      </c>
    </row>
    <row r="5367" spans="1:14">
      <c r="A5367" t="s">
        <v>287</v>
      </c>
      <c r="B5367" t="str">
        <f>_xlfn.XLOOKUP(A5367,'[1]Tissue Data'!$A:$A,'[1]Tissue Data'!$C:$C)</f>
        <v>Spill</v>
      </c>
      <c r="C5367" s="2">
        <f>_xlfn.XLOOKUP(A5367,'[1]Tissue Data'!$A:$A,'[1]Tissue Data'!$D:$D)</f>
        <v>44393</v>
      </c>
      <c r="D5367" s="2" t="str">
        <f>_xlfn.XLOOKUP(A5367,'[1]Tissue Data'!$A:$A,'[1]Tissue Data'!$F:$F)</f>
        <v>Pumpkinseed</v>
      </c>
      <c r="E5367" t="str">
        <f>_xlfn.XLOOKUP(A5367,'[1]Tissue Data'!$A:$A,'[1]Tissue Data'!$H:$H)</f>
        <v>Lepomis</v>
      </c>
      <c r="F5367" t="str">
        <f>_xlfn.XLOOKUP(A5367,'[1]Tissue Data'!$A:$A,'[1]Tissue Data'!$I:$I)</f>
        <v>gibbosus</v>
      </c>
      <c r="G5367" t="str">
        <f>_xlfn.XLOOKUP(A5367,'[1]Tissue Data'!$A:$A,'[1]Tissue Data'!J:J)</f>
        <v>U</v>
      </c>
      <c r="H5367" t="str">
        <f>_xlfn.XLOOKUP(A5367,'[1]Tissue Data'!$A:$A,'[1]Tissue Data'!K:K)</f>
        <v>Whole Body</v>
      </c>
      <c r="I5367">
        <f>_xlfn.XLOOKUP(A5367,'[1]Tissue Data'!$A:$A,'[1]Tissue Data'!L:L)</f>
        <v>8.5</v>
      </c>
      <c r="J5367">
        <f>_xlfn.XLOOKUP(A5367,'[1]Tissue Data'!$A:$A,'[1]Tissue Data'!M:M)</f>
        <v>12.25</v>
      </c>
      <c r="K5367" t="s">
        <v>27</v>
      </c>
      <c r="L5367" t="str">
        <f>_xlfn.XLOOKUP(K5367,[2]analyte_order!$B:$B,[2]analyte_order!$C:$C)</f>
        <v>355-46-4</v>
      </c>
      <c r="M5367">
        <f>_xlfn.XLOOKUP(L5367,[2]analyte_order!$C:$C,[2]analyte_order!$E:$E)</f>
        <v>16</v>
      </c>
      <c r="N5367">
        <v>54.1</v>
      </c>
    </row>
    <row r="5368" spans="1:14">
      <c r="A5368" t="s">
        <v>287</v>
      </c>
      <c r="B5368" t="str">
        <f>_xlfn.XLOOKUP(A5368,'[1]Tissue Data'!$A:$A,'[1]Tissue Data'!$C:$C)</f>
        <v>Spill</v>
      </c>
      <c r="C5368" s="2">
        <f>_xlfn.XLOOKUP(A5368,'[1]Tissue Data'!$A:$A,'[1]Tissue Data'!$D:$D)</f>
        <v>44393</v>
      </c>
      <c r="D5368" s="2" t="str">
        <f>_xlfn.XLOOKUP(A5368,'[1]Tissue Data'!$A:$A,'[1]Tissue Data'!$F:$F)</f>
        <v>Pumpkinseed</v>
      </c>
      <c r="E5368" t="str">
        <f>_xlfn.XLOOKUP(A5368,'[1]Tissue Data'!$A:$A,'[1]Tissue Data'!$H:$H)</f>
        <v>Lepomis</v>
      </c>
      <c r="F5368" t="str">
        <f>_xlfn.XLOOKUP(A5368,'[1]Tissue Data'!$A:$A,'[1]Tissue Data'!$I:$I)</f>
        <v>gibbosus</v>
      </c>
      <c r="G5368" t="str">
        <f>_xlfn.XLOOKUP(A5368,'[1]Tissue Data'!$A:$A,'[1]Tissue Data'!J:J)</f>
        <v>U</v>
      </c>
      <c r="H5368" t="str">
        <f>_xlfn.XLOOKUP(A5368,'[1]Tissue Data'!$A:$A,'[1]Tissue Data'!K:K)</f>
        <v>Whole Body</v>
      </c>
      <c r="I5368">
        <f>_xlfn.XLOOKUP(A5368,'[1]Tissue Data'!$A:$A,'[1]Tissue Data'!L:L)</f>
        <v>8.5</v>
      </c>
      <c r="J5368">
        <f>_xlfn.XLOOKUP(A5368,'[1]Tissue Data'!$A:$A,'[1]Tissue Data'!M:M)</f>
        <v>12.25</v>
      </c>
      <c r="K5368" t="s">
        <v>28</v>
      </c>
      <c r="L5368" t="str">
        <f>_xlfn.XLOOKUP(K5368,[2]analyte_order!$B:$B,[2]analyte_order!$C:$C)</f>
        <v>375-92-8</v>
      </c>
      <c r="M5368">
        <f>_xlfn.XLOOKUP(L5368,[2]analyte_order!$C:$C,[2]analyte_order!$E:$E)</f>
        <v>17</v>
      </c>
      <c r="N5368">
        <v>5.19</v>
      </c>
    </row>
    <row r="5369" spans="1:14">
      <c r="A5369" t="s">
        <v>287</v>
      </c>
      <c r="B5369" t="str">
        <f>_xlfn.XLOOKUP(A5369,'[1]Tissue Data'!$A:$A,'[1]Tissue Data'!$C:$C)</f>
        <v>Spill</v>
      </c>
      <c r="C5369" s="2">
        <f>_xlfn.XLOOKUP(A5369,'[1]Tissue Data'!$A:$A,'[1]Tissue Data'!$D:$D)</f>
        <v>44393</v>
      </c>
      <c r="D5369" s="2" t="str">
        <f>_xlfn.XLOOKUP(A5369,'[1]Tissue Data'!$A:$A,'[1]Tissue Data'!$F:$F)</f>
        <v>Pumpkinseed</v>
      </c>
      <c r="E5369" t="str">
        <f>_xlfn.XLOOKUP(A5369,'[1]Tissue Data'!$A:$A,'[1]Tissue Data'!$H:$H)</f>
        <v>Lepomis</v>
      </c>
      <c r="F5369" t="str">
        <f>_xlfn.XLOOKUP(A5369,'[1]Tissue Data'!$A:$A,'[1]Tissue Data'!$I:$I)</f>
        <v>gibbosus</v>
      </c>
      <c r="G5369" t="str">
        <f>_xlfn.XLOOKUP(A5369,'[1]Tissue Data'!$A:$A,'[1]Tissue Data'!J:J)</f>
        <v>U</v>
      </c>
      <c r="H5369" t="str">
        <f>_xlfn.XLOOKUP(A5369,'[1]Tissue Data'!$A:$A,'[1]Tissue Data'!K:K)</f>
        <v>Whole Body</v>
      </c>
      <c r="I5369">
        <f>_xlfn.XLOOKUP(A5369,'[1]Tissue Data'!$A:$A,'[1]Tissue Data'!L:L)</f>
        <v>8.5</v>
      </c>
      <c r="J5369">
        <f>_xlfn.XLOOKUP(A5369,'[1]Tissue Data'!$A:$A,'[1]Tissue Data'!M:M)</f>
        <v>12.25</v>
      </c>
      <c r="K5369" t="s">
        <v>29</v>
      </c>
      <c r="L5369" t="str">
        <f>_xlfn.XLOOKUP(K5369,[2]analyte_order!$B:$B,[2]analyte_order!$C:$C)</f>
        <v>1763-23-1</v>
      </c>
      <c r="M5369">
        <f>_xlfn.XLOOKUP(L5369,[2]analyte_order!$C:$C,[2]analyte_order!$E:$E)</f>
        <v>18</v>
      </c>
      <c r="N5369">
        <v>660</v>
      </c>
    </row>
    <row r="5370" spans="1:14">
      <c r="A5370" t="s">
        <v>287</v>
      </c>
      <c r="B5370" t="str">
        <f>_xlfn.XLOOKUP(A5370,'[1]Tissue Data'!$A:$A,'[1]Tissue Data'!$C:$C)</f>
        <v>Spill</v>
      </c>
      <c r="C5370" s="2">
        <f>_xlfn.XLOOKUP(A5370,'[1]Tissue Data'!$A:$A,'[1]Tissue Data'!$D:$D)</f>
        <v>44393</v>
      </c>
      <c r="D5370" s="2" t="str">
        <f>_xlfn.XLOOKUP(A5370,'[1]Tissue Data'!$A:$A,'[1]Tissue Data'!$F:$F)</f>
        <v>Pumpkinseed</v>
      </c>
      <c r="E5370" t="str">
        <f>_xlfn.XLOOKUP(A5370,'[1]Tissue Data'!$A:$A,'[1]Tissue Data'!$H:$H)</f>
        <v>Lepomis</v>
      </c>
      <c r="F5370" t="str">
        <f>_xlfn.XLOOKUP(A5370,'[1]Tissue Data'!$A:$A,'[1]Tissue Data'!$I:$I)</f>
        <v>gibbosus</v>
      </c>
      <c r="G5370" t="str">
        <f>_xlfn.XLOOKUP(A5370,'[1]Tissue Data'!$A:$A,'[1]Tissue Data'!J:J)</f>
        <v>U</v>
      </c>
      <c r="H5370" t="str">
        <f>_xlfn.XLOOKUP(A5370,'[1]Tissue Data'!$A:$A,'[1]Tissue Data'!K:K)</f>
        <v>Whole Body</v>
      </c>
      <c r="I5370">
        <f>_xlfn.XLOOKUP(A5370,'[1]Tissue Data'!$A:$A,'[1]Tissue Data'!L:L)</f>
        <v>8.5</v>
      </c>
      <c r="J5370">
        <f>_xlfn.XLOOKUP(A5370,'[1]Tissue Data'!$A:$A,'[1]Tissue Data'!M:M)</f>
        <v>12.25</v>
      </c>
      <c r="K5370" t="s">
        <v>30</v>
      </c>
      <c r="L5370" t="str">
        <f>_xlfn.XLOOKUP(K5370,[2]analyte_order!$B:$B,[2]analyte_order!$C:$C)</f>
        <v>68259-12-1</v>
      </c>
      <c r="M5370">
        <f>_xlfn.XLOOKUP(L5370,[2]analyte_order!$C:$C,[2]analyte_order!$E:$E)</f>
        <v>19</v>
      </c>
      <c r="N5370">
        <v>3.51</v>
      </c>
    </row>
    <row r="5371" spans="1:14">
      <c r="A5371" t="s">
        <v>287</v>
      </c>
      <c r="B5371" t="str">
        <f>_xlfn.XLOOKUP(A5371,'[1]Tissue Data'!$A:$A,'[1]Tissue Data'!$C:$C)</f>
        <v>Spill</v>
      </c>
      <c r="C5371" s="2">
        <f>_xlfn.XLOOKUP(A5371,'[1]Tissue Data'!$A:$A,'[1]Tissue Data'!$D:$D)</f>
        <v>44393</v>
      </c>
      <c r="D5371" s="2" t="str">
        <f>_xlfn.XLOOKUP(A5371,'[1]Tissue Data'!$A:$A,'[1]Tissue Data'!$F:$F)</f>
        <v>Pumpkinseed</v>
      </c>
      <c r="E5371" t="str">
        <f>_xlfn.XLOOKUP(A5371,'[1]Tissue Data'!$A:$A,'[1]Tissue Data'!$H:$H)</f>
        <v>Lepomis</v>
      </c>
      <c r="F5371" t="str">
        <f>_xlfn.XLOOKUP(A5371,'[1]Tissue Data'!$A:$A,'[1]Tissue Data'!$I:$I)</f>
        <v>gibbosus</v>
      </c>
      <c r="G5371" t="str">
        <f>_xlfn.XLOOKUP(A5371,'[1]Tissue Data'!$A:$A,'[1]Tissue Data'!J:J)</f>
        <v>U</v>
      </c>
      <c r="H5371" t="str">
        <f>_xlfn.XLOOKUP(A5371,'[1]Tissue Data'!$A:$A,'[1]Tissue Data'!K:K)</f>
        <v>Whole Body</v>
      </c>
      <c r="I5371">
        <f>_xlfn.XLOOKUP(A5371,'[1]Tissue Data'!$A:$A,'[1]Tissue Data'!L:L)</f>
        <v>8.5</v>
      </c>
      <c r="J5371">
        <f>_xlfn.XLOOKUP(A5371,'[1]Tissue Data'!$A:$A,'[1]Tissue Data'!M:M)</f>
        <v>12.25</v>
      </c>
      <c r="K5371" t="s">
        <v>31</v>
      </c>
      <c r="L5371" t="str">
        <f>_xlfn.XLOOKUP(K5371,[2]analyte_order!$B:$B,[2]analyte_order!$C:$C)</f>
        <v>335-77-3</v>
      </c>
      <c r="M5371">
        <f>_xlfn.XLOOKUP(L5371,[2]analyte_order!$C:$C,[2]analyte_order!$E:$E)</f>
        <v>20</v>
      </c>
      <c r="N5371">
        <v>3.66</v>
      </c>
    </row>
    <row r="5372" spans="1:14">
      <c r="A5372" t="s">
        <v>287</v>
      </c>
      <c r="B5372" t="str">
        <f>_xlfn.XLOOKUP(A5372,'[1]Tissue Data'!$A:$A,'[1]Tissue Data'!$C:$C)</f>
        <v>Spill</v>
      </c>
      <c r="C5372" s="2">
        <f>_xlfn.XLOOKUP(A5372,'[1]Tissue Data'!$A:$A,'[1]Tissue Data'!$D:$D)</f>
        <v>44393</v>
      </c>
      <c r="D5372" s="2" t="str">
        <f>_xlfn.XLOOKUP(A5372,'[1]Tissue Data'!$A:$A,'[1]Tissue Data'!$F:$F)</f>
        <v>Pumpkinseed</v>
      </c>
      <c r="E5372" t="str">
        <f>_xlfn.XLOOKUP(A5372,'[1]Tissue Data'!$A:$A,'[1]Tissue Data'!$H:$H)</f>
        <v>Lepomis</v>
      </c>
      <c r="F5372" t="str">
        <f>_xlfn.XLOOKUP(A5372,'[1]Tissue Data'!$A:$A,'[1]Tissue Data'!$I:$I)</f>
        <v>gibbosus</v>
      </c>
      <c r="G5372" t="str">
        <f>_xlfn.XLOOKUP(A5372,'[1]Tissue Data'!$A:$A,'[1]Tissue Data'!J:J)</f>
        <v>U</v>
      </c>
      <c r="H5372" t="str">
        <f>_xlfn.XLOOKUP(A5372,'[1]Tissue Data'!$A:$A,'[1]Tissue Data'!K:K)</f>
        <v>Whole Body</v>
      </c>
      <c r="I5372">
        <f>_xlfn.XLOOKUP(A5372,'[1]Tissue Data'!$A:$A,'[1]Tissue Data'!L:L)</f>
        <v>8.5</v>
      </c>
      <c r="J5372">
        <f>_xlfn.XLOOKUP(A5372,'[1]Tissue Data'!$A:$A,'[1]Tissue Data'!M:M)</f>
        <v>12.25</v>
      </c>
      <c r="K5372" t="s">
        <v>32</v>
      </c>
      <c r="L5372" t="str">
        <f>_xlfn.XLOOKUP(K5372,[2]analyte_order!$B:$B,[2]analyte_order!$C:$C)</f>
        <v>79780-39-5</v>
      </c>
      <c r="M5372">
        <f>_xlfn.XLOOKUP(L5372,[2]analyte_order!$C:$C,[2]analyte_order!$E:$E)</f>
        <v>21</v>
      </c>
      <c r="N5372">
        <v>0.66100000000000003</v>
      </c>
    </row>
    <row r="5373" spans="1:14">
      <c r="A5373" t="s">
        <v>287</v>
      </c>
      <c r="B5373" t="str">
        <f>_xlfn.XLOOKUP(A5373,'[1]Tissue Data'!$A:$A,'[1]Tissue Data'!$C:$C)</f>
        <v>Spill</v>
      </c>
      <c r="C5373" s="2">
        <f>_xlfn.XLOOKUP(A5373,'[1]Tissue Data'!$A:$A,'[1]Tissue Data'!$D:$D)</f>
        <v>44393</v>
      </c>
      <c r="D5373" s="2" t="str">
        <f>_xlfn.XLOOKUP(A5373,'[1]Tissue Data'!$A:$A,'[1]Tissue Data'!$F:$F)</f>
        <v>Pumpkinseed</v>
      </c>
      <c r="E5373" t="str">
        <f>_xlfn.XLOOKUP(A5373,'[1]Tissue Data'!$A:$A,'[1]Tissue Data'!$H:$H)</f>
        <v>Lepomis</v>
      </c>
      <c r="F5373" t="str">
        <f>_xlfn.XLOOKUP(A5373,'[1]Tissue Data'!$A:$A,'[1]Tissue Data'!$I:$I)</f>
        <v>gibbosus</v>
      </c>
      <c r="G5373" t="str">
        <f>_xlfn.XLOOKUP(A5373,'[1]Tissue Data'!$A:$A,'[1]Tissue Data'!J:J)</f>
        <v>U</v>
      </c>
      <c r="H5373" t="str">
        <f>_xlfn.XLOOKUP(A5373,'[1]Tissue Data'!$A:$A,'[1]Tissue Data'!K:K)</f>
        <v>Whole Body</v>
      </c>
      <c r="I5373">
        <f>_xlfn.XLOOKUP(A5373,'[1]Tissue Data'!$A:$A,'[1]Tissue Data'!L:L)</f>
        <v>8.5</v>
      </c>
      <c r="J5373">
        <f>_xlfn.XLOOKUP(A5373,'[1]Tissue Data'!$A:$A,'[1]Tissue Data'!M:M)</f>
        <v>12.25</v>
      </c>
      <c r="K5373" t="s">
        <v>33</v>
      </c>
      <c r="L5373" t="str">
        <f>_xlfn.XLOOKUP(K5373,[2]analyte_order!$B:$B,[2]analyte_order!$C:$C)</f>
        <v>777011-38-8</v>
      </c>
      <c r="M5373">
        <f>_xlfn.XLOOKUP(L5373,[2]analyte_order!$C:$C,[2]analyte_order!$E:$E)</f>
        <v>54</v>
      </c>
      <c r="N5373">
        <v>0.14050000000000001</v>
      </c>
    </row>
    <row r="5374" spans="1:14">
      <c r="A5374" t="s">
        <v>287</v>
      </c>
      <c r="B5374" t="str">
        <f>_xlfn.XLOOKUP(A5374,'[1]Tissue Data'!$A:$A,'[1]Tissue Data'!$C:$C)</f>
        <v>Spill</v>
      </c>
      <c r="C5374" s="2">
        <f>_xlfn.XLOOKUP(A5374,'[1]Tissue Data'!$A:$A,'[1]Tissue Data'!$D:$D)</f>
        <v>44393</v>
      </c>
      <c r="D5374" s="2" t="str">
        <f>_xlfn.XLOOKUP(A5374,'[1]Tissue Data'!$A:$A,'[1]Tissue Data'!$F:$F)</f>
        <v>Pumpkinseed</v>
      </c>
      <c r="E5374" t="str">
        <f>_xlfn.XLOOKUP(A5374,'[1]Tissue Data'!$A:$A,'[1]Tissue Data'!$H:$H)</f>
        <v>Lepomis</v>
      </c>
      <c r="F5374" t="str">
        <f>_xlfn.XLOOKUP(A5374,'[1]Tissue Data'!$A:$A,'[1]Tissue Data'!$I:$I)</f>
        <v>gibbosus</v>
      </c>
      <c r="G5374" t="str">
        <f>_xlfn.XLOOKUP(A5374,'[1]Tissue Data'!$A:$A,'[1]Tissue Data'!J:J)</f>
        <v>U</v>
      </c>
      <c r="H5374" t="str">
        <f>_xlfn.XLOOKUP(A5374,'[1]Tissue Data'!$A:$A,'[1]Tissue Data'!K:K)</f>
        <v>Whole Body</v>
      </c>
      <c r="I5374">
        <f>_xlfn.XLOOKUP(A5374,'[1]Tissue Data'!$A:$A,'[1]Tissue Data'!L:L)</f>
        <v>8.5</v>
      </c>
      <c r="J5374">
        <f>_xlfn.XLOOKUP(A5374,'[1]Tissue Data'!$A:$A,'[1]Tissue Data'!M:M)</f>
        <v>12.25</v>
      </c>
      <c r="K5374" t="s">
        <v>34</v>
      </c>
      <c r="L5374" t="str">
        <f>_xlfn.XLOOKUP(K5374,[2]analyte_order!$B:$B,[2]analyte_order!$C:$C)</f>
        <v>646-83-3</v>
      </c>
      <c r="M5374">
        <f>_xlfn.XLOOKUP(L5374,[2]analyte_order!$C:$C,[2]analyte_order!$E:$E)</f>
        <v>55</v>
      </c>
      <c r="N5374">
        <v>0.505</v>
      </c>
    </row>
    <row r="5375" spans="1:14">
      <c r="A5375" t="s">
        <v>287</v>
      </c>
      <c r="B5375" t="str">
        <f>_xlfn.XLOOKUP(A5375,'[1]Tissue Data'!$A:$A,'[1]Tissue Data'!$C:$C)</f>
        <v>Spill</v>
      </c>
      <c r="C5375" s="2">
        <f>_xlfn.XLOOKUP(A5375,'[1]Tissue Data'!$A:$A,'[1]Tissue Data'!$D:$D)</f>
        <v>44393</v>
      </c>
      <c r="D5375" s="2" t="str">
        <f>_xlfn.XLOOKUP(A5375,'[1]Tissue Data'!$A:$A,'[1]Tissue Data'!$F:$F)</f>
        <v>Pumpkinseed</v>
      </c>
      <c r="E5375" t="str">
        <f>_xlfn.XLOOKUP(A5375,'[1]Tissue Data'!$A:$A,'[1]Tissue Data'!$H:$H)</f>
        <v>Lepomis</v>
      </c>
      <c r="F5375" t="str">
        <f>_xlfn.XLOOKUP(A5375,'[1]Tissue Data'!$A:$A,'[1]Tissue Data'!$I:$I)</f>
        <v>gibbosus</v>
      </c>
      <c r="G5375" t="str">
        <f>_xlfn.XLOOKUP(A5375,'[1]Tissue Data'!$A:$A,'[1]Tissue Data'!J:J)</f>
        <v>U</v>
      </c>
      <c r="H5375" t="str">
        <f>_xlfn.XLOOKUP(A5375,'[1]Tissue Data'!$A:$A,'[1]Tissue Data'!K:K)</f>
        <v>Whole Body</v>
      </c>
      <c r="I5375">
        <f>_xlfn.XLOOKUP(A5375,'[1]Tissue Data'!$A:$A,'[1]Tissue Data'!L:L)</f>
        <v>8.5</v>
      </c>
      <c r="J5375">
        <f>_xlfn.XLOOKUP(A5375,'[1]Tissue Data'!$A:$A,'[1]Tissue Data'!M:M)</f>
        <v>12.25</v>
      </c>
      <c r="K5375" t="s">
        <v>35</v>
      </c>
      <c r="L5375" t="str">
        <f>_xlfn.XLOOKUP(K5375,[2]analyte_order!$B:$B,[2]analyte_order!$C:$C)</f>
        <v>30334-69-1</v>
      </c>
      <c r="M5375">
        <f>_xlfn.XLOOKUP(L5375,[2]analyte_order!$C:$C,[2]analyte_order!$E:$E)</f>
        <v>51</v>
      </c>
      <c r="N5375">
        <v>18.100000000000001</v>
      </c>
    </row>
    <row r="5376" spans="1:14">
      <c r="A5376" t="s">
        <v>287</v>
      </c>
      <c r="B5376" t="str">
        <f>_xlfn.XLOOKUP(A5376,'[1]Tissue Data'!$A:$A,'[1]Tissue Data'!$C:$C)</f>
        <v>Spill</v>
      </c>
      <c r="C5376" s="2">
        <f>_xlfn.XLOOKUP(A5376,'[1]Tissue Data'!$A:$A,'[1]Tissue Data'!$D:$D)</f>
        <v>44393</v>
      </c>
      <c r="D5376" s="2" t="str">
        <f>_xlfn.XLOOKUP(A5376,'[1]Tissue Data'!$A:$A,'[1]Tissue Data'!$F:$F)</f>
        <v>Pumpkinseed</v>
      </c>
      <c r="E5376" t="str">
        <f>_xlfn.XLOOKUP(A5376,'[1]Tissue Data'!$A:$A,'[1]Tissue Data'!$H:$H)</f>
        <v>Lepomis</v>
      </c>
      <c r="F5376" t="str">
        <f>_xlfn.XLOOKUP(A5376,'[1]Tissue Data'!$A:$A,'[1]Tissue Data'!$I:$I)</f>
        <v>gibbosus</v>
      </c>
      <c r="G5376" t="str">
        <f>_xlfn.XLOOKUP(A5376,'[1]Tissue Data'!$A:$A,'[1]Tissue Data'!J:J)</f>
        <v>U</v>
      </c>
      <c r="H5376" t="str">
        <f>_xlfn.XLOOKUP(A5376,'[1]Tissue Data'!$A:$A,'[1]Tissue Data'!K:K)</f>
        <v>Whole Body</v>
      </c>
      <c r="I5376">
        <f>_xlfn.XLOOKUP(A5376,'[1]Tissue Data'!$A:$A,'[1]Tissue Data'!L:L)</f>
        <v>8.5</v>
      </c>
      <c r="J5376">
        <f>_xlfn.XLOOKUP(A5376,'[1]Tissue Data'!$A:$A,'[1]Tissue Data'!M:M)</f>
        <v>12.25</v>
      </c>
      <c r="K5376" t="s">
        <v>36</v>
      </c>
      <c r="L5376" t="str">
        <f>_xlfn.XLOOKUP(K5376,[2]analyte_order!$B:$B,[2]analyte_order!$C:$C)</f>
        <v>41997-13-1</v>
      </c>
      <c r="M5376">
        <f>_xlfn.XLOOKUP(L5376,[2]analyte_order!$C:$C,[2]analyte_order!$E:$E)</f>
        <v>52</v>
      </c>
      <c r="N5376">
        <v>50.7</v>
      </c>
    </row>
    <row r="5377" spans="1:14">
      <c r="A5377" t="s">
        <v>287</v>
      </c>
      <c r="B5377" t="str">
        <f>_xlfn.XLOOKUP(A5377,'[1]Tissue Data'!$A:$A,'[1]Tissue Data'!$C:$C)</f>
        <v>Spill</v>
      </c>
      <c r="C5377" s="2">
        <f>_xlfn.XLOOKUP(A5377,'[1]Tissue Data'!$A:$A,'[1]Tissue Data'!$D:$D)</f>
        <v>44393</v>
      </c>
      <c r="D5377" s="2" t="str">
        <f>_xlfn.XLOOKUP(A5377,'[1]Tissue Data'!$A:$A,'[1]Tissue Data'!$F:$F)</f>
        <v>Pumpkinseed</v>
      </c>
      <c r="E5377" t="str">
        <f>_xlfn.XLOOKUP(A5377,'[1]Tissue Data'!$A:$A,'[1]Tissue Data'!$H:$H)</f>
        <v>Lepomis</v>
      </c>
      <c r="F5377" t="str">
        <f>_xlfn.XLOOKUP(A5377,'[1]Tissue Data'!$A:$A,'[1]Tissue Data'!$I:$I)</f>
        <v>gibbosus</v>
      </c>
      <c r="G5377" t="str">
        <f>_xlfn.XLOOKUP(A5377,'[1]Tissue Data'!$A:$A,'[1]Tissue Data'!J:J)</f>
        <v>U</v>
      </c>
      <c r="H5377" t="str">
        <f>_xlfn.XLOOKUP(A5377,'[1]Tissue Data'!$A:$A,'[1]Tissue Data'!K:K)</f>
        <v>Whole Body</v>
      </c>
      <c r="I5377">
        <f>_xlfn.XLOOKUP(A5377,'[1]Tissue Data'!$A:$A,'[1]Tissue Data'!L:L)</f>
        <v>8.5</v>
      </c>
      <c r="J5377">
        <f>_xlfn.XLOOKUP(A5377,'[1]Tissue Data'!$A:$A,'[1]Tissue Data'!M:M)</f>
        <v>12.25</v>
      </c>
      <c r="K5377" t="s">
        <v>37</v>
      </c>
      <c r="L5377" t="str">
        <f>_xlfn.XLOOKUP(K5377,[2]analyte_order!$B:$B,[2]analyte_order!$C:$C)</f>
        <v>754-91-6</v>
      </c>
      <c r="M5377">
        <f>_xlfn.XLOOKUP(L5377,[2]analyte_order!$C:$C,[2]analyte_order!$E:$E)</f>
        <v>28</v>
      </c>
      <c r="N5377">
        <v>12.9</v>
      </c>
    </row>
    <row r="5378" spans="1:14">
      <c r="A5378" t="s">
        <v>287</v>
      </c>
      <c r="B5378" t="str">
        <f>_xlfn.XLOOKUP(A5378,'[1]Tissue Data'!$A:$A,'[1]Tissue Data'!$C:$C)</f>
        <v>Spill</v>
      </c>
      <c r="C5378" s="2">
        <f>_xlfn.XLOOKUP(A5378,'[1]Tissue Data'!$A:$A,'[1]Tissue Data'!$D:$D)</f>
        <v>44393</v>
      </c>
      <c r="D5378" s="2" t="str">
        <f>_xlfn.XLOOKUP(A5378,'[1]Tissue Data'!$A:$A,'[1]Tissue Data'!$F:$F)</f>
        <v>Pumpkinseed</v>
      </c>
      <c r="E5378" t="str">
        <f>_xlfn.XLOOKUP(A5378,'[1]Tissue Data'!$A:$A,'[1]Tissue Data'!$H:$H)</f>
        <v>Lepomis</v>
      </c>
      <c r="F5378" t="str">
        <f>_xlfn.XLOOKUP(A5378,'[1]Tissue Data'!$A:$A,'[1]Tissue Data'!$I:$I)</f>
        <v>gibbosus</v>
      </c>
      <c r="G5378" t="str">
        <f>_xlfn.XLOOKUP(A5378,'[1]Tissue Data'!$A:$A,'[1]Tissue Data'!J:J)</f>
        <v>U</v>
      </c>
      <c r="H5378" t="str">
        <f>_xlfn.XLOOKUP(A5378,'[1]Tissue Data'!$A:$A,'[1]Tissue Data'!K:K)</f>
        <v>Whole Body</v>
      </c>
      <c r="I5378">
        <f>_xlfn.XLOOKUP(A5378,'[1]Tissue Data'!$A:$A,'[1]Tissue Data'!L:L)</f>
        <v>8.5</v>
      </c>
      <c r="J5378">
        <f>_xlfn.XLOOKUP(A5378,'[1]Tissue Data'!$A:$A,'[1]Tissue Data'!M:M)</f>
        <v>12.25</v>
      </c>
      <c r="K5378" t="s">
        <v>38</v>
      </c>
      <c r="L5378" t="str">
        <f>_xlfn.XLOOKUP(K5378,[2]analyte_order!$B:$B,[2]analyte_order!$C:$C)</f>
        <v>31506-32-8</v>
      </c>
      <c r="M5378">
        <f>_xlfn.XLOOKUP(L5378,[2]analyte_order!$C:$C,[2]analyte_order!$E:$E)</f>
        <v>30</v>
      </c>
      <c r="N5378">
        <v>7.0000000000000007E-2</v>
      </c>
    </row>
    <row r="5379" spans="1:14">
      <c r="A5379" t="s">
        <v>287</v>
      </c>
      <c r="B5379" t="str">
        <f>_xlfn.XLOOKUP(A5379,'[1]Tissue Data'!$A:$A,'[1]Tissue Data'!$C:$C)</f>
        <v>Spill</v>
      </c>
      <c r="C5379" s="2">
        <f>_xlfn.XLOOKUP(A5379,'[1]Tissue Data'!$A:$A,'[1]Tissue Data'!$D:$D)</f>
        <v>44393</v>
      </c>
      <c r="D5379" s="2" t="str">
        <f>_xlfn.XLOOKUP(A5379,'[1]Tissue Data'!$A:$A,'[1]Tissue Data'!$F:$F)</f>
        <v>Pumpkinseed</v>
      </c>
      <c r="E5379" t="str">
        <f>_xlfn.XLOOKUP(A5379,'[1]Tissue Data'!$A:$A,'[1]Tissue Data'!$H:$H)</f>
        <v>Lepomis</v>
      </c>
      <c r="F5379" t="str">
        <f>_xlfn.XLOOKUP(A5379,'[1]Tissue Data'!$A:$A,'[1]Tissue Data'!$I:$I)</f>
        <v>gibbosus</v>
      </c>
      <c r="G5379" t="str">
        <f>_xlfn.XLOOKUP(A5379,'[1]Tissue Data'!$A:$A,'[1]Tissue Data'!J:J)</f>
        <v>U</v>
      </c>
      <c r="H5379" t="str">
        <f>_xlfn.XLOOKUP(A5379,'[1]Tissue Data'!$A:$A,'[1]Tissue Data'!K:K)</f>
        <v>Whole Body</v>
      </c>
      <c r="I5379">
        <f>_xlfn.XLOOKUP(A5379,'[1]Tissue Data'!$A:$A,'[1]Tissue Data'!L:L)</f>
        <v>8.5</v>
      </c>
      <c r="J5379">
        <f>_xlfn.XLOOKUP(A5379,'[1]Tissue Data'!$A:$A,'[1]Tissue Data'!M:M)</f>
        <v>12.25</v>
      </c>
      <c r="K5379" t="s">
        <v>39</v>
      </c>
      <c r="L5379" t="str">
        <f>_xlfn.XLOOKUP(K5379,[2]analyte_order!$B:$B,[2]analyte_order!$C:$C)</f>
        <v>4151-50-2</v>
      </c>
      <c r="M5379">
        <f>_xlfn.XLOOKUP(L5379,[2]analyte_order!$C:$C,[2]analyte_order!$E:$E)</f>
        <v>31</v>
      </c>
      <c r="N5379">
        <v>8.2000000000000003E-2</v>
      </c>
    </row>
    <row r="5380" spans="1:14">
      <c r="A5380" t="s">
        <v>287</v>
      </c>
      <c r="B5380" t="str">
        <f>_xlfn.XLOOKUP(A5380,'[1]Tissue Data'!$A:$A,'[1]Tissue Data'!$C:$C)</f>
        <v>Spill</v>
      </c>
      <c r="C5380" s="2">
        <f>_xlfn.XLOOKUP(A5380,'[1]Tissue Data'!$A:$A,'[1]Tissue Data'!$D:$D)</f>
        <v>44393</v>
      </c>
      <c r="D5380" s="2" t="str">
        <f>_xlfn.XLOOKUP(A5380,'[1]Tissue Data'!$A:$A,'[1]Tissue Data'!$F:$F)</f>
        <v>Pumpkinseed</v>
      </c>
      <c r="E5380" t="str">
        <f>_xlfn.XLOOKUP(A5380,'[1]Tissue Data'!$A:$A,'[1]Tissue Data'!$H:$H)</f>
        <v>Lepomis</v>
      </c>
      <c r="F5380" t="str">
        <f>_xlfn.XLOOKUP(A5380,'[1]Tissue Data'!$A:$A,'[1]Tissue Data'!$I:$I)</f>
        <v>gibbosus</v>
      </c>
      <c r="G5380" t="str">
        <f>_xlfn.XLOOKUP(A5380,'[1]Tissue Data'!$A:$A,'[1]Tissue Data'!J:J)</f>
        <v>U</v>
      </c>
      <c r="H5380" t="str">
        <f>_xlfn.XLOOKUP(A5380,'[1]Tissue Data'!$A:$A,'[1]Tissue Data'!K:K)</f>
        <v>Whole Body</v>
      </c>
      <c r="I5380">
        <f>_xlfn.XLOOKUP(A5380,'[1]Tissue Data'!$A:$A,'[1]Tissue Data'!L:L)</f>
        <v>8.5</v>
      </c>
      <c r="J5380">
        <f>_xlfn.XLOOKUP(A5380,'[1]Tissue Data'!$A:$A,'[1]Tissue Data'!M:M)</f>
        <v>12.25</v>
      </c>
      <c r="K5380" t="s">
        <v>40</v>
      </c>
      <c r="L5380" t="str">
        <f>_xlfn.XLOOKUP(K5380,[2]analyte_order!$B:$B,[2]analyte_order!$C:$C)</f>
        <v>2806-24-8</v>
      </c>
      <c r="M5380">
        <f>_xlfn.XLOOKUP(L5380,[2]analyte_order!$C:$C,[2]analyte_order!$E:$E)</f>
        <v>29</v>
      </c>
      <c r="N5380">
        <v>5.5500000000000001E-2</v>
      </c>
    </row>
    <row r="5381" spans="1:14">
      <c r="A5381" t="s">
        <v>287</v>
      </c>
      <c r="B5381" t="str">
        <f>_xlfn.XLOOKUP(A5381,'[1]Tissue Data'!$A:$A,'[1]Tissue Data'!$C:$C)</f>
        <v>Spill</v>
      </c>
      <c r="C5381" s="2">
        <f>_xlfn.XLOOKUP(A5381,'[1]Tissue Data'!$A:$A,'[1]Tissue Data'!$D:$D)</f>
        <v>44393</v>
      </c>
      <c r="D5381" s="2" t="str">
        <f>_xlfn.XLOOKUP(A5381,'[1]Tissue Data'!$A:$A,'[1]Tissue Data'!$F:$F)</f>
        <v>Pumpkinseed</v>
      </c>
      <c r="E5381" t="str">
        <f>_xlfn.XLOOKUP(A5381,'[1]Tissue Data'!$A:$A,'[1]Tissue Data'!$H:$H)</f>
        <v>Lepomis</v>
      </c>
      <c r="F5381" t="str">
        <f>_xlfn.XLOOKUP(A5381,'[1]Tissue Data'!$A:$A,'[1]Tissue Data'!$I:$I)</f>
        <v>gibbosus</v>
      </c>
      <c r="G5381" t="str">
        <f>_xlfn.XLOOKUP(A5381,'[1]Tissue Data'!$A:$A,'[1]Tissue Data'!J:J)</f>
        <v>U</v>
      </c>
      <c r="H5381" t="str">
        <f>_xlfn.XLOOKUP(A5381,'[1]Tissue Data'!$A:$A,'[1]Tissue Data'!K:K)</f>
        <v>Whole Body</v>
      </c>
      <c r="I5381">
        <f>_xlfn.XLOOKUP(A5381,'[1]Tissue Data'!$A:$A,'[1]Tissue Data'!L:L)</f>
        <v>8.5</v>
      </c>
      <c r="J5381">
        <f>_xlfn.XLOOKUP(A5381,'[1]Tissue Data'!$A:$A,'[1]Tissue Data'!M:M)</f>
        <v>12.25</v>
      </c>
      <c r="K5381" t="s">
        <v>41</v>
      </c>
      <c r="L5381" t="str">
        <f>_xlfn.XLOOKUP(K5381,[2]analyte_order!$B:$B,[2]analyte_order!$C:$C)</f>
        <v>2355-31-9</v>
      </c>
      <c r="M5381">
        <f>_xlfn.XLOOKUP(L5381,[2]analyte_order!$C:$C,[2]analyte_order!$E:$E)</f>
        <v>26</v>
      </c>
      <c r="N5381">
        <v>7.0499999999999993E-2</v>
      </c>
    </row>
    <row r="5382" spans="1:14">
      <c r="A5382" t="s">
        <v>287</v>
      </c>
      <c r="B5382" t="str">
        <f>_xlfn.XLOOKUP(A5382,'[1]Tissue Data'!$A:$A,'[1]Tissue Data'!$C:$C)</f>
        <v>Spill</v>
      </c>
      <c r="C5382" s="2">
        <f>_xlfn.XLOOKUP(A5382,'[1]Tissue Data'!$A:$A,'[1]Tissue Data'!$D:$D)</f>
        <v>44393</v>
      </c>
      <c r="D5382" s="2" t="str">
        <f>_xlfn.XLOOKUP(A5382,'[1]Tissue Data'!$A:$A,'[1]Tissue Data'!$F:$F)</f>
        <v>Pumpkinseed</v>
      </c>
      <c r="E5382" t="str">
        <f>_xlfn.XLOOKUP(A5382,'[1]Tissue Data'!$A:$A,'[1]Tissue Data'!$H:$H)</f>
        <v>Lepomis</v>
      </c>
      <c r="F5382" t="str">
        <f>_xlfn.XLOOKUP(A5382,'[1]Tissue Data'!$A:$A,'[1]Tissue Data'!$I:$I)</f>
        <v>gibbosus</v>
      </c>
      <c r="G5382" t="str">
        <f>_xlfn.XLOOKUP(A5382,'[1]Tissue Data'!$A:$A,'[1]Tissue Data'!J:J)</f>
        <v>U</v>
      </c>
      <c r="H5382" t="str">
        <f>_xlfn.XLOOKUP(A5382,'[1]Tissue Data'!$A:$A,'[1]Tissue Data'!K:K)</f>
        <v>Whole Body</v>
      </c>
      <c r="I5382">
        <f>_xlfn.XLOOKUP(A5382,'[1]Tissue Data'!$A:$A,'[1]Tissue Data'!L:L)</f>
        <v>8.5</v>
      </c>
      <c r="J5382">
        <f>_xlfn.XLOOKUP(A5382,'[1]Tissue Data'!$A:$A,'[1]Tissue Data'!M:M)</f>
        <v>12.25</v>
      </c>
      <c r="K5382" t="s">
        <v>42</v>
      </c>
      <c r="L5382" t="str">
        <f>_xlfn.XLOOKUP(K5382,[2]analyte_order!$B:$B,[2]analyte_order!$C:$C)</f>
        <v>2991-50-6</v>
      </c>
      <c r="M5382">
        <f>_xlfn.XLOOKUP(L5382,[2]analyte_order!$C:$C,[2]analyte_order!$E:$E)</f>
        <v>27</v>
      </c>
      <c r="N5382">
        <v>6.0999999999999999E-2</v>
      </c>
    </row>
    <row r="5383" spans="1:14">
      <c r="A5383" t="s">
        <v>287</v>
      </c>
      <c r="B5383" t="str">
        <f>_xlfn.XLOOKUP(A5383,'[1]Tissue Data'!$A:$A,'[1]Tissue Data'!$C:$C)</f>
        <v>Spill</v>
      </c>
      <c r="C5383" s="2">
        <f>_xlfn.XLOOKUP(A5383,'[1]Tissue Data'!$A:$A,'[1]Tissue Data'!$D:$D)</f>
        <v>44393</v>
      </c>
      <c r="D5383" s="2" t="str">
        <f>_xlfn.XLOOKUP(A5383,'[1]Tissue Data'!$A:$A,'[1]Tissue Data'!$F:$F)</f>
        <v>Pumpkinseed</v>
      </c>
      <c r="E5383" t="str">
        <f>_xlfn.XLOOKUP(A5383,'[1]Tissue Data'!$A:$A,'[1]Tissue Data'!$H:$H)</f>
        <v>Lepomis</v>
      </c>
      <c r="F5383" t="str">
        <f>_xlfn.XLOOKUP(A5383,'[1]Tissue Data'!$A:$A,'[1]Tissue Data'!$I:$I)</f>
        <v>gibbosus</v>
      </c>
      <c r="G5383" t="str">
        <f>_xlfn.XLOOKUP(A5383,'[1]Tissue Data'!$A:$A,'[1]Tissue Data'!J:J)</f>
        <v>U</v>
      </c>
      <c r="H5383" t="str">
        <f>_xlfn.XLOOKUP(A5383,'[1]Tissue Data'!$A:$A,'[1]Tissue Data'!K:K)</f>
        <v>Whole Body</v>
      </c>
      <c r="I5383">
        <f>_xlfn.XLOOKUP(A5383,'[1]Tissue Data'!$A:$A,'[1]Tissue Data'!L:L)</f>
        <v>8.5</v>
      </c>
      <c r="J5383">
        <f>_xlfn.XLOOKUP(A5383,'[1]Tissue Data'!$A:$A,'[1]Tissue Data'!M:M)</f>
        <v>12.25</v>
      </c>
      <c r="K5383" t="s">
        <v>43</v>
      </c>
      <c r="L5383" t="str">
        <f>_xlfn.XLOOKUP(K5383,[2]analyte_order!$B:$B,[2]analyte_order!$C:$C)</f>
        <v>757124-72-4</v>
      </c>
      <c r="M5383">
        <f>_xlfn.XLOOKUP(L5383,[2]analyte_order!$C:$C,[2]analyte_order!$E:$E)</f>
        <v>22</v>
      </c>
      <c r="N5383">
        <v>7.0000000000000007E-2</v>
      </c>
    </row>
    <row r="5384" spans="1:14">
      <c r="A5384" t="s">
        <v>287</v>
      </c>
      <c r="B5384" t="str">
        <f>_xlfn.XLOOKUP(A5384,'[1]Tissue Data'!$A:$A,'[1]Tissue Data'!$C:$C)</f>
        <v>Spill</v>
      </c>
      <c r="C5384" s="2">
        <f>_xlfn.XLOOKUP(A5384,'[1]Tissue Data'!$A:$A,'[1]Tissue Data'!$D:$D)</f>
        <v>44393</v>
      </c>
      <c r="D5384" s="2" t="str">
        <f>_xlfn.XLOOKUP(A5384,'[1]Tissue Data'!$A:$A,'[1]Tissue Data'!$F:$F)</f>
        <v>Pumpkinseed</v>
      </c>
      <c r="E5384" t="str">
        <f>_xlfn.XLOOKUP(A5384,'[1]Tissue Data'!$A:$A,'[1]Tissue Data'!$H:$H)</f>
        <v>Lepomis</v>
      </c>
      <c r="F5384" t="str">
        <f>_xlfn.XLOOKUP(A5384,'[1]Tissue Data'!$A:$A,'[1]Tissue Data'!$I:$I)</f>
        <v>gibbosus</v>
      </c>
      <c r="G5384" t="str">
        <f>_xlfn.XLOOKUP(A5384,'[1]Tissue Data'!$A:$A,'[1]Tissue Data'!J:J)</f>
        <v>U</v>
      </c>
      <c r="H5384" t="str">
        <f>_xlfn.XLOOKUP(A5384,'[1]Tissue Data'!$A:$A,'[1]Tissue Data'!K:K)</f>
        <v>Whole Body</v>
      </c>
      <c r="I5384">
        <f>_xlfn.XLOOKUP(A5384,'[1]Tissue Data'!$A:$A,'[1]Tissue Data'!L:L)</f>
        <v>8.5</v>
      </c>
      <c r="J5384">
        <f>_xlfn.XLOOKUP(A5384,'[1]Tissue Data'!$A:$A,'[1]Tissue Data'!M:M)</f>
        <v>12.25</v>
      </c>
      <c r="K5384" t="s">
        <v>44</v>
      </c>
      <c r="L5384" t="str">
        <f>_xlfn.XLOOKUP(K5384,[2]analyte_order!$B:$B,[2]analyte_order!$C:$C)</f>
        <v>27619-97-2</v>
      </c>
      <c r="M5384">
        <f>_xlfn.XLOOKUP(L5384,[2]analyte_order!$C:$C,[2]analyte_order!$E:$E)</f>
        <v>23</v>
      </c>
      <c r="N5384">
        <v>1.0900000000000001</v>
      </c>
    </row>
    <row r="5385" spans="1:14">
      <c r="A5385" t="s">
        <v>287</v>
      </c>
      <c r="B5385" t="str">
        <f>_xlfn.XLOOKUP(A5385,'[1]Tissue Data'!$A:$A,'[1]Tissue Data'!$C:$C)</f>
        <v>Spill</v>
      </c>
      <c r="C5385" s="2">
        <f>_xlfn.XLOOKUP(A5385,'[1]Tissue Data'!$A:$A,'[1]Tissue Data'!$D:$D)</f>
        <v>44393</v>
      </c>
      <c r="D5385" s="2" t="str">
        <f>_xlfn.XLOOKUP(A5385,'[1]Tissue Data'!$A:$A,'[1]Tissue Data'!$F:$F)</f>
        <v>Pumpkinseed</v>
      </c>
      <c r="E5385" t="str">
        <f>_xlfn.XLOOKUP(A5385,'[1]Tissue Data'!$A:$A,'[1]Tissue Data'!$H:$H)</f>
        <v>Lepomis</v>
      </c>
      <c r="F5385" t="str">
        <f>_xlfn.XLOOKUP(A5385,'[1]Tissue Data'!$A:$A,'[1]Tissue Data'!$I:$I)</f>
        <v>gibbosus</v>
      </c>
      <c r="G5385" t="str">
        <f>_xlfn.XLOOKUP(A5385,'[1]Tissue Data'!$A:$A,'[1]Tissue Data'!J:J)</f>
        <v>U</v>
      </c>
      <c r="H5385" t="str">
        <f>_xlfn.XLOOKUP(A5385,'[1]Tissue Data'!$A:$A,'[1]Tissue Data'!K:K)</f>
        <v>Whole Body</v>
      </c>
      <c r="I5385">
        <f>_xlfn.XLOOKUP(A5385,'[1]Tissue Data'!$A:$A,'[1]Tissue Data'!L:L)</f>
        <v>8.5</v>
      </c>
      <c r="J5385">
        <f>_xlfn.XLOOKUP(A5385,'[1]Tissue Data'!$A:$A,'[1]Tissue Data'!M:M)</f>
        <v>12.25</v>
      </c>
      <c r="K5385" t="s">
        <v>45</v>
      </c>
      <c r="L5385" t="str">
        <f>_xlfn.XLOOKUP(K5385,[2]analyte_order!$B:$B,[2]analyte_order!$C:$C)</f>
        <v>39108-34-4</v>
      </c>
      <c r="M5385">
        <f>_xlfn.XLOOKUP(L5385,[2]analyte_order!$C:$C,[2]analyte_order!$E:$E)</f>
        <v>24</v>
      </c>
      <c r="N5385">
        <v>7.86</v>
      </c>
    </row>
    <row r="5386" spans="1:14">
      <c r="A5386" t="s">
        <v>287</v>
      </c>
      <c r="B5386" t="str">
        <f>_xlfn.XLOOKUP(A5386,'[1]Tissue Data'!$A:$A,'[1]Tissue Data'!$C:$C)</f>
        <v>Spill</v>
      </c>
      <c r="C5386" s="2">
        <f>_xlfn.XLOOKUP(A5386,'[1]Tissue Data'!$A:$A,'[1]Tissue Data'!$D:$D)</f>
        <v>44393</v>
      </c>
      <c r="D5386" s="2" t="str">
        <f>_xlfn.XLOOKUP(A5386,'[1]Tissue Data'!$A:$A,'[1]Tissue Data'!$F:$F)</f>
        <v>Pumpkinseed</v>
      </c>
      <c r="E5386" t="str">
        <f>_xlfn.XLOOKUP(A5386,'[1]Tissue Data'!$A:$A,'[1]Tissue Data'!$H:$H)</f>
        <v>Lepomis</v>
      </c>
      <c r="F5386" t="str">
        <f>_xlfn.XLOOKUP(A5386,'[1]Tissue Data'!$A:$A,'[1]Tissue Data'!$I:$I)</f>
        <v>gibbosus</v>
      </c>
      <c r="G5386" t="str">
        <f>_xlfn.XLOOKUP(A5386,'[1]Tissue Data'!$A:$A,'[1]Tissue Data'!J:J)</f>
        <v>U</v>
      </c>
      <c r="H5386" t="str">
        <f>_xlfn.XLOOKUP(A5386,'[1]Tissue Data'!$A:$A,'[1]Tissue Data'!K:K)</f>
        <v>Whole Body</v>
      </c>
      <c r="I5386">
        <f>_xlfn.XLOOKUP(A5386,'[1]Tissue Data'!$A:$A,'[1]Tissue Data'!L:L)</f>
        <v>8.5</v>
      </c>
      <c r="J5386">
        <f>_xlfn.XLOOKUP(A5386,'[1]Tissue Data'!$A:$A,'[1]Tissue Data'!M:M)</f>
        <v>12.25</v>
      </c>
      <c r="K5386" t="s">
        <v>46</v>
      </c>
      <c r="L5386" t="str">
        <f>_xlfn.XLOOKUP(K5386,[2]analyte_order!$B:$B,[2]analyte_order!$C:$C)</f>
        <v>120226-60-0</v>
      </c>
      <c r="M5386">
        <f>_xlfn.XLOOKUP(L5386,[2]analyte_order!$C:$C,[2]analyte_order!$E:$E)</f>
        <v>25</v>
      </c>
      <c r="N5386">
        <v>0.26250000000000001</v>
      </c>
    </row>
    <row r="5387" spans="1:14">
      <c r="A5387" t="s">
        <v>287</v>
      </c>
      <c r="B5387" t="str">
        <f>_xlfn.XLOOKUP(A5387,'[1]Tissue Data'!$A:$A,'[1]Tissue Data'!$C:$C)</f>
        <v>Spill</v>
      </c>
      <c r="C5387" s="2">
        <f>_xlfn.XLOOKUP(A5387,'[1]Tissue Data'!$A:$A,'[1]Tissue Data'!$D:$D)</f>
        <v>44393</v>
      </c>
      <c r="D5387" s="2" t="str">
        <f>_xlfn.XLOOKUP(A5387,'[1]Tissue Data'!$A:$A,'[1]Tissue Data'!$F:$F)</f>
        <v>Pumpkinseed</v>
      </c>
      <c r="E5387" t="str">
        <f>_xlfn.XLOOKUP(A5387,'[1]Tissue Data'!$A:$A,'[1]Tissue Data'!$H:$H)</f>
        <v>Lepomis</v>
      </c>
      <c r="F5387" t="str">
        <f>_xlfn.XLOOKUP(A5387,'[1]Tissue Data'!$A:$A,'[1]Tissue Data'!$I:$I)</f>
        <v>gibbosus</v>
      </c>
      <c r="G5387" t="str">
        <f>_xlfn.XLOOKUP(A5387,'[1]Tissue Data'!$A:$A,'[1]Tissue Data'!J:J)</f>
        <v>U</v>
      </c>
      <c r="H5387" t="str">
        <f>_xlfn.XLOOKUP(A5387,'[1]Tissue Data'!$A:$A,'[1]Tissue Data'!K:K)</f>
        <v>Whole Body</v>
      </c>
      <c r="I5387">
        <f>_xlfn.XLOOKUP(A5387,'[1]Tissue Data'!$A:$A,'[1]Tissue Data'!L:L)</f>
        <v>8.5</v>
      </c>
      <c r="J5387">
        <f>_xlfn.XLOOKUP(A5387,'[1]Tissue Data'!$A:$A,'[1]Tissue Data'!M:M)</f>
        <v>12.25</v>
      </c>
      <c r="K5387" t="s">
        <v>47</v>
      </c>
      <c r="L5387" t="str">
        <f>_xlfn.XLOOKUP(K5387,[2]analyte_order!$B:$B,[2]analyte_order!$C:$C)</f>
        <v>356-02-5</v>
      </c>
      <c r="M5387">
        <f>_xlfn.XLOOKUP(L5387,[2]analyte_order!$C:$C,[2]analyte_order!$E:$E)</f>
        <v>38</v>
      </c>
      <c r="N5387">
        <v>8.1000000000000003E-2</v>
      </c>
    </row>
    <row r="5388" spans="1:14">
      <c r="A5388" t="s">
        <v>287</v>
      </c>
      <c r="B5388" t="str">
        <f>_xlfn.XLOOKUP(A5388,'[1]Tissue Data'!$A:$A,'[1]Tissue Data'!$C:$C)</f>
        <v>Spill</v>
      </c>
      <c r="C5388" s="2">
        <f>_xlfn.XLOOKUP(A5388,'[1]Tissue Data'!$A:$A,'[1]Tissue Data'!$D:$D)</f>
        <v>44393</v>
      </c>
      <c r="D5388" s="2" t="str">
        <f>_xlfn.XLOOKUP(A5388,'[1]Tissue Data'!$A:$A,'[1]Tissue Data'!$F:$F)</f>
        <v>Pumpkinseed</v>
      </c>
      <c r="E5388" t="str">
        <f>_xlfn.XLOOKUP(A5388,'[1]Tissue Data'!$A:$A,'[1]Tissue Data'!$H:$H)</f>
        <v>Lepomis</v>
      </c>
      <c r="F5388" t="str">
        <f>_xlfn.XLOOKUP(A5388,'[1]Tissue Data'!$A:$A,'[1]Tissue Data'!$I:$I)</f>
        <v>gibbosus</v>
      </c>
      <c r="G5388" t="str">
        <f>_xlfn.XLOOKUP(A5388,'[1]Tissue Data'!$A:$A,'[1]Tissue Data'!J:J)</f>
        <v>U</v>
      </c>
      <c r="H5388" t="str">
        <f>_xlfn.XLOOKUP(A5388,'[1]Tissue Data'!$A:$A,'[1]Tissue Data'!K:K)</f>
        <v>Whole Body</v>
      </c>
      <c r="I5388">
        <f>_xlfn.XLOOKUP(A5388,'[1]Tissue Data'!$A:$A,'[1]Tissue Data'!L:L)</f>
        <v>8.5</v>
      </c>
      <c r="J5388">
        <f>_xlfn.XLOOKUP(A5388,'[1]Tissue Data'!$A:$A,'[1]Tissue Data'!M:M)</f>
        <v>12.25</v>
      </c>
      <c r="K5388" t="s">
        <v>48</v>
      </c>
      <c r="L5388" t="str">
        <f>_xlfn.XLOOKUP(K5388,[2]analyte_order!$B:$B,[2]analyte_order!$C:$C)</f>
        <v>914637-49-3</v>
      </c>
      <c r="M5388">
        <f>_xlfn.XLOOKUP(L5388,[2]analyte_order!$C:$C,[2]analyte_order!$E:$E)</f>
        <v>39</v>
      </c>
      <c r="N5388">
        <v>5.2999999999999999E-2</v>
      </c>
    </row>
    <row r="5389" spans="1:14">
      <c r="A5389" t="s">
        <v>287</v>
      </c>
      <c r="B5389" t="str">
        <f>_xlfn.XLOOKUP(A5389,'[1]Tissue Data'!$A:$A,'[1]Tissue Data'!$C:$C)</f>
        <v>Spill</v>
      </c>
      <c r="C5389" s="2">
        <f>_xlfn.XLOOKUP(A5389,'[1]Tissue Data'!$A:$A,'[1]Tissue Data'!$D:$D)</f>
        <v>44393</v>
      </c>
      <c r="D5389" s="2" t="str">
        <f>_xlfn.XLOOKUP(A5389,'[1]Tissue Data'!$A:$A,'[1]Tissue Data'!$F:$F)</f>
        <v>Pumpkinseed</v>
      </c>
      <c r="E5389" t="str">
        <f>_xlfn.XLOOKUP(A5389,'[1]Tissue Data'!$A:$A,'[1]Tissue Data'!$H:$H)</f>
        <v>Lepomis</v>
      </c>
      <c r="F5389" t="str">
        <f>_xlfn.XLOOKUP(A5389,'[1]Tissue Data'!$A:$A,'[1]Tissue Data'!$I:$I)</f>
        <v>gibbosus</v>
      </c>
      <c r="G5389" t="str">
        <f>_xlfn.XLOOKUP(A5389,'[1]Tissue Data'!$A:$A,'[1]Tissue Data'!J:J)</f>
        <v>U</v>
      </c>
      <c r="H5389" t="str">
        <f>_xlfn.XLOOKUP(A5389,'[1]Tissue Data'!$A:$A,'[1]Tissue Data'!K:K)</f>
        <v>Whole Body</v>
      </c>
      <c r="I5389">
        <f>_xlfn.XLOOKUP(A5389,'[1]Tissue Data'!$A:$A,'[1]Tissue Data'!L:L)</f>
        <v>8.5</v>
      </c>
      <c r="J5389">
        <f>_xlfn.XLOOKUP(A5389,'[1]Tissue Data'!$A:$A,'[1]Tissue Data'!M:M)</f>
        <v>12.25</v>
      </c>
      <c r="K5389" t="s">
        <v>49</v>
      </c>
      <c r="L5389" t="str">
        <f>_xlfn.XLOOKUP(K5389,[2]analyte_order!$B:$B,[2]analyte_order!$C:$C)</f>
        <v>812-70-4</v>
      </c>
      <c r="M5389">
        <f>_xlfn.XLOOKUP(L5389,[2]analyte_order!$C:$C,[2]analyte_order!$E:$E)</f>
        <v>40</v>
      </c>
      <c r="N5389">
        <v>2.0699999999999998</v>
      </c>
    </row>
    <row r="5390" spans="1:14">
      <c r="A5390" t="s">
        <v>287</v>
      </c>
      <c r="B5390" t="str">
        <f>_xlfn.XLOOKUP(A5390,'[1]Tissue Data'!$A:$A,'[1]Tissue Data'!$C:$C)</f>
        <v>Spill</v>
      </c>
      <c r="C5390" s="2">
        <f>_xlfn.XLOOKUP(A5390,'[1]Tissue Data'!$A:$A,'[1]Tissue Data'!$D:$D)</f>
        <v>44393</v>
      </c>
      <c r="D5390" s="2" t="str">
        <f>_xlfn.XLOOKUP(A5390,'[1]Tissue Data'!$A:$A,'[1]Tissue Data'!$F:$F)</f>
        <v>Pumpkinseed</v>
      </c>
      <c r="E5390" t="str">
        <f>_xlfn.XLOOKUP(A5390,'[1]Tissue Data'!$A:$A,'[1]Tissue Data'!$H:$H)</f>
        <v>Lepomis</v>
      </c>
      <c r="F5390" t="str">
        <f>_xlfn.XLOOKUP(A5390,'[1]Tissue Data'!$A:$A,'[1]Tissue Data'!$I:$I)</f>
        <v>gibbosus</v>
      </c>
      <c r="G5390" t="str">
        <f>_xlfn.XLOOKUP(A5390,'[1]Tissue Data'!$A:$A,'[1]Tissue Data'!J:J)</f>
        <v>U</v>
      </c>
      <c r="H5390" t="str">
        <f>_xlfn.XLOOKUP(A5390,'[1]Tissue Data'!$A:$A,'[1]Tissue Data'!K:K)</f>
        <v>Whole Body</v>
      </c>
      <c r="I5390">
        <f>_xlfn.XLOOKUP(A5390,'[1]Tissue Data'!$A:$A,'[1]Tissue Data'!L:L)</f>
        <v>8.5</v>
      </c>
      <c r="J5390">
        <f>_xlfn.XLOOKUP(A5390,'[1]Tissue Data'!$A:$A,'[1]Tissue Data'!M:M)</f>
        <v>12.25</v>
      </c>
      <c r="K5390" t="s">
        <v>50</v>
      </c>
      <c r="L5390" t="str">
        <f>_xlfn.XLOOKUP(K5390,[2]analyte_order!$B:$B,[2]analyte_order!$C:$C)</f>
        <v>53826-12-3</v>
      </c>
      <c r="M5390">
        <f>_xlfn.XLOOKUP(L5390,[2]analyte_order!$C:$C,[2]analyte_order!$E:$E)</f>
        <v>41</v>
      </c>
      <c r="N5390">
        <v>7.0000000000000007E-2</v>
      </c>
    </row>
    <row r="5391" spans="1:14">
      <c r="A5391" t="s">
        <v>287</v>
      </c>
      <c r="B5391" t="str">
        <f>_xlfn.XLOOKUP(A5391,'[1]Tissue Data'!$A:$A,'[1]Tissue Data'!$C:$C)</f>
        <v>Spill</v>
      </c>
      <c r="C5391" s="2">
        <f>_xlfn.XLOOKUP(A5391,'[1]Tissue Data'!$A:$A,'[1]Tissue Data'!$D:$D)</f>
        <v>44393</v>
      </c>
      <c r="D5391" s="2" t="str">
        <f>_xlfn.XLOOKUP(A5391,'[1]Tissue Data'!$A:$A,'[1]Tissue Data'!$F:$F)</f>
        <v>Pumpkinseed</v>
      </c>
      <c r="E5391" t="str">
        <f>_xlfn.XLOOKUP(A5391,'[1]Tissue Data'!$A:$A,'[1]Tissue Data'!$H:$H)</f>
        <v>Lepomis</v>
      </c>
      <c r="F5391" t="str">
        <f>_xlfn.XLOOKUP(A5391,'[1]Tissue Data'!$A:$A,'[1]Tissue Data'!$I:$I)</f>
        <v>gibbosus</v>
      </c>
      <c r="G5391" t="str">
        <f>_xlfn.XLOOKUP(A5391,'[1]Tissue Data'!$A:$A,'[1]Tissue Data'!J:J)</f>
        <v>U</v>
      </c>
      <c r="H5391" t="str">
        <f>_xlfn.XLOOKUP(A5391,'[1]Tissue Data'!$A:$A,'[1]Tissue Data'!K:K)</f>
        <v>Whole Body</v>
      </c>
      <c r="I5391">
        <f>_xlfn.XLOOKUP(A5391,'[1]Tissue Data'!$A:$A,'[1]Tissue Data'!L:L)</f>
        <v>8.5</v>
      </c>
      <c r="J5391">
        <f>_xlfn.XLOOKUP(A5391,'[1]Tissue Data'!$A:$A,'[1]Tissue Data'!M:M)</f>
        <v>12.25</v>
      </c>
      <c r="K5391" t="s">
        <v>51</v>
      </c>
      <c r="L5391" t="str">
        <f>_xlfn.XLOOKUP(K5391,[2]analyte_order!$B:$B,[2]analyte_order!$C:$C)</f>
        <v>27854-31-5</v>
      </c>
      <c r="M5391">
        <f>_xlfn.XLOOKUP(L5391,[2]analyte_order!$C:$C,[2]analyte_order!$E:$E)</f>
        <v>42</v>
      </c>
      <c r="N5391">
        <v>7.0000000000000007E-2</v>
      </c>
    </row>
    <row r="5392" spans="1:14">
      <c r="A5392" t="s">
        <v>287</v>
      </c>
      <c r="B5392" t="str">
        <f>_xlfn.XLOOKUP(A5392,'[1]Tissue Data'!$A:$A,'[1]Tissue Data'!$C:$C)</f>
        <v>Spill</v>
      </c>
      <c r="C5392" s="2">
        <f>_xlfn.XLOOKUP(A5392,'[1]Tissue Data'!$A:$A,'[1]Tissue Data'!$D:$D)</f>
        <v>44393</v>
      </c>
      <c r="D5392" s="2" t="str">
        <f>_xlfn.XLOOKUP(A5392,'[1]Tissue Data'!$A:$A,'[1]Tissue Data'!$F:$F)</f>
        <v>Pumpkinseed</v>
      </c>
      <c r="E5392" t="str">
        <f>_xlfn.XLOOKUP(A5392,'[1]Tissue Data'!$A:$A,'[1]Tissue Data'!$H:$H)</f>
        <v>Lepomis</v>
      </c>
      <c r="F5392" t="str">
        <f>_xlfn.XLOOKUP(A5392,'[1]Tissue Data'!$A:$A,'[1]Tissue Data'!$I:$I)</f>
        <v>gibbosus</v>
      </c>
      <c r="G5392" t="str">
        <f>_xlfn.XLOOKUP(A5392,'[1]Tissue Data'!$A:$A,'[1]Tissue Data'!J:J)</f>
        <v>U</v>
      </c>
      <c r="H5392" t="str">
        <f>_xlfn.XLOOKUP(A5392,'[1]Tissue Data'!$A:$A,'[1]Tissue Data'!K:K)</f>
        <v>Whole Body</v>
      </c>
      <c r="I5392">
        <f>_xlfn.XLOOKUP(A5392,'[1]Tissue Data'!$A:$A,'[1]Tissue Data'!L:L)</f>
        <v>8.5</v>
      </c>
      <c r="J5392">
        <f>_xlfn.XLOOKUP(A5392,'[1]Tissue Data'!$A:$A,'[1]Tissue Data'!M:M)</f>
        <v>12.25</v>
      </c>
      <c r="K5392" t="s">
        <v>52</v>
      </c>
      <c r="L5392" t="str">
        <f>_xlfn.XLOOKUP(K5392,[2]analyte_order!$B:$B,[2]analyte_order!$C:$C)</f>
        <v>53826-13-4</v>
      </c>
      <c r="M5392">
        <f>_xlfn.XLOOKUP(L5392,[2]analyte_order!$C:$C,[2]analyte_order!$E:$E)</f>
        <v>43</v>
      </c>
      <c r="N5392">
        <v>0.1045</v>
      </c>
    </row>
    <row r="5393" spans="1:14">
      <c r="A5393" t="s">
        <v>287</v>
      </c>
      <c r="B5393" t="str">
        <f>_xlfn.XLOOKUP(A5393,'[1]Tissue Data'!$A:$A,'[1]Tissue Data'!$C:$C)</f>
        <v>Spill</v>
      </c>
      <c r="C5393" s="2">
        <f>_xlfn.XLOOKUP(A5393,'[1]Tissue Data'!$A:$A,'[1]Tissue Data'!$D:$D)</f>
        <v>44393</v>
      </c>
      <c r="D5393" s="2" t="str">
        <f>_xlfn.XLOOKUP(A5393,'[1]Tissue Data'!$A:$A,'[1]Tissue Data'!$F:$F)</f>
        <v>Pumpkinseed</v>
      </c>
      <c r="E5393" t="str">
        <f>_xlfn.XLOOKUP(A5393,'[1]Tissue Data'!$A:$A,'[1]Tissue Data'!$H:$H)</f>
        <v>Lepomis</v>
      </c>
      <c r="F5393" t="str">
        <f>_xlfn.XLOOKUP(A5393,'[1]Tissue Data'!$A:$A,'[1]Tissue Data'!$I:$I)</f>
        <v>gibbosus</v>
      </c>
      <c r="G5393" t="str">
        <f>_xlfn.XLOOKUP(A5393,'[1]Tissue Data'!$A:$A,'[1]Tissue Data'!J:J)</f>
        <v>U</v>
      </c>
      <c r="H5393" t="str">
        <f>_xlfn.XLOOKUP(A5393,'[1]Tissue Data'!$A:$A,'[1]Tissue Data'!K:K)</f>
        <v>Whole Body</v>
      </c>
      <c r="I5393">
        <f>_xlfn.XLOOKUP(A5393,'[1]Tissue Data'!$A:$A,'[1]Tissue Data'!L:L)</f>
        <v>8.5</v>
      </c>
      <c r="J5393">
        <f>_xlfn.XLOOKUP(A5393,'[1]Tissue Data'!$A:$A,'[1]Tissue Data'!M:M)</f>
        <v>12.25</v>
      </c>
      <c r="K5393" t="s">
        <v>53</v>
      </c>
      <c r="L5393" t="str">
        <f>_xlfn.XLOOKUP(K5393,[2]analyte_order!$B:$B,[2]analyte_order!$C:$C)</f>
        <v>161094-75-3</v>
      </c>
      <c r="M5393">
        <f>_xlfn.XLOOKUP(L5393,[2]analyte_order!$C:$C,[2]analyte_order!$E:$E)</f>
        <v>44</v>
      </c>
      <c r="N5393">
        <v>5.5E-2</v>
      </c>
    </row>
    <row r="5394" spans="1:14">
      <c r="A5394" t="s">
        <v>287</v>
      </c>
      <c r="B5394" t="str">
        <f>_xlfn.XLOOKUP(A5394,'[1]Tissue Data'!$A:$A,'[1]Tissue Data'!$C:$C)</f>
        <v>Spill</v>
      </c>
      <c r="C5394" s="2">
        <f>_xlfn.XLOOKUP(A5394,'[1]Tissue Data'!$A:$A,'[1]Tissue Data'!$D:$D)</f>
        <v>44393</v>
      </c>
      <c r="D5394" s="2" t="str">
        <f>_xlfn.XLOOKUP(A5394,'[1]Tissue Data'!$A:$A,'[1]Tissue Data'!$F:$F)</f>
        <v>Pumpkinseed</v>
      </c>
      <c r="E5394" t="str">
        <f>_xlfn.XLOOKUP(A5394,'[1]Tissue Data'!$A:$A,'[1]Tissue Data'!$H:$H)</f>
        <v>Lepomis</v>
      </c>
      <c r="F5394" t="str">
        <f>_xlfn.XLOOKUP(A5394,'[1]Tissue Data'!$A:$A,'[1]Tissue Data'!$I:$I)</f>
        <v>gibbosus</v>
      </c>
      <c r="G5394" t="str">
        <f>_xlfn.XLOOKUP(A5394,'[1]Tissue Data'!$A:$A,'[1]Tissue Data'!J:J)</f>
        <v>U</v>
      </c>
      <c r="H5394" t="str">
        <f>_xlfn.XLOOKUP(A5394,'[1]Tissue Data'!$A:$A,'[1]Tissue Data'!K:K)</f>
        <v>Whole Body</v>
      </c>
      <c r="I5394">
        <f>_xlfn.XLOOKUP(A5394,'[1]Tissue Data'!$A:$A,'[1]Tissue Data'!L:L)</f>
        <v>8.5</v>
      </c>
      <c r="J5394">
        <f>_xlfn.XLOOKUP(A5394,'[1]Tissue Data'!$A:$A,'[1]Tissue Data'!M:M)</f>
        <v>12.25</v>
      </c>
      <c r="K5394" t="s">
        <v>54</v>
      </c>
      <c r="L5394" t="str">
        <f>_xlfn.XLOOKUP(K5394,[2]analyte_order!$B:$B,[2]analyte_order!$C:$C)</f>
        <v>70887-84-2</v>
      </c>
      <c r="M5394">
        <f>_xlfn.XLOOKUP(L5394,[2]analyte_order!$C:$C,[2]analyte_order!$E:$E)</f>
        <v>45</v>
      </c>
      <c r="N5394">
        <v>4.2349999999999999E-2</v>
      </c>
    </row>
    <row r="5395" spans="1:14">
      <c r="A5395" t="s">
        <v>287</v>
      </c>
      <c r="B5395" t="str">
        <f>_xlfn.XLOOKUP(A5395,'[1]Tissue Data'!$A:$A,'[1]Tissue Data'!$C:$C)</f>
        <v>Spill</v>
      </c>
      <c r="C5395" s="2">
        <f>_xlfn.XLOOKUP(A5395,'[1]Tissue Data'!$A:$A,'[1]Tissue Data'!$D:$D)</f>
        <v>44393</v>
      </c>
      <c r="D5395" s="2" t="str">
        <f>_xlfn.XLOOKUP(A5395,'[1]Tissue Data'!$A:$A,'[1]Tissue Data'!$F:$F)</f>
        <v>Pumpkinseed</v>
      </c>
      <c r="E5395" t="str">
        <f>_xlfn.XLOOKUP(A5395,'[1]Tissue Data'!$A:$A,'[1]Tissue Data'!$H:$H)</f>
        <v>Lepomis</v>
      </c>
      <c r="F5395" t="str">
        <f>_xlfn.XLOOKUP(A5395,'[1]Tissue Data'!$A:$A,'[1]Tissue Data'!$I:$I)</f>
        <v>gibbosus</v>
      </c>
      <c r="G5395" t="str">
        <f>_xlfn.XLOOKUP(A5395,'[1]Tissue Data'!$A:$A,'[1]Tissue Data'!J:J)</f>
        <v>U</v>
      </c>
      <c r="H5395" t="str">
        <f>_xlfn.XLOOKUP(A5395,'[1]Tissue Data'!$A:$A,'[1]Tissue Data'!K:K)</f>
        <v>Whole Body</v>
      </c>
      <c r="I5395">
        <f>_xlfn.XLOOKUP(A5395,'[1]Tissue Data'!$A:$A,'[1]Tissue Data'!L:L)</f>
        <v>8.5</v>
      </c>
      <c r="J5395">
        <f>_xlfn.XLOOKUP(A5395,'[1]Tissue Data'!$A:$A,'[1]Tissue Data'!M:M)</f>
        <v>12.25</v>
      </c>
      <c r="K5395" t="s">
        <v>55</v>
      </c>
      <c r="L5395" t="str">
        <f>_xlfn.XLOOKUP(K5395,[2]analyte_order!$B:$B,[2]analyte_order!$C:$C)</f>
        <v>919005-14-4</v>
      </c>
      <c r="M5395">
        <f>_xlfn.XLOOKUP(L5395,[2]analyte_order!$C:$C,[2]analyte_order!$E:$E)</f>
        <v>35</v>
      </c>
      <c r="N5395">
        <v>6.2E-2</v>
      </c>
    </row>
    <row r="5396" spans="1:14">
      <c r="A5396" t="s">
        <v>287</v>
      </c>
      <c r="B5396" t="str">
        <f>_xlfn.XLOOKUP(A5396,'[1]Tissue Data'!$A:$A,'[1]Tissue Data'!$C:$C)</f>
        <v>Spill</v>
      </c>
      <c r="C5396" s="2">
        <f>_xlfn.XLOOKUP(A5396,'[1]Tissue Data'!$A:$A,'[1]Tissue Data'!$D:$D)</f>
        <v>44393</v>
      </c>
      <c r="D5396" s="2" t="str">
        <f>_xlfn.XLOOKUP(A5396,'[1]Tissue Data'!$A:$A,'[1]Tissue Data'!$F:$F)</f>
        <v>Pumpkinseed</v>
      </c>
      <c r="E5396" t="str">
        <f>_xlfn.XLOOKUP(A5396,'[1]Tissue Data'!$A:$A,'[1]Tissue Data'!$H:$H)</f>
        <v>Lepomis</v>
      </c>
      <c r="F5396" t="str">
        <f>_xlfn.XLOOKUP(A5396,'[1]Tissue Data'!$A:$A,'[1]Tissue Data'!$I:$I)</f>
        <v>gibbosus</v>
      </c>
      <c r="G5396" t="str">
        <f>_xlfn.XLOOKUP(A5396,'[1]Tissue Data'!$A:$A,'[1]Tissue Data'!J:J)</f>
        <v>U</v>
      </c>
      <c r="H5396" t="str">
        <f>_xlfn.XLOOKUP(A5396,'[1]Tissue Data'!$A:$A,'[1]Tissue Data'!K:K)</f>
        <v>Whole Body</v>
      </c>
      <c r="I5396">
        <f>_xlfn.XLOOKUP(A5396,'[1]Tissue Data'!$A:$A,'[1]Tissue Data'!L:L)</f>
        <v>8.5</v>
      </c>
      <c r="J5396">
        <f>_xlfn.XLOOKUP(A5396,'[1]Tissue Data'!$A:$A,'[1]Tissue Data'!M:M)</f>
        <v>12.25</v>
      </c>
      <c r="K5396" t="s">
        <v>56</v>
      </c>
      <c r="L5396" t="str">
        <f>_xlfn.XLOOKUP(K5396,[2]analyte_order!$B:$B,[2]analyte_order!$C:$C)</f>
        <v>756426-58-1</v>
      </c>
      <c r="M5396">
        <f>_xlfn.XLOOKUP(L5396,[2]analyte_order!$C:$C,[2]analyte_order!$E:$E)</f>
        <v>36</v>
      </c>
      <c r="N5396">
        <v>7.0000000000000007E-2</v>
      </c>
    </row>
    <row r="5397" spans="1:14">
      <c r="A5397" t="s">
        <v>287</v>
      </c>
      <c r="B5397" t="str">
        <f>_xlfn.XLOOKUP(A5397,'[1]Tissue Data'!$A:$A,'[1]Tissue Data'!$C:$C)</f>
        <v>Spill</v>
      </c>
      <c r="C5397" s="2">
        <f>_xlfn.XLOOKUP(A5397,'[1]Tissue Data'!$A:$A,'[1]Tissue Data'!$D:$D)</f>
        <v>44393</v>
      </c>
      <c r="D5397" s="2" t="str">
        <f>_xlfn.XLOOKUP(A5397,'[1]Tissue Data'!$A:$A,'[1]Tissue Data'!$F:$F)</f>
        <v>Pumpkinseed</v>
      </c>
      <c r="E5397" t="str">
        <f>_xlfn.XLOOKUP(A5397,'[1]Tissue Data'!$A:$A,'[1]Tissue Data'!$H:$H)</f>
        <v>Lepomis</v>
      </c>
      <c r="F5397" t="str">
        <f>_xlfn.XLOOKUP(A5397,'[1]Tissue Data'!$A:$A,'[1]Tissue Data'!$I:$I)</f>
        <v>gibbosus</v>
      </c>
      <c r="G5397" t="str">
        <f>_xlfn.XLOOKUP(A5397,'[1]Tissue Data'!$A:$A,'[1]Tissue Data'!J:J)</f>
        <v>U</v>
      </c>
      <c r="H5397" t="str">
        <f>_xlfn.XLOOKUP(A5397,'[1]Tissue Data'!$A:$A,'[1]Tissue Data'!K:K)</f>
        <v>Whole Body</v>
      </c>
      <c r="I5397">
        <f>_xlfn.XLOOKUP(A5397,'[1]Tissue Data'!$A:$A,'[1]Tissue Data'!L:L)</f>
        <v>8.5</v>
      </c>
      <c r="J5397">
        <f>_xlfn.XLOOKUP(A5397,'[1]Tissue Data'!$A:$A,'[1]Tissue Data'!M:M)</f>
        <v>12.25</v>
      </c>
      <c r="K5397" t="s">
        <v>57</v>
      </c>
      <c r="L5397" t="str">
        <f>_xlfn.XLOOKUP(K5397,[2]analyte_order!$B:$B,[2]analyte_order!$C:$C)</f>
        <v>763051-92-9</v>
      </c>
      <c r="M5397">
        <f>_xlfn.XLOOKUP(L5397,[2]analyte_order!$C:$C,[2]analyte_order!$E:$E)</f>
        <v>37</v>
      </c>
      <c r="N5397">
        <v>7.0000000000000007E-2</v>
      </c>
    </row>
    <row r="5398" spans="1:14">
      <c r="A5398" t="s">
        <v>287</v>
      </c>
      <c r="B5398" t="str">
        <f>_xlfn.XLOOKUP(A5398,'[1]Tissue Data'!$A:$A,'[1]Tissue Data'!$C:$C)</f>
        <v>Spill</v>
      </c>
      <c r="C5398" s="2">
        <f>_xlfn.XLOOKUP(A5398,'[1]Tissue Data'!$A:$A,'[1]Tissue Data'!$D:$D)</f>
        <v>44393</v>
      </c>
      <c r="D5398" s="2" t="str">
        <f>_xlfn.XLOOKUP(A5398,'[1]Tissue Data'!$A:$A,'[1]Tissue Data'!$F:$F)</f>
        <v>Pumpkinseed</v>
      </c>
      <c r="E5398" t="str">
        <f>_xlfn.XLOOKUP(A5398,'[1]Tissue Data'!$A:$A,'[1]Tissue Data'!$H:$H)</f>
        <v>Lepomis</v>
      </c>
      <c r="F5398" t="str">
        <f>_xlfn.XLOOKUP(A5398,'[1]Tissue Data'!$A:$A,'[1]Tissue Data'!$I:$I)</f>
        <v>gibbosus</v>
      </c>
      <c r="G5398" t="str">
        <f>_xlfn.XLOOKUP(A5398,'[1]Tissue Data'!$A:$A,'[1]Tissue Data'!J:J)</f>
        <v>U</v>
      </c>
      <c r="H5398" t="str">
        <f>_xlfn.XLOOKUP(A5398,'[1]Tissue Data'!$A:$A,'[1]Tissue Data'!K:K)</f>
        <v>Whole Body</v>
      </c>
      <c r="I5398">
        <f>_xlfn.XLOOKUP(A5398,'[1]Tissue Data'!$A:$A,'[1]Tissue Data'!L:L)</f>
        <v>8.5</v>
      </c>
      <c r="J5398">
        <f>_xlfn.XLOOKUP(A5398,'[1]Tissue Data'!$A:$A,'[1]Tissue Data'!M:M)</f>
        <v>12.25</v>
      </c>
      <c r="K5398" t="s">
        <v>58</v>
      </c>
      <c r="L5398" t="str">
        <f>_xlfn.XLOOKUP(K5398,[2]analyte_order!$B:$B,[2]analyte_order!$C:$C)</f>
        <v>13252-13-6</v>
      </c>
      <c r="M5398">
        <f>_xlfn.XLOOKUP(L5398,[2]analyte_order!$C:$C,[2]analyte_order!$E:$E)</f>
        <v>34</v>
      </c>
      <c r="N5398">
        <v>0.10050000000000001</v>
      </c>
    </row>
    <row r="5399" spans="1:14">
      <c r="A5399" t="s">
        <v>287</v>
      </c>
      <c r="B5399" t="str">
        <f>_xlfn.XLOOKUP(A5399,'[1]Tissue Data'!$A:$A,'[1]Tissue Data'!$C:$C)</f>
        <v>Spill</v>
      </c>
      <c r="C5399" s="2">
        <f>_xlfn.XLOOKUP(A5399,'[1]Tissue Data'!$A:$A,'[1]Tissue Data'!$D:$D)</f>
        <v>44393</v>
      </c>
      <c r="D5399" s="2" t="str">
        <f>_xlfn.XLOOKUP(A5399,'[1]Tissue Data'!$A:$A,'[1]Tissue Data'!$F:$F)</f>
        <v>Pumpkinseed</v>
      </c>
      <c r="E5399" t="str">
        <f>_xlfn.XLOOKUP(A5399,'[1]Tissue Data'!$A:$A,'[1]Tissue Data'!$H:$H)</f>
        <v>Lepomis</v>
      </c>
      <c r="F5399" t="str">
        <f>_xlfn.XLOOKUP(A5399,'[1]Tissue Data'!$A:$A,'[1]Tissue Data'!$I:$I)</f>
        <v>gibbosus</v>
      </c>
      <c r="G5399" t="str">
        <f>_xlfn.XLOOKUP(A5399,'[1]Tissue Data'!$A:$A,'[1]Tissue Data'!J:J)</f>
        <v>U</v>
      </c>
      <c r="H5399" t="str">
        <f>_xlfn.XLOOKUP(A5399,'[1]Tissue Data'!$A:$A,'[1]Tissue Data'!K:K)</f>
        <v>Whole Body</v>
      </c>
      <c r="I5399">
        <f>_xlfn.XLOOKUP(A5399,'[1]Tissue Data'!$A:$A,'[1]Tissue Data'!L:L)</f>
        <v>8.5</v>
      </c>
      <c r="J5399">
        <f>_xlfn.XLOOKUP(A5399,'[1]Tissue Data'!$A:$A,'[1]Tissue Data'!M:M)</f>
        <v>12.25</v>
      </c>
      <c r="K5399" t="s">
        <v>59</v>
      </c>
      <c r="L5399" t="str">
        <f>_xlfn.XLOOKUP(K5399,[2]analyte_order!$B:$B,[2]analyte_order!$C:$C)</f>
        <v>57677-95-9</v>
      </c>
      <c r="M5399">
        <f>_xlfn.XLOOKUP(L5399,[2]analyte_order!$C:$C,[2]analyte_order!$E:$E)</f>
        <v>46</v>
      </c>
      <c r="N5399">
        <v>7.4499999999999997E-2</v>
      </c>
    </row>
    <row r="5400" spans="1:14">
      <c r="A5400" t="s">
        <v>287</v>
      </c>
      <c r="B5400" t="str">
        <f>_xlfn.XLOOKUP(A5400,'[1]Tissue Data'!$A:$A,'[1]Tissue Data'!$C:$C)</f>
        <v>Spill</v>
      </c>
      <c r="C5400" s="2">
        <f>_xlfn.XLOOKUP(A5400,'[1]Tissue Data'!$A:$A,'[1]Tissue Data'!$D:$D)</f>
        <v>44393</v>
      </c>
      <c r="D5400" s="2" t="str">
        <f>_xlfn.XLOOKUP(A5400,'[1]Tissue Data'!$A:$A,'[1]Tissue Data'!$F:$F)</f>
        <v>Pumpkinseed</v>
      </c>
      <c r="E5400" t="str">
        <f>_xlfn.XLOOKUP(A5400,'[1]Tissue Data'!$A:$A,'[1]Tissue Data'!$H:$H)</f>
        <v>Lepomis</v>
      </c>
      <c r="F5400" t="str">
        <f>_xlfn.XLOOKUP(A5400,'[1]Tissue Data'!$A:$A,'[1]Tissue Data'!$I:$I)</f>
        <v>gibbosus</v>
      </c>
      <c r="G5400" t="str">
        <f>_xlfn.XLOOKUP(A5400,'[1]Tissue Data'!$A:$A,'[1]Tissue Data'!J:J)</f>
        <v>U</v>
      </c>
      <c r="H5400" t="str">
        <f>_xlfn.XLOOKUP(A5400,'[1]Tissue Data'!$A:$A,'[1]Tissue Data'!K:K)</f>
        <v>Whole Body</v>
      </c>
      <c r="I5400">
        <f>_xlfn.XLOOKUP(A5400,'[1]Tissue Data'!$A:$A,'[1]Tissue Data'!L:L)</f>
        <v>8.5</v>
      </c>
      <c r="J5400">
        <f>_xlfn.XLOOKUP(A5400,'[1]Tissue Data'!$A:$A,'[1]Tissue Data'!M:M)</f>
        <v>12.25</v>
      </c>
      <c r="K5400" t="s">
        <v>60</v>
      </c>
      <c r="L5400" t="str">
        <f>_xlfn.XLOOKUP(K5400,[2]analyte_order!$B:$B,[2]analyte_order!$C:$C)</f>
        <v>678-41-1</v>
      </c>
      <c r="M5400">
        <f>_xlfn.XLOOKUP(L5400,[2]analyte_order!$C:$C,[2]analyte_order!$E:$E)</f>
        <v>56</v>
      </c>
      <c r="N5400">
        <v>9.2999999999999999E-2</v>
      </c>
    </row>
    <row r="5401" spans="1:14">
      <c r="A5401" t="s">
        <v>287</v>
      </c>
      <c r="B5401" t="str">
        <f>_xlfn.XLOOKUP(A5401,'[1]Tissue Data'!$A:$A,'[1]Tissue Data'!$C:$C)</f>
        <v>Spill</v>
      </c>
      <c r="C5401" s="2">
        <f>_xlfn.XLOOKUP(A5401,'[1]Tissue Data'!$A:$A,'[1]Tissue Data'!$D:$D)</f>
        <v>44393</v>
      </c>
      <c r="D5401" s="2" t="str">
        <f>_xlfn.XLOOKUP(A5401,'[1]Tissue Data'!$A:$A,'[1]Tissue Data'!$F:$F)</f>
        <v>Pumpkinseed</v>
      </c>
      <c r="E5401" t="str">
        <f>_xlfn.XLOOKUP(A5401,'[1]Tissue Data'!$A:$A,'[1]Tissue Data'!$H:$H)</f>
        <v>Lepomis</v>
      </c>
      <c r="F5401" t="str">
        <f>_xlfn.XLOOKUP(A5401,'[1]Tissue Data'!$A:$A,'[1]Tissue Data'!$I:$I)</f>
        <v>gibbosus</v>
      </c>
      <c r="G5401" t="str">
        <f>_xlfn.XLOOKUP(A5401,'[1]Tissue Data'!$A:$A,'[1]Tissue Data'!J:J)</f>
        <v>U</v>
      </c>
      <c r="H5401" t="str">
        <f>_xlfn.XLOOKUP(A5401,'[1]Tissue Data'!$A:$A,'[1]Tissue Data'!K:K)</f>
        <v>Whole Body</v>
      </c>
      <c r="I5401">
        <f>_xlfn.XLOOKUP(A5401,'[1]Tissue Data'!$A:$A,'[1]Tissue Data'!L:L)</f>
        <v>8.5</v>
      </c>
      <c r="J5401">
        <f>_xlfn.XLOOKUP(A5401,'[1]Tissue Data'!$A:$A,'[1]Tissue Data'!M:M)</f>
        <v>12.25</v>
      </c>
      <c r="K5401" t="s">
        <v>61</v>
      </c>
      <c r="L5401" t="str">
        <f>_xlfn.XLOOKUP(K5401,[2]analyte_order!$B:$B,[2]analyte_order!$C:$C)</f>
        <v>2965-52-8</v>
      </c>
      <c r="M5401">
        <f>_xlfn.XLOOKUP(L5401,[2]analyte_order!$C:$C,[2]analyte_order!$E:$E)</f>
        <v>57</v>
      </c>
      <c r="N5401">
        <v>0.1235</v>
      </c>
    </row>
    <row r="5402" spans="1:14">
      <c r="A5402" t="s">
        <v>288</v>
      </c>
      <c r="B5402" t="str">
        <f>_xlfn.XLOOKUP(A5402,'[1]Tissue Data'!$A:$A,'[1]Tissue Data'!$C:$C)</f>
        <v>Spill</v>
      </c>
      <c r="C5402" s="2">
        <f>_xlfn.XLOOKUP(A5402,'[1]Tissue Data'!$A:$A,'[1]Tissue Data'!$D:$D)</f>
        <v>44393</v>
      </c>
      <c r="D5402" s="2" t="str">
        <f>_xlfn.XLOOKUP(A5402,'[1]Tissue Data'!$A:$A,'[1]Tissue Data'!$F:$F)</f>
        <v>Pumpkinseed</v>
      </c>
      <c r="E5402" t="str">
        <f>_xlfn.XLOOKUP(A5402,'[1]Tissue Data'!$A:$A,'[1]Tissue Data'!$H:$H)</f>
        <v>Lepomis</v>
      </c>
      <c r="F5402" t="str">
        <f>_xlfn.XLOOKUP(A5402,'[1]Tissue Data'!$A:$A,'[1]Tissue Data'!$I:$I)</f>
        <v>gibbosus</v>
      </c>
      <c r="G5402" t="str">
        <f>_xlfn.XLOOKUP(A5402,'[1]Tissue Data'!$A:$A,'[1]Tissue Data'!J:J)</f>
        <v>U</v>
      </c>
      <c r="H5402" t="str">
        <f>_xlfn.XLOOKUP(A5402,'[1]Tissue Data'!$A:$A,'[1]Tissue Data'!K:K)</f>
        <v>Whole Body</v>
      </c>
      <c r="I5402">
        <f>_xlfn.XLOOKUP(A5402,'[1]Tissue Data'!$A:$A,'[1]Tissue Data'!L:L)</f>
        <v>8</v>
      </c>
      <c r="J5402">
        <f>_xlfn.XLOOKUP(A5402,'[1]Tissue Data'!$A:$A,'[1]Tissue Data'!M:M)</f>
        <v>12.21</v>
      </c>
      <c r="K5402" t="s">
        <v>12</v>
      </c>
      <c r="L5402" t="str">
        <f>_xlfn.XLOOKUP(K5402,[2]analyte_order!$B:$B,[2]analyte_order!$C:$C)</f>
        <v>375-22-4</v>
      </c>
      <c r="M5402">
        <f>_xlfn.XLOOKUP(L5402,[2]analyte_order!$C:$C,[2]analyte_order!$E:$E)</f>
        <v>1</v>
      </c>
      <c r="N5402">
        <v>0.25</v>
      </c>
    </row>
    <row r="5403" spans="1:14">
      <c r="A5403" t="s">
        <v>288</v>
      </c>
      <c r="B5403" t="str">
        <f>_xlfn.XLOOKUP(A5403,'[1]Tissue Data'!$A:$A,'[1]Tissue Data'!$C:$C)</f>
        <v>Spill</v>
      </c>
      <c r="C5403" s="2">
        <f>_xlfn.XLOOKUP(A5403,'[1]Tissue Data'!$A:$A,'[1]Tissue Data'!$D:$D)</f>
        <v>44393</v>
      </c>
      <c r="D5403" s="2" t="str">
        <f>_xlfn.XLOOKUP(A5403,'[1]Tissue Data'!$A:$A,'[1]Tissue Data'!$F:$F)</f>
        <v>Pumpkinseed</v>
      </c>
      <c r="E5403" t="str">
        <f>_xlfn.XLOOKUP(A5403,'[1]Tissue Data'!$A:$A,'[1]Tissue Data'!$H:$H)</f>
        <v>Lepomis</v>
      </c>
      <c r="F5403" t="str">
        <f>_xlfn.XLOOKUP(A5403,'[1]Tissue Data'!$A:$A,'[1]Tissue Data'!$I:$I)</f>
        <v>gibbosus</v>
      </c>
      <c r="G5403" t="str">
        <f>_xlfn.XLOOKUP(A5403,'[1]Tissue Data'!$A:$A,'[1]Tissue Data'!J:J)</f>
        <v>U</v>
      </c>
      <c r="H5403" t="str">
        <f>_xlfn.XLOOKUP(A5403,'[1]Tissue Data'!$A:$A,'[1]Tissue Data'!K:K)</f>
        <v>Whole Body</v>
      </c>
      <c r="I5403">
        <f>_xlfn.XLOOKUP(A5403,'[1]Tissue Data'!$A:$A,'[1]Tissue Data'!L:L)</f>
        <v>8</v>
      </c>
      <c r="J5403">
        <f>_xlfn.XLOOKUP(A5403,'[1]Tissue Data'!$A:$A,'[1]Tissue Data'!M:M)</f>
        <v>12.21</v>
      </c>
      <c r="K5403" t="s">
        <v>13</v>
      </c>
      <c r="L5403" t="str">
        <f>_xlfn.XLOOKUP(K5403,[2]analyte_order!$B:$B,[2]analyte_order!$C:$C)</f>
        <v>2706-90-3</v>
      </c>
      <c r="M5403">
        <f>_xlfn.XLOOKUP(L5403,[2]analyte_order!$C:$C,[2]analyte_order!$E:$E)</f>
        <v>2</v>
      </c>
      <c r="N5403">
        <v>5.3499999999999999E-2</v>
      </c>
    </row>
    <row r="5404" spans="1:14">
      <c r="A5404" t="s">
        <v>288</v>
      </c>
      <c r="B5404" t="str">
        <f>_xlfn.XLOOKUP(A5404,'[1]Tissue Data'!$A:$A,'[1]Tissue Data'!$C:$C)</f>
        <v>Spill</v>
      </c>
      <c r="C5404" s="2">
        <f>_xlfn.XLOOKUP(A5404,'[1]Tissue Data'!$A:$A,'[1]Tissue Data'!$D:$D)</f>
        <v>44393</v>
      </c>
      <c r="D5404" s="2" t="str">
        <f>_xlfn.XLOOKUP(A5404,'[1]Tissue Data'!$A:$A,'[1]Tissue Data'!$F:$F)</f>
        <v>Pumpkinseed</v>
      </c>
      <c r="E5404" t="str">
        <f>_xlfn.XLOOKUP(A5404,'[1]Tissue Data'!$A:$A,'[1]Tissue Data'!$H:$H)</f>
        <v>Lepomis</v>
      </c>
      <c r="F5404" t="str">
        <f>_xlfn.XLOOKUP(A5404,'[1]Tissue Data'!$A:$A,'[1]Tissue Data'!$I:$I)</f>
        <v>gibbosus</v>
      </c>
      <c r="G5404" t="str">
        <f>_xlfn.XLOOKUP(A5404,'[1]Tissue Data'!$A:$A,'[1]Tissue Data'!J:J)</f>
        <v>U</v>
      </c>
      <c r="H5404" t="str">
        <f>_xlfn.XLOOKUP(A5404,'[1]Tissue Data'!$A:$A,'[1]Tissue Data'!K:K)</f>
        <v>Whole Body</v>
      </c>
      <c r="I5404">
        <f>_xlfn.XLOOKUP(A5404,'[1]Tissue Data'!$A:$A,'[1]Tissue Data'!L:L)</f>
        <v>8</v>
      </c>
      <c r="J5404">
        <f>_xlfn.XLOOKUP(A5404,'[1]Tissue Data'!$A:$A,'[1]Tissue Data'!M:M)</f>
        <v>12.21</v>
      </c>
      <c r="K5404" t="s">
        <v>14</v>
      </c>
      <c r="L5404" t="str">
        <f>_xlfn.XLOOKUP(K5404,[2]analyte_order!$B:$B,[2]analyte_order!$C:$C)</f>
        <v>307-24-4</v>
      </c>
      <c r="M5404">
        <f>_xlfn.XLOOKUP(L5404,[2]analyte_order!$C:$C,[2]analyte_order!$E:$E)</f>
        <v>3</v>
      </c>
      <c r="N5404">
        <v>4.0899999999999999E-2</v>
      </c>
    </row>
    <row r="5405" spans="1:14">
      <c r="A5405" t="s">
        <v>288</v>
      </c>
      <c r="B5405" t="str">
        <f>_xlfn.XLOOKUP(A5405,'[1]Tissue Data'!$A:$A,'[1]Tissue Data'!$C:$C)</f>
        <v>Spill</v>
      </c>
      <c r="C5405" s="2">
        <f>_xlfn.XLOOKUP(A5405,'[1]Tissue Data'!$A:$A,'[1]Tissue Data'!$D:$D)</f>
        <v>44393</v>
      </c>
      <c r="D5405" s="2" t="str">
        <f>_xlfn.XLOOKUP(A5405,'[1]Tissue Data'!$A:$A,'[1]Tissue Data'!$F:$F)</f>
        <v>Pumpkinseed</v>
      </c>
      <c r="E5405" t="str">
        <f>_xlfn.XLOOKUP(A5405,'[1]Tissue Data'!$A:$A,'[1]Tissue Data'!$H:$H)</f>
        <v>Lepomis</v>
      </c>
      <c r="F5405" t="str">
        <f>_xlfn.XLOOKUP(A5405,'[1]Tissue Data'!$A:$A,'[1]Tissue Data'!$I:$I)</f>
        <v>gibbosus</v>
      </c>
      <c r="G5405" t="str">
        <f>_xlfn.XLOOKUP(A5405,'[1]Tissue Data'!$A:$A,'[1]Tissue Data'!J:J)</f>
        <v>U</v>
      </c>
      <c r="H5405" t="str">
        <f>_xlfn.XLOOKUP(A5405,'[1]Tissue Data'!$A:$A,'[1]Tissue Data'!K:K)</f>
        <v>Whole Body</v>
      </c>
      <c r="I5405">
        <f>_xlfn.XLOOKUP(A5405,'[1]Tissue Data'!$A:$A,'[1]Tissue Data'!L:L)</f>
        <v>8</v>
      </c>
      <c r="J5405">
        <f>_xlfn.XLOOKUP(A5405,'[1]Tissue Data'!$A:$A,'[1]Tissue Data'!M:M)</f>
        <v>12.21</v>
      </c>
      <c r="K5405" t="s">
        <v>15</v>
      </c>
      <c r="L5405" t="str">
        <f>_xlfn.XLOOKUP(K5405,[2]analyte_order!$B:$B,[2]analyte_order!$C:$C)</f>
        <v>375-85-9</v>
      </c>
      <c r="M5405">
        <f>_xlfn.XLOOKUP(L5405,[2]analyte_order!$C:$C,[2]analyte_order!$E:$E)</f>
        <v>4</v>
      </c>
      <c r="N5405">
        <v>3.0300000000000001E-2</v>
      </c>
    </row>
    <row r="5406" spans="1:14">
      <c r="A5406" t="s">
        <v>288</v>
      </c>
      <c r="B5406" t="str">
        <f>_xlfn.XLOOKUP(A5406,'[1]Tissue Data'!$A:$A,'[1]Tissue Data'!$C:$C)</f>
        <v>Spill</v>
      </c>
      <c r="C5406" s="2">
        <f>_xlfn.XLOOKUP(A5406,'[1]Tissue Data'!$A:$A,'[1]Tissue Data'!$D:$D)</f>
        <v>44393</v>
      </c>
      <c r="D5406" s="2" t="str">
        <f>_xlfn.XLOOKUP(A5406,'[1]Tissue Data'!$A:$A,'[1]Tissue Data'!$F:$F)</f>
        <v>Pumpkinseed</v>
      </c>
      <c r="E5406" t="str">
        <f>_xlfn.XLOOKUP(A5406,'[1]Tissue Data'!$A:$A,'[1]Tissue Data'!$H:$H)</f>
        <v>Lepomis</v>
      </c>
      <c r="F5406" t="str">
        <f>_xlfn.XLOOKUP(A5406,'[1]Tissue Data'!$A:$A,'[1]Tissue Data'!$I:$I)</f>
        <v>gibbosus</v>
      </c>
      <c r="G5406" t="str">
        <f>_xlfn.XLOOKUP(A5406,'[1]Tissue Data'!$A:$A,'[1]Tissue Data'!J:J)</f>
        <v>U</v>
      </c>
      <c r="H5406" t="str">
        <f>_xlfn.XLOOKUP(A5406,'[1]Tissue Data'!$A:$A,'[1]Tissue Data'!K:K)</f>
        <v>Whole Body</v>
      </c>
      <c r="I5406">
        <f>_xlfn.XLOOKUP(A5406,'[1]Tissue Data'!$A:$A,'[1]Tissue Data'!L:L)</f>
        <v>8</v>
      </c>
      <c r="J5406">
        <f>_xlfn.XLOOKUP(A5406,'[1]Tissue Data'!$A:$A,'[1]Tissue Data'!M:M)</f>
        <v>12.21</v>
      </c>
      <c r="K5406" t="s">
        <v>16</v>
      </c>
      <c r="L5406" t="str">
        <f>_xlfn.XLOOKUP(K5406,[2]analyte_order!$B:$B,[2]analyte_order!$C:$C)</f>
        <v>335-67-1</v>
      </c>
      <c r="M5406">
        <f>_xlfn.XLOOKUP(L5406,[2]analyte_order!$C:$C,[2]analyte_order!$E:$E)</f>
        <v>5</v>
      </c>
      <c r="N5406">
        <v>0.36299999999999999</v>
      </c>
    </row>
    <row r="5407" spans="1:14">
      <c r="A5407" t="s">
        <v>288</v>
      </c>
      <c r="B5407" t="str">
        <f>_xlfn.XLOOKUP(A5407,'[1]Tissue Data'!$A:$A,'[1]Tissue Data'!$C:$C)</f>
        <v>Spill</v>
      </c>
      <c r="C5407" s="2">
        <f>_xlfn.XLOOKUP(A5407,'[1]Tissue Data'!$A:$A,'[1]Tissue Data'!$D:$D)</f>
        <v>44393</v>
      </c>
      <c r="D5407" s="2" t="str">
        <f>_xlfn.XLOOKUP(A5407,'[1]Tissue Data'!$A:$A,'[1]Tissue Data'!$F:$F)</f>
        <v>Pumpkinseed</v>
      </c>
      <c r="E5407" t="str">
        <f>_xlfn.XLOOKUP(A5407,'[1]Tissue Data'!$A:$A,'[1]Tissue Data'!$H:$H)</f>
        <v>Lepomis</v>
      </c>
      <c r="F5407" t="str">
        <f>_xlfn.XLOOKUP(A5407,'[1]Tissue Data'!$A:$A,'[1]Tissue Data'!$I:$I)</f>
        <v>gibbosus</v>
      </c>
      <c r="G5407" t="str">
        <f>_xlfn.XLOOKUP(A5407,'[1]Tissue Data'!$A:$A,'[1]Tissue Data'!J:J)</f>
        <v>U</v>
      </c>
      <c r="H5407" t="str">
        <f>_xlfn.XLOOKUP(A5407,'[1]Tissue Data'!$A:$A,'[1]Tissue Data'!K:K)</f>
        <v>Whole Body</v>
      </c>
      <c r="I5407">
        <f>_xlfn.XLOOKUP(A5407,'[1]Tissue Data'!$A:$A,'[1]Tissue Data'!L:L)</f>
        <v>8</v>
      </c>
      <c r="J5407">
        <f>_xlfn.XLOOKUP(A5407,'[1]Tissue Data'!$A:$A,'[1]Tissue Data'!M:M)</f>
        <v>12.21</v>
      </c>
      <c r="K5407" t="s">
        <v>17</v>
      </c>
      <c r="L5407" t="str">
        <f>_xlfn.XLOOKUP(K5407,[2]analyte_order!$B:$B,[2]analyte_order!$C:$C)</f>
        <v>375-95-1</v>
      </c>
      <c r="M5407">
        <f>_xlfn.XLOOKUP(L5407,[2]analyte_order!$C:$C,[2]analyte_order!$E:$E)</f>
        <v>6</v>
      </c>
      <c r="N5407">
        <v>0.17299999999999999</v>
      </c>
    </row>
    <row r="5408" spans="1:14">
      <c r="A5408" t="s">
        <v>288</v>
      </c>
      <c r="B5408" t="str">
        <f>_xlfn.XLOOKUP(A5408,'[1]Tissue Data'!$A:$A,'[1]Tissue Data'!$C:$C)</f>
        <v>Spill</v>
      </c>
      <c r="C5408" s="2">
        <f>_xlfn.XLOOKUP(A5408,'[1]Tissue Data'!$A:$A,'[1]Tissue Data'!$D:$D)</f>
        <v>44393</v>
      </c>
      <c r="D5408" s="2" t="str">
        <f>_xlfn.XLOOKUP(A5408,'[1]Tissue Data'!$A:$A,'[1]Tissue Data'!$F:$F)</f>
        <v>Pumpkinseed</v>
      </c>
      <c r="E5408" t="str">
        <f>_xlfn.XLOOKUP(A5408,'[1]Tissue Data'!$A:$A,'[1]Tissue Data'!$H:$H)</f>
        <v>Lepomis</v>
      </c>
      <c r="F5408" t="str">
        <f>_xlfn.XLOOKUP(A5408,'[1]Tissue Data'!$A:$A,'[1]Tissue Data'!$I:$I)</f>
        <v>gibbosus</v>
      </c>
      <c r="G5408" t="str">
        <f>_xlfn.XLOOKUP(A5408,'[1]Tissue Data'!$A:$A,'[1]Tissue Data'!J:J)</f>
        <v>U</v>
      </c>
      <c r="H5408" t="str">
        <f>_xlfn.XLOOKUP(A5408,'[1]Tissue Data'!$A:$A,'[1]Tissue Data'!K:K)</f>
        <v>Whole Body</v>
      </c>
      <c r="I5408">
        <f>_xlfn.XLOOKUP(A5408,'[1]Tissue Data'!$A:$A,'[1]Tissue Data'!L:L)</f>
        <v>8</v>
      </c>
      <c r="J5408">
        <f>_xlfn.XLOOKUP(A5408,'[1]Tissue Data'!$A:$A,'[1]Tissue Data'!M:M)</f>
        <v>12.21</v>
      </c>
      <c r="K5408" t="s">
        <v>18</v>
      </c>
      <c r="L5408" t="str">
        <f>_xlfn.XLOOKUP(K5408,[2]analyte_order!$B:$B,[2]analyte_order!$C:$C)</f>
        <v>335-76-2</v>
      </c>
      <c r="M5408">
        <f>_xlfn.XLOOKUP(L5408,[2]analyte_order!$C:$C,[2]analyte_order!$E:$E)</f>
        <v>7</v>
      </c>
      <c r="N5408">
        <v>2.0299999999999998</v>
      </c>
    </row>
    <row r="5409" spans="1:14">
      <c r="A5409" t="s">
        <v>288</v>
      </c>
      <c r="B5409" t="str">
        <f>_xlfn.XLOOKUP(A5409,'[1]Tissue Data'!$A:$A,'[1]Tissue Data'!$C:$C)</f>
        <v>Spill</v>
      </c>
      <c r="C5409" s="2">
        <f>_xlfn.XLOOKUP(A5409,'[1]Tissue Data'!$A:$A,'[1]Tissue Data'!$D:$D)</f>
        <v>44393</v>
      </c>
      <c r="D5409" s="2" t="str">
        <f>_xlfn.XLOOKUP(A5409,'[1]Tissue Data'!$A:$A,'[1]Tissue Data'!$F:$F)</f>
        <v>Pumpkinseed</v>
      </c>
      <c r="E5409" t="str">
        <f>_xlfn.XLOOKUP(A5409,'[1]Tissue Data'!$A:$A,'[1]Tissue Data'!$H:$H)</f>
        <v>Lepomis</v>
      </c>
      <c r="F5409" t="str">
        <f>_xlfn.XLOOKUP(A5409,'[1]Tissue Data'!$A:$A,'[1]Tissue Data'!$I:$I)</f>
        <v>gibbosus</v>
      </c>
      <c r="G5409" t="str">
        <f>_xlfn.XLOOKUP(A5409,'[1]Tissue Data'!$A:$A,'[1]Tissue Data'!J:J)</f>
        <v>U</v>
      </c>
      <c r="H5409" t="str">
        <f>_xlfn.XLOOKUP(A5409,'[1]Tissue Data'!$A:$A,'[1]Tissue Data'!K:K)</f>
        <v>Whole Body</v>
      </c>
      <c r="I5409">
        <f>_xlfn.XLOOKUP(A5409,'[1]Tissue Data'!$A:$A,'[1]Tissue Data'!L:L)</f>
        <v>8</v>
      </c>
      <c r="J5409">
        <f>_xlfn.XLOOKUP(A5409,'[1]Tissue Data'!$A:$A,'[1]Tissue Data'!M:M)</f>
        <v>12.21</v>
      </c>
      <c r="K5409" t="s">
        <v>19</v>
      </c>
      <c r="L5409" t="str">
        <f>_xlfn.XLOOKUP(K5409,[2]analyte_order!$B:$B,[2]analyte_order!$C:$C)</f>
        <v>2058-94-8</v>
      </c>
      <c r="M5409">
        <f>_xlfn.XLOOKUP(L5409,[2]analyte_order!$C:$C,[2]analyte_order!$E:$E)</f>
        <v>8</v>
      </c>
      <c r="N5409">
        <v>2.83</v>
      </c>
    </row>
    <row r="5410" spans="1:14">
      <c r="A5410" t="s">
        <v>288</v>
      </c>
      <c r="B5410" t="str">
        <f>_xlfn.XLOOKUP(A5410,'[1]Tissue Data'!$A:$A,'[1]Tissue Data'!$C:$C)</f>
        <v>Spill</v>
      </c>
      <c r="C5410" s="2">
        <f>_xlfn.XLOOKUP(A5410,'[1]Tissue Data'!$A:$A,'[1]Tissue Data'!$D:$D)</f>
        <v>44393</v>
      </c>
      <c r="D5410" s="2" t="str">
        <f>_xlfn.XLOOKUP(A5410,'[1]Tissue Data'!$A:$A,'[1]Tissue Data'!$F:$F)</f>
        <v>Pumpkinseed</v>
      </c>
      <c r="E5410" t="str">
        <f>_xlfn.XLOOKUP(A5410,'[1]Tissue Data'!$A:$A,'[1]Tissue Data'!$H:$H)</f>
        <v>Lepomis</v>
      </c>
      <c r="F5410" t="str">
        <f>_xlfn.XLOOKUP(A5410,'[1]Tissue Data'!$A:$A,'[1]Tissue Data'!$I:$I)</f>
        <v>gibbosus</v>
      </c>
      <c r="G5410" t="str">
        <f>_xlfn.XLOOKUP(A5410,'[1]Tissue Data'!$A:$A,'[1]Tissue Data'!J:J)</f>
        <v>U</v>
      </c>
      <c r="H5410" t="str">
        <f>_xlfn.XLOOKUP(A5410,'[1]Tissue Data'!$A:$A,'[1]Tissue Data'!K:K)</f>
        <v>Whole Body</v>
      </c>
      <c r="I5410">
        <f>_xlfn.XLOOKUP(A5410,'[1]Tissue Data'!$A:$A,'[1]Tissue Data'!L:L)</f>
        <v>8</v>
      </c>
      <c r="J5410">
        <f>_xlfn.XLOOKUP(A5410,'[1]Tissue Data'!$A:$A,'[1]Tissue Data'!M:M)</f>
        <v>12.21</v>
      </c>
      <c r="K5410" t="s">
        <v>20</v>
      </c>
      <c r="L5410" t="str">
        <f>_xlfn.XLOOKUP(K5410,[2]analyte_order!$B:$B,[2]analyte_order!$C:$C)</f>
        <v>307-55-1</v>
      </c>
      <c r="M5410">
        <f>_xlfn.XLOOKUP(L5410,[2]analyte_order!$C:$C,[2]analyte_order!$E:$E)</f>
        <v>9</v>
      </c>
      <c r="N5410">
        <v>6.76</v>
      </c>
    </row>
    <row r="5411" spans="1:14">
      <c r="A5411" t="s">
        <v>288</v>
      </c>
      <c r="B5411" t="str">
        <f>_xlfn.XLOOKUP(A5411,'[1]Tissue Data'!$A:$A,'[1]Tissue Data'!$C:$C)</f>
        <v>Spill</v>
      </c>
      <c r="C5411" s="2">
        <f>_xlfn.XLOOKUP(A5411,'[1]Tissue Data'!$A:$A,'[1]Tissue Data'!$D:$D)</f>
        <v>44393</v>
      </c>
      <c r="D5411" s="2" t="str">
        <f>_xlfn.XLOOKUP(A5411,'[1]Tissue Data'!$A:$A,'[1]Tissue Data'!$F:$F)</f>
        <v>Pumpkinseed</v>
      </c>
      <c r="E5411" t="str">
        <f>_xlfn.XLOOKUP(A5411,'[1]Tissue Data'!$A:$A,'[1]Tissue Data'!$H:$H)</f>
        <v>Lepomis</v>
      </c>
      <c r="F5411" t="str">
        <f>_xlfn.XLOOKUP(A5411,'[1]Tissue Data'!$A:$A,'[1]Tissue Data'!$I:$I)</f>
        <v>gibbosus</v>
      </c>
      <c r="G5411" t="str">
        <f>_xlfn.XLOOKUP(A5411,'[1]Tissue Data'!$A:$A,'[1]Tissue Data'!J:J)</f>
        <v>U</v>
      </c>
      <c r="H5411" t="str">
        <f>_xlfn.XLOOKUP(A5411,'[1]Tissue Data'!$A:$A,'[1]Tissue Data'!K:K)</f>
        <v>Whole Body</v>
      </c>
      <c r="I5411">
        <f>_xlfn.XLOOKUP(A5411,'[1]Tissue Data'!$A:$A,'[1]Tissue Data'!L:L)</f>
        <v>8</v>
      </c>
      <c r="J5411">
        <f>_xlfn.XLOOKUP(A5411,'[1]Tissue Data'!$A:$A,'[1]Tissue Data'!M:M)</f>
        <v>12.21</v>
      </c>
      <c r="K5411" t="s">
        <v>21</v>
      </c>
      <c r="L5411" t="str">
        <f>_xlfn.XLOOKUP(K5411,[2]analyte_order!$B:$B,[2]analyte_order!$C:$C)</f>
        <v>72629-94-8</v>
      </c>
      <c r="M5411">
        <f>_xlfn.XLOOKUP(L5411,[2]analyte_order!$C:$C,[2]analyte_order!$E:$E)</f>
        <v>10</v>
      </c>
      <c r="N5411">
        <v>2.86</v>
      </c>
    </row>
    <row r="5412" spans="1:14">
      <c r="A5412" t="s">
        <v>288</v>
      </c>
      <c r="B5412" t="str">
        <f>_xlfn.XLOOKUP(A5412,'[1]Tissue Data'!$A:$A,'[1]Tissue Data'!$C:$C)</f>
        <v>Spill</v>
      </c>
      <c r="C5412" s="2">
        <f>_xlfn.XLOOKUP(A5412,'[1]Tissue Data'!$A:$A,'[1]Tissue Data'!$D:$D)</f>
        <v>44393</v>
      </c>
      <c r="D5412" s="2" t="str">
        <f>_xlfn.XLOOKUP(A5412,'[1]Tissue Data'!$A:$A,'[1]Tissue Data'!$F:$F)</f>
        <v>Pumpkinseed</v>
      </c>
      <c r="E5412" t="str">
        <f>_xlfn.XLOOKUP(A5412,'[1]Tissue Data'!$A:$A,'[1]Tissue Data'!$H:$H)</f>
        <v>Lepomis</v>
      </c>
      <c r="F5412" t="str">
        <f>_xlfn.XLOOKUP(A5412,'[1]Tissue Data'!$A:$A,'[1]Tissue Data'!$I:$I)</f>
        <v>gibbosus</v>
      </c>
      <c r="G5412" t="str">
        <f>_xlfn.XLOOKUP(A5412,'[1]Tissue Data'!$A:$A,'[1]Tissue Data'!J:J)</f>
        <v>U</v>
      </c>
      <c r="H5412" t="str">
        <f>_xlfn.XLOOKUP(A5412,'[1]Tissue Data'!$A:$A,'[1]Tissue Data'!K:K)</f>
        <v>Whole Body</v>
      </c>
      <c r="I5412">
        <f>_xlfn.XLOOKUP(A5412,'[1]Tissue Data'!$A:$A,'[1]Tissue Data'!L:L)</f>
        <v>8</v>
      </c>
      <c r="J5412">
        <f>_xlfn.XLOOKUP(A5412,'[1]Tissue Data'!$A:$A,'[1]Tissue Data'!M:M)</f>
        <v>12.21</v>
      </c>
      <c r="K5412" t="s">
        <v>22</v>
      </c>
      <c r="L5412" t="str">
        <f>_xlfn.XLOOKUP(K5412,[2]analyte_order!$B:$B,[2]analyte_order!$C:$C)</f>
        <v>376-06-7</v>
      </c>
      <c r="M5412">
        <f>_xlfn.XLOOKUP(L5412,[2]analyte_order!$C:$C,[2]analyte_order!$E:$E)</f>
        <v>11</v>
      </c>
      <c r="N5412">
        <v>7.98</v>
      </c>
    </row>
    <row r="5413" spans="1:14">
      <c r="A5413" t="s">
        <v>288</v>
      </c>
      <c r="B5413" t="str">
        <f>_xlfn.XLOOKUP(A5413,'[1]Tissue Data'!$A:$A,'[1]Tissue Data'!$C:$C)</f>
        <v>Spill</v>
      </c>
      <c r="C5413" s="2">
        <f>_xlfn.XLOOKUP(A5413,'[1]Tissue Data'!$A:$A,'[1]Tissue Data'!$D:$D)</f>
        <v>44393</v>
      </c>
      <c r="D5413" s="2" t="str">
        <f>_xlfn.XLOOKUP(A5413,'[1]Tissue Data'!$A:$A,'[1]Tissue Data'!$F:$F)</f>
        <v>Pumpkinseed</v>
      </c>
      <c r="E5413" t="str">
        <f>_xlfn.XLOOKUP(A5413,'[1]Tissue Data'!$A:$A,'[1]Tissue Data'!$H:$H)</f>
        <v>Lepomis</v>
      </c>
      <c r="F5413" t="str">
        <f>_xlfn.XLOOKUP(A5413,'[1]Tissue Data'!$A:$A,'[1]Tissue Data'!$I:$I)</f>
        <v>gibbosus</v>
      </c>
      <c r="G5413" t="str">
        <f>_xlfn.XLOOKUP(A5413,'[1]Tissue Data'!$A:$A,'[1]Tissue Data'!J:J)</f>
        <v>U</v>
      </c>
      <c r="H5413" t="str">
        <f>_xlfn.XLOOKUP(A5413,'[1]Tissue Data'!$A:$A,'[1]Tissue Data'!K:K)</f>
        <v>Whole Body</v>
      </c>
      <c r="I5413">
        <f>_xlfn.XLOOKUP(A5413,'[1]Tissue Data'!$A:$A,'[1]Tissue Data'!L:L)</f>
        <v>8</v>
      </c>
      <c r="J5413">
        <f>_xlfn.XLOOKUP(A5413,'[1]Tissue Data'!$A:$A,'[1]Tissue Data'!M:M)</f>
        <v>12.21</v>
      </c>
      <c r="K5413" t="s">
        <v>23</v>
      </c>
      <c r="L5413" t="str">
        <f>_xlfn.XLOOKUP(K5413,[2]analyte_order!$B:$B,[2]analyte_order!$C:$C)</f>
        <v>67905-19-5</v>
      </c>
      <c r="M5413">
        <f>_xlfn.XLOOKUP(L5413,[2]analyte_order!$C:$C,[2]analyte_order!$E:$E)</f>
        <v>12</v>
      </c>
      <c r="N5413">
        <v>9.0499999999999997E-2</v>
      </c>
    </row>
    <row r="5414" spans="1:14">
      <c r="A5414" t="s">
        <v>288</v>
      </c>
      <c r="B5414" t="str">
        <f>_xlfn.XLOOKUP(A5414,'[1]Tissue Data'!$A:$A,'[1]Tissue Data'!$C:$C)</f>
        <v>Spill</v>
      </c>
      <c r="C5414" s="2">
        <f>_xlfn.XLOOKUP(A5414,'[1]Tissue Data'!$A:$A,'[1]Tissue Data'!$D:$D)</f>
        <v>44393</v>
      </c>
      <c r="D5414" s="2" t="str">
        <f>_xlfn.XLOOKUP(A5414,'[1]Tissue Data'!$A:$A,'[1]Tissue Data'!$F:$F)</f>
        <v>Pumpkinseed</v>
      </c>
      <c r="E5414" t="str">
        <f>_xlfn.XLOOKUP(A5414,'[1]Tissue Data'!$A:$A,'[1]Tissue Data'!$H:$H)</f>
        <v>Lepomis</v>
      </c>
      <c r="F5414" t="str">
        <f>_xlfn.XLOOKUP(A5414,'[1]Tissue Data'!$A:$A,'[1]Tissue Data'!$I:$I)</f>
        <v>gibbosus</v>
      </c>
      <c r="G5414" t="str">
        <f>_xlfn.XLOOKUP(A5414,'[1]Tissue Data'!$A:$A,'[1]Tissue Data'!J:J)</f>
        <v>U</v>
      </c>
      <c r="H5414" t="str">
        <f>_xlfn.XLOOKUP(A5414,'[1]Tissue Data'!$A:$A,'[1]Tissue Data'!K:K)</f>
        <v>Whole Body</v>
      </c>
      <c r="I5414">
        <f>_xlfn.XLOOKUP(A5414,'[1]Tissue Data'!$A:$A,'[1]Tissue Data'!L:L)</f>
        <v>8</v>
      </c>
      <c r="J5414">
        <f>_xlfn.XLOOKUP(A5414,'[1]Tissue Data'!$A:$A,'[1]Tissue Data'!M:M)</f>
        <v>12.21</v>
      </c>
      <c r="K5414" t="s">
        <v>24</v>
      </c>
      <c r="L5414" t="str">
        <f>_xlfn.XLOOKUP(K5414,[2]analyte_order!$B:$B,[2]analyte_order!$C:$C)</f>
        <v>423-41-6</v>
      </c>
      <c r="M5414">
        <f>_xlfn.XLOOKUP(L5414,[2]analyte_order!$C:$C,[2]analyte_order!$E:$E)</f>
        <v>53</v>
      </c>
      <c r="N5414">
        <v>7.5499999999999998E-2</v>
      </c>
    </row>
    <row r="5415" spans="1:14">
      <c r="A5415" t="s">
        <v>288</v>
      </c>
      <c r="B5415" t="str">
        <f>_xlfn.XLOOKUP(A5415,'[1]Tissue Data'!$A:$A,'[1]Tissue Data'!$C:$C)</f>
        <v>Spill</v>
      </c>
      <c r="C5415" s="2">
        <f>_xlfn.XLOOKUP(A5415,'[1]Tissue Data'!$A:$A,'[1]Tissue Data'!$D:$D)</f>
        <v>44393</v>
      </c>
      <c r="D5415" s="2" t="str">
        <f>_xlfn.XLOOKUP(A5415,'[1]Tissue Data'!$A:$A,'[1]Tissue Data'!$F:$F)</f>
        <v>Pumpkinseed</v>
      </c>
      <c r="E5415" t="str">
        <f>_xlfn.XLOOKUP(A5415,'[1]Tissue Data'!$A:$A,'[1]Tissue Data'!$H:$H)</f>
        <v>Lepomis</v>
      </c>
      <c r="F5415" t="str">
        <f>_xlfn.XLOOKUP(A5415,'[1]Tissue Data'!$A:$A,'[1]Tissue Data'!$I:$I)</f>
        <v>gibbosus</v>
      </c>
      <c r="G5415" t="str">
        <f>_xlfn.XLOOKUP(A5415,'[1]Tissue Data'!$A:$A,'[1]Tissue Data'!J:J)</f>
        <v>U</v>
      </c>
      <c r="H5415" t="str">
        <f>_xlfn.XLOOKUP(A5415,'[1]Tissue Data'!$A:$A,'[1]Tissue Data'!K:K)</f>
        <v>Whole Body</v>
      </c>
      <c r="I5415">
        <f>_xlfn.XLOOKUP(A5415,'[1]Tissue Data'!$A:$A,'[1]Tissue Data'!L:L)</f>
        <v>8</v>
      </c>
      <c r="J5415">
        <f>_xlfn.XLOOKUP(A5415,'[1]Tissue Data'!$A:$A,'[1]Tissue Data'!M:M)</f>
        <v>12.21</v>
      </c>
      <c r="K5415" t="s">
        <v>25</v>
      </c>
      <c r="L5415" t="str">
        <f>_xlfn.XLOOKUP(K5415,[2]analyte_order!$B:$B,[2]analyte_order!$C:$C)</f>
        <v>375-73-5</v>
      </c>
      <c r="M5415">
        <f>_xlfn.XLOOKUP(L5415,[2]analyte_order!$C:$C,[2]analyte_order!$E:$E)</f>
        <v>14</v>
      </c>
      <c r="N5415">
        <v>0.17</v>
      </c>
    </row>
    <row r="5416" spans="1:14">
      <c r="A5416" t="s">
        <v>288</v>
      </c>
      <c r="B5416" t="str">
        <f>_xlfn.XLOOKUP(A5416,'[1]Tissue Data'!$A:$A,'[1]Tissue Data'!$C:$C)</f>
        <v>Spill</v>
      </c>
      <c r="C5416" s="2">
        <f>_xlfn.XLOOKUP(A5416,'[1]Tissue Data'!$A:$A,'[1]Tissue Data'!$D:$D)</f>
        <v>44393</v>
      </c>
      <c r="D5416" s="2" t="str">
        <f>_xlfn.XLOOKUP(A5416,'[1]Tissue Data'!$A:$A,'[1]Tissue Data'!$F:$F)</f>
        <v>Pumpkinseed</v>
      </c>
      <c r="E5416" t="str">
        <f>_xlfn.XLOOKUP(A5416,'[1]Tissue Data'!$A:$A,'[1]Tissue Data'!$H:$H)</f>
        <v>Lepomis</v>
      </c>
      <c r="F5416" t="str">
        <f>_xlfn.XLOOKUP(A5416,'[1]Tissue Data'!$A:$A,'[1]Tissue Data'!$I:$I)</f>
        <v>gibbosus</v>
      </c>
      <c r="G5416" t="str">
        <f>_xlfn.XLOOKUP(A5416,'[1]Tissue Data'!$A:$A,'[1]Tissue Data'!J:J)</f>
        <v>U</v>
      </c>
      <c r="H5416" t="str">
        <f>_xlfn.XLOOKUP(A5416,'[1]Tissue Data'!$A:$A,'[1]Tissue Data'!K:K)</f>
        <v>Whole Body</v>
      </c>
      <c r="I5416">
        <f>_xlfn.XLOOKUP(A5416,'[1]Tissue Data'!$A:$A,'[1]Tissue Data'!L:L)</f>
        <v>8</v>
      </c>
      <c r="J5416">
        <f>_xlfn.XLOOKUP(A5416,'[1]Tissue Data'!$A:$A,'[1]Tissue Data'!M:M)</f>
        <v>12.21</v>
      </c>
      <c r="K5416" t="s">
        <v>26</v>
      </c>
      <c r="L5416" t="str">
        <f>_xlfn.XLOOKUP(K5416,[2]analyte_order!$B:$B,[2]analyte_order!$C:$C)</f>
        <v>2706-91-4</v>
      </c>
      <c r="M5416">
        <f>_xlfn.XLOOKUP(L5416,[2]analyte_order!$C:$C,[2]analyte_order!$E:$E)</f>
        <v>15</v>
      </c>
      <c r="N5416">
        <v>7.5499999999999998E-2</v>
      </c>
    </row>
    <row r="5417" spans="1:14">
      <c r="A5417" t="s">
        <v>288</v>
      </c>
      <c r="B5417" t="str">
        <f>_xlfn.XLOOKUP(A5417,'[1]Tissue Data'!$A:$A,'[1]Tissue Data'!$C:$C)</f>
        <v>Spill</v>
      </c>
      <c r="C5417" s="2">
        <f>_xlfn.XLOOKUP(A5417,'[1]Tissue Data'!$A:$A,'[1]Tissue Data'!$D:$D)</f>
        <v>44393</v>
      </c>
      <c r="D5417" s="2" t="str">
        <f>_xlfn.XLOOKUP(A5417,'[1]Tissue Data'!$A:$A,'[1]Tissue Data'!$F:$F)</f>
        <v>Pumpkinseed</v>
      </c>
      <c r="E5417" t="str">
        <f>_xlfn.XLOOKUP(A5417,'[1]Tissue Data'!$A:$A,'[1]Tissue Data'!$H:$H)</f>
        <v>Lepomis</v>
      </c>
      <c r="F5417" t="str">
        <f>_xlfn.XLOOKUP(A5417,'[1]Tissue Data'!$A:$A,'[1]Tissue Data'!$I:$I)</f>
        <v>gibbosus</v>
      </c>
      <c r="G5417" t="str">
        <f>_xlfn.XLOOKUP(A5417,'[1]Tissue Data'!$A:$A,'[1]Tissue Data'!J:J)</f>
        <v>U</v>
      </c>
      <c r="H5417" t="str">
        <f>_xlfn.XLOOKUP(A5417,'[1]Tissue Data'!$A:$A,'[1]Tissue Data'!K:K)</f>
        <v>Whole Body</v>
      </c>
      <c r="I5417">
        <f>_xlfn.XLOOKUP(A5417,'[1]Tissue Data'!$A:$A,'[1]Tissue Data'!L:L)</f>
        <v>8</v>
      </c>
      <c r="J5417">
        <f>_xlfn.XLOOKUP(A5417,'[1]Tissue Data'!$A:$A,'[1]Tissue Data'!M:M)</f>
        <v>12.21</v>
      </c>
      <c r="K5417" t="s">
        <v>27</v>
      </c>
      <c r="L5417" t="str">
        <f>_xlfn.XLOOKUP(K5417,[2]analyte_order!$B:$B,[2]analyte_order!$C:$C)</f>
        <v>355-46-4</v>
      </c>
      <c r="M5417">
        <f>_xlfn.XLOOKUP(L5417,[2]analyte_order!$C:$C,[2]analyte_order!$E:$E)</f>
        <v>16</v>
      </c>
      <c r="N5417">
        <v>7.18</v>
      </c>
    </row>
    <row r="5418" spans="1:14">
      <c r="A5418" t="s">
        <v>288</v>
      </c>
      <c r="B5418" t="str">
        <f>_xlfn.XLOOKUP(A5418,'[1]Tissue Data'!$A:$A,'[1]Tissue Data'!$C:$C)</f>
        <v>Spill</v>
      </c>
      <c r="C5418" s="2">
        <f>_xlfn.XLOOKUP(A5418,'[1]Tissue Data'!$A:$A,'[1]Tissue Data'!$D:$D)</f>
        <v>44393</v>
      </c>
      <c r="D5418" s="2" t="str">
        <f>_xlfn.XLOOKUP(A5418,'[1]Tissue Data'!$A:$A,'[1]Tissue Data'!$F:$F)</f>
        <v>Pumpkinseed</v>
      </c>
      <c r="E5418" t="str">
        <f>_xlfn.XLOOKUP(A5418,'[1]Tissue Data'!$A:$A,'[1]Tissue Data'!$H:$H)</f>
        <v>Lepomis</v>
      </c>
      <c r="F5418" t="str">
        <f>_xlfn.XLOOKUP(A5418,'[1]Tissue Data'!$A:$A,'[1]Tissue Data'!$I:$I)</f>
        <v>gibbosus</v>
      </c>
      <c r="G5418" t="str">
        <f>_xlfn.XLOOKUP(A5418,'[1]Tissue Data'!$A:$A,'[1]Tissue Data'!J:J)</f>
        <v>U</v>
      </c>
      <c r="H5418" t="str">
        <f>_xlfn.XLOOKUP(A5418,'[1]Tissue Data'!$A:$A,'[1]Tissue Data'!K:K)</f>
        <v>Whole Body</v>
      </c>
      <c r="I5418">
        <f>_xlfn.XLOOKUP(A5418,'[1]Tissue Data'!$A:$A,'[1]Tissue Data'!L:L)</f>
        <v>8</v>
      </c>
      <c r="J5418">
        <f>_xlfn.XLOOKUP(A5418,'[1]Tissue Data'!$A:$A,'[1]Tissue Data'!M:M)</f>
        <v>12.21</v>
      </c>
      <c r="K5418" t="s">
        <v>28</v>
      </c>
      <c r="L5418" t="str">
        <f>_xlfn.XLOOKUP(K5418,[2]analyte_order!$B:$B,[2]analyte_order!$C:$C)</f>
        <v>375-92-8</v>
      </c>
      <c r="M5418">
        <f>_xlfn.XLOOKUP(L5418,[2]analyte_order!$C:$C,[2]analyte_order!$E:$E)</f>
        <v>17</v>
      </c>
      <c r="N5418">
        <v>1.66</v>
      </c>
    </row>
    <row r="5419" spans="1:14">
      <c r="A5419" t="s">
        <v>288</v>
      </c>
      <c r="B5419" t="str">
        <f>_xlfn.XLOOKUP(A5419,'[1]Tissue Data'!$A:$A,'[1]Tissue Data'!$C:$C)</f>
        <v>Spill</v>
      </c>
      <c r="C5419" s="2">
        <f>_xlfn.XLOOKUP(A5419,'[1]Tissue Data'!$A:$A,'[1]Tissue Data'!$D:$D)</f>
        <v>44393</v>
      </c>
      <c r="D5419" s="2" t="str">
        <f>_xlfn.XLOOKUP(A5419,'[1]Tissue Data'!$A:$A,'[1]Tissue Data'!$F:$F)</f>
        <v>Pumpkinseed</v>
      </c>
      <c r="E5419" t="str">
        <f>_xlfn.XLOOKUP(A5419,'[1]Tissue Data'!$A:$A,'[1]Tissue Data'!$H:$H)</f>
        <v>Lepomis</v>
      </c>
      <c r="F5419" t="str">
        <f>_xlfn.XLOOKUP(A5419,'[1]Tissue Data'!$A:$A,'[1]Tissue Data'!$I:$I)</f>
        <v>gibbosus</v>
      </c>
      <c r="G5419" t="str">
        <f>_xlfn.XLOOKUP(A5419,'[1]Tissue Data'!$A:$A,'[1]Tissue Data'!J:J)</f>
        <v>U</v>
      </c>
      <c r="H5419" t="str">
        <f>_xlfn.XLOOKUP(A5419,'[1]Tissue Data'!$A:$A,'[1]Tissue Data'!K:K)</f>
        <v>Whole Body</v>
      </c>
      <c r="I5419">
        <f>_xlfn.XLOOKUP(A5419,'[1]Tissue Data'!$A:$A,'[1]Tissue Data'!L:L)</f>
        <v>8</v>
      </c>
      <c r="J5419">
        <f>_xlfn.XLOOKUP(A5419,'[1]Tissue Data'!$A:$A,'[1]Tissue Data'!M:M)</f>
        <v>12.21</v>
      </c>
      <c r="K5419" t="s">
        <v>29</v>
      </c>
      <c r="L5419" t="str">
        <f>_xlfn.XLOOKUP(K5419,[2]analyte_order!$B:$B,[2]analyte_order!$C:$C)</f>
        <v>1763-23-1</v>
      </c>
      <c r="M5419">
        <f>_xlfn.XLOOKUP(L5419,[2]analyte_order!$C:$C,[2]analyte_order!$E:$E)</f>
        <v>18</v>
      </c>
      <c r="N5419">
        <v>441</v>
      </c>
    </row>
    <row r="5420" spans="1:14">
      <c r="A5420" t="s">
        <v>288</v>
      </c>
      <c r="B5420" t="str">
        <f>_xlfn.XLOOKUP(A5420,'[1]Tissue Data'!$A:$A,'[1]Tissue Data'!$C:$C)</f>
        <v>Spill</v>
      </c>
      <c r="C5420" s="2">
        <f>_xlfn.XLOOKUP(A5420,'[1]Tissue Data'!$A:$A,'[1]Tissue Data'!$D:$D)</f>
        <v>44393</v>
      </c>
      <c r="D5420" s="2" t="str">
        <f>_xlfn.XLOOKUP(A5420,'[1]Tissue Data'!$A:$A,'[1]Tissue Data'!$F:$F)</f>
        <v>Pumpkinseed</v>
      </c>
      <c r="E5420" t="str">
        <f>_xlfn.XLOOKUP(A5420,'[1]Tissue Data'!$A:$A,'[1]Tissue Data'!$H:$H)</f>
        <v>Lepomis</v>
      </c>
      <c r="F5420" t="str">
        <f>_xlfn.XLOOKUP(A5420,'[1]Tissue Data'!$A:$A,'[1]Tissue Data'!$I:$I)</f>
        <v>gibbosus</v>
      </c>
      <c r="G5420" t="str">
        <f>_xlfn.XLOOKUP(A5420,'[1]Tissue Data'!$A:$A,'[1]Tissue Data'!J:J)</f>
        <v>U</v>
      </c>
      <c r="H5420" t="str">
        <f>_xlfn.XLOOKUP(A5420,'[1]Tissue Data'!$A:$A,'[1]Tissue Data'!K:K)</f>
        <v>Whole Body</v>
      </c>
      <c r="I5420">
        <f>_xlfn.XLOOKUP(A5420,'[1]Tissue Data'!$A:$A,'[1]Tissue Data'!L:L)</f>
        <v>8</v>
      </c>
      <c r="J5420">
        <f>_xlfn.XLOOKUP(A5420,'[1]Tissue Data'!$A:$A,'[1]Tissue Data'!M:M)</f>
        <v>12.21</v>
      </c>
      <c r="K5420" t="s">
        <v>30</v>
      </c>
      <c r="L5420" t="str">
        <f>_xlfn.XLOOKUP(K5420,[2]analyte_order!$B:$B,[2]analyte_order!$C:$C)</f>
        <v>68259-12-1</v>
      </c>
      <c r="M5420">
        <f>_xlfn.XLOOKUP(L5420,[2]analyte_order!$C:$C,[2]analyte_order!$E:$E)</f>
        <v>19</v>
      </c>
      <c r="N5420">
        <v>1.45</v>
      </c>
    </row>
    <row r="5421" spans="1:14">
      <c r="A5421" t="s">
        <v>288</v>
      </c>
      <c r="B5421" t="str">
        <f>_xlfn.XLOOKUP(A5421,'[1]Tissue Data'!$A:$A,'[1]Tissue Data'!$C:$C)</f>
        <v>Spill</v>
      </c>
      <c r="C5421" s="2">
        <f>_xlfn.XLOOKUP(A5421,'[1]Tissue Data'!$A:$A,'[1]Tissue Data'!$D:$D)</f>
        <v>44393</v>
      </c>
      <c r="D5421" s="2" t="str">
        <f>_xlfn.XLOOKUP(A5421,'[1]Tissue Data'!$A:$A,'[1]Tissue Data'!$F:$F)</f>
        <v>Pumpkinseed</v>
      </c>
      <c r="E5421" t="str">
        <f>_xlfn.XLOOKUP(A5421,'[1]Tissue Data'!$A:$A,'[1]Tissue Data'!$H:$H)</f>
        <v>Lepomis</v>
      </c>
      <c r="F5421" t="str">
        <f>_xlfn.XLOOKUP(A5421,'[1]Tissue Data'!$A:$A,'[1]Tissue Data'!$I:$I)</f>
        <v>gibbosus</v>
      </c>
      <c r="G5421" t="str">
        <f>_xlfn.XLOOKUP(A5421,'[1]Tissue Data'!$A:$A,'[1]Tissue Data'!J:J)</f>
        <v>U</v>
      </c>
      <c r="H5421" t="str">
        <f>_xlfn.XLOOKUP(A5421,'[1]Tissue Data'!$A:$A,'[1]Tissue Data'!K:K)</f>
        <v>Whole Body</v>
      </c>
      <c r="I5421">
        <f>_xlfn.XLOOKUP(A5421,'[1]Tissue Data'!$A:$A,'[1]Tissue Data'!L:L)</f>
        <v>8</v>
      </c>
      <c r="J5421">
        <f>_xlfn.XLOOKUP(A5421,'[1]Tissue Data'!$A:$A,'[1]Tissue Data'!M:M)</f>
        <v>12.21</v>
      </c>
      <c r="K5421" t="s">
        <v>31</v>
      </c>
      <c r="L5421" t="str">
        <f>_xlfn.XLOOKUP(K5421,[2]analyte_order!$B:$B,[2]analyte_order!$C:$C)</f>
        <v>335-77-3</v>
      </c>
      <c r="M5421">
        <f>_xlfn.XLOOKUP(L5421,[2]analyte_order!$C:$C,[2]analyte_order!$E:$E)</f>
        <v>20</v>
      </c>
      <c r="N5421">
        <v>1.38</v>
      </c>
    </row>
    <row r="5422" spans="1:14">
      <c r="A5422" t="s">
        <v>288</v>
      </c>
      <c r="B5422" t="str">
        <f>_xlfn.XLOOKUP(A5422,'[1]Tissue Data'!$A:$A,'[1]Tissue Data'!$C:$C)</f>
        <v>Spill</v>
      </c>
      <c r="C5422" s="2">
        <f>_xlfn.XLOOKUP(A5422,'[1]Tissue Data'!$A:$A,'[1]Tissue Data'!$D:$D)</f>
        <v>44393</v>
      </c>
      <c r="D5422" s="2" t="str">
        <f>_xlfn.XLOOKUP(A5422,'[1]Tissue Data'!$A:$A,'[1]Tissue Data'!$F:$F)</f>
        <v>Pumpkinseed</v>
      </c>
      <c r="E5422" t="str">
        <f>_xlfn.XLOOKUP(A5422,'[1]Tissue Data'!$A:$A,'[1]Tissue Data'!$H:$H)</f>
        <v>Lepomis</v>
      </c>
      <c r="F5422" t="str">
        <f>_xlfn.XLOOKUP(A5422,'[1]Tissue Data'!$A:$A,'[1]Tissue Data'!$I:$I)</f>
        <v>gibbosus</v>
      </c>
      <c r="G5422" t="str">
        <f>_xlfn.XLOOKUP(A5422,'[1]Tissue Data'!$A:$A,'[1]Tissue Data'!J:J)</f>
        <v>U</v>
      </c>
      <c r="H5422" t="str">
        <f>_xlfn.XLOOKUP(A5422,'[1]Tissue Data'!$A:$A,'[1]Tissue Data'!K:K)</f>
        <v>Whole Body</v>
      </c>
      <c r="I5422">
        <f>_xlfn.XLOOKUP(A5422,'[1]Tissue Data'!$A:$A,'[1]Tissue Data'!L:L)</f>
        <v>8</v>
      </c>
      <c r="J5422">
        <f>_xlfn.XLOOKUP(A5422,'[1]Tissue Data'!$A:$A,'[1]Tissue Data'!M:M)</f>
        <v>12.21</v>
      </c>
      <c r="K5422" t="s">
        <v>32</v>
      </c>
      <c r="L5422" t="str">
        <f>_xlfn.XLOOKUP(K5422,[2]analyte_order!$B:$B,[2]analyte_order!$C:$C)</f>
        <v>79780-39-5</v>
      </c>
      <c r="M5422">
        <f>_xlfn.XLOOKUP(L5422,[2]analyte_order!$C:$C,[2]analyte_order!$E:$E)</f>
        <v>21</v>
      </c>
      <c r="N5422">
        <v>1.47</v>
      </c>
    </row>
    <row r="5423" spans="1:14">
      <c r="A5423" t="s">
        <v>288</v>
      </c>
      <c r="B5423" t="str">
        <f>_xlfn.XLOOKUP(A5423,'[1]Tissue Data'!$A:$A,'[1]Tissue Data'!$C:$C)</f>
        <v>Spill</v>
      </c>
      <c r="C5423" s="2">
        <f>_xlfn.XLOOKUP(A5423,'[1]Tissue Data'!$A:$A,'[1]Tissue Data'!$D:$D)</f>
        <v>44393</v>
      </c>
      <c r="D5423" s="2" t="str">
        <f>_xlfn.XLOOKUP(A5423,'[1]Tissue Data'!$A:$A,'[1]Tissue Data'!$F:$F)</f>
        <v>Pumpkinseed</v>
      </c>
      <c r="E5423" t="str">
        <f>_xlfn.XLOOKUP(A5423,'[1]Tissue Data'!$A:$A,'[1]Tissue Data'!$H:$H)</f>
        <v>Lepomis</v>
      </c>
      <c r="F5423" t="str">
        <f>_xlfn.XLOOKUP(A5423,'[1]Tissue Data'!$A:$A,'[1]Tissue Data'!$I:$I)</f>
        <v>gibbosus</v>
      </c>
      <c r="G5423" t="str">
        <f>_xlfn.XLOOKUP(A5423,'[1]Tissue Data'!$A:$A,'[1]Tissue Data'!J:J)</f>
        <v>U</v>
      </c>
      <c r="H5423" t="str">
        <f>_xlfn.XLOOKUP(A5423,'[1]Tissue Data'!$A:$A,'[1]Tissue Data'!K:K)</f>
        <v>Whole Body</v>
      </c>
      <c r="I5423">
        <f>_xlfn.XLOOKUP(A5423,'[1]Tissue Data'!$A:$A,'[1]Tissue Data'!L:L)</f>
        <v>8</v>
      </c>
      <c r="J5423">
        <f>_xlfn.XLOOKUP(A5423,'[1]Tissue Data'!$A:$A,'[1]Tissue Data'!M:M)</f>
        <v>12.21</v>
      </c>
      <c r="K5423" t="s">
        <v>33</v>
      </c>
      <c r="L5423" t="str">
        <f>_xlfn.XLOOKUP(K5423,[2]analyte_order!$B:$B,[2]analyte_order!$C:$C)</f>
        <v>777011-38-8</v>
      </c>
      <c r="M5423">
        <f>_xlfn.XLOOKUP(L5423,[2]analyte_order!$C:$C,[2]analyte_order!$E:$E)</f>
        <v>54</v>
      </c>
      <c r="N5423">
        <v>4.6050000000000001E-2</v>
      </c>
    </row>
    <row r="5424" spans="1:14">
      <c r="A5424" t="s">
        <v>288</v>
      </c>
      <c r="B5424" t="str">
        <f>_xlfn.XLOOKUP(A5424,'[1]Tissue Data'!$A:$A,'[1]Tissue Data'!$C:$C)</f>
        <v>Spill</v>
      </c>
      <c r="C5424" s="2">
        <f>_xlfn.XLOOKUP(A5424,'[1]Tissue Data'!$A:$A,'[1]Tissue Data'!$D:$D)</f>
        <v>44393</v>
      </c>
      <c r="D5424" s="2" t="str">
        <f>_xlfn.XLOOKUP(A5424,'[1]Tissue Data'!$A:$A,'[1]Tissue Data'!$F:$F)</f>
        <v>Pumpkinseed</v>
      </c>
      <c r="E5424" t="str">
        <f>_xlfn.XLOOKUP(A5424,'[1]Tissue Data'!$A:$A,'[1]Tissue Data'!$H:$H)</f>
        <v>Lepomis</v>
      </c>
      <c r="F5424" t="str">
        <f>_xlfn.XLOOKUP(A5424,'[1]Tissue Data'!$A:$A,'[1]Tissue Data'!$I:$I)</f>
        <v>gibbosus</v>
      </c>
      <c r="G5424" t="str">
        <f>_xlfn.XLOOKUP(A5424,'[1]Tissue Data'!$A:$A,'[1]Tissue Data'!J:J)</f>
        <v>U</v>
      </c>
      <c r="H5424" t="str">
        <f>_xlfn.XLOOKUP(A5424,'[1]Tissue Data'!$A:$A,'[1]Tissue Data'!K:K)</f>
        <v>Whole Body</v>
      </c>
      <c r="I5424">
        <f>_xlfn.XLOOKUP(A5424,'[1]Tissue Data'!$A:$A,'[1]Tissue Data'!L:L)</f>
        <v>8</v>
      </c>
      <c r="J5424">
        <f>_xlfn.XLOOKUP(A5424,'[1]Tissue Data'!$A:$A,'[1]Tissue Data'!M:M)</f>
        <v>12.21</v>
      </c>
      <c r="K5424" t="s">
        <v>34</v>
      </c>
      <c r="L5424" t="str">
        <f>_xlfn.XLOOKUP(K5424,[2]analyte_order!$B:$B,[2]analyte_order!$C:$C)</f>
        <v>646-83-3</v>
      </c>
      <c r="M5424">
        <f>_xlfn.XLOOKUP(L5424,[2]analyte_order!$C:$C,[2]analyte_order!$E:$E)</f>
        <v>55</v>
      </c>
      <c r="N5424">
        <v>0.25</v>
      </c>
    </row>
    <row r="5425" spans="1:14">
      <c r="A5425" t="s">
        <v>288</v>
      </c>
      <c r="B5425" t="str">
        <f>_xlfn.XLOOKUP(A5425,'[1]Tissue Data'!$A:$A,'[1]Tissue Data'!$C:$C)</f>
        <v>Spill</v>
      </c>
      <c r="C5425" s="2">
        <f>_xlfn.XLOOKUP(A5425,'[1]Tissue Data'!$A:$A,'[1]Tissue Data'!$D:$D)</f>
        <v>44393</v>
      </c>
      <c r="D5425" s="2" t="str">
        <f>_xlfn.XLOOKUP(A5425,'[1]Tissue Data'!$A:$A,'[1]Tissue Data'!$F:$F)</f>
        <v>Pumpkinseed</v>
      </c>
      <c r="E5425" t="str">
        <f>_xlfn.XLOOKUP(A5425,'[1]Tissue Data'!$A:$A,'[1]Tissue Data'!$H:$H)</f>
        <v>Lepomis</v>
      </c>
      <c r="F5425" t="str">
        <f>_xlfn.XLOOKUP(A5425,'[1]Tissue Data'!$A:$A,'[1]Tissue Data'!$I:$I)</f>
        <v>gibbosus</v>
      </c>
      <c r="G5425" t="str">
        <f>_xlfn.XLOOKUP(A5425,'[1]Tissue Data'!$A:$A,'[1]Tissue Data'!J:J)</f>
        <v>U</v>
      </c>
      <c r="H5425" t="str">
        <f>_xlfn.XLOOKUP(A5425,'[1]Tissue Data'!$A:$A,'[1]Tissue Data'!K:K)</f>
        <v>Whole Body</v>
      </c>
      <c r="I5425">
        <f>_xlfn.XLOOKUP(A5425,'[1]Tissue Data'!$A:$A,'[1]Tissue Data'!L:L)</f>
        <v>8</v>
      </c>
      <c r="J5425">
        <f>_xlfn.XLOOKUP(A5425,'[1]Tissue Data'!$A:$A,'[1]Tissue Data'!M:M)</f>
        <v>12.21</v>
      </c>
      <c r="K5425" t="s">
        <v>35</v>
      </c>
      <c r="L5425" t="str">
        <f>_xlfn.XLOOKUP(K5425,[2]analyte_order!$B:$B,[2]analyte_order!$C:$C)</f>
        <v>30334-69-1</v>
      </c>
      <c r="M5425">
        <f>_xlfn.XLOOKUP(L5425,[2]analyte_order!$C:$C,[2]analyte_order!$E:$E)</f>
        <v>51</v>
      </c>
      <c r="N5425">
        <v>24.6</v>
      </c>
    </row>
    <row r="5426" spans="1:14">
      <c r="A5426" t="s">
        <v>288</v>
      </c>
      <c r="B5426" t="str">
        <f>_xlfn.XLOOKUP(A5426,'[1]Tissue Data'!$A:$A,'[1]Tissue Data'!$C:$C)</f>
        <v>Spill</v>
      </c>
      <c r="C5426" s="2">
        <f>_xlfn.XLOOKUP(A5426,'[1]Tissue Data'!$A:$A,'[1]Tissue Data'!$D:$D)</f>
        <v>44393</v>
      </c>
      <c r="D5426" s="2" t="str">
        <f>_xlfn.XLOOKUP(A5426,'[1]Tissue Data'!$A:$A,'[1]Tissue Data'!$F:$F)</f>
        <v>Pumpkinseed</v>
      </c>
      <c r="E5426" t="str">
        <f>_xlfn.XLOOKUP(A5426,'[1]Tissue Data'!$A:$A,'[1]Tissue Data'!$H:$H)</f>
        <v>Lepomis</v>
      </c>
      <c r="F5426" t="str">
        <f>_xlfn.XLOOKUP(A5426,'[1]Tissue Data'!$A:$A,'[1]Tissue Data'!$I:$I)</f>
        <v>gibbosus</v>
      </c>
      <c r="G5426" t="str">
        <f>_xlfn.XLOOKUP(A5426,'[1]Tissue Data'!$A:$A,'[1]Tissue Data'!J:J)</f>
        <v>U</v>
      </c>
      <c r="H5426" t="str">
        <f>_xlfn.XLOOKUP(A5426,'[1]Tissue Data'!$A:$A,'[1]Tissue Data'!K:K)</f>
        <v>Whole Body</v>
      </c>
      <c r="I5426">
        <f>_xlfn.XLOOKUP(A5426,'[1]Tissue Data'!$A:$A,'[1]Tissue Data'!L:L)</f>
        <v>8</v>
      </c>
      <c r="J5426">
        <f>_xlfn.XLOOKUP(A5426,'[1]Tissue Data'!$A:$A,'[1]Tissue Data'!M:M)</f>
        <v>12.21</v>
      </c>
      <c r="K5426" t="s">
        <v>36</v>
      </c>
      <c r="L5426" t="str">
        <f>_xlfn.XLOOKUP(K5426,[2]analyte_order!$B:$B,[2]analyte_order!$C:$C)</f>
        <v>41997-13-1</v>
      </c>
      <c r="M5426">
        <f>_xlfn.XLOOKUP(L5426,[2]analyte_order!$C:$C,[2]analyte_order!$E:$E)</f>
        <v>52</v>
      </c>
      <c r="N5426">
        <v>55.1</v>
      </c>
    </row>
    <row r="5427" spans="1:14">
      <c r="A5427" t="s">
        <v>288</v>
      </c>
      <c r="B5427" t="str">
        <f>_xlfn.XLOOKUP(A5427,'[1]Tissue Data'!$A:$A,'[1]Tissue Data'!$C:$C)</f>
        <v>Spill</v>
      </c>
      <c r="C5427" s="2">
        <f>_xlfn.XLOOKUP(A5427,'[1]Tissue Data'!$A:$A,'[1]Tissue Data'!$D:$D)</f>
        <v>44393</v>
      </c>
      <c r="D5427" s="2" t="str">
        <f>_xlfn.XLOOKUP(A5427,'[1]Tissue Data'!$A:$A,'[1]Tissue Data'!$F:$F)</f>
        <v>Pumpkinseed</v>
      </c>
      <c r="E5427" t="str">
        <f>_xlfn.XLOOKUP(A5427,'[1]Tissue Data'!$A:$A,'[1]Tissue Data'!$H:$H)</f>
        <v>Lepomis</v>
      </c>
      <c r="F5427" t="str">
        <f>_xlfn.XLOOKUP(A5427,'[1]Tissue Data'!$A:$A,'[1]Tissue Data'!$I:$I)</f>
        <v>gibbosus</v>
      </c>
      <c r="G5427" t="str">
        <f>_xlfn.XLOOKUP(A5427,'[1]Tissue Data'!$A:$A,'[1]Tissue Data'!J:J)</f>
        <v>U</v>
      </c>
      <c r="H5427" t="str">
        <f>_xlfn.XLOOKUP(A5427,'[1]Tissue Data'!$A:$A,'[1]Tissue Data'!K:K)</f>
        <v>Whole Body</v>
      </c>
      <c r="I5427">
        <f>_xlfn.XLOOKUP(A5427,'[1]Tissue Data'!$A:$A,'[1]Tissue Data'!L:L)</f>
        <v>8</v>
      </c>
      <c r="J5427">
        <f>_xlfn.XLOOKUP(A5427,'[1]Tissue Data'!$A:$A,'[1]Tissue Data'!M:M)</f>
        <v>12.21</v>
      </c>
      <c r="K5427" t="s">
        <v>37</v>
      </c>
      <c r="L5427" t="str">
        <f>_xlfn.XLOOKUP(K5427,[2]analyte_order!$B:$B,[2]analyte_order!$C:$C)</f>
        <v>754-91-6</v>
      </c>
      <c r="M5427">
        <f>_xlfn.XLOOKUP(L5427,[2]analyte_order!$C:$C,[2]analyte_order!$E:$E)</f>
        <v>28</v>
      </c>
      <c r="N5427">
        <v>7.58</v>
      </c>
    </row>
    <row r="5428" spans="1:14">
      <c r="A5428" t="s">
        <v>288</v>
      </c>
      <c r="B5428" t="str">
        <f>_xlfn.XLOOKUP(A5428,'[1]Tissue Data'!$A:$A,'[1]Tissue Data'!$C:$C)</f>
        <v>Spill</v>
      </c>
      <c r="C5428" s="2">
        <f>_xlfn.XLOOKUP(A5428,'[1]Tissue Data'!$A:$A,'[1]Tissue Data'!$D:$D)</f>
        <v>44393</v>
      </c>
      <c r="D5428" s="2" t="str">
        <f>_xlfn.XLOOKUP(A5428,'[1]Tissue Data'!$A:$A,'[1]Tissue Data'!$F:$F)</f>
        <v>Pumpkinseed</v>
      </c>
      <c r="E5428" t="str">
        <f>_xlfn.XLOOKUP(A5428,'[1]Tissue Data'!$A:$A,'[1]Tissue Data'!$H:$H)</f>
        <v>Lepomis</v>
      </c>
      <c r="F5428" t="str">
        <f>_xlfn.XLOOKUP(A5428,'[1]Tissue Data'!$A:$A,'[1]Tissue Data'!$I:$I)</f>
        <v>gibbosus</v>
      </c>
      <c r="G5428" t="str">
        <f>_xlfn.XLOOKUP(A5428,'[1]Tissue Data'!$A:$A,'[1]Tissue Data'!J:J)</f>
        <v>U</v>
      </c>
      <c r="H5428" t="str">
        <f>_xlfn.XLOOKUP(A5428,'[1]Tissue Data'!$A:$A,'[1]Tissue Data'!K:K)</f>
        <v>Whole Body</v>
      </c>
      <c r="I5428">
        <f>_xlfn.XLOOKUP(A5428,'[1]Tissue Data'!$A:$A,'[1]Tissue Data'!L:L)</f>
        <v>8</v>
      </c>
      <c r="J5428">
        <f>_xlfn.XLOOKUP(A5428,'[1]Tissue Data'!$A:$A,'[1]Tissue Data'!M:M)</f>
        <v>12.21</v>
      </c>
      <c r="K5428" t="s">
        <v>38</v>
      </c>
      <c r="L5428" t="str">
        <f>_xlfn.XLOOKUP(K5428,[2]analyte_order!$B:$B,[2]analyte_order!$C:$C)</f>
        <v>31506-32-8</v>
      </c>
      <c r="M5428">
        <f>_xlfn.XLOOKUP(L5428,[2]analyte_order!$C:$C,[2]analyte_order!$E:$E)</f>
        <v>30</v>
      </c>
      <c r="N5428">
        <v>7.5499999999999998E-2</v>
      </c>
    </row>
    <row r="5429" spans="1:14">
      <c r="A5429" t="s">
        <v>288</v>
      </c>
      <c r="B5429" t="str">
        <f>_xlfn.XLOOKUP(A5429,'[1]Tissue Data'!$A:$A,'[1]Tissue Data'!$C:$C)</f>
        <v>Spill</v>
      </c>
      <c r="C5429" s="2">
        <f>_xlfn.XLOOKUP(A5429,'[1]Tissue Data'!$A:$A,'[1]Tissue Data'!$D:$D)</f>
        <v>44393</v>
      </c>
      <c r="D5429" s="2" t="str">
        <f>_xlfn.XLOOKUP(A5429,'[1]Tissue Data'!$A:$A,'[1]Tissue Data'!$F:$F)</f>
        <v>Pumpkinseed</v>
      </c>
      <c r="E5429" t="str">
        <f>_xlfn.XLOOKUP(A5429,'[1]Tissue Data'!$A:$A,'[1]Tissue Data'!$H:$H)</f>
        <v>Lepomis</v>
      </c>
      <c r="F5429" t="str">
        <f>_xlfn.XLOOKUP(A5429,'[1]Tissue Data'!$A:$A,'[1]Tissue Data'!$I:$I)</f>
        <v>gibbosus</v>
      </c>
      <c r="G5429" t="str">
        <f>_xlfn.XLOOKUP(A5429,'[1]Tissue Data'!$A:$A,'[1]Tissue Data'!J:J)</f>
        <v>U</v>
      </c>
      <c r="H5429" t="str">
        <f>_xlfn.XLOOKUP(A5429,'[1]Tissue Data'!$A:$A,'[1]Tissue Data'!K:K)</f>
        <v>Whole Body</v>
      </c>
      <c r="I5429">
        <f>_xlfn.XLOOKUP(A5429,'[1]Tissue Data'!$A:$A,'[1]Tissue Data'!L:L)</f>
        <v>8</v>
      </c>
      <c r="J5429">
        <f>_xlfn.XLOOKUP(A5429,'[1]Tissue Data'!$A:$A,'[1]Tissue Data'!M:M)</f>
        <v>12.21</v>
      </c>
      <c r="K5429" t="s">
        <v>39</v>
      </c>
      <c r="L5429" t="str">
        <f>_xlfn.XLOOKUP(K5429,[2]analyte_order!$B:$B,[2]analyte_order!$C:$C)</f>
        <v>4151-50-2</v>
      </c>
      <c r="M5429">
        <f>_xlfn.XLOOKUP(L5429,[2]analyte_order!$C:$C,[2]analyte_order!$E:$E)</f>
        <v>31</v>
      </c>
      <c r="N5429">
        <v>8.8499999999999995E-2</v>
      </c>
    </row>
    <row r="5430" spans="1:14">
      <c r="A5430" t="s">
        <v>288</v>
      </c>
      <c r="B5430" t="str">
        <f>_xlfn.XLOOKUP(A5430,'[1]Tissue Data'!$A:$A,'[1]Tissue Data'!$C:$C)</f>
        <v>Spill</v>
      </c>
      <c r="C5430" s="2">
        <f>_xlfn.XLOOKUP(A5430,'[1]Tissue Data'!$A:$A,'[1]Tissue Data'!$D:$D)</f>
        <v>44393</v>
      </c>
      <c r="D5430" s="2" t="str">
        <f>_xlfn.XLOOKUP(A5430,'[1]Tissue Data'!$A:$A,'[1]Tissue Data'!$F:$F)</f>
        <v>Pumpkinseed</v>
      </c>
      <c r="E5430" t="str">
        <f>_xlfn.XLOOKUP(A5430,'[1]Tissue Data'!$A:$A,'[1]Tissue Data'!$H:$H)</f>
        <v>Lepomis</v>
      </c>
      <c r="F5430" t="str">
        <f>_xlfn.XLOOKUP(A5430,'[1]Tissue Data'!$A:$A,'[1]Tissue Data'!$I:$I)</f>
        <v>gibbosus</v>
      </c>
      <c r="G5430" t="str">
        <f>_xlfn.XLOOKUP(A5430,'[1]Tissue Data'!$A:$A,'[1]Tissue Data'!J:J)</f>
        <v>U</v>
      </c>
      <c r="H5430" t="str">
        <f>_xlfn.XLOOKUP(A5430,'[1]Tissue Data'!$A:$A,'[1]Tissue Data'!K:K)</f>
        <v>Whole Body</v>
      </c>
      <c r="I5430">
        <f>_xlfn.XLOOKUP(A5430,'[1]Tissue Data'!$A:$A,'[1]Tissue Data'!L:L)</f>
        <v>8</v>
      </c>
      <c r="J5430">
        <f>_xlfn.XLOOKUP(A5430,'[1]Tissue Data'!$A:$A,'[1]Tissue Data'!M:M)</f>
        <v>12.21</v>
      </c>
      <c r="K5430" t="s">
        <v>40</v>
      </c>
      <c r="L5430" t="str">
        <f>_xlfn.XLOOKUP(K5430,[2]analyte_order!$B:$B,[2]analyte_order!$C:$C)</f>
        <v>2806-24-8</v>
      </c>
      <c r="M5430">
        <f>_xlfn.XLOOKUP(L5430,[2]analyte_order!$C:$C,[2]analyte_order!$E:$E)</f>
        <v>29</v>
      </c>
      <c r="N5430">
        <v>5.9499999999999997E-2</v>
      </c>
    </row>
    <row r="5431" spans="1:14">
      <c r="A5431" t="s">
        <v>288</v>
      </c>
      <c r="B5431" t="str">
        <f>_xlfn.XLOOKUP(A5431,'[1]Tissue Data'!$A:$A,'[1]Tissue Data'!$C:$C)</f>
        <v>Spill</v>
      </c>
      <c r="C5431" s="2">
        <f>_xlfn.XLOOKUP(A5431,'[1]Tissue Data'!$A:$A,'[1]Tissue Data'!$D:$D)</f>
        <v>44393</v>
      </c>
      <c r="D5431" s="2" t="str">
        <f>_xlfn.XLOOKUP(A5431,'[1]Tissue Data'!$A:$A,'[1]Tissue Data'!$F:$F)</f>
        <v>Pumpkinseed</v>
      </c>
      <c r="E5431" t="str">
        <f>_xlfn.XLOOKUP(A5431,'[1]Tissue Data'!$A:$A,'[1]Tissue Data'!$H:$H)</f>
        <v>Lepomis</v>
      </c>
      <c r="F5431" t="str">
        <f>_xlfn.XLOOKUP(A5431,'[1]Tissue Data'!$A:$A,'[1]Tissue Data'!$I:$I)</f>
        <v>gibbosus</v>
      </c>
      <c r="G5431" t="str">
        <f>_xlfn.XLOOKUP(A5431,'[1]Tissue Data'!$A:$A,'[1]Tissue Data'!J:J)</f>
        <v>U</v>
      </c>
      <c r="H5431" t="str">
        <f>_xlfn.XLOOKUP(A5431,'[1]Tissue Data'!$A:$A,'[1]Tissue Data'!K:K)</f>
        <v>Whole Body</v>
      </c>
      <c r="I5431">
        <f>_xlfn.XLOOKUP(A5431,'[1]Tissue Data'!$A:$A,'[1]Tissue Data'!L:L)</f>
        <v>8</v>
      </c>
      <c r="J5431">
        <f>_xlfn.XLOOKUP(A5431,'[1]Tissue Data'!$A:$A,'[1]Tissue Data'!M:M)</f>
        <v>12.21</v>
      </c>
      <c r="K5431" t="s">
        <v>41</v>
      </c>
      <c r="L5431" t="str">
        <f>_xlfn.XLOOKUP(K5431,[2]analyte_order!$B:$B,[2]analyte_order!$C:$C)</f>
        <v>2355-31-9</v>
      </c>
      <c r="M5431">
        <f>_xlfn.XLOOKUP(L5431,[2]analyte_order!$C:$C,[2]analyte_order!$E:$E)</f>
        <v>26</v>
      </c>
      <c r="N5431">
        <v>7.5999999999999998E-2</v>
      </c>
    </row>
    <row r="5432" spans="1:14">
      <c r="A5432" t="s">
        <v>288</v>
      </c>
      <c r="B5432" t="str">
        <f>_xlfn.XLOOKUP(A5432,'[1]Tissue Data'!$A:$A,'[1]Tissue Data'!$C:$C)</f>
        <v>Spill</v>
      </c>
      <c r="C5432" s="2">
        <f>_xlfn.XLOOKUP(A5432,'[1]Tissue Data'!$A:$A,'[1]Tissue Data'!$D:$D)</f>
        <v>44393</v>
      </c>
      <c r="D5432" s="2" t="str">
        <f>_xlfn.XLOOKUP(A5432,'[1]Tissue Data'!$A:$A,'[1]Tissue Data'!$F:$F)</f>
        <v>Pumpkinseed</v>
      </c>
      <c r="E5432" t="str">
        <f>_xlfn.XLOOKUP(A5432,'[1]Tissue Data'!$A:$A,'[1]Tissue Data'!$H:$H)</f>
        <v>Lepomis</v>
      </c>
      <c r="F5432" t="str">
        <f>_xlfn.XLOOKUP(A5432,'[1]Tissue Data'!$A:$A,'[1]Tissue Data'!$I:$I)</f>
        <v>gibbosus</v>
      </c>
      <c r="G5432" t="str">
        <f>_xlfn.XLOOKUP(A5432,'[1]Tissue Data'!$A:$A,'[1]Tissue Data'!J:J)</f>
        <v>U</v>
      </c>
      <c r="H5432" t="str">
        <f>_xlfn.XLOOKUP(A5432,'[1]Tissue Data'!$A:$A,'[1]Tissue Data'!K:K)</f>
        <v>Whole Body</v>
      </c>
      <c r="I5432">
        <f>_xlfn.XLOOKUP(A5432,'[1]Tissue Data'!$A:$A,'[1]Tissue Data'!L:L)</f>
        <v>8</v>
      </c>
      <c r="J5432">
        <f>_xlfn.XLOOKUP(A5432,'[1]Tissue Data'!$A:$A,'[1]Tissue Data'!M:M)</f>
        <v>12.21</v>
      </c>
      <c r="K5432" t="s">
        <v>42</v>
      </c>
      <c r="L5432" t="str">
        <f>_xlfn.XLOOKUP(K5432,[2]analyte_order!$B:$B,[2]analyte_order!$C:$C)</f>
        <v>2991-50-6</v>
      </c>
      <c r="M5432">
        <f>_xlfn.XLOOKUP(L5432,[2]analyte_order!$C:$C,[2]analyte_order!$E:$E)</f>
        <v>27</v>
      </c>
      <c r="N5432">
        <v>6.5500000000000003E-2</v>
      </c>
    </row>
    <row r="5433" spans="1:14">
      <c r="A5433" t="s">
        <v>288</v>
      </c>
      <c r="B5433" t="str">
        <f>_xlfn.XLOOKUP(A5433,'[1]Tissue Data'!$A:$A,'[1]Tissue Data'!$C:$C)</f>
        <v>Spill</v>
      </c>
      <c r="C5433" s="2">
        <f>_xlfn.XLOOKUP(A5433,'[1]Tissue Data'!$A:$A,'[1]Tissue Data'!$D:$D)</f>
        <v>44393</v>
      </c>
      <c r="D5433" s="2" t="str">
        <f>_xlfn.XLOOKUP(A5433,'[1]Tissue Data'!$A:$A,'[1]Tissue Data'!$F:$F)</f>
        <v>Pumpkinseed</v>
      </c>
      <c r="E5433" t="str">
        <f>_xlfn.XLOOKUP(A5433,'[1]Tissue Data'!$A:$A,'[1]Tissue Data'!$H:$H)</f>
        <v>Lepomis</v>
      </c>
      <c r="F5433" t="str">
        <f>_xlfn.XLOOKUP(A5433,'[1]Tissue Data'!$A:$A,'[1]Tissue Data'!$I:$I)</f>
        <v>gibbosus</v>
      </c>
      <c r="G5433" t="str">
        <f>_xlfn.XLOOKUP(A5433,'[1]Tissue Data'!$A:$A,'[1]Tissue Data'!J:J)</f>
        <v>U</v>
      </c>
      <c r="H5433" t="str">
        <f>_xlfn.XLOOKUP(A5433,'[1]Tissue Data'!$A:$A,'[1]Tissue Data'!K:K)</f>
        <v>Whole Body</v>
      </c>
      <c r="I5433">
        <f>_xlfn.XLOOKUP(A5433,'[1]Tissue Data'!$A:$A,'[1]Tissue Data'!L:L)</f>
        <v>8</v>
      </c>
      <c r="J5433">
        <f>_xlfn.XLOOKUP(A5433,'[1]Tissue Data'!$A:$A,'[1]Tissue Data'!M:M)</f>
        <v>12.21</v>
      </c>
      <c r="K5433" t="s">
        <v>43</v>
      </c>
      <c r="L5433" t="str">
        <f>_xlfn.XLOOKUP(K5433,[2]analyte_order!$B:$B,[2]analyte_order!$C:$C)</f>
        <v>757124-72-4</v>
      </c>
      <c r="M5433">
        <f>_xlfn.XLOOKUP(L5433,[2]analyte_order!$C:$C,[2]analyte_order!$E:$E)</f>
        <v>22</v>
      </c>
      <c r="N5433">
        <v>7.5499999999999998E-2</v>
      </c>
    </row>
    <row r="5434" spans="1:14">
      <c r="A5434" t="s">
        <v>288</v>
      </c>
      <c r="B5434" t="str">
        <f>_xlfn.XLOOKUP(A5434,'[1]Tissue Data'!$A:$A,'[1]Tissue Data'!$C:$C)</f>
        <v>Spill</v>
      </c>
      <c r="C5434" s="2">
        <f>_xlfn.XLOOKUP(A5434,'[1]Tissue Data'!$A:$A,'[1]Tissue Data'!$D:$D)</f>
        <v>44393</v>
      </c>
      <c r="D5434" s="2" t="str">
        <f>_xlfn.XLOOKUP(A5434,'[1]Tissue Data'!$A:$A,'[1]Tissue Data'!$F:$F)</f>
        <v>Pumpkinseed</v>
      </c>
      <c r="E5434" t="str">
        <f>_xlfn.XLOOKUP(A5434,'[1]Tissue Data'!$A:$A,'[1]Tissue Data'!$H:$H)</f>
        <v>Lepomis</v>
      </c>
      <c r="F5434" t="str">
        <f>_xlfn.XLOOKUP(A5434,'[1]Tissue Data'!$A:$A,'[1]Tissue Data'!$I:$I)</f>
        <v>gibbosus</v>
      </c>
      <c r="G5434" t="str">
        <f>_xlfn.XLOOKUP(A5434,'[1]Tissue Data'!$A:$A,'[1]Tissue Data'!J:J)</f>
        <v>U</v>
      </c>
      <c r="H5434" t="str">
        <f>_xlfn.XLOOKUP(A5434,'[1]Tissue Data'!$A:$A,'[1]Tissue Data'!K:K)</f>
        <v>Whole Body</v>
      </c>
      <c r="I5434">
        <f>_xlfn.XLOOKUP(A5434,'[1]Tissue Data'!$A:$A,'[1]Tissue Data'!L:L)</f>
        <v>8</v>
      </c>
      <c r="J5434">
        <f>_xlfn.XLOOKUP(A5434,'[1]Tissue Data'!$A:$A,'[1]Tissue Data'!M:M)</f>
        <v>12.21</v>
      </c>
      <c r="K5434" t="s">
        <v>44</v>
      </c>
      <c r="L5434" t="str">
        <f>_xlfn.XLOOKUP(K5434,[2]analyte_order!$B:$B,[2]analyte_order!$C:$C)</f>
        <v>27619-97-2</v>
      </c>
      <c r="M5434">
        <f>_xlfn.XLOOKUP(L5434,[2]analyte_order!$C:$C,[2]analyte_order!$E:$E)</f>
        <v>23</v>
      </c>
      <c r="N5434">
        <v>0.151</v>
      </c>
    </row>
    <row r="5435" spans="1:14">
      <c r="A5435" t="s">
        <v>288</v>
      </c>
      <c r="B5435" t="str">
        <f>_xlfn.XLOOKUP(A5435,'[1]Tissue Data'!$A:$A,'[1]Tissue Data'!$C:$C)</f>
        <v>Spill</v>
      </c>
      <c r="C5435" s="2">
        <f>_xlfn.XLOOKUP(A5435,'[1]Tissue Data'!$A:$A,'[1]Tissue Data'!$D:$D)</f>
        <v>44393</v>
      </c>
      <c r="D5435" s="2" t="str">
        <f>_xlfn.XLOOKUP(A5435,'[1]Tissue Data'!$A:$A,'[1]Tissue Data'!$F:$F)</f>
        <v>Pumpkinseed</v>
      </c>
      <c r="E5435" t="str">
        <f>_xlfn.XLOOKUP(A5435,'[1]Tissue Data'!$A:$A,'[1]Tissue Data'!$H:$H)</f>
        <v>Lepomis</v>
      </c>
      <c r="F5435" t="str">
        <f>_xlfn.XLOOKUP(A5435,'[1]Tissue Data'!$A:$A,'[1]Tissue Data'!$I:$I)</f>
        <v>gibbosus</v>
      </c>
      <c r="G5435" t="str">
        <f>_xlfn.XLOOKUP(A5435,'[1]Tissue Data'!$A:$A,'[1]Tissue Data'!J:J)</f>
        <v>U</v>
      </c>
      <c r="H5435" t="str">
        <f>_xlfn.XLOOKUP(A5435,'[1]Tissue Data'!$A:$A,'[1]Tissue Data'!K:K)</f>
        <v>Whole Body</v>
      </c>
      <c r="I5435">
        <f>_xlfn.XLOOKUP(A5435,'[1]Tissue Data'!$A:$A,'[1]Tissue Data'!L:L)</f>
        <v>8</v>
      </c>
      <c r="J5435">
        <f>_xlfn.XLOOKUP(A5435,'[1]Tissue Data'!$A:$A,'[1]Tissue Data'!M:M)</f>
        <v>12.21</v>
      </c>
      <c r="K5435" t="s">
        <v>45</v>
      </c>
      <c r="L5435" t="str">
        <f>_xlfn.XLOOKUP(K5435,[2]analyte_order!$B:$B,[2]analyte_order!$C:$C)</f>
        <v>39108-34-4</v>
      </c>
      <c r="M5435">
        <f>_xlfn.XLOOKUP(L5435,[2]analyte_order!$C:$C,[2]analyte_order!$E:$E)</f>
        <v>24</v>
      </c>
      <c r="N5435">
        <v>1.62</v>
      </c>
    </row>
    <row r="5436" spans="1:14">
      <c r="A5436" t="s">
        <v>288</v>
      </c>
      <c r="B5436" t="str">
        <f>_xlfn.XLOOKUP(A5436,'[1]Tissue Data'!$A:$A,'[1]Tissue Data'!$C:$C)</f>
        <v>Spill</v>
      </c>
      <c r="C5436" s="2">
        <f>_xlfn.XLOOKUP(A5436,'[1]Tissue Data'!$A:$A,'[1]Tissue Data'!$D:$D)</f>
        <v>44393</v>
      </c>
      <c r="D5436" s="2" t="str">
        <f>_xlfn.XLOOKUP(A5436,'[1]Tissue Data'!$A:$A,'[1]Tissue Data'!$F:$F)</f>
        <v>Pumpkinseed</v>
      </c>
      <c r="E5436" t="str">
        <f>_xlfn.XLOOKUP(A5436,'[1]Tissue Data'!$A:$A,'[1]Tissue Data'!$H:$H)</f>
        <v>Lepomis</v>
      </c>
      <c r="F5436" t="str">
        <f>_xlfn.XLOOKUP(A5436,'[1]Tissue Data'!$A:$A,'[1]Tissue Data'!$I:$I)</f>
        <v>gibbosus</v>
      </c>
      <c r="G5436" t="str">
        <f>_xlfn.XLOOKUP(A5436,'[1]Tissue Data'!$A:$A,'[1]Tissue Data'!J:J)</f>
        <v>U</v>
      </c>
      <c r="H5436" t="str">
        <f>_xlfn.XLOOKUP(A5436,'[1]Tissue Data'!$A:$A,'[1]Tissue Data'!K:K)</f>
        <v>Whole Body</v>
      </c>
      <c r="I5436">
        <f>_xlfn.XLOOKUP(A5436,'[1]Tissue Data'!$A:$A,'[1]Tissue Data'!L:L)</f>
        <v>8</v>
      </c>
      <c r="J5436">
        <f>_xlfn.XLOOKUP(A5436,'[1]Tissue Data'!$A:$A,'[1]Tissue Data'!M:M)</f>
        <v>12.21</v>
      </c>
      <c r="K5436" t="s">
        <v>46</v>
      </c>
      <c r="L5436" t="str">
        <f>_xlfn.XLOOKUP(K5436,[2]analyte_order!$B:$B,[2]analyte_order!$C:$C)</f>
        <v>120226-60-0</v>
      </c>
      <c r="M5436">
        <f>_xlfn.XLOOKUP(L5436,[2]analyte_order!$C:$C,[2]analyte_order!$E:$E)</f>
        <v>25</v>
      </c>
      <c r="N5436">
        <v>0.28399999999999997</v>
      </c>
    </row>
    <row r="5437" spans="1:14">
      <c r="A5437" t="s">
        <v>288</v>
      </c>
      <c r="B5437" t="str">
        <f>_xlfn.XLOOKUP(A5437,'[1]Tissue Data'!$A:$A,'[1]Tissue Data'!$C:$C)</f>
        <v>Spill</v>
      </c>
      <c r="C5437" s="2">
        <f>_xlfn.XLOOKUP(A5437,'[1]Tissue Data'!$A:$A,'[1]Tissue Data'!$D:$D)</f>
        <v>44393</v>
      </c>
      <c r="D5437" s="2" t="str">
        <f>_xlfn.XLOOKUP(A5437,'[1]Tissue Data'!$A:$A,'[1]Tissue Data'!$F:$F)</f>
        <v>Pumpkinseed</v>
      </c>
      <c r="E5437" t="str">
        <f>_xlfn.XLOOKUP(A5437,'[1]Tissue Data'!$A:$A,'[1]Tissue Data'!$H:$H)</f>
        <v>Lepomis</v>
      </c>
      <c r="F5437" t="str">
        <f>_xlfn.XLOOKUP(A5437,'[1]Tissue Data'!$A:$A,'[1]Tissue Data'!$I:$I)</f>
        <v>gibbosus</v>
      </c>
      <c r="G5437" t="str">
        <f>_xlfn.XLOOKUP(A5437,'[1]Tissue Data'!$A:$A,'[1]Tissue Data'!J:J)</f>
        <v>U</v>
      </c>
      <c r="H5437" t="str">
        <f>_xlfn.XLOOKUP(A5437,'[1]Tissue Data'!$A:$A,'[1]Tissue Data'!K:K)</f>
        <v>Whole Body</v>
      </c>
      <c r="I5437">
        <f>_xlfn.XLOOKUP(A5437,'[1]Tissue Data'!$A:$A,'[1]Tissue Data'!L:L)</f>
        <v>8</v>
      </c>
      <c r="J5437">
        <f>_xlfn.XLOOKUP(A5437,'[1]Tissue Data'!$A:$A,'[1]Tissue Data'!M:M)</f>
        <v>12.21</v>
      </c>
      <c r="K5437" t="s">
        <v>47</v>
      </c>
      <c r="L5437" t="str">
        <f>_xlfn.XLOOKUP(K5437,[2]analyte_order!$B:$B,[2]analyte_order!$C:$C)</f>
        <v>356-02-5</v>
      </c>
      <c r="M5437">
        <f>_xlfn.XLOOKUP(L5437,[2]analyte_order!$C:$C,[2]analyte_order!$E:$E)</f>
        <v>38</v>
      </c>
      <c r="N5437">
        <v>8.7499999999999994E-2</v>
      </c>
    </row>
    <row r="5438" spans="1:14">
      <c r="A5438" t="s">
        <v>288</v>
      </c>
      <c r="B5438" t="str">
        <f>_xlfn.XLOOKUP(A5438,'[1]Tissue Data'!$A:$A,'[1]Tissue Data'!$C:$C)</f>
        <v>Spill</v>
      </c>
      <c r="C5438" s="2">
        <f>_xlfn.XLOOKUP(A5438,'[1]Tissue Data'!$A:$A,'[1]Tissue Data'!$D:$D)</f>
        <v>44393</v>
      </c>
      <c r="D5438" s="2" t="str">
        <f>_xlfn.XLOOKUP(A5438,'[1]Tissue Data'!$A:$A,'[1]Tissue Data'!$F:$F)</f>
        <v>Pumpkinseed</v>
      </c>
      <c r="E5438" t="str">
        <f>_xlfn.XLOOKUP(A5438,'[1]Tissue Data'!$A:$A,'[1]Tissue Data'!$H:$H)</f>
        <v>Lepomis</v>
      </c>
      <c r="F5438" t="str">
        <f>_xlfn.XLOOKUP(A5438,'[1]Tissue Data'!$A:$A,'[1]Tissue Data'!$I:$I)</f>
        <v>gibbosus</v>
      </c>
      <c r="G5438" t="str">
        <f>_xlfn.XLOOKUP(A5438,'[1]Tissue Data'!$A:$A,'[1]Tissue Data'!J:J)</f>
        <v>U</v>
      </c>
      <c r="H5438" t="str">
        <f>_xlfn.XLOOKUP(A5438,'[1]Tissue Data'!$A:$A,'[1]Tissue Data'!K:K)</f>
        <v>Whole Body</v>
      </c>
      <c r="I5438">
        <f>_xlfn.XLOOKUP(A5438,'[1]Tissue Data'!$A:$A,'[1]Tissue Data'!L:L)</f>
        <v>8</v>
      </c>
      <c r="J5438">
        <f>_xlfn.XLOOKUP(A5438,'[1]Tissue Data'!$A:$A,'[1]Tissue Data'!M:M)</f>
        <v>12.21</v>
      </c>
      <c r="K5438" t="s">
        <v>48</v>
      </c>
      <c r="L5438" t="str">
        <f>_xlfn.XLOOKUP(K5438,[2]analyte_order!$B:$B,[2]analyte_order!$C:$C)</f>
        <v>914637-49-3</v>
      </c>
      <c r="M5438">
        <f>_xlfn.XLOOKUP(L5438,[2]analyte_order!$C:$C,[2]analyte_order!$E:$E)</f>
        <v>39</v>
      </c>
      <c r="N5438">
        <v>7.19</v>
      </c>
    </row>
    <row r="5439" spans="1:14">
      <c r="A5439" t="s">
        <v>288</v>
      </c>
      <c r="B5439" t="str">
        <f>_xlfn.XLOOKUP(A5439,'[1]Tissue Data'!$A:$A,'[1]Tissue Data'!$C:$C)</f>
        <v>Spill</v>
      </c>
      <c r="C5439" s="2">
        <f>_xlfn.XLOOKUP(A5439,'[1]Tissue Data'!$A:$A,'[1]Tissue Data'!$D:$D)</f>
        <v>44393</v>
      </c>
      <c r="D5439" s="2" t="str">
        <f>_xlfn.XLOOKUP(A5439,'[1]Tissue Data'!$A:$A,'[1]Tissue Data'!$F:$F)</f>
        <v>Pumpkinseed</v>
      </c>
      <c r="E5439" t="str">
        <f>_xlfn.XLOOKUP(A5439,'[1]Tissue Data'!$A:$A,'[1]Tissue Data'!$H:$H)</f>
        <v>Lepomis</v>
      </c>
      <c r="F5439" t="str">
        <f>_xlfn.XLOOKUP(A5439,'[1]Tissue Data'!$A:$A,'[1]Tissue Data'!$I:$I)</f>
        <v>gibbosus</v>
      </c>
      <c r="G5439" t="str">
        <f>_xlfn.XLOOKUP(A5439,'[1]Tissue Data'!$A:$A,'[1]Tissue Data'!J:J)</f>
        <v>U</v>
      </c>
      <c r="H5439" t="str">
        <f>_xlfn.XLOOKUP(A5439,'[1]Tissue Data'!$A:$A,'[1]Tissue Data'!K:K)</f>
        <v>Whole Body</v>
      </c>
      <c r="I5439">
        <f>_xlfn.XLOOKUP(A5439,'[1]Tissue Data'!$A:$A,'[1]Tissue Data'!L:L)</f>
        <v>8</v>
      </c>
      <c r="J5439">
        <f>_xlfn.XLOOKUP(A5439,'[1]Tissue Data'!$A:$A,'[1]Tissue Data'!M:M)</f>
        <v>12.21</v>
      </c>
      <c r="K5439" t="s">
        <v>49</v>
      </c>
      <c r="L5439" t="str">
        <f>_xlfn.XLOOKUP(K5439,[2]analyte_order!$B:$B,[2]analyte_order!$C:$C)</f>
        <v>812-70-4</v>
      </c>
      <c r="M5439">
        <f>_xlfn.XLOOKUP(L5439,[2]analyte_order!$C:$C,[2]analyte_order!$E:$E)</f>
        <v>40</v>
      </c>
      <c r="N5439">
        <v>5.48</v>
      </c>
    </row>
    <row r="5440" spans="1:14">
      <c r="A5440" t="s">
        <v>288</v>
      </c>
      <c r="B5440" t="str">
        <f>_xlfn.XLOOKUP(A5440,'[1]Tissue Data'!$A:$A,'[1]Tissue Data'!$C:$C)</f>
        <v>Spill</v>
      </c>
      <c r="C5440" s="2">
        <f>_xlfn.XLOOKUP(A5440,'[1]Tissue Data'!$A:$A,'[1]Tissue Data'!$D:$D)</f>
        <v>44393</v>
      </c>
      <c r="D5440" s="2" t="str">
        <f>_xlfn.XLOOKUP(A5440,'[1]Tissue Data'!$A:$A,'[1]Tissue Data'!$F:$F)</f>
        <v>Pumpkinseed</v>
      </c>
      <c r="E5440" t="str">
        <f>_xlfn.XLOOKUP(A5440,'[1]Tissue Data'!$A:$A,'[1]Tissue Data'!$H:$H)</f>
        <v>Lepomis</v>
      </c>
      <c r="F5440" t="str">
        <f>_xlfn.XLOOKUP(A5440,'[1]Tissue Data'!$A:$A,'[1]Tissue Data'!$I:$I)</f>
        <v>gibbosus</v>
      </c>
      <c r="G5440" t="str">
        <f>_xlfn.XLOOKUP(A5440,'[1]Tissue Data'!$A:$A,'[1]Tissue Data'!J:J)</f>
        <v>U</v>
      </c>
      <c r="H5440" t="str">
        <f>_xlfn.XLOOKUP(A5440,'[1]Tissue Data'!$A:$A,'[1]Tissue Data'!K:K)</f>
        <v>Whole Body</v>
      </c>
      <c r="I5440">
        <f>_xlfn.XLOOKUP(A5440,'[1]Tissue Data'!$A:$A,'[1]Tissue Data'!L:L)</f>
        <v>8</v>
      </c>
      <c r="J5440">
        <f>_xlfn.XLOOKUP(A5440,'[1]Tissue Data'!$A:$A,'[1]Tissue Data'!M:M)</f>
        <v>12.21</v>
      </c>
      <c r="K5440" t="s">
        <v>50</v>
      </c>
      <c r="L5440" t="str">
        <f>_xlfn.XLOOKUP(K5440,[2]analyte_order!$B:$B,[2]analyte_order!$C:$C)</f>
        <v>53826-12-3</v>
      </c>
      <c r="M5440">
        <f>_xlfn.XLOOKUP(L5440,[2]analyte_order!$C:$C,[2]analyte_order!$E:$E)</f>
        <v>41</v>
      </c>
      <c r="N5440">
        <v>7.5499999999999998E-2</v>
      </c>
    </row>
    <row r="5441" spans="1:14">
      <c r="A5441" t="s">
        <v>288</v>
      </c>
      <c r="B5441" t="str">
        <f>_xlfn.XLOOKUP(A5441,'[1]Tissue Data'!$A:$A,'[1]Tissue Data'!$C:$C)</f>
        <v>Spill</v>
      </c>
      <c r="C5441" s="2">
        <f>_xlfn.XLOOKUP(A5441,'[1]Tissue Data'!$A:$A,'[1]Tissue Data'!$D:$D)</f>
        <v>44393</v>
      </c>
      <c r="D5441" s="2" t="str">
        <f>_xlfn.XLOOKUP(A5441,'[1]Tissue Data'!$A:$A,'[1]Tissue Data'!$F:$F)</f>
        <v>Pumpkinseed</v>
      </c>
      <c r="E5441" t="str">
        <f>_xlfn.XLOOKUP(A5441,'[1]Tissue Data'!$A:$A,'[1]Tissue Data'!$H:$H)</f>
        <v>Lepomis</v>
      </c>
      <c r="F5441" t="str">
        <f>_xlfn.XLOOKUP(A5441,'[1]Tissue Data'!$A:$A,'[1]Tissue Data'!$I:$I)</f>
        <v>gibbosus</v>
      </c>
      <c r="G5441" t="str">
        <f>_xlfn.XLOOKUP(A5441,'[1]Tissue Data'!$A:$A,'[1]Tissue Data'!J:J)</f>
        <v>U</v>
      </c>
      <c r="H5441" t="str">
        <f>_xlfn.XLOOKUP(A5441,'[1]Tissue Data'!$A:$A,'[1]Tissue Data'!K:K)</f>
        <v>Whole Body</v>
      </c>
      <c r="I5441">
        <f>_xlfn.XLOOKUP(A5441,'[1]Tissue Data'!$A:$A,'[1]Tissue Data'!L:L)</f>
        <v>8</v>
      </c>
      <c r="J5441">
        <f>_xlfn.XLOOKUP(A5441,'[1]Tissue Data'!$A:$A,'[1]Tissue Data'!M:M)</f>
        <v>12.21</v>
      </c>
      <c r="K5441" t="s">
        <v>51</v>
      </c>
      <c r="L5441" t="str">
        <f>_xlfn.XLOOKUP(K5441,[2]analyte_order!$B:$B,[2]analyte_order!$C:$C)</f>
        <v>27854-31-5</v>
      </c>
      <c r="M5441">
        <f>_xlfn.XLOOKUP(L5441,[2]analyte_order!$C:$C,[2]analyte_order!$E:$E)</f>
        <v>42</v>
      </c>
      <c r="N5441">
        <v>7.5499999999999998E-2</v>
      </c>
    </row>
    <row r="5442" spans="1:14">
      <c r="A5442" t="s">
        <v>288</v>
      </c>
      <c r="B5442" t="str">
        <f>_xlfn.XLOOKUP(A5442,'[1]Tissue Data'!$A:$A,'[1]Tissue Data'!$C:$C)</f>
        <v>Spill</v>
      </c>
      <c r="C5442" s="2">
        <f>_xlfn.XLOOKUP(A5442,'[1]Tissue Data'!$A:$A,'[1]Tissue Data'!$D:$D)</f>
        <v>44393</v>
      </c>
      <c r="D5442" s="2" t="str">
        <f>_xlfn.XLOOKUP(A5442,'[1]Tissue Data'!$A:$A,'[1]Tissue Data'!$F:$F)</f>
        <v>Pumpkinseed</v>
      </c>
      <c r="E5442" t="str">
        <f>_xlfn.XLOOKUP(A5442,'[1]Tissue Data'!$A:$A,'[1]Tissue Data'!$H:$H)</f>
        <v>Lepomis</v>
      </c>
      <c r="F5442" t="str">
        <f>_xlfn.XLOOKUP(A5442,'[1]Tissue Data'!$A:$A,'[1]Tissue Data'!$I:$I)</f>
        <v>gibbosus</v>
      </c>
      <c r="G5442" t="str">
        <f>_xlfn.XLOOKUP(A5442,'[1]Tissue Data'!$A:$A,'[1]Tissue Data'!J:J)</f>
        <v>U</v>
      </c>
      <c r="H5442" t="str">
        <f>_xlfn.XLOOKUP(A5442,'[1]Tissue Data'!$A:$A,'[1]Tissue Data'!K:K)</f>
        <v>Whole Body</v>
      </c>
      <c r="I5442">
        <f>_xlfn.XLOOKUP(A5442,'[1]Tissue Data'!$A:$A,'[1]Tissue Data'!L:L)</f>
        <v>8</v>
      </c>
      <c r="J5442">
        <f>_xlfn.XLOOKUP(A5442,'[1]Tissue Data'!$A:$A,'[1]Tissue Data'!M:M)</f>
        <v>12.21</v>
      </c>
      <c r="K5442" t="s">
        <v>52</v>
      </c>
      <c r="L5442" t="str">
        <f>_xlfn.XLOOKUP(K5442,[2]analyte_order!$B:$B,[2]analyte_order!$C:$C)</f>
        <v>53826-13-4</v>
      </c>
      <c r="M5442">
        <f>_xlfn.XLOOKUP(L5442,[2]analyte_order!$C:$C,[2]analyte_order!$E:$E)</f>
        <v>43</v>
      </c>
      <c r="N5442">
        <v>0.113</v>
      </c>
    </row>
    <row r="5443" spans="1:14">
      <c r="A5443" t="s">
        <v>288</v>
      </c>
      <c r="B5443" t="str">
        <f>_xlfn.XLOOKUP(A5443,'[1]Tissue Data'!$A:$A,'[1]Tissue Data'!$C:$C)</f>
        <v>Spill</v>
      </c>
      <c r="C5443" s="2">
        <f>_xlfn.XLOOKUP(A5443,'[1]Tissue Data'!$A:$A,'[1]Tissue Data'!$D:$D)</f>
        <v>44393</v>
      </c>
      <c r="D5443" s="2" t="str">
        <f>_xlfn.XLOOKUP(A5443,'[1]Tissue Data'!$A:$A,'[1]Tissue Data'!$F:$F)</f>
        <v>Pumpkinseed</v>
      </c>
      <c r="E5443" t="str">
        <f>_xlfn.XLOOKUP(A5443,'[1]Tissue Data'!$A:$A,'[1]Tissue Data'!$H:$H)</f>
        <v>Lepomis</v>
      </c>
      <c r="F5443" t="str">
        <f>_xlfn.XLOOKUP(A5443,'[1]Tissue Data'!$A:$A,'[1]Tissue Data'!$I:$I)</f>
        <v>gibbosus</v>
      </c>
      <c r="G5443" t="str">
        <f>_xlfn.XLOOKUP(A5443,'[1]Tissue Data'!$A:$A,'[1]Tissue Data'!J:J)</f>
        <v>U</v>
      </c>
      <c r="H5443" t="str">
        <f>_xlfn.XLOOKUP(A5443,'[1]Tissue Data'!$A:$A,'[1]Tissue Data'!K:K)</f>
        <v>Whole Body</v>
      </c>
      <c r="I5443">
        <f>_xlfn.XLOOKUP(A5443,'[1]Tissue Data'!$A:$A,'[1]Tissue Data'!L:L)</f>
        <v>8</v>
      </c>
      <c r="J5443">
        <f>_xlfn.XLOOKUP(A5443,'[1]Tissue Data'!$A:$A,'[1]Tissue Data'!M:M)</f>
        <v>12.21</v>
      </c>
      <c r="K5443" t="s">
        <v>53</v>
      </c>
      <c r="L5443" t="str">
        <f>_xlfn.XLOOKUP(K5443,[2]analyte_order!$B:$B,[2]analyte_order!$C:$C)</f>
        <v>161094-75-3</v>
      </c>
      <c r="M5443">
        <f>_xlfn.XLOOKUP(L5443,[2]analyte_order!$C:$C,[2]analyte_order!$E:$E)</f>
        <v>44</v>
      </c>
      <c r="N5443">
        <v>5.9499999999999997E-2</v>
      </c>
    </row>
    <row r="5444" spans="1:14">
      <c r="A5444" t="s">
        <v>288</v>
      </c>
      <c r="B5444" t="str">
        <f>_xlfn.XLOOKUP(A5444,'[1]Tissue Data'!$A:$A,'[1]Tissue Data'!$C:$C)</f>
        <v>Spill</v>
      </c>
      <c r="C5444" s="2">
        <f>_xlfn.XLOOKUP(A5444,'[1]Tissue Data'!$A:$A,'[1]Tissue Data'!$D:$D)</f>
        <v>44393</v>
      </c>
      <c r="D5444" s="2" t="str">
        <f>_xlfn.XLOOKUP(A5444,'[1]Tissue Data'!$A:$A,'[1]Tissue Data'!$F:$F)</f>
        <v>Pumpkinseed</v>
      </c>
      <c r="E5444" t="str">
        <f>_xlfn.XLOOKUP(A5444,'[1]Tissue Data'!$A:$A,'[1]Tissue Data'!$H:$H)</f>
        <v>Lepomis</v>
      </c>
      <c r="F5444" t="str">
        <f>_xlfn.XLOOKUP(A5444,'[1]Tissue Data'!$A:$A,'[1]Tissue Data'!$I:$I)</f>
        <v>gibbosus</v>
      </c>
      <c r="G5444" t="str">
        <f>_xlfn.XLOOKUP(A5444,'[1]Tissue Data'!$A:$A,'[1]Tissue Data'!J:J)</f>
        <v>U</v>
      </c>
      <c r="H5444" t="str">
        <f>_xlfn.XLOOKUP(A5444,'[1]Tissue Data'!$A:$A,'[1]Tissue Data'!K:K)</f>
        <v>Whole Body</v>
      </c>
      <c r="I5444">
        <f>_xlfn.XLOOKUP(A5444,'[1]Tissue Data'!$A:$A,'[1]Tissue Data'!L:L)</f>
        <v>8</v>
      </c>
      <c r="J5444">
        <f>_xlfn.XLOOKUP(A5444,'[1]Tissue Data'!$A:$A,'[1]Tissue Data'!M:M)</f>
        <v>12.21</v>
      </c>
      <c r="K5444" t="s">
        <v>54</v>
      </c>
      <c r="L5444" t="str">
        <f>_xlfn.XLOOKUP(K5444,[2]analyte_order!$B:$B,[2]analyte_order!$C:$C)</f>
        <v>70887-84-2</v>
      </c>
      <c r="M5444">
        <f>_xlfn.XLOOKUP(L5444,[2]analyte_order!$C:$C,[2]analyte_order!$E:$E)</f>
        <v>45</v>
      </c>
      <c r="N5444">
        <v>4.5749999999999999E-2</v>
      </c>
    </row>
    <row r="5445" spans="1:14">
      <c r="A5445" t="s">
        <v>288</v>
      </c>
      <c r="B5445" t="str">
        <f>_xlfn.XLOOKUP(A5445,'[1]Tissue Data'!$A:$A,'[1]Tissue Data'!$C:$C)</f>
        <v>Spill</v>
      </c>
      <c r="C5445" s="2">
        <f>_xlfn.XLOOKUP(A5445,'[1]Tissue Data'!$A:$A,'[1]Tissue Data'!$D:$D)</f>
        <v>44393</v>
      </c>
      <c r="D5445" s="2" t="str">
        <f>_xlfn.XLOOKUP(A5445,'[1]Tissue Data'!$A:$A,'[1]Tissue Data'!$F:$F)</f>
        <v>Pumpkinseed</v>
      </c>
      <c r="E5445" t="str">
        <f>_xlfn.XLOOKUP(A5445,'[1]Tissue Data'!$A:$A,'[1]Tissue Data'!$H:$H)</f>
        <v>Lepomis</v>
      </c>
      <c r="F5445" t="str">
        <f>_xlfn.XLOOKUP(A5445,'[1]Tissue Data'!$A:$A,'[1]Tissue Data'!$I:$I)</f>
        <v>gibbosus</v>
      </c>
      <c r="G5445" t="str">
        <f>_xlfn.XLOOKUP(A5445,'[1]Tissue Data'!$A:$A,'[1]Tissue Data'!J:J)</f>
        <v>U</v>
      </c>
      <c r="H5445" t="str">
        <f>_xlfn.XLOOKUP(A5445,'[1]Tissue Data'!$A:$A,'[1]Tissue Data'!K:K)</f>
        <v>Whole Body</v>
      </c>
      <c r="I5445">
        <f>_xlfn.XLOOKUP(A5445,'[1]Tissue Data'!$A:$A,'[1]Tissue Data'!L:L)</f>
        <v>8</v>
      </c>
      <c r="J5445">
        <f>_xlfn.XLOOKUP(A5445,'[1]Tissue Data'!$A:$A,'[1]Tissue Data'!M:M)</f>
        <v>12.21</v>
      </c>
      <c r="K5445" t="s">
        <v>55</v>
      </c>
      <c r="L5445" t="str">
        <f>_xlfn.XLOOKUP(K5445,[2]analyte_order!$B:$B,[2]analyte_order!$C:$C)</f>
        <v>919005-14-4</v>
      </c>
      <c r="M5445">
        <f>_xlfn.XLOOKUP(L5445,[2]analyte_order!$C:$C,[2]analyte_order!$E:$E)</f>
        <v>35</v>
      </c>
      <c r="N5445">
        <v>6.7000000000000004E-2</v>
      </c>
    </row>
    <row r="5446" spans="1:14">
      <c r="A5446" t="s">
        <v>288</v>
      </c>
      <c r="B5446" t="str">
        <f>_xlfn.XLOOKUP(A5446,'[1]Tissue Data'!$A:$A,'[1]Tissue Data'!$C:$C)</f>
        <v>Spill</v>
      </c>
      <c r="C5446" s="2">
        <f>_xlfn.XLOOKUP(A5446,'[1]Tissue Data'!$A:$A,'[1]Tissue Data'!$D:$D)</f>
        <v>44393</v>
      </c>
      <c r="D5446" s="2" t="str">
        <f>_xlfn.XLOOKUP(A5446,'[1]Tissue Data'!$A:$A,'[1]Tissue Data'!$F:$F)</f>
        <v>Pumpkinseed</v>
      </c>
      <c r="E5446" t="str">
        <f>_xlfn.XLOOKUP(A5446,'[1]Tissue Data'!$A:$A,'[1]Tissue Data'!$H:$H)</f>
        <v>Lepomis</v>
      </c>
      <c r="F5446" t="str">
        <f>_xlfn.XLOOKUP(A5446,'[1]Tissue Data'!$A:$A,'[1]Tissue Data'!$I:$I)</f>
        <v>gibbosus</v>
      </c>
      <c r="G5446" t="str">
        <f>_xlfn.XLOOKUP(A5446,'[1]Tissue Data'!$A:$A,'[1]Tissue Data'!J:J)</f>
        <v>U</v>
      </c>
      <c r="H5446" t="str">
        <f>_xlfn.XLOOKUP(A5446,'[1]Tissue Data'!$A:$A,'[1]Tissue Data'!K:K)</f>
        <v>Whole Body</v>
      </c>
      <c r="I5446">
        <f>_xlfn.XLOOKUP(A5446,'[1]Tissue Data'!$A:$A,'[1]Tissue Data'!L:L)</f>
        <v>8</v>
      </c>
      <c r="J5446">
        <f>_xlfn.XLOOKUP(A5446,'[1]Tissue Data'!$A:$A,'[1]Tissue Data'!M:M)</f>
        <v>12.21</v>
      </c>
      <c r="K5446" t="s">
        <v>56</v>
      </c>
      <c r="L5446" t="str">
        <f>_xlfn.XLOOKUP(K5446,[2]analyte_order!$B:$B,[2]analyte_order!$C:$C)</f>
        <v>756426-58-1</v>
      </c>
      <c r="M5446">
        <f>_xlfn.XLOOKUP(L5446,[2]analyte_order!$C:$C,[2]analyte_order!$E:$E)</f>
        <v>36</v>
      </c>
      <c r="N5446">
        <v>7.5499999999999998E-2</v>
      </c>
    </row>
    <row r="5447" spans="1:14">
      <c r="A5447" t="s">
        <v>288</v>
      </c>
      <c r="B5447" t="str">
        <f>_xlfn.XLOOKUP(A5447,'[1]Tissue Data'!$A:$A,'[1]Tissue Data'!$C:$C)</f>
        <v>Spill</v>
      </c>
      <c r="C5447" s="2">
        <f>_xlfn.XLOOKUP(A5447,'[1]Tissue Data'!$A:$A,'[1]Tissue Data'!$D:$D)</f>
        <v>44393</v>
      </c>
      <c r="D5447" s="2" t="str">
        <f>_xlfn.XLOOKUP(A5447,'[1]Tissue Data'!$A:$A,'[1]Tissue Data'!$F:$F)</f>
        <v>Pumpkinseed</v>
      </c>
      <c r="E5447" t="str">
        <f>_xlfn.XLOOKUP(A5447,'[1]Tissue Data'!$A:$A,'[1]Tissue Data'!$H:$H)</f>
        <v>Lepomis</v>
      </c>
      <c r="F5447" t="str">
        <f>_xlfn.XLOOKUP(A5447,'[1]Tissue Data'!$A:$A,'[1]Tissue Data'!$I:$I)</f>
        <v>gibbosus</v>
      </c>
      <c r="G5447" t="str">
        <f>_xlfn.XLOOKUP(A5447,'[1]Tissue Data'!$A:$A,'[1]Tissue Data'!J:J)</f>
        <v>U</v>
      </c>
      <c r="H5447" t="str">
        <f>_xlfn.XLOOKUP(A5447,'[1]Tissue Data'!$A:$A,'[1]Tissue Data'!K:K)</f>
        <v>Whole Body</v>
      </c>
      <c r="I5447">
        <f>_xlfn.XLOOKUP(A5447,'[1]Tissue Data'!$A:$A,'[1]Tissue Data'!L:L)</f>
        <v>8</v>
      </c>
      <c r="J5447">
        <f>_xlfn.XLOOKUP(A5447,'[1]Tissue Data'!$A:$A,'[1]Tissue Data'!M:M)</f>
        <v>12.21</v>
      </c>
      <c r="K5447" t="s">
        <v>57</v>
      </c>
      <c r="L5447" t="str">
        <f>_xlfn.XLOOKUP(K5447,[2]analyte_order!$B:$B,[2]analyte_order!$C:$C)</f>
        <v>763051-92-9</v>
      </c>
      <c r="M5447">
        <f>_xlfn.XLOOKUP(L5447,[2]analyte_order!$C:$C,[2]analyte_order!$E:$E)</f>
        <v>37</v>
      </c>
      <c r="N5447">
        <v>7.5499999999999998E-2</v>
      </c>
    </row>
    <row r="5448" spans="1:14">
      <c r="A5448" t="s">
        <v>288</v>
      </c>
      <c r="B5448" t="str">
        <f>_xlfn.XLOOKUP(A5448,'[1]Tissue Data'!$A:$A,'[1]Tissue Data'!$C:$C)</f>
        <v>Spill</v>
      </c>
      <c r="C5448" s="2">
        <f>_xlfn.XLOOKUP(A5448,'[1]Tissue Data'!$A:$A,'[1]Tissue Data'!$D:$D)</f>
        <v>44393</v>
      </c>
      <c r="D5448" s="2" t="str">
        <f>_xlfn.XLOOKUP(A5448,'[1]Tissue Data'!$A:$A,'[1]Tissue Data'!$F:$F)</f>
        <v>Pumpkinseed</v>
      </c>
      <c r="E5448" t="str">
        <f>_xlfn.XLOOKUP(A5448,'[1]Tissue Data'!$A:$A,'[1]Tissue Data'!$H:$H)</f>
        <v>Lepomis</v>
      </c>
      <c r="F5448" t="str">
        <f>_xlfn.XLOOKUP(A5448,'[1]Tissue Data'!$A:$A,'[1]Tissue Data'!$I:$I)</f>
        <v>gibbosus</v>
      </c>
      <c r="G5448" t="str">
        <f>_xlfn.XLOOKUP(A5448,'[1]Tissue Data'!$A:$A,'[1]Tissue Data'!J:J)</f>
        <v>U</v>
      </c>
      <c r="H5448" t="str">
        <f>_xlfn.XLOOKUP(A5448,'[1]Tissue Data'!$A:$A,'[1]Tissue Data'!K:K)</f>
        <v>Whole Body</v>
      </c>
      <c r="I5448">
        <f>_xlfn.XLOOKUP(A5448,'[1]Tissue Data'!$A:$A,'[1]Tissue Data'!L:L)</f>
        <v>8</v>
      </c>
      <c r="J5448">
        <f>_xlfn.XLOOKUP(A5448,'[1]Tissue Data'!$A:$A,'[1]Tissue Data'!M:M)</f>
        <v>12.21</v>
      </c>
      <c r="K5448" t="s">
        <v>58</v>
      </c>
      <c r="L5448" t="str">
        <f>_xlfn.XLOOKUP(K5448,[2]analyte_order!$B:$B,[2]analyte_order!$C:$C)</f>
        <v>13252-13-6</v>
      </c>
      <c r="M5448">
        <f>_xlfn.XLOOKUP(L5448,[2]analyte_order!$C:$C,[2]analyte_order!$E:$E)</f>
        <v>34</v>
      </c>
      <c r="N5448">
        <v>0.1085</v>
      </c>
    </row>
    <row r="5449" spans="1:14">
      <c r="A5449" t="s">
        <v>288</v>
      </c>
      <c r="B5449" t="str">
        <f>_xlfn.XLOOKUP(A5449,'[1]Tissue Data'!$A:$A,'[1]Tissue Data'!$C:$C)</f>
        <v>Spill</v>
      </c>
      <c r="C5449" s="2">
        <f>_xlfn.XLOOKUP(A5449,'[1]Tissue Data'!$A:$A,'[1]Tissue Data'!$D:$D)</f>
        <v>44393</v>
      </c>
      <c r="D5449" s="2" t="str">
        <f>_xlfn.XLOOKUP(A5449,'[1]Tissue Data'!$A:$A,'[1]Tissue Data'!$F:$F)</f>
        <v>Pumpkinseed</v>
      </c>
      <c r="E5449" t="str">
        <f>_xlfn.XLOOKUP(A5449,'[1]Tissue Data'!$A:$A,'[1]Tissue Data'!$H:$H)</f>
        <v>Lepomis</v>
      </c>
      <c r="F5449" t="str">
        <f>_xlfn.XLOOKUP(A5449,'[1]Tissue Data'!$A:$A,'[1]Tissue Data'!$I:$I)</f>
        <v>gibbosus</v>
      </c>
      <c r="G5449" t="str">
        <f>_xlfn.XLOOKUP(A5449,'[1]Tissue Data'!$A:$A,'[1]Tissue Data'!J:J)</f>
        <v>U</v>
      </c>
      <c r="H5449" t="str">
        <f>_xlfn.XLOOKUP(A5449,'[1]Tissue Data'!$A:$A,'[1]Tissue Data'!K:K)</f>
        <v>Whole Body</v>
      </c>
      <c r="I5449">
        <f>_xlfn.XLOOKUP(A5449,'[1]Tissue Data'!$A:$A,'[1]Tissue Data'!L:L)</f>
        <v>8</v>
      </c>
      <c r="J5449">
        <f>_xlfn.XLOOKUP(A5449,'[1]Tissue Data'!$A:$A,'[1]Tissue Data'!M:M)</f>
        <v>12.21</v>
      </c>
      <c r="K5449" t="s">
        <v>59</v>
      </c>
      <c r="L5449" t="str">
        <f>_xlfn.XLOOKUP(K5449,[2]analyte_order!$B:$B,[2]analyte_order!$C:$C)</f>
        <v>57677-95-9</v>
      </c>
      <c r="M5449">
        <f>_xlfn.XLOOKUP(L5449,[2]analyte_order!$C:$C,[2]analyte_order!$E:$E)</f>
        <v>46</v>
      </c>
      <c r="N5449">
        <v>8.0500000000000002E-2</v>
      </c>
    </row>
    <row r="5450" spans="1:14">
      <c r="A5450" t="s">
        <v>288</v>
      </c>
      <c r="B5450" t="str">
        <f>_xlfn.XLOOKUP(A5450,'[1]Tissue Data'!$A:$A,'[1]Tissue Data'!$C:$C)</f>
        <v>Spill</v>
      </c>
      <c r="C5450" s="2">
        <f>_xlfn.XLOOKUP(A5450,'[1]Tissue Data'!$A:$A,'[1]Tissue Data'!$D:$D)</f>
        <v>44393</v>
      </c>
      <c r="D5450" s="2" t="str">
        <f>_xlfn.XLOOKUP(A5450,'[1]Tissue Data'!$A:$A,'[1]Tissue Data'!$F:$F)</f>
        <v>Pumpkinseed</v>
      </c>
      <c r="E5450" t="str">
        <f>_xlfn.XLOOKUP(A5450,'[1]Tissue Data'!$A:$A,'[1]Tissue Data'!$H:$H)</f>
        <v>Lepomis</v>
      </c>
      <c r="F5450" t="str">
        <f>_xlfn.XLOOKUP(A5450,'[1]Tissue Data'!$A:$A,'[1]Tissue Data'!$I:$I)</f>
        <v>gibbosus</v>
      </c>
      <c r="G5450" t="str">
        <f>_xlfn.XLOOKUP(A5450,'[1]Tissue Data'!$A:$A,'[1]Tissue Data'!J:J)</f>
        <v>U</v>
      </c>
      <c r="H5450" t="str">
        <f>_xlfn.XLOOKUP(A5450,'[1]Tissue Data'!$A:$A,'[1]Tissue Data'!K:K)</f>
        <v>Whole Body</v>
      </c>
      <c r="I5450">
        <f>_xlfn.XLOOKUP(A5450,'[1]Tissue Data'!$A:$A,'[1]Tissue Data'!L:L)</f>
        <v>8</v>
      </c>
      <c r="J5450">
        <f>_xlfn.XLOOKUP(A5450,'[1]Tissue Data'!$A:$A,'[1]Tissue Data'!M:M)</f>
        <v>12.21</v>
      </c>
      <c r="K5450" t="s">
        <v>60</v>
      </c>
      <c r="L5450" t="str">
        <f>_xlfn.XLOOKUP(K5450,[2]analyte_order!$B:$B,[2]analyte_order!$C:$C)</f>
        <v>678-41-1</v>
      </c>
      <c r="M5450">
        <f>_xlfn.XLOOKUP(L5450,[2]analyte_order!$C:$C,[2]analyte_order!$E:$E)</f>
        <v>56</v>
      </c>
      <c r="N5450">
        <v>0.10050000000000001</v>
      </c>
    </row>
    <row r="5451" spans="1:14">
      <c r="A5451" t="s">
        <v>288</v>
      </c>
      <c r="B5451" t="str">
        <f>_xlfn.XLOOKUP(A5451,'[1]Tissue Data'!$A:$A,'[1]Tissue Data'!$C:$C)</f>
        <v>Spill</v>
      </c>
      <c r="C5451" s="2">
        <f>_xlfn.XLOOKUP(A5451,'[1]Tissue Data'!$A:$A,'[1]Tissue Data'!$D:$D)</f>
        <v>44393</v>
      </c>
      <c r="D5451" s="2" t="str">
        <f>_xlfn.XLOOKUP(A5451,'[1]Tissue Data'!$A:$A,'[1]Tissue Data'!$F:$F)</f>
        <v>Pumpkinseed</v>
      </c>
      <c r="E5451" t="str">
        <f>_xlfn.XLOOKUP(A5451,'[1]Tissue Data'!$A:$A,'[1]Tissue Data'!$H:$H)</f>
        <v>Lepomis</v>
      </c>
      <c r="F5451" t="str">
        <f>_xlfn.XLOOKUP(A5451,'[1]Tissue Data'!$A:$A,'[1]Tissue Data'!$I:$I)</f>
        <v>gibbosus</v>
      </c>
      <c r="G5451" t="str">
        <f>_xlfn.XLOOKUP(A5451,'[1]Tissue Data'!$A:$A,'[1]Tissue Data'!J:J)</f>
        <v>U</v>
      </c>
      <c r="H5451" t="str">
        <f>_xlfn.XLOOKUP(A5451,'[1]Tissue Data'!$A:$A,'[1]Tissue Data'!K:K)</f>
        <v>Whole Body</v>
      </c>
      <c r="I5451">
        <f>_xlfn.XLOOKUP(A5451,'[1]Tissue Data'!$A:$A,'[1]Tissue Data'!L:L)</f>
        <v>8</v>
      </c>
      <c r="J5451">
        <f>_xlfn.XLOOKUP(A5451,'[1]Tissue Data'!$A:$A,'[1]Tissue Data'!M:M)</f>
        <v>12.21</v>
      </c>
      <c r="K5451" t="s">
        <v>61</v>
      </c>
      <c r="L5451" t="str">
        <f>_xlfn.XLOOKUP(K5451,[2]analyte_order!$B:$B,[2]analyte_order!$C:$C)</f>
        <v>2965-52-8</v>
      </c>
      <c r="M5451">
        <f>_xlfn.XLOOKUP(L5451,[2]analyte_order!$C:$C,[2]analyte_order!$E:$E)</f>
        <v>57</v>
      </c>
      <c r="N5451">
        <v>0.13350000000000001</v>
      </c>
    </row>
    <row r="5452" spans="1:14">
      <c r="A5452" t="s">
        <v>289</v>
      </c>
      <c r="B5452" t="str">
        <f>_xlfn.XLOOKUP(A5452,'[1]Tissue Data'!$A:$A,'[1]Tissue Data'!$C:$C)</f>
        <v>Spill</v>
      </c>
      <c r="C5452" s="2">
        <f>_xlfn.XLOOKUP(A5452,'[1]Tissue Data'!$A:$A,'[1]Tissue Data'!$D:$D)</f>
        <v>44393</v>
      </c>
      <c r="D5452" s="2" t="str">
        <f>_xlfn.XLOOKUP(A5452,'[1]Tissue Data'!$A:$A,'[1]Tissue Data'!$F:$F)</f>
        <v>Pumpkinseed</v>
      </c>
      <c r="E5452" t="str">
        <f>_xlfn.XLOOKUP(A5452,'[1]Tissue Data'!$A:$A,'[1]Tissue Data'!$H:$H)</f>
        <v>Lepomis</v>
      </c>
      <c r="F5452" t="str">
        <f>_xlfn.XLOOKUP(A5452,'[1]Tissue Data'!$A:$A,'[1]Tissue Data'!$I:$I)</f>
        <v>gibbosus</v>
      </c>
      <c r="G5452" t="str">
        <f>_xlfn.XLOOKUP(A5452,'[1]Tissue Data'!$A:$A,'[1]Tissue Data'!J:J)</f>
        <v>U</v>
      </c>
      <c r="H5452" t="str">
        <f>_xlfn.XLOOKUP(A5452,'[1]Tissue Data'!$A:$A,'[1]Tissue Data'!K:K)</f>
        <v>Whole Body</v>
      </c>
      <c r="I5452">
        <f>_xlfn.XLOOKUP(A5452,'[1]Tissue Data'!$A:$A,'[1]Tissue Data'!L:L)</f>
        <v>7</v>
      </c>
      <c r="J5452">
        <f>_xlfn.XLOOKUP(A5452,'[1]Tissue Data'!$A:$A,'[1]Tissue Data'!M:M)</f>
        <v>8.8000000000000007</v>
      </c>
      <c r="K5452" t="s">
        <v>12</v>
      </c>
      <c r="L5452" t="str">
        <f>_xlfn.XLOOKUP(K5452,[2]analyte_order!$B:$B,[2]analyte_order!$C:$C)</f>
        <v>375-22-4</v>
      </c>
      <c r="M5452">
        <f>_xlfn.XLOOKUP(L5452,[2]analyte_order!$C:$C,[2]analyte_order!$E:$E)</f>
        <v>1</v>
      </c>
      <c r="N5452">
        <v>0.2145</v>
      </c>
    </row>
    <row r="5453" spans="1:14">
      <c r="A5453" t="s">
        <v>289</v>
      </c>
      <c r="B5453" t="str">
        <f>_xlfn.XLOOKUP(A5453,'[1]Tissue Data'!$A:$A,'[1]Tissue Data'!$C:$C)</f>
        <v>Spill</v>
      </c>
      <c r="C5453" s="2">
        <f>_xlfn.XLOOKUP(A5453,'[1]Tissue Data'!$A:$A,'[1]Tissue Data'!$D:$D)</f>
        <v>44393</v>
      </c>
      <c r="D5453" s="2" t="str">
        <f>_xlfn.XLOOKUP(A5453,'[1]Tissue Data'!$A:$A,'[1]Tissue Data'!$F:$F)</f>
        <v>Pumpkinseed</v>
      </c>
      <c r="E5453" t="str">
        <f>_xlfn.XLOOKUP(A5453,'[1]Tissue Data'!$A:$A,'[1]Tissue Data'!$H:$H)</f>
        <v>Lepomis</v>
      </c>
      <c r="F5453" t="str">
        <f>_xlfn.XLOOKUP(A5453,'[1]Tissue Data'!$A:$A,'[1]Tissue Data'!$I:$I)</f>
        <v>gibbosus</v>
      </c>
      <c r="G5453" t="str">
        <f>_xlfn.XLOOKUP(A5453,'[1]Tissue Data'!$A:$A,'[1]Tissue Data'!J:J)</f>
        <v>U</v>
      </c>
      <c r="H5453" t="str">
        <f>_xlfn.XLOOKUP(A5453,'[1]Tissue Data'!$A:$A,'[1]Tissue Data'!K:K)</f>
        <v>Whole Body</v>
      </c>
      <c r="I5453">
        <f>_xlfn.XLOOKUP(A5453,'[1]Tissue Data'!$A:$A,'[1]Tissue Data'!L:L)</f>
        <v>7</v>
      </c>
      <c r="J5453">
        <f>_xlfn.XLOOKUP(A5453,'[1]Tissue Data'!$A:$A,'[1]Tissue Data'!M:M)</f>
        <v>8.8000000000000007</v>
      </c>
      <c r="K5453" t="s">
        <v>13</v>
      </c>
      <c r="L5453" t="str">
        <f>_xlfn.XLOOKUP(K5453,[2]analyte_order!$B:$B,[2]analyte_order!$C:$C)</f>
        <v>2706-90-3</v>
      </c>
      <c r="M5453">
        <f>_xlfn.XLOOKUP(L5453,[2]analyte_order!$C:$C,[2]analyte_order!$E:$E)</f>
        <v>2</v>
      </c>
      <c r="N5453">
        <v>4.5900000000000003E-2</v>
      </c>
    </row>
    <row r="5454" spans="1:14">
      <c r="A5454" t="s">
        <v>289</v>
      </c>
      <c r="B5454" t="str">
        <f>_xlfn.XLOOKUP(A5454,'[1]Tissue Data'!$A:$A,'[1]Tissue Data'!$C:$C)</f>
        <v>Spill</v>
      </c>
      <c r="C5454" s="2">
        <f>_xlfn.XLOOKUP(A5454,'[1]Tissue Data'!$A:$A,'[1]Tissue Data'!$D:$D)</f>
        <v>44393</v>
      </c>
      <c r="D5454" s="2" t="str">
        <f>_xlfn.XLOOKUP(A5454,'[1]Tissue Data'!$A:$A,'[1]Tissue Data'!$F:$F)</f>
        <v>Pumpkinseed</v>
      </c>
      <c r="E5454" t="str">
        <f>_xlfn.XLOOKUP(A5454,'[1]Tissue Data'!$A:$A,'[1]Tissue Data'!$H:$H)</f>
        <v>Lepomis</v>
      </c>
      <c r="F5454" t="str">
        <f>_xlfn.XLOOKUP(A5454,'[1]Tissue Data'!$A:$A,'[1]Tissue Data'!$I:$I)</f>
        <v>gibbosus</v>
      </c>
      <c r="G5454" t="str">
        <f>_xlfn.XLOOKUP(A5454,'[1]Tissue Data'!$A:$A,'[1]Tissue Data'!J:J)</f>
        <v>U</v>
      </c>
      <c r="H5454" t="str">
        <f>_xlfn.XLOOKUP(A5454,'[1]Tissue Data'!$A:$A,'[1]Tissue Data'!K:K)</f>
        <v>Whole Body</v>
      </c>
      <c r="I5454">
        <f>_xlfn.XLOOKUP(A5454,'[1]Tissue Data'!$A:$A,'[1]Tissue Data'!L:L)</f>
        <v>7</v>
      </c>
      <c r="J5454">
        <f>_xlfn.XLOOKUP(A5454,'[1]Tissue Data'!$A:$A,'[1]Tissue Data'!M:M)</f>
        <v>8.8000000000000007</v>
      </c>
      <c r="K5454" t="s">
        <v>14</v>
      </c>
      <c r="L5454" t="str">
        <f>_xlfn.XLOOKUP(K5454,[2]analyte_order!$B:$B,[2]analyte_order!$C:$C)</f>
        <v>307-24-4</v>
      </c>
      <c r="M5454">
        <f>_xlfn.XLOOKUP(L5454,[2]analyte_order!$C:$C,[2]analyte_order!$E:$E)</f>
        <v>3</v>
      </c>
      <c r="N5454">
        <v>0.11550000000000001</v>
      </c>
    </row>
    <row r="5455" spans="1:14">
      <c r="A5455" t="s">
        <v>289</v>
      </c>
      <c r="B5455" t="str">
        <f>_xlfn.XLOOKUP(A5455,'[1]Tissue Data'!$A:$A,'[1]Tissue Data'!$C:$C)</f>
        <v>Spill</v>
      </c>
      <c r="C5455" s="2">
        <f>_xlfn.XLOOKUP(A5455,'[1]Tissue Data'!$A:$A,'[1]Tissue Data'!$D:$D)</f>
        <v>44393</v>
      </c>
      <c r="D5455" s="2" t="str">
        <f>_xlfn.XLOOKUP(A5455,'[1]Tissue Data'!$A:$A,'[1]Tissue Data'!$F:$F)</f>
        <v>Pumpkinseed</v>
      </c>
      <c r="E5455" t="str">
        <f>_xlfn.XLOOKUP(A5455,'[1]Tissue Data'!$A:$A,'[1]Tissue Data'!$H:$H)</f>
        <v>Lepomis</v>
      </c>
      <c r="F5455" t="str">
        <f>_xlfn.XLOOKUP(A5455,'[1]Tissue Data'!$A:$A,'[1]Tissue Data'!$I:$I)</f>
        <v>gibbosus</v>
      </c>
      <c r="G5455" t="str">
        <f>_xlfn.XLOOKUP(A5455,'[1]Tissue Data'!$A:$A,'[1]Tissue Data'!J:J)</f>
        <v>U</v>
      </c>
      <c r="H5455" t="str">
        <f>_xlfn.XLOOKUP(A5455,'[1]Tissue Data'!$A:$A,'[1]Tissue Data'!K:K)</f>
        <v>Whole Body</v>
      </c>
      <c r="I5455">
        <f>_xlfn.XLOOKUP(A5455,'[1]Tissue Data'!$A:$A,'[1]Tissue Data'!L:L)</f>
        <v>7</v>
      </c>
      <c r="J5455">
        <f>_xlfn.XLOOKUP(A5455,'[1]Tissue Data'!$A:$A,'[1]Tissue Data'!M:M)</f>
        <v>8.8000000000000007</v>
      </c>
      <c r="K5455" t="s">
        <v>15</v>
      </c>
      <c r="L5455" t="str">
        <f>_xlfn.XLOOKUP(K5455,[2]analyte_order!$B:$B,[2]analyte_order!$C:$C)</f>
        <v>375-85-9</v>
      </c>
      <c r="M5455">
        <f>_xlfn.XLOOKUP(L5455,[2]analyte_order!$C:$C,[2]analyte_order!$E:$E)</f>
        <v>4</v>
      </c>
      <c r="N5455">
        <v>8.5500000000000007E-2</v>
      </c>
    </row>
    <row r="5456" spans="1:14">
      <c r="A5456" t="s">
        <v>289</v>
      </c>
      <c r="B5456" t="str">
        <f>_xlfn.XLOOKUP(A5456,'[1]Tissue Data'!$A:$A,'[1]Tissue Data'!$C:$C)</f>
        <v>Spill</v>
      </c>
      <c r="C5456" s="2">
        <f>_xlfn.XLOOKUP(A5456,'[1]Tissue Data'!$A:$A,'[1]Tissue Data'!$D:$D)</f>
        <v>44393</v>
      </c>
      <c r="D5456" s="2" t="str">
        <f>_xlfn.XLOOKUP(A5456,'[1]Tissue Data'!$A:$A,'[1]Tissue Data'!$F:$F)</f>
        <v>Pumpkinseed</v>
      </c>
      <c r="E5456" t="str">
        <f>_xlfn.XLOOKUP(A5456,'[1]Tissue Data'!$A:$A,'[1]Tissue Data'!$H:$H)</f>
        <v>Lepomis</v>
      </c>
      <c r="F5456" t="str">
        <f>_xlfn.XLOOKUP(A5456,'[1]Tissue Data'!$A:$A,'[1]Tissue Data'!$I:$I)</f>
        <v>gibbosus</v>
      </c>
      <c r="G5456" t="str">
        <f>_xlfn.XLOOKUP(A5456,'[1]Tissue Data'!$A:$A,'[1]Tissue Data'!J:J)</f>
        <v>U</v>
      </c>
      <c r="H5456" t="str">
        <f>_xlfn.XLOOKUP(A5456,'[1]Tissue Data'!$A:$A,'[1]Tissue Data'!K:K)</f>
        <v>Whole Body</v>
      </c>
      <c r="I5456">
        <f>_xlfn.XLOOKUP(A5456,'[1]Tissue Data'!$A:$A,'[1]Tissue Data'!L:L)</f>
        <v>7</v>
      </c>
      <c r="J5456">
        <f>_xlfn.XLOOKUP(A5456,'[1]Tissue Data'!$A:$A,'[1]Tissue Data'!M:M)</f>
        <v>8.8000000000000007</v>
      </c>
      <c r="K5456" t="s">
        <v>16</v>
      </c>
      <c r="L5456" t="str">
        <f>_xlfn.XLOOKUP(K5456,[2]analyte_order!$B:$B,[2]analyte_order!$C:$C)</f>
        <v>335-67-1</v>
      </c>
      <c r="M5456">
        <f>_xlfn.XLOOKUP(L5456,[2]analyte_order!$C:$C,[2]analyte_order!$E:$E)</f>
        <v>5</v>
      </c>
      <c r="N5456">
        <v>0.49199999999999999</v>
      </c>
    </row>
    <row r="5457" spans="1:14">
      <c r="A5457" t="s">
        <v>289</v>
      </c>
      <c r="B5457" t="str">
        <f>_xlfn.XLOOKUP(A5457,'[1]Tissue Data'!$A:$A,'[1]Tissue Data'!$C:$C)</f>
        <v>Spill</v>
      </c>
      <c r="C5457" s="2">
        <f>_xlfn.XLOOKUP(A5457,'[1]Tissue Data'!$A:$A,'[1]Tissue Data'!$D:$D)</f>
        <v>44393</v>
      </c>
      <c r="D5457" s="2" t="str">
        <f>_xlfn.XLOOKUP(A5457,'[1]Tissue Data'!$A:$A,'[1]Tissue Data'!$F:$F)</f>
        <v>Pumpkinseed</v>
      </c>
      <c r="E5457" t="str">
        <f>_xlfn.XLOOKUP(A5457,'[1]Tissue Data'!$A:$A,'[1]Tissue Data'!$H:$H)</f>
        <v>Lepomis</v>
      </c>
      <c r="F5457" t="str">
        <f>_xlfn.XLOOKUP(A5457,'[1]Tissue Data'!$A:$A,'[1]Tissue Data'!$I:$I)</f>
        <v>gibbosus</v>
      </c>
      <c r="G5457" t="str">
        <f>_xlfn.XLOOKUP(A5457,'[1]Tissue Data'!$A:$A,'[1]Tissue Data'!J:J)</f>
        <v>U</v>
      </c>
      <c r="H5457" t="str">
        <f>_xlfn.XLOOKUP(A5457,'[1]Tissue Data'!$A:$A,'[1]Tissue Data'!K:K)</f>
        <v>Whole Body</v>
      </c>
      <c r="I5457">
        <f>_xlfn.XLOOKUP(A5457,'[1]Tissue Data'!$A:$A,'[1]Tissue Data'!L:L)</f>
        <v>7</v>
      </c>
      <c r="J5457">
        <f>_xlfn.XLOOKUP(A5457,'[1]Tissue Data'!$A:$A,'[1]Tissue Data'!M:M)</f>
        <v>8.8000000000000007</v>
      </c>
      <c r="K5457" t="s">
        <v>17</v>
      </c>
      <c r="L5457" t="str">
        <f>_xlfn.XLOOKUP(K5457,[2]analyte_order!$B:$B,[2]analyte_order!$C:$C)</f>
        <v>375-95-1</v>
      </c>
      <c r="M5457">
        <f>_xlfn.XLOOKUP(L5457,[2]analyte_order!$C:$C,[2]analyte_order!$E:$E)</f>
        <v>6</v>
      </c>
      <c r="N5457">
        <v>0.14849999999999999</v>
      </c>
    </row>
    <row r="5458" spans="1:14">
      <c r="A5458" t="s">
        <v>289</v>
      </c>
      <c r="B5458" t="str">
        <f>_xlfn.XLOOKUP(A5458,'[1]Tissue Data'!$A:$A,'[1]Tissue Data'!$C:$C)</f>
        <v>Spill</v>
      </c>
      <c r="C5458" s="2">
        <f>_xlfn.XLOOKUP(A5458,'[1]Tissue Data'!$A:$A,'[1]Tissue Data'!$D:$D)</f>
        <v>44393</v>
      </c>
      <c r="D5458" s="2" t="str">
        <f>_xlfn.XLOOKUP(A5458,'[1]Tissue Data'!$A:$A,'[1]Tissue Data'!$F:$F)</f>
        <v>Pumpkinseed</v>
      </c>
      <c r="E5458" t="str">
        <f>_xlfn.XLOOKUP(A5458,'[1]Tissue Data'!$A:$A,'[1]Tissue Data'!$H:$H)</f>
        <v>Lepomis</v>
      </c>
      <c r="F5458" t="str">
        <f>_xlfn.XLOOKUP(A5458,'[1]Tissue Data'!$A:$A,'[1]Tissue Data'!$I:$I)</f>
        <v>gibbosus</v>
      </c>
      <c r="G5458" t="str">
        <f>_xlfn.XLOOKUP(A5458,'[1]Tissue Data'!$A:$A,'[1]Tissue Data'!J:J)</f>
        <v>U</v>
      </c>
      <c r="H5458" t="str">
        <f>_xlfn.XLOOKUP(A5458,'[1]Tissue Data'!$A:$A,'[1]Tissue Data'!K:K)</f>
        <v>Whole Body</v>
      </c>
      <c r="I5458">
        <f>_xlfn.XLOOKUP(A5458,'[1]Tissue Data'!$A:$A,'[1]Tissue Data'!L:L)</f>
        <v>7</v>
      </c>
      <c r="J5458">
        <f>_xlfn.XLOOKUP(A5458,'[1]Tissue Data'!$A:$A,'[1]Tissue Data'!M:M)</f>
        <v>8.8000000000000007</v>
      </c>
      <c r="K5458" t="s">
        <v>18</v>
      </c>
      <c r="L5458" t="str">
        <f>_xlfn.XLOOKUP(K5458,[2]analyte_order!$B:$B,[2]analyte_order!$C:$C)</f>
        <v>335-76-2</v>
      </c>
      <c r="M5458">
        <f>_xlfn.XLOOKUP(L5458,[2]analyte_order!$C:$C,[2]analyte_order!$E:$E)</f>
        <v>7</v>
      </c>
      <c r="N5458">
        <v>3.14</v>
      </c>
    </row>
    <row r="5459" spans="1:14">
      <c r="A5459" t="s">
        <v>289</v>
      </c>
      <c r="B5459" t="str">
        <f>_xlfn.XLOOKUP(A5459,'[1]Tissue Data'!$A:$A,'[1]Tissue Data'!$C:$C)</f>
        <v>Spill</v>
      </c>
      <c r="C5459" s="2">
        <f>_xlfn.XLOOKUP(A5459,'[1]Tissue Data'!$A:$A,'[1]Tissue Data'!$D:$D)</f>
        <v>44393</v>
      </c>
      <c r="D5459" s="2" t="str">
        <f>_xlfn.XLOOKUP(A5459,'[1]Tissue Data'!$A:$A,'[1]Tissue Data'!$F:$F)</f>
        <v>Pumpkinseed</v>
      </c>
      <c r="E5459" t="str">
        <f>_xlfn.XLOOKUP(A5459,'[1]Tissue Data'!$A:$A,'[1]Tissue Data'!$H:$H)</f>
        <v>Lepomis</v>
      </c>
      <c r="F5459" t="str">
        <f>_xlfn.XLOOKUP(A5459,'[1]Tissue Data'!$A:$A,'[1]Tissue Data'!$I:$I)</f>
        <v>gibbosus</v>
      </c>
      <c r="G5459" t="str">
        <f>_xlfn.XLOOKUP(A5459,'[1]Tissue Data'!$A:$A,'[1]Tissue Data'!J:J)</f>
        <v>U</v>
      </c>
      <c r="H5459" t="str">
        <f>_xlfn.XLOOKUP(A5459,'[1]Tissue Data'!$A:$A,'[1]Tissue Data'!K:K)</f>
        <v>Whole Body</v>
      </c>
      <c r="I5459">
        <f>_xlfn.XLOOKUP(A5459,'[1]Tissue Data'!$A:$A,'[1]Tissue Data'!L:L)</f>
        <v>7</v>
      </c>
      <c r="J5459">
        <f>_xlfn.XLOOKUP(A5459,'[1]Tissue Data'!$A:$A,'[1]Tissue Data'!M:M)</f>
        <v>8.8000000000000007</v>
      </c>
      <c r="K5459" t="s">
        <v>19</v>
      </c>
      <c r="L5459" t="str">
        <f>_xlfn.XLOOKUP(K5459,[2]analyte_order!$B:$B,[2]analyte_order!$C:$C)</f>
        <v>2058-94-8</v>
      </c>
      <c r="M5459">
        <f>_xlfn.XLOOKUP(L5459,[2]analyte_order!$C:$C,[2]analyte_order!$E:$E)</f>
        <v>8</v>
      </c>
      <c r="N5459">
        <v>4.3899999999999997</v>
      </c>
    </row>
    <row r="5460" spans="1:14">
      <c r="A5460" t="s">
        <v>289</v>
      </c>
      <c r="B5460" t="str">
        <f>_xlfn.XLOOKUP(A5460,'[1]Tissue Data'!$A:$A,'[1]Tissue Data'!$C:$C)</f>
        <v>Spill</v>
      </c>
      <c r="C5460" s="2">
        <f>_xlfn.XLOOKUP(A5460,'[1]Tissue Data'!$A:$A,'[1]Tissue Data'!$D:$D)</f>
        <v>44393</v>
      </c>
      <c r="D5460" s="2" t="str">
        <f>_xlfn.XLOOKUP(A5460,'[1]Tissue Data'!$A:$A,'[1]Tissue Data'!$F:$F)</f>
        <v>Pumpkinseed</v>
      </c>
      <c r="E5460" t="str">
        <f>_xlfn.XLOOKUP(A5460,'[1]Tissue Data'!$A:$A,'[1]Tissue Data'!$H:$H)</f>
        <v>Lepomis</v>
      </c>
      <c r="F5460" t="str">
        <f>_xlfn.XLOOKUP(A5460,'[1]Tissue Data'!$A:$A,'[1]Tissue Data'!$I:$I)</f>
        <v>gibbosus</v>
      </c>
      <c r="G5460" t="str">
        <f>_xlfn.XLOOKUP(A5460,'[1]Tissue Data'!$A:$A,'[1]Tissue Data'!J:J)</f>
        <v>U</v>
      </c>
      <c r="H5460" t="str">
        <f>_xlfn.XLOOKUP(A5460,'[1]Tissue Data'!$A:$A,'[1]Tissue Data'!K:K)</f>
        <v>Whole Body</v>
      </c>
      <c r="I5460">
        <f>_xlfn.XLOOKUP(A5460,'[1]Tissue Data'!$A:$A,'[1]Tissue Data'!L:L)</f>
        <v>7</v>
      </c>
      <c r="J5460">
        <f>_xlfn.XLOOKUP(A5460,'[1]Tissue Data'!$A:$A,'[1]Tissue Data'!M:M)</f>
        <v>8.8000000000000007</v>
      </c>
      <c r="K5460" t="s">
        <v>20</v>
      </c>
      <c r="L5460" t="str">
        <f>_xlfn.XLOOKUP(K5460,[2]analyte_order!$B:$B,[2]analyte_order!$C:$C)</f>
        <v>307-55-1</v>
      </c>
      <c r="M5460">
        <f>_xlfn.XLOOKUP(L5460,[2]analyte_order!$C:$C,[2]analyte_order!$E:$E)</f>
        <v>9</v>
      </c>
      <c r="N5460">
        <v>5.51</v>
      </c>
    </row>
    <row r="5461" spans="1:14">
      <c r="A5461" t="s">
        <v>289</v>
      </c>
      <c r="B5461" t="str">
        <f>_xlfn.XLOOKUP(A5461,'[1]Tissue Data'!$A:$A,'[1]Tissue Data'!$C:$C)</f>
        <v>Spill</v>
      </c>
      <c r="C5461" s="2">
        <f>_xlfn.XLOOKUP(A5461,'[1]Tissue Data'!$A:$A,'[1]Tissue Data'!$D:$D)</f>
        <v>44393</v>
      </c>
      <c r="D5461" s="2" t="str">
        <f>_xlfn.XLOOKUP(A5461,'[1]Tissue Data'!$A:$A,'[1]Tissue Data'!$F:$F)</f>
        <v>Pumpkinseed</v>
      </c>
      <c r="E5461" t="str">
        <f>_xlfn.XLOOKUP(A5461,'[1]Tissue Data'!$A:$A,'[1]Tissue Data'!$H:$H)</f>
        <v>Lepomis</v>
      </c>
      <c r="F5461" t="str">
        <f>_xlfn.XLOOKUP(A5461,'[1]Tissue Data'!$A:$A,'[1]Tissue Data'!$I:$I)</f>
        <v>gibbosus</v>
      </c>
      <c r="G5461" t="str">
        <f>_xlfn.XLOOKUP(A5461,'[1]Tissue Data'!$A:$A,'[1]Tissue Data'!J:J)</f>
        <v>U</v>
      </c>
      <c r="H5461" t="str">
        <f>_xlfn.XLOOKUP(A5461,'[1]Tissue Data'!$A:$A,'[1]Tissue Data'!K:K)</f>
        <v>Whole Body</v>
      </c>
      <c r="I5461">
        <f>_xlfn.XLOOKUP(A5461,'[1]Tissue Data'!$A:$A,'[1]Tissue Data'!L:L)</f>
        <v>7</v>
      </c>
      <c r="J5461">
        <f>_xlfn.XLOOKUP(A5461,'[1]Tissue Data'!$A:$A,'[1]Tissue Data'!M:M)</f>
        <v>8.8000000000000007</v>
      </c>
      <c r="K5461" t="s">
        <v>21</v>
      </c>
      <c r="L5461" t="str">
        <f>_xlfn.XLOOKUP(K5461,[2]analyte_order!$B:$B,[2]analyte_order!$C:$C)</f>
        <v>72629-94-8</v>
      </c>
      <c r="M5461">
        <f>_xlfn.XLOOKUP(L5461,[2]analyte_order!$C:$C,[2]analyte_order!$E:$E)</f>
        <v>10</v>
      </c>
      <c r="N5461">
        <v>2.5</v>
      </c>
    </row>
    <row r="5462" spans="1:14">
      <c r="A5462" t="s">
        <v>289</v>
      </c>
      <c r="B5462" t="str">
        <f>_xlfn.XLOOKUP(A5462,'[1]Tissue Data'!$A:$A,'[1]Tissue Data'!$C:$C)</f>
        <v>Spill</v>
      </c>
      <c r="C5462" s="2">
        <f>_xlfn.XLOOKUP(A5462,'[1]Tissue Data'!$A:$A,'[1]Tissue Data'!$D:$D)</f>
        <v>44393</v>
      </c>
      <c r="D5462" s="2" t="str">
        <f>_xlfn.XLOOKUP(A5462,'[1]Tissue Data'!$A:$A,'[1]Tissue Data'!$F:$F)</f>
        <v>Pumpkinseed</v>
      </c>
      <c r="E5462" t="str">
        <f>_xlfn.XLOOKUP(A5462,'[1]Tissue Data'!$A:$A,'[1]Tissue Data'!$H:$H)</f>
        <v>Lepomis</v>
      </c>
      <c r="F5462" t="str">
        <f>_xlfn.XLOOKUP(A5462,'[1]Tissue Data'!$A:$A,'[1]Tissue Data'!$I:$I)</f>
        <v>gibbosus</v>
      </c>
      <c r="G5462" t="str">
        <f>_xlfn.XLOOKUP(A5462,'[1]Tissue Data'!$A:$A,'[1]Tissue Data'!J:J)</f>
        <v>U</v>
      </c>
      <c r="H5462" t="str">
        <f>_xlfn.XLOOKUP(A5462,'[1]Tissue Data'!$A:$A,'[1]Tissue Data'!K:K)</f>
        <v>Whole Body</v>
      </c>
      <c r="I5462">
        <f>_xlfn.XLOOKUP(A5462,'[1]Tissue Data'!$A:$A,'[1]Tissue Data'!L:L)</f>
        <v>7</v>
      </c>
      <c r="J5462">
        <f>_xlfn.XLOOKUP(A5462,'[1]Tissue Data'!$A:$A,'[1]Tissue Data'!M:M)</f>
        <v>8.8000000000000007</v>
      </c>
      <c r="K5462" t="s">
        <v>22</v>
      </c>
      <c r="L5462" t="str">
        <f>_xlfn.XLOOKUP(K5462,[2]analyte_order!$B:$B,[2]analyte_order!$C:$C)</f>
        <v>376-06-7</v>
      </c>
      <c r="M5462">
        <f>_xlfn.XLOOKUP(L5462,[2]analyte_order!$C:$C,[2]analyte_order!$E:$E)</f>
        <v>11</v>
      </c>
      <c r="N5462">
        <v>6.88</v>
      </c>
    </row>
    <row r="5463" spans="1:14">
      <c r="A5463" t="s">
        <v>289</v>
      </c>
      <c r="B5463" t="str">
        <f>_xlfn.XLOOKUP(A5463,'[1]Tissue Data'!$A:$A,'[1]Tissue Data'!$C:$C)</f>
        <v>Spill</v>
      </c>
      <c r="C5463" s="2">
        <f>_xlfn.XLOOKUP(A5463,'[1]Tissue Data'!$A:$A,'[1]Tissue Data'!$D:$D)</f>
        <v>44393</v>
      </c>
      <c r="D5463" s="2" t="str">
        <f>_xlfn.XLOOKUP(A5463,'[1]Tissue Data'!$A:$A,'[1]Tissue Data'!$F:$F)</f>
        <v>Pumpkinseed</v>
      </c>
      <c r="E5463" t="str">
        <f>_xlfn.XLOOKUP(A5463,'[1]Tissue Data'!$A:$A,'[1]Tissue Data'!$H:$H)</f>
        <v>Lepomis</v>
      </c>
      <c r="F5463" t="str">
        <f>_xlfn.XLOOKUP(A5463,'[1]Tissue Data'!$A:$A,'[1]Tissue Data'!$I:$I)</f>
        <v>gibbosus</v>
      </c>
      <c r="G5463" t="str">
        <f>_xlfn.XLOOKUP(A5463,'[1]Tissue Data'!$A:$A,'[1]Tissue Data'!J:J)</f>
        <v>U</v>
      </c>
      <c r="H5463" t="str">
        <f>_xlfn.XLOOKUP(A5463,'[1]Tissue Data'!$A:$A,'[1]Tissue Data'!K:K)</f>
        <v>Whole Body</v>
      </c>
      <c r="I5463">
        <f>_xlfn.XLOOKUP(A5463,'[1]Tissue Data'!$A:$A,'[1]Tissue Data'!L:L)</f>
        <v>7</v>
      </c>
      <c r="J5463">
        <f>_xlfn.XLOOKUP(A5463,'[1]Tissue Data'!$A:$A,'[1]Tissue Data'!M:M)</f>
        <v>8.8000000000000007</v>
      </c>
      <c r="K5463" t="s">
        <v>23</v>
      </c>
      <c r="L5463" t="str">
        <f>_xlfn.XLOOKUP(K5463,[2]analyte_order!$B:$B,[2]analyte_order!$C:$C)</f>
        <v>67905-19-5</v>
      </c>
      <c r="M5463">
        <f>_xlfn.XLOOKUP(L5463,[2]analyte_order!$C:$C,[2]analyte_order!$E:$E)</f>
        <v>12</v>
      </c>
      <c r="N5463">
        <v>7.7499999999999999E-2</v>
      </c>
    </row>
    <row r="5464" spans="1:14">
      <c r="A5464" t="s">
        <v>289</v>
      </c>
      <c r="B5464" t="str">
        <f>_xlfn.XLOOKUP(A5464,'[1]Tissue Data'!$A:$A,'[1]Tissue Data'!$C:$C)</f>
        <v>Spill</v>
      </c>
      <c r="C5464" s="2">
        <f>_xlfn.XLOOKUP(A5464,'[1]Tissue Data'!$A:$A,'[1]Tissue Data'!$D:$D)</f>
        <v>44393</v>
      </c>
      <c r="D5464" s="2" t="str">
        <f>_xlfn.XLOOKUP(A5464,'[1]Tissue Data'!$A:$A,'[1]Tissue Data'!$F:$F)</f>
        <v>Pumpkinseed</v>
      </c>
      <c r="E5464" t="str">
        <f>_xlfn.XLOOKUP(A5464,'[1]Tissue Data'!$A:$A,'[1]Tissue Data'!$H:$H)</f>
        <v>Lepomis</v>
      </c>
      <c r="F5464" t="str">
        <f>_xlfn.XLOOKUP(A5464,'[1]Tissue Data'!$A:$A,'[1]Tissue Data'!$I:$I)</f>
        <v>gibbosus</v>
      </c>
      <c r="G5464" t="str">
        <f>_xlfn.XLOOKUP(A5464,'[1]Tissue Data'!$A:$A,'[1]Tissue Data'!J:J)</f>
        <v>U</v>
      </c>
      <c r="H5464" t="str">
        <f>_xlfn.XLOOKUP(A5464,'[1]Tissue Data'!$A:$A,'[1]Tissue Data'!K:K)</f>
        <v>Whole Body</v>
      </c>
      <c r="I5464">
        <f>_xlfn.XLOOKUP(A5464,'[1]Tissue Data'!$A:$A,'[1]Tissue Data'!L:L)</f>
        <v>7</v>
      </c>
      <c r="J5464">
        <f>_xlfn.XLOOKUP(A5464,'[1]Tissue Data'!$A:$A,'[1]Tissue Data'!M:M)</f>
        <v>8.8000000000000007</v>
      </c>
      <c r="K5464" t="s">
        <v>24</v>
      </c>
      <c r="L5464" t="str">
        <f>_xlfn.XLOOKUP(K5464,[2]analyte_order!$B:$B,[2]analyte_order!$C:$C)</f>
        <v>423-41-6</v>
      </c>
      <c r="M5464">
        <f>_xlfn.XLOOKUP(L5464,[2]analyte_order!$C:$C,[2]analyte_order!$E:$E)</f>
        <v>53</v>
      </c>
      <c r="N5464">
        <v>6.5000000000000002E-2</v>
      </c>
    </row>
    <row r="5465" spans="1:14">
      <c r="A5465" t="s">
        <v>289</v>
      </c>
      <c r="B5465" t="str">
        <f>_xlfn.XLOOKUP(A5465,'[1]Tissue Data'!$A:$A,'[1]Tissue Data'!$C:$C)</f>
        <v>Spill</v>
      </c>
      <c r="C5465" s="2">
        <f>_xlfn.XLOOKUP(A5465,'[1]Tissue Data'!$A:$A,'[1]Tissue Data'!$D:$D)</f>
        <v>44393</v>
      </c>
      <c r="D5465" s="2" t="str">
        <f>_xlfn.XLOOKUP(A5465,'[1]Tissue Data'!$A:$A,'[1]Tissue Data'!$F:$F)</f>
        <v>Pumpkinseed</v>
      </c>
      <c r="E5465" t="str">
        <f>_xlfn.XLOOKUP(A5465,'[1]Tissue Data'!$A:$A,'[1]Tissue Data'!$H:$H)</f>
        <v>Lepomis</v>
      </c>
      <c r="F5465" t="str">
        <f>_xlfn.XLOOKUP(A5465,'[1]Tissue Data'!$A:$A,'[1]Tissue Data'!$I:$I)</f>
        <v>gibbosus</v>
      </c>
      <c r="G5465" t="str">
        <f>_xlfn.XLOOKUP(A5465,'[1]Tissue Data'!$A:$A,'[1]Tissue Data'!J:J)</f>
        <v>U</v>
      </c>
      <c r="H5465" t="str">
        <f>_xlfn.XLOOKUP(A5465,'[1]Tissue Data'!$A:$A,'[1]Tissue Data'!K:K)</f>
        <v>Whole Body</v>
      </c>
      <c r="I5465">
        <f>_xlfn.XLOOKUP(A5465,'[1]Tissue Data'!$A:$A,'[1]Tissue Data'!L:L)</f>
        <v>7</v>
      </c>
      <c r="J5465">
        <f>_xlfn.XLOOKUP(A5465,'[1]Tissue Data'!$A:$A,'[1]Tissue Data'!M:M)</f>
        <v>8.8000000000000007</v>
      </c>
      <c r="K5465" t="s">
        <v>25</v>
      </c>
      <c r="L5465" t="str">
        <f>_xlfn.XLOOKUP(K5465,[2]analyte_order!$B:$B,[2]analyte_order!$C:$C)</f>
        <v>375-73-5</v>
      </c>
      <c r="M5465">
        <f>_xlfn.XLOOKUP(L5465,[2]analyte_order!$C:$C,[2]analyte_order!$E:$E)</f>
        <v>14</v>
      </c>
      <c r="N5465">
        <v>0.14599999999999999</v>
      </c>
    </row>
    <row r="5466" spans="1:14">
      <c r="A5466" t="s">
        <v>289</v>
      </c>
      <c r="B5466" t="str">
        <f>_xlfn.XLOOKUP(A5466,'[1]Tissue Data'!$A:$A,'[1]Tissue Data'!$C:$C)</f>
        <v>Spill</v>
      </c>
      <c r="C5466" s="2">
        <f>_xlfn.XLOOKUP(A5466,'[1]Tissue Data'!$A:$A,'[1]Tissue Data'!$D:$D)</f>
        <v>44393</v>
      </c>
      <c r="D5466" s="2" t="str">
        <f>_xlfn.XLOOKUP(A5466,'[1]Tissue Data'!$A:$A,'[1]Tissue Data'!$F:$F)</f>
        <v>Pumpkinseed</v>
      </c>
      <c r="E5466" t="str">
        <f>_xlfn.XLOOKUP(A5466,'[1]Tissue Data'!$A:$A,'[1]Tissue Data'!$H:$H)</f>
        <v>Lepomis</v>
      </c>
      <c r="F5466" t="str">
        <f>_xlfn.XLOOKUP(A5466,'[1]Tissue Data'!$A:$A,'[1]Tissue Data'!$I:$I)</f>
        <v>gibbosus</v>
      </c>
      <c r="G5466" t="str">
        <f>_xlfn.XLOOKUP(A5466,'[1]Tissue Data'!$A:$A,'[1]Tissue Data'!J:J)</f>
        <v>U</v>
      </c>
      <c r="H5466" t="str">
        <f>_xlfn.XLOOKUP(A5466,'[1]Tissue Data'!$A:$A,'[1]Tissue Data'!K:K)</f>
        <v>Whole Body</v>
      </c>
      <c r="I5466">
        <f>_xlfn.XLOOKUP(A5466,'[1]Tissue Data'!$A:$A,'[1]Tissue Data'!L:L)</f>
        <v>7</v>
      </c>
      <c r="J5466">
        <f>_xlfn.XLOOKUP(A5466,'[1]Tissue Data'!$A:$A,'[1]Tissue Data'!M:M)</f>
        <v>8.8000000000000007</v>
      </c>
      <c r="K5466" t="s">
        <v>26</v>
      </c>
      <c r="L5466" t="str">
        <f>_xlfn.XLOOKUP(K5466,[2]analyte_order!$B:$B,[2]analyte_order!$C:$C)</f>
        <v>2706-91-4</v>
      </c>
      <c r="M5466">
        <f>_xlfn.XLOOKUP(L5466,[2]analyte_order!$C:$C,[2]analyte_order!$E:$E)</f>
        <v>15</v>
      </c>
      <c r="N5466">
        <v>0.2145</v>
      </c>
    </row>
    <row r="5467" spans="1:14">
      <c r="A5467" t="s">
        <v>289</v>
      </c>
      <c r="B5467" t="str">
        <f>_xlfn.XLOOKUP(A5467,'[1]Tissue Data'!$A:$A,'[1]Tissue Data'!$C:$C)</f>
        <v>Spill</v>
      </c>
      <c r="C5467" s="2">
        <f>_xlfn.XLOOKUP(A5467,'[1]Tissue Data'!$A:$A,'[1]Tissue Data'!$D:$D)</f>
        <v>44393</v>
      </c>
      <c r="D5467" s="2" t="str">
        <f>_xlfn.XLOOKUP(A5467,'[1]Tissue Data'!$A:$A,'[1]Tissue Data'!$F:$F)</f>
        <v>Pumpkinseed</v>
      </c>
      <c r="E5467" t="str">
        <f>_xlfn.XLOOKUP(A5467,'[1]Tissue Data'!$A:$A,'[1]Tissue Data'!$H:$H)</f>
        <v>Lepomis</v>
      </c>
      <c r="F5467" t="str">
        <f>_xlfn.XLOOKUP(A5467,'[1]Tissue Data'!$A:$A,'[1]Tissue Data'!$I:$I)</f>
        <v>gibbosus</v>
      </c>
      <c r="G5467" t="str">
        <f>_xlfn.XLOOKUP(A5467,'[1]Tissue Data'!$A:$A,'[1]Tissue Data'!J:J)</f>
        <v>U</v>
      </c>
      <c r="H5467" t="str">
        <f>_xlfn.XLOOKUP(A5467,'[1]Tissue Data'!$A:$A,'[1]Tissue Data'!K:K)</f>
        <v>Whole Body</v>
      </c>
      <c r="I5467">
        <f>_xlfn.XLOOKUP(A5467,'[1]Tissue Data'!$A:$A,'[1]Tissue Data'!L:L)</f>
        <v>7</v>
      </c>
      <c r="J5467">
        <f>_xlfn.XLOOKUP(A5467,'[1]Tissue Data'!$A:$A,'[1]Tissue Data'!M:M)</f>
        <v>8.8000000000000007</v>
      </c>
      <c r="K5467" t="s">
        <v>27</v>
      </c>
      <c r="L5467" t="str">
        <f>_xlfn.XLOOKUP(K5467,[2]analyte_order!$B:$B,[2]analyte_order!$C:$C)</f>
        <v>355-46-4</v>
      </c>
      <c r="M5467">
        <f>_xlfn.XLOOKUP(L5467,[2]analyte_order!$C:$C,[2]analyte_order!$E:$E)</f>
        <v>16</v>
      </c>
      <c r="N5467">
        <v>7.81</v>
      </c>
    </row>
    <row r="5468" spans="1:14">
      <c r="A5468" t="s">
        <v>289</v>
      </c>
      <c r="B5468" t="str">
        <f>_xlfn.XLOOKUP(A5468,'[1]Tissue Data'!$A:$A,'[1]Tissue Data'!$C:$C)</f>
        <v>Spill</v>
      </c>
      <c r="C5468" s="2">
        <f>_xlfn.XLOOKUP(A5468,'[1]Tissue Data'!$A:$A,'[1]Tissue Data'!$D:$D)</f>
        <v>44393</v>
      </c>
      <c r="D5468" s="2" t="str">
        <f>_xlfn.XLOOKUP(A5468,'[1]Tissue Data'!$A:$A,'[1]Tissue Data'!$F:$F)</f>
        <v>Pumpkinseed</v>
      </c>
      <c r="E5468" t="str">
        <f>_xlfn.XLOOKUP(A5468,'[1]Tissue Data'!$A:$A,'[1]Tissue Data'!$H:$H)</f>
        <v>Lepomis</v>
      </c>
      <c r="F5468" t="str">
        <f>_xlfn.XLOOKUP(A5468,'[1]Tissue Data'!$A:$A,'[1]Tissue Data'!$I:$I)</f>
        <v>gibbosus</v>
      </c>
      <c r="G5468" t="str">
        <f>_xlfn.XLOOKUP(A5468,'[1]Tissue Data'!$A:$A,'[1]Tissue Data'!J:J)</f>
        <v>U</v>
      </c>
      <c r="H5468" t="str">
        <f>_xlfn.XLOOKUP(A5468,'[1]Tissue Data'!$A:$A,'[1]Tissue Data'!K:K)</f>
        <v>Whole Body</v>
      </c>
      <c r="I5468">
        <f>_xlfn.XLOOKUP(A5468,'[1]Tissue Data'!$A:$A,'[1]Tissue Data'!L:L)</f>
        <v>7</v>
      </c>
      <c r="J5468">
        <f>_xlfn.XLOOKUP(A5468,'[1]Tissue Data'!$A:$A,'[1]Tissue Data'!M:M)</f>
        <v>8.8000000000000007</v>
      </c>
      <c r="K5468" t="s">
        <v>28</v>
      </c>
      <c r="L5468" t="str">
        <f>_xlfn.XLOOKUP(K5468,[2]analyte_order!$B:$B,[2]analyte_order!$C:$C)</f>
        <v>375-92-8</v>
      </c>
      <c r="M5468">
        <f>_xlfn.XLOOKUP(L5468,[2]analyte_order!$C:$C,[2]analyte_order!$E:$E)</f>
        <v>17</v>
      </c>
      <c r="N5468">
        <v>1.17</v>
      </c>
    </row>
    <row r="5469" spans="1:14">
      <c r="A5469" t="s">
        <v>289</v>
      </c>
      <c r="B5469" t="str">
        <f>_xlfn.XLOOKUP(A5469,'[1]Tissue Data'!$A:$A,'[1]Tissue Data'!$C:$C)</f>
        <v>Spill</v>
      </c>
      <c r="C5469" s="2">
        <f>_xlfn.XLOOKUP(A5469,'[1]Tissue Data'!$A:$A,'[1]Tissue Data'!$D:$D)</f>
        <v>44393</v>
      </c>
      <c r="D5469" s="2" t="str">
        <f>_xlfn.XLOOKUP(A5469,'[1]Tissue Data'!$A:$A,'[1]Tissue Data'!$F:$F)</f>
        <v>Pumpkinseed</v>
      </c>
      <c r="E5469" t="str">
        <f>_xlfn.XLOOKUP(A5469,'[1]Tissue Data'!$A:$A,'[1]Tissue Data'!$H:$H)</f>
        <v>Lepomis</v>
      </c>
      <c r="F5469" t="str">
        <f>_xlfn.XLOOKUP(A5469,'[1]Tissue Data'!$A:$A,'[1]Tissue Data'!$I:$I)</f>
        <v>gibbosus</v>
      </c>
      <c r="G5469" t="str">
        <f>_xlfn.XLOOKUP(A5469,'[1]Tissue Data'!$A:$A,'[1]Tissue Data'!J:J)</f>
        <v>U</v>
      </c>
      <c r="H5469" t="str">
        <f>_xlfn.XLOOKUP(A5469,'[1]Tissue Data'!$A:$A,'[1]Tissue Data'!K:K)</f>
        <v>Whole Body</v>
      </c>
      <c r="I5469">
        <f>_xlfn.XLOOKUP(A5469,'[1]Tissue Data'!$A:$A,'[1]Tissue Data'!L:L)</f>
        <v>7</v>
      </c>
      <c r="J5469">
        <f>_xlfn.XLOOKUP(A5469,'[1]Tissue Data'!$A:$A,'[1]Tissue Data'!M:M)</f>
        <v>8.8000000000000007</v>
      </c>
      <c r="K5469" t="s">
        <v>29</v>
      </c>
      <c r="L5469" t="str">
        <f>_xlfn.XLOOKUP(K5469,[2]analyte_order!$B:$B,[2]analyte_order!$C:$C)</f>
        <v>1763-23-1</v>
      </c>
      <c r="M5469">
        <f>_xlfn.XLOOKUP(L5469,[2]analyte_order!$C:$C,[2]analyte_order!$E:$E)</f>
        <v>18</v>
      </c>
      <c r="N5469">
        <v>567</v>
      </c>
    </row>
    <row r="5470" spans="1:14">
      <c r="A5470" t="s">
        <v>289</v>
      </c>
      <c r="B5470" t="str">
        <f>_xlfn.XLOOKUP(A5470,'[1]Tissue Data'!$A:$A,'[1]Tissue Data'!$C:$C)</f>
        <v>Spill</v>
      </c>
      <c r="C5470" s="2">
        <f>_xlfn.XLOOKUP(A5470,'[1]Tissue Data'!$A:$A,'[1]Tissue Data'!$D:$D)</f>
        <v>44393</v>
      </c>
      <c r="D5470" s="2" t="str">
        <f>_xlfn.XLOOKUP(A5470,'[1]Tissue Data'!$A:$A,'[1]Tissue Data'!$F:$F)</f>
        <v>Pumpkinseed</v>
      </c>
      <c r="E5470" t="str">
        <f>_xlfn.XLOOKUP(A5470,'[1]Tissue Data'!$A:$A,'[1]Tissue Data'!$H:$H)</f>
        <v>Lepomis</v>
      </c>
      <c r="F5470" t="str">
        <f>_xlfn.XLOOKUP(A5470,'[1]Tissue Data'!$A:$A,'[1]Tissue Data'!$I:$I)</f>
        <v>gibbosus</v>
      </c>
      <c r="G5470" t="str">
        <f>_xlfn.XLOOKUP(A5470,'[1]Tissue Data'!$A:$A,'[1]Tissue Data'!J:J)</f>
        <v>U</v>
      </c>
      <c r="H5470" t="str">
        <f>_xlfn.XLOOKUP(A5470,'[1]Tissue Data'!$A:$A,'[1]Tissue Data'!K:K)</f>
        <v>Whole Body</v>
      </c>
      <c r="I5470">
        <f>_xlfn.XLOOKUP(A5470,'[1]Tissue Data'!$A:$A,'[1]Tissue Data'!L:L)</f>
        <v>7</v>
      </c>
      <c r="J5470">
        <f>_xlfn.XLOOKUP(A5470,'[1]Tissue Data'!$A:$A,'[1]Tissue Data'!M:M)</f>
        <v>8.8000000000000007</v>
      </c>
      <c r="K5470" t="s">
        <v>30</v>
      </c>
      <c r="L5470" t="str">
        <f>_xlfn.XLOOKUP(K5470,[2]analyte_order!$B:$B,[2]analyte_order!$C:$C)</f>
        <v>68259-12-1</v>
      </c>
      <c r="M5470">
        <f>_xlfn.XLOOKUP(L5470,[2]analyte_order!$C:$C,[2]analyte_order!$E:$E)</f>
        <v>19</v>
      </c>
      <c r="N5470">
        <v>1.59</v>
      </c>
    </row>
    <row r="5471" spans="1:14">
      <c r="A5471" t="s">
        <v>289</v>
      </c>
      <c r="B5471" t="str">
        <f>_xlfn.XLOOKUP(A5471,'[1]Tissue Data'!$A:$A,'[1]Tissue Data'!$C:$C)</f>
        <v>Spill</v>
      </c>
      <c r="C5471" s="2">
        <f>_xlfn.XLOOKUP(A5471,'[1]Tissue Data'!$A:$A,'[1]Tissue Data'!$D:$D)</f>
        <v>44393</v>
      </c>
      <c r="D5471" s="2" t="str">
        <f>_xlfn.XLOOKUP(A5471,'[1]Tissue Data'!$A:$A,'[1]Tissue Data'!$F:$F)</f>
        <v>Pumpkinseed</v>
      </c>
      <c r="E5471" t="str">
        <f>_xlfn.XLOOKUP(A5471,'[1]Tissue Data'!$A:$A,'[1]Tissue Data'!$H:$H)</f>
        <v>Lepomis</v>
      </c>
      <c r="F5471" t="str">
        <f>_xlfn.XLOOKUP(A5471,'[1]Tissue Data'!$A:$A,'[1]Tissue Data'!$I:$I)</f>
        <v>gibbosus</v>
      </c>
      <c r="G5471" t="str">
        <f>_xlfn.XLOOKUP(A5471,'[1]Tissue Data'!$A:$A,'[1]Tissue Data'!J:J)</f>
        <v>U</v>
      </c>
      <c r="H5471" t="str">
        <f>_xlfn.XLOOKUP(A5471,'[1]Tissue Data'!$A:$A,'[1]Tissue Data'!K:K)</f>
        <v>Whole Body</v>
      </c>
      <c r="I5471">
        <f>_xlfn.XLOOKUP(A5471,'[1]Tissue Data'!$A:$A,'[1]Tissue Data'!L:L)</f>
        <v>7</v>
      </c>
      <c r="J5471">
        <f>_xlfn.XLOOKUP(A5471,'[1]Tissue Data'!$A:$A,'[1]Tissue Data'!M:M)</f>
        <v>8.8000000000000007</v>
      </c>
      <c r="K5471" t="s">
        <v>31</v>
      </c>
      <c r="L5471" t="str">
        <f>_xlfn.XLOOKUP(K5471,[2]analyte_order!$B:$B,[2]analyte_order!$C:$C)</f>
        <v>335-77-3</v>
      </c>
      <c r="M5471">
        <f>_xlfn.XLOOKUP(L5471,[2]analyte_order!$C:$C,[2]analyte_order!$E:$E)</f>
        <v>20</v>
      </c>
      <c r="N5471">
        <v>1.97</v>
      </c>
    </row>
    <row r="5472" spans="1:14">
      <c r="A5472" t="s">
        <v>289</v>
      </c>
      <c r="B5472" t="str">
        <f>_xlfn.XLOOKUP(A5472,'[1]Tissue Data'!$A:$A,'[1]Tissue Data'!$C:$C)</f>
        <v>Spill</v>
      </c>
      <c r="C5472" s="2">
        <f>_xlfn.XLOOKUP(A5472,'[1]Tissue Data'!$A:$A,'[1]Tissue Data'!$D:$D)</f>
        <v>44393</v>
      </c>
      <c r="D5472" s="2" t="str">
        <f>_xlfn.XLOOKUP(A5472,'[1]Tissue Data'!$A:$A,'[1]Tissue Data'!$F:$F)</f>
        <v>Pumpkinseed</v>
      </c>
      <c r="E5472" t="str">
        <f>_xlfn.XLOOKUP(A5472,'[1]Tissue Data'!$A:$A,'[1]Tissue Data'!$H:$H)</f>
        <v>Lepomis</v>
      </c>
      <c r="F5472" t="str">
        <f>_xlfn.XLOOKUP(A5472,'[1]Tissue Data'!$A:$A,'[1]Tissue Data'!$I:$I)</f>
        <v>gibbosus</v>
      </c>
      <c r="G5472" t="str">
        <f>_xlfn.XLOOKUP(A5472,'[1]Tissue Data'!$A:$A,'[1]Tissue Data'!J:J)</f>
        <v>U</v>
      </c>
      <c r="H5472" t="str">
        <f>_xlfn.XLOOKUP(A5472,'[1]Tissue Data'!$A:$A,'[1]Tissue Data'!K:K)</f>
        <v>Whole Body</v>
      </c>
      <c r="I5472">
        <f>_xlfn.XLOOKUP(A5472,'[1]Tissue Data'!$A:$A,'[1]Tissue Data'!L:L)</f>
        <v>7</v>
      </c>
      <c r="J5472">
        <f>_xlfn.XLOOKUP(A5472,'[1]Tissue Data'!$A:$A,'[1]Tissue Data'!M:M)</f>
        <v>8.8000000000000007</v>
      </c>
      <c r="K5472" t="s">
        <v>32</v>
      </c>
      <c r="L5472" t="str">
        <f>_xlfn.XLOOKUP(K5472,[2]analyte_order!$B:$B,[2]analyte_order!$C:$C)</f>
        <v>79780-39-5</v>
      </c>
      <c r="M5472">
        <f>_xlfn.XLOOKUP(L5472,[2]analyte_order!$C:$C,[2]analyte_order!$E:$E)</f>
        <v>21</v>
      </c>
      <c r="N5472">
        <v>0.629</v>
      </c>
    </row>
    <row r="5473" spans="1:14">
      <c r="A5473" t="s">
        <v>289</v>
      </c>
      <c r="B5473" t="str">
        <f>_xlfn.XLOOKUP(A5473,'[1]Tissue Data'!$A:$A,'[1]Tissue Data'!$C:$C)</f>
        <v>Spill</v>
      </c>
      <c r="C5473" s="2">
        <f>_xlfn.XLOOKUP(A5473,'[1]Tissue Data'!$A:$A,'[1]Tissue Data'!$D:$D)</f>
        <v>44393</v>
      </c>
      <c r="D5473" s="2" t="str">
        <f>_xlfn.XLOOKUP(A5473,'[1]Tissue Data'!$A:$A,'[1]Tissue Data'!$F:$F)</f>
        <v>Pumpkinseed</v>
      </c>
      <c r="E5473" t="str">
        <f>_xlfn.XLOOKUP(A5473,'[1]Tissue Data'!$A:$A,'[1]Tissue Data'!$H:$H)</f>
        <v>Lepomis</v>
      </c>
      <c r="F5473" t="str">
        <f>_xlfn.XLOOKUP(A5473,'[1]Tissue Data'!$A:$A,'[1]Tissue Data'!$I:$I)</f>
        <v>gibbosus</v>
      </c>
      <c r="G5473" t="str">
        <f>_xlfn.XLOOKUP(A5473,'[1]Tissue Data'!$A:$A,'[1]Tissue Data'!J:J)</f>
        <v>U</v>
      </c>
      <c r="H5473" t="str">
        <f>_xlfn.XLOOKUP(A5473,'[1]Tissue Data'!$A:$A,'[1]Tissue Data'!K:K)</f>
        <v>Whole Body</v>
      </c>
      <c r="I5473">
        <f>_xlfn.XLOOKUP(A5473,'[1]Tissue Data'!$A:$A,'[1]Tissue Data'!L:L)</f>
        <v>7</v>
      </c>
      <c r="J5473">
        <f>_xlfn.XLOOKUP(A5473,'[1]Tissue Data'!$A:$A,'[1]Tissue Data'!M:M)</f>
        <v>8.8000000000000007</v>
      </c>
      <c r="K5473" t="s">
        <v>33</v>
      </c>
      <c r="L5473" t="str">
        <f>_xlfn.XLOOKUP(K5473,[2]analyte_order!$B:$B,[2]analyte_order!$C:$C)</f>
        <v>777011-38-8</v>
      </c>
      <c r="M5473">
        <f>_xlfn.XLOOKUP(L5473,[2]analyte_order!$C:$C,[2]analyte_order!$E:$E)</f>
        <v>54</v>
      </c>
      <c r="N5473">
        <v>0.1305</v>
      </c>
    </row>
    <row r="5474" spans="1:14">
      <c r="A5474" t="s">
        <v>289</v>
      </c>
      <c r="B5474" t="str">
        <f>_xlfn.XLOOKUP(A5474,'[1]Tissue Data'!$A:$A,'[1]Tissue Data'!$C:$C)</f>
        <v>Spill</v>
      </c>
      <c r="C5474" s="2">
        <f>_xlfn.XLOOKUP(A5474,'[1]Tissue Data'!$A:$A,'[1]Tissue Data'!$D:$D)</f>
        <v>44393</v>
      </c>
      <c r="D5474" s="2" t="str">
        <f>_xlfn.XLOOKUP(A5474,'[1]Tissue Data'!$A:$A,'[1]Tissue Data'!$F:$F)</f>
        <v>Pumpkinseed</v>
      </c>
      <c r="E5474" t="str">
        <f>_xlfn.XLOOKUP(A5474,'[1]Tissue Data'!$A:$A,'[1]Tissue Data'!$H:$H)</f>
        <v>Lepomis</v>
      </c>
      <c r="F5474" t="str">
        <f>_xlfn.XLOOKUP(A5474,'[1]Tissue Data'!$A:$A,'[1]Tissue Data'!$I:$I)</f>
        <v>gibbosus</v>
      </c>
      <c r="G5474" t="str">
        <f>_xlfn.XLOOKUP(A5474,'[1]Tissue Data'!$A:$A,'[1]Tissue Data'!J:J)</f>
        <v>U</v>
      </c>
      <c r="H5474" t="str">
        <f>_xlfn.XLOOKUP(A5474,'[1]Tissue Data'!$A:$A,'[1]Tissue Data'!K:K)</f>
        <v>Whole Body</v>
      </c>
      <c r="I5474">
        <f>_xlfn.XLOOKUP(A5474,'[1]Tissue Data'!$A:$A,'[1]Tissue Data'!L:L)</f>
        <v>7</v>
      </c>
      <c r="J5474">
        <f>_xlfn.XLOOKUP(A5474,'[1]Tissue Data'!$A:$A,'[1]Tissue Data'!M:M)</f>
        <v>8.8000000000000007</v>
      </c>
      <c r="K5474" t="s">
        <v>34</v>
      </c>
      <c r="L5474" t="str">
        <f>_xlfn.XLOOKUP(K5474,[2]analyte_order!$B:$B,[2]analyte_order!$C:$C)</f>
        <v>646-83-3</v>
      </c>
      <c r="M5474">
        <f>_xlfn.XLOOKUP(L5474,[2]analyte_order!$C:$C,[2]analyte_order!$E:$E)</f>
        <v>55</v>
      </c>
      <c r="N5474">
        <v>0.2145</v>
      </c>
    </row>
    <row r="5475" spans="1:14">
      <c r="A5475" t="s">
        <v>289</v>
      </c>
      <c r="B5475" t="str">
        <f>_xlfn.XLOOKUP(A5475,'[1]Tissue Data'!$A:$A,'[1]Tissue Data'!$C:$C)</f>
        <v>Spill</v>
      </c>
      <c r="C5475" s="2">
        <f>_xlfn.XLOOKUP(A5475,'[1]Tissue Data'!$A:$A,'[1]Tissue Data'!$D:$D)</f>
        <v>44393</v>
      </c>
      <c r="D5475" s="2" t="str">
        <f>_xlfn.XLOOKUP(A5475,'[1]Tissue Data'!$A:$A,'[1]Tissue Data'!$F:$F)</f>
        <v>Pumpkinseed</v>
      </c>
      <c r="E5475" t="str">
        <f>_xlfn.XLOOKUP(A5475,'[1]Tissue Data'!$A:$A,'[1]Tissue Data'!$H:$H)</f>
        <v>Lepomis</v>
      </c>
      <c r="F5475" t="str">
        <f>_xlfn.XLOOKUP(A5475,'[1]Tissue Data'!$A:$A,'[1]Tissue Data'!$I:$I)</f>
        <v>gibbosus</v>
      </c>
      <c r="G5475" t="str">
        <f>_xlfn.XLOOKUP(A5475,'[1]Tissue Data'!$A:$A,'[1]Tissue Data'!J:J)</f>
        <v>U</v>
      </c>
      <c r="H5475" t="str">
        <f>_xlfn.XLOOKUP(A5475,'[1]Tissue Data'!$A:$A,'[1]Tissue Data'!K:K)</f>
        <v>Whole Body</v>
      </c>
      <c r="I5475">
        <f>_xlfn.XLOOKUP(A5475,'[1]Tissue Data'!$A:$A,'[1]Tissue Data'!L:L)</f>
        <v>7</v>
      </c>
      <c r="J5475">
        <f>_xlfn.XLOOKUP(A5475,'[1]Tissue Data'!$A:$A,'[1]Tissue Data'!M:M)</f>
        <v>8.8000000000000007</v>
      </c>
      <c r="K5475" t="s">
        <v>35</v>
      </c>
      <c r="L5475" t="str">
        <f>_xlfn.XLOOKUP(K5475,[2]analyte_order!$B:$B,[2]analyte_order!$C:$C)</f>
        <v>30334-69-1</v>
      </c>
      <c r="M5475">
        <f>_xlfn.XLOOKUP(L5475,[2]analyte_order!$C:$C,[2]analyte_order!$E:$E)</f>
        <v>51</v>
      </c>
      <c r="N5475">
        <v>16.899999999999999</v>
      </c>
    </row>
    <row r="5476" spans="1:14">
      <c r="A5476" t="s">
        <v>289</v>
      </c>
      <c r="B5476" t="str">
        <f>_xlfn.XLOOKUP(A5476,'[1]Tissue Data'!$A:$A,'[1]Tissue Data'!$C:$C)</f>
        <v>Spill</v>
      </c>
      <c r="C5476" s="2">
        <f>_xlfn.XLOOKUP(A5476,'[1]Tissue Data'!$A:$A,'[1]Tissue Data'!$D:$D)</f>
        <v>44393</v>
      </c>
      <c r="D5476" s="2" t="str">
        <f>_xlfn.XLOOKUP(A5476,'[1]Tissue Data'!$A:$A,'[1]Tissue Data'!$F:$F)</f>
        <v>Pumpkinseed</v>
      </c>
      <c r="E5476" t="str">
        <f>_xlfn.XLOOKUP(A5476,'[1]Tissue Data'!$A:$A,'[1]Tissue Data'!$H:$H)</f>
        <v>Lepomis</v>
      </c>
      <c r="F5476" t="str">
        <f>_xlfn.XLOOKUP(A5476,'[1]Tissue Data'!$A:$A,'[1]Tissue Data'!$I:$I)</f>
        <v>gibbosus</v>
      </c>
      <c r="G5476" t="str">
        <f>_xlfn.XLOOKUP(A5476,'[1]Tissue Data'!$A:$A,'[1]Tissue Data'!J:J)</f>
        <v>U</v>
      </c>
      <c r="H5476" t="str">
        <f>_xlfn.XLOOKUP(A5476,'[1]Tissue Data'!$A:$A,'[1]Tissue Data'!K:K)</f>
        <v>Whole Body</v>
      </c>
      <c r="I5476">
        <f>_xlfn.XLOOKUP(A5476,'[1]Tissue Data'!$A:$A,'[1]Tissue Data'!L:L)</f>
        <v>7</v>
      </c>
      <c r="J5476">
        <f>_xlfn.XLOOKUP(A5476,'[1]Tissue Data'!$A:$A,'[1]Tissue Data'!M:M)</f>
        <v>8.8000000000000007</v>
      </c>
      <c r="K5476" t="s">
        <v>36</v>
      </c>
      <c r="L5476" t="str">
        <f>_xlfn.XLOOKUP(K5476,[2]analyte_order!$B:$B,[2]analyte_order!$C:$C)</f>
        <v>41997-13-1</v>
      </c>
      <c r="M5476">
        <f>_xlfn.XLOOKUP(L5476,[2]analyte_order!$C:$C,[2]analyte_order!$E:$E)</f>
        <v>52</v>
      </c>
      <c r="N5476">
        <v>52.1</v>
      </c>
    </row>
    <row r="5477" spans="1:14">
      <c r="A5477" t="s">
        <v>289</v>
      </c>
      <c r="B5477" t="str">
        <f>_xlfn.XLOOKUP(A5477,'[1]Tissue Data'!$A:$A,'[1]Tissue Data'!$C:$C)</f>
        <v>Spill</v>
      </c>
      <c r="C5477" s="2">
        <f>_xlfn.XLOOKUP(A5477,'[1]Tissue Data'!$A:$A,'[1]Tissue Data'!$D:$D)</f>
        <v>44393</v>
      </c>
      <c r="D5477" s="2" t="str">
        <f>_xlfn.XLOOKUP(A5477,'[1]Tissue Data'!$A:$A,'[1]Tissue Data'!$F:$F)</f>
        <v>Pumpkinseed</v>
      </c>
      <c r="E5477" t="str">
        <f>_xlfn.XLOOKUP(A5477,'[1]Tissue Data'!$A:$A,'[1]Tissue Data'!$H:$H)</f>
        <v>Lepomis</v>
      </c>
      <c r="F5477" t="str">
        <f>_xlfn.XLOOKUP(A5477,'[1]Tissue Data'!$A:$A,'[1]Tissue Data'!$I:$I)</f>
        <v>gibbosus</v>
      </c>
      <c r="G5477" t="str">
        <f>_xlfn.XLOOKUP(A5477,'[1]Tissue Data'!$A:$A,'[1]Tissue Data'!J:J)</f>
        <v>U</v>
      </c>
      <c r="H5477" t="str">
        <f>_xlfn.XLOOKUP(A5477,'[1]Tissue Data'!$A:$A,'[1]Tissue Data'!K:K)</f>
        <v>Whole Body</v>
      </c>
      <c r="I5477">
        <f>_xlfn.XLOOKUP(A5477,'[1]Tissue Data'!$A:$A,'[1]Tissue Data'!L:L)</f>
        <v>7</v>
      </c>
      <c r="J5477">
        <f>_xlfn.XLOOKUP(A5477,'[1]Tissue Data'!$A:$A,'[1]Tissue Data'!M:M)</f>
        <v>8.8000000000000007</v>
      </c>
      <c r="K5477" t="s">
        <v>37</v>
      </c>
      <c r="L5477" t="str">
        <f>_xlfn.XLOOKUP(K5477,[2]analyte_order!$B:$B,[2]analyte_order!$C:$C)</f>
        <v>754-91-6</v>
      </c>
      <c r="M5477">
        <f>_xlfn.XLOOKUP(L5477,[2]analyte_order!$C:$C,[2]analyte_order!$E:$E)</f>
        <v>28</v>
      </c>
      <c r="N5477">
        <v>6.24</v>
      </c>
    </row>
    <row r="5478" spans="1:14">
      <c r="A5478" t="s">
        <v>289</v>
      </c>
      <c r="B5478" t="str">
        <f>_xlfn.XLOOKUP(A5478,'[1]Tissue Data'!$A:$A,'[1]Tissue Data'!$C:$C)</f>
        <v>Spill</v>
      </c>
      <c r="C5478" s="2">
        <f>_xlfn.XLOOKUP(A5478,'[1]Tissue Data'!$A:$A,'[1]Tissue Data'!$D:$D)</f>
        <v>44393</v>
      </c>
      <c r="D5478" s="2" t="str">
        <f>_xlfn.XLOOKUP(A5478,'[1]Tissue Data'!$A:$A,'[1]Tissue Data'!$F:$F)</f>
        <v>Pumpkinseed</v>
      </c>
      <c r="E5478" t="str">
        <f>_xlfn.XLOOKUP(A5478,'[1]Tissue Data'!$A:$A,'[1]Tissue Data'!$H:$H)</f>
        <v>Lepomis</v>
      </c>
      <c r="F5478" t="str">
        <f>_xlfn.XLOOKUP(A5478,'[1]Tissue Data'!$A:$A,'[1]Tissue Data'!$I:$I)</f>
        <v>gibbosus</v>
      </c>
      <c r="G5478" t="str">
        <f>_xlfn.XLOOKUP(A5478,'[1]Tissue Data'!$A:$A,'[1]Tissue Data'!J:J)</f>
        <v>U</v>
      </c>
      <c r="H5478" t="str">
        <f>_xlfn.XLOOKUP(A5478,'[1]Tissue Data'!$A:$A,'[1]Tissue Data'!K:K)</f>
        <v>Whole Body</v>
      </c>
      <c r="I5478">
        <f>_xlfn.XLOOKUP(A5478,'[1]Tissue Data'!$A:$A,'[1]Tissue Data'!L:L)</f>
        <v>7</v>
      </c>
      <c r="J5478">
        <f>_xlfn.XLOOKUP(A5478,'[1]Tissue Data'!$A:$A,'[1]Tissue Data'!M:M)</f>
        <v>8.8000000000000007</v>
      </c>
      <c r="K5478" t="s">
        <v>38</v>
      </c>
      <c r="L5478" t="str">
        <f>_xlfn.XLOOKUP(K5478,[2]analyte_order!$B:$B,[2]analyte_order!$C:$C)</f>
        <v>31506-32-8</v>
      </c>
      <c r="M5478">
        <f>_xlfn.XLOOKUP(L5478,[2]analyte_order!$C:$C,[2]analyte_order!$E:$E)</f>
        <v>30</v>
      </c>
      <c r="N5478">
        <v>6.5000000000000002E-2</v>
      </c>
    </row>
    <row r="5479" spans="1:14">
      <c r="A5479" t="s">
        <v>289</v>
      </c>
      <c r="B5479" t="str">
        <f>_xlfn.XLOOKUP(A5479,'[1]Tissue Data'!$A:$A,'[1]Tissue Data'!$C:$C)</f>
        <v>Spill</v>
      </c>
      <c r="C5479" s="2">
        <f>_xlfn.XLOOKUP(A5479,'[1]Tissue Data'!$A:$A,'[1]Tissue Data'!$D:$D)</f>
        <v>44393</v>
      </c>
      <c r="D5479" s="2" t="str">
        <f>_xlfn.XLOOKUP(A5479,'[1]Tissue Data'!$A:$A,'[1]Tissue Data'!$F:$F)</f>
        <v>Pumpkinseed</v>
      </c>
      <c r="E5479" t="str">
        <f>_xlfn.XLOOKUP(A5479,'[1]Tissue Data'!$A:$A,'[1]Tissue Data'!$H:$H)</f>
        <v>Lepomis</v>
      </c>
      <c r="F5479" t="str">
        <f>_xlfn.XLOOKUP(A5479,'[1]Tissue Data'!$A:$A,'[1]Tissue Data'!$I:$I)</f>
        <v>gibbosus</v>
      </c>
      <c r="G5479" t="str">
        <f>_xlfn.XLOOKUP(A5479,'[1]Tissue Data'!$A:$A,'[1]Tissue Data'!J:J)</f>
        <v>U</v>
      </c>
      <c r="H5479" t="str">
        <f>_xlfn.XLOOKUP(A5479,'[1]Tissue Data'!$A:$A,'[1]Tissue Data'!K:K)</f>
        <v>Whole Body</v>
      </c>
      <c r="I5479">
        <f>_xlfn.XLOOKUP(A5479,'[1]Tissue Data'!$A:$A,'[1]Tissue Data'!L:L)</f>
        <v>7</v>
      </c>
      <c r="J5479">
        <f>_xlfn.XLOOKUP(A5479,'[1]Tissue Data'!$A:$A,'[1]Tissue Data'!M:M)</f>
        <v>8.8000000000000007</v>
      </c>
      <c r="K5479" t="s">
        <v>39</v>
      </c>
      <c r="L5479" t="str">
        <f>_xlfn.XLOOKUP(K5479,[2]analyte_order!$B:$B,[2]analyte_order!$C:$C)</f>
        <v>4151-50-2</v>
      </c>
      <c r="M5479">
        <f>_xlfn.XLOOKUP(L5479,[2]analyte_order!$C:$C,[2]analyte_order!$E:$E)</f>
        <v>31</v>
      </c>
      <c r="N5479">
        <v>7.5999999999999998E-2</v>
      </c>
    </row>
    <row r="5480" spans="1:14">
      <c r="A5480" t="s">
        <v>289</v>
      </c>
      <c r="B5480" t="str">
        <f>_xlfn.XLOOKUP(A5480,'[1]Tissue Data'!$A:$A,'[1]Tissue Data'!$C:$C)</f>
        <v>Spill</v>
      </c>
      <c r="C5480" s="2">
        <f>_xlfn.XLOOKUP(A5480,'[1]Tissue Data'!$A:$A,'[1]Tissue Data'!$D:$D)</f>
        <v>44393</v>
      </c>
      <c r="D5480" s="2" t="str">
        <f>_xlfn.XLOOKUP(A5480,'[1]Tissue Data'!$A:$A,'[1]Tissue Data'!$F:$F)</f>
        <v>Pumpkinseed</v>
      </c>
      <c r="E5480" t="str">
        <f>_xlfn.XLOOKUP(A5480,'[1]Tissue Data'!$A:$A,'[1]Tissue Data'!$H:$H)</f>
        <v>Lepomis</v>
      </c>
      <c r="F5480" t="str">
        <f>_xlfn.XLOOKUP(A5480,'[1]Tissue Data'!$A:$A,'[1]Tissue Data'!$I:$I)</f>
        <v>gibbosus</v>
      </c>
      <c r="G5480" t="str">
        <f>_xlfn.XLOOKUP(A5480,'[1]Tissue Data'!$A:$A,'[1]Tissue Data'!J:J)</f>
        <v>U</v>
      </c>
      <c r="H5480" t="str">
        <f>_xlfn.XLOOKUP(A5480,'[1]Tissue Data'!$A:$A,'[1]Tissue Data'!K:K)</f>
        <v>Whole Body</v>
      </c>
      <c r="I5480">
        <f>_xlfn.XLOOKUP(A5480,'[1]Tissue Data'!$A:$A,'[1]Tissue Data'!L:L)</f>
        <v>7</v>
      </c>
      <c r="J5480">
        <f>_xlfn.XLOOKUP(A5480,'[1]Tissue Data'!$A:$A,'[1]Tissue Data'!M:M)</f>
        <v>8.8000000000000007</v>
      </c>
      <c r="K5480" t="s">
        <v>40</v>
      </c>
      <c r="L5480" t="str">
        <f>_xlfn.XLOOKUP(K5480,[2]analyte_order!$B:$B,[2]analyte_order!$C:$C)</f>
        <v>2806-24-8</v>
      </c>
      <c r="M5480">
        <f>_xlfn.XLOOKUP(L5480,[2]analyte_order!$C:$C,[2]analyte_order!$E:$E)</f>
        <v>29</v>
      </c>
      <c r="N5480">
        <v>5.0999999999999997E-2</v>
      </c>
    </row>
    <row r="5481" spans="1:14">
      <c r="A5481" t="s">
        <v>289</v>
      </c>
      <c r="B5481" t="str">
        <f>_xlfn.XLOOKUP(A5481,'[1]Tissue Data'!$A:$A,'[1]Tissue Data'!$C:$C)</f>
        <v>Spill</v>
      </c>
      <c r="C5481" s="2">
        <f>_xlfn.XLOOKUP(A5481,'[1]Tissue Data'!$A:$A,'[1]Tissue Data'!$D:$D)</f>
        <v>44393</v>
      </c>
      <c r="D5481" s="2" t="str">
        <f>_xlfn.XLOOKUP(A5481,'[1]Tissue Data'!$A:$A,'[1]Tissue Data'!$F:$F)</f>
        <v>Pumpkinseed</v>
      </c>
      <c r="E5481" t="str">
        <f>_xlfn.XLOOKUP(A5481,'[1]Tissue Data'!$A:$A,'[1]Tissue Data'!$H:$H)</f>
        <v>Lepomis</v>
      </c>
      <c r="F5481" t="str">
        <f>_xlfn.XLOOKUP(A5481,'[1]Tissue Data'!$A:$A,'[1]Tissue Data'!$I:$I)</f>
        <v>gibbosus</v>
      </c>
      <c r="G5481" t="str">
        <f>_xlfn.XLOOKUP(A5481,'[1]Tissue Data'!$A:$A,'[1]Tissue Data'!J:J)</f>
        <v>U</v>
      </c>
      <c r="H5481" t="str">
        <f>_xlfn.XLOOKUP(A5481,'[1]Tissue Data'!$A:$A,'[1]Tissue Data'!K:K)</f>
        <v>Whole Body</v>
      </c>
      <c r="I5481">
        <f>_xlfn.XLOOKUP(A5481,'[1]Tissue Data'!$A:$A,'[1]Tissue Data'!L:L)</f>
        <v>7</v>
      </c>
      <c r="J5481">
        <f>_xlfn.XLOOKUP(A5481,'[1]Tissue Data'!$A:$A,'[1]Tissue Data'!M:M)</f>
        <v>8.8000000000000007</v>
      </c>
      <c r="K5481" t="s">
        <v>41</v>
      </c>
      <c r="L5481" t="str">
        <f>_xlfn.XLOOKUP(K5481,[2]analyte_order!$B:$B,[2]analyte_order!$C:$C)</f>
        <v>2355-31-9</v>
      </c>
      <c r="M5481">
        <f>_xlfn.XLOOKUP(L5481,[2]analyte_order!$C:$C,[2]analyte_order!$E:$E)</f>
        <v>26</v>
      </c>
      <c r="N5481">
        <v>6.5500000000000003E-2</v>
      </c>
    </row>
    <row r="5482" spans="1:14">
      <c r="A5482" t="s">
        <v>289</v>
      </c>
      <c r="B5482" t="str">
        <f>_xlfn.XLOOKUP(A5482,'[1]Tissue Data'!$A:$A,'[1]Tissue Data'!$C:$C)</f>
        <v>Spill</v>
      </c>
      <c r="C5482" s="2">
        <f>_xlfn.XLOOKUP(A5482,'[1]Tissue Data'!$A:$A,'[1]Tissue Data'!$D:$D)</f>
        <v>44393</v>
      </c>
      <c r="D5482" s="2" t="str">
        <f>_xlfn.XLOOKUP(A5482,'[1]Tissue Data'!$A:$A,'[1]Tissue Data'!$F:$F)</f>
        <v>Pumpkinseed</v>
      </c>
      <c r="E5482" t="str">
        <f>_xlfn.XLOOKUP(A5482,'[1]Tissue Data'!$A:$A,'[1]Tissue Data'!$H:$H)</f>
        <v>Lepomis</v>
      </c>
      <c r="F5482" t="str">
        <f>_xlfn.XLOOKUP(A5482,'[1]Tissue Data'!$A:$A,'[1]Tissue Data'!$I:$I)</f>
        <v>gibbosus</v>
      </c>
      <c r="G5482" t="str">
        <f>_xlfn.XLOOKUP(A5482,'[1]Tissue Data'!$A:$A,'[1]Tissue Data'!J:J)</f>
        <v>U</v>
      </c>
      <c r="H5482" t="str">
        <f>_xlfn.XLOOKUP(A5482,'[1]Tissue Data'!$A:$A,'[1]Tissue Data'!K:K)</f>
        <v>Whole Body</v>
      </c>
      <c r="I5482">
        <f>_xlfn.XLOOKUP(A5482,'[1]Tissue Data'!$A:$A,'[1]Tissue Data'!L:L)</f>
        <v>7</v>
      </c>
      <c r="J5482">
        <f>_xlfn.XLOOKUP(A5482,'[1]Tissue Data'!$A:$A,'[1]Tissue Data'!M:M)</f>
        <v>8.8000000000000007</v>
      </c>
      <c r="K5482" t="s">
        <v>42</v>
      </c>
      <c r="L5482" t="str">
        <f>_xlfn.XLOOKUP(K5482,[2]analyte_order!$B:$B,[2]analyte_order!$C:$C)</f>
        <v>2991-50-6</v>
      </c>
      <c r="M5482">
        <f>_xlfn.XLOOKUP(L5482,[2]analyte_order!$C:$C,[2]analyte_order!$E:$E)</f>
        <v>27</v>
      </c>
      <c r="N5482">
        <v>5.6500000000000002E-2</v>
      </c>
    </row>
    <row r="5483" spans="1:14">
      <c r="A5483" t="s">
        <v>289</v>
      </c>
      <c r="B5483" t="str">
        <f>_xlfn.XLOOKUP(A5483,'[1]Tissue Data'!$A:$A,'[1]Tissue Data'!$C:$C)</f>
        <v>Spill</v>
      </c>
      <c r="C5483" s="2">
        <f>_xlfn.XLOOKUP(A5483,'[1]Tissue Data'!$A:$A,'[1]Tissue Data'!$D:$D)</f>
        <v>44393</v>
      </c>
      <c r="D5483" s="2" t="str">
        <f>_xlfn.XLOOKUP(A5483,'[1]Tissue Data'!$A:$A,'[1]Tissue Data'!$F:$F)</f>
        <v>Pumpkinseed</v>
      </c>
      <c r="E5483" t="str">
        <f>_xlfn.XLOOKUP(A5483,'[1]Tissue Data'!$A:$A,'[1]Tissue Data'!$H:$H)</f>
        <v>Lepomis</v>
      </c>
      <c r="F5483" t="str">
        <f>_xlfn.XLOOKUP(A5483,'[1]Tissue Data'!$A:$A,'[1]Tissue Data'!$I:$I)</f>
        <v>gibbosus</v>
      </c>
      <c r="G5483" t="str">
        <f>_xlfn.XLOOKUP(A5483,'[1]Tissue Data'!$A:$A,'[1]Tissue Data'!J:J)</f>
        <v>U</v>
      </c>
      <c r="H5483" t="str">
        <f>_xlfn.XLOOKUP(A5483,'[1]Tissue Data'!$A:$A,'[1]Tissue Data'!K:K)</f>
        <v>Whole Body</v>
      </c>
      <c r="I5483">
        <f>_xlfn.XLOOKUP(A5483,'[1]Tissue Data'!$A:$A,'[1]Tissue Data'!L:L)</f>
        <v>7</v>
      </c>
      <c r="J5483">
        <f>_xlfn.XLOOKUP(A5483,'[1]Tissue Data'!$A:$A,'[1]Tissue Data'!M:M)</f>
        <v>8.8000000000000007</v>
      </c>
      <c r="K5483" t="s">
        <v>43</v>
      </c>
      <c r="L5483" t="str">
        <f>_xlfn.XLOOKUP(K5483,[2]analyte_order!$B:$B,[2]analyte_order!$C:$C)</f>
        <v>757124-72-4</v>
      </c>
      <c r="M5483">
        <f>_xlfn.XLOOKUP(L5483,[2]analyte_order!$C:$C,[2]analyte_order!$E:$E)</f>
        <v>22</v>
      </c>
      <c r="N5483">
        <v>6.5000000000000002E-2</v>
      </c>
    </row>
    <row r="5484" spans="1:14">
      <c r="A5484" t="s">
        <v>289</v>
      </c>
      <c r="B5484" t="str">
        <f>_xlfn.XLOOKUP(A5484,'[1]Tissue Data'!$A:$A,'[1]Tissue Data'!$C:$C)</f>
        <v>Spill</v>
      </c>
      <c r="C5484" s="2">
        <f>_xlfn.XLOOKUP(A5484,'[1]Tissue Data'!$A:$A,'[1]Tissue Data'!$D:$D)</f>
        <v>44393</v>
      </c>
      <c r="D5484" s="2" t="str">
        <f>_xlfn.XLOOKUP(A5484,'[1]Tissue Data'!$A:$A,'[1]Tissue Data'!$F:$F)</f>
        <v>Pumpkinseed</v>
      </c>
      <c r="E5484" t="str">
        <f>_xlfn.XLOOKUP(A5484,'[1]Tissue Data'!$A:$A,'[1]Tissue Data'!$H:$H)</f>
        <v>Lepomis</v>
      </c>
      <c r="F5484" t="str">
        <f>_xlfn.XLOOKUP(A5484,'[1]Tissue Data'!$A:$A,'[1]Tissue Data'!$I:$I)</f>
        <v>gibbosus</v>
      </c>
      <c r="G5484" t="str">
        <f>_xlfn.XLOOKUP(A5484,'[1]Tissue Data'!$A:$A,'[1]Tissue Data'!J:J)</f>
        <v>U</v>
      </c>
      <c r="H5484" t="str">
        <f>_xlfn.XLOOKUP(A5484,'[1]Tissue Data'!$A:$A,'[1]Tissue Data'!K:K)</f>
        <v>Whole Body</v>
      </c>
      <c r="I5484">
        <f>_xlfn.XLOOKUP(A5484,'[1]Tissue Data'!$A:$A,'[1]Tissue Data'!L:L)</f>
        <v>7</v>
      </c>
      <c r="J5484">
        <f>_xlfn.XLOOKUP(A5484,'[1]Tissue Data'!$A:$A,'[1]Tissue Data'!M:M)</f>
        <v>8.8000000000000007</v>
      </c>
      <c r="K5484" t="s">
        <v>44</v>
      </c>
      <c r="L5484" t="str">
        <f>_xlfn.XLOOKUP(K5484,[2]analyte_order!$B:$B,[2]analyte_order!$C:$C)</f>
        <v>27619-97-2</v>
      </c>
      <c r="M5484">
        <f>_xlfn.XLOOKUP(L5484,[2]analyte_order!$C:$C,[2]analyte_order!$E:$E)</f>
        <v>23</v>
      </c>
      <c r="N5484">
        <v>0.36599999999999999</v>
      </c>
    </row>
    <row r="5485" spans="1:14">
      <c r="A5485" t="s">
        <v>289</v>
      </c>
      <c r="B5485" t="str">
        <f>_xlfn.XLOOKUP(A5485,'[1]Tissue Data'!$A:$A,'[1]Tissue Data'!$C:$C)</f>
        <v>Spill</v>
      </c>
      <c r="C5485" s="2">
        <f>_xlfn.XLOOKUP(A5485,'[1]Tissue Data'!$A:$A,'[1]Tissue Data'!$D:$D)</f>
        <v>44393</v>
      </c>
      <c r="D5485" s="2" t="str">
        <f>_xlfn.XLOOKUP(A5485,'[1]Tissue Data'!$A:$A,'[1]Tissue Data'!$F:$F)</f>
        <v>Pumpkinseed</v>
      </c>
      <c r="E5485" t="str">
        <f>_xlfn.XLOOKUP(A5485,'[1]Tissue Data'!$A:$A,'[1]Tissue Data'!$H:$H)</f>
        <v>Lepomis</v>
      </c>
      <c r="F5485" t="str">
        <f>_xlfn.XLOOKUP(A5485,'[1]Tissue Data'!$A:$A,'[1]Tissue Data'!$I:$I)</f>
        <v>gibbosus</v>
      </c>
      <c r="G5485" t="str">
        <f>_xlfn.XLOOKUP(A5485,'[1]Tissue Data'!$A:$A,'[1]Tissue Data'!J:J)</f>
        <v>U</v>
      </c>
      <c r="H5485" t="str">
        <f>_xlfn.XLOOKUP(A5485,'[1]Tissue Data'!$A:$A,'[1]Tissue Data'!K:K)</f>
        <v>Whole Body</v>
      </c>
      <c r="I5485">
        <f>_xlfn.XLOOKUP(A5485,'[1]Tissue Data'!$A:$A,'[1]Tissue Data'!L:L)</f>
        <v>7</v>
      </c>
      <c r="J5485">
        <f>_xlfn.XLOOKUP(A5485,'[1]Tissue Data'!$A:$A,'[1]Tissue Data'!M:M)</f>
        <v>8.8000000000000007</v>
      </c>
      <c r="K5485" t="s">
        <v>45</v>
      </c>
      <c r="L5485" t="str">
        <f>_xlfn.XLOOKUP(K5485,[2]analyte_order!$B:$B,[2]analyte_order!$C:$C)</f>
        <v>39108-34-4</v>
      </c>
      <c r="M5485">
        <f>_xlfn.XLOOKUP(L5485,[2]analyte_order!$C:$C,[2]analyte_order!$E:$E)</f>
        <v>24</v>
      </c>
      <c r="N5485">
        <v>3.6</v>
      </c>
    </row>
    <row r="5486" spans="1:14">
      <c r="A5486" t="s">
        <v>289</v>
      </c>
      <c r="B5486" t="str">
        <f>_xlfn.XLOOKUP(A5486,'[1]Tissue Data'!$A:$A,'[1]Tissue Data'!$C:$C)</f>
        <v>Spill</v>
      </c>
      <c r="C5486" s="2">
        <f>_xlfn.XLOOKUP(A5486,'[1]Tissue Data'!$A:$A,'[1]Tissue Data'!$D:$D)</f>
        <v>44393</v>
      </c>
      <c r="D5486" s="2" t="str">
        <f>_xlfn.XLOOKUP(A5486,'[1]Tissue Data'!$A:$A,'[1]Tissue Data'!$F:$F)</f>
        <v>Pumpkinseed</v>
      </c>
      <c r="E5486" t="str">
        <f>_xlfn.XLOOKUP(A5486,'[1]Tissue Data'!$A:$A,'[1]Tissue Data'!$H:$H)</f>
        <v>Lepomis</v>
      </c>
      <c r="F5486" t="str">
        <f>_xlfn.XLOOKUP(A5486,'[1]Tissue Data'!$A:$A,'[1]Tissue Data'!$I:$I)</f>
        <v>gibbosus</v>
      </c>
      <c r="G5486" t="str">
        <f>_xlfn.XLOOKUP(A5486,'[1]Tissue Data'!$A:$A,'[1]Tissue Data'!J:J)</f>
        <v>U</v>
      </c>
      <c r="H5486" t="str">
        <f>_xlfn.XLOOKUP(A5486,'[1]Tissue Data'!$A:$A,'[1]Tissue Data'!K:K)</f>
        <v>Whole Body</v>
      </c>
      <c r="I5486">
        <f>_xlfn.XLOOKUP(A5486,'[1]Tissue Data'!$A:$A,'[1]Tissue Data'!L:L)</f>
        <v>7</v>
      </c>
      <c r="J5486">
        <f>_xlfn.XLOOKUP(A5486,'[1]Tissue Data'!$A:$A,'[1]Tissue Data'!M:M)</f>
        <v>8.8000000000000007</v>
      </c>
      <c r="K5486" t="s">
        <v>46</v>
      </c>
      <c r="L5486" t="str">
        <f>_xlfn.XLOOKUP(K5486,[2]analyte_order!$B:$B,[2]analyte_order!$C:$C)</f>
        <v>120226-60-0</v>
      </c>
      <c r="M5486">
        <f>_xlfn.XLOOKUP(L5486,[2]analyte_order!$C:$C,[2]analyte_order!$E:$E)</f>
        <v>25</v>
      </c>
      <c r="N5486">
        <v>0.24349999999999999</v>
      </c>
    </row>
    <row r="5487" spans="1:14">
      <c r="A5487" t="s">
        <v>289</v>
      </c>
      <c r="B5487" t="str">
        <f>_xlfn.XLOOKUP(A5487,'[1]Tissue Data'!$A:$A,'[1]Tissue Data'!$C:$C)</f>
        <v>Spill</v>
      </c>
      <c r="C5487" s="2">
        <f>_xlfn.XLOOKUP(A5487,'[1]Tissue Data'!$A:$A,'[1]Tissue Data'!$D:$D)</f>
        <v>44393</v>
      </c>
      <c r="D5487" s="2" t="str">
        <f>_xlfn.XLOOKUP(A5487,'[1]Tissue Data'!$A:$A,'[1]Tissue Data'!$F:$F)</f>
        <v>Pumpkinseed</v>
      </c>
      <c r="E5487" t="str">
        <f>_xlfn.XLOOKUP(A5487,'[1]Tissue Data'!$A:$A,'[1]Tissue Data'!$H:$H)</f>
        <v>Lepomis</v>
      </c>
      <c r="F5487" t="str">
        <f>_xlfn.XLOOKUP(A5487,'[1]Tissue Data'!$A:$A,'[1]Tissue Data'!$I:$I)</f>
        <v>gibbosus</v>
      </c>
      <c r="G5487" t="str">
        <f>_xlfn.XLOOKUP(A5487,'[1]Tissue Data'!$A:$A,'[1]Tissue Data'!J:J)</f>
        <v>U</v>
      </c>
      <c r="H5487" t="str">
        <f>_xlfn.XLOOKUP(A5487,'[1]Tissue Data'!$A:$A,'[1]Tissue Data'!K:K)</f>
        <v>Whole Body</v>
      </c>
      <c r="I5487">
        <f>_xlfn.XLOOKUP(A5487,'[1]Tissue Data'!$A:$A,'[1]Tissue Data'!L:L)</f>
        <v>7</v>
      </c>
      <c r="J5487">
        <f>_xlfn.XLOOKUP(A5487,'[1]Tissue Data'!$A:$A,'[1]Tissue Data'!M:M)</f>
        <v>8.8000000000000007</v>
      </c>
      <c r="K5487" t="s">
        <v>47</v>
      </c>
      <c r="L5487" t="str">
        <f>_xlfn.XLOOKUP(K5487,[2]analyte_order!$B:$B,[2]analyte_order!$C:$C)</f>
        <v>356-02-5</v>
      </c>
      <c r="M5487">
        <f>_xlfn.XLOOKUP(L5487,[2]analyte_order!$C:$C,[2]analyte_order!$E:$E)</f>
        <v>38</v>
      </c>
      <c r="N5487">
        <v>7.4999999999999997E-2</v>
      </c>
    </row>
    <row r="5488" spans="1:14">
      <c r="A5488" t="s">
        <v>289</v>
      </c>
      <c r="B5488" t="str">
        <f>_xlfn.XLOOKUP(A5488,'[1]Tissue Data'!$A:$A,'[1]Tissue Data'!$C:$C)</f>
        <v>Spill</v>
      </c>
      <c r="C5488" s="2">
        <f>_xlfn.XLOOKUP(A5488,'[1]Tissue Data'!$A:$A,'[1]Tissue Data'!$D:$D)</f>
        <v>44393</v>
      </c>
      <c r="D5488" s="2" t="str">
        <f>_xlfn.XLOOKUP(A5488,'[1]Tissue Data'!$A:$A,'[1]Tissue Data'!$F:$F)</f>
        <v>Pumpkinseed</v>
      </c>
      <c r="E5488" t="str">
        <f>_xlfn.XLOOKUP(A5488,'[1]Tissue Data'!$A:$A,'[1]Tissue Data'!$H:$H)</f>
        <v>Lepomis</v>
      </c>
      <c r="F5488" t="str">
        <f>_xlfn.XLOOKUP(A5488,'[1]Tissue Data'!$A:$A,'[1]Tissue Data'!$I:$I)</f>
        <v>gibbosus</v>
      </c>
      <c r="G5488" t="str">
        <f>_xlfn.XLOOKUP(A5488,'[1]Tissue Data'!$A:$A,'[1]Tissue Data'!J:J)</f>
        <v>U</v>
      </c>
      <c r="H5488" t="str">
        <f>_xlfn.XLOOKUP(A5488,'[1]Tissue Data'!$A:$A,'[1]Tissue Data'!K:K)</f>
        <v>Whole Body</v>
      </c>
      <c r="I5488">
        <f>_xlfn.XLOOKUP(A5488,'[1]Tissue Data'!$A:$A,'[1]Tissue Data'!L:L)</f>
        <v>7</v>
      </c>
      <c r="J5488">
        <f>_xlfn.XLOOKUP(A5488,'[1]Tissue Data'!$A:$A,'[1]Tissue Data'!M:M)</f>
        <v>8.8000000000000007</v>
      </c>
      <c r="K5488" t="s">
        <v>48</v>
      </c>
      <c r="L5488" t="str">
        <f>_xlfn.XLOOKUP(K5488,[2]analyte_order!$B:$B,[2]analyte_order!$C:$C)</f>
        <v>914637-49-3</v>
      </c>
      <c r="M5488">
        <f>_xlfn.XLOOKUP(L5488,[2]analyte_order!$C:$C,[2]analyte_order!$E:$E)</f>
        <v>39</v>
      </c>
      <c r="N5488">
        <v>2.09</v>
      </c>
    </row>
    <row r="5489" spans="1:14">
      <c r="A5489" t="s">
        <v>289</v>
      </c>
      <c r="B5489" t="str">
        <f>_xlfn.XLOOKUP(A5489,'[1]Tissue Data'!$A:$A,'[1]Tissue Data'!$C:$C)</f>
        <v>Spill</v>
      </c>
      <c r="C5489" s="2">
        <f>_xlfn.XLOOKUP(A5489,'[1]Tissue Data'!$A:$A,'[1]Tissue Data'!$D:$D)</f>
        <v>44393</v>
      </c>
      <c r="D5489" s="2" t="str">
        <f>_xlfn.XLOOKUP(A5489,'[1]Tissue Data'!$A:$A,'[1]Tissue Data'!$F:$F)</f>
        <v>Pumpkinseed</v>
      </c>
      <c r="E5489" t="str">
        <f>_xlfn.XLOOKUP(A5489,'[1]Tissue Data'!$A:$A,'[1]Tissue Data'!$H:$H)</f>
        <v>Lepomis</v>
      </c>
      <c r="F5489" t="str">
        <f>_xlfn.XLOOKUP(A5489,'[1]Tissue Data'!$A:$A,'[1]Tissue Data'!$I:$I)</f>
        <v>gibbosus</v>
      </c>
      <c r="G5489" t="str">
        <f>_xlfn.XLOOKUP(A5489,'[1]Tissue Data'!$A:$A,'[1]Tissue Data'!J:J)</f>
        <v>U</v>
      </c>
      <c r="H5489" t="str">
        <f>_xlfn.XLOOKUP(A5489,'[1]Tissue Data'!$A:$A,'[1]Tissue Data'!K:K)</f>
        <v>Whole Body</v>
      </c>
      <c r="I5489">
        <f>_xlfn.XLOOKUP(A5489,'[1]Tissue Data'!$A:$A,'[1]Tissue Data'!L:L)</f>
        <v>7</v>
      </c>
      <c r="J5489">
        <f>_xlfn.XLOOKUP(A5489,'[1]Tissue Data'!$A:$A,'[1]Tissue Data'!M:M)</f>
        <v>8.8000000000000007</v>
      </c>
      <c r="K5489" t="s">
        <v>49</v>
      </c>
      <c r="L5489" t="str">
        <f>_xlfn.XLOOKUP(K5489,[2]analyte_order!$B:$B,[2]analyte_order!$C:$C)</f>
        <v>812-70-4</v>
      </c>
      <c r="M5489">
        <f>_xlfn.XLOOKUP(L5489,[2]analyte_order!$C:$C,[2]analyte_order!$E:$E)</f>
        <v>40</v>
      </c>
      <c r="N5489">
        <v>6.07</v>
      </c>
    </row>
    <row r="5490" spans="1:14">
      <c r="A5490" t="s">
        <v>289</v>
      </c>
      <c r="B5490" t="str">
        <f>_xlfn.XLOOKUP(A5490,'[1]Tissue Data'!$A:$A,'[1]Tissue Data'!$C:$C)</f>
        <v>Spill</v>
      </c>
      <c r="C5490" s="2">
        <f>_xlfn.XLOOKUP(A5490,'[1]Tissue Data'!$A:$A,'[1]Tissue Data'!$D:$D)</f>
        <v>44393</v>
      </c>
      <c r="D5490" s="2" t="str">
        <f>_xlfn.XLOOKUP(A5490,'[1]Tissue Data'!$A:$A,'[1]Tissue Data'!$F:$F)</f>
        <v>Pumpkinseed</v>
      </c>
      <c r="E5490" t="str">
        <f>_xlfn.XLOOKUP(A5490,'[1]Tissue Data'!$A:$A,'[1]Tissue Data'!$H:$H)</f>
        <v>Lepomis</v>
      </c>
      <c r="F5490" t="str">
        <f>_xlfn.XLOOKUP(A5490,'[1]Tissue Data'!$A:$A,'[1]Tissue Data'!$I:$I)</f>
        <v>gibbosus</v>
      </c>
      <c r="G5490" t="str">
        <f>_xlfn.XLOOKUP(A5490,'[1]Tissue Data'!$A:$A,'[1]Tissue Data'!J:J)</f>
        <v>U</v>
      </c>
      <c r="H5490" t="str">
        <f>_xlfn.XLOOKUP(A5490,'[1]Tissue Data'!$A:$A,'[1]Tissue Data'!K:K)</f>
        <v>Whole Body</v>
      </c>
      <c r="I5490">
        <f>_xlfn.XLOOKUP(A5490,'[1]Tissue Data'!$A:$A,'[1]Tissue Data'!L:L)</f>
        <v>7</v>
      </c>
      <c r="J5490">
        <f>_xlfn.XLOOKUP(A5490,'[1]Tissue Data'!$A:$A,'[1]Tissue Data'!M:M)</f>
        <v>8.8000000000000007</v>
      </c>
      <c r="K5490" t="s">
        <v>50</v>
      </c>
      <c r="L5490" t="str">
        <f>_xlfn.XLOOKUP(K5490,[2]analyte_order!$B:$B,[2]analyte_order!$C:$C)</f>
        <v>53826-12-3</v>
      </c>
      <c r="M5490">
        <f>_xlfn.XLOOKUP(L5490,[2]analyte_order!$C:$C,[2]analyte_order!$E:$E)</f>
        <v>41</v>
      </c>
      <c r="N5490">
        <v>6.5000000000000002E-2</v>
      </c>
    </row>
    <row r="5491" spans="1:14">
      <c r="A5491" t="s">
        <v>289</v>
      </c>
      <c r="B5491" t="str">
        <f>_xlfn.XLOOKUP(A5491,'[1]Tissue Data'!$A:$A,'[1]Tissue Data'!$C:$C)</f>
        <v>Spill</v>
      </c>
      <c r="C5491" s="2">
        <f>_xlfn.XLOOKUP(A5491,'[1]Tissue Data'!$A:$A,'[1]Tissue Data'!$D:$D)</f>
        <v>44393</v>
      </c>
      <c r="D5491" s="2" t="str">
        <f>_xlfn.XLOOKUP(A5491,'[1]Tissue Data'!$A:$A,'[1]Tissue Data'!$F:$F)</f>
        <v>Pumpkinseed</v>
      </c>
      <c r="E5491" t="str">
        <f>_xlfn.XLOOKUP(A5491,'[1]Tissue Data'!$A:$A,'[1]Tissue Data'!$H:$H)</f>
        <v>Lepomis</v>
      </c>
      <c r="F5491" t="str">
        <f>_xlfn.XLOOKUP(A5491,'[1]Tissue Data'!$A:$A,'[1]Tissue Data'!$I:$I)</f>
        <v>gibbosus</v>
      </c>
      <c r="G5491" t="str">
        <f>_xlfn.XLOOKUP(A5491,'[1]Tissue Data'!$A:$A,'[1]Tissue Data'!J:J)</f>
        <v>U</v>
      </c>
      <c r="H5491" t="str">
        <f>_xlfn.XLOOKUP(A5491,'[1]Tissue Data'!$A:$A,'[1]Tissue Data'!K:K)</f>
        <v>Whole Body</v>
      </c>
      <c r="I5491">
        <f>_xlfn.XLOOKUP(A5491,'[1]Tissue Data'!$A:$A,'[1]Tissue Data'!L:L)</f>
        <v>7</v>
      </c>
      <c r="J5491">
        <f>_xlfn.XLOOKUP(A5491,'[1]Tissue Data'!$A:$A,'[1]Tissue Data'!M:M)</f>
        <v>8.8000000000000007</v>
      </c>
      <c r="K5491" t="s">
        <v>51</v>
      </c>
      <c r="L5491" t="str">
        <f>_xlfn.XLOOKUP(K5491,[2]analyte_order!$B:$B,[2]analyte_order!$C:$C)</f>
        <v>27854-31-5</v>
      </c>
      <c r="M5491">
        <f>_xlfn.XLOOKUP(L5491,[2]analyte_order!$C:$C,[2]analyte_order!$E:$E)</f>
        <v>42</v>
      </c>
      <c r="N5491">
        <v>6.5000000000000002E-2</v>
      </c>
    </row>
    <row r="5492" spans="1:14">
      <c r="A5492" t="s">
        <v>289</v>
      </c>
      <c r="B5492" t="str">
        <f>_xlfn.XLOOKUP(A5492,'[1]Tissue Data'!$A:$A,'[1]Tissue Data'!$C:$C)</f>
        <v>Spill</v>
      </c>
      <c r="C5492" s="2">
        <f>_xlfn.XLOOKUP(A5492,'[1]Tissue Data'!$A:$A,'[1]Tissue Data'!$D:$D)</f>
        <v>44393</v>
      </c>
      <c r="D5492" s="2" t="str">
        <f>_xlfn.XLOOKUP(A5492,'[1]Tissue Data'!$A:$A,'[1]Tissue Data'!$F:$F)</f>
        <v>Pumpkinseed</v>
      </c>
      <c r="E5492" t="str">
        <f>_xlfn.XLOOKUP(A5492,'[1]Tissue Data'!$A:$A,'[1]Tissue Data'!$H:$H)</f>
        <v>Lepomis</v>
      </c>
      <c r="F5492" t="str">
        <f>_xlfn.XLOOKUP(A5492,'[1]Tissue Data'!$A:$A,'[1]Tissue Data'!$I:$I)</f>
        <v>gibbosus</v>
      </c>
      <c r="G5492" t="str">
        <f>_xlfn.XLOOKUP(A5492,'[1]Tissue Data'!$A:$A,'[1]Tissue Data'!J:J)</f>
        <v>U</v>
      </c>
      <c r="H5492" t="str">
        <f>_xlfn.XLOOKUP(A5492,'[1]Tissue Data'!$A:$A,'[1]Tissue Data'!K:K)</f>
        <v>Whole Body</v>
      </c>
      <c r="I5492">
        <f>_xlfn.XLOOKUP(A5492,'[1]Tissue Data'!$A:$A,'[1]Tissue Data'!L:L)</f>
        <v>7</v>
      </c>
      <c r="J5492">
        <f>_xlfn.XLOOKUP(A5492,'[1]Tissue Data'!$A:$A,'[1]Tissue Data'!M:M)</f>
        <v>8.8000000000000007</v>
      </c>
      <c r="K5492" t="s">
        <v>52</v>
      </c>
      <c r="L5492" t="str">
        <f>_xlfn.XLOOKUP(K5492,[2]analyte_order!$B:$B,[2]analyte_order!$C:$C)</f>
        <v>53826-13-4</v>
      </c>
      <c r="M5492">
        <f>_xlfn.XLOOKUP(L5492,[2]analyte_order!$C:$C,[2]analyte_order!$E:$E)</f>
        <v>43</v>
      </c>
      <c r="N5492">
        <v>9.7000000000000003E-2</v>
      </c>
    </row>
    <row r="5493" spans="1:14">
      <c r="A5493" t="s">
        <v>289</v>
      </c>
      <c r="B5493" t="str">
        <f>_xlfn.XLOOKUP(A5493,'[1]Tissue Data'!$A:$A,'[1]Tissue Data'!$C:$C)</f>
        <v>Spill</v>
      </c>
      <c r="C5493" s="2">
        <f>_xlfn.XLOOKUP(A5493,'[1]Tissue Data'!$A:$A,'[1]Tissue Data'!$D:$D)</f>
        <v>44393</v>
      </c>
      <c r="D5493" s="2" t="str">
        <f>_xlfn.XLOOKUP(A5493,'[1]Tissue Data'!$A:$A,'[1]Tissue Data'!$F:$F)</f>
        <v>Pumpkinseed</v>
      </c>
      <c r="E5493" t="str">
        <f>_xlfn.XLOOKUP(A5493,'[1]Tissue Data'!$A:$A,'[1]Tissue Data'!$H:$H)</f>
        <v>Lepomis</v>
      </c>
      <c r="F5493" t="str">
        <f>_xlfn.XLOOKUP(A5493,'[1]Tissue Data'!$A:$A,'[1]Tissue Data'!$I:$I)</f>
        <v>gibbosus</v>
      </c>
      <c r="G5493" t="str">
        <f>_xlfn.XLOOKUP(A5493,'[1]Tissue Data'!$A:$A,'[1]Tissue Data'!J:J)</f>
        <v>U</v>
      </c>
      <c r="H5493" t="str">
        <f>_xlfn.XLOOKUP(A5493,'[1]Tissue Data'!$A:$A,'[1]Tissue Data'!K:K)</f>
        <v>Whole Body</v>
      </c>
      <c r="I5493">
        <f>_xlfn.XLOOKUP(A5493,'[1]Tissue Data'!$A:$A,'[1]Tissue Data'!L:L)</f>
        <v>7</v>
      </c>
      <c r="J5493">
        <f>_xlfn.XLOOKUP(A5493,'[1]Tissue Data'!$A:$A,'[1]Tissue Data'!M:M)</f>
        <v>8.8000000000000007</v>
      </c>
      <c r="K5493" t="s">
        <v>53</v>
      </c>
      <c r="L5493" t="str">
        <f>_xlfn.XLOOKUP(K5493,[2]analyte_order!$B:$B,[2]analyte_order!$C:$C)</f>
        <v>161094-75-3</v>
      </c>
      <c r="M5493">
        <f>_xlfn.XLOOKUP(L5493,[2]analyte_order!$C:$C,[2]analyte_order!$E:$E)</f>
        <v>44</v>
      </c>
      <c r="N5493">
        <v>5.0999999999999997E-2</v>
      </c>
    </row>
    <row r="5494" spans="1:14">
      <c r="A5494" t="s">
        <v>289</v>
      </c>
      <c r="B5494" t="str">
        <f>_xlfn.XLOOKUP(A5494,'[1]Tissue Data'!$A:$A,'[1]Tissue Data'!$C:$C)</f>
        <v>Spill</v>
      </c>
      <c r="C5494" s="2">
        <f>_xlfn.XLOOKUP(A5494,'[1]Tissue Data'!$A:$A,'[1]Tissue Data'!$D:$D)</f>
        <v>44393</v>
      </c>
      <c r="D5494" s="2" t="str">
        <f>_xlfn.XLOOKUP(A5494,'[1]Tissue Data'!$A:$A,'[1]Tissue Data'!$F:$F)</f>
        <v>Pumpkinseed</v>
      </c>
      <c r="E5494" t="str">
        <f>_xlfn.XLOOKUP(A5494,'[1]Tissue Data'!$A:$A,'[1]Tissue Data'!$H:$H)</f>
        <v>Lepomis</v>
      </c>
      <c r="F5494" t="str">
        <f>_xlfn.XLOOKUP(A5494,'[1]Tissue Data'!$A:$A,'[1]Tissue Data'!$I:$I)</f>
        <v>gibbosus</v>
      </c>
      <c r="G5494" t="str">
        <f>_xlfn.XLOOKUP(A5494,'[1]Tissue Data'!$A:$A,'[1]Tissue Data'!J:J)</f>
        <v>U</v>
      </c>
      <c r="H5494" t="str">
        <f>_xlfn.XLOOKUP(A5494,'[1]Tissue Data'!$A:$A,'[1]Tissue Data'!K:K)</f>
        <v>Whole Body</v>
      </c>
      <c r="I5494">
        <f>_xlfn.XLOOKUP(A5494,'[1]Tissue Data'!$A:$A,'[1]Tissue Data'!L:L)</f>
        <v>7</v>
      </c>
      <c r="J5494">
        <f>_xlfn.XLOOKUP(A5494,'[1]Tissue Data'!$A:$A,'[1]Tissue Data'!M:M)</f>
        <v>8.8000000000000007</v>
      </c>
      <c r="K5494" t="s">
        <v>54</v>
      </c>
      <c r="L5494" t="str">
        <f>_xlfn.XLOOKUP(K5494,[2]analyte_order!$B:$B,[2]analyte_order!$C:$C)</f>
        <v>70887-84-2</v>
      </c>
      <c r="M5494">
        <f>_xlfn.XLOOKUP(L5494,[2]analyte_order!$C:$C,[2]analyte_order!$E:$E)</f>
        <v>45</v>
      </c>
      <c r="N5494">
        <v>3.925E-2</v>
      </c>
    </row>
    <row r="5495" spans="1:14">
      <c r="A5495" t="s">
        <v>289</v>
      </c>
      <c r="B5495" t="str">
        <f>_xlfn.XLOOKUP(A5495,'[1]Tissue Data'!$A:$A,'[1]Tissue Data'!$C:$C)</f>
        <v>Spill</v>
      </c>
      <c r="C5495" s="2">
        <f>_xlfn.XLOOKUP(A5495,'[1]Tissue Data'!$A:$A,'[1]Tissue Data'!$D:$D)</f>
        <v>44393</v>
      </c>
      <c r="D5495" s="2" t="str">
        <f>_xlfn.XLOOKUP(A5495,'[1]Tissue Data'!$A:$A,'[1]Tissue Data'!$F:$F)</f>
        <v>Pumpkinseed</v>
      </c>
      <c r="E5495" t="str">
        <f>_xlfn.XLOOKUP(A5495,'[1]Tissue Data'!$A:$A,'[1]Tissue Data'!$H:$H)</f>
        <v>Lepomis</v>
      </c>
      <c r="F5495" t="str">
        <f>_xlfn.XLOOKUP(A5495,'[1]Tissue Data'!$A:$A,'[1]Tissue Data'!$I:$I)</f>
        <v>gibbosus</v>
      </c>
      <c r="G5495" t="str">
        <f>_xlfn.XLOOKUP(A5495,'[1]Tissue Data'!$A:$A,'[1]Tissue Data'!J:J)</f>
        <v>U</v>
      </c>
      <c r="H5495" t="str">
        <f>_xlfn.XLOOKUP(A5495,'[1]Tissue Data'!$A:$A,'[1]Tissue Data'!K:K)</f>
        <v>Whole Body</v>
      </c>
      <c r="I5495">
        <f>_xlfn.XLOOKUP(A5495,'[1]Tissue Data'!$A:$A,'[1]Tissue Data'!L:L)</f>
        <v>7</v>
      </c>
      <c r="J5495">
        <f>_xlfn.XLOOKUP(A5495,'[1]Tissue Data'!$A:$A,'[1]Tissue Data'!M:M)</f>
        <v>8.8000000000000007</v>
      </c>
      <c r="K5495" t="s">
        <v>55</v>
      </c>
      <c r="L5495" t="str">
        <f>_xlfn.XLOOKUP(K5495,[2]analyte_order!$B:$B,[2]analyte_order!$C:$C)</f>
        <v>919005-14-4</v>
      </c>
      <c r="M5495">
        <f>_xlfn.XLOOKUP(L5495,[2]analyte_order!$C:$C,[2]analyte_order!$E:$E)</f>
        <v>35</v>
      </c>
      <c r="N5495">
        <v>0.189</v>
      </c>
    </row>
    <row r="5496" spans="1:14">
      <c r="A5496" t="s">
        <v>289</v>
      </c>
      <c r="B5496" t="str">
        <f>_xlfn.XLOOKUP(A5496,'[1]Tissue Data'!$A:$A,'[1]Tissue Data'!$C:$C)</f>
        <v>Spill</v>
      </c>
      <c r="C5496" s="2">
        <f>_xlfn.XLOOKUP(A5496,'[1]Tissue Data'!$A:$A,'[1]Tissue Data'!$D:$D)</f>
        <v>44393</v>
      </c>
      <c r="D5496" s="2" t="str">
        <f>_xlfn.XLOOKUP(A5496,'[1]Tissue Data'!$A:$A,'[1]Tissue Data'!$F:$F)</f>
        <v>Pumpkinseed</v>
      </c>
      <c r="E5496" t="str">
        <f>_xlfn.XLOOKUP(A5496,'[1]Tissue Data'!$A:$A,'[1]Tissue Data'!$H:$H)</f>
        <v>Lepomis</v>
      </c>
      <c r="F5496" t="str">
        <f>_xlfn.XLOOKUP(A5496,'[1]Tissue Data'!$A:$A,'[1]Tissue Data'!$I:$I)</f>
        <v>gibbosus</v>
      </c>
      <c r="G5496" t="str">
        <f>_xlfn.XLOOKUP(A5496,'[1]Tissue Data'!$A:$A,'[1]Tissue Data'!J:J)</f>
        <v>U</v>
      </c>
      <c r="H5496" t="str">
        <f>_xlfn.XLOOKUP(A5496,'[1]Tissue Data'!$A:$A,'[1]Tissue Data'!K:K)</f>
        <v>Whole Body</v>
      </c>
      <c r="I5496">
        <f>_xlfn.XLOOKUP(A5496,'[1]Tissue Data'!$A:$A,'[1]Tissue Data'!L:L)</f>
        <v>7</v>
      </c>
      <c r="J5496">
        <f>_xlfn.XLOOKUP(A5496,'[1]Tissue Data'!$A:$A,'[1]Tissue Data'!M:M)</f>
        <v>8.8000000000000007</v>
      </c>
      <c r="K5496" t="s">
        <v>56</v>
      </c>
      <c r="L5496" t="str">
        <f>_xlfn.XLOOKUP(K5496,[2]analyte_order!$B:$B,[2]analyte_order!$C:$C)</f>
        <v>756426-58-1</v>
      </c>
      <c r="M5496">
        <f>_xlfn.XLOOKUP(L5496,[2]analyte_order!$C:$C,[2]analyte_order!$E:$E)</f>
        <v>36</v>
      </c>
      <c r="N5496">
        <v>6.5000000000000002E-2</v>
      </c>
    </row>
    <row r="5497" spans="1:14">
      <c r="A5497" t="s">
        <v>289</v>
      </c>
      <c r="B5497" t="str">
        <f>_xlfn.XLOOKUP(A5497,'[1]Tissue Data'!$A:$A,'[1]Tissue Data'!$C:$C)</f>
        <v>Spill</v>
      </c>
      <c r="C5497" s="2">
        <f>_xlfn.XLOOKUP(A5497,'[1]Tissue Data'!$A:$A,'[1]Tissue Data'!$D:$D)</f>
        <v>44393</v>
      </c>
      <c r="D5497" s="2" t="str">
        <f>_xlfn.XLOOKUP(A5497,'[1]Tissue Data'!$A:$A,'[1]Tissue Data'!$F:$F)</f>
        <v>Pumpkinseed</v>
      </c>
      <c r="E5497" t="str">
        <f>_xlfn.XLOOKUP(A5497,'[1]Tissue Data'!$A:$A,'[1]Tissue Data'!$H:$H)</f>
        <v>Lepomis</v>
      </c>
      <c r="F5497" t="str">
        <f>_xlfn.XLOOKUP(A5497,'[1]Tissue Data'!$A:$A,'[1]Tissue Data'!$I:$I)</f>
        <v>gibbosus</v>
      </c>
      <c r="G5497" t="str">
        <f>_xlfn.XLOOKUP(A5497,'[1]Tissue Data'!$A:$A,'[1]Tissue Data'!J:J)</f>
        <v>U</v>
      </c>
      <c r="H5497" t="str">
        <f>_xlfn.XLOOKUP(A5497,'[1]Tissue Data'!$A:$A,'[1]Tissue Data'!K:K)</f>
        <v>Whole Body</v>
      </c>
      <c r="I5497">
        <f>_xlfn.XLOOKUP(A5497,'[1]Tissue Data'!$A:$A,'[1]Tissue Data'!L:L)</f>
        <v>7</v>
      </c>
      <c r="J5497">
        <f>_xlfn.XLOOKUP(A5497,'[1]Tissue Data'!$A:$A,'[1]Tissue Data'!M:M)</f>
        <v>8.8000000000000007</v>
      </c>
      <c r="K5497" t="s">
        <v>57</v>
      </c>
      <c r="L5497" t="str">
        <f>_xlfn.XLOOKUP(K5497,[2]analyte_order!$B:$B,[2]analyte_order!$C:$C)</f>
        <v>763051-92-9</v>
      </c>
      <c r="M5497">
        <f>_xlfn.XLOOKUP(L5497,[2]analyte_order!$C:$C,[2]analyte_order!$E:$E)</f>
        <v>37</v>
      </c>
      <c r="N5497">
        <v>6.5000000000000002E-2</v>
      </c>
    </row>
    <row r="5498" spans="1:14">
      <c r="A5498" t="s">
        <v>289</v>
      </c>
      <c r="B5498" t="str">
        <f>_xlfn.XLOOKUP(A5498,'[1]Tissue Data'!$A:$A,'[1]Tissue Data'!$C:$C)</f>
        <v>Spill</v>
      </c>
      <c r="C5498" s="2">
        <f>_xlfn.XLOOKUP(A5498,'[1]Tissue Data'!$A:$A,'[1]Tissue Data'!$D:$D)</f>
        <v>44393</v>
      </c>
      <c r="D5498" s="2" t="str">
        <f>_xlfn.XLOOKUP(A5498,'[1]Tissue Data'!$A:$A,'[1]Tissue Data'!$F:$F)</f>
        <v>Pumpkinseed</v>
      </c>
      <c r="E5498" t="str">
        <f>_xlfn.XLOOKUP(A5498,'[1]Tissue Data'!$A:$A,'[1]Tissue Data'!$H:$H)</f>
        <v>Lepomis</v>
      </c>
      <c r="F5498" t="str">
        <f>_xlfn.XLOOKUP(A5498,'[1]Tissue Data'!$A:$A,'[1]Tissue Data'!$I:$I)</f>
        <v>gibbosus</v>
      </c>
      <c r="G5498" t="str">
        <f>_xlfn.XLOOKUP(A5498,'[1]Tissue Data'!$A:$A,'[1]Tissue Data'!J:J)</f>
        <v>U</v>
      </c>
      <c r="H5498" t="str">
        <f>_xlfn.XLOOKUP(A5498,'[1]Tissue Data'!$A:$A,'[1]Tissue Data'!K:K)</f>
        <v>Whole Body</v>
      </c>
      <c r="I5498">
        <f>_xlfn.XLOOKUP(A5498,'[1]Tissue Data'!$A:$A,'[1]Tissue Data'!L:L)</f>
        <v>7</v>
      </c>
      <c r="J5498">
        <f>_xlfn.XLOOKUP(A5498,'[1]Tissue Data'!$A:$A,'[1]Tissue Data'!M:M)</f>
        <v>8.8000000000000007</v>
      </c>
      <c r="K5498" t="s">
        <v>58</v>
      </c>
      <c r="L5498" t="str">
        <f>_xlfn.XLOOKUP(K5498,[2]analyte_order!$B:$B,[2]analyte_order!$C:$C)</f>
        <v>13252-13-6</v>
      </c>
      <c r="M5498">
        <f>_xlfn.XLOOKUP(L5498,[2]analyte_order!$C:$C,[2]analyte_order!$E:$E)</f>
        <v>34</v>
      </c>
      <c r="N5498">
        <v>9.2999999999999999E-2</v>
      </c>
    </row>
    <row r="5499" spans="1:14">
      <c r="A5499" t="s">
        <v>289</v>
      </c>
      <c r="B5499" t="str">
        <f>_xlfn.XLOOKUP(A5499,'[1]Tissue Data'!$A:$A,'[1]Tissue Data'!$C:$C)</f>
        <v>Spill</v>
      </c>
      <c r="C5499" s="2">
        <f>_xlfn.XLOOKUP(A5499,'[1]Tissue Data'!$A:$A,'[1]Tissue Data'!$D:$D)</f>
        <v>44393</v>
      </c>
      <c r="D5499" s="2" t="str">
        <f>_xlfn.XLOOKUP(A5499,'[1]Tissue Data'!$A:$A,'[1]Tissue Data'!$F:$F)</f>
        <v>Pumpkinseed</v>
      </c>
      <c r="E5499" t="str">
        <f>_xlfn.XLOOKUP(A5499,'[1]Tissue Data'!$A:$A,'[1]Tissue Data'!$H:$H)</f>
        <v>Lepomis</v>
      </c>
      <c r="F5499" t="str">
        <f>_xlfn.XLOOKUP(A5499,'[1]Tissue Data'!$A:$A,'[1]Tissue Data'!$I:$I)</f>
        <v>gibbosus</v>
      </c>
      <c r="G5499" t="str">
        <f>_xlfn.XLOOKUP(A5499,'[1]Tissue Data'!$A:$A,'[1]Tissue Data'!J:J)</f>
        <v>U</v>
      </c>
      <c r="H5499" t="str">
        <f>_xlfn.XLOOKUP(A5499,'[1]Tissue Data'!$A:$A,'[1]Tissue Data'!K:K)</f>
        <v>Whole Body</v>
      </c>
      <c r="I5499">
        <f>_xlfn.XLOOKUP(A5499,'[1]Tissue Data'!$A:$A,'[1]Tissue Data'!L:L)</f>
        <v>7</v>
      </c>
      <c r="J5499">
        <f>_xlfn.XLOOKUP(A5499,'[1]Tissue Data'!$A:$A,'[1]Tissue Data'!M:M)</f>
        <v>8.8000000000000007</v>
      </c>
      <c r="K5499" t="s">
        <v>59</v>
      </c>
      <c r="L5499" t="str">
        <f>_xlfn.XLOOKUP(K5499,[2]analyte_order!$B:$B,[2]analyte_order!$C:$C)</f>
        <v>57677-95-9</v>
      </c>
      <c r="M5499">
        <f>_xlfn.XLOOKUP(L5499,[2]analyte_order!$C:$C,[2]analyte_order!$E:$E)</f>
        <v>46</v>
      </c>
      <c r="N5499">
        <v>6.9000000000000006E-2</v>
      </c>
    </row>
    <row r="5500" spans="1:14">
      <c r="A5500" t="s">
        <v>289</v>
      </c>
      <c r="B5500" t="str">
        <f>_xlfn.XLOOKUP(A5500,'[1]Tissue Data'!$A:$A,'[1]Tissue Data'!$C:$C)</f>
        <v>Spill</v>
      </c>
      <c r="C5500" s="2">
        <f>_xlfn.XLOOKUP(A5500,'[1]Tissue Data'!$A:$A,'[1]Tissue Data'!$D:$D)</f>
        <v>44393</v>
      </c>
      <c r="D5500" s="2" t="str">
        <f>_xlfn.XLOOKUP(A5500,'[1]Tissue Data'!$A:$A,'[1]Tissue Data'!$F:$F)</f>
        <v>Pumpkinseed</v>
      </c>
      <c r="E5500" t="str">
        <f>_xlfn.XLOOKUP(A5500,'[1]Tissue Data'!$A:$A,'[1]Tissue Data'!$H:$H)</f>
        <v>Lepomis</v>
      </c>
      <c r="F5500" t="str">
        <f>_xlfn.XLOOKUP(A5500,'[1]Tissue Data'!$A:$A,'[1]Tissue Data'!$I:$I)</f>
        <v>gibbosus</v>
      </c>
      <c r="G5500" t="str">
        <f>_xlfn.XLOOKUP(A5500,'[1]Tissue Data'!$A:$A,'[1]Tissue Data'!J:J)</f>
        <v>U</v>
      </c>
      <c r="H5500" t="str">
        <f>_xlfn.XLOOKUP(A5500,'[1]Tissue Data'!$A:$A,'[1]Tissue Data'!K:K)</f>
        <v>Whole Body</v>
      </c>
      <c r="I5500">
        <f>_xlfn.XLOOKUP(A5500,'[1]Tissue Data'!$A:$A,'[1]Tissue Data'!L:L)</f>
        <v>7</v>
      </c>
      <c r="J5500">
        <f>_xlfn.XLOOKUP(A5500,'[1]Tissue Data'!$A:$A,'[1]Tissue Data'!M:M)</f>
        <v>8.8000000000000007</v>
      </c>
      <c r="K5500" t="s">
        <v>60</v>
      </c>
      <c r="L5500" t="str">
        <f>_xlfn.XLOOKUP(K5500,[2]analyte_order!$B:$B,[2]analyte_order!$C:$C)</f>
        <v>678-41-1</v>
      </c>
      <c r="M5500">
        <f>_xlfn.XLOOKUP(L5500,[2]analyte_order!$C:$C,[2]analyte_order!$E:$E)</f>
        <v>56</v>
      </c>
      <c r="N5500">
        <v>8.5999999999999993E-2</v>
      </c>
    </row>
    <row r="5501" spans="1:14">
      <c r="A5501" t="s">
        <v>289</v>
      </c>
      <c r="B5501" t="str">
        <f>_xlfn.XLOOKUP(A5501,'[1]Tissue Data'!$A:$A,'[1]Tissue Data'!$C:$C)</f>
        <v>Spill</v>
      </c>
      <c r="C5501" s="2">
        <f>_xlfn.XLOOKUP(A5501,'[1]Tissue Data'!$A:$A,'[1]Tissue Data'!$D:$D)</f>
        <v>44393</v>
      </c>
      <c r="D5501" s="2" t="str">
        <f>_xlfn.XLOOKUP(A5501,'[1]Tissue Data'!$A:$A,'[1]Tissue Data'!$F:$F)</f>
        <v>Pumpkinseed</v>
      </c>
      <c r="E5501" t="str">
        <f>_xlfn.XLOOKUP(A5501,'[1]Tissue Data'!$A:$A,'[1]Tissue Data'!$H:$H)</f>
        <v>Lepomis</v>
      </c>
      <c r="F5501" t="str">
        <f>_xlfn.XLOOKUP(A5501,'[1]Tissue Data'!$A:$A,'[1]Tissue Data'!$I:$I)</f>
        <v>gibbosus</v>
      </c>
      <c r="G5501" t="str">
        <f>_xlfn.XLOOKUP(A5501,'[1]Tissue Data'!$A:$A,'[1]Tissue Data'!J:J)</f>
        <v>U</v>
      </c>
      <c r="H5501" t="str">
        <f>_xlfn.XLOOKUP(A5501,'[1]Tissue Data'!$A:$A,'[1]Tissue Data'!K:K)</f>
        <v>Whole Body</v>
      </c>
      <c r="I5501">
        <f>_xlfn.XLOOKUP(A5501,'[1]Tissue Data'!$A:$A,'[1]Tissue Data'!L:L)</f>
        <v>7</v>
      </c>
      <c r="J5501">
        <f>_xlfn.XLOOKUP(A5501,'[1]Tissue Data'!$A:$A,'[1]Tissue Data'!M:M)</f>
        <v>8.8000000000000007</v>
      </c>
      <c r="K5501" t="s">
        <v>61</v>
      </c>
      <c r="L5501" t="str">
        <f>_xlfn.XLOOKUP(K5501,[2]analyte_order!$B:$B,[2]analyte_order!$C:$C)</f>
        <v>2965-52-8</v>
      </c>
      <c r="M5501">
        <f>_xlfn.XLOOKUP(L5501,[2]analyte_order!$C:$C,[2]analyte_order!$E:$E)</f>
        <v>57</v>
      </c>
      <c r="N5501">
        <v>0.1145</v>
      </c>
    </row>
    <row r="5502" spans="1:14">
      <c r="A5502" t="s">
        <v>290</v>
      </c>
      <c r="B5502" t="str">
        <f>_xlfn.XLOOKUP(A5502,'[1]Tissue Data'!$A:$A,'[1]Tissue Data'!$C:$C)</f>
        <v>Spill</v>
      </c>
      <c r="C5502" s="2">
        <f>_xlfn.XLOOKUP(A5502,'[1]Tissue Data'!$A:$A,'[1]Tissue Data'!$D:$D)</f>
        <v>44393</v>
      </c>
      <c r="D5502" s="2" t="str">
        <f>_xlfn.XLOOKUP(A5502,'[1]Tissue Data'!$A:$A,'[1]Tissue Data'!$F:$F)</f>
        <v>Pumpkinseed</v>
      </c>
      <c r="E5502" t="str">
        <f>_xlfn.XLOOKUP(A5502,'[1]Tissue Data'!$A:$A,'[1]Tissue Data'!$H:$H)</f>
        <v>Lepomis</v>
      </c>
      <c r="F5502" t="str">
        <f>_xlfn.XLOOKUP(A5502,'[1]Tissue Data'!$A:$A,'[1]Tissue Data'!$I:$I)</f>
        <v>gibbosus</v>
      </c>
      <c r="G5502" t="str">
        <f>_xlfn.XLOOKUP(A5502,'[1]Tissue Data'!$A:$A,'[1]Tissue Data'!J:J)</f>
        <v>U</v>
      </c>
      <c r="H5502" t="str">
        <f>_xlfn.XLOOKUP(A5502,'[1]Tissue Data'!$A:$A,'[1]Tissue Data'!K:K)</f>
        <v>Whole Body</v>
      </c>
      <c r="I5502">
        <f>_xlfn.XLOOKUP(A5502,'[1]Tissue Data'!$A:$A,'[1]Tissue Data'!L:L)</f>
        <v>6.5</v>
      </c>
      <c r="J5502">
        <f>_xlfn.XLOOKUP(A5502,'[1]Tissue Data'!$A:$A,'[1]Tissue Data'!M:M)</f>
        <v>6.3</v>
      </c>
      <c r="K5502" t="s">
        <v>12</v>
      </c>
      <c r="L5502" t="str">
        <f>_xlfn.XLOOKUP(K5502,[2]analyte_order!$B:$B,[2]analyte_order!$C:$C)</f>
        <v>375-22-4</v>
      </c>
      <c r="M5502">
        <f>_xlfn.XLOOKUP(L5502,[2]analyte_order!$C:$C,[2]analyte_order!$E:$E)</f>
        <v>1</v>
      </c>
      <c r="N5502">
        <v>7.0000000000000007E-2</v>
      </c>
    </row>
    <row r="5503" spans="1:14">
      <c r="A5503" t="s">
        <v>290</v>
      </c>
      <c r="B5503" t="str">
        <f>_xlfn.XLOOKUP(A5503,'[1]Tissue Data'!$A:$A,'[1]Tissue Data'!$C:$C)</f>
        <v>Spill</v>
      </c>
      <c r="C5503" s="2">
        <f>_xlfn.XLOOKUP(A5503,'[1]Tissue Data'!$A:$A,'[1]Tissue Data'!$D:$D)</f>
        <v>44393</v>
      </c>
      <c r="D5503" s="2" t="str">
        <f>_xlfn.XLOOKUP(A5503,'[1]Tissue Data'!$A:$A,'[1]Tissue Data'!$F:$F)</f>
        <v>Pumpkinseed</v>
      </c>
      <c r="E5503" t="str">
        <f>_xlfn.XLOOKUP(A5503,'[1]Tissue Data'!$A:$A,'[1]Tissue Data'!$H:$H)</f>
        <v>Lepomis</v>
      </c>
      <c r="F5503" t="str">
        <f>_xlfn.XLOOKUP(A5503,'[1]Tissue Data'!$A:$A,'[1]Tissue Data'!$I:$I)</f>
        <v>gibbosus</v>
      </c>
      <c r="G5503" t="str">
        <f>_xlfn.XLOOKUP(A5503,'[1]Tissue Data'!$A:$A,'[1]Tissue Data'!J:J)</f>
        <v>U</v>
      </c>
      <c r="H5503" t="str">
        <f>_xlfn.XLOOKUP(A5503,'[1]Tissue Data'!$A:$A,'[1]Tissue Data'!K:K)</f>
        <v>Whole Body</v>
      </c>
      <c r="I5503">
        <f>_xlfn.XLOOKUP(A5503,'[1]Tissue Data'!$A:$A,'[1]Tissue Data'!L:L)</f>
        <v>6.5</v>
      </c>
      <c r="J5503">
        <f>_xlfn.XLOOKUP(A5503,'[1]Tissue Data'!$A:$A,'[1]Tissue Data'!M:M)</f>
        <v>6.3</v>
      </c>
      <c r="K5503" t="s">
        <v>13</v>
      </c>
      <c r="L5503" t="str">
        <f>_xlfn.XLOOKUP(K5503,[2]analyte_order!$B:$B,[2]analyte_order!$C:$C)</f>
        <v>2706-90-3</v>
      </c>
      <c r="M5503">
        <f>_xlfn.XLOOKUP(L5503,[2]analyte_order!$C:$C,[2]analyte_order!$E:$E)</f>
        <v>2</v>
      </c>
      <c r="N5503">
        <v>4.9599999999999998E-2</v>
      </c>
    </row>
    <row r="5504" spans="1:14">
      <c r="A5504" t="s">
        <v>290</v>
      </c>
      <c r="B5504" t="str">
        <f>_xlfn.XLOOKUP(A5504,'[1]Tissue Data'!$A:$A,'[1]Tissue Data'!$C:$C)</f>
        <v>Spill</v>
      </c>
      <c r="C5504" s="2">
        <f>_xlfn.XLOOKUP(A5504,'[1]Tissue Data'!$A:$A,'[1]Tissue Data'!$D:$D)</f>
        <v>44393</v>
      </c>
      <c r="D5504" s="2" t="str">
        <f>_xlfn.XLOOKUP(A5504,'[1]Tissue Data'!$A:$A,'[1]Tissue Data'!$F:$F)</f>
        <v>Pumpkinseed</v>
      </c>
      <c r="E5504" t="str">
        <f>_xlfn.XLOOKUP(A5504,'[1]Tissue Data'!$A:$A,'[1]Tissue Data'!$H:$H)</f>
        <v>Lepomis</v>
      </c>
      <c r="F5504" t="str">
        <f>_xlfn.XLOOKUP(A5504,'[1]Tissue Data'!$A:$A,'[1]Tissue Data'!$I:$I)</f>
        <v>gibbosus</v>
      </c>
      <c r="G5504" t="str">
        <f>_xlfn.XLOOKUP(A5504,'[1]Tissue Data'!$A:$A,'[1]Tissue Data'!J:J)</f>
        <v>U</v>
      </c>
      <c r="H5504" t="str">
        <f>_xlfn.XLOOKUP(A5504,'[1]Tissue Data'!$A:$A,'[1]Tissue Data'!K:K)</f>
        <v>Whole Body</v>
      </c>
      <c r="I5504">
        <f>_xlfn.XLOOKUP(A5504,'[1]Tissue Data'!$A:$A,'[1]Tissue Data'!L:L)</f>
        <v>6.5</v>
      </c>
      <c r="J5504">
        <f>_xlfn.XLOOKUP(A5504,'[1]Tissue Data'!$A:$A,'[1]Tissue Data'!M:M)</f>
        <v>6.3</v>
      </c>
      <c r="K5504" t="s">
        <v>14</v>
      </c>
      <c r="L5504" t="str">
        <f>_xlfn.XLOOKUP(K5504,[2]analyte_order!$B:$B,[2]analyte_order!$C:$C)</f>
        <v>307-24-4</v>
      </c>
      <c r="M5504">
        <f>_xlfn.XLOOKUP(L5504,[2]analyte_order!$C:$C,[2]analyte_order!$E:$E)</f>
        <v>3</v>
      </c>
      <c r="N5504">
        <v>3.7850000000000002E-2</v>
      </c>
    </row>
    <row r="5505" spans="1:14">
      <c r="A5505" t="s">
        <v>290</v>
      </c>
      <c r="B5505" t="str">
        <f>_xlfn.XLOOKUP(A5505,'[1]Tissue Data'!$A:$A,'[1]Tissue Data'!$C:$C)</f>
        <v>Spill</v>
      </c>
      <c r="C5505" s="2">
        <f>_xlfn.XLOOKUP(A5505,'[1]Tissue Data'!$A:$A,'[1]Tissue Data'!$D:$D)</f>
        <v>44393</v>
      </c>
      <c r="D5505" s="2" t="str">
        <f>_xlfn.XLOOKUP(A5505,'[1]Tissue Data'!$A:$A,'[1]Tissue Data'!$F:$F)</f>
        <v>Pumpkinseed</v>
      </c>
      <c r="E5505" t="str">
        <f>_xlfn.XLOOKUP(A5505,'[1]Tissue Data'!$A:$A,'[1]Tissue Data'!$H:$H)</f>
        <v>Lepomis</v>
      </c>
      <c r="F5505" t="str">
        <f>_xlfn.XLOOKUP(A5505,'[1]Tissue Data'!$A:$A,'[1]Tissue Data'!$I:$I)</f>
        <v>gibbosus</v>
      </c>
      <c r="G5505" t="str">
        <f>_xlfn.XLOOKUP(A5505,'[1]Tissue Data'!$A:$A,'[1]Tissue Data'!J:J)</f>
        <v>U</v>
      </c>
      <c r="H5505" t="str">
        <f>_xlfn.XLOOKUP(A5505,'[1]Tissue Data'!$A:$A,'[1]Tissue Data'!K:K)</f>
        <v>Whole Body</v>
      </c>
      <c r="I5505">
        <f>_xlfn.XLOOKUP(A5505,'[1]Tissue Data'!$A:$A,'[1]Tissue Data'!L:L)</f>
        <v>6.5</v>
      </c>
      <c r="J5505">
        <f>_xlfn.XLOOKUP(A5505,'[1]Tissue Data'!$A:$A,'[1]Tissue Data'!M:M)</f>
        <v>6.3</v>
      </c>
      <c r="K5505" t="s">
        <v>15</v>
      </c>
      <c r="L5505" t="str">
        <f>_xlfn.XLOOKUP(K5505,[2]analyte_order!$B:$B,[2]analyte_order!$C:$C)</f>
        <v>375-85-9</v>
      </c>
      <c r="M5505">
        <f>_xlfn.XLOOKUP(L5505,[2]analyte_order!$C:$C,[2]analyte_order!$E:$E)</f>
        <v>4</v>
      </c>
      <c r="N5505">
        <v>9.2499999999999999E-2</v>
      </c>
    </row>
    <row r="5506" spans="1:14">
      <c r="A5506" t="s">
        <v>290</v>
      </c>
      <c r="B5506" t="str">
        <f>_xlfn.XLOOKUP(A5506,'[1]Tissue Data'!$A:$A,'[1]Tissue Data'!$C:$C)</f>
        <v>Spill</v>
      </c>
      <c r="C5506" s="2">
        <f>_xlfn.XLOOKUP(A5506,'[1]Tissue Data'!$A:$A,'[1]Tissue Data'!$D:$D)</f>
        <v>44393</v>
      </c>
      <c r="D5506" s="2" t="str">
        <f>_xlfn.XLOOKUP(A5506,'[1]Tissue Data'!$A:$A,'[1]Tissue Data'!$F:$F)</f>
        <v>Pumpkinseed</v>
      </c>
      <c r="E5506" t="str">
        <f>_xlfn.XLOOKUP(A5506,'[1]Tissue Data'!$A:$A,'[1]Tissue Data'!$H:$H)</f>
        <v>Lepomis</v>
      </c>
      <c r="F5506" t="str">
        <f>_xlfn.XLOOKUP(A5506,'[1]Tissue Data'!$A:$A,'[1]Tissue Data'!$I:$I)</f>
        <v>gibbosus</v>
      </c>
      <c r="G5506" t="str">
        <f>_xlfn.XLOOKUP(A5506,'[1]Tissue Data'!$A:$A,'[1]Tissue Data'!J:J)</f>
        <v>U</v>
      </c>
      <c r="H5506" t="str">
        <f>_xlfn.XLOOKUP(A5506,'[1]Tissue Data'!$A:$A,'[1]Tissue Data'!K:K)</f>
        <v>Whole Body</v>
      </c>
      <c r="I5506">
        <f>_xlfn.XLOOKUP(A5506,'[1]Tissue Data'!$A:$A,'[1]Tissue Data'!L:L)</f>
        <v>6.5</v>
      </c>
      <c r="J5506">
        <f>_xlfn.XLOOKUP(A5506,'[1]Tissue Data'!$A:$A,'[1]Tissue Data'!M:M)</f>
        <v>6.3</v>
      </c>
      <c r="K5506" t="s">
        <v>16</v>
      </c>
      <c r="L5506" t="str">
        <f>_xlfn.XLOOKUP(K5506,[2]analyte_order!$B:$B,[2]analyte_order!$C:$C)</f>
        <v>335-67-1</v>
      </c>
      <c r="M5506">
        <f>_xlfn.XLOOKUP(L5506,[2]analyte_order!$C:$C,[2]analyte_order!$E:$E)</f>
        <v>5</v>
      </c>
      <c r="N5506">
        <v>0.49299999999999999</v>
      </c>
    </row>
    <row r="5507" spans="1:14">
      <c r="A5507" t="s">
        <v>290</v>
      </c>
      <c r="B5507" t="str">
        <f>_xlfn.XLOOKUP(A5507,'[1]Tissue Data'!$A:$A,'[1]Tissue Data'!$C:$C)</f>
        <v>Spill</v>
      </c>
      <c r="C5507" s="2">
        <f>_xlfn.XLOOKUP(A5507,'[1]Tissue Data'!$A:$A,'[1]Tissue Data'!$D:$D)</f>
        <v>44393</v>
      </c>
      <c r="D5507" s="2" t="str">
        <f>_xlfn.XLOOKUP(A5507,'[1]Tissue Data'!$A:$A,'[1]Tissue Data'!$F:$F)</f>
        <v>Pumpkinseed</v>
      </c>
      <c r="E5507" t="str">
        <f>_xlfn.XLOOKUP(A5507,'[1]Tissue Data'!$A:$A,'[1]Tissue Data'!$H:$H)</f>
        <v>Lepomis</v>
      </c>
      <c r="F5507" t="str">
        <f>_xlfn.XLOOKUP(A5507,'[1]Tissue Data'!$A:$A,'[1]Tissue Data'!$I:$I)</f>
        <v>gibbosus</v>
      </c>
      <c r="G5507" t="str">
        <f>_xlfn.XLOOKUP(A5507,'[1]Tissue Data'!$A:$A,'[1]Tissue Data'!J:J)</f>
        <v>U</v>
      </c>
      <c r="H5507" t="str">
        <f>_xlfn.XLOOKUP(A5507,'[1]Tissue Data'!$A:$A,'[1]Tissue Data'!K:K)</f>
        <v>Whole Body</v>
      </c>
      <c r="I5507">
        <f>_xlfn.XLOOKUP(A5507,'[1]Tissue Data'!$A:$A,'[1]Tissue Data'!L:L)</f>
        <v>6.5</v>
      </c>
      <c r="J5507">
        <f>_xlfn.XLOOKUP(A5507,'[1]Tissue Data'!$A:$A,'[1]Tissue Data'!M:M)</f>
        <v>6.3</v>
      </c>
      <c r="K5507" t="s">
        <v>17</v>
      </c>
      <c r="L5507" t="str">
        <f>_xlfn.XLOOKUP(K5507,[2]analyte_order!$B:$B,[2]analyte_order!$C:$C)</f>
        <v>375-95-1</v>
      </c>
      <c r="M5507">
        <f>_xlfn.XLOOKUP(L5507,[2]analyte_order!$C:$C,[2]analyte_order!$E:$E)</f>
        <v>6</v>
      </c>
      <c r="N5507">
        <v>4.8550000000000003E-2</v>
      </c>
    </row>
    <row r="5508" spans="1:14">
      <c r="A5508" t="s">
        <v>290</v>
      </c>
      <c r="B5508" t="str">
        <f>_xlfn.XLOOKUP(A5508,'[1]Tissue Data'!$A:$A,'[1]Tissue Data'!$C:$C)</f>
        <v>Spill</v>
      </c>
      <c r="C5508" s="2">
        <f>_xlfn.XLOOKUP(A5508,'[1]Tissue Data'!$A:$A,'[1]Tissue Data'!$D:$D)</f>
        <v>44393</v>
      </c>
      <c r="D5508" s="2" t="str">
        <f>_xlfn.XLOOKUP(A5508,'[1]Tissue Data'!$A:$A,'[1]Tissue Data'!$F:$F)</f>
        <v>Pumpkinseed</v>
      </c>
      <c r="E5508" t="str">
        <f>_xlfn.XLOOKUP(A5508,'[1]Tissue Data'!$A:$A,'[1]Tissue Data'!$H:$H)</f>
        <v>Lepomis</v>
      </c>
      <c r="F5508" t="str">
        <f>_xlfn.XLOOKUP(A5508,'[1]Tissue Data'!$A:$A,'[1]Tissue Data'!$I:$I)</f>
        <v>gibbosus</v>
      </c>
      <c r="G5508" t="str">
        <f>_xlfn.XLOOKUP(A5508,'[1]Tissue Data'!$A:$A,'[1]Tissue Data'!J:J)</f>
        <v>U</v>
      </c>
      <c r="H5508" t="str">
        <f>_xlfn.XLOOKUP(A5508,'[1]Tissue Data'!$A:$A,'[1]Tissue Data'!K:K)</f>
        <v>Whole Body</v>
      </c>
      <c r="I5508">
        <f>_xlfn.XLOOKUP(A5508,'[1]Tissue Data'!$A:$A,'[1]Tissue Data'!L:L)</f>
        <v>6.5</v>
      </c>
      <c r="J5508">
        <f>_xlfn.XLOOKUP(A5508,'[1]Tissue Data'!$A:$A,'[1]Tissue Data'!M:M)</f>
        <v>6.3</v>
      </c>
      <c r="K5508" t="s">
        <v>18</v>
      </c>
      <c r="L5508" t="str">
        <f>_xlfn.XLOOKUP(K5508,[2]analyte_order!$B:$B,[2]analyte_order!$C:$C)</f>
        <v>335-76-2</v>
      </c>
      <c r="M5508">
        <f>_xlfn.XLOOKUP(L5508,[2]analyte_order!$C:$C,[2]analyte_order!$E:$E)</f>
        <v>7</v>
      </c>
      <c r="N5508">
        <v>4.91</v>
      </c>
    </row>
    <row r="5509" spans="1:14">
      <c r="A5509" t="s">
        <v>290</v>
      </c>
      <c r="B5509" t="str">
        <f>_xlfn.XLOOKUP(A5509,'[1]Tissue Data'!$A:$A,'[1]Tissue Data'!$C:$C)</f>
        <v>Spill</v>
      </c>
      <c r="C5509" s="2">
        <f>_xlfn.XLOOKUP(A5509,'[1]Tissue Data'!$A:$A,'[1]Tissue Data'!$D:$D)</f>
        <v>44393</v>
      </c>
      <c r="D5509" s="2" t="str">
        <f>_xlfn.XLOOKUP(A5509,'[1]Tissue Data'!$A:$A,'[1]Tissue Data'!$F:$F)</f>
        <v>Pumpkinseed</v>
      </c>
      <c r="E5509" t="str">
        <f>_xlfn.XLOOKUP(A5509,'[1]Tissue Data'!$A:$A,'[1]Tissue Data'!$H:$H)</f>
        <v>Lepomis</v>
      </c>
      <c r="F5509" t="str">
        <f>_xlfn.XLOOKUP(A5509,'[1]Tissue Data'!$A:$A,'[1]Tissue Data'!$I:$I)</f>
        <v>gibbosus</v>
      </c>
      <c r="G5509" t="str">
        <f>_xlfn.XLOOKUP(A5509,'[1]Tissue Data'!$A:$A,'[1]Tissue Data'!J:J)</f>
        <v>U</v>
      </c>
      <c r="H5509" t="str">
        <f>_xlfn.XLOOKUP(A5509,'[1]Tissue Data'!$A:$A,'[1]Tissue Data'!K:K)</f>
        <v>Whole Body</v>
      </c>
      <c r="I5509">
        <f>_xlfn.XLOOKUP(A5509,'[1]Tissue Data'!$A:$A,'[1]Tissue Data'!L:L)</f>
        <v>6.5</v>
      </c>
      <c r="J5509">
        <f>_xlfn.XLOOKUP(A5509,'[1]Tissue Data'!$A:$A,'[1]Tissue Data'!M:M)</f>
        <v>6.3</v>
      </c>
      <c r="K5509" t="s">
        <v>19</v>
      </c>
      <c r="L5509" t="str">
        <f>_xlfn.XLOOKUP(K5509,[2]analyte_order!$B:$B,[2]analyte_order!$C:$C)</f>
        <v>2058-94-8</v>
      </c>
      <c r="M5509">
        <f>_xlfn.XLOOKUP(L5509,[2]analyte_order!$C:$C,[2]analyte_order!$E:$E)</f>
        <v>8</v>
      </c>
      <c r="N5509">
        <v>9.51</v>
      </c>
    </row>
    <row r="5510" spans="1:14">
      <c r="A5510" t="s">
        <v>290</v>
      </c>
      <c r="B5510" t="str">
        <f>_xlfn.XLOOKUP(A5510,'[1]Tissue Data'!$A:$A,'[1]Tissue Data'!$C:$C)</f>
        <v>Spill</v>
      </c>
      <c r="C5510" s="2">
        <f>_xlfn.XLOOKUP(A5510,'[1]Tissue Data'!$A:$A,'[1]Tissue Data'!$D:$D)</f>
        <v>44393</v>
      </c>
      <c r="D5510" s="2" t="str">
        <f>_xlfn.XLOOKUP(A5510,'[1]Tissue Data'!$A:$A,'[1]Tissue Data'!$F:$F)</f>
        <v>Pumpkinseed</v>
      </c>
      <c r="E5510" t="str">
        <f>_xlfn.XLOOKUP(A5510,'[1]Tissue Data'!$A:$A,'[1]Tissue Data'!$H:$H)</f>
        <v>Lepomis</v>
      </c>
      <c r="F5510" t="str">
        <f>_xlfn.XLOOKUP(A5510,'[1]Tissue Data'!$A:$A,'[1]Tissue Data'!$I:$I)</f>
        <v>gibbosus</v>
      </c>
      <c r="G5510" t="str">
        <f>_xlfn.XLOOKUP(A5510,'[1]Tissue Data'!$A:$A,'[1]Tissue Data'!J:J)</f>
        <v>U</v>
      </c>
      <c r="H5510" t="str">
        <f>_xlfn.XLOOKUP(A5510,'[1]Tissue Data'!$A:$A,'[1]Tissue Data'!K:K)</f>
        <v>Whole Body</v>
      </c>
      <c r="I5510">
        <f>_xlfn.XLOOKUP(A5510,'[1]Tissue Data'!$A:$A,'[1]Tissue Data'!L:L)</f>
        <v>6.5</v>
      </c>
      <c r="J5510">
        <f>_xlfn.XLOOKUP(A5510,'[1]Tissue Data'!$A:$A,'[1]Tissue Data'!M:M)</f>
        <v>6.3</v>
      </c>
      <c r="K5510" t="s">
        <v>20</v>
      </c>
      <c r="L5510" t="str">
        <f>_xlfn.XLOOKUP(K5510,[2]analyte_order!$B:$B,[2]analyte_order!$C:$C)</f>
        <v>307-55-1</v>
      </c>
      <c r="M5510">
        <f>_xlfn.XLOOKUP(L5510,[2]analyte_order!$C:$C,[2]analyte_order!$E:$E)</f>
        <v>9</v>
      </c>
      <c r="N5510">
        <v>18.2</v>
      </c>
    </row>
    <row r="5511" spans="1:14">
      <c r="A5511" t="s">
        <v>290</v>
      </c>
      <c r="B5511" t="str">
        <f>_xlfn.XLOOKUP(A5511,'[1]Tissue Data'!$A:$A,'[1]Tissue Data'!$C:$C)</f>
        <v>Spill</v>
      </c>
      <c r="C5511" s="2">
        <f>_xlfn.XLOOKUP(A5511,'[1]Tissue Data'!$A:$A,'[1]Tissue Data'!$D:$D)</f>
        <v>44393</v>
      </c>
      <c r="D5511" s="2" t="str">
        <f>_xlfn.XLOOKUP(A5511,'[1]Tissue Data'!$A:$A,'[1]Tissue Data'!$F:$F)</f>
        <v>Pumpkinseed</v>
      </c>
      <c r="E5511" t="str">
        <f>_xlfn.XLOOKUP(A5511,'[1]Tissue Data'!$A:$A,'[1]Tissue Data'!$H:$H)</f>
        <v>Lepomis</v>
      </c>
      <c r="F5511" t="str">
        <f>_xlfn.XLOOKUP(A5511,'[1]Tissue Data'!$A:$A,'[1]Tissue Data'!$I:$I)</f>
        <v>gibbosus</v>
      </c>
      <c r="G5511" t="str">
        <f>_xlfn.XLOOKUP(A5511,'[1]Tissue Data'!$A:$A,'[1]Tissue Data'!J:J)</f>
        <v>U</v>
      </c>
      <c r="H5511" t="str">
        <f>_xlfn.XLOOKUP(A5511,'[1]Tissue Data'!$A:$A,'[1]Tissue Data'!K:K)</f>
        <v>Whole Body</v>
      </c>
      <c r="I5511">
        <f>_xlfn.XLOOKUP(A5511,'[1]Tissue Data'!$A:$A,'[1]Tissue Data'!L:L)</f>
        <v>6.5</v>
      </c>
      <c r="J5511">
        <f>_xlfn.XLOOKUP(A5511,'[1]Tissue Data'!$A:$A,'[1]Tissue Data'!M:M)</f>
        <v>6.3</v>
      </c>
      <c r="K5511" t="s">
        <v>21</v>
      </c>
      <c r="L5511" t="str">
        <f>_xlfn.XLOOKUP(K5511,[2]analyte_order!$B:$B,[2]analyte_order!$C:$C)</f>
        <v>72629-94-8</v>
      </c>
      <c r="M5511">
        <f>_xlfn.XLOOKUP(L5511,[2]analyte_order!$C:$C,[2]analyte_order!$E:$E)</f>
        <v>10</v>
      </c>
      <c r="N5511">
        <v>4.16</v>
      </c>
    </row>
    <row r="5512" spans="1:14">
      <c r="A5512" t="s">
        <v>290</v>
      </c>
      <c r="B5512" t="str">
        <f>_xlfn.XLOOKUP(A5512,'[1]Tissue Data'!$A:$A,'[1]Tissue Data'!$C:$C)</f>
        <v>Spill</v>
      </c>
      <c r="C5512" s="2">
        <f>_xlfn.XLOOKUP(A5512,'[1]Tissue Data'!$A:$A,'[1]Tissue Data'!$D:$D)</f>
        <v>44393</v>
      </c>
      <c r="D5512" s="2" t="str">
        <f>_xlfn.XLOOKUP(A5512,'[1]Tissue Data'!$A:$A,'[1]Tissue Data'!$F:$F)</f>
        <v>Pumpkinseed</v>
      </c>
      <c r="E5512" t="str">
        <f>_xlfn.XLOOKUP(A5512,'[1]Tissue Data'!$A:$A,'[1]Tissue Data'!$H:$H)</f>
        <v>Lepomis</v>
      </c>
      <c r="F5512" t="str">
        <f>_xlfn.XLOOKUP(A5512,'[1]Tissue Data'!$A:$A,'[1]Tissue Data'!$I:$I)</f>
        <v>gibbosus</v>
      </c>
      <c r="G5512" t="str">
        <f>_xlfn.XLOOKUP(A5512,'[1]Tissue Data'!$A:$A,'[1]Tissue Data'!J:J)</f>
        <v>U</v>
      </c>
      <c r="H5512" t="str">
        <f>_xlfn.XLOOKUP(A5512,'[1]Tissue Data'!$A:$A,'[1]Tissue Data'!K:K)</f>
        <v>Whole Body</v>
      </c>
      <c r="I5512">
        <f>_xlfn.XLOOKUP(A5512,'[1]Tissue Data'!$A:$A,'[1]Tissue Data'!L:L)</f>
        <v>6.5</v>
      </c>
      <c r="J5512">
        <f>_xlfn.XLOOKUP(A5512,'[1]Tissue Data'!$A:$A,'[1]Tissue Data'!M:M)</f>
        <v>6.3</v>
      </c>
      <c r="K5512" t="s">
        <v>22</v>
      </c>
      <c r="L5512" t="str">
        <f>_xlfn.XLOOKUP(K5512,[2]analyte_order!$B:$B,[2]analyte_order!$C:$C)</f>
        <v>376-06-7</v>
      </c>
      <c r="M5512">
        <f>_xlfn.XLOOKUP(L5512,[2]analyte_order!$C:$C,[2]analyte_order!$E:$E)</f>
        <v>11</v>
      </c>
      <c r="N5512">
        <v>10.6</v>
      </c>
    </row>
    <row r="5513" spans="1:14">
      <c r="A5513" t="s">
        <v>290</v>
      </c>
      <c r="B5513" t="str">
        <f>_xlfn.XLOOKUP(A5513,'[1]Tissue Data'!$A:$A,'[1]Tissue Data'!$C:$C)</f>
        <v>Spill</v>
      </c>
      <c r="C5513" s="2">
        <f>_xlfn.XLOOKUP(A5513,'[1]Tissue Data'!$A:$A,'[1]Tissue Data'!$D:$D)</f>
        <v>44393</v>
      </c>
      <c r="D5513" s="2" t="str">
        <f>_xlfn.XLOOKUP(A5513,'[1]Tissue Data'!$A:$A,'[1]Tissue Data'!$F:$F)</f>
        <v>Pumpkinseed</v>
      </c>
      <c r="E5513" t="str">
        <f>_xlfn.XLOOKUP(A5513,'[1]Tissue Data'!$A:$A,'[1]Tissue Data'!$H:$H)</f>
        <v>Lepomis</v>
      </c>
      <c r="F5513" t="str">
        <f>_xlfn.XLOOKUP(A5513,'[1]Tissue Data'!$A:$A,'[1]Tissue Data'!$I:$I)</f>
        <v>gibbosus</v>
      </c>
      <c r="G5513" t="str">
        <f>_xlfn.XLOOKUP(A5513,'[1]Tissue Data'!$A:$A,'[1]Tissue Data'!J:J)</f>
        <v>U</v>
      </c>
      <c r="H5513" t="str">
        <f>_xlfn.XLOOKUP(A5513,'[1]Tissue Data'!$A:$A,'[1]Tissue Data'!K:K)</f>
        <v>Whole Body</v>
      </c>
      <c r="I5513">
        <f>_xlfn.XLOOKUP(A5513,'[1]Tissue Data'!$A:$A,'[1]Tissue Data'!L:L)</f>
        <v>6.5</v>
      </c>
      <c r="J5513">
        <f>_xlfn.XLOOKUP(A5513,'[1]Tissue Data'!$A:$A,'[1]Tissue Data'!M:M)</f>
        <v>6.3</v>
      </c>
      <c r="K5513" t="s">
        <v>23</v>
      </c>
      <c r="L5513" t="str">
        <f>_xlfn.XLOOKUP(K5513,[2]analyte_order!$B:$B,[2]analyte_order!$C:$C)</f>
        <v>67905-19-5</v>
      </c>
      <c r="M5513">
        <f>_xlfn.XLOOKUP(L5513,[2]analyte_order!$C:$C,[2]analyte_order!$E:$E)</f>
        <v>12</v>
      </c>
      <c r="N5513">
        <v>8.3500000000000005E-2</v>
      </c>
    </row>
    <row r="5514" spans="1:14">
      <c r="A5514" t="s">
        <v>290</v>
      </c>
      <c r="B5514" t="str">
        <f>_xlfn.XLOOKUP(A5514,'[1]Tissue Data'!$A:$A,'[1]Tissue Data'!$C:$C)</f>
        <v>Spill</v>
      </c>
      <c r="C5514" s="2">
        <f>_xlfn.XLOOKUP(A5514,'[1]Tissue Data'!$A:$A,'[1]Tissue Data'!$D:$D)</f>
        <v>44393</v>
      </c>
      <c r="D5514" s="2" t="str">
        <f>_xlfn.XLOOKUP(A5514,'[1]Tissue Data'!$A:$A,'[1]Tissue Data'!$F:$F)</f>
        <v>Pumpkinseed</v>
      </c>
      <c r="E5514" t="str">
        <f>_xlfn.XLOOKUP(A5514,'[1]Tissue Data'!$A:$A,'[1]Tissue Data'!$H:$H)</f>
        <v>Lepomis</v>
      </c>
      <c r="F5514" t="str">
        <f>_xlfn.XLOOKUP(A5514,'[1]Tissue Data'!$A:$A,'[1]Tissue Data'!$I:$I)</f>
        <v>gibbosus</v>
      </c>
      <c r="G5514" t="str">
        <f>_xlfn.XLOOKUP(A5514,'[1]Tissue Data'!$A:$A,'[1]Tissue Data'!J:J)</f>
        <v>U</v>
      </c>
      <c r="H5514" t="str">
        <f>_xlfn.XLOOKUP(A5514,'[1]Tissue Data'!$A:$A,'[1]Tissue Data'!K:K)</f>
        <v>Whole Body</v>
      </c>
      <c r="I5514">
        <f>_xlfn.XLOOKUP(A5514,'[1]Tissue Data'!$A:$A,'[1]Tissue Data'!L:L)</f>
        <v>6.5</v>
      </c>
      <c r="J5514">
        <f>_xlfn.XLOOKUP(A5514,'[1]Tissue Data'!$A:$A,'[1]Tissue Data'!M:M)</f>
        <v>6.3</v>
      </c>
      <c r="K5514" t="s">
        <v>24</v>
      </c>
      <c r="L5514" t="str">
        <f>_xlfn.XLOOKUP(K5514,[2]analyte_order!$B:$B,[2]analyte_order!$C:$C)</f>
        <v>423-41-6</v>
      </c>
      <c r="M5514">
        <f>_xlfn.XLOOKUP(L5514,[2]analyte_order!$C:$C,[2]analyte_order!$E:$E)</f>
        <v>53</v>
      </c>
      <c r="N5514">
        <v>7.0000000000000007E-2</v>
      </c>
    </row>
    <row r="5515" spans="1:14">
      <c r="A5515" t="s">
        <v>290</v>
      </c>
      <c r="B5515" t="str">
        <f>_xlfn.XLOOKUP(A5515,'[1]Tissue Data'!$A:$A,'[1]Tissue Data'!$C:$C)</f>
        <v>Spill</v>
      </c>
      <c r="C5515" s="2">
        <f>_xlfn.XLOOKUP(A5515,'[1]Tissue Data'!$A:$A,'[1]Tissue Data'!$D:$D)</f>
        <v>44393</v>
      </c>
      <c r="D5515" s="2" t="str">
        <f>_xlfn.XLOOKUP(A5515,'[1]Tissue Data'!$A:$A,'[1]Tissue Data'!$F:$F)</f>
        <v>Pumpkinseed</v>
      </c>
      <c r="E5515" t="str">
        <f>_xlfn.XLOOKUP(A5515,'[1]Tissue Data'!$A:$A,'[1]Tissue Data'!$H:$H)</f>
        <v>Lepomis</v>
      </c>
      <c r="F5515" t="str">
        <f>_xlfn.XLOOKUP(A5515,'[1]Tissue Data'!$A:$A,'[1]Tissue Data'!$I:$I)</f>
        <v>gibbosus</v>
      </c>
      <c r="G5515" t="str">
        <f>_xlfn.XLOOKUP(A5515,'[1]Tissue Data'!$A:$A,'[1]Tissue Data'!J:J)</f>
        <v>U</v>
      </c>
      <c r="H5515" t="str">
        <f>_xlfn.XLOOKUP(A5515,'[1]Tissue Data'!$A:$A,'[1]Tissue Data'!K:K)</f>
        <v>Whole Body</v>
      </c>
      <c r="I5515">
        <f>_xlfn.XLOOKUP(A5515,'[1]Tissue Data'!$A:$A,'[1]Tissue Data'!L:L)</f>
        <v>6.5</v>
      </c>
      <c r="J5515">
        <f>_xlfn.XLOOKUP(A5515,'[1]Tissue Data'!$A:$A,'[1]Tissue Data'!M:M)</f>
        <v>6.3</v>
      </c>
      <c r="K5515" t="s">
        <v>25</v>
      </c>
      <c r="L5515" t="str">
        <f>_xlfn.XLOOKUP(K5515,[2]analyte_order!$B:$B,[2]analyte_order!$C:$C)</f>
        <v>375-73-5</v>
      </c>
      <c r="M5515">
        <f>_xlfn.XLOOKUP(L5515,[2]analyte_order!$C:$C,[2]analyte_order!$E:$E)</f>
        <v>14</v>
      </c>
      <c r="N5515">
        <v>0.1575</v>
      </c>
    </row>
    <row r="5516" spans="1:14">
      <c r="A5516" t="s">
        <v>290</v>
      </c>
      <c r="B5516" t="str">
        <f>_xlfn.XLOOKUP(A5516,'[1]Tissue Data'!$A:$A,'[1]Tissue Data'!$C:$C)</f>
        <v>Spill</v>
      </c>
      <c r="C5516" s="2">
        <f>_xlfn.XLOOKUP(A5516,'[1]Tissue Data'!$A:$A,'[1]Tissue Data'!$D:$D)</f>
        <v>44393</v>
      </c>
      <c r="D5516" s="2" t="str">
        <f>_xlfn.XLOOKUP(A5516,'[1]Tissue Data'!$A:$A,'[1]Tissue Data'!$F:$F)</f>
        <v>Pumpkinseed</v>
      </c>
      <c r="E5516" t="str">
        <f>_xlfn.XLOOKUP(A5516,'[1]Tissue Data'!$A:$A,'[1]Tissue Data'!$H:$H)</f>
        <v>Lepomis</v>
      </c>
      <c r="F5516" t="str">
        <f>_xlfn.XLOOKUP(A5516,'[1]Tissue Data'!$A:$A,'[1]Tissue Data'!$I:$I)</f>
        <v>gibbosus</v>
      </c>
      <c r="G5516" t="str">
        <f>_xlfn.XLOOKUP(A5516,'[1]Tissue Data'!$A:$A,'[1]Tissue Data'!J:J)</f>
        <v>U</v>
      </c>
      <c r="H5516" t="str">
        <f>_xlfn.XLOOKUP(A5516,'[1]Tissue Data'!$A:$A,'[1]Tissue Data'!K:K)</f>
        <v>Whole Body</v>
      </c>
      <c r="I5516">
        <f>_xlfn.XLOOKUP(A5516,'[1]Tissue Data'!$A:$A,'[1]Tissue Data'!L:L)</f>
        <v>6.5</v>
      </c>
      <c r="J5516">
        <f>_xlfn.XLOOKUP(A5516,'[1]Tissue Data'!$A:$A,'[1]Tissue Data'!M:M)</f>
        <v>6.3</v>
      </c>
      <c r="K5516" t="s">
        <v>26</v>
      </c>
      <c r="L5516" t="str">
        <f>_xlfn.XLOOKUP(K5516,[2]analyte_order!$B:$B,[2]analyte_order!$C:$C)</f>
        <v>2706-91-4</v>
      </c>
      <c r="M5516">
        <f>_xlfn.XLOOKUP(L5516,[2]analyte_order!$C:$C,[2]analyte_order!$E:$E)</f>
        <v>15</v>
      </c>
      <c r="N5516">
        <v>7.0000000000000007E-2</v>
      </c>
    </row>
    <row r="5517" spans="1:14">
      <c r="A5517" t="s">
        <v>290</v>
      </c>
      <c r="B5517" t="str">
        <f>_xlfn.XLOOKUP(A5517,'[1]Tissue Data'!$A:$A,'[1]Tissue Data'!$C:$C)</f>
        <v>Spill</v>
      </c>
      <c r="C5517" s="2">
        <f>_xlfn.XLOOKUP(A5517,'[1]Tissue Data'!$A:$A,'[1]Tissue Data'!$D:$D)</f>
        <v>44393</v>
      </c>
      <c r="D5517" s="2" t="str">
        <f>_xlfn.XLOOKUP(A5517,'[1]Tissue Data'!$A:$A,'[1]Tissue Data'!$F:$F)</f>
        <v>Pumpkinseed</v>
      </c>
      <c r="E5517" t="str">
        <f>_xlfn.XLOOKUP(A5517,'[1]Tissue Data'!$A:$A,'[1]Tissue Data'!$H:$H)</f>
        <v>Lepomis</v>
      </c>
      <c r="F5517" t="str">
        <f>_xlfn.XLOOKUP(A5517,'[1]Tissue Data'!$A:$A,'[1]Tissue Data'!$I:$I)</f>
        <v>gibbosus</v>
      </c>
      <c r="G5517" t="str">
        <f>_xlfn.XLOOKUP(A5517,'[1]Tissue Data'!$A:$A,'[1]Tissue Data'!J:J)</f>
        <v>U</v>
      </c>
      <c r="H5517" t="str">
        <f>_xlfn.XLOOKUP(A5517,'[1]Tissue Data'!$A:$A,'[1]Tissue Data'!K:K)</f>
        <v>Whole Body</v>
      </c>
      <c r="I5517">
        <f>_xlfn.XLOOKUP(A5517,'[1]Tissue Data'!$A:$A,'[1]Tissue Data'!L:L)</f>
        <v>6.5</v>
      </c>
      <c r="J5517">
        <f>_xlfn.XLOOKUP(A5517,'[1]Tissue Data'!$A:$A,'[1]Tissue Data'!M:M)</f>
        <v>6.3</v>
      </c>
      <c r="K5517" t="s">
        <v>27</v>
      </c>
      <c r="L5517" t="str">
        <f>_xlfn.XLOOKUP(K5517,[2]analyte_order!$B:$B,[2]analyte_order!$C:$C)</f>
        <v>355-46-4</v>
      </c>
      <c r="M5517">
        <f>_xlfn.XLOOKUP(L5517,[2]analyte_order!$C:$C,[2]analyte_order!$E:$E)</f>
        <v>16</v>
      </c>
      <c r="N5517">
        <v>6.83</v>
      </c>
    </row>
    <row r="5518" spans="1:14">
      <c r="A5518" t="s">
        <v>290</v>
      </c>
      <c r="B5518" t="str">
        <f>_xlfn.XLOOKUP(A5518,'[1]Tissue Data'!$A:$A,'[1]Tissue Data'!$C:$C)</f>
        <v>Spill</v>
      </c>
      <c r="C5518" s="2">
        <f>_xlfn.XLOOKUP(A5518,'[1]Tissue Data'!$A:$A,'[1]Tissue Data'!$D:$D)</f>
        <v>44393</v>
      </c>
      <c r="D5518" s="2" t="str">
        <f>_xlfn.XLOOKUP(A5518,'[1]Tissue Data'!$A:$A,'[1]Tissue Data'!$F:$F)</f>
        <v>Pumpkinseed</v>
      </c>
      <c r="E5518" t="str">
        <f>_xlfn.XLOOKUP(A5518,'[1]Tissue Data'!$A:$A,'[1]Tissue Data'!$H:$H)</f>
        <v>Lepomis</v>
      </c>
      <c r="F5518" t="str">
        <f>_xlfn.XLOOKUP(A5518,'[1]Tissue Data'!$A:$A,'[1]Tissue Data'!$I:$I)</f>
        <v>gibbosus</v>
      </c>
      <c r="G5518" t="str">
        <f>_xlfn.XLOOKUP(A5518,'[1]Tissue Data'!$A:$A,'[1]Tissue Data'!J:J)</f>
        <v>U</v>
      </c>
      <c r="H5518" t="str">
        <f>_xlfn.XLOOKUP(A5518,'[1]Tissue Data'!$A:$A,'[1]Tissue Data'!K:K)</f>
        <v>Whole Body</v>
      </c>
      <c r="I5518">
        <f>_xlfn.XLOOKUP(A5518,'[1]Tissue Data'!$A:$A,'[1]Tissue Data'!L:L)</f>
        <v>6.5</v>
      </c>
      <c r="J5518">
        <f>_xlfn.XLOOKUP(A5518,'[1]Tissue Data'!$A:$A,'[1]Tissue Data'!M:M)</f>
        <v>6.3</v>
      </c>
      <c r="K5518" t="s">
        <v>28</v>
      </c>
      <c r="L5518" t="str">
        <f>_xlfn.XLOOKUP(K5518,[2]analyte_order!$B:$B,[2]analyte_order!$C:$C)</f>
        <v>375-92-8</v>
      </c>
      <c r="M5518">
        <f>_xlfn.XLOOKUP(L5518,[2]analyte_order!$C:$C,[2]analyte_order!$E:$E)</f>
        <v>17</v>
      </c>
      <c r="N5518">
        <v>0.77</v>
      </c>
    </row>
    <row r="5519" spans="1:14">
      <c r="A5519" t="s">
        <v>290</v>
      </c>
      <c r="B5519" t="str">
        <f>_xlfn.XLOOKUP(A5519,'[1]Tissue Data'!$A:$A,'[1]Tissue Data'!$C:$C)</f>
        <v>Spill</v>
      </c>
      <c r="C5519" s="2">
        <f>_xlfn.XLOOKUP(A5519,'[1]Tissue Data'!$A:$A,'[1]Tissue Data'!$D:$D)</f>
        <v>44393</v>
      </c>
      <c r="D5519" s="2" t="str">
        <f>_xlfn.XLOOKUP(A5519,'[1]Tissue Data'!$A:$A,'[1]Tissue Data'!$F:$F)</f>
        <v>Pumpkinseed</v>
      </c>
      <c r="E5519" t="str">
        <f>_xlfn.XLOOKUP(A5519,'[1]Tissue Data'!$A:$A,'[1]Tissue Data'!$H:$H)</f>
        <v>Lepomis</v>
      </c>
      <c r="F5519" t="str">
        <f>_xlfn.XLOOKUP(A5519,'[1]Tissue Data'!$A:$A,'[1]Tissue Data'!$I:$I)</f>
        <v>gibbosus</v>
      </c>
      <c r="G5519" t="str">
        <f>_xlfn.XLOOKUP(A5519,'[1]Tissue Data'!$A:$A,'[1]Tissue Data'!J:J)</f>
        <v>U</v>
      </c>
      <c r="H5519" t="str">
        <f>_xlfn.XLOOKUP(A5519,'[1]Tissue Data'!$A:$A,'[1]Tissue Data'!K:K)</f>
        <v>Whole Body</v>
      </c>
      <c r="I5519">
        <f>_xlfn.XLOOKUP(A5519,'[1]Tissue Data'!$A:$A,'[1]Tissue Data'!L:L)</f>
        <v>6.5</v>
      </c>
      <c r="J5519">
        <f>_xlfn.XLOOKUP(A5519,'[1]Tissue Data'!$A:$A,'[1]Tissue Data'!M:M)</f>
        <v>6.3</v>
      </c>
      <c r="K5519" t="s">
        <v>29</v>
      </c>
      <c r="L5519" t="str">
        <f>_xlfn.XLOOKUP(K5519,[2]analyte_order!$B:$B,[2]analyte_order!$C:$C)</f>
        <v>1763-23-1</v>
      </c>
      <c r="M5519">
        <f>_xlfn.XLOOKUP(L5519,[2]analyte_order!$C:$C,[2]analyte_order!$E:$E)</f>
        <v>18</v>
      </c>
      <c r="N5519">
        <v>1070</v>
      </c>
    </row>
    <row r="5520" spans="1:14">
      <c r="A5520" t="s">
        <v>290</v>
      </c>
      <c r="B5520" t="str">
        <f>_xlfn.XLOOKUP(A5520,'[1]Tissue Data'!$A:$A,'[1]Tissue Data'!$C:$C)</f>
        <v>Spill</v>
      </c>
      <c r="C5520" s="2">
        <f>_xlfn.XLOOKUP(A5520,'[1]Tissue Data'!$A:$A,'[1]Tissue Data'!$D:$D)</f>
        <v>44393</v>
      </c>
      <c r="D5520" s="2" t="str">
        <f>_xlfn.XLOOKUP(A5520,'[1]Tissue Data'!$A:$A,'[1]Tissue Data'!$F:$F)</f>
        <v>Pumpkinseed</v>
      </c>
      <c r="E5520" t="str">
        <f>_xlfn.XLOOKUP(A5520,'[1]Tissue Data'!$A:$A,'[1]Tissue Data'!$H:$H)</f>
        <v>Lepomis</v>
      </c>
      <c r="F5520" t="str">
        <f>_xlfn.XLOOKUP(A5520,'[1]Tissue Data'!$A:$A,'[1]Tissue Data'!$I:$I)</f>
        <v>gibbosus</v>
      </c>
      <c r="G5520" t="str">
        <f>_xlfn.XLOOKUP(A5520,'[1]Tissue Data'!$A:$A,'[1]Tissue Data'!J:J)</f>
        <v>U</v>
      </c>
      <c r="H5520" t="str">
        <f>_xlfn.XLOOKUP(A5520,'[1]Tissue Data'!$A:$A,'[1]Tissue Data'!K:K)</f>
        <v>Whole Body</v>
      </c>
      <c r="I5520">
        <f>_xlfn.XLOOKUP(A5520,'[1]Tissue Data'!$A:$A,'[1]Tissue Data'!L:L)</f>
        <v>6.5</v>
      </c>
      <c r="J5520">
        <f>_xlfn.XLOOKUP(A5520,'[1]Tissue Data'!$A:$A,'[1]Tissue Data'!M:M)</f>
        <v>6.3</v>
      </c>
      <c r="K5520" t="s">
        <v>30</v>
      </c>
      <c r="L5520" t="str">
        <f>_xlfn.XLOOKUP(K5520,[2]analyte_order!$B:$B,[2]analyte_order!$C:$C)</f>
        <v>68259-12-1</v>
      </c>
      <c r="M5520">
        <f>_xlfn.XLOOKUP(L5520,[2]analyte_order!$C:$C,[2]analyte_order!$E:$E)</f>
        <v>19</v>
      </c>
      <c r="N5520">
        <v>4.0999999999999996</v>
      </c>
    </row>
    <row r="5521" spans="1:14">
      <c r="A5521" t="s">
        <v>290</v>
      </c>
      <c r="B5521" t="str">
        <f>_xlfn.XLOOKUP(A5521,'[1]Tissue Data'!$A:$A,'[1]Tissue Data'!$C:$C)</f>
        <v>Spill</v>
      </c>
      <c r="C5521" s="2">
        <f>_xlfn.XLOOKUP(A5521,'[1]Tissue Data'!$A:$A,'[1]Tissue Data'!$D:$D)</f>
        <v>44393</v>
      </c>
      <c r="D5521" s="2" t="str">
        <f>_xlfn.XLOOKUP(A5521,'[1]Tissue Data'!$A:$A,'[1]Tissue Data'!$F:$F)</f>
        <v>Pumpkinseed</v>
      </c>
      <c r="E5521" t="str">
        <f>_xlfn.XLOOKUP(A5521,'[1]Tissue Data'!$A:$A,'[1]Tissue Data'!$H:$H)</f>
        <v>Lepomis</v>
      </c>
      <c r="F5521" t="str">
        <f>_xlfn.XLOOKUP(A5521,'[1]Tissue Data'!$A:$A,'[1]Tissue Data'!$I:$I)</f>
        <v>gibbosus</v>
      </c>
      <c r="G5521" t="str">
        <f>_xlfn.XLOOKUP(A5521,'[1]Tissue Data'!$A:$A,'[1]Tissue Data'!J:J)</f>
        <v>U</v>
      </c>
      <c r="H5521" t="str">
        <f>_xlfn.XLOOKUP(A5521,'[1]Tissue Data'!$A:$A,'[1]Tissue Data'!K:K)</f>
        <v>Whole Body</v>
      </c>
      <c r="I5521">
        <f>_xlfn.XLOOKUP(A5521,'[1]Tissue Data'!$A:$A,'[1]Tissue Data'!L:L)</f>
        <v>6.5</v>
      </c>
      <c r="J5521">
        <f>_xlfn.XLOOKUP(A5521,'[1]Tissue Data'!$A:$A,'[1]Tissue Data'!M:M)</f>
        <v>6.3</v>
      </c>
      <c r="K5521" t="s">
        <v>31</v>
      </c>
      <c r="L5521" t="str">
        <f>_xlfn.XLOOKUP(K5521,[2]analyte_order!$B:$B,[2]analyte_order!$C:$C)</f>
        <v>335-77-3</v>
      </c>
      <c r="M5521">
        <f>_xlfn.XLOOKUP(L5521,[2]analyte_order!$C:$C,[2]analyte_order!$E:$E)</f>
        <v>20</v>
      </c>
      <c r="N5521">
        <v>5.43</v>
      </c>
    </row>
    <row r="5522" spans="1:14">
      <c r="A5522" t="s">
        <v>290</v>
      </c>
      <c r="B5522" t="str">
        <f>_xlfn.XLOOKUP(A5522,'[1]Tissue Data'!$A:$A,'[1]Tissue Data'!$C:$C)</f>
        <v>Spill</v>
      </c>
      <c r="C5522" s="2">
        <f>_xlfn.XLOOKUP(A5522,'[1]Tissue Data'!$A:$A,'[1]Tissue Data'!$D:$D)</f>
        <v>44393</v>
      </c>
      <c r="D5522" s="2" t="str">
        <f>_xlfn.XLOOKUP(A5522,'[1]Tissue Data'!$A:$A,'[1]Tissue Data'!$F:$F)</f>
        <v>Pumpkinseed</v>
      </c>
      <c r="E5522" t="str">
        <f>_xlfn.XLOOKUP(A5522,'[1]Tissue Data'!$A:$A,'[1]Tissue Data'!$H:$H)</f>
        <v>Lepomis</v>
      </c>
      <c r="F5522" t="str">
        <f>_xlfn.XLOOKUP(A5522,'[1]Tissue Data'!$A:$A,'[1]Tissue Data'!$I:$I)</f>
        <v>gibbosus</v>
      </c>
      <c r="G5522" t="str">
        <f>_xlfn.XLOOKUP(A5522,'[1]Tissue Data'!$A:$A,'[1]Tissue Data'!J:J)</f>
        <v>U</v>
      </c>
      <c r="H5522" t="str">
        <f>_xlfn.XLOOKUP(A5522,'[1]Tissue Data'!$A:$A,'[1]Tissue Data'!K:K)</f>
        <v>Whole Body</v>
      </c>
      <c r="I5522">
        <f>_xlfn.XLOOKUP(A5522,'[1]Tissue Data'!$A:$A,'[1]Tissue Data'!L:L)</f>
        <v>6.5</v>
      </c>
      <c r="J5522">
        <f>_xlfn.XLOOKUP(A5522,'[1]Tissue Data'!$A:$A,'[1]Tissue Data'!M:M)</f>
        <v>6.3</v>
      </c>
      <c r="K5522" t="s">
        <v>32</v>
      </c>
      <c r="L5522" t="str">
        <f>_xlfn.XLOOKUP(K5522,[2]analyte_order!$B:$B,[2]analyte_order!$C:$C)</f>
        <v>79780-39-5</v>
      </c>
      <c r="M5522">
        <f>_xlfn.XLOOKUP(L5522,[2]analyte_order!$C:$C,[2]analyte_order!$E:$E)</f>
        <v>21</v>
      </c>
      <c r="N5522">
        <v>1.29</v>
      </c>
    </row>
    <row r="5523" spans="1:14">
      <c r="A5523" t="s">
        <v>290</v>
      </c>
      <c r="B5523" t="str">
        <f>_xlfn.XLOOKUP(A5523,'[1]Tissue Data'!$A:$A,'[1]Tissue Data'!$C:$C)</f>
        <v>Spill</v>
      </c>
      <c r="C5523" s="2">
        <f>_xlfn.XLOOKUP(A5523,'[1]Tissue Data'!$A:$A,'[1]Tissue Data'!$D:$D)</f>
        <v>44393</v>
      </c>
      <c r="D5523" s="2" t="str">
        <f>_xlfn.XLOOKUP(A5523,'[1]Tissue Data'!$A:$A,'[1]Tissue Data'!$F:$F)</f>
        <v>Pumpkinseed</v>
      </c>
      <c r="E5523" t="str">
        <f>_xlfn.XLOOKUP(A5523,'[1]Tissue Data'!$A:$A,'[1]Tissue Data'!$H:$H)</f>
        <v>Lepomis</v>
      </c>
      <c r="F5523" t="str">
        <f>_xlfn.XLOOKUP(A5523,'[1]Tissue Data'!$A:$A,'[1]Tissue Data'!$I:$I)</f>
        <v>gibbosus</v>
      </c>
      <c r="G5523" t="str">
        <f>_xlfn.XLOOKUP(A5523,'[1]Tissue Data'!$A:$A,'[1]Tissue Data'!J:J)</f>
        <v>U</v>
      </c>
      <c r="H5523" t="str">
        <f>_xlfn.XLOOKUP(A5523,'[1]Tissue Data'!$A:$A,'[1]Tissue Data'!K:K)</f>
        <v>Whole Body</v>
      </c>
      <c r="I5523">
        <f>_xlfn.XLOOKUP(A5523,'[1]Tissue Data'!$A:$A,'[1]Tissue Data'!L:L)</f>
        <v>6.5</v>
      </c>
      <c r="J5523">
        <f>_xlfn.XLOOKUP(A5523,'[1]Tissue Data'!$A:$A,'[1]Tissue Data'!M:M)</f>
        <v>6.3</v>
      </c>
      <c r="K5523" t="s">
        <v>33</v>
      </c>
      <c r="L5523" t="str">
        <f>_xlfn.XLOOKUP(K5523,[2]analyte_order!$B:$B,[2]analyte_order!$C:$C)</f>
        <v>777011-38-8</v>
      </c>
      <c r="M5523">
        <f>_xlfn.XLOOKUP(L5523,[2]analyte_order!$C:$C,[2]analyte_order!$E:$E)</f>
        <v>54</v>
      </c>
      <c r="N5523">
        <v>0.14050000000000001</v>
      </c>
    </row>
    <row r="5524" spans="1:14">
      <c r="A5524" t="s">
        <v>290</v>
      </c>
      <c r="B5524" t="str">
        <f>_xlfn.XLOOKUP(A5524,'[1]Tissue Data'!$A:$A,'[1]Tissue Data'!$C:$C)</f>
        <v>Spill</v>
      </c>
      <c r="C5524" s="2">
        <f>_xlfn.XLOOKUP(A5524,'[1]Tissue Data'!$A:$A,'[1]Tissue Data'!$D:$D)</f>
        <v>44393</v>
      </c>
      <c r="D5524" s="2" t="str">
        <f>_xlfn.XLOOKUP(A5524,'[1]Tissue Data'!$A:$A,'[1]Tissue Data'!$F:$F)</f>
        <v>Pumpkinseed</v>
      </c>
      <c r="E5524" t="str">
        <f>_xlfn.XLOOKUP(A5524,'[1]Tissue Data'!$A:$A,'[1]Tissue Data'!$H:$H)</f>
        <v>Lepomis</v>
      </c>
      <c r="F5524" t="str">
        <f>_xlfn.XLOOKUP(A5524,'[1]Tissue Data'!$A:$A,'[1]Tissue Data'!$I:$I)</f>
        <v>gibbosus</v>
      </c>
      <c r="G5524" t="str">
        <f>_xlfn.XLOOKUP(A5524,'[1]Tissue Data'!$A:$A,'[1]Tissue Data'!J:J)</f>
        <v>U</v>
      </c>
      <c r="H5524" t="str">
        <f>_xlfn.XLOOKUP(A5524,'[1]Tissue Data'!$A:$A,'[1]Tissue Data'!K:K)</f>
        <v>Whole Body</v>
      </c>
      <c r="I5524">
        <f>_xlfn.XLOOKUP(A5524,'[1]Tissue Data'!$A:$A,'[1]Tissue Data'!L:L)</f>
        <v>6.5</v>
      </c>
      <c r="J5524">
        <f>_xlfn.XLOOKUP(A5524,'[1]Tissue Data'!$A:$A,'[1]Tissue Data'!M:M)</f>
        <v>6.3</v>
      </c>
      <c r="K5524" t="s">
        <v>34</v>
      </c>
      <c r="L5524" t="str">
        <f>_xlfn.XLOOKUP(K5524,[2]analyte_order!$B:$B,[2]analyte_order!$C:$C)</f>
        <v>646-83-3</v>
      </c>
      <c r="M5524">
        <f>_xlfn.XLOOKUP(L5524,[2]analyte_order!$C:$C,[2]analyte_order!$E:$E)</f>
        <v>55</v>
      </c>
      <c r="N5524">
        <v>0.23150000000000001</v>
      </c>
    </row>
    <row r="5525" spans="1:14">
      <c r="A5525" t="s">
        <v>290</v>
      </c>
      <c r="B5525" t="str">
        <f>_xlfn.XLOOKUP(A5525,'[1]Tissue Data'!$A:$A,'[1]Tissue Data'!$C:$C)</f>
        <v>Spill</v>
      </c>
      <c r="C5525" s="2">
        <f>_xlfn.XLOOKUP(A5525,'[1]Tissue Data'!$A:$A,'[1]Tissue Data'!$D:$D)</f>
        <v>44393</v>
      </c>
      <c r="D5525" s="2" t="str">
        <f>_xlfn.XLOOKUP(A5525,'[1]Tissue Data'!$A:$A,'[1]Tissue Data'!$F:$F)</f>
        <v>Pumpkinseed</v>
      </c>
      <c r="E5525" t="str">
        <f>_xlfn.XLOOKUP(A5525,'[1]Tissue Data'!$A:$A,'[1]Tissue Data'!$H:$H)</f>
        <v>Lepomis</v>
      </c>
      <c r="F5525" t="str">
        <f>_xlfn.XLOOKUP(A5525,'[1]Tissue Data'!$A:$A,'[1]Tissue Data'!$I:$I)</f>
        <v>gibbosus</v>
      </c>
      <c r="G5525" t="str">
        <f>_xlfn.XLOOKUP(A5525,'[1]Tissue Data'!$A:$A,'[1]Tissue Data'!J:J)</f>
        <v>U</v>
      </c>
      <c r="H5525" t="str">
        <f>_xlfn.XLOOKUP(A5525,'[1]Tissue Data'!$A:$A,'[1]Tissue Data'!K:K)</f>
        <v>Whole Body</v>
      </c>
      <c r="I5525">
        <f>_xlfn.XLOOKUP(A5525,'[1]Tissue Data'!$A:$A,'[1]Tissue Data'!L:L)</f>
        <v>6.5</v>
      </c>
      <c r="J5525">
        <f>_xlfn.XLOOKUP(A5525,'[1]Tissue Data'!$A:$A,'[1]Tissue Data'!M:M)</f>
        <v>6.3</v>
      </c>
      <c r="K5525" t="s">
        <v>35</v>
      </c>
      <c r="L5525" t="str">
        <f>_xlfn.XLOOKUP(K5525,[2]analyte_order!$B:$B,[2]analyte_order!$C:$C)</f>
        <v>30334-69-1</v>
      </c>
      <c r="M5525">
        <f>_xlfn.XLOOKUP(L5525,[2]analyte_order!$C:$C,[2]analyte_order!$E:$E)</f>
        <v>51</v>
      </c>
      <c r="N5525">
        <v>19.399999999999999</v>
      </c>
    </row>
    <row r="5526" spans="1:14">
      <c r="A5526" t="s">
        <v>290</v>
      </c>
      <c r="B5526" t="str">
        <f>_xlfn.XLOOKUP(A5526,'[1]Tissue Data'!$A:$A,'[1]Tissue Data'!$C:$C)</f>
        <v>Spill</v>
      </c>
      <c r="C5526" s="2">
        <f>_xlfn.XLOOKUP(A5526,'[1]Tissue Data'!$A:$A,'[1]Tissue Data'!$D:$D)</f>
        <v>44393</v>
      </c>
      <c r="D5526" s="2" t="str">
        <f>_xlfn.XLOOKUP(A5526,'[1]Tissue Data'!$A:$A,'[1]Tissue Data'!$F:$F)</f>
        <v>Pumpkinseed</v>
      </c>
      <c r="E5526" t="str">
        <f>_xlfn.XLOOKUP(A5526,'[1]Tissue Data'!$A:$A,'[1]Tissue Data'!$H:$H)</f>
        <v>Lepomis</v>
      </c>
      <c r="F5526" t="str">
        <f>_xlfn.XLOOKUP(A5526,'[1]Tissue Data'!$A:$A,'[1]Tissue Data'!$I:$I)</f>
        <v>gibbosus</v>
      </c>
      <c r="G5526" t="str">
        <f>_xlfn.XLOOKUP(A5526,'[1]Tissue Data'!$A:$A,'[1]Tissue Data'!J:J)</f>
        <v>U</v>
      </c>
      <c r="H5526" t="str">
        <f>_xlfn.XLOOKUP(A5526,'[1]Tissue Data'!$A:$A,'[1]Tissue Data'!K:K)</f>
        <v>Whole Body</v>
      </c>
      <c r="I5526">
        <f>_xlfn.XLOOKUP(A5526,'[1]Tissue Data'!$A:$A,'[1]Tissue Data'!L:L)</f>
        <v>6.5</v>
      </c>
      <c r="J5526">
        <f>_xlfn.XLOOKUP(A5526,'[1]Tissue Data'!$A:$A,'[1]Tissue Data'!M:M)</f>
        <v>6.3</v>
      </c>
      <c r="K5526" t="s">
        <v>36</v>
      </c>
      <c r="L5526" t="str">
        <f>_xlfn.XLOOKUP(K5526,[2]analyte_order!$B:$B,[2]analyte_order!$C:$C)</f>
        <v>41997-13-1</v>
      </c>
      <c r="M5526">
        <f>_xlfn.XLOOKUP(L5526,[2]analyte_order!$C:$C,[2]analyte_order!$E:$E)</f>
        <v>52</v>
      </c>
      <c r="N5526">
        <v>45.2</v>
      </c>
    </row>
    <row r="5527" spans="1:14">
      <c r="A5527" t="s">
        <v>290</v>
      </c>
      <c r="B5527" t="str">
        <f>_xlfn.XLOOKUP(A5527,'[1]Tissue Data'!$A:$A,'[1]Tissue Data'!$C:$C)</f>
        <v>Spill</v>
      </c>
      <c r="C5527" s="2">
        <f>_xlfn.XLOOKUP(A5527,'[1]Tissue Data'!$A:$A,'[1]Tissue Data'!$D:$D)</f>
        <v>44393</v>
      </c>
      <c r="D5527" s="2" t="str">
        <f>_xlfn.XLOOKUP(A5527,'[1]Tissue Data'!$A:$A,'[1]Tissue Data'!$F:$F)</f>
        <v>Pumpkinseed</v>
      </c>
      <c r="E5527" t="str">
        <f>_xlfn.XLOOKUP(A5527,'[1]Tissue Data'!$A:$A,'[1]Tissue Data'!$H:$H)</f>
        <v>Lepomis</v>
      </c>
      <c r="F5527" t="str">
        <f>_xlfn.XLOOKUP(A5527,'[1]Tissue Data'!$A:$A,'[1]Tissue Data'!$I:$I)</f>
        <v>gibbosus</v>
      </c>
      <c r="G5527" t="str">
        <f>_xlfn.XLOOKUP(A5527,'[1]Tissue Data'!$A:$A,'[1]Tissue Data'!J:J)</f>
        <v>U</v>
      </c>
      <c r="H5527" t="str">
        <f>_xlfn.XLOOKUP(A5527,'[1]Tissue Data'!$A:$A,'[1]Tissue Data'!K:K)</f>
        <v>Whole Body</v>
      </c>
      <c r="I5527">
        <f>_xlfn.XLOOKUP(A5527,'[1]Tissue Data'!$A:$A,'[1]Tissue Data'!L:L)</f>
        <v>6.5</v>
      </c>
      <c r="J5527">
        <f>_xlfn.XLOOKUP(A5527,'[1]Tissue Data'!$A:$A,'[1]Tissue Data'!M:M)</f>
        <v>6.3</v>
      </c>
      <c r="K5527" t="s">
        <v>37</v>
      </c>
      <c r="L5527" t="str">
        <f>_xlfn.XLOOKUP(K5527,[2]analyte_order!$B:$B,[2]analyte_order!$C:$C)</f>
        <v>754-91-6</v>
      </c>
      <c r="M5527">
        <f>_xlfn.XLOOKUP(L5527,[2]analyte_order!$C:$C,[2]analyte_order!$E:$E)</f>
        <v>28</v>
      </c>
      <c r="N5527">
        <v>10.4</v>
      </c>
    </row>
    <row r="5528" spans="1:14">
      <c r="A5528" t="s">
        <v>290</v>
      </c>
      <c r="B5528" t="str">
        <f>_xlfn.XLOOKUP(A5528,'[1]Tissue Data'!$A:$A,'[1]Tissue Data'!$C:$C)</f>
        <v>Spill</v>
      </c>
      <c r="C5528" s="2">
        <f>_xlfn.XLOOKUP(A5528,'[1]Tissue Data'!$A:$A,'[1]Tissue Data'!$D:$D)</f>
        <v>44393</v>
      </c>
      <c r="D5528" s="2" t="str">
        <f>_xlfn.XLOOKUP(A5528,'[1]Tissue Data'!$A:$A,'[1]Tissue Data'!$F:$F)</f>
        <v>Pumpkinseed</v>
      </c>
      <c r="E5528" t="str">
        <f>_xlfn.XLOOKUP(A5528,'[1]Tissue Data'!$A:$A,'[1]Tissue Data'!$H:$H)</f>
        <v>Lepomis</v>
      </c>
      <c r="F5528" t="str">
        <f>_xlfn.XLOOKUP(A5528,'[1]Tissue Data'!$A:$A,'[1]Tissue Data'!$I:$I)</f>
        <v>gibbosus</v>
      </c>
      <c r="G5528" t="str">
        <f>_xlfn.XLOOKUP(A5528,'[1]Tissue Data'!$A:$A,'[1]Tissue Data'!J:J)</f>
        <v>U</v>
      </c>
      <c r="H5528" t="str">
        <f>_xlfn.XLOOKUP(A5528,'[1]Tissue Data'!$A:$A,'[1]Tissue Data'!K:K)</f>
        <v>Whole Body</v>
      </c>
      <c r="I5528">
        <f>_xlfn.XLOOKUP(A5528,'[1]Tissue Data'!$A:$A,'[1]Tissue Data'!L:L)</f>
        <v>6.5</v>
      </c>
      <c r="J5528">
        <f>_xlfn.XLOOKUP(A5528,'[1]Tissue Data'!$A:$A,'[1]Tissue Data'!M:M)</f>
        <v>6.3</v>
      </c>
      <c r="K5528" t="s">
        <v>38</v>
      </c>
      <c r="L5528" t="str">
        <f>_xlfn.XLOOKUP(K5528,[2]analyte_order!$B:$B,[2]analyte_order!$C:$C)</f>
        <v>31506-32-8</v>
      </c>
      <c r="M5528">
        <f>_xlfn.XLOOKUP(L5528,[2]analyte_order!$C:$C,[2]analyte_order!$E:$E)</f>
        <v>30</v>
      </c>
      <c r="N5528">
        <v>7.0000000000000007E-2</v>
      </c>
    </row>
    <row r="5529" spans="1:14">
      <c r="A5529" t="s">
        <v>290</v>
      </c>
      <c r="B5529" t="str">
        <f>_xlfn.XLOOKUP(A5529,'[1]Tissue Data'!$A:$A,'[1]Tissue Data'!$C:$C)</f>
        <v>Spill</v>
      </c>
      <c r="C5529" s="2">
        <f>_xlfn.XLOOKUP(A5529,'[1]Tissue Data'!$A:$A,'[1]Tissue Data'!$D:$D)</f>
        <v>44393</v>
      </c>
      <c r="D5529" s="2" t="str">
        <f>_xlfn.XLOOKUP(A5529,'[1]Tissue Data'!$A:$A,'[1]Tissue Data'!$F:$F)</f>
        <v>Pumpkinseed</v>
      </c>
      <c r="E5529" t="str">
        <f>_xlfn.XLOOKUP(A5529,'[1]Tissue Data'!$A:$A,'[1]Tissue Data'!$H:$H)</f>
        <v>Lepomis</v>
      </c>
      <c r="F5529" t="str">
        <f>_xlfn.XLOOKUP(A5529,'[1]Tissue Data'!$A:$A,'[1]Tissue Data'!$I:$I)</f>
        <v>gibbosus</v>
      </c>
      <c r="G5529" t="str">
        <f>_xlfn.XLOOKUP(A5529,'[1]Tissue Data'!$A:$A,'[1]Tissue Data'!J:J)</f>
        <v>U</v>
      </c>
      <c r="H5529" t="str">
        <f>_xlfn.XLOOKUP(A5529,'[1]Tissue Data'!$A:$A,'[1]Tissue Data'!K:K)</f>
        <v>Whole Body</v>
      </c>
      <c r="I5529">
        <f>_xlfn.XLOOKUP(A5529,'[1]Tissue Data'!$A:$A,'[1]Tissue Data'!L:L)</f>
        <v>6.5</v>
      </c>
      <c r="J5529">
        <f>_xlfn.XLOOKUP(A5529,'[1]Tissue Data'!$A:$A,'[1]Tissue Data'!M:M)</f>
        <v>6.3</v>
      </c>
      <c r="K5529" t="s">
        <v>39</v>
      </c>
      <c r="L5529" t="str">
        <f>_xlfn.XLOOKUP(K5529,[2]analyte_order!$B:$B,[2]analyte_order!$C:$C)</f>
        <v>4151-50-2</v>
      </c>
      <c r="M5529">
        <f>_xlfn.XLOOKUP(L5529,[2]analyte_order!$C:$C,[2]analyte_order!$E:$E)</f>
        <v>31</v>
      </c>
      <c r="N5529">
        <v>8.2000000000000003E-2</v>
      </c>
    </row>
    <row r="5530" spans="1:14">
      <c r="A5530" t="s">
        <v>290</v>
      </c>
      <c r="B5530" t="str">
        <f>_xlfn.XLOOKUP(A5530,'[1]Tissue Data'!$A:$A,'[1]Tissue Data'!$C:$C)</f>
        <v>Spill</v>
      </c>
      <c r="C5530" s="2">
        <f>_xlfn.XLOOKUP(A5530,'[1]Tissue Data'!$A:$A,'[1]Tissue Data'!$D:$D)</f>
        <v>44393</v>
      </c>
      <c r="D5530" s="2" t="str">
        <f>_xlfn.XLOOKUP(A5530,'[1]Tissue Data'!$A:$A,'[1]Tissue Data'!$F:$F)</f>
        <v>Pumpkinseed</v>
      </c>
      <c r="E5530" t="str">
        <f>_xlfn.XLOOKUP(A5530,'[1]Tissue Data'!$A:$A,'[1]Tissue Data'!$H:$H)</f>
        <v>Lepomis</v>
      </c>
      <c r="F5530" t="str">
        <f>_xlfn.XLOOKUP(A5530,'[1]Tissue Data'!$A:$A,'[1]Tissue Data'!$I:$I)</f>
        <v>gibbosus</v>
      </c>
      <c r="G5530" t="str">
        <f>_xlfn.XLOOKUP(A5530,'[1]Tissue Data'!$A:$A,'[1]Tissue Data'!J:J)</f>
        <v>U</v>
      </c>
      <c r="H5530" t="str">
        <f>_xlfn.XLOOKUP(A5530,'[1]Tissue Data'!$A:$A,'[1]Tissue Data'!K:K)</f>
        <v>Whole Body</v>
      </c>
      <c r="I5530">
        <f>_xlfn.XLOOKUP(A5530,'[1]Tissue Data'!$A:$A,'[1]Tissue Data'!L:L)</f>
        <v>6.5</v>
      </c>
      <c r="J5530">
        <f>_xlfn.XLOOKUP(A5530,'[1]Tissue Data'!$A:$A,'[1]Tissue Data'!M:M)</f>
        <v>6.3</v>
      </c>
      <c r="K5530" t="s">
        <v>40</v>
      </c>
      <c r="L5530" t="str">
        <f>_xlfn.XLOOKUP(K5530,[2]analyte_order!$B:$B,[2]analyte_order!$C:$C)</f>
        <v>2806-24-8</v>
      </c>
      <c r="M5530">
        <f>_xlfn.XLOOKUP(L5530,[2]analyte_order!$C:$C,[2]analyte_order!$E:$E)</f>
        <v>29</v>
      </c>
      <c r="N5530">
        <v>5.5500000000000001E-2</v>
      </c>
    </row>
    <row r="5531" spans="1:14">
      <c r="A5531" t="s">
        <v>290</v>
      </c>
      <c r="B5531" t="str">
        <f>_xlfn.XLOOKUP(A5531,'[1]Tissue Data'!$A:$A,'[1]Tissue Data'!$C:$C)</f>
        <v>Spill</v>
      </c>
      <c r="C5531" s="2">
        <f>_xlfn.XLOOKUP(A5531,'[1]Tissue Data'!$A:$A,'[1]Tissue Data'!$D:$D)</f>
        <v>44393</v>
      </c>
      <c r="D5531" s="2" t="str">
        <f>_xlfn.XLOOKUP(A5531,'[1]Tissue Data'!$A:$A,'[1]Tissue Data'!$F:$F)</f>
        <v>Pumpkinseed</v>
      </c>
      <c r="E5531" t="str">
        <f>_xlfn.XLOOKUP(A5531,'[1]Tissue Data'!$A:$A,'[1]Tissue Data'!$H:$H)</f>
        <v>Lepomis</v>
      </c>
      <c r="F5531" t="str">
        <f>_xlfn.XLOOKUP(A5531,'[1]Tissue Data'!$A:$A,'[1]Tissue Data'!$I:$I)</f>
        <v>gibbosus</v>
      </c>
      <c r="G5531" t="str">
        <f>_xlfn.XLOOKUP(A5531,'[1]Tissue Data'!$A:$A,'[1]Tissue Data'!J:J)</f>
        <v>U</v>
      </c>
      <c r="H5531" t="str">
        <f>_xlfn.XLOOKUP(A5531,'[1]Tissue Data'!$A:$A,'[1]Tissue Data'!K:K)</f>
        <v>Whole Body</v>
      </c>
      <c r="I5531">
        <f>_xlfn.XLOOKUP(A5531,'[1]Tissue Data'!$A:$A,'[1]Tissue Data'!L:L)</f>
        <v>6.5</v>
      </c>
      <c r="J5531">
        <f>_xlfn.XLOOKUP(A5531,'[1]Tissue Data'!$A:$A,'[1]Tissue Data'!M:M)</f>
        <v>6.3</v>
      </c>
      <c r="K5531" t="s">
        <v>41</v>
      </c>
      <c r="L5531" t="str">
        <f>_xlfn.XLOOKUP(K5531,[2]analyte_order!$B:$B,[2]analyte_order!$C:$C)</f>
        <v>2355-31-9</v>
      </c>
      <c r="M5531">
        <f>_xlfn.XLOOKUP(L5531,[2]analyte_order!$C:$C,[2]analyte_order!$E:$E)</f>
        <v>26</v>
      </c>
      <c r="N5531">
        <v>7.0499999999999993E-2</v>
      </c>
    </row>
    <row r="5532" spans="1:14">
      <c r="A5532" t="s">
        <v>290</v>
      </c>
      <c r="B5532" t="str">
        <f>_xlfn.XLOOKUP(A5532,'[1]Tissue Data'!$A:$A,'[1]Tissue Data'!$C:$C)</f>
        <v>Spill</v>
      </c>
      <c r="C5532" s="2">
        <f>_xlfn.XLOOKUP(A5532,'[1]Tissue Data'!$A:$A,'[1]Tissue Data'!$D:$D)</f>
        <v>44393</v>
      </c>
      <c r="D5532" s="2" t="str">
        <f>_xlfn.XLOOKUP(A5532,'[1]Tissue Data'!$A:$A,'[1]Tissue Data'!$F:$F)</f>
        <v>Pumpkinseed</v>
      </c>
      <c r="E5532" t="str">
        <f>_xlfn.XLOOKUP(A5532,'[1]Tissue Data'!$A:$A,'[1]Tissue Data'!$H:$H)</f>
        <v>Lepomis</v>
      </c>
      <c r="F5532" t="str">
        <f>_xlfn.XLOOKUP(A5532,'[1]Tissue Data'!$A:$A,'[1]Tissue Data'!$I:$I)</f>
        <v>gibbosus</v>
      </c>
      <c r="G5532" t="str">
        <f>_xlfn.XLOOKUP(A5532,'[1]Tissue Data'!$A:$A,'[1]Tissue Data'!J:J)</f>
        <v>U</v>
      </c>
      <c r="H5532" t="str">
        <f>_xlfn.XLOOKUP(A5532,'[1]Tissue Data'!$A:$A,'[1]Tissue Data'!K:K)</f>
        <v>Whole Body</v>
      </c>
      <c r="I5532">
        <f>_xlfn.XLOOKUP(A5532,'[1]Tissue Data'!$A:$A,'[1]Tissue Data'!L:L)</f>
        <v>6.5</v>
      </c>
      <c r="J5532">
        <f>_xlfn.XLOOKUP(A5532,'[1]Tissue Data'!$A:$A,'[1]Tissue Data'!M:M)</f>
        <v>6.3</v>
      </c>
      <c r="K5532" t="s">
        <v>42</v>
      </c>
      <c r="L5532" t="str">
        <f>_xlfn.XLOOKUP(K5532,[2]analyte_order!$B:$B,[2]analyte_order!$C:$C)</f>
        <v>2991-50-6</v>
      </c>
      <c r="M5532">
        <f>_xlfn.XLOOKUP(L5532,[2]analyte_order!$C:$C,[2]analyte_order!$E:$E)</f>
        <v>27</v>
      </c>
      <c r="N5532">
        <v>6.0999999999999999E-2</v>
      </c>
    </row>
    <row r="5533" spans="1:14">
      <c r="A5533" t="s">
        <v>290</v>
      </c>
      <c r="B5533" t="str">
        <f>_xlfn.XLOOKUP(A5533,'[1]Tissue Data'!$A:$A,'[1]Tissue Data'!$C:$C)</f>
        <v>Spill</v>
      </c>
      <c r="C5533" s="2">
        <f>_xlfn.XLOOKUP(A5533,'[1]Tissue Data'!$A:$A,'[1]Tissue Data'!$D:$D)</f>
        <v>44393</v>
      </c>
      <c r="D5533" s="2" t="str">
        <f>_xlfn.XLOOKUP(A5533,'[1]Tissue Data'!$A:$A,'[1]Tissue Data'!$F:$F)</f>
        <v>Pumpkinseed</v>
      </c>
      <c r="E5533" t="str">
        <f>_xlfn.XLOOKUP(A5533,'[1]Tissue Data'!$A:$A,'[1]Tissue Data'!$H:$H)</f>
        <v>Lepomis</v>
      </c>
      <c r="F5533" t="str">
        <f>_xlfn.XLOOKUP(A5533,'[1]Tissue Data'!$A:$A,'[1]Tissue Data'!$I:$I)</f>
        <v>gibbosus</v>
      </c>
      <c r="G5533" t="str">
        <f>_xlfn.XLOOKUP(A5533,'[1]Tissue Data'!$A:$A,'[1]Tissue Data'!J:J)</f>
        <v>U</v>
      </c>
      <c r="H5533" t="str">
        <f>_xlfn.XLOOKUP(A5533,'[1]Tissue Data'!$A:$A,'[1]Tissue Data'!K:K)</f>
        <v>Whole Body</v>
      </c>
      <c r="I5533">
        <f>_xlfn.XLOOKUP(A5533,'[1]Tissue Data'!$A:$A,'[1]Tissue Data'!L:L)</f>
        <v>6.5</v>
      </c>
      <c r="J5533">
        <f>_xlfn.XLOOKUP(A5533,'[1]Tissue Data'!$A:$A,'[1]Tissue Data'!M:M)</f>
        <v>6.3</v>
      </c>
      <c r="K5533" t="s">
        <v>43</v>
      </c>
      <c r="L5533" t="str">
        <f>_xlfn.XLOOKUP(K5533,[2]analyte_order!$B:$B,[2]analyte_order!$C:$C)</f>
        <v>757124-72-4</v>
      </c>
      <c r="M5533">
        <f>_xlfn.XLOOKUP(L5533,[2]analyte_order!$C:$C,[2]analyte_order!$E:$E)</f>
        <v>22</v>
      </c>
      <c r="N5533">
        <v>7.0000000000000007E-2</v>
      </c>
    </row>
    <row r="5534" spans="1:14">
      <c r="A5534" t="s">
        <v>290</v>
      </c>
      <c r="B5534" t="str">
        <f>_xlfn.XLOOKUP(A5534,'[1]Tissue Data'!$A:$A,'[1]Tissue Data'!$C:$C)</f>
        <v>Spill</v>
      </c>
      <c r="C5534" s="2">
        <f>_xlfn.XLOOKUP(A5534,'[1]Tissue Data'!$A:$A,'[1]Tissue Data'!$D:$D)</f>
        <v>44393</v>
      </c>
      <c r="D5534" s="2" t="str">
        <f>_xlfn.XLOOKUP(A5534,'[1]Tissue Data'!$A:$A,'[1]Tissue Data'!$F:$F)</f>
        <v>Pumpkinseed</v>
      </c>
      <c r="E5534" t="str">
        <f>_xlfn.XLOOKUP(A5534,'[1]Tissue Data'!$A:$A,'[1]Tissue Data'!$H:$H)</f>
        <v>Lepomis</v>
      </c>
      <c r="F5534" t="str">
        <f>_xlfn.XLOOKUP(A5534,'[1]Tissue Data'!$A:$A,'[1]Tissue Data'!$I:$I)</f>
        <v>gibbosus</v>
      </c>
      <c r="G5534" t="str">
        <f>_xlfn.XLOOKUP(A5534,'[1]Tissue Data'!$A:$A,'[1]Tissue Data'!J:J)</f>
        <v>U</v>
      </c>
      <c r="H5534" t="str">
        <f>_xlfn.XLOOKUP(A5534,'[1]Tissue Data'!$A:$A,'[1]Tissue Data'!K:K)</f>
        <v>Whole Body</v>
      </c>
      <c r="I5534">
        <f>_xlfn.XLOOKUP(A5534,'[1]Tissue Data'!$A:$A,'[1]Tissue Data'!L:L)</f>
        <v>6.5</v>
      </c>
      <c r="J5534">
        <f>_xlfn.XLOOKUP(A5534,'[1]Tissue Data'!$A:$A,'[1]Tissue Data'!M:M)</f>
        <v>6.3</v>
      </c>
      <c r="K5534" t="s">
        <v>44</v>
      </c>
      <c r="L5534" t="str">
        <f>_xlfn.XLOOKUP(K5534,[2]analyte_order!$B:$B,[2]analyte_order!$C:$C)</f>
        <v>27619-97-2</v>
      </c>
      <c r="M5534">
        <f>_xlfn.XLOOKUP(L5534,[2]analyte_order!$C:$C,[2]analyte_order!$E:$E)</f>
        <v>23</v>
      </c>
      <c r="N5534">
        <v>0.314</v>
      </c>
    </row>
    <row r="5535" spans="1:14">
      <c r="A5535" t="s">
        <v>290</v>
      </c>
      <c r="B5535" t="str">
        <f>_xlfn.XLOOKUP(A5535,'[1]Tissue Data'!$A:$A,'[1]Tissue Data'!$C:$C)</f>
        <v>Spill</v>
      </c>
      <c r="C5535" s="2">
        <f>_xlfn.XLOOKUP(A5535,'[1]Tissue Data'!$A:$A,'[1]Tissue Data'!$D:$D)</f>
        <v>44393</v>
      </c>
      <c r="D5535" s="2" t="str">
        <f>_xlfn.XLOOKUP(A5535,'[1]Tissue Data'!$A:$A,'[1]Tissue Data'!$F:$F)</f>
        <v>Pumpkinseed</v>
      </c>
      <c r="E5535" t="str">
        <f>_xlfn.XLOOKUP(A5535,'[1]Tissue Data'!$A:$A,'[1]Tissue Data'!$H:$H)</f>
        <v>Lepomis</v>
      </c>
      <c r="F5535" t="str">
        <f>_xlfn.XLOOKUP(A5535,'[1]Tissue Data'!$A:$A,'[1]Tissue Data'!$I:$I)</f>
        <v>gibbosus</v>
      </c>
      <c r="G5535" t="str">
        <f>_xlfn.XLOOKUP(A5535,'[1]Tissue Data'!$A:$A,'[1]Tissue Data'!J:J)</f>
        <v>U</v>
      </c>
      <c r="H5535" t="str">
        <f>_xlfn.XLOOKUP(A5535,'[1]Tissue Data'!$A:$A,'[1]Tissue Data'!K:K)</f>
        <v>Whole Body</v>
      </c>
      <c r="I5535">
        <f>_xlfn.XLOOKUP(A5535,'[1]Tissue Data'!$A:$A,'[1]Tissue Data'!L:L)</f>
        <v>6.5</v>
      </c>
      <c r="J5535">
        <f>_xlfn.XLOOKUP(A5535,'[1]Tissue Data'!$A:$A,'[1]Tissue Data'!M:M)</f>
        <v>6.3</v>
      </c>
      <c r="K5535" t="s">
        <v>45</v>
      </c>
      <c r="L5535" t="str">
        <f>_xlfn.XLOOKUP(K5535,[2]analyte_order!$B:$B,[2]analyte_order!$C:$C)</f>
        <v>39108-34-4</v>
      </c>
      <c r="M5535">
        <f>_xlfn.XLOOKUP(L5535,[2]analyte_order!$C:$C,[2]analyte_order!$E:$E)</f>
        <v>24</v>
      </c>
      <c r="N5535">
        <v>4.51</v>
      </c>
    </row>
    <row r="5536" spans="1:14">
      <c r="A5536" t="s">
        <v>290</v>
      </c>
      <c r="B5536" t="str">
        <f>_xlfn.XLOOKUP(A5536,'[1]Tissue Data'!$A:$A,'[1]Tissue Data'!$C:$C)</f>
        <v>Spill</v>
      </c>
      <c r="C5536" s="2">
        <f>_xlfn.XLOOKUP(A5536,'[1]Tissue Data'!$A:$A,'[1]Tissue Data'!$D:$D)</f>
        <v>44393</v>
      </c>
      <c r="D5536" s="2" t="str">
        <f>_xlfn.XLOOKUP(A5536,'[1]Tissue Data'!$A:$A,'[1]Tissue Data'!$F:$F)</f>
        <v>Pumpkinseed</v>
      </c>
      <c r="E5536" t="str">
        <f>_xlfn.XLOOKUP(A5536,'[1]Tissue Data'!$A:$A,'[1]Tissue Data'!$H:$H)</f>
        <v>Lepomis</v>
      </c>
      <c r="F5536" t="str">
        <f>_xlfn.XLOOKUP(A5536,'[1]Tissue Data'!$A:$A,'[1]Tissue Data'!$I:$I)</f>
        <v>gibbosus</v>
      </c>
      <c r="G5536" t="str">
        <f>_xlfn.XLOOKUP(A5536,'[1]Tissue Data'!$A:$A,'[1]Tissue Data'!J:J)</f>
        <v>U</v>
      </c>
      <c r="H5536" t="str">
        <f>_xlfn.XLOOKUP(A5536,'[1]Tissue Data'!$A:$A,'[1]Tissue Data'!K:K)</f>
        <v>Whole Body</v>
      </c>
      <c r="I5536">
        <f>_xlfn.XLOOKUP(A5536,'[1]Tissue Data'!$A:$A,'[1]Tissue Data'!L:L)</f>
        <v>6.5</v>
      </c>
      <c r="J5536">
        <f>_xlfn.XLOOKUP(A5536,'[1]Tissue Data'!$A:$A,'[1]Tissue Data'!M:M)</f>
        <v>6.3</v>
      </c>
      <c r="K5536" t="s">
        <v>46</v>
      </c>
      <c r="L5536" t="str">
        <f>_xlfn.XLOOKUP(K5536,[2]analyte_order!$B:$B,[2]analyte_order!$C:$C)</f>
        <v>120226-60-0</v>
      </c>
      <c r="M5536">
        <f>_xlfn.XLOOKUP(L5536,[2]analyte_order!$C:$C,[2]analyte_order!$E:$E)</f>
        <v>25</v>
      </c>
      <c r="N5536">
        <v>0.81399999999999995</v>
      </c>
    </row>
    <row r="5537" spans="1:14">
      <c r="A5537" t="s">
        <v>290</v>
      </c>
      <c r="B5537" t="str">
        <f>_xlfn.XLOOKUP(A5537,'[1]Tissue Data'!$A:$A,'[1]Tissue Data'!$C:$C)</f>
        <v>Spill</v>
      </c>
      <c r="C5537" s="2">
        <f>_xlfn.XLOOKUP(A5537,'[1]Tissue Data'!$A:$A,'[1]Tissue Data'!$D:$D)</f>
        <v>44393</v>
      </c>
      <c r="D5537" s="2" t="str">
        <f>_xlfn.XLOOKUP(A5537,'[1]Tissue Data'!$A:$A,'[1]Tissue Data'!$F:$F)</f>
        <v>Pumpkinseed</v>
      </c>
      <c r="E5537" t="str">
        <f>_xlfn.XLOOKUP(A5537,'[1]Tissue Data'!$A:$A,'[1]Tissue Data'!$H:$H)</f>
        <v>Lepomis</v>
      </c>
      <c r="F5537" t="str">
        <f>_xlfn.XLOOKUP(A5537,'[1]Tissue Data'!$A:$A,'[1]Tissue Data'!$I:$I)</f>
        <v>gibbosus</v>
      </c>
      <c r="G5537" t="str">
        <f>_xlfn.XLOOKUP(A5537,'[1]Tissue Data'!$A:$A,'[1]Tissue Data'!J:J)</f>
        <v>U</v>
      </c>
      <c r="H5537" t="str">
        <f>_xlfn.XLOOKUP(A5537,'[1]Tissue Data'!$A:$A,'[1]Tissue Data'!K:K)</f>
        <v>Whole Body</v>
      </c>
      <c r="I5537">
        <f>_xlfn.XLOOKUP(A5537,'[1]Tissue Data'!$A:$A,'[1]Tissue Data'!L:L)</f>
        <v>6.5</v>
      </c>
      <c r="J5537">
        <f>_xlfn.XLOOKUP(A5537,'[1]Tissue Data'!$A:$A,'[1]Tissue Data'!M:M)</f>
        <v>6.3</v>
      </c>
      <c r="K5537" t="s">
        <v>47</v>
      </c>
      <c r="L5537" t="str">
        <f>_xlfn.XLOOKUP(K5537,[2]analyte_order!$B:$B,[2]analyte_order!$C:$C)</f>
        <v>356-02-5</v>
      </c>
      <c r="M5537">
        <f>_xlfn.XLOOKUP(L5537,[2]analyte_order!$C:$C,[2]analyte_order!$E:$E)</f>
        <v>38</v>
      </c>
      <c r="N5537">
        <v>8.1000000000000003E-2</v>
      </c>
    </row>
    <row r="5538" spans="1:14">
      <c r="A5538" t="s">
        <v>290</v>
      </c>
      <c r="B5538" t="str">
        <f>_xlfn.XLOOKUP(A5538,'[1]Tissue Data'!$A:$A,'[1]Tissue Data'!$C:$C)</f>
        <v>Spill</v>
      </c>
      <c r="C5538" s="2">
        <f>_xlfn.XLOOKUP(A5538,'[1]Tissue Data'!$A:$A,'[1]Tissue Data'!$D:$D)</f>
        <v>44393</v>
      </c>
      <c r="D5538" s="2" t="str">
        <f>_xlfn.XLOOKUP(A5538,'[1]Tissue Data'!$A:$A,'[1]Tissue Data'!$F:$F)</f>
        <v>Pumpkinseed</v>
      </c>
      <c r="E5538" t="str">
        <f>_xlfn.XLOOKUP(A5538,'[1]Tissue Data'!$A:$A,'[1]Tissue Data'!$H:$H)</f>
        <v>Lepomis</v>
      </c>
      <c r="F5538" t="str">
        <f>_xlfn.XLOOKUP(A5538,'[1]Tissue Data'!$A:$A,'[1]Tissue Data'!$I:$I)</f>
        <v>gibbosus</v>
      </c>
      <c r="G5538" t="str">
        <f>_xlfn.XLOOKUP(A5538,'[1]Tissue Data'!$A:$A,'[1]Tissue Data'!J:J)</f>
        <v>U</v>
      </c>
      <c r="H5538" t="str">
        <f>_xlfn.XLOOKUP(A5538,'[1]Tissue Data'!$A:$A,'[1]Tissue Data'!K:K)</f>
        <v>Whole Body</v>
      </c>
      <c r="I5538">
        <f>_xlfn.XLOOKUP(A5538,'[1]Tissue Data'!$A:$A,'[1]Tissue Data'!L:L)</f>
        <v>6.5</v>
      </c>
      <c r="J5538">
        <f>_xlfn.XLOOKUP(A5538,'[1]Tissue Data'!$A:$A,'[1]Tissue Data'!M:M)</f>
        <v>6.3</v>
      </c>
      <c r="K5538" t="s">
        <v>48</v>
      </c>
      <c r="L5538" t="str">
        <f>_xlfn.XLOOKUP(K5538,[2]analyte_order!$B:$B,[2]analyte_order!$C:$C)</f>
        <v>914637-49-3</v>
      </c>
      <c r="M5538">
        <f>_xlfn.XLOOKUP(L5538,[2]analyte_order!$C:$C,[2]analyte_order!$E:$E)</f>
        <v>39</v>
      </c>
      <c r="N5538">
        <v>1.01</v>
      </c>
    </row>
    <row r="5539" spans="1:14">
      <c r="A5539" t="s">
        <v>290</v>
      </c>
      <c r="B5539" t="str">
        <f>_xlfn.XLOOKUP(A5539,'[1]Tissue Data'!$A:$A,'[1]Tissue Data'!$C:$C)</f>
        <v>Spill</v>
      </c>
      <c r="C5539" s="2">
        <f>_xlfn.XLOOKUP(A5539,'[1]Tissue Data'!$A:$A,'[1]Tissue Data'!$D:$D)</f>
        <v>44393</v>
      </c>
      <c r="D5539" s="2" t="str">
        <f>_xlfn.XLOOKUP(A5539,'[1]Tissue Data'!$A:$A,'[1]Tissue Data'!$F:$F)</f>
        <v>Pumpkinseed</v>
      </c>
      <c r="E5539" t="str">
        <f>_xlfn.XLOOKUP(A5539,'[1]Tissue Data'!$A:$A,'[1]Tissue Data'!$H:$H)</f>
        <v>Lepomis</v>
      </c>
      <c r="F5539" t="str">
        <f>_xlfn.XLOOKUP(A5539,'[1]Tissue Data'!$A:$A,'[1]Tissue Data'!$I:$I)</f>
        <v>gibbosus</v>
      </c>
      <c r="G5539" t="str">
        <f>_xlfn.XLOOKUP(A5539,'[1]Tissue Data'!$A:$A,'[1]Tissue Data'!J:J)</f>
        <v>U</v>
      </c>
      <c r="H5539" t="str">
        <f>_xlfn.XLOOKUP(A5539,'[1]Tissue Data'!$A:$A,'[1]Tissue Data'!K:K)</f>
        <v>Whole Body</v>
      </c>
      <c r="I5539">
        <f>_xlfn.XLOOKUP(A5539,'[1]Tissue Data'!$A:$A,'[1]Tissue Data'!L:L)</f>
        <v>6.5</v>
      </c>
      <c r="J5539">
        <f>_xlfn.XLOOKUP(A5539,'[1]Tissue Data'!$A:$A,'[1]Tissue Data'!M:M)</f>
        <v>6.3</v>
      </c>
      <c r="K5539" t="s">
        <v>49</v>
      </c>
      <c r="L5539" t="str">
        <f>_xlfn.XLOOKUP(K5539,[2]analyte_order!$B:$B,[2]analyte_order!$C:$C)</f>
        <v>812-70-4</v>
      </c>
      <c r="M5539">
        <f>_xlfn.XLOOKUP(L5539,[2]analyte_order!$C:$C,[2]analyte_order!$E:$E)</f>
        <v>40</v>
      </c>
      <c r="N5539">
        <v>2.79</v>
      </c>
    </row>
    <row r="5540" spans="1:14">
      <c r="A5540" t="s">
        <v>290</v>
      </c>
      <c r="B5540" t="str">
        <f>_xlfn.XLOOKUP(A5540,'[1]Tissue Data'!$A:$A,'[1]Tissue Data'!$C:$C)</f>
        <v>Spill</v>
      </c>
      <c r="C5540" s="2">
        <f>_xlfn.XLOOKUP(A5540,'[1]Tissue Data'!$A:$A,'[1]Tissue Data'!$D:$D)</f>
        <v>44393</v>
      </c>
      <c r="D5540" s="2" t="str">
        <f>_xlfn.XLOOKUP(A5540,'[1]Tissue Data'!$A:$A,'[1]Tissue Data'!$F:$F)</f>
        <v>Pumpkinseed</v>
      </c>
      <c r="E5540" t="str">
        <f>_xlfn.XLOOKUP(A5540,'[1]Tissue Data'!$A:$A,'[1]Tissue Data'!$H:$H)</f>
        <v>Lepomis</v>
      </c>
      <c r="F5540" t="str">
        <f>_xlfn.XLOOKUP(A5540,'[1]Tissue Data'!$A:$A,'[1]Tissue Data'!$I:$I)</f>
        <v>gibbosus</v>
      </c>
      <c r="G5540" t="str">
        <f>_xlfn.XLOOKUP(A5540,'[1]Tissue Data'!$A:$A,'[1]Tissue Data'!J:J)</f>
        <v>U</v>
      </c>
      <c r="H5540" t="str">
        <f>_xlfn.XLOOKUP(A5540,'[1]Tissue Data'!$A:$A,'[1]Tissue Data'!K:K)</f>
        <v>Whole Body</v>
      </c>
      <c r="I5540">
        <f>_xlfn.XLOOKUP(A5540,'[1]Tissue Data'!$A:$A,'[1]Tissue Data'!L:L)</f>
        <v>6.5</v>
      </c>
      <c r="J5540">
        <f>_xlfn.XLOOKUP(A5540,'[1]Tissue Data'!$A:$A,'[1]Tissue Data'!M:M)</f>
        <v>6.3</v>
      </c>
      <c r="K5540" t="s">
        <v>50</v>
      </c>
      <c r="L5540" t="str">
        <f>_xlfn.XLOOKUP(K5540,[2]analyte_order!$B:$B,[2]analyte_order!$C:$C)</f>
        <v>53826-12-3</v>
      </c>
      <c r="M5540">
        <f>_xlfn.XLOOKUP(L5540,[2]analyte_order!$C:$C,[2]analyte_order!$E:$E)</f>
        <v>41</v>
      </c>
      <c r="N5540">
        <v>7.0000000000000007E-2</v>
      </c>
    </row>
    <row r="5541" spans="1:14">
      <c r="A5541" t="s">
        <v>290</v>
      </c>
      <c r="B5541" t="str">
        <f>_xlfn.XLOOKUP(A5541,'[1]Tissue Data'!$A:$A,'[1]Tissue Data'!$C:$C)</f>
        <v>Spill</v>
      </c>
      <c r="C5541" s="2">
        <f>_xlfn.XLOOKUP(A5541,'[1]Tissue Data'!$A:$A,'[1]Tissue Data'!$D:$D)</f>
        <v>44393</v>
      </c>
      <c r="D5541" s="2" t="str">
        <f>_xlfn.XLOOKUP(A5541,'[1]Tissue Data'!$A:$A,'[1]Tissue Data'!$F:$F)</f>
        <v>Pumpkinseed</v>
      </c>
      <c r="E5541" t="str">
        <f>_xlfn.XLOOKUP(A5541,'[1]Tissue Data'!$A:$A,'[1]Tissue Data'!$H:$H)</f>
        <v>Lepomis</v>
      </c>
      <c r="F5541" t="str">
        <f>_xlfn.XLOOKUP(A5541,'[1]Tissue Data'!$A:$A,'[1]Tissue Data'!$I:$I)</f>
        <v>gibbosus</v>
      </c>
      <c r="G5541" t="str">
        <f>_xlfn.XLOOKUP(A5541,'[1]Tissue Data'!$A:$A,'[1]Tissue Data'!J:J)</f>
        <v>U</v>
      </c>
      <c r="H5541" t="str">
        <f>_xlfn.XLOOKUP(A5541,'[1]Tissue Data'!$A:$A,'[1]Tissue Data'!K:K)</f>
        <v>Whole Body</v>
      </c>
      <c r="I5541">
        <f>_xlfn.XLOOKUP(A5541,'[1]Tissue Data'!$A:$A,'[1]Tissue Data'!L:L)</f>
        <v>6.5</v>
      </c>
      <c r="J5541">
        <f>_xlfn.XLOOKUP(A5541,'[1]Tissue Data'!$A:$A,'[1]Tissue Data'!M:M)</f>
        <v>6.3</v>
      </c>
      <c r="K5541" t="s">
        <v>51</v>
      </c>
      <c r="L5541" t="str">
        <f>_xlfn.XLOOKUP(K5541,[2]analyte_order!$B:$B,[2]analyte_order!$C:$C)</f>
        <v>27854-31-5</v>
      </c>
      <c r="M5541">
        <f>_xlfn.XLOOKUP(L5541,[2]analyte_order!$C:$C,[2]analyte_order!$E:$E)</f>
        <v>42</v>
      </c>
      <c r="N5541">
        <v>7.0000000000000007E-2</v>
      </c>
    </row>
    <row r="5542" spans="1:14">
      <c r="A5542" t="s">
        <v>290</v>
      </c>
      <c r="B5542" t="str">
        <f>_xlfn.XLOOKUP(A5542,'[1]Tissue Data'!$A:$A,'[1]Tissue Data'!$C:$C)</f>
        <v>Spill</v>
      </c>
      <c r="C5542" s="2">
        <f>_xlfn.XLOOKUP(A5542,'[1]Tissue Data'!$A:$A,'[1]Tissue Data'!$D:$D)</f>
        <v>44393</v>
      </c>
      <c r="D5542" s="2" t="str">
        <f>_xlfn.XLOOKUP(A5542,'[1]Tissue Data'!$A:$A,'[1]Tissue Data'!$F:$F)</f>
        <v>Pumpkinseed</v>
      </c>
      <c r="E5542" t="str">
        <f>_xlfn.XLOOKUP(A5542,'[1]Tissue Data'!$A:$A,'[1]Tissue Data'!$H:$H)</f>
        <v>Lepomis</v>
      </c>
      <c r="F5542" t="str">
        <f>_xlfn.XLOOKUP(A5542,'[1]Tissue Data'!$A:$A,'[1]Tissue Data'!$I:$I)</f>
        <v>gibbosus</v>
      </c>
      <c r="G5542" t="str">
        <f>_xlfn.XLOOKUP(A5542,'[1]Tissue Data'!$A:$A,'[1]Tissue Data'!J:J)</f>
        <v>U</v>
      </c>
      <c r="H5542" t="str">
        <f>_xlfn.XLOOKUP(A5542,'[1]Tissue Data'!$A:$A,'[1]Tissue Data'!K:K)</f>
        <v>Whole Body</v>
      </c>
      <c r="I5542">
        <f>_xlfn.XLOOKUP(A5542,'[1]Tissue Data'!$A:$A,'[1]Tissue Data'!L:L)</f>
        <v>6.5</v>
      </c>
      <c r="J5542">
        <f>_xlfn.XLOOKUP(A5542,'[1]Tissue Data'!$A:$A,'[1]Tissue Data'!M:M)</f>
        <v>6.3</v>
      </c>
      <c r="K5542" t="s">
        <v>52</v>
      </c>
      <c r="L5542" t="str">
        <f>_xlfn.XLOOKUP(K5542,[2]analyte_order!$B:$B,[2]analyte_order!$C:$C)</f>
        <v>53826-13-4</v>
      </c>
      <c r="M5542">
        <f>_xlfn.XLOOKUP(L5542,[2]analyte_order!$C:$C,[2]analyte_order!$E:$E)</f>
        <v>43</v>
      </c>
      <c r="N5542">
        <v>0.1045</v>
      </c>
    </row>
    <row r="5543" spans="1:14">
      <c r="A5543" t="s">
        <v>290</v>
      </c>
      <c r="B5543" t="str">
        <f>_xlfn.XLOOKUP(A5543,'[1]Tissue Data'!$A:$A,'[1]Tissue Data'!$C:$C)</f>
        <v>Spill</v>
      </c>
      <c r="C5543" s="2">
        <f>_xlfn.XLOOKUP(A5543,'[1]Tissue Data'!$A:$A,'[1]Tissue Data'!$D:$D)</f>
        <v>44393</v>
      </c>
      <c r="D5543" s="2" t="str">
        <f>_xlfn.XLOOKUP(A5543,'[1]Tissue Data'!$A:$A,'[1]Tissue Data'!$F:$F)</f>
        <v>Pumpkinseed</v>
      </c>
      <c r="E5543" t="str">
        <f>_xlfn.XLOOKUP(A5543,'[1]Tissue Data'!$A:$A,'[1]Tissue Data'!$H:$H)</f>
        <v>Lepomis</v>
      </c>
      <c r="F5543" t="str">
        <f>_xlfn.XLOOKUP(A5543,'[1]Tissue Data'!$A:$A,'[1]Tissue Data'!$I:$I)</f>
        <v>gibbosus</v>
      </c>
      <c r="G5543" t="str">
        <f>_xlfn.XLOOKUP(A5543,'[1]Tissue Data'!$A:$A,'[1]Tissue Data'!J:J)</f>
        <v>U</v>
      </c>
      <c r="H5543" t="str">
        <f>_xlfn.XLOOKUP(A5543,'[1]Tissue Data'!$A:$A,'[1]Tissue Data'!K:K)</f>
        <v>Whole Body</v>
      </c>
      <c r="I5543">
        <f>_xlfn.XLOOKUP(A5543,'[1]Tissue Data'!$A:$A,'[1]Tissue Data'!L:L)</f>
        <v>6.5</v>
      </c>
      <c r="J5543">
        <f>_xlfn.XLOOKUP(A5543,'[1]Tissue Data'!$A:$A,'[1]Tissue Data'!M:M)</f>
        <v>6.3</v>
      </c>
      <c r="K5543" t="s">
        <v>53</v>
      </c>
      <c r="L5543" t="str">
        <f>_xlfn.XLOOKUP(K5543,[2]analyte_order!$B:$B,[2]analyte_order!$C:$C)</f>
        <v>161094-75-3</v>
      </c>
      <c r="M5543">
        <f>_xlfn.XLOOKUP(L5543,[2]analyte_order!$C:$C,[2]analyte_order!$E:$E)</f>
        <v>44</v>
      </c>
      <c r="N5543">
        <v>5.5E-2</v>
      </c>
    </row>
    <row r="5544" spans="1:14">
      <c r="A5544" t="s">
        <v>290</v>
      </c>
      <c r="B5544" t="str">
        <f>_xlfn.XLOOKUP(A5544,'[1]Tissue Data'!$A:$A,'[1]Tissue Data'!$C:$C)</f>
        <v>Spill</v>
      </c>
      <c r="C5544" s="2">
        <f>_xlfn.XLOOKUP(A5544,'[1]Tissue Data'!$A:$A,'[1]Tissue Data'!$D:$D)</f>
        <v>44393</v>
      </c>
      <c r="D5544" s="2" t="str">
        <f>_xlfn.XLOOKUP(A5544,'[1]Tissue Data'!$A:$A,'[1]Tissue Data'!$F:$F)</f>
        <v>Pumpkinseed</v>
      </c>
      <c r="E5544" t="str">
        <f>_xlfn.XLOOKUP(A5544,'[1]Tissue Data'!$A:$A,'[1]Tissue Data'!$H:$H)</f>
        <v>Lepomis</v>
      </c>
      <c r="F5544" t="str">
        <f>_xlfn.XLOOKUP(A5544,'[1]Tissue Data'!$A:$A,'[1]Tissue Data'!$I:$I)</f>
        <v>gibbosus</v>
      </c>
      <c r="G5544" t="str">
        <f>_xlfn.XLOOKUP(A5544,'[1]Tissue Data'!$A:$A,'[1]Tissue Data'!J:J)</f>
        <v>U</v>
      </c>
      <c r="H5544" t="str">
        <f>_xlfn.XLOOKUP(A5544,'[1]Tissue Data'!$A:$A,'[1]Tissue Data'!K:K)</f>
        <v>Whole Body</v>
      </c>
      <c r="I5544">
        <f>_xlfn.XLOOKUP(A5544,'[1]Tissue Data'!$A:$A,'[1]Tissue Data'!L:L)</f>
        <v>6.5</v>
      </c>
      <c r="J5544">
        <f>_xlfn.XLOOKUP(A5544,'[1]Tissue Data'!$A:$A,'[1]Tissue Data'!M:M)</f>
        <v>6.3</v>
      </c>
      <c r="K5544" t="s">
        <v>54</v>
      </c>
      <c r="L5544" t="str">
        <f>_xlfn.XLOOKUP(K5544,[2]analyte_order!$B:$B,[2]analyte_order!$C:$C)</f>
        <v>70887-84-2</v>
      </c>
      <c r="M5544">
        <f>_xlfn.XLOOKUP(L5544,[2]analyte_order!$C:$C,[2]analyte_order!$E:$E)</f>
        <v>45</v>
      </c>
      <c r="N5544">
        <v>4.24E-2</v>
      </c>
    </row>
    <row r="5545" spans="1:14">
      <c r="A5545" t="s">
        <v>290</v>
      </c>
      <c r="B5545" t="str">
        <f>_xlfn.XLOOKUP(A5545,'[1]Tissue Data'!$A:$A,'[1]Tissue Data'!$C:$C)</f>
        <v>Spill</v>
      </c>
      <c r="C5545" s="2">
        <f>_xlfn.XLOOKUP(A5545,'[1]Tissue Data'!$A:$A,'[1]Tissue Data'!$D:$D)</f>
        <v>44393</v>
      </c>
      <c r="D5545" s="2" t="str">
        <f>_xlfn.XLOOKUP(A5545,'[1]Tissue Data'!$A:$A,'[1]Tissue Data'!$F:$F)</f>
        <v>Pumpkinseed</v>
      </c>
      <c r="E5545" t="str">
        <f>_xlfn.XLOOKUP(A5545,'[1]Tissue Data'!$A:$A,'[1]Tissue Data'!$H:$H)</f>
        <v>Lepomis</v>
      </c>
      <c r="F5545" t="str">
        <f>_xlfn.XLOOKUP(A5545,'[1]Tissue Data'!$A:$A,'[1]Tissue Data'!$I:$I)</f>
        <v>gibbosus</v>
      </c>
      <c r="G5545" t="str">
        <f>_xlfn.XLOOKUP(A5545,'[1]Tissue Data'!$A:$A,'[1]Tissue Data'!J:J)</f>
        <v>U</v>
      </c>
      <c r="H5545" t="str">
        <f>_xlfn.XLOOKUP(A5545,'[1]Tissue Data'!$A:$A,'[1]Tissue Data'!K:K)</f>
        <v>Whole Body</v>
      </c>
      <c r="I5545">
        <f>_xlfn.XLOOKUP(A5545,'[1]Tissue Data'!$A:$A,'[1]Tissue Data'!L:L)</f>
        <v>6.5</v>
      </c>
      <c r="J5545">
        <f>_xlfn.XLOOKUP(A5545,'[1]Tissue Data'!$A:$A,'[1]Tissue Data'!M:M)</f>
        <v>6.3</v>
      </c>
      <c r="K5545" t="s">
        <v>55</v>
      </c>
      <c r="L5545" t="str">
        <f>_xlfn.XLOOKUP(K5545,[2]analyte_order!$B:$B,[2]analyte_order!$C:$C)</f>
        <v>919005-14-4</v>
      </c>
      <c r="M5545">
        <f>_xlfn.XLOOKUP(L5545,[2]analyte_order!$C:$C,[2]analyte_order!$E:$E)</f>
        <v>35</v>
      </c>
      <c r="N5545">
        <v>6.2E-2</v>
      </c>
    </row>
    <row r="5546" spans="1:14">
      <c r="A5546" t="s">
        <v>290</v>
      </c>
      <c r="B5546" t="str">
        <f>_xlfn.XLOOKUP(A5546,'[1]Tissue Data'!$A:$A,'[1]Tissue Data'!$C:$C)</f>
        <v>Spill</v>
      </c>
      <c r="C5546" s="2">
        <f>_xlfn.XLOOKUP(A5546,'[1]Tissue Data'!$A:$A,'[1]Tissue Data'!$D:$D)</f>
        <v>44393</v>
      </c>
      <c r="D5546" s="2" t="str">
        <f>_xlfn.XLOOKUP(A5546,'[1]Tissue Data'!$A:$A,'[1]Tissue Data'!$F:$F)</f>
        <v>Pumpkinseed</v>
      </c>
      <c r="E5546" t="str">
        <f>_xlfn.XLOOKUP(A5546,'[1]Tissue Data'!$A:$A,'[1]Tissue Data'!$H:$H)</f>
        <v>Lepomis</v>
      </c>
      <c r="F5546" t="str">
        <f>_xlfn.XLOOKUP(A5546,'[1]Tissue Data'!$A:$A,'[1]Tissue Data'!$I:$I)</f>
        <v>gibbosus</v>
      </c>
      <c r="G5546" t="str">
        <f>_xlfn.XLOOKUP(A5546,'[1]Tissue Data'!$A:$A,'[1]Tissue Data'!J:J)</f>
        <v>U</v>
      </c>
      <c r="H5546" t="str">
        <f>_xlfn.XLOOKUP(A5546,'[1]Tissue Data'!$A:$A,'[1]Tissue Data'!K:K)</f>
        <v>Whole Body</v>
      </c>
      <c r="I5546">
        <f>_xlfn.XLOOKUP(A5546,'[1]Tissue Data'!$A:$A,'[1]Tissue Data'!L:L)</f>
        <v>6.5</v>
      </c>
      <c r="J5546">
        <f>_xlfn.XLOOKUP(A5546,'[1]Tissue Data'!$A:$A,'[1]Tissue Data'!M:M)</f>
        <v>6.3</v>
      </c>
      <c r="K5546" t="s">
        <v>56</v>
      </c>
      <c r="L5546" t="str">
        <f>_xlfn.XLOOKUP(K5546,[2]analyte_order!$B:$B,[2]analyte_order!$C:$C)</f>
        <v>756426-58-1</v>
      </c>
      <c r="M5546">
        <f>_xlfn.XLOOKUP(L5546,[2]analyte_order!$C:$C,[2]analyte_order!$E:$E)</f>
        <v>36</v>
      </c>
      <c r="N5546">
        <v>7.0000000000000007E-2</v>
      </c>
    </row>
    <row r="5547" spans="1:14">
      <c r="A5547" t="s">
        <v>290</v>
      </c>
      <c r="B5547" t="str">
        <f>_xlfn.XLOOKUP(A5547,'[1]Tissue Data'!$A:$A,'[1]Tissue Data'!$C:$C)</f>
        <v>Spill</v>
      </c>
      <c r="C5547" s="2">
        <f>_xlfn.XLOOKUP(A5547,'[1]Tissue Data'!$A:$A,'[1]Tissue Data'!$D:$D)</f>
        <v>44393</v>
      </c>
      <c r="D5547" s="2" t="str">
        <f>_xlfn.XLOOKUP(A5547,'[1]Tissue Data'!$A:$A,'[1]Tissue Data'!$F:$F)</f>
        <v>Pumpkinseed</v>
      </c>
      <c r="E5547" t="str">
        <f>_xlfn.XLOOKUP(A5547,'[1]Tissue Data'!$A:$A,'[1]Tissue Data'!$H:$H)</f>
        <v>Lepomis</v>
      </c>
      <c r="F5547" t="str">
        <f>_xlfn.XLOOKUP(A5547,'[1]Tissue Data'!$A:$A,'[1]Tissue Data'!$I:$I)</f>
        <v>gibbosus</v>
      </c>
      <c r="G5547" t="str">
        <f>_xlfn.XLOOKUP(A5547,'[1]Tissue Data'!$A:$A,'[1]Tissue Data'!J:J)</f>
        <v>U</v>
      </c>
      <c r="H5547" t="str">
        <f>_xlfn.XLOOKUP(A5547,'[1]Tissue Data'!$A:$A,'[1]Tissue Data'!K:K)</f>
        <v>Whole Body</v>
      </c>
      <c r="I5547">
        <f>_xlfn.XLOOKUP(A5547,'[1]Tissue Data'!$A:$A,'[1]Tissue Data'!L:L)</f>
        <v>6.5</v>
      </c>
      <c r="J5547">
        <f>_xlfn.XLOOKUP(A5547,'[1]Tissue Data'!$A:$A,'[1]Tissue Data'!M:M)</f>
        <v>6.3</v>
      </c>
      <c r="K5547" t="s">
        <v>57</v>
      </c>
      <c r="L5547" t="str">
        <f>_xlfn.XLOOKUP(K5547,[2]analyte_order!$B:$B,[2]analyte_order!$C:$C)</f>
        <v>763051-92-9</v>
      </c>
      <c r="M5547">
        <f>_xlfn.XLOOKUP(L5547,[2]analyte_order!$C:$C,[2]analyte_order!$E:$E)</f>
        <v>37</v>
      </c>
      <c r="N5547">
        <v>7.0000000000000007E-2</v>
      </c>
    </row>
    <row r="5548" spans="1:14">
      <c r="A5548" t="s">
        <v>290</v>
      </c>
      <c r="B5548" t="str">
        <f>_xlfn.XLOOKUP(A5548,'[1]Tissue Data'!$A:$A,'[1]Tissue Data'!$C:$C)</f>
        <v>Spill</v>
      </c>
      <c r="C5548" s="2">
        <f>_xlfn.XLOOKUP(A5548,'[1]Tissue Data'!$A:$A,'[1]Tissue Data'!$D:$D)</f>
        <v>44393</v>
      </c>
      <c r="D5548" s="2" t="str">
        <f>_xlfn.XLOOKUP(A5548,'[1]Tissue Data'!$A:$A,'[1]Tissue Data'!$F:$F)</f>
        <v>Pumpkinseed</v>
      </c>
      <c r="E5548" t="str">
        <f>_xlfn.XLOOKUP(A5548,'[1]Tissue Data'!$A:$A,'[1]Tissue Data'!$H:$H)</f>
        <v>Lepomis</v>
      </c>
      <c r="F5548" t="str">
        <f>_xlfn.XLOOKUP(A5548,'[1]Tissue Data'!$A:$A,'[1]Tissue Data'!$I:$I)</f>
        <v>gibbosus</v>
      </c>
      <c r="G5548" t="str">
        <f>_xlfn.XLOOKUP(A5548,'[1]Tissue Data'!$A:$A,'[1]Tissue Data'!J:J)</f>
        <v>U</v>
      </c>
      <c r="H5548" t="str">
        <f>_xlfn.XLOOKUP(A5548,'[1]Tissue Data'!$A:$A,'[1]Tissue Data'!K:K)</f>
        <v>Whole Body</v>
      </c>
      <c r="I5548">
        <f>_xlfn.XLOOKUP(A5548,'[1]Tissue Data'!$A:$A,'[1]Tissue Data'!L:L)</f>
        <v>6.5</v>
      </c>
      <c r="J5548">
        <f>_xlfn.XLOOKUP(A5548,'[1]Tissue Data'!$A:$A,'[1]Tissue Data'!M:M)</f>
        <v>6.3</v>
      </c>
      <c r="K5548" t="s">
        <v>58</v>
      </c>
      <c r="L5548" t="str">
        <f>_xlfn.XLOOKUP(K5548,[2]analyte_order!$B:$B,[2]analyte_order!$C:$C)</f>
        <v>13252-13-6</v>
      </c>
      <c r="M5548">
        <f>_xlfn.XLOOKUP(L5548,[2]analyte_order!$C:$C,[2]analyte_order!$E:$E)</f>
        <v>34</v>
      </c>
      <c r="N5548">
        <v>0.10050000000000001</v>
      </c>
    </row>
    <row r="5549" spans="1:14">
      <c r="A5549" t="s">
        <v>290</v>
      </c>
      <c r="B5549" t="str">
        <f>_xlfn.XLOOKUP(A5549,'[1]Tissue Data'!$A:$A,'[1]Tissue Data'!$C:$C)</f>
        <v>Spill</v>
      </c>
      <c r="C5549" s="2">
        <f>_xlfn.XLOOKUP(A5549,'[1]Tissue Data'!$A:$A,'[1]Tissue Data'!$D:$D)</f>
        <v>44393</v>
      </c>
      <c r="D5549" s="2" t="str">
        <f>_xlfn.XLOOKUP(A5549,'[1]Tissue Data'!$A:$A,'[1]Tissue Data'!$F:$F)</f>
        <v>Pumpkinseed</v>
      </c>
      <c r="E5549" t="str">
        <f>_xlfn.XLOOKUP(A5549,'[1]Tissue Data'!$A:$A,'[1]Tissue Data'!$H:$H)</f>
        <v>Lepomis</v>
      </c>
      <c r="F5549" t="str">
        <f>_xlfn.XLOOKUP(A5549,'[1]Tissue Data'!$A:$A,'[1]Tissue Data'!$I:$I)</f>
        <v>gibbosus</v>
      </c>
      <c r="G5549" t="str">
        <f>_xlfn.XLOOKUP(A5549,'[1]Tissue Data'!$A:$A,'[1]Tissue Data'!J:J)</f>
        <v>U</v>
      </c>
      <c r="H5549" t="str">
        <f>_xlfn.XLOOKUP(A5549,'[1]Tissue Data'!$A:$A,'[1]Tissue Data'!K:K)</f>
        <v>Whole Body</v>
      </c>
      <c r="I5549">
        <f>_xlfn.XLOOKUP(A5549,'[1]Tissue Data'!$A:$A,'[1]Tissue Data'!L:L)</f>
        <v>6.5</v>
      </c>
      <c r="J5549">
        <f>_xlfn.XLOOKUP(A5549,'[1]Tissue Data'!$A:$A,'[1]Tissue Data'!M:M)</f>
        <v>6.3</v>
      </c>
      <c r="K5549" t="s">
        <v>59</v>
      </c>
      <c r="L5549" t="str">
        <f>_xlfn.XLOOKUP(K5549,[2]analyte_order!$B:$B,[2]analyte_order!$C:$C)</f>
        <v>57677-95-9</v>
      </c>
      <c r="M5549">
        <f>_xlfn.XLOOKUP(L5549,[2]analyte_order!$C:$C,[2]analyte_order!$E:$E)</f>
        <v>46</v>
      </c>
      <c r="N5549">
        <v>7.4499999999999997E-2</v>
      </c>
    </row>
    <row r="5550" spans="1:14">
      <c r="A5550" t="s">
        <v>290</v>
      </c>
      <c r="B5550" t="str">
        <f>_xlfn.XLOOKUP(A5550,'[1]Tissue Data'!$A:$A,'[1]Tissue Data'!$C:$C)</f>
        <v>Spill</v>
      </c>
      <c r="C5550" s="2">
        <f>_xlfn.XLOOKUP(A5550,'[1]Tissue Data'!$A:$A,'[1]Tissue Data'!$D:$D)</f>
        <v>44393</v>
      </c>
      <c r="D5550" s="2" t="str">
        <f>_xlfn.XLOOKUP(A5550,'[1]Tissue Data'!$A:$A,'[1]Tissue Data'!$F:$F)</f>
        <v>Pumpkinseed</v>
      </c>
      <c r="E5550" t="str">
        <f>_xlfn.XLOOKUP(A5550,'[1]Tissue Data'!$A:$A,'[1]Tissue Data'!$H:$H)</f>
        <v>Lepomis</v>
      </c>
      <c r="F5550" t="str">
        <f>_xlfn.XLOOKUP(A5550,'[1]Tissue Data'!$A:$A,'[1]Tissue Data'!$I:$I)</f>
        <v>gibbosus</v>
      </c>
      <c r="G5550" t="str">
        <f>_xlfn.XLOOKUP(A5550,'[1]Tissue Data'!$A:$A,'[1]Tissue Data'!J:J)</f>
        <v>U</v>
      </c>
      <c r="H5550" t="str">
        <f>_xlfn.XLOOKUP(A5550,'[1]Tissue Data'!$A:$A,'[1]Tissue Data'!K:K)</f>
        <v>Whole Body</v>
      </c>
      <c r="I5550">
        <f>_xlfn.XLOOKUP(A5550,'[1]Tissue Data'!$A:$A,'[1]Tissue Data'!L:L)</f>
        <v>6.5</v>
      </c>
      <c r="J5550">
        <f>_xlfn.XLOOKUP(A5550,'[1]Tissue Data'!$A:$A,'[1]Tissue Data'!M:M)</f>
        <v>6.3</v>
      </c>
      <c r="K5550" t="s">
        <v>60</v>
      </c>
      <c r="L5550" t="str">
        <f>_xlfn.XLOOKUP(K5550,[2]analyte_order!$B:$B,[2]analyte_order!$C:$C)</f>
        <v>678-41-1</v>
      </c>
      <c r="M5550">
        <f>_xlfn.XLOOKUP(L5550,[2]analyte_order!$C:$C,[2]analyte_order!$E:$E)</f>
        <v>56</v>
      </c>
      <c r="N5550">
        <v>9.2999999999999999E-2</v>
      </c>
    </row>
    <row r="5551" spans="1:14">
      <c r="A5551" t="s">
        <v>290</v>
      </c>
      <c r="B5551" t="str">
        <f>_xlfn.XLOOKUP(A5551,'[1]Tissue Data'!$A:$A,'[1]Tissue Data'!$C:$C)</f>
        <v>Spill</v>
      </c>
      <c r="C5551" s="2">
        <f>_xlfn.XLOOKUP(A5551,'[1]Tissue Data'!$A:$A,'[1]Tissue Data'!$D:$D)</f>
        <v>44393</v>
      </c>
      <c r="D5551" s="2" t="str">
        <f>_xlfn.XLOOKUP(A5551,'[1]Tissue Data'!$A:$A,'[1]Tissue Data'!$F:$F)</f>
        <v>Pumpkinseed</v>
      </c>
      <c r="E5551" t="str">
        <f>_xlfn.XLOOKUP(A5551,'[1]Tissue Data'!$A:$A,'[1]Tissue Data'!$H:$H)</f>
        <v>Lepomis</v>
      </c>
      <c r="F5551" t="str">
        <f>_xlfn.XLOOKUP(A5551,'[1]Tissue Data'!$A:$A,'[1]Tissue Data'!$I:$I)</f>
        <v>gibbosus</v>
      </c>
      <c r="G5551" t="str">
        <f>_xlfn.XLOOKUP(A5551,'[1]Tissue Data'!$A:$A,'[1]Tissue Data'!J:J)</f>
        <v>U</v>
      </c>
      <c r="H5551" t="str">
        <f>_xlfn.XLOOKUP(A5551,'[1]Tissue Data'!$A:$A,'[1]Tissue Data'!K:K)</f>
        <v>Whole Body</v>
      </c>
      <c r="I5551">
        <f>_xlfn.XLOOKUP(A5551,'[1]Tissue Data'!$A:$A,'[1]Tissue Data'!L:L)</f>
        <v>6.5</v>
      </c>
      <c r="J5551">
        <f>_xlfn.XLOOKUP(A5551,'[1]Tissue Data'!$A:$A,'[1]Tissue Data'!M:M)</f>
        <v>6.3</v>
      </c>
      <c r="K5551" t="s">
        <v>61</v>
      </c>
      <c r="L5551" t="str">
        <f>_xlfn.XLOOKUP(K5551,[2]analyte_order!$B:$B,[2]analyte_order!$C:$C)</f>
        <v>2965-52-8</v>
      </c>
      <c r="M5551">
        <f>_xlfn.XLOOKUP(L5551,[2]analyte_order!$C:$C,[2]analyte_order!$E:$E)</f>
        <v>57</v>
      </c>
      <c r="N5551">
        <v>0.1235</v>
      </c>
    </row>
    <row r="5552" spans="1:14">
      <c r="A5552" t="s">
        <v>291</v>
      </c>
      <c r="B5552" t="str">
        <f>_xlfn.XLOOKUP(A5552,'[1]Tissue Data'!$A:$A,'[1]Tissue Data'!$C:$C)</f>
        <v>Spill</v>
      </c>
      <c r="C5552" s="2">
        <f>_xlfn.XLOOKUP(A5552,'[1]Tissue Data'!$A:$A,'[1]Tissue Data'!$D:$D)</f>
        <v>44393</v>
      </c>
      <c r="D5552" s="2" t="str">
        <f>_xlfn.XLOOKUP(A5552,'[1]Tissue Data'!$A:$A,'[1]Tissue Data'!$F:$F)</f>
        <v>Pumpkinseed</v>
      </c>
      <c r="E5552" t="str">
        <f>_xlfn.XLOOKUP(A5552,'[1]Tissue Data'!$A:$A,'[1]Tissue Data'!$H:$H)</f>
        <v>Lepomis</v>
      </c>
      <c r="F5552" t="str">
        <f>_xlfn.XLOOKUP(A5552,'[1]Tissue Data'!$A:$A,'[1]Tissue Data'!$I:$I)</f>
        <v>gibbosus</v>
      </c>
      <c r="G5552" t="str">
        <f>_xlfn.XLOOKUP(A5552,'[1]Tissue Data'!$A:$A,'[1]Tissue Data'!J:J)</f>
        <v>U</v>
      </c>
      <c r="H5552" t="str">
        <f>_xlfn.XLOOKUP(A5552,'[1]Tissue Data'!$A:$A,'[1]Tissue Data'!K:K)</f>
        <v>Whole Body</v>
      </c>
      <c r="I5552">
        <f>_xlfn.XLOOKUP(A5552,'[1]Tissue Data'!$A:$A,'[1]Tissue Data'!L:L)</f>
        <v>6.5</v>
      </c>
      <c r="J5552">
        <f>_xlfn.XLOOKUP(A5552,'[1]Tissue Data'!$A:$A,'[1]Tissue Data'!M:M)</f>
        <v>5.93</v>
      </c>
      <c r="K5552" t="s">
        <v>12</v>
      </c>
      <c r="L5552" t="str">
        <f>_xlfn.XLOOKUP(K5552,[2]analyte_order!$B:$B,[2]analyte_order!$C:$C)</f>
        <v>375-22-4</v>
      </c>
      <c r="M5552">
        <f>_xlfn.XLOOKUP(L5552,[2]analyte_order!$C:$C,[2]analyte_order!$E:$E)</f>
        <v>1</v>
      </c>
      <c r="N5552">
        <v>6.6500000000000004E-2</v>
      </c>
    </row>
    <row r="5553" spans="1:14">
      <c r="A5553" t="s">
        <v>291</v>
      </c>
      <c r="B5553" t="str">
        <f>_xlfn.XLOOKUP(A5553,'[1]Tissue Data'!$A:$A,'[1]Tissue Data'!$C:$C)</f>
        <v>Spill</v>
      </c>
      <c r="C5553" s="2">
        <f>_xlfn.XLOOKUP(A5553,'[1]Tissue Data'!$A:$A,'[1]Tissue Data'!$D:$D)</f>
        <v>44393</v>
      </c>
      <c r="D5553" s="2" t="str">
        <f>_xlfn.XLOOKUP(A5553,'[1]Tissue Data'!$A:$A,'[1]Tissue Data'!$F:$F)</f>
        <v>Pumpkinseed</v>
      </c>
      <c r="E5553" t="str">
        <f>_xlfn.XLOOKUP(A5553,'[1]Tissue Data'!$A:$A,'[1]Tissue Data'!$H:$H)</f>
        <v>Lepomis</v>
      </c>
      <c r="F5553" t="str">
        <f>_xlfn.XLOOKUP(A5553,'[1]Tissue Data'!$A:$A,'[1]Tissue Data'!$I:$I)</f>
        <v>gibbosus</v>
      </c>
      <c r="G5553" t="str">
        <f>_xlfn.XLOOKUP(A5553,'[1]Tissue Data'!$A:$A,'[1]Tissue Data'!J:J)</f>
        <v>U</v>
      </c>
      <c r="H5553" t="str">
        <f>_xlfn.XLOOKUP(A5553,'[1]Tissue Data'!$A:$A,'[1]Tissue Data'!K:K)</f>
        <v>Whole Body</v>
      </c>
      <c r="I5553">
        <f>_xlfn.XLOOKUP(A5553,'[1]Tissue Data'!$A:$A,'[1]Tissue Data'!L:L)</f>
        <v>6.5</v>
      </c>
      <c r="J5553">
        <f>_xlfn.XLOOKUP(A5553,'[1]Tissue Data'!$A:$A,'[1]Tissue Data'!M:M)</f>
        <v>5.93</v>
      </c>
      <c r="K5553" t="s">
        <v>13</v>
      </c>
      <c r="L5553" t="str">
        <f>_xlfn.XLOOKUP(K5553,[2]analyte_order!$B:$B,[2]analyte_order!$C:$C)</f>
        <v>2706-90-3</v>
      </c>
      <c r="M5553">
        <f>_xlfn.XLOOKUP(L5553,[2]analyte_order!$C:$C,[2]analyte_order!$E:$E)</f>
        <v>2</v>
      </c>
      <c r="N5553">
        <v>4.6850000000000003E-2</v>
      </c>
    </row>
    <row r="5554" spans="1:14">
      <c r="A5554" t="s">
        <v>291</v>
      </c>
      <c r="B5554" t="str">
        <f>_xlfn.XLOOKUP(A5554,'[1]Tissue Data'!$A:$A,'[1]Tissue Data'!$C:$C)</f>
        <v>Spill</v>
      </c>
      <c r="C5554" s="2">
        <f>_xlfn.XLOOKUP(A5554,'[1]Tissue Data'!$A:$A,'[1]Tissue Data'!$D:$D)</f>
        <v>44393</v>
      </c>
      <c r="D5554" s="2" t="str">
        <f>_xlfn.XLOOKUP(A5554,'[1]Tissue Data'!$A:$A,'[1]Tissue Data'!$F:$F)</f>
        <v>Pumpkinseed</v>
      </c>
      <c r="E5554" t="str">
        <f>_xlfn.XLOOKUP(A5554,'[1]Tissue Data'!$A:$A,'[1]Tissue Data'!$H:$H)</f>
        <v>Lepomis</v>
      </c>
      <c r="F5554" t="str">
        <f>_xlfn.XLOOKUP(A5554,'[1]Tissue Data'!$A:$A,'[1]Tissue Data'!$I:$I)</f>
        <v>gibbosus</v>
      </c>
      <c r="G5554" t="str">
        <f>_xlfn.XLOOKUP(A5554,'[1]Tissue Data'!$A:$A,'[1]Tissue Data'!J:J)</f>
        <v>U</v>
      </c>
      <c r="H5554" t="str">
        <f>_xlfn.XLOOKUP(A5554,'[1]Tissue Data'!$A:$A,'[1]Tissue Data'!K:K)</f>
        <v>Whole Body</v>
      </c>
      <c r="I5554">
        <f>_xlfn.XLOOKUP(A5554,'[1]Tissue Data'!$A:$A,'[1]Tissue Data'!L:L)</f>
        <v>6.5</v>
      </c>
      <c r="J5554">
        <f>_xlfn.XLOOKUP(A5554,'[1]Tissue Data'!$A:$A,'[1]Tissue Data'!M:M)</f>
        <v>5.93</v>
      </c>
      <c r="K5554" t="s">
        <v>14</v>
      </c>
      <c r="L5554" t="str">
        <f>_xlfn.XLOOKUP(K5554,[2]analyte_order!$B:$B,[2]analyte_order!$C:$C)</f>
        <v>307-24-4</v>
      </c>
      <c r="M5554">
        <f>_xlfn.XLOOKUP(L5554,[2]analyte_order!$C:$C,[2]analyte_order!$E:$E)</f>
        <v>3</v>
      </c>
      <c r="N5554">
        <v>3.5799999999999998E-2</v>
      </c>
    </row>
    <row r="5555" spans="1:14">
      <c r="A5555" t="s">
        <v>291</v>
      </c>
      <c r="B5555" t="str">
        <f>_xlfn.XLOOKUP(A5555,'[1]Tissue Data'!$A:$A,'[1]Tissue Data'!$C:$C)</f>
        <v>Spill</v>
      </c>
      <c r="C5555" s="2">
        <f>_xlfn.XLOOKUP(A5555,'[1]Tissue Data'!$A:$A,'[1]Tissue Data'!$D:$D)</f>
        <v>44393</v>
      </c>
      <c r="D5555" s="2" t="str">
        <f>_xlfn.XLOOKUP(A5555,'[1]Tissue Data'!$A:$A,'[1]Tissue Data'!$F:$F)</f>
        <v>Pumpkinseed</v>
      </c>
      <c r="E5555" t="str">
        <f>_xlfn.XLOOKUP(A5555,'[1]Tissue Data'!$A:$A,'[1]Tissue Data'!$H:$H)</f>
        <v>Lepomis</v>
      </c>
      <c r="F5555" t="str">
        <f>_xlfn.XLOOKUP(A5555,'[1]Tissue Data'!$A:$A,'[1]Tissue Data'!$I:$I)</f>
        <v>gibbosus</v>
      </c>
      <c r="G5555" t="str">
        <f>_xlfn.XLOOKUP(A5555,'[1]Tissue Data'!$A:$A,'[1]Tissue Data'!J:J)</f>
        <v>U</v>
      </c>
      <c r="H5555" t="str">
        <f>_xlfn.XLOOKUP(A5555,'[1]Tissue Data'!$A:$A,'[1]Tissue Data'!K:K)</f>
        <v>Whole Body</v>
      </c>
      <c r="I5555">
        <f>_xlfn.XLOOKUP(A5555,'[1]Tissue Data'!$A:$A,'[1]Tissue Data'!L:L)</f>
        <v>6.5</v>
      </c>
      <c r="J5555">
        <f>_xlfn.XLOOKUP(A5555,'[1]Tissue Data'!$A:$A,'[1]Tissue Data'!M:M)</f>
        <v>5.93</v>
      </c>
      <c r="K5555" t="s">
        <v>15</v>
      </c>
      <c r="L5555" t="str">
        <f>_xlfn.XLOOKUP(K5555,[2]analyte_order!$B:$B,[2]analyte_order!$C:$C)</f>
        <v>375-85-9</v>
      </c>
      <c r="M5555">
        <f>_xlfn.XLOOKUP(L5555,[2]analyte_order!$C:$C,[2]analyte_order!$E:$E)</f>
        <v>4</v>
      </c>
      <c r="N5555">
        <v>0.21</v>
      </c>
    </row>
    <row r="5556" spans="1:14">
      <c r="A5556" t="s">
        <v>291</v>
      </c>
      <c r="B5556" t="str">
        <f>_xlfn.XLOOKUP(A5556,'[1]Tissue Data'!$A:$A,'[1]Tissue Data'!$C:$C)</f>
        <v>Spill</v>
      </c>
      <c r="C5556" s="2">
        <f>_xlfn.XLOOKUP(A5556,'[1]Tissue Data'!$A:$A,'[1]Tissue Data'!$D:$D)</f>
        <v>44393</v>
      </c>
      <c r="D5556" s="2" t="str">
        <f>_xlfn.XLOOKUP(A5556,'[1]Tissue Data'!$A:$A,'[1]Tissue Data'!$F:$F)</f>
        <v>Pumpkinseed</v>
      </c>
      <c r="E5556" t="str">
        <f>_xlfn.XLOOKUP(A5556,'[1]Tissue Data'!$A:$A,'[1]Tissue Data'!$H:$H)</f>
        <v>Lepomis</v>
      </c>
      <c r="F5556" t="str">
        <f>_xlfn.XLOOKUP(A5556,'[1]Tissue Data'!$A:$A,'[1]Tissue Data'!$I:$I)</f>
        <v>gibbosus</v>
      </c>
      <c r="G5556" t="str">
        <f>_xlfn.XLOOKUP(A5556,'[1]Tissue Data'!$A:$A,'[1]Tissue Data'!J:J)</f>
        <v>U</v>
      </c>
      <c r="H5556" t="str">
        <f>_xlfn.XLOOKUP(A5556,'[1]Tissue Data'!$A:$A,'[1]Tissue Data'!K:K)</f>
        <v>Whole Body</v>
      </c>
      <c r="I5556">
        <f>_xlfn.XLOOKUP(A5556,'[1]Tissue Data'!$A:$A,'[1]Tissue Data'!L:L)</f>
        <v>6.5</v>
      </c>
      <c r="J5556">
        <f>_xlfn.XLOOKUP(A5556,'[1]Tissue Data'!$A:$A,'[1]Tissue Data'!M:M)</f>
        <v>5.93</v>
      </c>
      <c r="K5556" t="s">
        <v>16</v>
      </c>
      <c r="L5556" t="str">
        <f>_xlfn.XLOOKUP(K5556,[2]analyte_order!$B:$B,[2]analyte_order!$C:$C)</f>
        <v>335-67-1</v>
      </c>
      <c r="M5556">
        <f>_xlfn.XLOOKUP(L5556,[2]analyte_order!$C:$C,[2]analyte_order!$E:$E)</f>
        <v>5</v>
      </c>
      <c r="N5556">
        <v>0.70499999999999996</v>
      </c>
    </row>
    <row r="5557" spans="1:14">
      <c r="A5557" t="s">
        <v>291</v>
      </c>
      <c r="B5557" t="str">
        <f>_xlfn.XLOOKUP(A5557,'[1]Tissue Data'!$A:$A,'[1]Tissue Data'!$C:$C)</f>
        <v>Spill</v>
      </c>
      <c r="C5557" s="2">
        <f>_xlfn.XLOOKUP(A5557,'[1]Tissue Data'!$A:$A,'[1]Tissue Data'!$D:$D)</f>
        <v>44393</v>
      </c>
      <c r="D5557" s="2" t="str">
        <f>_xlfn.XLOOKUP(A5557,'[1]Tissue Data'!$A:$A,'[1]Tissue Data'!$F:$F)</f>
        <v>Pumpkinseed</v>
      </c>
      <c r="E5557" t="str">
        <f>_xlfn.XLOOKUP(A5557,'[1]Tissue Data'!$A:$A,'[1]Tissue Data'!$H:$H)</f>
        <v>Lepomis</v>
      </c>
      <c r="F5557" t="str">
        <f>_xlfn.XLOOKUP(A5557,'[1]Tissue Data'!$A:$A,'[1]Tissue Data'!$I:$I)</f>
        <v>gibbosus</v>
      </c>
      <c r="G5557" t="str">
        <f>_xlfn.XLOOKUP(A5557,'[1]Tissue Data'!$A:$A,'[1]Tissue Data'!J:J)</f>
        <v>U</v>
      </c>
      <c r="H5557" t="str">
        <f>_xlfn.XLOOKUP(A5557,'[1]Tissue Data'!$A:$A,'[1]Tissue Data'!K:K)</f>
        <v>Whole Body</v>
      </c>
      <c r="I5557">
        <f>_xlfn.XLOOKUP(A5557,'[1]Tissue Data'!$A:$A,'[1]Tissue Data'!L:L)</f>
        <v>6.5</v>
      </c>
      <c r="J5557">
        <f>_xlfn.XLOOKUP(A5557,'[1]Tissue Data'!$A:$A,'[1]Tissue Data'!M:M)</f>
        <v>5.93</v>
      </c>
      <c r="K5557" t="s">
        <v>17</v>
      </c>
      <c r="L5557" t="str">
        <f>_xlfn.XLOOKUP(K5557,[2]analyte_order!$B:$B,[2]analyte_order!$C:$C)</f>
        <v>375-95-1</v>
      </c>
      <c r="M5557">
        <f>_xlfn.XLOOKUP(L5557,[2]analyte_order!$C:$C,[2]analyte_order!$E:$E)</f>
        <v>6</v>
      </c>
      <c r="N5557">
        <v>4.5900000000000003E-2</v>
      </c>
    </row>
    <row r="5558" spans="1:14">
      <c r="A5558" t="s">
        <v>291</v>
      </c>
      <c r="B5558" t="str">
        <f>_xlfn.XLOOKUP(A5558,'[1]Tissue Data'!$A:$A,'[1]Tissue Data'!$C:$C)</f>
        <v>Spill</v>
      </c>
      <c r="C5558" s="2">
        <f>_xlfn.XLOOKUP(A5558,'[1]Tissue Data'!$A:$A,'[1]Tissue Data'!$D:$D)</f>
        <v>44393</v>
      </c>
      <c r="D5558" s="2" t="str">
        <f>_xlfn.XLOOKUP(A5558,'[1]Tissue Data'!$A:$A,'[1]Tissue Data'!$F:$F)</f>
        <v>Pumpkinseed</v>
      </c>
      <c r="E5558" t="str">
        <f>_xlfn.XLOOKUP(A5558,'[1]Tissue Data'!$A:$A,'[1]Tissue Data'!$H:$H)</f>
        <v>Lepomis</v>
      </c>
      <c r="F5558" t="str">
        <f>_xlfn.XLOOKUP(A5558,'[1]Tissue Data'!$A:$A,'[1]Tissue Data'!$I:$I)</f>
        <v>gibbosus</v>
      </c>
      <c r="G5558" t="str">
        <f>_xlfn.XLOOKUP(A5558,'[1]Tissue Data'!$A:$A,'[1]Tissue Data'!J:J)</f>
        <v>U</v>
      </c>
      <c r="H5558" t="str">
        <f>_xlfn.XLOOKUP(A5558,'[1]Tissue Data'!$A:$A,'[1]Tissue Data'!K:K)</f>
        <v>Whole Body</v>
      </c>
      <c r="I5558">
        <f>_xlfn.XLOOKUP(A5558,'[1]Tissue Data'!$A:$A,'[1]Tissue Data'!L:L)</f>
        <v>6.5</v>
      </c>
      <c r="J5558">
        <f>_xlfn.XLOOKUP(A5558,'[1]Tissue Data'!$A:$A,'[1]Tissue Data'!M:M)</f>
        <v>5.93</v>
      </c>
      <c r="K5558" t="s">
        <v>18</v>
      </c>
      <c r="L5558" t="str">
        <f>_xlfn.XLOOKUP(K5558,[2]analyte_order!$B:$B,[2]analyte_order!$C:$C)</f>
        <v>335-76-2</v>
      </c>
      <c r="M5558">
        <f>_xlfn.XLOOKUP(L5558,[2]analyte_order!$C:$C,[2]analyte_order!$E:$E)</f>
        <v>7</v>
      </c>
      <c r="N5558">
        <v>3.55</v>
      </c>
    </row>
    <row r="5559" spans="1:14">
      <c r="A5559" t="s">
        <v>291</v>
      </c>
      <c r="B5559" t="str">
        <f>_xlfn.XLOOKUP(A5559,'[1]Tissue Data'!$A:$A,'[1]Tissue Data'!$C:$C)</f>
        <v>Spill</v>
      </c>
      <c r="C5559" s="2">
        <f>_xlfn.XLOOKUP(A5559,'[1]Tissue Data'!$A:$A,'[1]Tissue Data'!$D:$D)</f>
        <v>44393</v>
      </c>
      <c r="D5559" s="2" t="str">
        <f>_xlfn.XLOOKUP(A5559,'[1]Tissue Data'!$A:$A,'[1]Tissue Data'!$F:$F)</f>
        <v>Pumpkinseed</v>
      </c>
      <c r="E5559" t="str">
        <f>_xlfn.XLOOKUP(A5559,'[1]Tissue Data'!$A:$A,'[1]Tissue Data'!$H:$H)</f>
        <v>Lepomis</v>
      </c>
      <c r="F5559" t="str">
        <f>_xlfn.XLOOKUP(A5559,'[1]Tissue Data'!$A:$A,'[1]Tissue Data'!$I:$I)</f>
        <v>gibbosus</v>
      </c>
      <c r="G5559" t="str">
        <f>_xlfn.XLOOKUP(A5559,'[1]Tissue Data'!$A:$A,'[1]Tissue Data'!J:J)</f>
        <v>U</v>
      </c>
      <c r="H5559" t="str">
        <f>_xlfn.XLOOKUP(A5559,'[1]Tissue Data'!$A:$A,'[1]Tissue Data'!K:K)</f>
        <v>Whole Body</v>
      </c>
      <c r="I5559">
        <f>_xlfn.XLOOKUP(A5559,'[1]Tissue Data'!$A:$A,'[1]Tissue Data'!L:L)</f>
        <v>6.5</v>
      </c>
      <c r="J5559">
        <f>_xlfn.XLOOKUP(A5559,'[1]Tissue Data'!$A:$A,'[1]Tissue Data'!M:M)</f>
        <v>5.93</v>
      </c>
      <c r="K5559" t="s">
        <v>19</v>
      </c>
      <c r="L5559" t="str">
        <f>_xlfn.XLOOKUP(K5559,[2]analyte_order!$B:$B,[2]analyte_order!$C:$C)</f>
        <v>2058-94-8</v>
      </c>
      <c r="M5559">
        <f>_xlfn.XLOOKUP(L5559,[2]analyte_order!$C:$C,[2]analyte_order!$E:$E)</f>
        <v>8</v>
      </c>
      <c r="N5559">
        <v>5.35</v>
      </c>
    </row>
    <row r="5560" spans="1:14">
      <c r="A5560" t="s">
        <v>291</v>
      </c>
      <c r="B5560" t="str">
        <f>_xlfn.XLOOKUP(A5560,'[1]Tissue Data'!$A:$A,'[1]Tissue Data'!$C:$C)</f>
        <v>Spill</v>
      </c>
      <c r="C5560" s="2">
        <f>_xlfn.XLOOKUP(A5560,'[1]Tissue Data'!$A:$A,'[1]Tissue Data'!$D:$D)</f>
        <v>44393</v>
      </c>
      <c r="D5560" s="2" t="str">
        <f>_xlfn.XLOOKUP(A5560,'[1]Tissue Data'!$A:$A,'[1]Tissue Data'!$F:$F)</f>
        <v>Pumpkinseed</v>
      </c>
      <c r="E5560" t="str">
        <f>_xlfn.XLOOKUP(A5560,'[1]Tissue Data'!$A:$A,'[1]Tissue Data'!$H:$H)</f>
        <v>Lepomis</v>
      </c>
      <c r="F5560" t="str">
        <f>_xlfn.XLOOKUP(A5560,'[1]Tissue Data'!$A:$A,'[1]Tissue Data'!$I:$I)</f>
        <v>gibbosus</v>
      </c>
      <c r="G5560" t="str">
        <f>_xlfn.XLOOKUP(A5560,'[1]Tissue Data'!$A:$A,'[1]Tissue Data'!J:J)</f>
        <v>U</v>
      </c>
      <c r="H5560" t="str">
        <f>_xlfn.XLOOKUP(A5560,'[1]Tissue Data'!$A:$A,'[1]Tissue Data'!K:K)</f>
        <v>Whole Body</v>
      </c>
      <c r="I5560">
        <f>_xlfn.XLOOKUP(A5560,'[1]Tissue Data'!$A:$A,'[1]Tissue Data'!L:L)</f>
        <v>6.5</v>
      </c>
      <c r="J5560">
        <f>_xlfn.XLOOKUP(A5560,'[1]Tissue Data'!$A:$A,'[1]Tissue Data'!M:M)</f>
        <v>5.93</v>
      </c>
      <c r="K5560" t="s">
        <v>20</v>
      </c>
      <c r="L5560" t="str">
        <f>_xlfn.XLOOKUP(K5560,[2]analyte_order!$B:$B,[2]analyte_order!$C:$C)</f>
        <v>307-55-1</v>
      </c>
      <c r="M5560">
        <f>_xlfn.XLOOKUP(L5560,[2]analyte_order!$C:$C,[2]analyte_order!$E:$E)</f>
        <v>9</v>
      </c>
      <c r="N5560">
        <v>9.92</v>
      </c>
    </row>
    <row r="5561" spans="1:14">
      <c r="A5561" t="s">
        <v>291</v>
      </c>
      <c r="B5561" t="str">
        <f>_xlfn.XLOOKUP(A5561,'[1]Tissue Data'!$A:$A,'[1]Tissue Data'!$C:$C)</f>
        <v>Spill</v>
      </c>
      <c r="C5561" s="2">
        <f>_xlfn.XLOOKUP(A5561,'[1]Tissue Data'!$A:$A,'[1]Tissue Data'!$D:$D)</f>
        <v>44393</v>
      </c>
      <c r="D5561" s="2" t="str">
        <f>_xlfn.XLOOKUP(A5561,'[1]Tissue Data'!$A:$A,'[1]Tissue Data'!$F:$F)</f>
        <v>Pumpkinseed</v>
      </c>
      <c r="E5561" t="str">
        <f>_xlfn.XLOOKUP(A5561,'[1]Tissue Data'!$A:$A,'[1]Tissue Data'!$H:$H)</f>
        <v>Lepomis</v>
      </c>
      <c r="F5561" t="str">
        <f>_xlfn.XLOOKUP(A5561,'[1]Tissue Data'!$A:$A,'[1]Tissue Data'!$I:$I)</f>
        <v>gibbosus</v>
      </c>
      <c r="G5561" t="str">
        <f>_xlfn.XLOOKUP(A5561,'[1]Tissue Data'!$A:$A,'[1]Tissue Data'!J:J)</f>
        <v>U</v>
      </c>
      <c r="H5561" t="str">
        <f>_xlfn.XLOOKUP(A5561,'[1]Tissue Data'!$A:$A,'[1]Tissue Data'!K:K)</f>
        <v>Whole Body</v>
      </c>
      <c r="I5561">
        <f>_xlfn.XLOOKUP(A5561,'[1]Tissue Data'!$A:$A,'[1]Tissue Data'!L:L)</f>
        <v>6.5</v>
      </c>
      <c r="J5561">
        <f>_xlfn.XLOOKUP(A5561,'[1]Tissue Data'!$A:$A,'[1]Tissue Data'!M:M)</f>
        <v>5.93</v>
      </c>
      <c r="K5561" t="s">
        <v>21</v>
      </c>
      <c r="L5561" t="str">
        <f>_xlfn.XLOOKUP(K5561,[2]analyte_order!$B:$B,[2]analyte_order!$C:$C)</f>
        <v>72629-94-8</v>
      </c>
      <c r="M5561">
        <f>_xlfn.XLOOKUP(L5561,[2]analyte_order!$C:$C,[2]analyte_order!$E:$E)</f>
        <v>10</v>
      </c>
      <c r="N5561">
        <v>1.85</v>
      </c>
    </row>
    <row r="5562" spans="1:14">
      <c r="A5562" t="s">
        <v>291</v>
      </c>
      <c r="B5562" t="str">
        <f>_xlfn.XLOOKUP(A5562,'[1]Tissue Data'!$A:$A,'[1]Tissue Data'!$C:$C)</f>
        <v>Spill</v>
      </c>
      <c r="C5562" s="2">
        <f>_xlfn.XLOOKUP(A5562,'[1]Tissue Data'!$A:$A,'[1]Tissue Data'!$D:$D)</f>
        <v>44393</v>
      </c>
      <c r="D5562" s="2" t="str">
        <f>_xlfn.XLOOKUP(A5562,'[1]Tissue Data'!$A:$A,'[1]Tissue Data'!$F:$F)</f>
        <v>Pumpkinseed</v>
      </c>
      <c r="E5562" t="str">
        <f>_xlfn.XLOOKUP(A5562,'[1]Tissue Data'!$A:$A,'[1]Tissue Data'!$H:$H)</f>
        <v>Lepomis</v>
      </c>
      <c r="F5562" t="str">
        <f>_xlfn.XLOOKUP(A5562,'[1]Tissue Data'!$A:$A,'[1]Tissue Data'!$I:$I)</f>
        <v>gibbosus</v>
      </c>
      <c r="G5562" t="str">
        <f>_xlfn.XLOOKUP(A5562,'[1]Tissue Data'!$A:$A,'[1]Tissue Data'!J:J)</f>
        <v>U</v>
      </c>
      <c r="H5562" t="str">
        <f>_xlfn.XLOOKUP(A5562,'[1]Tissue Data'!$A:$A,'[1]Tissue Data'!K:K)</f>
        <v>Whole Body</v>
      </c>
      <c r="I5562">
        <f>_xlfn.XLOOKUP(A5562,'[1]Tissue Data'!$A:$A,'[1]Tissue Data'!L:L)</f>
        <v>6.5</v>
      </c>
      <c r="J5562">
        <f>_xlfn.XLOOKUP(A5562,'[1]Tissue Data'!$A:$A,'[1]Tissue Data'!M:M)</f>
        <v>5.93</v>
      </c>
      <c r="K5562" t="s">
        <v>22</v>
      </c>
      <c r="L5562" t="str">
        <f>_xlfn.XLOOKUP(K5562,[2]analyte_order!$B:$B,[2]analyte_order!$C:$C)</f>
        <v>376-06-7</v>
      </c>
      <c r="M5562">
        <f>_xlfn.XLOOKUP(L5562,[2]analyte_order!$C:$C,[2]analyte_order!$E:$E)</f>
        <v>11</v>
      </c>
      <c r="N5562">
        <v>11.6</v>
      </c>
    </row>
    <row r="5563" spans="1:14">
      <c r="A5563" t="s">
        <v>291</v>
      </c>
      <c r="B5563" t="str">
        <f>_xlfn.XLOOKUP(A5563,'[1]Tissue Data'!$A:$A,'[1]Tissue Data'!$C:$C)</f>
        <v>Spill</v>
      </c>
      <c r="C5563" s="2">
        <f>_xlfn.XLOOKUP(A5563,'[1]Tissue Data'!$A:$A,'[1]Tissue Data'!$D:$D)</f>
        <v>44393</v>
      </c>
      <c r="D5563" s="2" t="str">
        <f>_xlfn.XLOOKUP(A5563,'[1]Tissue Data'!$A:$A,'[1]Tissue Data'!$F:$F)</f>
        <v>Pumpkinseed</v>
      </c>
      <c r="E5563" t="str">
        <f>_xlfn.XLOOKUP(A5563,'[1]Tissue Data'!$A:$A,'[1]Tissue Data'!$H:$H)</f>
        <v>Lepomis</v>
      </c>
      <c r="F5563" t="str">
        <f>_xlfn.XLOOKUP(A5563,'[1]Tissue Data'!$A:$A,'[1]Tissue Data'!$I:$I)</f>
        <v>gibbosus</v>
      </c>
      <c r="G5563" t="str">
        <f>_xlfn.XLOOKUP(A5563,'[1]Tissue Data'!$A:$A,'[1]Tissue Data'!J:J)</f>
        <v>U</v>
      </c>
      <c r="H5563" t="str">
        <f>_xlfn.XLOOKUP(A5563,'[1]Tissue Data'!$A:$A,'[1]Tissue Data'!K:K)</f>
        <v>Whole Body</v>
      </c>
      <c r="I5563">
        <f>_xlfn.XLOOKUP(A5563,'[1]Tissue Data'!$A:$A,'[1]Tissue Data'!L:L)</f>
        <v>6.5</v>
      </c>
      <c r="J5563">
        <f>_xlfn.XLOOKUP(A5563,'[1]Tissue Data'!$A:$A,'[1]Tissue Data'!M:M)</f>
        <v>5.93</v>
      </c>
      <c r="K5563" t="s">
        <v>23</v>
      </c>
      <c r="L5563" t="str">
        <f>_xlfn.XLOOKUP(K5563,[2]analyte_order!$B:$B,[2]analyte_order!$C:$C)</f>
        <v>67905-19-5</v>
      </c>
      <c r="M5563">
        <f>_xlfn.XLOOKUP(L5563,[2]analyte_order!$C:$C,[2]analyte_order!$E:$E)</f>
        <v>12</v>
      </c>
      <c r="N5563">
        <v>7.9000000000000001E-2</v>
      </c>
    </row>
    <row r="5564" spans="1:14">
      <c r="A5564" t="s">
        <v>291</v>
      </c>
      <c r="B5564" t="str">
        <f>_xlfn.XLOOKUP(A5564,'[1]Tissue Data'!$A:$A,'[1]Tissue Data'!$C:$C)</f>
        <v>Spill</v>
      </c>
      <c r="C5564" s="2">
        <f>_xlfn.XLOOKUP(A5564,'[1]Tissue Data'!$A:$A,'[1]Tissue Data'!$D:$D)</f>
        <v>44393</v>
      </c>
      <c r="D5564" s="2" t="str">
        <f>_xlfn.XLOOKUP(A5564,'[1]Tissue Data'!$A:$A,'[1]Tissue Data'!$F:$F)</f>
        <v>Pumpkinseed</v>
      </c>
      <c r="E5564" t="str">
        <f>_xlfn.XLOOKUP(A5564,'[1]Tissue Data'!$A:$A,'[1]Tissue Data'!$H:$H)</f>
        <v>Lepomis</v>
      </c>
      <c r="F5564" t="str">
        <f>_xlfn.XLOOKUP(A5564,'[1]Tissue Data'!$A:$A,'[1]Tissue Data'!$I:$I)</f>
        <v>gibbosus</v>
      </c>
      <c r="G5564" t="str">
        <f>_xlfn.XLOOKUP(A5564,'[1]Tissue Data'!$A:$A,'[1]Tissue Data'!J:J)</f>
        <v>U</v>
      </c>
      <c r="H5564" t="str">
        <f>_xlfn.XLOOKUP(A5564,'[1]Tissue Data'!$A:$A,'[1]Tissue Data'!K:K)</f>
        <v>Whole Body</v>
      </c>
      <c r="I5564">
        <f>_xlfn.XLOOKUP(A5564,'[1]Tissue Data'!$A:$A,'[1]Tissue Data'!L:L)</f>
        <v>6.5</v>
      </c>
      <c r="J5564">
        <f>_xlfn.XLOOKUP(A5564,'[1]Tissue Data'!$A:$A,'[1]Tissue Data'!M:M)</f>
        <v>5.93</v>
      </c>
      <c r="K5564" t="s">
        <v>24</v>
      </c>
      <c r="L5564" t="str">
        <f>_xlfn.XLOOKUP(K5564,[2]analyte_order!$B:$B,[2]analyte_order!$C:$C)</f>
        <v>423-41-6</v>
      </c>
      <c r="M5564">
        <f>_xlfn.XLOOKUP(L5564,[2]analyte_order!$C:$C,[2]analyte_order!$E:$E)</f>
        <v>53</v>
      </c>
      <c r="N5564">
        <v>6.6500000000000004E-2</v>
      </c>
    </row>
    <row r="5565" spans="1:14">
      <c r="A5565" t="s">
        <v>291</v>
      </c>
      <c r="B5565" t="str">
        <f>_xlfn.XLOOKUP(A5565,'[1]Tissue Data'!$A:$A,'[1]Tissue Data'!$C:$C)</f>
        <v>Spill</v>
      </c>
      <c r="C5565" s="2">
        <f>_xlfn.XLOOKUP(A5565,'[1]Tissue Data'!$A:$A,'[1]Tissue Data'!$D:$D)</f>
        <v>44393</v>
      </c>
      <c r="D5565" s="2" t="str">
        <f>_xlfn.XLOOKUP(A5565,'[1]Tissue Data'!$A:$A,'[1]Tissue Data'!$F:$F)</f>
        <v>Pumpkinseed</v>
      </c>
      <c r="E5565" t="str">
        <f>_xlfn.XLOOKUP(A5565,'[1]Tissue Data'!$A:$A,'[1]Tissue Data'!$H:$H)</f>
        <v>Lepomis</v>
      </c>
      <c r="F5565" t="str">
        <f>_xlfn.XLOOKUP(A5565,'[1]Tissue Data'!$A:$A,'[1]Tissue Data'!$I:$I)</f>
        <v>gibbosus</v>
      </c>
      <c r="G5565" t="str">
        <f>_xlfn.XLOOKUP(A5565,'[1]Tissue Data'!$A:$A,'[1]Tissue Data'!J:J)</f>
        <v>U</v>
      </c>
      <c r="H5565" t="str">
        <f>_xlfn.XLOOKUP(A5565,'[1]Tissue Data'!$A:$A,'[1]Tissue Data'!K:K)</f>
        <v>Whole Body</v>
      </c>
      <c r="I5565">
        <f>_xlfn.XLOOKUP(A5565,'[1]Tissue Data'!$A:$A,'[1]Tissue Data'!L:L)</f>
        <v>6.5</v>
      </c>
      <c r="J5565">
        <f>_xlfn.XLOOKUP(A5565,'[1]Tissue Data'!$A:$A,'[1]Tissue Data'!M:M)</f>
        <v>5.93</v>
      </c>
      <c r="K5565" t="s">
        <v>25</v>
      </c>
      <c r="L5565" t="str">
        <f>_xlfn.XLOOKUP(K5565,[2]analyte_order!$B:$B,[2]analyte_order!$C:$C)</f>
        <v>375-73-5</v>
      </c>
      <c r="M5565">
        <f>_xlfn.XLOOKUP(L5565,[2]analyte_order!$C:$C,[2]analyte_order!$E:$E)</f>
        <v>14</v>
      </c>
      <c r="N5565">
        <v>0.14899999999999999</v>
      </c>
    </row>
    <row r="5566" spans="1:14">
      <c r="A5566" t="s">
        <v>291</v>
      </c>
      <c r="B5566" t="str">
        <f>_xlfn.XLOOKUP(A5566,'[1]Tissue Data'!$A:$A,'[1]Tissue Data'!$C:$C)</f>
        <v>Spill</v>
      </c>
      <c r="C5566" s="2">
        <f>_xlfn.XLOOKUP(A5566,'[1]Tissue Data'!$A:$A,'[1]Tissue Data'!$D:$D)</f>
        <v>44393</v>
      </c>
      <c r="D5566" s="2" t="str">
        <f>_xlfn.XLOOKUP(A5566,'[1]Tissue Data'!$A:$A,'[1]Tissue Data'!$F:$F)</f>
        <v>Pumpkinseed</v>
      </c>
      <c r="E5566" t="str">
        <f>_xlfn.XLOOKUP(A5566,'[1]Tissue Data'!$A:$A,'[1]Tissue Data'!$H:$H)</f>
        <v>Lepomis</v>
      </c>
      <c r="F5566" t="str">
        <f>_xlfn.XLOOKUP(A5566,'[1]Tissue Data'!$A:$A,'[1]Tissue Data'!$I:$I)</f>
        <v>gibbosus</v>
      </c>
      <c r="G5566" t="str">
        <f>_xlfn.XLOOKUP(A5566,'[1]Tissue Data'!$A:$A,'[1]Tissue Data'!J:J)</f>
        <v>U</v>
      </c>
      <c r="H5566" t="str">
        <f>_xlfn.XLOOKUP(A5566,'[1]Tissue Data'!$A:$A,'[1]Tissue Data'!K:K)</f>
        <v>Whole Body</v>
      </c>
      <c r="I5566">
        <f>_xlfn.XLOOKUP(A5566,'[1]Tissue Data'!$A:$A,'[1]Tissue Data'!L:L)</f>
        <v>6.5</v>
      </c>
      <c r="J5566">
        <f>_xlfn.XLOOKUP(A5566,'[1]Tissue Data'!$A:$A,'[1]Tissue Data'!M:M)</f>
        <v>5.93</v>
      </c>
      <c r="K5566" t="s">
        <v>26</v>
      </c>
      <c r="L5566" t="str">
        <f>_xlfn.XLOOKUP(K5566,[2]analyte_order!$B:$B,[2]analyte_order!$C:$C)</f>
        <v>2706-91-4</v>
      </c>
      <c r="M5566">
        <f>_xlfn.XLOOKUP(L5566,[2]analyte_order!$C:$C,[2]analyte_order!$E:$E)</f>
        <v>15</v>
      </c>
      <c r="N5566">
        <v>0.219</v>
      </c>
    </row>
    <row r="5567" spans="1:14">
      <c r="A5567" t="s">
        <v>291</v>
      </c>
      <c r="B5567" t="str">
        <f>_xlfn.XLOOKUP(A5567,'[1]Tissue Data'!$A:$A,'[1]Tissue Data'!$C:$C)</f>
        <v>Spill</v>
      </c>
      <c r="C5567" s="2">
        <f>_xlfn.XLOOKUP(A5567,'[1]Tissue Data'!$A:$A,'[1]Tissue Data'!$D:$D)</f>
        <v>44393</v>
      </c>
      <c r="D5567" s="2" t="str">
        <f>_xlfn.XLOOKUP(A5567,'[1]Tissue Data'!$A:$A,'[1]Tissue Data'!$F:$F)</f>
        <v>Pumpkinseed</v>
      </c>
      <c r="E5567" t="str">
        <f>_xlfn.XLOOKUP(A5567,'[1]Tissue Data'!$A:$A,'[1]Tissue Data'!$H:$H)</f>
        <v>Lepomis</v>
      </c>
      <c r="F5567" t="str">
        <f>_xlfn.XLOOKUP(A5567,'[1]Tissue Data'!$A:$A,'[1]Tissue Data'!$I:$I)</f>
        <v>gibbosus</v>
      </c>
      <c r="G5567" t="str">
        <f>_xlfn.XLOOKUP(A5567,'[1]Tissue Data'!$A:$A,'[1]Tissue Data'!J:J)</f>
        <v>U</v>
      </c>
      <c r="H5567" t="str">
        <f>_xlfn.XLOOKUP(A5567,'[1]Tissue Data'!$A:$A,'[1]Tissue Data'!K:K)</f>
        <v>Whole Body</v>
      </c>
      <c r="I5567">
        <f>_xlfn.XLOOKUP(A5567,'[1]Tissue Data'!$A:$A,'[1]Tissue Data'!L:L)</f>
        <v>6.5</v>
      </c>
      <c r="J5567">
        <f>_xlfn.XLOOKUP(A5567,'[1]Tissue Data'!$A:$A,'[1]Tissue Data'!M:M)</f>
        <v>5.93</v>
      </c>
      <c r="K5567" t="s">
        <v>27</v>
      </c>
      <c r="L5567" t="str">
        <f>_xlfn.XLOOKUP(K5567,[2]analyte_order!$B:$B,[2]analyte_order!$C:$C)</f>
        <v>355-46-4</v>
      </c>
      <c r="M5567">
        <f>_xlfn.XLOOKUP(L5567,[2]analyte_order!$C:$C,[2]analyte_order!$E:$E)</f>
        <v>16</v>
      </c>
      <c r="N5567">
        <v>13.4</v>
      </c>
    </row>
    <row r="5568" spans="1:14">
      <c r="A5568" t="s">
        <v>291</v>
      </c>
      <c r="B5568" t="str">
        <f>_xlfn.XLOOKUP(A5568,'[1]Tissue Data'!$A:$A,'[1]Tissue Data'!$C:$C)</f>
        <v>Spill</v>
      </c>
      <c r="C5568" s="2">
        <f>_xlfn.XLOOKUP(A5568,'[1]Tissue Data'!$A:$A,'[1]Tissue Data'!$D:$D)</f>
        <v>44393</v>
      </c>
      <c r="D5568" s="2" t="str">
        <f>_xlfn.XLOOKUP(A5568,'[1]Tissue Data'!$A:$A,'[1]Tissue Data'!$F:$F)</f>
        <v>Pumpkinseed</v>
      </c>
      <c r="E5568" t="str">
        <f>_xlfn.XLOOKUP(A5568,'[1]Tissue Data'!$A:$A,'[1]Tissue Data'!$H:$H)</f>
        <v>Lepomis</v>
      </c>
      <c r="F5568" t="str">
        <f>_xlfn.XLOOKUP(A5568,'[1]Tissue Data'!$A:$A,'[1]Tissue Data'!$I:$I)</f>
        <v>gibbosus</v>
      </c>
      <c r="G5568" t="str">
        <f>_xlfn.XLOOKUP(A5568,'[1]Tissue Data'!$A:$A,'[1]Tissue Data'!J:J)</f>
        <v>U</v>
      </c>
      <c r="H5568" t="str">
        <f>_xlfn.XLOOKUP(A5568,'[1]Tissue Data'!$A:$A,'[1]Tissue Data'!K:K)</f>
        <v>Whole Body</v>
      </c>
      <c r="I5568">
        <f>_xlfn.XLOOKUP(A5568,'[1]Tissue Data'!$A:$A,'[1]Tissue Data'!L:L)</f>
        <v>6.5</v>
      </c>
      <c r="J5568">
        <f>_xlfn.XLOOKUP(A5568,'[1]Tissue Data'!$A:$A,'[1]Tissue Data'!M:M)</f>
        <v>5.93</v>
      </c>
      <c r="K5568" t="s">
        <v>28</v>
      </c>
      <c r="L5568" t="str">
        <f>_xlfn.XLOOKUP(K5568,[2]analyte_order!$B:$B,[2]analyte_order!$C:$C)</f>
        <v>375-92-8</v>
      </c>
      <c r="M5568">
        <f>_xlfn.XLOOKUP(L5568,[2]analyte_order!$C:$C,[2]analyte_order!$E:$E)</f>
        <v>17</v>
      </c>
      <c r="N5568">
        <v>3.35</v>
      </c>
    </row>
    <row r="5569" spans="1:14">
      <c r="A5569" t="s">
        <v>291</v>
      </c>
      <c r="B5569" t="str">
        <f>_xlfn.XLOOKUP(A5569,'[1]Tissue Data'!$A:$A,'[1]Tissue Data'!$C:$C)</f>
        <v>Spill</v>
      </c>
      <c r="C5569" s="2">
        <f>_xlfn.XLOOKUP(A5569,'[1]Tissue Data'!$A:$A,'[1]Tissue Data'!$D:$D)</f>
        <v>44393</v>
      </c>
      <c r="D5569" s="2" t="str">
        <f>_xlfn.XLOOKUP(A5569,'[1]Tissue Data'!$A:$A,'[1]Tissue Data'!$F:$F)</f>
        <v>Pumpkinseed</v>
      </c>
      <c r="E5569" t="str">
        <f>_xlfn.XLOOKUP(A5569,'[1]Tissue Data'!$A:$A,'[1]Tissue Data'!$H:$H)</f>
        <v>Lepomis</v>
      </c>
      <c r="F5569" t="str">
        <f>_xlfn.XLOOKUP(A5569,'[1]Tissue Data'!$A:$A,'[1]Tissue Data'!$I:$I)</f>
        <v>gibbosus</v>
      </c>
      <c r="G5569" t="str">
        <f>_xlfn.XLOOKUP(A5569,'[1]Tissue Data'!$A:$A,'[1]Tissue Data'!J:J)</f>
        <v>U</v>
      </c>
      <c r="H5569" t="str">
        <f>_xlfn.XLOOKUP(A5569,'[1]Tissue Data'!$A:$A,'[1]Tissue Data'!K:K)</f>
        <v>Whole Body</v>
      </c>
      <c r="I5569">
        <f>_xlfn.XLOOKUP(A5569,'[1]Tissue Data'!$A:$A,'[1]Tissue Data'!L:L)</f>
        <v>6.5</v>
      </c>
      <c r="J5569">
        <f>_xlfn.XLOOKUP(A5569,'[1]Tissue Data'!$A:$A,'[1]Tissue Data'!M:M)</f>
        <v>5.93</v>
      </c>
      <c r="K5569" t="s">
        <v>29</v>
      </c>
      <c r="L5569" t="str">
        <f>_xlfn.XLOOKUP(K5569,[2]analyte_order!$B:$B,[2]analyte_order!$C:$C)</f>
        <v>1763-23-1</v>
      </c>
      <c r="M5569">
        <f>_xlfn.XLOOKUP(L5569,[2]analyte_order!$C:$C,[2]analyte_order!$E:$E)</f>
        <v>18</v>
      </c>
      <c r="N5569">
        <v>668</v>
      </c>
    </row>
    <row r="5570" spans="1:14">
      <c r="A5570" t="s">
        <v>291</v>
      </c>
      <c r="B5570" t="str">
        <f>_xlfn.XLOOKUP(A5570,'[1]Tissue Data'!$A:$A,'[1]Tissue Data'!$C:$C)</f>
        <v>Spill</v>
      </c>
      <c r="C5570" s="2">
        <f>_xlfn.XLOOKUP(A5570,'[1]Tissue Data'!$A:$A,'[1]Tissue Data'!$D:$D)</f>
        <v>44393</v>
      </c>
      <c r="D5570" s="2" t="str">
        <f>_xlfn.XLOOKUP(A5570,'[1]Tissue Data'!$A:$A,'[1]Tissue Data'!$F:$F)</f>
        <v>Pumpkinseed</v>
      </c>
      <c r="E5570" t="str">
        <f>_xlfn.XLOOKUP(A5570,'[1]Tissue Data'!$A:$A,'[1]Tissue Data'!$H:$H)</f>
        <v>Lepomis</v>
      </c>
      <c r="F5570" t="str">
        <f>_xlfn.XLOOKUP(A5570,'[1]Tissue Data'!$A:$A,'[1]Tissue Data'!$I:$I)</f>
        <v>gibbosus</v>
      </c>
      <c r="G5570" t="str">
        <f>_xlfn.XLOOKUP(A5570,'[1]Tissue Data'!$A:$A,'[1]Tissue Data'!J:J)</f>
        <v>U</v>
      </c>
      <c r="H5570" t="str">
        <f>_xlfn.XLOOKUP(A5570,'[1]Tissue Data'!$A:$A,'[1]Tissue Data'!K:K)</f>
        <v>Whole Body</v>
      </c>
      <c r="I5570">
        <f>_xlfn.XLOOKUP(A5570,'[1]Tissue Data'!$A:$A,'[1]Tissue Data'!L:L)</f>
        <v>6.5</v>
      </c>
      <c r="J5570">
        <f>_xlfn.XLOOKUP(A5570,'[1]Tissue Data'!$A:$A,'[1]Tissue Data'!M:M)</f>
        <v>5.93</v>
      </c>
      <c r="K5570" t="s">
        <v>30</v>
      </c>
      <c r="L5570" t="str">
        <f>_xlfn.XLOOKUP(K5570,[2]analyte_order!$B:$B,[2]analyte_order!$C:$C)</f>
        <v>68259-12-1</v>
      </c>
      <c r="M5570">
        <f>_xlfn.XLOOKUP(L5570,[2]analyte_order!$C:$C,[2]analyte_order!$E:$E)</f>
        <v>19</v>
      </c>
      <c r="N5570">
        <v>5.71</v>
      </c>
    </row>
    <row r="5571" spans="1:14">
      <c r="A5571" t="s">
        <v>291</v>
      </c>
      <c r="B5571" t="str">
        <f>_xlfn.XLOOKUP(A5571,'[1]Tissue Data'!$A:$A,'[1]Tissue Data'!$C:$C)</f>
        <v>Spill</v>
      </c>
      <c r="C5571" s="2">
        <f>_xlfn.XLOOKUP(A5571,'[1]Tissue Data'!$A:$A,'[1]Tissue Data'!$D:$D)</f>
        <v>44393</v>
      </c>
      <c r="D5571" s="2" t="str">
        <f>_xlfn.XLOOKUP(A5571,'[1]Tissue Data'!$A:$A,'[1]Tissue Data'!$F:$F)</f>
        <v>Pumpkinseed</v>
      </c>
      <c r="E5571" t="str">
        <f>_xlfn.XLOOKUP(A5571,'[1]Tissue Data'!$A:$A,'[1]Tissue Data'!$H:$H)</f>
        <v>Lepomis</v>
      </c>
      <c r="F5571" t="str">
        <f>_xlfn.XLOOKUP(A5571,'[1]Tissue Data'!$A:$A,'[1]Tissue Data'!$I:$I)</f>
        <v>gibbosus</v>
      </c>
      <c r="G5571" t="str">
        <f>_xlfn.XLOOKUP(A5571,'[1]Tissue Data'!$A:$A,'[1]Tissue Data'!J:J)</f>
        <v>U</v>
      </c>
      <c r="H5571" t="str">
        <f>_xlfn.XLOOKUP(A5571,'[1]Tissue Data'!$A:$A,'[1]Tissue Data'!K:K)</f>
        <v>Whole Body</v>
      </c>
      <c r="I5571">
        <f>_xlfn.XLOOKUP(A5571,'[1]Tissue Data'!$A:$A,'[1]Tissue Data'!L:L)</f>
        <v>6.5</v>
      </c>
      <c r="J5571">
        <f>_xlfn.XLOOKUP(A5571,'[1]Tissue Data'!$A:$A,'[1]Tissue Data'!M:M)</f>
        <v>5.93</v>
      </c>
      <c r="K5571" t="s">
        <v>31</v>
      </c>
      <c r="L5571" t="str">
        <f>_xlfn.XLOOKUP(K5571,[2]analyte_order!$B:$B,[2]analyte_order!$C:$C)</f>
        <v>335-77-3</v>
      </c>
      <c r="M5571">
        <f>_xlfn.XLOOKUP(L5571,[2]analyte_order!$C:$C,[2]analyte_order!$E:$E)</f>
        <v>20</v>
      </c>
      <c r="N5571">
        <v>5.26</v>
      </c>
    </row>
    <row r="5572" spans="1:14">
      <c r="A5572" t="s">
        <v>291</v>
      </c>
      <c r="B5572" t="str">
        <f>_xlfn.XLOOKUP(A5572,'[1]Tissue Data'!$A:$A,'[1]Tissue Data'!$C:$C)</f>
        <v>Spill</v>
      </c>
      <c r="C5572" s="2">
        <f>_xlfn.XLOOKUP(A5572,'[1]Tissue Data'!$A:$A,'[1]Tissue Data'!$D:$D)</f>
        <v>44393</v>
      </c>
      <c r="D5572" s="2" t="str">
        <f>_xlfn.XLOOKUP(A5572,'[1]Tissue Data'!$A:$A,'[1]Tissue Data'!$F:$F)</f>
        <v>Pumpkinseed</v>
      </c>
      <c r="E5572" t="str">
        <f>_xlfn.XLOOKUP(A5572,'[1]Tissue Data'!$A:$A,'[1]Tissue Data'!$H:$H)</f>
        <v>Lepomis</v>
      </c>
      <c r="F5572" t="str">
        <f>_xlfn.XLOOKUP(A5572,'[1]Tissue Data'!$A:$A,'[1]Tissue Data'!$I:$I)</f>
        <v>gibbosus</v>
      </c>
      <c r="G5572" t="str">
        <f>_xlfn.XLOOKUP(A5572,'[1]Tissue Data'!$A:$A,'[1]Tissue Data'!J:J)</f>
        <v>U</v>
      </c>
      <c r="H5572" t="str">
        <f>_xlfn.XLOOKUP(A5572,'[1]Tissue Data'!$A:$A,'[1]Tissue Data'!K:K)</f>
        <v>Whole Body</v>
      </c>
      <c r="I5572">
        <f>_xlfn.XLOOKUP(A5572,'[1]Tissue Data'!$A:$A,'[1]Tissue Data'!L:L)</f>
        <v>6.5</v>
      </c>
      <c r="J5572">
        <f>_xlfn.XLOOKUP(A5572,'[1]Tissue Data'!$A:$A,'[1]Tissue Data'!M:M)</f>
        <v>5.93</v>
      </c>
      <c r="K5572" t="s">
        <v>32</v>
      </c>
      <c r="L5572" t="str">
        <f>_xlfn.XLOOKUP(K5572,[2]analyte_order!$B:$B,[2]analyte_order!$C:$C)</f>
        <v>79780-39-5</v>
      </c>
      <c r="M5572">
        <f>_xlfn.XLOOKUP(L5572,[2]analyte_order!$C:$C,[2]analyte_order!$E:$E)</f>
        <v>21</v>
      </c>
      <c r="N5572">
        <v>2.17</v>
      </c>
    </row>
    <row r="5573" spans="1:14">
      <c r="A5573" t="s">
        <v>291</v>
      </c>
      <c r="B5573" t="str">
        <f>_xlfn.XLOOKUP(A5573,'[1]Tissue Data'!$A:$A,'[1]Tissue Data'!$C:$C)</f>
        <v>Spill</v>
      </c>
      <c r="C5573" s="2">
        <f>_xlfn.XLOOKUP(A5573,'[1]Tissue Data'!$A:$A,'[1]Tissue Data'!$D:$D)</f>
        <v>44393</v>
      </c>
      <c r="D5573" s="2" t="str">
        <f>_xlfn.XLOOKUP(A5573,'[1]Tissue Data'!$A:$A,'[1]Tissue Data'!$F:$F)</f>
        <v>Pumpkinseed</v>
      </c>
      <c r="E5573" t="str">
        <f>_xlfn.XLOOKUP(A5573,'[1]Tissue Data'!$A:$A,'[1]Tissue Data'!$H:$H)</f>
        <v>Lepomis</v>
      </c>
      <c r="F5573" t="str">
        <f>_xlfn.XLOOKUP(A5573,'[1]Tissue Data'!$A:$A,'[1]Tissue Data'!$I:$I)</f>
        <v>gibbosus</v>
      </c>
      <c r="G5573" t="str">
        <f>_xlfn.XLOOKUP(A5573,'[1]Tissue Data'!$A:$A,'[1]Tissue Data'!J:J)</f>
        <v>U</v>
      </c>
      <c r="H5573" t="str">
        <f>_xlfn.XLOOKUP(A5573,'[1]Tissue Data'!$A:$A,'[1]Tissue Data'!K:K)</f>
        <v>Whole Body</v>
      </c>
      <c r="I5573">
        <f>_xlfn.XLOOKUP(A5573,'[1]Tissue Data'!$A:$A,'[1]Tissue Data'!L:L)</f>
        <v>6.5</v>
      </c>
      <c r="J5573">
        <f>_xlfn.XLOOKUP(A5573,'[1]Tissue Data'!$A:$A,'[1]Tissue Data'!M:M)</f>
        <v>5.93</v>
      </c>
      <c r="K5573" t="s">
        <v>33</v>
      </c>
      <c r="L5573" t="str">
        <f>_xlfn.XLOOKUP(K5573,[2]analyte_order!$B:$B,[2]analyte_order!$C:$C)</f>
        <v>777011-38-8</v>
      </c>
      <c r="M5573">
        <f>_xlfn.XLOOKUP(L5573,[2]analyte_order!$C:$C,[2]analyte_order!$E:$E)</f>
        <v>54</v>
      </c>
      <c r="N5573">
        <v>0.13300000000000001</v>
      </c>
    </row>
    <row r="5574" spans="1:14">
      <c r="A5574" t="s">
        <v>291</v>
      </c>
      <c r="B5574" t="str">
        <f>_xlfn.XLOOKUP(A5574,'[1]Tissue Data'!$A:$A,'[1]Tissue Data'!$C:$C)</f>
        <v>Spill</v>
      </c>
      <c r="C5574" s="2">
        <f>_xlfn.XLOOKUP(A5574,'[1]Tissue Data'!$A:$A,'[1]Tissue Data'!$D:$D)</f>
        <v>44393</v>
      </c>
      <c r="D5574" s="2" t="str">
        <f>_xlfn.XLOOKUP(A5574,'[1]Tissue Data'!$A:$A,'[1]Tissue Data'!$F:$F)</f>
        <v>Pumpkinseed</v>
      </c>
      <c r="E5574" t="str">
        <f>_xlfn.XLOOKUP(A5574,'[1]Tissue Data'!$A:$A,'[1]Tissue Data'!$H:$H)</f>
        <v>Lepomis</v>
      </c>
      <c r="F5574" t="str">
        <f>_xlfn.XLOOKUP(A5574,'[1]Tissue Data'!$A:$A,'[1]Tissue Data'!$I:$I)</f>
        <v>gibbosus</v>
      </c>
      <c r="G5574" t="str">
        <f>_xlfn.XLOOKUP(A5574,'[1]Tissue Data'!$A:$A,'[1]Tissue Data'!J:J)</f>
        <v>U</v>
      </c>
      <c r="H5574" t="str">
        <f>_xlfn.XLOOKUP(A5574,'[1]Tissue Data'!$A:$A,'[1]Tissue Data'!K:K)</f>
        <v>Whole Body</v>
      </c>
      <c r="I5574">
        <f>_xlfn.XLOOKUP(A5574,'[1]Tissue Data'!$A:$A,'[1]Tissue Data'!L:L)</f>
        <v>6.5</v>
      </c>
      <c r="J5574">
        <f>_xlfn.XLOOKUP(A5574,'[1]Tissue Data'!$A:$A,'[1]Tissue Data'!M:M)</f>
        <v>5.93</v>
      </c>
      <c r="K5574" t="s">
        <v>34</v>
      </c>
      <c r="L5574" t="str">
        <f>_xlfn.XLOOKUP(K5574,[2]analyte_order!$B:$B,[2]analyte_order!$C:$C)</f>
        <v>646-83-3</v>
      </c>
      <c r="M5574">
        <f>_xlfn.XLOOKUP(L5574,[2]analyte_order!$C:$C,[2]analyte_order!$E:$E)</f>
        <v>55</v>
      </c>
      <c r="N5574">
        <v>0.219</v>
      </c>
    </row>
    <row r="5575" spans="1:14">
      <c r="A5575" t="s">
        <v>291</v>
      </c>
      <c r="B5575" t="str">
        <f>_xlfn.XLOOKUP(A5575,'[1]Tissue Data'!$A:$A,'[1]Tissue Data'!$C:$C)</f>
        <v>Spill</v>
      </c>
      <c r="C5575" s="2">
        <f>_xlfn.XLOOKUP(A5575,'[1]Tissue Data'!$A:$A,'[1]Tissue Data'!$D:$D)</f>
        <v>44393</v>
      </c>
      <c r="D5575" s="2" t="str">
        <f>_xlfn.XLOOKUP(A5575,'[1]Tissue Data'!$A:$A,'[1]Tissue Data'!$F:$F)</f>
        <v>Pumpkinseed</v>
      </c>
      <c r="E5575" t="str">
        <f>_xlfn.XLOOKUP(A5575,'[1]Tissue Data'!$A:$A,'[1]Tissue Data'!$H:$H)</f>
        <v>Lepomis</v>
      </c>
      <c r="F5575" t="str">
        <f>_xlfn.XLOOKUP(A5575,'[1]Tissue Data'!$A:$A,'[1]Tissue Data'!$I:$I)</f>
        <v>gibbosus</v>
      </c>
      <c r="G5575" t="str">
        <f>_xlfn.XLOOKUP(A5575,'[1]Tissue Data'!$A:$A,'[1]Tissue Data'!J:J)</f>
        <v>U</v>
      </c>
      <c r="H5575" t="str">
        <f>_xlfn.XLOOKUP(A5575,'[1]Tissue Data'!$A:$A,'[1]Tissue Data'!K:K)</f>
        <v>Whole Body</v>
      </c>
      <c r="I5575">
        <f>_xlfn.XLOOKUP(A5575,'[1]Tissue Data'!$A:$A,'[1]Tissue Data'!L:L)</f>
        <v>6.5</v>
      </c>
      <c r="J5575">
        <f>_xlfn.XLOOKUP(A5575,'[1]Tissue Data'!$A:$A,'[1]Tissue Data'!M:M)</f>
        <v>5.93</v>
      </c>
      <c r="K5575" t="s">
        <v>35</v>
      </c>
      <c r="L5575" t="str">
        <f>_xlfn.XLOOKUP(K5575,[2]analyte_order!$B:$B,[2]analyte_order!$C:$C)</f>
        <v>30334-69-1</v>
      </c>
      <c r="M5575">
        <f>_xlfn.XLOOKUP(L5575,[2]analyte_order!$C:$C,[2]analyte_order!$E:$E)</f>
        <v>51</v>
      </c>
      <c r="N5575">
        <v>15.9</v>
      </c>
    </row>
    <row r="5576" spans="1:14">
      <c r="A5576" t="s">
        <v>291</v>
      </c>
      <c r="B5576" t="str">
        <f>_xlfn.XLOOKUP(A5576,'[1]Tissue Data'!$A:$A,'[1]Tissue Data'!$C:$C)</f>
        <v>Spill</v>
      </c>
      <c r="C5576" s="2">
        <f>_xlfn.XLOOKUP(A5576,'[1]Tissue Data'!$A:$A,'[1]Tissue Data'!$D:$D)</f>
        <v>44393</v>
      </c>
      <c r="D5576" s="2" t="str">
        <f>_xlfn.XLOOKUP(A5576,'[1]Tissue Data'!$A:$A,'[1]Tissue Data'!$F:$F)</f>
        <v>Pumpkinseed</v>
      </c>
      <c r="E5576" t="str">
        <f>_xlfn.XLOOKUP(A5576,'[1]Tissue Data'!$A:$A,'[1]Tissue Data'!$H:$H)</f>
        <v>Lepomis</v>
      </c>
      <c r="F5576" t="str">
        <f>_xlfn.XLOOKUP(A5576,'[1]Tissue Data'!$A:$A,'[1]Tissue Data'!$I:$I)</f>
        <v>gibbosus</v>
      </c>
      <c r="G5576" t="str">
        <f>_xlfn.XLOOKUP(A5576,'[1]Tissue Data'!$A:$A,'[1]Tissue Data'!J:J)</f>
        <v>U</v>
      </c>
      <c r="H5576" t="str">
        <f>_xlfn.XLOOKUP(A5576,'[1]Tissue Data'!$A:$A,'[1]Tissue Data'!K:K)</f>
        <v>Whole Body</v>
      </c>
      <c r="I5576">
        <f>_xlfn.XLOOKUP(A5576,'[1]Tissue Data'!$A:$A,'[1]Tissue Data'!L:L)</f>
        <v>6.5</v>
      </c>
      <c r="J5576">
        <f>_xlfn.XLOOKUP(A5576,'[1]Tissue Data'!$A:$A,'[1]Tissue Data'!M:M)</f>
        <v>5.93</v>
      </c>
      <c r="K5576" t="s">
        <v>36</v>
      </c>
      <c r="L5576" t="str">
        <f>_xlfn.XLOOKUP(K5576,[2]analyte_order!$B:$B,[2]analyte_order!$C:$C)</f>
        <v>41997-13-1</v>
      </c>
      <c r="M5576">
        <f>_xlfn.XLOOKUP(L5576,[2]analyte_order!$C:$C,[2]analyte_order!$E:$E)</f>
        <v>52</v>
      </c>
      <c r="N5576">
        <v>71.3</v>
      </c>
    </row>
    <row r="5577" spans="1:14">
      <c r="A5577" t="s">
        <v>291</v>
      </c>
      <c r="B5577" t="str">
        <f>_xlfn.XLOOKUP(A5577,'[1]Tissue Data'!$A:$A,'[1]Tissue Data'!$C:$C)</f>
        <v>Spill</v>
      </c>
      <c r="C5577" s="2">
        <f>_xlfn.XLOOKUP(A5577,'[1]Tissue Data'!$A:$A,'[1]Tissue Data'!$D:$D)</f>
        <v>44393</v>
      </c>
      <c r="D5577" s="2" t="str">
        <f>_xlfn.XLOOKUP(A5577,'[1]Tissue Data'!$A:$A,'[1]Tissue Data'!$F:$F)</f>
        <v>Pumpkinseed</v>
      </c>
      <c r="E5577" t="str">
        <f>_xlfn.XLOOKUP(A5577,'[1]Tissue Data'!$A:$A,'[1]Tissue Data'!$H:$H)</f>
        <v>Lepomis</v>
      </c>
      <c r="F5577" t="str">
        <f>_xlfn.XLOOKUP(A5577,'[1]Tissue Data'!$A:$A,'[1]Tissue Data'!$I:$I)</f>
        <v>gibbosus</v>
      </c>
      <c r="G5577" t="str">
        <f>_xlfn.XLOOKUP(A5577,'[1]Tissue Data'!$A:$A,'[1]Tissue Data'!J:J)</f>
        <v>U</v>
      </c>
      <c r="H5577" t="str">
        <f>_xlfn.XLOOKUP(A5577,'[1]Tissue Data'!$A:$A,'[1]Tissue Data'!K:K)</f>
        <v>Whole Body</v>
      </c>
      <c r="I5577">
        <f>_xlfn.XLOOKUP(A5577,'[1]Tissue Data'!$A:$A,'[1]Tissue Data'!L:L)</f>
        <v>6.5</v>
      </c>
      <c r="J5577">
        <f>_xlfn.XLOOKUP(A5577,'[1]Tissue Data'!$A:$A,'[1]Tissue Data'!M:M)</f>
        <v>5.93</v>
      </c>
      <c r="K5577" t="s">
        <v>37</v>
      </c>
      <c r="L5577" t="str">
        <f>_xlfn.XLOOKUP(K5577,[2]analyte_order!$B:$B,[2]analyte_order!$C:$C)</f>
        <v>754-91-6</v>
      </c>
      <c r="M5577">
        <f>_xlfn.XLOOKUP(L5577,[2]analyte_order!$C:$C,[2]analyte_order!$E:$E)</f>
        <v>28</v>
      </c>
      <c r="N5577">
        <v>8.2100000000000009</v>
      </c>
    </row>
    <row r="5578" spans="1:14">
      <c r="A5578" t="s">
        <v>291</v>
      </c>
      <c r="B5578" t="str">
        <f>_xlfn.XLOOKUP(A5578,'[1]Tissue Data'!$A:$A,'[1]Tissue Data'!$C:$C)</f>
        <v>Spill</v>
      </c>
      <c r="C5578" s="2">
        <f>_xlfn.XLOOKUP(A5578,'[1]Tissue Data'!$A:$A,'[1]Tissue Data'!$D:$D)</f>
        <v>44393</v>
      </c>
      <c r="D5578" s="2" t="str">
        <f>_xlfn.XLOOKUP(A5578,'[1]Tissue Data'!$A:$A,'[1]Tissue Data'!$F:$F)</f>
        <v>Pumpkinseed</v>
      </c>
      <c r="E5578" t="str">
        <f>_xlfn.XLOOKUP(A5578,'[1]Tissue Data'!$A:$A,'[1]Tissue Data'!$H:$H)</f>
        <v>Lepomis</v>
      </c>
      <c r="F5578" t="str">
        <f>_xlfn.XLOOKUP(A5578,'[1]Tissue Data'!$A:$A,'[1]Tissue Data'!$I:$I)</f>
        <v>gibbosus</v>
      </c>
      <c r="G5578" t="str">
        <f>_xlfn.XLOOKUP(A5578,'[1]Tissue Data'!$A:$A,'[1]Tissue Data'!J:J)</f>
        <v>U</v>
      </c>
      <c r="H5578" t="str">
        <f>_xlfn.XLOOKUP(A5578,'[1]Tissue Data'!$A:$A,'[1]Tissue Data'!K:K)</f>
        <v>Whole Body</v>
      </c>
      <c r="I5578">
        <f>_xlfn.XLOOKUP(A5578,'[1]Tissue Data'!$A:$A,'[1]Tissue Data'!L:L)</f>
        <v>6.5</v>
      </c>
      <c r="J5578">
        <f>_xlfn.XLOOKUP(A5578,'[1]Tissue Data'!$A:$A,'[1]Tissue Data'!M:M)</f>
        <v>5.93</v>
      </c>
      <c r="K5578" t="s">
        <v>38</v>
      </c>
      <c r="L5578" t="str">
        <f>_xlfn.XLOOKUP(K5578,[2]analyte_order!$B:$B,[2]analyte_order!$C:$C)</f>
        <v>31506-32-8</v>
      </c>
      <c r="M5578">
        <f>_xlfn.XLOOKUP(L5578,[2]analyte_order!$C:$C,[2]analyte_order!$E:$E)</f>
        <v>30</v>
      </c>
      <c r="N5578">
        <v>6.6500000000000004E-2</v>
      </c>
    </row>
    <row r="5579" spans="1:14">
      <c r="A5579" t="s">
        <v>291</v>
      </c>
      <c r="B5579" t="str">
        <f>_xlfn.XLOOKUP(A5579,'[1]Tissue Data'!$A:$A,'[1]Tissue Data'!$C:$C)</f>
        <v>Spill</v>
      </c>
      <c r="C5579" s="2">
        <f>_xlfn.XLOOKUP(A5579,'[1]Tissue Data'!$A:$A,'[1]Tissue Data'!$D:$D)</f>
        <v>44393</v>
      </c>
      <c r="D5579" s="2" t="str">
        <f>_xlfn.XLOOKUP(A5579,'[1]Tissue Data'!$A:$A,'[1]Tissue Data'!$F:$F)</f>
        <v>Pumpkinseed</v>
      </c>
      <c r="E5579" t="str">
        <f>_xlfn.XLOOKUP(A5579,'[1]Tissue Data'!$A:$A,'[1]Tissue Data'!$H:$H)</f>
        <v>Lepomis</v>
      </c>
      <c r="F5579" t="str">
        <f>_xlfn.XLOOKUP(A5579,'[1]Tissue Data'!$A:$A,'[1]Tissue Data'!$I:$I)</f>
        <v>gibbosus</v>
      </c>
      <c r="G5579" t="str">
        <f>_xlfn.XLOOKUP(A5579,'[1]Tissue Data'!$A:$A,'[1]Tissue Data'!J:J)</f>
        <v>U</v>
      </c>
      <c r="H5579" t="str">
        <f>_xlfn.XLOOKUP(A5579,'[1]Tissue Data'!$A:$A,'[1]Tissue Data'!K:K)</f>
        <v>Whole Body</v>
      </c>
      <c r="I5579">
        <f>_xlfn.XLOOKUP(A5579,'[1]Tissue Data'!$A:$A,'[1]Tissue Data'!L:L)</f>
        <v>6.5</v>
      </c>
      <c r="J5579">
        <f>_xlfn.XLOOKUP(A5579,'[1]Tissue Data'!$A:$A,'[1]Tissue Data'!M:M)</f>
        <v>5.93</v>
      </c>
      <c r="K5579" t="s">
        <v>39</v>
      </c>
      <c r="L5579" t="str">
        <f>_xlfn.XLOOKUP(K5579,[2]analyte_order!$B:$B,[2]analyte_order!$C:$C)</f>
        <v>4151-50-2</v>
      </c>
      <c r="M5579">
        <f>_xlfn.XLOOKUP(L5579,[2]analyte_order!$C:$C,[2]analyte_order!$E:$E)</f>
        <v>31</v>
      </c>
      <c r="N5579">
        <v>7.7499999999999999E-2</v>
      </c>
    </row>
    <row r="5580" spans="1:14">
      <c r="A5580" t="s">
        <v>291</v>
      </c>
      <c r="B5580" t="str">
        <f>_xlfn.XLOOKUP(A5580,'[1]Tissue Data'!$A:$A,'[1]Tissue Data'!$C:$C)</f>
        <v>Spill</v>
      </c>
      <c r="C5580" s="2">
        <f>_xlfn.XLOOKUP(A5580,'[1]Tissue Data'!$A:$A,'[1]Tissue Data'!$D:$D)</f>
        <v>44393</v>
      </c>
      <c r="D5580" s="2" t="str">
        <f>_xlfn.XLOOKUP(A5580,'[1]Tissue Data'!$A:$A,'[1]Tissue Data'!$F:$F)</f>
        <v>Pumpkinseed</v>
      </c>
      <c r="E5580" t="str">
        <f>_xlfn.XLOOKUP(A5580,'[1]Tissue Data'!$A:$A,'[1]Tissue Data'!$H:$H)</f>
        <v>Lepomis</v>
      </c>
      <c r="F5580" t="str">
        <f>_xlfn.XLOOKUP(A5580,'[1]Tissue Data'!$A:$A,'[1]Tissue Data'!$I:$I)</f>
        <v>gibbosus</v>
      </c>
      <c r="G5580" t="str">
        <f>_xlfn.XLOOKUP(A5580,'[1]Tissue Data'!$A:$A,'[1]Tissue Data'!J:J)</f>
        <v>U</v>
      </c>
      <c r="H5580" t="str">
        <f>_xlfn.XLOOKUP(A5580,'[1]Tissue Data'!$A:$A,'[1]Tissue Data'!K:K)</f>
        <v>Whole Body</v>
      </c>
      <c r="I5580">
        <f>_xlfn.XLOOKUP(A5580,'[1]Tissue Data'!$A:$A,'[1]Tissue Data'!L:L)</f>
        <v>6.5</v>
      </c>
      <c r="J5580">
        <f>_xlfn.XLOOKUP(A5580,'[1]Tissue Data'!$A:$A,'[1]Tissue Data'!M:M)</f>
        <v>5.93</v>
      </c>
      <c r="K5580" t="s">
        <v>40</v>
      </c>
      <c r="L5580" t="str">
        <f>_xlfn.XLOOKUP(K5580,[2]analyte_order!$B:$B,[2]analyte_order!$C:$C)</f>
        <v>2806-24-8</v>
      </c>
      <c r="M5580">
        <f>_xlfn.XLOOKUP(L5580,[2]analyte_order!$C:$C,[2]analyte_order!$E:$E)</f>
        <v>29</v>
      </c>
      <c r="N5580">
        <v>5.2499999999999998E-2</v>
      </c>
    </row>
    <row r="5581" spans="1:14">
      <c r="A5581" t="s">
        <v>291</v>
      </c>
      <c r="B5581" t="str">
        <f>_xlfn.XLOOKUP(A5581,'[1]Tissue Data'!$A:$A,'[1]Tissue Data'!$C:$C)</f>
        <v>Spill</v>
      </c>
      <c r="C5581" s="2">
        <f>_xlfn.XLOOKUP(A5581,'[1]Tissue Data'!$A:$A,'[1]Tissue Data'!$D:$D)</f>
        <v>44393</v>
      </c>
      <c r="D5581" s="2" t="str">
        <f>_xlfn.XLOOKUP(A5581,'[1]Tissue Data'!$A:$A,'[1]Tissue Data'!$F:$F)</f>
        <v>Pumpkinseed</v>
      </c>
      <c r="E5581" t="str">
        <f>_xlfn.XLOOKUP(A5581,'[1]Tissue Data'!$A:$A,'[1]Tissue Data'!$H:$H)</f>
        <v>Lepomis</v>
      </c>
      <c r="F5581" t="str">
        <f>_xlfn.XLOOKUP(A5581,'[1]Tissue Data'!$A:$A,'[1]Tissue Data'!$I:$I)</f>
        <v>gibbosus</v>
      </c>
      <c r="G5581" t="str">
        <f>_xlfn.XLOOKUP(A5581,'[1]Tissue Data'!$A:$A,'[1]Tissue Data'!J:J)</f>
        <v>U</v>
      </c>
      <c r="H5581" t="str">
        <f>_xlfn.XLOOKUP(A5581,'[1]Tissue Data'!$A:$A,'[1]Tissue Data'!K:K)</f>
        <v>Whole Body</v>
      </c>
      <c r="I5581">
        <f>_xlfn.XLOOKUP(A5581,'[1]Tissue Data'!$A:$A,'[1]Tissue Data'!L:L)</f>
        <v>6.5</v>
      </c>
      <c r="J5581">
        <f>_xlfn.XLOOKUP(A5581,'[1]Tissue Data'!$A:$A,'[1]Tissue Data'!M:M)</f>
        <v>5.93</v>
      </c>
      <c r="K5581" t="s">
        <v>41</v>
      </c>
      <c r="L5581" t="str">
        <f>_xlfn.XLOOKUP(K5581,[2]analyte_order!$B:$B,[2]analyte_order!$C:$C)</f>
        <v>2355-31-9</v>
      </c>
      <c r="M5581">
        <f>_xlfn.XLOOKUP(L5581,[2]analyte_order!$C:$C,[2]analyte_order!$E:$E)</f>
        <v>26</v>
      </c>
      <c r="N5581">
        <v>6.6500000000000004E-2</v>
      </c>
    </row>
    <row r="5582" spans="1:14">
      <c r="A5582" t="s">
        <v>291</v>
      </c>
      <c r="B5582" t="str">
        <f>_xlfn.XLOOKUP(A5582,'[1]Tissue Data'!$A:$A,'[1]Tissue Data'!$C:$C)</f>
        <v>Spill</v>
      </c>
      <c r="C5582" s="2">
        <f>_xlfn.XLOOKUP(A5582,'[1]Tissue Data'!$A:$A,'[1]Tissue Data'!$D:$D)</f>
        <v>44393</v>
      </c>
      <c r="D5582" s="2" t="str">
        <f>_xlfn.XLOOKUP(A5582,'[1]Tissue Data'!$A:$A,'[1]Tissue Data'!$F:$F)</f>
        <v>Pumpkinseed</v>
      </c>
      <c r="E5582" t="str">
        <f>_xlfn.XLOOKUP(A5582,'[1]Tissue Data'!$A:$A,'[1]Tissue Data'!$H:$H)</f>
        <v>Lepomis</v>
      </c>
      <c r="F5582" t="str">
        <f>_xlfn.XLOOKUP(A5582,'[1]Tissue Data'!$A:$A,'[1]Tissue Data'!$I:$I)</f>
        <v>gibbosus</v>
      </c>
      <c r="G5582" t="str">
        <f>_xlfn.XLOOKUP(A5582,'[1]Tissue Data'!$A:$A,'[1]Tissue Data'!J:J)</f>
        <v>U</v>
      </c>
      <c r="H5582" t="str">
        <f>_xlfn.XLOOKUP(A5582,'[1]Tissue Data'!$A:$A,'[1]Tissue Data'!K:K)</f>
        <v>Whole Body</v>
      </c>
      <c r="I5582">
        <f>_xlfn.XLOOKUP(A5582,'[1]Tissue Data'!$A:$A,'[1]Tissue Data'!L:L)</f>
        <v>6.5</v>
      </c>
      <c r="J5582">
        <f>_xlfn.XLOOKUP(A5582,'[1]Tissue Data'!$A:$A,'[1]Tissue Data'!M:M)</f>
        <v>5.93</v>
      </c>
      <c r="K5582" t="s">
        <v>42</v>
      </c>
      <c r="L5582" t="str">
        <f>_xlfn.XLOOKUP(K5582,[2]analyte_order!$B:$B,[2]analyte_order!$C:$C)</f>
        <v>2991-50-6</v>
      </c>
      <c r="M5582">
        <f>_xlfn.XLOOKUP(L5582,[2]analyte_order!$C:$C,[2]analyte_order!$E:$E)</f>
        <v>27</v>
      </c>
      <c r="N5582">
        <v>5.7500000000000002E-2</v>
      </c>
    </row>
    <row r="5583" spans="1:14">
      <c r="A5583" t="s">
        <v>291</v>
      </c>
      <c r="B5583" t="str">
        <f>_xlfn.XLOOKUP(A5583,'[1]Tissue Data'!$A:$A,'[1]Tissue Data'!$C:$C)</f>
        <v>Spill</v>
      </c>
      <c r="C5583" s="2">
        <f>_xlfn.XLOOKUP(A5583,'[1]Tissue Data'!$A:$A,'[1]Tissue Data'!$D:$D)</f>
        <v>44393</v>
      </c>
      <c r="D5583" s="2" t="str">
        <f>_xlfn.XLOOKUP(A5583,'[1]Tissue Data'!$A:$A,'[1]Tissue Data'!$F:$F)</f>
        <v>Pumpkinseed</v>
      </c>
      <c r="E5583" t="str">
        <f>_xlfn.XLOOKUP(A5583,'[1]Tissue Data'!$A:$A,'[1]Tissue Data'!$H:$H)</f>
        <v>Lepomis</v>
      </c>
      <c r="F5583" t="str">
        <f>_xlfn.XLOOKUP(A5583,'[1]Tissue Data'!$A:$A,'[1]Tissue Data'!$I:$I)</f>
        <v>gibbosus</v>
      </c>
      <c r="G5583" t="str">
        <f>_xlfn.XLOOKUP(A5583,'[1]Tissue Data'!$A:$A,'[1]Tissue Data'!J:J)</f>
        <v>U</v>
      </c>
      <c r="H5583" t="str">
        <f>_xlfn.XLOOKUP(A5583,'[1]Tissue Data'!$A:$A,'[1]Tissue Data'!K:K)</f>
        <v>Whole Body</v>
      </c>
      <c r="I5583">
        <f>_xlfn.XLOOKUP(A5583,'[1]Tissue Data'!$A:$A,'[1]Tissue Data'!L:L)</f>
        <v>6.5</v>
      </c>
      <c r="J5583">
        <f>_xlfn.XLOOKUP(A5583,'[1]Tissue Data'!$A:$A,'[1]Tissue Data'!M:M)</f>
        <v>5.93</v>
      </c>
      <c r="K5583" t="s">
        <v>43</v>
      </c>
      <c r="L5583" t="str">
        <f>_xlfn.XLOOKUP(K5583,[2]analyte_order!$B:$B,[2]analyte_order!$C:$C)</f>
        <v>757124-72-4</v>
      </c>
      <c r="M5583">
        <f>_xlfn.XLOOKUP(L5583,[2]analyte_order!$C:$C,[2]analyte_order!$E:$E)</f>
        <v>22</v>
      </c>
      <c r="N5583">
        <v>6.6500000000000004E-2</v>
      </c>
    </row>
    <row r="5584" spans="1:14">
      <c r="A5584" t="s">
        <v>291</v>
      </c>
      <c r="B5584" t="str">
        <f>_xlfn.XLOOKUP(A5584,'[1]Tissue Data'!$A:$A,'[1]Tissue Data'!$C:$C)</f>
        <v>Spill</v>
      </c>
      <c r="C5584" s="2">
        <f>_xlfn.XLOOKUP(A5584,'[1]Tissue Data'!$A:$A,'[1]Tissue Data'!$D:$D)</f>
        <v>44393</v>
      </c>
      <c r="D5584" s="2" t="str">
        <f>_xlfn.XLOOKUP(A5584,'[1]Tissue Data'!$A:$A,'[1]Tissue Data'!$F:$F)</f>
        <v>Pumpkinseed</v>
      </c>
      <c r="E5584" t="str">
        <f>_xlfn.XLOOKUP(A5584,'[1]Tissue Data'!$A:$A,'[1]Tissue Data'!$H:$H)</f>
        <v>Lepomis</v>
      </c>
      <c r="F5584" t="str">
        <f>_xlfn.XLOOKUP(A5584,'[1]Tissue Data'!$A:$A,'[1]Tissue Data'!$I:$I)</f>
        <v>gibbosus</v>
      </c>
      <c r="G5584" t="str">
        <f>_xlfn.XLOOKUP(A5584,'[1]Tissue Data'!$A:$A,'[1]Tissue Data'!J:J)</f>
        <v>U</v>
      </c>
      <c r="H5584" t="str">
        <f>_xlfn.XLOOKUP(A5584,'[1]Tissue Data'!$A:$A,'[1]Tissue Data'!K:K)</f>
        <v>Whole Body</v>
      </c>
      <c r="I5584">
        <f>_xlfn.XLOOKUP(A5584,'[1]Tissue Data'!$A:$A,'[1]Tissue Data'!L:L)</f>
        <v>6.5</v>
      </c>
      <c r="J5584">
        <f>_xlfn.XLOOKUP(A5584,'[1]Tissue Data'!$A:$A,'[1]Tissue Data'!M:M)</f>
        <v>5.93</v>
      </c>
      <c r="K5584" t="s">
        <v>44</v>
      </c>
      <c r="L5584" t="str">
        <f>_xlfn.XLOOKUP(K5584,[2]analyte_order!$B:$B,[2]analyte_order!$C:$C)</f>
        <v>27619-97-2</v>
      </c>
      <c r="M5584">
        <f>_xlfn.XLOOKUP(L5584,[2]analyte_order!$C:$C,[2]analyte_order!$E:$E)</f>
        <v>23</v>
      </c>
      <c r="N5584">
        <v>0.65</v>
      </c>
    </row>
    <row r="5585" spans="1:14">
      <c r="A5585" t="s">
        <v>291</v>
      </c>
      <c r="B5585" t="str">
        <f>_xlfn.XLOOKUP(A5585,'[1]Tissue Data'!$A:$A,'[1]Tissue Data'!$C:$C)</f>
        <v>Spill</v>
      </c>
      <c r="C5585" s="2">
        <f>_xlfn.XLOOKUP(A5585,'[1]Tissue Data'!$A:$A,'[1]Tissue Data'!$D:$D)</f>
        <v>44393</v>
      </c>
      <c r="D5585" s="2" t="str">
        <f>_xlfn.XLOOKUP(A5585,'[1]Tissue Data'!$A:$A,'[1]Tissue Data'!$F:$F)</f>
        <v>Pumpkinseed</v>
      </c>
      <c r="E5585" t="str">
        <f>_xlfn.XLOOKUP(A5585,'[1]Tissue Data'!$A:$A,'[1]Tissue Data'!$H:$H)</f>
        <v>Lepomis</v>
      </c>
      <c r="F5585" t="str">
        <f>_xlfn.XLOOKUP(A5585,'[1]Tissue Data'!$A:$A,'[1]Tissue Data'!$I:$I)</f>
        <v>gibbosus</v>
      </c>
      <c r="G5585" t="str">
        <f>_xlfn.XLOOKUP(A5585,'[1]Tissue Data'!$A:$A,'[1]Tissue Data'!J:J)</f>
        <v>U</v>
      </c>
      <c r="H5585" t="str">
        <f>_xlfn.XLOOKUP(A5585,'[1]Tissue Data'!$A:$A,'[1]Tissue Data'!K:K)</f>
        <v>Whole Body</v>
      </c>
      <c r="I5585">
        <f>_xlfn.XLOOKUP(A5585,'[1]Tissue Data'!$A:$A,'[1]Tissue Data'!L:L)</f>
        <v>6.5</v>
      </c>
      <c r="J5585">
        <f>_xlfn.XLOOKUP(A5585,'[1]Tissue Data'!$A:$A,'[1]Tissue Data'!M:M)</f>
        <v>5.93</v>
      </c>
      <c r="K5585" t="s">
        <v>45</v>
      </c>
      <c r="L5585" t="str">
        <f>_xlfn.XLOOKUP(K5585,[2]analyte_order!$B:$B,[2]analyte_order!$C:$C)</f>
        <v>39108-34-4</v>
      </c>
      <c r="M5585">
        <f>_xlfn.XLOOKUP(L5585,[2]analyte_order!$C:$C,[2]analyte_order!$E:$E)</f>
        <v>24</v>
      </c>
      <c r="N5585">
        <v>3.11</v>
      </c>
    </row>
    <row r="5586" spans="1:14">
      <c r="A5586" t="s">
        <v>291</v>
      </c>
      <c r="B5586" t="str">
        <f>_xlfn.XLOOKUP(A5586,'[1]Tissue Data'!$A:$A,'[1]Tissue Data'!$C:$C)</f>
        <v>Spill</v>
      </c>
      <c r="C5586" s="2">
        <f>_xlfn.XLOOKUP(A5586,'[1]Tissue Data'!$A:$A,'[1]Tissue Data'!$D:$D)</f>
        <v>44393</v>
      </c>
      <c r="D5586" s="2" t="str">
        <f>_xlfn.XLOOKUP(A5586,'[1]Tissue Data'!$A:$A,'[1]Tissue Data'!$F:$F)</f>
        <v>Pumpkinseed</v>
      </c>
      <c r="E5586" t="str">
        <f>_xlfn.XLOOKUP(A5586,'[1]Tissue Data'!$A:$A,'[1]Tissue Data'!$H:$H)</f>
        <v>Lepomis</v>
      </c>
      <c r="F5586" t="str">
        <f>_xlfn.XLOOKUP(A5586,'[1]Tissue Data'!$A:$A,'[1]Tissue Data'!$I:$I)</f>
        <v>gibbosus</v>
      </c>
      <c r="G5586" t="str">
        <f>_xlfn.XLOOKUP(A5586,'[1]Tissue Data'!$A:$A,'[1]Tissue Data'!J:J)</f>
        <v>U</v>
      </c>
      <c r="H5586" t="str">
        <f>_xlfn.XLOOKUP(A5586,'[1]Tissue Data'!$A:$A,'[1]Tissue Data'!K:K)</f>
        <v>Whole Body</v>
      </c>
      <c r="I5586">
        <f>_xlfn.XLOOKUP(A5586,'[1]Tissue Data'!$A:$A,'[1]Tissue Data'!L:L)</f>
        <v>6.5</v>
      </c>
      <c r="J5586">
        <f>_xlfn.XLOOKUP(A5586,'[1]Tissue Data'!$A:$A,'[1]Tissue Data'!M:M)</f>
        <v>5.93</v>
      </c>
      <c r="K5586" t="s">
        <v>46</v>
      </c>
      <c r="L5586" t="str">
        <f>_xlfn.XLOOKUP(K5586,[2]analyte_order!$B:$B,[2]analyte_order!$C:$C)</f>
        <v>120226-60-0</v>
      </c>
      <c r="M5586">
        <f>_xlfn.XLOOKUP(L5586,[2]analyte_order!$C:$C,[2]analyte_order!$E:$E)</f>
        <v>25</v>
      </c>
      <c r="N5586">
        <v>0.2485</v>
      </c>
    </row>
    <row r="5587" spans="1:14">
      <c r="A5587" t="s">
        <v>291</v>
      </c>
      <c r="B5587" t="str">
        <f>_xlfn.XLOOKUP(A5587,'[1]Tissue Data'!$A:$A,'[1]Tissue Data'!$C:$C)</f>
        <v>Spill</v>
      </c>
      <c r="C5587" s="2">
        <f>_xlfn.XLOOKUP(A5587,'[1]Tissue Data'!$A:$A,'[1]Tissue Data'!$D:$D)</f>
        <v>44393</v>
      </c>
      <c r="D5587" s="2" t="str">
        <f>_xlfn.XLOOKUP(A5587,'[1]Tissue Data'!$A:$A,'[1]Tissue Data'!$F:$F)</f>
        <v>Pumpkinseed</v>
      </c>
      <c r="E5587" t="str">
        <f>_xlfn.XLOOKUP(A5587,'[1]Tissue Data'!$A:$A,'[1]Tissue Data'!$H:$H)</f>
        <v>Lepomis</v>
      </c>
      <c r="F5587" t="str">
        <f>_xlfn.XLOOKUP(A5587,'[1]Tissue Data'!$A:$A,'[1]Tissue Data'!$I:$I)</f>
        <v>gibbosus</v>
      </c>
      <c r="G5587" t="str">
        <f>_xlfn.XLOOKUP(A5587,'[1]Tissue Data'!$A:$A,'[1]Tissue Data'!J:J)</f>
        <v>U</v>
      </c>
      <c r="H5587" t="str">
        <f>_xlfn.XLOOKUP(A5587,'[1]Tissue Data'!$A:$A,'[1]Tissue Data'!K:K)</f>
        <v>Whole Body</v>
      </c>
      <c r="I5587">
        <f>_xlfn.XLOOKUP(A5587,'[1]Tissue Data'!$A:$A,'[1]Tissue Data'!L:L)</f>
        <v>6.5</v>
      </c>
      <c r="J5587">
        <f>_xlfn.XLOOKUP(A5587,'[1]Tissue Data'!$A:$A,'[1]Tissue Data'!M:M)</f>
        <v>5.93</v>
      </c>
      <c r="K5587" t="s">
        <v>47</v>
      </c>
      <c r="L5587" t="str">
        <f>_xlfn.XLOOKUP(K5587,[2]analyte_order!$B:$B,[2]analyte_order!$C:$C)</f>
        <v>356-02-5</v>
      </c>
      <c r="M5587">
        <f>_xlfn.XLOOKUP(L5587,[2]analyte_order!$C:$C,[2]analyte_order!$E:$E)</f>
        <v>38</v>
      </c>
      <c r="N5587">
        <v>7.6499999999999999E-2</v>
      </c>
    </row>
    <row r="5588" spans="1:14">
      <c r="A5588" t="s">
        <v>291</v>
      </c>
      <c r="B5588" t="str">
        <f>_xlfn.XLOOKUP(A5588,'[1]Tissue Data'!$A:$A,'[1]Tissue Data'!$C:$C)</f>
        <v>Spill</v>
      </c>
      <c r="C5588" s="2">
        <f>_xlfn.XLOOKUP(A5588,'[1]Tissue Data'!$A:$A,'[1]Tissue Data'!$D:$D)</f>
        <v>44393</v>
      </c>
      <c r="D5588" s="2" t="str">
        <f>_xlfn.XLOOKUP(A5588,'[1]Tissue Data'!$A:$A,'[1]Tissue Data'!$F:$F)</f>
        <v>Pumpkinseed</v>
      </c>
      <c r="E5588" t="str">
        <f>_xlfn.XLOOKUP(A5588,'[1]Tissue Data'!$A:$A,'[1]Tissue Data'!$H:$H)</f>
        <v>Lepomis</v>
      </c>
      <c r="F5588" t="str">
        <f>_xlfn.XLOOKUP(A5588,'[1]Tissue Data'!$A:$A,'[1]Tissue Data'!$I:$I)</f>
        <v>gibbosus</v>
      </c>
      <c r="G5588" t="str">
        <f>_xlfn.XLOOKUP(A5588,'[1]Tissue Data'!$A:$A,'[1]Tissue Data'!J:J)</f>
        <v>U</v>
      </c>
      <c r="H5588" t="str">
        <f>_xlfn.XLOOKUP(A5588,'[1]Tissue Data'!$A:$A,'[1]Tissue Data'!K:K)</f>
        <v>Whole Body</v>
      </c>
      <c r="I5588">
        <f>_xlfn.XLOOKUP(A5588,'[1]Tissue Data'!$A:$A,'[1]Tissue Data'!L:L)</f>
        <v>6.5</v>
      </c>
      <c r="J5588">
        <f>_xlfn.XLOOKUP(A5588,'[1]Tissue Data'!$A:$A,'[1]Tissue Data'!M:M)</f>
        <v>5.93</v>
      </c>
      <c r="K5588" t="s">
        <v>48</v>
      </c>
      <c r="L5588" t="str">
        <f>_xlfn.XLOOKUP(K5588,[2]analyte_order!$B:$B,[2]analyte_order!$C:$C)</f>
        <v>914637-49-3</v>
      </c>
      <c r="M5588">
        <f>_xlfn.XLOOKUP(L5588,[2]analyte_order!$C:$C,[2]analyte_order!$E:$E)</f>
        <v>39</v>
      </c>
      <c r="N5588">
        <v>1.19</v>
      </c>
    </row>
    <row r="5589" spans="1:14">
      <c r="A5589" t="s">
        <v>291</v>
      </c>
      <c r="B5589" t="str">
        <f>_xlfn.XLOOKUP(A5589,'[1]Tissue Data'!$A:$A,'[1]Tissue Data'!$C:$C)</f>
        <v>Spill</v>
      </c>
      <c r="C5589" s="2">
        <f>_xlfn.XLOOKUP(A5589,'[1]Tissue Data'!$A:$A,'[1]Tissue Data'!$D:$D)</f>
        <v>44393</v>
      </c>
      <c r="D5589" s="2" t="str">
        <f>_xlfn.XLOOKUP(A5589,'[1]Tissue Data'!$A:$A,'[1]Tissue Data'!$F:$F)</f>
        <v>Pumpkinseed</v>
      </c>
      <c r="E5589" t="str">
        <f>_xlfn.XLOOKUP(A5589,'[1]Tissue Data'!$A:$A,'[1]Tissue Data'!$H:$H)</f>
        <v>Lepomis</v>
      </c>
      <c r="F5589" t="str">
        <f>_xlfn.XLOOKUP(A5589,'[1]Tissue Data'!$A:$A,'[1]Tissue Data'!$I:$I)</f>
        <v>gibbosus</v>
      </c>
      <c r="G5589" t="str">
        <f>_xlfn.XLOOKUP(A5589,'[1]Tissue Data'!$A:$A,'[1]Tissue Data'!J:J)</f>
        <v>U</v>
      </c>
      <c r="H5589" t="str">
        <f>_xlfn.XLOOKUP(A5589,'[1]Tissue Data'!$A:$A,'[1]Tissue Data'!K:K)</f>
        <v>Whole Body</v>
      </c>
      <c r="I5589">
        <f>_xlfn.XLOOKUP(A5589,'[1]Tissue Data'!$A:$A,'[1]Tissue Data'!L:L)</f>
        <v>6.5</v>
      </c>
      <c r="J5589">
        <f>_xlfn.XLOOKUP(A5589,'[1]Tissue Data'!$A:$A,'[1]Tissue Data'!M:M)</f>
        <v>5.93</v>
      </c>
      <c r="K5589" t="s">
        <v>49</v>
      </c>
      <c r="L5589" t="str">
        <f>_xlfn.XLOOKUP(K5589,[2]analyte_order!$B:$B,[2]analyte_order!$C:$C)</f>
        <v>812-70-4</v>
      </c>
      <c r="M5589">
        <f>_xlfn.XLOOKUP(L5589,[2]analyte_order!$C:$C,[2]analyte_order!$E:$E)</f>
        <v>40</v>
      </c>
      <c r="N5589">
        <v>3.03</v>
      </c>
    </row>
    <row r="5590" spans="1:14">
      <c r="A5590" t="s">
        <v>291</v>
      </c>
      <c r="B5590" t="str">
        <f>_xlfn.XLOOKUP(A5590,'[1]Tissue Data'!$A:$A,'[1]Tissue Data'!$C:$C)</f>
        <v>Spill</v>
      </c>
      <c r="C5590" s="2">
        <f>_xlfn.XLOOKUP(A5590,'[1]Tissue Data'!$A:$A,'[1]Tissue Data'!$D:$D)</f>
        <v>44393</v>
      </c>
      <c r="D5590" s="2" t="str">
        <f>_xlfn.XLOOKUP(A5590,'[1]Tissue Data'!$A:$A,'[1]Tissue Data'!$F:$F)</f>
        <v>Pumpkinseed</v>
      </c>
      <c r="E5590" t="str">
        <f>_xlfn.XLOOKUP(A5590,'[1]Tissue Data'!$A:$A,'[1]Tissue Data'!$H:$H)</f>
        <v>Lepomis</v>
      </c>
      <c r="F5590" t="str">
        <f>_xlfn.XLOOKUP(A5590,'[1]Tissue Data'!$A:$A,'[1]Tissue Data'!$I:$I)</f>
        <v>gibbosus</v>
      </c>
      <c r="G5590" t="str">
        <f>_xlfn.XLOOKUP(A5590,'[1]Tissue Data'!$A:$A,'[1]Tissue Data'!J:J)</f>
        <v>U</v>
      </c>
      <c r="H5590" t="str">
        <f>_xlfn.XLOOKUP(A5590,'[1]Tissue Data'!$A:$A,'[1]Tissue Data'!K:K)</f>
        <v>Whole Body</v>
      </c>
      <c r="I5590">
        <f>_xlfn.XLOOKUP(A5590,'[1]Tissue Data'!$A:$A,'[1]Tissue Data'!L:L)</f>
        <v>6.5</v>
      </c>
      <c r="J5590">
        <f>_xlfn.XLOOKUP(A5590,'[1]Tissue Data'!$A:$A,'[1]Tissue Data'!M:M)</f>
        <v>5.93</v>
      </c>
      <c r="K5590" t="s">
        <v>50</v>
      </c>
      <c r="L5590" t="str">
        <f>_xlfn.XLOOKUP(K5590,[2]analyte_order!$B:$B,[2]analyte_order!$C:$C)</f>
        <v>53826-12-3</v>
      </c>
      <c r="M5590">
        <f>_xlfn.XLOOKUP(L5590,[2]analyte_order!$C:$C,[2]analyte_order!$E:$E)</f>
        <v>41</v>
      </c>
      <c r="N5590">
        <v>6.6500000000000004E-2</v>
      </c>
    </row>
    <row r="5591" spans="1:14">
      <c r="A5591" t="s">
        <v>291</v>
      </c>
      <c r="B5591" t="str">
        <f>_xlfn.XLOOKUP(A5591,'[1]Tissue Data'!$A:$A,'[1]Tissue Data'!$C:$C)</f>
        <v>Spill</v>
      </c>
      <c r="C5591" s="2">
        <f>_xlfn.XLOOKUP(A5591,'[1]Tissue Data'!$A:$A,'[1]Tissue Data'!$D:$D)</f>
        <v>44393</v>
      </c>
      <c r="D5591" s="2" t="str">
        <f>_xlfn.XLOOKUP(A5591,'[1]Tissue Data'!$A:$A,'[1]Tissue Data'!$F:$F)</f>
        <v>Pumpkinseed</v>
      </c>
      <c r="E5591" t="str">
        <f>_xlfn.XLOOKUP(A5591,'[1]Tissue Data'!$A:$A,'[1]Tissue Data'!$H:$H)</f>
        <v>Lepomis</v>
      </c>
      <c r="F5591" t="str">
        <f>_xlfn.XLOOKUP(A5591,'[1]Tissue Data'!$A:$A,'[1]Tissue Data'!$I:$I)</f>
        <v>gibbosus</v>
      </c>
      <c r="G5591" t="str">
        <f>_xlfn.XLOOKUP(A5591,'[1]Tissue Data'!$A:$A,'[1]Tissue Data'!J:J)</f>
        <v>U</v>
      </c>
      <c r="H5591" t="str">
        <f>_xlfn.XLOOKUP(A5591,'[1]Tissue Data'!$A:$A,'[1]Tissue Data'!K:K)</f>
        <v>Whole Body</v>
      </c>
      <c r="I5591">
        <f>_xlfn.XLOOKUP(A5591,'[1]Tissue Data'!$A:$A,'[1]Tissue Data'!L:L)</f>
        <v>6.5</v>
      </c>
      <c r="J5591">
        <f>_xlfn.XLOOKUP(A5591,'[1]Tissue Data'!$A:$A,'[1]Tissue Data'!M:M)</f>
        <v>5.93</v>
      </c>
      <c r="K5591" t="s">
        <v>51</v>
      </c>
      <c r="L5591" t="str">
        <f>_xlfn.XLOOKUP(K5591,[2]analyte_order!$B:$B,[2]analyte_order!$C:$C)</f>
        <v>27854-31-5</v>
      </c>
      <c r="M5591">
        <f>_xlfn.XLOOKUP(L5591,[2]analyte_order!$C:$C,[2]analyte_order!$E:$E)</f>
        <v>42</v>
      </c>
      <c r="N5591">
        <v>6.6500000000000004E-2</v>
      </c>
    </row>
    <row r="5592" spans="1:14">
      <c r="A5592" t="s">
        <v>291</v>
      </c>
      <c r="B5592" t="str">
        <f>_xlfn.XLOOKUP(A5592,'[1]Tissue Data'!$A:$A,'[1]Tissue Data'!$C:$C)</f>
        <v>Spill</v>
      </c>
      <c r="C5592" s="2">
        <f>_xlfn.XLOOKUP(A5592,'[1]Tissue Data'!$A:$A,'[1]Tissue Data'!$D:$D)</f>
        <v>44393</v>
      </c>
      <c r="D5592" s="2" t="str">
        <f>_xlfn.XLOOKUP(A5592,'[1]Tissue Data'!$A:$A,'[1]Tissue Data'!$F:$F)</f>
        <v>Pumpkinseed</v>
      </c>
      <c r="E5592" t="str">
        <f>_xlfn.XLOOKUP(A5592,'[1]Tissue Data'!$A:$A,'[1]Tissue Data'!$H:$H)</f>
        <v>Lepomis</v>
      </c>
      <c r="F5592" t="str">
        <f>_xlfn.XLOOKUP(A5592,'[1]Tissue Data'!$A:$A,'[1]Tissue Data'!$I:$I)</f>
        <v>gibbosus</v>
      </c>
      <c r="G5592" t="str">
        <f>_xlfn.XLOOKUP(A5592,'[1]Tissue Data'!$A:$A,'[1]Tissue Data'!J:J)</f>
        <v>U</v>
      </c>
      <c r="H5592" t="str">
        <f>_xlfn.XLOOKUP(A5592,'[1]Tissue Data'!$A:$A,'[1]Tissue Data'!K:K)</f>
        <v>Whole Body</v>
      </c>
      <c r="I5592">
        <f>_xlfn.XLOOKUP(A5592,'[1]Tissue Data'!$A:$A,'[1]Tissue Data'!L:L)</f>
        <v>6.5</v>
      </c>
      <c r="J5592">
        <f>_xlfn.XLOOKUP(A5592,'[1]Tissue Data'!$A:$A,'[1]Tissue Data'!M:M)</f>
        <v>5.93</v>
      </c>
      <c r="K5592" t="s">
        <v>52</v>
      </c>
      <c r="L5592" t="str">
        <f>_xlfn.XLOOKUP(K5592,[2]analyte_order!$B:$B,[2]analyte_order!$C:$C)</f>
        <v>53826-13-4</v>
      </c>
      <c r="M5592">
        <f>_xlfn.XLOOKUP(L5592,[2]analyte_order!$C:$C,[2]analyte_order!$E:$E)</f>
        <v>43</v>
      </c>
      <c r="N5592">
        <v>9.9000000000000005E-2</v>
      </c>
    </row>
    <row r="5593" spans="1:14">
      <c r="A5593" t="s">
        <v>291</v>
      </c>
      <c r="B5593" t="str">
        <f>_xlfn.XLOOKUP(A5593,'[1]Tissue Data'!$A:$A,'[1]Tissue Data'!$C:$C)</f>
        <v>Spill</v>
      </c>
      <c r="C5593" s="2">
        <f>_xlfn.XLOOKUP(A5593,'[1]Tissue Data'!$A:$A,'[1]Tissue Data'!$D:$D)</f>
        <v>44393</v>
      </c>
      <c r="D5593" s="2" t="str">
        <f>_xlfn.XLOOKUP(A5593,'[1]Tissue Data'!$A:$A,'[1]Tissue Data'!$F:$F)</f>
        <v>Pumpkinseed</v>
      </c>
      <c r="E5593" t="str">
        <f>_xlfn.XLOOKUP(A5593,'[1]Tissue Data'!$A:$A,'[1]Tissue Data'!$H:$H)</f>
        <v>Lepomis</v>
      </c>
      <c r="F5593" t="str">
        <f>_xlfn.XLOOKUP(A5593,'[1]Tissue Data'!$A:$A,'[1]Tissue Data'!$I:$I)</f>
        <v>gibbosus</v>
      </c>
      <c r="G5593" t="str">
        <f>_xlfn.XLOOKUP(A5593,'[1]Tissue Data'!$A:$A,'[1]Tissue Data'!J:J)</f>
        <v>U</v>
      </c>
      <c r="H5593" t="str">
        <f>_xlfn.XLOOKUP(A5593,'[1]Tissue Data'!$A:$A,'[1]Tissue Data'!K:K)</f>
        <v>Whole Body</v>
      </c>
      <c r="I5593">
        <f>_xlfn.XLOOKUP(A5593,'[1]Tissue Data'!$A:$A,'[1]Tissue Data'!L:L)</f>
        <v>6.5</v>
      </c>
      <c r="J5593">
        <f>_xlfn.XLOOKUP(A5593,'[1]Tissue Data'!$A:$A,'[1]Tissue Data'!M:M)</f>
        <v>5.93</v>
      </c>
      <c r="K5593" t="s">
        <v>53</v>
      </c>
      <c r="L5593" t="str">
        <f>_xlfn.XLOOKUP(K5593,[2]analyte_order!$B:$B,[2]analyte_order!$C:$C)</f>
        <v>161094-75-3</v>
      </c>
      <c r="M5593">
        <f>_xlfn.XLOOKUP(L5593,[2]analyte_order!$C:$C,[2]analyte_order!$E:$E)</f>
        <v>44</v>
      </c>
      <c r="N5593">
        <v>5.1999999999999998E-2</v>
      </c>
    </row>
    <row r="5594" spans="1:14">
      <c r="A5594" t="s">
        <v>291</v>
      </c>
      <c r="B5594" t="str">
        <f>_xlfn.XLOOKUP(A5594,'[1]Tissue Data'!$A:$A,'[1]Tissue Data'!$C:$C)</f>
        <v>Spill</v>
      </c>
      <c r="C5594" s="2">
        <f>_xlfn.XLOOKUP(A5594,'[1]Tissue Data'!$A:$A,'[1]Tissue Data'!$D:$D)</f>
        <v>44393</v>
      </c>
      <c r="D5594" s="2" t="str">
        <f>_xlfn.XLOOKUP(A5594,'[1]Tissue Data'!$A:$A,'[1]Tissue Data'!$F:$F)</f>
        <v>Pumpkinseed</v>
      </c>
      <c r="E5594" t="str">
        <f>_xlfn.XLOOKUP(A5594,'[1]Tissue Data'!$A:$A,'[1]Tissue Data'!$H:$H)</f>
        <v>Lepomis</v>
      </c>
      <c r="F5594" t="str">
        <f>_xlfn.XLOOKUP(A5594,'[1]Tissue Data'!$A:$A,'[1]Tissue Data'!$I:$I)</f>
        <v>gibbosus</v>
      </c>
      <c r="G5594" t="str">
        <f>_xlfn.XLOOKUP(A5594,'[1]Tissue Data'!$A:$A,'[1]Tissue Data'!J:J)</f>
        <v>U</v>
      </c>
      <c r="H5594" t="str">
        <f>_xlfn.XLOOKUP(A5594,'[1]Tissue Data'!$A:$A,'[1]Tissue Data'!K:K)</f>
        <v>Whole Body</v>
      </c>
      <c r="I5594">
        <f>_xlfn.XLOOKUP(A5594,'[1]Tissue Data'!$A:$A,'[1]Tissue Data'!L:L)</f>
        <v>6.5</v>
      </c>
      <c r="J5594">
        <f>_xlfn.XLOOKUP(A5594,'[1]Tissue Data'!$A:$A,'[1]Tissue Data'!M:M)</f>
        <v>5.93</v>
      </c>
      <c r="K5594" t="s">
        <v>54</v>
      </c>
      <c r="L5594" t="str">
        <f>_xlfn.XLOOKUP(K5594,[2]analyte_order!$B:$B,[2]analyte_order!$C:$C)</f>
        <v>70887-84-2</v>
      </c>
      <c r="M5594">
        <f>_xlfn.XLOOKUP(L5594,[2]analyte_order!$C:$C,[2]analyte_order!$E:$E)</f>
        <v>45</v>
      </c>
      <c r="N5594">
        <v>4.0099999999999997E-2</v>
      </c>
    </row>
    <row r="5595" spans="1:14">
      <c r="A5595" t="s">
        <v>291</v>
      </c>
      <c r="B5595" t="str">
        <f>_xlfn.XLOOKUP(A5595,'[1]Tissue Data'!$A:$A,'[1]Tissue Data'!$C:$C)</f>
        <v>Spill</v>
      </c>
      <c r="C5595" s="2">
        <f>_xlfn.XLOOKUP(A5595,'[1]Tissue Data'!$A:$A,'[1]Tissue Data'!$D:$D)</f>
        <v>44393</v>
      </c>
      <c r="D5595" s="2" t="str">
        <f>_xlfn.XLOOKUP(A5595,'[1]Tissue Data'!$A:$A,'[1]Tissue Data'!$F:$F)</f>
        <v>Pumpkinseed</v>
      </c>
      <c r="E5595" t="str">
        <f>_xlfn.XLOOKUP(A5595,'[1]Tissue Data'!$A:$A,'[1]Tissue Data'!$H:$H)</f>
        <v>Lepomis</v>
      </c>
      <c r="F5595" t="str">
        <f>_xlfn.XLOOKUP(A5595,'[1]Tissue Data'!$A:$A,'[1]Tissue Data'!$I:$I)</f>
        <v>gibbosus</v>
      </c>
      <c r="G5595" t="str">
        <f>_xlfn.XLOOKUP(A5595,'[1]Tissue Data'!$A:$A,'[1]Tissue Data'!J:J)</f>
        <v>U</v>
      </c>
      <c r="H5595" t="str">
        <f>_xlfn.XLOOKUP(A5595,'[1]Tissue Data'!$A:$A,'[1]Tissue Data'!K:K)</f>
        <v>Whole Body</v>
      </c>
      <c r="I5595">
        <f>_xlfn.XLOOKUP(A5595,'[1]Tissue Data'!$A:$A,'[1]Tissue Data'!L:L)</f>
        <v>6.5</v>
      </c>
      <c r="J5595">
        <f>_xlfn.XLOOKUP(A5595,'[1]Tissue Data'!$A:$A,'[1]Tissue Data'!M:M)</f>
        <v>5.93</v>
      </c>
      <c r="K5595" t="s">
        <v>55</v>
      </c>
      <c r="L5595" t="str">
        <f>_xlfn.XLOOKUP(K5595,[2]analyte_order!$B:$B,[2]analyte_order!$C:$C)</f>
        <v>919005-14-4</v>
      </c>
      <c r="M5595">
        <f>_xlfn.XLOOKUP(L5595,[2]analyte_order!$C:$C,[2]analyte_order!$E:$E)</f>
        <v>35</v>
      </c>
      <c r="N5595">
        <v>5.8500000000000003E-2</v>
      </c>
    </row>
    <row r="5596" spans="1:14">
      <c r="A5596" t="s">
        <v>291</v>
      </c>
      <c r="B5596" t="str">
        <f>_xlfn.XLOOKUP(A5596,'[1]Tissue Data'!$A:$A,'[1]Tissue Data'!$C:$C)</f>
        <v>Spill</v>
      </c>
      <c r="C5596" s="2">
        <f>_xlfn.XLOOKUP(A5596,'[1]Tissue Data'!$A:$A,'[1]Tissue Data'!$D:$D)</f>
        <v>44393</v>
      </c>
      <c r="D5596" s="2" t="str">
        <f>_xlfn.XLOOKUP(A5596,'[1]Tissue Data'!$A:$A,'[1]Tissue Data'!$F:$F)</f>
        <v>Pumpkinseed</v>
      </c>
      <c r="E5596" t="str">
        <f>_xlfn.XLOOKUP(A5596,'[1]Tissue Data'!$A:$A,'[1]Tissue Data'!$H:$H)</f>
        <v>Lepomis</v>
      </c>
      <c r="F5596" t="str">
        <f>_xlfn.XLOOKUP(A5596,'[1]Tissue Data'!$A:$A,'[1]Tissue Data'!$I:$I)</f>
        <v>gibbosus</v>
      </c>
      <c r="G5596" t="str">
        <f>_xlfn.XLOOKUP(A5596,'[1]Tissue Data'!$A:$A,'[1]Tissue Data'!J:J)</f>
        <v>U</v>
      </c>
      <c r="H5596" t="str">
        <f>_xlfn.XLOOKUP(A5596,'[1]Tissue Data'!$A:$A,'[1]Tissue Data'!K:K)</f>
        <v>Whole Body</v>
      </c>
      <c r="I5596">
        <f>_xlfn.XLOOKUP(A5596,'[1]Tissue Data'!$A:$A,'[1]Tissue Data'!L:L)</f>
        <v>6.5</v>
      </c>
      <c r="J5596">
        <f>_xlfn.XLOOKUP(A5596,'[1]Tissue Data'!$A:$A,'[1]Tissue Data'!M:M)</f>
        <v>5.93</v>
      </c>
      <c r="K5596" t="s">
        <v>56</v>
      </c>
      <c r="L5596" t="str">
        <f>_xlfn.XLOOKUP(K5596,[2]analyte_order!$B:$B,[2]analyte_order!$C:$C)</f>
        <v>756426-58-1</v>
      </c>
      <c r="M5596">
        <f>_xlfn.XLOOKUP(L5596,[2]analyte_order!$C:$C,[2]analyte_order!$E:$E)</f>
        <v>36</v>
      </c>
      <c r="N5596">
        <v>6.6500000000000004E-2</v>
      </c>
    </row>
    <row r="5597" spans="1:14">
      <c r="A5597" t="s">
        <v>291</v>
      </c>
      <c r="B5597" t="str">
        <f>_xlfn.XLOOKUP(A5597,'[1]Tissue Data'!$A:$A,'[1]Tissue Data'!$C:$C)</f>
        <v>Spill</v>
      </c>
      <c r="C5597" s="2">
        <f>_xlfn.XLOOKUP(A5597,'[1]Tissue Data'!$A:$A,'[1]Tissue Data'!$D:$D)</f>
        <v>44393</v>
      </c>
      <c r="D5597" s="2" t="str">
        <f>_xlfn.XLOOKUP(A5597,'[1]Tissue Data'!$A:$A,'[1]Tissue Data'!$F:$F)</f>
        <v>Pumpkinseed</v>
      </c>
      <c r="E5597" t="str">
        <f>_xlfn.XLOOKUP(A5597,'[1]Tissue Data'!$A:$A,'[1]Tissue Data'!$H:$H)</f>
        <v>Lepomis</v>
      </c>
      <c r="F5597" t="str">
        <f>_xlfn.XLOOKUP(A5597,'[1]Tissue Data'!$A:$A,'[1]Tissue Data'!$I:$I)</f>
        <v>gibbosus</v>
      </c>
      <c r="G5597" t="str">
        <f>_xlfn.XLOOKUP(A5597,'[1]Tissue Data'!$A:$A,'[1]Tissue Data'!J:J)</f>
        <v>U</v>
      </c>
      <c r="H5597" t="str">
        <f>_xlfn.XLOOKUP(A5597,'[1]Tissue Data'!$A:$A,'[1]Tissue Data'!K:K)</f>
        <v>Whole Body</v>
      </c>
      <c r="I5597">
        <f>_xlfn.XLOOKUP(A5597,'[1]Tissue Data'!$A:$A,'[1]Tissue Data'!L:L)</f>
        <v>6.5</v>
      </c>
      <c r="J5597">
        <f>_xlfn.XLOOKUP(A5597,'[1]Tissue Data'!$A:$A,'[1]Tissue Data'!M:M)</f>
        <v>5.93</v>
      </c>
      <c r="K5597" t="s">
        <v>57</v>
      </c>
      <c r="L5597" t="str">
        <f>_xlfn.XLOOKUP(K5597,[2]analyte_order!$B:$B,[2]analyte_order!$C:$C)</f>
        <v>763051-92-9</v>
      </c>
      <c r="M5597">
        <f>_xlfn.XLOOKUP(L5597,[2]analyte_order!$C:$C,[2]analyte_order!$E:$E)</f>
        <v>37</v>
      </c>
      <c r="N5597">
        <v>6.6500000000000004E-2</v>
      </c>
    </row>
    <row r="5598" spans="1:14">
      <c r="A5598" t="s">
        <v>291</v>
      </c>
      <c r="B5598" t="str">
        <f>_xlfn.XLOOKUP(A5598,'[1]Tissue Data'!$A:$A,'[1]Tissue Data'!$C:$C)</f>
        <v>Spill</v>
      </c>
      <c r="C5598" s="2">
        <f>_xlfn.XLOOKUP(A5598,'[1]Tissue Data'!$A:$A,'[1]Tissue Data'!$D:$D)</f>
        <v>44393</v>
      </c>
      <c r="D5598" s="2" t="str">
        <f>_xlfn.XLOOKUP(A5598,'[1]Tissue Data'!$A:$A,'[1]Tissue Data'!$F:$F)</f>
        <v>Pumpkinseed</v>
      </c>
      <c r="E5598" t="str">
        <f>_xlfn.XLOOKUP(A5598,'[1]Tissue Data'!$A:$A,'[1]Tissue Data'!$H:$H)</f>
        <v>Lepomis</v>
      </c>
      <c r="F5598" t="str">
        <f>_xlfn.XLOOKUP(A5598,'[1]Tissue Data'!$A:$A,'[1]Tissue Data'!$I:$I)</f>
        <v>gibbosus</v>
      </c>
      <c r="G5598" t="str">
        <f>_xlfn.XLOOKUP(A5598,'[1]Tissue Data'!$A:$A,'[1]Tissue Data'!J:J)</f>
        <v>U</v>
      </c>
      <c r="H5598" t="str">
        <f>_xlfn.XLOOKUP(A5598,'[1]Tissue Data'!$A:$A,'[1]Tissue Data'!K:K)</f>
        <v>Whole Body</v>
      </c>
      <c r="I5598">
        <f>_xlfn.XLOOKUP(A5598,'[1]Tissue Data'!$A:$A,'[1]Tissue Data'!L:L)</f>
        <v>6.5</v>
      </c>
      <c r="J5598">
        <f>_xlfn.XLOOKUP(A5598,'[1]Tissue Data'!$A:$A,'[1]Tissue Data'!M:M)</f>
        <v>5.93</v>
      </c>
      <c r="K5598" t="s">
        <v>58</v>
      </c>
      <c r="L5598" t="str">
        <f>_xlfn.XLOOKUP(K5598,[2]analyte_order!$B:$B,[2]analyte_order!$C:$C)</f>
        <v>13252-13-6</v>
      </c>
      <c r="M5598">
        <f>_xlfn.XLOOKUP(L5598,[2]analyte_order!$C:$C,[2]analyte_order!$E:$E)</f>
        <v>34</v>
      </c>
      <c r="N5598">
        <v>9.5000000000000001E-2</v>
      </c>
    </row>
    <row r="5599" spans="1:14">
      <c r="A5599" t="s">
        <v>291</v>
      </c>
      <c r="B5599" t="str">
        <f>_xlfn.XLOOKUP(A5599,'[1]Tissue Data'!$A:$A,'[1]Tissue Data'!$C:$C)</f>
        <v>Spill</v>
      </c>
      <c r="C5599" s="2">
        <f>_xlfn.XLOOKUP(A5599,'[1]Tissue Data'!$A:$A,'[1]Tissue Data'!$D:$D)</f>
        <v>44393</v>
      </c>
      <c r="D5599" s="2" t="str">
        <f>_xlfn.XLOOKUP(A5599,'[1]Tissue Data'!$A:$A,'[1]Tissue Data'!$F:$F)</f>
        <v>Pumpkinseed</v>
      </c>
      <c r="E5599" t="str">
        <f>_xlfn.XLOOKUP(A5599,'[1]Tissue Data'!$A:$A,'[1]Tissue Data'!$H:$H)</f>
        <v>Lepomis</v>
      </c>
      <c r="F5599" t="str">
        <f>_xlfn.XLOOKUP(A5599,'[1]Tissue Data'!$A:$A,'[1]Tissue Data'!$I:$I)</f>
        <v>gibbosus</v>
      </c>
      <c r="G5599" t="str">
        <f>_xlfn.XLOOKUP(A5599,'[1]Tissue Data'!$A:$A,'[1]Tissue Data'!J:J)</f>
        <v>U</v>
      </c>
      <c r="H5599" t="str">
        <f>_xlfn.XLOOKUP(A5599,'[1]Tissue Data'!$A:$A,'[1]Tissue Data'!K:K)</f>
        <v>Whole Body</v>
      </c>
      <c r="I5599">
        <f>_xlfn.XLOOKUP(A5599,'[1]Tissue Data'!$A:$A,'[1]Tissue Data'!L:L)</f>
        <v>6.5</v>
      </c>
      <c r="J5599">
        <f>_xlfn.XLOOKUP(A5599,'[1]Tissue Data'!$A:$A,'[1]Tissue Data'!M:M)</f>
        <v>5.93</v>
      </c>
      <c r="K5599" t="s">
        <v>59</v>
      </c>
      <c r="L5599" t="str">
        <f>_xlfn.XLOOKUP(K5599,[2]analyte_order!$B:$B,[2]analyte_order!$C:$C)</f>
        <v>57677-95-9</v>
      </c>
      <c r="M5599">
        <f>_xlfn.XLOOKUP(L5599,[2]analyte_order!$C:$C,[2]analyte_order!$E:$E)</f>
        <v>46</v>
      </c>
      <c r="N5599">
        <v>7.0499999999999993E-2</v>
      </c>
    </row>
    <row r="5600" spans="1:14">
      <c r="A5600" t="s">
        <v>291</v>
      </c>
      <c r="B5600" t="str">
        <f>_xlfn.XLOOKUP(A5600,'[1]Tissue Data'!$A:$A,'[1]Tissue Data'!$C:$C)</f>
        <v>Spill</v>
      </c>
      <c r="C5600" s="2">
        <f>_xlfn.XLOOKUP(A5600,'[1]Tissue Data'!$A:$A,'[1]Tissue Data'!$D:$D)</f>
        <v>44393</v>
      </c>
      <c r="D5600" s="2" t="str">
        <f>_xlfn.XLOOKUP(A5600,'[1]Tissue Data'!$A:$A,'[1]Tissue Data'!$F:$F)</f>
        <v>Pumpkinseed</v>
      </c>
      <c r="E5600" t="str">
        <f>_xlfn.XLOOKUP(A5600,'[1]Tissue Data'!$A:$A,'[1]Tissue Data'!$H:$H)</f>
        <v>Lepomis</v>
      </c>
      <c r="F5600" t="str">
        <f>_xlfn.XLOOKUP(A5600,'[1]Tissue Data'!$A:$A,'[1]Tissue Data'!$I:$I)</f>
        <v>gibbosus</v>
      </c>
      <c r="G5600" t="str">
        <f>_xlfn.XLOOKUP(A5600,'[1]Tissue Data'!$A:$A,'[1]Tissue Data'!J:J)</f>
        <v>U</v>
      </c>
      <c r="H5600" t="str">
        <f>_xlfn.XLOOKUP(A5600,'[1]Tissue Data'!$A:$A,'[1]Tissue Data'!K:K)</f>
        <v>Whole Body</v>
      </c>
      <c r="I5600">
        <f>_xlfn.XLOOKUP(A5600,'[1]Tissue Data'!$A:$A,'[1]Tissue Data'!L:L)</f>
        <v>6.5</v>
      </c>
      <c r="J5600">
        <f>_xlfn.XLOOKUP(A5600,'[1]Tissue Data'!$A:$A,'[1]Tissue Data'!M:M)</f>
        <v>5.93</v>
      </c>
      <c r="K5600" t="s">
        <v>60</v>
      </c>
      <c r="L5600" t="str">
        <f>_xlfn.XLOOKUP(K5600,[2]analyte_order!$B:$B,[2]analyte_order!$C:$C)</f>
        <v>678-41-1</v>
      </c>
      <c r="M5600">
        <f>_xlfn.XLOOKUP(L5600,[2]analyte_order!$C:$C,[2]analyte_order!$E:$E)</f>
        <v>56</v>
      </c>
      <c r="N5600">
        <v>8.7999999999999995E-2</v>
      </c>
    </row>
    <row r="5601" spans="1:14">
      <c r="A5601" t="s">
        <v>291</v>
      </c>
      <c r="B5601" t="str">
        <f>_xlfn.XLOOKUP(A5601,'[1]Tissue Data'!$A:$A,'[1]Tissue Data'!$C:$C)</f>
        <v>Spill</v>
      </c>
      <c r="C5601" s="2">
        <f>_xlfn.XLOOKUP(A5601,'[1]Tissue Data'!$A:$A,'[1]Tissue Data'!$D:$D)</f>
        <v>44393</v>
      </c>
      <c r="D5601" s="2" t="str">
        <f>_xlfn.XLOOKUP(A5601,'[1]Tissue Data'!$A:$A,'[1]Tissue Data'!$F:$F)</f>
        <v>Pumpkinseed</v>
      </c>
      <c r="E5601" t="str">
        <f>_xlfn.XLOOKUP(A5601,'[1]Tissue Data'!$A:$A,'[1]Tissue Data'!$H:$H)</f>
        <v>Lepomis</v>
      </c>
      <c r="F5601" t="str">
        <f>_xlfn.XLOOKUP(A5601,'[1]Tissue Data'!$A:$A,'[1]Tissue Data'!$I:$I)</f>
        <v>gibbosus</v>
      </c>
      <c r="G5601" t="str">
        <f>_xlfn.XLOOKUP(A5601,'[1]Tissue Data'!$A:$A,'[1]Tissue Data'!J:J)</f>
        <v>U</v>
      </c>
      <c r="H5601" t="str">
        <f>_xlfn.XLOOKUP(A5601,'[1]Tissue Data'!$A:$A,'[1]Tissue Data'!K:K)</f>
        <v>Whole Body</v>
      </c>
      <c r="I5601">
        <f>_xlfn.XLOOKUP(A5601,'[1]Tissue Data'!$A:$A,'[1]Tissue Data'!L:L)</f>
        <v>6.5</v>
      </c>
      <c r="J5601">
        <f>_xlfn.XLOOKUP(A5601,'[1]Tissue Data'!$A:$A,'[1]Tissue Data'!M:M)</f>
        <v>5.93</v>
      </c>
      <c r="K5601" t="s">
        <v>61</v>
      </c>
      <c r="L5601" t="str">
        <f>_xlfn.XLOOKUP(K5601,[2]analyte_order!$B:$B,[2]analyte_order!$C:$C)</f>
        <v>2965-52-8</v>
      </c>
      <c r="M5601">
        <f>_xlfn.XLOOKUP(L5601,[2]analyte_order!$C:$C,[2]analyte_order!$E:$E)</f>
        <v>57</v>
      </c>
      <c r="N5601">
        <v>0.11650000000000001</v>
      </c>
    </row>
    <row r="5602" spans="1:14">
      <c r="A5602" t="s">
        <v>292</v>
      </c>
      <c r="B5602" t="str">
        <f>_xlfn.XLOOKUP(A5602,'[1]Tissue Data'!$A:$A,'[1]Tissue Data'!$C:$C)</f>
        <v>Spill</v>
      </c>
      <c r="C5602" s="2">
        <f>_xlfn.XLOOKUP(A5602,'[1]Tissue Data'!$A:$A,'[1]Tissue Data'!$D:$D)</f>
        <v>44393</v>
      </c>
      <c r="D5602" s="2" t="str">
        <f>_xlfn.XLOOKUP(A5602,'[1]Tissue Data'!$A:$A,'[1]Tissue Data'!$F:$F)</f>
        <v>Pumpkinseed</v>
      </c>
      <c r="E5602" t="str">
        <f>_xlfn.XLOOKUP(A5602,'[1]Tissue Data'!$A:$A,'[1]Tissue Data'!$H:$H)</f>
        <v>Lepomis</v>
      </c>
      <c r="F5602" t="str">
        <f>_xlfn.XLOOKUP(A5602,'[1]Tissue Data'!$A:$A,'[1]Tissue Data'!$I:$I)</f>
        <v>gibbosus</v>
      </c>
      <c r="G5602" t="str">
        <f>_xlfn.XLOOKUP(A5602,'[1]Tissue Data'!$A:$A,'[1]Tissue Data'!J:J)</f>
        <v>U</v>
      </c>
      <c r="H5602" t="str">
        <f>_xlfn.XLOOKUP(A5602,'[1]Tissue Data'!$A:$A,'[1]Tissue Data'!K:K)</f>
        <v>Whole Body</v>
      </c>
      <c r="I5602">
        <f>_xlfn.XLOOKUP(A5602,'[1]Tissue Data'!$A:$A,'[1]Tissue Data'!L:L)</f>
        <v>9</v>
      </c>
      <c r="J5602">
        <f>_xlfn.XLOOKUP(A5602,'[1]Tissue Data'!$A:$A,'[1]Tissue Data'!M:M)</f>
        <v>13.89</v>
      </c>
      <c r="K5602" t="s">
        <v>12</v>
      </c>
      <c r="L5602" t="str">
        <f>_xlfn.XLOOKUP(K5602,[2]analyte_order!$B:$B,[2]analyte_order!$C:$C)</f>
        <v>375-22-4</v>
      </c>
      <c r="M5602">
        <f>_xlfn.XLOOKUP(L5602,[2]analyte_order!$C:$C,[2]analyte_order!$E:$E)</f>
        <v>1</v>
      </c>
      <c r="N5602">
        <v>0.23250000000000001</v>
      </c>
    </row>
    <row r="5603" spans="1:14">
      <c r="A5603" t="s">
        <v>292</v>
      </c>
      <c r="B5603" t="str">
        <f>_xlfn.XLOOKUP(A5603,'[1]Tissue Data'!$A:$A,'[1]Tissue Data'!$C:$C)</f>
        <v>Spill</v>
      </c>
      <c r="C5603" s="2">
        <f>_xlfn.XLOOKUP(A5603,'[1]Tissue Data'!$A:$A,'[1]Tissue Data'!$D:$D)</f>
        <v>44393</v>
      </c>
      <c r="D5603" s="2" t="str">
        <f>_xlfn.XLOOKUP(A5603,'[1]Tissue Data'!$A:$A,'[1]Tissue Data'!$F:$F)</f>
        <v>Pumpkinseed</v>
      </c>
      <c r="E5603" t="str">
        <f>_xlfn.XLOOKUP(A5603,'[1]Tissue Data'!$A:$A,'[1]Tissue Data'!$H:$H)</f>
        <v>Lepomis</v>
      </c>
      <c r="F5603" t="str">
        <f>_xlfn.XLOOKUP(A5603,'[1]Tissue Data'!$A:$A,'[1]Tissue Data'!$I:$I)</f>
        <v>gibbosus</v>
      </c>
      <c r="G5603" t="str">
        <f>_xlfn.XLOOKUP(A5603,'[1]Tissue Data'!$A:$A,'[1]Tissue Data'!J:J)</f>
        <v>U</v>
      </c>
      <c r="H5603" t="str">
        <f>_xlfn.XLOOKUP(A5603,'[1]Tissue Data'!$A:$A,'[1]Tissue Data'!K:K)</f>
        <v>Whole Body</v>
      </c>
      <c r="I5603">
        <f>_xlfn.XLOOKUP(A5603,'[1]Tissue Data'!$A:$A,'[1]Tissue Data'!L:L)</f>
        <v>9</v>
      </c>
      <c r="J5603">
        <f>_xlfn.XLOOKUP(A5603,'[1]Tissue Data'!$A:$A,'[1]Tissue Data'!M:M)</f>
        <v>13.89</v>
      </c>
      <c r="K5603" t="s">
        <v>13</v>
      </c>
      <c r="L5603" t="str">
        <f>_xlfn.XLOOKUP(K5603,[2]analyte_order!$B:$B,[2]analyte_order!$C:$C)</f>
        <v>2706-90-3</v>
      </c>
      <c r="M5603">
        <f>_xlfn.XLOOKUP(L5603,[2]analyte_order!$C:$C,[2]analyte_order!$E:$E)</f>
        <v>2</v>
      </c>
      <c r="N5603">
        <v>0.16400000000000001</v>
      </c>
    </row>
    <row r="5604" spans="1:14">
      <c r="A5604" t="s">
        <v>292</v>
      </c>
      <c r="B5604" t="str">
        <f>_xlfn.XLOOKUP(A5604,'[1]Tissue Data'!$A:$A,'[1]Tissue Data'!$C:$C)</f>
        <v>Spill</v>
      </c>
      <c r="C5604" s="2">
        <f>_xlfn.XLOOKUP(A5604,'[1]Tissue Data'!$A:$A,'[1]Tissue Data'!$D:$D)</f>
        <v>44393</v>
      </c>
      <c r="D5604" s="2" t="str">
        <f>_xlfn.XLOOKUP(A5604,'[1]Tissue Data'!$A:$A,'[1]Tissue Data'!$F:$F)</f>
        <v>Pumpkinseed</v>
      </c>
      <c r="E5604" t="str">
        <f>_xlfn.XLOOKUP(A5604,'[1]Tissue Data'!$A:$A,'[1]Tissue Data'!$H:$H)</f>
        <v>Lepomis</v>
      </c>
      <c r="F5604" t="str">
        <f>_xlfn.XLOOKUP(A5604,'[1]Tissue Data'!$A:$A,'[1]Tissue Data'!$I:$I)</f>
        <v>gibbosus</v>
      </c>
      <c r="G5604" t="str">
        <f>_xlfn.XLOOKUP(A5604,'[1]Tissue Data'!$A:$A,'[1]Tissue Data'!J:J)</f>
        <v>U</v>
      </c>
      <c r="H5604" t="str">
        <f>_xlfn.XLOOKUP(A5604,'[1]Tissue Data'!$A:$A,'[1]Tissue Data'!K:K)</f>
        <v>Whole Body</v>
      </c>
      <c r="I5604">
        <f>_xlfn.XLOOKUP(A5604,'[1]Tissue Data'!$A:$A,'[1]Tissue Data'!L:L)</f>
        <v>9</v>
      </c>
      <c r="J5604">
        <f>_xlfn.XLOOKUP(A5604,'[1]Tissue Data'!$A:$A,'[1]Tissue Data'!M:M)</f>
        <v>13.89</v>
      </c>
      <c r="K5604" t="s">
        <v>14</v>
      </c>
      <c r="L5604" t="str">
        <f>_xlfn.XLOOKUP(K5604,[2]analyte_order!$B:$B,[2]analyte_order!$C:$C)</f>
        <v>307-24-4</v>
      </c>
      <c r="M5604">
        <f>_xlfn.XLOOKUP(L5604,[2]analyte_order!$C:$C,[2]analyte_order!$E:$E)</f>
        <v>3</v>
      </c>
      <c r="N5604">
        <v>0.1255</v>
      </c>
    </row>
    <row r="5605" spans="1:14">
      <c r="A5605" t="s">
        <v>292</v>
      </c>
      <c r="B5605" t="str">
        <f>_xlfn.XLOOKUP(A5605,'[1]Tissue Data'!$A:$A,'[1]Tissue Data'!$C:$C)</f>
        <v>Spill</v>
      </c>
      <c r="C5605" s="2">
        <f>_xlfn.XLOOKUP(A5605,'[1]Tissue Data'!$A:$A,'[1]Tissue Data'!$D:$D)</f>
        <v>44393</v>
      </c>
      <c r="D5605" s="2" t="str">
        <f>_xlfn.XLOOKUP(A5605,'[1]Tissue Data'!$A:$A,'[1]Tissue Data'!$F:$F)</f>
        <v>Pumpkinseed</v>
      </c>
      <c r="E5605" t="str">
        <f>_xlfn.XLOOKUP(A5605,'[1]Tissue Data'!$A:$A,'[1]Tissue Data'!$H:$H)</f>
        <v>Lepomis</v>
      </c>
      <c r="F5605" t="str">
        <f>_xlfn.XLOOKUP(A5605,'[1]Tissue Data'!$A:$A,'[1]Tissue Data'!$I:$I)</f>
        <v>gibbosus</v>
      </c>
      <c r="G5605" t="str">
        <f>_xlfn.XLOOKUP(A5605,'[1]Tissue Data'!$A:$A,'[1]Tissue Data'!J:J)</f>
        <v>U</v>
      </c>
      <c r="H5605" t="str">
        <f>_xlfn.XLOOKUP(A5605,'[1]Tissue Data'!$A:$A,'[1]Tissue Data'!K:K)</f>
        <v>Whole Body</v>
      </c>
      <c r="I5605">
        <f>_xlfn.XLOOKUP(A5605,'[1]Tissue Data'!$A:$A,'[1]Tissue Data'!L:L)</f>
        <v>9</v>
      </c>
      <c r="J5605">
        <f>_xlfn.XLOOKUP(A5605,'[1]Tissue Data'!$A:$A,'[1]Tissue Data'!M:M)</f>
        <v>13.89</v>
      </c>
      <c r="K5605" t="s">
        <v>15</v>
      </c>
      <c r="L5605" t="str">
        <f>_xlfn.XLOOKUP(K5605,[2]analyte_order!$B:$B,[2]analyte_order!$C:$C)</f>
        <v>375-85-9</v>
      </c>
      <c r="M5605">
        <f>_xlfn.XLOOKUP(L5605,[2]analyte_order!$C:$C,[2]analyte_order!$E:$E)</f>
        <v>4</v>
      </c>
      <c r="N5605">
        <v>9.2999999999999999E-2</v>
      </c>
    </row>
    <row r="5606" spans="1:14">
      <c r="A5606" t="s">
        <v>292</v>
      </c>
      <c r="B5606" t="str">
        <f>_xlfn.XLOOKUP(A5606,'[1]Tissue Data'!$A:$A,'[1]Tissue Data'!$C:$C)</f>
        <v>Spill</v>
      </c>
      <c r="C5606" s="2">
        <f>_xlfn.XLOOKUP(A5606,'[1]Tissue Data'!$A:$A,'[1]Tissue Data'!$D:$D)</f>
        <v>44393</v>
      </c>
      <c r="D5606" s="2" t="str">
        <f>_xlfn.XLOOKUP(A5606,'[1]Tissue Data'!$A:$A,'[1]Tissue Data'!$F:$F)</f>
        <v>Pumpkinseed</v>
      </c>
      <c r="E5606" t="str">
        <f>_xlfn.XLOOKUP(A5606,'[1]Tissue Data'!$A:$A,'[1]Tissue Data'!$H:$H)</f>
        <v>Lepomis</v>
      </c>
      <c r="F5606" t="str">
        <f>_xlfn.XLOOKUP(A5606,'[1]Tissue Data'!$A:$A,'[1]Tissue Data'!$I:$I)</f>
        <v>gibbosus</v>
      </c>
      <c r="G5606" t="str">
        <f>_xlfn.XLOOKUP(A5606,'[1]Tissue Data'!$A:$A,'[1]Tissue Data'!J:J)</f>
        <v>U</v>
      </c>
      <c r="H5606" t="str">
        <f>_xlfn.XLOOKUP(A5606,'[1]Tissue Data'!$A:$A,'[1]Tissue Data'!K:K)</f>
        <v>Whole Body</v>
      </c>
      <c r="I5606">
        <f>_xlfn.XLOOKUP(A5606,'[1]Tissue Data'!$A:$A,'[1]Tissue Data'!L:L)</f>
        <v>9</v>
      </c>
      <c r="J5606">
        <f>_xlfn.XLOOKUP(A5606,'[1]Tissue Data'!$A:$A,'[1]Tissue Data'!M:M)</f>
        <v>13.89</v>
      </c>
      <c r="K5606" t="s">
        <v>16</v>
      </c>
      <c r="L5606" t="str">
        <f>_xlfn.XLOOKUP(K5606,[2]analyte_order!$B:$B,[2]analyte_order!$C:$C)</f>
        <v>335-67-1</v>
      </c>
      <c r="M5606">
        <f>_xlfn.XLOOKUP(L5606,[2]analyte_order!$C:$C,[2]analyte_order!$E:$E)</f>
        <v>5</v>
      </c>
      <c r="N5606">
        <v>0.24399999999999999</v>
      </c>
    </row>
    <row r="5607" spans="1:14">
      <c r="A5607" t="s">
        <v>292</v>
      </c>
      <c r="B5607" t="str">
        <f>_xlfn.XLOOKUP(A5607,'[1]Tissue Data'!$A:$A,'[1]Tissue Data'!$C:$C)</f>
        <v>Spill</v>
      </c>
      <c r="C5607" s="2">
        <f>_xlfn.XLOOKUP(A5607,'[1]Tissue Data'!$A:$A,'[1]Tissue Data'!$D:$D)</f>
        <v>44393</v>
      </c>
      <c r="D5607" s="2" t="str">
        <f>_xlfn.XLOOKUP(A5607,'[1]Tissue Data'!$A:$A,'[1]Tissue Data'!$F:$F)</f>
        <v>Pumpkinseed</v>
      </c>
      <c r="E5607" t="str">
        <f>_xlfn.XLOOKUP(A5607,'[1]Tissue Data'!$A:$A,'[1]Tissue Data'!$H:$H)</f>
        <v>Lepomis</v>
      </c>
      <c r="F5607" t="str">
        <f>_xlfn.XLOOKUP(A5607,'[1]Tissue Data'!$A:$A,'[1]Tissue Data'!$I:$I)</f>
        <v>gibbosus</v>
      </c>
      <c r="G5607" t="str">
        <f>_xlfn.XLOOKUP(A5607,'[1]Tissue Data'!$A:$A,'[1]Tissue Data'!J:J)</f>
        <v>U</v>
      </c>
      <c r="H5607" t="str">
        <f>_xlfn.XLOOKUP(A5607,'[1]Tissue Data'!$A:$A,'[1]Tissue Data'!K:K)</f>
        <v>Whole Body</v>
      </c>
      <c r="I5607">
        <f>_xlfn.XLOOKUP(A5607,'[1]Tissue Data'!$A:$A,'[1]Tissue Data'!L:L)</f>
        <v>9</v>
      </c>
      <c r="J5607">
        <f>_xlfn.XLOOKUP(A5607,'[1]Tissue Data'!$A:$A,'[1]Tissue Data'!M:M)</f>
        <v>13.89</v>
      </c>
      <c r="K5607" t="s">
        <v>17</v>
      </c>
      <c r="L5607" t="str">
        <f>_xlfn.XLOOKUP(K5607,[2]analyte_order!$B:$B,[2]analyte_order!$C:$C)</f>
        <v>375-95-1</v>
      </c>
      <c r="M5607">
        <f>_xlfn.XLOOKUP(L5607,[2]analyte_order!$C:$C,[2]analyte_order!$E:$E)</f>
        <v>6</v>
      </c>
      <c r="N5607">
        <v>0.161</v>
      </c>
    </row>
    <row r="5608" spans="1:14">
      <c r="A5608" t="s">
        <v>292</v>
      </c>
      <c r="B5608" t="str">
        <f>_xlfn.XLOOKUP(A5608,'[1]Tissue Data'!$A:$A,'[1]Tissue Data'!$C:$C)</f>
        <v>Spill</v>
      </c>
      <c r="C5608" s="2">
        <f>_xlfn.XLOOKUP(A5608,'[1]Tissue Data'!$A:$A,'[1]Tissue Data'!$D:$D)</f>
        <v>44393</v>
      </c>
      <c r="D5608" s="2" t="str">
        <f>_xlfn.XLOOKUP(A5608,'[1]Tissue Data'!$A:$A,'[1]Tissue Data'!$F:$F)</f>
        <v>Pumpkinseed</v>
      </c>
      <c r="E5608" t="str">
        <f>_xlfn.XLOOKUP(A5608,'[1]Tissue Data'!$A:$A,'[1]Tissue Data'!$H:$H)</f>
        <v>Lepomis</v>
      </c>
      <c r="F5608" t="str">
        <f>_xlfn.XLOOKUP(A5608,'[1]Tissue Data'!$A:$A,'[1]Tissue Data'!$I:$I)</f>
        <v>gibbosus</v>
      </c>
      <c r="G5608" t="str">
        <f>_xlfn.XLOOKUP(A5608,'[1]Tissue Data'!$A:$A,'[1]Tissue Data'!J:J)</f>
        <v>U</v>
      </c>
      <c r="H5608" t="str">
        <f>_xlfn.XLOOKUP(A5608,'[1]Tissue Data'!$A:$A,'[1]Tissue Data'!K:K)</f>
        <v>Whole Body</v>
      </c>
      <c r="I5608">
        <f>_xlfn.XLOOKUP(A5608,'[1]Tissue Data'!$A:$A,'[1]Tissue Data'!L:L)</f>
        <v>9</v>
      </c>
      <c r="J5608">
        <f>_xlfn.XLOOKUP(A5608,'[1]Tissue Data'!$A:$A,'[1]Tissue Data'!M:M)</f>
        <v>13.89</v>
      </c>
      <c r="K5608" t="s">
        <v>18</v>
      </c>
      <c r="L5608" t="str">
        <f>_xlfn.XLOOKUP(K5608,[2]analyte_order!$B:$B,[2]analyte_order!$C:$C)</f>
        <v>335-76-2</v>
      </c>
      <c r="M5608">
        <f>_xlfn.XLOOKUP(L5608,[2]analyte_order!$C:$C,[2]analyte_order!$E:$E)</f>
        <v>7</v>
      </c>
      <c r="N5608">
        <v>1.29</v>
      </c>
    </row>
    <row r="5609" spans="1:14">
      <c r="A5609" t="s">
        <v>292</v>
      </c>
      <c r="B5609" t="str">
        <f>_xlfn.XLOOKUP(A5609,'[1]Tissue Data'!$A:$A,'[1]Tissue Data'!$C:$C)</f>
        <v>Spill</v>
      </c>
      <c r="C5609" s="2">
        <f>_xlfn.XLOOKUP(A5609,'[1]Tissue Data'!$A:$A,'[1]Tissue Data'!$D:$D)</f>
        <v>44393</v>
      </c>
      <c r="D5609" s="2" t="str">
        <f>_xlfn.XLOOKUP(A5609,'[1]Tissue Data'!$A:$A,'[1]Tissue Data'!$F:$F)</f>
        <v>Pumpkinseed</v>
      </c>
      <c r="E5609" t="str">
        <f>_xlfn.XLOOKUP(A5609,'[1]Tissue Data'!$A:$A,'[1]Tissue Data'!$H:$H)</f>
        <v>Lepomis</v>
      </c>
      <c r="F5609" t="str">
        <f>_xlfn.XLOOKUP(A5609,'[1]Tissue Data'!$A:$A,'[1]Tissue Data'!$I:$I)</f>
        <v>gibbosus</v>
      </c>
      <c r="G5609" t="str">
        <f>_xlfn.XLOOKUP(A5609,'[1]Tissue Data'!$A:$A,'[1]Tissue Data'!J:J)</f>
        <v>U</v>
      </c>
      <c r="H5609" t="str">
        <f>_xlfn.XLOOKUP(A5609,'[1]Tissue Data'!$A:$A,'[1]Tissue Data'!K:K)</f>
        <v>Whole Body</v>
      </c>
      <c r="I5609">
        <f>_xlfn.XLOOKUP(A5609,'[1]Tissue Data'!$A:$A,'[1]Tissue Data'!L:L)</f>
        <v>9</v>
      </c>
      <c r="J5609">
        <f>_xlfn.XLOOKUP(A5609,'[1]Tissue Data'!$A:$A,'[1]Tissue Data'!M:M)</f>
        <v>13.89</v>
      </c>
      <c r="K5609" t="s">
        <v>19</v>
      </c>
      <c r="L5609" t="str">
        <f>_xlfn.XLOOKUP(K5609,[2]analyte_order!$B:$B,[2]analyte_order!$C:$C)</f>
        <v>2058-94-8</v>
      </c>
      <c r="M5609">
        <f>_xlfn.XLOOKUP(L5609,[2]analyte_order!$C:$C,[2]analyte_order!$E:$E)</f>
        <v>8</v>
      </c>
      <c r="N5609">
        <v>1.6</v>
      </c>
    </row>
    <row r="5610" spans="1:14">
      <c r="A5610" t="s">
        <v>292</v>
      </c>
      <c r="B5610" t="str">
        <f>_xlfn.XLOOKUP(A5610,'[1]Tissue Data'!$A:$A,'[1]Tissue Data'!$C:$C)</f>
        <v>Spill</v>
      </c>
      <c r="C5610" s="2">
        <f>_xlfn.XLOOKUP(A5610,'[1]Tissue Data'!$A:$A,'[1]Tissue Data'!$D:$D)</f>
        <v>44393</v>
      </c>
      <c r="D5610" s="2" t="str">
        <f>_xlfn.XLOOKUP(A5610,'[1]Tissue Data'!$A:$A,'[1]Tissue Data'!$F:$F)</f>
        <v>Pumpkinseed</v>
      </c>
      <c r="E5610" t="str">
        <f>_xlfn.XLOOKUP(A5610,'[1]Tissue Data'!$A:$A,'[1]Tissue Data'!$H:$H)</f>
        <v>Lepomis</v>
      </c>
      <c r="F5610" t="str">
        <f>_xlfn.XLOOKUP(A5610,'[1]Tissue Data'!$A:$A,'[1]Tissue Data'!$I:$I)</f>
        <v>gibbosus</v>
      </c>
      <c r="G5610" t="str">
        <f>_xlfn.XLOOKUP(A5610,'[1]Tissue Data'!$A:$A,'[1]Tissue Data'!J:J)</f>
        <v>U</v>
      </c>
      <c r="H5610" t="str">
        <f>_xlfn.XLOOKUP(A5610,'[1]Tissue Data'!$A:$A,'[1]Tissue Data'!K:K)</f>
        <v>Whole Body</v>
      </c>
      <c r="I5610">
        <f>_xlfn.XLOOKUP(A5610,'[1]Tissue Data'!$A:$A,'[1]Tissue Data'!L:L)</f>
        <v>9</v>
      </c>
      <c r="J5610">
        <f>_xlfn.XLOOKUP(A5610,'[1]Tissue Data'!$A:$A,'[1]Tissue Data'!M:M)</f>
        <v>13.89</v>
      </c>
      <c r="K5610" t="s">
        <v>20</v>
      </c>
      <c r="L5610" t="str">
        <f>_xlfn.XLOOKUP(K5610,[2]analyte_order!$B:$B,[2]analyte_order!$C:$C)</f>
        <v>307-55-1</v>
      </c>
      <c r="M5610">
        <f>_xlfn.XLOOKUP(L5610,[2]analyte_order!$C:$C,[2]analyte_order!$E:$E)</f>
        <v>9</v>
      </c>
      <c r="N5610">
        <v>2.72</v>
      </c>
    </row>
    <row r="5611" spans="1:14">
      <c r="A5611" t="s">
        <v>292</v>
      </c>
      <c r="B5611" t="str">
        <f>_xlfn.XLOOKUP(A5611,'[1]Tissue Data'!$A:$A,'[1]Tissue Data'!$C:$C)</f>
        <v>Spill</v>
      </c>
      <c r="C5611" s="2">
        <f>_xlfn.XLOOKUP(A5611,'[1]Tissue Data'!$A:$A,'[1]Tissue Data'!$D:$D)</f>
        <v>44393</v>
      </c>
      <c r="D5611" s="2" t="str">
        <f>_xlfn.XLOOKUP(A5611,'[1]Tissue Data'!$A:$A,'[1]Tissue Data'!$F:$F)</f>
        <v>Pumpkinseed</v>
      </c>
      <c r="E5611" t="str">
        <f>_xlfn.XLOOKUP(A5611,'[1]Tissue Data'!$A:$A,'[1]Tissue Data'!$H:$H)</f>
        <v>Lepomis</v>
      </c>
      <c r="F5611" t="str">
        <f>_xlfn.XLOOKUP(A5611,'[1]Tissue Data'!$A:$A,'[1]Tissue Data'!$I:$I)</f>
        <v>gibbosus</v>
      </c>
      <c r="G5611" t="str">
        <f>_xlfn.XLOOKUP(A5611,'[1]Tissue Data'!$A:$A,'[1]Tissue Data'!J:J)</f>
        <v>U</v>
      </c>
      <c r="H5611" t="str">
        <f>_xlfn.XLOOKUP(A5611,'[1]Tissue Data'!$A:$A,'[1]Tissue Data'!K:K)</f>
        <v>Whole Body</v>
      </c>
      <c r="I5611">
        <f>_xlfn.XLOOKUP(A5611,'[1]Tissue Data'!$A:$A,'[1]Tissue Data'!L:L)</f>
        <v>9</v>
      </c>
      <c r="J5611">
        <f>_xlfn.XLOOKUP(A5611,'[1]Tissue Data'!$A:$A,'[1]Tissue Data'!M:M)</f>
        <v>13.89</v>
      </c>
      <c r="K5611" t="s">
        <v>21</v>
      </c>
      <c r="L5611" t="str">
        <f>_xlfn.XLOOKUP(K5611,[2]analyte_order!$B:$B,[2]analyte_order!$C:$C)</f>
        <v>72629-94-8</v>
      </c>
      <c r="M5611">
        <f>_xlfn.XLOOKUP(L5611,[2]analyte_order!$C:$C,[2]analyte_order!$E:$E)</f>
        <v>10</v>
      </c>
      <c r="N5611">
        <v>0.72</v>
      </c>
    </row>
    <row r="5612" spans="1:14">
      <c r="A5612" t="s">
        <v>292</v>
      </c>
      <c r="B5612" t="str">
        <f>_xlfn.XLOOKUP(A5612,'[1]Tissue Data'!$A:$A,'[1]Tissue Data'!$C:$C)</f>
        <v>Spill</v>
      </c>
      <c r="C5612" s="2">
        <f>_xlfn.XLOOKUP(A5612,'[1]Tissue Data'!$A:$A,'[1]Tissue Data'!$D:$D)</f>
        <v>44393</v>
      </c>
      <c r="D5612" s="2" t="str">
        <f>_xlfn.XLOOKUP(A5612,'[1]Tissue Data'!$A:$A,'[1]Tissue Data'!$F:$F)</f>
        <v>Pumpkinseed</v>
      </c>
      <c r="E5612" t="str">
        <f>_xlfn.XLOOKUP(A5612,'[1]Tissue Data'!$A:$A,'[1]Tissue Data'!$H:$H)</f>
        <v>Lepomis</v>
      </c>
      <c r="F5612" t="str">
        <f>_xlfn.XLOOKUP(A5612,'[1]Tissue Data'!$A:$A,'[1]Tissue Data'!$I:$I)</f>
        <v>gibbosus</v>
      </c>
      <c r="G5612" t="str">
        <f>_xlfn.XLOOKUP(A5612,'[1]Tissue Data'!$A:$A,'[1]Tissue Data'!J:J)</f>
        <v>U</v>
      </c>
      <c r="H5612" t="str">
        <f>_xlfn.XLOOKUP(A5612,'[1]Tissue Data'!$A:$A,'[1]Tissue Data'!K:K)</f>
        <v>Whole Body</v>
      </c>
      <c r="I5612">
        <f>_xlfn.XLOOKUP(A5612,'[1]Tissue Data'!$A:$A,'[1]Tissue Data'!L:L)</f>
        <v>9</v>
      </c>
      <c r="J5612">
        <f>_xlfn.XLOOKUP(A5612,'[1]Tissue Data'!$A:$A,'[1]Tissue Data'!M:M)</f>
        <v>13.89</v>
      </c>
      <c r="K5612" t="s">
        <v>22</v>
      </c>
      <c r="L5612" t="str">
        <f>_xlfn.XLOOKUP(K5612,[2]analyte_order!$B:$B,[2]analyte_order!$C:$C)</f>
        <v>376-06-7</v>
      </c>
      <c r="M5612">
        <f>_xlfn.XLOOKUP(L5612,[2]analyte_order!$C:$C,[2]analyte_order!$E:$E)</f>
        <v>11</v>
      </c>
      <c r="N5612">
        <v>2.59</v>
      </c>
    </row>
    <row r="5613" spans="1:14">
      <c r="A5613" t="s">
        <v>292</v>
      </c>
      <c r="B5613" t="str">
        <f>_xlfn.XLOOKUP(A5613,'[1]Tissue Data'!$A:$A,'[1]Tissue Data'!$C:$C)</f>
        <v>Spill</v>
      </c>
      <c r="C5613" s="2">
        <f>_xlfn.XLOOKUP(A5613,'[1]Tissue Data'!$A:$A,'[1]Tissue Data'!$D:$D)</f>
        <v>44393</v>
      </c>
      <c r="D5613" s="2" t="str">
        <f>_xlfn.XLOOKUP(A5613,'[1]Tissue Data'!$A:$A,'[1]Tissue Data'!$F:$F)</f>
        <v>Pumpkinseed</v>
      </c>
      <c r="E5613" t="str">
        <f>_xlfn.XLOOKUP(A5613,'[1]Tissue Data'!$A:$A,'[1]Tissue Data'!$H:$H)</f>
        <v>Lepomis</v>
      </c>
      <c r="F5613" t="str">
        <f>_xlfn.XLOOKUP(A5613,'[1]Tissue Data'!$A:$A,'[1]Tissue Data'!$I:$I)</f>
        <v>gibbosus</v>
      </c>
      <c r="G5613" t="str">
        <f>_xlfn.XLOOKUP(A5613,'[1]Tissue Data'!$A:$A,'[1]Tissue Data'!J:J)</f>
        <v>U</v>
      </c>
      <c r="H5613" t="str">
        <f>_xlfn.XLOOKUP(A5613,'[1]Tissue Data'!$A:$A,'[1]Tissue Data'!K:K)</f>
        <v>Whole Body</v>
      </c>
      <c r="I5613">
        <f>_xlfn.XLOOKUP(A5613,'[1]Tissue Data'!$A:$A,'[1]Tissue Data'!L:L)</f>
        <v>9</v>
      </c>
      <c r="J5613">
        <f>_xlfn.XLOOKUP(A5613,'[1]Tissue Data'!$A:$A,'[1]Tissue Data'!M:M)</f>
        <v>13.89</v>
      </c>
      <c r="K5613" t="s">
        <v>23</v>
      </c>
      <c r="L5613" t="str">
        <f>_xlfn.XLOOKUP(K5613,[2]analyte_order!$B:$B,[2]analyte_order!$C:$C)</f>
        <v>67905-19-5</v>
      </c>
      <c r="M5613">
        <f>_xlfn.XLOOKUP(L5613,[2]analyte_order!$C:$C,[2]analyte_order!$E:$E)</f>
        <v>12</v>
      </c>
      <c r="N5613">
        <v>8.4000000000000005E-2</v>
      </c>
    </row>
    <row r="5614" spans="1:14">
      <c r="A5614" t="s">
        <v>292</v>
      </c>
      <c r="B5614" t="str">
        <f>_xlfn.XLOOKUP(A5614,'[1]Tissue Data'!$A:$A,'[1]Tissue Data'!$C:$C)</f>
        <v>Spill</v>
      </c>
      <c r="C5614" s="2">
        <f>_xlfn.XLOOKUP(A5614,'[1]Tissue Data'!$A:$A,'[1]Tissue Data'!$D:$D)</f>
        <v>44393</v>
      </c>
      <c r="D5614" s="2" t="str">
        <f>_xlfn.XLOOKUP(A5614,'[1]Tissue Data'!$A:$A,'[1]Tissue Data'!$F:$F)</f>
        <v>Pumpkinseed</v>
      </c>
      <c r="E5614" t="str">
        <f>_xlfn.XLOOKUP(A5614,'[1]Tissue Data'!$A:$A,'[1]Tissue Data'!$H:$H)</f>
        <v>Lepomis</v>
      </c>
      <c r="F5614" t="str">
        <f>_xlfn.XLOOKUP(A5614,'[1]Tissue Data'!$A:$A,'[1]Tissue Data'!$I:$I)</f>
        <v>gibbosus</v>
      </c>
      <c r="G5614" t="str">
        <f>_xlfn.XLOOKUP(A5614,'[1]Tissue Data'!$A:$A,'[1]Tissue Data'!J:J)</f>
        <v>U</v>
      </c>
      <c r="H5614" t="str">
        <f>_xlfn.XLOOKUP(A5614,'[1]Tissue Data'!$A:$A,'[1]Tissue Data'!K:K)</f>
        <v>Whole Body</v>
      </c>
      <c r="I5614">
        <f>_xlfn.XLOOKUP(A5614,'[1]Tissue Data'!$A:$A,'[1]Tissue Data'!L:L)</f>
        <v>9</v>
      </c>
      <c r="J5614">
        <f>_xlfn.XLOOKUP(A5614,'[1]Tissue Data'!$A:$A,'[1]Tissue Data'!M:M)</f>
        <v>13.89</v>
      </c>
      <c r="K5614" t="s">
        <v>24</v>
      </c>
      <c r="L5614" t="str">
        <f>_xlfn.XLOOKUP(K5614,[2]analyte_order!$B:$B,[2]analyte_order!$C:$C)</f>
        <v>423-41-6</v>
      </c>
      <c r="M5614">
        <f>_xlfn.XLOOKUP(L5614,[2]analyte_order!$C:$C,[2]analyte_order!$E:$E)</f>
        <v>53</v>
      </c>
      <c r="N5614">
        <v>7.0499999999999993E-2</v>
      </c>
    </row>
    <row r="5615" spans="1:14">
      <c r="A5615" t="s">
        <v>292</v>
      </c>
      <c r="B5615" t="str">
        <f>_xlfn.XLOOKUP(A5615,'[1]Tissue Data'!$A:$A,'[1]Tissue Data'!$C:$C)</f>
        <v>Spill</v>
      </c>
      <c r="C5615" s="2">
        <f>_xlfn.XLOOKUP(A5615,'[1]Tissue Data'!$A:$A,'[1]Tissue Data'!$D:$D)</f>
        <v>44393</v>
      </c>
      <c r="D5615" s="2" t="str">
        <f>_xlfn.XLOOKUP(A5615,'[1]Tissue Data'!$A:$A,'[1]Tissue Data'!$F:$F)</f>
        <v>Pumpkinseed</v>
      </c>
      <c r="E5615" t="str">
        <f>_xlfn.XLOOKUP(A5615,'[1]Tissue Data'!$A:$A,'[1]Tissue Data'!$H:$H)</f>
        <v>Lepomis</v>
      </c>
      <c r="F5615" t="str">
        <f>_xlfn.XLOOKUP(A5615,'[1]Tissue Data'!$A:$A,'[1]Tissue Data'!$I:$I)</f>
        <v>gibbosus</v>
      </c>
      <c r="G5615" t="str">
        <f>_xlfn.XLOOKUP(A5615,'[1]Tissue Data'!$A:$A,'[1]Tissue Data'!J:J)</f>
        <v>U</v>
      </c>
      <c r="H5615" t="str">
        <f>_xlfn.XLOOKUP(A5615,'[1]Tissue Data'!$A:$A,'[1]Tissue Data'!K:K)</f>
        <v>Whole Body</v>
      </c>
      <c r="I5615">
        <f>_xlfn.XLOOKUP(A5615,'[1]Tissue Data'!$A:$A,'[1]Tissue Data'!L:L)</f>
        <v>9</v>
      </c>
      <c r="J5615">
        <f>_xlfn.XLOOKUP(A5615,'[1]Tissue Data'!$A:$A,'[1]Tissue Data'!M:M)</f>
        <v>13.89</v>
      </c>
      <c r="K5615" t="s">
        <v>25</v>
      </c>
      <c r="L5615" t="str">
        <f>_xlfn.XLOOKUP(K5615,[2]analyte_order!$B:$B,[2]analyte_order!$C:$C)</f>
        <v>375-73-5</v>
      </c>
      <c r="M5615">
        <f>_xlfn.XLOOKUP(L5615,[2]analyte_order!$C:$C,[2]analyte_order!$E:$E)</f>
        <v>14</v>
      </c>
      <c r="N5615">
        <v>0.158</v>
      </c>
    </row>
    <row r="5616" spans="1:14">
      <c r="A5616" t="s">
        <v>292</v>
      </c>
      <c r="B5616" t="str">
        <f>_xlfn.XLOOKUP(A5616,'[1]Tissue Data'!$A:$A,'[1]Tissue Data'!$C:$C)</f>
        <v>Spill</v>
      </c>
      <c r="C5616" s="2">
        <f>_xlfn.XLOOKUP(A5616,'[1]Tissue Data'!$A:$A,'[1]Tissue Data'!$D:$D)</f>
        <v>44393</v>
      </c>
      <c r="D5616" s="2" t="str">
        <f>_xlfn.XLOOKUP(A5616,'[1]Tissue Data'!$A:$A,'[1]Tissue Data'!$F:$F)</f>
        <v>Pumpkinseed</v>
      </c>
      <c r="E5616" t="str">
        <f>_xlfn.XLOOKUP(A5616,'[1]Tissue Data'!$A:$A,'[1]Tissue Data'!$H:$H)</f>
        <v>Lepomis</v>
      </c>
      <c r="F5616" t="str">
        <f>_xlfn.XLOOKUP(A5616,'[1]Tissue Data'!$A:$A,'[1]Tissue Data'!$I:$I)</f>
        <v>gibbosus</v>
      </c>
      <c r="G5616" t="str">
        <f>_xlfn.XLOOKUP(A5616,'[1]Tissue Data'!$A:$A,'[1]Tissue Data'!J:J)</f>
        <v>U</v>
      </c>
      <c r="H5616" t="str">
        <f>_xlfn.XLOOKUP(A5616,'[1]Tissue Data'!$A:$A,'[1]Tissue Data'!K:K)</f>
        <v>Whole Body</v>
      </c>
      <c r="I5616">
        <f>_xlfn.XLOOKUP(A5616,'[1]Tissue Data'!$A:$A,'[1]Tissue Data'!L:L)</f>
        <v>9</v>
      </c>
      <c r="J5616">
        <f>_xlfn.XLOOKUP(A5616,'[1]Tissue Data'!$A:$A,'[1]Tissue Data'!M:M)</f>
        <v>13.89</v>
      </c>
      <c r="K5616" t="s">
        <v>26</v>
      </c>
      <c r="L5616" t="str">
        <f>_xlfn.XLOOKUP(K5616,[2]analyte_order!$B:$B,[2]analyte_order!$C:$C)</f>
        <v>2706-91-4</v>
      </c>
      <c r="M5616">
        <f>_xlfn.XLOOKUP(L5616,[2]analyte_order!$C:$C,[2]analyte_order!$E:$E)</f>
        <v>15</v>
      </c>
      <c r="N5616">
        <v>7.0499999999999993E-2</v>
      </c>
    </row>
    <row r="5617" spans="1:14">
      <c r="A5617" t="s">
        <v>292</v>
      </c>
      <c r="B5617" t="str">
        <f>_xlfn.XLOOKUP(A5617,'[1]Tissue Data'!$A:$A,'[1]Tissue Data'!$C:$C)</f>
        <v>Spill</v>
      </c>
      <c r="C5617" s="2">
        <f>_xlfn.XLOOKUP(A5617,'[1]Tissue Data'!$A:$A,'[1]Tissue Data'!$D:$D)</f>
        <v>44393</v>
      </c>
      <c r="D5617" s="2" t="str">
        <f>_xlfn.XLOOKUP(A5617,'[1]Tissue Data'!$A:$A,'[1]Tissue Data'!$F:$F)</f>
        <v>Pumpkinseed</v>
      </c>
      <c r="E5617" t="str">
        <f>_xlfn.XLOOKUP(A5617,'[1]Tissue Data'!$A:$A,'[1]Tissue Data'!$H:$H)</f>
        <v>Lepomis</v>
      </c>
      <c r="F5617" t="str">
        <f>_xlfn.XLOOKUP(A5617,'[1]Tissue Data'!$A:$A,'[1]Tissue Data'!$I:$I)</f>
        <v>gibbosus</v>
      </c>
      <c r="G5617" t="str">
        <f>_xlfn.XLOOKUP(A5617,'[1]Tissue Data'!$A:$A,'[1]Tissue Data'!J:J)</f>
        <v>U</v>
      </c>
      <c r="H5617" t="str">
        <f>_xlfn.XLOOKUP(A5617,'[1]Tissue Data'!$A:$A,'[1]Tissue Data'!K:K)</f>
        <v>Whole Body</v>
      </c>
      <c r="I5617">
        <f>_xlfn.XLOOKUP(A5617,'[1]Tissue Data'!$A:$A,'[1]Tissue Data'!L:L)</f>
        <v>9</v>
      </c>
      <c r="J5617">
        <f>_xlfn.XLOOKUP(A5617,'[1]Tissue Data'!$A:$A,'[1]Tissue Data'!M:M)</f>
        <v>13.89</v>
      </c>
      <c r="K5617" t="s">
        <v>27</v>
      </c>
      <c r="L5617" t="str">
        <f>_xlfn.XLOOKUP(K5617,[2]analyte_order!$B:$B,[2]analyte_order!$C:$C)</f>
        <v>355-46-4</v>
      </c>
      <c r="M5617">
        <f>_xlfn.XLOOKUP(L5617,[2]analyte_order!$C:$C,[2]analyte_order!$E:$E)</f>
        <v>16</v>
      </c>
      <c r="N5617">
        <v>7.06</v>
      </c>
    </row>
    <row r="5618" spans="1:14">
      <c r="A5618" t="s">
        <v>292</v>
      </c>
      <c r="B5618" t="str">
        <f>_xlfn.XLOOKUP(A5618,'[1]Tissue Data'!$A:$A,'[1]Tissue Data'!$C:$C)</f>
        <v>Spill</v>
      </c>
      <c r="C5618" s="2">
        <f>_xlfn.XLOOKUP(A5618,'[1]Tissue Data'!$A:$A,'[1]Tissue Data'!$D:$D)</f>
        <v>44393</v>
      </c>
      <c r="D5618" s="2" t="str">
        <f>_xlfn.XLOOKUP(A5618,'[1]Tissue Data'!$A:$A,'[1]Tissue Data'!$F:$F)</f>
        <v>Pumpkinseed</v>
      </c>
      <c r="E5618" t="str">
        <f>_xlfn.XLOOKUP(A5618,'[1]Tissue Data'!$A:$A,'[1]Tissue Data'!$H:$H)</f>
        <v>Lepomis</v>
      </c>
      <c r="F5618" t="str">
        <f>_xlfn.XLOOKUP(A5618,'[1]Tissue Data'!$A:$A,'[1]Tissue Data'!$I:$I)</f>
        <v>gibbosus</v>
      </c>
      <c r="G5618" t="str">
        <f>_xlfn.XLOOKUP(A5618,'[1]Tissue Data'!$A:$A,'[1]Tissue Data'!J:J)</f>
        <v>U</v>
      </c>
      <c r="H5618" t="str">
        <f>_xlfn.XLOOKUP(A5618,'[1]Tissue Data'!$A:$A,'[1]Tissue Data'!K:K)</f>
        <v>Whole Body</v>
      </c>
      <c r="I5618">
        <f>_xlfn.XLOOKUP(A5618,'[1]Tissue Data'!$A:$A,'[1]Tissue Data'!L:L)</f>
        <v>9</v>
      </c>
      <c r="J5618">
        <f>_xlfn.XLOOKUP(A5618,'[1]Tissue Data'!$A:$A,'[1]Tissue Data'!M:M)</f>
        <v>13.89</v>
      </c>
      <c r="K5618" t="s">
        <v>28</v>
      </c>
      <c r="L5618" t="str">
        <f>_xlfn.XLOOKUP(K5618,[2]analyte_order!$B:$B,[2]analyte_order!$C:$C)</f>
        <v>375-92-8</v>
      </c>
      <c r="M5618">
        <f>_xlfn.XLOOKUP(L5618,[2]analyte_order!$C:$C,[2]analyte_order!$E:$E)</f>
        <v>17</v>
      </c>
      <c r="N5618">
        <v>0.48599999999999999</v>
      </c>
    </row>
    <row r="5619" spans="1:14">
      <c r="A5619" t="s">
        <v>292</v>
      </c>
      <c r="B5619" t="str">
        <f>_xlfn.XLOOKUP(A5619,'[1]Tissue Data'!$A:$A,'[1]Tissue Data'!$C:$C)</f>
        <v>Spill</v>
      </c>
      <c r="C5619" s="2">
        <f>_xlfn.XLOOKUP(A5619,'[1]Tissue Data'!$A:$A,'[1]Tissue Data'!$D:$D)</f>
        <v>44393</v>
      </c>
      <c r="D5619" s="2" t="str">
        <f>_xlfn.XLOOKUP(A5619,'[1]Tissue Data'!$A:$A,'[1]Tissue Data'!$F:$F)</f>
        <v>Pumpkinseed</v>
      </c>
      <c r="E5619" t="str">
        <f>_xlfn.XLOOKUP(A5619,'[1]Tissue Data'!$A:$A,'[1]Tissue Data'!$H:$H)</f>
        <v>Lepomis</v>
      </c>
      <c r="F5619" t="str">
        <f>_xlfn.XLOOKUP(A5619,'[1]Tissue Data'!$A:$A,'[1]Tissue Data'!$I:$I)</f>
        <v>gibbosus</v>
      </c>
      <c r="G5619" t="str">
        <f>_xlfn.XLOOKUP(A5619,'[1]Tissue Data'!$A:$A,'[1]Tissue Data'!J:J)</f>
        <v>U</v>
      </c>
      <c r="H5619" t="str">
        <f>_xlfn.XLOOKUP(A5619,'[1]Tissue Data'!$A:$A,'[1]Tissue Data'!K:K)</f>
        <v>Whole Body</v>
      </c>
      <c r="I5619">
        <f>_xlfn.XLOOKUP(A5619,'[1]Tissue Data'!$A:$A,'[1]Tissue Data'!L:L)</f>
        <v>9</v>
      </c>
      <c r="J5619">
        <f>_xlfn.XLOOKUP(A5619,'[1]Tissue Data'!$A:$A,'[1]Tissue Data'!M:M)</f>
        <v>13.89</v>
      </c>
      <c r="K5619" t="s">
        <v>29</v>
      </c>
      <c r="L5619" t="str">
        <f>_xlfn.XLOOKUP(K5619,[2]analyte_order!$B:$B,[2]analyte_order!$C:$C)</f>
        <v>1763-23-1</v>
      </c>
      <c r="M5619">
        <f>_xlfn.XLOOKUP(L5619,[2]analyte_order!$C:$C,[2]analyte_order!$E:$E)</f>
        <v>18</v>
      </c>
      <c r="N5619">
        <v>174</v>
      </c>
    </row>
    <row r="5620" spans="1:14">
      <c r="A5620" t="s">
        <v>292</v>
      </c>
      <c r="B5620" t="str">
        <f>_xlfn.XLOOKUP(A5620,'[1]Tissue Data'!$A:$A,'[1]Tissue Data'!$C:$C)</f>
        <v>Spill</v>
      </c>
      <c r="C5620" s="2">
        <f>_xlfn.XLOOKUP(A5620,'[1]Tissue Data'!$A:$A,'[1]Tissue Data'!$D:$D)</f>
        <v>44393</v>
      </c>
      <c r="D5620" s="2" t="str">
        <f>_xlfn.XLOOKUP(A5620,'[1]Tissue Data'!$A:$A,'[1]Tissue Data'!$F:$F)</f>
        <v>Pumpkinseed</v>
      </c>
      <c r="E5620" t="str">
        <f>_xlfn.XLOOKUP(A5620,'[1]Tissue Data'!$A:$A,'[1]Tissue Data'!$H:$H)</f>
        <v>Lepomis</v>
      </c>
      <c r="F5620" t="str">
        <f>_xlfn.XLOOKUP(A5620,'[1]Tissue Data'!$A:$A,'[1]Tissue Data'!$I:$I)</f>
        <v>gibbosus</v>
      </c>
      <c r="G5620" t="str">
        <f>_xlfn.XLOOKUP(A5620,'[1]Tissue Data'!$A:$A,'[1]Tissue Data'!J:J)</f>
        <v>U</v>
      </c>
      <c r="H5620" t="str">
        <f>_xlfn.XLOOKUP(A5620,'[1]Tissue Data'!$A:$A,'[1]Tissue Data'!K:K)</f>
        <v>Whole Body</v>
      </c>
      <c r="I5620">
        <f>_xlfn.XLOOKUP(A5620,'[1]Tissue Data'!$A:$A,'[1]Tissue Data'!L:L)</f>
        <v>9</v>
      </c>
      <c r="J5620">
        <f>_xlfn.XLOOKUP(A5620,'[1]Tissue Data'!$A:$A,'[1]Tissue Data'!M:M)</f>
        <v>13.89</v>
      </c>
      <c r="K5620" t="s">
        <v>30</v>
      </c>
      <c r="L5620" t="str">
        <f>_xlfn.XLOOKUP(K5620,[2]analyte_order!$B:$B,[2]analyte_order!$C:$C)</f>
        <v>68259-12-1</v>
      </c>
      <c r="M5620">
        <f>_xlfn.XLOOKUP(L5620,[2]analyte_order!$C:$C,[2]analyte_order!$E:$E)</f>
        <v>19</v>
      </c>
      <c r="N5620">
        <v>0.13250000000000001</v>
      </c>
    </row>
    <row r="5621" spans="1:14">
      <c r="A5621" t="s">
        <v>292</v>
      </c>
      <c r="B5621" t="str">
        <f>_xlfn.XLOOKUP(A5621,'[1]Tissue Data'!$A:$A,'[1]Tissue Data'!$C:$C)</f>
        <v>Spill</v>
      </c>
      <c r="C5621" s="2">
        <f>_xlfn.XLOOKUP(A5621,'[1]Tissue Data'!$A:$A,'[1]Tissue Data'!$D:$D)</f>
        <v>44393</v>
      </c>
      <c r="D5621" s="2" t="str">
        <f>_xlfn.XLOOKUP(A5621,'[1]Tissue Data'!$A:$A,'[1]Tissue Data'!$F:$F)</f>
        <v>Pumpkinseed</v>
      </c>
      <c r="E5621" t="str">
        <f>_xlfn.XLOOKUP(A5621,'[1]Tissue Data'!$A:$A,'[1]Tissue Data'!$H:$H)</f>
        <v>Lepomis</v>
      </c>
      <c r="F5621" t="str">
        <f>_xlfn.XLOOKUP(A5621,'[1]Tissue Data'!$A:$A,'[1]Tissue Data'!$I:$I)</f>
        <v>gibbosus</v>
      </c>
      <c r="G5621" t="str">
        <f>_xlfn.XLOOKUP(A5621,'[1]Tissue Data'!$A:$A,'[1]Tissue Data'!J:J)</f>
        <v>U</v>
      </c>
      <c r="H5621" t="str">
        <f>_xlfn.XLOOKUP(A5621,'[1]Tissue Data'!$A:$A,'[1]Tissue Data'!K:K)</f>
        <v>Whole Body</v>
      </c>
      <c r="I5621">
        <f>_xlfn.XLOOKUP(A5621,'[1]Tissue Data'!$A:$A,'[1]Tissue Data'!L:L)</f>
        <v>9</v>
      </c>
      <c r="J5621">
        <f>_xlfn.XLOOKUP(A5621,'[1]Tissue Data'!$A:$A,'[1]Tissue Data'!M:M)</f>
        <v>13.89</v>
      </c>
      <c r="K5621" t="s">
        <v>31</v>
      </c>
      <c r="L5621" t="str">
        <f>_xlfn.XLOOKUP(K5621,[2]analyte_order!$B:$B,[2]analyte_order!$C:$C)</f>
        <v>335-77-3</v>
      </c>
      <c r="M5621">
        <f>_xlfn.XLOOKUP(L5621,[2]analyte_order!$C:$C,[2]analyte_order!$E:$E)</f>
        <v>20</v>
      </c>
      <c r="N5621">
        <v>0.1905</v>
      </c>
    </row>
    <row r="5622" spans="1:14">
      <c r="A5622" t="s">
        <v>292</v>
      </c>
      <c r="B5622" t="str">
        <f>_xlfn.XLOOKUP(A5622,'[1]Tissue Data'!$A:$A,'[1]Tissue Data'!$C:$C)</f>
        <v>Spill</v>
      </c>
      <c r="C5622" s="2">
        <f>_xlfn.XLOOKUP(A5622,'[1]Tissue Data'!$A:$A,'[1]Tissue Data'!$D:$D)</f>
        <v>44393</v>
      </c>
      <c r="D5622" s="2" t="str">
        <f>_xlfn.XLOOKUP(A5622,'[1]Tissue Data'!$A:$A,'[1]Tissue Data'!$F:$F)</f>
        <v>Pumpkinseed</v>
      </c>
      <c r="E5622" t="str">
        <f>_xlfn.XLOOKUP(A5622,'[1]Tissue Data'!$A:$A,'[1]Tissue Data'!$H:$H)</f>
        <v>Lepomis</v>
      </c>
      <c r="F5622" t="str">
        <f>_xlfn.XLOOKUP(A5622,'[1]Tissue Data'!$A:$A,'[1]Tissue Data'!$I:$I)</f>
        <v>gibbosus</v>
      </c>
      <c r="G5622" t="str">
        <f>_xlfn.XLOOKUP(A5622,'[1]Tissue Data'!$A:$A,'[1]Tissue Data'!J:J)</f>
        <v>U</v>
      </c>
      <c r="H5622" t="str">
        <f>_xlfn.XLOOKUP(A5622,'[1]Tissue Data'!$A:$A,'[1]Tissue Data'!K:K)</f>
        <v>Whole Body</v>
      </c>
      <c r="I5622">
        <f>_xlfn.XLOOKUP(A5622,'[1]Tissue Data'!$A:$A,'[1]Tissue Data'!L:L)</f>
        <v>9</v>
      </c>
      <c r="J5622">
        <f>_xlfn.XLOOKUP(A5622,'[1]Tissue Data'!$A:$A,'[1]Tissue Data'!M:M)</f>
        <v>13.89</v>
      </c>
      <c r="K5622" t="s">
        <v>32</v>
      </c>
      <c r="L5622" t="str">
        <f>_xlfn.XLOOKUP(K5622,[2]analyte_order!$B:$B,[2]analyte_order!$C:$C)</f>
        <v>79780-39-5</v>
      </c>
      <c r="M5622">
        <f>_xlfn.XLOOKUP(L5622,[2]analyte_order!$C:$C,[2]analyte_order!$E:$E)</f>
        <v>21</v>
      </c>
      <c r="N5622">
        <v>0.2485</v>
      </c>
    </row>
    <row r="5623" spans="1:14">
      <c r="A5623" t="s">
        <v>292</v>
      </c>
      <c r="B5623" t="str">
        <f>_xlfn.XLOOKUP(A5623,'[1]Tissue Data'!$A:$A,'[1]Tissue Data'!$C:$C)</f>
        <v>Spill</v>
      </c>
      <c r="C5623" s="2">
        <f>_xlfn.XLOOKUP(A5623,'[1]Tissue Data'!$A:$A,'[1]Tissue Data'!$D:$D)</f>
        <v>44393</v>
      </c>
      <c r="D5623" s="2" t="str">
        <f>_xlfn.XLOOKUP(A5623,'[1]Tissue Data'!$A:$A,'[1]Tissue Data'!$F:$F)</f>
        <v>Pumpkinseed</v>
      </c>
      <c r="E5623" t="str">
        <f>_xlfn.XLOOKUP(A5623,'[1]Tissue Data'!$A:$A,'[1]Tissue Data'!$H:$H)</f>
        <v>Lepomis</v>
      </c>
      <c r="F5623" t="str">
        <f>_xlfn.XLOOKUP(A5623,'[1]Tissue Data'!$A:$A,'[1]Tissue Data'!$I:$I)</f>
        <v>gibbosus</v>
      </c>
      <c r="G5623" t="str">
        <f>_xlfn.XLOOKUP(A5623,'[1]Tissue Data'!$A:$A,'[1]Tissue Data'!J:J)</f>
        <v>U</v>
      </c>
      <c r="H5623" t="str">
        <f>_xlfn.XLOOKUP(A5623,'[1]Tissue Data'!$A:$A,'[1]Tissue Data'!K:K)</f>
        <v>Whole Body</v>
      </c>
      <c r="I5623">
        <f>_xlfn.XLOOKUP(A5623,'[1]Tissue Data'!$A:$A,'[1]Tissue Data'!L:L)</f>
        <v>9</v>
      </c>
      <c r="J5623">
        <f>_xlfn.XLOOKUP(A5623,'[1]Tissue Data'!$A:$A,'[1]Tissue Data'!M:M)</f>
        <v>13.89</v>
      </c>
      <c r="K5623" t="s">
        <v>33</v>
      </c>
      <c r="L5623" t="str">
        <f>_xlfn.XLOOKUP(K5623,[2]analyte_order!$B:$B,[2]analyte_order!$C:$C)</f>
        <v>777011-38-8</v>
      </c>
      <c r="M5623">
        <f>_xlfn.XLOOKUP(L5623,[2]analyte_order!$C:$C,[2]analyte_order!$E:$E)</f>
        <v>54</v>
      </c>
      <c r="N5623">
        <v>4.2799999999999998E-2</v>
      </c>
    </row>
    <row r="5624" spans="1:14">
      <c r="A5624" t="s">
        <v>292</v>
      </c>
      <c r="B5624" t="str">
        <f>_xlfn.XLOOKUP(A5624,'[1]Tissue Data'!$A:$A,'[1]Tissue Data'!$C:$C)</f>
        <v>Spill</v>
      </c>
      <c r="C5624" s="2">
        <f>_xlfn.XLOOKUP(A5624,'[1]Tissue Data'!$A:$A,'[1]Tissue Data'!$D:$D)</f>
        <v>44393</v>
      </c>
      <c r="D5624" s="2" t="str">
        <f>_xlfn.XLOOKUP(A5624,'[1]Tissue Data'!$A:$A,'[1]Tissue Data'!$F:$F)</f>
        <v>Pumpkinseed</v>
      </c>
      <c r="E5624" t="str">
        <f>_xlfn.XLOOKUP(A5624,'[1]Tissue Data'!$A:$A,'[1]Tissue Data'!$H:$H)</f>
        <v>Lepomis</v>
      </c>
      <c r="F5624" t="str">
        <f>_xlfn.XLOOKUP(A5624,'[1]Tissue Data'!$A:$A,'[1]Tissue Data'!$I:$I)</f>
        <v>gibbosus</v>
      </c>
      <c r="G5624" t="str">
        <f>_xlfn.XLOOKUP(A5624,'[1]Tissue Data'!$A:$A,'[1]Tissue Data'!J:J)</f>
        <v>U</v>
      </c>
      <c r="H5624" t="str">
        <f>_xlfn.XLOOKUP(A5624,'[1]Tissue Data'!$A:$A,'[1]Tissue Data'!K:K)</f>
        <v>Whole Body</v>
      </c>
      <c r="I5624">
        <f>_xlfn.XLOOKUP(A5624,'[1]Tissue Data'!$A:$A,'[1]Tissue Data'!L:L)</f>
        <v>9</v>
      </c>
      <c r="J5624">
        <f>_xlfn.XLOOKUP(A5624,'[1]Tissue Data'!$A:$A,'[1]Tissue Data'!M:M)</f>
        <v>13.89</v>
      </c>
      <c r="K5624" t="s">
        <v>34</v>
      </c>
      <c r="L5624" t="str">
        <f>_xlfn.XLOOKUP(K5624,[2]analyte_order!$B:$B,[2]analyte_order!$C:$C)</f>
        <v>646-83-3</v>
      </c>
      <c r="M5624">
        <f>_xlfn.XLOOKUP(L5624,[2]analyte_order!$C:$C,[2]analyte_order!$E:$E)</f>
        <v>55</v>
      </c>
      <c r="N5624">
        <v>7.0499999999999993E-2</v>
      </c>
    </row>
    <row r="5625" spans="1:14">
      <c r="A5625" t="s">
        <v>292</v>
      </c>
      <c r="B5625" t="str">
        <f>_xlfn.XLOOKUP(A5625,'[1]Tissue Data'!$A:$A,'[1]Tissue Data'!$C:$C)</f>
        <v>Spill</v>
      </c>
      <c r="C5625" s="2">
        <f>_xlfn.XLOOKUP(A5625,'[1]Tissue Data'!$A:$A,'[1]Tissue Data'!$D:$D)</f>
        <v>44393</v>
      </c>
      <c r="D5625" s="2" t="str">
        <f>_xlfn.XLOOKUP(A5625,'[1]Tissue Data'!$A:$A,'[1]Tissue Data'!$F:$F)</f>
        <v>Pumpkinseed</v>
      </c>
      <c r="E5625" t="str">
        <f>_xlfn.XLOOKUP(A5625,'[1]Tissue Data'!$A:$A,'[1]Tissue Data'!$H:$H)</f>
        <v>Lepomis</v>
      </c>
      <c r="F5625" t="str">
        <f>_xlfn.XLOOKUP(A5625,'[1]Tissue Data'!$A:$A,'[1]Tissue Data'!$I:$I)</f>
        <v>gibbosus</v>
      </c>
      <c r="G5625" t="str">
        <f>_xlfn.XLOOKUP(A5625,'[1]Tissue Data'!$A:$A,'[1]Tissue Data'!J:J)</f>
        <v>U</v>
      </c>
      <c r="H5625" t="str">
        <f>_xlfn.XLOOKUP(A5625,'[1]Tissue Data'!$A:$A,'[1]Tissue Data'!K:K)</f>
        <v>Whole Body</v>
      </c>
      <c r="I5625">
        <f>_xlfn.XLOOKUP(A5625,'[1]Tissue Data'!$A:$A,'[1]Tissue Data'!L:L)</f>
        <v>9</v>
      </c>
      <c r="J5625">
        <f>_xlfn.XLOOKUP(A5625,'[1]Tissue Data'!$A:$A,'[1]Tissue Data'!M:M)</f>
        <v>13.89</v>
      </c>
      <c r="K5625" t="s">
        <v>35</v>
      </c>
      <c r="L5625" t="str">
        <f>_xlfn.XLOOKUP(K5625,[2]analyte_order!$B:$B,[2]analyte_order!$C:$C)</f>
        <v>30334-69-1</v>
      </c>
      <c r="M5625">
        <f>_xlfn.XLOOKUP(L5625,[2]analyte_order!$C:$C,[2]analyte_order!$E:$E)</f>
        <v>51</v>
      </c>
      <c r="N5625">
        <v>9.35</v>
      </c>
    </row>
    <row r="5626" spans="1:14">
      <c r="A5626" t="s">
        <v>292</v>
      </c>
      <c r="B5626" t="str">
        <f>_xlfn.XLOOKUP(A5626,'[1]Tissue Data'!$A:$A,'[1]Tissue Data'!$C:$C)</f>
        <v>Spill</v>
      </c>
      <c r="C5626" s="2">
        <f>_xlfn.XLOOKUP(A5626,'[1]Tissue Data'!$A:$A,'[1]Tissue Data'!$D:$D)</f>
        <v>44393</v>
      </c>
      <c r="D5626" s="2" t="str">
        <f>_xlfn.XLOOKUP(A5626,'[1]Tissue Data'!$A:$A,'[1]Tissue Data'!$F:$F)</f>
        <v>Pumpkinseed</v>
      </c>
      <c r="E5626" t="str">
        <f>_xlfn.XLOOKUP(A5626,'[1]Tissue Data'!$A:$A,'[1]Tissue Data'!$H:$H)</f>
        <v>Lepomis</v>
      </c>
      <c r="F5626" t="str">
        <f>_xlfn.XLOOKUP(A5626,'[1]Tissue Data'!$A:$A,'[1]Tissue Data'!$I:$I)</f>
        <v>gibbosus</v>
      </c>
      <c r="G5626" t="str">
        <f>_xlfn.XLOOKUP(A5626,'[1]Tissue Data'!$A:$A,'[1]Tissue Data'!J:J)</f>
        <v>U</v>
      </c>
      <c r="H5626" t="str">
        <f>_xlfn.XLOOKUP(A5626,'[1]Tissue Data'!$A:$A,'[1]Tissue Data'!K:K)</f>
        <v>Whole Body</v>
      </c>
      <c r="I5626">
        <f>_xlfn.XLOOKUP(A5626,'[1]Tissue Data'!$A:$A,'[1]Tissue Data'!L:L)</f>
        <v>9</v>
      </c>
      <c r="J5626">
        <f>_xlfn.XLOOKUP(A5626,'[1]Tissue Data'!$A:$A,'[1]Tissue Data'!M:M)</f>
        <v>13.89</v>
      </c>
      <c r="K5626" t="s">
        <v>36</v>
      </c>
      <c r="L5626" t="str">
        <f>_xlfn.XLOOKUP(K5626,[2]analyte_order!$B:$B,[2]analyte_order!$C:$C)</f>
        <v>41997-13-1</v>
      </c>
      <c r="M5626">
        <f>_xlfn.XLOOKUP(L5626,[2]analyte_order!$C:$C,[2]analyte_order!$E:$E)</f>
        <v>52</v>
      </c>
      <c r="N5626">
        <v>30.3</v>
      </c>
    </row>
    <row r="5627" spans="1:14">
      <c r="A5627" t="s">
        <v>292</v>
      </c>
      <c r="B5627" t="str">
        <f>_xlfn.XLOOKUP(A5627,'[1]Tissue Data'!$A:$A,'[1]Tissue Data'!$C:$C)</f>
        <v>Spill</v>
      </c>
      <c r="C5627" s="2">
        <f>_xlfn.XLOOKUP(A5627,'[1]Tissue Data'!$A:$A,'[1]Tissue Data'!$D:$D)</f>
        <v>44393</v>
      </c>
      <c r="D5627" s="2" t="str">
        <f>_xlfn.XLOOKUP(A5627,'[1]Tissue Data'!$A:$A,'[1]Tissue Data'!$F:$F)</f>
        <v>Pumpkinseed</v>
      </c>
      <c r="E5627" t="str">
        <f>_xlfn.XLOOKUP(A5627,'[1]Tissue Data'!$A:$A,'[1]Tissue Data'!$H:$H)</f>
        <v>Lepomis</v>
      </c>
      <c r="F5627" t="str">
        <f>_xlfn.XLOOKUP(A5627,'[1]Tissue Data'!$A:$A,'[1]Tissue Data'!$I:$I)</f>
        <v>gibbosus</v>
      </c>
      <c r="G5627" t="str">
        <f>_xlfn.XLOOKUP(A5627,'[1]Tissue Data'!$A:$A,'[1]Tissue Data'!J:J)</f>
        <v>U</v>
      </c>
      <c r="H5627" t="str">
        <f>_xlfn.XLOOKUP(A5627,'[1]Tissue Data'!$A:$A,'[1]Tissue Data'!K:K)</f>
        <v>Whole Body</v>
      </c>
      <c r="I5627">
        <f>_xlfn.XLOOKUP(A5627,'[1]Tissue Data'!$A:$A,'[1]Tissue Data'!L:L)</f>
        <v>9</v>
      </c>
      <c r="J5627">
        <f>_xlfn.XLOOKUP(A5627,'[1]Tissue Data'!$A:$A,'[1]Tissue Data'!M:M)</f>
        <v>13.89</v>
      </c>
      <c r="K5627" t="s">
        <v>37</v>
      </c>
      <c r="L5627" t="str">
        <f>_xlfn.XLOOKUP(K5627,[2]analyte_order!$B:$B,[2]analyte_order!$C:$C)</f>
        <v>754-91-6</v>
      </c>
      <c r="M5627">
        <f>_xlfn.XLOOKUP(L5627,[2]analyte_order!$C:$C,[2]analyte_order!$E:$E)</f>
        <v>28</v>
      </c>
      <c r="N5627">
        <v>3.35</v>
      </c>
    </row>
    <row r="5628" spans="1:14">
      <c r="A5628" t="s">
        <v>292</v>
      </c>
      <c r="B5628" t="str">
        <f>_xlfn.XLOOKUP(A5628,'[1]Tissue Data'!$A:$A,'[1]Tissue Data'!$C:$C)</f>
        <v>Spill</v>
      </c>
      <c r="C5628" s="2">
        <f>_xlfn.XLOOKUP(A5628,'[1]Tissue Data'!$A:$A,'[1]Tissue Data'!$D:$D)</f>
        <v>44393</v>
      </c>
      <c r="D5628" s="2" t="str">
        <f>_xlfn.XLOOKUP(A5628,'[1]Tissue Data'!$A:$A,'[1]Tissue Data'!$F:$F)</f>
        <v>Pumpkinseed</v>
      </c>
      <c r="E5628" t="str">
        <f>_xlfn.XLOOKUP(A5628,'[1]Tissue Data'!$A:$A,'[1]Tissue Data'!$H:$H)</f>
        <v>Lepomis</v>
      </c>
      <c r="F5628" t="str">
        <f>_xlfn.XLOOKUP(A5628,'[1]Tissue Data'!$A:$A,'[1]Tissue Data'!$I:$I)</f>
        <v>gibbosus</v>
      </c>
      <c r="G5628" t="str">
        <f>_xlfn.XLOOKUP(A5628,'[1]Tissue Data'!$A:$A,'[1]Tissue Data'!J:J)</f>
        <v>U</v>
      </c>
      <c r="H5628" t="str">
        <f>_xlfn.XLOOKUP(A5628,'[1]Tissue Data'!$A:$A,'[1]Tissue Data'!K:K)</f>
        <v>Whole Body</v>
      </c>
      <c r="I5628">
        <f>_xlfn.XLOOKUP(A5628,'[1]Tissue Data'!$A:$A,'[1]Tissue Data'!L:L)</f>
        <v>9</v>
      </c>
      <c r="J5628">
        <f>_xlfn.XLOOKUP(A5628,'[1]Tissue Data'!$A:$A,'[1]Tissue Data'!M:M)</f>
        <v>13.89</v>
      </c>
      <c r="K5628" t="s">
        <v>38</v>
      </c>
      <c r="L5628" t="str">
        <f>_xlfn.XLOOKUP(K5628,[2]analyte_order!$B:$B,[2]analyte_order!$C:$C)</f>
        <v>31506-32-8</v>
      </c>
      <c r="M5628">
        <f>_xlfn.XLOOKUP(L5628,[2]analyte_order!$C:$C,[2]analyte_order!$E:$E)</f>
        <v>30</v>
      </c>
      <c r="N5628">
        <v>7.0499999999999993E-2</v>
      </c>
    </row>
    <row r="5629" spans="1:14">
      <c r="A5629" t="s">
        <v>292</v>
      </c>
      <c r="B5629" t="str">
        <f>_xlfn.XLOOKUP(A5629,'[1]Tissue Data'!$A:$A,'[1]Tissue Data'!$C:$C)</f>
        <v>Spill</v>
      </c>
      <c r="C5629" s="2">
        <f>_xlfn.XLOOKUP(A5629,'[1]Tissue Data'!$A:$A,'[1]Tissue Data'!$D:$D)</f>
        <v>44393</v>
      </c>
      <c r="D5629" s="2" t="str">
        <f>_xlfn.XLOOKUP(A5629,'[1]Tissue Data'!$A:$A,'[1]Tissue Data'!$F:$F)</f>
        <v>Pumpkinseed</v>
      </c>
      <c r="E5629" t="str">
        <f>_xlfn.XLOOKUP(A5629,'[1]Tissue Data'!$A:$A,'[1]Tissue Data'!$H:$H)</f>
        <v>Lepomis</v>
      </c>
      <c r="F5629" t="str">
        <f>_xlfn.XLOOKUP(A5629,'[1]Tissue Data'!$A:$A,'[1]Tissue Data'!$I:$I)</f>
        <v>gibbosus</v>
      </c>
      <c r="G5629" t="str">
        <f>_xlfn.XLOOKUP(A5629,'[1]Tissue Data'!$A:$A,'[1]Tissue Data'!J:J)</f>
        <v>U</v>
      </c>
      <c r="H5629" t="str">
        <f>_xlfn.XLOOKUP(A5629,'[1]Tissue Data'!$A:$A,'[1]Tissue Data'!K:K)</f>
        <v>Whole Body</v>
      </c>
      <c r="I5629">
        <f>_xlfn.XLOOKUP(A5629,'[1]Tissue Data'!$A:$A,'[1]Tissue Data'!L:L)</f>
        <v>9</v>
      </c>
      <c r="J5629">
        <f>_xlfn.XLOOKUP(A5629,'[1]Tissue Data'!$A:$A,'[1]Tissue Data'!M:M)</f>
        <v>13.89</v>
      </c>
      <c r="K5629" t="s">
        <v>39</v>
      </c>
      <c r="L5629" t="str">
        <f>_xlfn.XLOOKUP(K5629,[2]analyte_order!$B:$B,[2]analyte_order!$C:$C)</f>
        <v>4151-50-2</v>
      </c>
      <c r="M5629">
        <f>_xlfn.XLOOKUP(L5629,[2]analyte_order!$C:$C,[2]analyte_order!$E:$E)</f>
        <v>31</v>
      </c>
      <c r="N5629">
        <v>8.2000000000000003E-2</v>
      </c>
    </row>
    <row r="5630" spans="1:14">
      <c r="A5630" t="s">
        <v>292</v>
      </c>
      <c r="B5630" t="str">
        <f>_xlfn.XLOOKUP(A5630,'[1]Tissue Data'!$A:$A,'[1]Tissue Data'!$C:$C)</f>
        <v>Spill</v>
      </c>
      <c r="C5630" s="2">
        <f>_xlfn.XLOOKUP(A5630,'[1]Tissue Data'!$A:$A,'[1]Tissue Data'!$D:$D)</f>
        <v>44393</v>
      </c>
      <c r="D5630" s="2" t="str">
        <f>_xlfn.XLOOKUP(A5630,'[1]Tissue Data'!$A:$A,'[1]Tissue Data'!$F:$F)</f>
        <v>Pumpkinseed</v>
      </c>
      <c r="E5630" t="str">
        <f>_xlfn.XLOOKUP(A5630,'[1]Tissue Data'!$A:$A,'[1]Tissue Data'!$H:$H)</f>
        <v>Lepomis</v>
      </c>
      <c r="F5630" t="str">
        <f>_xlfn.XLOOKUP(A5630,'[1]Tissue Data'!$A:$A,'[1]Tissue Data'!$I:$I)</f>
        <v>gibbosus</v>
      </c>
      <c r="G5630" t="str">
        <f>_xlfn.XLOOKUP(A5630,'[1]Tissue Data'!$A:$A,'[1]Tissue Data'!J:J)</f>
        <v>U</v>
      </c>
      <c r="H5630" t="str">
        <f>_xlfn.XLOOKUP(A5630,'[1]Tissue Data'!$A:$A,'[1]Tissue Data'!K:K)</f>
        <v>Whole Body</v>
      </c>
      <c r="I5630">
        <f>_xlfn.XLOOKUP(A5630,'[1]Tissue Data'!$A:$A,'[1]Tissue Data'!L:L)</f>
        <v>9</v>
      </c>
      <c r="J5630">
        <f>_xlfn.XLOOKUP(A5630,'[1]Tissue Data'!$A:$A,'[1]Tissue Data'!M:M)</f>
        <v>13.89</v>
      </c>
      <c r="K5630" t="s">
        <v>40</v>
      </c>
      <c r="L5630" t="str">
        <f>_xlfn.XLOOKUP(K5630,[2]analyte_order!$B:$B,[2]analyte_order!$C:$C)</f>
        <v>2806-24-8</v>
      </c>
      <c r="M5630">
        <f>_xlfn.XLOOKUP(L5630,[2]analyte_order!$C:$C,[2]analyte_order!$E:$E)</f>
        <v>29</v>
      </c>
      <c r="N5630">
        <v>5.5500000000000001E-2</v>
      </c>
    </row>
    <row r="5631" spans="1:14">
      <c r="A5631" t="s">
        <v>292</v>
      </c>
      <c r="B5631" t="str">
        <f>_xlfn.XLOOKUP(A5631,'[1]Tissue Data'!$A:$A,'[1]Tissue Data'!$C:$C)</f>
        <v>Spill</v>
      </c>
      <c r="C5631" s="2">
        <f>_xlfn.XLOOKUP(A5631,'[1]Tissue Data'!$A:$A,'[1]Tissue Data'!$D:$D)</f>
        <v>44393</v>
      </c>
      <c r="D5631" s="2" t="str">
        <f>_xlfn.XLOOKUP(A5631,'[1]Tissue Data'!$A:$A,'[1]Tissue Data'!$F:$F)</f>
        <v>Pumpkinseed</v>
      </c>
      <c r="E5631" t="str">
        <f>_xlfn.XLOOKUP(A5631,'[1]Tissue Data'!$A:$A,'[1]Tissue Data'!$H:$H)</f>
        <v>Lepomis</v>
      </c>
      <c r="F5631" t="str">
        <f>_xlfn.XLOOKUP(A5631,'[1]Tissue Data'!$A:$A,'[1]Tissue Data'!$I:$I)</f>
        <v>gibbosus</v>
      </c>
      <c r="G5631" t="str">
        <f>_xlfn.XLOOKUP(A5631,'[1]Tissue Data'!$A:$A,'[1]Tissue Data'!J:J)</f>
        <v>U</v>
      </c>
      <c r="H5631" t="str">
        <f>_xlfn.XLOOKUP(A5631,'[1]Tissue Data'!$A:$A,'[1]Tissue Data'!K:K)</f>
        <v>Whole Body</v>
      </c>
      <c r="I5631">
        <f>_xlfn.XLOOKUP(A5631,'[1]Tissue Data'!$A:$A,'[1]Tissue Data'!L:L)</f>
        <v>9</v>
      </c>
      <c r="J5631">
        <f>_xlfn.XLOOKUP(A5631,'[1]Tissue Data'!$A:$A,'[1]Tissue Data'!M:M)</f>
        <v>13.89</v>
      </c>
      <c r="K5631" t="s">
        <v>41</v>
      </c>
      <c r="L5631" t="str">
        <f>_xlfn.XLOOKUP(K5631,[2]analyte_order!$B:$B,[2]analyte_order!$C:$C)</f>
        <v>2355-31-9</v>
      </c>
      <c r="M5631">
        <f>_xlfn.XLOOKUP(L5631,[2]analyte_order!$C:$C,[2]analyte_order!$E:$E)</f>
        <v>26</v>
      </c>
      <c r="N5631">
        <v>7.0999999999999994E-2</v>
      </c>
    </row>
    <row r="5632" spans="1:14">
      <c r="A5632" t="s">
        <v>292</v>
      </c>
      <c r="B5632" t="str">
        <f>_xlfn.XLOOKUP(A5632,'[1]Tissue Data'!$A:$A,'[1]Tissue Data'!$C:$C)</f>
        <v>Spill</v>
      </c>
      <c r="C5632" s="2">
        <f>_xlfn.XLOOKUP(A5632,'[1]Tissue Data'!$A:$A,'[1]Tissue Data'!$D:$D)</f>
        <v>44393</v>
      </c>
      <c r="D5632" s="2" t="str">
        <f>_xlfn.XLOOKUP(A5632,'[1]Tissue Data'!$A:$A,'[1]Tissue Data'!$F:$F)</f>
        <v>Pumpkinseed</v>
      </c>
      <c r="E5632" t="str">
        <f>_xlfn.XLOOKUP(A5632,'[1]Tissue Data'!$A:$A,'[1]Tissue Data'!$H:$H)</f>
        <v>Lepomis</v>
      </c>
      <c r="F5632" t="str">
        <f>_xlfn.XLOOKUP(A5632,'[1]Tissue Data'!$A:$A,'[1]Tissue Data'!$I:$I)</f>
        <v>gibbosus</v>
      </c>
      <c r="G5632" t="str">
        <f>_xlfn.XLOOKUP(A5632,'[1]Tissue Data'!$A:$A,'[1]Tissue Data'!J:J)</f>
        <v>U</v>
      </c>
      <c r="H5632" t="str">
        <f>_xlfn.XLOOKUP(A5632,'[1]Tissue Data'!$A:$A,'[1]Tissue Data'!K:K)</f>
        <v>Whole Body</v>
      </c>
      <c r="I5632">
        <f>_xlfn.XLOOKUP(A5632,'[1]Tissue Data'!$A:$A,'[1]Tissue Data'!L:L)</f>
        <v>9</v>
      </c>
      <c r="J5632">
        <f>_xlfn.XLOOKUP(A5632,'[1]Tissue Data'!$A:$A,'[1]Tissue Data'!M:M)</f>
        <v>13.89</v>
      </c>
      <c r="K5632" t="s">
        <v>42</v>
      </c>
      <c r="L5632" t="str">
        <f>_xlfn.XLOOKUP(K5632,[2]analyte_order!$B:$B,[2]analyte_order!$C:$C)</f>
        <v>2991-50-6</v>
      </c>
      <c r="M5632">
        <f>_xlfn.XLOOKUP(L5632,[2]analyte_order!$C:$C,[2]analyte_order!$E:$E)</f>
        <v>27</v>
      </c>
      <c r="N5632">
        <v>6.0999999999999999E-2</v>
      </c>
    </row>
    <row r="5633" spans="1:14">
      <c r="A5633" t="s">
        <v>292</v>
      </c>
      <c r="B5633" t="str">
        <f>_xlfn.XLOOKUP(A5633,'[1]Tissue Data'!$A:$A,'[1]Tissue Data'!$C:$C)</f>
        <v>Spill</v>
      </c>
      <c r="C5633" s="2">
        <f>_xlfn.XLOOKUP(A5633,'[1]Tissue Data'!$A:$A,'[1]Tissue Data'!$D:$D)</f>
        <v>44393</v>
      </c>
      <c r="D5633" s="2" t="str">
        <f>_xlfn.XLOOKUP(A5633,'[1]Tissue Data'!$A:$A,'[1]Tissue Data'!$F:$F)</f>
        <v>Pumpkinseed</v>
      </c>
      <c r="E5633" t="str">
        <f>_xlfn.XLOOKUP(A5633,'[1]Tissue Data'!$A:$A,'[1]Tissue Data'!$H:$H)</f>
        <v>Lepomis</v>
      </c>
      <c r="F5633" t="str">
        <f>_xlfn.XLOOKUP(A5633,'[1]Tissue Data'!$A:$A,'[1]Tissue Data'!$I:$I)</f>
        <v>gibbosus</v>
      </c>
      <c r="G5633" t="str">
        <f>_xlfn.XLOOKUP(A5633,'[1]Tissue Data'!$A:$A,'[1]Tissue Data'!J:J)</f>
        <v>U</v>
      </c>
      <c r="H5633" t="str">
        <f>_xlfn.XLOOKUP(A5633,'[1]Tissue Data'!$A:$A,'[1]Tissue Data'!K:K)</f>
        <v>Whole Body</v>
      </c>
      <c r="I5633">
        <f>_xlfn.XLOOKUP(A5633,'[1]Tissue Data'!$A:$A,'[1]Tissue Data'!L:L)</f>
        <v>9</v>
      </c>
      <c r="J5633">
        <f>_xlfn.XLOOKUP(A5633,'[1]Tissue Data'!$A:$A,'[1]Tissue Data'!M:M)</f>
        <v>13.89</v>
      </c>
      <c r="K5633" t="s">
        <v>43</v>
      </c>
      <c r="L5633" t="str">
        <f>_xlfn.XLOOKUP(K5633,[2]analyte_order!$B:$B,[2]analyte_order!$C:$C)</f>
        <v>757124-72-4</v>
      </c>
      <c r="M5633">
        <f>_xlfn.XLOOKUP(L5633,[2]analyte_order!$C:$C,[2]analyte_order!$E:$E)</f>
        <v>22</v>
      </c>
      <c r="N5633">
        <v>7.0499999999999993E-2</v>
      </c>
    </row>
    <row r="5634" spans="1:14">
      <c r="A5634" t="s">
        <v>292</v>
      </c>
      <c r="B5634" t="str">
        <f>_xlfn.XLOOKUP(A5634,'[1]Tissue Data'!$A:$A,'[1]Tissue Data'!$C:$C)</f>
        <v>Spill</v>
      </c>
      <c r="C5634" s="2">
        <f>_xlfn.XLOOKUP(A5634,'[1]Tissue Data'!$A:$A,'[1]Tissue Data'!$D:$D)</f>
        <v>44393</v>
      </c>
      <c r="D5634" s="2" t="str">
        <f>_xlfn.XLOOKUP(A5634,'[1]Tissue Data'!$A:$A,'[1]Tissue Data'!$F:$F)</f>
        <v>Pumpkinseed</v>
      </c>
      <c r="E5634" t="str">
        <f>_xlfn.XLOOKUP(A5634,'[1]Tissue Data'!$A:$A,'[1]Tissue Data'!$H:$H)</f>
        <v>Lepomis</v>
      </c>
      <c r="F5634" t="str">
        <f>_xlfn.XLOOKUP(A5634,'[1]Tissue Data'!$A:$A,'[1]Tissue Data'!$I:$I)</f>
        <v>gibbosus</v>
      </c>
      <c r="G5634" t="str">
        <f>_xlfn.XLOOKUP(A5634,'[1]Tissue Data'!$A:$A,'[1]Tissue Data'!J:J)</f>
        <v>U</v>
      </c>
      <c r="H5634" t="str">
        <f>_xlfn.XLOOKUP(A5634,'[1]Tissue Data'!$A:$A,'[1]Tissue Data'!K:K)</f>
        <v>Whole Body</v>
      </c>
      <c r="I5634">
        <f>_xlfn.XLOOKUP(A5634,'[1]Tissue Data'!$A:$A,'[1]Tissue Data'!L:L)</f>
        <v>9</v>
      </c>
      <c r="J5634">
        <f>_xlfn.XLOOKUP(A5634,'[1]Tissue Data'!$A:$A,'[1]Tissue Data'!M:M)</f>
        <v>13.89</v>
      </c>
      <c r="K5634" t="s">
        <v>44</v>
      </c>
      <c r="L5634" t="str">
        <f>_xlfn.XLOOKUP(K5634,[2]analyte_order!$B:$B,[2]analyte_order!$C:$C)</f>
        <v>27619-97-2</v>
      </c>
      <c r="M5634">
        <f>_xlfn.XLOOKUP(L5634,[2]analyte_order!$C:$C,[2]analyte_order!$E:$E)</f>
        <v>23</v>
      </c>
      <c r="N5634">
        <v>0.39600000000000002</v>
      </c>
    </row>
    <row r="5635" spans="1:14">
      <c r="A5635" t="s">
        <v>292</v>
      </c>
      <c r="B5635" t="str">
        <f>_xlfn.XLOOKUP(A5635,'[1]Tissue Data'!$A:$A,'[1]Tissue Data'!$C:$C)</f>
        <v>Spill</v>
      </c>
      <c r="C5635" s="2">
        <f>_xlfn.XLOOKUP(A5635,'[1]Tissue Data'!$A:$A,'[1]Tissue Data'!$D:$D)</f>
        <v>44393</v>
      </c>
      <c r="D5635" s="2" t="str">
        <f>_xlfn.XLOOKUP(A5635,'[1]Tissue Data'!$A:$A,'[1]Tissue Data'!$F:$F)</f>
        <v>Pumpkinseed</v>
      </c>
      <c r="E5635" t="str">
        <f>_xlfn.XLOOKUP(A5635,'[1]Tissue Data'!$A:$A,'[1]Tissue Data'!$H:$H)</f>
        <v>Lepomis</v>
      </c>
      <c r="F5635" t="str">
        <f>_xlfn.XLOOKUP(A5635,'[1]Tissue Data'!$A:$A,'[1]Tissue Data'!$I:$I)</f>
        <v>gibbosus</v>
      </c>
      <c r="G5635" t="str">
        <f>_xlfn.XLOOKUP(A5635,'[1]Tissue Data'!$A:$A,'[1]Tissue Data'!J:J)</f>
        <v>U</v>
      </c>
      <c r="H5635" t="str">
        <f>_xlfn.XLOOKUP(A5635,'[1]Tissue Data'!$A:$A,'[1]Tissue Data'!K:K)</f>
        <v>Whole Body</v>
      </c>
      <c r="I5635">
        <f>_xlfn.XLOOKUP(A5635,'[1]Tissue Data'!$A:$A,'[1]Tissue Data'!L:L)</f>
        <v>9</v>
      </c>
      <c r="J5635">
        <f>_xlfn.XLOOKUP(A5635,'[1]Tissue Data'!$A:$A,'[1]Tissue Data'!M:M)</f>
        <v>13.89</v>
      </c>
      <c r="K5635" t="s">
        <v>45</v>
      </c>
      <c r="L5635" t="str">
        <f>_xlfn.XLOOKUP(K5635,[2]analyte_order!$B:$B,[2]analyte_order!$C:$C)</f>
        <v>39108-34-4</v>
      </c>
      <c r="M5635">
        <f>_xlfn.XLOOKUP(L5635,[2]analyte_order!$C:$C,[2]analyte_order!$E:$E)</f>
        <v>24</v>
      </c>
      <c r="N5635">
        <v>2.1</v>
      </c>
    </row>
    <row r="5636" spans="1:14">
      <c r="A5636" t="s">
        <v>292</v>
      </c>
      <c r="B5636" t="str">
        <f>_xlfn.XLOOKUP(A5636,'[1]Tissue Data'!$A:$A,'[1]Tissue Data'!$C:$C)</f>
        <v>Spill</v>
      </c>
      <c r="C5636" s="2">
        <f>_xlfn.XLOOKUP(A5636,'[1]Tissue Data'!$A:$A,'[1]Tissue Data'!$D:$D)</f>
        <v>44393</v>
      </c>
      <c r="D5636" s="2" t="str">
        <f>_xlfn.XLOOKUP(A5636,'[1]Tissue Data'!$A:$A,'[1]Tissue Data'!$F:$F)</f>
        <v>Pumpkinseed</v>
      </c>
      <c r="E5636" t="str">
        <f>_xlfn.XLOOKUP(A5636,'[1]Tissue Data'!$A:$A,'[1]Tissue Data'!$H:$H)</f>
        <v>Lepomis</v>
      </c>
      <c r="F5636" t="str">
        <f>_xlfn.XLOOKUP(A5636,'[1]Tissue Data'!$A:$A,'[1]Tissue Data'!$I:$I)</f>
        <v>gibbosus</v>
      </c>
      <c r="G5636" t="str">
        <f>_xlfn.XLOOKUP(A5636,'[1]Tissue Data'!$A:$A,'[1]Tissue Data'!J:J)</f>
        <v>U</v>
      </c>
      <c r="H5636" t="str">
        <f>_xlfn.XLOOKUP(A5636,'[1]Tissue Data'!$A:$A,'[1]Tissue Data'!K:K)</f>
        <v>Whole Body</v>
      </c>
      <c r="I5636">
        <f>_xlfn.XLOOKUP(A5636,'[1]Tissue Data'!$A:$A,'[1]Tissue Data'!L:L)</f>
        <v>9</v>
      </c>
      <c r="J5636">
        <f>_xlfn.XLOOKUP(A5636,'[1]Tissue Data'!$A:$A,'[1]Tissue Data'!M:M)</f>
        <v>13.89</v>
      </c>
      <c r="K5636" t="s">
        <v>46</v>
      </c>
      <c r="L5636" t="str">
        <f>_xlfn.XLOOKUP(K5636,[2]analyte_order!$B:$B,[2]analyte_order!$C:$C)</f>
        <v>120226-60-0</v>
      </c>
      <c r="M5636">
        <f>_xlfn.XLOOKUP(L5636,[2]analyte_order!$C:$C,[2]analyte_order!$E:$E)</f>
        <v>25</v>
      </c>
      <c r="N5636">
        <v>0.08</v>
      </c>
    </row>
    <row r="5637" spans="1:14">
      <c r="A5637" t="s">
        <v>292</v>
      </c>
      <c r="B5637" t="str">
        <f>_xlfn.XLOOKUP(A5637,'[1]Tissue Data'!$A:$A,'[1]Tissue Data'!$C:$C)</f>
        <v>Spill</v>
      </c>
      <c r="C5637" s="2">
        <f>_xlfn.XLOOKUP(A5637,'[1]Tissue Data'!$A:$A,'[1]Tissue Data'!$D:$D)</f>
        <v>44393</v>
      </c>
      <c r="D5637" s="2" t="str">
        <f>_xlfn.XLOOKUP(A5637,'[1]Tissue Data'!$A:$A,'[1]Tissue Data'!$F:$F)</f>
        <v>Pumpkinseed</v>
      </c>
      <c r="E5637" t="str">
        <f>_xlfn.XLOOKUP(A5637,'[1]Tissue Data'!$A:$A,'[1]Tissue Data'!$H:$H)</f>
        <v>Lepomis</v>
      </c>
      <c r="F5637" t="str">
        <f>_xlfn.XLOOKUP(A5637,'[1]Tissue Data'!$A:$A,'[1]Tissue Data'!$I:$I)</f>
        <v>gibbosus</v>
      </c>
      <c r="G5637" t="str">
        <f>_xlfn.XLOOKUP(A5637,'[1]Tissue Data'!$A:$A,'[1]Tissue Data'!J:J)</f>
        <v>U</v>
      </c>
      <c r="H5637" t="str">
        <f>_xlfn.XLOOKUP(A5637,'[1]Tissue Data'!$A:$A,'[1]Tissue Data'!K:K)</f>
        <v>Whole Body</v>
      </c>
      <c r="I5637">
        <f>_xlfn.XLOOKUP(A5637,'[1]Tissue Data'!$A:$A,'[1]Tissue Data'!L:L)</f>
        <v>9</v>
      </c>
      <c r="J5637">
        <f>_xlfn.XLOOKUP(A5637,'[1]Tissue Data'!$A:$A,'[1]Tissue Data'!M:M)</f>
        <v>13.89</v>
      </c>
      <c r="K5637" t="s">
        <v>47</v>
      </c>
      <c r="L5637" t="str">
        <f>_xlfn.XLOOKUP(K5637,[2]analyte_order!$B:$B,[2]analyte_order!$C:$C)</f>
        <v>356-02-5</v>
      </c>
      <c r="M5637">
        <f>_xlfn.XLOOKUP(L5637,[2]analyte_order!$C:$C,[2]analyte_order!$E:$E)</f>
        <v>38</v>
      </c>
      <c r="N5637">
        <v>8.1000000000000003E-2</v>
      </c>
    </row>
    <row r="5638" spans="1:14">
      <c r="A5638" t="s">
        <v>292</v>
      </c>
      <c r="B5638" t="str">
        <f>_xlfn.XLOOKUP(A5638,'[1]Tissue Data'!$A:$A,'[1]Tissue Data'!$C:$C)</f>
        <v>Spill</v>
      </c>
      <c r="C5638" s="2">
        <f>_xlfn.XLOOKUP(A5638,'[1]Tissue Data'!$A:$A,'[1]Tissue Data'!$D:$D)</f>
        <v>44393</v>
      </c>
      <c r="D5638" s="2" t="str">
        <f>_xlfn.XLOOKUP(A5638,'[1]Tissue Data'!$A:$A,'[1]Tissue Data'!$F:$F)</f>
        <v>Pumpkinseed</v>
      </c>
      <c r="E5638" t="str">
        <f>_xlfn.XLOOKUP(A5638,'[1]Tissue Data'!$A:$A,'[1]Tissue Data'!$H:$H)</f>
        <v>Lepomis</v>
      </c>
      <c r="F5638" t="str">
        <f>_xlfn.XLOOKUP(A5638,'[1]Tissue Data'!$A:$A,'[1]Tissue Data'!$I:$I)</f>
        <v>gibbosus</v>
      </c>
      <c r="G5638" t="str">
        <f>_xlfn.XLOOKUP(A5638,'[1]Tissue Data'!$A:$A,'[1]Tissue Data'!J:J)</f>
        <v>U</v>
      </c>
      <c r="H5638" t="str">
        <f>_xlfn.XLOOKUP(A5638,'[1]Tissue Data'!$A:$A,'[1]Tissue Data'!K:K)</f>
        <v>Whole Body</v>
      </c>
      <c r="I5638">
        <f>_xlfn.XLOOKUP(A5638,'[1]Tissue Data'!$A:$A,'[1]Tissue Data'!L:L)</f>
        <v>9</v>
      </c>
      <c r="J5638">
        <f>_xlfn.XLOOKUP(A5638,'[1]Tissue Data'!$A:$A,'[1]Tissue Data'!M:M)</f>
        <v>13.89</v>
      </c>
      <c r="K5638" t="s">
        <v>48</v>
      </c>
      <c r="L5638" t="str">
        <f>_xlfn.XLOOKUP(K5638,[2]analyte_order!$B:$B,[2]analyte_order!$C:$C)</f>
        <v>914637-49-3</v>
      </c>
      <c r="M5638">
        <f>_xlfn.XLOOKUP(L5638,[2]analyte_order!$C:$C,[2]analyte_order!$E:$E)</f>
        <v>39</v>
      </c>
      <c r="N5638">
        <v>1.98</v>
      </c>
    </row>
    <row r="5639" spans="1:14">
      <c r="A5639" t="s">
        <v>292</v>
      </c>
      <c r="B5639" t="str">
        <f>_xlfn.XLOOKUP(A5639,'[1]Tissue Data'!$A:$A,'[1]Tissue Data'!$C:$C)</f>
        <v>Spill</v>
      </c>
      <c r="C5639" s="2">
        <f>_xlfn.XLOOKUP(A5639,'[1]Tissue Data'!$A:$A,'[1]Tissue Data'!$D:$D)</f>
        <v>44393</v>
      </c>
      <c r="D5639" s="2" t="str">
        <f>_xlfn.XLOOKUP(A5639,'[1]Tissue Data'!$A:$A,'[1]Tissue Data'!$F:$F)</f>
        <v>Pumpkinseed</v>
      </c>
      <c r="E5639" t="str">
        <f>_xlfn.XLOOKUP(A5639,'[1]Tissue Data'!$A:$A,'[1]Tissue Data'!$H:$H)</f>
        <v>Lepomis</v>
      </c>
      <c r="F5639" t="str">
        <f>_xlfn.XLOOKUP(A5639,'[1]Tissue Data'!$A:$A,'[1]Tissue Data'!$I:$I)</f>
        <v>gibbosus</v>
      </c>
      <c r="G5639" t="str">
        <f>_xlfn.XLOOKUP(A5639,'[1]Tissue Data'!$A:$A,'[1]Tissue Data'!J:J)</f>
        <v>U</v>
      </c>
      <c r="H5639" t="str">
        <f>_xlfn.XLOOKUP(A5639,'[1]Tissue Data'!$A:$A,'[1]Tissue Data'!K:K)</f>
        <v>Whole Body</v>
      </c>
      <c r="I5639">
        <f>_xlfn.XLOOKUP(A5639,'[1]Tissue Data'!$A:$A,'[1]Tissue Data'!L:L)</f>
        <v>9</v>
      </c>
      <c r="J5639">
        <f>_xlfn.XLOOKUP(A5639,'[1]Tissue Data'!$A:$A,'[1]Tissue Data'!M:M)</f>
        <v>13.89</v>
      </c>
      <c r="K5639" t="s">
        <v>49</v>
      </c>
      <c r="L5639" t="str">
        <f>_xlfn.XLOOKUP(K5639,[2]analyte_order!$B:$B,[2]analyte_order!$C:$C)</f>
        <v>812-70-4</v>
      </c>
      <c r="M5639">
        <f>_xlfn.XLOOKUP(L5639,[2]analyte_order!$C:$C,[2]analyte_order!$E:$E)</f>
        <v>40</v>
      </c>
      <c r="N5639">
        <v>1.98</v>
      </c>
    </row>
    <row r="5640" spans="1:14">
      <c r="A5640" t="s">
        <v>292</v>
      </c>
      <c r="B5640" t="str">
        <f>_xlfn.XLOOKUP(A5640,'[1]Tissue Data'!$A:$A,'[1]Tissue Data'!$C:$C)</f>
        <v>Spill</v>
      </c>
      <c r="C5640" s="2">
        <f>_xlfn.XLOOKUP(A5640,'[1]Tissue Data'!$A:$A,'[1]Tissue Data'!$D:$D)</f>
        <v>44393</v>
      </c>
      <c r="D5640" s="2" t="str">
        <f>_xlfn.XLOOKUP(A5640,'[1]Tissue Data'!$A:$A,'[1]Tissue Data'!$F:$F)</f>
        <v>Pumpkinseed</v>
      </c>
      <c r="E5640" t="str">
        <f>_xlfn.XLOOKUP(A5640,'[1]Tissue Data'!$A:$A,'[1]Tissue Data'!$H:$H)</f>
        <v>Lepomis</v>
      </c>
      <c r="F5640" t="str">
        <f>_xlfn.XLOOKUP(A5640,'[1]Tissue Data'!$A:$A,'[1]Tissue Data'!$I:$I)</f>
        <v>gibbosus</v>
      </c>
      <c r="G5640" t="str">
        <f>_xlfn.XLOOKUP(A5640,'[1]Tissue Data'!$A:$A,'[1]Tissue Data'!J:J)</f>
        <v>U</v>
      </c>
      <c r="H5640" t="str">
        <f>_xlfn.XLOOKUP(A5640,'[1]Tissue Data'!$A:$A,'[1]Tissue Data'!K:K)</f>
        <v>Whole Body</v>
      </c>
      <c r="I5640">
        <f>_xlfn.XLOOKUP(A5640,'[1]Tissue Data'!$A:$A,'[1]Tissue Data'!L:L)</f>
        <v>9</v>
      </c>
      <c r="J5640">
        <f>_xlfn.XLOOKUP(A5640,'[1]Tissue Data'!$A:$A,'[1]Tissue Data'!M:M)</f>
        <v>13.89</v>
      </c>
      <c r="K5640" t="s">
        <v>50</v>
      </c>
      <c r="L5640" t="str">
        <f>_xlfn.XLOOKUP(K5640,[2]analyte_order!$B:$B,[2]analyte_order!$C:$C)</f>
        <v>53826-12-3</v>
      </c>
      <c r="M5640">
        <f>_xlfn.XLOOKUP(L5640,[2]analyte_order!$C:$C,[2]analyte_order!$E:$E)</f>
        <v>41</v>
      </c>
      <c r="N5640">
        <v>7.0499999999999993E-2</v>
      </c>
    </row>
    <row r="5641" spans="1:14">
      <c r="A5641" t="s">
        <v>292</v>
      </c>
      <c r="B5641" t="str">
        <f>_xlfn.XLOOKUP(A5641,'[1]Tissue Data'!$A:$A,'[1]Tissue Data'!$C:$C)</f>
        <v>Spill</v>
      </c>
      <c r="C5641" s="2">
        <f>_xlfn.XLOOKUP(A5641,'[1]Tissue Data'!$A:$A,'[1]Tissue Data'!$D:$D)</f>
        <v>44393</v>
      </c>
      <c r="D5641" s="2" t="str">
        <f>_xlfn.XLOOKUP(A5641,'[1]Tissue Data'!$A:$A,'[1]Tissue Data'!$F:$F)</f>
        <v>Pumpkinseed</v>
      </c>
      <c r="E5641" t="str">
        <f>_xlfn.XLOOKUP(A5641,'[1]Tissue Data'!$A:$A,'[1]Tissue Data'!$H:$H)</f>
        <v>Lepomis</v>
      </c>
      <c r="F5641" t="str">
        <f>_xlfn.XLOOKUP(A5641,'[1]Tissue Data'!$A:$A,'[1]Tissue Data'!$I:$I)</f>
        <v>gibbosus</v>
      </c>
      <c r="G5641" t="str">
        <f>_xlfn.XLOOKUP(A5641,'[1]Tissue Data'!$A:$A,'[1]Tissue Data'!J:J)</f>
        <v>U</v>
      </c>
      <c r="H5641" t="str">
        <f>_xlfn.XLOOKUP(A5641,'[1]Tissue Data'!$A:$A,'[1]Tissue Data'!K:K)</f>
        <v>Whole Body</v>
      </c>
      <c r="I5641">
        <f>_xlfn.XLOOKUP(A5641,'[1]Tissue Data'!$A:$A,'[1]Tissue Data'!L:L)</f>
        <v>9</v>
      </c>
      <c r="J5641">
        <f>_xlfn.XLOOKUP(A5641,'[1]Tissue Data'!$A:$A,'[1]Tissue Data'!M:M)</f>
        <v>13.89</v>
      </c>
      <c r="K5641" t="s">
        <v>51</v>
      </c>
      <c r="L5641" t="str">
        <f>_xlfn.XLOOKUP(K5641,[2]analyte_order!$B:$B,[2]analyte_order!$C:$C)</f>
        <v>27854-31-5</v>
      </c>
      <c r="M5641">
        <f>_xlfn.XLOOKUP(L5641,[2]analyte_order!$C:$C,[2]analyte_order!$E:$E)</f>
        <v>42</v>
      </c>
      <c r="N5641">
        <v>7.0499999999999993E-2</v>
      </c>
    </row>
    <row r="5642" spans="1:14">
      <c r="A5642" t="s">
        <v>292</v>
      </c>
      <c r="B5642" t="str">
        <f>_xlfn.XLOOKUP(A5642,'[1]Tissue Data'!$A:$A,'[1]Tissue Data'!$C:$C)</f>
        <v>Spill</v>
      </c>
      <c r="C5642" s="2">
        <f>_xlfn.XLOOKUP(A5642,'[1]Tissue Data'!$A:$A,'[1]Tissue Data'!$D:$D)</f>
        <v>44393</v>
      </c>
      <c r="D5642" s="2" t="str">
        <f>_xlfn.XLOOKUP(A5642,'[1]Tissue Data'!$A:$A,'[1]Tissue Data'!$F:$F)</f>
        <v>Pumpkinseed</v>
      </c>
      <c r="E5642" t="str">
        <f>_xlfn.XLOOKUP(A5642,'[1]Tissue Data'!$A:$A,'[1]Tissue Data'!$H:$H)</f>
        <v>Lepomis</v>
      </c>
      <c r="F5642" t="str">
        <f>_xlfn.XLOOKUP(A5642,'[1]Tissue Data'!$A:$A,'[1]Tissue Data'!$I:$I)</f>
        <v>gibbosus</v>
      </c>
      <c r="G5642" t="str">
        <f>_xlfn.XLOOKUP(A5642,'[1]Tissue Data'!$A:$A,'[1]Tissue Data'!J:J)</f>
        <v>U</v>
      </c>
      <c r="H5642" t="str">
        <f>_xlfn.XLOOKUP(A5642,'[1]Tissue Data'!$A:$A,'[1]Tissue Data'!K:K)</f>
        <v>Whole Body</v>
      </c>
      <c r="I5642">
        <f>_xlfn.XLOOKUP(A5642,'[1]Tissue Data'!$A:$A,'[1]Tissue Data'!L:L)</f>
        <v>9</v>
      </c>
      <c r="J5642">
        <f>_xlfn.XLOOKUP(A5642,'[1]Tissue Data'!$A:$A,'[1]Tissue Data'!M:M)</f>
        <v>13.89</v>
      </c>
      <c r="K5642" t="s">
        <v>52</v>
      </c>
      <c r="L5642" t="str">
        <f>_xlfn.XLOOKUP(K5642,[2]analyte_order!$B:$B,[2]analyte_order!$C:$C)</f>
        <v>53826-13-4</v>
      </c>
      <c r="M5642">
        <f>_xlfn.XLOOKUP(L5642,[2]analyte_order!$C:$C,[2]analyte_order!$E:$E)</f>
        <v>43</v>
      </c>
      <c r="N5642">
        <v>0.105</v>
      </c>
    </row>
    <row r="5643" spans="1:14">
      <c r="A5643" t="s">
        <v>292</v>
      </c>
      <c r="B5643" t="str">
        <f>_xlfn.XLOOKUP(A5643,'[1]Tissue Data'!$A:$A,'[1]Tissue Data'!$C:$C)</f>
        <v>Spill</v>
      </c>
      <c r="C5643" s="2">
        <f>_xlfn.XLOOKUP(A5643,'[1]Tissue Data'!$A:$A,'[1]Tissue Data'!$D:$D)</f>
        <v>44393</v>
      </c>
      <c r="D5643" s="2" t="str">
        <f>_xlfn.XLOOKUP(A5643,'[1]Tissue Data'!$A:$A,'[1]Tissue Data'!$F:$F)</f>
        <v>Pumpkinseed</v>
      </c>
      <c r="E5643" t="str">
        <f>_xlfn.XLOOKUP(A5643,'[1]Tissue Data'!$A:$A,'[1]Tissue Data'!$H:$H)</f>
        <v>Lepomis</v>
      </c>
      <c r="F5643" t="str">
        <f>_xlfn.XLOOKUP(A5643,'[1]Tissue Data'!$A:$A,'[1]Tissue Data'!$I:$I)</f>
        <v>gibbosus</v>
      </c>
      <c r="G5643" t="str">
        <f>_xlfn.XLOOKUP(A5643,'[1]Tissue Data'!$A:$A,'[1]Tissue Data'!J:J)</f>
        <v>U</v>
      </c>
      <c r="H5643" t="str">
        <f>_xlfn.XLOOKUP(A5643,'[1]Tissue Data'!$A:$A,'[1]Tissue Data'!K:K)</f>
        <v>Whole Body</v>
      </c>
      <c r="I5643">
        <f>_xlfn.XLOOKUP(A5643,'[1]Tissue Data'!$A:$A,'[1]Tissue Data'!L:L)</f>
        <v>9</v>
      </c>
      <c r="J5643">
        <f>_xlfn.XLOOKUP(A5643,'[1]Tissue Data'!$A:$A,'[1]Tissue Data'!M:M)</f>
        <v>13.89</v>
      </c>
      <c r="K5643" t="s">
        <v>53</v>
      </c>
      <c r="L5643" t="str">
        <f>_xlfn.XLOOKUP(K5643,[2]analyte_order!$B:$B,[2]analyte_order!$C:$C)</f>
        <v>161094-75-3</v>
      </c>
      <c r="M5643">
        <f>_xlfn.XLOOKUP(L5643,[2]analyte_order!$C:$C,[2]analyte_order!$E:$E)</f>
        <v>44</v>
      </c>
      <c r="N5643">
        <v>5.5500000000000001E-2</v>
      </c>
    </row>
    <row r="5644" spans="1:14">
      <c r="A5644" t="s">
        <v>292</v>
      </c>
      <c r="B5644" t="str">
        <f>_xlfn.XLOOKUP(A5644,'[1]Tissue Data'!$A:$A,'[1]Tissue Data'!$C:$C)</f>
        <v>Spill</v>
      </c>
      <c r="C5644" s="2">
        <f>_xlfn.XLOOKUP(A5644,'[1]Tissue Data'!$A:$A,'[1]Tissue Data'!$D:$D)</f>
        <v>44393</v>
      </c>
      <c r="D5644" s="2" t="str">
        <f>_xlfn.XLOOKUP(A5644,'[1]Tissue Data'!$A:$A,'[1]Tissue Data'!$F:$F)</f>
        <v>Pumpkinseed</v>
      </c>
      <c r="E5644" t="str">
        <f>_xlfn.XLOOKUP(A5644,'[1]Tissue Data'!$A:$A,'[1]Tissue Data'!$H:$H)</f>
        <v>Lepomis</v>
      </c>
      <c r="F5644" t="str">
        <f>_xlfn.XLOOKUP(A5644,'[1]Tissue Data'!$A:$A,'[1]Tissue Data'!$I:$I)</f>
        <v>gibbosus</v>
      </c>
      <c r="G5644" t="str">
        <f>_xlfn.XLOOKUP(A5644,'[1]Tissue Data'!$A:$A,'[1]Tissue Data'!J:J)</f>
        <v>U</v>
      </c>
      <c r="H5644" t="str">
        <f>_xlfn.XLOOKUP(A5644,'[1]Tissue Data'!$A:$A,'[1]Tissue Data'!K:K)</f>
        <v>Whole Body</v>
      </c>
      <c r="I5644">
        <f>_xlfn.XLOOKUP(A5644,'[1]Tissue Data'!$A:$A,'[1]Tissue Data'!L:L)</f>
        <v>9</v>
      </c>
      <c r="J5644">
        <f>_xlfn.XLOOKUP(A5644,'[1]Tissue Data'!$A:$A,'[1]Tissue Data'!M:M)</f>
        <v>13.89</v>
      </c>
      <c r="K5644" t="s">
        <v>54</v>
      </c>
      <c r="L5644" t="str">
        <f>_xlfn.XLOOKUP(K5644,[2]analyte_order!$B:$B,[2]analyte_order!$C:$C)</f>
        <v>70887-84-2</v>
      </c>
      <c r="M5644">
        <f>_xlfn.XLOOKUP(L5644,[2]analyte_order!$C:$C,[2]analyte_order!$E:$E)</f>
        <v>45</v>
      </c>
      <c r="N5644">
        <v>4.2549999999999998E-2</v>
      </c>
    </row>
    <row r="5645" spans="1:14">
      <c r="A5645" t="s">
        <v>292</v>
      </c>
      <c r="B5645" t="str">
        <f>_xlfn.XLOOKUP(A5645,'[1]Tissue Data'!$A:$A,'[1]Tissue Data'!$C:$C)</f>
        <v>Spill</v>
      </c>
      <c r="C5645" s="2">
        <f>_xlfn.XLOOKUP(A5645,'[1]Tissue Data'!$A:$A,'[1]Tissue Data'!$D:$D)</f>
        <v>44393</v>
      </c>
      <c r="D5645" s="2" t="str">
        <f>_xlfn.XLOOKUP(A5645,'[1]Tissue Data'!$A:$A,'[1]Tissue Data'!$F:$F)</f>
        <v>Pumpkinseed</v>
      </c>
      <c r="E5645" t="str">
        <f>_xlfn.XLOOKUP(A5645,'[1]Tissue Data'!$A:$A,'[1]Tissue Data'!$H:$H)</f>
        <v>Lepomis</v>
      </c>
      <c r="F5645" t="str">
        <f>_xlfn.XLOOKUP(A5645,'[1]Tissue Data'!$A:$A,'[1]Tissue Data'!$I:$I)</f>
        <v>gibbosus</v>
      </c>
      <c r="G5645" t="str">
        <f>_xlfn.XLOOKUP(A5645,'[1]Tissue Data'!$A:$A,'[1]Tissue Data'!J:J)</f>
        <v>U</v>
      </c>
      <c r="H5645" t="str">
        <f>_xlfn.XLOOKUP(A5645,'[1]Tissue Data'!$A:$A,'[1]Tissue Data'!K:K)</f>
        <v>Whole Body</v>
      </c>
      <c r="I5645">
        <f>_xlfn.XLOOKUP(A5645,'[1]Tissue Data'!$A:$A,'[1]Tissue Data'!L:L)</f>
        <v>9</v>
      </c>
      <c r="J5645">
        <f>_xlfn.XLOOKUP(A5645,'[1]Tissue Data'!$A:$A,'[1]Tissue Data'!M:M)</f>
        <v>13.89</v>
      </c>
      <c r="K5645" t="s">
        <v>55</v>
      </c>
      <c r="L5645" t="str">
        <f>_xlfn.XLOOKUP(K5645,[2]analyte_order!$B:$B,[2]analyte_order!$C:$C)</f>
        <v>919005-14-4</v>
      </c>
      <c r="M5645">
        <f>_xlfn.XLOOKUP(L5645,[2]analyte_order!$C:$C,[2]analyte_order!$E:$E)</f>
        <v>35</v>
      </c>
      <c r="N5645">
        <v>0.20499999999999999</v>
      </c>
    </row>
    <row r="5646" spans="1:14">
      <c r="A5646" t="s">
        <v>292</v>
      </c>
      <c r="B5646" t="str">
        <f>_xlfn.XLOOKUP(A5646,'[1]Tissue Data'!$A:$A,'[1]Tissue Data'!$C:$C)</f>
        <v>Spill</v>
      </c>
      <c r="C5646" s="2">
        <f>_xlfn.XLOOKUP(A5646,'[1]Tissue Data'!$A:$A,'[1]Tissue Data'!$D:$D)</f>
        <v>44393</v>
      </c>
      <c r="D5646" s="2" t="str">
        <f>_xlfn.XLOOKUP(A5646,'[1]Tissue Data'!$A:$A,'[1]Tissue Data'!$F:$F)</f>
        <v>Pumpkinseed</v>
      </c>
      <c r="E5646" t="str">
        <f>_xlfn.XLOOKUP(A5646,'[1]Tissue Data'!$A:$A,'[1]Tissue Data'!$H:$H)</f>
        <v>Lepomis</v>
      </c>
      <c r="F5646" t="str">
        <f>_xlfn.XLOOKUP(A5646,'[1]Tissue Data'!$A:$A,'[1]Tissue Data'!$I:$I)</f>
        <v>gibbosus</v>
      </c>
      <c r="G5646" t="str">
        <f>_xlfn.XLOOKUP(A5646,'[1]Tissue Data'!$A:$A,'[1]Tissue Data'!J:J)</f>
        <v>U</v>
      </c>
      <c r="H5646" t="str">
        <f>_xlfn.XLOOKUP(A5646,'[1]Tissue Data'!$A:$A,'[1]Tissue Data'!K:K)</f>
        <v>Whole Body</v>
      </c>
      <c r="I5646">
        <f>_xlfn.XLOOKUP(A5646,'[1]Tissue Data'!$A:$A,'[1]Tissue Data'!L:L)</f>
        <v>9</v>
      </c>
      <c r="J5646">
        <f>_xlfn.XLOOKUP(A5646,'[1]Tissue Data'!$A:$A,'[1]Tissue Data'!M:M)</f>
        <v>13.89</v>
      </c>
      <c r="K5646" t="s">
        <v>56</v>
      </c>
      <c r="L5646" t="str">
        <f>_xlfn.XLOOKUP(K5646,[2]analyte_order!$B:$B,[2]analyte_order!$C:$C)</f>
        <v>756426-58-1</v>
      </c>
      <c r="M5646">
        <f>_xlfn.XLOOKUP(L5646,[2]analyte_order!$C:$C,[2]analyte_order!$E:$E)</f>
        <v>36</v>
      </c>
      <c r="N5646">
        <v>7.0499999999999993E-2</v>
      </c>
    </row>
    <row r="5647" spans="1:14">
      <c r="A5647" t="s">
        <v>292</v>
      </c>
      <c r="B5647" t="str">
        <f>_xlfn.XLOOKUP(A5647,'[1]Tissue Data'!$A:$A,'[1]Tissue Data'!$C:$C)</f>
        <v>Spill</v>
      </c>
      <c r="C5647" s="2">
        <f>_xlfn.XLOOKUP(A5647,'[1]Tissue Data'!$A:$A,'[1]Tissue Data'!$D:$D)</f>
        <v>44393</v>
      </c>
      <c r="D5647" s="2" t="str">
        <f>_xlfn.XLOOKUP(A5647,'[1]Tissue Data'!$A:$A,'[1]Tissue Data'!$F:$F)</f>
        <v>Pumpkinseed</v>
      </c>
      <c r="E5647" t="str">
        <f>_xlfn.XLOOKUP(A5647,'[1]Tissue Data'!$A:$A,'[1]Tissue Data'!$H:$H)</f>
        <v>Lepomis</v>
      </c>
      <c r="F5647" t="str">
        <f>_xlfn.XLOOKUP(A5647,'[1]Tissue Data'!$A:$A,'[1]Tissue Data'!$I:$I)</f>
        <v>gibbosus</v>
      </c>
      <c r="G5647" t="str">
        <f>_xlfn.XLOOKUP(A5647,'[1]Tissue Data'!$A:$A,'[1]Tissue Data'!J:J)</f>
        <v>U</v>
      </c>
      <c r="H5647" t="str">
        <f>_xlfn.XLOOKUP(A5647,'[1]Tissue Data'!$A:$A,'[1]Tissue Data'!K:K)</f>
        <v>Whole Body</v>
      </c>
      <c r="I5647">
        <f>_xlfn.XLOOKUP(A5647,'[1]Tissue Data'!$A:$A,'[1]Tissue Data'!L:L)</f>
        <v>9</v>
      </c>
      <c r="J5647">
        <f>_xlfn.XLOOKUP(A5647,'[1]Tissue Data'!$A:$A,'[1]Tissue Data'!M:M)</f>
        <v>13.89</v>
      </c>
      <c r="K5647" t="s">
        <v>57</v>
      </c>
      <c r="L5647" t="str">
        <f>_xlfn.XLOOKUP(K5647,[2]analyte_order!$B:$B,[2]analyte_order!$C:$C)</f>
        <v>763051-92-9</v>
      </c>
      <c r="M5647">
        <f>_xlfn.XLOOKUP(L5647,[2]analyte_order!$C:$C,[2]analyte_order!$E:$E)</f>
        <v>37</v>
      </c>
      <c r="N5647">
        <v>7.0499999999999993E-2</v>
      </c>
    </row>
    <row r="5648" spans="1:14">
      <c r="A5648" t="s">
        <v>292</v>
      </c>
      <c r="B5648" t="str">
        <f>_xlfn.XLOOKUP(A5648,'[1]Tissue Data'!$A:$A,'[1]Tissue Data'!$C:$C)</f>
        <v>Spill</v>
      </c>
      <c r="C5648" s="2">
        <f>_xlfn.XLOOKUP(A5648,'[1]Tissue Data'!$A:$A,'[1]Tissue Data'!$D:$D)</f>
        <v>44393</v>
      </c>
      <c r="D5648" s="2" t="str">
        <f>_xlfn.XLOOKUP(A5648,'[1]Tissue Data'!$A:$A,'[1]Tissue Data'!$F:$F)</f>
        <v>Pumpkinseed</v>
      </c>
      <c r="E5648" t="str">
        <f>_xlfn.XLOOKUP(A5648,'[1]Tissue Data'!$A:$A,'[1]Tissue Data'!$H:$H)</f>
        <v>Lepomis</v>
      </c>
      <c r="F5648" t="str">
        <f>_xlfn.XLOOKUP(A5648,'[1]Tissue Data'!$A:$A,'[1]Tissue Data'!$I:$I)</f>
        <v>gibbosus</v>
      </c>
      <c r="G5648" t="str">
        <f>_xlfn.XLOOKUP(A5648,'[1]Tissue Data'!$A:$A,'[1]Tissue Data'!J:J)</f>
        <v>U</v>
      </c>
      <c r="H5648" t="str">
        <f>_xlfn.XLOOKUP(A5648,'[1]Tissue Data'!$A:$A,'[1]Tissue Data'!K:K)</f>
        <v>Whole Body</v>
      </c>
      <c r="I5648">
        <f>_xlfn.XLOOKUP(A5648,'[1]Tissue Data'!$A:$A,'[1]Tissue Data'!L:L)</f>
        <v>9</v>
      </c>
      <c r="J5648">
        <f>_xlfn.XLOOKUP(A5648,'[1]Tissue Data'!$A:$A,'[1]Tissue Data'!M:M)</f>
        <v>13.89</v>
      </c>
      <c r="K5648" t="s">
        <v>58</v>
      </c>
      <c r="L5648" t="str">
        <f>_xlfn.XLOOKUP(K5648,[2]analyte_order!$B:$B,[2]analyte_order!$C:$C)</f>
        <v>13252-13-6</v>
      </c>
      <c r="M5648">
        <f>_xlfn.XLOOKUP(L5648,[2]analyte_order!$C:$C,[2]analyte_order!$E:$E)</f>
        <v>34</v>
      </c>
      <c r="N5648">
        <v>0.10100000000000001</v>
      </c>
    </row>
    <row r="5649" spans="1:14">
      <c r="A5649" t="s">
        <v>292</v>
      </c>
      <c r="B5649" t="str">
        <f>_xlfn.XLOOKUP(A5649,'[1]Tissue Data'!$A:$A,'[1]Tissue Data'!$C:$C)</f>
        <v>Spill</v>
      </c>
      <c r="C5649" s="2">
        <f>_xlfn.XLOOKUP(A5649,'[1]Tissue Data'!$A:$A,'[1]Tissue Data'!$D:$D)</f>
        <v>44393</v>
      </c>
      <c r="D5649" s="2" t="str">
        <f>_xlfn.XLOOKUP(A5649,'[1]Tissue Data'!$A:$A,'[1]Tissue Data'!$F:$F)</f>
        <v>Pumpkinseed</v>
      </c>
      <c r="E5649" t="str">
        <f>_xlfn.XLOOKUP(A5649,'[1]Tissue Data'!$A:$A,'[1]Tissue Data'!$H:$H)</f>
        <v>Lepomis</v>
      </c>
      <c r="F5649" t="str">
        <f>_xlfn.XLOOKUP(A5649,'[1]Tissue Data'!$A:$A,'[1]Tissue Data'!$I:$I)</f>
        <v>gibbosus</v>
      </c>
      <c r="G5649" t="str">
        <f>_xlfn.XLOOKUP(A5649,'[1]Tissue Data'!$A:$A,'[1]Tissue Data'!J:J)</f>
        <v>U</v>
      </c>
      <c r="H5649" t="str">
        <f>_xlfn.XLOOKUP(A5649,'[1]Tissue Data'!$A:$A,'[1]Tissue Data'!K:K)</f>
        <v>Whole Body</v>
      </c>
      <c r="I5649">
        <f>_xlfn.XLOOKUP(A5649,'[1]Tissue Data'!$A:$A,'[1]Tissue Data'!L:L)</f>
        <v>9</v>
      </c>
      <c r="J5649">
        <f>_xlfn.XLOOKUP(A5649,'[1]Tissue Data'!$A:$A,'[1]Tissue Data'!M:M)</f>
        <v>13.89</v>
      </c>
      <c r="K5649" t="s">
        <v>59</v>
      </c>
      <c r="L5649" t="str">
        <f>_xlfn.XLOOKUP(K5649,[2]analyte_order!$B:$B,[2]analyte_order!$C:$C)</f>
        <v>57677-95-9</v>
      </c>
      <c r="M5649">
        <f>_xlfn.XLOOKUP(L5649,[2]analyte_order!$C:$C,[2]analyte_order!$E:$E)</f>
        <v>46</v>
      </c>
      <c r="N5649">
        <v>7.4999999999999997E-2</v>
      </c>
    </row>
    <row r="5650" spans="1:14">
      <c r="A5650" t="s">
        <v>292</v>
      </c>
      <c r="B5650" t="str">
        <f>_xlfn.XLOOKUP(A5650,'[1]Tissue Data'!$A:$A,'[1]Tissue Data'!$C:$C)</f>
        <v>Spill</v>
      </c>
      <c r="C5650" s="2">
        <f>_xlfn.XLOOKUP(A5650,'[1]Tissue Data'!$A:$A,'[1]Tissue Data'!$D:$D)</f>
        <v>44393</v>
      </c>
      <c r="D5650" s="2" t="str">
        <f>_xlfn.XLOOKUP(A5650,'[1]Tissue Data'!$A:$A,'[1]Tissue Data'!$F:$F)</f>
        <v>Pumpkinseed</v>
      </c>
      <c r="E5650" t="str">
        <f>_xlfn.XLOOKUP(A5650,'[1]Tissue Data'!$A:$A,'[1]Tissue Data'!$H:$H)</f>
        <v>Lepomis</v>
      </c>
      <c r="F5650" t="str">
        <f>_xlfn.XLOOKUP(A5650,'[1]Tissue Data'!$A:$A,'[1]Tissue Data'!$I:$I)</f>
        <v>gibbosus</v>
      </c>
      <c r="G5650" t="str">
        <f>_xlfn.XLOOKUP(A5650,'[1]Tissue Data'!$A:$A,'[1]Tissue Data'!J:J)</f>
        <v>U</v>
      </c>
      <c r="H5650" t="str">
        <f>_xlfn.XLOOKUP(A5650,'[1]Tissue Data'!$A:$A,'[1]Tissue Data'!K:K)</f>
        <v>Whole Body</v>
      </c>
      <c r="I5650">
        <f>_xlfn.XLOOKUP(A5650,'[1]Tissue Data'!$A:$A,'[1]Tissue Data'!L:L)</f>
        <v>9</v>
      </c>
      <c r="J5650">
        <f>_xlfn.XLOOKUP(A5650,'[1]Tissue Data'!$A:$A,'[1]Tissue Data'!M:M)</f>
        <v>13.89</v>
      </c>
      <c r="K5650" t="s">
        <v>60</v>
      </c>
      <c r="L5650" t="str">
        <f>_xlfn.XLOOKUP(K5650,[2]analyte_order!$B:$B,[2]analyte_order!$C:$C)</f>
        <v>678-41-1</v>
      </c>
      <c r="M5650">
        <f>_xlfn.XLOOKUP(L5650,[2]analyte_order!$C:$C,[2]analyte_order!$E:$E)</f>
        <v>56</v>
      </c>
      <c r="N5650">
        <v>9.35E-2</v>
      </c>
    </row>
    <row r="5651" spans="1:14">
      <c r="A5651" t="s">
        <v>292</v>
      </c>
      <c r="B5651" t="str">
        <f>_xlfn.XLOOKUP(A5651,'[1]Tissue Data'!$A:$A,'[1]Tissue Data'!$C:$C)</f>
        <v>Spill</v>
      </c>
      <c r="C5651" s="2">
        <f>_xlfn.XLOOKUP(A5651,'[1]Tissue Data'!$A:$A,'[1]Tissue Data'!$D:$D)</f>
        <v>44393</v>
      </c>
      <c r="D5651" s="2" t="str">
        <f>_xlfn.XLOOKUP(A5651,'[1]Tissue Data'!$A:$A,'[1]Tissue Data'!$F:$F)</f>
        <v>Pumpkinseed</v>
      </c>
      <c r="E5651" t="str">
        <f>_xlfn.XLOOKUP(A5651,'[1]Tissue Data'!$A:$A,'[1]Tissue Data'!$H:$H)</f>
        <v>Lepomis</v>
      </c>
      <c r="F5651" t="str">
        <f>_xlfn.XLOOKUP(A5651,'[1]Tissue Data'!$A:$A,'[1]Tissue Data'!$I:$I)</f>
        <v>gibbosus</v>
      </c>
      <c r="G5651" t="str">
        <f>_xlfn.XLOOKUP(A5651,'[1]Tissue Data'!$A:$A,'[1]Tissue Data'!J:J)</f>
        <v>U</v>
      </c>
      <c r="H5651" t="str">
        <f>_xlfn.XLOOKUP(A5651,'[1]Tissue Data'!$A:$A,'[1]Tissue Data'!K:K)</f>
        <v>Whole Body</v>
      </c>
      <c r="I5651">
        <f>_xlfn.XLOOKUP(A5651,'[1]Tissue Data'!$A:$A,'[1]Tissue Data'!L:L)</f>
        <v>9</v>
      </c>
      <c r="J5651">
        <f>_xlfn.XLOOKUP(A5651,'[1]Tissue Data'!$A:$A,'[1]Tissue Data'!M:M)</f>
        <v>13.89</v>
      </c>
      <c r="K5651" t="s">
        <v>61</v>
      </c>
      <c r="L5651" t="str">
        <f>_xlfn.XLOOKUP(K5651,[2]analyte_order!$B:$B,[2]analyte_order!$C:$C)</f>
        <v>2965-52-8</v>
      </c>
      <c r="M5651">
        <f>_xlfn.XLOOKUP(L5651,[2]analyte_order!$C:$C,[2]analyte_order!$E:$E)</f>
        <v>57</v>
      </c>
      <c r="N5651">
        <v>0.124</v>
      </c>
    </row>
    <row r="5652" spans="1:14">
      <c r="A5652" t="s">
        <v>201</v>
      </c>
      <c r="B5652" t="str">
        <f>_xlfn.XLOOKUP(A5652,'[1]Tissue Data'!$A:$A,'[1]Tissue Data'!$C:$C)</f>
        <v>Spill</v>
      </c>
      <c r="C5652" s="2">
        <f>_xlfn.XLOOKUP(A5652,'[1]Tissue Data'!$A:$A,'[1]Tissue Data'!$D:$D)</f>
        <v>44393</v>
      </c>
      <c r="D5652" s="2" t="str">
        <f>_xlfn.XLOOKUP(A5652,'[1]Tissue Data'!$A:$A,'[1]Tissue Data'!$F:$F)</f>
        <v>Swallowtail Shiner</v>
      </c>
      <c r="E5652" t="str">
        <f>_xlfn.XLOOKUP(A5652,'[1]Tissue Data'!$A:$A,'[1]Tissue Data'!$H:$H)</f>
        <v>Notropis</v>
      </c>
      <c r="F5652" t="str">
        <f>_xlfn.XLOOKUP(A5652,'[1]Tissue Data'!$A:$A,'[1]Tissue Data'!$I:$I)</f>
        <v>procne</v>
      </c>
      <c r="G5652" t="str">
        <f>_xlfn.XLOOKUP(A5652,'[1]Tissue Data'!$A:$A,'[1]Tissue Data'!J:J)</f>
        <v>U</v>
      </c>
      <c r="H5652" t="str">
        <f>_xlfn.XLOOKUP(A5652,'[1]Tissue Data'!$A:$A,'[1]Tissue Data'!K:K)</f>
        <v>Whole Body</v>
      </c>
      <c r="I5652">
        <f>_xlfn.XLOOKUP(A5652,'[1]Tissue Data'!$A:$A,'[1]Tissue Data'!L:L)</f>
        <v>5.5</v>
      </c>
      <c r="J5652">
        <f>_xlfn.XLOOKUP(A5652,'[1]Tissue Data'!$A:$A,'[1]Tissue Data'!M:M)</f>
        <v>1.88</v>
      </c>
      <c r="K5652" t="s">
        <v>12</v>
      </c>
      <c r="L5652" t="str">
        <f>_xlfn.XLOOKUP(K5652,[2]analyte_order!$B:$B,[2]analyte_order!$C:$C)</f>
        <v>375-22-4</v>
      </c>
      <c r="M5652">
        <f>_xlfn.XLOOKUP(L5652,[2]analyte_order!$C:$C,[2]analyte_order!$E:$E)</f>
        <v>1</v>
      </c>
      <c r="N5652">
        <v>0.22600000000000001</v>
      </c>
    </row>
    <row r="5653" spans="1:14">
      <c r="A5653" t="s">
        <v>201</v>
      </c>
      <c r="B5653" t="str">
        <f>_xlfn.XLOOKUP(A5653,'[1]Tissue Data'!$A:$A,'[1]Tissue Data'!$C:$C)</f>
        <v>Spill</v>
      </c>
      <c r="C5653" s="2">
        <f>_xlfn.XLOOKUP(A5653,'[1]Tissue Data'!$A:$A,'[1]Tissue Data'!$D:$D)</f>
        <v>44393</v>
      </c>
      <c r="D5653" s="2" t="str">
        <f>_xlfn.XLOOKUP(A5653,'[1]Tissue Data'!$A:$A,'[1]Tissue Data'!$F:$F)</f>
        <v>Swallowtail Shiner</v>
      </c>
      <c r="E5653" t="str">
        <f>_xlfn.XLOOKUP(A5653,'[1]Tissue Data'!$A:$A,'[1]Tissue Data'!$H:$H)</f>
        <v>Notropis</v>
      </c>
      <c r="F5653" t="str">
        <f>_xlfn.XLOOKUP(A5653,'[1]Tissue Data'!$A:$A,'[1]Tissue Data'!$I:$I)</f>
        <v>procne</v>
      </c>
      <c r="G5653" t="str">
        <f>_xlfn.XLOOKUP(A5653,'[1]Tissue Data'!$A:$A,'[1]Tissue Data'!J:J)</f>
        <v>U</v>
      </c>
      <c r="H5653" t="str">
        <f>_xlfn.XLOOKUP(A5653,'[1]Tissue Data'!$A:$A,'[1]Tissue Data'!K:K)</f>
        <v>Whole Body</v>
      </c>
      <c r="I5653">
        <f>_xlfn.XLOOKUP(A5653,'[1]Tissue Data'!$A:$A,'[1]Tissue Data'!L:L)</f>
        <v>5.5</v>
      </c>
      <c r="J5653">
        <f>_xlfn.XLOOKUP(A5653,'[1]Tissue Data'!$A:$A,'[1]Tissue Data'!M:M)</f>
        <v>1.88</v>
      </c>
      <c r="K5653" t="s">
        <v>13</v>
      </c>
      <c r="L5653" t="str">
        <f>_xlfn.XLOOKUP(K5653,[2]analyte_order!$B:$B,[2]analyte_order!$C:$C)</f>
        <v>2706-90-3</v>
      </c>
      <c r="M5653">
        <f>_xlfn.XLOOKUP(L5653,[2]analyte_order!$C:$C,[2]analyte_order!$E:$E)</f>
        <v>2</v>
      </c>
      <c r="N5653">
        <v>0.1595</v>
      </c>
    </row>
    <row r="5654" spans="1:14">
      <c r="A5654" t="s">
        <v>201</v>
      </c>
      <c r="B5654" t="str">
        <f>_xlfn.XLOOKUP(A5654,'[1]Tissue Data'!$A:$A,'[1]Tissue Data'!$C:$C)</f>
        <v>Spill</v>
      </c>
      <c r="C5654" s="2">
        <f>_xlfn.XLOOKUP(A5654,'[1]Tissue Data'!$A:$A,'[1]Tissue Data'!$D:$D)</f>
        <v>44393</v>
      </c>
      <c r="D5654" s="2" t="str">
        <f>_xlfn.XLOOKUP(A5654,'[1]Tissue Data'!$A:$A,'[1]Tissue Data'!$F:$F)</f>
        <v>Swallowtail Shiner</v>
      </c>
      <c r="E5654" t="str">
        <f>_xlfn.XLOOKUP(A5654,'[1]Tissue Data'!$A:$A,'[1]Tissue Data'!$H:$H)</f>
        <v>Notropis</v>
      </c>
      <c r="F5654" t="str">
        <f>_xlfn.XLOOKUP(A5654,'[1]Tissue Data'!$A:$A,'[1]Tissue Data'!$I:$I)</f>
        <v>procne</v>
      </c>
      <c r="G5654" t="str">
        <f>_xlfn.XLOOKUP(A5654,'[1]Tissue Data'!$A:$A,'[1]Tissue Data'!J:J)</f>
        <v>U</v>
      </c>
      <c r="H5654" t="str">
        <f>_xlfn.XLOOKUP(A5654,'[1]Tissue Data'!$A:$A,'[1]Tissue Data'!K:K)</f>
        <v>Whole Body</v>
      </c>
      <c r="I5654">
        <f>_xlfn.XLOOKUP(A5654,'[1]Tissue Data'!$A:$A,'[1]Tissue Data'!L:L)</f>
        <v>5.5</v>
      </c>
      <c r="J5654">
        <f>_xlfn.XLOOKUP(A5654,'[1]Tissue Data'!$A:$A,'[1]Tissue Data'!M:M)</f>
        <v>1.88</v>
      </c>
      <c r="K5654" t="s">
        <v>14</v>
      </c>
      <c r="L5654" t="str">
        <f>_xlfn.XLOOKUP(K5654,[2]analyte_order!$B:$B,[2]analyte_order!$C:$C)</f>
        <v>307-24-4</v>
      </c>
      <c r="M5654">
        <f>_xlfn.XLOOKUP(L5654,[2]analyte_order!$C:$C,[2]analyte_order!$E:$E)</f>
        <v>3</v>
      </c>
      <c r="N5654">
        <v>0.122</v>
      </c>
    </row>
    <row r="5655" spans="1:14">
      <c r="A5655" t="s">
        <v>201</v>
      </c>
      <c r="B5655" t="str">
        <f>_xlfn.XLOOKUP(A5655,'[1]Tissue Data'!$A:$A,'[1]Tissue Data'!$C:$C)</f>
        <v>Spill</v>
      </c>
      <c r="C5655" s="2">
        <f>_xlfn.XLOOKUP(A5655,'[1]Tissue Data'!$A:$A,'[1]Tissue Data'!$D:$D)</f>
        <v>44393</v>
      </c>
      <c r="D5655" s="2" t="str">
        <f>_xlfn.XLOOKUP(A5655,'[1]Tissue Data'!$A:$A,'[1]Tissue Data'!$F:$F)</f>
        <v>Swallowtail Shiner</v>
      </c>
      <c r="E5655" t="str">
        <f>_xlfn.XLOOKUP(A5655,'[1]Tissue Data'!$A:$A,'[1]Tissue Data'!$H:$H)</f>
        <v>Notropis</v>
      </c>
      <c r="F5655" t="str">
        <f>_xlfn.XLOOKUP(A5655,'[1]Tissue Data'!$A:$A,'[1]Tissue Data'!$I:$I)</f>
        <v>procne</v>
      </c>
      <c r="G5655" t="str">
        <f>_xlfn.XLOOKUP(A5655,'[1]Tissue Data'!$A:$A,'[1]Tissue Data'!J:J)</f>
        <v>U</v>
      </c>
      <c r="H5655" t="str">
        <f>_xlfn.XLOOKUP(A5655,'[1]Tissue Data'!$A:$A,'[1]Tissue Data'!K:K)</f>
        <v>Whole Body</v>
      </c>
      <c r="I5655">
        <f>_xlfn.XLOOKUP(A5655,'[1]Tissue Data'!$A:$A,'[1]Tissue Data'!L:L)</f>
        <v>5.5</v>
      </c>
      <c r="J5655">
        <f>_xlfn.XLOOKUP(A5655,'[1]Tissue Data'!$A:$A,'[1]Tissue Data'!M:M)</f>
        <v>1.88</v>
      </c>
      <c r="K5655" t="s">
        <v>15</v>
      </c>
      <c r="L5655" t="str">
        <f>_xlfn.XLOOKUP(K5655,[2]analyte_order!$B:$B,[2]analyte_order!$C:$C)</f>
        <v>375-85-9</v>
      </c>
      <c r="M5655">
        <f>_xlfn.XLOOKUP(L5655,[2]analyte_order!$C:$C,[2]analyte_order!$E:$E)</f>
        <v>4</v>
      </c>
      <c r="N5655">
        <v>9.0499999999999997E-2</v>
      </c>
    </row>
    <row r="5656" spans="1:14">
      <c r="A5656" t="s">
        <v>201</v>
      </c>
      <c r="B5656" t="str">
        <f>_xlfn.XLOOKUP(A5656,'[1]Tissue Data'!$A:$A,'[1]Tissue Data'!$C:$C)</f>
        <v>Spill</v>
      </c>
      <c r="C5656" s="2">
        <f>_xlfn.XLOOKUP(A5656,'[1]Tissue Data'!$A:$A,'[1]Tissue Data'!$D:$D)</f>
        <v>44393</v>
      </c>
      <c r="D5656" s="2" t="str">
        <f>_xlfn.XLOOKUP(A5656,'[1]Tissue Data'!$A:$A,'[1]Tissue Data'!$F:$F)</f>
        <v>Swallowtail Shiner</v>
      </c>
      <c r="E5656" t="str">
        <f>_xlfn.XLOOKUP(A5656,'[1]Tissue Data'!$A:$A,'[1]Tissue Data'!$H:$H)</f>
        <v>Notropis</v>
      </c>
      <c r="F5656" t="str">
        <f>_xlfn.XLOOKUP(A5656,'[1]Tissue Data'!$A:$A,'[1]Tissue Data'!$I:$I)</f>
        <v>procne</v>
      </c>
      <c r="G5656" t="str">
        <f>_xlfn.XLOOKUP(A5656,'[1]Tissue Data'!$A:$A,'[1]Tissue Data'!J:J)</f>
        <v>U</v>
      </c>
      <c r="H5656" t="str">
        <f>_xlfn.XLOOKUP(A5656,'[1]Tissue Data'!$A:$A,'[1]Tissue Data'!K:K)</f>
        <v>Whole Body</v>
      </c>
      <c r="I5656">
        <f>_xlfn.XLOOKUP(A5656,'[1]Tissue Data'!$A:$A,'[1]Tissue Data'!L:L)</f>
        <v>5.5</v>
      </c>
      <c r="J5656">
        <f>_xlfn.XLOOKUP(A5656,'[1]Tissue Data'!$A:$A,'[1]Tissue Data'!M:M)</f>
        <v>1.88</v>
      </c>
      <c r="K5656" t="s">
        <v>16</v>
      </c>
      <c r="L5656" t="str">
        <f>_xlfn.XLOOKUP(K5656,[2]analyte_order!$B:$B,[2]analyte_order!$C:$C)</f>
        <v>335-67-1</v>
      </c>
      <c r="M5656">
        <f>_xlfn.XLOOKUP(L5656,[2]analyte_order!$C:$C,[2]analyte_order!$E:$E)</f>
        <v>5</v>
      </c>
      <c r="N5656">
        <v>3.05</v>
      </c>
    </row>
    <row r="5657" spans="1:14">
      <c r="A5657" t="s">
        <v>201</v>
      </c>
      <c r="B5657" t="str">
        <f>_xlfn.XLOOKUP(A5657,'[1]Tissue Data'!$A:$A,'[1]Tissue Data'!$C:$C)</f>
        <v>Spill</v>
      </c>
      <c r="C5657" s="2">
        <f>_xlfn.XLOOKUP(A5657,'[1]Tissue Data'!$A:$A,'[1]Tissue Data'!$D:$D)</f>
        <v>44393</v>
      </c>
      <c r="D5657" s="2" t="str">
        <f>_xlfn.XLOOKUP(A5657,'[1]Tissue Data'!$A:$A,'[1]Tissue Data'!$F:$F)</f>
        <v>Swallowtail Shiner</v>
      </c>
      <c r="E5657" t="str">
        <f>_xlfn.XLOOKUP(A5657,'[1]Tissue Data'!$A:$A,'[1]Tissue Data'!$H:$H)</f>
        <v>Notropis</v>
      </c>
      <c r="F5657" t="str">
        <f>_xlfn.XLOOKUP(A5657,'[1]Tissue Data'!$A:$A,'[1]Tissue Data'!$I:$I)</f>
        <v>procne</v>
      </c>
      <c r="G5657" t="str">
        <f>_xlfn.XLOOKUP(A5657,'[1]Tissue Data'!$A:$A,'[1]Tissue Data'!J:J)</f>
        <v>U</v>
      </c>
      <c r="H5657" t="str">
        <f>_xlfn.XLOOKUP(A5657,'[1]Tissue Data'!$A:$A,'[1]Tissue Data'!K:K)</f>
        <v>Whole Body</v>
      </c>
      <c r="I5657">
        <f>_xlfn.XLOOKUP(A5657,'[1]Tissue Data'!$A:$A,'[1]Tissue Data'!L:L)</f>
        <v>5.5</v>
      </c>
      <c r="J5657">
        <f>_xlfn.XLOOKUP(A5657,'[1]Tissue Data'!$A:$A,'[1]Tissue Data'!M:M)</f>
        <v>1.88</v>
      </c>
      <c r="K5657" t="s">
        <v>17</v>
      </c>
      <c r="L5657" t="str">
        <f>_xlfn.XLOOKUP(K5657,[2]analyte_order!$B:$B,[2]analyte_order!$C:$C)</f>
        <v>375-95-1</v>
      </c>
      <c r="M5657">
        <f>_xlfn.XLOOKUP(L5657,[2]analyte_order!$C:$C,[2]analyte_order!$E:$E)</f>
        <v>6</v>
      </c>
      <c r="N5657">
        <v>2.5099999999999998</v>
      </c>
    </row>
    <row r="5658" spans="1:14">
      <c r="A5658" t="s">
        <v>201</v>
      </c>
      <c r="B5658" t="str">
        <f>_xlfn.XLOOKUP(A5658,'[1]Tissue Data'!$A:$A,'[1]Tissue Data'!$C:$C)</f>
        <v>Spill</v>
      </c>
      <c r="C5658" s="2">
        <f>_xlfn.XLOOKUP(A5658,'[1]Tissue Data'!$A:$A,'[1]Tissue Data'!$D:$D)</f>
        <v>44393</v>
      </c>
      <c r="D5658" s="2" t="str">
        <f>_xlfn.XLOOKUP(A5658,'[1]Tissue Data'!$A:$A,'[1]Tissue Data'!$F:$F)</f>
        <v>Swallowtail Shiner</v>
      </c>
      <c r="E5658" t="str">
        <f>_xlfn.XLOOKUP(A5658,'[1]Tissue Data'!$A:$A,'[1]Tissue Data'!$H:$H)</f>
        <v>Notropis</v>
      </c>
      <c r="F5658" t="str">
        <f>_xlfn.XLOOKUP(A5658,'[1]Tissue Data'!$A:$A,'[1]Tissue Data'!$I:$I)</f>
        <v>procne</v>
      </c>
      <c r="G5658" t="str">
        <f>_xlfn.XLOOKUP(A5658,'[1]Tissue Data'!$A:$A,'[1]Tissue Data'!J:J)</f>
        <v>U</v>
      </c>
      <c r="H5658" t="str">
        <f>_xlfn.XLOOKUP(A5658,'[1]Tissue Data'!$A:$A,'[1]Tissue Data'!K:K)</f>
        <v>Whole Body</v>
      </c>
      <c r="I5658">
        <f>_xlfn.XLOOKUP(A5658,'[1]Tissue Data'!$A:$A,'[1]Tissue Data'!L:L)</f>
        <v>5.5</v>
      </c>
      <c r="J5658">
        <f>_xlfn.XLOOKUP(A5658,'[1]Tissue Data'!$A:$A,'[1]Tissue Data'!M:M)</f>
        <v>1.88</v>
      </c>
      <c r="K5658" t="s">
        <v>18</v>
      </c>
      <c r="L5658" t="str">
        <f>_xlfn.XLOOKUP(K5658,[2]analyte_order!$B:$B,[2]analyte_order!$C:$C)</f>
        <v>335-76-2</v>
      </c>
      <c r="M5658">
        <f>_xlfn.XLOOKUP(L5658,[2]analyte_order!$C:$C,[2]analyte_order!$E:$E)</f>
        <v>7</v>
      </c>
      <c r="N5658">
        <v>6.05</v>
      </c>
    </row>
    <row r="5659" spans="1:14">
      <c r="A5659" t="s">
        <v>201</v>
      </c>
      <c r="B5659" t="str">
        <f>_xlfn.XLOOKUP(A5659,'[1]Tissue Data'!$A:$A,'[1]Tissue Data'!$C:$C)</f>
        <v>Spill</v>
      </c>
      <c r="C5659" s="2">
        <f>_xlfn.XLOOKUP(A5659,'[1]Tissue Data'!$A:$A,'[1]Tissue Data'!$D:$D)</f>
        <v>44393</v>
      </c>
      <c r="D5659" s="2" t="str">
        <f>_xlfn.XLOOKUP(A5659,'[1]Tissue Data'!$A:$A,'[1]Tissue Data'!$F:$F)</f>
        <v>Swallowtail Shiner</v>
      </c>
      <c r="E5659" t="str">
        <f>_xlfn.XLOOKUP(A5659,'[1]Tissue Data'!$A:$A,'[1]Tissue Data'!$H:$H)</f>
        <v>Notropis</v>
      </c>
      <c r="F5659" t="str">
        <f>_xlfn.XLOOKUP(A5659,'[1]Tissue Data'!$A:$A,'[1]Tissue Data'!$I:$I)</f>
        <v>procne</v>
      </c>
      <c r="G5659" t="str">
        <f>_xlfn.XLOOKUP(A5659,'[1]Tissue Data'!$A:$A,'[1]Tissue Data'!J:J)</f>
        <v>U</v>
      </c>
      <c r="H5659" t="str">
        <f>_xlfn.XLOOKUP(A5659,'[1]Tissue Data'!$A:$A,'[1]Tissue Data'!K:K)</f>
        <v>Whole Body</v>
      </c>
      <c r="I5659">
        <f>_xlfn.XLOOKUP(A5659,'[1]Tissue Data'!$A:$A,'[1]Tissue Data'!L:L)</f>
        <v>5.5</v>
      </c>
      <c r="J5659">
        <f>_xlfn.XLOOKUP(A5659,'[1]Tissue Data'!$A:$A,'[1]Tissue Data'!M:M)</f>
        <v>1.88</v>
      </c>
      <c r="K5659" t="s">
        <v>19</v>
      </c>
      <c r="L5659" t="str">
        <f>_xlfn.XLOOKUP(K5659,[2]analyte_order!$B:$B,[2]analyte_order!$C:$C)</f>
        <v>2058-94-8</v>
      </c>
      <c r="M5659">
        <f>_xlfn.XLOOKUP(L5659,[2]analyte_order!$C:$C,[2]analyte_order!$E:$E)</f>
        <v>8</v>
      </c>
      <c r="N5659">
        <v>6.28</v>
      </c>
    </row>
    <row r="5660" spans="1:14">
      <c r="A5660" t="s">
        <v>201</v>
      </c>
      <c r="B5660" t="str">
        <f>_xlfn.XLOOKUP(A5660,'[1]Tissue Data'!$A:$A,'[1]Tissue Data'!$C:$C)</f>
        <v>Spill</v>
      </c>
      <c r="C5660" s="2">
        <f>_xlfn.XLOOKUP(A5660,'[1]Tissue Data'!$A:$A,'[1]Tissue Data'!$D:$D)</f>
        <v>44393</v>
      </c>
      <c r="D5660" s="2" t="str">
        <f>_xlfn.XLOOKUP(A5660,'[1]Tissue Data'!$A:$A,'[1]Tissue Data'!$F:$F)</f>
        <v>Swallowtail Shiner</v>
      </c>
      <c r="E5660" t="str">
        <f>_xlfn.XLOOKUP(A5660,'[1]Tissue Data'!$A:$A,'[1]Tissue Data'!$H:$H)</f>
        <v>Notropis</v>
      </c>
      <c r="F5660" t="str">
        <f>_xlfn.XLOOKUP(A5660,'[1]Tissue Data'!$A:$A,'[1]Tissue Data'!$I:$I)</f>
        <v>procne</v>
      </c>
      <c r="G5660" t="str">
        <f>_xlfn.XLOOKUP(A5660,'[1]Tissue Data'!$A:$A,'[1]Tissue Data'!J:J)</f>
        <v>U</v>
      </c>
      <c r="H5660" t="str">
        <f>_xlfn.XLOOKUP(A5660,'[1]Tissue Data'!$A:$A,'[1]Tissue Data'!K:K)</f>
        <v>Whole Body</v>
      </c>
      <c r="I5660">
        <f>_xlfn.XLOOKUP(A5660,'[1]Tissue Data'!$A:$A,'[1]Tissue Data'!L:L)</f>
        <v>5.5</v>
      </c>
      <c r="J5660">
        <f>_xlfn.XLOOKUP(A5660,'[1]Tissue Data'!$A:$A,'[1]Tissue Data'!M:M)</f>
        <v>1.88</v>
      </c>
      <c r="K5660" t="s">
        <v>20</v>
      </c>
      <c r="L5660" t="str">
        <f>_xlfn.XLOOKUP(K5660,[2]analyte_order!$B:$B,[2]analyte_order!$C:$C)</f>
        <v>307-55-1</v>
      </c>
      <c r="M5660">
        <f>_xlfn.XLOOKUP(L5660,[2]analyte_order!$C:$C,[2]analyte_order!$E:$E)</f>
        <v>9</v>
      </c>
      <c r="N5660">
        <v>13.1</v>
      </c>
    </row>
    <row r="5661" spans="1:14">
      <c r="A5661" t="s">
        <v>201</v>
      </c>
      <c r="B5661" t="str">
        <f>_xlfn.XLOOKUP(A5661,'[1]Tissue Data'!$A:$A,'[1]Tissue Data'!$C:$C)</f>
        <v>Spill</v>
      </c>
      <c r="C5661" s="2">
        <f>_xlfn.XLOOKUP(A5661,'[1]Tissue Data'!$A:$A,'[1]Tissue Data'!$D:$D)</f>
        <v>44393</v>
      </c>
      <c r="D5661" s="2" t="str">
        <f>_xlfn.XLOOKUP(A5661,'[1]Tissue Data'!$A:$A,'[1]Tissue Data'!$F:$F)</f>
        <v>Swallowtail Shiner</v>
      </c>
      <c r="E5661" t="str">
        <f>_xlfn.XLOOKUP(A5661,'[1]Tissue Data'!$A:$A,'[1]Tissue Data'!$H:$H)</f>
        <v>Notropis</v>
      </c>
      <c r="F5661" t="str">
        <f>_xlfn.XLOOKUP(A5661,'[1]Tissue Data'!$A:$A,'[1]Tissue Data'!$I:$I)</f>
        <v>procne</v>
      </c>
      <c r="G5661" t="str">
        <f>_xlfn.XLOOKUP(A5661,'[1]Tissue Data'!$A:$A,'[1]Tissue Data'!J:J)</f>
        <v>U</v>
      </c>
      <c r="H5661" t="str">
        <f>_xlfn.XLOOKUP(A5661,'[1]Tissue Data'!$A:$A,'[1]Tissue Data'!K:K)</f>
        <v>Whole Body</v>
      </c>
      <c r="I5661">
        <f>_xlfn.XLOOKUP(A5661,'[1]Tissue Data'!$A:$A,'[1]Tissue Data'!L:L)</f>
        <v>5.5</v>
      </c>
      <c r="J5661">
        <f>_xlfn.XLOOKUP(A5661,'[1]Tissue Data'!$A:$A,'[1]Tissue Data'!M:M)</f>
        <v>1.88</v>
      </c>
      <c r="K5661" t="s">
        <v>21</v>
      </c>
      <c r="L5661" t="str">
        <f>_xlfn.XLOOKUP(K5661,[2]analyte_order!$B:$B,[2]analyte_order!$C:$C)</f>
        <v>72629-94-8</v>
      </c>
      <c r="M5661">
        <f>_xlfn.XLOOKUP(L5661,[2]analyte_order!$C:$C,[2]analyte_order!$E:$E)</f>
        <v>10</v>
      </c>
      <c r="N5661">
        <v>3.89</v>
      </c>
    </row>
    <row r="5662" spans="1:14">
      <c r="A5662" t="s">
        <v>201</v>
      </c>
      <c r="B5662" t="str">
        <f>_xlfn.XLOOKUP(A5662,'[1]Tissue Data'!$A:$A,'[1]Tissue Data'!$C:$C)</f>
        <v>Spill</v>
      </c>
      <c r="C5662" s="2">
        <f>_xlfn.XLOOKUP(A5662,'[1]Tissue Data'!$A:$A,'[1]Tissue Data'!$D:$D)</f>
        <v>44393</v>
      </c>
      <c r="D5662" s="2" t="str">
        <f>_xlfn.XLOOKUP(A5662,'[1]Tissue Data'!$A:$A,'[1]Tissue Data'!$F:$F)</f>
        <v>Swallowtail Shiner</v>
      </c>
      <c r="E5662" t="str">
        <f>_xlfn.XLOOKUP(A5662,'[1]Tissue Data'!$A:$A,'[1]Tissue Data'!$H:$H)</f>
        <v>Notropis</v>
      </c>
      <c r="F5662" t="str">
        <f>_xlfn.XLOOKUP(A5662,'[1]Tissue Data'!$A:$A,'[1]Tissue Data'!$I:$I)</f>
        <v>procne</v>
      </c>
      <c r="G5662" t="str">
        <f>_xlfn.XLOOKUP(A5662,'[1]Tissue Data'!$A:$A,'[1]Tissue Data'!J:J)</f>
        <v>U</v>
      </c>
      <c r="H5662" t="str">
        <f>_xlfn.XLOOKUP(A5662,'[1]Tissue Data'!$A:$A,'[1]Tissue Data'!K:K)</f>
        <v>Whole Body</v>
      </c>
      <c r="I5662">
        <f>_xlfn.XLOOKUP(A5662,'[1]Tissue Data'!$A:$A,'[1]Tissue Data'!L:L)</f>
        <v>5.5</v>
      </c>
      <c r="J5662">
        <f>_xlfn.XLOOKUP(A5662,'[1]Tissue Data'!$A:$A,'[1]Tissue Data'!M:M)</f>
        <v>1.88</v>
      </c>
      <c r="K5662" t="s">
        <v>22</v>
      </c>
      <c r="L5662" t="str">
        <f>_xlfn.XLOOKUP(K5662,[2]analyte_order!$B:$B,[2]analyte_order!$C:$C)</f>
        <v>376-06-7</v>
      </c>
      <c r="M5662">
        <f>_xlfn.XLOOKUP(L5662,[2]analyte_order!$C:$C,[2]analyte_order!$E:$E)</f>
        <v>11</v>
      </c>
      <c r="N5662">
        <v>16</v>
      </c>
    </row>
    <row r="5663" spans="1:14">
      <c r="A5663" t="s">
        <v>201</v>
      </c>
      <c r="B5663" t="str">
        <f>_xlfn.XLOOKUP(A5663,'[1]Tissue Data'!$A:$A,'[1]Tissue Data'!$C:$C)</f>
        <v>Spill</v>
      </c>
      <c r="C5663" s="2">
        <f>_xlfn.XLOOKUP(A5663,'[1]Tissue Data'!$A:$A,'[1]Tissue Data'!$D:$D)</f>
        <v>44393</v>
      </c>
      <c r="D5663" s="2" t="str">
        <f>_xlfn.XLOOKUP(A5663,'[1]Tissue Data'!$A:$A,'[1]Tissue Data'!$F:$F)</f>
        <v>Swallowtail Shiner</v>
      </c>
      <c r="E5663" t="str">
        <f>_xlfn.XLOOKUP(A5663,'[1]Tissue Data'!$A:$A,'[1]Tissue Data'!$H:$H)</f>
        <v>Notropis</v>
      </c>
      <c r="F5663" t="str">
        <f>_xlfn.XLOOKUP(A5663,'[1]Tissue Data'!$A:$A,'[1]Tissue Data'!$I:$I)</f>
        <v>procne</v>
      </c>
      <c r="G5663" t="str">
        <f>_xlfn.XLOOKUP(A5663,'[1]Tissue Data'!$A:$A,'[1]Tissue Data'!J:J)</f>
        <v>U</v>
      </c>
      <c r="H5663" t="str">
        <f>_xlfn.XLOOKUP(A5663,'[1]Tissue Data'!$A:$A,'[1]Tissue Data'!K:K)</f>
        <v>Whole Body</v>
      </c>
      <c r="I5663">
        <f>_xlfn.XLOOKUP(A5663,'[1]Tissue Data'!$A:$A,'[1]Tissue Data'!L:L)</f>
        <v>5.5</v>
      </c>
      <c r="J5663">
        <f>_xlfn.XLOOKUP(A5663,'[1]Tissue Data'!$A:$A,'[1]Tissue Data'!M:M)</f>
        <v>1.88</v>
      </c>
      <c r="K5663" t="s">
        <v>23</v>
      </c>
      <c r="L5663" t="str">
        <f>_xlfn.XLOOKUP(K5663,[2]analyte_order!$B:$B,[2]analyte_order!$C:$C)</f>
        <v>67905-19-5</v>
      </c>
      <c r="M5663">
        <f>_xlfn.XLOOKUP(L5663,[2]analyte_order!$C:$C,[2]analyte_order!$E:$E)</f>
        <v>12</v>
      </c>
      <c r="N5663">
        <v>8.1500000000000003E-2</v>
      </c>
    </row>
    <row r="5664" spans="1:14">
      <c r="A5664" t="s">
        <v>201</v>
      </c>
      <c r="B5664" t="str">
        <f>_xlfn.XLOOKUP(A5664,'[1]Tissue Data'!$A:$A,'[1]Tissue Data'!$C:$C)</f>
        <v>Spill</v>
      </c>
      <c r="C5664" s="2">
        <f>_xlfn.XLOOKUP(A5664,'[1]Tissue Data'!$A:$A,'[1]Tissue Data'!$D:$D)</f>
        <v>44393</v>
      </c>
      <c r="D5664" s="2" t="str">
        <f>_xlfn.XLOOKUP(A5664,'[1]Tissue Data'!$A:$A,'[1]Tissue Data'!$F:$F)</f>
        <v>Swallowtail Shiner</v>
      </c>
      <c r="E5664" t="str">
        <f>_xlfn.XLOOKUP(A5664,'[1]Tissue Data'!$A:$A,'[1]Tissue Data'!$H:$H)</f>
        <v>Notropis</v>
      </c>
      <c r="F5664" t="str">
        <f>_xlfn.XLOOKUP(A5664,'[1]Tissue Data'!$A:$A,'[1]Tissue Data'!$I:$I)</f>
        <v>procne</v>
      </c>
      <c r="G5664" t="str">
        <f>_xlfn.XLOOKUP(A5664,'[1]Tissue Data'!$A:$A,'[1]Tissue Data'!J:J)</f>
        <v>U</v>
      </c>
      <c r="H5664" t="str">
        <f>_xlfn.XLOOKUP(A5664,'[1]Tissue Data'!$A:$A,'[1]Tissue Data'!K:K)</f>
        <v>Whole Body</v>
      </c>
      <c r="I5664">
        <f>_xlfn.XLOOKUP(A5664,'[1]Tissue Data'!$A:$A,'[1]Tissue Data'!L:L)</f>
        <v>5.5</v>
      </c>
      <c r="J5664">
        <f>_xlfn.XLOOKUP(A5664,'[1]Tissue Data'!$A:$A,'[1]Tissue Data'!M:M)</f>
        <v>1.88</v>
      </c>
      <c r="K5664" t="s">
        <v>24</v>
      </c>
      <c r="L5664" t="str">
        <f>_xlfn.XLOOKUP(K5664,[2]analyte_order!$B:$B,[2]analyte_order!$C:$C)</f>
        <v>423-41-6</v>
      </c>
      <c r="M5664">
        <f>_xlfn.XLOOKUP(L5664,[2]analyte_order!$C:$C,[2]analyte_order!$E:$E)</f>
        <v>53</v>
      </c>
      <c r="N5664">
        <v>6.8500000000000005E-2</v>
      </c>
    </row>
    <row r="5665" spans="1:14">
      <c r="A5665" t="s">
        <v>201</v>
      </c>
      <c r="B5665" t="str">
        <f>_xlfn.XLOOKUP(A5665,'[1]Tissue Data'!$A:$A,'[1]Tissue Data'!$C:$C)</f>
        <v>Spill</v>
      </c>
      <c r="C5665" s="2">
        <f>_xlfn.XLOOKUP(A5665,'[1]Tissue Data'!$A:$A,'[1]Tissue Data'!$D:$D)</f>
        <v>44393</v>
      </c>
      <c r="D5665" s="2" t="str">
        <f>_xlfn.XLOOKUP(A5665,'[1]Tissue Data'!$A:$A,'[1]Tissue Data'!$F:$F)</f>
        <v>Swallowtail Shiner</v>
      </c>
      <c r="E5665" t="str">
        <f>_xlfn.XLOOKUP(A5665,'[1]Tissue Data'!$A:$A,'[1]Tissue Data'!$H:$H)</f>
        <v>Notropis</v>
      </c>
      <c r="F5665" t="str">
        <f>_xlfn.XLOOKUP(A5665,'[1]Tissue Data'!$A:$A,'[1]Tissue Data'!$I:$I)</f>
        <v>procne</v>
      </c>
      <c r="G5665" t="str">
        <f>_xlfn.XLOOKUP(A5665,'[1]Tissue Data'!$A:$A,'[1]Tissue Data'!J:J)</f>
        <v>U</v>
      </c>
      <c r="H5665" t="str">
        <f>_xlfn.XLOOKUP(A5665,'[1]Tissue Data'!$A:$A,'[1]Tissue Data'!K:K)</f>
        <v>Whole Body</v>
      </c>
      <c r="I5665">
        <f>_xlfn.XLOOKUP(A5665,'[1]Tissue Data'!$A:$A,'[1]Tissue Data'!L:L)</f>
        <v>5.5</v>
      </c>
      <c r="J5665">
        <f>_xlfn.XLOOKUP(A5665,'[1]Tissue Data'!$A:$A,'[1]Tissue Data'!M:M)</f>
        <v>1.88</v>
      </c>
      <c r="K5665" t="s">
        <v>25</v>
      </c>
      <c r="L5665" t="str">
        <f>_xlfn.XLOOKUP(K5665,[2]analyte_order!$B:$B,[2]analyte_order!$C:$C)</f>
        <v>375-73-5</v>
      </c>
      <c r="M5665">
        <f>_xlfn.XLOOKUP(L5665,[2]analyte_order!$C:$C,[2]analyte_order!$E:$E)</f>
        <v>14</v>
      </c>
      <c r="N5665">
        <v>0.1535</v>
      </c>
    </row>
    <row r="5666" spans="1:14">
      <c r="A5666" t="s">
        <v>201</v>
      </c>
      <c r="B5666" t="str">
        <f>_xlfn.XLOOKUP(A5666,'[1]Tissue Data'!$A:$A,'[1]Tissue Data'!$C:$C)</f>
        <v>Spill</v>
      </c>
      <c r="C5666" s="2">
        <f>_xlfn.XLOOKUP(A5666,'[1]Tissue Data'!$A:$A,'[1]Tissue Data'!$D:$D)</f>
        <v>44393</v>
      </c>
      <c r="D5666" s="2" t="str">
        <f>_xlfn.XLOOKUP(A5666,'[1]Tissue Data'!$A:$A,'[1]Tissue Data'!$F:$F)</f>
        <v>Swallowtail Shiner</v>
      </c>
      <c r="E5666" t="str">
        <f>_xlfn.XLOOKUP(A5666,'[1]Tissue Data'!$A:$A,'[1]Tissue Data'!$H:$H)</f>
        <v>Notropis</v>
      </c>
      <c r="F5666" t="str">
        <f>_xlfn.XLOOKUP(A5666,'[1]Tissue Data'!$A:$A,'[1]Tissue Data'!$I:$I)</f>
        <v>procne</v>
      </c>
      <c r="G5666" t="str">
        <f>_xlfn.XLOOKUP(A5666,'[1]Tissue Data'!$A:$A,'[1]Tissue Data'!J:J)</f>
        <v>U</v>
      </c>
      <c r="H5666" t="str">
        <f>_xlfn.XLOOKUP(A5666,'[1]Tissue Data'!$A:$A,'[1]Tissue Data'!K:K)</f>
        <v>Whole Body</v>
      </c>
      <c r="I5666">
        <f>_xlfn.XLOOKUP(A5666,'[1]Tissue Data'!$A:$A,'[1]Tissue Data'!L:L)</f>
        <v>5.5</v>
      </c>
      <c r="J5666">
        <f>_xlfn.XLOOKUP(A5666,'[1]Tissue Data'!$A:$A,'[1]Tissue Data'!M:M)</f>
        <v>1.88</v>
      </c>
      <c r="K5666" t="s">
        <v>26</v>
      </c>
      <c r="L5666" t="str">
        <f>_xlfn.XLOOKUP(K5666,[2]analyte_order!$B:$B,[2]analyte_order!$C:$C)</f>
        <v>2706-91-4</v>
      </c>
      <c r="M5666">
        <f>_xlfn.XLOOKUP(L5666,[2]analyte_order!$C:$C,[2]analyte_order!$E:$E)</f>
        <v>15</v>
      </c>
      <c r="N5666">
        <v>0.22600000000000001</v>
      </c>
    </row>
    <row r="5667" spans="1:14">
      <c r="A5667" t="s">
        <v>201</v>
      </c>
      <c r="B5667" t="str">
        <f>_xlfn.XLOOKUP(A5667,'[1]Tissue Data'!$A:$A,'[1]Tissue Data'!$C:$C)</f>
        <v>Spill</v>
      </c>
      <c r="C5667" s="2">
        <f>_xlfn.XLOOKUP(A5667,'[1]Tissue Data'!$A:$A,'[1]Tissue Data'!$D:$D)</f>
        <v>44393</v>
      </c>
      <c r="D5667" s="2" t="str">
        <f>_xlfn.XLOOKUP(A5667,'[1]Tissue Data'!$A:$A,'[1]Tissue Data'!$F:$F)</f>
        <v>Swallowtail Shiner</v>
      </c>
      <c r="E5667" t="str">
        <f>_xlfn.XLOOKUP(A5667,'[1]Tissue Data'!$A:$A,'[1]Tissue Data'!$H:$H)</f>
        <v>Notropis</v>
      </c>
      <c r="F5667" t="str">
        <f>_xlfn.XLOOKUP(A5667,'[1]Tissue Data'!$A:$A,'[1]Tissue Data'!$I:$I)</f>
        <v>procne</v>
      </c>
      <c r="G5667" t="str">
        <f>_xlfn.XLOOKUP(A5667,'[1]Tissue Data'!$A:$A,'[1]Tissue Data'!J:J)</f>
        <v>U</v>
      </c>
      <c r="H5667" t="str">
        <f>_xlfn.XLOOKUP(A5667,'[1]Tissue Data'!$A:$A,'[1]Tissue Data'!K:K)</f>
        <v>Whole Body</v>
      </c>
      <c r="I5667">
        <f>_xlfn.XLOOKUP(A5667,'[1]Tissue Data'!$A:$A,'[1]Tissue Data'!L:L)</f>
        <v>5.5</v>
      </c>
      <c r="J5667">
        <f>_xlfn.XLOOKUP(A5667,'[1]Tissue Data'!$A:$A,'[1]Tissue Data'!M:M)</f>
        <v>1.88</v>
      </c>
      <c r="K5667" t="s">
        <v>27</v>
      </c>
      <c r="L5667" t="str">
        <f>_xlfn.XLOOKUP(K5667,[2]analyte_order!$B:$B,[2]analyte_order!$C:$C)</f>
        <v>355-46-4</v>
      </c>
      <c r="M5667">
        <f>_xlfn.XLOOKUP(L5667,[2]analyte_order!$C:$C,[2]analyte_order!$E:$E)</f>
        <v>16</v>
      </c>
      <c r="N5667">
        <v>57.9</v>
      </c>
    </row>
    <row r="5668" spans="1:14">
      <c r="A5668" t="s">
        <v>201</v>
      </c>
      <c r="B5668" t="str">
        <f>_xlfn.XLOOKUP(A5668,'[1]Tissue Data'!$A:$A,'[1]Tissue Data'!$C:$C)</f>
        <v>Spill</v>
      </c>
      <c r="C5668" s="2">
        <f>_xlfn.XLOOKUP(A5668,'[1]Tissue Data'!$A:$A,'[1]Tissue Data'!$D:$D)</f>
        <v>44393</v>
      </c>
      <c r="D5668" s="2" t="str">
        <f>_xlfn.XLOOKUP(A5668,'[1]Tissue Data'!$A:$A,'[1]Tissue Data'!$F:$F)</f>
        <v>Swallowtail Shiner</v>
      </c>
      <c r="E5668" t="str">
        <f>_xlfn.XLOOKUP(A5668,'[1]Tissue Data'!$A:$A,'[1]Tissue Data'!$H:$H)</f>
        <v>Notropis</v>
      </c>
      <c r="F5668" t="str">
        <f>_xlfn.XLOOKUP(A5668,'[1]Tissue Data'!$A:$A,'[1]Tissue Data'!$I:$I)</f>
        <v>procne</v>
      </c>
      <c r="G5668" t="str">
        <f>_xlfn.XLOOKUP(A5668,'[1]Tissue Data'!$A:$A,'[1]Tissue Data'!J:J)</f>
        <v>U</v>
      </c>
      <c r="H5668" t="str">
        <f>_xlfn.XLOOKUP(A5668,'[1]Tissue Data'!$A:$A,'[1]Tissue Data'!K:K)</f>
        <v>Whole Body</v>
      </c>
      <c r="I5668">
        <f>_xlfn.XLOOKUP(A5668,'[1]Tissue Data'!$A:$A,'[1]Tissue Data'!L:L)</f>
        <v>5.5</v>
      </c>
      <c r="J5668">
        <f>_xlfn.XLOOKUP(A5668,'[1]Tissue Data'!$A:$A,'[1]Tissue Data'!M:M)</f>
        <v>1.88</v>
      </c>
      <c r="K5668" t="s">
        <v>28</v>
      </c>
      <c r="L5668" t="str">
        <f>_xlfn.XLOOKUP(K5668,[2]analyte_order!$B:$B,[2]analyte_order!$C:$C)</f>
        <v>375-92-8</v>
      </c>
      <c r="M5668">
        <f>_xlfn.XLOOKUP(L5668,[2]analyte_order!$C:$C,[2]analyte_order!$E:$E)</f>
        <v>17</v>
      </c>
      <c r="N5668">
        <v>2.25</v>
      </c>
    </row>
    <row r="5669" spans="1:14">
      <c r="A5669" t="s">
        <v>201</v>
      </c>
      <c r="B5669" t="str">
        <f>_xlfn.XLOOKUP(A5669,'[1]Tissue Data'!$A:$A,'[1]Tissue Data'!$C:$C)</f>
        <v>Spill</v>
      </c>
      <c r="C5669" s="2">
        <f>_xlfn.XLOOKUP(A5669,'[1]Tissue Data'!$A:$A,'[1]Tissue Data'!$D:$D)</f>
        <v>44393</v>
      </c>
      <c r="D5669" s="2" t="str">
        <f>_xlfn.XLOOKUP(A5669,'[1]Tissue Data'!$A:$A,'[1]Tissue Data'!$F:$F)</f>
        <v>Swallowtail Shiner</v>
      </c>
      <c r="E5669" t="str">
        <f>_xlfn.XLOOKUP(A5669,'[1]Tissue Data'!$A:$A,'[1]Tissue Data'!$H:$H)</f>
        <v>Notropis</v>
      </c>
      <c r="F5669" t="str">
        <f>_xlfn.XLOOKUP(A5669,'[1]Tissue Data'!$A:$A,'[1]Tissue Data'!$I:$I)</f>
        <v>procne</v>
      </c>
      <c r="G5669" t="str">
        <f>_xlfn.XLOOKUP(A5669,'[1]Tissue Data'!$A:$A,'[1]Tissue Data'!J:J)</f>
        <v>U</v>
      </c>
      <c r="H5669" t="str">
        <f>_xlfn.XLOOKUP(A5669,'[1]Tissue Data'!$A:$A,'[1]Tissue Data'!K:K)</f>
        <v>Whole Body</v>
      </c>
      <c r="I5669">
        <f>_xlfn.XLOOKUP(A5669,'[1]Tissue Data'!$A:$A,'[1]Tissue Data'!L:L)</f>
        <v>5.5</v>
      </c>
      <c r="J5669">
        <f>_xlfn.XLOOKUP(A5669,'[1]Tissue Data'!$A:$A,'[1]Tissue Data'!M:M)</f>
        <v>1.88</v>
      </c>
      <c r="K5669" t="s">
        <v>29</v>
      </c>
      <c r="L5669" t="str">
        <f>_xlfn.XLOOKUP(K5669,[2]analyte_order!$B:$B,[2]analyte_order!$C:$C)</f>
        <v>1763-23-1</v>
      </c>
      <c r="M5669">
        <f>_xlfn.XLOOKUP(L5669,[2]analyte_order!$C:$C,[2]analyte_order!$E:$E)</f>
        <v>18</v>
      </c>
      <c r="N5669">
        <v>630</v>
      </c>
    </row>
    <row r="5670" spans="1:14">
      <c r="A5670" t="s">
        <v>201</v>
      </c>
      <c r="B5670" t="str">
        <f>_xlfn.XLOOKUP(A5670,'[1]Tissue Data'!$A:$A,'[1]Tissue Data'!$C:$C)</f>
        <v>Spill</v>
      </c>
      <c r="C5670" s="2">
        <f>_xlfn.XLOOKUP(A5670,'[1]Tissue Data'!$A:$A,'[1]Tissue Data'!$D:$D)</f>
        <v>44393</v>
      </c>
      <c r="D5670" s="2" t="str">
        <f>_xlfn.XLOOKUP(A5670,'[1]Tissue Data'!$A:$A,'[1]Tissue Data'!$F:$F)</f>
        <v>Swallowtail Shiner</v>
      </c>
      <c r="E5670" t="str">
        <f>_xlfn.XLOOKUP(A5670,'[1]Tissue Data'!$A:$A,'[1]Tissue Data'!$H:$H)</f>
        <v>Notropis</v>
      </c>
      <c r="F5670" t="str">
        <f>_xlfn.XLOOKUP(A5670,'[1]Tissue Data'!$A:$A,'[1]Tissue Data'!$I:$I)</f>
        <v>procne</v>
      </c>
      <c r="G5670" t="str">
        <f>_xlfn.XLOOKUP(A5670,'[1]Tissue Data'!$A:$A,'[1]Tissue Data'!J:J)</f>
        <v>U</v>
      </c>
      <c r="H5670" t="str">
        <f>_xlfn.XLOOKUP(A5670,'[1]Tissue Data'!$A:$A,'[1]Tissue Data'!K:K)</f>
        <v>Whole Body</v>
      </c>
      <c r="I5670">
        <f>_xlfn.XLOOKUP(A5670,'[1]Tissue Data'!$A:$A,'[1]Tissue Data'!L:L)</f>
        <v>5.5</v>
      </c>
      <c r="J5670">
        <f>_xlfn.XLOOKUP(A5670,'[1]Tissue Data'!$A:$A,'[1]Tissue Data'!M:M)</f>
        <v>1.88</v>
      </c>
      <c r="K5670" t="s">
        <v>30</v>
      </c>
      <c r="L5670" t="str">
        <f>_xlfn.XLOOKUP(K5670,[2]analyte_order!$B:$B,[2]analyte_order!$C:$C)</f>
        <v>68259-12-1</v>
      </c>
      <c r="M5670">
        <f>_xlfn.XLOOKUP(L5670,[2]analyte_order!$C:$C,[2]analyte_order!$E:$E)</f>
        <v>19</v>
      </c>
      <c r="N5670">
        <v>0.39800000000000002</v>
      </c>
    </row>
    <row r="5671" spans="1:14">
      <c r="A5671" t="s">
        <v>201</v>
      </c>
      <c r="B5671" t="str">
        <f>_xlfn.XLOOKUP(A5671,'[1]Tissue Data'!$A:$A,'[1]Tissue Data'!$C:$C)</f>
        <v>Spill</v>
      </c>
      <c r="C5671" s="2">
        <f>_xlfn.XLOOKUP(A5671,'[1]Tissue Data'!$A:$A,'[1]Tissue Data'!$D:$D)</f>
        <v>44393</v>
      </c>
      <c r="D5671" s="2" t="str">
        <f>_xlfn.XLOOKUP(A5671,'[1]Tissue Data'!$A:$A,'[1]Tissue Data'!$F:$F)</f>
        <v>Swallowtail Shiner</v>
      </c>
      <c r="E5671" t="str">
        <f>_xlfn.XLOOKUP(A5671,'[1]Tissue Data'!$A:$A,'[1]Tissue Data'!$H:$H)</f>
        <v>Notropis</v>
      </c>
      <c r="F5671" t="str">
        <f>_xlfn.XLOOKUP(A5671,'[1]Tissue Data'!$A:$A,'[1]Tissue Data'!$I:$I)</f>
        <v>procne</v>
      </c>
      <c r="G5671" t="str">
        <f>_xlfn.XLOOKUP(A5671,'[1]Tissue Data'!$A:$A,'[1]Tissue Data'!J:J)</f>
        <v>U</v>
      </c>
      <c r="H5671" t="str">
        <f>_xlfn.XLOOKUP(A5671,'[1]Tissue Data'!$A:$A,'[1]Tissue Data'!K:K)</f>
        <v>Whole Body</v>
      </c>
      <c r="I5671">
        <f>_xlfn.XLOOKUP(A5671,'[1]Tissue Data'!$A:$A,'[1]Tissue Data'!L:L)</f>
        <v>5.5</v>
      </c>
      <c r="J5671">
        <f>_xlfn.XLOOKUP(A5671,'[1]Tissue Data'!$A:$A,'[1]Tissue Data'!M:M)</f>
        <v>1.88</v>
      </c>
      <c r="K5671" t="s">
        <v>31</v>
      </c>
      <c r="L5671" t="str">
        <f>_xlfn.XLOOKUP(K5671,[2]analyte_order!$B:$B,[2]analyte_order!$C:$C)</f>
        <v>335-77-3</v>
      </c>
      <c r="M5671">
        <f>_xlfn.XLOOKUP(L5671,[2]analyte_order!$C:$C,[2]analyte_order!$E:$E)</f>
        <v>20</v>
      </c>
      <c r="N5671">
        <v>0.65100000000000002</v>
      </c>
    </row>
    <row r="5672" spans="1:14">
      <c r="A5672" t="s">
        <v>201</v>
      </c>
      <c r="B5672" t="str">
        <f>_xlfn.XLOOKUP(A5672,'[1]Tissue Data'!$A:$A,'[1]Tissue Data'!$C:$C)</f>
        <v>Spill</v>
      </c>
      <c r="C5672" s="2">
        <f>_xlfn.XLOOKUP(A5672,'[1]Tissue Data'!$A:$A,'[1]Tissue Data'!$D:$D)</f>
        <v>44393</v>
      </c>
      <c r="D5672" s="2" t="str">
        <f>_xlfn.XLOOKUP(A5672,'[1]Tissue Data'!$A:$A,'[1]Tissue Data'!$F:$F)</f>
        <v>Swallowtail Shiner</v>
      </c>
      <c r="E5672" t="str">
        <f>_xlfn.XLOOKUP(A5672,'[1]Tissue Data'!$A:$A,'[1]Tissue Data'!$H:$H)</f>
        <v>Notropis</v>
      </c>
      <c r="F5672" t="str">
        <f>_xlfn.XLOOKUP(A5672,'[1]Tissue Data'!$A:$A,'[1]Tissue Data'!$I:$I)</f>
        <v>procne</v>
      </c>
      <c r="G5672" t="str">
        <f>_xlfn.XLOOKUP(A5672,'[1]Tissue Data'!$A:$A,'[1]Tissue Data'!J:J)</f>
        <v>U</v>
      </c>
      <c r="H5672" t="str">
        <f>_xlfn.XLOOKUP(A5672,'[1]Tissue Data'!$A:$A,'[1]Tissue Data'!K:K)</f>
        <v>Whole Body</v>
      </c>
      <c r="I5672">
        <f>_xlfn.XLOOKUP(A5672,'[1]Tissue Data'!$A:$A,'[1]Tissue Data'!L:L)</f>
        <v>5.5</v>
      </c>
      <c r="J5672">
        <f>_xlfn.XLOOKUP(A5672,'[1]Tissue Data'!$A:$A,'[1]Tissue Data'!M:M)</f>
        <v>1.88</v>
      </c>
      <c r="K5672" t="s">
        <v>32</v>
      </c>
      <c r="L5672" t="str">
        <f>_xlfn.XLOOKUP(K5672,[2]analyte_order!$B:$B,[2]analyte_order!$C:$C)</f>
        <v>79780-39-5</v>
      </c>
      <c r="M5672">
        <f>_xlfn.XLOOKUP(L5672,[2]analyte_order!$C:$C,[2]analyte_order!$E:$E)</f>
        <v>21</v>
      </c>
      <c r="N5672">
        <v>0.24149999999999999</v>
      </c>
    </row>
    <row r="5673" spans="1:14">
      <c r="A5673" t="s">
        <v>201</v>
      </c>
      <c r="B5673" t="str">
        <f>_xlfn.XLOOKUP(A5673,'[1]Tissue Data'!$A:$A,'[1]Tissue Data'!$C:$C)</f>
        <v>Spill</v>
      </c>
      <c r="C5673" s="2">
        <f>_xlfn.XLOOKUP(A5673,'[1]Tissue Data'!$A:$A,'[1]Tissue Data'!$D:$D)</f>
        <v>44393</v>
      </c>
      <c r="D5673" s="2" t="str">
        <f>_xlfn.XLOOKUP(A5673,'[1]Tissue Data'!$A:$A,'[1]Tissue Data'!$F:$F)</f>
        <v>Swallowtail Shiner</v>
      </c>
      <c r="E5673" t="str">
        <f>_xlfn.XLOOKUP(A5673,'[1]Tissue Data'!$A:$A,'[1]Tissue Data'!$H:$H)</f>
        <v>Notropis</v>
      </c>
      <c r="F5673" t="str">
        <f>_xlfn.XLOOKUP(A5673,'[1]Tissue Data'!$A:$A,'[1]Tissue Data'!$I:$I)</f>
        <v>procne</v>
      </c>
      <c r="G5673" t="str">
        <f>_xlfn.XLOOKUP(A5673,'[1]Tissue Data'!$A:$A,'[1]Tissue Data'!J:J)</f>
        <v>U</v>
      </c>
      <c r="H5673" t="str">
        <f>_xlfn.XLOOKUP(A5673,'[1]Tissue Data'!$A:$A,'[1]Tissue Data'!K:K)</f>
        <v>Whole Body</v>
      </c>
      <c r="I5673">
        <f>_xlfn.XLOOKUP(A5673,'[1]Tissue Data'!$A:$A,'[1]Tissue Data'!L:L)</f>
        <v>5.5</v>
      </c>
      <c r="J5673">
        <f>_xlfn.XLOOKUP(A5673,'[1]Tissue Data'!$A:$A,'[1]Tissue Data'!M:M)</f>
        <v>1.88</v>
      </c>
      <c r="K5673" t="s">
        <v>33</v>
      </c>
      <c r="L5673" t="str">
        <f>_xlfn.XLOOKUP(K5673,[2]analyte_order!$B:$B,[2]analyte_order!$C:$C)</f>
        <v>777011-38-8</v>
      </c>
      <c r="M5673">
        <f>_xlfn.XLOOKUP(L5673,[2]analyte_order!$C:$C,[2]analyte_order!$E:$E)</f>
        <v>54</v>
      </c>
      <c r="N5673">
        <v>0.13750000000000001</v>
      </c>
    </row>
    <row r="5674" spans="1:14">
      <c r="A5674" t="s">
        <v>201</v>
      </c>
      <c r="B5674" t="str">
        <f>_xlfn.XLOOKUP(A5674,'[1]Tissue Data'!$A:$A,'[1]Tissue Data'!$C:$C)</f>
        <v>Spill</v>
      </c>
      <c r="C5674" s="2">
        <f>_xlfn.XLOOKUP(A5674,'[1]Tissue Data'!$A:$A,'[1]Tissue Data'!$D:$D)</f>
        <v>44393</v>
      </c>
      <c r="D5674" s="2" t="str">
        <f>_xlfn.XLOOKUP(A5674,'[1]Tissue Data'!$A:$A,'[1]Tissue Data'!$F:$F)</f>
        <v>Swallowtail Shiner</v>
      </c>
      <c r="E5674" t="str">
        <f>_xlfn.XLOOKUP(A5674,'[1]Tissue Data'!$A:$A,'[1]Tissue Data'!$H:$H)</f>
        <v>Notropis</v>
      </c>
      <c r="F5674" t="str">
        <f>_xlfn.XLOOKUP(A5674,'[1]Tissue Data'!$A:$A,'[1]Tissue Data'!$I:$I)</f>
        <v>procne</v>
      </c>
      <c r="G5674" t="str">
        <f>_xlfn.XLOOKUP(A5674,'[1]Tissue Data'!$A:$A,'[1]Tissue Data'!J:J)</f>
        <v>U</v>
      </c>
      <c r="H5674" t="str">
        <f>_xlfn.XLOOKUP(A5674,'[1]Tissue Data'!$A:$A,'[1]Tissue Data'!K:K)</f>
        <v>Whole Body</v>
      </c>
      <c r="I5674">
        <f>_xlfn.XLOOKUP(A5674,'[1]Tissue Data'!$A:$A,'[1]Tissue Data'!L:L)</f>
        <v>5.5</v>
      </c>
      <c r="J5674">
        <f>_xlfn.XLOOKUP(A5674,'[1]Tissue Data'!$A:$A,'[1]Tissue Data'!M:M)</f>
        <v>1.88</v>
      </c>
      <c r="K5674" t="s">
        <v>34</v>
      </c>
      <c r="L5674" t="str">
        <f>_xlfn.XLOOKUP(K5674,[2]analyte_order!$B:$B,[2]analyte_order!$C:$C)</f>
        <v>646-83-3</v>
      </c>
      <c r="M5674">
        <f>_xlfn.XLOOKUP(L5674,[2]analyte_order!$C:$C,[2]analyte_order!$E:$E)</f>
        <v>55</v>
      </c>
      <c r="N5674">
        <v>0.22600000000000001</v>
      </c>
    </row>
    <row r="5675" spans="1:14">
      <c r="A5675" t="s">
        <v>201</v>
      </c>
      <c r="B5675" t="str">
        <f>_xlfn.XLOOKUP(A5675,'[1]Tissue Data'!$A:$A,'[1]Tissue Data'!$C:$C)</f>
        <v>Spill</v>
      </c>
      <c r="C5675" s="2">
        <f>_xlfn.XLOOKUP(A5675,'[1]Tissue Data'!$A:$A,'[1]Tissue Data'!$D:$D)</f>
        <v>44393</v>
      </c>
      <c r="D5675" s="2" t="str">
        <f>_xlfn.XLOOKUP(A5675,'[1]Tissue Data'!$A:$A,'[1]Tissue Data'!$F:$F)</f>
        <v>Swallowtail Shiner</v>
      </c>
      <c r="E5675" t="str">
        <f>_xlfn.XLOOKUP(A5675,'[1]Tissue Data'!$A:$A,'[1]Tissue Data'!$H:$H)</f>
        <v>Notropis</v>
      </c>
      <c r="F5675" t="str">
        <f>_xlfn.XLOOKUP(A5675,'[1]Tissue Data'!$A:$A,'[1]Tissue Data'!$I:$I)</f>
        <v>procne</v>
      </c>
      <c r="G5675" t="str">
        <f>_xlfn.XLOOKUP(A5675,'[1]Tissue Data'!$A:$A,'[1]Tissue Data'!J:J)</f>
        <v>U</v>
      </c>
      <c r="H5675" t="str">
        <f>_xlfn.XLOOKUP(A5675,'[1]Tissue Data'!$A:$A,'[1]Tissue Data'!K:K)</f>
        <v>Whole Body</v>
      </c>
      <c r="I5675">
        <f>_xlfn.XLOOKUP(A5675,'[1]Tissue Data'!$A:$A,'[1]Tissue Data'!L:L)</f>
        <v>5.5</v>
      </c>
      <c r="J5675">
        <f>_xlfn.XLOOKUP(A5675,'[1]Tissue Data'!$A:$A,'[1]Tissue Data'!M:M)</f>
        <v>1.88</v>
      </c>
      <c r="K5675" t="s">
        <v>35</v>
      </c>
      <c r="L5675" t="str">
        <f>_xlfn.XLOOKUP(K5675,[2]analyte_order!$B:$B,[2]analyte_order!$C:$C)</f>
        <v>30334-69-1</v>
      </c>
      <c r="M5675">
        <f>_xlfn.XLOOKUP(L5675,[2]analyte_order!$C:$C,[2]analyte_order!$E:$E)</f>
        <v>51</v>
      </c>
      <c r="N5675">
        <v>122</v>
      </c>
    </row>
    <row r="5676" spans="1:14">
      <c r="A5676" t="s">
        <v>201</v>
      </c>
      <c r="B5676" t="str">
        <f>_xlfn.XLOOKUP(A5676,'[1]Tissue Data'!$A:$A,'[1]Tissue Data'!$C:$C)</f>
        <v>Spill</v>
      </c>
      <c r="C5676" s="2">
        <f>_xlfn.XLOOKUP(A5676,'[1]Tissue Data'!$A:$A,'[1]Tissue Data'!$D:$D)</f>
        <v>44393</v>
      </c>
      <c r="D5676" s="2" t="str">
        <f>_xlfn.XLOOKUP(A5676,'[1]Tissue Data'!$A:$A,'[1]Tissue Data'!$F:$F)</f>
        <v>Swallowtail Shiner</v>
      </c>
      <c r="E5676" t="str">
        <f>_xlfn.XLOOKUP(A5676,'[1]Tissue Data'!$A:$A,'[1]Tissue Data'!$H:$H)</f>
        <v>Notropis</v>
      </c>
      <c r="F5676" t="str">
        <f>_xlfn.XLOOKUP(A5676,'[1]Tissue Data'!$A:$A,'[1]Tissue Data'!$I:$I)</f>
        <v>procne</v>
      </c>
      <c r="G5676" t="str">
        <f>_xlfn.XLOOKUP(A5676,'[1]Tissue Data'!$A:$A,'[1]Tissue Data'!J:J)</f>
        <v>U</v>
      </c>
      <c r="H5676" t="str">
        <f>_xlfn.XLOOKUP(A5676,'[1]Tissue Data'!$A:$A,'[1]Tissue Data'!K:K)</f>
        <v>Whole Body</v>
      </c>
      <c r="I5676">
        <f>_xlfn.XLOOKUP(A5676,'[1]Tissue Data'!$A:$A,'[1]Tissue Data'!L:L)</f>
        <v>5.5</v>
      </c>
      <c r="J5676">
        <f>_xlfn.XLOOKUP(A5676,'[1]Tissue Data'!$A:$A,'[1]Tissue Data'!M:M)</f>
        <v>1.88</v>
      </c>
      <c r="K5676" t="s">
        <v>36</v>
      </c>
      <c r="L5676" t="str">
        <f>_xlfn.XLOOKUP(K5676,[2]analyte_order!$B:$B,[2]analyte_order!$C:$C)</f>
        <v>41997-13-1</v>
      </c>
      <c r="M5676">
        <f>_xlfn.XLOOKUP(L5676,[2]analyte_order!$C:$C,[2]analyte_order!$E:$E)</f>
        <v>52</v>
      </c>
      <c r="N5676">
        <v>515</v>
      </c>
    </row>
    <row r="5677" spans="1:14">
      <c r="A5677" t="s">
        <v>201</v>
      </c>
      <c r="B5677" t="str">
        <f>_xlfn.XLOOKUP(A5677,'[1]Tissue Data'!$A:$A,'[1]Tissue Data'!$C:$C)</f>
        <v>Spill</v>
      </c>
      <c r="C5677" s="2">
        <f>_xlfn.XLOOKUP(A5677,'[1]Tissue Data'!$A:$A,'[1]Tissue Data'!$D:$D)</f>
        <v>44393</v>
      </c>
      <c r="D5677" s="2" t="str">
        <f>_xlfn.XLOOKUP(A5677,'[1]Tissue Data'!$A:$A,'[1]Tissue Data'!$F:$F)</f>
        <v>Swallowtail Shiner</v>
      </c>
      <c r="E5677" t="str">
        <f>_xlfn.XLOOKUP(A5677,'[1]Tissue Data'!$A:$A,'[1]Tissue Data'!$H:$H)</f>
        <v>Notropis</v>
      </c>
      <c r="F5677" t="str">
        <f>_xlfn.XLOOKUP(A5677,'[1]Tissue Data'!$A:$A,'[1]Tissue Data'!$I:$I)</f>
        <v>procne</v>
      </c>
      <c r="G5677" t="str">
        <f>_xlfn.XLOOKUP(A5677,'[1]Tissue Data'!$A:$A,'[1]Tissue Data'!J:J)</f>
        <v>U</v>
      </c>
      <c r="H5677" t="str">
        <f>_xlfn.XLOOKUP(A5677,'[1]Tissue Data'!$A:$A,'[1]Tissue Data'!K:K)</f>
        <v>Whole Body</v>
      </c>
      <c r="I5677">
        <f>_xlfn.XLOOKUP(A5677,'[1]Tissue Data'!$A:$A,'[1]Tissue Data'!L:L)</f>
        <v>5.5</v>
      </c>
      <c r="J5677">
        <f>_xlfn.XLOOKUP(A5677,'[1]Tissue Data'!$A:$A,'[1]Tissue Data'!M:M)</f>
        <v>1.88</v>
      </c>
      <c r="K5677" t="s">
        <v>37</v>
      </c>
      <c r="L5677" t="str">
        <f>_xlfn.XLOOKUP(K5677,[2]analyte_order!$B:$B,[2]analyte_order!$C:$C)</f>
        <v>754-91-6</v>
      </c>
      <c r="M5677">
        <f>_xlfn.XLOOKUP(L5677,[2]analyte_order!$C:$C,[2]analyte_order!$E:$E)</f>
        <v>28</v>
      </c>
      <c r="N5677">
        <v>23.9</v>
      </c>
    </row>
    <row r="5678" spans="1:14">
      <c r="A5678" t="s">
        <v>201</v>
      </c>
      <c r="B5678" t="str">
        <f>_xlfn.XLOOKUP(A5678,'[1]Tissue Data'!$A:$A,'[1]Tissue Data'!$C:$C)</f>
        <v>Spill</v>
      </c>
      <c r="C5678" s="2">
        <f>_xlfn.XLOOKUP(A5678,'[1]Tissue Data'!$A:$A,'[1]Tissue Data'!$D:$D)</f>
        <v>44393</v>
      </c>
      <c r="D5678" s="2" t="str">
        <f>_xlfn.XLOOKUP(A5678,'[1]Tissue Data'!$A:$A,'[1]Tissue Data'!$F:$F)</f>
        <v>Swallowtail Shiner</v>
      </c>
      <c r="E5678" t="str">
        <f>_xlfn.XLOOKUP(A5678,'[1]Tissue Data'!$A:$A,'[1]Tissue Data'!$H:$H)</f>
        <v>Notropis</v>
      </c>
      <c r="F5678" t="str">
        <f>_xlfn.XLOOKUP(A5678,'[1]Tissue Data'!$A:$A,'[1]Tissue Data'!$I:$I)</f>
        <v>procne</v>
      </c>
      <c r="G5678" t="str">
        <f>_xlfn.XLOOKUP(A5678,'[1]Tissue Data'!$A:$A,'[1]Tissue Data'!J:J)</f>
        <v>U</v>
      </c>
      <c r="H5678" t="str">
        <f>_xlfn.XLOOKUP(A5678,'[1]Tissue Data'!$A:$A,'[1]Tissue Data'!K:K)</f>
        <v>Whole Body</v>
      </c>
      <c r="I5678">
        <f>_xlfn.XLOOKUP(A5678,'[1]Tissue Data'!$A:$A,'[1]Tissue Data'!L:L)</f>
        <v>5.5</v>
      </c>
      <c r="J5678">
        <f>_xlfn.XLOOKUP(A5678,'[1]Tissue Data'!$A:$A,'[1]Tissue Data'!M:M)</f>
        <v>1.88</v>
      </c>
      <c r="K5678" t="s">
        <v>38</v>
      </c>
      <c r="L5678" t="str">
        <f>_xlfn.XLOOKUP(K5678,[2]analyte_order!$B:$B,[2]analyte_order!$C:$C)</f>
        <v>31506-32-8</v>
      </c>
      <c r="M5678">
        <f>_xlfn.XLOOKUP(L5678,[2]analyte_order!$C:$C,[2]analyte_order!$E:$E)</f>
        <v>30</v>
      </c>
      <c r="N5678">
        <v>6.8500000000000005E-2</v>
      </c>
    </row>
    <row r="5679" spans="1:14">
      <c r="A5679" t="s">
        <v>201</v>
      </c>
      <c r="B5679" t="str">
        <f>_xlfn.XLOOKUP(A5679,'[1]Tissue Data'!$A:$A,'[1]Tissue Data'!$C:$C)</f>
        <v>Spill</v>
      </c>
      <c r="C5679" s="2">
        <f>_xlfn.XLOOKUP(A5679,'[1]Tissue Data'!$A:$A,'[1]Tissue Data'!$D:$D)</f>
        <v>44393</v>
      </c>
      <c r="D5679" s="2" t="str">
        <f>_xlfn.XLOOKUP(A5679,'[1]Tissue Data'!$A:$A,'[1]Tissue Data'!$F:$F)</f>
        <v>Swallowtail Shiner</v>
      </c>
      <c r="E5679" t="str">
        <f>_xlfn.XLOOKUP(A5679,'[1]Tissue Data'!$A:$A,'[1]Tissue Data'!$H:$H)</f>
        <v>Notropis</v>
      </c>
      <c r="F5679" t="str">
        <f>_xlfn.XLOOKUP(A5679,'[1]Tissue Data'!$A:$A,'[1]Tissue Data'!$I:$I)</f>
        <v>procne</v>
      </c>
      <c r="G5679" t="str">
        <f>_xlfn.XLOOKUP(A5679,'[1]Tissue Data'!$A:$A,'[1]Tissue Data'!J:J)</f>
        <v>U</v>
      </c>
      <c r="H5679" t="str">
        <f>_xlfn.XLOOKUP(A5679,'[1]Tissue Data'!$A:$A,'[1]Tissue Data'!K:K)</f>
        <v>Whole Body</v>
      </c>
      <c r="I5679">
        <f>_xlfn.XLOOKUP(A5679,'[1]Tissue Data'!$A:$A,'[1]Tissue Data'!L:L)</f>
        <v>5.5</v>
      </c>
      <c r="J5679">
        <f>_xlfn.XLOOKUP(A5679,'[1]Tissue Data'!$A:$A,'[1]Tissue Data'!M:M)</f>
        <v>1.88</v>
      </c>
      <c r="K5679" t="s">
        <v>39</v>
      </c>
      <c r="L5679" t="str">
        <f>_xlfn.XLOOKUP(K5679,[2]analyte_order!$B:$B,[2]analyte_order!$C:$C)</f>
        <v>4151-50-2</v>
      </c>
      <c r="M5679">
        <f>_xlfn.XLOOKUP(L5679,[2]analyte_order!$C:$C,[2]analyte_order!$E:$E)</f>
        <v>31</v>
      </c>
      <c r="N5679">
        <v>0.08</v>
      </c>
    </row>
    <row r="5680" spans="1:14">
      <c r="A5680" t="s">
        <v>201</v>
      </c>
      <c r="B5680" t="str">
        <f>_xlfn.XLOOKUP(A5680,'[1]Tissue Data'!$A:$A,'[1]Tissue Data'!$C:$C)</f>
        <v>Spill</v>
      </c>
      <c r="C5680" s="2">
        <f>_xlfn.XLOOKUP(A5680,'[1]Tissue Data'!$A:$A,'[1]Tissue Data'!$D:$D)</f>
        <v>44393</v>
      </c>
      <c r="D5680" s="2" t="str">
        <f>_xlfn.XLOOKUP(A5680,'[1]Tissue Data'!$A:$A,'[1]Tissue Data'!$F:$F)</f>
        <v>Swallowtail Shiner</v>
      </c>
      <c r="E5680" t="str">
        <f>_xlfn.XLOOKUP(A5680,'[1]Tissue Data'!$A:$A,'[1]Tissue Data'!$H:$H)</f>
        <v>Notropis</v>
      </c>
      <c r="F5680" t="str">
        <f>_xlfn.XLOOKUP(A5680,'[1]Tissue Data'!$A:$A,'[1]Tissue Data'!$I:$I)</f>
        <v>procne</v>
      </c>
      <c r="G5680" t="str">
        <f>_xlfn.XLOOKUP(A5680,'[1]Tissue Data'!$A:$A,'[1]Tissue Data'!J:J)</f>
        <v>U</v>
      </c>
      <c r="H5680" t="str">
        <f>_xlfn.XLOOKUP(A5680,'[1]Tissue Data'!$A:$A,'[1]Tissue Data'!K:K)</f>
        <v>Whole Body</v>
      </c>
      <c r="I5680">
        <f>_xlfn.XLOOKUP(A5680,'[1]Tissue Data'!$A:$A,'[1]Tissue Data'!L:L)</f>
        <v>5.5</v>
      </c>
      <c r="J5680">
        <f>_xlfn.XLOOKUP(A5680,'[1]Tissue Data'!$A:$A,'[1]Tissue Data'!M:M)</f>
        <v>1.88</v>
      </c>
      <c r="K5680" t="s">
        <v>40</v>
      </c>
      <c r="L5680" t="str">
        <f>_xlfn.XLOOKUP(K5680,[2]analyte_order!$B:$B,[2]analyte_order!$C:$C)</f>
        <v>2806-24-8</v>
      </c>
      <c r="M5680">
        <f>_xlfn.XLOOKUP(L5680,[2]analyte_order!$C:$C,[2]analyte_order!$E:$E)</f>
        <v>29</v>
      </c>
      <c r="N5680">
        <v>5.3999999999999999E-2</v>
      </c>
    </row>
    <row r="5681" spans="1:14">
      <c r="A5681" t="s">
        <v>201</v>
      </c>
      <c r="B5681" t="str">
        <f>_xlfn.XLOOKUP(A5681,'[1]Tissue Data'!$A:$A,'[1]Tissue Data'!$C:$C)</f>
        <v>Spill</v>
      </c>
      <c r="C5681" s="2">
        <f>_xlfn.XLOOKUP(A5681,'[1]Tissue Data'!$A:$A,'[1]Tissue Data'!$D:$D)</f>
        <v>44393</v>
      </c>
      <c r="D5681" s="2" t="str">
        <f>_xlfn.XLOOKUP(A5681,'[1]Tissue Data'!$A:$A,'[1]Tissue Data'!$F:$F)</f>
        <v>Swallowtail Shiner</v>
      </c>
      <c r="E5681" t="str">
        <f>_xlfn.XLOOKUP(A5681,'[1]Tissue Data'!$A:$A,'[1]Tissue Data'!$H:$H)</f>
        <v>Notropis</v>
      </c>
      <c r="F5681" t="str">
        <f>_xlfn.XLOOKUP(A5681,'[1]Tissue Data'!$A:$A,'[1]Tissue Data'!$I:$I)</f>
        <v>procne</v>
      </c>
      <c r="G5681" t="str">
        <f>_xlfn.XLOOKUP(A5681,'[1]Tissue Data'!$A:$A,'[1]Tissue Data'!J:J)</f>
        <v>U</v>
      </c>
      <c r="H5681" t="str">
        <f>_xlfn.XLOOKUP(A5681,'[1]Tissue Data'!$A:$A,'[1]Tissue Data'!K:K)</f>
        <v>Whole Body</v>
      </c>
      <c r="I5681">
        <f>_xlfn.XLOOKUP(A5681,'[1]Tissue Data'!$A:$A,'[1]Tissue Data'!L:L)</f>
        <v>5.5</v>
      </c>
      <c r="J5681">
        <f>_xlfn.XLOOKUP(A5681,'[1]Tissue Data'!$A:$A,'[1]Tissue Data'!M:M)</f>
        <v>1.88</v>
      </c>
      <c r="K5681" t="s">
        <v>41</v>
      </c>
      <c r="L5681" t="str">
        <f>_xlfn.XLOOKUP(K5681,[2]analyte_order!$B:$B,[2]analyte_order!$C:$C)</f>
        <v>2355-31-9</v>
      </c>
      <c r="M5681">
        <f>_xlfn.XLOOKUP(L5681,[2]analyte_order!$C:$C,[2]analyte_order!$E:$E)</f>
        <v>26</v>
      </c>
      <c r="N5681">
        <v>6.9000000000000006E-2</v>
      </c>
    </row>
    <row r="5682" spans="1:14">
      <c r="A5682" t="s">
        <v>201</v>
      </c>
      <c r="B5682" t="str">
        <f>_xlfn.XLOOKUP(A5682,'[1]Tissue Data'!$A:$A,'[1]Tissue Data'!$C:$C)</f>
        <v>Spill</v>
      </c>
      <c r="C5682" s="2">
        <f>_xlfn.XLOOKUP(A5682,'[1]Tissue Data'!$A:$A,'[1]Tissue Data'!$D:$D)</f>
        <v>44393</v>
      </c>
      <c r="D5682" s="2" t="str">
        <f>_xlfn.XLOOKUP(A5682,'[1]Tissue Data'!$A:$A,'[1]Tissue Data'!$F:$F)</f>
        <v>Swallowtail Shiner</v>
      </c>
      <c r="E5682" t="str">
        <f>_xlfn.XLOOKUP(A5682,'[1]Tissue Data'!$A:$A,'[1]Tissue Data'!$H:$H)</f>
        <v>Notropis</v>
      </c>
      <c r="F5682" t="str">
        <f>_xlfn.XLOOKUP(A5682,'[1]Tissue Data'!$A:$A,'[1]Tissue Data'!$I:$I)</f>
        <v>procne</v>
      </c>
      <c r="G5682" t="str">
        <f>_xlfn.XLOOKUP(A5682,'[1]Tissue Data'!$A:$A,'[1]Tissue Data'!J:J)</f>
        <v>U</v>
      </c>
      <c r="H5682" t="str">
        <f>_xlfn.XLOOKUP(A5682,'[1]Tissue Data'!$A:$A,'[1]Tissue Data'!K:K)</f>
        <v>Whole Body</v>
      </c>
      <c r="I5682">
        <f>_xlfn.XLOOKUP(A5682,'[1]Tissue Data'!$A:$A,'[1]Tissue Data'!L:L)</f>
        <v>5.5</v>
      </c>
      <c r="J5682">
        <f>_xlfn.XLOOKUP(A5682,'[1]Tissue Data'!$A:$A,'[1]Tissue Data'!M:M)</f>
        <v>1.88</v>
      </c>
      <c r="K5682" t="s">
        <v>42</v>
      </c>
      <c r="L5682" t="str">
        <f>_xlfn.XLOOKUP(K5682,[2]analyte_order!$B:$B,[2]analyte_order!$C:$C)</f>
        <v>2991-50-6</v>
      </c>
      <c r="M5682">
        <f>_xlfn.XLOOKUP(L5682,[2]analyte_order!$C:$C,[2]analyte_order!$E:$E)</f>
        <v>27</v>
      </c>
      <c r="N5682">
        <v>5.9499999999999997E-2</v>
      </c>
    </row>
    <row r="5683" spans="1:14">
      <c r="A5683" t="s">
        <v>201</v>
      </c>
      <c r="B5683" t="str">
        <f>_xlfn.XLOOKUP(A5683,'[1]Tissue Data'!$A:$A,'[1]Tissue Data'!$C:$C)</f>
        <v>Spill</v>
      </c>
      <c r="C5683" s="2">
        <f>_xlfn.XLOOKUP(A5683,'[1]Tissue Data'!$A:$A,'[1]Tissue Data'!$D:$D)</f>
        <v>44393</v>
      </c>
      <c r="D5683" s="2" t="str">
        <f>_xlfn.XLOOKUP(A5683,'[1]Tissue Data'!$A:$A,'[1]Tissue Data'!$F:$F)</f>
        <v>Swallowtail Shiner</v>
      </c>
      <c r="E5683" t="str">
        <f>_xlfn.XLOOKUP(A5683,'[1]Tissue Data'!$A:$A,'[1]Tissue Data'!$H:$H)</f>
        <v>Notropis</v>
      </c>
      <c r="F5683" t="str">
        <f>_xlfn.XLOOKUP(A5683,'[1]Tissue Data'!$A:$A,'[1]Tissue Data'!$I:$I)</f>
        <v>procne</v>
      </c>
      <c r="G5683" t="str">
        <f>_xlfn.XLOOKUP(A5683,'[1]Tissue Data'!$A:$A,'[1]Tissue Data'!J:J)</f>
        <v>U</v>
      </c>
      <c r="H5683" t="str">
        <f>_xlfn.XLOOKUP(A5683,'[1]Tissue Data'!$A:$A,'[1]Tissue Data'!K:K)</f>
        <v>Whole Body</v>
      </c>
      <c r="I5683">
        <f>_xlfn.XLOOKUP(A5683,'[1]Tissue Data'!$A:$A,'[1]Tissue Data'!L:L)</f>
        <v>5.5</v>
      </c>
      <c r="J5683">
        <f>_xlfn.XLOOKUP(A5683,'[1]Tissue Data'!$A:$A,'[1]Tissue Data'!M:M)</f>
        <v>1.88</v>
      </c>
      <c r="K5683" t="s">
        <v>43</v>
      </c>
      <c r="L5683" t="str">
        <f>_xlfn.XLOOKUP(K5683,[2]analyte_order!$B:$B,[2]analyte_order!$C:$C)</f>
        <v>757124-72-4</v>
      </c>
      <c r="M5683">
        <f>_xlfn.XLOOKUP(L5683,[2]analyte_order!$C:$C,[2]analyte_order!$E:$E)</f>
        <v>22</v>
      </c>
      <c r="N5683">
        <v>6.8500000000000005E-2</v>
      </c>
    </row>
    <row r="5684" spans="1:14">
      <c r="A5684" t="s">
        <v>201</v>
      </c>
      <c r="B5684" t="str">
        <f>_xlfn.XLOOKUP(A5684,'[1]Tissue Data'!$A:$A,'[1]Tissue Data'!$C:$C)</f>
        <v>Spill</v>
      </c>
      <c r="C5684" s="2">
        <f>_xlfn.XLOOKUP(A5684,'[1]Tissue Data'!$A:$A,'[1]Tissue Data'!$D:$D)</f>
        <v>44393</v>
      </c>
      <c r="D5684" s="2" t="str">
        <f>_xlfn.XLOOKUP(A5684,'[1]Tissue Data'!$A:$A,'[1]Tissue Data'!$F:$F)</f>
        <v>Swallowtail Shiner</v>
      </c>
      <c r="E5684" t="str">
        <f>_xlfn.XLOOKUP(A5684,'[1]Tissue Data'!$A:$A,'[1]Tissue Data'!$H:$H)</f>
        <v>Notropis</v>
      </c>
      <c r="F5684" t="str">
        <f>_xlfn.XLOOKUP(A5684,'[1]Tissue Data'!$A:$A,'[1]Tissue Data'!$I:$I)</f>
        <v>procne</v>
      </c>
      <c r="G5684" t="str">
        <f>_xlfn.XLOOKUP(A5684,'[1]Tissue Data'!$A:$A,'[1]Tissue Data'!J:J)</f>
        <v>U</v>
      </c>
      <c r="H5684" t="str">
        <f>_xlfn.XLOOKUP(A5684,'[1]Tissue Data'!$A:$A,'[1]Tissue Data'!K:K)</f>
        <v>Whole Body</v>
      </c>
      <c r="I5684">
        <f>_xlfn.XLOOKUP(A5684,'[1]Tissue Data'!$A:$A,'[1]Tissue Data'!L:L)</f>
        <v>5.5</v>
      </c>
      <c r="J5684">
        <f>_xlfn.XLOOKUP(A5684,'[1]Tissue Data'!$A:$A,'[1]Tissue Data'!M:M)</f>
        <v>1.88</v>
      </c>
      <c r="K5684" t="s">
        <v>44</v>
      </c>
      <c r="L5684" t="str">
        <f>_xlfn.XLOOKUP(K5684,[2]analyte_order!$B:$B,[2]analyte_order!$C:$C)</f>
        <v>27619-97-2</v>
      </c>
      <c r="M5684">
        <f>_xlfn.XLOOKUP(L5684,[2]analyte_order!$C:$C,[2]analyte_order!$E:$E)</f>
        <v>23</v>
      </c>
      <c r="N5684">
        <v>0.73</v>
      </c>
    </row>
    <row r="5685" spans="1:14">
      <c r="A5685" t="s">
        <v>201</v>
      </c>
      <c r="B5685" t="str">
        <f>_xlfn.XLOOKUP(A5685,'[1]Tissue Data'!$A:$A,'[1]Tissue Data'!$C:$C)</f>
        <v>Spill</v>
      </c>
      <c r="C5685" s="2">
        <f>_xlfn.XLOOKUP(A5685,'[1]Tissue Data'!$A:$A,'[1]Tissue Data'!$D:$D)</f>
        <v>44393</v>
      </c>
      <c r="D5685" s="2" t="str">
        <f>_xlfn.XLOOKUP(A5685,'[1]Tissue Data'!$A:$A,'[1]Tissue Data'!$F:$F)</f>
        <v>Swallowtail Shiner</v>
      </c>
      <c r="E5685" t="str">
        <f>_xlfn.XLOOKUP(A5685,'[1]Tissue Data'!$A:$A,'[1]Tissue Data'!$H:$H)</f>
        <v>Notropis</v>
      </c>
      <c r="F5685" t="str">
        <f>_xlfn.XLOOKUP(A5685,'[1]Tissue Data'!$A:$A,'[1]Tissue Data'!$I:$I)</f>
        <v>procne</v>
      </c>
      <c r="G5685" t="str">
        <f>_xlfn.XLOOKUP(A5685,'[1]Tissue Data'!$A:$A,'[1]Tissue Data'!J:J)</f>
        <v>U</v>
      </c>
      <c r="H5685" t="str">
        <f>_xlfn.XLOOKUP(A5685,'[1]Tissue Data'!$A:$A,'[1]Tissue Data'!K:K)</f>
        <v>Whole Body</v>
      </c>
      <c r="I5685">
        <f>_xlfn.XLOOKUP(A5685,'[1]Tissue Data'!$A:$A,'[1]Tissue Data'!L:L)</f>
        <v>5.5</v>
      </c>
      <c r="J5685">
        <f>_xlfn.XLOOKUP(A5685,'[1]Tissue Data'!$A:$A,'[1]Tissue Data'!M:M)</f>
        <v>1.88</v>
      </c>
      <c r="K5685" t="s">
        <v>45</v>
      </c>
      <c r="L5685" t="str">
        <f>_xlfn.XLOOKUP(K5685,[2]analyte_order!$B:$B,[2]analyte_order!$C:$C)</f>
        <v>39108-34-4</v>
      </c>
      <c r="M5685">
        <f>_xlfn.XLOOKUP(L5685,[2]analyte_order!$C:$C,[2]analyte_order!$E:$E)</f>
        <v>24</v>
      </c>
      <c r="N5685">
        <v>13.4</v>
      </c>
    </row>
    <row r="5686" spans="1:14">
      <c r="A5686" t="s">
        <v>201</v>
      </c>
      <c r="B5686" t="str">
        <f>_xlfn.XLOOKUP(A5686,'[1]Tissue Data'!$A:$A,'[1]Tissue Data'!$C:$C)</f>
        <v>Spill</v>
      </c>
      <c r="C5686" s="2">
        <f>_xlfn.XLOOKUP(A5686,'[1]Tissue Data'!$A:$A,'[1]Tissue Data'!$D:$D)</f>
        <v>44393</v>
      </c>
      <c r="D5686" s="2" t="str">
        <f>_xlfn.XLOOKUP(A5686,'[1]Tissue Data'!$A:$A,'[1]Tissue Data'!$F:$F)</f>
        <v>Swallowtail Shiner</v>
      </c>
      <c r="E5686" t="str">
        <f>_xlfn.XLOOKUP(A5686,'[1]Tissue Data'!$A:$A,'[1]Tissue Data'!$H:$H)</f>
        <v>Notropis</v>
      </c>
      <c r="F5686" t="str">
        <f>_xlfn.XLOOKUP(A5686,'[1]Tissue Data'!$A:$A,'[1]Tissue Data'!$I:$I)</f>
        <v>procne</v>
      </c>
      <c r="G5686" t="str">
        <f>_xlfn.XLOOKUP(A5686,'[1]Tissue Data'!$A:$A,'[1]Tissue Data'!J:J)</f>
        <v>U</v>
      </c>
      <c r="H5686" t="str">
        <f>_xlfn.XLOOKUP(A5686,'[1]Tissue Data'!$A:$A,'[1]Tissue Data'!K:K)</f>
        <v>Whole Body</v>
      </c>
      <c r="I5686">
        <f>_xlfn.XLOOKUP(A5686,'[1]Tissue Data'!$A:$A,'[1]Tissue Data'!L:L)</f>
        <v>5.5</v>
      </c>
      <c r="J5686">
        <f>_xlfn.XLOOKUP(A5686,'[1]Tissue Data'!$A:$A,'[1]Tissue Data'!M:M)</f>
        <v>1.88</v>
      </c>
      <c r="K5686" t="s">
        <v>46</v>
      </c>
      <c r="L5686" t="str">
        <f>_xlfn.XLOOKUP(K5686,[2]analyte_order!$B:$B,[2]analyte_order!$C:$C)</f>
        <v>120226-60-0</v>
      </c>
      <c r="M5686">
        <f>_xlfn.XLOOKUP(L5686,[2]analyte_order!$C:$C,[2]analyte_order!$E:$E)</f>
        <v>25</v>
      </c>
      <c r="N5686">
        <v>7.7499999999999999E-2</v>
      </c>
    </row>
    <row r="5687" spans="1:14">
      <c r="A5687" t="s">
        <v>201</v>
      </c>
      <c r="B5687" t="str">
        <f>_xlfn.XLOOKUP(A5687,'[1]Tissue Data'!$A:$A,'[1]Tissue Data'!$C:$C)</f>
        <v>Spill</v>
      </c>
      <c r="C5687" s="2">
        <f>_xlfn.XLOOKUP(A5687,'[1]Tissue Data'!$A:$A,'[1]Tissue Data'!$D:$D)</f>
        <v>44393</v>
      </c>
      <c r="D5687" s="2" t="str">
        <f>_xlfn.XLOOKUP(A5687,'[1]Tissue Data'!$A:$A,'[1]Tissue Data'!$F:$F)</f>
        <v>Swallowtail Shiner</v>
      </c>
      <c r="E5687" t="str">
        <f>_xlfn.XLOOKUP(A5687,'[1]Tissue Data'!$A:$A,'[1]Tissue Data'!$H:$H)</f>
        <v>Notropis</v>
      </c>
      <c r="F5687" t="str">
        <f>_xlfn.XLOOKUP(A5687,'[1]Tissue Data'!$A:$A,'[1]Tissue Data'!$I:$I)</f>
        <v>procne</v>
      </c>
      <c r="G5687" t="str">
        <f>_xlfn.XLOOKUP(A5687,'[1]Tissue Data'!$A:$A,'[1]Tissue Data'!J:J)</f>
        <v>U</v>
      </c>
      <c r="H5687" t="str">
        <f>_xlfn.XLOOKUP(A5687,'[1]Tissue Data'!$A:$A,'[1]Tissue Data'!K:K)</f>
        <v>Whole Body</v>
      </c>
      <c r="I5687">
        <f>_xlfn.XLOOKUP(A5687,'[1]Tissue Data'!$A:$A,'[1]Tissue Data'!L:L)</f>
        <v>5.5</v>
      </c>
      <c r="J5687">
        <f>_xlfn.XLOOKUP(A5687,'[1]Tissue Data'!$A:$A,'[1]Tissue Data'!M:M)</f>
        <v>1.88</v>
      </c>
      <c r="K5687" t="s">
        <v>47</v>
      </c>
      <c r="L5687" t="str">
        <f>_xlfn.XLOOKUP(K5687,[2]analyte_order!$B:$B,[2]analyte_order!$C:$C)</f>
        <v>356-02-5</v>
      </c>
      <c r="M5687">
        <f>_xlfn.XLOOKUP(L5687,[2]analyte_order!$C:$C,[2]analyte_order!$E:$E)</f>
        <v>38</v>
      </c>
      <c r="N5687">
        <v>7.9000000000000001E-2</v>
      </c>
    </row>
    <row r="5688" spans="1:14">
      <c r="A5688" t="s">
        <v>201</v>
      </c>
      <c r="B5688" t="str">
        <f>_xlfn.XLOOKUP(A5688,'[1]Tissue Data'!$A:$A,'[1]Tissue Data'!$C:$C)</f>
        <v>Spill</v>
      </c>
      <c r="C5688" s="2">
        <f>_xlfn.XLOOKUP(A5688,'[1]Tissue Data'!$A:$A,'[1]Tissue Data'!$D:$D)</f>
        <v>44393</v>
      </c>
      <c r="D5688" s="2" t="str">
        <f>_xlfn.XLOOKUP(A5688,'[1]Tissue Data'!$A:$A,'[1]Tissue Data'!$F:$F)</f>
        <v>Swallowtail Shiner</v>
      </c>
      <c r="E5688" t="str">
        <f>_xlfn.XLOOKUP(A5688,'[1]Tissue Data'!$A:$A,'[1]Tissue Data'!$H:$H)</f>
        <v>Notropis</v>
      </c>
      <c r="F5688" t="str">
        <f>_xlfn.XLOOKUP(A5688,'[1]Tissue Data'!$A:$A,'[1]Tissue Data'!$I:$I)</f>
        <v>procne</v>
      </c>
      <c r="G5688" t="str">
        <f>_xlfn.XLOOKUP(A5688,'[1]Tissue Data'!$A:$A,'[1]Tissue Data'!J:J)</f>
        <v>U</v>
      </c>
      <c r="H5688" t="str">
        <f>_xlfn.XLOOKUP(A5688,'[1]Tissue Data'!$A:$A,'[1]Tissue Data'!K:K)</f>
        <v>Whole Body</v>
      </c>
      <c r="I5688">
        <f>_xlfn.XLOOKUP(A5688,'[1]Tissue Data'!$A:$A,'[1]Tissue Data'!L:L)</f>
        <v>5.5</v>
      </c>
      <c r="J5688">
        <f>_xlfn.XLOOKUP(A5688,'[1]Tissue Data'!$A:$A,'[1]Tissue Data'!M:M)</f>
        <v>1.88</v>
      </c>
      <c r="K5688" t="s">
        <v>48</v>
      </c>
      <c r="L5688" t="str">
        <f>_xlfn.XLOOKUP(K5688,[2]analyte_order!$B:$B,[2]analyte_order!$C:$C)</f>
        <v>914637-49-3</v>
      </c>
      <c r="M5688">
        <f>_xlfn.XLOOKUP(L5688,[2]analyte_order!$C:$C,[2]analyte_order!$E:$E)</f>
        <v>39</v>
      </c>
      <c r="N5688">
        <v>0.43</v>
      </c>
    </row>
    <row r="5689" spans="1:14">
      <c r="A5689" t="s">
        <v>201</v>
      </c>
      <c r="B5689" t="str">
        <f>_xlfn.XLOOKUP(A5689,'[1]Tissue Data'!$A:$A,'[1]Tissue Data'!$C:$C)</f>
        <v>Spill</v>
      </c>
      <c r="C5689" s="2">
        <f>_xlfn.XLOOKUP(A5689,'[1]Tissue Data'!$A:$A,'[1]Tissue Data'!$D:$D)</f>
        <v>44393</v>
      </c>
      <c r="D5689" s="2" t="str">
        <f>_xlfn.XLOOKUP(A5689,'[1]Tissue Data'!$A:$A,'[1]Tissue Data'!$F:$F)</f>
        <v>Swallowtail Shiner</v>
      </c>
      <c r="E5689" t="str">
        <f>_xlfn.XLOOKUP(A5689,'[1]Tissue Data'!$A:$A,'[1]Tissue Data'!$H:$H)</f>
        <v>Notropis</v>
      </c>
      <c r="F5689" t="str">
        <f>_xlfn.XLOOKUP(A5689,'[1]Tissue Data'!$A:$A,'[1]Tissue Data'!$I:$I)</f>
        <v>procne</v>
      </c>
      <c r="G5689" t="str">
        <f>_xlfn.XLOOKUP(A5689,'[1]Tissue Data'!$A:$A,'[1]Tissue Data'!J:J)</f>
        <v>U</v>
      </c>
      <c r="H5689" t="str">
        <f>_xlfn.XLOOKUP(A5689,'[1]Tissue Data'!$A:$A,'[1]Tissue Data'!K:K)</f>
        <v>Whole Body</v>
      </c>
      <c r="I5689">
        <f>_xlfn.XLOOKUP(A5689,'[1]Tissue Data'!$A:$A,'[1]Tissue Data'!L:L)</f>
        <v>5.5</v>
      </c>
      <c r="J5689">
        <f>_xlfn.XLOOKUP(A5689,'[1]Tissue Data'!$A:$A,'[1]Tissue Data'!M:M)</f>
        <v>1.88</v>
      </c>
      <c r="K5689" t="s">
        <v>49</v>
      </c>
      <c r="L5689" t="str">
        <f>_xlfn.XLOOKUP(K5689,[2]analyte_order!$B:$B,[2]analyte_order!$C:$C)</f>
        <v>812-70-4</v>
      </c>
      <c r="M5689">
        <f>_xlfn.XLOOKUP(L5689,[2]analyte_order!$C:$C,[2]analyte_order!$E:$E)</f>
        <v>40</v>
      </c>
      <c r="N5689">
        <v>14.8</v>
      </c>
    </row>
    <row r="5690" spans="1:14">
      <c r="A5690" t="s">
        <v>201</v>
      </c>
      <c r="B5690" t="str">
        <f>_xlfn.XLOOKUP(A5690,'[1]Tissue Data'!$A:$A,'[1]Tissue Data'!$C:$C)</f>
        <v>Spill</v>
      </c>
      <c r="C5690" s="2">
        <f>_xlfn.XLOOKUP(A5690,'[1]Tissue Data'!$A:$A,'[1]Tissue Data'!$D:$D)</f>
        <v>44393</v>
      </c>
      <c r="D5690" s="2" t="str">
        <f>_xlfn.XLOOKUP(A5690,'[1]Tissue Data'!$A:$A,'[1]Tissue Data'!$F:$F)</f>
        <v>Swallowtail Shiner</v>
      </c>
      <c r="E5690" t="str">
        <f>_xlfn.XLOOKUP(A5690,'[1]Tissue Data'!$A:$A,'[1]Tissue Data'!$H:$H)</f>
        <v>Notropis</v>
      </c>
      <c r="F5690" t="str">
        <f>_xlfn.XLOOKUP(A5690,'[1]Tissue Data'!$A:$A,'[1]Tissue Data'!$I:$I)</f>
        <v>procne</v>
      </c>
      <c r="G5690" t="str">
        <f>_xlfn.XLOOKUP(A5690,'[1]Tissue Data'!$A:$A,'[1]Tissue Data'!J:J)</f>
        <v>U</v>
      </c>
      <c r="H5690" t="str">
        <f>_xlfn.XLOOKUP(A5690,'[1]Tissue Data'!$A:$A,'[1]Tissue Data'!K:K)</f>
        <v>Whole Body</v>
      </c>
      <c r="I5690">
        <f>_xlfn.XLOOKUP(A5690,'[1]Tissue Data'!$A:$A,'[1]Tissue Data'!L:L)</f>
        <v>5.5</v>
      </c>
      <c r="J5690">
        <f>_xlfn.XLOOKUP(A5690,'[1]Tissue Data'!$A:$A,'[1]Tissue Data'!M:M)</f>
        <v>1.88</v>
      </c>
      <c r="K5690" t="s">
        <v>50</v>
      </c>
      <c r="L5690" t="str">
        <f>_xlfn.XLOOKUP(K5690,[2]analyte_order!$B:$B,[2]analyte_order!$C:$C)</f>
        <v>53826-12-3</v>
      </c>
      <c r="M5690">
        <f>_xlfn.XLOOKUP(L5690,[2]analyte_order!$C:$C,[2]analyte_order!$E:$E)</f>
        <v>41</v>
      </c>
      <c r="N5690">
        <v>1.78</v>
      </c>
    </row>
    <row r="5691" spans="1:14">
      <c r="A5691" t="s">
        <v>201</v>
      </c>
      <c r="B5691" t="str">
        <f>_xlfn.XLOOKUP(A5691,'[1]Tissue Data'!$A:$A,'[1]Tissue Data'!$C:$C)</f>
        <v>Spill</v>
      </c>
      <c r="C5691" s="2">
        <f>_xlfn.XLOOKUP(A5691,'[1]Tissue Data'!$A:$A,'[1]Tissue Data'!$D:$D)</f>
        <v>44393</v>
      </c>
      <c r="D5691" s="2" t="str">
        <f>_xlfn.XLOOKUP(A5691,'[1]Tissue Data'!$A:$A,'[1]Tissue Data'!$F:$F)</f>
        <v>Swallowtail Shiner</v>
      </c>
      <c r="E5691" t="str">
        <f>_xlfn.XLOOKUP(A5691,'[1]Tissue Data'!$A:$A,'[1]Tissue Data'!$H:$H)</f>
        <v>Notropis</v>
      </c>
      <c r="F5691" t="str">
        <f>_xlfn.XLOOKUP(A5691,'[1]Tissue Data'!$A:$A,'[1]Tissue Data'!$I:$I)</f>
        <v>procne</v>
      </c>
      <c r="G5691" t="str">
        <f>_xlfn.XLOOKUP(A5691,'[1]Tissue Data'!$A:$A,'[1]Tissue Data'!J:J)</f>
        <v>U</v>
      </c>
      <c r="H5691" t="str">
        <f>_xlfn.XLOOKUP(A5691,'[1]Tissue Data'!$A:$A,'[1]Tissue Data'!K:K)</f>
        <v>Whole Body</v>
      </c>
      <c r="I5691">
        <f>_xlfn.XLOOKUP(A5691,'[1]Tissue Data'!$A:$A,'[1]Tissue Data'!L:L)</f>
        <v>5.5</v>
      </c>
      <c r="J5691">
        <f>_xlfn.XLOOKUP(A5691,'[1]Tissue Data'!$A:$A,'[1]Tissue Data'!M:M)</f>
        <v>1.88</v>
      </c>
      <c r="K5691" t="s">
        <v>51</v>
      </c>
      <c r="L5691" t="str">
        <f>_xlfn.XLOOKUP(K5691,[2]analyte_order!$B:$B,[2]analyte_order!$C:$C)</f>
        <v>27854-31-5</v>
      </c>
      <c r="M5691">
        <f>_xlfn.XLOOKUP(L5691,[2]analyte_order!$C:$C,[2]analyte_order!$E:$E)</f>
        <v>42</v>
      </c>
      <c r="N5691">
        <v>6.8500000000000005E-2</v>
      </c>
    </row>
    <row r="5692" spans="1:14">
      <c r="A5692" t="s">
        <v>201</v>
      </c>
      <c r="B5692" t="str">
        <f>_xlfn.XLOOKUP(A5692,'[1]Tissue Data'!$A:$A,'[1]Tissue Data'!$C:$C)</f>
        <v>Spill</v>
      </c>
      <c r="C5692" s="2">
        <f>_xlfn.XLOOKUP(A5692,'[1]Tissue Data'!$A:$A,'[1]Tissue Data'!$D:$D)</f>
        <v>44393</v>
      </c>
      <c r="D5692" s="2" t="str">
        <f>_xlfn.XLOOKUP(A5692,'[1]Tissue Data'!$A:$A,'[1]Tissue Data'!$F:$F)</f>
        <v>Swallowtail Shiner</v>
      </c>
      <c r="E5692" t="str">
        <f>_xlfn.XLOOKUP(A5692,'[1]Tissue Data'!$A:$A,'[1]Tissue Data'!$H:$H)</f>
        <v>Notropis</v>
      </c>
      <c r="F5692" t="str">
        <f>_xlfn.XLOOKUP(A5692,'[1]Tissue Data'!$A:$A,'[1]Tissue Data'!$I:$I)</f>
        <v>procne</v>
      </c>
      <c r="G5692" t="str">
        <f>_xlfn.XLOOKUP(A5692,'[1]Tissue Data'!$A:$A,'[1]Tissue Data'!J:J)</f>
        <v>U</v>
      </c>
      <c r="H5692" t="str">
        <f>_xlfn.XLOOKUP(A5692,'[1]Tissue Data'!$A:$A,'[1]Tissue Data'!K:K)</f>
        <v>Whole Body</v>
      </c>
      <c r="I5692">
        <f>_xlfn.XLOOKUP(A5692,'[1]Tissue Data'!$A:$A,'[1]Tissue Data'!L:L)</f>
        <v>5.5</v>
      </c>
      <c r="J5692">
        <f>_xlfn.XLOOKUP(A5692,'[1]Tissue Data'!$A:$A,'[1]Tissue Data'!M:M)</f>
        <v>1.88</v>
      </c>
      <c r="K5692" t="s">
        <v>52</v>
      </c>
      <c r="L5692" t="str">
        <f>_xlfn.XLOOKUP(K5692,[2]analyte_order!$B:$B,[2]analyte_order!$C:$C)</f>
        <v>53826-13-4</v>
      </c>
      <c r="M5692">
        <f>_xlfn.XLOOKUP(L5692,[2]analyte_order!$C:$C,[2]analyte_order!$E:$E)</f>
        <v>43</v>
      </c>
      <c r="N5692">
        <v>0.10199999999999999</v>
      </c>
    </row>
    <row r="5693" spans="1:14">
      <c r="A5693" t="s">
        <v>201</v>
      </c>
      <c r="B5693" t="str">
        <f>_xlfn.XLOOKUP(A5693,'[1]Tissue Data'!$A:$A,'[1]Tissue Data'!$C:$C)</f>
        <v>Spill</v>
      </c>
      <c r="C5693" s="2">
        <f>_xlfn.XLOOKUP(A5693,'[1]Tissue Data'!$A:$A,'[1]Tissue Data'!$D:$D)</f>
        <v>44393</v>
      </c>
      <c r="D5693" s="2" t="str">
        <f>_xlfn.XLOOKUP(A5693,'[1]Tissue Data'!$A:$A,'[1]Tissue Data'!$F:$F)</f>
        <v>Swallowtail Shiner</v>
      </c>
      <c r="E5693" t="str">
        <f>_xlfn.XLOOKUP(A5693,'[1]Tissue Data'!$A:$A,'[1]Tissue Data'!$H:$H)</f>
        <v>Notropis</v>
      </c>
      <c r="F5693" t="str">
        <f>_xlfn.XLOOKUP(A5693,'[1]Tissue Data'!$A:$A,'[1]Tissue Data'!$I:$I)</f>
        <v>procne</v>
      </c>
      <c r="G5693" t="str">
        <f>_xlfn.XLOOKUP(A5693,'[1]Tissue Data'!$A:$A,'[1]Tissue Data'!J:J)</f>
        <v>U</v>
      </c>
      <c r="H5693" t="str">
        <f>_xlfn.XLOOKUP(A5693,'[1]Tissue Data'!$A:$A,'[1]Tissue Data'!K:K)</f>
        <v>Whole Body</v>
      </c>
      <c r="I5693">
        <f>_xlfn.XLOOKUP(A5693,'[1]Tissue Data'!$A:$A,'[1]Tissue Data'!L:L)</f>
        <v>5.5</v>
      </c>
      <c r="J5693">
        <f>_xlfn.XLOOKUP(A5693,'[1]Tissue Data'!$A:$A,'[1]Tissue Data'!M:M)</f>
        <v>1.88</v>
      </c>
      <c r="K5693" t="s">
        <v>53</v>
      </c>
      <c r="L5693" t="str">
        <f>_xlfn.XLOOKUP(K5693,[2]analyte_order!$B:$B,[2]analyte_order!$C:$C)</f>
        <v>161094-75-3</v>
      </c>
      <c r="M5693">
        <f>_xlfn.XLOOKUP(L5693,[2]analyte_order!$C:$C,[2]analyte_order!$E:$E)</f>
        <v>44</v>
      </c>
      <c r="N5693">
        <v>5.3499999999999999E-2</v>
      </c>
    </row>
    <row r="5694" spans="1:14">
      <c r="A5694" t="s">
        <v>201</v>
      </c>
      <c r="B5694" t="str">
        <f>_xlfn.XLOOKUP(A5694,'[1]Tissue Data'!$A:$A,'[1]Tissue Data'!$C:$C)</f>
        <v>Spill</v>
      </c>
      <c r="C5694" s="2">
        <f>_xlfn.XLOOKUP(A5694,'[1]Tissue Data'!$A:$A,'[1]Tissue Data'!$D:$D)</f>
        <v>44393</v>
      </c>
      <c r="D5694" s="2" t="str">
        <f>_xlfn.XLOOKUP(A5694,'[1]Tissue Data'!$A:$A,'[1]Tissue Data'!$F:$F)</f>
        <v>Swallowtail Shiner</v>
      </c>
      <c r="E5694" t="str">
        <f>_xlfn.XLOOKUP(A5694,'[1]Tissue Data'!$A:$A,'[1]Tissue Data'!$H:$H)</f>
        <v>Notropis</v>
      </c>
      <c r="F5694" t="str">
        <f>_xlfn.XLOOKUP(A5694,'[1]Tissue Data'!$A:$A,'[1]Tissue Data'!$I:$I)</f>
        <v>procne</v>
      </c>
      <c r="G5694" t="str">
        <f>_xlfn.XLOOKUP(A5694,'[1]Tissue Data'!$A:$A,'[1]Tissue Data'!J:J)</f>
        <v>U</v>
      </c>
      <c r="H5694" t="str">
        <f>_xlfn.XLOOKUP(A5694,'[1]Tissue Data'!$A:$A,'[1]Tissue Data'!K:K)</f>
        <v>Whole Body</v>
      </c>
      <c r="I5694">
        <f>_xlfn.XLOOKUP(A5694,'[1]Tissue Data'!$A:$A,'[1]Tissue Data'!L:L)</f>
        <v>5.5</v>
      </c>
      <c r="J5694">
        <f>_xlfn.XLOOKUP(A5694,'[1]Tissue Data'!$A:$A,'[1]Tissue Data'!M:M)</f>
        <v>1.88</v>
      </c>
      <c r="K5694" t="s">
        <v>54</v>
      </c>
      <c r="L5694" t="str">
        <f>_xlfn.XLOOKUP(K5694,[2]analyte_order!$B:$B,[2]analyte_order!$C:$C)</f>
        <v>70887-84-2</v>
      </c>
      <c r="M5694">
        <f>_xlfn.XLOOKUP(L5694,[2]analyte_order!$C:$C,[2]analyte_order!$E:$E)</f>
        <v>45</v>
      </c>
      <c r="N5694">
        <v>4.1349999999999998E-2</v>
      </c>
    </row>
    <row r="5695" spans="1:14">
      <c r="A5695" t="s">
        <v>201</v>
      </c>
      <c r="B5695" t="str">
        <f>_xlfn.XLOOKUP(A5695,'[1]Tissue Data'!$A:$A,'[1]Tissue Data'!$C:$C)</f>
        <v>Spill</v>
      </c>
      <c r="C5695" s="2">
        <f>_xlfn.XLOOKUP(A5695,'[1]Tissue Data'!$A:$A,'[1]Tissue Data'!$D:$D)</f>
        <v>44393</v>
      </c>
      <c r="D5695" s="2" t="str">
        <f>_xlfn.XLOOKUP(A5695,'[1]Tissue Data'!$A:$A,'[1]Tissue Data'!$F:$F)</f>
        <v>Swallowtail Shiner</v>
      </c>
      <c r="E5695" t="str">
        <f>_xlfn.XLOOKUP(A5695,'[1]Tissue Data'!$A:$A,'[1]Tissue Data'!$H:$H)</f>
        <v>Notropis</v>
      </c>
      <c r="F5695" t="str">
        <f>_xlfn.XLOOKUP(A5695,'[1]Tissue Data'!$A:$A,'[1]Tissue Data'!$I:$I)</f>
        <v>procne</v>
      </c>
      <c r="G5695" t="str">
        <f>_xlfn.XLOOKUP(A5695,'[1]Tissue Data'!$A:$A,'[1]Tissue Data'!J:J)</f>
        <v>U</v>
      </c>
      <c r="H5695" t="str">
        <f>_xlfn.XLOOKUP(A5695,'[1]Tissue Data'!$A:$A,'[1]Tissue Data'!K:K)</f>
        <v>Whole Body</v>
      </c>
      <c r="I5695">
        <f>_xlfn.XLOOKUP(A5695,'[1]Tissue Data'!$A:$A,'[1]Tissue Data'!L:L)</f>
        <v>5.5</v>
      </c>
      <c r="J5695">
        <f>_xlfn.XLOOKUP(A5695,'[1]Tissue Data'!$A:$A,'[1]Tissue Data'!M:M)</f>
        <v>1.88</v>
      </c>
      <c r="K5695" t="s">
        <v>55</v>
      </c>
      <c r="L5695" t="str">
        <f>_xlfn.XLOOKUP(K5695,[2]analyte_order!$B:$B,[2]analyte_order!$C:$C)</f>
        <v>919005-14-4</v>
      </c>
      <c r="M5695">
        <f>_xlfn.XLOOKUP(L5695,[2]analyte_order!$C:$C,[2]analyte_order!$E:$E)</f>
        <v>35</v>
      </c>
      <c r="N5695">
        <v>0.19950000000000001</v>
      </c>
    </row>
    <row r="5696" spans="1:14">
      <c r="A5696" t="s">
        <v>201</v>
      </c>
      <c r="B5696" t="str">
        <f>_xlfn.XLOOKUP(A5696,'[1]Tissue Data'!$A:$A,'[1]Tissue Data'!$C:$C)</f>
        <v>Spill</v>
      </c>
      <c r="C5696" s="2">
        <f>_xlfn.XLOOKUP(A5696,'[1]Tissue Data'!$A:$A,'[1]Tissue Data'!$D:$D)</f>
        <v>44393</v>
      </c>
      <c r="D5696" s="2" t="str">
        <f>_xlfn.XLOOKUP(A5696,'[1]Tissue Data'!$A:$A,'[1]Tissue Data'!$F:$F)</f>
        <v>Swallowtail Shiner</v>
      </c>
      <c r="E5696" t="str">
        <f>_xlfn.XLOOKUP(A5696,'[1]Tissue Data'!$A:$A,'[1]Tissue Data'!$H:$H)</f>
        <v>Notropis</v>
      </c>
      <c r="F5696" t="str">
        <f>_xlfn.XLOOKUP(A5696,'[1]Tissue Data'!$A:$A,'[1]Tissue Data'!$I:$I)</f>
        <v>procne</v>
      </c>
      <c r="G5696" t="str">
        <f>_xlfn.XLOOKUP(A5696,'[1]Tissue Data'!$A:$A,'[1]Tissue Data'!J:J)</f>
        <v>U</v>
      </c>
      <c r="H5696" t="str">
        <f>_xlfn.XLOOKUP(A5696,'[1]Tissue Data'!$A:$A,'[1]Tissue Data'!K:K)</f>
        <v>Whole Body</v>
      </c>
      <c r="I5696">
        <f>_xlfn.XLOOKUP(A5696,'[1]Tissue Data'!$A:$A,'[1]Tissue Data'!L:L)</f>
        <v>5.5</v>
      </c>
      <c r="J5696">
        <f>_xlfn.XLOOKUP(A5696,'[1]Tissue Data'!$A:$A,'[1]Tissue Data'!M:M)</f>
        <v>1.88</v>
      </c>
      <c r="K5696" t="s">
        <v>56</v>
      </c>
      <c r="L5696" t="str">
        <f>_xlfn.XLOOKUP(K5696,[2]analyte_order!$B:$B,[2]analyte_order!$C:$C)</f>
        <v>756426-58-1</v>
      </c>
      <c r="M5696">
        <f>_xlfn.XLOOKUP(L5696,[2]analyte_order!$C:$C,[2]analyte_order!$E:$E)</f>
        <v>36</v>
      </c>
      <c r="N5696">
        <v>6.8500000000000005E-2</v>
      </c>
    </row>
    <row r="5697" spans="1:14">
      <c r="A5697" t="s">
        <v>201</v>
      </c>
      <c r="B5697" t="str">
        <f>_xlfn.XLOOKUP(A5697,'[1]Tissue Data'!$A:$A,'[1]Tissue Data'!$C:$C)</f>
        <v>Spill</v>
      </c>
      <c r="C5697" s="2">
        <f>_xlfn.XLOOKUP(A5697,'[1]Tissue Data'!$A:$A,'[1]Tissue Data'!$D:$D)</f>
        <v>44393</v>
      </c>
      <c r="D5697" s="2" t="str">
        <f>_xlfn.XLOOKUP(A5697,'[1]Tissue Data'!$A:$A,'[1]Tissue Data'!$F:$F)</f>
        <v>Swallowtail Shiner</v>
      </c>
      <c r="E5697" t="str">
        <f>_xlfn.XLOOKUP(A5697,'[1]Tissue Data'!$A:$A,'[1]Tissue Data'!$H:$H)</f>
        <v>Notropis</v>
      </c>
      <c r="F5697" t="str">
        <f>_xlfn.XLOOKUP(A5697,'[1]Tissue Data'!$A:$A,'[1]Tissue Data'!$I:$I)</f>
        <v>procne</v>
      </c>
      <c r="G5697" t="str">
        <f>_xlfn.XLOOKUP(A5697,'[1]Tissue Data'!$A:$A,'[1]Tissue Data'!J:J)</f>
        <v>U</v>
      </c>
      <c r="H5697" t="str">
        <f>_xlfn.XLOOKUP(A5697,'[1]Tissue Data'!$A:$A,'[1]Tissue Data'!K:K)</f>
        <v>Whole Body</v>
      </c>
      <c r="I5697">
        <f>_xlfn.XLOOKUP(A5697,'[1]Tissue Data'!$A:$A,'[1]Tissue Data'!L:L)</f>
        <v>5.5</v>
      </c>
      <c r="J5697">
        <f>_xlfn.XLOOKUP(A5697,'[1]Tissue Data'!$A:$A,'[1]Tissue Data'!M:M)</f>
        <v>1.88</v>
      </c>
      <c r="K5697" t="s">
        <v>57</v>
      </c>
      <c r="L5697" t="str">
        <f>_xlfn.XLOOKUP(K5697,[2]analyte_order!$B:$B,[2]analyte_order!$C:$C)</f>
        <v>763051-92-9</v>
      </c>
      <c r="M5697">
        <f>_xlfn.XLOOKUP(L5697,[2]analyte_order!$C:$C,[2]analyte_order!$E:$E)</f>
        <v>37</v>
      </c>
      <c r="N5697">
        <v>6.8500000000000005E-2</v>
      </c>
    </row>
    <row r="5698" spans="1:14">
      <c r="A5698" t="s">
        <v>201</v>
      </c>
      <c r="B5698" t="str">
        <f>_xlfn.XLOOKUP(A5698,'[1]Tissue Data'!$A:$A,'[1]Tissue Data'!$C:$C)</f>
        <v>Spill</v>
      </c>
      <c r="C5698" s="2">
        <f>_xlfn.XLOOKUP(A5698,'[1]Tissue Data'!$A:$A,'[1]Tissue Data'!$D:$D)</f>
        <v>44393</v>
      </c>
      <c r="D5698" s="2" t="str">
        <f>_xlfn.XLOOKUP(A5698,'[1]Tissue Data'!$A:$A,'[1]Tissue Data'!$F:$F)</f>
        <v>Swallowtail Shiner</v>
      </c>
      <c r="E5698" t="str">
        <f>_xlfn.XLOOKUP(A5698,'[1]Tissue Data'!$A:$A,'[1]Tissue Data'!$H:$H)</f>
        <v>Notropis</v>
      </c>
      <c r="F5698" t="str">
        <f>_xlfn.XLOOKUP(A5698,'[1]Tissue Data'!$A:$A,'[1]Tissue Data'!$I:$I)</f>
        <v>procne</v>
      </c>
      <c r="G5698" t="str">
        <f>_xlfn.XLOOKUP(A5698,'[1]Tissue Data'!$A:$A,'[1]Tissue Data'!J:J)</f>
        <v>U</v>
      </c>
      <c r="H5698" t="str">
        <f>_xlfn.XLOOKUP(A5698,'[1]Tissue Data'!$A:$A,'[1]Tissue Data'!K:K)</f>
        <v>Whole Body</v>
      </c>
      <c r="I5698">
        <f>_xlfn.XLOOKUP(A5698,'[1]Tissue Data'!$A:$A,'[1]Tissue Data'!L:L)</f>
        <v>5.5</v>
      </c>
      <c r="J5698">
        <f>_xlfn.XLOOKUP(A5698,'[1]Tissue Data'!$A:$A,'[1]Tissue Data'!M:M)</f>
        <v>1.88</v>
      </c>
      <c r="K5698" t="s">
        <v>58</v>
      </c>
      <c r="L5698" t="str">
        <f>_xlfn.XLOOKUP(K5698,[2]analyte_order!$B:$B,[2]analyte_order!$C:$C)</f>
        <v>13252-13-6</v>
      </c>
      <c r="M5698">
        <f>_xlfn.XLOOKUP(L5698,[2]analyte_order!$C:$C,[2]analyte_order!$E:$E)</f>
        <v>34</v>
      </c>
      <c r="N5698">
        <v>9.8000000000000004E-2</v>
      </c>
    </row>
    <row r="5699" spans="1:14">
      <c r="A5699" t="s">
        <v>201</v>
      </c>
      <c r="B5699" t="str">
        <f>_xlfn.XLOOKUP(A5699,'[1]Tissue Data'!$A:$A,'[1]Tissue Data'!$C:$C)</f>
        <v>Spill</v>
      </c>
      <c r="C5699" s="2">
        <f>_xlfn.XLOOKUP(A5699,'[1]Tissue Data'!$A:$A,'[1]Tissue Data'!$D:$D)</f>
        <v>44393</v>
      </c>
      <c r="D5699" s="2" t="str">
        <f>_xlfn.XLOOKUP(A5699,'[1]Tissue Data'!$A:$A,'[1]Tissue Data'!$F:$F)</f>
        <v>Swallowtail Shiner</v>
      </c>
      <c r="E5699" t="str">
        <f>_xlfn.XLOOKUP(A5699,'[1]Tissue Data'!$A:$A,'[1]Tissue Data'!$H:$H)</f>
        <v>Notropis</v>
      </c>
      <c r="F5699" t="str">
        <f>_xlfn.XLOOKUP(A5699,'[1]Tissue Data'!$A:$A,'[1]Tissue Data'!$I:$I)</f>
        <v>procne</v>
      </c>
      <c r="G5699" t="str">
        <f>_xlfn.XLOOKUP(A5699,'[1]Tissue Data'!$A:$A,'[1]Tissue Data'!J:J)</f>
        <v>U</v>
      </c>
      <c r="H5699" t="str">
        <f>_xlfn.XLOOKUP(A5699,'[1]Tissue Data'!$A:$A,'[1]Tissue Data'!K:K)</f>
        <v>Whole Body</v>
      </c>
      <c r="I5699">
        <f>_xlfn.XLOOKUP(A5699,'[1]Tissue Data'!$A:$A,'[1]Tissue Data'!L:L)</f>
        <v>5.5</v>
      </c>
      <c r="J5699">
        <f>_xlfn.XLOOKUP(A5699,'[1]Tissue Data'!$A:$A,'[1]Tissue Data'!M:M)</f>
        <v>1.88</v>
      </c>
      <c r="K5699" t="s">
        <v>59</v>
      </c>
      <c r="L5699" t="str">
        <f>_xlfn.XLOOKUP(K5699,[2]analyte_order!$B:$B,[2]analyte_order!$C:$C)</f>
        <v>57677-95-9</v>
      </c>
      <c r="M5699">
        <f>_xlfn.XLOOKUP(L5699,[2]analyte_order!$C:$C,[2]analyte_order!$E:$E)</f>
        <v>46</v>
      </c>
      <c r="N5699">
        <v>7.2999999999999995E-2</v>
      </c>
    </row>
    <row r="5700" spans="1:14">
      <c r="A5700" t="s">
        <v>201</v>
      </c>
      <c r="B5700" t="str">
        <f>_xlfn.XLOOKUP(A5700,'[1]Tissue Data'!$A:$A,'[1]Tissue Data'!$C:$C)</f>
        <v>Spill</v>
      </c>
      <c r="C5700" s="2">
        <f>_xlfn.XLOOKUP(A5700,'[1]Tissue Data'!$A:$A,'[1]Tissue Data'!$D:$D)</f>
        <v>44393</v>
      </c>
      <c r="D5700" s="2" t="str">
        <f>_xlfn.XLOOKUP(A5700,'[1]Tissue Data'!$A:$A,'[1]Tissue Data'!$F:$F)</f>
        <v>Swallowtail Shiner</v>
      </c>
      <c r="E5700" t="str">
        <f>_xlfn.XLOOKUP(A5700,'[1]Tissue Data'!$A:$A,'[1]Tissue Data'!$H:$H)</f>
        <v>Notropis</v>
      </c>
      <c r="F5700" t="str">
        <f>_xlfn.XLOOKUP(A5700,'[1]Tissue Data'!$A:$A,'[1]Tissue Data'!$I:$I)</f>
        <v>procne</v>
      </c>
      <c r="G5700" t="str">
        <f>_xlfn.XLOOKUP(A5700,'[1]Tissue Data'!$A:$A,'[1]Tissue Data'!J:J)</f>
        <v>U</v>
      </c>
      <c r="H5700" t="str">
        <f>_xlfn.XLOOKUP(A5700,'[1]Tissue Data'!$A:$A,'[1]Tissue Data'!K:K)</f>
        <v>Whole Body</v>
      </c>
      <c r="I5700">
        <f>_xlfn.XLOOKUP(A5700,'[1]Tissue Data'!$A:$A,'[1]Tissue Data'!L:L)</f>
        <v>5.5</v>
      </c>
      <c r="J5700">
        <f>_xlfn.XLOOKUP(A5700,'[1]Tissue Data'!$A:$A,'[1]Tissue Data'!M:M)</f>
        <v>1.88</v>
      </c>
      <c r="K5700" t="s">
        <v>60</v>
      </c>
      <c r="L5700" t="str">
        <f>_xlfn.XLOOKUP(K5700,[2]analyte_order!$B:$B,[2]analyte_order!$C:$C)</f>
        <v>678-41-1</v>
      </c>
      <c r="M5700">
        <f>_xlfn.XLOOKUP(L5700,[2]analyte_order!$C:$C,[2]analyte_order!$E:$E)</f>
        <v>56</v>
      </c>
      <c r="N5700">
        <v>9.0499999999999997E-2</v>
      </c>
    </row>
    <row r="5701" spans="1:14">
      <c r="A5701" t="s">
        <v>201</v>
      </c>
      <c r="B5701" t="str">
        <f>_xlfn.XLOOKUP(A5701,'[1]Tissue Data'!$A:$A,'[1]Tissue Data'!$C:$C)</f>
        <v>Spill</v>
      </c>
      <c r="C5701" s="2">
        <f>_xlfn.XLOOKUP(A5701,'[1]Tissue Data'!$A:$A,'[1]Tissue Data'!$D:$D)</f>
        <v>44393</v>
      </c>
      <c r="D5701" s="2" t="str">
        <f>_xlfn.XLOOKUP(A5701,'[1]Tissue Data'!$A:$A,'[1]Tissue Data'!$F:$F)</f>
        <v>Swallowtail Shiner</v>
      </c>
      <c r="E5701" t="str">
        <f>_xlfn.XLOOKUP(A5701,'[1]Tissue Data'!$A:$A,'[1]Tissue Data'!$H:$H)</f>
        <v>Notropis</v>
      </c>
      <c r="F5701" t="str">
        <f>_xlfn.XLOOKUP(A5701,'[1]Tissue Data'!$A:$A,'[1]Tissue Data'!$I:$I)</f>
        <v>procne</v>
      </c>
      <c r="G5701" t="str">
        <f>_xlfn.XLOOKUP(A5701,'[1]Tissue Data'!$A:$A,'[1]Tissue Data'!J:J)</f>
        <v>U</v>
      </c>
      <c r="H5701" t="str">
        <f>_xlfn.XLOOKUP(A5701,'[1]Tissue Data'!$A:$A,'[1]Tissue Data'!K:K)</f>
        <v>Whole Body</v>
      </c>
      <c r="I5701">
        <f>_xlfn.XLOOKUP(A5701,'[1]Tissue Data'!$A:$A,'[1]Tissue Data'!L:L)</f>
        <v>5.5</v>
      </c>
      <c r="J5701">
        <f>_xlfn.XLOOKUP(A5701,'[1]Tissue Data'!$A:$A,'[1]Tissue Data'!M:M)</f>
        <v>1.88</v>
      </c>
      <c r="K5701" t="s">
        <v>61</v>
      </c>
      <c r="L5701" t="str">
        <f>_xlfn.XLOOKUP(K5701,[2]analyte_order!$B:$B,[2]analyte_order!$C:$C)</f>
        <v>2965-52-8</v>
      </c>
      <c r="M5701">
        <f>_xlfn.XLOOKUP(L5701,[2]analyte_order!$C:$C,[2]analyte_order!$E:$E)</f>
        <v>57</v>
      </c>
      <c r="N5701">
        <v>0.1205</v>
      </c>
    </row>
    <row r="5702" spans="1:14">
      <c r="A5702" t="s">
        <v>202</v>
      </c>
      <c r="B5702" t="str">
        <f>_xlfn.XLOOKUP(A5702,'[1]Tissue Data'!$A:$A,'[1]Tissue Data'!$C:$C)</f>
        <v>Spill</v>
      </c>
      <c r="C5702" s="2">
        <f>_xlfn.XLOOKUP(A5702,'[1]Tissue Data'!$A:$A,'[1]Tissue Data'!$D:$D)</f>
        <v>44393</v>
      </c>
      <c r="D5702" s="2" t="str">
        <f>_xlfn.XLOOKUP(A5702,'[1]Tissue Data'!$A:$A,'[1]Tissue Data'!$F:$F)</f>
        <v>Swallowtail Shiner</v>
      </c>
      <c r="E5702" t="str">
        <f>_xlfn.XLOOKUP(A5702,'[1]Tissue Data'!$A:$A,'[1]Tissue Data'!$H:$H)</f>
        <v>Notropis</v>
      </c>
      <c r="F5702" t="str">
        <f>_xlfn.XLOOKUP(A5702,'[1]Tissue Data'!$A:$A,'[1]Tissue Data'!$I:$I)</f>
        <v>procne</v>
      </c>
      <c r="G5702" t="str">
        <f>_xlfn.XLOOKUP(A5702,'[1]Tissue Data'!$A:$A,'[1]Tissue Data'!J:J)</f>
        <v>U</v>
      </c>
      <c r="H5702" t="str">
        <f>_xlfn.XLOOKUP(A5702,'[1]Tissue Data'!$A:$A,'[1]Tissue Data'!K:K)</f>
        <v>Whole Body</v>
      </c>
      <c r="I5702">
        <f>_xlfn.XLOOKUP(A5702,'[1]Tissue Data'!$A:$A,'[1]Tissue Data'!L:L)</f>
        <v>5.5</v>
      </c>
      <c r="J5702">
        <f>_xlfn.XLOOKUP(A5702,'[1]Tissue Data'!$A:$A,'[1]Tissue Data'!M:M)</f>
        <v>1.79</v>
      </c>
      <c r="K5702" t="s">
        <v>12</v>
      </c>
      <c r="L5702" t="str">
        <f>_xlfn.XLOOKUP(K5702,[2]analyte_order!$B:$B,[2]analyte_order!$C:$C)</f>
        <v>375-22-4</v>
      </c>
      <c r="M5702">
        <f>_xlfn.XLOOKUP(L5702,[2]analyte_order!$C:$C,[2]analyte_order!$E:$E)</f>
        <v>1</v>
      </c>
      <c r="N5702">
        <v>0.22500000000000001</v>
      </c>
    </row>
    <row r="5703" spans="1:14">
      <c r="A5703" t="s">
        <v>202</v>
      </c>
      <c r="B5703" t="str">
        <f>_xlfn.XLOOKUP(A5703,'[1]Tissue Data'!$A:$A,'[1]Tissue Data'!$C:$C)</f>
        <v>Spill</v>
      </c>
      <c r="C5703" s="2">
        <f>_xlfn.XLOOKUP(A5703,'[1]Tissue Data'!$A:$A,'[1]Tissue Data'!$D:$D)</f>
        <v>44393</v>
      </c>
      <c r="D5703" s="2" t="str">
        <f>_xlfn.XLOOKUP(A5703,'[1]Tissue Data'!$A:$A,'[1]Tissue Data'!$F:$F)</f>
        <v>Swallowtail Shiner</v>
      </c>
      <c r="E5703" t="str">
        <f>_xlfn.XLOOKUP(A5703,'[1]Tissue Data'!$A:$A,'[1]Tissue Data'!$H:$H)</f>
        <v>Notropis</v>
      </c>
      <c r="F5703" t="str">
        <f>_xlfn.XLOOKUP(A5703,'[1]Tissue Data'!$A:$A,'[1]Tissue Data'!$I:$I)</f>
        <v>procne</v>
      </c>
      <c r="G5703" t="str">
        <f>_xlfn.XLOOKUP(A5703,'[1]Tissue Data'!$A:$A,'[1]Tissue Data'!J:J)</f>
        <v>U</v>
      </c>
      <c r="H5703" t="str">
        <f>_xlfn.XLOOKUP(A5703,'[1]Tissue Data'!$A:$A,'[1]Tissue Data'!K:K)</f>
        <v>Whole Body</v>
      </c>
      <c r="I5703">
        <f>_xlfn.XLOOKUP(A5703,'[1]Tissue Data'!$A:$A,'[1]Tissue Data'!L:L)</f>
        <v>5.5</v>
      </c>
      <c r="J5703">
        <f>_xlfn.XLOOKUP(A5703,'[1]Tissue Data'!$A:$A,'[1]Tissue Data'!M:M)</f>
        <v>1.79</v>
      </c>
      <c r="K5703" t="s">
        <v>13</v>
      </c>
      <c r="L5703" t="str">
        <f>_xlfn.XLOOKUP(K5703,[2]analyte_order!$B:$B,[2]analyte_order!$C:$C)</f>
        <v>2706-90-3</v>
      </c>
      <c r="M5703">
        <f>_xlfn.XLOOKUP(L5703,[2]analyte_order!$C:$C,[2]analyte_order!$E:$E)</f>
        <v>2</v>
      </c>
      <c r="N5703">
        <v>4.82E-2</v>
      </c>
    </row>
    <row r="5704" spans="1:14">
      <c r="A5704" t="s">
        <v>202</v>
      </c>
      <c r="B5704" t="str">
        <f>_xlfn.XLOOKUP(A5704,'[1]Tissue Data'!$A:$A,'[1]Tissue Data'!$C:$C)</f>
        <v>Spill</v>
      </c>
      <c r="C5704" s="2">
        <f>_xlfn.XLOOKUP(A5704,'[1]Tissue Data'!$A:$A,'[1]Tissue Data'!$D:$D)</f>
        <v>44393</v>
      </c>
      <c r="D5704" s="2" t="str">
        <f>_xlfn.XLOOKUP(A5704,'[1]Tissue Data'!$A:$A,'[1]Tissue Data'!$F:$F)</f>
        <v>Swallowtail Shiner</v>
      </c>
      <c r="E5704" t="str">
        <f>_xlfn.XLOOKUP(A5704,'[1]Tissue Data'!$A:$A,'[1]Tissue Data'!$H:$H)</f>
        <v>Notropis</v>
      </c>
      <c r="F5704" t="str">
        <f>_xlfn.XLOOKUP(A5704,'[1]Tissue Data'!$A:$A,'[1]Tissue Data'!$I:$I)</f>
        <v>procne</v>
      </c>
      <c r="G5704" t="str">
        <f>_xlfn.XLOOKUP(A5704,'[1]Tissue Data'!$A:$A,'[1]Tissue Data'!J:J)</f>
        <v>U</v>
      </c>
      <c r="H5704" t="str">
        <f>_xlfn.XLOOKUP(A5704,'[1]Tissue Data'!$A:$A,'[1]Tissue Data'!K:K)</f>
        <v>Whole Body</v>
      </c>
      <c r="I5704">
        <f>_xlfn.XLOOKUP(A5704,'[1]Tissue Data'!$A:$A,'[1]Tissue Data'!L:L)</f>
        <v>5.5</v>
      </c>
      <c r="J5704">
        <f>_xlfn.XLOOKUP(A5704,'[1]Tissue Data'!$A:$A,'[1]Tissue Data'!M:M)</f>
        <v>1.79</v>
      </c>
      <c r="K5704" t="s">
        <v>14</v>
      </c>
      <c r="L5704" t="str">
        <f>_xlfn.XLOOKUP(K5704,[2]analyte_order!$B:$B,[2]analyte_order!$C:$C)</f>
        <v>307-24-4</v>
      </c>
      <c r="M5704">
        <f>_xlfn.XLOOKUP(L5704,[2]analyte_order!$C:$C,[2]analyte_order!$E:$E)</f>
        <v>3</v>
      </c>
      <c r="N5704">
        <v>0.1215</v>
      </c>
    </row>
    <row r="5705" spans="1:14">
      <c r="A5705" t="s">
        <v>202</v>
      </c>
      <c r="B5705" t="str">
        <f>_xlfn.XLOOKUP(A5705,'[1]Tissue Data'!$A:$A,'[1]Tissue Data'!$C:$C)</f>
        <v>Spill</v>
      </c>
      <c r="C5705" s="2">
        <f>_xlfn.XLOOKUP(A5705,'[1]Tissue Data'!$A:$A,'[1]Tissue Data'!$D:$D)</f>
        <v>44393</v>
      </c>
      <c r="D5705" s="2" t="str">
        <f>_xlfn.XLOOKUP(A5705,'[1]Tissue Data'!$A:$A,'[1]Tissue Data'!$F:$F)</f>
        <v>Swallowtail Shiner</v>
      </c>
      <c r="E5705" t="str">
        <f>_xlfn.XLOOKUP(A5705,'[1]Tissue Data'!$A:$A,'[1]Tissue Data'!$H:$H)</f>
        <v>Notropis</v>
      </c>
      <c r="F5705" t="str">
        <f>_xlfn.XLOOKUP(A5705,'[1]Tissue Data'!$A:$A,'[1]Tissue Data'!$I:$I)</f>
        <v>procne</v>
      </c>
      <c r="G5705" t="str">
        <f>_xlfn.XLOOKUP(A5705,'[1]Tissue Data'!$A:$A,'[1]Tissue Data'!J:J)</f>
        <v>U</v>
      </c>
      <c r="H5705" t="str">
        <f>_xlfn.XLOOKUP(A5705,'[1]Tissue Data'!$A:$A,'[1]Tissue Data'!K:K)</f>
        <v>Whole Body</v>
      </c>
      <c r="I5705">
        <f>_xlfn.XLOOKUP(A5705,'[1]Tissue Data'!$A:$A,'[1]Tissue Data'!L:L)</f>
        <v>5.5</v>
      </c>
      <c r="J5705">
        <f>_xlfn.XLOOKUP(A5705,'[1]Tissue Data'!$A:$A,'[1]Tissue Data'!M:M)</f>
        <v>1.79</v>
      </c>
      <c r="K5705" t="s">
        <v>15</v>
      </c>
      <c r="L5705" t="str">
        <f>_xlfn.XLOOKUP(K5705,[2]analyte_order!$B:$B,[2]analyte_order!$C:$C)</f>
        <v>375-85-9</v>
      </c>
      <c r="M5705">
        <f>_xlfn.XLOOKUP(L5705,[2]analyte_order!$C:$C,[2]analyte_order!$E:$E)</f>
        <v>4</v>
      </c>
      <c r="N5705">
        <v>0.09</v>
      </c>
    </row>
    <row r="5706" spans="1:14">
      <c r="A5706" t="s">
        <v>202</v>
      </c>
      <c r="B5706" t="str">
        <f>_xlfn.XLOOKUP(A5706,'[1]Tissue Data'!$A:$A,'[1]Tissue Data'!$C:$C)</f>
        <v>Spill</v>
      </c>
      <c r="C5706" s="2">
        <f>_xlfn.XLOOKUP(A5706,'[1]Tissue Data'!$A:$A,'[1]Tissue Data'!$D:$D)</f>
        <v>44393</v>
      </c>
      <c r="D5706" s="2" t="str">
        <f>_xlfn.XLOOKUP(A5706,'[1]Tissue Data'!$A:$A,'[1]Tissue Data'!$F:$F)</f>
        <v>Swallowtail Shiner</v>
      </c>
      <c r="E5706" t="str">
        <f>_xlfn.XLOOKUP(A5706,'[1]Tissue Data'!$A:$A,'[1]Tissue Data'!$H:$H)</f>
        <v>Notropis</v>
      </c>
      <c r="F5706" t="str">
        <f>_xlfn.XLOOKUP(A5706,'[1]Tissue Data'!$A:$A,'[1]Tissue Data'!$I:$I)</f>
        <v>procne</v>
      </c>
      <c r="G5706" t="str">
        <f>_xlfn.XLOOKUP(A5706,'[1]Tissue Data'!$A:$A,'[1]Tissue Data'!J:J)</f>
        <v>U</v>
      </c>
      <c r="H5706" t="str">
        <f>_xlfn.XLOOKUP(A5706,'[1]Tissue Data'!$A:$A,'[1]Tissue Data'!K:K)</f>
        <v>Whole Body</v>
      </c>
      <c r="I5706">
        <f>_xlfn.XLOOKUP(A5706,'[1]Tissue Data'!$A:$A,'[1]Tissue Data'!L:L)</f>
        <v>5.5</v>
      </c>
      <c r="J5706">
        <f>_xlfn.XLOOKUP(A5706,'[1]Tissue Data'!$A:$A,'[1]Tissue Data'!M:M)</f>
        <v>1.79</v>
      </c>
      <c r="K5706" t="s">
        <v>16</v>
      </c>
      <c r="L5706" t="str">
        <f>_xlfn.XLOOKUP(K5706,[2]analyte_order!$B:$B,[2]analyte_order!$C:$C)</f>
        <v>335-67-1</v>
      </c>
      <c r="M5706">
        <f>_xlfn.XLOOKUP(L5706,[2]analyte_order!$C:$C,[2]analyte_order!$E:$E)</f>
        <v>5</v>
      </c>
      <c r="N5706">
        <v>2</v>
      </c>
    </row>
    <row r="5707" spans="1:14">
      <c r="A5707" t="s">
        <v>202</v>
      </c>
      <c r="B5707" t="str">
        <f>_xlfn.XLOOKUP(A5707,'[1]Tissue Data'!$A:$A,'[1]Tissue Data'!$C:$C)</f>
        <v>Spill</v>
      </c>
      <c r="C5707" s="2">
        <f>_xlfn.XLOOKUP(A5707,'[1]Tissue Data'!$A:$A,'[1]Tissue Data'!$D:$D)</f>
        <v>44393</v>
      </c>
      <c r="D5707" s="2" t="str">
        <f>_xlfn.XLOOKUP(A5707,'[1]Tissue Data'!$A:$A,'[1]Tissue Data'!$F:$F)</f>
        <v>Swallowtail Shiner</v>
      </c>
      <c r="E5707" t="str">
        <f>_xlfn.XLOOKUP(A5707,'[1]Tissue Data'!$A:$A,'[1]Tissue Data'!$H:$H)</f>
        <v>Notropis</v>
      </c>
      <c r="F5707" t="str">
        <f>_xlfn.XLOOKUP(A5707,'[1]Tissue Data'!$A:$A,'[1]Tissue Data'!$I:$I)</f>
        <v>procne</v>
      </c>
      <c r="G5707" t="str">
        <f>_xlfn.XLOOKUP(A5707,'[1]Tissue Data'!$A:$A,'[1]Tissue Data'!J:J)</f>
        <v>U</v>
      </c>
      <c r="H5707" t="str">
        <f>_xlfn.XLOOKUP(A5707,'[1]Tissue Data'!$A:$A,'[1]Tissue Data'!K:K)</f>
        <v>Whole Body</v>
      </c>
      <c r="I5707">
        <f>_xlfn.XLOOKUP(A5707,'[1]Tissue Data'!$A:$A,'[1]Tissue Data'!L:L)</f>
        <v>5.5</v>
      </c>
      <c r="J5707">
        <f>_xlfn.XLOOKUP(A5707,'[1]Tissue Data'!$A:$A,'[1]Tissue Data'!M:M)</f>
        <v>1.79</v>
      </c>
      <c r="K5707" t="s">
        <v>17</v>
      </c>
      <c r="L5707" t="str">
        <f>_xlfn.XLOOKUP(K5707,[2]analyte_order!$B:$B,[2]analyte_order!$C:$C)</f>
        <v>375-95-1</v>
      </c>
      <c r="M5707">
        <f>_xlfn.XLOOKUP(L5707,[2]analyte_order!$C:$C,[2]analyte_order!$E:$E)</f>
        <v>6</v>
      </c>
      <c r="N5707">
        <v>1.96</v>
      </c>
    </row>
    <row r="5708" spans="1:14">
      <c r="A5708" t="s">
        <v>202</v>
      </c>
      <c r="B5708" t="str">
        <f>_xlfn.XLOOKUP(A5708,'[1]Tissue Data'!$A:$A,'[1]Tissue Data'!$C:$C)</f>
        <v>Spill</v>
      </c>
      <c r="C5708" s="2">
        <f>_xlfn.XLOOKUP(A5708,'[1]Tissue Data'!$A:$A,'[1]Tissue Data'!$D:$D)</f>
        <v>44393</v>
      </c>
      <c r="D5708" s="2" t="str">
        <f>_xlfn.XLOOKUP(A5708,'[1]Tissue Data'!$A:$A,'[1]Tissue Data'!$F:$F)</f>
        <v>Swallowtail Shiner</v>
      </c>
      <c r="E5708" t="str">
        <f>_xlfn.XLOOKUP(A5708,'[1]Tissue Data'!$A:$A,'[1]Tissue Data'!$H:$H)</f>
        <v>Notropis</v>
      </c>
      <c r="F5708" t="str">
        <f>_xlfn.XLOOKUP(A5708,'[1]Tissue Data'!$A:$A,'[1]Tissue Data'!$I:$I)</f>
        <v>procne</v>
      </c>
      <c r="G5708" t="str">
        <f>_xlfn.XLOOKUP(A5708,'[1]Tissue Data'!$A:$A,'[1]Tissue Data'!J:J)</f>
        <v>U</v>
      </c>
      <c r="H5708" t="str">
        <f>_xlfn.XLOOKUP(A5708,'[1]Tissue Data'!$A:$A,'[1]Tissue Data'!K:K)</f>
        <v>Whole Body</v>
      </c>
      <c r="I5708">
        <f>_xlfn.XLOOKUP(A5708,'[1]Tissue Data'!$A:$A,'[1]Tissue Data'!L:L)</f>
        <v>5.5</v>
      </c>
      <c r="J5708">
        <f>_xlfn.XLOOKUP(A5708,'[1]Tissue Data'!$A:$A,'[1]Tissue Data'!M:M)</f>
        <v>1.79</v>
      </c>
      <c r="K5708" t="s">
        <v>18</v>
      </c>
      <c r="L5708" t="str">
        <f>_xlfn.XLOOKUP(K5708,[2]analyte_order!$B:$B,[2]analyte_order!$C:$C)</f>
        <v>335-76-2</v>
      </c>
      <c r="M5708">
        <f>_xlfn.XLOOKUP(L5708,[2]analyte_order!$C:$C,[2]analyte_order!$E:$E)</f>
        <v>7</v>
      </c>
      <c r="N5708">
        <v>6.25</v>
      </c>
    </row>
    <row r="5709" spans="1:14">
      <c r="A5709" t="s">
        <v>202</v>
      </c>
      <c r="B5709" t="str">
        <f>_xlfn.XLOOKUP(A5709,'[1]Tissue Data'!$A:$A,'[1]Tissue Data'!$C:$C)</f>
        <v>Spill</v>
      </c>
      <c r="C5709" s="2">
        <f>_xlfn.XLOOKUP(A5709,'[1]Tissue Data'!$A:$A,'[1]Tissue Data'!$D:$D)</f>
        <v>44393</v>
      </c>
      <c r="D5709" s="2" t="str">
        <f>_xlfn.XLOOKUP(A5709,'[1]Tissue Data'!$A:$A,'[1]Tissue Data'!$F:$F)</f>
        <v>Swallowtail Shiner</v>
      </c>
      <c r="E5709" t="str">
        <f>_xlfn.XLOOKUP(A5709,'[1]Tissue Data'!$A:$A,'[1]Tissue Data'!$H:$H)</f>
        <v>Notropis</v>
      </c>
      <c r="F5709" t="str">
        <f>_xlfn.XLOOKUP(A5709,'[1]Tissue Data'!$A:$A,'[1]Tissue Data'!$I:$I)</f>
        <v>procne</v>
      </c>
      <c r="G5709" t="str">
        <f>_xlfn.XLOOKUP(A5709,'[1]Tissue Data'!$A:$A,'[1]Tissue Data'!J:J)</f>
        <v>U</v>
      </c>
      <c r="H5709" t="str">
        <f>_xlfn.XLOOKUP(A5709,'[1]Tissue Data'!$A:$A,'[1]Tissue Data'!K:K)</f>
        <v>Whole Body</v>
      </c>
      <c r="I5709">
        <f>_xlfn.XLOOKUP(A5709,'[1]Tissue Data'!$A:$A,'[1]Tissue Data'!L:L)</f>
        <v>5.5</v>
      </c>
      <c r="J5709">
        <f>_xlfn.XLOOKUP(A5709,'[1]Tissue Data'!$A:$A,'[1]Tissue Data'!M:M)</f>
        <v>1.79</v>
      </c>
      <c r="K5709" t="s">
        <v>19</v>
      </c>
      <c r="L5709" t="str">
        <f>_xlfn.XLOOKUP(K5709,[2]analyte_order!$B:$B,[2]analyte_order!$C:$C)</f>
        <v>2058-94-8</v>
      </c>
      <c r="M5709">
        <f>_xlfn.XLOOKUP(L5709,[2]analyte_order!$C:$C,[2]analyte_order!$E:$E)</f>
        <v>8</v>
      </c>
      <c r="N5709">
        <v>10</v>
      </c>
    </row>
    <row r="5710" spans="1:14">
      <c r="A5710" t="s">
        <v>202</v>
      </c>
      <c r="B5710" t="str">
        <f>_xlfn.XLOOKUP(A5710,'[1]Tissue Data'!$A:$A,'[1]Tissue Data'!$C:$C)</f>
        <v>Spill</v>
      </c>
      <c r="C5710" s="2">
        <f>_xlfn.XLOOKUP(A5710,'[1]Tissue Data'!$A:$A,'[1]Tissue Data'!$D:$D)</f>
        <v>44393</v>
      </c>
      <c r="D5710" s="2" t="str">
        <f>_xlfn.XLOOKUP(A5710,'[1]Tissue Data'!$A:$A,'[1]Tissue Data'!$F:$F)</f>
        <v>Swallowtail Shiner</v>
      </c>
      <c r="E5710" t="str">
        <f>_xlfn.XLOOKUP(A5710,'[1]Tissue Data'!$A:$A,'[1]Tissue Data'!$H:$H)</f>
        <v>Notropis</v>
      </c>
      <c r="F5710" t="str">
        <f>_xlfn.XLOOKUP(A5710,'[1]Tissue Data'!$A:$A,'[1]Tissue Data'!$I:$I)</f>
        <v>procne</v>
      </c>
      <c r="G5710" t="str">
        <f>_xlfn.XLOOKUP(A5710,'[1]Tissue Data'!$A:$A,'[1]Tissue Data'!J:J)</f>
        <v>U</v>
      </c>
      <c r="H5710" t="str">
        <f>_xlfn.XLOOKUP(A5710,'[1]Tissue Data'!$A:$A,'[1]Tissue Data'!K:K)</f>
        <v>Whole Body</v>
      </c>
      <c r="I5710">
        <f>_xlfn.XLOOKUP(A5710,'[1]Tissue Data'!$A:$A,'[1]Tissue Data'!L:L)</f>
        <v>5.5</v>
      </c>
      <c r="J5710">
        <f>_xlfn.XLOOKUP(A5710,'[1]Tissue Data'!$A:$A,'[1]Tissue Data'!M:M)</f>
        <v>1.79</v>
      </c>
      <c r="K5710" t="s">
        <v>20</v>
      </c>
      <c r="L5710" t="str">
        <f>_xlfn.XLOOKUP(K5710,[2]analyte_order!$B:$B,[2]analyte_order!$C:$C)</f>
        <v>307-55-1</v>
      </c>
      <c r="M5710">
        <f>_xlfn.XLOOKUP(L5710,[2]analyte_order!$C:$C,[2]analyte_order!$E:$E)</f>
        <v>9</v>
      </c>
      <c r="N5710">
        <v>12.1</v>
      </c>
    </row>
    <row r="5711" spans="1:14">
      <c r="A5711" t="s">
        <v>202</v>
      </c>
      <c r="B5711" t="str">
        <f>_xlfn.XLOOKUP(A5711,'[1]Tissue Data'!$A:$A,'[1]Tissue Data'!$C:$C)</f>
        <v>Spill</v>
      </c>
      <c r="C5711" s="2">
        <f>_xlfn.XLOOKUP(A5711,'[1]Tissue Data'!$A:$A,'[1]Tissue Data'!$D:$D)</f>
        <v>44393</v>
      </c>
      <c r="D5711" s="2" t="str">
        <f>_xlfn.XLOOKUP(A5711,'[1]Tissue Data'!$A:$A,'[1]Tissue Data'!$F:$F)</f>
        <v>Swallowtail Shiner</v>
      </c>
      <c r="E5711" t="str">
        <f>_xlfn.XLOOKUP(A5711,'[1]Tissue Data'!$A:$A,'[1]Tissue Data'!$H:$H)</f>
        <v>Notropis</v>
      </c>
      <c r="F5711" t="str">
        <f>_xlfn.XLOOKUP(A5711,'[1]Tissue Data'!$A:$A,'[1]Tissue Data'!$I:$I)</f>
        <v>procne</v>
      </c>
      <c r="G5711" t="str">
        <f>_xlfn.XLOOKUP(A5711,'[1]Tissue Data'!$A:$A,'[1]Tissue Data'!J:J)</f>
        <v>U</v>
      </c>
      <c r="H5711" t="str">
        <f>_xlfn.XLOOKUP(A5711,'[1]Tissue Data'!$A:$A,'[1]Tissue Data'!K:K)</f>
        <v>Whole Body</v>
      </c>
      <c r="I5711">
        <f>_xlfn.XLOOKUP(A5711,'[1]Tissue Data'!$A:$A,'[1]Tissue Data'!L:L)</f>
        <v>5.5</v>
      </c>
      <c r="J5711">
        <f>_xlfn.XLOOKUP(A5711,'[1]Tissue Data'!$A:$A,'[1]Tissue Data'!M:M)</f>
        <v>1.79</v>
      </c>
      <c r="K5711" t="s">
        <v>21</v>
      </c>
      <c r="L5711" t="str">
        <f>_xlfn.XLOOKUP(K5711,[2]analyte_order!$B:$B,[2]analyte_order!$C:$C)</f>
        <v>72629-94-8</v>
      </c>
      <c r="M5711">
        <f>_xlfn.XLOOKUP(L5711,[2]analyte_order!$C:$C,[2]analyte_order!$E:$E)</f>
        <v>10</v>
      </c>
      <c r="N5711">
        <v>2.82</v>
      </c>
    </row>
    <row r="5712" spans="1:14">
      <c r="A5712" t="s">
        <v>202</v>
      </c>
      <c r="B5712" t="str">
        <f>_xlfn.XLOOKUP(A5712,'[1]Tissue Data'!$A:$A,'[1]Tissue Data'!$C:$C)</f>
        <v>Spill</v>
      </c>
      <c r="C5712" s="2">
        <f>_xlfn.XLOOKUP(A5712,'[1]Tissue Data'!$A:$A,'[1]Tissue Data'!$D:$D)</f>
        <v>44393</v>
      </c>
      <c r="D5712" s="2" t="str">
        <f>_xlfn.XLOOKUP(A5712,'[1]Tissue Data'!$A:$A,'[1]Tissue Data'!$F:$F)</f>
        <v>Swallowtail Shiner</v>
      </c>
      <c r="E5712" t="str">
        <f>_xlfn.XLOOKUP(A5712,'[1]Tissue Data'!$A:$A,'[1]Tissue Data'!$H:$H)</f>
        <v>Notropis</v>
      </c>
      <c r="F5712" t="str">
        <f>_xlfn.XLOOKUP(A5712,'[1]Tissue Data'!$A:$A,'[1]Tissue Data'!$I:$I)</f>
        <v>procne</v>
      </c>
      <c r="G5712" t="str">
        <f>_xlfn.XLOOKUP(A5712,'[1]Tissue Data'!$A:$A,'[1]Tissue Data'!J:J)</f>
        <v>U</v>
      </c>
      <c r="H5712" t="str">
        <f>_xlfn.XLOOKUP(A5712,'[1]Tissue Data'!$A:$A,'[1]Tissue Data'!K:K)</f>
        <v>Whole Body</v>
      </c>
      <c r="I5712">
        <f>_xlfn.XLOOKUP(A5712,'[1]Tissue Data'!$A:$A,'[1]Tissue Data'!L:L)</f>
        <v>5.5</v>
      </c>
      <c r="J5712">
        <f>_xlfn.XLOOKUP(A5712,'[1]Tissue Data'!$A:$A,'[1]Tissue Data'!M:M)</f>
        <v>1.79</v>
      </c>
      <c r="K5712" t="s">
        <v>22</v>
      </c>
      <c r="L5712" t="str">
        <f>_xlfn.XLOOKUP(K5712,[2]analyte_order!$B:$B,[2]analyte_order!$C:$C)</f>
        <v>376-06-7</v>
      </c>
      <c r="M5712">
        <f>_xlfn.XLOOKUP(L5712,[2]analyte_order!$C:$C,[2]analyte_order!$E:$E)</f>
        <v>11</v>
      </c>
      <c r="N5712">
        <v>9.74</v>
      </c>
    </row>
    <row r="5713" spans="1:14">
      <c r="A5713" t="s">
        <v>202</v>
      </c>
      <c r="B5713" t="str">
        <f>_xlfn.XLOOKUP(A5713,'[1]Tissue Data'!$A:$A,'[1]Tissue Data'!$C:$C)</f>
        <v>Spill</v>
      </c>
      <c r="C5713" s="2">
        <f>_xlfn.XLOOKUP(A5713,'[1]Tissue Data'!$A:$A,'[1]Tissue Data'!$D:$D)</f>
        <v>44393</v>
      </c>
      <c r="D5713" s="2" t="str">
        <f>_xlfn.XLOOKUP(A5713,'[1]Tissue Data'!$A:$A,'[1]Tissue Data'!$F:$F)</f>
        <v>Swallowtail Shiner</v>
      </c>
      <c r="E5713" t="str">
        <f>_xlfn.XLOOKUP(A5713,'[1]Tissue Data'!$A:$A,'[1]Tissue Data'!$H:$H)</f>
        <v>Notropis</v>
      </c>
      <c r="F5713" t="str">
        <f>_xlfn.XLOOKUP(A5713,'[1]Tissue Data'!$A:$A,'[1]Tissue Data'!$I:$I)</f>
        <v>procne</v>
      </c>
      <c r="G5713" t="str">
        <f>_xlfn.XLOOKUP(A5713,'[1]Tissue Data'!$A:$A,'[1]Tissue Data'!J:J)</f>
        <v>U</v>
      </c>
      <c r="H5713" t="str">
        <f>_xlfn.XLOOKUP(A5713,'[1]Tissue Data'!$A:$A,'[1]Tissue Data'!K:K)</f>
        <v>Whole Body</v>
      </c>
      <c r="I5713">
        <f>_xlfn.XLOOKUP(A5713,'[1]Tissue Data'!$A:$A,'[1]Tissue Data'!L:L)</f>
        <v>5.5</v>
      </c>
      <c r="J5713">
        <f>_xlfn.XLOOKUP(A5713,'[1]Tissue Data'!$A:$A,'[1]Tissue Data'!M:M)</f>
        <v>1.79</v>
      </c>
      <c r="K5713" t="s">
        <v>23</v>
      </c>
      <c r="L5713" t="str">
        <f>_xlfn.XLOOKUP(K5713,[2]analyte_order!$B:$B,[2]analyte_order!$C:$C)</f>
        <v>67905-19-5</v>
      </c>
      <c r="M5713">
        <f>_xlfn.XLOOKUP(L5713,[2]analyte_order!$C:$C,[2]analyte_order!$E:$E)</f>
        <v>12</v>
      </c>
      <c r="N5713">
        <v>8.1500000000000003E-2</v>
      </c>
    </row>
    <row r="5714" spans="1:14">
      <c r="A5714" t="s">
        <v>202</v>
      </c>
      <c r="B5714" t="str">
        <f>_xlfn.XLOOKUP(A5714,'[1]Tissue Data'!$A:$A,'[1]Tissue Data'!$C:$C)</f>
        <v>Spill</v>
      </c>
      <c r="C5714" s="2">
        <f>_xlfn.XLOOKUP(A5714,'[1]Tissue Data'!$A:$A,'[1]Tissue Data'!$D:$D)</f>
        <v>44393</v>
      </c>
      <c r="D5714" s="2" t="str">
        <f>_xlfn.XLOOKUP(A5714,'[1]Tissue Data'!$A:$A,'[1]Tissue Data'!$F:$F)</f>
        <v>Swallowtail Shiner</v>
      </c>
      <c r="E5714" t="str">
        <f>_xlfn.XLOOKUP(A5714,'[1]Tissue Data'!$A:$A,'[1]Tissue Data'!$H:$H)</f>
        <v>Notropis</v>
      </c>
      <c r="F5714" t="str">
        <f>_xlfn.XLOOKUP(A5714,'[1]Tissue Data'!$A:$A,'[1]Tissue Data'!$I:$I)</f>
        <v>procne</v>
      </c>
      <c r="G5714" t="str">
        <f>_xlfn.XLOOKUP(A5714,'[1]Tissue Data'!$A:$A,'[1]Tissue Data'!J:J)</f>
        <v>U</v>
      </c>
      <c r="H5714" t="str">
        <f>_xlfn.XLOOKUP(A5714,'[1]Tissue Data'!$A:$A,'[1]Tissue Data'!K:K)</f>
        <v>Whole Body</v>
      </c>
      <c r="I5714">
        <f>_xlfn.XLOOKUP(A5714,'[1]Tissue Data'!$A:$A,'[1]Tissue Data'!L:L)</f>
        <v>5.5</v>
      </c>
      <c r="J5714">
        <f>_xlfn.XLOOKUP(A5714,'[1]Tissue Data'!$A:$A,'[1]Tissue Data'!M:M)</f>
        <v>1.79</v>
      </c>
      <c r="K5714" t="s">
        <v>24</v>
      </c>
      <c r="L5714" t="str">
        <f>_xlfn.XLOOKUP(K5714,[2]analyte_order!$B:$B,[2]analyte_order!$C:$C)</f>
        <v>423-41-6</v>
      </c>
      <c r="M5714">
        <f>_xlfn.XLOOKUP(L5714,[2]analyte_order!$C:$C,[2]analyte_order!$E:$E)</f>
        <v>53</v>
      </c>
      <c r="N5714">
        <v>6.8000000000000005E-2</v>
      </c>
    </row>
    <row r="5715" spans="1:14">
      <c r="A5715" t="s">
        <v>202</v>
      </c>
      <c r="B5715" t="str">
        <f>_xlfn.XLOOKUP(A5715,'[1]Tissue Data'!$A:$A,'[1]Tissue Data'!$C:$C)</f>
        <v>Spill</v>
      </c>
      <c r="C5715" s="2">
        <f>_xlfn.XLOOKUP(A5715,'[1]Tissue Data'!$A:$A,'[1]Tissue Data'!$D:$D)</f>
        <v>44393</v>
      </c>
      <c r="D5715" s="2" t="str">
        <f>_xlfn.XLOOKUP(A5715,'[1]Tissue Data'!$A:$A,'[1]Tissue Data'!$F:$F)</f>
        <v>Swallowtail Shiner</v>
      </c>
      <c r="E5715" t="str">
        <f>_xlfn.XLOOKUP(A5715,'[1]Tissue Data'!$A:$A,'[1]Tissue Data'!$H:$H)</f>
        <v>Notropis</v>
      </c>
      <c r="F5715" t="str">
        <f>_xlfn.XLOOKUP(A5715,'[1]Tissue Data'!$A:$A,'[1]Tissue Data'!$I:$I)</f>
        <v>procne</v>
      </c>
      <c r="G5715" t="str">
        <f>_xlfn.XLOOKUP(A5715,'[1]Tissue Data'!$A:$A,'[1]Tissue Data'!J:J)</f>
        <v>U</v>
      </c>
      <c r="H5715" t="str">
        <f>_xlfn.XLOOKUP(A5715,'[1]Tissue Data'!$A:$A,'[1]Tissue Data'!K:K)</f>
        <v>Whole Body</v>
      </c>
      <c r="I5715">
        <f>_xlfn.XLOOKUP(A5715,'[1]Tissue Data'!$A:$A,'[1]Tissue Data'!L:L)</f>
        <v>5.5</v>
      </c>
      <c r="J5715">
        <f>_xlfn.XLOOKUP(A5715,'[1]Tissue Data'!$A:$A,'[1]Tissue Data'!M:M)</f>
        <v>1.79</v>
      </c>
      <c r="K5715" t="s">
        <v>25</v>
      </c>
      <c r="L5715" t="str">
        <f>_xlfn.XLOOKUP(K5715,[2]analyte_order!$B:$B,[2]analyte_order!$C:$C)</f>
        <v>375-73-5</v>
      </c>
      <c r="M5715">
        <f>_xlfn.XLOOKUP(L5715,[2]analyte_order!$C:$C,[2]analyte_order!$E:$E)</f>
        <v>14</v>
      </c>
      <c r="N5715">
        <v>0.153</v>
      </c>
    </row>
    <row r="5716" spans="1:14">
      <c r="A5716" t="s">
        <v>202</v>
      </c>
      <c r="B5716" t="str">
        <f>_xlfn.XLOOKUP(A5716,'[1]Tissue Data'!$A:$A,'[1]Tissue Data'!$C:$C)</f>
        <v>Spill</v>
      </c>
      <c r="C5716" s="2">
        <f>_xlfn.XLOOKUP(A5716,'[1]Tissue Data'!$A:$A,'[1]Tissue Data'!$D:$D)</f>
        <v>44393</v>
      </c>
      <c r="D5716" s="2" t="str">
        <f>_xlfn.XLOOKUP(A5716,'[1]Tissue Data'!$A:$A,'[1]Tissue Data'!$F:$F)</f>
        <v>Swallowtail Shiner</v>
      </c>
      <c r="E5716" t="str">
        <f>_xlfn.XLOOKUP(A5716,'[1]Tissue Data'!$A:$A,'[1]Tissue Data'!$H:$H)</f>
        <v>Notropis</v>
      </c>
      <c r="F5716" t="str">
        <f>_xlfn.XLOOKUP(A5716,'[1]Tissue Data'!$A:$A,'[1]Tissue Data'!$I:$I)</f>
        <v>procne</v>
      </c>
      <c r="G5716" t="str">
        <f>_xlfn.XLOOKUP(A5716,'[1]Tissue Data'!$A:$A,'[1]Tissue Data'!J:J)</f>
        <v>U</v>
      </c>
      <c r="H5716" t="str">
        <f>_xlfn.XLOOKUP(A5716,'[1]Tissue Data'!$A:$A,'[1]Tissue Data'!K:K)</f>
        <v>Whole Body</v>
      </c>
      <c r="I5716">
        <f>_xlfn.XLOOKUP(A5716,'[1]Tissue Data'!$A:$A,'[1]Tissue Data'!L:L)</f>
        <v>5.5</v>
      </c>
      <c r="J5716">
        <f>_xlfn.XLOOKUP(A5716,'[1]Tissue Data'!$A:$A,'[1]Tissue Data'!M:M)</f>
        <v>1.79</v>
      </c>
      <c r="K5716" t="s">
        <v>26</v>
      </c>
      <c r="L5716" t="str">
        <f>_xlfn.XLOOKUP(K5716,[2]analyte_order!$B:$B,[2]analyte_order!$C:$C)</f>
        <v>2706-91-4</v>
      </c>
      <c r="M5716">
        <f>_xlfn.XLOOKUP(L5716,[2]analyte_order!$C:$C,[2]analyte_order!$E:$E)</f>
        <v>15</v>
      </c>
      <c r="N5716">
        <v>0.22500000000000001</v>
      </c>
    </row>
    <row r="5717" spans="1:14">
      <c r="A5717" t="s">
        <v>202</v>
      </c>
      <c r="B5717" t="str">
        <f>_xlfn.XLOOKUP(A5717,'[1]Tissue Data'!$A:$A,'[1]Tissue Data'!$C:$C)</f>
        <v>Spill</v>
      </c>
      <c r="C5717" s="2">
        <f>_xlfn.XLOOKUP(A5717,'[1]Tissue Data'!$A:$A,'[1]Tissue Data'!$D:$D)</f>
        <v>44393</v>
      </c>
      <c r="D5717" s="2" t="str">
        <f>_xlfn.XLOOKUP(A5717,'[1]Tissue Data'!$A:$A,'[1]Tissue Data'!$F:$F)</f>
        <v>Swallowtail Shiner</v>
      </c>
      <c r="E5717" t="str">
        <f>_xlfn.XLOOKUP(A5717,'[1]Tissue Data'!$A:$A,'[1]Tissue Data'!$H:$H)</f>
        <v>Notropis</v>
      </c>
      <c r="F5717" t="str">
        <f>_xlfn.XLOOKUP(A5717,'[1]Tissue Data'!$A:$A,'[1]Tissue Data'!$I:$I)</f>
        <v>procne</v>
      </c>
      <c r="G5717" t="str">
        <f>_xlfn.XLOOKUP(A5717,'[1]Tissue Data'!$A:$A,'[1]Tissue Data'!J:J)</f>
        <v>U</v>
      </c>
      <c r="H5717" t="str">
        <f>_xlfn.XLOOKUP(A5717,'[1]Tissue Data'!$A:$A,'[1]Tissue Data'!K:K)</f>
        <v>Whole Body</v>
      </c>
      <c r="I5717">
        <f>_xlfn.XLOOKUP(A5717,'[1]Tissue Data'!$A:$A,'[1]Tissue Data'!L:L)</f>
        <v>5.5</v>
      </c>
      <c r="J5717">
        <f>_xlfn.XLOOKUP(A5717,'[1]Tissue Data'!$A:$A,'[1]Tissue Data'!M:M)</f>
        <v>1.79</v>
      </c>
      <c r="K5717" t="s">
        <v>27</v>
      </c>
      <c r="L5717" t="str">
        <f>_xlfn.XLOOKUP(K5717,[2]analyte_order!$B:$B,[2]analyte_order!$C:$C)</f>
        <v>355-46-4</v>
      </c>
      <c r="M5717">
        <f>_xlfn.XLOOKUP(L5717,[2]analyte_order!$C:$C,[2]analyte_order!$E:$E)</f>
        <v>16</v>
      </c>
      <c r="N5717">
        <v>31.9</v>
      </c>
    </row>
    <row r="5718" spans="1:14">
      <c r="A5718" t="s">
        <v>202</v>
      </c>
      <c r="B5718" t="str">
        <f>_xlfn.XLOOKUP(A5718,'[1]Tissue Data'!$A:$A,'[1]Tissue Data'!$C:$C)</f>
        <v>Spill</v>
      </c>
      <c r="C5718" s="2">
        <f>_xlfn.XLOOKUP(A5718,'[1]Tissue Data'!$A:$A,'[1]Tissue Data'!$D:$D)</f>
        <v>44393</v>
      </c>
      <c r="D5718" s="2" t="str">
        <f>_xlfn.XLOOKUP(A5718,'[1]Tissue Data'!$A:$A,'[1]Tissue Data'!$F:$F)</f>
        <v>Swallowtail Shiner</v>
      </c>
      <c r="E5718" t="str">
        <f>_xlfn.XLOOKUP(A5718,'[1]Tissue Data'!$A:$A,'[1]Tissue Data'!$H:$H)</f>
        <v>Notropis</v>
      </c>
      <c r="F5718" t="str">
        <f>_xlfn.XLOOKUP(A5718,'[1]Tissue Data'!$A:$A,'[1]Tissue Data'!$I:$I)</f>
        <v>procne</v>
      </c>
      <c r="G5718" t="str">
        <f>_xlfn.XLOOKUP(A5718,'[1]Tissue Data'!$A:$A,'[1]Tissue Data'!J:J)</f>
        <v>U</v>
      </c>
      <c r="H5718" t="str">
        <f>_xlfn.XLOOKUP(A5718,'[1]Tissue Data'!$A:$A,'[1]Tissue Data'!K:K)</f>
        <v>Whole Body</v>
      </c>
      <c r="I5718">
        <f>_xlfn.XLOOKUP(A5718,'[1]Tissue Data'!$A:$A,'[1]Tissue Data'!L:L)</f>
        <v>5.5</v>
      </c>
      <c r="J5718">
        <f>_xlfn.XLOOKUP(A5718,'[1]Tissue Data'!$A:$A,'[1]Tissue Data'!M:M)</f>
        <v>1.79</v>
      </c>
      <c r="K5718" t="s">
        <v>28</v>
      </c>
      <c r="L5718" t="str">
        <f>_xlfn.XLOOKUP(K5718,[2]analyte_order!$B:$B,[2]analyte_order!$C:$C)</f>
        <v>375-92-8</v>
      </c>
      <c r="M5718">
        <f>_xlfn.XLOOKUP(L5718,[2]analyte_order!$C:$C,[2]analyte_order!$E:$E)</f>
        <v>17</v>
      </c>
      <c r="N5718">
        <v>2.2799999999999998</v>
      </c>
    </row>
    <row r="5719" spans="1:14">
      <c r="A5719" t="s">
        <v>202</v>
      </c>
      <c r="B5719" t="str">
        <f>_xlfn.XLOOKUP(A5719,'[1]Tissue Data'!$A:$A,'[1]Tissue Data'!$C:$C)</f>
        <v>Spill</v>
      </c>
      <c r="C5719" s="2">
        <f>_xlfn.XLOOKUP(A5719,'[1]Tissue Data'!$A:$A,'[1]Tissue Data'!$D:$D)</f>
        <v>44393</v>
      </c>
      <c r="D5719" s="2" t="str">
        <f>_xlfn.XLOOKUP(A5719,'[1]Tissue Data'!$A:$A,'[1]Tissue Data'!$F:$F)</f>
        <v>Swallowtail Shiner</v>
      </c>
      <c r="E5719" t="str">
        <f>_xlfn.XLOOKUP(A5719,'[1]Tissue Data'!$A:$A,'[1]Tissue Data'!$H:$H)</f>
        <v>Notropis</v>
      </c>
      <c r="F5719" t="str">
        <f>_xlfn.XLOOKUP(A5719,'[1]Tissue Data'!$A:$A,'[1]Tissue Data'!$I:$I)</f>
        <v>procne</v>
      </c>
      <c r="G5719" t="str">
        <f>_xlfn.XLOOKUP(A5719,'[1]Tissue Data'!$A:$A,'[1]Tissue Data'!J:J)</f>
        <v>U</v>
      </c>
      <c r="H5719" t="str">
        <f>_xlfn.XLOOKUP(A5719,'[1]Tissue Data'!$A:$A,'[1]Tissue Data'!K:K)</f>
        <v>Whole Body</v>
      </c>
      <c r="I5719">
        <f>_xlfn.XLOOKUP(A5719,'[1]Tissue Data'!$A:$A,'[1]Tissue Data'!L:L)</f>
        <v>5.5</v>
      </c>
      <c r="J5719">
        <f>_xlfn.XLOOKUP(A5719,'[1]Tissue Data'!$A:$A,'[1]Tissue Data'!M:M)</f>
        <v>1.79</v>
      </c>
      <c r="K5719" t="s">
        <v>29</v>
      </c>
      <c r="L5719" t="str">
        <f>_xlfn.XLOOKUP(K5719,[2]analyte_order!$B:$B,[2]analyte_order!$C:$C)</f>
        <v>1763-23-1</v>
      </c>
      <c r="M5719">
        <f>_xlfn.XLOOKUP(L5719,[2]analyte_order!$C:$C,[2]analyte_order!$E:$E)</f>
        <v>18</v>
      </c>
      <c r="N5719">
        <v>603</v>
      </c>
    </row>
    <row r="5720" spans="1:14">
      <c r="A5720" t="s">
        <v>202</v>
      </c>
      <c r="B5720" t="str">
        <f>_xlfn.XLOOKUP(A5720,'[1]Tissue Data'!$A:$A,'[1]Tissue Data'!$C:$C)</f>
        <v>Spill</v>
      </c>
      <c r="C5720" s="2">
        <f>_xlfn.XLOOKUP(A5720,'[1]Tissue Data'!$A:$A,'[1]Tissue Data'!$D:$D)</f>
        <v>44393</v>
      </c>
      <c r="D5720" s="2" t="str">
        <f>_xlfn.XLOOKUP(A5720,'[1]Tissue Data'!$A:$A,'[1]Tissue Data'!$F:$F)</f>
        <v>Swallowtail Shiner</v>
      </c>
      <c r="E5720" t="str">
        <f>_xlfn.XLOOKUP(A5720,'[1]Tissue Data'!$A:$A,'[1]Tissue Data'!$H:$H)</f>
        <v>Notropis</v>
      </c>
      <c r="F5720" t="str">
        <f>_xlfn.XLOOKUP(A5720,'[1]Tissue Data'!$A:$A,'[1]Tissue Data'!$I:$I)</f>
        <v>procne</v>
      </c>
      <c r="G5720" t="str">
        <f>_xlfn.XLOOKUP(A5720,'[1]Tissue Data'!$A:$A,'[1]Tissue Data'!J:J)</f>
        <v>U</v>
      </c>
      <c r="H5720" t="str">
        <f>_xlfn.XLOOKUP(A5720,'[1]Tissue Data'!$A:$A,'[1]Tissue Data'!K:K)</f>
        <v>Whole Body</v>
      </c>
      <c r="I5720">
        <f>_xlfn.XLOOKUP(A5720,'[1]Tissue Data'!$A:$A,'[1]Tissue Data'!L:L)</f>
        <v>5.5</v>
      </c>
      <c r="J5720">
        <f>_xlfn.XLOOKUP(A5720,'[1]Tissue Data'!$A:$A,'[1]Tissue Data'!M:M)</f>
        <v>1.79</v>
      </c>
      <c r="K5720" t="s">
        <v>30</v>
      </c>
      <c r="L5720" t="str">
        <f>_xlfn.XLOOKUP(K5720,[2]analyte_order!$B:$B,[2]analyte_order!$C:$C)</f>
        <v>68259-12-1</v>
      </c>
      <c r="M5720">
        <f>_xlfn.XLOOKUP(L5720,[2]analyte_order!$C:$C,[2]analyte_order!$E:$E)</f>
        <v>19</v>
      </c>
      <c r="N5720">
        <v>0.38800000000000001</v>
      </c>
    </row>
    <row r="5721" spans="1:14">
      <c r="A5721" t="s">
        <v>202</v>
      </c>
      <c r="B5721" t="str">
        <f>_xlfn.XLOOKUP(A5721,'[1]Tissue Data'!$A:$A,'[1]Tissue Data'!$C:$C)</f>
        <v>Spill</v>
      </c>
      <c r="C5721" s="2">
        <f>_xlfn.XLOOKUP(A5721,'[1]Tissue Data'!$A:$A,'[1]Tissue Data'!$D:$D)</f>
        <v>44393</v>
      </c>
      <c r="D5721" s="2" t="str">
        <f>_xlfn.XLOOKUP(A5721,'[1]Tissue Data'!$A:$A,'[1]Tissue Data'!$F:$F)</f>
        <v>Swallowtail Shiner</v>
      </c>
      <c r="E5721" t="str">
        <f>_xlfn.XLOOKUP(A5721,'[1]Tissue Data'!$A:$A,'[1]Tissue Data'!$H:$H)</f>
        <v>Notropis</v>
      </c>
      <c r="F5721" t="str">
        <f>_xlfn.XLOOKUP(A5721,'[1]Tissue Data'!$A:$A,'[1]Tissue Data'!$I:$I)</f>
        <v>procne</v>
      </c>
      <c r="G5721" t="str">
        <f>_xlfn.XLOOKUP(A5721,'[1]Tissue Data'!$A:$A,'[1]Tissue Data'!J:J)</f>
        <v>U</v>
      </c>
      <c r="H5721" t="str">
        <f>_xlfn.XLOOKUP(A5721,'[1]Tissue Data'!$A:$A,'[1]Tissue Data'!K:K)</f>
        <v>Whole Body</v>
      </c>
      <c r="I5721">
        <f>_xlfn.XLOOKUP(A5721,'[1]Tissue Data'!$A:$A,'[1]Tissue Data'!L:L)</f>
        <v>5.5</v>
      </c>
      <c r="J5721">
        <f>_xlfn.XLOOKUP(A5721,'[1]Tissue Data'!$A:$A,'[1]Tissue Data'!M:M)</f>
        <v>1.79</v>
      </c>
      <c r="K5721" t="s">
        <v>31</v>
      </c>
      <c r="L5721" t="str">
        <f>_xlfn.XLOOKUP(K5721,[2]analyte_order!$B:$B,[2]analyte_order!$C:$C)</f>
        <v>335-77-3</v>
      </c>
      <c r="M5721">
        <f>_xlfn.XLOOKUP(L5721,[2]analyte_order!$C:$C,[2]analyte_order!$E:$E)</f>
        <v>20</v>
      </c>
      <c r="N5721">
        <v>0.64200000000000002</v>
      </c>
    </row>
    <row r="5722" spans="1:14">
      <c r="A5722" t="s">
        <v>202</v>
      </c>
      <c r="B5722" t="str">
        <f>_xlfn.XLOOKUP(A5722,'[1]Tissue Data'!$A:$A,'[1]Tissue Data'!$C:$C)</f>
        <v>Spill</v>
      </c>
      <c r="C5722" s="2">
        <f>_xlfn.XLOOKUP(A5722,'[1]Tissue Data'!$A:$A,'[1]Tissue Data'!$D:$D)</f>
        <v>44393</v>
      </c>
      <c r="D5722" s="2" t="str">
        <f>_xlfn.XLOOKUP(A5722,'[1]Tissue Data'!$A:$A,'[1]Tissue Data'!$F:$F)</f>
        <v>Swallowtail Shiner</v>
      </c>
      <c r="E5722" t="str">
        <f>_xlfn.XLOOKUP(A5722,'[1]Tissue Data'!$A:$A,'[1]Tissue Data'!$H:$H)</f>
        <v>Notropis</v>
      </c>
      <c r="F5722" t="str">
        <f>_xlfn.XLOOKUP(A5722,'[1]Tissue Data'!$A:$A,'[1]Tissue Data'!$I:$I)</f>
        <v>procne</v>
      </c>
      <c r="G5722" t="str">
        <f>_xlfn.XLOOKUP(A5722,'[1]Tissue Data'!$A:$A,'[1]Tissue Data'!J:J)</f>
        <v>U</v>
      </c>
      <c r="H5722" t="str">
        <f>_xlfn.XLOOKUP(A5722,'[1]Tissue Data'!$A:$A,'[1]Tissue Data'!K:K)</f>
        <v>Whole Body</v>
      </c>
      <c r="I5722">
        <f>_xlfn.XLOOKUP(A5722,'[1]Tissue Data'!$A:$A,'[1]Tissue Data'!L:L)</f>
        <v>5.5</v>
      </c>
      <c r="J5722">
        <f>_xlfn.XLOOKUP(A5722,'[1]Tissue Data'!$A:$A,'[1]Tissue Data'!M:M)</f>
        <v>1.79</v>
      </c>
      <c r="K5722" t="s">
        <v>32</v>
      </c>
      <c r="L5722" t="str">
        <f>_xlfn.XLOOKUP(K5722,[2]analyte_order!$B:$B,[2]analyte_order!$C:$C)</f>
        <v>79780-39-5</v>
      </c>
      <c r="M5722">
        <f>_xlfn.XLOOKUP(L5722,[2]analyte_order!$C:$C,[2]analyte_order!$E:$E)</f>
        <v>21</v>
      </c>
      <c r="N5722">
        <v>0.24049999999999999</v>
      </c>
    </row>
    <row r="5723" spans="1:14">
      <c r="A5723" t="s">
        <v>202</v>
      </c>
      <c r="B5723" t="str">
        <f>_xlfn.XLOOKUP(A5723,'[1]Tissue Data'!$A:$A,'[1]Tissue Data'!$C:$C)</f>
        <v>Spill</v>
      </c>
      <c r="C5723" s="2">
        <f>_xlfn.XLOOKUP(A5723,'[1]Tissue Data'!$A:$A,'[1]Tissue Data'!$D:$D)</f>
        <v>44393</v>
      </c>
      <c r="D5723" s="2" t="str">
        <f>_xlfn.XLOOKUP(A5723,'[1]Tissue Data'!$A:$A,'[1]Tissue Data'!$F:$F)</f>
        <v>Swallowtail Shiner</v>
      </c>
      <c r="E5723" t="str">
        <f>_xlfn.XLOOKUP(A5723,'[1]Tissue Data'!$A:$A,'[1]Tissue Data'!$H:$H)</f>
        <v>Notropis</v>
      </c>
      <c r="F5723" t="str">
        <f>_xlfn.XLOOKUP(A5723,'[1]Tissue Data'!$A:$A,'[1]Tissue Data'!$I:$I)</f>
        <v>procne</v>
      </c>
      <c r="G5723" t="str">
        <f>_xlfn.XLOOKUP(A5723,'[1]Tissue Data'!$A:$A,'[1]Tissue Data'!J:J)</f>
        <v>U</v>
      </c>
      <c r="H5723" t="str">
        <f>_xlfn.XLOOKUP(A5723,'[1]Tissue Data'!$A:$A,'[1]Tissue Data'!K:K)</f>
        <v>Whole Body</v>
      </c>
      <c r="I5723">
        <f>_xlfn.XLOOKUP(A5723,'[1]Tissue Data'!$A:$A,'[1]Tissue Data'!L:L)</f>
        <v>5.5</v>
      </c>
      <c r="J5723">
        <f>_xlfn.XLOOKUP(A5723,'[1]Tissue Data'!$A:$A,'[1]Tissue Data'!M:M)</f>
        <v>1.79</v>
      </c>
      <c r="K5723" t="s">
        <v>33</v>
      </c>
      <c r="L5723" t="str">
        <f>_xlfn.XLOOKUP(K5723,[2]analyte_order!$B:$B,[2]analyte_order!$C:$C)</f>
        <v>777011-38-8</v>
      </c>
      <c r="M5723">
        <f>_xlfn.XLOOKUP(L5723,[2]analyte_order!$C:$C,[2]analyte_order!$E:$E)</f>
        <v>54</v>
      </c>
      <c r="N5723">
        <v>0.13700000000000001</v>
      </c>
    </row>
    <row r="5724" spans="1:14">
      <c r="A5724" t="s">
        <v>202</v>
      </c>
      <c r="B5724" t="str">
        <f>_xlfn.XLOOKUP(A5724,'[1]Tissue Data'!$A:$A,'[1]Tissue Data'!$C:$C)</f>
        <v>Spill</v>
      </c>
      <c r="C5724" s="2">
        <f>_xlfn.XLOOKUP(A5724,'[1]Tissue Data'!$A:$A,'[1]Tissue Data'!$D:$D)</f>
        <v>44393</v>
      </c>
      <c r="D5724" s="2" t="str">
        <f>_xlfn.XLOOKUP(A5724,'[1]Tissue Data'!$A:$A,'[1]Tissue Data'!$F:$F)</f>
        <v>Swallowtail Shiner</v>
      </c>
      <c r="E5724" t="str">
        <f>_xlfn.XLOOKUP(A5724,'[1]Tissue Data'!$A:$A,'[1]Tissue Data'!$H:$H)</f>
        <v>Notropis</v>
      </c>
      <c r="F5724" t="str">
        <f>_xlfn.XLOOKUP(A5724,'[1]Tissue Data'!$A:$A,'[1]Tissue Data'!$I:$I)</f>
        <v>procne</v>
      </c>
      <c r="G5724" t="str">
        <f>_xlfn.XLOOKUP(A5724,'[1]Tissue Data'!$A:$A,'[1]Tissue Data'!J:J)</f>
        <v>U</v>
      </c>
      <c r="H5724" t="str">
        <f>_xlfn.XLOOKUP(A5724,'[1]Tissue Data'!$A:$A,'[1]Tissue Data'!K:K)</f>
        <v>Whole Body</v>
      </c>
      <c r="I5724">
        <f>_xlfn.XLOOKUP(A5724,'[1]Tissue Data'!$A:$A,'[1]Tissue Data'!L:L)</f>
        <v>5.5</v>
      </c>
      <c r="J5724">
        <f>_xlfn.XLOOKUP(A5724,'[1]Tissue Data'!$A:$A,'[1]Tissue Data'!M:M)</f>
        <v>1.79</v>
      </c>
      <c r="K5724" t="s">
        <v>34</v>
      </c>
      <c r="L5724" t="str">
        <f>_xlfn.XLOOKUP(K5724,[2]analyte_order!$B:$B,[2]analyte_order!$C:$C)</f>
        <v>646-83-3</v>
      </c>
      <c r="M5724">
        <f>_xlfn.XLOOKUP(L5724,[2]analyte_order!$C:$C,[2]analyte_order!$E:$E)</f>
        <v>55</v>
      </c>
      <c r="N5724">
        <v>0.22500000000000001</v>
      </c>
    </row>
    <row r="5725" spans="1:14">
      <c r="A5725" t="s">
        <v>202</v>
      </c>
      <c r="B5725" t="str">
        <f>_xlfn.XLOOKUP(A5725,'[1]Tissue Data'!$A:$A,'[1]Tissue Data'!$C:$C)</f>
        <v>Spill</v>
      </c>
      <c r="C5725" s="2">
        <f>_xlfn.XLOOKUP(A5725,'[1]Tissue Data'!$A:$A,'[1]Tissue Data'!$D:$D)</f>
        <v>44393</v>
      </c>
      <c r="D5725" s="2" t="str">
        <f>_xlfn.XLOOKUP(A5725,'[1]Tissue Data'!$A:$A,'[1]Tissue Data'!$F:$F)</f>
        <v>Swallowtail Shiner</v>
      </c>
      <c r="E5725" t="str">
        <f>_xlfn.XLOOKUP(A5725,'[1]Tissue Data'!$A:$A,'[1]Tissue Data'!$H:$H)</f>
        <v>Notropis</v>
      </c>
      <c r="F5725" t="str">
        <f>_xlfn.XLOOKUP(A5725,'[1]Tissue Data'!$A:$A,'[1]Tissue Data'!$I:$I)</f>
        <v>procne</v>
      </c>
      <c r="G5725" t="str">
        <f>_xlfn.XLOOKUP(A5725,'[1]Tissue Data'!$A:$A,'[1]Tissue Data'!J:J)</f>
        <v>U</v>
      </c>
      <c r="H5725" t="str">
        <f>_xlfn.XLOOKUP(A5725,'[1]Tissue Data'!$A:$A,'[1]Tissue Data'!K:K)</f>
        <v>Whole Body</v>
      </c>
      <c r="I5725">
        <f>_xlfn.XLOOKUP(A5725,'[1]Tissue Data'!$A:$A,'[1]Tissue Data'!L:L)</f>
        <v>5.5</v>
      </c>
      <c r="J5725">
        <f>_xlfn.XLOOKUP(A5725,'[1]Tissue Data'!$A:$A,'[1]Tissue Data'!M:M)</f>
        <v>1.79</v>
      </c>
      <c r="K5725" t="s">
        <v>35</v>
      </c>
      <c r="L5725" t="str">
        <f>_xlfn.XLOOKUP(K5725,[2]analyte_order!$B:$B,[2]analyte_order!$C:$C)</f>
        <v>30334-69-1</v>
      </c>
      <c r="M5725">
        <f>_xlfn.XLOOKUP(L5725,[2]analyte_order!$C:$C,[2]analyte_order!$E:$E)</f>
        <v>51</v>
      </c>
      <c r="N5725">
        <v>77.900000000000006</v>
      </c>
    </row>
    <row r="5726" spans="1:14">
      <c r="A5726" t="s">
        <v>202</v>
      </c>
      <c r="B5726" t="str">
        <f>_xlfn.XLOOKUP(A5726,'[1]Tissue Data'!$A:$A,'[1]Tissue Data'!$C:$C)</f>
        <v>Spill</v>
      </c>
      <c r="C5726" s="2">
        <f>_xlfn.XLOOKUP(A5726,'[1]Tissue Data'!$A:$A,'[1]Tissue Data'!$D:$D)</f>
        <v>44393</v>
      </c>
      <c r="D5726" s="2" t="str">
        <f>_xlfn.XLOOKUP(A5726,'[1]Tissue Data'!$A:$A,'[1]Tissue Data'!$F:$F)</f>
        <v>Swallowtail Shiner</v>
      </c>
      <c r="E5726" t="str">
        <f>_xlfn.XLOOKUP(A5726,'[1]Tissue Data'!$A:$A,'[1]Tissue Data'!$H:$H)</f>
        <v>Notropis</v>
      </c>
      <c r="F5726" t="str">
        <f>_xlfn.XLOOKUP(A5726,'[1]Tissue Data'!$A:$A,'[1]Tissue Data'!$I:$I)</f>
        <v>procne</v>
      </c>
      <c r="G5726" t="str">
        <f>_xlfn.XLOOKUP(A5726,'[1]Tissue Data'!$A:$A,'[1]Tissue Data'!J:J)</f>
        <v>U</v>
      </c>
      <c r="H5726" t="str">
        <f>_xlfn.XLOOKUP(A5726,'[1]Tissue Data'!$A:$A,'[1]Tissue Data'!K:K)</f>
        <v>Whole Body</v>
      </c>
      <c r="I5726">
        <f>_xlfn.XLOOKUP(A5726,'[1]Tissue Data'!$A:$A,'[1]Tissue Data'!L:L)</f>
        <v>5.5</v>
      </c>
      <c r="J5726">
        <f>_xlfn.XLOOKUP(A5726,'[1]Tissue Data'!$A:$A,'[1]Tissue Data'!M:M)</f>
        <v>1.79</v>
      </c>
      <c r="K5726" t="s">
        <v>36</v>
      </c>
      <c r="L5726" t="str">
        <f>_xlfn.XLOOKUP(K5726,[2]analyte_order!$B:$B,[2]analyte_order!$C:$C)</f>
        <v>41997-13-1</v>
      </c>
      <c r="M5726">
        <f>_xlfn.XLOOKUP(L5726,[2]analyte_order!$C:$C,[2]analyte_order!$E:$E)</f>
        <v>52</v>
      </c>
      <c r="N5726">
        <v>380</v>
      </c>
    </row>
    <row r="5727" spans="1:14">
      <c r="A5727" t="s">
        <v>202</v>
      </c>
      <c r="B5727" t="str">
        <f>_xlfn.XLOOKUP(A5727,'[1]Tissue Data'!$A:$A,'[1]Tissue Data'!$C:$C)</f>
        <v>Spill</v>
      </c>
      <c r="C5727" s="2">
        <f>_xlfn.XLOOKUP(A5727,'[1]Tissue Data'!$A:$A,'[1]Tissue Data'!$D:$D)</f>
        <v>44393</v>
      </c>
      <c r="D5727" s="2" t="str">
        <f>_xlfn.XLOOKUP(A5727,'[1]Tissue Data'!$A:$A,'[1]Tissue Data'!$F:$F)</f>
        <v>Swallowtail Shiner</v>
      </c>
      <c r="E5727" t="str">
        <f>_xlfn.XLOOKUP(A5727,'[1]Tissue Data'!$A:$A,'[1]Tissue Data'!$H:$H)</f>
        <v>Notropis</v>
      </c>
      <c r="F5727" t="str">
        <f>_xlfn.XLOOKUP(A5727,'[1]Tissue Data'!$A:$A,'[1]Tissue Data'!$I:$I)</f>
        <v>procne</v>
      </c>
      <c r="G5727" t="str">
        <f>_xlfn.XLOOKUP(A5727,'[1]Tissue Data'!$A:$A,'[1]Tissue Data'!J:J)</f>
        <v>U</v>
      </c>
      <c r="H5727" t="str">
        <f>_xlfn.XLOOKUP(A5727,'[1]Tissue Data'!$A:$A,'[1]Tissue Data'!K:K)</f>
        <v>Whole Body</v>
      </c>
      <c r="I5727">
        <f>_xlfn.XLOOKUP(A5727,'[1]Tissue Data'!$A:$A,'[1]Tissue Data'!L:L)</f>
        <v>5.5</v>
      </c>
      <c r="J5727">
        <f>_xlfn.XLOOKUP(A5727,'[1]Tissue Data'!$A:$A,'[1]Tissue Data'!M:M)</f>
        <v>1.79</v>
      </c>
      <c r="K5727" t="s">
        <v>37</v>
      </c>
      <c r="L5727" t="str">
        <f>_xlfn.XLOOKUP(K5727,[2]analyte_order!$B:$B,[2]analyte_order!$C:$C)</f>
        <v>754-91-6</v>
      </c>
      <c r="M5727">
        <f>_xlfn.XLOOKUP(L5727,[2]analyte_order!$C:$C,[2]analyte_order!$E:$E)</f>
        <v>28</v>
      </c>
      <c r="N5727">
        <v>36.799999999999997</v>
      </c>
    </row>
    <row r="5728" spans="1:14">
      <c r="A5728" t="s">
        <v>202</v>
      </c>
      <c r="B5728" t="str">
        <f>_xlfn.XLOOKUP(A5728,'[1]Tissue Data'!$A:$A,'[1]Tissue Data'!$C:$C)</f>
        <v>Spill</v>
      </c>
      <c r="C5728" s="2">
        <f>_xlfn.XLOOKUP(A5728,'[1]Tissue Data'!$A:$A,'[1]Tissue Data'!$D:$D)</f>
        <v>44393</v>
      </c>
      <c r="D5728" s="2" t="str">
        <f>_xlfn.XLOOKUP(A5728,'[1]Tissue Data'!$A:$A,'[1]Tissue Data'!$F:$F)</f>
        <v>Swallowtail Shiner</v>
      </c>
      <c r="E5728" t="str">
        <f>_xlfn.XLOOKUP(A5728,'[1]Tissue Data'!$A:$A,'[1]Tissue Data'!$H:$H)</f>
        <v>Notropis</v>
      </c>
      <c r="F5728" t="str">
        <f>_xlfn.XLOOKUP(A5728,'[1]Tissue Data'!$A:$A,'[1]Tissue Data'!$I:$I)</f>
        <v>procne</v>
      </c>
      <c r="G5728" t="str">
        <f>_xlfn.XLOOKUP(A5728,'[1]Tissue Data'!$A:$A,'[1]Tissue Data'!J:J)</f>
        <v>U</v>
      </c>
      <c r="H5728" t="str">
        <f>_xlfn.XLOOKUP(A5728,'[1]Tissue Data'!$A:$A,'[1]Tissue Data'!K:K)</f>
        <v>Whole Body</v>
      </c>
      <c r="I5728">
        <f>_xlfn.XLOOKUP(A5728,'[1]Tissue Data'!$A:$A,'[1]Tissue Data'!L:L)</f>
        <v>5.5</v>
      </c>
      <c r="J5728">
        <f>_xlfn.XLOOKUP(A5728,'[1]Tissue Data'!$A:$A,'[1]Tissue Data'!M:M)</f>
        <v>1.79</v>
      </c>
      <c r="K5728" t="s">
        <v>38</v>
      </c>
      <c r="L5728" t="str">
        <f>_xlfn.XLOOKUP(K5728,[2]analyte_order!$B:$B,[2]analyte_order!$C:$C)</f>
        <v>31506-32-8</v>
      </c>
      <c r="M5728">
        <f>_xlfn.XLOOKUP(L5728,[2]analyte_order!$C:$C,[2]analyte_order!$E:$E)</f>
        <v>30</v>
      </c>
      <c r="N5728">
        <v>6.8000000000000005E-2</v>
      </c>
    </row>
    <row r="5729" spans="1:14">
      <c r="A5729" t="s">
        <v>202</v>
      </c>
      <c r="B5729" t="str">
        <f>_xlfn.XLOOKUP(A5729,'[1]Tissue Data'!$A:$A,'[1]Tissue Data'!$C:$C)</f>
        <v>Spill</v>
      </c>
      <c r="C5729" s="2">
        <f>_xlfn.XLOOKUP(A5729,'[1]Tissue Data'!$A:$A,'[1]Tissue Data'!$D:$D)</f>
        <v>44393</v>
      </c>
      <c r="D5729" s="2" t="str">
        <f>_xlfn.XLOOKUP(A5729,'[1]Tissue Data'!$A:$A,'[1]Tissue Data'!$F:$F)</f>
        <v>Swallowtail Shiner</v>
      </c>
      <c r="E5729" t="str">
        <f>_xlfn.XLOOKUP(A5729,'[1]Tissue Data'!$A:$A,'[1]Tissue Data'!$H:$H)</f>
        <v>Notropis</v>
      </c>
      <c r="F5729" t="str">
        <f>_xlfn.XLOOKUP(A5729,'[1]Tissue Data'!$A:$A,'[1]Tissue Data'!$I:$I)</f>
        <v>procne</v>
      </c>
      <c r="G5729" t="str">
        <f>_xlfn.XLOOKUP(A5729,'[1]Tissue Data'!$A:$A,'[1]Tissue Data'!J:J)</f>
        <v>U</v>
      </c>
      <c r="H5729" t="str">
        <f>_xlfn.XLOOKUP(A5729,'[1]Tissue Data'!$A:$A,'[1]Tissue Data'!K:K)</f>
        <v>Whole Body</v>
      </c>
      <c r="I5729">
        <f>_xlfn.XLOOKUP(A5729,'[1]Tissue Data'!$A:$A,'[1]Tissue Data'!L:L)</f>
        <v>5.5</v>
      </c>
      <c r="J5729">
        <f>_xlfn.XLOOKUP(A5729,'[1]Tissue Data'!$A:$A,'[1]Tissue Data'!M:M)</f>
        <v>1.79</v>
      </c>
      <c r="K5729" t="s">
        <v>39</v>
      </c>
      <c r="L5729" t="str">
        <f>_xlfn.XLOOKUP(K5729,[2]analyte_order!$B:$B,[2]analyte_order!$C:$C)</f>
        <v>4151-50-2</v>
      </c>
      <c r="M5729">
        <f>_xlfn.XLOOKUP(L5729,[2]analyte_order!$C:$C,[2]analyte_order!$E:$E)</f>
        <v>31</v>
      </c>
      <c r="N5729">
        <v>7.9500000000000001E-2</v>
      </c>
    </row>
    <row r="5730" spans="1:14">
      <c r="A5730" t="s">
        <v>202</v>
      </c>
      <c r="B5730" t="str">
        <f>_xlfn.XLOOKUP(A5730,'[1]Tissue Data'!$A:$A,'[1]Tissue Data'!$C:$C)</f>
        <v>Spill</v>
      </c>
      <c r="C5730" s="2">
        <f>_xlfn.XLOOKUP(A5730,'[1]Tissue Data'!$A:$A,'[1]Tissue Data'!$D:$D)</f>
        <v>44393</v>
      </c>
      <c r="D5730" s="2" t="str">
        <f>_xlfn.XLOOKUP(A5730,'[1]Tissue Data'!$A:$A,'[1]Tissue Data'!$F:$F)</f>
        <v>Swallowtail Shiner</v>
      </c>
      <c r="E5730" t="str">
        <f>_xlfn.XLOOKUP(A5730,'[1]Tissue Data'!$A:$A,'[1]Tissue Data'!$H:$H)</f>
        <v>Notropis</v>
      </c>
      <c r="F5730" t="str">
        <f>_xlfn.XLOOKUP(A5730,'[1]Tissue Data'!$A:$A,'[1]Tissue Data'!$I:$I)</f>
        <v>procne</v>
      </c>
      <c r="G5730" t="str">
        <f>_xlfn.XLOOKUP(A5730,'[1]Tissue Data'!$A:$A,'[1]Tissue Data'!J:J)</f>
        <v>U</v>
      </c>
      <c r="H5730" t="str">
        <f>_xlfn.XLOOKUP(A5730,'[1]Tissue Data'!$A:$A,'[1]Tissue Data'!K:K)</f>
        <v>Whole Body</v>
      </c>
      <c r="I5730">
        <f>_xlfn.XLOOKUP(A5730,'[1]Tissue Data'!$A:$A,'[1]Tissue Data'!L:L)</f>
        <v>5.5</v>
      </c>
      <c r="J5730">
        <f>_xlfn.XLOOKUP(A5730,'[1]Tissue Data'!$A:$A,'[1]Tissue Data'!M:M)</f>
        <v>1.79</v>
      </c>
      <c r="K5730" t="s">
        <v>40</v>
      </c>
      <c r="L5730" t="str">
        <f>_xlfn.XLOOKUP(K5730,[2]analyte_order!$B:$B,[2]analyte_order!$C:$C)</f>
        <v>2806-24-8</v>
      </c>
      <c r="M5730">
        <f>_xlfn.XLOOKUP(L5730,[2]analyte_order!$C:$C,[2]analyte_order!$E:$E)</f>
        <v>29</v>
      </c>
      <c r="N5730">
        <v>5.3999999999999999E-2</v>
      </c>
    </row>
    <row r="5731" spans="1:14">
      <c r="A5731" t="s">
        <v>202</v>
      </c>
      <c r="B5731" t="str">
        <f>_xlfn.XLOOKUP(A5731,'[1]Tissue Data'!$A:$A,'[1]Tissue Data'!$C:$C)</f>
        <v>Spill</v>
      </c>
      <c r="C5731" s="2">
        <f>_xlfn.XLOOKUP(A5731,'[1]Tissue Data'!$A:$A,'[1]Tissue Data'!$D:$D)</f>
        <v>44393</v>
      </c>
      <c r="D5731" s="2" t="str">
        <f>_xlfn.XLOOKUP(A5731,'[1]Tissue Data'!$A:$A,'[1]Tissue Data'!$F:$F)</f>
        <v>Swallowtail Shiner</v>
      </c>
      <c r="E5731" t="str">
        <f>_xlfn.XLOOKUP(A5731,'[1]Tissue Data'!$A:$A,'[1]Tissue Data'!$H:$H)</f>
        <v>Notropis</v>
      </c>
      <c r="F5731" t="str">
        <f>_xlfn.XLOOKUP(A5731,'[1]Tissue Data'!$A:$A,'[1]Tissue Data'!$I:$I)</f>
        <v>procne</v>
      </c>
      <c r="G5731" t="str">
        <f>_xlfn.XLOOKUP(A5731,'[1]Tissue Data'!$A:$A,'[1]Tissue Data'!J:J)</f>
        <v>U</v>
      </c>
      <c r="H5731" t="str">
        <f>_xlfn.XLOOKUP(A5731,'[1]Tissue Data'!$A:$A,'[1]Tissue Data'!K:K)</f>
        <v>Whole Body</v>
      </c>
      <c r="I5731">
        <f>_xlfn.XLOOKUP(A5731,'[1]Tissue Data'!$A:$A,'[1]Tissue Data'!L:L)</f>
        <v>5.5</v>
      </c>
      <c r="J5731">
        <f>_xlfn.XLOOKUP(A5731,'[1]Tissue Data'!$A:$A,'[1]Tissue Data'!M:M)</f>
        <v>1.79</v>
      </c>
      <c r="K5731" t="s">
        <v>41</v>
      </c>
      <c r="L5731" t="str">
        <f>_xlfn.XLOOKUP(K5731,[2]analyte_order!$B:$B,[2]analyte_order!$C:$C)</f>
        <v>2355-31-9</v>
      </c>
      <c r="M5731">
        <f>_xlfn.XLOOKUP(L5731,[2]analyte_order!$C:$C,[2]analyte_order!$E:$E)</f>
        <v>26</v>
      </c>
      <c r="N5731">
        <v>6.8500000000000005E-2</v>
      </c>
    </row>
    <row r="5732" spans="1:14">
      <c r="A5732" t="s">
        <v>202</v>
      </c>
      <c r="B5732" t="str">
        <f>_xlfn.XLOOKUP(A5732,'[1]Tissue Data'!$A:$A,'[1]Tissue Data'!$C:$C)</f>
        <v>Spill</v>
      </c>
      <c r="C5732" s="2">
        <f>_xlfn.XLOOKUP(A5732,'[1]Tissue Data'!$A:$A,'[1]Tissue Data'!$D:$D)</f>
        <v>44393</v>
      </c>
      <c r="D5732" s="2" t="str">
        <f>_xlfn.XLOOKUP(A5732,'[1]Tissue Data'!$A:$A,'[1]Tissue Data'!$F:$F)</f>
        <v>Swallowtail Shiner</v>
      </c>
      <c r="E5732" t="str">
        <f>_xlfn.XLOOKUP(A5732,'[1]Tissue Data'!$A:$A,'[1]Tissue Data'!$H:$H)</f>
        <v>Notropis</v>
      </c>
      <c r="F5732" t="str">
        <f>_xlfn.XLOOKUP(A5732,'[1]Tissue Data'!$A:$A,'[1]Tissue Data'!$I:$I)</f>
        <v>procne</v>
      </c>
      <c r="G5732" t="str">
        <f>_xlfn.XLOOKUP(A5732,'[1]Tissue Data'!$A:$A,'[1]Tissue Data'!J:J)</f>
        <v>U</v>
      </c>
      <c r="H5732" t="str">
        <f>_xlfn.XLOOKUP(A5732,'[1]Tissue Data'!$A:$A,'[1]Tissue Data'!K:K)</f>
        <v>Whole Body</v>
      </c>
      <c r="I5732">
        <f>_xlfn.XLOOKUP(A5732,'[1]Tissue Data'!$A:$A,'[1]Tissue Data'!L:L)</f>
        <v>5.5</v>
      </c>
      <c r="J5732">
        <f>_xlfn.XLOOKUP(A5732,'[1]Tissue Data'!$A:$A,'[1]Tissue Data'!M:M)</f>
        <v>1.79</v>
      </c>
      <c r="K5732" t="s">
        <v>42</v>
      </c>
      <c r="L5732" t="str">
        <f>_xlfn.XLOOKUP(K5732,[2]analyte_order!$B:$B,[2]analyte_order!$C:$C)</f>
        <v>2991-50-6</v>
      </c>
      <c r="M5732">
        <f>_xlfn.XLOOKUP(L5732,[2]analyte_order!$C:$C,[2]analyte_order!$E:$E)</f>
        <v>27</v>
      </c>
      <c r="N5732">
        <v>5.8999999999999997E-2</v>
      </c>
    </row>
    <row r="5733" spans="1:14">
      <c r="A5733" t="s">
        <v>202</v>
      </c>
      <c r="B5733" t="str">
        <f>_xlfn.XLOOKUP(A5733,'[1]Tissue Data'!$A:$A,'[1]Tissue Data'!$C:$C)</f>
        <v>Spill</v>
      </c>
      <c r="C5733" s="2">
        <f>_xlfn.XLOOKUP(A5733,'[1]Tissue Data'!$A:$A,'[1]Tissue Data'!$D:$D)</f>
        <v>44393</v>
      </c>
      <c r="D5733" s="2" t="str">
        <f>_xlfn.XLOOKUP(A5733,'[1]Tissue Data'!$A:$A,'[1]Tissue Data'!$F:$F)</f>
        <v>Swallowtail Shiner</v>
      </c>
      <c r="E5733" t="str">
        <f>_xlfn.XLOOKUP(A5733,'[1]Tissue Data'!$A:$A,'[1]Tissue Data'!$H:$H)</f>
        <v>Notropis</v>
      </c>
      <c r="F5733" t="str">
        <f>_xlfn.XLOOKUP(A5733,'[1]Tissue Data'!$A:$A,'[1]Tissue Data'!$I:$I)</f>
        <v>procne</v>
      </c>
      <c r="G5733" t="str">
        <f>_xlfn.XLOOKUP(A5733,'[1]Tissue Data'!$A:$A,'[1]Tissue Data'!J:J)</f>
        <v>U</v>
      </c>
      <c r="H5733" t="str">
        <f>_xlfn.XLOOKUP(A5733,'[1]Tissue Data'!$A:$A,'[1]Tissue Data'!K:K)</f>
        <v>Whole Body</v>
      </c>
      <c r="I5733">
        <f>_xlfn.XLOOKUP(A5733,'[1]Tissue Data'!$A:$A,'[1]Tissue Data'!L:L)</f>
        <v>5.5</v>
      </c>
      <c r="J5733">
        <f>_xlfn.XLOOKUP(A5733,'[1]Tissue Data'!$A:$A,'[1]Tissue Data'!M:M)</f>
        <v>1.79</v>
      </c>
      <c r="K5733" t="s">
        <v>43</v>
      </c>
      <c r="L5733" t="str">
        <f>_xlfn.XLOOKUP(K5733,[2]analyte_order!$B:$B,[2]analyte_order!$C:$C)</f>
        <v>757124-72-4</v>
      </c>
      <c r="M5733">
        <f>_xlfn.XLOOKUP(L5733,[2]analyte_order!$C:$C,[2]analyte_order!$E:$E)</f>
        <v>22</v>
      </c>
      <c r="N5733">
        <v>6.8000000000000005E-2</v>
      </c>
    </row>
    <row r="5734" spans="1:14">
      <c r="A5734" t="s">
        <v>202</v>
      </c>
      <c r="B5734" t="str">
        <f>_xlfn.XLOOKUP(A5734,'[1]Tissue Data'!$A:$A,'[1]Tissue Data'!$C:$C)</f>
        <v>Spill</v>
      </c>
      <c r="C5734" s="2">
        <f>_xlfn.XLOOKUP(A5734,'[1]Tissue Data'!$A:$A,'[1]Tissue Data'!$D:$D)</f>
        <v>44393</v>
      </c>
      <c r="D5734" s="2" t="str">
        <f>_xlfn.XLOOKUP(A5734,'[1]Tissue Data'!$A:$A,'[1]Tissue Data'!$F:$F)</f>
        <v>Swallowtail Shiner</v>
      </c>
      <c r="E5734" t="str">
        <f>_xlfn.XLOOKUP(A5734,'[1]Tissue Data'!$A:$A,'[1]Tissue Data'!$H:$H)</f>
        <v>Notropis</v>
      </c>
      <c r="F5734" t="str">
        <f>_xlfn.XLOOKUP(A5734,'[1]Tissue Data'!$A:$A,'[1]Tissue Data'!$I:$I)</f>
        <v>procne</v>
      </c>
      <c r="G5734" t="str">
        <f>_xlfn.XLOOKUP(A5734,'[1]Tissue Data'!$A:$A,'[1]Tissue Data'!J:J)</f>
        <v>U</v>
      </c>
      <c r="H5734" t="str">
        <f>_xlfn.XLOOKUP(A5734,'[1]Tissue Data'!$A:$A,'[1]Tissue Data'!K:K)</f>
        <v>Whole Body</v>
      </c>
      <c r="I5734">
        <f>_xlfn.XLOOKUP(A5734,'[1]Tissue Data'!$A:$A,'[1]Tissue Data'!L:L)</f>
        <v>5.5</v>
      </c>
      <c r="J5734">
        <f>_xlfn.XLOOKUP(A5734,'[1]Tissue Data'!$A:$A,'[1]Tissue Data'!M:M)</f>
        <v>1.79</v>
      </c>
      <c r="K5734" t="s">
        <v>44</v>
      </c>
      <c r="L5734" t="str">
        <f>_xlfn.XLOOKUP(K5734,[2]analyte_order!$B:$B,[2]analyte_order!$C:$C)</f>
        <v>27619-97-2</v>
      </c>
      <c r="M5734">
        <f>_xlfn.XLOOKUP(L5734,[2]analyte_order!$C:$C,[2]analyte_order!$E:$E)</f>
        <v>23</v>
      </c>
      <c r="N5734">
        <v>0.95899999999999996</v>
      </c>
    </row>
    <row r="5735" spans="1:14">
      <c r="A5735" t="s">
        <v>202</v>
      </c>
      <c r="B5735" t="str">
        <f>_xlfn.XLOOKUP(A5735,'[1]Tissue Data'!$A:$A,'[1]Tissue Data'!$C:$C)</f>
        <v>Spill</v>
      </c>
      <c r="C5735" s="2">
        <f>_xlfn.XLOOKUP(A5735,'[1]Tissue Data'!$A:$A,'[1]Tissue Data'!$D:$D)</f>
        <v>44393</v>
      </c>
      <c r="D5735" s="2" t="str">
        <f>_xlfn.XLOOKUP(A5735,'[1]Tissue Data'!$A:$A,'[1]Tissue Data'!$F:$F)</f>
        <v>Swallowtail Shiner</v>
      </c>
      <c r="E5735" t="str">
        <f>_xlfn.XLOOKUP(A5735,'[1]Tissue Data'!$A:$A,'[1]Tissue Data'!$H:$H)</f>
        <v>Notropis</v>
      </c>
      <c r="F5735" t="str">
        <f>_xlfn.XLOOKUP(A5735,'[1]Tissue Data'!$A:$A,'[1]Tissue Data'!$I:$I)</f>
        <v>procne</v>
      </c>
      <c r="G5735" t="str">
        <f>_xlfn.XLOOKUP(A5735,'[1]Tissue Data'!$A:$A,'[1]Tissue Data'!J:J)</f>
        <v>U</v>
      </c>
      <c r="H5735" t="str">
        <f>_xlfn.XLOOKUP(A5735,'[1]Tissue Data'!$A:$A,'[1]Tissue Data'!K:K)</f>
        <v>Whole Body</v>
      </c>
      <c r="I5735">
        <f>_xlfn.XLOOKUP(A5735,'[1]Tissue Data'!$A:$A,'[1]Tissue Data'!L:L)</f>
        <v>5.5</v>
      </c>
      <c r="J5735">
        <f>_xlfn.XLOOKUP(A5735,'[1]Tissue Data'!$A:$A,'[1]Tissue Data'!M:M)</f>
        <v>1.79</v>
      </c>
      <c r="K5735" t="s">
        <v>45</v>
      </c>
      <c r="L5735" t="str">
        <f>_xlfn.XLOOKUP(K5735,[2]analyte_order!$B:$B,[2]analyte_order!$C:$C)</f>
        <v>39108-34-4</v>
      </c>
      <c r="M5735">
        <f>_xlfn.XLOOKUP(L5735,[2]analyte_order!$C:$C,[2]analyte_order!$E:$E)</f>
        <v>24</v>
      </c>
      <c r="N5735">
        <v>12.4</v>
      </c>
    </row>
    <row r="5736" spans="1:14">
      <c r="A5736" t="s">
        <v>202</v>
      </c>
      <c r="B5736" t="str">
        <f>_xlfn.XLOOKUP(A5736,'[1]Tissue Data'!$A:$A,'[1]Tissue Data'!$C:$C)</f>
        <v>Spill</v>
      </c>
      <c r="C5736" s="2">
        <f>_xlfn.XLOOKUP(A5736,'[1]Tissue Data'!$A:$A,'[1]Tissue Data'!$D:$D)</f>
        <v>44393</v>
      </c>
      <c r="D5736" s="2" t="str">
        <f>_xlfn.XLOOKUP(A5736,'[1]Tissue Data'!$A:$A,'[1]Tissue Data'!$F:$F)</f>
        <v>Swallowtail Shiner</v>
      </c>
      <c r="E5736" t="str">
        <f>_xlfn.XLOOKUP(A5736,'[1]Tissue Data'!$A:$A,'[1]Tissue Data'!$H:$H)</f>
        <v>Notropis</v>
      </c>
      <c r="F5736" t="str">
        <f>_xlfn.XLOOKUP(A5736,'[1]Tissue Data'!$A:$A,'[1]Tissue Data'!$I:$I)</f>
        <v>procne</v>
      </c>
      <c r="G5736" t="str">
        <f>_xlfn.XLOOKUP(A5736,'[1]Tissue Data'!$A:$A,'[1]Tissue Data'!J:J)</f>
        <v>U</v>
      </c>
      <c r="H5736" t="str">
        <f>_xlfn.XLOOKUP(A5736,'[1]Tissue Data'!$A:$A,'[1]Tissue Data'!K:K)</f>
        <v>Whole Body</v>
      </c>
      <c r="I5736">
        <f>_xlfn.XLOOKUP(A5736,'[1]Tissue Data'!$A:$A,'[1]Tissue Data'!L:L)</f>
        <v>5.5</v>
      </c>
      <c r="J5736">
        <f>_xlfn.XLOOKUP(A5736,'[1]Tissue Data'!$A:$A,'[1]Tissue Data'!M:M)</f>
        <v>1.79</v>
      </c>
      <c r="K5736" t="s">
        <v>46</v>
      </c>
      <c r="L5736" t="str">
        <f>_xlfn.XLOOKUP(K5736,[2]analyte_order!$B:$B,[2]analyte_order!$C:$C)</f>
        <v>120226-60-0</v>
      </c>
      <c r="M5736">
        <f>_xlfn.XLOOKUP(L5736,[2]analyte_order!$C:$C,[2]analyte_order!$E:$E)</f>
        <v>25</v>
      </c>
      <c r="N5736">
        <v>0.2555</v>
      </c>
    </row>
    <row r="5737" spans="1:14">
      <c r="A5737" t="s">
        <v>202</v>
      </c>
      <c r="B5737" t="str">
        <f>_xlfn.XLOOKUP(A5737,'[1]Tissue Data'!$A:$A,'[1]Tissue Data'!$C:$C)</f>
        <v>Spill</v>
      </c>
      <c r="C5737" s="2">
        <f>_xlfn.XLOOKUP(A5737,'[1]Tissue Data'!$A:$A,'[1]Tissue Data'!$D:$D)</f>
        <v>44393</v>
      </c>
      <c r="D5737" s="2" t="str">
        <f>_xlfn.XLOOKUP(A5737,'[1]Tissue Data'!$A:$A,'[1]Tissue Data'!$F:$F)</f>
        <v>Swallowtail Shiner</v>
      </c>
      <c r="E5737" t="str">
        <f>_xlfn.XLOOKUP(A5737,'[1]Tissue Data'!$A:$A,'[1]Tissue Data'!$H:$H)</f>
        <v>Notropis</v>
      </c>
      <c r="F5737" t="str">
        <f>_xlfn.XLOOKUP(A5737,'[1]Tissue Data'!$A:$A,'[1]Tissue Data'!$I:$I)</f>
        <v>procne</v>
      </c>
      <c r="G5737" t="str">
        <f>_xlfn.XLOOKUP(A5737,'[1]Tissue Data'!$A:$A,'[1]Tissue Data'!J:J)</f>
        <v>U</v>
      </c>
      <c r="H5737" t="str">
        <f>_xlfn.XLOOKUP(A5737,'[1]Tissue Data'!$A:$A,'[1]Tissue Data'!K:K)</f>
        <v>Whole Body</v>
      </c>
      <c r="I5737">
        <f>_xlfn.XLOOKUP(A5737,'[1]Tissue Data'!$A:$A,'[1]Tissue Data'!L:L)</f>
        <v>5.5</v>
      </c>
      <c r="J5737">
        <f>_xlfn.XLOOKUP(A5737,'[1]Tissue Data'!$A:$A,'[1]Tissue Data'!M:M)</f>
        <v>1.79</v>
      </c>
      <c r="K5737" t="s">
        <v>47</v>
      </c>
      <c r="L5737" t="str">
        <f>_xlfn.XLOOKUP(K5737,[2]analyte_order!$B:$B,[2]analyte_order!$C:$C)</f>
        <v>356-02-5</v>
      </c>
      <c r="M5737">
        <f>_xlfn.XLOOKUP(L5737,[2]analyte_order!$C:$C,[2]analyte_order!$E:$E)</f>
        <v>38</v>
      </c>
      <c r="N5737">
        <v>7.85E-2</v>
      </c>
    </row>
    <row r="5738" spans="1:14">
      <c r="A5738" t="s">
        <v>202</v>
      </c>
      <c r="B5738" t="str">
        <f>_xlfn.XLOOKUP(A5738,'[1]Tissue Data'!$A:$A,'[1]Tissue Data'!$C:$C)</f>
        <v>Spill</v>
      </c>
      <c r="C5738" s="2">
        <f>_xlfn.XLOOKUP(A5738,'[1]Tissue Data'!$A:$A,'[1]Tissue Data'!$D:$D)</f>
        <v>44393</v>
      </c>
      <c r="D5738" s="2" t="str">
        <f>_xlfn.XLOOKUP(A5738,'[1]Tissue Data'!$A:$A,'[1]Tissue Data'!$F:$F)</f>
        <v>Swallowtail Shiner</v>
      </c>
      <c r="E5738" t="str">
        <f>_xlfn.XLOOKUP(A5738,'[1]Tissue Data'!$A:$A,'[1]Tissue Data'!$H:$H)</f>
        <v>Notropis</v>
      </c>
      <c r="F5738" t="str">
        <f>_xlfn.XLOOKUP(A5738,'[1]Tissue Data'!$A:$A,'[1]Tissue Data'!$I:$I)</f>
        <v>procne</v>
      </c>
      <c r="G5738" t="str">
        <f>_xlfn.XLOOKUP(A5738,'[1]Tissue Data'!$A:$A,'[1]Tissue Data'!J:J)</f>
        <v>U</v>
      </c>
      <c r="H5738" t="str">
        <f>_xlfn.XLOOKUP(A5738,'[1]Tissue Data'!$A:$A,'[1]Tissue Data'!K:K)</f>
        <v>Whole Body</v>
      </c>
      <c r="I5738">
        <f>_xlfn.XLOOKUP(A5738,'[1]Tissue Data'!$A:$A,'[1]Tissue Data'!L:L)</f>
        <v>5.5</v>
      </c>
      <c r="J5738">
        <f>_xlfn.XLOOKUP(A5738,'[1]Tissue Data'!$A:$A,'[1]Tissue Data'!M:M)</f>
        <v>1.79</v>
      </c>
      <c r="K5738" t="s">
        <v>48</v>
      </c>
      <c r="L5738" t="str">
        <f>_xlfn.XLOOKUP(K5738,[2]analyte_order!$B:$B,[2]analyte_order!$C:$C)</f>
        <v>914637-49-3</v>
      </c>
      <c r="M5738">
        <f>_xlfn.XLOOKUP(L5738,[2]analyte_order!$C:$C,[2]analyte_order!$E:$E)</f>
        <v>39</v>
      </c>
      <c r="N5738">
        <v>2.82</v>
      </c>
    </row>
    <row r="5739" spans="1:14">
      <c r="A5739" t="s">
        <v>202</v>
      </c>
      <c r="B5739" t="str">
        <f>_xlfn.XLOOKUP(A5739,'[1]Tissue Data'!$A:$A,'[1]Tissue Data'!$C:$C)</f>
        <v>Spill</v>
      </c>
      <c r="C5739" s="2">
        <f>_xlfn.XLOOKUP(A5739,'[1]Tissue Data'!$A:$A,'[1]Tissue Data'!$D:$D)</f>
        <v>44393</v>
      </c>
      <c r="D5739" s="2" t="str">
        <f>_xlfn.XLOOKUP(A5739,'[1]Tissue Data'!$A:$A,'[1]Tissue Data'!$F:$F)</f>
        <v>Swallowtail Shiner</v>
      </c>
      <c r="E5739" t="str">
        <f>_xlfn.XLOOKUP(A5739,'[1]Tissue Data'!$A:$A,'[1]Tissue Data'!$H:$H)</f>
        <v>Notropis</v>
      </c>
      <c r="F5739" t="str">
        <f>_xlfn.XLOOKUP(A5739,'[1]Tissue Data'!$A:$A,'[1]Tissue Data'!$I:$I)</f>
        <v>procne</v>
      </c>
      <c r="G5739" t="str">
        <f>_xlfn.XLOOKUP(A5739,'[1]Tissue Data'!$A:$A,'[1]Tissue Data'!J:J)</f>
        <v>U</v>
      </c>
      <c r="H5739" t="str">
        <f>_xlfn.XLOOKUP(A5739,'[1]Tissue Data'!$A:$A,'[1]Tissue Data'!K:K)</f>
        <v>Whole Body</v>
      </c>
      <c r="I5739">
        <f>_xlfn.XLOOKUP(A5739,'[1]Tissue Data'!$A:$A,'[1]Tissue Data'!L:L)</f>
        <v>5.5</v>
      </c>
      <c r="J5739">
        <f>_xlfn.XLOOKUP(A5739,'[1]Tissue Data'!$A:$A,'[1]Tissue Data'!M:M)</f>
        <v>1.79</v>
      </c>
      <c r="K5739" t="s">
        <v>49</v>
      </c>
      <c r="L5739" t="str">
        <f>_xlfn.XLOOKUP(K5739,[2]analyte_order!$B:$B,[2]analyte_order!$C:$C)</f>
        <v>812-70-4</v>
      </c>
      <c r="M5739">
        <f>_xlfn.XLOOKUP(L5739,[2]analyte_order!$C:$C,[2]analyte_order!$E:$E)</f>
        <v>40</v>
      </c>
      <c r="N5739">
        <v>24.8</v>
      </c>
    </row>
    <row r="5740" spans="1:14">
      <c r="A5740" t="s">
        <v>202</v>
      </c>
      <c r="B5740" t="str">
        <f>_xlfn.XLOOKUP(A5740,'[1]Tissue Data'!$A:$A,'[1]Tissue Data'!$C:$C)</f>
        <v>Spill</v>
      </c>
      <c r="C5740" s="2">
        <f>_xlfn.XLOOKUP(A5740,'[1]Tissue Data'!$A:$A,'[1]Tissue Data'!$D:$D)</f>
        <v>44393</v>
      </c>
      <c r="D5740" s="2" t="str">
        <f>_xlfn.XLOOKUP(A5740,'[1]Tissue Data'!$A:$A,'[1]Tissue Data'!$F:$F)</f>
        <v>Swallowtail Shiner</v>
      </c>
      <c r="E5740" t="str">
        <f>_xlfn.XLOOKUP(A5740,'[1]Tissue Data'!$A:$A,'[1]Tissue Data'!$H:$H)</f>
        <v>Notropis</v>
      </c>
      <c r="F5740" t="str">
        <f>_xlfn.XLOOKUP(A5740,'[1]Tissue Data'!$A:$A,'[1]Tissue Data'!$I:$I)</f>
        <v>procne</v>
      </c>
      <c r="G5740" t="str">
        <f>_xlfn.XLOOKUP(A5740,'[1]Tissue Data'!$A:$A,'[1]Tissue Data'!J:J)</f>
        <v>U</v>
      </c>
      <c r="H5740" t="str">
        <f>_xlfn.XLOOKUP(A5740,'[1]Tissue Data'!$A:$A,'[1]Tissue Data'!K:K)</f>
        <v>Whole Body</v>
      </c>
      <c r="I5740">
        <f>_xlfn.XLOOKUP(A5740,'[1]Tissue Data'!$A:$A,'[1]Tissue Data'!L:L)</f>
        <v>5.5</v>
      </c>
      <c r="J5740">
        <f>_xlfn.XLOOKUP(A5740,'[1]Tissue Data'!$A:$A,'[1]Tissue Data'!M:M)</f>
        <v>1.79</v>
      </c>
      <c r="K5740" t="s">
        <v>50</v>
      </c>
      <c r="L5740" t="str">
        <f>_xlfn.XLOOKUP(K5740,[2]analyte_order!$B:$B,[2]analyte_order!$C:$C)</f>
        <v>53826-12-3</v>
      </c>
      <c r="M5740">
        <f>_xlfn.XLOOKUP(L5740,[2]analyte_order!$C:$C,[2]analyte_order!$E:$E)</f>
        <v>41</v>
      </c>
      <c r="N5740">
        <v>6.8000000000000005E-2</v>
      </c>
    </row>
    <row r="5741" spans="1:14">
      <c r="A5741" t="s">
        <v>202</v>
      </c>
      <c r="B5741" t="str">
        <f>_xlfn.XLOOKUP(A5741,'[1]Tissue Data'!$A:$A,'[1]Tissue Data'!$C:$C)</f>
        <v>Spill</v>
      </c>
      <c r="C5741" s="2">
        <f>_xlfn.XLOOKUP(A5741,'[1]Tissue Data'!$A:$A,'[1]Tissue Data'!$D:$D)</f>
        <v>44393</v>
      </c>
      <c r="D5741" s="2" t="str">
        <f>_xlfn.XLOOKUP(A5741,'[1]Tissue Data'!$A:$A,'[1]Tissue Data'!$F:$F)</f>
        <v>Swallowtail Shiner</v>
      </c>
      <c r="E5741" t="str">
        <f>_xlfn.XLOOKUP(A5741,'[1]Tissue Data'!$A:$A,'[1]Tissue Data'!$H:$H)</f>
        <v>Notropis</v>
      </c>
      <c r="F5741" t="str">
        <f>_xlfn.XLOOKUP(A5741,'[1]Tissue Data'!$A:$A,'[1]Tissue Data'!$I:$I)</f>
        <v>procne</v>
      </c>
      <c r="G5741" t="str">
        <f>_xlfn.XLOOKUP(A5741,'[1]Tissue Data'!$A:$A,'[1]Tissue Data'!J:J)</f>
        <v>U</v>
      </c>
      <c r="H5741" t="str">
        <f>_xlfn.XLOOKUP(A5741,'[1]Tissue Data'!$A:$A,'[1]Tissue Data'!K:K)</f>
        <v>Whole Body</v>
      </c>
      <c r="I5741">
        <f>_xlfn.XLOOKUP(A5741,'[1]Tissue Data'!$A:$A,'[1]Tissue Data'!L:L)</f>
        <v>5.5</v>
      </c>
      <c r="J5741">
        <f>_xlfn.XLOOKUP(A5741,'[1]Tissue Data'!$A:$A,'[1]Tissue Data'!M:M)</f>
        <v>1.79</v>
      </c>
      <c r="K5741" t="s">
        <v>51</v>
      </c>
      <c r="L5741" t="str">
        <f>_xlfn.XLOOKUP(K5741,[2]analyte_order!$B:$B,[2]analyte_order!$C:$C)</f>
        <v>27854-31-5</v>
      </c>
      <c r="M5741">
        <f>_xlfn.XLOOKUP(L5741,[2]analyte_order!$C:$C,[2]analyte_order!$E:$E)</f>
        <v>42</v>
      </c>
      <c r="N5741">
        <v>6.8000000000000005E-2</v>
      </c>
    </row>
    <row r="5742" spans="1:14">
      <c r="A5742" t="s">
        <v>202</v>
      </c>
      <c r="B5742" t="str">
        <f>_xlfn.XLOOKUP(A5742,'[1]Tissue Data'!$A:$A,'[1]Tissue Data'!$C:$C)</f>
        <v>Spill</v>
      </c>
      <c r="C5742" s="2">
        <f>_xlfn.XLOOKUP(A5742,'[1]Tissue Data'!$A:$A,'[1]Tissue Data'!$D:$D)</f>
        <v>44393</v>
      </c>
      <c r="D5742" s="2" t="str">
        <f>_xlfn.XLOOKUP(A5742,'[1]Tissue Data'!$A:$A,'[1]Tissue Data'!$F:$F)</f>
        <v>Swallowtail Shiner</v>
      </c>
      <c r="E5742" t="str">
        <f>_xlfn.XLOOKUP(A5742,'[1]Tissue Data'!$A:$A,'[1]Tissue Data'!$H:$H)</f>
        <v>Notropis</v>
      </c>
      <c r="F5742" t="str">
        <f>_xlfn.XLOOKUP(A5742,'[1]Tissue Data'!$A:$A,'[1]Tissue Data'!$I:$I)</f>
        <v>procne</v>
      </c>
      <c r="G5742" t="str">
        <f>_xlfn.XLOOKUP(A5742,'[1]Tissue Data'!$A:$A,'[1]Tissue Data'!J:J)</f>
        <v>U</v>
      </c>
      <c r="H5742" t="str">
        <f>_xlfn.XLOOKUP(A5742,'[1]Tissue Data'!$A:$A,'[1]Tissue Data'!K:K)</f>
        <v>Whole Body</v>
      </c>
      <c r="I5742">
        <f>_xlfn.XLOOKUP(A5742,'[1]Tissue Data'!$A:$A,'[1]Tissue Data'!L:L)</f>
        <v>5.5</v>
      </c>
      <c r="J5742">
        <f>_xlfn.XLOOKUP(A5742,'[1]Tissue Data'!$A:$A,'[1]Tissue Data'!M:M)</f>
        <v>1.79</v>
      </c>
      <c r="K5742" t="s">
        <v>52</v>
      </c>
      <c r="L5742" t="str">
        <f>_xlfn.XLOOKUP(K5742,[2]analyte_order!$B:$B,[2]analyte_order!$C:$C)</f>
        <v>53826-13-4</v>
      </c>
      <c r="M5742">
        <f>_xlfn.XLOOKUP(L5742,[2]analyte_order!$C:$C,[2]analyte_order!$E:$E)</f>
        <v>43</v>
      </c>
      <c r="N5742">
        <v>0.10199999999999999</v>
      </c>
    </row>
    <row r="5743" spans="1:14">
      <c r="A5743" t="s">
        <v>202</v>
      </c>
      <c r="B5743" t="str">
        <f>_xlfn.XLOOKUP(A5743,'[1]Tissue Data'!$A:$A,'[1]Tissue Data'!$C:$C)</f>
        <v>Spill</v>
      </c>
      <c r="C5743" s="2">
        <f>_xlfn.XLOOKUP(A5743,'[1]Tissue Data'!$A:$A,'[1]Tissue Data'!$D:$D)</f>
        <v>44393</v>
      </c>
      <c r="D5743" s="2" t="str">
        <f>_xlfn.XLOOKUP(A5743,'[1]Tissue Data'!$A:$A,'[1]Tissue Data'!$F:$F)</f>
        <v>Swallowtail Shiner</v>
      </c>
      <c r="E5743" t="str">
        <f>_xlfn.XLOOKUP(A5743,'[1]Tissue Data'!$A:$A,'[1]Tissue Data'!$H:$H)</f>
        <v>Notropis</v>
      </c>
      <c r="F5743" t="str">
        <f>_xlfn.XLOOKUP(A5743,'[1]Tissue Data'!$A:$A,'[1]Tissue Data'!$I:$I)</f>
        <v>procne</v>
      </c>
      <c r="G5743" t="str">
        <f>_xlfn.XLOOKUP(A5743,'[1]Tissue Data'!$A:$A,'[1]Tissue Data'!J:J)</f>
        <v>U</v>
      </c>
      <c r="H5743" t="str">
        <f>_xlfn.XLOOKUP(A5743,'[1]Tissue Data'!$A:$A,'[1]Tissue Data'!K:K)</f>
        <v>Whole Body</v>
      </c>
      <c r="I5743">
        <f>_xlfn.XLOOKUP(A5743,'[1]Tissue Data'!$A:$A,'[1]Tissue Data'!L:L)</f>
        <v>5.5</v>
      </c>
      <c r="J5743">
        <f>_xlfn.XLOOKUP(A5743,'[1]Tissue Data'!$A:$A,'[1]Tissue Data'!M:M)</f>
        <v>1.79</v>
      </c>
      <c r="K5743" t="s">
        <v>53</v>
      </c>
      <c r="L5743" t="str">
        <f>_xlfn.XLOOKUP(K5743,[2]analyte_order!$B:$B,[2]analyte_order!$C:$C)</f>
        <v>161094-75-3</v>
      </c>
      <c r="M5743">
        <f>_xlfn.XLOOKUP(L5743,[2]analyte_order!$C:$C,[2]analyte_order!$E:$E)</f>
        <v>44</v>
      </c>
      <c r="N5743">
        <v>5.3499999999999999E-2</v>
      </c>
    </row>
    <row r="5744" spans="1:14">
      <c r="A5744" t="s">
        <v>202</v>
      </c>
      <c r="B5744" t="str">
        <f>_xlfn.XLOOKUP(A5744,'[1]Tissue Data'!$A:$A,'[1]Tissue Data'!$C:$C)</f>
        <v>Spill</v>
      </c>
      <c r="C5744" s="2">
        <f>_xlfn.XLOOKUP(A5744,'[1]Tissue Data'!$A:$A,'[1]Tissue Data'!$D:$D)</f>
        <v>44393</v>
      </c>
      <c r="D5744" s="2" t="str">
        <f>_xlfn.XLOOKUP(A5744,'[1]Tissue Data'!$A:$A,'[1]Tissue Data'!$F:$F)</f>
        <v>Swallowtail Shiner</v>
      </c>
      <c r="E5744" t="str">
        <f>_xlfn.XLOOKUP(A5744,'[1]Tissue Data'!$A:$A,'[1]Tissue Data'!$H:$H)</f>
        <v>Notropis</v>
      </c>
      <c r="F5744" t="str">
        <f>_xlfn.XLOOKUP(A5744,'[1]Tissue Data'!$A:$A,'[1]Tissue Data'!$I:$I)</f>
        <v>procne</v>
      </c>
      <c r="G5744" t="str">
        <f>_xlfn.XLOOKUP(A5744,'[1]Tissue Data'!$A:$A,'[1]Tissue Data'!J:J)</f>
        <v>U</v>
      </c>
      <c r="H5744" t="str">
        <f>_xlfn.XLOOKUP(A5744,'[1]Tissue Data'!$A:$A,'[1]Tissue Data'!K:K)</f>
        <v>Whole Body</v>
      </c>
      <c r="I5744">
        <f>_xlfn.XLOOKUP(A5744,'[1]Tissue Data'!$A:$A,'[1]Tissue Data'!L:L)</f>
        <v>5.5</v>
      </c>
      <c r="J5744">
        <f>_xlfn.XLOOKUP(A5744,'[1]Tissue Data'!$A:$A,'[1]Tissue Data'!M:M)</f>
        <v>1.79</v>
      </c>
      <c r="K5744" t="s">
        <v>54</v>
      </c>
      <c r="L5744" t="str">
        <f>_xlfn.XLOOKUP(K5744,[2]analyte_order!$B:$B,[2]analyte_order!$C:$C)</f>
        <v>70887-84-2</v>
      </c>
      <c r="M5744">
        <f>_xlfn.XLOOKUP(L5744,[2]analyte_order!$C:$C,[2]analyte_order!$E:$E)</f>
        <v>45</v>
      </c>
      <c r="N5744">
        <v>4.1200000000000001E-2</v>
      </c>
    </row>
    <row r="5745" spans="1:14">
      <c r="A5745" t="s">
        <v>202</v>
      </c>
      <c r="B5745" t="str">
        <f>_xlfn.XLOOKUP(A5745,'[1]Tissue Data'!$A:$A,'[1]Tissue Data'!$C:$C)</f>
        <v>Spill</v>
      </c>
      <c r="C5745" s="2">
        <f>_xlfn.XLOOKUP(A5745,'[1]Tissue Data'!$A:$A,'[1]Tissue Data'!$D:$D)</f>
        <v>44393</v>
      </c>
      <c r="D5745" s="2" t="str">
        <f>_xlfn.XLOOKUP(A5745,'[1]Tissue Data'!$A:$A,'[1]Tissue Data'!$F:$F)</f>
        <v>Swallowtail Shiner</v>
      </c>
      <c r="E5745" t="str">
        <f>_xlfn.XLOOKUP(A5745,'[1]Tissue Data'!$A:$A,'[1]Tissue Data'!$H:$H)</f>
        <v>Notropis</v>
      </c>
      <c r="F5745" t="str">
        <f>_xlfn.XLOOKUP(A5745,'[1]Tissue Data'!$A:$A,'[1]Tissue Data'!$I:$I)</f>
        <v>procne</v>
      </c>
      <c r="G5745" t="str">
        <f>_xlfn.XLOOKUP(A5745,'[1]Tissue Data'!$A:$A,'[1]Tissue Data'!J:J)</f>
        <v>U</v>
      </c>
      <c r="H5745" t="str">
        <f>_xlfn.XLOOKUP(A5745,'[1]Tissue Data'!$A:$A,'[1]Tissue Data'!K:K)</f>
        <v>Whole Body</v>
      </c>
      <c r="I5745">
        <f>_xlfn.XLOOKUP(A5745,'[1]Tissue Data'!$A:$A,'[1]Tissue Data'!L:L)</f>
        <v>5.5</v>
      </c>
      <c r="J5745">
        <f>_xlfn.XLOOKUP(A5745,'[1]Tissue Data'!$A:$A,'[1]Tissue Data'!M:M)</f>
        <v>1.79</v>
      </c>
      <c r="K5745" t="s">
        <v>55</v>
      </c>
      <c r="L5745" t="str">
        <f>_xlfn.XLOOKUP(K5745,[2]analyte_order!$B:$B,[2]analyte_order!$C:$C)</f>
        <v>919005-14-4</v>
      </c>
      <c r="M5745">
        <f>_xlfn.XLOOKUP(L5745,[2]analyte_order!$C:$C,[2]analyte_order!$E:$E)</f>
        <v>35</v>
      </c>
      <c r="N5745">
        <v>0.06</v>
      </c>
    </row>
    <row r="5746" spans="1:14">
      <c r="A5746" t="s">
        <v>202</v>
      </c>
      <c r="B5746" t="str">
        <f>_xlfn.XLOOKUP(A5746,'[1]Tissue Data'!$A:$A,'[1]Tissue Data'!$C:$C)</f>
        <v>Spill</v>
      </c>
      <c r="C5746" s="2">
        <f>_xlfn.XLOOKUP(A5746,'[1]Tissue Data'!$A:$A,'[1]Tissue Data'!$D:$D)</f>
        <v>44393</v>
      </c>
      <c r="D5746" s="2" t="str">
        <f>_xlfn.XLOOKUP(A5746,'[1]Tissue Data'!$A:$A,'[1]Tissue Data'!$F:$F)</f>
        <v>Swallowtail Shiner</v>
      </c>
      <c r="E5746" t="str">
        <f>_xlfn.XLOOKUP(A5746,'[1]Tissue Data'!$A:$A,'[1]Tissue Data'!$H:$H)</f>
        <v>Notropis</v>
      </c>
      <c r="F5746" t="str">
        <f>_xlfn.XLOOKUP(A5746,'[1]Tissue Data'!$A:$A,'[1]Tissue Data'!$I:$I)</f>
        <v>procne</v>
      </c>
      <c r="G5746" t="str">
        <f>_xlfn.XLOOKUP(A5746,'[1]Tissue Data'!$A:$A,'[1]Tissue Data'!J:J)</f>
        <v>U</v>
      </c>
      <c r="H5746" t="str">
        <f>_xlfn.XLOOKUP(A5746,'[1]Tissue Data'!$A:$A,'[1]Tissue Data'!K:K)</f>
        <v>Whole Body</v>
      </c>
      <c r="I5746">
        <f>_xlfn.XLOOKUP(A5746,'[1]Tissue Data'!$A:$A,'[1]Tissue Data'!L:L)</f>
        <v>5.5</v>
      </c>
      <c r="J5746">
        <f>_xlfn.XLOOKUP(A5746,'[1]Tissue Data'!$A:$A,'[1]Tissue Data'!M:M)</f>
        <v>1.79</v>
      </c>
      <c r="K5746" t="s">
        <v>56</v>
      </c>
      <c r="L5746" t="str">
        <f>_xlfn.XLOOKUP(K5746,[2]analyte_order!$B:$B,[2]analyte_order!$C:$C)</f>
        <v>756426-58-1</v>
      </c>
      <c r="M5746">
        <f>_xlfn.XLOOKUP(L5746,[2]analyte_order!$C:$C,[2]analyte_order!$E:$E)</f>
        <v>36</v>
      </c>
      <c r="N5746">
        <v>6.8000000000000005E-2</v>
      </c>
    </row>
    <row r="5747" spans="1:14">
      <c r="A5747" t="s">
        <v>202</v>
      </c>
      <c r="B5747" t="str">
        <f>_xlfn.XLOOKUP(A5747,'[1]Tissue Data'!$A:$A,'[1]Tissue Data'!$C:$C)</f>
        <v>Spill</v>
      </c>
      <c r="C5747" s="2">
        <f>_xlfn.XLOOKUP(A5747,'[1]Tissue Data'!$A:$A,'[1]Tissue Data'!$D:$D)</f>
        <v>44393</v>
      </c>
      <c r="D5747" s="2" t="str">
        <f>_xlfn.XLOOKUP(A5747,'[1]Tissue Data'!$A:$A,'[1]Tissue Data'!$F:$F)</f>
        <v>Swallowtail Shiner</v>
      </c>
      <c r="E5747" t="str">
        <f>_xlfn.XLOOKUP(A5747,'[1]Tissue Data'!$A:$A,'[1]Tissue Data'!$H:$H)</f>
        <v>Notropis</v>
      </c>
      <c r="F5747" t="str">
        <f>_xlfn.XLOOKUP(A5747,'[1]Tissue Data'!$A:$A,'[1]Tissue Data'!$I:$I)</f>
        <v>procne</v>
      </c>
      <c r="G5747" t="str">
        <f>_xlfn.XLOOKUP(A5747,'[1]Tissue Data'!$A:$A,'[1]Tissue Data'!J:J)</f>
        <v>U</v>
      </c>
      <c r="H5747" t="str">
        <f>_xlfn.XLOOKUP(A5747,'[1]Tissue Data'!$A:$A,'[1]Tissue Data'!K:K)</f>
        <v>Whole Body</v>
      </c>
      <c r="I5747">
        <f>_xlfn.XLOOKUP(A5747,'[1]Tissue Data'!$A:$A,'[1]Tissue Data'!L:L)</f>
        <v>5.5</v>
      </c>
      <c r="J5747">
        <f>_xlfn.XLOOKUP(A5747,'[1]Tissue Data'!$A:$A,'[1]Tissue Data'!M:M)</f>
        <v>1.79</v>
      </c>
      <c r="K5747" t="s">
        <v>57</v>
      </c>
      <c r="L5747" t="str">
        <f>_xlfn.XLOOKUP(K5747,[2]analyte_order!$B:$B,[2]analyte_order!$C:$C)</f>
        <v>763051-92-9</v>
      </c>
      <c r="M5747">
        <f>_xlfn.XLOOKUP(L5747,[2]analyte_order!$C:$C,[2]analyte_order!$E:$E)</f>
        <v>37</v>
      </c>
      <c r="N5747">
        <v>6.8000000000000005E-2</v>
      </c>
    </row>
    <row r="5748" spans="1:14">
      <c r="A5748" t="s">
        <v>202</v>
      </c>
      <c r="B5748" t="str">
        <f>_xlfn.XLOOKUP(A5748,'[1]Tissue Data'!$A:$A,'[1]Tissue Data'!$C:$C)</f>
        <v>Spill</v>
      </c>
      <c r="C5748" s="2">
        <f>_xlfn.XLOOKUP(A5748,'[1]Tissue Data'!$A:$A,'[1]Tissue Data'!$D:$D)</f>
        <v>44393</v>
      </c>
      <c r="D5748" s="2" t="str">
        <f>_xlfn.XLOOKUP(A5748,'[1]Tissue Data'!$A:$A,'[1]Tissue Data'!$F:$F)</f>
        <v>Swallowtail Shiner</v>
      </c>
      <c r="E5748" t="str">
        <f>_xlfn.XLOOKUP(A5748,'[1]Tissue Data'!$A:$A,'[1]Tissue Data'!$H:$H)</f>
        <v>Notropis</v>
      </c>
      <c r="F5748" t="str">
        <f>_xlfn.XLOOKUP(A5748,'[1]Tissue Data'!$A:$A,'[1]Tissue Data'!$I:$I)</f>
        <v>procne</v>
      </c>
      <c r="G5748" t="str">
        <f>_xlfn.XLOOKUP(A5748,'[1]Tissue Data'!$A:$A,'[1]Tissue Data'!J:J)</f>
        <v>U</v>
      </c>
      <c r="H5748" t="str">
        <f>_xlfn.XLOOKUP(A5748,'[1]Tissue Data'!$A:$A,'[1]Tissue Data'!K:K)</f>
        <v>Whole Body</v>
      </c>
      <c r="I5748">
        <f>_xlfn.XLOOKUP(A5748,'[1]Tissue Data'!$A:$A,'[1]Tissue Data'!L:L)</f>
        <v>5.5</v>
      </c>
      <c r="J5748">
        <f>_xlfn.XLOOKUP(A5748,'[1]Tissue Data'!$A:$A,'[1]Tissue Data'!M:M)</f>
        <v>1.79</v>
      </c>
      <c r="K5748" t="s">
        <v>58</v>
      </c>
      <c r="L5748" t="str">
        <f>_xlfn.XLOOKUP(K5748,[2]analyte_order!$B:$B,[2]analyte_order!$C:$C)</f>
        <v>13252-13-6</v>
      </c>
      <c r="M5748">
        <f>_xlfn.XLOOKUP(L5748,[2]analyte_order!$C:$C,[2]analyte_order!$E:$E)</f>
        <v>34</v>
      </c>
      <c r="N5748">
        <v>9.8000000000000004E-2</v>
      </c>
    </row>
    <row r="5749" spans="1:14">
      <c r="A5749" t="s">
        <v>202</v>
      </c>
      <c r="B5749" t="str">
        <f>_xlfn.XLOOKUP(A5749,'[1]Tissue Data'!$A:$A,'[1]Tissue Data'!$C:$C)</f>
        <v>Spill</v>
      </c>
      <c r="C5749" s="2">
        <f>_xlfn.XLOOKUP(A5749,'[1]Tissue Data'!$A:$A,'[1]Tissue Data'!$D:$D)</f>
        <v>44393</v>
      </c>
      <c r="D5749" s="2" t="str">
        <f>_xlfn.XLOOKUP(A5749,'[1]Tissue Data'!$A:$A,'[1]Tissue Data'!$F:$F)</f>
        <v>Swallowtail Shiner</v>
      </c>
      <c r="E5749" t="str">
        <f>_xlfn.XLOOKUP(A5749,'[1]Tissue Data'!$A:$A,'[1]Tissue Data'!$H:$H)</f>
        <v>Notropis</v>
      </c>
      <c r="F5749" t="str">
        <f>_xlfn.XLOOKUP(A5749,'[1]Tissue Data'!$A:$A,'[1]Tissue Data'!$I:$I)</f>
        <v>procne</v>
      </c>
      <c r="G5749" t="str">
        <f>_xlfn.XLOOKUP(A5749,'[1]Tissue Data'!$A:$A,'[1]Tissue Data'!J:J)</f>
        <v>U</v>
      </c>
      <c r="H5749" t="str">
        <f>_xlfn.XLOOKUP(A5749,'[1]Tissue Data'!$A:$A,'[1]Tissue Data'!K:K)</f>
        <v>Whole Body</v>
      </c>
      <c r="I5749">
        <f>_xlfn.XLOOKUP(A5749,'[1]Tissue Data'!$A:$A,'[1]Tissue Data'!L:L)</f>
        <v>5.5</v>
      </c>
      <c r="J5749">
        <f>_xlfn.XLOOKUP(A5749,'[1]Tissue Data'!$A:$A,'[1]Tissue Data'!M:M)</f>
        <v>1.79</v>
      </c>
      <c r="K5749" t="s">
        <v>59</v>
      </c>
      <c r="L5749" t="str">
        <f>_xlfn.XLOOKUP(K5749,[2]analyte_order!$B:$B,[2]analyte_order!$C:$C)</f>
        <v>57677-95-9</v>
      </c>
      <c r="M5749">
        <f>_xlfn.XLOOKUP(L5749,[2]analyte_order!$C:$C,[2]analyte_order!$E:$E)</f>
        <v>46</v>
      </c>
      <c r="N5749">
        <v>7.2499999999999995E-2</v>
      </c>
    </row>
    <row r="5750" spans="1:14">
      <c r="A5750" t="s">
        <v>202</v>
      </c>
      <c r="B5750" t="str">
        <f>_xlfn.XLOOKUP(A5750,'[1]Tissue Data'!$A:$A,'[1]Tissue Data'!$C:$C)</f>
        <v>Spill</v>
      </c>
      <c r="C5750" s="2">
        <f>_xlfn.XLOOKUP(A5750,'[1]Tissue Data'!$A:$A,'[1]Tissue Data'!$D:$D)</f>
        <v>44393</v>
      </c>
      <c r="D5750" s="2" t="str">
        <f>_xlfn.XLOOKUP(A5750,'[1]Tissue Data'!$A:$A,'[1]Tissue Data'!$F:$F)</f>
        <v>Swallowtail Shiner</v>
      </c>
      <c r="E5750" t="str">
        <f>_xlfn.XLOOKUP(A5750,'[1]Tissue Data'!$A:$A,'[1]Tissue Data'!$H:$H)</f>
        <v>Notropis</v>
      </c>
      <c r="F5750" t="str">
        <f>_xlfn.XLOOKUP(A5750,'[1]Tissue Data'!$A:$A,'[1]Tissue Data'!$I:$I)</f>
        <v>procne</v>
      </c>
      <c r="G5750" t="str">
        <f>_xlfn.XLOOKUP(A5750,'[1]Tissue Data'!$A:$A,'[1]Tissue Data'!J:J)</f>
        <v>U</v>
      </c>
      <c r="H5750" t="str">
        <f>_xlfn.XLOOKUP(A5750,'[1]Tissue Data'!$A:$A,'[1]Tissue Data'!K:K)</f>
        <v>Whole Body</v>
      </c>
      <c r="I5750">
        <f>_xlfn.XLOOKUP(A5750,'[1]Tissue Data'!$A:$A,'[1]Tissue Data'!L:L)</f>
        <v>5.5</v>
      </c>
      <c r="J5750">
        <f>_xlfn.XLOOKUP(A5750,'[1]Tissue Data'!$A:$A,'[1]Tissue Data'!M:M)</f>
        <v>1.79</v>
      </c>
      <c r="K5750" t="s">
        <v>60</v>
      </c>
      <c r="L5750" t="str">
        <f>_xlfn.XLOOKUP(K5750,[2]analyte_order!$B:$B,[2]analyte_order!$C:$C)</f>
        <v>678-41-1</v>
      </c>
      <c r="M5750">
        <f>_xlfn.XLOOKUP(L5750,[2]analyte_order!$C:$C,[2]analyte_order!$E:$E)</f>
        <v>56</v>
      </c>
      <c r="N5750">
        <v>9.0499999999999997E-2</v>
      </c>
    </row>
    <row r="5751" spans="1:14">
      <c r="A5751" t="s">
        <v>202</v>
      </c>
      <c r="B5751" t="str">
        <f>_xlfn.XLOOKUP(A5751,'[1]Tissue Data'!$A:$A,'[1]Tissue Data'!$C:$C)</f>
        <v>Spill</v>
      </c>
      <c r="C5751" s="2">
        <f>_xlfn.XLOOKUP(A5751,'[1]Tissue Data'!$A:$A,'[1]Tissue Data'!$D:$D)</f>
        <v>44393</v>
      </c>
      <c r="D5751" s="2" t="str">
        <f>_xlfn.XLOOKUP(A5751,'[1]Tissue Data'!$A:$A,'[1]Tissue Data'!$F:$F)</f>
        <v>Swallowtail Shiner</v>
      </c>
      <c r="E5751" t="str">
        <f>_xlfn.XLOOKUP(A5751,'[1]Tissue Data'!$A:$A,'[1]Tissue Data'!$H:$H)</f>
        <v>Notropis</v>
      </c>
      <c r="F5751" t="str">
        <f>_xlfn.XLOOKUP(A5751,'[1]Tissue Data'!$A:$A,'[1]Tissue Data'!$I:$I)</f>
        <v>procne</v>
      </c>
      <c r="G5751" t="str">
        <f>_xlfn.XLOOKUP(A5751,'[1]Tissue Data'!$A:$A,'[1]Tissue Data'!J:J)</f>
        <v>U</v>
      </c>
      <c r="H5751" t="str">
        <f>_xlfn.XLOOKUP(A5751,'[1]Tissue Data'!$A:$A,'[1]Tissue Data'!K:K)</f>
        <v>Whole Body</v>
      </c>
      <c r="I5751">
        <f>_xlfn.XLOOKUP(A5751,'[1]Tissue Data'!$A:$A,'[1]Tissue Data'!L:L)</f>
        <v>5.5</v>
      </c>
      <c r="J5751">
        <f>_xlfn.XLOOKUP(A5751,'[1]Tissue Data'!$A:$A,'[1]Tissue Data'!M:M)</f>
        <v>1.79</v>
      </c>
      <c r="K5751" t="s">
        <v>61</v>
      </c>
      <c r="L5751" t="str">
        <f>_xlfn.XLOOKUP(K5751,[2]analyte_order!$B:$B,[2]analyte_order!$C:$C)</f>
        <v>2965-52-8</v>
      </c>
      <c r="M5751">
        <f>_xlfn.XLOOKUP(L5751,[2]analyte_order!$C:$C,[2]analyte_order!$E:$E)</f>
        <v>57</v>
      </c>
      <c r="N5751">
        <v>0.12</v>
      </c>
    </row>
    <row r="5752" spans="1:14">
      <c r="A5752" t="s">
        <v>203</v>
      </c>
      <c r="B5752" t="str">
        <f>_xlfn.XLOOKUP(A5752,'[1]Tissue Data'!$A:$A,'[1]Tissue Data'!$C:$C)</f>
        <v>Spill</v>
      </c>
      <c r="C5752" s="2">
        <f>_xlfn.XLOOKUP(A5752,'[1]Tissue Data'!$A:$A,'[1]Tissue Data'!$D:$D)</f>
        <v>44393</v>
      </c>
      <c r="D5752" s="2" t="str">
        <f>_xlfn.XLOOKUP(A5752,'[1]Tissue Data'!$A:$A,'[1]Tissue Data'!$F:$F)</f>
        <v>Swallowtail Shiner</v>
      </c>
      <c r="E5752" t="str">
        <f>_xlfn.XLOOKUP(A5752,'[1]Tissue Data'!$A:$A,'[1]Tissue Data'!$H:$H)</f>
        <v>Notropis</v>
      </c>
      <c r="F5752" t="str">
        <f>_xlfn.XLOOKUP(A5752,'[1]Tissue Data'!$A:$A,'[1]Tissue Data'!$I:$I)</f>
        <v>procne</v>
      </c>
      <c r="G5752" t="str">
        <f>_xlfn.XLOOKUP(A5752,'[1]Tissue Data'!$A:$A,'[1]Tissue Data'!J:J)</f>
        <v>U</v>
      </c>
      <c r="H5752" t="str">
        <f>_xlfn.XLOOKUP(A5752,'[1]Tissue Data'!$A:$A,'[1]Tissue Data'!K:K)</f>
        <v>Whole Body</v>
      </c>
      <c r="I5752">
        <f>_xlfn.XLOOKUP(A5752,'[1]Tissue Data'!$A:$A,'[1]Tissue Data'!L:L)</f>
        <v>5</v>
      </c>
      <c r="J5752">
        <f>_xlfn.XLOOKUP(A5752,'[1]Tissue Data'!$A:$A,'[1]Tissue Data'!M:M)</f>
        <v>1.31</v>
      </c>
      <c r="K5752" t="s">
        <v>12</v>
      </c>
      <c r="L5752" t="str">
        <f>_xlfn.XLOOKUP(K5752,[2]analyte_order!$B:$B,[2]analyte_order!$C:$C)</f>
        <v>375-22-4</v>
      </c>
      <c r="M5752">
        <f>_xlfn.XLOOKUP(L5752,[2]analyte_order!$C:$C,[2]analyte_order!$E:$E)</f>
        <v>1</v>
      </c>
      <c r="N5752">
        <v>7.8E-2</v>
      </c>
    </row>
    <row r="5753" spans="1:14">
      <c r="A5753" t="s">
        <v>203</v>
      </c>
      <c r="B5753" t="str">
        <f>_xlfn.XLOOKUP(A5753,'[1]Tissue Data'!$A:$A,'[1]Tissue Data'!$C:$C)</f>
        <v>Spill</v>
      </c>
      <c r="C5753" s="2">
        <f>_xlfn.XLOOKUP(A5753,'[1]Tissue Data'!$A:$A,'[1]Tissue Data'!$D:$D)</f>
        <v>44393</v>
      </c>
      <c r="D5753" s="2" t="str">
        <f>_xlfn.XLOOKUP(A5753,'[1]Tissue Data'!$A:$A,'[1]Tissue Data'!$F:$F)</f>
        <v>Swallowtail Shiner</v>
      </c>
      <c r="E5753" t="str">
        <f>_xlfn.XLOOKUP(A5753,'[1]Tissue Data'!$A:$A,'[1]Tissue Data'!$H:$H)</f>
        <v>Notropis</v>
      </c>
      <c r="F5753" t="str">
        <f>_xlfn.XLOOKUP(A5753,'[1]Tissue Data'!$A:$A,'[1]Tissue Data'!$I:$I)</f>
        <v>procne</v>
      </c>
      <c r="G5753" t="str">
        <f>_xlfn.XLOOKUP(A5753,'[1]Tissue Data'!$A:$A,'[1]Tissue Data'!J:J)</f>
        <v>U</v>
      </c>
      <c r="H5753" t="str">
        <f>_xlfn.XLOOKUP(A5753,'[1]Tissue Data'!$A:$A,'[1]Tissue Data'!K:K)</f>
        <v>Whole Body</v>
      </c>
      <c r="I5753">
        <f>_xlfn.XLOOKUP(A5753,'[1]Tissue Data'!$A:$A,'[1]Tissue Data'!L:L)</f>
        <v>5</v>
      </c>
      <c r="J5753">
        <f>_xlfn.XLOOKUP(A5753,'[1]Tissue Data'!$A:$A,'[1]Tissue Data'!M:M)</f>
        <v>1.31</v>
      </c>
      <c r="K5753" t="s">
        <v>13</v>
      </c>
      <c r="L5753" t="str">
        <f>_xlfn.XLOOKUP(K5753,[2]analyte_order!$B:$B,[2]analyte_order!$C:$C)</f>
        <v>2706-90-3</v>
      </c>
      <c r="M5753">
        <f>_xlfn.XLOOKUP(L5753,[2]analyte_order!$C:$C,[2]analyte_order!$E:$E)</f>
        <v>2</v>
      </c>
      <c r="N5753">
        <v>5.5E-2</v>
      </c>
    </row>
    <row r="5754" spans="1:14">
      <c r="A5754" t="s">
        <v>203</v>
      </c>
      <c r="B5754" t="str">
        <f>_xlfn.XLOOKUP(A5754,'[1]Tissue Data'!$A:$A,'[1]Tissue Data'!$C:$C)</f>
        <v>Spill</v>
      </c>
      <c r="C5754" s="2">
        <f>_xlfn.XLOOKUP(A5754,'[1]Tissue Data'!$A:$A,'[1]Tissue Data'!$D:$D)</f>
        <v>44393</v>
      </c>
      <c r="D5754" s="2" t="str">
        <f>_xlfn.XLOOKUP(A5754,'[1]Tissue Data'!$A:$A,'[1]Tissue Data'!$F:$F)</f>
        <v>Swallowtail Shiner</v>
      </c>
      <c r="E5754" t="str">
        <f>_xlfn.XLOOKUP(A5754,'[1]Tissue Data'!$A:$A,'[1]Tissue Data'!$H:$H)</f>
        <v>Notropis</v>
      </c>
      <c r="F5754" t="str">
        <f>_xlfn.XLOOKUP(A5754,'[1]Tissue Data'!$A:$A,'[1]Tissue Data'!$I:$I)</f>
        <v>procne</v>
      </c>
      <c r="G5754" t="str">
        <f>_xlfn.XLOOKUP(A5754,'[1]Tissue Data'!$A:$A,'[1]Tissue Data'!J:J)</f>
        <v>U</v>
      </c>
      <c r="H5754" t="str">
        <f>_xlfn.XLOOKUP(A5754,'[1]Tissue Data'!$A:$A,'[1]Tissue Data'!K:K)</f>
        <v>Whole Body</v>
      </c>
      <c r="I5754">
        <f>_xlfn.XLOOKUP(A5754,'[1]Tissue Data'!$A:$A,'[1]Tissue Data'!L:L)</f>
        <v>5</v>
      </c>
      <c r="J5754">
        <f>_xlfn.XLOOKUP(A5754,'[1]Tissue Data'!$A:$A,'[1]Tissue Data'!M:M)</f>
        <v>1.31</v>
      </c>
      <c r="K5754" t="s">
        <v>14</v>
      </c>
      <c r="L5754" t="str">
        <f>_xlfn.XLOOKUP(K5754,[2]analyte_order!$B:$B,[2]analyte_order!$C:$C)</f>
        <v>307-24-4</v>
      </c>
      <c r="M5754">
        <f>_xlfn.XLOOKUP(L5754,[2]analyte_order!$C:$C,[2]analyte_order!$E:$E)</f>
        <v>3</v>
      </c>
      <c r="N5754">
        <v>4.2099999999999999E-2</v>
      </c>
    </row>
    <row r="5755" spans="1:14">
      <c r="A5755" t="s">
        <v>203</v>
      </c>
      <c r="B5755" t="str">
        <f>_xlfn.XLOOKUP(A5755,'[1]Tissue Data'!$A:$A,'[1]Tissue Data'!$C:$C)</f>
        <v>Spill</v>
      </c>
      <c r="C5755" s="2">
        <f>_xlfn.XLOOKUP(A5755,'[1]Tissue Data'!$A:$A,'[1]Tissue Data'!$D:$D)</f>
        <v>44393</v>
      </c>
      <c r="D5755" s="2" t="str">
        <f>_xlfn.XLOOKUP(A5755,'[1]Tissue Data'!$A:$A,'[1]Tissue Data'!$F:$F)</f>
        <v>Swallowtail Shiner</v>
      </c>
      <c r="E5755" t="str">
        <f>_xlfn.XLOOKUP(A5755,'[1]Tissue Data'!$A:$A,'[1]Tissue Data'!$H:$H)</f>
        <v>Notropis</v>
      </c>
      <c r="F5755" t="str">
        <f>_xlfn.XLOOKUP(A5755,'[1]Tissue Data'!$A:$A,'[1]Tissue Data'!$I:$I)</f>
        <v>procne</v>
      </c>
      <c r="G5755" t="str">
        <f>_xlfn.XLOOKUP(A5755,'[1]Tissue Data'!$A:$A,'[1]Tissue Data'!J:J)</f>
        <v>U</v>
      </c>
      <c r="H5755" t="str">
        <f>_xlfn.XLOOKUP(A5755,'[1]Tissue Data'!$A:$A,'[1]Tissue Data'!K:K)</f>
        <v>Whole Body</v>
      </c>
      <c r="I5755">
        <f>_xlfn.XLOOKUP(A5755,'[1]Tissue Data'!$A:$A,'[1]Tissue Data'!L:L)</f>
        <v>5</v>
      </c>
      <c r="J5755">
        <f>_xlfn.XLOOKUP(A5755,'[1]Tissue Data'!$A:$A,'[1]Tissue Data'!M:M)</f>
        <v>1.31</v>
      </c>
      <c r="K5755" t="s">
        <v>15</v>
      </c>
      <c r="L5755" t="str">
        <f>_xlfn.XLOOKUP(K5755,[2]analyte_order!$B:$B,[2]analyte_order!$C:$C)</f>
        <v>375-85-9</v>
      </c>
      <c r="M5755">
        <f>_xlfn.XLOOKUP(L5755,[2]analyte_order!$C:$C,[2]analyte_order!$E:$E)</f>
        <v>4</v>
      </c>
      <c r="N5755">
        <v>3.1199999999999999E-2</v>
      </c>
    </row>
    <row r="5756" spans="1:14">
      <c r="A5756" t="s">
        <v>203</v>
      </c>
      <c r="B5756" t="str">
        <f>_xlfn.XLOOKUP(A5756,'[1]Tissue Data'!$A:$A,'[1]Tissue Data'!$C:$C)</f>
        <v>Spill</v>
      </c>
      <c r="C5756" s="2">
        <f>_xlfn.XLOOKUP(A5756,'[1]Tissue Data'!$A:$A,'[1]Tissue Data'!$D:$D)</f>
        <v>44393</v>
      </c>
      <c r="D5756" s="2" t="str">
        <f>_xlfn.XLOOKUP(A5756,'[1]Tissue Data'!$A:$A,'[1]Tissue Data'!$F:$F)</f>
        <v>Swallowtail Shiner</v>
      </c>
      <c r="E5756" t="str">
        <f>_xlfn.XLOOKUP(A5756,'[1]Tissue Data'!$A:$A,'[1]Tissue Data'!$H:$H)</f>
        <v>Notropis</v>
      </c>
      <c r="F5756" t="str">
        <f>_xlfn.XLOOKUP(A5756,'[1]Tissue Data'!$A:$A,'[1]Tissue Data'!$I:$I)</f>
        <v>procne</v>
      </c>
      <c r="G5756" t="str">
        <f>_xlfn.XLOOKUP(A5756,'[1]Tissue Data'!$A:$A,'[1]Tissue Data'!J:J)</f>
        <v>U</v>
      </c>
      <c r="H5756" t="str">
        <f>_xlfn.XLOOKUP(A5756,'[1]Tissue Data'!$A:$A,'[1]Tissue Data'!K:K)</f>
        <v>Whole Body</v>
      </c>
      <c r="I5756">
        <f>_xlfn.XLOOKUP(A5756,'[1]Tissue Data'!$A:$A,'[1]Tissue Data'!L:L)</f>
        <v>5</v>
      </c>
      <c r="J5756">
        <f>_xlfn.XLOOKUP(A5756,'[1]Tissue Data'!$A:$A,'[1]Tissue Data'!M:M)</f>
        <v>1.31</v>
      </c>
      <c r="K5756" t="s">
        <v>16</v>
      </c>
      <c r="L5756" t="str">
        <f>_xlfn.XLOOKUP(K5756,[2]analyte_order!$B:$B,[2]analyte_order!$C:$C)</f>
        <v>335-67-1</v>
      </c>
      <c r="M5756">
        <f>_xlfn.XLOOKUP(L5756,[2]analyte_order!$C:$C,[2]analyte_order!$E:$E)</f>
        <v>5</v>
      </c>
      <c r="N5756">
        <v>8.2899999999999991</v>
      </c>
    </row>
    <row r="5757" spans="1:14">
      <c r="A5757" t="s">
        <v>203</v>
      </c>
      <c r="B5757" t="str">
        <f>_xlfn.XLOOKUP(A5757,'[1]Tissue Data'!$A:$A,'[1]Tissue Data'!$C:$C)</f>
        <v>Spill</v>
      </c>
      <c r="C5757" s="2">
        <f>_xlfn.XLOOKUP(A5757,'[1]Tissue Data'!$A:$A,'[1]Tissue Data'!$D:$D)</f>
        <v>44393</v>
      </c>
      <c r="D5757" s="2" t="str">
        <f>_xlfn.XLOOKUP(A5757,'[1]Tissue Data'!$A:$A,'[1]Tissue Data'!$F:$F)</f>
        <v>Swallowtail Shiner</v>
      </c>
      <c r="E5757" t="str">
        <f>_xlfn.XLOOKUP(A5757,'[1]Tissue Data'!$A:$A,'[1]Tissue Data'!$H:$H)</f>
        <v>Notropis</v>
      </c>
      <c r="F5757" t="str">
        <f>_xlfn.XLOOKUP(A5757,'[1]Tissue Data'!$A:$A,'[1]Tissue Data'!$I:$I)</f>
        <v>procne</v>
      </c>
      <c r="G5757" t="str">
        <f>_xlfn.XLOOKUP(A5757,'[1]Tissue Data'!$A:$A,'[1]Tissue Data'!J:J)</f>
        <v>U</v>
      </c>
      <c r="H5757" t="str">
        <f>_xlfn.XLOOKUP(A5757,'[1]Tissue Data'!$A:$A,'[1]Tissue Data'!K:K)</f>
        <v>Whole Body</v>
      </c>
      <c r="I5757">
        <f>_xlfn.XLOOKUP(A5757,'[1]Tissue Data'!$A:$A,'[1]Tissue Data'!L:L)</f>
        <v>5</v>
      </c>
      <c r="J5757">
        <f>_xlfn.XLOOKUP(A5757,'[1]Tissue Data'!$A:$A,'[1]Tissue Data'!M:M)</f>
        <v>1.31</v>
      </c>
      <c r="K5757" t="s">
        <v>17</v>
      </c>
      <c r="L5757" t="str">
        <f>_xlfn.XLOOKUP(K5757,[2]analyte_order!$B:$B,[2]analyte_order!$C:$C)</f>
        <v>375-95-1</v>
      </c>
      <c r="M5757">
        <f>_xlfn.XLOOKUP(L5757,[2]analyte_order!$C:$C,[2]analyte_order!$E:$E)</f>
        <v>6</v>
      </c>
      <c r="N5757">
        <v>8.3000000000000007</v>
      </c>
    </row>
    <row r="5758" spans="1:14">
      <c r="A5758" t="s">
        <v>203</v>
      </c>
      <c r="B5758" t="str">
        <f>_xlfn.XLOOKUP(A5758,'[1]Tissue Data'!$A:$A,'[1]Tissue Data'!$C:$C)</f>
        <v>Spill</v>
      </c>
      <c r="C5758" s="2">
        <f>_xlfn.XLOOKUP(A5758,'[1]Tissue Data'!$A:$A,'[1]Tissue Data'!$D:$D)</f>
        <v>44393</v>
      </c>
      <c r="D5758" s="2" t="str">
        <f>_xlfn.XLOOKUP(A5758,'[1]Tissue Data'!$A:$A,'[1]Tissue Data'!$F:$F)</f>
        <v>Swallowtail Shiner</v>
      </c>
      <c r="E5758" t="str">
        <f>_xlfn.XLOOKUP(A5758,'[1]Tissue Data'!$A:$A,'[1]Tissue Data'!$H:$H)</f>
        <v>Notropis</v>
      </c>
      <c r="F5758" t="str">
        <f>_xlfn.XLOOKUP(A5758,'[1]Tissue Data'!$A:$A,'[1]Tissue Data'!$I:$I)</f>
        <v>procne</v>
      </c>
      <c r="G5758" t="str">
        <f>_xlfn.XLOOKUP(A5758,'[1]Tissue Data'!$A:$A,'[1]Tissue Data'!J:J)</f>
        <v>U</v>
      </c>
      <c r="H5758" t="str">
        <f>_xlfn.XLOOKUP(A5758,'[1]Tissue Data'!$A:$A,'[1]Tissue Data'!K:K)</f>
        <v>Whole Body</v>
      </c>
      <c r="I5758">
        <f>_xlfn.XLOOKUP(A5758,'[1]Tissue Data'!$A:$A,'[1]Tissue Data'!L:L)</f>
        <v>5</v>
      </c>
      <c r="J5758">
        <f>_xlfn.XLOOKUP(A5758,'[1]Tissue Data'!$A:$A,'[1]Tissue Data'!M:M)</f>
        <v>1.31</v>
      </c>
      <c r="K5758" t="s">
        <v>18</v>
      </c>
      <c r="L5758" t="str">
        <f>_xlfn.XLOOKUP(K5758,[2]analyte_order!$B:$B,[2]analyte_order!$C:$C)</f>
        <v>335-76-2</v>
      </c>
      <c r="M5758">
        <f>_xlfn.XLOOKUP(L5758,[2]analyte_order!$C:$C,[2]analyte_order!$E:$E)</f>
        <v>7</v>
      </c>
      <c r="N5758">
        <v>9.51</v>
      </c>
    </row>
    <row r="5759" spans="1:14">
      <c r="A5759" t="s">
        <v>203</v>
      </c>
      <c r="B5759" t="str">
        <f>_xlfn.XLOOKUP(A5759,'[1]Tissue Data'!$A:$A,'[1]Tissue Data'!$C:$C)</f>
        <v>Spill</v>
      </c>
      <c r="C5759" s="2">
        <f>_xlfn.XLOOKUP(A5759,'[1]Tissue Data'!$A:$A,'[1]Tissue Data'!$D:$D)</f>
        <v>44393</v>
      </c>
      <c r="D5759" s="2" t="str">
        <f>_xlfn.XLOOKUP(A5759,'[1]Tissue Data'!$A:$A,'[1]Tissue Data'!$F:$F)</f>
        <v>Swallowtail Shiner</v>
      </c>
      <c r="E5759" t="str">
        <f>_xlfn.XLOOKUP(A5759,'[1]Tissue Data'!$A:$A,'[1]Tissue Data'!$H:$H)</f>
        <v>Notropis</v>
      </c>
      <c r="F5759" t="str">
        <f>_xlfn.XLOOKUP(A5759,'[1]Tissue Data'!$A:$A,'[1]Tissue Data'!$I:$I)</f>
        <v>procne</v>
      </c>
      <c r="G5759" t="str">
        <f>_xlfn.XLOOKUP(A5759,'[1]Tissue Data'!$A:$A,'[1]Tissue Data'!J:J)</f>
        <v>U</v>
      </c>
      <c r="H5759" t="str">
        <f>_xlfn.XLOOKUP(A5759,'[1]Tissue Data'!$A:$A,'[1]Tissue Data'!K:K)</f>
        <v>Whole Body</v>
      </c>
      <c r="I5759">
        <f>_xlfn.XLOOKUP(A5759,'[1]Tissue Data'!$A:$A,'[1]Tissue Data'!L:L)</f>
        <v>5</v>
      </c>
      <c r="J5759">
        <f>_xlfn.XLOOKUP(A5759,'[1]Tissue Data'!$A:$A,'[1]Tissue Data'!M:M)</f>
        <v>1.31</v>
      </c>
      <c r="K5759" t="s">
        <v>19</v>
      </c>
      <c r="L5759" t="str">
        <f>_xlfn.XLOOKUP(K5759,[2]analyte_order!$B:$B,[2]analyte_order!$C:$C)</f>
        <v>2058-94-8</v>
      </c>
      <c r="M5759">
        <f>_xlfn.XLOOKUP(L5759,[2]analyte_order!$C:$C,[2]analyte_order!$E:$E)</f>
        <v>8</v>
      </c>
      <c r="N5759">
        <v>21.7</v>
      </c>
    </row>
    <row r="5760" spans="1:14">
      <c r="A5760" t="s">
        <v>203</v>
      </c>
      <c r="B5760" t="str">
        <f>_xlfn.XLOOKUP(A5760,'[1]Tissue Data'!$A:$A,'[1]Tissue Data'!$C:$C)</f>
        <v>Spill</v>
      </c>
      <c r="C5760" s="2">
        <f>_xlfn.XLOOKUP(A5760,'[1]Tissue Data'!$A:$A,'[1]Tissue Data'!$D:$D)</f>
        <v>44393</v>
      </c>
      <c r="D5760" s="2" t="str">
        <f>_xlfn.XLOOKUP(A5760,'[1]Tissue Data'!$A:$A,'[1]Tissue Data'!$F:$F)</f>
        <v>Swallowtail Shiner</v>
      </c>
      <c r="E5760" t="str">
        <f>_xlfn.XLOOKUP(A5760,'[1]Tissue Data'!$A:$A,'[1]Tissue Data'!$H:$H)</f>
        <v>Notropis</v>
      </c>
      <c r="F5760" t="str">
        <f>_xlfn.XLOOKUP(A5760,'[1]Tissue Data'!$A:$A,'[1]Tissue Data'!$I:$I)</f>
        <v>procne</v>
      </c>
      <c r="G5760" t="str">
        <f>_xlfn.XLOOKUP(A5760,'[1]Tissue Data'!$A:$A,'[1]Tissue Data'!J:J)</f>
        <v>U</v>
      </c>
      <c r="H5760" t="str">
        <f>_xlfn.XLOOKUP(A5760,'[1]Tissue Data'!$A:$A,'[1]Tissue Data'!K:K)</f>
        <v>Whole Body</v>
      </c>
      <c r="I5760">
        <f>_xlfn.XLOOKUP(A5760,'[1]Tissue Data'!$A:$A,'[1]Tissue Data'!L:L)</f>
        <v>5</v>
      </c>
      <c r="J5760">
        <f>_xlfn.XLOOKUP(A5760,'[1]Tissue Data'!$A:$A,'[1]Tissue Data'!M:M)</f>
        <v>1.31</v>
      </c>
      <c r="K5760" t="s">
        <v>20</v>
      </c>
      <c r="L5760" t="str">
        <f>_xlfn.XLOOKUP(K5760,[2]analyte_order!$B:$B,[2]analyte_order!$C:$C)</f>
        <v>307-55-1</v>
      </c>
      <c r="M5760">
        <f>_xlfn.XLOOKUP(L5760,[2]analyte_order!$C:$C,[2]analyte_order!$E:$E)</f>
        <v>9</v>
      </c>
      <c r="N5760">
        <v>16</v>
      </c>
    </row>
    <row r="5761" spans="1:14">
      <c r="A5761" t="s">
        <v>203</v>
      </c>
      <c r="B5761" t="str">
        <f>_xlfn.XLOOKUP(A5761,'[1]Tissue Data'!$A:$A,'[1]Tissue Data'!$C:$C)</f>
        <v>Spill</v>
      </c>
      <c r="C5761" s="2">
        <f>_xlfn.XLOOKUP(A5761,'[1]Tissue Data'!$A:$A,'[1]Tissue Data'!$D:$D)</f>
        <v>44393</v>
      </c>
      <c r="D5761" s="2" t="str">
        <f>_xlfn.XLOOKUP(A5761,'[1]Tissue Data'!$A:$A,'[1]Tissue Data'!$F:$F)</f>
        <v>Swallowtail Shiner</v>
      </c>
      <c r="E5761" t="str">
        <f>_xlfn.XLOOKUP(A5761,'[1]Tissue Data'!$A:$A,'[1]Tissue Data'!$H:$H)</f>
        <v>Notropis</v>
      </c>
      <c r="F5761" t="str">
        <f>_xlfn.XLOOKUP(A5761,'[1]Tissue Data'!$A:$A,'[1]Tissue Data'!$I:$I)</f>
        <v>procne</v>
      </c>
      <c r="G5761" t="str">
        <f>_xlfn.XLOOKUP(A5761,'[1]Tissue Data'!$A:$A,'[1]Tissue Data'!J:J)</f>
        <v>U</v>
      </c>
      <c r="H5761" t="str">
        <f>_xlfn.XLOOKUP(A5761,'[1]Tissue Data'!$A:$A,'[1]Tissue Data'!K:K)</f>
        <v>Whole Body</v>
      </c>
      <c r="I5761">
        <f>_xlfn.XLOOKUP(A5761,'[1]Tissue Data'!$A:$A,'[1]Tissue Data'!L:L)</f>
        <v>5</v>
      </c>
      <c r="J5761">
        <f>_xlfn.XLOOKUP(A5761,'[1]Tissue Data'!$A:$A,'[1]Tissue Data'!M:M)</f>
        <v>1.31</v>
      </c>
      <c r="K5761" t="s">
        <v>21</v>
      </c>
      <c r="L5761" t="str">
        <f>_xlfn.XLOOKUP(K5761,[2]analyte_order!$B:$B,[2]analyte_order!$C:$C)</f>
        <v>72629-94-8</v>
      </c>
      <c r="M5761">
        <f>_xlfn.XLOOKUP(L5761,[2]analyte_order!$C:$C,[2]analyte_order!$E:$E)</f>
        <v>10</v>
      </c>
      <c r="N5761">
        <v>4.9849999999999998E-2</v>
      </c>
    </row>
    <row r="5762" spans="1:14">
      <c r="A5762" t="s">
        <v>203</v>
      </c>
      <c r="B5762" t="str">
        <f>_xlfn.XLOOKUP(A5762,'[1]Tissue Data'!$A:$A,'[1]Tissue Data'!$C:$C)</f>
        <v>Spill</v>
      </c>
      <c r="C5762" s="2">
        <f>_xlfn.XLOOKUP(A5762,'[1]Tissue Data'!$A:$A,'[1]Tissue Data'!$D:$D)</f>
        <v>44393</v>
      </c>
      <c r="D5762" s="2" t="str">
        <f>_xlfn.XLOOKUP(A5762,'[1]Tissue Data'!$A:$A,'[1]Tissue Data'!$F:$F)</f>
        <v>Swallowtail Shiner</v>
      </c>
      <c r="E5762" t="str">
        <f>_xlfn.XLOOKUP(A5762,'[1]Tissue Data'!$A:$A,'[1]Tissue Data'!$H:$H)</f>
        <v>Notropis</v>
      </c>
      <c r="F5762" t="str">
        <f>_xlfn.XLOOKUP(A5762,'[1]Tissue Data'!$A:$A,'[1]Tissue Data'!$I:$I)</f>
        <v>procne</v>
      </c>
      <c r="G5762" t="str">
        <f>_xlfn.XLOOKUP(A5762,'[1]Tissue Data'!$A:$A,'[1]Tissue Data'!J:J)</f>
        <v>U</v>
      </c>
      <c r="H5762" t="str">
        <f>_xlfn.XLOOKUP(A5762,'[1]Tissue Data'!$A:$A,'[1]Tissue Data'!K:K)</f>
        <v>Whole Body</v>
      </c>
      <c r="I5762">
        <f>_xlfn.XLOOKUP(A5762,'[1]Tissue Data'!$A:$A,'[1]Tissue Data'!L:L)</f>
        <v>5</v>
      </c>
      <c r="J5762">
        <f>_xlfn.XLOOKUP(A5762,'[1]Tissue Data'!$A:$A,'[1]Tissue Data'!M:M)</f>
        <v>1.31</v>
      </c>
      <c r="K5762" t="s">
        <v>22</v>
      </c>
      <c r="L5762" t="str">
        <f>_xlfn.XLOOKUP(K5762,[2]analyte_order!$B:$B,[2]analyte_order!$C:$C)</f>
        <v>376-06-7</v>
      </c>
      <c r="M5762">
        <f>_xlfn.XLOOKUP(L5762,[2]analyte_order!$C:$C,[2]analyte_order!$E:$E)</f>
        <v>11</v>
      </c>
      <c r="N5762">
        <v>7.16</v>
      </c>
    </row>
    <row r="5763" spans="1:14">
      <c r="A5763" t="s">
        <v>203</v>
      </c>
      <c r="B5763" t="str">
        <f>_xlfn.XLOOKUP(A5763,'[1]Tissue Data'!$A:$A,'[1]Tissue Data'!$C:$C)</f>
        <v>Spill</v>
      </c>
      <c r="C5763" s="2">
        <f>_xlfn.XLOOKUP(A5763,'[1]Tissue Data'!$A:$A,'[1]Tissue Data'!$D:$D)</f>
        <v>44393</v>
      </c>
      <c r="D5763" s="2" t="str">
        <f>_xlfn.XLOOKUP(A5763,'[1]Tissue Data'!$A:$A,'[1]Tissue Data'!$F:$F)</f>
        <v>Swallowtail Shiner</v>
      </c>
      <c r="E5763" t="str">
        <f>_xlfn.XLOOKUP(A5763,'[1]Tissue Data'!$A:$A,'[1]Tissue Data'!$H:$H)</f>
        <v>Notropis</v>
      </c>
      <c r="F5763" t="str">
        <f>_xlfn.XLOOKUP(A5763,'[1]Tissue Data'!$A:$A,'[1]Tissue Data'!$I:$I)</f>
        <v>procne</v>
      </c>
      <c r="G5763" t="str">
        <f>_xlfn.XLOOKUP(A5763,'[1]Tissue Data'!$A:$A,'[1]Tissue Data'!J:J)</f>
        <v>U</v>
      </c>
      <c r="H5763" t="str">
        <f>_xlfn.XLOOKUP(A5763,'[1]Tissue Data'!$A:$A,'[1]Tissue Data'!K:K)</f>
        <v>Whole Body</v>
      </c>
      <c r="I5763">
        <f>_xlfn.XLOOKUP(A5763,'[1]Tissue Data'!$A:$A,'[1]Tissue Data'!L:L)</f>
        <v>5</v>
      </c>
      <c r="J5763">
        <f>_xlfn.XLOOKUP(A5763,'[1]Tissue Data'!$A:$A,'[1]Tissue Data'!M:M)</f>
        <v>1.31</v>
      </c>
      <c r="K5763" t="s">
        <v>23</v>
      </c>
      <c r="L5763" t="str">
        <f>_xlfn.XLOOKUP(K5763,[2]analyte_order!$B:$B,[2]analyte_order!$C:$C)</f>
        <v>67905-19-5</v>
      </c>
      <c r="M5763">
        <f>_xlfn.XLOOKUP(L5763,[2]analyte_order!$C:$C,[2]analyte_order!$E:$E)</f>
        <v>12</v>
      </c>
      <c r="N5763">
        <v>9.2999999999999999E-2</v>
      </c>
    </row>
    <row r="5764" spans="1:14">
      <c r="A5764" t="s">
        <v>203</v>
      </c>
      <c r="B5764" t="str">
        <f>_xlfn.XLOOKUP(A5764,'[1]Tissue Data'!$A:$A,'[1]Tissue Data'!$C:$C)</f>
        <v>Spill</v>
      </c>
      <c r="C5764" s="2">
        <f>_xlfn.XLOOKUP(A5764,'[1]Tissue Data'!$A:$A,'[1]Tissue Data'!$D:$D)</f>
        <v>44393</v>
      </c>
      <c r="D5764" s="2" t="str">
        <f>_xlfn.XLOOKUP(A5764,'[1]Tissue Data'!$A:$A,'[1]Tissue Data'!$F:$F)</f>
        <v>Swallowtail Shiner</v>
      </c>
      <c r="E5764" t="str">
        <f>_xlfn.XLOOKUP(A5764,'[1]Tissue Data'!$A:$A,'[1]Tissue Data'!$H:$H)</f>
        <v>Notropis</v>
      </c>
      <c r="F5764" t="str">
        <f>_xlfn.XLOOKUP(A5764,'[1]Tissue Data'!$A:$A,'[1]Tissue Data'!$I:$I)</f>
        <v>procne</v>
      </c>
      <c r="G5764" t="str">
        <f>_xlfn.XLOOKUP(A5764,'[1]Tissue Data'!$A:$A,'[1]Tissue Data'!J:J)</f>
        <v>U</v>
      </c>
      <c r="H5764" t="str">
        <f>_xlfn.XLOOKUP(A5764,'[1]Tissue Data'!$A:$A,'[1]Tissue Data'!K:K)</f>
        <v>Whole Body</v>
      </c>
      <c r="I5764">
        <f>_xlfn.XLOOKUP(A5764,'[1]Tissue Data'!$A:$A,'[1]Tissue Data'!L:L)</f>
        <v>5</v>
      </c>
      <c r="J5764">
        <f>_xlfn.XLOOKUP(A5764,'[1]Tissue Data'!$A:$A,'[1]Tissue Data'!M:M)</f>
        <v>1.31</v>
      </c>
      <c r="K5764" t="s">
        <v>24</v>
      </c>
      <c r="L5764" t="str">
        <f>_xlfn.XLOOKUP(K5764,[2]analyte_order!$B:$B,[2]analyte_order!$C:$C)</f>
        <v>423-41-6</v>
      </c>
      <c r="M5764">
        <f>_xlfn.XLOOKUP(L5764,[2]analyte_order!$C:$C,[2]analyte_order!$E:$E)</f>
        <v>53</v>
      </c>
      <c r="N5764">
        <v>7.8E-2</v>
      </c>
    </row>
    <row r="5765" spans="1:14">
      <c r="A5765" t="s">
        <v>203</v>
      </c>
      <c r="B5765" t="str">
        <f>_xlfn.XLOOKUP(A5765,'[1]Tissue Data'!$A:$A,'[1]Tissue Data'!$C:$C)</f>
        <v>Spill</v>
      </c>
      <c r="C5765" s="2">
        <f>_xlfn.XLOOKUP(A5765,'[1]Tissue Data'!$A:$A,'[1]Tissue Data'!$D:$D)</f>
        <v>44393</v>
      </c>
      <c r="D5765" s="2" t="str">
        <f>_xlfn.XLOOKUP(A5765,'[1]Tissue Data'!$A:$A,'[1]Tissue Data'!$F:$F)</f>
        <v>Swallowtail Shiner</v>
      </c>
      <c r="E5765" t="str">
        <f>_xlfn.XLOOKUP(A5765,'[1]Tissue Data'!$A:$A,'[1]Tissue Data'!$H:$H)</f>
        <v>Notropis</v>
      </c>
      <c r="F5765" t="str">
        <f>_xlfn.XLOOKUP(A5765,'[1]Tissue Data'!$A:$A,'[1]Tissue Data'!$I:$I)</f>
        <v>procne</v>
      </c>
      <c r="G5765" t="str">
        <f>_xlfn.XLOOKUP(A5765,'[1]Tissue Data'!$A:$A,'[1]Tissue Data'!J:J)</f>
        <v>U</v>
      </c>
      <c r="H5765" t="str">
        <f>_xlfn.XLOOKUP(A5765,'[1]Tissue Data'!$A:$A,'[1]Tissue Data'!K:K)</f>
        <v>Whole Body</v>
      </c>
      <c r="I5765">
        <f>_xlfn.XLOOKUP(A5765,'[1]Tissue Data'!$A:$A,'[1]Tissue Data'!L:L)</f>
        <v>5</v>
      </c>
      <c r="J5765">
        <f>_xlfn.XLOOKUP(A5765,'[1]Tissue Data'!$A:$A,'[1]Tissue Data'!M:M)</f>
        <v>1.31</v>
      </c>
      <c r="K5765" t="s">
        <v>25</v>
      </c>
      <c r="L5765" t="str">
        <f>_xlfn.XLOOKUP(K5765,[2]analyte_order!$B:$B,[2]analyte_order!$C:$C)</f>
        <v>375-73-5</v>
      </c>
      <c r="M5765">
        <f>_xlfn.XLOOKUP(L5765,[2]analyte_order!$C:$C,[2]analyte_order!$E:$E)</f>
        <v>14</v>
      </c>
      <c r="N5765">
        <v>5.2999999999999999E-2</v>
      </c>
    </row>
    <row r="5766" spans="1:14">
      <c r="A5766" t="s">
        <v>203</v>
      </c>
      <c r="B5766" t="str">
        <f>_xlfn.XLOOKUP(A5766,'[1]Tissue Data'!$A:$A,'[1]Tissue Data'!$C:$C)</f>
        <v>Spill</v>
      </c>
      <c r="C5766" s="2">
        <f>_xlfn.XLOOKUP(A5766,'[1]Tissue Data'!$A:$A,'[1]Tissue Data'!$D:$D)</f>
        <v>44393</v>
      </c>
      <c r="D5766" s="2" t="str">
        <f>_xlfn.XLOOKUP(A5766,'[1]Tissue Data'!$A:$A,'[1]Tissue Data'!$F:$F)</f>
        <v>Swallowtail Shiner</v>
      </c>
      <c r="E5766" t="str">
        <f>_xlfn.XLOOKUP(A5766,'[1]Tissue Data'!$A:$A,'[1]Tissue Data'!$H:$H)</f>
        <v>Notropis</v>
      </c>
      <c r="F5766" t="str">
        <f>_xlfn.XLOOKUP(A5766,'[1]Tissue Data'!$A:$A,'[1]Tissue Data'!$I:$I)</f>
        <v>procne</v>
      </c>
      <c r="G5766" t="str">
        <f>_xlfn.XLOOKUP(A5766,'[1]Tissue Data'!$A:$A,'[1]Tissue Data'!J:J)</f>
        <v>U</v>
      </c>
      <c r="H5766" t="str">
        <f>_xlfn.XLOOKUP(A5766,'[1]Tissue Data'!$A:$A,'[1]Tissue Data'!K:K)</f>
        <v>Whole Body</v>
      </c>
      <c r="I5766">
        <f>_xlfn.XLOOKUP(A5766,'[1]Tissue Data'!$A:$A,'[1]Tissue Data'!L:L)</f>
        <v>5</v>
      </c>
      <c r="J5766">
        <f>_xlfn.XLOOKUP(A5766,'[1]Tissue Data'!$A:$A,'[1]Tissue Data'!M:M)</f>
        <v>1.31</v>
      </c>
      <c r="K5766" t="s">
        <v>26</v>
      </c>
      <c r="L5766" t="str">
        <f>_xlfn.XLOOKUP(K5766,[2]analyte_order!$B:$B,[2]analyte_order!$C:$C)</f>
        <v>2706-91-4</v>
      </c>
      <c r="M5766">
        <f>_xlfn.XLOOKUP(L5766,[2]analyte_order!$C:$C,[2]analyte_order!$E:$E)</f>
        <v>15</v>
      </c>
      <c r="N5766">
        <v>0.75800000000000001</v>
      </c>
    </row>
    <row r="5767" spans="1:14">
      <c r="A5767" t="s">
        <v>203</v>
      </c>
      <c r="B5767" t="str">
        <f>_xlfn.XLOOKUP(A5767,'[1]Tissue Data'!$A:$A,'[1]Tissue Data'!$C:$C)</f>
        <v>Spill</v>
      </c>
      <c r="C5767" s="2">
        <f>_xlfn.XLOOKUP(A5767,'[1]Tissue Data'!$A:$A,'[1]Tissue Data'!$D:$D)</f>
        <v>44393</v>
      </c>
      <c r="D5767" s="2" t="str">
        <f>_xlfn.XLOOKUP(A5767,'[1]Tissue Data'!$A:$A,'[1]Tissue Data'!$F:$F)</f>
        <v>Swallowtail Shiner</v>
      </c>
      <c r="E5767" t="str">
        <f>_xlfn.XLOOKUP(A5767,'[1]Tissue Data'!$A:$A,'[1]Tissue Data'!$H:$H)</f>
        <v>Notropis</v>
      </c>
      <c r="F5767" t="str">
        <f>_xlfn.XLOOKUP(A5767,'[1]Tissue Data'!$A:$A,'[1]Tissue Data'!$I:$I)</f>
        <v>procne</v>
      </c>
      <c r="G5767" t="str">
        <f>_xlfn.XLOOKUP(A5767,'[1]Tissue Data'!$A:$A,'[1]Tissue Data'!J:J)</f>
        <v>U</v>
      </c>
      <c r="H5767" t="str">
        <f>_xlfn.XLOOKUP(A5767,'[1]Tissue Data'!$A:$A,'[1]Tissue Data'!K:K)</f>
        <v>Whole Body</v>
      </c>
      <c r="I5767">
        <f>_xlfn.XLOOKUP(A5767,'[1]Tissue Data'!$A:$A,'[1]Tissue Data'!L:L)</f>
        <v>5</v>
      </c>
      <c r="J5767">
        <f>_xlfn.XLOOKUP(A5767,'[1]Tissue Data'!$A:$A,'[1]Tissue Data'!M:M)</f>
        <v>1.31</v>
      </c>
      <c r="K5767" t="s">
        <v>27</v>
      </c>
      <c r="L5767" t="str">
        <f>_xlfn.XLOOKUP(K5767,[2]analyte_order!$B:$B,[2]analyte_order!$C:$C)</f>
        <v>355-46-4</v>
      </c>
      <c r="M5767">
        <f>_xlfn.XLOOKUP(L5767,[2]analyte_order!$C:$C,[2]analyte_order!$E:$E)</f>
        <v>16</v>
      </c>
      <c r="N5767">
        <v>92.1</v>
      </c>
    </row>
    <row r="5768" spans="1:14">
      <c r="A5768" t="s">
        <v>203</v>
      </c>
      <c r="B5768" t="str">
        <f>_xlfn.XLOOKUP(A5768,'[1]Tissue Data'!$A:$A,'[1]Tissue Data'!$C:$C)</f>
        <v>Spill</v>
      </c>
      <c r="C5768" s="2">
        <f>_xlfn.XLOOKUP(A5768,'[1]Tissue Data'!$A:$A,'[1]Tissue Data'!$D:$D)</f>
        <v>44393</v>
      </c>
      <c r="D5768" s="2" t="str">
        <f>_xlfn.XLOOKUP(A5768,'[1]Tissue Data'!$A:$A,'[1]Tissue Data'!$F:$F)</f>
        <v>Swallowtail Shiner</v>
      </c>
      <c r="E5768" t="str">
        <f>_xlfn.XLOOKUP(A5768,'[1]Tissue Data'!$A:$A,'[1]Tissue Data'!$H:$H)</f>
        <v>Notropis</v>
      </c>
      <c r="F5768" t="str">
        <f>_xlfn.XLOOKUP(A5768,'[1]Tissue Data'!$A:$A,'[1]Tissue Data'!$I:$I)</f>
        <v>procne</v>
      </c>
      <c r="G5768" t="str">
        <f>_xlfn.XLOOKUP(A5768,'[1]Tissue Data'!$A:$A,'[1]Tissue Data'!J:J)</f>
        <v>U</v>
      </c>
      <c r="H5768" t="str">
        <f>_xlfn.XLOOKUP(A5768,'[1]Tissue Data'!$A:$A,'[1]Tissue Data'!K:K)</f>
        <v>Whole Body</v>
      </c>
      <c r="I5768">
        <f>_xlfn.XLOOKUP(A5768,'[1]Tissue Data'!$A:$A,'[1]Tissue Data'!L:L)</f>
        <v>5</v>
      </c>
      <c r="J5768">
        <f>_xlfn.XLOOKUP(A5768,'[1]Tissue Data'!$A:$A,'[1]Tissue Data'!M:M)</f>
        <v>1.31</v>
      </c>
      <c r="K5768" t="s">
        <v>28</v>
      </c>
      <c r="L5768" t="str">
        <f>_xlfn.XLOOKUP(K5768,[2]analyte_order!$B:$B,[2]analyte_order!$C:$C)</f>
        <v>375-92-8</v>
      </c>
      <c r="M5768">
        <f>_xlfn.XLOOKUP(L5768,[2]analyte_order!$C:$C,[2]analyte_order!$E:$E)</f>
        <v>17</v>
      </c>
      <c r="N5768">
        <v>11</v>
      </c>
    </row>
    <row r="5769" spans="1:14">
      <c r="A5769" t="s">
        <v>203</v>
      </c>
      <c r="B5769" t="str">
        <f>_xlfn.XLOOKUP(A5769,'[1]Tissue Data'!$A:$A,'[1]Tissue Data'!$C:$C)</f>
        <v>Spill</v>
      </c>
      <c r="C5769" s="2">
        <f>_xlfn.XLOOKUP(A5769,'[1]Tissue Data'!$A:$A,'[1]Tissue Data'!$D:$D)</f>
        <v>44393</v>
      </c>
      <c r="D5769" s="2" t="str">
        <f>_xlfn.XLOOKUP(A5769,'[1]Tissue Data'!$A:$A,'[1]Tissue Data'!$F:$F)</f>
        <v>Swallowtail Shiner</v>
      </c>
      <c r="E5769" t="str">
        <f>_xlfn.XLOOKUP(A5769,'[1]Tissue Data'!$A:$A,'[1]Tissue Data'!$H:$H)</f>
        <v>Notropis</v>
      </c>
      <c r="F5769" t="str">
        <f>_xlfn.XLOOKUP(A5769,'[1]Tissue Data'!$A:$A,'[1]Tissue Data'!$I:$I)</f>
        <v>procne</v>
      </c>
      <c r="G5769" t="str">
        <f>_xlfn.XLOOKUP(A5769,'[1]Tissue Data'!$A:$A,'[1]Tissue Data'!J:J)</f>
        <v>U</v>
      </c>
      <c r="H5769" t="str">
        <f>_xlfn.XLOOKUP(A5769,'[1]Tissue Data'!$A:$A,'[1]Tissue Data'!K:K)</f>
        <v>Whole Body</v>
      </c>
      <c r="I5769">
        <f>_xlfn.XLOOKUP(A5769,'[1]Tissue Data'!$A:$A,'[1]Tissue Data'!L:L)</f>
        <v>5</v>
      </c>
      <c r="J5769">
        <f>_xlfn.XLOOKUP(A5769,'[1]Tissue Data'!$A:$A,'[1]Tissue Data'!M:M)</f>
        <v>1.31</v>
      </c>
      <c r="K5769" t="s">
        <v>29</v>
      </c>
      <c r="L5769" t="str">
        <f>_xlfn.XLOOKUP(K5769,[2]analyte_order!$B:$B,[2]analyte_order!$C:$C)</f>
        <v>1763-23-1</v>
      </c>
      <c r="M5769">
        <f>_xlfn.XLOOKUP(L5769,[2]analyte_order!$C:$C,[2]analyte_order!$E:$E)</f>
        <v>18</v>
      </c>
      <c r="N5769">
        <v>1010</v>
      </c>
    </row>
    <row r="5770" spans="1:14">
      <c r="A5770" t="s">
        <v>203</v>
      </c>
      <c r="B5770" t="str">
        <f>_xlfn.XLOOKUP(A5770,'[1]Tissue Data'!$A:$A,'[1]Tissue Data'!$C:$C)</f>
        <v>Spill</v>
      </c>
      <c r="C5770" s="2">
        <f>_xlfn.XLOOKUP(A5770,'[1]Tissue Data'!$A:$A,'[1]Tissue Data'!$D:$D)</f>
        <v>44393</v>
      </c>
      <c r="D5770" s="2" t="str">
        <f>_xlfn.XLOOKUP(A5770,'[1]Tissue Data'!$A:$A,'[1]Tissue Data'!$F:$F)</f>
        <v>Swallowtail Shiner</v>
      </c>
      <c r="E5770" t="str">
        <f>_xlfn.XLOOKUP(A5770,'[1]Tissue Data'!$A:$A,'[1]Tissue Data'!$H:$H)</f>
        <v>Notropis</v>
      </c>
      <c r="F5770" t="str">
        <f>_xlfn.XLOOKUP(A5770,'[1]Tissue Data'!$A:$A,'[1]Tissue Data'!$I:$I)</f>
        <v>procne</v>
      </c>
      <c r="G5770" t="str">
        <f>_xlfn.XLOOKUP(A5770,'[1]Tissue Data'!$A:$A,'[1]Tissue Data'!J:J)</f>
        <v>U</v>
      </c>
      <c r="H5770" t="str">
        <f>_xlfn.XLOOKUP(A5770,'[1]Tissue Data'!$A:$A,'[1]Tissue Data'!K:K)</f>
        <v>Whole Body</v>
      </c>
      <c r="I5770">
        <f>_xlfn.XLOOKUP(A5770,'[1]Tissue Data'!$A:$A,'[1]Tissue Data'!L:L)</f>
        <v>5</v>
      </c>
      <c r="J5770">
        <f>_xlfn.XLOOKUP(A5770,'[1]Tissue Data'!$A:$A,'[1]Tissue Data'!M:M)</f>
        <v>1.31</v>
      </c>
      <c r="K5770" t="s">
        <v>30</v>
      </c>
      <c r="L5770" t="str">
        <f>_xlfn.XLOOKUP(K5770,[2]analyte_order!$B:$B,[2]analyte_order!$C:$C)</f>
        <v>68259-12-1</v>
      </c>
      <c r="M5770">
        <f>_xlfn.XLOOKUP(L5770,[2]analyte_order!$C:$C,[2]analyte_order!$E:$E)</f>
        <v>19</v>
      </c>
      <c r="N5770">
        <v>5.03</v>
      </c>
    </row>
    <row r="5771" spans="1:14">
      <c r="A5771" t="s">
        <v>203</v>
      </c>
      <c r="B5771" t="str">
        <f>_xlfn.XLOOKUP(A5771,'[1]Tissue Data'!$A:$A,'[1]Tissue Data'!$C:$C)</f>
        <v>Spill</v>
      </c>
      <c r="C5771" s="2">
        <f>_xlfn.XLOOKUP(A5771,'[1]Tissue Data'!$A:$A,'[1]Tissue Data'!$D:$D)</f>
        <v>44393</v>
      </c>
      <c r="D5771" s="2" t="str">
        <f>_xlfn.XLOOKUP(A5771,'[1]Tissue Data'!$A:$A,'[1]Tissue Data'!$F:$F)</f>
        <v>Swallowtail Shiner</v>
      </c>
      <c r="E5771" t="str">
        <f>_xlfn.XLOOKUP(A5771,'[1]Tissue Data'!$A:$A,'[1]Tissue Data'!$H:$H)</f>
        <v>Notropis</v>
      </c>
      <c r="F5771" t="str">
        <f>_xlfn.XLOOKUP(A5771,'[1]Tissue Data'!$A:$A,'[1]Tissue Data'!$I:$I)</f>
        <v>procne</v>
      </c>
      <c r="G5771" t="str">
        <f>_xlfn.XLOOKUP(A5771,'[1]Tissue Data'!$A:$A,'[1]Tissue Data'!J:J)</f>
        <v>U</v>
      </c>
      <c r="H5771" t="str">
        <f>_xlfn.XLOOKUP(A5771,'[1]Tissue Data'!$A:$A,'[1]Tissue Data'!K:K)</f>
        <v>Whole Body</v>
      </c>
      <c r="I5771">
        <f>_xlfn.XLOOKUP(A5771,'[1]Tissue Data'!$A:$A,'[1]Tissue Data'!L:L)</f>
        <v>5</v>
      </c>
      <c r="J5771">
        <f>_xlfn.XLOOKUP(A5771,'[1]Tissue Data'!$A:$A,'[1]Tissue Data'!M:M)</f>
        <v>1.31</v>
      </c>
      <c r="K5771" t="s">
        <v>31</v>
      </c>
      <c r="L5771" t="str">
        <f>_xlfn.XLOOKUP(K5771,[2]analyte_order!$B:$B,[2]analyte_order!$C:$C)</f>
        <v>335-77-3</v>
      </c>
      <c r="M5771">
        <f>_xlfn.XLOOKUP(L5771,[2]analyte_order!$C:$C,[2]analyte_order!$E:$E)</f>
        <v>20</v>
      </c>
      <c r="N5771">
        <v>8.6</v>
      </c>
    </row>
    <row r="5772" spans="1:14">
      <c r="A5772" t="s">
        <v>203</v>
      </c>
      <c r="B5772" t="str">
        <f>_xlfn.XLOOKUP(A5772,'[1]Tissue Data'!$A:$A,'[1]Tissue Data'!$C:$C)</f>
        <v>Spill</v>
      </c>
      <c r="C5772" s="2">
        <f>_xlfn.XLOOKUP(A5772,'[1]Tissue Data'!$A:$A,'[1]Tissue Data'!$D:$D)</f>
        <v>44393</v>
      </c>
      <c r="D5772" s="2" t="str">
        <f>_xlfn.XLOOKUP(A5772,'[1]Tissue Data'!$A:$A,'[1]Tissue Data'!$F:$F)</f>
        <v>Swallowtail Shiner</v>
      </c>
      <c r="E5772" t="str">
        <f>_xlfn.XLOOKUP(A5772,'[1]Tissue Data'!$A:$A,'[1]Tissue Data'!$H:$H)</f>
        <v>Notropis</v>
      </c>
      <c r="F5772" t="str">
        <f>_xlfn.XLOOKUP(A5772,'[1]Tissue Data'!$A:$A,'[1]Tissue Data'!$I:$I)</f>
        <v>procne</v>
      </c>
      <c r="G5772" t="str">
        <f>_xlfn.XLOOKUP(A5772,'[1]Tissue Data'!$A:$A,'[1]Tissue Data'!J:J)</f>
        <v>U</v>
      </c>
      <c r="H5772" t="str">
        <f>_xlfn.XLOOKUP(A5772,'[1]Tissue Data'!$A:$A,'[1]Tissue Data'!K:K)</f>
        <v>Whole Body</v>
      </c>
      <c r="I5772">
        <f>_xlfn.XLOOKUP(A5772,'[1]Tissue Data'!$A:$A,'[1]Tissue Data'!L:L)</f>
        <v>5</v>
      </c>
      <c r="J5772">
        <f>_xlfn.XLOOKUP(A5772,'[1]Tissue Data'!$A:$A,'[1]Tissue Data'!M:M)</f>
        <v>1.31</v>
      </c>
      <c r="K5772" t="s">
        <v>32</v>
      </c>
      <c r="L5772" t="str">
        <f>_xlfn.XLOOKUP(K5772,[2]analyte_order!$B:$B,[2]analyte_order!$C:$C)</f>
        <v>79780-39-5</v>
      </c>
      <c r="M5772">
        <f>_xlfn.XLOOKUP(L5772,[2]analyte_order!$C:$C,[2]analyte_order!$E:$E)</f>
        <v>21</v>
      </c>
      <c r="N5772">
        <v>4.04</v>
      </c>
    </row>
    <row r="5773" spans="1:14">
      <c r="A5773" t="s">
        <v>203</v>
      </c>
      <c r="B5773" t="str">
        <f>_xlfn.XLOOKUP(A5773,'[1]Tissue Data'!$A:$A,'[1]Tissue Data'!$C:$C)</f>
        <v>Spill</v>
      </c>
      <c r="C5773" s="2">
        <f>_xlfn.XLOOKUP(A5773,'[1]Tissue Data'!$A:$A,'[1]Tissue Data'!$D:$D)</f>
        <v>44393</v>
      </c>
      <c r="D5773" s="2" t="str">
        <f>_xlfn.XLOOKUP(A5773,'[1]Tissue Data'!$A:$A,'[1]Tissue Data'!$F:$F)</f>
        <v>Swallowtail Shiner</v>
      </c>
      <c r="E5773" t="str">
        <f>_xlfn.XLOOKUP(A5773,'[1]Tissue Data'!$A:$A,'[1]Tissue Data'!$H:$H)</f>
        <v>Notropis</v>
      </c>
      <c r="F5773" t="str">
        <f>_xlfn.XLOOKUP(A5773,'[1]Tissue Data'!$A:$A,'[1]Tissue Data'!$I:$I)</f>
        <v>procne</v>
      </c>
      <c r="G5773" t="str">
        <f>_xlfn.XLOOKUP(A5773,'[1]Tissue Data'!$A:$A,'[1]Tissue Data'!J:J)</f>
        <v>U</v>
      </c>
      <c r="H5773" t="str">
        <f>_xlfn.XLOOKUP(A5773,'[1]Tissue Data'!$A:$A,'[1]Tissue Data'!K:K)</f>
        <v>Whole Body</v>
      </c>
      <c r="I5773">
        <f>_xlfn.XLOOKUP(A5773,'[1]Tissue Data'!$A:$A,'[1]Tissue Data'!L:L)</f>
        <v>5</v>
      </c>
      <c r="J5773">
        <f>_xlfn.XLOOKUP(A5773,'[1]Tissue Data'!$A:$A,'[1]Tissue Data'!M:M)</f>
        <v>1.31</v>
      </c>
      <c r="K5773" t="s">
        <v>33</v>
      </c>
      <c r="L5773" t="str">
        <f>_xlfn.XLOOKUP(K5773,[2]analyte_order!$B:$B,[2]analyte_order!$C:$C)</f>
        <v>777011-38-8</v>
      </c>
      <c r="M5773">
        <f>_xlfn.XLOOKUP(L5773,[2]analyte_order!$C:$C,[2]analyte_order!$E:$E)</f>
        <v>54</v>
      </c>
      <c r="N5773">
        <v>0.1565</v>
      </c>
    </row>
    <row r="5774" spans="1:14">
      <c r="A5774" t="s">
        <v>203</v>
      </c>
      <c r="B5774" t="str">
        <f>_xlfn.XLOOKUP(A5774,'[1]Tissue Data'!$A:$A,'[1]Tissue Data'!$C:$C)</f>
        <v>Spill</v>
      </c>
      <c r="C5774" s="2">
        <f>_xlfn.XLOOKUP(A5774,'[1]Tissue Data'!$A:$A,'[1]Tissue Data'!$D:$D)</f>
        <v>44393</v>
      </c>
      <c r="D5774" s="2" t="str">
        <f>_xlfn.XLOOKUP(A5774,'[1]Tissue Data'!$A:$A,'[1]Tissue Data'!$F:$F)</f>
        <v>Swallowtail Shiner</v>
      </c>
      <c r="E5774" t="str">
        <f>_xlfn.XLOOKUP(A5774,'[1]Tissue Data'!$A:$A,'[1]Tissue Data'!$H:$H)</f>
        <v>Notropis</v>
      </c>
      <c r="F5774" t="str">
        <f>_xlfn.XLOOKUP(A5774,'[1]Tissue Data'!$A:$A,'[1]Tissue Data'!$I:$I)</f>
        <v>procne</v>
      </c>
      <c r="G5774" t="str">
        <f>_xlfn.XLOOKUP(A5774,'[1]Tissue Data'!$A:$A,'[1]Tissue Data'!J:J)</f>
        <v>U</v>
      </c>
      <c r="H5774" t="str">
        <f>_xlfn.XLOOKUP(A5774,'[1]Tissue Data'!$A:$A,'[1]Tissue Data'!K:K)</f>
        <v>Whole Body</v>
      </c>
      <c r="I5774">
        <f>_xlfn.XLOOKUP(A5774,'[1]Tissue Data'!$A:$A,'[1]Tissue Data'!L:L)</f>
        <v>5</v>
      </c>
      <c r="J5774">
        <f>_xlfn.XLOOKUP(A5774,'[1]Tissue Data'!$A:$A,'[1]Tissue Data'!M:M)</f>
        <v>1.31</v>
      </c>
      <c r="K5774" t="s">
        <v>34</v>
      </c>
      <c r="L5774" t="str">
        <f>_xlfn.XLOOKUP(K5774,[2]analyte_order!$B:$B,[2]analyte_order!$C:$C)</f>
        <v>646-83-3</v>
      </c>
      <c r="M5774">
        <f>_xlfn.XLOOKUP(L5774,[2]analyte_order!$C:$C,[2]analyte_order!$E:$E)</f>
        <v>55</v>
      </c>
      <c r="N5774">
        <v>7.8E-2</v>
      </c>
    </row>
    <row r="5775" spans="1:14">
      <c r="A5775" t="s">
        <v>203</v>
      </c>
      <c r="B5775" t="str">
        <f>_xlfn.XLOOKUP(A5775,'[1]Tissue Data'!$A:$A,'[1]Tissue Data'!$C:$C)</f>
        <v>Spill</v>
      </c>
      <c r="C5775" s="2">
        <f>_xlfn.XLOOKUP(A5775,'[1]Tissue Data'!$A:$A,'[1]Tissue Data'!$D:$D)</f>
        <v>44393</v>
      </c>
      <c r="D5775" s="2" t="str">
        <f>_xlfn.XLOOKUP(A5775,'[1]Tissue Data'!$A:$A,'[1]Tissue Data'!$F:$F)</f>
        <v>Swallowtail Shiner</v>
      </c>
      <c r="E5775" t="str">
        <f>_xlfn.XLOOKUP(A5775,'[1]Tissue Data'!$A:$A,'[1]Tissue Data'!$H:$H)</f>
        <v>Notropis</v>
      </c>
      <c r="F5775" t="str">
        <f>_xlfn.XLOOKUP(A5775,'[1]Tissue Data'!$A:$A,'[1]Tissue Data'!$I:$I)</f>
        <v>procne</v>
      </c>
      <c r="G5775" t="str">
        <f>_xlfn.XLOOKUP(A5775,'[1]Tissue Data'!$A:$A,'[1]Tissue Data'!J:J)</f>
        <v>U</v>
      </c>
      <c r="H5775" t="str">
        <f>_xlfn.XLOOKUP(A5775,'[1]Tissue Data'!$A:$A,'[1]Tissue Data'!K:K)</f>
        <v>Whole Body</v>
      </c>
      <c r="I5775">
        <f>_xlfn.XLOOKUP(A5775,'[1]Tissue Data'!$A:$A,'[1]Tissue Data'!L:L)</f>
        <v>5</v>
      </c>
      <c r="J5775">
        <f>_xlfn.XLOOKUP(A5775,'[1]Tissue Data'!$A:$A,'[1]Tissue Data'!M:M)</f>
        <v>1.31</v>
      </c>
      <c r="K5775" t="s">
        <v>35</v>
      </c>
      <c r="L5775" t="str">
        <f>_xlfn.XLOOKUP(K5775,[2]analyte_order!$B:$B,[2]analyte_order!$C:$C)</f>
        <v>30334-69-1</v>
      </c>
      <c r="M5775">
        <f>_xlfn.XLOOKUP(L5775,[2]analyte_order!$C:$C,[2]analyte_order!$E:$E)</f>
        <v>51</v>
      </c>
      <c r="N5775">
        <v>16</v>
      </c>
    </row>
    <row r="5776" spans="1:14">
      <c r="A5776" t="s">
        <v>203</v>
      </c>
      <c r="B5776" t="str">
        <f>_xlfn.XLOOKUP(A5776,'[1]Tissue Data'!$A:$A,'[1]Tissue Data'!$C:$C)</f>
        <v>Spill</v>
      </c>
      <c r="C5776" s="2">
        <f>_xlfn.XLOOKUP(A5776,'[1]Tissue Data'!$A:$A,'[1]Tissue Data'!$D:$D)</f>
        <v>44393</v>
      </c>
      <c r="D5776" s="2" t="str">
        <f>_xlfn.XLOOKUP(A5776,'[1]Tissue Data'!$A:$A,'[1]Tissue Data'!$F:$F)</f>
        <v>Swallowtail Shiner</v>
      </c>
      <c r="E5776" t="str">
        <f>_xlfn.XLOOKUP(A5776,'[1]Tissue Data'!$A:$A,'[1]Tissue Data'!$H:$H)</f>
        <v>Notropis</v>
      </c>
      <c r="F5776" t="str">
        <f>_xlfn.XLOOKUP(A5776,'[1]Tissue Data'!$A:$A,'[1]Tissue Data'!$I:$I)</f>
        <v>procne</v>
      </c>
      <c r="G5776" t="str">
        <f>_xlfn.XLOOKUP(A5776,'[1]Tissue Data'!$A:$A,'[1]Tissue Data'!J:J)</f>
        <v>U</v>
      </c>
      <c r="H5776" t="str">
        <f>_xlfn.XLOOKUP(A5776,'[1]Tissue Data'!$A:$A,'[1]Tissue Data'!K:K)</f>
        <v>Whole Body</v>
      </c>
      <c r="I5776">
        <f>_xlfn.XLOOKUP(A5776,'[1]Tissue Data'!$A:$A,'[1]Tissue Data'!L:L)</f>
        <v>5</v>
      </c>
      <c r="J5776">
        <f>_xlfn.XLOOKUP(A5776,'[1]Tissue Data'!$A:$A,'[1]Tissue Data'!M:M)</f>
        <v>1.31</v>
      </c>
      <c r="K5776" t="s">
        <v>36</v>
      </c>
      <c r="L5776" t="str">
        <f>_xlfn.XLOOKUP(K5776,[2]analyte_order!$B:$B,[2]analyte_order!$C:$C)</f>
        <v>41997-13-1</v>
      </c>
      <c r="M5776">
        <f>_xlfn.XLOOKUP(L5776,[2]analyte_order!$C:$C,[2]analyte_order!$E:$E)</f>
        <v>52</v>
      </c>
      <c r="N5776">
        <v>159</v>
      </c>
    </row>
    <row r="5777" spans="1:14">
      <c r="A5777" t="s">
        <v>203</v>
      </c>
      <c r="B5777" t="str">
        <f>_xlfn.XLOOKUP(A5777,'[1]Tissue Data'!$A:$A,'[1]Tissue Data'!$C:$C)</f>
        <v>Spill</v>
      </c>
      <c r="C5777" s="2">
        <f>_xlfn.XLOOKUP(A5777,'[1]Tissue Data'!$A:$A,'[1]Tissue Data'!$D:$D)</f>
        <v>44393</v>
      </c>
      <c r="D5777" s="2" t="str">
        <f>_xlfn.XLOOKUP(A5777,'[1]Tissue Data'!$A:$A,'[1]Tissue Data'!$F:$F)</f>
        <v>Swallowtail Shiner</v>
      </c>
      <c r="E5777" t="str">
        <f>_xlfn.XLOOKUP(A5777,'[1]Tissue Data'!$A:$A,'[1]Tissue Data'!$H:$H)</f>
        <v>Notropis</v>
      </c>
      <c r="F5777" t="str">
        <f>_xlfn.XLOOKUP(A5777,'[1]Tissue Data'!$A:$A,'[1]Tissue Data'!$I:$I)</f>
        <v>procne</v>
      </c>
      <c r="G5777" t="str">
        <f>_xlfn.XLOOKUP(A5777,'[1]Tissue Data'!$A:$A,'[1]Tissue Data'!J:J)</f>
        <v>U</v>
      </c>
      <c r="H5777" t="str">
        <f>_xlfn.XLOOKUP(A5777,'[1]Tissue Data'!$A:$A,'[1]Tissue Data'!K:K)</f>
        <v>Whole Body</v>
      </c>
      <c r="I5777">
        <f>_xlfn.XLOOKUP(A5777,'[1]Tissue Data'!$A:$A,'[1]Tissue Data'!L:L)</f>
        <v>5</v>
      </c>
      <c r="J5777">
        <f>_xlfn.XLOOKUP(A5777,'[1]Tissue Data'!$A:$A,'[1]Tissue Data'!M:M)</f>
        <v>1.31</v>
      </c>
      <c r="K5777" t="s">
        <v>37</v>
      </c>
      <c r="L5777" t="str">
        <f>_xlfn.XLOOKUP(K5777,[2]analyte_order!$B:$B,[2]analyte_order!$C:$C)</f>
        <v>754-91-6</v>
      </c>
      <c r="M5777">
        <f>_xlfn.XLOOKUP(L5777,[2]analyte_order!$C:$C,[2]analyte_order!$E:$E)</f>
        <v>28</v>
      </c>
      <c r="N5777">
        <v>30.3</v>
      </c>
    </row>
    <row r="5778" spans="1:14">
      <c r="A5778" t="s">
        <v>203</v>
      </c>
      <c r="B5778" t="str">
        <f>_xlfn.XLOOKUP(A5778,'[1]Tissue Data'!$A:$A,'[1]Tissue Data'!$C:$C)</f>
        <v>Spill</v>
      </c>
      <c r="C5778" s="2">
        <f>_xlfn.XLOOKUP(A5778,'[1]Tissue Data'!$A:$A,'[1]Tissue Data'!$D:$D)</f>
        <v>44393</v>
      </c>
      <c r="D5778" s="2" t="str">
        <f>_xlfn.XLOOKUP(A5778,'[1]Tissue Data'!$A:$A,'[1]Tissue Data'!$F:$F)</f>
        <v>Swallowtail Shiner</v>
      </c>
      <c r="E5778" t="str">
        <f>_xlfn.XLOOKUP(A5778,'[1]Tissue Data'!$A:$A,'[1]Tissue Data'!$H:$H)</f>
        <v>Notropis</v>
      </c>
      <c r="F5778" t="str">
        <f>_xlfn.XLOOKUP(A5778,'[1]Tissue Data'!$A:$A,'[1]Tissue Data'!$I:$I)</f>
        <v>procne</v>
      </c>
      <c r="G5778" t="str">
        <f>_xlfn.XLOOKUP(A5778,'[1]Tissue Data'!$A:$A,'[1]Tissue Data'!J:J)</f>
        <v>U</v>
      </c>
      <c r="H5778" t="str">
        <f>_xlfn.XLOOKUP(A5778,'[1]Tissue Data'!$A:$A,'[1]Tissue Data'!K:K)</f>
        <v>Whole Body</v>
      </c>
      <c r="I5778">
        <f>_xlfn.XLOOKUP(A5778,'[1]Tissue Data'!$A:$A,'[1]Tissue Data'!L:L)</f>
        <v>5</v>
      </c>
      <c r="J5778">
        <f>_xlfn.XLOOKUP(A5778,'[1]Tissue Data'!$A:$A,'[1]Tissue Data'!M:M)</f>
        <v>1.31</v>
      </c>
      <c r="K5778" t="s">
        <v>38</v>
      </c>
      <c r="L5778" t="str">
        <f>_xlfn.XLOOKUP(K5778,[2]analyte_order!$B:$B,[2]analyte_order!$C:$C)</f>
        <v>31506-32-8</v>
      </c>
      <c r="M5778">
        <f>_xlfn.XLOOKUP(L5778,[2]analyte_order!$C:$C,[2]analyte_order!$E:$E)</f>
        <v>30</v>
      </c>
      <c r="N5778">
        <v>7.8E-2</v>
      </c>
    </row>
    <row r="5779" spans="1:14">
      <c r="A5779" t="s">
        <v>203</v>
      </c>
      <c r="B5779" t="str">
        <f>_xlfn.XLOOKUP(A5779,'[1]Tissue Data'!$A:$A,'[1]Tissue Data'!$C:$C)</f>
        <v>Spill</v>
      </c>
      <c r="C5779" s="2">
        <f>_xlfn.XLOOKUP(A5779,'[1]Tissue Data'!$A:$A,'[1]Tissue Data'!$D:$D)</f>
        <v>44393</v>
      </c>
      <c r="D5779" s="2" t="str">
        <f>_xlfn.XLOOKUP(A5779,'[1]Tissue Data'!$A:$A,'[1]Tissue Data'!$F:$F)</f>
        <v>Swallowtail Shiner</v>
      </c>
      <c r="E5779" t="str">
        <f>_xlfn.XLOOKUP(A5779,'[1]Tissue Data'!$A:$A,'[1]Tissue Data'!$H:$H)</f>
        <v>Notropis</v>
      </c>
      <c r="F5779" t="str">
        <f>_xlfn.XLOOKUP(A5779,'[1]Tissue Data'!$A:$A,'[1]Tissue Data'!$I:$I)</f>
        <v>procne</v>
      </c>
      <c r="G5779" t="str">
        <f>_xlfn.XLOOKUP(A5779,'[1]Tissue Data'!$A:$A,'[1]Tissue Data'!J:J)</f>
        <v>U</v>
      </c>
      <c r="H5779" t="str">
        <f>_xlfn.XLOOKUP(A5779,'[1]Tissue Data'!$A:$A,'[1]Tissue Data'!K:K)</f>
        <v>Whole Body</v>
      </c>
      <c r="I5779">
        <f>_xlfn.XLOOKUP(A5779,'[1]Tissue Data'!$A:$A,'[1]Tissue Data'!L:L)</f>
        <v>5</v>
      </c>
      <c r="J5779">
        <f>_xlfn.XLOOKUP(A5779,'[1]Tissue Data'!$A:$A,'[1]Tissue Data'!M:M)</f>
        <v>1.31</v>
      </c>
      <c r="K5779" t="s">
        <v>39</v>
      </c>
      <c r="L5779" t="str">
        <f>_xlfn.XLOOKUP(K5779,[2]analyte_order!$B:$B,[2]analyte_order!$C:$C)</f>
        <v>4151-50-2</v>
      </c>
      <c r="M5779">
        <f>_xlfn.XLOOKUP(L5779,[2]analyte_order!$C:$C,[2]analyte_order!$E:$E)</f>
        <v>31</v>
      </c>
      <c r="N5779">
        <v>9.0999999999999998E-2</v>
      </c>
    </row>
    <row r="5780" spans="1:14">
      <c r="A5780" t="s">
        <v>203</v>
      </c>
      <c r="B5780" t="str">
        <f>_xlfn.XLOOKUP(A5780,'[1]Tissue Data'!$A:$A,'[1]Tissue Data'!$C:$C)</f>
        <v>Spill</v>
      </c>
      <c r="C5780" s="2">
        <f>_xlfn.XLOOKUP(A5780,'[1]Tissue Data'!$A:$A,'[1]Tissue Data'!$D:$D)</f>
        <v>44393</v>
      </c>
      <c r="D5780" s="2" t="str">
        <f>_xlfn.XLOOKUP(A5780,'[1]Tissue Data'!$A:$A,'[1]Tissue Data'!$F:$F)</f>
        <v>Swallowtail Shiner</v>
      </c>
      <c r="E5780" t="str">
        <f>_xlfn.XLOOKUP(A5780,'[1]Tissue Data'!$A:$A,'[1]Tissue Data'!$H:$H)</f>
        <v>Notropis</v>
      </c>
      <c r="F5780" t="str">
        <f>_xlfn.XLOOKUP(A5780,'[1]Tissue Data'!$A:$A,'[1]Tissue Data'!$I:$I)</f>
        <v>procne</v>
      </c>
      <c r="G5780" t="str">
        <f>_xlfn.XLOOKUP(A5780,'[1]Tissue Data'!$A:$A,'[1]Tissue Data'!J:J)</f>
        <v>U</v>
      </c>
      <c r="H5780" t="str">
        <f>_xlfn.XLOOKUP(A5780,'[1]Tissue Data'!$A:$A,'[1]Tissue Data'!K:K)</f>
        <v>Whole Body</v>
      </c>
      <c r="I5780">
        <f>_xlfn.XLOOKUP(A5780,'[1]Tissue Data'!$A:$A,'[1]Tissue Data'!L:L)</f>
        <v>5</v>
      </c>
      <c r="J5780">
        <f>_xlfn.XLOOKUP(A5780,'[1]Tissue Data'!$A:$A,'[1]Tissue Data'!M:M)</f>
        <v>1.31</v>
      </c>
      <c r="K5780" t="s">
        <v>40</v>
      </c>
      <c r="L5780" t="str">
        <f>_xlfn.XLOOKUP(K5780,[2]analyte_order!$B:$B,[2]analyte_order!$C:$C)</f>
        <v>2806-24-8</v>
      </c>
      <c r="M5780">
        <f>_xlfn.XLOOKUP(L5780,[2]analyte_order!$C:$C,[2]analyte_order!$E:$E)</f>
        <v>29</v>
      </c>
      <c r="N5780">
        <v>6.1499999999999999E-2</v>
      </c>
    </row>
    <row r="5781" spans="1:14">
      <c r="A5781" t="s">
        <v>203</v>
      </c>
      <c r="B5781" t="str">
        <f>_xlfn.XLOOKUP(A5781,'[1]Tissue Data'!$A:$A,'[1]Tissue Data'!$C:$C)</f>
        <v>Spill</v>
      </c>
      <c r="C5781" s="2">
        <f>_xlfn.XLOOKUP(A5781,'[1]Tissue Data'!$A:$A,'[1]Tissue Data'!$D:$D)</f>
        <v>44393</v>
      </c>
      <c r="D5781" s="2" t="str">
        <f>_xlfn.XLOOKUP(A5781,'[1]Tissue Data'!$A:$A,'[1]Tissue Data'!$F:$F)</f>
        <v>Swallowtail Shiner</v>
      </c>
      <c r="E5781" t="str">
        <f>_xlfn.XLOOKUP(A5781,'[1]Tissue Data'!$A:$A,'[1]Tissue Data'!$H:$H)</f>
        <v>Notropis</v>
      </c>
      <c r="F5781" t="str">
        <f>_xlfn.XLOOKUP(A5781,'[1]Tissue Data'!$A:$A,'[1]Tissue Data'!$I:$I)</f>
        <v>procne</v>
      </c>
      <c r="G5781" t="str">
        <f>_xlfn.XLOOKUP(A5781,'[1]Tissue Data'!$A:$A,'[1]Tissue Data'!J:J)</f>
        <v>U</v>
      </c>
      <c r="H5781" t="str">
        <f>_xlfn.XLOOKUP(A5781,'[1]Tissue Data'!$A:$A,'[1]Tissue Data'!K:K)</f>
        <v>Whole Body</v>
      </c>
      <c r="I5781">
        <f>_xlfn.XLOOKUP(A5781,'[1]Tissue Data'!$A:$A,'[1]Tissue Data'!L:L)</f>
        <v>5</v>
      </c>
      <c r="J5781">
        <f>_xlfn.XLOOKUP(A5781,'[1]Tissue Data'!$A:$A,'[1]Tissue Data'!M:M)</f>
        <v>1.31</v>
      </c>
      <c r="K5781" t="s">
        <v>41</v>
      </c>
      <c r="L5781" t="str">
        <f>_xlfn.XLOOKUP(K5781,[2]analyte_order!$B:$B,[2]analyte_order!$C:$C)</f>
        <v>2355-31-9</v>
      </c>
      <c r="M5781">
        <f>_xlfn.XLOOKUP(L5781,[2]analyte_order!$C:$C,[2]analyte_order!$E:$E)</f>
        <v>26</v>
      </c>
      <c r="N5781">
        <v>7.85E-2</v>
      </c>
    </row>
    <row r="5782" spans="1:14">
      <c r="A5782" t="s">
        <v>203</v>
      </c>
      <c r="B5782" t="str">
        <f>_xlfn.XLOOKUP(A5782,'[1]Tissue Data'!$A:$A,'[1]Tissue Data'!$C:$C)</f>
        <v>Spill</v>
      </c>
      <c r="C5782" s="2">
        <f>_xlfn.XLOOKUP(A5782,'[1]Tissue Data'!$A:$A,'[1]Tissue Data'!$D:$D)</f>
        <v>44393</v>
      </c>
      <c r="D5782" s="2" t="str">
        <f>_xlfn.XLOOKUP(A5782,'[1]Tissue Data'!$A:$A,'[1]Tissue Data'!$F:$F)</f>
        <v>Swallowtail Shiner</v>
      </c>
      <c r="E5782" t="str">
        <f>_xlfn.XLOOKUP(A5782,'[1]Tissue Data'!$A:$A,'[1]Tissue Data'!$H:$H)</f>
        <v>Notropis</v>
      </c>
      <c r="F5782" t="str">
        <f>_xlfn.XLOOKUP(A5782,'[1]Tissue Data'!$A:$A,'[1]Tissue Data'!$I:$I)</f>
        <v>procne</v>
      </c>
      <c r="G5782" t="str">
        <f>_xlfn.XLOOKUP(A5782,'[1]Tissue Data'!$A:$A,'[1]Tissue Data'!J:J)</f>
        <v>U</v>
      </c>
      <c r="H5782" t="str">
        <f>_xlfn.XLOOKUP(A5782,'[1]Tissue Data'!$A:$A,'[1]Tissue Data'!K:K)</f>
        <v>Whole Body</v>
      </c>
      <c r="I5782">
        <f>_xlfn.XLOOKUP(A5782,'[1]Tissue Data'!$A:$A,'[1]Tissue Data'!L:L)</f>
        <v>5</v>
      </c>
      <c r="J5782">
        <f>_xlfn.XLOOKUP(A5782,'[1]Tissue Data'!$A:$A,'[1]Tissue Data'!M:M)</f>
        <v>1.31</v>
      </c>
      <c r="K5782" t="s">
        <v>42</v>
      </c>
      <c r="L5782" t="str">
        <f>_xlfn.XLOOKUP(K5782,[2]analyte_order!$B:$B,[2]analyte_order!$C:$C)</f>
        <v>2991-50-6</v>
      </c>
      <c r="M5782">
        <f>_xlfn.XLOOKUP(L5782,[2]analyte_order!$C:$C,[2]analyte_order!$E:$E)</f>
        <v>27</v>
      </c>
      <c r="N5782">
        <v>6.7500000000000004E-2</v>
      </c>
    </row>
    <row r="5783" spans="1:14">
      <c r="A5783" t="s">
        <v>203</v>
      </c>
      <c r="B5783" t="str">
        <f>_xlfn.XLOOKUP(A5783,'[1]Tissue Data'!$A:$A,'[1]Tissue Data'!$C:$C)</f>
        <v>Spill</v>
      </c>
      <c r="C5783" s="2">
        <f>_xlfn.XLOOKUP(A5783,'[1]Tissue Data'!$A:$A,'[1]Tissue Data'!$D:$D)</f>
        <v>44393</v>
      </c>
      <c r="D5783" s="2" t="str">
        <f>_xlfn.XLOOKUP(A5783,'[1]Tissue Data'!$A:$A,'[1]Tissue Data'!$F:$F)</f>
        <v>Swallowtail Shiner</v>
      </c>
      <c r="E5783" t="str">
        <f>_xlfn.XLOOKUP(A5783,'[1]Tissue Data'!$A:$A,'[1]Tissue Data'!$H:$H)</f>
        <v>Notropis</v>
      </c>
      <c r="F5783" t="str">
        <f>_xlfn.XLOOKUP(A5783,'[1]Tissue Data'!$A:$A,'[1]Tissue Data'!$I:$I)</f>
        <v>procne</v>
      </c>
      <c r="G5783" t="str">
        <f>_xlfn.XLOOKUP(A5783,'[1]Tissue Data'!$A:$A,'[1]Tissue Data'!J:J)</f>
        <v>U</v>
      </c>
      <c r="H5783" t="str">
        <f>_xlfn.XLOOKUP(A5783,'[1]Tissue Data'!$A:$A,'[1]Tissue Data'!K:K)</f>
        <v>Whole Body</v>
      </c>
      <c r="I5783">
        <f>_xlfn.XLOOKUP(A5783,'[1]Tissue Data'!$A:$A,'[1]Tissue Data'!L:L)</f>
        <v>5</v>
      </c>
      <c r="J5783">
        <f>_xlfn.XLOOKUP(A5783,'[1]Tissue Data'!$A:$A,'[1]Tissue Data'!M:M)</f>
        <v>1.31</v>
      </c>
      <c r="K5783" t="s">
        <v>43</v>
      </c>
      <c r="L5783" t="str">
        <f>_xlfn.XLOOKUP(K5783,[2]analyte_order!$B:$B,[2]analyte_order!$C:$C)</f>
        <v>757124-72-4</v>
      </c>
      <c r="M5783">
        <f>_xlfn.XLOOKUP(L5783,[2]analyte_order!$C:$C,[2]analyte_order!$E:$E)</f>
        <v>22</v>
      </c>
      <c r="N5783">
        <v>7.8E-2</v>
      </c>
    </row>
    <row r="5784" spans="1:14">
      <c r="A5784" t="s">
        <v>203</v>
      </c>
      <c r="B5784" t="str">
        <f>_xlfn.XLOOKUP(A5784,'[1]Tissue Data'!$A:$A,'[1]Tissue Data'!$C:$C)</f>
        <v>Spill</v>
      </c>
      <c r="C5784" s="2">
        <f>_xlfn.XLOOKUP(A5784,'[1]Tissue Data'!$A:$A,'[1]Tissue Data'!$D:$D)</f>
        <v>44393</v>
      </c>
      <c r="D5784" s="2" t="str">
        <f>_xlfn.XLOOKUP(A5784,'[1]Tissue Data'!$A:$A,'[1]Tissue Data'!$F:$F)</f>
        <v>Swallowtail Shiner</v>
      </c>
      <c r="E5784" t="str">
        <f>_xlfn.XLOOKUP(A5784,'[1]Tissue Data'!$A:$A,'[1]Tissue Data'!$H:$H)</f>
        <v>Notropis</v>
      </c>
      <c r="F5784" t="str">
        <f>_xlfn.XLOOKUP(A5784,'[1]Tissue Data'!$A:$A,'[1]Tissue Data'!$I:$I)</f>
        <v>procne</v>
      </c>
      <c r="G5784" t="str">
        <f>_xlfn.XLOOKUP(A5784,'[1]Tissue Data'!$A:$A,'[1]Tissue Data'!J:J)</f>
        <v>U</v>
      </c>
      <c r="H5784" t="str">
        <f>_xlfn.XLOOKUP(A5784,'[1]Tissue Data'!$A:$A,'[1]Tissue Data'!K:K)</f>
        <v>Whole Body</v>
      </c>
      <c r="I5784">
        <f>_xlfn.XLOOKUP(A5784,'[1]Tissue Data'!$A:$A,'[1]Tissue Data'!L:L)</f>
        <v>5</v>
      </c>
      <c r="J5784">
        <f>_xlfn.XLOOKUP(A5784,'[1]Tissue Data'!$A:$A,'[1]Tissue Data'!M:M)</f>
        <v>1.31</v>
      </c>
      <c r="K5784" t="s">
        <v>44</v>
      </c>
      <c r="L5784" t="str">
        <f>_xlfn.XLOOKUP(K5784,[2]analyte_order!$B:$B,[2]analyte_order!$C:$C)</f>
        <v>27619-97-2</v>
      </c>
      <c r="M5784">
        <f>_xlfn.XLOOKUP(L5784,[2]analyte_order!$C:$C,[2]analyte_order!$E:$E)</f>
        <v>23</v>
      </c>
      <c r="N5784">
        <v>1.26</v>
      </c>
    </row>
    <row r="5785" spans="1:14">
      <c r="A5785" t="s">
        <v>203</v>
      </c>
      <c r="B5785" t="str">
        <f>_xlfn.XLOOKUP(A5785,'[1]Tissue Data'!$A:$A,'[1]Tissue Data'!$C:$C)</f>
        <v>Spill</v>
      </c>
      <c r="C5785" s="2">
        <f>_xlfn.XLOOKUP(A5785,'[1]Tissue Data'!$A:$A,'[1]Tissue Data'!$D:$D)</f>
        <v>44393</v>
      </c>
      <c r="D5785" s="2" t="str">
        <f>_xlfn.XLOOKUP(A5785,'[1]Tissue Data'!$A:$A,'[1]Tissue Data'!$F:$F)</f>
        <v>Swallowtail Shiner</v>
      </c>
      <c r="E5785" t="str">
        <f>_xlfn.XLOOKUP(A5785,'[1]Tissue Data'!$A:$A,'[1]Tissue Data'!$H:$H)</f>
        <v>Notropis</v>
      </c>
      <c r="F5785" t="str">
        <f>_xlfn.XLOOKUP(A5785,'[1]Tissue Data'!$A:$A,'[1]Tissue Data'!$I:$I)</f>
        <v>procne</v>
      </c>
      <c r="G5785" t="str">
        <f>_xlfn.XLOOKUP(A5785,'[1]Tissue Data'!$A:$A,'[1]Tissue Data'!J:J)</f>
        <v>U</v>
      </c>
      <c r="H5785" t="str">
        <f>_xlfn.XLOOKUP(A5785,'[1]Tissue Data'!$A:$A,'[1]Tissue Data'!K:K)</f>
        <v>Whole Body</v>
      </c>
      <c r="I5785">
        <f>_xlfn.XLOOKUP(A5785,'[1]Tissue Data'!$A:$A,'[1]Tissue Data'!L:L)</f>
        <v>5</v>
      </c>
      <c r="J5785">
        <f>_xlfn.XLOOKUP(A5785,'[1]Tissue Data'!$A:$A,'[1]Tissue Data'!M:M)</f>
        <v>1.31</v>
      </c>
      <c r="K5785" t="s">
        <v>45</v>
      </c>
      <c r="L5785" t="str">
        <f>_xlfn.XLOOKUP(K5785,[2]analyte_order!$B:$B,[2]analyte_order!$C:$C)</f>
        <v>39108-34-4</v>
      </c>
      <c r="M5785">
        <f>_xlfn.XLOOKUP(L5785,[2]analyte_order!$C:$C,[2]analyte_order!$E:$E)</f>
        <v>24</v>
      </c>
      <c r="N5785">
        <v>23.8</v>
      </c>
    </row>
    <row r="5786" spans="1:14">
      <c r="A5786" t="s">
        <v>203</v>
      </c>
      <c r="B5786" t="str">
        <f>_xlfn.XLOOKUP(A5786,'[1]Tissue Data'!$A:$A,'[1]Tissue Data'!$C:$C)</f>
        <v>Spill</v>
      </c>
      <c r="C5786" s="2">
        <f>_xlfn.XLOOKUP(A5786,'[1]Tissue Data'!$A:$A,'[1]Tissue Data'!$D:$D)</f>
        <v>44393</v>
      </c>
      <c r="D5786" s="2" t="str">
        <f>_xlfn.XLOOKUP(A5786,'[1]Tissue Data'!$A:$A,'[1]Tissue Data'!$F:$F)</f>
        <v>Swallowtail Shiner</v>
      </c>
      <c r="E5786" t="str">
        <f>_xlfn.XLOOKUP(A5786,'[1]Tissue Data'!$A:$A,'[1]Tissue Data'!$H:$H)</f>
        <v>Notropis</v>
      </c>
      <c r="F5786" t="str">
        <f>_xlfn.XLOOKUP(A5786,'[1]Tissue Data'!$A:$A,'[1]Tissue Data'!$I:$I)</f>
        <v>procne</v>
      </c>
      <c r="G5786" t="str">
        <f>_xlfn.XLOOKUP(A5786,'[1]Tissue Data'!$A:$A,'[1]Tissue Data'!J:J)</f>
        <v>U</v>
      </c>
      <c r="H5786" t="str">
        <f>_xlfn.XLOOKUP(A5786,'[1]Tissue Data'!$A:$A,'[1]Tissue Data'!K:K)</f>
        <v>Whole Body</v>
      </c>
      <c r="I5786">
        <f>_xlfn.XLOOKUP(A5786,'[1]Tissue Data'!$A:$A,'[1]Tissue Data'!L:L)</f>
        <v>5</v>
      </c>
      <c r="J5786">
        <f>_xlfn.XLOOKUP(A5786,'[1]Tissue Data'!$A:$A,'[1]Tissue Data'!M:M)</f>
        <v>1.31</v>
      </c>
      <c r="K5786" t="s">
        <v>46</v>
      </c>
      <c r="L5786" t="str">
        <f>_xlfn.XLOOKUP(K5786,[2]analyte_order!$B:$B,[2]analyte_order!$C:$C)</f>
        <v>120226-60-0</v>
      </c>
      <c r="M5786">
        <f>_xlfn.XLOOKUP(L5786,[2]analyte_order!$C:$C,[2]analyte_order!$E:$E)</f>
        <v>25</v>
      </c>
      <c r="N5786">
        <v>1.1299999999999999</v>
      </c>
    </row>
    <row r="5787" spans="1:14">
      <c r="A5787" t="s">
        <v>203</v>
      </c>
      <c r="B5787" t="str">
        <f>_xlfn.XLOOKUP(A5787,'[1]Tissue Data'!$A:$A,'[1]Tissue Data'!$C:$C)</f>
        <v>Spill</v>
      </c>
      <c r="C5787" s="2">
        <f>_xlfn.XLOOKUP(A5787,'[1]Tissue Data'!$A:$A,'[1]Tissue Data'!$D:$D)</f>
        <v>44393</v>
      </c>
      <c r="D5787" s="2" t="str">
        <f>_xlfn.XLOOKUP(A5787,'[1]Tissue Data'!$A:$A,'[1]Tissue Data'!$F:$F)</f>
        <v>Swallowtail Shiner</v>
      </c>
      <c r="E5787" t="str">
        <f>_xlfn.XLOOKUP(A5787,'[1]Tissue Data'!$A:$A,'[1]Tissue Data'!$H:$H)</f>
        <v>Notropis</v>
      </c>
      <c r="F5787" t="str">
        <f>_xlfn.XLOOKUP(A5787,'[1]Tissue Data'!$A:$A,'[1]Tissue Data'!$I:$I)</f>
        <v>procne</v>
      </c>
      <c r="G5787" t="str">
        <f>_xlfn.XLOOKUP(A5787,'[1]Tissue Data'!$A:$A,'[1]Tissue Data'!J:J)</f>
        <v>U</v>
      </c>
      <c r="H5787" t="str">
        <f>_xlfn.XLOOKUP(A5787,'[1]Tissue Data'!$A:$A,'[1]Tissue Data'!K:K)</f>
        <v>Whole Body</v>
      </c>
      <c r="I5787">
        <f>_xlfn.XLOOKUP(A5787,'[1]Tissue Data'!$A:$A,'[1]Tissue Data'!L:L)</f>
        <v>5</v>
      </c>
      <c r="J5787">
        <f>_xlfn.XLOOKUP(A5787,'[1]Tissue Data'!$A:$A,'[1]Tissue Data'!M:M)</f>
        <v>1.31</v>
      </c>
      <c r="K5787" t="s">
        <v>47</v>
      </c>
      <c r="L5787" t="str">
        <f>_xlfn.XLOOKUP(K5787,[2]analyte_order!$B:$B,[2]analyte_order!$C:$C)</f>
        <v>356-02-5</v>
      </c>
      <c r="M5787">
        <f>_xlfn.XLOOKUP(L5787,[2]analyte_order!$C:$C,[2]analyte_order!$E:$E)</f>
        <v>38</v>
      </c>
      <c r="N5787">
        <v>0.09</v>
      </c>
    </row>
    <row r="5788" spans="1:14">
      <c r="A5788" t="s">
        <v>203</v>
      </c>
      <c r="B5788" t="str">
        <f>_xlfn.XLOOKUP(A5788,'[1]Tissue Data'!$A:$A,'[1]Tissue Data'!$C:$C)</f>
        <v>Spill</v>
      </c>
      <c r="C5788" s="2">
        <f>_xlfn.XLOOKUP(A5788,'[1]Tissue Data'!$A:$A,'[1]Tissue Data'!$D:$D)</f>
        <v>44393</v>
      </c>
      <c r="D5788" s="2" t="str">
        <f>_xlfn.XLOOKUP(A5788,'[1]Tissue Data'!$A:$A,'[1]Tissue Data'!$F:$F)</f>
        <v>Swallowtail Shiner</v>
      </c>
      <c r="E5788" t="str">
        <f>_xlfn.XLOOKUP(A5788,'[1]Tissue Data'!$A:$A,'[1]Tissue Data'!$H:$H)</f>
        <v>Notropis</v>
      </c>
      <c r="F5788" t="str">
        <f>_xlfn.XLOOKUP(A5788,'[1]Tissue Data'!$A:$A,'[1]Tissue Data'!$I:$I)</f>
        <v>procne</v>
      </c>
      <c r="G5788" t="str">
        <f>_xlfn.XLOOKUP(A5788,'[1]Tissue Data'!$A:$A,'[1]Tissue Data'!J:J)</f>
        <v>U</v>
      </c>
      <c r="H5788" t="str">
        <f>_xlfn.XLOOKUP(A5788,'[1]Tissue Data'!$A:$A,'[1]Tissue Data'!K:K)</f>
        <v>Whole Body</v>
      </c>
      <c r="I5788">
        <f>_xlfn.XLOOKUP(A5788,'[1]Tissue Data'!$A:$A,'[1]Tissue Data'!L:L)</f>
        <v>5</v>
      </c>
      <c r="J5788">
        <f>_xlfn.XLOOKUP(A5788,'[1]Tissue Data'!$A:$A,'[1]Tissue Data'!M:M)</f>
        <v>1.31</v>
      </c>
      <c r="K5788" t="s">
        <v>48</v>
      </c>
      <c r="L5788" t="str">
        <f>_xlfn.XLOOKUP(K5788,[2]analyte_order!$B:$B,[2]analyte_order!$C:$C)</f>
        <v>914637-49-3</v>
      </c>
      <c r="M5788">
        <f>_xlfn.XLOOKUP(L5788,[2]analyte_order!$C:$C,[2]analyte_order!$E:$E)</f>
        <v>39</v>
      </c>
      <c r="N5788">
        <v>5.8999999999999997E-2</v>
      </c>
    </row>
    <row r="5789" spans="1:14">
      <c r="A5789" t="s">
        <v>203</v>
      </c>
      <c r="B5789" t="str">
        <f>_xlfn.XLOOKUP(A5789,'[1]Tissue Data'!$A:$A,'[1]Tissue Data'!$C:$C)</f>
        <v>Spill</v>
      </c>
      <c r="C5789" s="2">
        <f>_xlfn.XLOOKUP(A5789,'[1]Tissue Data'!$A:$A,'[1]Tissue Data'!$D:$D)</f>
        <v>44393</v>
      </c>
      <c r="D5789" s="2" t="str">
        <f>_xlfn.XLOOKUP(A5789,'[1]Tissue Data'!$A:$A,'[1]Tissue Data'!$F:$F)</f>
        <v>Swallowtail Shiner</v>
      </c>
      <c r="E5789" t="str">
        <f>_xlfn.XLOOKUP(A5789,'[1]Tissue Data'!$A:$A,'[1]Tissue Data'!$H:$H)</f>
        <v>Notropis</v>
      </c>
      <c r="F5789" t="str">
        <f>_xlfn.XLOOKUP(A5789,'[1]Tissue Data'!$A:$A,'[1]Tissue Data'!$I:$I)</f>
        <v>procne</v>
      </c>
      <c r="G5789" t="str">
        <f>_xlfn.XLOOKUP(A5789,'[1]Tissue Data'!$A:$A,'[1]Tissue Data'!J:J)</f>
        <v>U</v>
      </c>
      <c r="H5789" t="str">
        <f>_xlfn.XLOOKUP(A5789,'[1]Tissue Data'!$A:$A,'[1]Tissue Data'!K:K)</f>
        <v>Whole Body</v>
      </c>
      <c r="I5789">
        <f>_xlfn.XLOOKUP(A5789,'[1]Tissue Data'!$A:$A,'[1]Tissue Data'!L:L)</f>
        <v>5</v>
      </c>
      <c r="J5789">
        <f>_xlfn.XLOOKUP(A5789,'[1]Tissue Data'!$A:$A,'[1]Tissue Data'!M:M)</f>
        <v>1.31</v>
      </c>
      <c r="K5789" t="s">
        <v>49</v>
      </c>
      <c r="L5789" t="str">
        <f>_xlfn.XLOOKUP(K5789,[2]analyte_order!$B:$B,[2]analyte_order!$C:$C)</f>
        <v>812-70-4</v>
      </c>
      <c r="M5789">
        <f>_xlfn.XLOOKUP(L5789,[2]analyte_order!$C:$C,[2]analyte_order!$E:$E)</f>
        <v>40</v>
      </c>
      <c r="N5789">
        <v>19.899999999999999</v>
      </c>
    </row>
    <row r="5790" spans="1:14">
      <c r="A5790" t="s">
        <v>203</v>
      </c>
      <c r="B5790" t="str">
        <f>_xlfn.XLOOKUP(A5790,'[1]Tissue Data'!$A:$A,'[1]Tissue Data'!$C:$C)</f>
        <v>Spill</v>
      </c>
      <c r="C5790" s="2">
        <f>_xlfn.XLOOKUP(A5790,'[1]Tissue Data'!$A:$A,'[1]Tissue Data'!$D:$D)</f>
        <v>44393</v>
      </c>
      <c r="D5790" s="2" t="str">
        <f>_xlfn.XLOOKUP(A5790,'[1]Tissue Data'!$A:$A,'[1]Tissue Data'!$F:$F)</f>
        <v>Swallowtail Shiner</v>
      </c>
      <c r="E5790" t="str">
        <f>_xlfn.XLOOKUP(A5790,'[1]Tissue Data'!$A:$A,'[1]Tissue Data'!$H:$H)</f>
        <v>Notropis</v>
      </c>
      <c r="F5790" t="str">
        <f>_xlfn.XLOOKUP(A5790,'[1]Tissue Data'!$A:$A,'[1]Tissue Data'!$I:$I)</f>
        <v>procne</v>
      </c>
      <c r="G5790" t="str">
        <f>_xlfn.XLOOKUP(A5790,'[1]Tissue Data'!$A:$A,'[1]Tissue Data'!J:J)</f>
        <v>U</v>
      </c>
      <c r="H5790" t="str">
        <f>_xlfn.XLOOKUP(A5790,'[1]Tissue Data'!$A:$A,'[1]Tissue Data'!K:K)</f>
        <v>Whole Body</v>
      </c>
      <c r="I5790">
        <f>_xlfn.XLOOKUP(A5790,'[1]Tissue Data'!$A:$A,'[1]Tissue Data'!L:L)</f>
        <v>5</v>
      </c>
      <c r="J5790">
        <f>_xlfn.XLOOKUP(A5790,'[1]Tissue Data'!$A:$A,'[1]Tissue Data'!M:M)</f>
        <v>1.31</v>
      </c>
      <c r="K5790" t="s">
        <v>50</v>
      </c>
      <c r="L5790" t="str">
        <f>_xlfn.XLOOKUP(K5790,[2]analyte_order!$B:$B,[2]analyte_order!$C:$C)</f>
        <v>53826-12-3</v>
      </c>
      <c r="M5790">
        <f>_xlfn.XLOOKUP(L5790,[2]analyte_order!$C:$C,[2]analyte_order!$E:$E)</f>
        <v>41</v>
      </c>
      <c r="N5790">
        <v>7.8E-2</v>
      </c>
    </row>
    <row r="5791" spans="1:14">
      <c r="A5791" t="s">
        <v>203</v>
      </c>
      <c r="B5791" t="str">
        <f>_xlfn.XLOOKUP(A5791,'[1]Tissue Data'!$A:$A,'[1]Tissue Data'!$C:$C)</f>
        <v>Spill</v>
      </c>
      <c r="C5791" s="2">
        <f>_xlfn.XLOOKUP(A5791,'[1]Tissue Data'!$A:$A,'[1]Tissue Data'!$D:$D)</f>
        <v>44393</v>
      </c>
      <c r="D5791" s="2" t="str">
        <f>_xlfn.XLOOKUP(A5791,'[1]Tissue Data'!$A:$A,'[1]Tissue Data'!$F:$F)</f>
        <v>Swallowtail Shiner</v>
      </c>
      <c r="E5791" t="str">
        <f>_xlfn.XLOOKUP(A5791,'[1]Tissue Data'!$A:$A,'[1]Tissue Data'!$H:$H)</f>
        <v>Notropis</v>
      </c>
      <c r="F5791" t="str">
        <f>_xlfn.XLOOKUP(A5791,'[1]Tissue Data'!$A:$A,'[1]Tissue Data'!$I:$I)</f>
        <v>procne</v>
      </c>
      <c r="G5791" t="str">
        <f>_xlfn.XLOOKUP(A5791,'[1]Tissue Data'!$A:$A,'[1]Tissue Data'!J:J)</f>
        <v>U</v>
      </c>
      <c r="H5791" t="str">
        <f>_xlfn.XLOOKUP(A5791,'[1]Tissue Data'!$A:$A,'[1]Tissue Data'!K:K)</f>
        <v>Whole Body</v>
      </c>
      <c r="I5791">
        <f>_xlfn.XLOOKUP(A5791,'[1]Tissue Data'!$A:$A,'[1]Tissue Data'!L:L)</f>
        <v>5</v>
      </c>
      <c r="J5791">
        <f>_xlfn.XLOOKUP(A5791,'[1]Tissue Data'!$A:$A,'[1]Tissue Data'!M:M)</f>
        <v>1.31</v>
      </c>
      <c r="K5791" t="s">
        <v>51</v>
      </c>
      <c r="L5791" t="str">
        <f>_xlfn.XLOOKUP(K5791,[2]analyte_order!$B:$B,[2]analyte_order!$C:$C)</f>
        <v>27854-31-5</v>
      </c>
      <c r="M5791">
        <f>_xlfn.XLOOKUP(L5791,[2]analyte_order!$C:$C,[2]analyte_order!$E:$E)</f>
        <v>42</v>
      </c>
      <c r="N5791">
        <v>7.8E-2</v>
      </c>
    </row>
    <row r="5792" spans="1:14">
      <c r="A5792" t="s">
        <v>203</v>
      </c>
      <c r="B5792" t="str">
        <f>_xlfn.XLOOKUP(A5792,'[1]Tissue Data'!$A:$A,'[1]Tissue Data'!$C:$C)</f>
        <v>Spill</v>
      </c>
      <c r="C5792" s="2">
        <f>_xlfn.XLOOKUP(A5792,'[1]Tissue Data'!$A:$A,'[1]Tissue Data'!$D:$D)</f>
        <v>44393</v>
      </c>
      <c r="D5792" s="2" t="str">
        <f>_xlfn.XLOOKUP(A5792,'[1]Tissue Data'!$A:$A,'[1]Tissue Data'!$F:$F)</f>
        <v>Swallowtail Shiner</v>
      </c>
      <c r="E5792" t="str">
        <f>_xlfn.XLOOKUP(A5792,'[1]Tissue Data'!$A:$A,'[1]Tissue Data'!$H:$H)</f>
        <v>Notropis</v>
      </c>
      <c r="F5792" t="str">
        <f>_xlfn.XLOOKUP(A5792,'[1]Tissue Data'!$A:$A,'[1]Tissue Data'!$I:$I)</f>
        <v>procne</v>
      </c>
      <c r="G5792" t="str">
        <f>_xlfn.XLOOKUP(A5792,'[1]Tissue Data'!$A:$A,'[1]Tissue Data'!J:J)</f>
        <v>U</v>
      </c>
      <c r="H5792" t="str">
        <f>_xlfn.XLOOKUP(A5792,'[1]Tissue Data'!$A:$A,'[1]Tissue Data'!K:K)</f>
        <v>Whole Body</v>
      </c>
      <c r="I5792">
        <f>_xlfn.XLOOKUP(A5792,'[1]Tissue Data'!$A:$A,'[1]Tissue Data'!L:L)</f>
        <v>5</v>
      </c>
      <c r="J5792">
        <f>_xlfn.XLOOKUP(A5792,'[1]Tissue Data'!$A:$A,'[1]Tissue Data'!M:M)</f>
        <v>1.31</v>
      </c>
      <c r="K5792" t="s">
        <v>52</v>
      </c>
      <c r="L5792" t="str">
        <f>_xlfn.XLOOKUP(K5792,[2]analyte_order!$B:$B,[2]analyte_order!$C:$C)</f>
        <v>53826-13-4</v>
      </c>
      <c r="M5792">
        <f>_xlfn.XLOOKUP(L5792,[2]analyte_order!$C:$C,[2]analyte_order!$E:$E)</f>
        <v>43</v>
      </c>
      <c r="N5792">
        <v>0.11650000000000001</v>
      </c>
    </row>
    <row r="5793" spans="1:14">
      <c r="A5793" t="s">
        <v>203</v>
      </c>
      <c r="B5793" t="str">
        <f>_xlfn.XLOOKUP(A5793,'[1]Tissue Data'!$A:$A,'[1]Tissue Data'!$C:$C)</f>
        <v>Spill</v>
      </c>
      <c r="C5793" s="2">
        <f>_xlfn.XLOOKUP(A5793,'[1]Tissue Data'!$A:$A,'[1]Tissue Data'!$D:$D)</f>
        <v>44393</v>
      </c>
      <c r="D5793" s="2" t="str">
        <f>_xlfn.XLOOKUP(A5793,'[1]Tissue Data'!$A:$A,'[1]Tissue Data'!$F:$F)</f>
        <v>Swallowtail Shiner</v>
      </c>
      <c r="E5793" t="str">
        <f>_xlfn.XLOOKUP(A5793,'[1]Tissue Data'!$A:$A,'[1]Tissue Data'!$H:$H)</f>
        <v>Notropis</v>
      </c>
      <c r="F5793" t="str">
        <f>_xlfn.XLOOKUP(A5793,'[1]Tissue Data'!$A:$A,'[1]Tissue Data'!$I:$I)</f>
        <v>procne</v>
      </c>
      <c r="G5793" t="str">
        <f>_xlfn.XLOOKUP(A5793,'[1]Tissue Data'!$A:$A,'[1]Tissue Data'!J:J)</f>
        <v>U</v>
      </c>
      <c r="H5793" t="str">
        <f>_xlfn.XLOOKUP(A5793,'[1]Tissue Data'!$A:$A,'[1]Tissue Data'!K:K)</f>
        <v>Whole Body</v>
      </c>
      <c r="I5793">
        <f>_xlfn.XLOOKUP(A5793,'[1]Tissue Data'!$A:$A,'[1]Tissue Data'!L:L)</f>
        <v>5</v>
      </c>
      <c r="J5793">
        <f>_xlfn.XLOOKUP(A5793,'[1]Tissue Data'!$A:$A,'[1]Tissue Data'!M:M)</f>
        <v>1.31</v>
      </c>
      <c r="K5793" t="s">
        <v>53</v>
      </c>
      <c r="L5793" t="str">
        <f>_xlfn.XLOOKUP(K5793,[2]analyte_order!$B:$B,[2]analyte_order!$C:$C)</f>
        <v>161094-75-3</v>
      </c>
      <c r="M5793">
        <f>_xlfn.XLOOKUP(L5793,[2]analyte_order!$C:$C,[2]analyte_order!$E:$E)</f>
        <v>44</v>
      </c>
      <c r="N5793">
        <v>6.0999999999999999E-2</v>
      </c>
    </row>
    <row r="5794" spans="1:14">
      <c r="A5794" t="s">
        <v>203</v>
      </c>
      <c r="B5794" t="str">
        <f>_xlfn.XLOOKUP(A5794,'[1]Tissue Data'!$A:$A,'[1]Tissue Data'!$C:$C)</f>
        <v>Spill</v>
      </c>
      <c r="C5794" s="2">
        <f>_xlfn.XLOOKUP(A5794,'[1]Tissue Data'!$A:$A,'[1]Tissue Data'!$D:$D)</f>
        <v>44393</v>
      </c>
      <c r="D5794" s="2" t="str">
        <f>_xlfn.XLOOKUP(A5794,'[1]Tissue Data'!$A:$A,'[1]Tissue Data'!$F:$F)</f>
        <v>Swallowtail Shiner</v>
      </c>
      <c r="E5794" t="str">
        <f>_xlfn.XLOOKUP(A5794,'[1]Tissue Data'!$A:$A,'[1]Tissue Data'!$H:$H)</f>
        <v>Notropis</v>
      </c>
      <c r="F5794" t="str">
        <f>_xlfn.XLOOKUP(A5794,'[1]Tissue Data'!$A:$A,'[1]Tissue Data'!$I:$I)</f>
        <v>procne</v>
      </c>
      <c r="G5794" t="str">
        <f>_xlfn.XLOOKUP(A5794,'[1]Tissue Data'!$A:$A,'[1]Tissue Data'!J:J)</f>
        <v>U</v>
      </c>
      <c r="H5794" t="str">
        <f>_xlfn.XLOOKUP(A5794,'[1]Tissue Data'!$A:$A,'[1]Tissue Data'!K:K)</f>
        <v>Whole Body</v>
      </c>
      <c r="I5794">
        <f>_xlfn.XLOOKUP(A5794,'[1]Tissue Data'!$A:$A,'[1]Tissue Data'!L:L)</f>
        <v>5</v>
      </c>
      <c r="J5794">
        <f>_xlfn.XLOOKUP(A5794,'[1]Tissue Data'!$A:$A,'[1]Tissue Data'!M:M)</f>
        <v>1.31</v>
      </c>
      <c r="K5794" t="s">
        <v>54</v>
      </c>
      <c r="L5794" t="str">
        <f>_xlfn.XLOOKUP(K5794,[2]analyte_order!$B:$B,[2]analyte_order!$C:$C)</f>
        <v>70887-84-2</v>
      </c>
      <c r="M5794">
        <f>_xlfn.XLOOKUP(L5794,[2]analyte_order!$C:$C,[2]analyte_order!$E:$E)</f>
        <v>45</v>
      </c>
      <c r="N5794">
        <v>4.7149999999999997E-2</v>
      </c>
    </row>
    <row r="5795" spans="1:14">
      <c r="A5795" t="s">
        <v>203</v>
      </c>
      <c r="B5795" t="str">
        <f>_xlfn.XLOOKUP(A5795,'[1]Tissue Data'!$A:$A,'[1]Tissue Data'!$C:$C)</f>
        <v>Spill</v>
      </c>
      <c r="C5795" s="2">
        <f>_xlfn.XLOOKUP(A5795,'[1]Tissue Data'!$A:$A,'[1]Tissue Data'!$D:$D)</f>
        <v>44393</v>
      </c>
      <c r="D5795" s="2" t="str">
        <f>_xlfn.XLOOKUP(A5795,'[1]Tissue Data'!$A:$A,'[1]Tissue Data'!$F:$F)</f>
        <v>Swallowtail Shiner</v>
      </c>
      <c r="E5795" t="str">
        <f>_xlfn.XLOOKUP(A5795,'[1]Tissue Data'!$A:$A,'[1]Tissue Data'!$H:$H)</f>
        <v>Notropis</v>
      </c>
      <c r="F5795" t="str">
        <f>_xlfn.XLOOKUP(A5795,'[1]Tissue Data'!$A:$A,'[1]Tissue Data'!$I:$I)</f>
        <v>procne</v>
      </c>
      <c r="G5795" t="str">
        <f>_xlfn.XLOOKUP(A5795,'[1]Tissue Data'!$A:$A,'[1]Tissue Data'!J:J)</f>
        <v>U</v>
      </c>
      <c r="H5795" t="str">
        <f>_xlfn.XLOOKUP(A5795,'[1]Tissue Data'!$A:$A,'[1]Tissue Data'!K:K)</f>
        <v>Whole Body</v>
      </c>
      <c r="I5795">
        <f>_xlfn.XLOOKUP(A5795,'[1]Tissue Data'!$A:$A,'[1]Tissue Data'!L:L)</f>
        <v>5</v>
      </c>
      <c r="J5795">
        <f>_xlfn.XLOOKUP(A5795,'[1]Tissue Data'!$A:$A,'[1]Tissue Data'!M:M)</f>
        <v>1.31</v>
      </c>
      <c r="K5795" t="s">
        <v>55</v>
      </c>
      <c r="L5795" t="str">
        <f>_xlfn.XLOOKUP(K5795,[2]analyte_order!$B:$B,[2]analyte_order!$C:$C)</f>
        <v>919005-14-4</v>
      </c>
      <c r="M5795">
        <f>_xlfn.XLOOKUP(L5795,[2]analyte_order!$C:$C,[2]analyte_order!$E:$E)</f>
        <v>35</v>
      </c>
      <c r="N5795">
        <v>6.9000000000000006E-2</v>
      </c>
    </row>
    <row r="5796" spans="1:14">
      <c r="A5796" t="s">
        <v>203</v>
      </c>
      <c r="B5796" t="str">
        <f>_xlfn.XLOOKUP(A5796,'[1]Tissue Data'!$A:$A,'[1]Tissue Data'!$C:$C)</f>
        <v>Spill</v>
      </c>
      <c r="C5796" s="2">
        <f>_xlfn.XLOOKUP(A5796,'[1]Tissue Data'!$A:$A,'[1]Tissue Data'!$D:$D)</f>
        <v>44393</v>
      </c>
      <c r="D5796" s="2" t="str">
        <f>_xlfn.XLOOKUP(A5796,'[1]Tissue Data'!$A:$A,'[1]Tissue Data'!$F:$F)</f>
        <v>Swallowtail Shiner</v>
      </c>
      <c r="E5796" t="str">
        <f>_xlfn.XLOOKUP(A5796,'[1]Tissue Data'!$A:$A,'[1]Tissue Data'!$H:$H)</f>
        <v>Notropis</v>
      </c>
      <c r="F5796" t="str">
        <f>_xlfn.XLOOKUP(A5796,'[1]Tissue Data'!$A:$A,'[1]Tissue Data'!$I:$I)</f>
        <v>procne</v>
      </c>
      <c r="G5796" t="str">
        <f>_xlfn.XLOOKUP(A5796,'[1]Tissue Data'!$A:$A,'[1]Tissue Data'!J:J)</f>
        <v>U</v>
      </c>
      <c r="H5796" t="str">
        <f>_xlfn.XLOOKUP(A5796,'[1]Tissue Data'!$A:$A,'[1]Tissue Data'!K:K)</f>
        <v>Whole Body</v>
      </c>
      <c r="I5796">
        <f>_xlfn.XLOOKUP(A5796,'[1]Tissue Data'!$A:$A,'[1]Tissue Data'!L:L)</f>
        <v>5</v>
      </c>
      <c r="J5796">
        <f>_xlfn.XLOOKUP(A5796,'[1]Tissue Data'!$A:$A,'[1]Tissue Data'!M:M)</f>
        <v>1.31</v>
      </c>
      <c r="K5796" t="s">
        <v>56</v>
      </c>
      <c r="L5796" t="str">
        <f>_xlfn.XLOOKUP(K5796,[2]analyte_order!$B:$B,[2]analyte_order!$C:$C)</f>
        <v>756426-58-1</v>
      </c>
      <c r="M5796">
        <f>_xlfn.XLOOKUP(L5796,[2]analyte_order!$C:$C,[2]analyte_order!$E:$E)</f>
        <v>36</v>
      </c>
      <c r="N5796">
        <v>7.8E-2</v>
      </c>
    </row>
    <row r="5797" spans="1:14">
      <c r="A5797" t="s">
        <v>203</v>
      </c>
      <c r="B5797" t="str">
        <f>_xlfn.XLOOKUP(A5797,'[1]Tissue Data'!$A:$A,'[1]Tissue Data'!$C:$C)</f>
        <v>Spill</v>
      </c>
      <c r="C5797" s="2">
        <f>_xlfn.XLOOKUP(A5797,'[1]Tissue Data'!$A:$A,'[1]Tissue Data'!$D:$D)</f>
        <v>44393</v>
      </c>
      <c r="D5797" s="2" t="str">
        <f>_xlfn.XLOOKUP(A5797,'[1]Tissue Data'!$A:$A,'[1]Tissue Data'!$F:$F)</f>
        <v>Swallowtail Shiner</v>
      </c>
      <c r="E5797" t="str">
        <f>_xlfn.XLOOKUP(A5797,'[1]Tissue Data'!$A:$A,'[1]Tissue Data'!$H:$H)</f>
        <v>Notropis</v>
      </c>
      <c r="F5797" t="str">
        <f>_xlfn.XLOOKUP(A5797,'[1]Tissue Data'!$A:$A,'[1]Tissue Data'!$I:$I)</f>
        <v>procne</v>
      </c>
      <c r="G5797" t="str">
        <f>_xlfn.XLOOKUP(A5797,'[1]Tissue Data'!$A:$A,'[1]Tissue Data'!J:J)</f>
        <v>U</v>
      </c>
      <c r="H5797" t="str">
        <f>_xlfn.XLOOKUP(A5797,'[1]Tissue Data'!$A:$A,'[1]Tissue Data'!K:K)</f>
        <v>Whole Body</v>
      </c>
      <c r="I5797">
        <f>_xlfn.XLOOKUP(A5797,'[1]Tissue Data'!$A:$A,'[1]Tissue Data'!L:L)</f>
        <v>5</v>
      </c>
      <c r="J5797">
        <f>_xlfn.XLOOKUP(A5797,'[1]Tissue Data'!$A:$A,'[1]Tissue Data'!M:M)</f>
        <v>1.31</v>
      </c>
      <c r="K5797" t="s">
        <v>57</v>
      </c>
      <c r="L5797" t="str">
        <f>_xlfn.XLOOKUP(K5797,[2]analyte_order!$B:$B,[2]analyte_order!$C:$C)</f>
        <v>763051-92-9</v>
      </c>
      <c r="M5797">
        <f>_xlfn.XLOOKUP(L5797,[2]analyte_order!$C:$C,[2]analyte_order!$E:$E)</f>
        <v>37</v>
      </c>
      <c r="N5797">
        <v>7.8E-2</v>
      </c>
    </row>
    <row r="5798" spans="1:14">
      <c r="A5798" t="s">
        <v>203</v>
      </c>
      <c r="B5798" t="str">
        <f>_xlfn.XLOOKUP(A5798,'[1]Tissue Data'!$A:$A,'[1]Tissue Data'!$C:$C)</f>
        <v>Spill</v>
      </c>
      <c r="C5798" s="2">
        <f>_xlfn.XLOOKUP(A5798,'[1]Tissue Data'!$A:$A,'[1]Tissue Data'!$D:$D)</f>
        <v>44393</v>
      </c>
      <c r="D5798" s="2" t="str">
        <f>_xlfn.XLOOKUP(A5798,'[1]Tissue Data'!$A:$A,'[1]Tissue Data'!$F:$F)</f>
        <v>Swallowtail Shiner</v>
      </c>
      <c r="E5798" t="str">
        <f>_xlfn.XLOOKUP(A5798,'[1]Tissue Data'!$A:$A,'[1]Tissue Data'!$H:$H)</f>
        <v>Notropis</v>
      </c>
      <c r="F5798" t="str">
        <f>_xlfn.XLOOKUP(A5798,'[1]Tissue Data'!$A:$A,'[1]Tissue Data'!$I:$I)</f>
        <v>procne</v>
      </c>
      <c r="G5798" t="str">
        <f>_xlfn.XLOOKUP(A5798,'[1]Tissue Data'!$A:$A,'[1]Tissue Data'!J:J)</f>
        <v>U</v>
      </c>
      <c r="H5798" t="str">
        <f>_xlfn.XLOOKUP(A5798,'[1]Tissue Data'!$A:$A,'[1]Tissue Data'!K:K)</f>
        <v>Whole Body</v>
      </c>
      <c r="I5798">
        <f>_xlfn.XLOOKUP(A5798,'[1]Tissue Data'!$A:$A,'[1]Tissue Data'!L:L)</f>
        <v>5</v>
      </c>
      <c r="J5798">
        <f>_xlfn.XLOOKUP(A5798,'[1]Tissue Data'!$A:$A,'[1]Tissue Data'!M:M)</f>
        <v>1.31</v>
      </c>
      <c r="K5798" t="s">
        <v>58</v>
      </c>
      <c r="L5798" t="str">
        <f>_xlfn.XLOOKUP(K5798,[2]analyte_order!$B:$B,[2]analyte_order!$C:$C)</f>
        <v>13252-13-6</v>
      </c>
      <c r="M5798">
        <f>_xlfn.XLOOKUP(L5798,[2]analyte_order!$C:$C,[2]analyte_order!$E:$E)</f>
        <v>34</v>
      </c>
      <c r="N5798">
        <v>0.112</v>
      </c>
    </row>
    <row r="5799" spans="1:14">
      <c r="A5799" t="s">
        <v>203</v>
      </c>
      <c r="B5799" t="str">
        <f>_xlfn.XLOOKUP(A5799,'[1]Tissue Data'!$A:$A,'[1]Tissue Data'!$C:$C)</f>
        <v>Spill</v>
      </c>
      <c r="C5799" s="2">
        <f>_xlfn.XLOOKUP(A5799,'[1]Tissue Data'!$A:$A,'[1]Tissue Data'!$D:$D)</f>
        <v>44393</v>
      </c>
      <c r="D5799" s="2" t="str">
        <f>_xlfn.XLOOKUP(A5799,'[1]Tissue Data'!$A:$A,'[1]Tissue Data'!$F:$F)</f>
        <v>Swallowtail Shiner</v>
      </c>
      <c r="E5799" t="str">
        <f>_xlfn.XLOOKUP(A5799,'[1]Tissue Data'!$A:$A,'[1]Tissue Data'!$H:$H)</f>
        <v>Notropis</v>
      </c>
      <c r="F5799" t="str">
        <f>_xlfn.XLOOKUP(A5799,'[1]Tissue Data'!$A:$A,'[1]Tissue Data'!$I:$I)</f>
        <v>procne</v>
      </c>
      <c r="G5799" t="str">
        <f>_xlfn.XLOOKUP(A5799,'[1]Tissue Data'!$A:$A,'[1]Tissue Data'!J:J)</f>
        <v>U</v>
      </c>
      <c r="H5799" t="str">
        <f>_xlfn.XLOOKUP(A5799,'[1]Tissue Data'!$A:$A,'[1]Tissue Data'!K:K)</f>
        <v>Whole Body</v>
      </c>
      <c r="I5799">
        <f>_xlfn.XLOOKUP(A5799,'[1]Tissue Data'!$A:$A,'[1]Tissue Data'!L:L)</f>
        <v>5</v>
      </c>
      <c r="J5799">
        <f>_xlfn.XLOOKUP(A5799,'[1]Tissue Data'!$A:$A,'[1]Tissue Data'!M:M)</f>
        <v>1.31</v>
      </c>
      <c r="K5799" t="s">
        <v>59</v>
      </c>
      <c r="L5799" t="str">
        <f>_xlfn.XLOOKUP(K5799,[2]analyte_order!$B:$B,[2]analyte_order!$C:$C)</f>
        <v>57677-95-9</v>
      </c>
      <c r="M5799">
        <f>_xlfn.XLOOKUP(L5799,[2]analyte_order!$C:$C,[2]analyte_order!$E:$E)</f>
        <v>46</v>
      </c>
      <c r="N5799">
        <v>8.3000000000000004E-2</v>
      </c>
    </row>
    <row r="5800" spans="1:14">
      <c r="A5800" t="s">
        <v>203</v>
      </c>
      <c r="B5800" t="str">
        <f>_xlfn.XLOOKUP(A5800,'[1]Tissue Data'!$A:$A,'[1]Tissue Data'!$C:$C)</f>
        <v>Spill</v>
      </c>
      <c r="C5800" s="2">
        <f>_xlfn.XLOOKUP(A5800,'[1]Tissue Data'!$A:$A,'[1]Tissue Data'!$D:$D)</f>
        <v>44393</v>
      </c>
      <c r="D5800" s="2" t="str">
        <f>_xlfn.XLOOKUP(A5800,'[1]Tissue Data'!$A:$A,'[1]Tissue Data'!$F:$F)</f>
        <v>Swallowtail Shiner</v>
      </c>
      <c r="E5800" t="str">
        <f>_xlfn.XLOOKUP(A5800,'[1]Tissue Data'!$A:$A,'[1]Tissue Data'!$H:$H)</f>
        <v>Notropis</v>
      </c>
      <c r="F5800" t="str">
        <f>_xlfn.XLOOKUP(A5800,'[1]Tissue Data'!$A:$A,'[1]Tissue Data'!$I:$I)</f>
        <v>procne</v>
      </c>
      <c r="G5800" t="str">
        <f>_xlfn.XLOOKUP(A5800,'[1]Tissue Data'!$A:$A,'[1]Tissue Data'!J:J)</f>
        <v>U</v>
      </c>
      <c r="H5800" t="str">
        <f>_xlfn.XLOOKUP(A5800,'[1]Tissue Data'!$A:$A,'[1]Tissue Data'!K:K)</f>
        <v>Whole Body</v>
      </c>
      <c r="I5800">
        <f>_xlfn.XLOOKUP(A5800,'[1]Tissue Data'!$A:$A,'[1]Tissue Data'!L:L)</f>
        <v>5</v>
      </c>
      <c r="J5800">
        <f>_xlfn.XLOOKUP(A5800,'[1]Tissue Data'!$A:$A,'[1]Tissue Data'!M:M)</f>
        <v>1.31</v>
      </c>
      <c r="K5800" t="s">
        <v>60</v>
      </c>
      <c r="L5800" t="str">
        <f>_xlfn.XLOOKUP(K5800,[2]analyte_order!$B:$B,[2]analyte_order!$C:$C)</f>
        <v>678-41-1</v>
      </c>
      <c r="M5800">
        <f>_xlfn.XLOOKUP(L5800,[2]analyte_order!$C:$C,[2]analyte_order!$E:$E)</f>
        <v>56</v>
      </c>
      <c r="N5800">
        <v>0.10349999999999999</v>
      </c>
    </row>
    <row r="5801" spans="1:14">
      <c r="A5801" t="s">
        <v>203</v>
      </c>
      <c r="B5801" t="str">
        <f>_xlfn.XLOOKUP(A5801,'[1]Tissue Data'!$A:$A,'[1]Tissue Data'!$C:$C)</f>
        <v>Spill</v>
      </c>
      <c r="C5801" s="2">
        <f>_xlfn.XLOOKUP(A5801,'[1]Tissue Data'!$A:$A,'[1]Tissue Data'!$D:$D)</f>
        <v>44393</v>
      </c>
      <c r="D5801" s="2" t="str">
        <f>_xlfn.XLOOKUP(A5801,'[1]Tissue Data'!$A:$A,'[1]Tissue Data'!$F:$F)</f>
        <v>Swallowtail Shiner</v>
      </c>
      <c r="E5801" t="str">
        <f>_xlfn.XLOOKUP(A5801,'[1]Tissue Data'!$A:$A,'[1]Tissue Data'!$H:$H)</f>
        <v>Notropis</v>
      </c>
      <c r="F5801" t="str">
        <f>_xlfn.XLOOKUP(A5801,'[1]Tissue Data'!$A:$A,'[1]Tissue Data'!$I:$I)</f>
        <v>procne</v>
      </c>
      <c r="G5801" t="str">
        <f>_xlfn.XLOOKUP(A5801,'[1]Tissue Data'!$A:$A,'[1]Tissue Data'!J:J)</f>
        <v>U</v>
      </c>
      <c r="H5801" t="str">
        <f>_xlfn.XLOOKUP(A5801,'[1]Tissue Data'!$A:$A,'[1]Tissue Data'!K:K)</f>
        <v>Whole Body</v>
      </c>
      <c r="I5801">
        <f>_xlfn.XLOOKUP(A5801,'[1]Tissue Data'!$A:$A,'[1]Tissue Data'!L:L)</f>
        <v>5</v>
      </c>
      <c r="J5801">
        <f>_xlfn.XLOOKUP(A5801,'[1]Tissue Data'!$A:$A,'[1]Tissue Data'!M:M)</f>
        <v>1.31</v>
      </c>
      <c r="K5801" t="s">
        <v>61</v>
      </c>
      <c r="L5801" t="str">
        <f>_xlfn.XLOOKUP(K5801,[2]analyte_order!$B:$B,[2]analyte_order!$C:$C)</f>
        <v>2965-52-8</v>
      </c>
      <c r="M5801">
        <f>_xlfn.XLOOKUP(L5801,[2]analyte_order!$C:$C,[2]analyte_order!$E:$E)</f>
        <v>57</v>
      </c>
      <c r="N5801">
        <v>0.13750000000000001</v>
      </c>
    </row>
    <row r="5802" spans="1:14">
      <c r="A5802" t="s">
        <v>163</v>
      </c>
      <c r="B5802" t="str">
        <f>_xlfn.XLOOKUP(A5802,'[1]Tissue Data'!$A:$A,'[1]Tissue Data'!$C:$C)</f>
        <v>Spill</v>
      </c>
      <c r="C5802" s="2">
        <f>_xlfn.XLOOKUP(A5802,'[1]Tissue Data'!$A:$A,'[1]Tissue Data'!$D:$D)</f>
        <v>44393</v>
      </c>
      <c r="D5802" s="2" t="s">
        <v>122</v>
      </c>
      <c r="E5802" t="str">
        <f>_xlfn.XLOOKUP(A5802,'[1]Tissue Data'!$A:$A,'[1]Tissue Data'!$H:$H)</f>
        <v>Etheostoma</v>
      </c>
      <c r="F5802" t="str">
        <f>_xlfn.XLOOKUP(A5802,'[1]Tissue Data'!$A:$A,'[1]Tissue Data'!$I:$I)</f>
        <v>olmstedi</v>
      </c>
      <c r="G5802" t="str">
        <f>_xlfn.XLOOKUP(A5802,'[1]Tissue Data'!$A:$A,'[1]Tissue Data'!J:J)</f>
        <v>U</v>
      </c>
      <c r="H5802" t="str">
        <f>_xlfn.XLOOKUP(A5802,'[1]Tissue Data'!$A:$A,'[1]Tissue Data'!K:K)</f>
        <v>Whole Body</v>
      </c>
      <c r="I5802">
        <f>_xlfn.XLOOKUP(A5802,'[1]Tissue Data'!$A:$A,'[1]Tissue Data'!L:L)</f>
        <v>3.83</v>
      </c>
      <c r="J5802">
        <f>_xlfn.XLOOKUP(A5802,'[1]Tissue Data'!$A:$A,'[1]Tissue Data'!M:M)</f>
        <v>1.34</v>
      </c>
      <c r="K5802" t="s">
        <v>12</v>
      </c>
      <c r="L5802" t="str">
        <f>_xlfn.XLOOKUP(K5802,[2]analyte_order!$B:$B,[2]analyte_order!$C:$C)</f>
        <v>375-22-4</v>
      </c>
      <c r="M5802">
        <f>_xlfn.XLOOKUP(L5802,[2]analyte_order!$C:$C,[2]analyte_order!$E:$E)</f>
        <v>1</v>
      </c>
      <c r="N5802">
        <v>0.254</v>
      </c>
    </row>
    <row r="5803" spans="1:14">
      <c r="A5803" t="s">
        <v>163</v>
      </c>
      <c r="B5803" t="str">
        <f>_xlfn.XLOOKUP(A5803,'[1]Tissue Data'!$A:$A,'[1]Tissue Data'!$C:$C)</f>
        <v>Spill</v>
      </c>
      <c r="C5803" s="2">
        <f>_xlfn.XLOOKUP(A5803,'[1]Tissue Data'!$A:$A,'[1]Tissue Data'!$D:$D)</f>
        <v>44393</v>
      </c>
      <c r="D5803" s="2" t="s">
        <v>122</v>
      </c>
      <c r="E5803" t="str">
        <f>_xlfn.XLOOKUP(A5803,'[1]Tissue Data'!$A:$A,'[1]Tissue Data'!$H:$H)</f>
        <v>Etheostoma</v>
      </c>
      <c r="F5803" t="str">
        <f>_xlfn.XLOOKUP(A5803,'[1]Tissue Data'!$A:$A,'[1]Tissue Data'!$I:$I)</f>
        <v>olmstedi</v>
      </c>
      <c r="G5803" t="str">
        <f>_xlfn.XLOOKUP(A5803,'[1]Tissue Data'!$A:$A,'[1]Tissue Data'!J:J)</f>
        <v>U</v>
      </c>
      <c r="H5803" t="str">
        <f>_xlfn.XLOOKUP(A5803,'[1]Tissue Data'!$A:$A,'[1]Tissue Data'!K:K)</f>
        <v>Whole Body</v>
      </c>
      <c r="I5803">
        <f>_xlfn.XLOOKUP(A5803,'[1]Tissue Data'!$A:$A,'[1]Tissue Data'!L:L)</f>
        <v>3.83</v>
      </c>
      <c r="J5803">
        <f>_xlfn.XLOOKUP(A5803,'[1]Tissue Data'!$A:$A,'[1]Tissue Data'!M:M)</f>
        <v>1.34</v>
      </c>
      <c r="K5803" t="s">
        <v>13</v>
      </c>
      <c r="L5803" t="str">
        <f>_xlfn.XLOOKUP(K5803,[2]analyte_order!$B:$B,[2]analyte_order!$C:$C)</f>
        <v>2706-90-3</v>
      </c>
      <c r="M5803">
        <f>_xlfn.XLOOKUP(L5803,[2]analyte_order!$C:$C,[2]analyte_order!$E:$E)</f>
        <v>2</v>
      </c>
      <c r="N5803">
        <v>8.9499999999999996E-2</v>
      </c>
    </row>
    <row r="5804" spans="1:14">
      <c r="A5804" t="s">
        <v>163</v>
      </c>
      <c r="B5804" t="str">
        <f>_xlfn.XLOOKUP(A5804,'[1]Tissue Data'!$A:$A,'[1]Tissue Data'!$C:$C)</f>
        <v>Spill</v>
      </c>
      <c r="C5804" s="2">
        <f>_xlfn.XLOOKUP(A5804,'[1]Tissue Data'!$A:$A,'[1]Tissue Data'!$D:$D)</f>
        <v>44393</v>
      </c>
      <c r="D5804" s="2" t="s">
        <v>122</v>
      </c>
      <c r="E5804" t="str">
        <f>_xlfn.XLOOKUP(A5804,'[1]Tissue Data'!$A:$A,'[1]Tissue Data'!$H:$H)</f>
        <v>Etheostoma</v>
      </c>
      <c r="F5804" t="str">
        <f>_xlfn.XLOOKUP(A5804,'[1]Tissue Data'!$A:$A,'[1]Tissue Data'!$I:$I)</f>
        <v>olmstedi</v>
      </c>
      <c r="G5804" t="str">
        <f>_xlfn.XLOOKUP(A5804,'[1]Tissue Data'!$A:$A,'[1]Tissue Data'!J:J)</f>
        <v>U</v>
      </c>
      <c r="H5804" t="str">
        <f>_xlfn.XLOOKUP(A5804,'[1]Tissue Data'!$A:$A,'[1]Tissue Data'!K:K)</f>
        <v>Whole Body</v>
      </c>
      <c r="I5804">
        <f>_xlfn.XLOOKUP(A5804,'[1]Tissue Data'!$A:$A,'[1]Tissue Data'!L:L)</f>
        <v>3.83</v>
      </c>
      <c r="J5804">
        <f>_xlfn.XLOOKUP(A5804,'[1]Tissue Data'!$A:$A,'[1]Tissue Data'!M:M)</f>
        <v>1.34</v>
      </c>
      <c r="K5804" t="s">
        <v>14</v>
      </c>
      <c r="L5804" t="str">
        <f>_xlfn.XLOOKUP(K5804,[2]analyte_order!$B:$B,[2]analyte_order!$C:$C)</f>
        <v>307-24-4</v>
      </c>
      <c r="M5804">
        <f>_xlfn.XLOOKUP(L5804,[2]analyte_order!$C:$C,[2]analyte_order!$E:$E)</f>
        <v>3</v>
      </c>
      <c r="N5804">
        <v>0.13700000000000001</v>
      </c>
    </row>
    <row r="5805" spans="1:14">
      <c r="A5805" t="s">
        <v>163</v>
      </c>
      <c r="B5805" t="str">
        <f>_xlfn.XLOOKUP(A5805,'[1]Tissue Data'!$A:$A,'[1]Tissue Data'!$C:$C)</f>
        <v>Spill</v>
      </c>
      <c r="C5805" s="2">
        <f>_xlfn.XLOOKUP(A5805,'[1]Tissue Data'!$A:$A,'[1]Tissue Data'!$D:$D)</f>
        <v>44393</v>
      </c>
      <c r="D5805" s="2" t="s">
        <v>122</v>
      </c>
      <c r="E5805" t="str">
        <f>_xlfn.XLOOKUP(A5805,'[1]Tissue Data'!$A:$A,'[1]Tissue Data'!$H:$H)</f>
        <v>Etheostoma</v>
      </c>
      <c r="F5805" t="str">
        <f>_xlfn.XLOOKUP(A5805,'[1]Tissue Data'!$A:$A,'[1]Tissue Data'!$I:$I)</f>
        <v>olmstedi</v>
      </c>
      <c r="G5805" t="str">
        <f>_xlfn.XLOOKUP(A5805,'[1]Tissue Data'!$A:$A,'[1]Tissue Data'!J:J)</f>
        <v>U</v>
      </c>
      <c r="H5805" t="str">
        <f>_xlfn.XLOOKUP(A5805,'[1]Tissue Data'!$A:$A,'[1]Tissue Data'!K:K)</f>
        <v>Whole Body</v>
      </c>
      <c r="I5805">
        <f>_xlfn.XLOOKUP(A5805,'[1]Tissue Data'!$A:$A,'[1]Tissue Data'!L:L)</f>
        <v>3.83</v>
      </c>
      <c r="J5805">
        <f>_xlfn.XLOOKUP(A5805,'[1]Tissue Data'!$A:$A,'[1]Tissue Data'!M:M)</f>
        <v>1.34</v>
      </c>
      <c r="K5805" t="s">
        <v>15</v>
      </c>
      <c r="L5805" t="str">
        <f>_xlfn.XLOOKUP(K5805,[2]analyte_order!$B:$B,[2]analyte_order!$C:$C)</f>
        <v>375-85-9</v>
      </c>
      <c r="M5805">
        <f>_xlfn.XLOOKUP(L5805,[2]analyte_order!$C:$C,[2]analyte_order!$E:$E)</f>
        <v>4</v>
      </c>
      <c r="N5805">
        <v>0.254</v>
      </c>
    </row>
    <row r="5806" spans="1:14">
      <c r="A5806" t="s">
        <v>163</v>
      </c>
      <c r="B5806" t="str">
        <f>_xlfn.XLOOKUP(A5806,'[1]Tissue Data'!$A:$A,'[1]Tissue Data'!$C:$C)</f>
        <v>Spill</v>
      </c>
      <c r="C5806" s="2">
        <f>_xlfn.XLOOKUP(A5806,'[1]Tissue Data'!$A:$A,'[1]Tissue Data'!$D:$D)</f>
        <v>44393</v>
      </c>
      <c r="D5806" s="2" t="s">
        <v>122</v>
      </c>
      <c r="E5806" t="str">
        <f>_xlfn.XLOOKUP(A5806,'[1]Tissue Data'!$A:$A,'[1]Tissue Data'!$H:$H)</f>
        <v>Etheostoma</v>
      </c>
      <c r="F5806" t="str">
        <f>_xlfn.XLOOKUP(A5806,'[1]Tissue Data'!$A:$A,'[1]Tissue Data'!$I:$I)</f>
        <v>olmstedi</v>
      </c>
      <c r="G5806" t="str">
        <f>_xlfn.XLOOKUP(A5806,'[1]Tissue Data'!$A:$A,'[1]Tissue Data'!J:J)</f>
        <v>U</v>
      </c>
      <c r="H5806" t="str">
        <f>_xlfn.XLOOKUP(A5806,'[1]Tissue Data'!$A:$A,'[1]Tissue Data'!K:K)</f>
        <v>Whole Body</v>
      </c>
      <c r="I5806">
        <f>_xlfn.XLOOKUP(A5806,'[1]Tissue Data'!$A:$A,'[1]Tissue Data'!L:L)</f>
        <v>3.83</v>
      </c>
      <c r="J5806">
        <f>_xlfn.XLOOKUP(A5806,'[1]Tissue Data'!$A:$A,'[1]Tissue Data'!M:M)</f>
        <v>1.34</v>
      </c>
      <c r="K5806" t="s">
        <v>16</v>
      </c>
      <c r="L5806" t="str">
        <f>_xlfn.XLOOKUP(K5806,[2]analyte_order!$B:$B,[2]analyte_order!$C:$C)</f>
        <v>335-67-1</v>
      </c>
      <c r="M5806">
        <f>_xlfn.XLOOKUP(L5806,[2]analyte_order!$C:$C,[2]analyte_order!$E:$E)</f>
        <v>5</v>
      </c>
      <c r="N5806">
        <v>3.7</v>
      </c>
    </row>
    <row r="5807" spans="1:14">
      <c r="A5807" t="s">
        <v>163</v>
      </c>
      <c r="B5807" t="str">
        <f>_xlfn.XLOOKUP(A5807,'[1]Tissue Data'!$A:$A,'[1]Tissue Data'!$C:$C)</f>
        <v>Spill</v>
      </c>
      <c r="C5807" s="2">
        <f>_xlfn.XLOOKUP(A5807,'[1]Tissue Data'!$A:$A,'[1]Tissue Data'!$D:$D)</f>
        <v>44393</v>
      </c>
      <c r="D5807" s="2" t="s">
        <v>122</v>
      </c>
      <c r="E5807" t="str">
        <f>_xlfn.XLOOKUP(A5807,'[1]Tissue Data'!$A:$A,'[1]Tissue Data'!$H:$H)</f>
        <v>Etheostoma</v>
      </c>
      <c r="F5807" t="str">
        <f>_xlfn.XLOOKUP(A5807,'[1]Tissue Data'!$A:$A,'[1]Tissue Data'!$I:$I)</f>
        <v>olmstedi</v>
      </c>
      <c r="G5807" t="str">
        <f>_xlfn.XLOOKUP(A5807,'[1]Tissue Data'!$A:$A,'[1]Tissue Data'!J:J)</f>
        <v>U</v>
      </c>
      <c r="H5807" t="str">
        <f>_xlfn.XLOOKUP(A5807,'[1]Tissue Data'!$A:$A,'[1]Tissue Data'!K:K)</f>
        <v>Whole Body</v>
      </c>
      <c r="I5807">
        <f>_xlfn.XLOOKUP(A5807,'[1]Tissue Data'!$A:$A,'[1]Tissue Data'!L:L)</f>
        <v>3.83</v>
      </c>
      <c r="J5807">
        <f>_xlfn.XLOOKUP(A5807,'[1]Tissue Data'!$A:$A,'[1]Tissue Data'!M:M)</f>
        <v>1.34</v>
      </c>
      <c r="K5807" t="s">
        <v>17</v>
      </c>
      <c r="L5807" t="str">
        <f>_xlfn.XLOOKUP(K5807,[2]analyte_order!$B:$B,[2]analyte_order!$C:$C)</f>
        <v>375-95-1</v>
      </c>
      <c r="M5807">
        <f>_xlfn.XLOOKUP(L5807,[2]analyte_order!$C:$C,[2]analyte_order!$E:$E)</f>
        <v>6</v>
      </c>
      <c r="N5807">
        <v>2.69</v>
      </c>
    </row>
    <row r="5808" spans="1:14">
      <c r="A5808" t="s">
        <v>163</v>
      </c>
      <c r="B5808" t="str">
        <f>_xlfn.XLOOKUP(A5808,'[1]Tissue Data'!$A:$A,'[1]Tissue Data'!$C:$C)</f>
        <v>Spill</v>
      </c>
      <c r="C5808" s="2">
        <f>_xlfn.XLOOKUP(A5808,'[1]Tissue Data'!$A:$A,'[1]Tissue Data'!$D:$D)</f>
        <v>44393</v>
      </c>
      <c r="D5808" s="2" t="s">
        <v>122</v>
      </c>
      <c r="E5808" t="str">
        <f>_xlfn.XLOOKUP(A5808,'[1]Tissue Data'!$A:$A,'[1]Tissue Data'!$H:$H)</f>
        <v>Etheostoma</v>
      </c>
      <c r="F5808" t="str">
        <f>_xlfn.XLOOKUP(A5808,'[1]Tissue Data'!$A:$A,'[1]Tissue Data'!$I:$I)</f>
        <v>olmstedi</v>
      </c>
      <c r="G5808" t="str">
        <f>_xlfn.XLOOKUP(A5808,'[1]Tissue Data'!$A:$A,'[1]Tissue Data'!J:J)</f>
        <v>U</v>
      </c>
      <c r="H5808" t="str">
        <f>_xlfn.XLOOKUP(A5808,'[1]Tissue Data'!$A:$A,'[1]Tissue Data'!K:K)</f>
        <v>Whole Body</v>
      </c>
      <c r="I5808">
        <f>_xlfn.XLOOKUP(A5808,'[1]Tissue Data'!$A:$A,'[1]Tissue Data'!L:L)</f>
        <v>3.83</v>
      </c>
      <c r="J5808">
        <f>_xlfn.XLOOKUP(A5808,'[1]Tissue Data'!$A:$A,'[1]Tissue Data'!M:M)</f>
        <v>1.34</v>
      </c>
      <c r="K5808" t="s">
        <v>18</v>
      </c>
      <c r="L5808" t="str">
        <f>_xlfn.XLOOKUP(K5808,[2]analyte_order!$B:$B,[2]analyte_order!$C:$C)</f>
        <v>335-76-2</v>
      </c>
      <c r="M5808">
        <f>_xlfn.XLOOKUP(L5808,[2]analyte_order!$C:$C,[2]analyte_order!$E:$E)</f>
        <v>7</v>
      </c>
      <c r="N5808">
        <v>3.97</v>
      </c>
    </row>
    <row r="5809" spans="1:14">
      <c r="A5809" t="s">
        <v>163</v>
      </c>
      <c r="B5809" t="str">
        <f>_xlfn.XLOOKUP(A5809,'[1]Tissue Data'!$A:$A,'[1]Tissue Data'!$C:$C)</f>
        <v>Spill</v>
      </c>
      <c r="C5809" s="2">
        <f>_xlfn.XLOOKUP(A5809,'[1]Tissue Data'!$A:$A,'[1]Tissue Data'!$D:$D)</f>
        <v>44393</v>
      </c>
      <c r="D5809" s="2" t="s">
        <v>122</v>
      </c>
      <c r="E5809" t="str">
        <f>_xlfn.XLOOKUP(A5809,'[1]Tissue Data'!$A:$A,'[1]Tissue Data'!$H:$H)</f>
        <v>Etheostoma</v>
      </c>
      <c r="F5809" t="str">
        <f>_xlfn.XLOOKUP(A5809,'[1]Tissue Data'!$A:$A,'[1]Tissue Data'!$I:$I)</f>
        <v>olmstedi</v>
      </c>
      <c r="G5809" t="str">
        <f>_xlfn.XLOOKUP(A5809,'[1]Tissue Data'!$A:$A,'[1]Tissue Data'!J:J)</f>
        <v>U</v>
      </c>
      <c r="H5809" t="str">
        <f>_xlfn.XLOOKUP(A5809,'[1]Tissue Data'!$A:$A,'[1]Tissue Data'!K:K)</f>
        <v>Whole Body</v>
      </c>
      <c r="I5809">
        <f>_xlfn.XLOOKUP(A5809,'[1]Tissue Data'!$A:$A,'[1]Tissue Data'!L:L)</f>
        <v>3.83</v>
      </c>
      <c r="J5809">
        <f>_xlfn.XLOOKUP(A5809,'[1]Tissue Data'!$A:$A,'[1]Tissue Data'!M:M)</f>
        <v>1.34</v>
      </c>
      <c r="K5809" t="s">
        <v>19</v>
      </c>
      <c r="L5809" t="str">
        <f>_xlfn.XLOOKUP(K5809,[2]analyte_order!$B:$B,[2]analyte_order!$C:$C)</f>
        <v>2058-94-8</v>
      </c>
      <c r="M5809">
        <f>_xlfn.XLOOKUP(L5809,[2]analyte_order!$C:$C,[2]analyte_order!$E:$E)</f>
        <v>8</v>
      </c>
      <c r="N5809">
        <v>4.79</v>
      </c>
    </row>
    <row r="5810" spans="1:14">
      <c r="A5810" t="s">
        <v>163</v>
      </c>
      <c r="B5810" t="str">
        <f>_xlfn.XLOOKUP(A5810,'[1]Tissue Data'!$A:$A,'[1]Tissue Data'!$C:$C)</f>
        <v>Spill</v>
      </c>
      <c r="C5810" s="2">
        <f>_xlfn.XLOOKUP(A5810,'[1]Tissue Data'!$A:$A,'[1]Tissue Data'!$D:$D)</f>
        <v>44393</v>
      </c>
      <c r="D5810" s="2" t="s">
        <v>122</v>
      </c>
      <c r="E5810" t="str">
        <f>_xlfn.XLOOKUP(A5810,'[1]Tissue Data'!$A:$A,'[1]Tissue Data'!$H:$H)</f>
        <v>Etheostoma</v>
      </c>
      <c r="F5810" t="str">
        <f>_xlfn.XLOOKUP(A5810,'[1]Tissue Data'!$A:$A,'[1]Tissue Data'!$I:$I)</f>
        <v>olmstedi</v>
      </c>
      <c r="G5810" t="str">
        <f>_xlfn.XLOOKUP(A5810,'[1]Tissue Data'!$A:$A,'[1]Tissue Data'!J:J)</f>
        <v>U</v>
      </c>
      <c r="H5810" t="str">
        <f>_xlfn.XLOOKUP(A5810,'[1]Tissue Data'!$A:$A,'[1]Tissue Data'!K:K)</f>
        <v>Whole Body</v>
      </c>
      <c r="I5810">
        <f>_xlfn.XLOOKUP(A5810,'[1]Tissue Data'!$A:$A,'[1]Tissue Data'!L:L)</f>
        <v>3.83</v>
      </c>
      <c r="J5810">
        <f>_xlfn.XLOOKUP(A5810,'[1]Tissue Data'!$A:$A,'[1]Tissue Data'!M:M)</f>
        <v>1.34</v>
      </c>
      <c r="K5810" t="s">
        <v>20</v>
      </c>
      <c r="L5810" t="str">
        <f>_xlfn.XLOOKUP(K5810,[2]analyte_order!$B:$B,[2]analyte_order!$C:$C)</f>
        <v>307-55-1</v>
      </c>
      <c r="M5810">
        <f>_xlfn.XLOOKUP(L5810,[2]analyte_order!$C:$C,[2]analyte_order!$E:$E)</f>
        <v>9</v>
      </c>
      <c r="N5810">
        <v>4.51</v>
      </c>
    </row>
    <row r="5811" spans="1:14">
      <c r="A5811" t="s">
        <v>163</v>
      </c>
      <c r="B5811" t="str">
        <f>_xlfn.XLOOKUP(A5811,'[1]Tissue Data'!$A:$A,'[1]Tissue Data'!$C:$C)</f>
        <v>Spill</v>
      </c>
      <c r="C5811" s="2">
        <f>_xlfn.XLOOKUP(A5811,'[1]Tissue Data'!$A:$A,'[1]Tissue Data'!$D:$D)</f>
        <v>44393</v>
      </c>
      <c r="D5811" s="2" t="s">
        <v>122</v>
      </c>
      <c r="E5811" t="str">
        <f>_xlfn.XLOOKUP(A5811,'[1]Tissue Data'!$A:$A,'[1]Tissue Data'!$H:$H)</f>
        <v>Etheostoma</v>
      </c>
      <c r="F5811" t="str">
        <f>_xlfn.XLOOKUP(A5811,'[1]Tissue Data'!$A:$A,'[1]Tissue Data'!$I:$I)</f>
        <v>olmstedi</v>
      </c>
      <c r="G5811" t="str">
        <f>_xlfn.XLOOKUP(A5811,'[1]Tissue Data'!$A:$A,'[1]Tissue Data'!J:J)</f>
        <v>U</v>
      </c>
      <c r="H5811" t="str">
        <f>_xlfn.XLOOKUP(A5811,'[1]Tissue Data'!$A:$A,'[1]Tissue Data'!K:K)</f>
        <v>Whole Body</v>
      </c>
      <c r="I5811">
        <f>_xlfn.XLOOKUP(A5811,'[1]Tissue Data'!$A:$A,'[1]Tissue Data'!L:L)</f>
        <v>3.83</v>
      </c>
      <c r="J5811">
        <f>_xlfn.XLOOKUP(A5811,'[1]Tissue Data'!$A:$A,'[1]Tissue Data'!M:M)</f>
        <v>1.34</v>
      </c>
      <c r="K5811" t="s">
        <v>21</v>
      </c>
      <c r="L5811" t="str">
        <f>_xlfn.XLOOKUP(K5811,[2]analyte_order!$B:$B,[2]analyte_order!$C:$C)</f>
        <v>72629-94-8</v>
      </c>
      <c r="M5811">
        <f>_xlfn.XLOOKUP(L5811,[2]analyte_order!$C:$C,[2]analyte_order!$E:$E)</f>
        <v>10</v>
      </c>
      <c r="N5811">
        <v>1.28</v>
      </c>
    </row>
    <row r="5812" spans="1:14">
      <c r="A5812" t="s">
        <v>163</v>
      </c>
      <c r="B5812" t="str">
        <f>_xlfn.XLOOKUP(A5812,'[1]Tissue Data'!$A:$A,'[1]Tissue Data'!$C:$C)</f>
        <v>Spill</v>
      </c>
      <c r="C5812" s="2">
        <f>_xlfn.XLOOKUP(A5812,'[1]Tissue Data'!$A:$A,'[1]Tissue Data'!$D:$D)</f>
        <v>44393</v>
      </c>
      <c r="D5812" s="2" t="s">
        <v>122</v>
      </c>
      <c r="E5812" t="str">
        <f>_xlfn.XLOOKUP(A5812,'[1]Tissue Data'!$A:$A,'[1]Tissue Data'!$H:$H)</f>
        <v>Etheostoma</v>
      </c>
      <c r="F5812" t="str">
        <f>_xlfn.XLOOKUP(A5812,'[1]Tissue Data'!$A:$A,'[1]Tissue Data'!$I:$I)</f>
        <v>olmstedi</v>
      </c>
      <c r="G5812" t="str">
        <f>_xlfn.XLOOKUP(A5812,'[1]Tissue Data'!$A:$A,'[1]Tissue Data'!J:J)</f>
        <v>U</v>
      </c>
      <c r="H5812" t="str">
        <f>_xlfn.XLOOKUP(A5812,'[1]Tissue Data'!$A:$A,'[1]Tissue Data'!K:K)</f>
        <v>Whole Body</v>
      </c>
      <c r="I5812">
        <f>_xlfn.XLOOKUP(A5812,'[1]Tissue Data'!$A:$A,'[1]Tissue Data'!L:L)</f>
        <v>3.83</v>
      </c>
      <c r="J5812">
        <f>_xlfn.XLOOKUP(A5812,'[1]Tissue Data'!$A:$A,'[1]Tissue Data'!M:M)</f>
        <v>1.34</v>
      </c>
      <c r="K5812" t="s">
        <v>22</v>
      </c>
      <c r="L5812" t="str">
        <f>_xlfn.XLOOKUP(K5812,[2]analyte_order!$B:$B,[2]analyte_order!$C:$C)</f>
        <v>376-06-7</v>
      </c>
      <c r="M5812">
        <f>_xlfn.XLOOKUP(L5812,[2]analyte_order!$C:$C,[2]analyte_order!$E:$E)</f>
        <v>11</v>
      </c>
      <c r="N5812">
        <v>0.90500000000000003</v>
      </c>
    </row>
    <row r="5813" spans="1:14">
      <c r="A5813" t="s">
        <v>163</v>
      </c>
      <c r="B5813" t="str">
        <f>_xlfn.XLOOKUP(A5813,'[1]Tissue Data'!$A:$A,'[1]Tissue Data'!$C:$C)</f>
        <v>Spill</v>
      </c>
      <c r="C5813" s="2">
        <f>_xlfn.XLOOKUP(A5813,'[1]Tissue Data'!$A:$A,'[1]Tissue Data'!$D:$D)</f>
        <v>44393</v>
      </c>
      <c r="D5813" s="2" t="s">
        <v>122</v>
      </c>
      <c r="E5813" t="str">
        <f>_xlfn.XLOOKUP(A5813,'[1]Tissue Data'!$A:$A,'[1]Tissue Data'!$H:$H)</f>
        <v>Etheostoma</v>
      </c>
      <c r="F5813" t="str">
        <f>_xlfn.XLOOKUP(A5813,'[1]Tissue Data'!$A:$A,'[1]Tissue Data'!$I:$I)</f>
        <v>olmstedi</v>
      </c>
      <c r="G5813" t="str">
        <f>_xlfn.XLOOKUP(A5813,'[1]Tissue Data'!$A:$A,'[1]Tissue Data'!J:J)</f>
        <v>U</v>
      </c>
      <c r="H5813" t="str">
        <f>_xlfn.XLOOKUP(A5813,'[1]Tissue Data'!$A:$A,'[1]Tissue Data'!K:K)</f>
        <v>Whole Body</v>
      </c>
      <c r="I5813">
        <f>_xlfn.XLOOKUP(A5813,'[1]Tissue Data'!$A:$A,'[1]Tissue Data'!L:L)</f>
        <v>3.83</v>
      </c>
      <c r="J5813">
        <f>_xlfn.XLOOKUP(A5813,'[1]Tissue Data'!$A:$A,'[1]Tissue Data'!M:M)</f>
        <v>1.34</v>
      </c>
      <c r="K5813" t="s">
        <v>23</v>
      </c>
      <c r="L5813" t="str">
        <f>_xlfn.XLOOKUP(K5813,[2]analyte_order!$B:$B,[2]analyte_order!$C:$C)</f>
        <v>67905-19-5</v>
      </c>
      <c r="M5813">
        <f>_xlfn.XLOOKUP(L5813,[2]analyte_order!$C:$C,[2]analyte_order!$E:$E)</f>
        <v>12</v>
      </c>
      <c r="N5813">
        <v>0.1515</v>
      </c>
    </row>
    <row r="5814" spans="1:14">
      <c r="A5814" t="s">
        <v>163</v>
      </c>
      <c r="B5814" t="str">
        <f>_xlfn.XLOOKUP(A5814,'[1]Tissue Data'!$A:$A,'[1]Tissue Data'!$C:$C)</f>
        <v>Spill</v>
      </c>
      <c r="C5814" s="2">
        <f>_xlfn.XLOOKUP(A5814,'[1]Tissue Data'!$A:$A,'[1]Tissue Data'!$D:$D)</f>
        <v>44393</v>
      </c>
      <c r="D5814" s="2" t="s">
        <v>122</v>
      </c>
      <c r="E5814" t="str">
        <f>_xlfn.XLOOKUP(A5814,'[1]Tissue Data'!$A:$A,'[1]Tissue Data'!$H:$H)</f>
        <v>Etheostoma</v>
      </c>
      <c r="F5814" t="str">
        <f>_xlfn.XLOOKUP(A5814,'[1]Tissue Data'!$A:$A,'[1]Tissue Data'!$I:$I)</f>
        <v>olmstedi</v>
      </c>
      <c r="G5814" t="str">
        <f>_xlfn.XLOOKUP(A5814,'[1]Tissue Data'!$A:$A,'[1]Tissue Data'!J:J)</f>
        <v>U</v>
      </c>
      <c r="H5814" t="str">
        <f>_xlfn.XLOOKUP(A5814,'[1]Tissue Data'!$A:$A,'[1]Tissue Data'!K:K)</f>
        <v>Whole Body</v>
      </c>
      <c r="I5814">
        <f>_xlfn.XLOOKUP(A5814,'[1]Tissue Data'!$A:$A,'[1]Tissue Data'!L:L)</f>
        <v>3.83</v>
      </c>
      <c r="J5814">
        <f>_xlfn.XLOOKUP(A5814,'[1]Tissue Data'!$A:$A,'[1]Tissue Data'!M:M)</f>
        <v>1.34</v>
      </c>
      <c r="K5814" t="s">
        <v>24</v>
      </c>
      <c r="L5814" t="str">
        <f>_xlfn.XLOOKUP(K5814,[2]analyte_order!$B:$B,[2]analyte_order!$C:$C)</f>
        <v>423-41-6</v>
      </c>
      <c r="M5814">
        <f>_xlfn.XLOOKUP(L5814,[2]analyte_order!$C:$C,[2]analyte_order!$E:$E)</f>
        <v>53</v>
      </c>
      <c r="N5814">
        <v>0.127</v>
      </c>
    </row>
    <row r="5815" spans="1:14">
      <c r="A5815" t="s">
        <v>163</v>
      </c>
      <c r="B5815" t="str">
        <f>_xlfn.XLOOKUP(A5815,'[1]Tissue Data'!$A:$A,'[1]Tissue Data'!$C:$C)</f>
        <v>Spill</v>
      </c>
      <c r="C5815" s="2">
        <f>_xlfn.XLOOKUP(A5815,'[1]Tissue Data'!$A:$A,'[1]Tissue Data'!$D:$D)</f>
        <v>44393</v>
      </c>
      <c r="D5815" s="2" t="s">
        <v>122</v>
      </c>
      <c r="E5815" t="str">
        <f>_xlfn.XLOOKUP(A5815,'[1]Tissue Data'!$A:$A,'[1]Tissue Data'!$H:$H)</f>
        <v>Etheostoma</v>
      </c>
      <c r="F5815" t="str">
        <f>_xlfn.XLOOKUP(A5815,'[1]Tissue Data'!$A:$A,'[1]Tissue Data'!$I:$I)</f>
        <v>olmstedi</v>
      </c>
      <c r="G5815" t="str">
        <f>_xlfn.XLOOKUP(A5815,'[1]Tissue Data'!$A:$A,'[1]Tissue Data'!J:J)</f>
        <v>U</v>
      </c>
      <c r="H5815" t="str">
        <f>_xlfn.XLOOKUP(A5815,'[1]Tissue Data'!$A:$A,'[1]Tissue Data'!K:K)</f>
        <v>Whole Body</v>
      </c>
      <c r="I5815">
        <f>_xlfn.XLOOKUP(A5815,'[1]Tissue Data'!$A:$A,'[1]Tissue Data'!L:L)</f>
        <v>3.83</v>
      </c>
      <c r="J5815">
        <f>_xlfn.XLOOKUP(A5815,'[1]Tissue Data'!$A:$A,'[1]Tissue Data'!M:M)</f>
        <v>1.34</v>
      </c>
      <c r="K5815" t="s">
        <v>25</v>
      </c>
      <c r="L5815" t="str">
        <f>_xlfn.XLOOKUP(K5815,[2]analyte_order!$B:$B,[2]analyte_order!$C:$C)</f>
        <v>375-73-5</v>
      </c>
      <c r="M5815">
        <f>_xlfn.XLOOKUP(L5815,[2]analyte_order!$C:$C,[2]analyte_order!$E:$E)</f>
        <v>14</v>
      </c>
      <c r="N5815">
        <v>0.254</v>
      </c>
    </row>
    <row r="5816" spans="1:14">
      <c r="A5816" t="s">
        <v>163</v>
      </c>
      <c r="B5816" t="str">
        <f>_xlfn.XLOOKUP(A5816,'[1]Tissue Data'!$A:$A,'[1]Tissue Data'!$C:$C)</f>
        <v>Spill</v>
      </c>
      <c r="C5816" s="2">
        <f>_xlfn.XLOOKUP(A5816,'[1]Tissue Data'!$A:$A,'[1]Tissue Data'!$D:$D)</f>
        <v>44393</v>
      </c>
      <c r="D5816" s="2" t="s">
        <v>122</v>
      </c>
      <c r="E5816" t="str">
        <f>_xlfn.XLOOKUP(A5816,'[1]Tissue Data'!$A:$A,'[1]Tissue Data'!$H:$H)</f>
        <v>Etheostoma</v>
      </c>
      <c r="F5816" t="str">
        <f>_xlfn.XLOOKUP(A5816,'[1]Tissue Data'!$A:$A,'[1]Tissue Data'!$I:$I)</f>
        <v>olmstedi</v>
      </c>
      <c r="G5816" t="str">
        <f>_xlfn.XLOOKUP(A5816,'[1]Tissue Data'!$A:$A,'[1]Tissue Data'!J:J)</f>
        <v>U</v>
      </c>
      <c r="H5816" t="str">
        <f>_xlfn.XLOOKUP(A5816,'[1]Tissue Data'!$A:$A,'[1]Tissue Data'!K:K)</f>
        <v>Whole Body</v>
      </c>
      <c r="I5816">
        <f>_xlfn.XLOOKUP(A5816,'[1]Tissue Data'!$A:$A,'[1]Tissue Data'!L:L)</f>
        <v>3.83</v>
      </c>
      <c r="J5816">
        <f>_xlfn.XLOOKUP(A5816,'[1]Tissue Data'!$A:$A,'[1]Tissue Data'!M:M)</f>
        <v>1.34</v>
      </c>
      <c r="K5816" t="s">
        <v>26</v>
      </c>
      <c r="L5816" t="str">
        <f>_xlfn.XLOOKUP(K5816,[2]analyte_order!$B:$B,[2]analyte_order!$C:$C)</f>
        <v>2706-91-4</v>
      </c>
      <c r="M5816">
        <f>_xlfn.XLOOKUP(L5816,[2]analyte_order!$C:$C,[2]analyte_order!$E:$E)</f>
        <v>15</v>
      </c>
      <c r="N5816">
        <v>0.32400000000000001</v>
      </c>
    </row>
    <row r="5817" spans="1:14">
      <c r="A5817" t="s">
        <v>163</v>
      </c>
      <c r="B5817" t="str">
        <f>_xlfn.XLOOKUP(A5817,'[1]Tissue Data'!$A:$A,'[1]Tissue Data'!$C:$C)</f>
        <v>Spill</v>
      </c>
      <c r="C5817" s="2">
        <f>_xlfn.XLOOKUP(A5817,'[1]Tissue Data'!$A:$A,'[1]Tissue Data'!$D:$D)</f>
        <v>44393</v>
      </c>
      <c r="D5817" s="2" t="s">
        <v>122</v>
      </c>
      <c r="E5817" t="str">
        <f>_xlfn.XLOOKUP(A5817,'[1]Tissue Data'!$A:$A,'[1]Tissue Data'!$H:$H)</f>
        <v>Etheostoma</v>
      </c>
      <c r="F5817" t="str">
        <f>_xlfn.XLOOKUP(A5817,'[1]Tissue Data'!$A:$A,'[1]Tissue Data'!$I:$I)</f>
        <v>olmstedi</v>
      </c>
      <c r="G5817" t="str">
        <f>_xlfn.XLOOKUP(A5817,'[1]Tissue Data'!$A:$A,'[1]Tissue Data'!J:J)</f>
        <v>U</v>
      </c>
      <c r="H5817" t="str">
        <f>_xlfn.XLOOKUP(A5817,'[1]Tissue Data'!$A:$A,'[1]Tissue Data'!K:K)</f>
        <v>Whole Body</v>
      </c>
      <c r="I5817">
        <f>_xlfn.XLOOKUP(A5817,'[1]Tissue Data'!$A:$A,'[1]Tissue Data'!L:L)</f>
        <v>3.83</v>
      </c>
      <c r="J5817">
        <f>_xlfn.XLOOKUP(A5817,'[1]Tissue Data'!$A:$A,'[1]Tissue Data'!M:M)</f>
        <v>1.34</v>
      </c>
      <c r="K5817" t="s">
        <v>27</v>
      </c>
      <c r="L5817" t="str">
        <f>_xlfn.XLOOKUP(K5817,[2]analyte_order!$B:$B,[2]analyte_order!$C:$C)</f>
        <v>355-46-4</v>
      </c>
      <c r="M5817">
        <f>_xlfn.XLOOKUP(L5817,[2]analyte_order!$C:$C,[2]analyte_order!$E:$E)</f>
        <v>16</v>
      </c>
      <c r="N5817">
        <v>44.4</v>
      </c>
    </row>
    <row r="5818" spans="1:14">
      <c r="A5818" t="s">
        <v>163</v>
      </c>
      <c r="B5818" t="str">
        <f>_xlfn.XLOOKUP(A5818,'[1]Tissue Data'!$A:$A,'[1]Tissue Data'!$C:$C)</f>
        <v>Spill</v>
      </c>
      <c r="C5818" s="2">
        <f>_xlfn.XLOOKUP(A5818,'[1]Tissue Data'!$A:$A,'[1]Tissue Data'!$D:$D)</f>
        <v>44393</v>
      </c>
      <c r="D5818" s="2" t="s">
        <v>122</v>
      </c>
      <c r="E5818" t="str">
        <f>_xlfn.XLOOKUP(A5818,'[1]Tissue Data'!$A:$A,'[1]Tissue Data'!$H:$H)</f>
        <v>Etheostoma</v>
      </c>
      <c r="F5818" t="str">
        <f>_xlfn.XLOOKUP(A5818,'[1]Tissue Data'!$A:$A,'[1]Tissue Data'!$I:$I)</f>
        <v>olmstedi</v>
      </c>
      <c r="G5818" t="str">
        <f>_xlfn.XLOOKUP(A5818,'[1]Tissue Data'!$A:$A,'[1]Tissue Data'!J:J)</f>
        <v>U</v>
      </c>
      <c r="H5818" t="str">
        <f>_xlfn.XLOOKUP(A5818,'[1]Tissue Data'!$A:$A,'[1]Tissue Data'!K:K)</f>
        <v>Whole Body</v>
      </c>
      <c r="I5818">
        <f>_xlfn.XLOOKUP(A5818,'[1]Tissue Data'!$A:$A,'[1]Tissue Data'!L:L)</f>
        <v>3.83</v>
      </c>
      <c r="J5818">
        <f>_xlfn.XLOOKUP(A5818,'[1]Tissue Data'!$A:$A,'[1]Tissue Data'!M:M)</f>
        <v>1.34</v>
      </c>
      <c r="K5818" t="s">
        <v>28</v>
      </c>
      <c r="L5818" t="str">
        <f>_xlfn.XLOOKUP(K5818,[2]analyte_order!$B:$B,[2]analyte_order!$C:$C)</f>
        <v>375-92-8</v>
      </c>
      <c r="M5818">
        <f>_xlfn.XLOOKUP(L5818,[2]analyte_order!$C:$C,[2]analyte_order!$E:$E)</f>
        <v>17</v>
      </c>
      <c r="N5818">
        <v>5.91</v>
      </c>
    </row>
    <row r="5819" spans="1:14">
      <c r="A5819" t="s">
        <v>163</v>
      </c>
      <c r="B5819" t="str">
        <f>_xlfn.XLOOKUP(A5819,'[1]Tissue Data'!$A:$A,'[1]Tissue Data'!$C:$C)</f>
        <v>Spill</v>
      </c>
      <c r="C5819" s="2">
        <f>_xlfn.XLOOKUP(A5819,'[1]Tissue Data'!$A:$A,'[1]Tissue Data'!$D:$D)</f>
        <v>44393</v>
      </c>
      <c r="D5819" s="2" t="s">
        <v>122</v>
      </c>
      <c r="E5819" t="str">
        <f>_xlfn.XLOOKUP(A5819,'[1]Tissue Data'!$A:$A,'[1]Tissue Data'!$H:$H)</f>
        <v>Etheostoma</v>
      </c>
      <c r="F5819" t="str">
        <f>_xlfn.XLOOKUP(A5819,'[1]Tissue Data'!$A:$A,'[1]Tissue Data'!$I:$I)</f>
        <v>olmstedi</v>
      </c>
      <c r="G5819" t="str">
        <f>_xlfn.XLOOKUP(A5819,'[1]Tissue Data'!$A:$A,'[1]Tissue Data'!J:J)</f>
        <v>U</v>
      </c>
      <c r="H5819" t="str">
        <f>_xlfn.XLOOKUP(A5819,'[1]Tissue Data'!$A:$A,'[1]Tissue Data'!K:K)</f>
        <v>Whole Body</v>
      </c>
      <c r="I5819">
        <f>_xlfn.XLOOKUP(A5819,'[1]Tissue Data'!$A:$A,'[1]Tissue Data'!L:L)</f>
        <v>3.83</v>
      </c>
      <c r="J5819">
        <f>_xlfn.XLOOKUP(A5819,'[1]Tissue Data'!$A:$A,'[1]Tissue Data'!M:M)</f>
        <v>1.34</v>
      </c>
      <c r="K5819" t="s">
        <v>29</v>
      </c>
      <c r="L5819" t="str">
        <f>_xlfn.XLOOKUP(K5819,[2]analyte_order!$B:$B,[2]analyte_order!$C:$C)</f>
        <v>1763-23-1</v>
      </c>
      <c r="M5819">
        <f>_xlfn.XLOOKUP(L5819,[2]analyte_order!$C:$C,[2]analyte_order!$E:$E)</f>
        <v>18</v>
      </c>
      <c r="N5819">
        <v>662</v>
      </c>
    </row>
    <row r="5820" spans="1:14">
      <c r="A5820" t="s">
        <v>163</v>
      </c>
      <c r="B5820" t="str">
        <f>_xlfn.XLOOKUP(A5820,'[1]Tissue Data'!$A:$A,'[1]Tissue Data'!$C:$C)</f>
        <v>Spill</v>
      </c>
      <c r="C5820" s="2">
        <f>_xlfn.XLOOKUP(A5820,'[1]Tissue Data'!$A:$A,'[1]Tissue Data'!$D:$D)</f>
        <v>44393</v>
      </c>
      <c r="D5820" s="2" t="s">
        <v>122</v>
      </c>
      <c r="E5820" t="str">
        <f>_xlfn.XLOOKUP(A5820,'[1]Tissue Data'!$A:$A,'[1]Tissue Data'!$H:$H)</f>
        <v>Etheostoma</v>
      </c>
      <c r="F5820" t="str">
        <f>_xlfn.XLOOKUP(A5820,'[1]Tissue Data'!$A:$A,'[1]Tissue Data'!$I:$I)</f>
        <v>olmstedi</v>
      </c>
      <c r="G5820" t="str">
        <f>_xlfn.XLOOKUP(A5820,'[1]Tissue Data'!$A:$A,'[1]Tissue Data'!J:J)</f>
        <v>U</v>
      </c>
      <c r="H5820" t="str">
        <f>_xlfn.XLOOKUP(A5820,'[1]Tissue Data'!$A:$A,'[1]Tissue Data'!K:K)</f>
        <v>Whole Body</v>
      </c>
      <c r="I5820">
        <f>_xlfn.XLOOKUP(A5820,'[1]Tissue Data'!$A:$A,'[1]Tissue Data'!L:L)</f>
        <v>3.83</v>
      </c>
      <c r="J5820">
        <f>_xlfn.XLOOKUP(A5820,'[1]Tissue Data'!$A:$A,'[1]Tissue Data'!M:M)</f>
        <v>1.34</v>
      </c>
      <c r="K5820" t="s">
        <v>30</v>
      </c>
      <c r="L5820" t="str">
        <f>_xlfn.XLOOKUP(K5820,[2]analyte_order!$B:$B,[2]analyte_order!$C:$C)</f>
        <v>68259-12-1</v>
      </c>
      <c r="M5820">
        <f>_xlfn.XLOOKUP(L5820,[2]analyte_order!$C:$C,[2]analyte_order!$E:$E)</f>
        <v>19</v>
      </c>
      <c r="N5820">
        <v>1.48</v>
      </c>
    </row>
    <row r="5821" spans="1:14">
      <c r="A5821" t="s">
        <v>163</v>
      </c>
      <c r="B5821" t="str">
        <f>_xlfn.XLOOKUP(A5821,'[1]Tissue Data'!$A:$A,'[1]Tissue Data'!$C:$C)</f>
        <v>Spill</v>
      </c>
      <c r="C5821" s="2">
        <f>_xlfn.XLOOKUP(A5821,'[1]Tissue Data'!$A:$A,'[1]Tissue Data'!$D:$D)</f>
        <v>44393</v>
      </c>
      <c r="D5821" s="2" t="s">
        <v>122</v>
      </c>
      <c r="E5821" t="str">
        <f>_xlfn.XLOOKUP(A5821,'[1]Tissue Data'!$A:$A,'[1]Tissue Data'!$H:$H)</f>
        <v>Etheostoma</v>
      </c>
      <c r="F5821" t="str">
        <f>_xlfn.XLOOKUP(A5821,'[1]Tissue Data'!$A:$A,'[1]Tissue Data'!$I:$I)</f>
        <v>olmstedi</v>
      </c>
      <c r="G5821" t="str">
        <f>_xlfn.XLOOKUP(A5821,'[1]Tissue Data'!$A:$A,'[1]Tissue Data'!J:J)</f>
        <v>U</v>
      </c>
      <c r="H5821" t="str">
        <f>_xlfn.XLOOKUP(A5821,'[1]Tissue Data'!$A:$A,'[1]Tissue Data'!K:K)</f>
        <v>Whole Body</v>
      </c>
      <c r="I5821">
        <f>_xlfn.XLOOKUP(A5821,'[1]Tissue Data'!$A:$A,'[1]Tissue Data'!L:L)</f>
        <v>3.83</v>
      </c>
      <c r="J5821">
        <f>_xlfn.XLOOKUP(A5821,'[1]Tissue Data'!$A:$A,'[1]Tissue Data'!M:M)</f>
        <v>1.34</v>
      </c>
      <c r="K5821" t="s">
        <v>31</v>
      </c>
      <c r="L5821" t="str">
        <f>_xlfn.XLOOKUP(K5821,[2]analyte_order!$B:$B,[2]analyte_order!$C:$C)</f>
        <v>335-77-3</v>
      </c>
      <c r="M5821">
        <f>_xlfn.XLOOKUP(L5821,[2]analyte_order!$C:$C,[2]analyte_order!$E:$E)</f>
        <v>20</v>
      </c>
      <c r="N5821">
        <v>0.70899999999999996</v>
      </c>
    </row>
    <row r="5822" spans="1:14">
      <c r="A5822" t="s">
        <v>163</v>
      </c>
      <c r="B5822" t="str">
        <f>_xlfn.XLOOKUP(A5822,'[1]Tissue Data'!$A:$A,'[1]Tissue Data'!$C:$C)</f>
        <v>Spill</v>
      </c>
      <c r="C5822" s="2">
        <f>_xlfn.XLOOKUP(A5822,'[1]Tissue Data'!$A:$A,'[1]Tissue Data'!$D:$D)</f>
        <v>44393</v>
      </c>
      <c r="D5822" s="2" t="s">
        <v>122</v>
      </c>
      <c r="E5822" t="str">
        <f>_xlfn.XLOOKUP(A5822,'[1]Tissue Data'!$A:$A,'[1]Tissue Data'!$H:$H)</f>
        <v>Etheostoma</v>
      </c>
      <c r="F5822" t="str">
        <f>_xlfn.XLOOKUP(A5822,'[1]Tissue Data'!$A:$A,'[1]Tissue Data'!$I:$I)</f>
        <v>olmstedi</v>
      </c>
      <c r="G5822" t="str">
        <f>_xlfn.XLOOKUP(A5822,'[1]Tissue Data'!$A:$A,'[1]Tissue Data'!J:J)</f>
        <v>U</v>
      </c>
      <c r="H5822" t="str">
        <f>_xlfn.XLOOKUP(A5822,'[1]Tissue Data'!$A:$A,'[1]Tissue Data'!K:K)</f>
        <v>Whole Body</v>
      </c>
      <c r="I5822">
        <f>_xlfn.XLOOKUP(A5822,'[1]Tissue Data'!$A:$A,'[1]Tissue Data'!L:L)</f>
        <v>3.83</v>
      </c>
      <c r="J5822">
        <f>_xlfn.XLOOKUP(A5822,'[1]Tissue Data'!$A:$A,'[1]Tissue Data'!M:M)</f>
        <v>1.34</v>
      </c>
      <c r="K5822" t="s">
        <v>32</v>
      </c>
      <c r="L5822" t="str">
        <f>_xlfn.XLOOKUP(K5822,[2]analyte_order!$B:$B,[2]analyte_order!$C:$C)</f>
        <v>79780-39-5</v>
      </c>
      <c r="M5822">
        <f>_xlfn.XLOOKUP(L5822,[2]analyte_order!$C:$C,[2]analyte_order!$E:$E)</f>
        <v>21</v>
      </c>
      <c r="N5822">
        <v>0.27200000000000002</v>
      </c>
    </row>
    <row r="5823" spans="1:14">
      <c r="A5823" t="s">
        <v>163</v>
      </c>
      <c r="B5823" t="str">
        <f>_xlfn.XLOOKUP(A5823,'[1]Tissue Data'!$A:$A,'[1]Tissue Data'!$C:$C)</f>
        <v>Spill</v>
      </c>
      <c r="C5823" s="2">
        <f>_xlfn.XLOOKUP(A5823,'[1]Tissue Data'!$A:$A,'[1]Tissue Data'!$D:$D)</f>
        <v>44393</v>
      </c>
      <c r="D5823" s="2" t="s">
        <v>122</v>
      </c>
      <c r="E5823" t="str">
        <f>_xlfn.XLOOKUP(A5823,'[1]Tissue Data'!$A:$A,'[1]Tissue Data'!$H:$H)</f>
        <v>Etheostoma</v>
      </c>
      <c r="F5823" t="str">
        <f>_xlfn.XLOOKUP(A5823,'[1]Tissue Data'!$A:$A,'[1]Tissue Data'!$I:$I)</f>
        <v>olmstedi</v>
      </c>
      <c r="G5823" t="str">
        <f>_xlfn.XLOOKUP(A5823,'[1]Tissue Data'!$A:$A,'[1]Tissue Data'!J:J)</f>
        <v>U</v>
      </c>
      <c r="H5823" t="str">
        <f>_xlfn.XLOOKUP(A5823,'[1]Tissue Data'!$A:$A,'[1]Tissue Data'!K:K)</f>
        <v>Whole Body</v>
      </c>
      <c r="I5823">
        <f>_xlfn.XLOOKUP(A5823,'[1]Tissue Data'!$A:$A,'[1]Tissue Data'!L:L)</f>
        <v>3.83</v>
      </c>
      <c r="J5823">
        <f>_xlfn.XLOOKUP(A5823,'[1]Tissue Data'!$A:$A,'[1]Tissue Data'!M:M)</f>
        <v>1.34</v>
      </c>
      <c r="K5823" t="s">
        <v>33</v>
      </c>
      <c r="L5823" t="str">
        <f>_xlfn.XLOOKUP(K5823,[2]analyte_order!$B:$B,[2]analyte_order!$C:$C)</f>
        <v>777011-38-8</v>
      </c>
      <c r="M5823">
        <f>_xlfn.XLOOKUP(L5823,[2]analyte_order!$C:$C,[2]analyte_order!$E:$E)</f>
        <v>54</v>
      </c>
      <c r="N5823">
        <v>0.1545</v>
      </c>
    </row>
    <row r="5824" spans="1:14">
      <c r="A5824" t="s">
        <v>163</v>
      </c>
      <c r="B5824" t="str">
        <f>_xlfn.XLOOKUP(A5824,'[1]Tissue Data'!$A:$A,'[1]Tissue Data'!$C:$C)</f>
        <v>Spill</v>
      </c>
      <c r="C5824" s="2">
        <f>_xlfn.XLOOKUP(A5824,'[1]Tissue Data'!$A:$A,'[1]Tissue Data'!$D:$D)</f>
        <v>44393</v>
      </c>
      <c r="D5824" s="2" t="s">
        <v>122</v>
      </c>
      <c r="E5824" t="str">
        <f>_xlfn.XLOOKUP(A5824,'[1]Tissue Data'!$A:$A,'[1]Tissue Data'!$H:$H)</f>
        <v>Etheostoma</v>
      </c>
      <c r="F5824" t="str">
        <f>_xlfn.XLOOKUP(A5824,'[1]Tissue Data'!$A:$A,'[1]Tissue Data'!$I:$I)</f>
        <v>olmstedi</v>
      </c>
      <c r="G5824" t="str">
        <f>_xlfn.XLOOKUP(A5824,'[1]Tissue Data'!$A:$A,'[1]Tissue Data'!J:J)</f>
        <v>U</v>
      </c>
      <c r="H5824" t="str">
        <f>_xlfn.XLOOKUP(A5824,'[1]Tissue Data'!$A:$A,'[1]Tissue Data'!K:K)</f>
        <v>Whole Body</v>
      </c>
      <c r="I5824">
        <f>_xlfn.XLOOKUP(A5824,'[1]Tissue Data'!$A:$A,'[1]Tissue Data'!L:L)</f>
        <v>3.83</v>
      </c>
      <c r="J5824">
        <f>_xlfn.XLOOKUP(A5824,'[1]Tissue Data'!$A:$A,'[1]Tissue Data'!M:M)</f>
        <v>1.34</v>
      </c>
      <c r="K5824" t="s">
        <v>34</v>
      </c>
      <c r="L5824" t="str">
        <f>_xlfn.XLOOKUP(K5824,[2]analyte_order!$B:$B,[2]analyte_order!$C:$C)</f>
        <v>646-83-3</v>
      </c>
      <c r="M5824">
        <f>_xlfn.XLOOKUP(L5824,[2]analyte_order!$C:$C,[2]analyte_order!$E:$E)</f>
        <v>55</v>
      </c>
      <c r="N5824">
        <v>0.47199999999999998</v>
      </c>
    </row>
    <row r="5825" spans="1:14">
      <c r="A5825" t="s">
        <v>163</v>
      </c>
      <c r="B5825" t="str">
        <f>_xlfn.XLOOKUP(A5825,'[1]Tissue Data'!$A:$A,'[1]Tissue Data'!$C:$C)</f>
        <v>Spill</v>
      </c>
      <c r="C5825" s="2">
        <f>_xlfn.XLOOKUP(A5825,'[1]Tissue Data'!$A:$A,'[1]Tissue Data'!$D:$D)</f>
        <v>44393</v>
      </c>
      <c r="D5825" s="2" t="s">
        <v>122</v>
      </c>
      <c r="E5825" t="str">
        <f>_xlfn.XLOOKUP(A5825,'[1]Tissue Data'!$A:$A,'[1]Tissue Data'!$H:$H)</f>
        <v>Etheostoma</v>
      </c>
      <c r="F5825" t="str">
        <f>_xlfn.XLOOKUP(A5825,'[1]Tissue Data'!$A:$A,'[1]Tissue Data'!$I:$I)</f>
        <v>olmstedi</v>
      </c>
      <c r="G5825" t="str">
        <f>_xlfn.XLOOKUP(A5825,'[1]Tissue Data'!$A:$A,'[1]Tissue Data'!J:J)</f>
        <v>U</v>
      </c>
      <c r="H5825" t="str">
        <f>_xlfn.XLOOKUP(A5825,'[1]Tissue Data'!$A:$A,'[1]Tissue Data'!K:K)</f>
        <v>Whole Body</v>
      </c>
      <c r="I5825">
        <f>_xlfn.XLOOKUP(A5825,'[1]Tissue Data'!$A:$A,'[1]Tissue Data'!L:L)</f>
        <v>3.83</v>
      </c>
      <c r="J5825">
        <f>_xlfn.XLOOKUP(A5825,'[1]Tissue Data'!$A:$A,'[1]Tissue Data'!M:M)</f>
        <v>1.34</v>
      </c>
      <c r="K5825" t="s">
        <v>35</v>
      </c>
      <c r="L5825" t="str">
        <f>_xlfn.XLOOKUP(K5825,[2]analyte_order!$B:$B,[2]analyte_order!$C:$C)</f>
        <v>30334-69-1</v>
      </c>
      <c r="M5825">
        <f>_xlfn.XLOOKUP(L5825,[2]analyte_order!$C:$C,[2]analyte_order!$E:$E)</f>
        <v>51</v>
      </c>
      <c r="N5825">
        <v>12.5</v>
      </c>
    </row>
    <row r="5826" spans="1:14">
      <c r="A5826" t="s">
        <v>163</v>
      </c>
      <c r="B5826" t="str">
        <f>_xlfn.XLOOKUP(A5826,'[1]Tissue Data'!$A:$A,'[1]Tissue Data'!$C:$C)</f>
        <v>Spill</v>
      </c>
      <c r="C5826" s="2">
        <f>_xlfn.XLOOKUP(A5826,'[1]Tissue Data'!$A:$A,'[1]Tissue Data'!$D:$D)</f>
        <v>44393</v>
      </c>
      <c r="D5826" s="2" t="s">
        <v>122</v>
      </c>
      <c r="E5826" t="str">
        <f>_xlfn.XLOOKUP(A5826,'[1]Tissue Data'!$A:$A,'[1]Tissue Data'!$H:$H)</f>
        <v>Etheostoma</v>
      </c>
      <c r="F5826" t="str">
        <f>_xlfn.XLOOKUP(A5826,'[1]Tissue Data'!$A:$A,'[1]Tissue Data'!$I:$I)</f>
        <v>olmstedi</v>
      </c>
      <c r="G5826" t="str">
        <f>_xlfn.XLOOKUP(A5826,'[1]Tissue Data'!$A:$A,'[1]Tissue Data'!J:J)</f>
        <v>U</v>
      </c>
      <c r="H5826" t="str">
        <f>_xlfn.XLOOKUP(A5826,'[1]Tissue Data'!$A:$A,'[1]Tissue Data'!K:K)</f>
        <v>Whole Body</v>
      </c>
      <c r="I5826">
        <f>_xlfn.XLOOKUP(A5826,'[1]Tissue Data'!$A:$A,'[1]Tissue Data'!L:L)</f>
        <v>3.83</v>
      </c>
      <c r="J5826">
        <f>_xlfn.XLOOKUP(A5826,'[1]Tissue Data'!$A:$A,'[1]Tissue Data'!M:M)</f>
        <v>1.34</v>
      </c>
      <c r="K5826" t="s">
        <v>36</v>
      </c>
      <c r="L5826" t="str">
        <f>_xlfn.XLOOKUP(K5826,[2]analyte_order!$B:$B,[2]analyte_order!$C:$C)</f>
        <v>41997-13-1</v>
      </c>
      <c r="M5826">
        <f>_xlfn.XLOOKUP(L5826,[2]analyte_order!$C:$C,[2]analyte_order!$E:$E)</f>
        <v>52</v>
      </c>
      <c r="N5826">
        <v>75.900000000000006</v>
      </c>
    </row>
    <row r="5827" spans="1:14">
      <c r="A5827" t="s">
        <v>163</v>
      </c>
      <c r="B5827" t="str">
        <f>_xlfn.XLOOKUP(A5827,'[1]Tissue Data'!$A:$A,'[1]Tissue Data'!$C:$C)</f>
        <v>Spill</v>
      </c>
      <c r="C5827" s="2">
        <f>_xlfn.XLOOKUP(A5827,'[1]Tissue Data'!$A:$A,'[1]Tissue Data'!$D:$D)</f>
        <v>44393</v>
      </c>
      <c r="D5827" s="2" t="s">
        <v>122</v>
      </c>
      <c r="E5827" t="str">
        <f>_xlfn.XLOOKUP(A5827,'[1]Tissue Data'!$A:$A,'[1]Tissue Data'!$H:$H)</f>
        <v>Etheostoma</v>
      </c>
      <c r="F5827" t="str">
        <f>_xlfn.XLOOKUP(A5827,'[1]Tissue Data'!$A:$A,'[1]Tissue Data'!$I:$I)</f>
        <v>olmstedi</v>
      </c>
      <c r="G5827" t="str">
        <f>_xlfn.XLOOKUP(A5827,'[1]Tissue Data'!$A:$A,'[1]Tissue Data'!J:J)</f>
        <v>U</v>
      </c>
      <c r="H5827" t="str">
        <f>_xlfn.XLOOKUP(A5827,'[1]Tissue Data'!$A:$A,'[1]Tissue Data'!K:K)</f>
        <v>Whole Body</v>
      </c>
      <c r="I5827">
        <f>_xlfn.XLOOKUP(A5827,'[1]Tissue Data'!$A:$A,'[1]Tissue Data'!L:L)</f>
        <v>3.83</v>
      </c>
      <c r="J5827">
        <f>_xlfn.XLOOKUP(A5827,'[1]Tissue Data'!$A:$A,'[1]Tissue Data'!M:M)</f>
        <v>1.34</v>
      </c>
      <c r="K5827" t="s">
        <v>37</v>
      </c>
      <c r="L5827" t="str">
        <f>_xlfn.XLOOKUP(K5827,[2]analyte_order!$B:$B,[2]analyte_order!$C:$C)</f>
        <v>754-91-6</v>
      </c>
      <c r="M5827">
        <f>_xlfn.XLOOKUP(L5827,[2]analyte_order!$C:$C,[2]analyte_order!$E:$E)</f>
        <v>28</v>
      </c>
      <c r="N5827">
        <v>11.2</v>
      </c>
    </row>
    <row r="5828" spans="1:14">
      <c r="A5828" t="s">
        <v>163</v>
      </c>
      <c r="B5828" t="str">
        <f>_xlfn.XLOOKUP(A5828,'[1]Tissue Data'!$A:$A,'[1]Tissue Data'!$C:$C)</f>
        <v>Spill</v>
      </c>
      <c r="C5828" s="2">
        <f>_xlfn.XLOOKUP(A5828,'[1]Tissue Data'!$A:$A,'[1]Tissue Data'!$D:$D)</f>
        <v>44393</v>
      </c>
      <c r="D5828" s="2" t="s">
        <v>122</v>
      </c>
      <c r="E5828" t="str">
        <f>_xlfn.XLOOKUP(A5828,'[1]Tissue Data'!$A:$A,'[1]Tissue Data'!$H:$H)</f>
        <v>Etheostoma</v>
      </c>
      <c r="F5828" t="str">
        <f>_xlfn.XLOOKUP(A5828,'[1]Tissue Data'!$A:$A,'[1]Tissue Data'!$I:$I)</f>
        <v>olmstedi</v>
      </c>
      <c r="G5828" t="str">
        <f>_xlfn.XLOOKUP(A5828,'[1]Tissue Data'!$A:$A,'[1]Tissue Data'!J:J)</f>
        <v>U</v>
      </c>
      <c r="H5828" t="str">
        <f>_xlfn.XLOOKUP(A5828,'[1]Tissue Data'!$A:$A,'[1]Tissue Data'!K:K)</f>
        <v>Whole Body</v>
      </c>
      <c r="I5828">
        <f>_xlfn.XLOOKUP(A5828,'[1]Tissue Data'!$A:$A,'[1]Tissue Data'!L:L)</f>
        <v>3.83</v>
      </c>
      <c r="J5828">
        <f>_xlfn.XLOOKUP(A5828,'[1]Tissue Data'!$A:$A,'[1]Tissue Data'!M:M)</f>
        <v>1.34</v>
      </c>
      <c r="K5828" t="s">
        <v>38</v>
      </c>
      <c r="L5828" t="str">
        <f>_xlfn.XLOOKUP(K5828,[2]analyte_order!$B:$B,[2]analyte_order!$C:$C)</f>
        <v>31506-32-8</v>
      </c>
      <c r="M5828">
        <f>_xlfn.XLOOKUP(L5828,[2]analyte_order!$C:$C,[2]analyte_order!$E:$E)</f>
        <v>30</v>
      </c>
      <c r="N5828">
        <v>9.8000000000000004E-2</v>
      </c>
    </row>
    <row r="5829" spans="1:14">
      <c r="A5829" t="s">
        <v>163</v>
      </c>
      <c r="B5829" t="str">
        <f>_xlfn.XLOOKUP(A5829,'[1]Tissue Data'!$A:$A,'[1]Tissue Data'!$C:$C)</f>
        <v>Spill</v>
      </c>
      <c r="C5829" s="2">
        <f>_xlfn.XLOOKUP(A5829,'[1]Tissue Data'!$A:$A,'[1]Tissue Data'!$D:$D)</f>
        <v>44393</v>
      </c>
      <c r="D5829" s="2" t="s">
        <v>122</v>
      </c>
      <c r="E5829" t="str">
        <f>_xlfn.XLOOKUP(A5829,'[1]Tissue Data'!$A:$A,'[1]Tissue Data'!$H:$H)</f>
        <v>Etheostoma</v>
      </c>
      <c r="F5829" t="str">
        <f>_xlfn.XLOOKUP(A5829,'[1]Tissue Data'!$A:$A,'[1]Tissue Data'!$I:$I)</f>
        <v>olmstedi</v>
      </c>
      <c r="G5829" t="str">
        <f>_xlfn.XLOOKUP(A5829,'[1]Tissue Data'!$A:$A,'[1]Tissue Data'!J:J)</f>
        <v>U</v>
      </c>
      <c r="H5829" t="str">
        <f>_xlfn.XLOOKUP(A5829,'[1]Tissue Data'!$A:$A,'[1]Tissue Data'!K:K)</f>
        <v>Whole Body</v>
      </c>
      <c r="I5829">
        <f>_xlfn.XLOOKUP(A5829,'[1]Tissue Data'!$A:$A,'[1]Tissue Data'!L:L)</f>
        <v>3.83</v>
      </c>
      <c r="J5829">
        <f>_xlfn.XLOOKUP(A5829,'[1]Tissue Data'!$A:$A,'[1]Tissue Data'!M:M)</f>
        <v>1.34</v>
      </c>
      <c r="K5829" t="s">
        <v>39</v>
      </c>
      <c r="L5829" t="str">
        <f>_xlfn.XLOOKUP(K5829,[2]analyte_order!$B:$B,[2]analyte_order!$C:$C)</f>
        <v>4151-50-2</v>
      </c>
      <c r="M5829">
        <f>_xlfn.XLOOKUP(L5829,[2]analyte_order!$C:$C,[2]analyte_order!$E:$E)</f>
        <v>31</v>
      </c>
      <c r="N5829">
        <v>0.254</v>
      </c>
    </row>
    <row r="5830" spans="1:14">
      <c r="A5830" t="s">
        <v>163</v>
      </c>
      <c r="B5830" t="str">
        <f>_xlfn.XLOOKUP(A5830,'[1]Tissue Data'!$A:$A,'[1]Tissue Data'!$C:$C)</f>
        <v>Spill</v>
      </c>
      <c r="C5830" s="2">
        <f>_xlfn.XLOOKUP(A5830,'[1]Tissue Data'!$A:$A,'[1]Tissue Data'!$D:$D)</f>
        <v>44393</v>
      </c>
      <c r="D5830" s="2" t="s">
        <v>122</v>
      </c>
      <c r="E5830" t="str">
        <f>_xlfn.XLOOKUP(A5830,'[1]Tissue Data'!$A:$A,'[1]Tissue Data'!$H:$H)</f>
        <v>Etheostoma</v>
      </c>
      <c r="F5830" t="str">
        <f>_xlfn.XLOOKUP(A5830,'[1]Tissue Data'!$A:$A,'[1]Tissue Data'!$I:$I)</f>
        <v>olmstedi</v>
      </c>
      <c r="G5830" t="str">
        <f>_xlfn.XLOOKUP(A5830,'[1]Tissue Data'!$A:$A,'[1]Tissue Data'!J:J)</f>
        <v>U</v>
      </c>
      <c r="H5830" t="str">
        <f>_xlfn.XLOOKUP(A5830,'[1]Tissue Data'!$A:$A,'[1]Tissue Data'!K:K)</f>
        <v>Whole Body</v>
      </c>
      <c r="I5830">
        <f>_xlfn.XLOOKUP(A5830,'[1]Tissue Data'!$A:$A,'[1]Tissue Data'!L:L)</f>
        <v>3.83</v>
      </c>
      <c r="J5830">
        <f>_xlfn.XLOOKUP(A5830,'[1]Tissue Data'!$A:$A,'[1]Tissue Data'!M:M)</f>
        <v>1.34</v>
      </c>
      <c r="K5830" t="s">
        <v>40</v>
      </c>
      <c r="L5830" t="str">
        <f>_xlfn.XLOOKUP(K5830,[2]analyte_order!$B:$B,[2]analyte_order!$C:$C)</f>
        <v>2806-24-8</v>
      </c>
      <c r="M5830">
        <f>_xlfn.XLOOKUP(L5830,[2]analyte_order!$C:$C,[2]analyte_order!$E:$E)</f>
        <v>29</v>
      </c>
      <c r="N5830">
        <v>0.254</v>
      </c>
    </row>
    <row r="5831" spans="1:14">
      <c r="A5831" t="s">
        <v>163</v>
      </c>
      <c r="B5831" t="str">
        <f>_xlfn.XLOOKUP(A5831,'[1]Tissue Data'!$A:$A,'[1]Tissue Data'!$C:$C)</f>
        <v>Spill</v>
      </c>
      <c r="C5831" s="2">
        <f>_xlfn.XLOOKUP(A5831,'[1]Tissue Data'!$A:$A,'[1]Tissue Data'!$D:$D)</f>
        <v>44393</v>
      </c>
      <c r="D5831" s="2" t="s">
        <v>122</v>
      </c>
      <c r="E5831" t="str">
        <f>_xlfn.XLOOKUP(A5831,'[1]Tissue Data'!$A:$A,'[1]Tissue Data'!$H:$H)</f>
        <v>Etheostoma</v>
      </c>
      <c r="F5831" t="str">
        <f>_xlfn.XLOOKUP(A5831,'[1]Tissue Data'!$A:$A,'[1]Tissue Data'!$I:$I)</f>
        <v>olmstedi</v>
      </c>
      <c r="G5831" t="str">
        <f>_xlfn.XLOOKUP(A5831,'[1]Tissue Data'!$A:$A,'[1]Tissue Data'!J:J)</f>
        <v>U</v>
      </c>
      <c r="H5831" t="str">
        <f>_xlfn.XLOOKUP(A5831,'[1]Tissue Data'!$A:$A,'[1]Tissue Data'!K:K)</f>
        <v>Whole Body</v>
      </c>
      <c r="I5831">
        <f>_xlfn.XLOOKUP(A5831,'[1]Tissue Data'!$A:$A,'[1]Tissue Data'!L:L)</f>
        <v>3.83</v>
      </c>
      <c r="J5831">
        <f>_xlfn.XLOOKUP(A5831,'[1]Tissue Data'!$A:$A,'[1]Tissue Data'!M:M)</f>
        <v>1.34</v>
      </c>
      <c r="K5831" t="s">
        <v>41</v>
      </c>
      <c r="L5831" t="str">
        <f>_xlfn.XLOOKUP(K5831,[2]analyte_order!$B:$B,[2]analyte_order!$C:$C)</f>
        <v>2355-31-9</v>
      </c>
      <c r="M5831">
        <f>_xlfn.XLOOKUP(L5831,[2]analyte_order!$C:$C,[2]analyte_order!$E:$E)</f>
        <v>26</v>
      </c>
      <c r="N5831">
        <v>0.128</v>
      </c>
    </row>
    <row r="5832" spans="1:14">
      <c r="A5832" t="s">
        <v>163</v>
      </c>
      <c r="B5832" t="str">
        <f>_xlfn.XLOOKUP(A5832,'[1]Tissue Data'!$A:$A,'[1]Tissue Data'!$C:$C)</f>
        <v>Spill</v>
      </c>
      <c r="C5832" s="2">
        <f>_xlfn.XLOOKUP(A5832,'[1]Tissue Data'!$A:$A,'[1]Tissue Data'!$D:$D)</f>
        <v>44393</v>
      </c>
      <c r="D5832" s="2" t="s">
        <v>122</v>
      </c>
      <c r="E5832" t="str">
        <f>_xlfn.XLOOKUP(A5832,'[1]Tissue Data'!$A:$A,'[1]Tissue Data'!$H:$H)</f>
        <v>Etheostoma</v>
      </c>
      <c r="F5832" t="str">
        <f>_xlfn.XLOOKUP(A5832,'[1]Tissue Data'!$A:$A,'[1]Tissue Data'!$I:$I)</f>
        <v>olmstedi</v>
      </c>
      <c r="G5832" t="str">
        <f>_xlfn.XLOOKUP(A5832,'[1]Tissue Data'!$A:$A,'[1]Tissue Data'!J:J)</f>
        <v>U</v>
      </c>
      <c r="H5832" t="str">
        <f>_xlfn.XLOOKUP(A5832,'[1]Tissue Data'!$A:$A,'[1]Tissue Data'!K:K)</f>
        <v>Whole Body</v>
      </c>
      <c r="I5832">
        <f>_xlfn.XLOOKUP(A5832,'[1]Tissue Data'!$A:$A,'[1]Tissue Data'!L:L)</f>
        <v>3.83</v>
      </c>
      <c r="J5832">
        <f>_xlfn.XLOOKUP(A5832,'[1]Tissue Data'!$A:$A,'[1]Tissue Data'!M:M)</f>
        <v>1.34</v>
      </c>
      <c r="K5832" t="s">
        <v>42</v>
      </c>
      <c r="L5832" t="str">
        <f>_xlfn.XLOOKUP(K5832,[2]analyte_order!$B:$B,[2]analyte_order!$C:$C)</f>
        <v>2991-50-6</v>
      </c>
      <c r="M5832">
        <f>_xlfn.XLOOKUP(L5832,[2]analyte_order!$C:$C,[2]analyte_order!$E:$E)</f>
        <v>27</v>
      </c>
      <c r="N5832">
        <v>0.127</v>
      </c>
    </row>
    <row r="5833" spans="1:14">
      <c r="A5833" t="s">
        <v>163</v>
      </c>
      <c r="B5833" t="str">
        <f>_xlfn.XLOOKUP(A5833,'[1]Tissue Data'!$A:$A,'[1]Tissue Data'!$C:$C)</f>
        <v>Spill</v>
      </c>
      <c r="C5833" s="2">
        <f>_xlfn.XLOOKUP(A5833,'[1]Tissue Data'!$A:$A,'[1]Tissue Data'!$D:$D)</f>
        <v>44393</v>
      </c>
      <c r="D5833" s="2" t="s">
        <v>122</v>
      </c>
      <c r="E5833" t="str">
        <f>_xlfn.XLOOKUP(A5833,'[1]Tissue Data'!$A:$A,'[1]Tissue Data'!$H:$H)</f>
        <v>Etheostoma</v>
      </c>
      <c r="F5833" t="str">
        <f>_xlfn.XLOOKUP(A5833,'[1]Tissue Data'!$A:$A,'[1]Tissue Data'!$I:$I)</f>
        <v>olmstedi</v>
      </c>
      <c r="G5833" t="str">
        <f>_xlfn.XLOOKUP(A5833,'[1]Tissue Data'!$A:$A,'[1]Tissue Data'!J:J)</f>
        <v>U</v>
      </c>
      <c r="H5833" t="str">
        <f>_xlfn.XLOOKUP(A5833,'[1]Tissue Data'!$A:$A,'[1]Tissue Data'!K:K)</f>
        <v>Whole Body</v>
      </c>
      <c r="I5833">
        <f>_xlfn.XLOOKUP(A5833,'[1]Tissue Data'!$A:$A,'[1]Tissue Data'!L:L)</f>
        <v>3.83</v>
      </c>
      <c r="J5833">
        <f>_xlfn.XLOOKUP(A5833,'[1]Tissue Data'!$A:$A,'[1]Tissue Data'!M:M)</f>
        <v>1.34</v>
      </c>
      <c r="K5833" t="s">
        <v>43</v>
      </c>
      <c r="L5833" t="str">
        <f>_xlfn.XLOOKUP(K5833,[2]analyte_order!$B:$B,[2]analyte_order!$C:$C)</f>
        <v>757124-72-4</v>
      </c>
      <c r="M5833">
        <f>_xlfn.XLOOKUP(L5833,[2]analyte_order!$C:$C,[2]analyte_order!$E:$E)</f>
        <v>22</v>
      </c>
      <c r="N5833">
        <v>0.127</v>
      </c>
    </row>
    <row r="5834" spans="1:14">
      <c r="A5834" t="s">
        <v>163</v>
      </c>
      <c r="B5834" t="str">
        <f>_xlfn.XLOOKUP(A5834,'[1]Tissue Data'!$A:$A,'[1]Tissue Data'!$C:$C)</f>
        <v>Spill</v>
      </c>
      <c r="C5834" s="2">
        <f>_xlfn.XLOOKUP(A5834,'[1]Tissue Data'!$A:$A,'[1]Tissue Data'!$D:$D)</f>
        <v>44393</v>
      </c>
      <c r="D5834" s="2" t="s">
        <v>122</v>
      </c>
      <c r="E5834" t="str">
        <f>_xlfn.XLOOKUP(A5834,'[1]Tissue Data'!$A:$A,'[1]Tissue Data'!$H:$H)</f>
        <v>Etheostoma</v>
      </c>
      <c r="F5834" t="str">
        <f>_xlfn.XLOOKUP(A5834,'[1]Tissue Data'!$A:$A,'[1]Tissue Data'!$I:$I)</f>
        <v>olmstedi</v>
      </c>
      <c r="G5834" t="str">
        <f>_xlfn.XLOOKUP(A5834,'[1]Tissue Data'!$A:$A,'[1]Tissue Data'!J:J)</f>
        <v>U</v>
      </c>
      <c r="H5834" t="str">
        <f>_xlfn.XLOOKUP(A5834,'[1]Tissue Data'!$A:$A,'[1]Tissue Data'!K:K)</f>
        <v>Whole Body</v>
      </c>
      <c r="I5834">
        <f>_xlfn.XLOOKUP(A5834,'[1]Tissue Data'!$A:$A,'[1]Tissue Data'!L:L)</f>
        <v>3.83</v>
      </c>
      <c r="J5834">
        <f>_xlfn.XLOOKUP(A5834,'[1]Tissue Data'!$A:$A,'[1]Tissue Data'!M:M)</f>
        <v>1.34</v>
      </c>
      <c r="K5834" t="s">
        <v>44</v>
      </c>
      <c r="L5834" t="str">
        <f>_xlfn.XLOOKUP(K5834,[2]analyte_order!$B:$B,[2]analyte_order!$C:$C)</f>
        <v>27619-97-2</v>
      </c>
      <c r="M5834">
        <f>_xlfn.XLOOKUP(L5834,[2]analyte_order!$C:$C,[2]analyte_order!$E:$E)</f>
        <v>23</v>
      </c>
      <c r="N5834">
        <v>2.2400000000000002</v>
      </c>
    </row>
    <row r="5835" spans="1:14">
      <c r="A5835" t="s">
        <v>163</v>
      </c>
      <c r="B5835" t="str">
        <f>_xlfn.XLOOKUP(A5835,'[1]Tissue Data'!$A:$A,'[1]Tissue Data'!$C:$C)</f>
        <v>Spill</v>
      </c>
      <c r="C5835" s="2">
        <f>_xlfn.XLOOKUP(A5835,'[1]Tissue Data'!$A:$A,'[1]Tissue Data'!$D:$D)</f>
        <v>44393</v>
      </c>
      <c r="D5835" s="2" t="s">
        <v>122</v>
      </c>
      <c r="E5835" t="str">
        <f>_xlfn.XLOOKUP(A5835,'[1]Tissue Data'!$A:$A,'[1]Tissue Data'!$H:$H)</f>
        <v>Etheostoma</v>
      </c>
      <c r="F5835" t="str">
        <f>_xlfn.XLOOKUP(A5835,'[1]Tissue Data'!$A:$A,'[1]Tissue Data'!$I:$I)</f>
        <v>olmstedi</v>
      </c>
      <c r="G5835" t="str">
        <f>_xlfn.XLOOKUP(A5835,'[1]Tissue Data'!$A:$A,'[1]Tissue Data'!J:J)</f>
        <v>U</v>
      </c>
      <c r="H5835" t="str">
        <f>_xlfn.XLOOKUP(A5835,'[1]Tissue Data'!$A:$A,'[1]Tissue Data'!K:K)</f>
        <v>Whole Body</v>
      </c>
      <c r="I5835">
        <f>_xlfn.XLOOKUP(A5835,'[1]Tissue Data'!$A:$A,'[1]Tissue Data'!L:L)</f>
        <v>3.83</v>
      </c>
      <c r="J5835">
        <f>_xlfn.XLOOKUP(A5835,'[1]Tissue Data'!$A:$A,'[1]Tissue Data'!M:M)</f>
        <v>1.34</v>
      </c>
      <c r="K5835" t="s">
        <v>45</v>
      </c>
      <c r="L5835" t="str">
        <f>_xlfn.XLOOKUP(K5835,[2]analyte_order!$B:$B,[2]analyte_order!$C:$C)</f>
        <v>39108-34-4</v>
      </c>
      <c r="M5835">
        <f>_xlfn.XLOOKUP(L5835,[2]analyte_order!$C:$C,[2]analyte_order!$E:$E)</f>
        <v>24</v>
      </c>
      <c r="N5835">
        <v>9.48</v>
      </c>
    </row>
    <row r="5836" spans="1:14">
      <c r="A5836" t="s">
        <v>163</v>
      </c>
      <c r="B5836" t="str">
        <f>_xlfn.XLOOKUP(A5836,'[1]Tissue Data'!$A:$A,'[1]Tissue Data'!$C:$C)</f>
        <v>Spill</v>
      </c>
      <c r="C5836" s="2">
        <f>_xlfn.XLOOKUP(A5836,'[1]Tissue Data'!$A:$A,'[1]Tissue Data'!$D:$D)</f>
        <v>44393</v>
      </c>
      <c r="D5836" s="2" t="s">
        <v>122</v>
      </c>
      <c r="E5836" t="str">
        <f>_xlfn.XLOOKUP(A5836,'[1]Tissue Data'!$A:$A,'[1]Tissue Data'!$H:$H)</f>
        <v>Etheostoma</v>
      </c>
      <c r="F5836" t="str">
        <f>_xlfn.XLOOKUP(A5836,'[1]Tissue Data'!$A:$A,'[1]Tissue Data'!$I:$I)</f>
        <v>olmstedi</v>
      </c>
      <c r="G5836" t="str">
        <f>_xlfn.XLOOKUP(A5836,'[1]Tissue Data'!$A:$A,'[1]Tissue Data'!J:J)</f>
        <v>U</v>
      </c>
      <c r="H5836" t="str">
        <f>_xlfn.XLOOKUP(A5836,'[1]Tissue Data'!$A:$A,'[1]Tissue Data'!K:K)</f>
        <v>Whole Body</v>
      </c>
      <c r="I5836">
        <f>_xlfn.XLOOKUP(A5836,'[1]Tissue Data'!$A:$A,'[1]Tissue Data'!L:L)</f>
        <v>3.83</v>
      </c>
      <c r="J5836">
        <f>_xlfn.XLOOKUP(A5836,'[1]Tissue Data'!$A:$A,'[1]Tissue Data'!M:M)</f>
        <v>1.34</v>
      </c>
      <c r="K5836" t="s">
        <v>46</v>
      </c>
      <c r="L5836" t="str">
        <f>_xlfn.XLOOKUP(K5836,[2]analyte_order!$B:$B,[2]analyte_order!$C:$C)</f>
        <v>120226-60-0</v>
      </c>
      <c r="M5836">
        <f>_xlfn.XLOOKUP(L5836,[2]analyte_order!$C:$C,[2]analyte_order!$E:$E)</f>
        <v>25</v>
      </c>
      <c r="N5836">
        <v>0.51</v>
      </c>
    </row>
    <row r="5837" spans="1:14">
      <c r="A5837" t="s">
        <v>163</v>
      </c>
      <c r="B5837" t="str">
        <f>_xlfn.XLOOKUP(A5837,'[1]Tissue Data'!$A:$A,'[1]Tissue Data'!$C:$C)</f>
        <v>Spill</v>
      </c>
      <c r="C5837" s="2">
        <f>_xlfn.XLOOKUP(A5837,'[1]Tissue Data'!$A:$A,'[1]Tissue Data'!$D:$D)</f>
        <v>44393</v>
      </c>
      <c r="D5837" s="2" t="s">
        <v>122</v>
      </c>
      <c r="E5837" t="str">
        <f>_xlfn.XLOOKUP(A5837,'[1]Tissue Data'!$A:$A,'[1]Tissue Data'!$H:$H)</f>
        <v>Etheostoma</v>
      </c>
      <c r="F5837" t="str">
        <f>_xlfn.XLOOKUP(A5837,'[1]Tissue Data'!$A:$A,'[1]Tissue Data'!$I:$I)</f>
        <v>olmstedi</v>
      </c>
      <c r="G5837" t="str">
        <f>_xlfn.XLOOKUP(A5837,'[1]Tissue Data'!$A:$A,'[1]Tissue Data'!J:J)</f>
        <v>U</v>
      </c>
      <c r="H5837" t="str">
        <f>_xlfn.XLOOKUP(A5837,'[1]Tissue Data'!$A:$A,'[1]Tissue Data'!K:K)</f>
        <v>Whole Body</v>
      </c>
      <c r="I5837">
        <f>_xlfn.XLOOKUP(A5837,'[1]Tissue Data'!$A:$A,'[1]Tissue Data'!L:L)</f>
        <v>3.83</v>
      </c>
      <c r="J5837">
        <f>_xlfn.XLOOKUP(A5837,'[1]Tissue Data'!$A:$A,'[1]Tissue Data'!M:M)</f>
        <v>1.34</v>
      </c>
      <c r="K5837" t="s">
        <v>47</v>
      </c>
      <c r="L5837" t="str">
        <f>_xlfn.XLOOKUP(K5837,[2]analyte_order!$B:$B,[2]analyte_order!$C:$C)</f>
        <v>356-02-5</v>
      </c>
      <c r="M5837">
        <f>_xlfn.XLOOKUP(L5837,[2]analyte_order!$C:$C,[2]analyte_order!$E:$E)</f>
        <v>38</v>
      </c>
      <c r="N5837">
        <v>0.254</v>
      </c>
    </row>
    <row r="5838" spans="1:14">
      <c r="A5838" t="s">
        <v>163</v>
      </c>
      <c r="B5838" t="str">
        <f>_xlfn.XLOOKUP(A5838,'[1]Tissue Data'!$A:$A,'[1]Tissue Data'!$C:$C)</f>
        <v>Spill</v>
      </c>
      <c r="C5838" s="2">
        <f>_xlfn.XLOOKUP(A5838,'[1]Tissue Data'!$A:$A,'[1]Tissue Data'!$D:$D)</f>
        <v>44393</v>
      </c>
      <c r="D5838" s="2" t="s">
        <v>122</v>
      </c>
      <c r="E5838" t="str">
        <f>_xlfn.XLOOKUP(A5838,'[1]Tissue Data'!$A:$A,'[1]Tissue Data'!$H:$H)</f>
        <v>Etheostoma</v>
      </c>
      <c r="F5838" t="str">
        <f>_xlfn.XLOOKUP(A5838,'[1]Tissue Data'!$A:$A,'[1]Tissue Data'!$I:$I)</f>
        <v>olmstedi</v>
      </c>
      <c r="G5838" t="str">
        <f>_xlfn.XLOOKUP(A5838,'[1]Tissue Data'!$A:$A,'[1]Tissue Data'!J:J)</f>
        <v>U</v>
      </c>
      <c r="H5838" t="str">
        <f>_xlfn.XLOOKUP(A5838,'[1]Tissue Data'!$A:$A,'[1]Tissue Data'!K:K)</f>
        <v>Whole Body</v>
      </c>
      <c r="I5838">
        <f>_xlfn.XLOOKUP(A5838,'[1]Tissue Data'!$A:$A,'[1]Tissue Data'!L:L)</f>
        <v>3.83</v>
      </c>
      <c r="J5838">
        <f>_xlfn.XLOOKUP(A5838,'[1]Tissue Data'!$A:$A,'[1]Tissue Data'!M:M)</f>
        <v>1.34</v>
      </c>
      <c r="K5838" t="s">
        <v>48</v>
      </c>
      <c r="L5838" t="str">
        <f>_xlfn.XLOOKUP(K5838,[2]analyte_order!$B:$B,[2]analyte_order!$C:$C)</f>
        <v>914637-49-3</v>
      </c>
      <c r="M5838">
        <f>_xlfn.XLOOKUP(L5838,[2]analyte_order!$C:$C,[2]analyte_order!$E:$E)</f>
        <v>39</v>
      </c>
      <c r="N5838">
        <v>0.254</v>
      </c>
    </row>
    <row r="5839" spans="1:14">
      <c r="A5839" t="s">
        <v>163</v>
      </c>
      <c r="B5839" t="str">
        <f>_xlfn.XLOOKUP(A5839,'[1]Tissue Data'!$A:$A,'[1]Tissue Data'!$C:$C)</f>
        <v>Spill</v>
      </c>
      <c r="C5839" s="2">
        <f>_xlfn.XLOOKUP(A5839,'[1]Tissue Data'!$A:$A,'[1]Tissue Data'!$D:$D)</f>
        <v>44393</v>
      </c>
      <c r="D5839" s="2" t="s">
        <v>122</v>
      </c>
      <c r="E5839" t="str">
        <f>_xlfn.XLOOKUP(A5839,'[1]Tissue Data'!$A:$A,'[1]Tissue Data'!$H:$H)</f>
        <v>Etheostoma</v>
      </c>
      <c r="F5839" t="str">
        <f>_xlfn.XLOOKUP(A5839,'[1]Tissue Data'!$A:$A,'[1]Tissue Data'!$I:$I)</f>
        <v>olmstedi</v>
      </c>
      <c r="G5839" t="str">
        <f>_xlfn.XLOOKUP(A5839,'[1]Tissue Data'!$A:$A,'[1]Tissue Data'!J:J)</f>
        <v>U</v>
      </c>
      <c r="H5839" t="str">
        <f>_xlfn.XLOOKUP(A5839,'[1]Tissue Data'!$A:$A,'[1]Tissue Data'!K:K)</f>
        <v>Whole Body</v>
      </c>
      <c r="I5839">
        <f>_xlfn.XLOOKUP(A5839,'[1]Tissue Data'!$A:$A,'[1]Tissue Data'!L:L)</f>
        <v>3.83</v>
      </c>
      <c r="J5839">
        <f>_xlfn.XLOOKUP(A5839,'[1]Tissue Data'!$A:$A,'[1]Tissue Data'!M:M)</f>
        <v>1.34</v>
      </c>
      <c r="K5839" t="s">
        <v>49</v>
      </c>
      <c r="L5839" t="str">
        <f>_xlfn.XLOOKUP(K5839,[2]analyte_order!$B:$B,[2]analyte_order!$C:$C)</f>
        <v>812-70-4</v>
      </c>
      <c r="M5839">
        <f>_xlfn.XLOOKUP(L5839,[2]analyte_order!$C:$C,[2]analyte_order!$E:$E)</f>
        <v>40</v>
      </c>
      <c r="N5839">
        <v>7.93</v>
      </c>
    </row>
    <row r="5840" spans="1:14">
      <c r="A5840" t="s">
        <v>163</v>
      </c>
      <c r="B5840" t="str">
        <f>_xlfn.XLOOKUP(A5840,'[1]Tissue Data'!$A:$A,'[1]Tissue Data'!$C:$C)</f>
        <v>Spill</v>
      </c>
      <c r="C5840" s="2">
        <f>_xlfn.XLOOKUP(A5840,'[1]Tissue Data'!$A:$A,'[1]Tissue Data'!$D:$D)</f>
        <v>44393</v>
      </c>
      <c r="D5840" s="2" t="s">
        <v>122</v>
      </c>
      <c r="E5840" t="str">
        <f>_xlfn.XLOOKUP(A5840,'[1]Tissue Data'!$A:$A,'[1]Tissue Data'!$H:$H)</f>
        <v>Etheostoma</v>
      </c>
      <c r="F5840" t="str">
        <f>_xlfn.XLOOKUP(A5840,'[1]Tissue Data'!$A:$A,'[1]Tissue Data'!$I:$I)</f>
        <v>olmstedi</v>
      </c>
      <c r="G5840" t="str">
        <f>_xlfn.XLOOKUP(A5840,'[1]Tissue Data'!$A:$A,'[1]Tissue Data'!J:J)</f>
        <v>U</v>
      </c>
      <c r="H5840" t="str">
        <f>_xlfn.XLOOKUP(A5840,'[1]Tissue Data'!$A:$A,'[1]Tissue Data'!K:K)</f>
        <v>Whole Body</v>
      </c>
      <c r="I5840">
        <f>_xlfn.XLOOKUP(A5840,'[1]Tissue Data'!$A:$A,'[1]Tissue Data'!L:L)</f>
        <v>3.83</v>
      </c>
      <c r="J5840">
        <f>_xlfn.XLOOKUP(A5840,'[1]Tissue Data'!$A:$A,'[1]Tissue Data'!M:M)</f>
        <v>1.34</v>
      </c>
      <c r="K5840" t="s">
        <v>50</v>
      </c>
      <c r="L5840" t="str">
        <f>_xlfn.XLOOKUP(K5840,[2]analyte_order!$B:$B,[2]analyte_order!$C:$C)</f>
        <v>53826-12-3</v>
      </c>
      <c r="M5840">
        <f>_xlfn.XLOOKUP(L5840,[2]analyte_order!$C:$C,[2]analyte_order!$E:$E)</f>
        <v>41</v>
      </c>
      <c r="N5840">
        <v>0.254</v>
      </c>
    </row>
    <row r="5841" spans="1:14">
      <c r="A5841" t="s">
        <v>163</v>
      </c>
      <c r="B5841" t="str">
        <f>_xlfn.XLOOKUP(A5841,'[1]Tissue Data'!$A:$A,'[1]Tissue Data'!$C:$C)</f>
        <v>Spill</v>
      </c>
      <c r="C5841" s="2">
        <f>_xlfn.XLOOKUP(A5841,'[1]Tissue Data'!$A:$A,'[1]Tissue Data'!$D:$D)</f>
        <v>44393</v>
      </c>
      <c r="D5841" s="2" t="s">
        <v>122</v>
      </c>
      <c r="E5841" t="str">
        <f>_xlfn.XLOOKUP(A5841,'[1]Tissue Data'!$A:$A,'[1]Tissue Data'!$H:$H)</f>
        <v>Etheostoma</v>
      </c>
      <c r="F5841" t="str">
        <f>_xlfn.XLOOKUP(A5841,'[1]Tissue Data'!$A:$A,'[1]Tissue Data'!$I:$I)</f>
        <v>olmstedi</v>
      </c>
      <c r="G5841" t="str">
        <f>_xlfn.XLOOKUP(A5841,'[1]Tissue Data'!$A:$A,'[1]Tissue Data'!J:J)</f>
        <v>U</v>
      </c>
      <c r="H5841" t="str">
        <f>_xlfn.XLOOKUP(A5841,'[1]Tissue Data'!$A:$A,'[1]Tissue Data'!K:K)</f>
        <v>Whole Body</v>
      </c>
      <c r="I5841">
        <f>_xlfn.XLOOKUP(A5841,'[1]Tissue Data'!$A:$A,'[1]Tissue Data'!L:L)</f>
        <v>3.83</v>
      </c>
      <c r="J5841">
        <f>_xlfn.XLOOKUP(A5841,'[1]Tissue Data'!$A:$A,'[1]Tissue Data'!M:M)</f>
        <v>1.34</v>
      </c>
      <c r="K5841" t="s">
        <v>51</v>
      </c>
      <c r="L5841" t="str">
        <f>_xlfn.XLOOKUP(K5841,[2]analyte_order!$B:$B,[2]analyte_order!$C:$C)</f>
        <v>27854-31-5</v>
      </c>
      <c r="M5841">
        <f>_xlfn.XLOOKUP(L5841,[2]analyte_order!$C:$C,[2]analyte_order!$E:$E)</f>
        <v>42</v>
      </c>
      <c r="N5841">
        <v>0.127</v>
      </c>
    </row>
    <row r="5842" spans="1:14">
      <c r="A5842" t="s">
        <v>163</v>
      </c>
      <c r="B5842" t="str">
        <f>_xlfn.XLOOKUP(A5842,'[1]Tissue Data'!$A:$A,'[1]Tissue Data'!$C:$C)</f>
        <v>Spill</v>
      </c>
      <c r="C5842" s="2">
        <f>_xlfn.XLOOKUP(A5842,'[1]Tissue Data'!$A:$A,'[1]Tissue Data'!$D:$D)</f>
        <v>44393</v>
      </c>
      <c r="D5842" s="2" t="s">
        <v>122</v>
      </c>
      <c r="E5842" t="str">
        <f>_xlfn.XLOOKUP(A5842,'[1]Tissue Data'!$A:$A,'[1]Tissue Data'!$H:$H)</f>
        <v>Etheostoma</v>
      </c>
      <c r="F5842" t="str">
        <f>_xlfn.XLOOKUP(A5842,'[1]Tissue Data'!$A:$A,'[1]Tissue Data'!$I:$I)</f>
        <v>olmstedi</v>
      </c>
      <c r="G5842" t="str">
        <f>_xlfn.XLOOKUP(A5842,'[1]Tissue Data'!$A:$A,'[1]Tissue Data'!J:J)</f>
        <v>U</v>
      </c>
      <c r="H5842" t="str">
        <f>_xlfn.XLOOKUP(A5842,'[1]Tissue Data'!$A:$A,'[1]Tissue Data'!K:K)</f>
        <v>Whole Body</v>
      </c>
      <c r="I5842">
        <f>_xlfn.XLOOKUP(A5842,'[1]Tissue Data'!$A:$A,'[1]Tissue Data'!L:L)</f>
        <v>3.83</v>
      </c>
      <c r="J5842">
        <f>_xlfn.XLOOKUP(A5842,'[1]Tissue Data'!$A:$A,'[1]Tissue Data'!M:M)</f>
        <v>1.34</v>
      </c>
      <c r="K5842" t="s">
        <v>52</v>
      </c>
      <c r="L5842" t="str">
        <f>_xlfn.XLOOKUP(K5842,[2]analyte_order!$B:$B,[2]analyte_order!$C:$C)</f>
        <v>53826-13-4</v>
      </c>
      <c r="M5842">
        <f>_xlfn.XLOOKUP(L5842,[2]analyte_order!$C:$C,[2]analyte_order!$E:$E)</f>
        <v>43</v>
      </c>
      <c r="N5842">
        <v>0.254</v>
      </c>
    </row>
    <row r="5843" spans="1:14">
      <c r="A5843" t="s">
        <v>163</v>
      </c>
      <c r="B5843" t="str">
        <f>_xlfn.XLOOKUP(A5843,'[1]Tissue Data'!$A:$A,'[1]Tissue Data'!$C:$C)</f>
        <v>Spill</v>
      </c>
      <c r="C5843" s="2">
        <f>_xlfn.XLOOKUP(A5843,'[1]Tissue Data'!$A:$A,'[1]Tissue Data'!$D:$D)</f>
        <v>44393</v>
      </c>
      <c r="D5843" s="2" t="s">
        <v>122</v>
      </c>
      <c r="E5843" t="str">
        <f>_xlfn.XLOOKUP(A5843,'[1]Tissue Data'!$A:$A,'[1]Tissue Data'!$H:$H)</f>
        <v>Etheostoma</v>
      </c>
      <c r="F5843" t="str">
        <f>_xlfn.XLOOKUP(A5843,'[1]Tissue Data'!$A:$A,'[1]Tissue Data'!$I:$I)</f>
        <v>olmstedi</v>
      </c>
      <c r="G5843" t="str">
        <f>_xlfn.XLOOKUP(A5843,'[1]Tissue Data'!$A:$A,'[1]Tissue Data'!J:J)</f>
        <v>U</v>
      </c>
      <c r="H5843" t="str">
        <f>_xlfn.XLOOKUP(A5843,'[1]Tissue Data'!$A:$A,'[1]Tissue Data'!K:K)</f>
        <v>Whole Body</v>
      </c>
      <c r="I5843">
        <f>_xlfn.XLOOKUP(A5843,'[1]Tissue Data'!$A:$A,'[1]Tissue Data'!L:L)</f>
        <v>3.83</v>
      </c>
      <c r="J5843">
        <f>_xlfn.XLOOKUP(A5843,'[1]Tissue Data'!$A:$A,'[1]Tissue Data'!M:M)</f>
        <v>1.34</v>
      </c>
      <c r="K5843" t="s">
        <v>53</v>
      </c>
      <c r="L5843" t="str">
        <f>_xlfn.XLOOKUP(K5843,[2]analyte_order!$B:$B,[2]analyte_order!$C:$C)</f>
        <v>161094-75-3</v>
      </c>
      <c r="M5843">
        <f>_xlfn.XLOOKUP(L5843,[2]analyte_order!$C:$C,[2]analyte_order!$E:$E)</f>
        <v>44</v>
      </c>
      <c r="N5843">
        <v>0.1</v>
      </c>
    </row>
    <row r="5844" spans="1:14">
      <c r="A5844" t="s">
        <v>163</v>
      </c>
      <c r="B5844" t="str">
        <f>_xlfn.XLOOKUP(A5844,'[1]Tissue Data'!$A:$A,'[1]Tissue Data'!$C:$C)</f>
        <v>Spill</v>
      </c>
      <c r="C5844" s="2">
        <f>_xlfn.XLOOKUP(A5844,'[1]Tissue Data'!$A:$A,'[1]Tissue Data'!$D:$D)</f>
        <v>44393</v>
      </c>
      <c r="D5844" s="2" t="s">
        <v>122</v>
      </c>
      <c r="E5844" t="str">
        <f>_xlfn.XLOOKUP(A5844,'[1]Tissue Data'!$A:$A,'[1]Tissue Data'!$H:$H)</f>
        <v>Etheostoma</v>
      </c>
      <c r="F5844" t="str">
        <f>_xlfn.XLOOKUP(A5844,'[1]Tissue Data'!$A:$A,'[1]Tissue Data'!$I:$I)</f>
        <v>olmstedi</v>
      </c>
      <c r="G5844" t="str">
        <f>_xlfn.XLOOKUP(A5844,'[1]Tissue Data'!$A:$A,'[1]Tissue Data'!J:J)</f>
        <v>U</v>
      </c>
      <c r="H5844" t="str">
        <f>_xlfn.XLOOKUP(A5844,'[1]Tissue Data'!$A:$A,'[1]Tissue Data'!K:K)</f>
        <v>Whole Body</v>
      </c>
      <c r="I5844">
        <f>_xlfn.XLOOKUP(A5844,'[1]Tissue Data'!$A:$A,'[1]Tissue Data'!L:L)</f>
        <v>3.83</v>
      </c>
      <c r="J5844">
        <f>_xlfn.XLOOKUP(A5844,'[1]Tissue Data'!$A:$A,'[1]Tissue Data'!M:M)</f>
        <v>1.34</v>
      </c>
      <c r="K5844" t="s">
        <v>54</v>
      </c>
      <c r="L5844" t="str">
        <f>_xlfn.XLOOKUP(K5844,[2]analyte_order!$B:$B,[2]analyte_order!$C:$C)</f>
        <v>70887-84-2</v>
      </c>
      <c r="M5844">
        <f>_xlfn.XLOOKUP(L5844,[2]analyte_order!$C:$C,[2]analyte_order!$E:$E)</f>
        <v>45</v>
      </c>
      <c r="N5844">
        <v>7.6999999999999999E-2</v>
      </c>
    </row>
    <row r="5845" spans="1:14">
      <c r="A5845" t="s">
        <v>163</v>
      </c>
      <c r="B5845" t="str">
        <f>_xlfn.XLOOKUP(A5845,'[1]Tissue Data'!$A:$A,'[1]Tissue Data'!$C:$C)</f>
        <v>Spill</v>
      </c>
      <c r="C5845" s="2">
        <f>_xlfn.XLOOKUP(A5845,'[1]Tissue Data'!$A:$A,'[1]Tissue Data'!$D:$D)</f>
        <v>44393</v>
      </c>
      <c r="D5845" s="2" t="s">
        <v>122</v>
      </c>
      <c r="E5845" t="str">
        <f>_xlfn.XLOOKUP(A5845,'[1]Tissue Data'!$A:$A,'[1]Tissue Data'!$H:$H)</f>
        <v>Etheostoma</v>
      </c>
      <c r="F5845" t="str">
        <f>_xlfn.XLOOKUP(A5845,'[1]Tissue Data'!$A:$A,'[1]Tissue Data'!$I:$I)</f>
        <v>olmstedi</v>
      </c>
      <c r="G5845" t="str">
        <f>_xlfn.XLOOKUP(A5845,'[1]Tissue Data'!$A:$A,'[1]Tissue Data'!J:J)</f>
        <v>U</v>
      </c>
      <c r="H5845" t="str">
        <f>_xlfn.XLOOKUP(A5845,'[1]Tissue Data'!$A:$A,'[1]Tissue Data'!K:K)</f>
        <v>Whole Body</v>
      </c>
      <c r="I5845">
        <f>_xlfn.XLOOKUP(A5845,'[1]Tissue Data'!$A:$A,'[1]Tissue Data'!L:L)</f>
        <v>3.83</v>
      </c>
      <c r="J5845">
        <f>_xlfn.XLOOKUP(A5845,'[1]Tissue Data'!$A:$A,'[1]Tissue Data'!M:M)</f>
        <v>1.34</v>
      </c>
      <c r="K5845" t="s">
        <v>55</v>
      </c>
      <c r="L5845" t="str">
        <f>_xlfn.XLOOKUP(K5845,[2]analyte_order!$B:$B,[2]analyte_order!$C:$C)</f>
        <v>919005-14-4</v>
      </c>
      <c r="M5845">
        <f>_xlfn.XLOOKUP(L5845,[2]analyte_order!$C:$C,[2]analyte_order!$E:$E)</f>
        <v>35</v>
      </c>
      <c r="N5845">
        <v>0.112</v>
      </c>
    </row>
    <row r="5846" spans="1:14">
      <c r="A5846" t="s">
        <v>163</v>
      </c>
      <c r="B5846" t="str">
        <f>_xlfn.XLOOKUP(A5846,'[1]Tissue Data'!$A:$A,'[1]Tissue Data'!$C:$C)</f>
        <v>Spill</v>
      </c>
      <c r="C5846" s="2">
        <f>_xlfn.XLOOKUP(A5846,'[1]Tissue Data'!$A:$A,'[1]Tissue Data'!$D:$D)</f>
        <v>44393</v>
      </c>
      <c r="D5846" s="2" t="s">
        <v>122</v>
      </c>
      <c r="E5846" t="str">
        <f>_xlfn.XLOOKUP(A5846,'[1]Tissue Data'!$A:$A,'[1]Tissue Data'!$H:$H)</f>
        <v>Etheostoma</v>
      </c>
      <c r="F5846" t="str">
        <f>_xlfn.XLOOKUP(A5846,'[1]Tissue Data'!$A:$A,'[1]Tissue Data'!$I:$I)</f>
        <v>olmstedi</v>
      </c>
      <c r="G5846" t="str">
        <f>_xlfn.XLOOKUP(A5846,'[1]Tissue Data'!$A:$A,'[1]Tissue Data'!J:J)</f>
        <v>U</v>
      </c>
      <c r="H5846" t="str">
        <f>_xlfn.XLOOKUP(A5846,'[1]Tissue Data'!$A:$A,'[1]Tissue Data'!K:K)</f>
        <v>Whole Body</v>
      </c>
      <c r="I5846">
        <f>_xlfn.XLOOKUP(A5846,'[1]Tissue Data'!$A:$A,'[1]Tissue Data'!L:L)</f>
        <v>3.83</v>
      </c>
      <c r="J5846">
        <f>_xlfn.XLOOKUP(A5846,'[1]Tissue Data'!$A:$A,'[1]Tissue Data'!M:M)</f>
        <v>1.34</v>
      </c>
      <c r="K5846" t="s">
        <v>56</v>
      </c>
      <c r="L5846" t="str">
        <f>_xlfn.XLOOKUP(K5846,[2]analyte_order!$B:$B,[2]analyte_order!$C:$C)</f>
        <v>756426-58-1</v>
      </c>
      <c r="M5846">
        <f>_xlfn.XLOOKUP(L5846,[2]analyte_order!$C:$C,[2]analyte_order!$E:$E)</f>
        <v>36</v>
      </c>
      <c r="N5846">
        <v>0.254</v>
      </c>
    </row>
    <row r="5847" spans="1:14">
      <c r="A5847" t="s">
        <v>163</v>
      </c>
      <c r="B5847" t="str">
        <f>_xlfn.XLOOKUP(A5847,'[1]Tissue Data'!$A:$A,'[1]Tissue Data'!$C:$C)</f>
        <v>Spill</v>
      </c>
      <c r="C5847" s="2">
        <f>_xlfn.XLOOKUP(A5847,'[1]Tissue Data'!$A:$A,'[1]Tissue Data'!$D:$D)</f>
        <v>44393</v>
      </c>
      <c r="D5847" s="2" t="s">
        <v>122</v>
      </c>
      <c r="E5847" t="str">
        <f>_xlfn.XLOOKUP(A5847,'[1]Tissue Data'!$A:$A,'[1]Tissue Data'!$H:$H)</f>
        <v>Etheostoma</v>
      </c>
      <c r="F5847" t="str">
        <f>_xlfn.XLOOKUP(A5847,'[1]Tissue Data'!$A:$A,'[1]Tissue Data'!$I:$I)</f>
        <v>olmstedi</v>
      </c>
      <c r="G5847" t="str">
        <f>_xlfn.XLOOKUP(A5847,'[1]Tissue Data'!$A:$A,'[1]Tissue Data'!J:J)</f>
        <v>U</v>
      </c>
      <c r="H5847" t="str">
        <f>_xlfn.XLOOKUP(A5847,'[1]Tissue Data'!$A:$A,'[1]Tissue Data'!K:K)</f>
        <v>Whole Body</v>
      </c>
      <c r="I5847">
        <f>_xlfn.XLOOKUP(A5847,'[1]Tissue Data'!$A:$A,'[1]Tissue Data'!L:L)</f>
        <v>3.83</v>
      </c>
      <c r="J5847">
        <f>_xlfn.XLOOKUP(A5847,'[1]Tissue Data'!$A:$A,'[1]Tissue Data'!M:M)</f>
        <v>1.34</v>
      </c>
      <c r="K5847" t="s">
        <v>57</v>
      </c>
      <c r="L5847" t="str">
        <f>_xlfn.XLOOKUP(K5847,[2]analyte_order!$B:$B,[2]analyte_order!$C:$C)</f>
        <v>763051-92-9</v>
      </c>
      <c r="M5847">
        <f>_xlfn.XLOOKUP(L5847,[2]analyte_order!$C:$C,[2]analyte_order!$E:$E)</f>
        <v>37</v>
      </c>
      <c r="N5847">
        <v>0.254</v>
      </c>
    </row>
    <row r="5848" spans="1:14">
      <c r="A5848" t="s">
        <v>163</v>
      </c>
      <c r="B5848" t="str">
        <f>_xlfn.XLOOKUP(A5848,'[1]Tissue Data'!$A:$A,'[1]Tissue Data'!$C:$C)</f>
        <v>Spill</v>
      </c>
      <c r="C5848" s="2">
        <f>_xlfn.XLOOKUP(A5848,'[1]Tissue Data'!$A:$A,'[1]Tissue Data'!$D:$D)</f>
        <v>44393</v>
      </c>
      <c r="D5848" s="2" t="s">
        <v>122</v>
      </c>
      <c r="E5848" t="str">
        <f>_xlfn.XLOOKUP(A5848,'[1]Tissue Data'!$A:$A,'[1]Tissue Data'!$H:$H)</f>
        <v>Etheostoma</v>
      </c>
      <c r="F5848" t="str">
        <f>_xlfn.XLOOKUP(A5848,'[1]Tissue Data'!$A:$A,'[1]Tissue Data'!$I:$I)</f>
        <v>olmstedi</v>
      </c>
      <c r="G5848" t="str">
        <f>_xlfn.XLOOKUP(A5848,'[1]Tissue Data'!$A:$A,'[1]Tissue Data'!J:J)</f>
        <v>U</v>
      </c>
      <c r="H5848" t="str">
        <f>_xlfn.XLOOKUP(A5848,'[1]Tissue Data'!$A:$A,'[1]Tissue Data'!K:K)</f>
        <v>Whole Body</v>
      </c>
      <c r="I5848">
        <f>_xlfn.XLOOKUP(A5848,'[1]Tissue Data'!$A:$A,'[1]Tissue Data'!L:L)</f>
        <v>3.83</v>
      </c>
      <c r="J5848">
        <f>_xlfn.XLOOKUP(A5848,'[1]Tissue Data'!$A:$A,'[1]Tissue Data'!M:M)</f>
        <v>1.34</v>
      </c>
      <c r="K5848" t="s">
        <v>58</v>
      </c>
      <c r="L5848" t="str">
        <f>_xlfn.XLOOKUP(K5848,[2]analyte_order!$B:$B,[2]analyte_order!$C:$C)</f>
        <v>13252-13-6</v>
      </c>
      <c r="M5848">
        <f>_xlfn.XLOOKUP(L5848,[2]analyte_order!$C:$C,[2]analyte_order!$E:$E)</f>
        <v>34</v>
      </c>
      <c r="N5848">
        <v>0.1825</v>
      </c>
    </row>
    <row r="5849" spans="1:14">
      <c r="A5849" t="s">
        <v>163</v>
      </c>
      <c r="B5849" t="str">
        <f>_xlfn.XLOOKUP(A5849,'[1]Tissue Data'!$A:$A,'[1]Tissue Data'!$C:$C)</f>
        <v>Spill</v>
      </c>
      <c r="C5849" s="2">
        <f>_xlfn.XLOOKUP(A5849,'[1]Tissue Data'!$A:$A,'[1]Tissue Data'!$D:$D)</f>
        <v>44393</v>
      </c>
      <c r="D5849" s="2" t="s">
        <v>122</v>
      </c>
      <c r="E5849" t="str">
        <f>_xlfn.XLOOKUP(A5849,'[1]Tissue Data'!$A:$A,'[1]Tissue Data'!$H:$H)</f>
        <v>Etheostoma</v>
      </c>
      <c r="F5849" t="str">
        <f>_xlfn.XLOOKUP(A5849,'[1]Tissue Data'!$A:$A,'[1]Tissue Data'!$I:$I)</f>
        <v>olmstedi</v>
      </c>
      <c r="G5849" t="str">
        <f>_xlfn.XLOOKUP(A5849,'[1]Tissue Data'!$A:$A,'[1]Tissue Data'!J:J)</f>
        <v>U</v>
      </c>
      <c r="H5849" t="str">
        <f>_xlfn.XLOOKUP(A5849,'[1]Tissue Data'!$A:$A,'[1]Tissue Data'!K:K)</f>
        <v>Whole Body</v>
      </c>
      <c r="I5849">
        <f>_xlfn.XLOOKUP(A5849,'[1]Tissue Data'!$A:$A,'[1]Tissue Data'!L:L)</f>
        <v>3.83</v>
      </c>
      <c r="J5849">
        <f>_xlfn.XLOOKUP(A5849,'[1]Tissue Data'!$A:$A,'[1]Tissue Data'!M:M)</f>
        <v>1.34</v>
      </c>
      <c r="K5849" t="s">
        <v>59</v>
      </c>
      <c r="L5849" t="str">
        <f>_xlfn.XLOOKUP(K5849,[2]analyte_order!$B:$B,[2]analyte_order!$C:$C)</f>
        <v>57677-95-9</v>
      </c>
      <c r="M5849">
        <f>_xlfn.XLOOKUP(L5849,[2]analyte_order!$C:$C,[2]analyte_order!$E:$E)</f>
        <v>46</v>
      </c>
      <c r="N5849">
        <v>0.254</v>
      </c>
    </row>
    <row r="5850" spans="1:14">
      <c r="A5850" t="s">
        <v>163</v>
      </c>
      <c r="B5850" t="str">
        <f>_xlfn.XLOOKUP(A5850,'[1]Tissue Data'!$A:$A,'[1]Tissue Data'!$C:$C)</f>
        <v>Spill</v>
      </c>
      <c r="C5850" s="2">
        <f>_xlfn.XLOOKUP(A5850,'[1]Tissue Data'!$A:$A,'[1]Tissue Data'!$D:$D)</f>
        <v>44393</v>
      </c>
      <c r="D5850" s="2" t="s">
        <v>122</v>
      </c>
      <c r="E5850" t="str">
        <f>_xlfn.XLOOKUP(A5850,'[1]Tissue Data'!$A:$A,'[1]Tissue Data'!$H:$H)</f>
        <v>Etheostoma</v>
      </c>
      <c r="F5850" t="str">
        <f>_xlfn.XLOOKUP(A5850,'[1]Tissue Data'!$A:$A,'[1]Tissue Data'!$I:$I)</f>
        <v>olmstedi</v>
      </c>
      <c r="G5850" t="str">
        <f>_xlfn.XLOOKUP(A5850,'[1]Tissue Data'!$A:$A,'[1]Tissue Data'!J:J)</f>
        <v>U</v>
      </c>
      <c r="H5850" t="str">
        <f>_xlfn.XLOOKUP(A5850,'[1]Tissue Data'!$A:$A,'[1]Tissue Data'!K:K)</f>
        <v>Whole Body</v>
      </c>
      <c r="I5850">
        <f>_xlfn.XLOOKUP(A5850,'[1]Tissue Data'!$A:$A,'[1]Tissue Data'!L:L)</f>
        <v>3.83</v>
      </c>
      <c r="J5850">
        <f>_xlfn.XLOOKUP(A5850,'[1]Tissue Data'!$A:$A,'[1]Tissue Data'!M:M)</f>
        <v>1.34</v>
      </c>
      <c r="K5850" t="s">
        <v>60</v>
      </c>
      <c r="L5850" t="str">
        <f>_xlfn.XLOOKUP(K5850,[2]analyte_order!$B:$B,[2]analyte_order!$C:$C)</f>
        <v>678-41-1</v>
      </c>
      <c r="M5850">
        <f>_xlfn.XLOOKUP(L5850,[2]analyte_order!$C:$C,[2]analyte_order!$E:$E)</f>
        <v>56</v>
      </c>
      <c r="N5850">
        <v>0.254</v>
      </c>
    </row>
    <row r="5851" spans="1:14">
      <c r="A5851" t="s">
        <v>163</v>
      </c>
      <c r="B5851" t="str">
        <f>_xlfn.XLOOKUP(A5851,'[1]Tissue Data'!$A:$A,'[1]Tissue Data'!$C:$C)</f>
        <v>Spill</v>
      </c>
      <c r="C5851" s="2">
        <f>_xlfn.XLOOKUP(A5851,'[1]Tissue Data'!$A:$A,'[1]Tissue Data'!$D:$D)</f>
        <v>44393</v>
      </c>
      <c r="D5851" s="2" t="s">
        <v>122</v>
      </c>
      <c r="E5851" t="str">
        <f>_xlfn.XLOOKUP(A5851,'[1]Tissue Data'!$A:$A,'[1]Tissue Data'!$H:$H)</f>
        <v>Etheostoma</v>
      </c>
      <c r="F5851" t="str">
        <f>_xlfn.XLOOKUP(A5851,'[1]Tissue Data'!$A:$A,'[1]Tissue Data'!$I:$I)</f>
        <v>olmstedi</v>
      </c>
      <c r="G5851" t="str">
        <f>_xlfn.XLOOKUP(A5851,'[1]Tissue Data'!$A:$A,'[1]Tissue Data'!J:J)</f>
        <v>U</v>
      </c>
      <c r="H5851" t="str">
        <f>_xlfn.XLOOKUP(A5851,'[1]Tissue Data'!$A:$A,'[1]Tissue Data'!K:K)</f>
        <v>Whole Body</v>
      </c>
      <c r="I5851">
        <f>_xlfn.XLOOKUP(A5851,'[1]Tissue Data'!$A:$A,'[1]Tissue Data'!L:L)</f>
        <v>3.83</v>
      </c>
      <c r="J5851">
        <f>_xlfn.XLOOKUP(A5851,'[1]Tissue Data'!$A:$A,'[1]Tissue Data'!M:M)</f>
        <v>1.34</v>
      </c>
      <c r="K5851" t="s">
        <v>61</v>
      </c>
      <c r="L5851" t="str">
        <f>_xlfn.XLOOKUP(K5851,[2]analyte_order!$B:$B,[2]analyte_order!$C:$C)</f>
        <v>2965-52-8</v>
      </c>
      <c r="M5851">
        <f>_xlfn.XLOOKUP(L5851,[2]analyte_order!$C:$C,[2]analyte_order!$E:$E)</f>
        <v>57</v>
      </c>
      <c r="N5851">
        <v>0.254</v>
      </c>
    </row>
    <row r="5852" spans="1:14">
      <c r="A5852" t="s">
        <v>209</v>
      </c>
      <c r="B5852" t="str">
        <f>_xlfn.XLOOKUP(A5852,'[1]Tissue Data'!$A:$A,'[1]Tissue Data'!$C:$C)</f>
        <v>Spill</v>
      </c>
      <c r="C5852" s="2">
        <f>_xlfn.XLOOKUP(A5852,'[1]Tissue Data'!$A:$A,'[1]Tissue Data'!$D:$D)</f>
        <v>44393</v>
      </c>
      <c r="D5852" s="2" t="str">
        <f>_xlfn.XLOOKUP(A5852,'[1]Tissue Data'!$A:$A,'[1]Tissue Data'!$F:$F)</f>
        <v>Large Mouth Bass</v>
      </c>
      <c r="E5852" t="str">
        <f>_xlfn.XLOOKUP(A5852,'[1]Tissue Data'!$A:$A,'[1]Tissue Data'!$H:$H)</f>
        <v>Micropterus</v>
      </c>
      <c r="F5852" t="str">
        <f>_xlfn.XLOOKUP(A5852,'[1]Tissue Data'!$A:$A,'[1]Tissue Data'!$I:$I)</f>
        <v>salmoides</v>
      </c>
      <c r="G5852" t="str">
        <f>_xlfn.XLOOKUP(A5852,'[1]Tissue Data'!$A:$A,'[1]Tissue Data'!J:J)</f>
        <v>U</v>
      </c>
      <c r="H5852" t="str">
        <f>_xlfn.XLOOKUP(A5852,'[1]Tissue Data'!$A:$A,'[1]Tissue Data'!K:K)</f>
        <v>Whole Body</v>
      </c>
      <c r="I5852">
        <f>_xlfn.XLOOKUP(A5852,'[1]Tissue Data'!$A:$A,'[1]Tissue Data'!L:L)</f>
        <v>7.75</v>
      </c>
      <c r="J5852">
        <f>_xlfn.XLOOKUP(A5852,'[1]Tissue Data'!$A:$A,'[1]Tissue Data'!M:M)</f>
        <v>25.51</v>
      </c>
      <c r="K5852" t="s">
        <v>12</v>
      </c>
      <c r="L5852" t="str">
        <f>_xlfn.XLOOKUP(K5852,[2]analyte_order!$B:$B,[2]analyte_order!$C:$C)</f>
        <v>375-22-4</v>
      </c>
      <c r="M5852">
        <f>_xlfn.XLOOKUP(L5852,[2]analyte_order!$C:$C,[2]analyte_order!$E:$E)</f>
        <v>1</v>
      </c>
      <c r="N5852">
        <v>0.23849999999999999</v>
      </c>
    </row>
    <row r="5853" spans="1:14">
      <c r="A5853" t="s">
        <v>209</v>
      </c>
      <c r="B5853" t="str">
        <f>_xlfn.XLOOKUP(A5853,'[1]Tissue Data'!$A:$A,'[1]Tissue Data'!$C:$C)</f>
        <v>Spill</v>
      </c>
      <c r="C5853" s="2">
        <f>_xlfn.XLOOKUP(A5853,'[1]Tissue Data'!$A:$A,'[1]Tissue Data'!$D:$D)</f>
        <v>44393</v>
      </c>
      <c r="D5853" s="2" t="str">
        <f>_xlfn.XLOOKUP(A5853,'[1]Tissue Data'!$A:$A,'[1]Tissue Data'!$F:$F)</f>
        <v>Large Mouth Bass</v>
      </c>
      <c r="E5853" t="str">
        <f>_xlfn.XLOOKUP(A5853,'[1]Tissue Data'!$A:$A,'[1]Tissue Data'!$H:$H)</f>
        <v>Micropterus</v>
      </c>
      <c r="F5853" t="str">
        <f>_xlfn.XLOOKUP(A5853,'[1]Tissue Data'!$A:$A,'[1]Tissue Data'!$I:$I)</f>
        <v>salmoides</v>
      </c>
      <c r="G5853" t="str">
        <f>_xlfn.XLOOKUP(A5853,'[1]Tissue Data'!$A:$A,'[1]Tissue Data'!J:J)</f>
        <v>U</v>
      </c>
      <c r="H5853" t="str">
        <f>_xlfn.XLOOKUP(A5853,'[1]Tissue Data'!$A:$A,'[1]Tissue Data'!K:K)</f>
        <v>Whole Body</v>
      </c>
      <c r="I5853">
        <f>_xlfn.XLOOKUP(A5853,'[1]Tissue Data'!$A:$A,'[1]Tissue Data'!L:L)</f>
        <v>7.75</v>
      </c>
      <c r="J5853">
        <f>_xlfn.XLOOKUP(A5853,'[1]Tissue Data'!$A:$A,'[1]Tissue Data'!M:M)</f>
        <v>25.51</v>
      </c>
      <c r="K5853" t="s">
        <v>13</v>
      </c>
      <c r="L5853" t="str">
        <f>_xlfn.XLOOKUP(K5853,[2]analyte_order!$B:$B,[2]analyte_order!$C:$C)</f>
        <v>2706-90-3</v>
      </c>
      <c r="M5853">
        <f>_xlfn.XLOOKUP(L5853,[2]analyte_order!$C:$C,[2]analyte_order!$E:$E)</f>
        <v>2</v>
      </c>
      <c r="N5853">
        <v>8.4000000000000005E-2</v>
      </c>
    </row>
    <row r="5854" spans="1:14">
      <c r="A5854" t="s">
        <v>209</v>
      </c>
      <c r="B5854" t="str">
        <f>_xlfn.XLOOKUP(A5854,'[1]Tissue Data'!$A:$A,'[1]Tissue Data'!$C:$C)</f>
        <v>Spill</v>
      </c>
      <c r="C5854" s="2">
        <f>_xlfn.XLOOKUP(A5854,'[1]Tissue Data'!$A:$A,'[1]Tissue Data'!$D:$D)</f>
        <v>44393</v>
      </c>
      <c r="D5854" s="2" t="str">
        <f>_xlfn.XLOOKUP(A5854,'[1]Tissue Data'!$A:$A,'[1]Tissue Data'!$F:$F)</f>
        <v>Large Mouth Bass</v>
      </c>
      <c r="E5854" t="str">
        <f>_xlfn.XLOOKUP(A5854,'[1]Tissue Data'!$A:$A,'[1]Tissue Data'!$H:$H)</f>
        <v>Micropterus</v>
      </c>
      <c r="F5854" t="str">
        <f>_xlfn.XLOOKUP(A5854,'[1]Tissue Data'!$A:$A,'[1]Tissue Data'!$I:$I)</f>
        <v>salmoides</v>
      </c>
      <c r="G5854" t="str">
        <f>_xlfn.XLOOKUP(A5854,'[1]Tissue Data'!$A:$A,'[1]Tissue Data'!J:J)</f>
        <v>U</v>
      </c>
      <c r="H5854" t="str">
        <f>_xlfn.XLOOKUP(A5854,'[1]Tissue Data'!$A:$A,'[1]Tissue Data'!K:K)</f>
        <v>Whole Body</v>
      </c>
      <c r="I5854">
        <f>_xlfn.XLOOKUP(A5854,'[1]Tissue Data'!$A:$A,'[1]Tissue Data'!L:L)</f>
        <v>7.75</v>
      </c>
      <c r="J5854">
        <f>_xlfn.XLOOKUP(A5854,'[1]Tissue Data'!$A:$A,'[1]Tissue Data'!M:M)</f>
        <v>25.51</v>
      </c>
      <c r="K5854" t="s">
        <v>14</v>
      </c>
      <c r="L5854" t="str">
        <f>_xlfn.XLOOKUP(K5854,[2]analyte_order!$B:$B,[2]analyte_order!$C:$C)</f>
        <v>307-24-4</v>
      </c>
      <c r="M5854">
        <f>_xlfn.XLOOKUP(L5854,[2]analyte_order!$C:$C,[2]analyte_order!$E:$E)</f>
        <v>3</v>
      </c>
      <c r="N5854">
        <v>0.129</v>
      </c>
    </row>
    <row r="5855" spans="1:14">
      <c r="A5855" t="s">
        <v>209</v>
      </c>
      <c r="B5855" t="str">
        <f>_xlfn.XLOOKUP(A5855,'[1]Tissue Data'!$A:$A,'[1]Tissue Data'!$C:$C)</f>
        <v>Spill</v>
      </c>
      <c r="C5855" s="2">
        <f>_xlfn.XLOOKUP(A5855,'[1]Tissue Data'!$A:$A,'[1]Tissue Data'!$D:$D)</f>
        <v>44393</v>
      </c>
      <c r="D5855" s="2" t="str">
        <f>_xlfn.XLOOKUP(A5855,'[1]Tissue Data'!$A:$A,'[1]Tissue Data'!$F:$F)</f>
        <v>Large Mouth Bass</v>
      </c>
      <c r="E5855" t="str">
        <f>_xlfn.XLOOKUP(A5855,'[1]Tissue Data'!$A:$A,'[1]Tissue Data'!$H:$H)</f>
        <v>Micropterus</v>
      </c>
      <c r="F5855" t="str">
        <f>_xlfn.XLOOKUP(A5855,'[1]Tissue Data'!$A:$A,'[1]Tissue Data'!$I:$I)</f>
        <v>salmoides</v>
      </c>
      <c r="G5855" t="str">
        <f>_xlfn.XLOOKUP(A5855,'[1]Tissue Data'!$A:$A,'[1]Tissue Data'!J:J)</f>
        <v>U</v>
      </c>
      <c r="H5855" t="str">
        <f>_xlfn.XLOOKUP(A5855,'[1]Tissue Data'!$A:$A,'[1]Tissue Data'!K:K)</f>
        <v>Whole Body</v>
      </c>
      <c r="I5855">
        <f>_xlfn.XLOOKUP(A5855,'[1]Tissue Data'!$A:$A,'[1]Tissue Data'!L:L)</f>
        <v>7.75</v>
      </c>
      <c r="J5855">
        <f>_xlfn.XLOOKUP(A5855,'[1]Tissue Data'!$A:$A,'[1]Tissue Data'!M:M)</f>
        <v>25.51</v>
      </c>
      <c r="K5855" t="s">
        <v>15</v>
      </c>
      <c r="L5855" t="str">
        <f>_xlfn.XLOOKUP(K5855,[2]analyte_order!$B:$B,[2]analyte_order!$C:$C)</f>
        <v>375-85-9</v>
      </c>
      <c r="M5855">
        <f>_xlfn.XLOOKUP(L5855,[2]analyte_order!$C:$C,[2]analyte_order!$E:$E)</f>
        <v>4</v>
      </c>
      <c r="N5855">
        <v>0.23849999999999999</v>
      </c>
    </row>
    <row r="5856" spans="1:14">
      <c r="A5856" t="s">
        <v>209</v>
      </c>
      <c r="B5856" t="str">
        <f>_xlfn.XLOOKUP(A5856,'[1]Tissue Data'!$A:$A,'[1]Tissue Data'!$C:$C)</f>
        <v>Spill</v>
      </c>
      <c r="C5856" s="2">
        <f>_xlfn.XLOOKUP(A5856,'[1]Tissue Data'!$A:$A,'[1]Tissue Data'!$D:$D)</f>
        <v>44393</v>
      </c>
      <c r="D5856" s="2" t="str">
        <f>_xlfn.XLOOKUP(A5856,'[1]Tissue Data'!$A:$A,'[1]Tissue Data'!$F:$F)</f>
        <v>Large Mouth Bass</v>
      </c>
      <c r="E5856" t="str">
        <f>_xlfn.XLOOKUP(A5856,'[1]Tissue Data'!$A:$A,'[1]Tissue Data'!$H:$H)</f>
        <v>Micropterus</v>
      </c>
      <c r="F5856" t="str">
        <f>_xlfn.XLOOKUP(A5856,'[1]Tissue Data'!$A:$A,'[1]Tissue Data'!$I:$I)</f>
        <v>salmoides</v>
      </c>
      <c r="G5856" t="str">
        <f>_xlfn.XLOOKUP(A5856,'[1]Tissue Data'!$A:$A,'[1]Tissue Data'!J:J)</f>
        <v>U</v>
      </c>
      <c r="H5856" t="str">
        <f>_xlfn.XLOOKUP(A5856,'[1]Tissue Data'!$A:$A,'[1]Tissue Data'!K:K)</f>
        <v>Whole Body</v>
      </c>
      <c r="I5856">
        <f>_xlfn.XLOOKUP(A5856,'[1]Tissue Data'!$A:$A,'[1]Tissue Data'!L:L)</f>
        <v>7.75</v>
      </c>
      <c r="J5856">
        <f>_xlfn.XLOOKUP(A5856,'[1]Tissue Data'!$A:$A,'[1]Tissue Data'!M:M)</f>
        <v>25.51</v>
      </c>
      <c r="K5856" t="s">
        <v>16</v>
      </c>
      <c r="L5856" t="str">
        <f>_xlfn.XLOOKUP(K5856,[2]analyte_order!$B:$B,[2]analyte_order!$C:$C)</f>
        <v>335-67-1</v>
      </c>
      <c r="M5856">
        <f>_xlfn.XLOOKUP(L5856,[2]analyte_order!$C:$C,[2]analyte_order!$E:$E)</f>
        <v>5</v>
      </c>
      <c r="N5856">
        <v>0.53400000000000003</v>
      </c>
    </row>
    <row r="5857" spans="1:14">
      <c r="A5857" t="s">
        <v>209</v>
      </c>
      <c r="B5857" t="str">
        <f>_xlfn.XLOOKUP(A5857,'[1]Tissue Data'!$A:$A,'[1]Tissue Data'!$C:$C)</f>
        <v>Spill</v>
      </c>
      <c r="C5857" s="2">
        <f>_xlfn.XLOOKUP(A5857,'[1]Tissue Data'!$A:$A,'[1]Tissue Data'!$D:$D)</f>
        <v>44393</v>
      </c>
      <c r="D5857" s="2" t="str">
        <f>_xlfn.XLOOKUP(A5857,'[1]Tissue Data'!$A:$A,'[1]Tissue Data'!$F:$F)</f>
        <v>Large Mouth Bass</v>
      </c>
      <c r="E5857" t="str">
        <f>_xlfn.XLOOKUP(A5857,'[1]Tissue Data'!$A:$A,'[1]Tissue Data'!$H:$H)</f>
        <v>Micropterus</v>
      </c>
      <c r="F5857" t="str">
        <f>_xlfn.XLOOKUP(A5857,'[1]Tissue Data'!$A:$A,'[1]Tissue Data'!$I:$I)</f>
        <v>salmoides</v>
      </c>
      <c r="G5857" t="str">
        <f>_xlfn.XLOOKUP(A5857,'[1]Tissue Data'!$A:$A,'[1]Tissue Data'!J:J)</f>
        <v>U</v>
      </c>
      <c r="H5857" t="str">
        <f>_xlfn.XLOOKUP(A5857,'[1]Tissue Data'!$A:$A,'[1]Tissue Data'!K:K)</f>
        <v>Whole Body</v>
      </c>
      <c r="I5857">
        <f>_xlfn.XLOOKUP(A5857,'[1]Tissue Data'!$A:$A,'[1]Tissue Data'!L:L)</f>
        <v>7.75</v>
      </c>
      <c r="J5857">
        <f>_xlfn.XLOOKUP(A5857,'[1]Tissue Data'!$A:$A,'[1]Tissue Data'!M:M)</f>
        <v>25.51</v>
      </c>
      <c r="K5857" t="s">
        <v>17</v>
      </c>
      <c r="L5857" t="str">
        <f>_xlfn.XLOOKUP(K5857,[2]analyte_order!$B:$B,[2]analyte_order!$C:$C)</f>
        <v>375-95-1</v>
      </c>
      <c r="M5857">
        <f>_xlfn.XLOOKUP(L5857,[2]analyte_order!$C:$C,[2]analyte_order!$E:$E)</f>
        <v>6</v>
      </c>
      <c r="N5857">
        <v>1.17</v>
      </c>
    </row>
    <row r="5858" spans="1:14">
      <c r="A5858" t="s">
        <v>209</v>
      </c>
      <c r="B5858" t="str">
        <f>_xlfn.XLOOKUP(A5858,'[1]Tissue Data'!$A:$A,'[1]Tissue Data'!$C:$C)</f>
        <v>Spill</v>
      </c>
      <c r="C5858" s="2">
        <f>_xlfn.XLOOKUP(A5858,'[1]Tissue Data'!$A:$A,'[1]Tissue Data'!$D:$D)</f>
        <v>44393</v>
      </c>
      <c r="D5858" s="2" t="str">
        <f>_xlfn.XLOOKUP(A5858,'[1]Tissue Data'!$A:$A,'[1]Tissue Data'!$F:$F)</f>
        <v>Large Mouth Bass</v>
      </c>
      <c r="E5858" t="str">
        <f>_xlfn.XLOOKUP(A5858,'[1]Tissue Data'!$A:$A,'[1]Tissue Data'!$H:$H)</f>
        <v>Micropterus</v>
      </c>
      <c r="F5858" t="str">
        <f>_xlfn.XLOOKUP(A5858,'[1]Tissue Data'!$A:$A,'[1]Tissue Data'!$I:$I)</f>
        <v>salmoides</v>
      </c>
      <c r="G5858" t="str">
        <f>_xlfn.XLOOKUP(A5858,'[1]Tissue Data'!$A:$A,'[1]Tissue Data'!J:J)</f>
        <v>U</v>
      </c>
      <c r="H5858" t="str">
        <f>_xlfn.XLOOKUP(A5858,'[1]Tissue Data'!$A:$A,'[1]Tissue Data'!K:K)</f>
        <v>Whole Body</v>
      </c>
      <c r="I5858">
        <f>_xlfn.XLOOKUP(A5858,'[1]Tissue Data'!$A:$A,'[1]Tissue Data'!L:L)</f>
        <v>7.75</v>
      </c>
      <c r="J5858">
        <f>_xlfn.XLOOKUP(A5858,'[1]Tissue Data'!$A:$A,'[1]Tissue Data'!M:M)</f>
        <v>25.51</v>
      </c>
      <c r="K5858" t="s">
        <v>18</v>
      </c>
      <c r="L5858" t="str">
        <f>_xlfn.XLOOKUP(K5858,[2]analyte_order!$B:$B,[2]analyte_order!$C:$C)</f>
        <v>335-76-2</v>
      </c>
      <c r="M5858">
        <f>_xlfn.XLOOKUP(L5858,[2]analyte_order!$C:$C,[2]analyte_order!$E:$E)</f>
        <v>7</v>
      </c>
      <c r="N5858">
        <v>9.93</v>
      </c>
    </row>
    <row r="5859" spans="1:14">
      <c r="A5859" t="s">
        <v>209</v>
      </c>
      <c r="B5859" t="str">
        <f>_xlfn.XLOOKUP(A5859,'[1]Tissue Data'!$A:$A,'[1]Tissue Data'!$C:$C)</f>
        <v>Spill</v>
      </c>
      <c r="C5859" s="2">
        <f>_xlfn.XLOOKUP(A5859,'[1]Tissue Data'!$A:$A,'[1]Tissue Data'!$D:$D)</f>
        <v>44393</v>
      </c>
      <c r="D5859" s="2" t="str">
        <f>_xlfn.XLOOKUP(A5859,'[1]Tissue Data'!$A:$A,'[1]Tissue Data'!$F:$F)</f>
        <v>Large Mouth Bass</v>
      </c>
      <c r="E5859" t="str">
        <f>_xlfn.XLOOKUP(A5859,'[1]Tissue Data'!$A:$A,'[1]Tissue Data'!$H:$H)</f>
        <v>Micropterus</v>
      </c>
      <c r="F5859" t="str">
        <f>_xlfn.XLOOKUP(A5859,'[1]Tissue Data'!$A:$A,'[1]Tissue Data'!$I:$I)</f>
        <v>salmoides</v>
      </c>
      <c r="G5859" t="str">
        <f>_xlfn.XLOOKUP(A5859,'[1]Tissue Data'!$A:$A,'[1]Tissue Data'!J:J)</f>
        <v>U</v>
      </c>
      <c r="H5859" t="str">
        <f>_xlfn.XLOOKUP(A5859,'[1]Tissue Data'!$A:$A,'[1]Tissue Data'!K:K)</f>
        <v>Whole Body</v>
      </c>
      <c r="I5859">
        <f>_xlfn.XLOOKUP(A5859,'[1]Tissue Data'!$A:$A,'[1]Tissue Data'!L:L)</f>
        <v>7.75</v>
      </c>
      <c r="J5859">
        <f>_xlfn.XLOOKUP(A5859,'[1]Tissue Data'!$A:$A,'[1]Tissue Data'!M:M)</f>
        <v>25.51</v>
      </c>
      <c r="K5859" t="s">
        <v>19</v>
      </c>
      <c r="L5859" t="str">
        <f>_xlfn.XLOOKUP(K5859,[2]analyte_order!$B:$B,[2]analyte_order!$C:$C)</f>
        <v>2058-94-8</v>
      </c>
      <c r="M5859">
        <f>_xlfn.XLOOKUP(L5859,[2]analyte_order!$C:$C,[2]analyte_order!$E:$E)</f>
        <v>8</v>
      </c>
      <c r="N5859">
        <v>16.2</v>
      </c>
    </row>
    <row r="5860" spans="1:14">
      <c r="A5860" t="s">
        <v>209</v>
      </c>
      <c r="B5860" t="str">
        <f>_xlfn.XLOOKUP(A5860,'[1]Tissue Data'!$A:$A,'[1]Tissue Data'!$C:$C)</f>
        <v>Spill</v>
      </c>
      <c r="C5860" s="2">
        <f>_xlfn.XLOOKUP(A5860,'[1]Tissue Data'!$A:$A,'[1]Tissue Data'!$D:$D)</f>
        <v>44393</v>
      </c>
      <c r="D5860" s="2" t="str">
        <f>_xlfn.XLOOKUP(A5860,'[1]Tissue Data'!$A:$A,'[1]Tissue Data'!$F:$F)</f>
        <v>Large Mouth Bass</v>
      </c>
      <c r="E5860" t="str">
        <f>_xlfn.XLOOKUP(A5860,'[1]Tissue Data'!$A:$A,'[1]Tissue Data'!$H:$H)</f>
        <v>Micropterus</v>
      </c>
      <c r="F5860" t="str">
        <f>_xlfn.XLOOKUP(A5860,'[1]Tissue Data'!$A:$A,'[1]Tissue Data'!$I:$I)</f>
        <v>salmoides</v>
      </c>
      <c r="G5860" t="str">
        <f>_xlfn.XLOOKUP(A5860,'[1]Tissue Data'!$A:$A,'[1]Tissue Data'!J:J)</f>
        <v>U</v>
      </c>
      <c r="H5860" t="str">
        <f>_xlfn.XLOOKUP(A5860,'[1]Tissue Data'!$A:$A,'[1]Tissue Data'!K:K)</f>
        <v>Whole Body</v>
      </c>
      <c r="I5860">
        <f>_xlfn.XLOOKUP(A5860,'[1]Tissue Data'!$A:$A,'[1]Tissue Data'!L:L)</f>
        <v>7.75</v>
      </c>
      <c r="J5860">
        <f>_xlfn.XLOOKUP(A5860,'[1]Tissue Data'!$A:$A,'[1]Tissue Data'!M:M)</f>
        <v>25.51</v>
      </c>
      <c r="K5860" t="s">
        <v>20</v>
      </c>
      <c r="L5860" t="str">
        <f>_xlfn.XLOOKUP(K5860,[2]analyte_order!$B:$B,[2]analyte_order!$C:$C)</f>
        <v>307-55-1</v>
      </c>
      <c r="M5860">
        <f>_xlfn.XLOOKUP(L5860,[2]analyte_order!$C:$C,[2]analyte_order!$E:$E)</f>
        <v>9</v>
      </c>
      <c r="N5860">
        <v>17.399999999999999</v>
      </c>
    </row>
    <row r="5861" spans="1:14">
      <c r="A5861" t="s">
        <v>209</v>
      </c>
      <c r="B5861" t="str">
        <f>_xlfn.XLOOKUP(A5861,'[1]Tissue Data'!$A:$A,'[1]Tissue Data'!$C:$C)</f>
        <v>Spill</v>
      </c>
      <c r="C5861" s="2">
        <f>_xlfn.XLOOKUP(A5861,'[1]Tissue Data'!$A:$A,'[1]Tissue Data'!$D:$D)</f>
        <v>44393</v>
      </c>
      <c r="D5861" s="2" t="str">
        <f>_xlfn.XLOOKUP(A5861,'[1]Tissue Data'!$A:$A,'[1]Tissue Data'!$F:$F)</f>
        <v>Large Mouth Bass</v>
      </c>
      <c r="E5861" t="str">
        <f>_xlfn.XLOOKUP(A5861,'[1]Tissue Data'!$A:$A,'[1]Tissue Data'!$H:$H)</f>
        <v>Micropterus</v>
      </c>
      <c r="F5861" t="str">
        <f>_xlfn.XLOOKUP(A5861,'[1]Tissue Data'!$A:$A,'[1]Tissue Data'!$I:$I)</f>
        <v>salmoides</v>
      </c>
      <c r="G5861" t="str">
        <f>_xlfn.XLOOKUP(A5861,'[1]Tissue Data'!$A:$A,'[1]Tissue Data'!J:J)</f>
        <v>U</v>
      </c>
      <c r="H5861" t="str">
        <f>_xlfn.XLOOKUP(A5861,'[1]Tissue Data'!$A:$A,'[1]Tissue Data'!K:K)</f>
        <v>Whole Body</v>
      </c>
      <c r="I5861">
        <f>_xlfn.XLOOKUP(A5861,'[1]Tissue Data'!$A:$A,'[1]Tissue Data'!L:L)</f>
        <v>7.75</v>
      </c>
      <c r="J5861">
        <f>_xlfn.XLOOKUP(A5861,'[1]Tissue Data'!$A:$A,'[1]Tissue Data'!M:M)</f>
        <v>25.51</v>
      </c>
      <c r="K5861" t="s">
        <v>21</v>
      </c>
      <c r="L5861" t="str">
        <f>_xlfn.XLOOKUP(K5861,[2]analyte_order!$B:$B,[2]analyte_order!$C:$C)</f>
        <v>72629-94-8</v>
      </c>
      <c r="M5861">
        <f>_xlfn.XLOOKUP(L5861,[2]analyte_order!$C:$C,[2]analyte_order!$E:$E)</f>
        <v>10</v>
      </c>
      <c r="N5861">
        <v>4.83</v>
      </c>
    </row>
    <row r="5862" spans="1:14">
      <c r="A5862" t="s">
        <v>209</v>
      </c>
      <c r="B5862" t="str">
        <f>_xlfn.XLOOKUP(A5862,'[1]Tissue Data'!$A:$A,'[1]Tissue Data'!$C:$C)</f>
        <v>Spill</v>
      </c>
      <c r="C5862" s="2">
        <f>_xlfn.XLOOKUP(A5862,'[1]Tissue Data'!$A:$A,'[1]Tissue Data'!$D:$D)</f>
        <v>44393</v>
      </c>
      <c r="D5862" s="2" t="str">
        <f>_xlfn.XLOOKUP(A5862,'[1]Tissue Data'!$A:$A,'[1]Tissue Data'!$F:$F)</f>
        <v>Large Mouth Bass</v>
      </c>
      <c r="E5862" t="str">
        <f>_xlfn.XLOOKUP(A5862,'[1]Tissue Data'!$A:$A,'[1]Tissue Data'!$H:$H)</f>
        <v>Micropterus</v>
      </c>
      <c r="F5862" t="str">
        <f>_xlfn.XLOOKUP(A5862,'[1]Tissue Data'!$A:$A,'[1]Tissue Data'!$I:$I)</f>
        <v>salmoides</v>
      </c>
      <c r="G5862" t="str">
        <f>_xlfn.XLOOKUP(A5862,'[1]Tissue Data'!$A:$A,'[1]Tissue Data'!J:J)</f>
        <v>U</v>
      </c>
      <c r="H5862" t="str">
        <f>_xlfn.XLOOKUP(A5862,'[1]Tissue Data'!$A:$A,'[1]Tissue Data'!K:K)</f>
        <v>Whole Body</v>
      </c>
      <c r="I5862">
        <f>_xlfn.XLOOKUP(A5862,'[1]Tissue Data'!$A:$A,'[1]Tissue Data'!L:L)</f>
        <v>7.75</v>
      </c>
      <c r="J5862">
        <f>_xlfn.XLOOKUP(A5862,'[1]Tissue Data'!$A:$A,'[1]Tissue Data'!M:M)</f>
        <v>25.51</v>
      </c>
      <c r="K5862" t="s">
        <v>22</v>
      </c>
      <c r="L5862" t="str">
        <f>_xlfn.XLOOKUP(K5862,[2]analyte_order!$B:$B,[2]analyte_order!$C:$C)</f>
        <v>376-06-7</v>
      </c>
      <c r="M5862">
        <f>_xlfn.XLOOKUP(L5862,[2]analyte_order!$C:$C,[2]analyte_order!$E:$E)</f>
        <v>11</v>
      </c>
      <c r="N5862">
        <v>7.62</v>
      </c>
    </row>
    <row r="5863" spans="1:14">
      <c r="A5863" t="s">
        <v>209</v>
      </c>
      <c r="B5863" t="str">
        <f>_xlfn.XLOOKUP(A5863,'[1]Tissue Data'!$A:$A,'[1]Tissue Data'!$C:$C)</f>
        <v>Spill</v>
      </c>
      <c r="C5863" s="2">
        <f>_xlfn.XLOOKUP(A5863,'[1]Tissue Data'!$A:$A,'[1]Tissue Data'!$D:$D)</f>
        <v>44393</v>
      </c>
      <c r="D5863" s="2" t="str">
        <f>_xlfn.XLOOKUP(A5863,'[1]Tissue Data'!$A:$A,'[1]Tissue Data'!$F:$F)</f>
        <v>Large Mouth Bass</v>
      </c>
      <c r="E5863" t="str">
        <f>_xlfn.XLOOKUP(A5863,'[1]Tissue Data'!$A:$A,'[1]Tissue Data'!$H:$H)</f>
        <v>Micropterus</v>
      </c>
      <c r="F5863" t="str">
        <f>_xlfn.XLOOKUP(A5863,'[1]Tissue Data'!$A:$A,'[1]Tissue Data'!$I:$I)</f>
        <v>salmoides</v>
      </c>
      <c r="G5863" t="str">
        <f>_xlfn.XLOOKUP(A5863,'[1]Tissue Data'!$A:$A,'[1]Tissue Data'!J:J)</f>
        <v>U</v>
      </c>
      <c r="H5863" t="str">
        <f>_xlfn.XLOOKUP(A5863,'[1]Tissue Data'!$A:$A,'[1]Tissue Data'!K:K)</f>
        <v>Whole Body</v>
      </c>
      <c r="I5863">
        <f>_xlfn.XLOOKUP(A5863,'[1]Tissue Data'!$A:$A,'[1]Tissue Data'!L:L)</f>
        <v>7.75</v>
      </c>
      <c r="J5863">
        <f>_xlfn.XLOOKUP(A5863,'[1]Tissue Data'!$A:$A,'[1]Tissue Data'!M:M)</f>
        <v>25.51</v>
      </c>
      <c r="K5863" t="s">
        <v>23</v>
      </c>
      <c r="L5863" t="str">
        <f>_xlfn.XLOOKUP(K5863,[2]analyte_order!$B:$B,[2]analyte_order!$C:$C)</f>
        <v>67905-19-5</v>
      </c>
      <c r="M5863">
        <f>_xlfn.XLOOKUP(L5863,[2]analyte_order!$C:$C,[2]analyte_order!$E:$E)</f>
        <v>12</v>
      </c>
      <c r="N5863">
        <v>0.14199999999999999</v>
      </c>
    </row>
    <row r="5864" spans="1:14">
      <c r="A5864" t="s">
        <v>209</v>
      </c>
      <c r="B5864" t="str">
        <f>_xlfn.XLOOKUP(A5864,'[1]Tissue Data'!$A:$A,'[1]Tissue Data'!$C:$C)</f>
        <v>Spill</v>
      </c>
      <c r="C5864" s="2">
        <f>_xlfn.XLOOKUP(A5864,'[1]Tissue Data'!$A:$A,'[1]Tissue Data'!$D:$D)</f>
        <v>44393</v>
      </c>
      <c r="D5864" s="2" t="str">
        <f>_xlfn.XLOOKUP(A5864,'[1]Tissue Data'!$A:$A,'[1]Tissue Data'!$F:$F)</f>
        <v>Large Mouth Bass</v>
      </c>
      <c r="E5864" t="str">
        <f>_xlfn.XLOOKUP(A5864,'[1]Tissue Data'!$A:$A,'[1]Tissue Data'!$H:$H)</f>
        <v>Micropterus</v>
      </c>
      <c r="F5864" t="str">
        <f>_xlfn.XLOOKUP(A5864,'[1]Tissue Data'!$A:$A,'[1]Tissue Data'!$I:$I)</f>
        <v>salmoides</v>
      </c>
      <c r="G5864" t="str">
        <f>_xlfn.XLOOKUP(A5864,'[1]Tissue Data'!$A:$A,'[1]Tissue Data'!J:J)</f>
        <v>U</v>
      </c>
      <c r="H5864" t="str">
        <f>_xlfn.XLOOKUP(A5864,'[1]Tissue Data'!$A:$A,'[1]Tissue Data'!K:K)</f>
        <v>Whole Body</v>
      </c>
      <c r="I5864">
        <f>_xlfn.XLOOKUP(A5864,'[1]Tissue Data'!$A:$A,'[1]Tissue Data'!L:L)</f>
        <v>7.75</v>
      </c>
      <c r="J5864">
        <f>_xlfn.XLOOKUP(A5864,'[1]Tissue Data'!$A:$A,'[1]Tissue Data'!M:M)</f>
        <v>25.51</v>
      </c>
      <c r="K5864" t="s">
        <v>24</v>
      </c>
      <c r="L5864" t="str">
        <f>_xlfn.XLOOKUP(K5864,[2]analyte_order!$B:$B,[2]analyte_order!$C:$C)</f>
        <v>423-41-6</v>
      </c>
      <c r="M5864">
        <f>_xlfn.XLOOKUP(L5864,[2]analyte_order!$C:$C,[2]analyte_order!$E:$E)</f>
        <v>53</v>
      </c>
      <c r="N5864">
        <v>0.1195</v>
      </c>
    </row>
    <row r="5865" spans="1:14">
      <c r="A5865" t="s">
        <v>209</v>
      </c>
      <c r="B5865" t="str">
        <f>_xlfn.XLOOKUP(A5865,'[1]Tissue Data'!$A:$A,'[1]Tissue Data'!$C:$C)</f>
        <v>Spill</v>
      </c>
      <c r="C5865" s="2">
        <f>_xlfn.XLOOKUP(A5865,'[1]Tissue Data'!$A:$A,'[1]Tissue Data'!$D:$D)</f>
        <v>44393</v>
      </c>
      <c r="D5865" s="2" t="str">
        <f>_xlfn.XLOOKUP(A5865,'[1]Tissue Data'!$A:$A,'[1]Tissue Data'!$F:$F)</f>
        <v>Large Mouth Bass</v>
      </c>
      <c r="E5865" t="str">
        <f>_xlfn.XLOOKUP(A5865,'[1]Tissue Data'!$A:$A,'[1]Tissue Data'!$H:$H)</f>
        <v>Micropterus</v>
      </c>
      <c r="F5865" t="str">
        <f>_xlfn.XLOOKUP(A5865,'[1]Tissue Data'!$A:$A,'[1]Tissue Data'!$I:$I)</f>
        <v>salmoides</v>
      </c>
      <c r="G5865" t="str">
        <f>_xlfn.XLOOKUP(A5865,'[1]Tissue Data'!$A:$A,'[1]Tissue Data'!J:J)</f>
        <v>U</v>
      </c>
      <c r="H5865" t="str">
        <f>_xlfn.XLOOKUP(A5865,'[1]Tissue Data'!$A:$A,'[1]Tissue Data'!K:K)</f>
        <v>Whole Body</v>
      </c>
      <c r="I5865">
        <f>_xlfn.XLOOKUP(A5865,'[1]Tissue Data'!$A:$A,'[1]Tissue Data'!L:L)</f>
        <v>7.75</v>
      </c>
      <c r="J5865">
        <f>_xlfn.XLOOKUP(A5865,'[1]Tissue Data'!$A:$A,'[1]Tissue Data'!M:M)</f>
        <v>25.51</v>
      </c>
      <c r="K5865" t="s">
        <v>25</v>
      </c>
      <c r="L5865" t="str">
        <f>_xlfn.XLOOKUP(K5865,[2]analyte_order!$B:$B,[2]analyte_order!$C:$C)</f>
        <v>375-73-5</v>
      </c>
      <c r="M5865">
        <f>_xlfn.XLOOKUP(L5865,[2]analyte_order!$C:$C,[2]analyte_order!$E:$E)</f>
        <v>14</v>
      </c>
      <c r="N5865">
        <v>0.23849999999999999</v>
      </c>
    </row>
    <row r="5866" spans="1:14">
      <c r="A5866" t="s">
        <v>209</v>
      </c>
      <c r="B5866" t="str">
        <f>_xlfn.XLOOKUP(A5866,'[1]Tissue Data'!$A:$A,'[1]Tissue Data'!$C:$C)</f>
        <v>Spill</v>
      </c>
      <c r="C5866" s="2">
        <f>_xlfn.XLOOKUP(A5866,'[1]Tissue Data'!$A:$A,'[1]Tissue Data'!$D:$D)</f>
        <v>44393</v>
      </c>
      <c r="D5866" s="2" t="str">
        <f>_xlfn.XLOOKUP(A5866,'[1]Tissue Data'!$A:$A,'[1]Tissue Data'!$F:$F)</f>
        <v>Large Mouth Bass</v>
      </c>
      <c r="E5866" t="str">
        <f>_xlfn.XLOOKUP(A5866,'[1]Tissue Data'!$A:$A,'[1]Tissue Data'!$H:$H)</f>
        <v>Micropterus</v>
      </c>
      <c r="F5866" t="str">
        <f>_xlfn.XLOOKUP(A5866,'[1]Tissue Data'!$A:$A,'[1]Tissue Data'!$I:$I)</f>
        <v>salmoides</v>
      </c>
      <c r="G5866" t="str">
        <f>_xlfn.XLOOKUP(A5866,'[1]Tissue Data'!$A:$A,'[1]Tissue Data'!J:J)</f>
        <v>U</v>
      </c>
      <c r="H5866" t="str">
        <f>_xlfn.XLOOKUP(A5866,'[1]Tissue Data'!$A:$A,'[1]Tissue Data'!K:K)</f>
        <v>Whole Body</v>
      </c>
      <c r="I5866">
        <f>_xlfn.XLOOKUP(A5866,'[1]Tissue Data'!$A:$A,'[1]Tissue Data'!L:L)</f>
        <v>7.75</v>
      </c>
      <c r="J5866">
        <f>_xlfn.XLOOKUP(A5866,'[1]Tissue Data'!$A:$A,'[1]Tissue Data'!M:M)</f>
        <v>25.51</v>
      </c>
      <c r="K5866" t="s">
        <v>26</v>
      </c>
      <c r="L5866" t="str">
        <f>_xlfn.XLOOKUP(K5866,[2]analyte_order!$B:$B,[2]analyte_order!$C:$C)</f>
        <v>2706-91-4</v>
      </c>
      <c r="M5866">
        <f>_xlfn.XLOOKUP(L5866,[2]analyte_order!$C:$C,[2]analyte_order!$E:$E)</f>
        <v>15</v>
      </c>
      <c r="N5866">
        <v>0.1265</v>
      </c>
    </row>
    <row r="5867" spans="1:14">
      <c r="A5867" t="s">
        <v>209</v>
      </c>
      <c r="B5867" t="str">
        <f>_xlfn.XLOOKUP(A5867,'[1]Tissue Data'!$A:$A,'[1]Tissue Data'!$C:$C)</f>
        <v>Spill</v>
      </c>
      <c r="C5867" s="2">
        <f>_xlfn.XLOOKUP(A5867,'[1]Tissue Data'!$A:$A,'[1]Tissue Data'!$D:$D)</f>
        <v>44393</v>
      </c>
      <c r="D5867" s="2" t="str">
        <f>_xlfn.XLOOKUP(A5867,'[1]Tissue Data'!$A:$A,'[1]Tissue Data'!$F:$F)</f>
        <v>Large Mouth Bass</v>
      </c>
      <c r="E5867" t="str">
        <f>_xlfn.XLOOKUP(A5867,'[1]Tissue Data'!$A:$A,'[1]Tissue Data'!$H:$H)</f>
        <v>Micropterus</v>
      </c>
      <c r="F5867" t="str">
        <f>_xlfn.XLOOKUP(A5867,'[1]Tissue Data'!$A:$A,'[1]Tissue Data'!$I:$I)</f>
        <v>salmoides</v>
      </c>
      <c r="G5867" t="str">
        <f>_xlfn.XLOOKUP(A5867,'[1]Tissue Data'!$A:$A,'[1]Tissue Data'!J:J)</f>
        <v>U</v>
      </c>
      <c r="H5867" t="str">
        <f>_xlfn.XLOOKUP(A5867,'[1]Tissue Data'!$A:$A,'[1]Tissue Data'!K:K)</f>
        <v>Whole Body</v>
      </c>
      <c r="I5867">
        <f>_xlfn.XLOOKUP(A5867,'[1]Tissue Data'!$A:$A,'[1]Tissue Data'!L:L)</f>
        <v>7.75</v>
      </c>
      <c r="J5867">
        <f>_xlfn.XLOOKUP(A5867,'[1]Tissue Data'!$A:$A,'[1]Tissue Data'!M:M)</f>
        <v>25.51</v>
      </c>
      <c r="K5867" t="s">
        <v>27</v>
      </c>
      <c r="L5867" t="str">
        <f>_xlfn.XLOOKUP(K5867,[2]analyte_order!$B:$B,[2]analyte_order!$C:$C)</f>
        <v>355-46-4</v>
      </c>
      <c r="M5867">
        <f>_xlfn.XLOOKUP(L5867,[2]analyte_order!$C:$C,[2]analyte_order!$E:$E)</f>
        <v>16</v>
      </c>
      <c r="N5867">
        <v>30.2</v>
      </c>
    </row>
    <row r="5868" spans="1:14">
      <c r="A5868" t="s">
        <v>209</v>
      </c>
      <c r="B5868" t="str">
        <f>_xlfn.XLOOKUP(A5868,'[1]Tissue Data'!$A:$A,'[1]Tissue Data'!$C:$C)</f>
        <v>Spill</v>
      </c>
      <c r="C5868" s="2">
        <f>_xlfn.XLOOKUP(A5868,'[1]Tissue Data'!$A:$A,'[1]Tissue Data'!$D:$D)</f>
        <v>44393</v>
      </c>
      <c r="D5868" s="2" t="str">
        <f>_xlfn.XLOOKUP(A5868,'[1]Tissue Data'!$A:$A,'[1]Tissue Data'!$F:$F)</f>
        <v>Large Mouth Bass</v>
      </c>
      <c r="E5868" t="str">
        <f>_xlfn.XLOOKUP(A5868,'[1]Tissue Data'!$A:$A,'[1]Tissue Data'!$H:$H)</f>
        <v>Micropterus</v>
      </c>
      <c r="F5868" t="str">
        <f>_xlfn.XLOOKUP(A5868,'[1]Tissue Data'!$A:$A,'[1]Tissue Data'!$I:$I)</f>
        <v>salmoides</v>
      </c>
      <c r="G5868" t="str">
        <f>_xlfn.XLOOKUP(A5868,'[1]Tissue Data'!$A:$A,'[1]Tissue Data'!J:J)</f>
        <v>U</v>
      </c>
      <c r="H5868" t="str">
        <f>_xlfn.XLOOKUP(A5868,'[1]Tissue Data'!$A:$A,'[1]Tissue Data'!K:K)</f>
        <v>Whole Body</v>
      </c>
      <c r="I5868">
        <f>_xlfn.XLOOKUP(A5868,'[1]Tissue Data'!$A:$A,'[1]Tissue Data'!L:L)</f>
        <v>7.75</v>
      </c>
      <c r="J5868">
        <f>_xlfn.XLOOKUP(A5868,'[1]Tissue Data'!$A:$A,'[1]Tissue Data'!M:M)</f>
        <v>25.51</v>
      </c>
      <c r="K5868" t="s">
        <v>28</v>
      </c>
      <c r="L5868" t="str">
        <f>_xlfn.XLOOKUP(K5868,[2]analyte_order!$B:$B,[2]analyte_order!$C:$C)</f>
        <v>375-92-8</v>
      </c>
      <c r="M5868">
        <f>_xlfn.XLOOKUP(L5868,[2]analyte_order!$C:$C,[2]analyte_order!$E:$E)</f>
        <v>17</v>
      </c>
      <c r="N5868">
        <v>6.57</v>
      </c>
    </row>
    <row r="5869" spans="1:14">
      <c r="A5869" t="s">
        <v>209</v>
      </c>
      <c r="B5869" t="str">
        <f>_xlfn.XLOOKUP(A5869,'[1]Tissue Data'!$A:$A,'[1]Tissue Data'!$C:$C)</f>
        <v>Spill</v>
      </c>
      <c r="C5869" s="2">
        <f>_xlfn.XLOOKUP(A5869,'[1]Tissue Data'!$A:$A,'[1]Tissue Data'!$D:$D)</f>
        <v>44393</v>
      </c>
      <c r="D5869" s="2" t="str">
        <f>_xlfn.XLOOKUP(A5869,'[1]Tissue Data'!$A:$A,'[1]Tissue Data'!$F:$F)</f>
        <v>Large Mouth Bass</v>
      </c>
      <c r="E5869" t="str">
        <f>_xlfn.XLOOKUP(A5869,'[1]Tissue Data'!$A:$A,'[1]Tissue Data'!$H:$H)</f>
        <v>Micropterus</v>
      </c>
      <c r="F5869" t="str">
        <f>_xlfn.XLOOKUP(A5869,'[1]Tissue Data'!$A:$A,'[1]Tissue Data'!$I:$I)</f>
        <v>salmoides</v>
      </c>
      <c r="G5869" t="str">
        <f>_xlfn.XLOOKUP(A5869,'[1]Tissue Data'!$A:$A,'[1]Tissue Data'!J:J)</f>
        <v>U</v>
      </c>
      <c r="H5869" t="str">
        <f>_xlfn.XLOOKUP(A5869,'[1]Tissue Data'!$A:$A,'[1]Tissue Data'!K:K)</f>
        <v>Whole Body</v>
      </c>
      <c r="I5869">
        <f>_xlfn.XLOOKUP(A5869,'[1]Tissue Data'!$A:$A,'[1]Tissue Data'!L:L)</f>
        <v>7.75</v>
      </c>
      <c r="J5869">
        <f>_xlfn.XLOOKUP(A5869,'[1]Tissue Data'!$A:$A,'[1]Tissue Data'!M:M)</f>
        <v>25.51</v>
      </c>
      <c r="K5869" t="s">
        <v>29</v>
      </c>
      <c r="L5869" t="str">
        <f>_xlfn.XLOOKUP(K5869,[2]analyte_order!$B:$B,[2]analyte_order!$C:$C)</f>
        <v>1763-23-1</v>
      </c>
      <c r="M5869">
        <f>_xlfn.XLOOKUP(L5869,[2]analyte_order!$C:$C,[2]analyte_order!$E:$E)</f>
        <v>18</v>
      </c>
      <c r="N5869">
        <v>1670</v>
      </c>
    </row>
    <row r="5870" spans="1:14">
      <c r="A5870" t="s">
        <v>209</v>
      </c>
      <c r="B5870" t="str">
        <f>_xlfn.XLOOKUP(A5870,'[1]Tissue Data'!$A:$A,'[1]Tissue Data'!$C:$C)</f>
        <v>Spill</v>
      </c>
      <c r="C5870" s="2">
        <f>_xlfn.XLOOKUP(A5870,'[1]Tissue Data'!$A:$A,'[1]Tissue Data'!$D:$D)</f>
        <v>44393</v>
      </c>
      <c r="D5870" s="2" t="str">
        <f>_xlfn.XLOOKUP(A5870,'[1]Tissue Data'!$A:$A,'[1]Tissue Data'!$F:$F)</f>
        <v>Large Mouth Bass</v>
      </c>
      <c r="E5870" t="str">
        <f>_xlfn.XLOOKUP(A5870,'[1]Tissue Data'!$A:$A,'[1]Tissue Data'!$H:$H)</f>
        <v>Micropterus</v>
      </c>
      <c r="F5870" t="str">
        <f>_xlfn.XLOOKUP(A5870,'[1]Tissue Data'!$A:$A,'[1]Tissue Data'!$I:$I)</f>
        <v>salmoides</v>
      </c>
      <c r="G5870" t="str">
        <f>_xlfn.XLOOKUP(A5870,'[1]Tissue Data'!$A:$A,'[1]Tissue Data'!J:J)</f>
        <v>U</v>
      </c>
      <c r="H5870" t="str">
        <f>_xlfn.XLOOKUP(A5870,'[1]Tissue Data'!$A:$A,'[1]Tissue Data'!K:K)</f>
        <v>Whole Body</v>
      </c>
      <c r="I5870">
        <f>_xlfn.XLOOKUP(A5870,'[1]Tissue Data'!$A:$A,'[1]Tissue Data'!L:L)</f>
        <v>7.75</v>
      </c>
      <c r="J5870">
        <f>_xlfn.XLOOKUP(A5870,'[1]Tissue Data'!$A:$A,'[1]Tissue Data'!M:M)</f>
        <v>25.51</v>
      </c>
      <c r="K5870" t="s">
        <v>30</v>
      </c>
      <c r="L5870" t="str">
        <f>_xlfn.XLOOKUP(K5870,[2]analyte_order!$B:$B,[2]analyte_order!$C:$C)</f>
        <v>68259-12-1</v>
      </c>
      <c r="M5870">
        <f>_xlfn.XLOOKUP(L5870,[2]analyte_order!$C:$C,[2]analyte_order!$E:$E)</f>
        <v>19</v>
      </c>
      <c r="N5870">
        <v>2.98</v>
      </c>
    </row>
    <row r="5871" spans="1:14">
      <c r="A5871" t="s">
        <v>209</v>
      </c>
      <c r="B5871" t="str">
        <f>_xlfn.XLOOKUP(A5871,'[1]Tissue Data'!$A:$A,'[1]Tissue Data'!$C:$C)</f>
        <v>Spill</v>
      </c>
      <c r="C5871" s="2">
        <f>_xlfn.XLOOKUP(A5871,'[1]Tissue Data'!$A:$A,'[1]Tissue Data'!$D:$D)</f>
        <v>44393</v>
      </c>
      <c r="D5871" s="2" t="str">
        <f>_xlfn.XLOOKUP(A5871,'[1]Tissue Data'!$A:$A,'[1]Tissue Data'!$F:$F)</f>
        <v>Large Mouth Bass</v>
      </c>
      <c r="E5871" t="str">
        <f>_xlfn.XLOOKUP(A5871,'[1]Tissue Data'!$A:$A,'[1]Tissue Data'!$H:$H)</f>
        <v>Micropterus</v>
      </c>
      <c r="F5871" t="str">
        <f>_xlfn.XLOOKUP(A5871,'[1]Tissue Data'!$A:$A,'[1]Tissue Data'!$I:$I)</f>
        <v>salmoides</v>
      </c>
      <c r="G5871" t="str">
        <f>_xlfn.XLOOKUP(A5871,'[1]Tissue Data'!$A:$A,'[1]Tissue Data'!J:J)</f>
        <v>U</v>
      </c>
      <c r="H5871" t="str">
        <f>_xlfn.XLOOKUP(A5871,'[1]Tissue Data'!$A:$A,'[1]Tissue Data'!K:K)</f>
        <v>Whole Body</v>
      </c>
      <c r="I5871">
        <f>_xlfn.XLOOKUP(A5871,'[1]Tissue Data'!$A:$A,'[1]Tissue Data'!L:L)</f>
        <v>7.75</v>
      </c>
      <c r="J5871">
        <f>_xlfn.XLOOKUP(A5871,'[1]Tissue Data'!$A:$A,'[1]Tissue Data'!M:M)</f>
        <v>25.51</v>
      </c>
      <c r="K5871" t="s">
        <v>31</v>
      </c>
      <c r="L5871" t="str">
        <f>_xlfn.XLOOKUP(K5871,[2]analyte_order!$B:$B,[2]analyte_order!$C:$C)</f>
        <v>335-77-3</v>
      </c>
      <c r="M5871">
        <f>_xlfn.XLOOKUP(L5871,[2]analyte_order!$C:$C,[2]analyte_order!$E:$E)</f>
        <v>20</v>
      </c>
      <c r="N5871">
        <v>2.38</v>
      </c>
    </row>
    <row r="5872" spans="1:14">
      <c r="A5872" t="s">
        <v>209</v>
      </c>
      <c r="B5872" t="str">
        <f>_xlfn.XLOOKUP(A5872,'[1]Tissue Data'!$A:$A,'[1]Tissue Data'!$C:$C)</f>
        <v>Spill</v>
      </c>
      <c r="C5872" s="2">
        <f>_xlfn.XLOOKUP(A5872,'[1]Tissue Data'!$A:$A,'[1]Tissue Data'!$D:$D)</f>
        <v>44393</v>
      </c>
      <c r="D5872" s="2" t="str">
        <f>_xlfn.XLOOKUP(A5872,'[1]Tissue Data'!$A:$A,'[1]Tissue Data'!$F:$F)</f>
        <v>Large Mouth Bass</v>
      </c>
      <c r="E5872" t="str">
        <f>_xlfn.XLOOKUP(A5872,'[1]Tissue Data'!$A:$A,'[1]Tissue Data'!$H:$H)</f>
        <v>Micropterus</v>
      </c>
      <c r="F5872" t="str">
        <f>_xlfn.XLOOKUP(A5872,'[1]Tissue Data'!$A:$A,'[1]Tissue Data'!$I:$I)</f>
        <v>salmoides</v>
      </c>
      <c r="G5872" t="str">
        <f>_xlfn.XLOOKUP(A5872,'[1]Tissue Data'!$A:$A,'[1]Tissue Data'!J:J)</f>
        <v>U</v>
      </c>
      <c r="H5872" t="str">
        <f>_xlfn.XLOOKUP(A5872,'[1]Tissue Data'!$A:$A,'[1]Tissue Data'!K:K)</f>
        <v>Whole Body</v>
      </c>
      <c r="I5872">
        <f>_xlfn.XLOOKUP(A5872,'[1]Tissue Data'!$A:$A,'[1]Tissue Data'!L:L)</f>
        <v>7.75</v>
      </c>
      <c r="J5872">
        <f>_xlfn.XLOOKUP(A5872,'[1]Tissue Data'!$A:$A,'[1]Tissue Data'!M:M)</f>
        <v>25.51</v>
      </c>
      <c r="K5872" t="s">
        <v>32</v>
      </c>
      <c r="L5872" t="str">
        <f>_xlfn.XLOOKUP(K5872,[2]analyte_order!$B:$B,[2]analyte_order!$C:$C)</f>
        <v>79780-39-5</v>
      </c>
      <c r="M5872">
        <f>_xlfn.XLOOKUP(L5872,[2]analyte_order!$C:$C,[2]analyte_order!$E:$E)</f>
        <v>21</v>
      </c>
      <c r="N5872">
        <v>0.255</v>
      </c>
    </row>
    <row r="5873" spans="1:14">
      <c r="A5873" t="s">
        <v>209</v>
      </c>
      <c r="B5873" t="str">
        <f>_xlfn.XLOOKUP(A5873,'[1]Tissue Data'!$A:$A,'[1]Tissue Data'!$C:$C)</f>
        <v>Spill</v>
      </c>
      <c r="C5873" s="2">
        <f>_xlfn.XLOOKUP(A5873,'[1]Tissue Data'!$A:$A,'[1]Tissue Data'!$D:$D)</f>
        <v>44393</v>
      </c>
      <c r="D5873" s="2" t="str">
        <f>_xlfn.XLOOKUP(A5873,'[1]Tissue Data'!$A:$A,'[1]Tissue Data'!$F:$F)</f>
        <v>Large Mouth Bass</v>
      </c>
      <c r="E5873" t="str">
        <f>_xlfn.XLOOKUP(A5873,'[1]Tissue Data'!$A:$A,'[1]Tissue Data'!$H:$H)</f>
        <v>Micropterus</v>
      </c>
      <c r="F5873" t="str">
        <f>_xlfn.XLOOKUP(A5873,'[1]Tissue Data'!$A:$A,'[1]Tissue Data'!$I:$I)</f>
        <v>salmoides</v>
      </c>
      <c r="G5873" t="str">
        <f>_xlfn.XLOOKUP(A5873,'[1]Tissue Data'!$A:$A,'[1]Tissue Data'!J:J)</f>
        <v>U</v>
      </c>
      <c r="H5873" t="str">
        <f>_xlfn.XLOOKUP(A5873,'[1]Tissue Data'!$A:$A,'[1]Tissue Data'!K:K)</f>
        <v>Whole Body</v>
      </c>
      <c r="I5873">
        <f>_xlfn.XLOOKUP(A5873,'[1]Tissue Data'!$A:$A,'[1]Tissue Data'!L:L)</f>
        <v>7.75</v>
      </c>
      <c r="J5873">
        <f>_xlfn.XLOOKUP(A5873,'[1]Tissue Data'!$A:$A,'[1]Tissue Data'!M:M)</f>
        <v>25.51</v>
      </c>
      <c r="K5873" t="s">
        <v>33</v>
      </c>
      <c r="L5873" t="str">
        <f>_xlfn.XLOOKUP(K5873,[2]analyte_order!$B:$B,[2]analyte_order!$C:$C)</f>
        <v>777011-38-8</v>
      </c>
      <c r="M5873">
        <f>_xlfn.XLOOKUP(L5873,[2]analyte_order!$C:$C,[2]analyte_order!$E:$E)</f>
        <v>54</v>
      </c>
      <c r="N5873">
        <v>0.46</v>
      </c>
    </row>
    <row r="5874" spans="1:14">
      <c r="A5874" t="s">
        <v>209</v>
      </c>
      <c r="B5874" t="str">
        <f>_xlfn.XLOOKUP(A5874,'[1]Tissue Data'!$A:$A,'[1]Tissue Data'!$C:$C)</f>
        <v>Spill</v>
      </c>
      <c r="C5874" s="2">
        <f>_xlfn.XLOOKUP(A5874,'[1]Tissue Data'!$A:$A,'[1]Tissue Data'!$D:$D)</f>
        <v>44393</v>
      </c>
      <c r="D5874" s="2" t="str">
        <f>_xlfn.XLOOKUP(A5874,'[1]Tissue Data'!$A:$A,'[1]Tissue Data'!$F:$F)</f>
        <v>Large Mouth Bass</v>
      </c>
      <c r="E5874" t="str">
        <f>_xlfn.XLOOKUP(A5874,'[1]Tissue Data'!$A:$A,'[1]Tissue Data'!$H:$H)</f>
        <v>Micropterus</v>
      </c>
      <c r="F5874" t="str">
        <f>_xlfn.XLOOKUP(A5874,'[1]Tissue Data'!$A:$A,'[1]Tissue Data'!$I:$I)</f>
        <v>salmoides</v>
      </c>
      <c r="G5874" t="str">
        <f>_xlfn.XLOOKUP(A5874,'[1]Tissue Data'!$A:$A,'[1]Tissue Data'!J:J)</f>
        <v>U</v>
      </c>
      <c r="H5874" t="str">
        <f>_xlfn.XLOOKUP(A5874,'[1]Tissue Data'!$A:$A,'[1]Tissue Data'!K:K)</f>
        <v>Whole Body</v>
      </c>
      <c r="I5874">
        <f>_xlfn.XLOOKUP(A5874,'[1]Tissue Data'!$A:$A,'[1]Tissue Data'!L:L)</f>
        <v>7.75</v>
      </c>
      <c r="J5874">
        <f>_xlfn.XLOOKUP(A5874,'[1]Tissue Data'!$A:$A,'[1]Tissue Data'!M:M)</f>
        <v>25.51</v>
      </c>
      <c r="K5874" t="s">
        <v>34</v>
      </c>
      <c r="L5874" t="str">
        <f>_xlfn.XLOOKUP(K5874,[2]analyte_order!$B:$B,[2]analyte_order!$C:$C)</f>
        <v>646-83-3</v>
      </c>
      <c r="M5874">
        <f>_xlfn.XLOOKUP(L5874,[2]analyte_order!$C:$C,[2]analyte_order!$E:$E)</f>
        <v>55</v>
      </c>
      <c r="N5874">
        <v>0.41099999999999998</v>
      </c>
    </row>
    <row r="5875" spans="1:14">
      <c r="A5875" t="s">
        <v>209</v>
      </c>
      <c r="B5875" t="str">
        <f>_xlfn.XLOOKUP(A5875,'[1]Tissue Data'!$A:$A,'[1]Tissue Data'!$C:$C)</f>
        <v>Spill</v>
      </c>
      <c r="C5875" s="2">
        <f>_xlfn.XLOOKUP(A5875,'[1]Tissue Data'!$A:$A,'[1]Tissue Data'!$D:$D)</f>
        <v>44393</v>
      </c>
      <c r="D5875" s="2" t="str">
        <f>_xlfn.XLOOKUP(A5875,'[1]Tissue Data'!$A:$A,'[1]Tissue Data'!$F:$F)</f>
        <v>Large Mouth Bass</v>
      </c>
      <c r="E5875" t="str">
        <f>_xlfn.XLOOKUP(A5875,'[1]Tissue Data'!$A:$A,'[1]Tissue Data'!$H:$H)</f>
        <v>Micropterus</v>
      </c>
      <c r="F5875" t="str">
        <f>_xlfn.XLOOKUP(A5875,'[1]Tissue Data'!$A:$A,'[1]Tissue Data'!$I:$I)</f>
        <v>salmoides</v>
      </c>
      <c r="G5875" t="str">
        <f>_xlfn.XLOOKUP(A5875,'[1]Tissue Data'!$A:$A,'[1]Tissue Data'!J:J)</f>
        <v>U</v>
      </c>
      <c r="H5875" t="str">
        <f>_xlfn.XLOOKUP(A5875,'[1]Tissue Data'!$A:$A,'[1]Tissue Data'!K:K)</f>
        <v>Whole Body</v>
      </c>
      <c r="I5875">
        <f>_xlfn.XLOOKUP(A5875,'[1]Tissue Data'!$A:$A,'[1]Tissue Data'!L:L)</f>
        <v>7.75</v>
      </c>
      <c r="J5875">
        <f>_xlfn.XLOOKUP(A5875,'[1]Tissue Data'!$A:$A,'[1]Tissue Data'!M:M)</f>
        <v>25.51</v>
      </c>
      <c r="K5875" t="s">
        <v>35</v>
      </c>
      <c r="L5875" t="str">
        <f>_xlfn.XLOOKUP(K5875,[2]analyte_order!$B:$B,[2]analyte_order!$C:$C)</f>
        <v>30334-69-1</v>
      </c>
      <c r="M5875">
        <f>_xlfn.XLOOKUP(L5875,[2]analyte_order!$C:$C,[2]analyte_order!$E:$E)</f>
        <v>51</v>
      </c>
      <c r="N5875">
        <v>75.5</v>
      </c>
    </row>
    <row r="5876" spans="1:14">
      <c r="A5876" t="s">
        <v>209</v>
      </c>
      <c r="B5876" t="str">
        <f>_xlfn.XLOOKUP(A5876,'[1]Tissue Data'!$A:$A,'[1]Tissue Data'!$C:$C)</f>
        <v>Spill</v>
      </c>
      <c r="C5876" s="2">
        <f>_xlfn.XLOOKUP(A5876,'[1]Tissue Data'!$A:$A,'[1]Tissue Data'!$D:$D)</f>
        <v>44393</v>
      </c>
      <c r="D5876" s="2" t="str">
        <f>_xlfn.XLOOKUP(A5876,'[1]Tissue Data'!$A:$A,'[1]Tissue Data'!$F:$F)</f>
        <v>Large Mouth Bass</v>
      </c>
      <c r="E5876" t="str">
        <f>_xlfn.XLOOKUP(A5876,'[1]Tissue Data'!$A:$A,'[1]Tissue Data'!$H:$H)</f>
        <v>Micropterus</v>
      </c>
      <c r="F5876" t="str">
        <f>_xlfn.XLOOKUP(A5876,'[1]Tissue Data'!$A:$A,'[1]Tissue Data'!$I:$I)</f>
        <v>salmoides</v>
      </c>
      <c r="G5876" t="str">
        <f>_xlfn.XLOOKUP(A5876,'[1]Tissue Data'!$A:$A,'[1]Tissue Data'!J:J)</f>
        <v>U</v>
      </c>
      <c r="H5876" t="str">
        <f>_xlfn.XLOOKUP(A5876,'[1]Tissue Data'!$A:$A,'[1]Tissue Data'!K:K)</f>
        <v>Whole Body</v>
      </c>
      <c r="I5876">
        <f>_xlfn.XLOOKUP(A5876,'[1]Tissue Data'!$A:$A,'[1]Tissue Data'!L:L)</f>
        <v>7.75</v>
      </c>
      <c r="J5876">
        <f>_xlfn.XLOOKUP(A5876,'[1]Tissue Data'!$A:$A,'[1]Tissue Data'!M:M)</f>
        <v>25.51</v>
      </c>
      <c r="K5876" t="s">
        <v>36</v>
      </c>
      <c r="L5876" t="str">
        <f>_xlfn.XLOOKUP(K5876,[2]analyte_order!$B:$B,[2]analyte_order!$C:$C)</f>
        <v>41997-13-1</v>
      </c>
      <c r="M5876">
        <f>_xlfn.XLOOKUP(L5876,[2]analyte_order!$C:$C,[2]analyte_order!$E:$E)</f>
        <v>52</v>
      </c>
      <c r="N5876">
        <v>53.7</v>
      </c>
    </row>
    <row r="5877" spans="1:14">
      <c r="A5877" t="s">
        <v>209</v>
      </c>
      <c r="B5877" t="str">
        <f>_xlfn.XLOOKUP(A5877,'[1]Tissue Data'!$A:$A,'[1]Tissue Data'!$C:$C)</f>
        <v>Spill</v>
      </c>
      <c r="C5877" s="2">
        <f>_xlfn.XLOOKUP(A5877,'[1]Tissue Data'!$A:$A,'[1]Tissue Data'!$D:$D)</f>
        <v>44393</v>
      </c>
      <c r="D5877" s="2" t="str">
        <f>_xlfn.XLOOKUP(A5877,'[1]Tissue Data'!$A:$A,'[1]Tissue Data'!$F:$F)</f>
        <v>Large Mouth Bass</v>
      </c>
      <c r="E5877" t="str">
        <f>_xlfn.XLOOKUP(A5877,'[1]Tissue Data'!$A:$A,'[1]Tissue Data'!$H:$H)</f>
        <v>Micropterus</v>
      </c>
      <c r="F5877" t="str">
        <f>_xlfn.XLOOKUP(A5877,'[1]Tissue Data'!$A:$A,'[1]Tissue Data'!$I:$I)</f>
        <v>salmoides</v>
      </c>
      <c r="G5877" t="str">
        <f>_xlfn.XLOOKUP(A5877,'[1]Tissue Data'!$A:$A,'[1]Tissue Data'!J:J)</f>
        <v>U</v>
      </c>
      <c r="H5877" t="str">
        <f>_xlfn.XLOOKUP(A5877,'[1]Tissue Data'!$A:$A,'[1]Tissue Data'!K:K)</f>
        <v>Whole Body</v>
      </c>
      <c r="I5877">
        <f>_xlfn.XLOOKUP(A5877,'[1]Tissue Data'!$A:$A,'[1]Tissue Data'!L:L)</f>
        <v>7.75</v>
      </c>
      <c r="J5877">
        <f>_xlfn.XLOOKUP(A5877,'[1]Tissue Data'!$A:$A,'[1]Tissue Data'!M:M)</f>
        <v>25.51</v>
      </c>
      <c r="K5877" t="s">
        <v>37</v>
      </c>
      <c r="L5877" t="str">
        <f>_xlfn.XLOOKUP(K5877,[2]analyte_order!$B:$B,[2]analyte_order!$C:$C)</f>
        <v>754-91-6</v>
      </c>
      <c r="M5877">
        <f>_xlfn.XLOOKUP(L5877,[2]analyte_order!$C:$C,[2]analyte_order!$E:$E)</f>
        <v>28</v>
      </c>
      <c r="N5877">
        <v>11.6</v>
      </c>
    </row>
    <row r="5878" spans="1:14">
      <c r="A5878" t="s">
        <v>209</v>
      </c>
      <c r="B5878" t="str">
        <f>_xlfn.XLOOKUP(A5878,'[1]Tissue Data'!$A:$A,'[1]Tissue Data'!$C:$C)</f>
        <v>Spill</v>
      </c>
      <c r="C5878" s="2">
        <f>_xlfn.XLOOKUP(A5878,'[1]Tissue Data'!$A:$A,'[1]Tissue Data'!$D:$D)</f>
        <v>44393</v>
      </c>
      <c r="D5878" s="2" t="str">
        <f>_xlfn.XLOOKUP(A5878,'[1]Tissue Data'!$A:$A,'[1]Tissue Data'!$F:$F)</f>
        <v>Large Mouth Bass</v>
      </c>
      <c r="E5878" t="str">
        <f>_xlfn.XLOOKUP(A5878,'[1]Tissue Data'!$A:$A,'[1]Tissue Data'!$H:$H)</f>
        <v>Micropterus</v>
      </c>
      <c r="F5878" t="str">
        <f>_xlfn.XLOOKUP(A5878,'[1]Tissue Data'!$A:$A,'[1]Tissue Data'!$I:$I)</f>
        <v>salmoides</v>
      </c>
      <c r="G5878" t="str">
        <f>_xlfn.XLOOKUP(A5878,'[1]Tissue Data'!$A:$A,'[1]Tissue Data'!J:J)</f>
        <v>U</v>
      </c>
      <c r="H5878" t="str">
        <f>_xlfn.XLOOKUP(A5878,'[1]Tissue Data'!$A:$A,'[1]Tissue Data'!K:K)</f>
        <v>Whole Body</v>
      </c>
      <c r="I5878">
        <f>_xlfn.XLOOKUP(A5878,'[1]Tissue Data'!$A:$A,'[1]Tissue Data'!L:L)</f>
        <v>7.75</v>
      </c>
      <c r="J5878">
        <f>_xlfn.XLOOKUP(A5878,'[1]Tissue Data'!$A:$A,'[1]Tissue Data'!M:M)</f>
        <v>25.51</v>
      </c>
      <c r="K5878" t="s">
        <v>38</v>
      </c>
      <c r="L5878" t="str">
        <f>_xlfn.XLOOKUP(K5878,[2]analyte_order!$B:$B,[2]analyte_order!$C:$C)</f>
        <v>31506-32-8</v>
      </c>
      <c r="M5878">
        <f>_xlfn.XLOOKUP(L5878,[2]analyte_order!$C:$C,[2]analyte_order!$E:$E)</f>
        <v>30</v>
      </c>
      <c r="N5878">
        <v>9.1999999999999998E-2</v>
      </c>
    </row>
    <row r="5879" spans="1:14">
      <c r="A5879" t="s">
        <v>209</v>
      </c>
      <c r="B5879" t="str">
        <f>_xlfn.XLOOKUP(A5879,'[1]Tissue Data'!$A:$A,'[1]Tissue Data'!$C:$C)</f>
        <v>Spill</v>
      </c>
      <c r="C5879" s="2">
        <f>_xlfn.XLOOKUP(A5879,'[1]Tissue Data'!$A:$A,'[1]Tissue Data'!$D:$D)</f>
        <v>44393</v>
      </c>
      <c r="D5879" s="2" t="str">
        <f>_xlfn.XLOOKUP(A5879,'[1]Tissue Data'!$A:$A,'[1]Tissue Data'!$F:$F)</f>
        <v>Large Mouth Bass</v>
      </c>
      <c r="E5879" t="str">
        <f>_xlfn.XLOOKUP(A5879,'[1]Tissue Data'!$A:$A,'[1]Tissue Data'!$H:$H)</f>
        <v>Micropterus</v>
      </c>
      <c r="F5879" t="str">
        <f>_xlfn.XLOOKUP(A5879,'[1]Tissue Data'!$A:$A,'[1]Tissue Data'!$I:$I)</f>
        <v>salmoides</v>
      </c>
      <c r="G5879" t="str">
        <f>_xlfn.XLOOKUP(A5879,'[1]Tissue Data'!$A:$A,'[1]Tissue Data'!J:J)</f>
        <v>U</v>
      </c>
      <c r="H5879" t="str">
        <f>_xlfn.XLOOKUP(A5879,'[1]Tissue Data'!$A:$A,'[1]Tissue Data'!K:K)</f>
        <v>Whole Body</v>
      </c>
      <c r="I5879">
        <f>_xlfn.XLOOKUP(A5879,'[1]Tissue Data'!$A:$A,'[1]Tissue Data'!L:L)</f>
        <v>7.75</v>
      </c>
      <c r="J5879">
        <f>_xlfn.XLOOKUP(A5879,'[1]Tissue Data'!$A:$A,'[1]Tissue Data'!M:M)</f>
        <v>25.51</v>
      </c>
      <c r="K5879" t="s">
        <v>39</v>
      </c>
      <c r="L5879" t="str">
        <f>_xlfn.XLOOKUP(K5879,[2]analyte_order!$B:$B,[2]analyte_order!$C:$C)</f>
        <v>4151-50-2</v>
      </c>
      <c r="M5879">
        <f>_xlfn.XLOOKUP(L5879,[2]analyte_order!$C:$C,[2]analyte_order!$E:$E)</f>
        <v>31</v>
      </c>
      <c r="N5879">
        <v>0.23849999999999999</v>
      </c>
    </row>
    <row r="5880" spans="1:14">
      <c r="A5880" t="s">
        <v>209</v>
      </c>
      <c r="B5880" t="str">
        <f>_xlfn.XLOOKUP(A5880,'[1]Tissue Data'!$A:$A,'[1]Tissue Data'!$C:$C)</f>
        <v>Spill</v>
      </c>
      <c r="C5880" s="2">
        <f>_xlfn.XLOOKUP(A5880,'[1]Tissue Data'!$A:$A,'[1]Tissue Data'!$D:$D)</f>
        <v>44393</v>
      </c>
      <c r="D5880" s="2" t="str">
        <f>_xlfn.XLOOKUP(A5880,'[1]Tissue Data'!$A:$A,'[1]Tissue Data'!$F:$F)</f>
        <v>Large Mouth Bass</v>
      </c>
      <c r="E5880" t="str">
        <f>_xlfn.XLOOKUP(A5880,'[1]Tissue Data'!$A:$A,'[1]Tissue Data'!$H:$H)</f>
        <v>Micropterus</v>
      </c>
      <c r="F5880" t="str">
        <f>_xlfn.XLOOKUP(A5880,'[1]Tissue Data'!$A:$A,'[1]Tissue Data'!$I:$I)</f>
        <v>salmoides</v>
      </c>
      <c r="G5880" t="str">
        <f>_xlfn.XLOOKUP(A5880,'[1]Tissue Data'!$A:$A,'[1]Tissue Data'!J:J)</f>
        <v>U</v>
      </c>
      <c r="H5880" t="str">
        <f>_xlfn.XLOOKUP(A5880,'[1]Tissue Data'!$A:$A,'[1]Tissue Data'!K:K)</f>
        <v>Whole Body</v>
      </c>
      <c r="I5880">
        <f>_xlfn.XLOOKUP(A5880,'[1]Tissue Data'!$A:$A,'[1]Tissue Data'!L:L)</f>
        <v>7.75</v>
      </c>
      <c r="J5880">
        <f>_xlfn.XLOOKUP(A5880,'[1]Tissue Data'!$A:$A,'[1]Tissue Data'!M:M)</f>
        <v>25.51</v>
      </c>
      <c r="K5880" t="s">
        <v>40</v>
      </c>
      <c r="L5880" t="str">
        <f>_xlfn.XLOOKUP(K5880,[2]analyte_order!$B:$B,[2]analyte_order!$C:$C)</f>
        <v>2806-24-8</v>
      </c>
      <c r="M5880">
        <f>_xlfn.XLOOKUP(L5880,[2]analyte_order!$C:$C,[2]analyte_order!$E:$E)</f>
        <v>29</v>
      </c>
      <c r="N5880">
        <v>0.23849999999999999</v>
      </c>
    </row>
    <row r="5881" spans="1:14">
      <c r="A5881" t="s">
        <v>209</v>
      </c>
      <c r="B5881" t="str">
        <f>_xlfn.XLOOKUP(A5881,'[1]Tissue Data'!$A:$A,'[1]Tissue Data'!$C:$C)</f>
        <v>Spill</v>
      </c>
      <c r="C5881" s="2">
        <f>_xlfn.XLOOKUP(A5881,'[1]Tissue Data'!$A:$A,'[1]Tissue Data'!$D:$D)</f>
        <v>44393</v>
      </c>
      <c r="D5881" s="2" t="str">
        <f>_xlfn.XLOOKUP(A5881,'[1]Tissue Data'!$A:$A,'[1]Tissue Data'!$F:$F)</f>
        <v>Large Mouth Bass</v>
      </c>
      <c r="E5881" t="str">
        <f>_xlfn.XLOOKUP(A5881,'[1]Tissue Data'!$A:$A,'[1]Tissue Data'!$H:$H)</f>
        <v>Micropterus</v>
      </c>
      <c r="F5881" t="str">
        <f>_xlfn.XLOOKUP(A5881,'[1]Tissue Data'!$A:$A,'[1]Tissue Data'!$I:$I)</f>
        <v>salmoides</v>
      </c>
      <c r="G5881" t="str">
        <f>_xlfn.XLOOKUP(A5881,'[1]Tissue Data'!$A:$A,'[1]Tissue Data'!J:J)</f>
        <v>U</v>
      </c>
      <c r="H5881" t="str">
        <f>_xlfn.XLOOKUP(A5881,'[1]Tissue Data'!$A:$A,'[1]Tissue Data'!K:K)</f>
        <v>Whole Body</v>
      </c>
      <c r="I5881">
        <f>_xlfn.XLOOKUP(A5881,'[1]Tissue Data'!$A:$A,'[1]Tissue Data'!L:L)</f>
        <v>7.75</v>
      </c>
      <c r="J5881">
        <f>_xlfn.XLOOKUP(A5881,'[1]Tissue Data'!$A:$A,'[1]Tissue Data'!M:M)</f>
        <v>25.51</v>
      </c>
      <c r="K5881" t="s">
        <v>41</v>
      </c>
      <c r="L5881" t="str">
        <f>_xlfn.XLOOKUP(K5881,[2]analyte_order!$B:$B,[2]analyte_order!$C:$C)</f>
        <v>2355-31-9</v>
      </c>
      <c r="M5881">
        <f>_xlfn.XLOOKUP(L5881,[2]analyte_order!$C:$C,[2]analyte_order!$E:$E)</f>
        <v>26</v>
      </c>
      <c r="N5881">
        <v>0.12</v>
      </c>
    </row>
    <row r="5882" spans="1:14">
      <c r="A5882" t="s">
        <v>209</v>
      </c>
      <c r="B5882" t="str">
        <f>_xlfn.XLOOKUP(A5882,'[1]Tissue Data'!$A:$A,'[1]Tissue Data'!$C:$C)</f>
        <v>Spill</v>
      </c>
      <c r="C5882" s="2">
        <f>_xlfn.XLOOKUP(A5882,'[1]Tissue Data'!$A:$A,'[1]Tissue Data'!$D:$D)</f>
        <v>44393</v>
      </c>
      <c r="D5882" s="2" t="str">
        <f>_xlfn.XLOOKUP(A5882,'[1]Tissue Data'!$A:$A,'[1]Tissue Data'!$F:$F)</f>
        <v>Large Mouth Bass</v>
      </c>
      <c r="E5882" t="str">
        <f>_xlfn.XLOOKUP(A5882,'[1]Tissue Data'!$A:$A,'[1]Tissue Data'!$H:$H)</f>
        <v>Micropterus</v>
      </c>
      <c r="F5882" t="str">
        <f>_xlfn.XLOOKUP(A5882,'[1]Tissue Data'!$A:$A,'[1]Tissue Data'!$I:$I)</f>
        <v>salmoides</v>
      </c>
      <c r="G5882" t="str">
        <f>_xlfn.XLOOKUP(A5882,'[1]Tissue Data'!$A:$A,'[1]Tissue Data'!J:J)</f>
        <v>U</v>
      </c>
      <c r="H5882" t="str">
        <f>_xlfn.XLOOKUP(A5882,'[1]Tissue Data'!$A:$A,'[1]Tissue Data'!K:K)</f>
        <v>Whole Body</v>
      </c>
      <c r="I5882">
        <f>_xlfn.XLOOKUP(A5882,'[1]Tissue Data'!$A:$A,'[1]Tissue Data'!L:L)</f>
        <v>7.75</v>
      </c>
      <c r="J5882">
        <f>_xlfn.XLOOKUP(A5882,'[1]Tissue Data'!$A:$A,'[1]Tissue Data'!M:M)</f>
        <v>25.51</v>
      </c>
      <c r="K5882" t="s">
        <v>42</v>
      </c>
      <c r="L5882" t="str">
        <f>_xlfn.XLOOKUP(K5882,[2]analyte_order!$B:$B,[2]analyte_order!$C:$C)</f>
        <v>2991-50-6</v>
      </c>
      <c r="M5882">
        <f>_xlfn.XLOOKUP(L5882,[2]analyte_order!$C:$C,[2]analyte_order!$E:$E)</f>
        <v>27</v>
      </c>
      <c r="N5882">
        <v>0.1195</v>
      </c>
    </row>
    <row r="5883" spans="1:14">
      <c r="A5883" t="s">
        <v>209</v>
      </c>
      <c r="B5883" t="str">
        <f>_xlfn.XLOOKUP(A5883,'[1]Tissue Data'!$A:$A,'[1]Tissue Data'!$C:$C)</f>
        <v>Spill</v>
      </c>
      <c r="C5883" s="2">
        <f>_xlfn.XLOOKUP(A5883,'[1]Tissue Data'!$A:$A,'[1]Tissue Data'!$D:$D)</f>
        <v>44393</v>
      </c>
      <c r="D5883" s="2" t="str">
        <f>_xlfn.XLOOKUP(A5883,'[1]Tissue Data'!$A:$A,'[1]Tissue Data'!$F:$F)</f>
        <v>Large Mouth Bass</v>
      </c>
      <c r="E5883" t="str">
        <f>_xlfn.XLOOKUP(A5883,'[1]Tissue Data'!$A:$A,'[1]Tissue Data'!$H:$H)</f>
        <v>Micropterus</v>
      </c>
      <c r="F5883" t="str">
        <f>_xlfn.XLOOKUP(A5883,'[1]Tissue Data'!$A:$A,'[1]Tissue Data'!$I:$I)</f>
        <v>salmoides</v>
      </c>
      <c r="G5883" t="str">
        <f>_xlfn.XLOOKUP(A5883,'[1]Tissue Data'!$A:$A,'[1]Tissue Data'!J:J)</f>
        <v>U</v>
      </c>
      <c r="H5883" t="str">
        <f>_xlfn.XLOOKUP(A5883,'[1]Tissue Data'!$A:$A,'[1]Tissue Data'!K:K)</f>
        <v>Whole Body</v>
      </c>
      <c r="I5883">
        <f>_xlfn.XLOOKUP(A5883,'[1]Tissue Data'!$A:$A,'[1]Tissue Data'!L:L)</f>
        <v>7.75</v>
      </c>
      <c r="J5883">
        <f>_xlfn.XLOOKUP(A5883,'[1]Tissue Data'!$A:$A,'[1]Tissue Data'!M:M)</f>
        <v>25.51</v>
      </c>
      <c r="K5883" t="s">
        <v>43</v>
      </c>
      <c r="L5883" t="str">
        <f>_xlfn.XLOOKUP(K5883,[2]analyte_order!$B:$B,[2]analyte_order!$C:$C)</f>
        <v>757124-72-4</v>
      </c>
      <c r="M5883">
        <f>_xlfn.XLOOKUP(L5883,[2]analyte_order!$C:$C,[2]analyte_order!$E:$E)</f>
        <v>22</v>
      </c>
      <c r="N5883">
        <v>0.1195</v>
      </c>
    </row>
    <row r="5884" spans="1:14">
      <c r="A5884" t="s">
        <v>209</v>
      </c>
      <c r="B5884" t="str">
        <f>_xlfn.XLOOKUP(A5884,'[1]Tissue Data'!$A:$A,'[1]Tissue Data'!$C:$C)</f>
        <v>Spill</v>
      </c>
      <c r="C5884" s="2">
        <f>_xlfn.XLOOKUP(A5884,'[1]Tissue Data'!$A:$A,'[1]Tissue Data'!$D:$D)</f>
        <v>44393</v>
      </c>
      <c r="D5884" s="2" t="str">
        <f>_xlfn.XLOOKUP(A5884,'[1]Tissue Data'!$A:$A,'[1]Tissue Data'!$F:$F)</f>
        <v>Large Mouth Bass</v>
      </c>
      <c r="E5884" t="str">
        <f>_xlfn.XLOOKUP(A5884,'[1]Tissue Data'!$A:$A,'[1]Tissue Data'!$H:$H)</f>
        <v>Micropterus</v>
      </c>
      <c r="F5884" t="str">
        <f>_xlfn.XLOOKUP(A5884,'[1]Tissue Data'!$A:$A,'[1]Tissue Data'!$I:$I)</f>
        <v>salmoides</v>
      </c>
      <c r="G5884" t="str">
        <f>_xlfn.XLOOKUP(A5884,'[1]Tissue Data'!$A:$A,'[1]Tissue Data'!J:J)</f>
        <v>U</v>
      </c>
      <c r="H5884" t="str">
        <f>_xlfn.XLOOKUP(A5884,'[1]Tissue Data'!$A:$A,'[1]Tissue Data'!K:K)</f>
        <v>Whole Body</v>
      </c>
      <c r="I5884">
        <f>_xlfn.XLOOKUP(A5884,'[1]Tissue Data'!$A:$A,'[1]Tissue Data'!L:L)</f>
        <v>7.75</v>
      </c>
      <c r="J5884">
        <f>_xlfn.XLOOKUP(A5884,'[1]Tissue Data'!$A:$A,'[1]Tissue Data'!M:M)</f>
        <v>25.51</v>
      </c>
      <c r="K5884" t="s">
        <v>44</v>
      </c>
      <c r="L5884" t="str">
        <f>_xlfn.XLOOKUP(K5884,[2]analyte_order!$B:$B,[2]analyte_order!$C:$C)</f>
        <v>27619-97-2</v>
      </c>
      <c r="M5884">
        <f>_xlfn.XLOOKUP(L5884,[2]analyte_order!$C:$C,[2]analyte_order!$E:$E)</f>
        <v>23</v>
      </c>
      <c r="N5884">
        <v>0.23849999999999999</v>
      </c>
    </row>
    <row r="5885" spans="1:14">
      <c r="A5885" t="s">
        <v>209</v>
      </c>
      <c r="B5885" t="str">
        <f>_xlfn.XLOOKUP(A5885,'[1]Tissue Data'!$A:$A,'[1]Tissue Data'!$C:$C)</f>
        <v>Spill</v>
      </c>
      <c r="C5885" s="2">
        <f>_xlfn.XLOOKUP(A5885,'[1]Tissue Data'!$A:$A,'[1]Tissue Data'!$D:$D)</f>
        <v>44393</v>
      </c>
      <c r="D5885" s="2" t="str">
        <f>_xlfn.XLOOKUP(A5885,'[1]Tissue Data'!$A:$A,'[1]Tissue Data'!$F:$F)</f>
        <v>Large Mouth Bass</v>
      </c>
      <c r="E5885" t="str">
        <f>_xlfn.XLOOKUP(A5885,'[1]Tissue Data'!$A:$A,'[1]Tissue Data'!$H:$H)</f>
        <v>Micropterus</v>
      </c>
      <c r="F5885" t="str">
        <f>_xlfn.XLOOKUP(A5885,'[1]Tissue Data'!$A:$A,'[1]Tissue Data'!$I:$I)</f>
        <v>salmoides</v>
      </c>
      <c r="G5885" t="str">
        <f>_xlfn.XLOOKUP(A5885,'[1]Tissue Data'!$A:$A,'[1]Tissue Data'!J:J)</f>
        <v>U</v>
      </c>
      <c r="H5885" t="str">
        <f>_xlfn.XLOOKUP(A5885,'[1]Tissue Data'!$A:$A,'[1]Tissue Data'!K:K)</f>
        <v>Whole Body</v>
      </c>
      <c r="I5885">
        <f>_xlfn.XLOOKUP(A5885,'[1]Tissue Data'!$A:$A,'[1]Tissue Data'!L:L)</f>
        <v>7.75</v>
      </c>
      <c r="J5885">
        <f>_xlfn.XLOOKUP(A5885,'[1]Tissue Data'!$A:$A,'[1]Tissue Data'!M:M)</f>
        <v>25.51</v>
      </c>
      <c r="K5885" t="s">
        <v>45</v>
      </c>
      <c r="L5885" t="str">
        <f>_xlfn.XLOOKUP(K5885,[2]analyte_order!$B:$B,[2]analyte_order!$C:$C)</f>
        <v>39108-34-4</v>
      </c>
      <c r="M5885">
        <f>_xlfn.XLOOKUP(L5885,[2]analyte_order!$C:$C,[2]analyte_order!$E:$E)</f>
        <v>24</v>
      </c>
      <c r="N5885">
        <v>6.09</v>
      </c>
    </row>
    <row r="5886" spans="1:14">
      <c r="A5886" t="s">
        <v>209</v>
      </c>
      <c r="B5886" t="str">
        <f>_xlfn.XLOOKUP(A5886,'[1]Tissue Data'!$A:$A,'[1]Tissue Data'!$C:$C)</f>
        <v>Spill</v>
      </c>
      <c r="C5886" s="2">
        <f>_xlfn.XLOOKUP(A5886,'[1]Tissue Data'!$A:$A,'[1]Tissue Data'!$D:$D)</f>
        <v>44393</v>
      </c>
      <c r="D5886" s="2" t="str">
        <f>_xlfn.XLOOKUP(A5886,'[1]Tissue Data'!$A:$A,'[1]Tissue Data'!$F:$F)</f>
        <v>Large Mouth Bass</v>
      </c>
      <c r="E5886" t="str">
        <f>_xlfn.XLOOKUP(A5886,'[1]Tissue Data'!$A:$A,'[1]Tissue Data'!$H:$H)</f>
        <v>Micropterus</v>
      </c>
      <c r="F5886" t="str">
        <f>_xlfn.XLOOKUP(A5886,'[1]Tissue Data'!$A:$A,'[1]Tissue Data'!$I:$I)</f>
        <v>salmoides</v>
      </c>
      <c r="G5886" t="str">
        <f>_xlfn.XLOOKUP(A5886,'[1]Tissue Data'!$A:$A,'[1]Tissue Data'!J:J)</f>
        <v>U</v>
      </c>
      <c r="H5886" t="str">
        <f>_xlfn.XLOOKUP(A5886,'[1]Tissue Data'!$A:$A,'[1]Tissue Data'!K:K)</f>
        <v>Whole Body</v>
      </c>
      <c r="I5886">
        <f>_xlfn.XLOOKUP(A5886,'[1]Tissue Data'!$A:$A,'[1]Tissue Data'!L:L)</f>
        <v>7.75</v>
      </c>
      <c r="J5886">
        <f>_xlfn.XLOOKUP(A5886,'[1]Tissue Data'!$A:$A,'[1]Tissue Data'!M:M)</f>
        <v>25.51</v>
      </c>
      <c r="K5886" t="s">
        <v>46</v>
      </c>
      <c r="L5886" t="str">
        <f>_xlfn.XLOOKUP(K5886,[2]analyte_order!$B:$B,[2]analyte_order!$C:$C)</f>
        <v>120226-60-0</v>
      </c>
      <c r="M5886">
        <f>_xlfn.XLOOKUP(L5886,[2]analyte_order!$C:$C,[2]analyte_order!$E:$E)</f>
        <v>25</v>
      </c>
      <c r="N5886">
        <v>0.47699999999999998</v>
      </c>
    </row>
    <row r="5887" spans="1:14">
      <c r="A5887" t="s">
        <v>209</v>
      </c>
      <c r="B5887" t="str">
        <f>_xlfn.XLOOKUP(A5887,'[1]Tissue Data'!$A:$A,'[1]Tissue Data'!$C:$C)</f>
        <v>Spill</v>
      </c>
      <c r="C5887" s="2">
        <f>_xlfn.XLOOKUP(A5887,'[1]Tissue Data'!$A:$A,'[1]Tissue Data'!$D:$D)</f>
        <v>44393</v>
      </c>
      <c r="D5887" s="2" t="str">
        <f>_xlfn.XLOOKUP(A5887,'[1]Tissue Data'!$A:$A,'[1]Tissue Data'!$F:$F)</f>
        <v>Large Mouth Bass</v>
      </c>
      <c r="E5887" t="str">
        <f>_xlfn.XLOOKUP(A5887,'[1]Tissue Data'!$A:$A,'[1]Tissue Data'!$H:$H)</f>
        <v>Micropterus</v>
      </c>
      <c r="F5887" t="str">
        <f>_xlfn.XLOOKUP(A5887,'[1]Tissue Data'!$A:$A,'[1]Tissue Data'!$I:$I)</f>
        <v>salmoides</v>
      </c>
      <c r="G5887" t="str">
        <f>_xlfn.XLOOKUP(A5887,'[1]Tissue Data'!$A:$A,'[1]Tissue Data'!J:J)</f>
        <v>U</v>
      </c>
      <c r="H5887" t="str">
        <f>_xlfn.XLOOKUP(A5887,'[1]Tissue Data'!$A:$A,'[1]Tissue Data'!K:K)</f>
        <v>Whole Body</v>
      </c>
      <c r="I5887">
        <f>_xlfn.XLOOKUP(A5887,'[1]Tissue Data'!$A:$A,'[1]Tissue Data'!L:L)</f>
        <v>7.75</v>
      </c>
      <c r="J5887">
        <f>_xlfn.XLOOKUP(A5887,'[1]Tissue Data'!$A:$A,'[1]Tissue Data'!M:M)</f>
        <v>25.51</v>
      </c>
      <c r="K5887" t="s">
        <v>47</v>
      </c>
      <c r="L5887" t="str">
        <f>_xlfn.XLOOKUP(K5887,[2]analyte_order!$B:$B,[2]analyte_order!$C:$C)</f>
        <v>356-02-5</v>
      </c>
      <c r="M5887">
        <f>_xlfn.XLOOKUP(L5887,[2]analyte_order!$C:$C,[2]analyte_order!$E:$E)</f>
        <v>38</v>
      </c>
      <c r="N5887">
        <v>0.23849999999999999</v>
      </c>
    </row>
    <row r="5888" spans="1:14">
      <c r="A5888" t="s">
        <v>209</v>
      </c>
      <c r="B5888" t="str">
        <f>_xlfn.XLOOKUP(A5888,'[1]Tissue Data'!$A:$A,'[1]Tissue Data'!$C:$C)</f>
        <v>Spill</v>
      </c>
      <c r="C5888" s="2">
        <f>_xlfn.XLOOKUP(A5888,'[1]Tissue Data'!$A:$A,'[1]Tissue Data'!$D:$D)</f>
        <v>44393</v>
      </c>
      <c r="D5888" s="2" t="str">
        <f>_xlfn.XLOOKUP(A5888,'[1]Tissue Data'!$A:$A,'[1]Tissue Data'!$F:$F)</f>
        <v>Large Mouth Bass</v>
      </c>
      <c r="E5888" t="str">
        <f>_xlfn.XLOOKUP(A5888,'[1]Tissue Data'!$A:$A,'[1]Tissue Data'!$H:$H)</f>
        <v>Micropterus</v>
      </c>
      <c r="F5888" t="str">
        <f>_xlfn.XLOOKUP(A5888,'[1]Tissue Data'!$A:$A,'[1]Tissue Data'!$I:$I)</f>
        <v>salmoides</v>
      </c>
      <c r="G5888" t="str">
        <f>_xlfn.XLOOKUP(A5888,'[1]Tissue Data'!$A:$A,'[1]Tissue Data'!J:J)</f>
        <v>U</v>
      </c>
      <c r="H5888" t="str">
        <f>_xlfn.XLOOKUP(A5888,'[1]Tissue Data'!$A:$A,'[1]Tissue Data'!K:K)</f>
        <v>Whole Body</v>
      </c>
      <c r="I5888">
        <f>_xlfn.XLOOKUP(A5888,'[1]Tissue Data'!$A:$A,'[1]Tissue Data'!L:L)</f>
        <v>7.75</v>
      </c>
      <c r="J5888">
        <f>_xlfn.XLOOKUP(A5888,'[1]Tissue Data'!$A:$A,'[1]Tissue Data'!M:M)</f>
        <v>25.51</v>
      </c>
      <c r="K5888" t="s">
        <v>48</v>
      </c>
      <c r="L5888" t="str">
        <f>_xlfn.XLOOKUP(K5888,[2]analyte_order!$B:$B,[2]analyte_order!$C:$C)</f>
        <v>914637-49-3</v>
      </c>
      <c r="M5888">
        <f>_xlfn.XLOOKUP(L5888,[2]analyte_order!$C:$C,[2]analyte_order!$E:$E)</f>
        <v>39</v>
      </c>
      <c r="N5888">
        <v>0.23849999999999999</v>
      </c>
    </row>
    <row r="5889" spans="1:14">
      <c r="A5889" t="s">
        <v>209</v>
      </c>
      <c r="B5889" t="str">
        <f>_xlfn.XLOOKUP(A5889,'[1]Tissue Data'!$A:$A,'[1]Tissue Data'!$C:$C)</f>
        <v>Spill</v>
      </c>
      <c r="C5889" s="2">
        <f>_xlfn.XLOOKUP(A5889,'[1]Tissue Data'!$A:$A,'[1]Tissue Data'!$D:$D)</f>
        <v>44393</v>
      </c>
      <c r="D5889" s="2" t="str">
        <f>_xlfn.XLOOKUP(A5889,'[1]Tissue Data'!$A:$A,'[1]Tissue Data'!$F:$F)</f>
        <v>Large Mouth Bass</v>
      </c>
      <c r="E5889" t="str">
        <f>_xlfn.XLOOKUP(A5889,'[1]Tissue Data'!$A:$A,'[1]Tissue Data'!$H:$H)</f>
        <v>Micropterus</v>
      </c>
      <c r="F5889" t="str">
        <f>_xlfn.XLOOKUP(A5889,'[1]Tissue Data'!$A:$A,'[1]Tissue Data'!$I:$I)</f>
        <v>salmoides</v>
      </c>
      <c r="G5889" t="str">
        <f>_xlfn.XLOOKUP(A5889,'[1]Tissue Data'!$A:$A,'[1]Tissue Data'!J:J)</f>
        <v>U</v>
      </c>
      <c r="H5889" t="str">
        <f>_xlfn.XLOOKUP(A5889,'[1]Tissue Data'!$A:$A,'[1]Tissue Data'!K:K)</f>
        <v>Whole Body</v>
      </c>
      <c r="I5889">
        <f>_xlfn.XLOOKUP(A5889,'[1]Tissue Data'!$A:$A,'[1]Tissue Data'!L:L)</f>
        <v>7.75</v>
      </c>
      <c r="J5889">
        <f>_xlfn.XLOOKUP(A5889,'[1]Tissue Data'!$A:$A,'[1]Tissue Data'!M:M)</f>
        <v>25.51</v>
      </c>
      <c r="K5889" t="s">
        <v>49</v>
      </c>
      <c r="L5889" t="str">
        <f>_xlfn.XLOOKUP(K5889,[2]analyte_order!$B:$B,[2]analyte_order!$C:$C)</f>
        <v>812-70-4</v>
      </c>
      <c r="M5889">
        <f>_xlfn.XLOOKUP(L5889,[2]analyte_order!$C:$C,[2]analyte_order!$E:$E)</f>
        <v>40</v>
      </c>
      <c r="N5889">
        <v>2.0299999999999998</v>
      </c>
    </row>
    <row r="5890" spans="1:14">
      <c r="A5890" t="s">
        <v>209</v>
      </c>
      <c r="B5890" t="str">
        <f>_xlfn.XLOOKUP(A5890,'[1]Tissue Data'!$A:$A,'[1]Tissue Data'!$C:$C)</f>
        <v>Spill</v>
      </c>
      <c r="C5890" s="2">
        <f>_xlfn.XLOOKUP(A5890,'[1]Tissue Data'!$A:$A,'[1]Tissue Data'!$D:$D)</f>
        <v>44393</v>
      </c>
      <c r="D5890" s="2" t="str">
        <f>_xlfn.XLOOKUP(A5890,'[1]Tissue Data'!$A:$A,'[1]Tissue Data'!$F:$F)</f>
        <v>Large Mouth Bass</v>
      </c>
      <c r="E5890" t="str">
        <f>_xlfn.XLOOKUP(A5890,'[1]Tissue Data'!$A:$A,'[1]Tissue Data'!$H:$H)</f>
        <v>Micropterus</v>
      </c>
      <c r="F5890" t="str">
        <f>_xlfn.XLOOKUP(A5890,'[1]Tissue Data'!$A:$A,'[1]Tissue Data'!$I:$I)</f>
        <v>salmoides</v>
      </c>
      <c r="G5890" t="str">
        <f>_xlfn.XLOOKUP(A5890,'[1]Tissue Data'!$A:$A,'[1]Tissue Data'!J:J)</f>
        <v>U</v>
      </c>
      <c r="H5890" t="str">
        <f>_xlfn.XLOOKUP(A5890,'[1]Tissue Data'!$A:$A,'[1]Tissue Data'!K:K)</f>
        <v>Whole Body</v>
      </c>
      <c r="I5890">
        <f>_xlfn.XLOOKUP(A5890,'[1]Tissue Data'!$A:$A,'[1]Tissue Data'!L:L)</f>
        <v>7.75</v>
      </c>
      <c r="J5890">
        <f>_xlfn.XLOOKUP(A5890,'[1]Tissue Data'!$A:$A,'[1]Tissue Data'!M:M)</f>
        <v>25.51</v>
      </c>
      <c r="K5890" t="s">
        <v>50</v>
      </c>
      <c r="L5890" t="str">
        <f>_xlfn.XLOOKUP(K5890,[2]analyte_order!$B:$B,[2]analyte_order!$C:$C)</f>
        <v>53826-12-3</v>
      </c>
      <c r="M5890">
        <f>_xlfn.XLOOKUP(L5890,[2]analyte_order!$C:$C,[2]analyte_order!$E:$E)</f>
        <v>41</v>
      </c>
      <c r="N5890">
        <v>0.23849999999999999</v>
      </c>
    </row>
    <row r="5891" spans="1:14">
      <c r="A5891" t="s">
        <v>209</v>
      </c>
      <c r="B5891" t="str">
        <f>_xlfn.XLOOKUP(A5891,'[1]Tissue Data'!$A:$A,'[1]Tissue Data'!$C:$C)</f>
        <v>Spill</v>
      </c>
      <c r="C5891" s="2">
        <f>_xlfn.XLOOKUP(A5891,'[1]Tissue Data'!$A:$A,'[1]Tissue Data'!$D:$D)</f>
        <v>44393</v>
      </c>
      <c r="D5891" s="2" t="str">
        <f>_xlfn.XLOOKUP(A5891,'[1]Tissue Data'!$A:$A,'[1]Tissue Data'!$F:$F)</f>
        <v>Large Mouth Bass</v>
      </c>
      <c r="E5891" t="str">
        <f>_xlfn.XLOOKUP(A5891,'[1]Tissue Data'!$A:$A,'[1]Tissue Data'!$H:$H)</f>
        <v>Micropterus</v>
      </c>
      <c r="F5891" t="str">
        <f>_xlfn.XLOOKUP(A5891,'[1]Tissue Data'!$A:$A,'[1]Tissue Data'!$I:$I)</f>
        <v>salmoides</v>
      </c>
      <c r="G5891" t="str">
        <f>_xlfn.XLOOKUP(A5891,'[1]Tissue Data'!$A:$A,'[1]Tissue Data'!J:J)</f>
        <v>U</v>
      </c>
      <c r="H5891" t="str">
        <f>_xlfn.XLOOKUP(A5891,'[1]Tissue Data'!$A:$A,'[1]Tissue Data'!K:K)</f>
        <v>Whole Body</v>
      </c>
      <c r="I5891">
        <f>_xlfn.XLOOKUP(A5891,'[1]Tissue Data'!$A:$A,'[1]Tissue Data'!L:L)</f>
        <v>7.75</v>
      </c>
      <c r="J5891">
        <f>_xlfn.XLOOKUP(A5891,'[1]Tissue Data'!$A:$A,'[1]Tissue Data'!M:M)</f>
        <v>25.51</v>
      </c>
      <c r="K5891" t="s">
        <v>51</v>
      </c>
      <c r="L5891" t="str">
        <f>_xlfn.XLOOKUP(K5891,[2]analyte_order!$B:$B,[2]analyte_order!$C:$C)</f>
        <v>27854-31-5</v>
      </c>
      <c r="M5891">
        <f>_xlfn.XLOOKUP(L5891,[2]analyte_order!$C:$C,[2]analyte_order!$E:$E)</f>
        <v>42</v>
      </c>
      <c r="N5891">
        <v>0.1195</v>
      </c>
    </row>
    <row r="5892" spans="1:14">
      <c r="A5892" t="s">
        <v>209</v>
      </c>
      <c r="B5892" t="str">
        <f>_xlfn.XLOOKUP(A5892,'[1]Tissue Data'!$A:$A,'[1]Tissue Data'!$C:$C)</f>
        <v>Spill</v>
      </c>
      <c r="C5892" s="2">
        <f>_xlfn.XLOOKUP(A5892,'[1]Tissue Data'!$A:$A,'[1]Tissue Data'!$D:$D)</f>
        <v>44393</v>
      </c>
      <c r="D5892" s="2" t="str">
        <f>_xlfn.XLOOKUP(A5892,'[1]Tissue Data'!$A:$A,'[1]Tissue Data'!$F:$F)</f>
        <v>Large Mouth Bass</v>
      </c>
      <c r="E5892" t="str">
        <f>_xlfn.XLOOKUP(A5892,'[1]Tissue Data'!$A:$A,'[1]Tissue Data'!$H:$H)</f>
        <v>Micropterus</v>
      </c>
      <c r="F5892" t="str">
        <f>_xlfn.XLOOKUP(A5892,'[1]Tissue Data'!$A:$A,'[1]Tissue Data'!$I:$I)</f>
        <v>salmoides</v>
      </c>
      <c r="G5892" t="str">
        <f>_xlfn.XLOOKUP(A5892,'[1]Tissue Data'!$A:$A,'[1]Tissue Data'!J:J)</f>
        <v>U</v>
      </c>
      <c r="H5892" t="str">
        <f>_xlfn.XLOOKUP(A5892,'[1]Tissue Data'!$A:$A,'[1]Tissue Data'!K:K)</f>
        <v>Whole Body</v>
      </c>
      <c r="I5892">
        <f>_xlfn.XLOOKUP(A5892,'[1]Tissue Data'!$A:$A,'[1]Tissue Data'!L:L)</f>
        <v>7.75</v>
      </c>
      <c r="J5892">
        <f>_xlfn.XLOOKUP(A5892,'[1]Tissue Data'!$A:$A,'[1]Tissue Data'!M:M)</f>
        <v>25.51</v>
      </c>
      <c r="K5892" t="s">
        <v>52</v>
      </c>
      <c r="L5892" t="str">
        <f>_xlfn.XLOOKUP(K5892,[2]analyte_order!$B:$B,[2]analyte_order!$C:$C)</f>
        <v>53826-13-4</v>
      </c>
      <c r="M5892">
        <f>_xlfn.XLOOKUP(L5892,[2]analyte_order!$C:$C,[2]analyte_order!$E:$E)</f>
        <v>43</v>
      </c>
      <c r="N5892">
        <v>0.23849999999999999</v>
      </c>
    </row>
    <row r="5893" spans="1:14">
      <c r="A5893" t="s">
        <v>209</v>
      </c>
      <c r="B5893" t="str">
        <f>_xlfn.XLOOKUP(A5893,'[1]Tissue Data'!$A:$A,'[1]Tissue Data'!$C:$C)</f>
        <v>Spill</v>
      </c>
      <c r="C5893" s="2">
        <f>_xlfn.XLOOKUP(A5893,'[1]Tissue Data'!$A:$A,'[1]Tissue Data'!$D:$D)</f>
        <v>44393</v>
      </c>
      <c r="D5893" s="2" t="str">
        <f>_xlfn.XLOOKUP(A5893,'[1]Tissue Data'!$A:$A,'[1]Tissue Data'!$F:$F)</f>
        <v>Large Mouth Bass</v>
      </c>
      <c r="E5893" t="str">
        <f>_xlfn.XLOOKUP(A5893,'[1]Tissue Data'!$A:$A,'[1]Tissue Data'!$H:$H)</f>
        <v>Micropterus</v>
      </c>
      <c r="F5893" t="str">
        <f>_xlfn.XLOOKUP(A5893,'[1]Tissue Data'!$A:$A,'[1]Tissue Data'!$I:$I)</f>
        <v>salmoides</v>
      </c>
      <c r="G5893" t="str">
        <f>_xlfn.XLOOKUP(A5893,'[1]Tissue Data'!$A:$A,'[1]Tissue Data'!J:J)</f>
        <v>U</v>
      </c>
      <c r="H5893" t="str">
        <f>_xlfn.XLOOKUP(A5893,'[1]Tissue Data'!$A:$A,'[1]Tissue Data'!K:K)</f>
        <v>Whole Body</v>
      </c>
      <c r="I5893">
        <f>_xlfn.XLOOKUP(A5893,'[1]Tissue Data'!$A:$A,'[1]Tissue Data'!L:L)</f>
        <v>7.75</v>
      </c>
      <c r="J5893">
        <f>_xlfn.XLOOKUP(A5893,'[1]Tissue Data'!$A:$A,'[1]Tissue Data'!M:M)</f>
        <v>25.51</v>
      </c>
      <c r="K5893" t="s">
        <v>53</v>
      </c>
      <c r="L5893" t="str">
        <f>_xlfn.XLOOKUP(K5893,[2]analyte_order!$B:$B,[2]analyte_order!$C:$C)</f>
        <v>161094-75-3</v>
      </c>
      <c r="M5893">
        <f>_xlfn.XLOOKUP(L5893,[2]analyte_order!$C:$C,[2]analyte_order!$E:$E)</f>
        <v>44</v>
      </c>
      <c r="N5893">
        <v>9.35E-2</v>
      </c>
    </row>
    <row r="5894" spans="1:14">
      <c r="A5894" t="s">
        <v>209</v>
      </c>
      <c r="B5894" t="str">
        <f>_xlfn.XLOOKUP(A5894,'[1]Tissue Data'!$A:$A,'[1]Tissue Data'!$C:$C)</f>
        <v>Spill</v>
      </c>
      <c r="C5894" s="2">
        <f>_xlfn.XLOOKUP(A5894,'[1]Tissue Data'!$A:$A,'[1]Tissue Data'!$D:$D)</f>
        <v>44393</v>
      </c>
      <c r="D5894" s="2" t="str">
        <f>_xlfn.XLOOKUP(A5894,'[1]Tissue Data'!$A:$A,'[1]Tissue Data'!$F:$F)</f>
        <v>Large Mouth Bass</v>
      </c>
      <c r="E5894" t="str">
        <f>_xlfn.XLOOKUP(A5894,'[1]Tissue Data'!$A:$A,'[1]Tissue Data'!$H:$H)</f>
        <v>Micropterus</v>
      </c>
      <c r="F5894" t="str">
        <f>_xlfn.XLOOKUP(A5894,'[1]Tissue Data'!$A:$A,'[1]Tissue Data'!$I:$I)</f>
        <v>salmoides</v>
      </c>
      <c r="G5894" t="str">
        <f>_xlfn.XLOOKUP(A5894,'[1]Tissue Data'!$A:$A,'[1]Tissue Data'!J:J)</f>
        <v>U</v>
      </c>
      <c r="H5894" t="str">
        <f>_xlfn.XLOOKUP(A5894,'[1]Tissue Data'!$A:$A,'[1]Tissue Data'!K:K)</f>
        <v>Whole Body</v>
      </c>
      <c r="I5894">
        <f>_xlfn.XLOOKUP(A5894,'[1]Tissue Data'!$A:$A,'[1]Tissue Data'!L:L)</f>
        <v>7.75</v>
      </c>
      <c r="J5894">
        <f>_xlfn.XLOOKUP(A5894,'[1]Tissue Data'!$A:$A,'[1]Tissue Data'!M:M)</f>
        <v>25.51</v>
      </c>
      <c r="K5894" t="s">
        <v>54</v>
      </c>
      <c r="L5894" t="str">
        <f>_xlfn.XLOOKUP(K5894,[2]analyte_order!$B:$B,[2]analyte_order!$C:$C)</f>
        <v>70887-84-2</v>
      </c>
      <c r="M5894">
        <f>_xlfn.XLOOKUP(L5894,[2]analyte_order!$C:$C,[2]analyte_order!$E:$E)</f>
        <v>45</v>
      </c>
      <c r="N5894">
        <v>7.1999999999999995E-2</v>
      </c>
    </row>
    <row r="5895" spans="1:14">
      <c r="A5895" t="s">
        <v>209</v>
      </c>
      <c r="B5895" t="str">
        <f>_xlfn.XLOOKUP(A5895,'[1]Tissue Data'!$A:$A,'[1]Tissue Data'!$C:$C)</f>
        <v>Spill</v>
      </c>
      <c r="C5895" s="2">
        <f>_xlfn.XLOOKUP(A5895,'[1]Tissue Data'!$A:$A,'[1]Tissue Data'!$D:$D)</f>
        <v>44393</v>
      </c>
      <c r="D5895" s="2" t="str">
        <f>_xlfn.XLOOKUP(A5895,'[1]Tissue Data'!$A:$A,'[1]Tissue Data'!$F:$F)</f>
        <v>Large Mouth Bass</v>
      </c>
      <c r="E5895" t="str">
        <f>_xlfn.XLOOKUP(A5895,'[1]Tissue Data'!$A:$A,'[1]Tissue Data'!$H:$H)</f>
        <v>Micropterus</v>
      </c>
      <c r="F5895" t="str">
        <f>_xlfn.XLOOKUP(A5895,'[1]Tissue Data'!$A:$A,'[1]Tissue Data'!$I:$I)</f>
        <v>salmoides</v>
      </c>
      <c r="G5895" t="str">
        <f>_xlfn.XLOOKUP(A5895,'[1]Tissue Data'!$A:$A,'[1]Tissue Data'!J:J)</f>
        <v>U</v>
      </c>
      <c r="H5895" t="str">
        <f>_xlfn.XLOOKUP(A5895,'[1]Tissue Data'!$A:$A,'[1]Tissue Data'!K:K)</f>
        <v>Whole Body</v>
      </c>
      <c r="I5895">
        <f>_xlfn.XLOOKUP(A5895,'[1]Tissue Data'!$A:$A,'[1]Tissue Data'!L:L)</f>
        <v>7.75</v>
      </c>
      <c r="J5895">
        <f>_xlfn.XLOOKUP(A5895,'[1]Tissue Data'!$A:$A,'[1]Tissue Data'!M:M)</f>
        <v>25.51</v>
      </c>
      <c r="K5895" t="s">
        <v>55</v>
      </c>
      <c r="L5895" t="str">
        <f>_xlfn.XLOOKUP(K5895,[2]analyte_order!$B:$B,[2]analyte_order!$C:$C)</f>
        <v>919005-14-4</v>
      </c>
      <c r="M5895">
        <f>_xlfn.XLOOKUP(L5895,[2]analyte_order!$C:$C,[2]analyte_order!$E:$E)</f>
        <v>35</v>
      </c>
      <c r="N5895">
        <v>0.105</v>
      </c>
    </row>
    <row r="5896" spans="1:14">
      <c r="A5896" t="s">
        <v>209</v>
      </c>
      <c r="B5896" t="str">
        <f>_xlfn.XLOOKUP(A5896,'[1]Tissue Data'!$A:$A,'[1]Tissue Data'!$C:$C)</f>
        <v>Spill</v>
      </c>
      <c r="C5896" s="2">
        <f>_xlfn.XLOOKUP(A5896,'[1]Tissue Data'!$A:$A,'[1]Tissue Data'!$D:$D)</f>
        <v>44393</v>
      </c>
      <c r="D5896" s="2" t="str">
        <f>_xlfn.XLOOKUP(A5896,'[1]Tissue Data'!$A:$A,'[1]Tissue Data'!$F:$F)</f>
        <v>Large Mouth Bass</v>
      </c>
      <c r="E5896" t="str">
        <f>_xlfn.XLOOKUP(A5896,'[1]Tissue Data'!$A:$A,'[1]Tissue Data'!$H:$H)</f>
        <v>Micropterus</v>
      </c>
      <c r="F5896" t="str">
        <f>_xlfn.XLOOKUP(A5896,'[1]Tissue Data'!$A:$A,'[1]Tissue Data'!$I:$I)</f>
        <v>salmoides</v>
      </c>
      <c r="G5896" t="str">
        <f>_xlfn.XLOOKUP(A5896,'[1]Tissue Data'!$A:$A,'[1]Tissue Data'!J:J)</f>
        <v>U</v>
      </c>
      <c r="H5896" t="str">
        <f>_xlfn.XLOOKUP(A5896,'[1]Tissue Data'!$A:$A,'[1]Tissue Data'!K:K)</f>
        <v>Whole Body</v>
      </c>
      <c r="I5896">
        <f>_xlfn.XLOOKUP(A5896,'[1]Tissue Data'!$A:$A,'[1]Tissue Data'!L:L)</f>
        <v>7.75</v>
      </c>
      <c r="J5896">
        <f>_xlfn.XLOOKUP(A5896,'[1]Tissue Data'!$A:$A,'[1]Tissue Data'!M:M)</f>
        <v>25.51</v>
      </c>
      <c r="K5896" t="s">
        <v>56</v>
      </c>
      <c r="L5896" t="str">
        <f>_xlfn.XLOOKUP(K5896,[2]analyte_order!$B:$B,[2]analyte_order!$C:$C)</f>
        <v>756426-58-1</v>
      </c>
      <c r="M5896">
        <f>_xlfn.XLOOKUP(L5896,[2]analyte_order!$C:$C,[2]analyte_order!$E:$E)</f>
        <v>36</v>
      </c>
      <c r="N5896">
        <v>0.23849999999999999</v>
      </c>
    </row>
    <row r="5897" spans="1:14">
      <c r="A5897" t="s">
        <v>209</v>
      </c>
      <c r="B5897" t="str">
        <f>_xlfn.XLOOKUP(A5897,'[1]Tissue Data'!$A:$A,'[1]Tissue Data'!$C:$C)</f>
        <v>Spill</v>
      </c>
      <c r="C5897" s="2">
        <f>_xlfn.XLOOKUP(A5897,'[1]Tissue Data'!$A:$A,'[1]Tissue Data'!$D:$D)</f>
        <v>44393</v>
      </c>
      <c r="D5897" s="2" t="str">
        <f>_xlfn.XLOOKUP(A5897,'[1]Tissue Data'!$A:$A,'[1]Tissue Data'!$F:$F)</f>
        <v>Large Mouth Bass</v>
      </c>
      <c r="E5897" t="str">
        <f>_xlfn.XLOOKUP(A5897,'[1]Tissue Data'!$A:$A,'[1]Tissue Data'!$H:$H)</f>
        <v>Micropterus</v>
      </c>
      <c r="F5897" t="str">
        <f>_xlfn.XLOOKUP(A5897,'[1]Tissue Data'!$A:$A,'[1]Tissue Data'!$I:$I)</f>
        <v>salmoides</v>
      </c>
      <c r="G5897" t="str">
        <f>_xlfn.XLOOKUP(A5897,'[1]Tissue Data'!$A:$A,'[1]Tissue Data'!J:J)</f>
        <v>U</v>
      </c>
      <c r="H5897" t="str">
        <f>_xlfn.XLOOKUP(A5897,'[1]Tissue Data'!$A:$A,'[1]Tissue Data'!K:K)</f>
        <v>Whole Body</v>
      </c>
      <c r="I5897">
        <f>_xlfn.XLOOKUP(A5897,'[1]Tissue Data'!$A:$A,'[1]Tissue Data'!L:L)</f>
        <v>7.75</v>
      </c>
      <c r="J5897">
        <f>_xlfn.XLOOKUP(A5897,'[1]Tissue Data'!$A:$A,'[1]Tissue Data'!M:M)</f>
        <v>25.51</v>
      </c>
      <c r="K5897" t="s">
        <v>57</v>
      </c>
      <c r="L5897" t="str">
        <f>_xlfn.XLOOKUP(K5897,[2]analyte_order!$B:$B,[2]analyte_order!$C:$C)</f>
        <v>763051-92-9</v>
      </c>
      <c r="M5897">
        <f>_xlfn.XLOOKUP(L5897,[2]analyte_order!$C:$C,[2]analyte_order!$E:$E)</f>
        <v>37</v>
      </c>
      <c r="N5897">
        <v>0.23849999999999999</v>
      </c>
    </row>
    <row r="5898" spans="1:14">
      <c r="A5898" t="s">
        <v>209</v>
      </c>
      <c r="B5898" t="str">
        <f>_xlfn.XLOOKUP(A5898,'[1]Tissue Data'!$A:$A,'[1]Tissue Data'!$C:$C)</f>
        <v>Spill</v>
      </c>
      <c r="C5898" s="2">
        <f>_xlfn.XLOOKUP(A5898,'[1]Tissue Data'!$A:$A,'[1]Tissue Data'!$D:$D)</f>
        <v>44393</v>
      </c>
      <c r="D5898" s="2" t="str">
        <f>_xlfn.XLOOKUP(A5898,'[1]Tissue Data'!$A:$A,'[1]Tissue Data'!$F:$F)</f>
        <v>Large Mouth Bass</v>
      </c>
      <c r="E5898" t="str">
        <f>_xlfn.XLOOKUP(A5898,'[1]Tissue Data'!$A:$A,'[1]Tissue Data'!$H:$H)</f>
        <v>Micropterus</v>
      </c>
      <c r="F5898" t="str">
        <f>_xlfn.XLOOKUP(A5898,'[1]Tissue Data'!$A:$A,'[1]Tissue Data'!$I:$I)</f>
        <v>salmoides</v>
      </c>
      <c r="G5898" t="str">
        <f>_xlfn.XLOOKUP(A5898,'[1]Tissue Data'!$A:$A,'[1]Tissue Data'!J:J)</f>
        <v>U</v>
      </c>
      <c r="H5898" t="str">
        <f>_xlfn.XLOOKUP(A5898,'[1]Tissue Data'!$A:$A,'[1]Tissue Data'!K:K)</f>
        <v>Whole Body</v>
      </c>
      <c r="I5898">
        <f>_xlfn.XLOOKUP(A5898,'[1]Tissue Data'!$A:$A,'[1]Tissue Data'!L:L)</f>
        <v>7.75</v>
      </c>
      <c r="J5898">
        <f>_xlfn.XLOOKUP(A5898,'[1]Tissue Data'!$A:$A,'[1]Tissue Data'!M:M)</f>
        <v>25.51</v>
      </c>
      <c r="K5898" t="s">
        <v>58</v>
      </c>
      <c r="L5898" t="str">
        <f>_xlfn.XLOOKUP(K5898,[2]analyte_order!$B:$B,[2]analyte_order!$C:$C)</f>
        <v>13252-13-6</v>
      </c>
      <c r="M5898">
        <f>_xlfn.XLOOKUP(L5898,[2]analyte_order!$C:$C,[2]analyte_order!$E:$E)</f>
        <v>34</v>
      </c>
      <c r="N5898">
        <v>0.17100000000000001</v>
      </c>
    </row>
    <row r="5899" spans="1:14">
      <c r="A5899" t="s">
        <v>209</v>
      </c>
      <c r="B5899" t="str">
        <f>_xlfn.XLOOKUP(A5899,'[1]Tissue Data'!$A:$A,'[1]Tissue Data'!$C:$C)</f>
        <v>Spill</v>
      </c>
      <c r="C5899" s="2">
        <f>_xlfn.XLOOKUP(A5899,'[1]Tissue Data'!$A:$A,'[1]Tissue Data'!$D:$D)</f>
        <v>44393</v>
      </c>
      <c r="D5899" s="2" t="str">
        <f>_xlfn.XLOOKUP(A5899,'[1]Tissue Data'!$A:$A,'[1]Tissue Data'!$F:$F)</f>
        <v>Large Mouth Bass</v>
      </c>
      <c r="E5899" t="str">
        <f>_xlfn.XLOOKUP(A5899,'[1]Tissue Data'!$A:$A,'[1]Tissue Data'!$H:$H)</f>
        <v>Micropterus</v>
      </c>
      <c r="F5899" t="str">
        <f>_xlfn.XLOOKUP(A5899,'[1]Tissue Data'!$A:$A,'[1]Tissue Data'!$I:$I)</f>
        <v>salmoides</v>
      </c>
      <c r="G5899" t="str">
        <f>_xlfn.XLOOKUP(A5899,'[1]Tissue Data'!$A:$A,'[1]Tissue Data'!J:J)</f>
        <v>U</v>
      </c>
      <c r="H5899" t="str">
        <f>_xlfn.XLOOKUP(A5899,'[1]Tissue Data'!$A:$A,'[1]Tissue Data'!K:K)</f>
        <v>Whole Body</v>
      </c>
      <c r="I5899">
        <f>_xlfn.XLOOKUP(A5899,'[1]Tissue Data'!$A:$A,'[1]Tissue Data'!L:L)</f>
        <v>7.75</v>
      </c>
      <c r="J5899">
        <f>_xlfn.XLOOKUP(A5899,'[1]Tissue Data'!$A:$A,'[1]Tissue Data'!M:M)</f>
        <v>25.51</v>
      </c>
      <c r="K5899" t="s">
        <v>59</v>
      </c>
      <c r="L5899" t="str">
        <f>_xlfn.XLOOKUP(K5899,[2]analyte_order!$B:$B,[2]analyte_order!$C:$C)</f>
        <v>57677-95-9</v>
      </c>
      <c r="M5899">
        <f>_xlfn.XLOOKUP(L5899,[2]analyte_order!$C:$C,[2]analyte_order!$E:$E)</f>
        <v>46</v>
      </c>
      <c r="N5899">
        <v>0.23849999999999999</v>
      </c>
    </row>
    <row r="5900" spans="1:14">
      <c r="A5900" t="s">
        <v>209</v>
      </c>
      <c r="B5900" t="str">
        <f>_xlfn.XLOOKUP(A5900,'[1]Tissue Data'!$A:$A,'[1]Tissue Data'!$C:$C)</f>
        <v>Spill</v>
      </c>
      <c r="C5900" s="2">
        <f>_xlfn.XLOOKUP(A5900,'[1]Tissue Data'!$A:$A,'[1]Tissue Data'!$D:$D)</f>
        <v>44393</v>
      </c>
      <c r="D5900" s="2" t="str">
        <f>_xlfn.XLOOKUP(A5900,'[1]Tissue Data'!$A:$A,'[1]Tissue Data'!$F:$F)</f>
        <v>Large Mouth Bass</v>
      </c>
      <c r="E5900" t="str">
        <f>_xlfn.XLOOKUP(A5900,'[1]Tissue Data'!$A:$A,'[1]Tissue Data'!$H:$H)</f>
        <v>Micropterus</v>
      </c>
      <c r="F5900" t="str">
        <f>_xlfn.XLOOKUP(A5900,'[1]Tissue Data'!$A:$A,'[1]Tissue Data'!$I:$I)</f>
        <v>salmoides</v>
      </c>
      <c r="G5900" t="str">
        <f>_xlfn.XLOOKUP(A5900,'[1]Tissue Data'!$A:$A,'[1]Tissue Data'!J:J)</f>
        <v>U</v>
      </c>
      <c r="H5900" t="str">
        <f>_xlfn.XLOOKUP(A5900,'[1]Tissue Data'!$A:$A,'[1]Tissue Data'!K:K)</f>
        <v>Whole Body</v>
      </c>
      <c r="I5900">
        <f>_xlfn.XLOOKUP(A5900,'[1]Tissue Data'!$A:$A,'[1]Tissue Data'!L:L)</f>
        <v>7.75</v>
      </c>
      <c r="J5900">
        <f>_xlfn.XLOOKUP(A5900,'[1]Tissue Data'!$A:$A,'[1]Tissue Data'!M:M)</f>
        <v>25.51</v>
      </c>
      <c r="K5900" t="s">
        <v>60</v>
      </c>
      <c r="L5900" t="str">
        <f>_xlfn.XLOOKUP(K5900,[2]analyte_order!$B:$B,[2]analyte_order!$C:$C)</f>
        <v>678-41-1</v>
      </c>
      <c r="M5900">
        <f>_xlfn.XLOOKUP(L5900,[2]analyte_order!$C:$C,[2]analyte_order!$E:$E)</f>
        <v>56</v>
      </c>
      <c r="N5900">
        <v>0.23849999999999999</v>
      </c>
    </row>
    <row r="5901" spans="1:14">
      <c r="A5901" t="s">
        <v>209</v>
      </c>
      <c r="B5901" t="str">
        <f>_xlfn.XLOOKUP(A5901,'[1]Tissue Data'!$A:$A,'[1]Tissue Data'!$C:$C)</f>
        <v>Spill</v>
      </c>
      <c r="C5901" s="2">
        <f>_xlfn.XLOOKUP(A5901,'[1]Tissue Data'!$A:$A,'[1]Tissue Data'!$D:$D)</f>
        <v>44393</v>
      </c>
      <c r="D5901" s="2" t="str">
        <f>_xlfn.XLOOKUP(A5901,'[1]Tissue Data'!$A:$A,'[1]Tissue Data'!$F:$F)</f>
        <v>Large Mouth Bass</v>
      </c>
      <c r="E5901" t="str">
        <f>_xlfn.XLOOKUP(A5901,'[1]Tissue Data'!$A:$A,'[1]Tissue Data'!$H:$H)</f>
        <v>Micropterus</v>
      </c>
      <c r="F5901" t="str">
        <f>_xlfn.XLOOKUP(A5901,'[1]Tissue Data'!$A:$A,'[1]Tissue Data'!$I:$I)</f>
        <v>salmoides</v>
      </c>
      <c r="G5901" t="str">
        <f>_xlfn.XLOOKUP(A5901,'[1]Tissue Data'!$A:$A,'[1]Tissue Data'!J:J)</f>
        <v>U</v>
      </c>
      <c r="H5901" t="str">
        <f>_xlfn.XLOOKUP(A5901,'[1]Tissue Data'!$A:$A,'[1]Tissue Data'!K:K)</f>
        <v>Whole Body</v>
      </c>
      <c r="I5901">
        <f>_xlfn.XLOOKUP(A5901,'[1]Tissue Data'!$A:$A,'[1]Tissue Data'!L:L)</f>
        <v>7.75</v>
      </c>
      <c r="J5901">
        <f>_xlfn.XLOOKUP(A5901,'[1]Tissue Data'!$A:$A,'[1]Tissue Data'!M:M)</f>
        <v>25.51</v>
      </c>
      <c r="K5901" t="s">
        <v>61</v>
      </c>
      <c r="L5901" t="str">
        <f>_xlfn.XLOOKUP(K5901,[2]analyte_order!$B:$B,[2]analyte_order!$C:$C)</f>
        <v>2965-52-8</v>
      </c>
      <c r="M5901">
        <f>_xlfn.XLOOKUP(L5901,[2]analyte_order!$C:$C,[2]analyte_order!$E:$E)</f>
        <v>57</v>
      </c>
      <c r="N5901">
        <v>0.23849999999999999</v>
      </c>
    </row>
    <row r="5902" spans="1:14">
      <c r="A5902" t="s">
        <v>142</v>
      </c>
      <c r="B5902" t="str">
        <f>_xlfn.XLOOKUP(A5902,'[1]Tissue Data'!$A:$A,'[1]Tissue Data'!$C:$C)</f>
        <v>Spill</v>
      </c>
      <c r="C5902" s="2">
        <f>_xlfn.XLOOKUP(A5902,'[1]Tissue Data'!$A:$A,'[1]Tissue Data'!$D:$D)</f>
        <v>44393</v>
      </c>
      <c r="D5902" s="2" t="s">
        <v>131</v>
      </c>
      <c r="E5902" t="str">
        <f>_xlfn.XLOOKUP(A5902,'[1]Tissue Data'!$A:$A,'[1]Tissue Data'!$H:$H)</f>
        <v>Clinostomus</v>
      </c>
      <c r="F5902" t="str">
        <f>_xlfn.XLOOKUP(A5902,'[1]Tissue Data'!$A:$A,'[1]Tissue Data'!$I:$I)</f>
        <v>funduloides</v>
      </c>
      <c r="G5902" t="str">
        <f>_xlfn.XLOOKUP(A5902,'[1]Tissue Data'!$A:$A,'[1]Tissue Data'!J:J)</f>
        <v>U</v>
      </c>
      <c r="H5902" t="str">
        <f>_xlfn.XLOOKUP(A5902,'[1]Tissue Data'!$A:$A,'[1]Tissue Data'!K:K)</f>
        <v>Whole Body</v>
      </c>
      <c r="I5902">
        <f>_xlfn.XLOOKUP(A5902,'[1]Tissue Data'!$A:$A,'[1]Tissue Data'!L:L)</f>
        <v>12</v>
      </c>
      <c r="J5902">
        <f>_xlfn.XLOOKUP(A5902,'[1]Tissue Data'!$A:$A,'[1]Tissue Data'!M:M)</f>
        <v>23.18</v>
      </c>
      <c r="K5902" t="s">
        <v>12</v>
      </c>
      <c r="L5902" t="str">
        <f>_xlfn.XLOOKUP(K5902,[2]analyte_order!$B:$B,[2]analyte_order!$C:$C)</f>
        <v>375-22-4</v>
      </c>
      <c r="M5902">
        <f>_xlfn.XLOOKUP(L5902,[2]analyte_order!$C:$C,[2]analyte_order!$E:$E)</f>
        <v>1</v>
      </c>
      <c r="N5902">
        <v>0.2465</v>
      </c>
    </row>
    <row r="5903" spans="1:14">
      <c r="A5903" t="s">
        <v>142</v>
      </c>
      <c r="B5903" t="str">
        <f>_xlfn.XLOOKUP(A5903,'[1]Tissue Data'!$A:$A,'[1]Tissue Data'!$C:$C)</f>
        <v>Spill</v>
      </c>
      <c r="C5903" s="2">
        <f>_xlfn.XLOOKUP(A5903,'[1]Tissue Data'!$A:$A,'[1]Tissue Data'!$D:$D)</f>
        <v>44393</v>
      </c>
      <c r="D5903" s="2" t="s">
        <v>131</v>
      </c>
      <c r="E5903" t="str">
        <f>_xlfn.XLOOKUP(A5903,'[1]Tissue Data'!$A:$A,'[1]Tissue Data'!$H:$H)</f>
        <v>Clinostomus</v>
      </c>
      <c r="F5903" t="str">
        <f>_xlfn.XLOOKUP(A5903,'[1]Tissue Data'!$A:$A,'[1]Tissue Data'!$I:$I)</f>
        <v>funduloides</v>
      </c>
      <c r="G5903" t="str">
        <f>_xlfn.XLOOKUP(A5903,'[1]Tissue Data'!$A:$A,'[1]Tissue Data'!J:J)</f>
        <v>U</v>
      </c>
      <c r="H5903" t="str">
        <f>_xlfn.XLOOKUP(A5903,'[1]Tissue Data'!$A:$A,'[1]Tissue Data'!K:K)</f>
        <v>Whole Body</v>
      </c>
      <c r="I5903">
        <f>_xlfn.XLOOKUP(A5903,'[1]Tissue Data'!$A:$A,'[1]Tissue Data'!L:L)</f>
        <v>12</v>
      </c>
      <c r="J5903">
        <f>_xlfn.XLOOKUP(A5903,'[1]Tissue Data'!$A:$A,'[1]Tissue Data'!M:M)</f>
        <v>23.18</v>
      </c>
      <c r="K5903" t="s">
        <v>13</v>
      </c>
      <c r="L5903" t="str">
        <f>_xlfn.XLOOKUP(K5903,[2]analyte_order!$B:$B,[2]analyte_order!$C:$C)</f>
        <v>2706-90-3</v>
      </c>
      <c r="M5903">
        <f>_xlfn.XLOOKUP(L5903,[2]analyte_order!$C:$C,[2]analyte_order!$E:$E)</f>
        <v>2</v>
      </c>
      <c r="N5903">
        <v>8.6999999999999994E-2</v>
      </c>
    </row>
    <row r="5904" spans="1:14">
      <c r="A5904" t="s">
        <v>142</v>
      </c>
      <c r="B5904" t="str">
        <f>_xlfn.XLOOKUP(A5904,'[1]Tissue Data'!$A:$A,'[1]Tissue Data'!$C:$C)</f>
        <v>Spill</v>
      </c>
      <c r="C5904" s="2">
        <f>_xlfn.XLOOKUP(A5904,'[1]Tissue Data'!$A:$A,'[1]Tissue Data'!$D:$D)</f>
        <v>44393</v>
      </c>
      <c r="D5904" s="2" t="s">
        <v>131</v>
      </c>
      <c r="E5904" t="str">
        <f>_xlfn.XLOOKUP(A5904,'[1]Tissue Data'!$A:$A,'[1]Tissue Data'!$H:$H)</f>
        <v>Clinostomus</v>
      </c>
      <c r="F5904" t="str">
        <f>_xlfn.XLOOKUP(A5904,'[1]Tissue Data'!$A:$A,'[1]Tissue Data'!$I:$I)</f>
        <v>funduloides</v>
      </c>
      <c r="G5904" t="str">
        <f>_xlfn.XLOOKUP(A5904,'[1]Tissue Data'!$A:$A,'[1]Tissue Data'!J:J)</f>
        <v>U</v>
      </c>
      <c r="H5904" t="str">
        <f>_xlfn.XLOOKUP(A5904,'[1]Tissue Data'!$A:$A,'[1]Tissue Data'!K:K)</f>
        <v>Whole Body</v>
      </c>
      <c r="I5904">
        <f>_xlfn.XLOOKUP(A5904,'[1]Tissue Data'!$A:$A,'[1]Tissue Data'!L:L)</f>
        <v>12</v>
      </c>
      <c r="J5904">
        <f>_xlfn.XLOOKUP(A5904,'[1]Tissue Data'!$A:$A,'[1]Tissue Data'!M:M)</f>
        <v>23.18</v>
      </c>
      <c r="K5904" t="s">
        <v>14</v>
      </c>
      <c r="L5904" t="str">
        <f>_xlfn.XLOOKUP(K5904,[2]analyte_order!$B:$B,[2]analyte_order!$C:$C)</f>
        <v>307-24-4</v>
      </c>
      <c r="M5904">
        <f>_xlfn.XLOOKUP(L5904,[2]analyte_order!$C:$C,[2]analyte_order!$E:$E)</f>
        <v>3</v>
      </c>
      <c r="N5904">
        <v>0.13300000000000001</v>
      </c>
    </row>
    <row r="5905" spans="1:14">
      <c r="A5905" t="s">
        <v>142</v>
      </c>
      <c r="B5905" t="str">
        <f>_xlfn.XLOOKUP(A5905,'[1]Tissue Data'!$A:$A,'[1]Tissue Data'!$C:$C)</f>
        <v>Spill</v>
      </c>
      <c r="C5905" s="2">
        <f>_xlfn.XLOOKUP(A5905,'[1]Tissue Data'!$A:$A,'[1]Tissue Data'!$D:$D)</f>
        <v>44393</v>
      </c>
      <c r="D5905" s="2" t="s">
        <v>131</v>
      </c>
      <c r="E5905" t="str">
        <f>_xlfn.XLOOKUP(A5905,'[1]Tissue Data'!$A:$A,'[1]Tissue Data'!$H:$H)</f>
        <v>Clinostomus</v>
      </c>
      <c r="F5905" t="str">
        <f>_xlfn.XLOOKUP(A5905,'[1]Tissue Data'!$A:$A,'[1]Tissue Data'!$I:$I)</f>
        <v>funduloides</v>
      </c>
      <c r="G5905" t="str">
        <f>_xlfn.XLOOKUP(A5905,'[1]Tissue Data'!$A:$A,'[1]Tissue Data'!J:J)</f>
        <v>U</v>
      </c>
      <c r="H5905" t="str">
        <f>_xlfn.XLOOKUP(A5905,'[1]Tissue Data'!$A:$A,'[1]Tissue Data'!K:K)</f>
        <v>Whole Body</v>
      </c>
      <c r="I5905">
        <f>_xlfn.XLOOKUP(A5905,'[1]Tissue Data'!$A:$A,'[1]Tissue Data'!L:L)</f>
        <v>12</v>
      </c>
      <c r="J5905">
        <f>_xlfn.XLOOKUP(A5905,'[1]Tissue Data'!$A:$A,'[1]Tissue Data'!M:M)</f>
        <v>23.18</v>
      </c>
      <c r="K5905" t="s">
        <v>15</v>
      </c>
      <c r="L5905" t="str">
        <f>_xlfn.XLOOKUP(K5905,[2]analyte_order!$B:$B,[2]analyte_order!$C:$C)</f>
        <v>375-85-9</v>
      </c>
      <c r="M5905">
        <f>_xlfn.XLOOKUP(L5905,[2]analyte_order!$C:$C,[2]analyte_order!$E:$E)</f>
        <v>4</v>
      </c>
      <c r="N5905">
        <v>0.2465</v>
      </c>
    </row>
    <row r="5906" spans="1:14">
      <c r="A5906" t="s">
        <v>142</v>
      </c>
      <c r="B5906" t="str">
        <f>_xlfn.XLOOKUP(A5906,'[1]Tissue Data'!$A:$A,'[1]Tissue Data'!$C:$C)</f>
        <v>Spill</v>
      </c>
      <c r="C5906" s="2">
        <f>_xlfn.XLOOKUP(A5906,'[1]Tissue Data'!$A:$A,'[1]Tissue Data'!$D:$D)</f>
        <v>44393</v>
      </c>
      <c r="D5906" s="2" t="s">
        <v>131</v>
      </c>
      <c r="E5906" t="str">
        <f>_xlfn.XLOOKUP(A5906,'[1]Tissue Data'!$A:$A,'[1]Tissue Data'!$H:$H)</f>
        <v>Clinostomus</v>
      </c>
      <c r="F5906" t="str">
        <f>_xlfn.XLOOKUP(A5906,'[1]Tissue Data'!$A:$A,'[1]Tissue Data'!$I:$I)</f>
        <v>funduloides</v>
      </c>
      <c r="G5906" t="str">
        <f>_xlfn.XLOOKUP(A5906,'[1]Tissue Data'!$A:$A,'[1]Tissue Data'!J:J)</f>
        <v>U</v>
      </c>
      <c r="H5906" t="str">
        <f>_xlfn.XLOOKUP(A5906,'[1]Tissue Data'!$A:$A,'[1]Tissue Data'!K:K)</f>
        <v>Whole Body</v>
      </c>
      <c r="I5906">
        <f>_xlfn.XLOOKUP(A5906,'[1]Tissue Data'!$A:$A,'[1]Tissue Data'!L:L)</f>
        <v>12</v>
      </c>
      <c r="J5906">
        <f>_xlfn.XLOOKUP(A5906,'[1]Tissue Data'!$A:$A,'[1]Tissue Data'!M:M)</f>
        <v>23.18</v>
      </c>
      <c r="K5906" t="s">
        <v>16</v>
      </c>
      <c r="L5906" t="str">
        <f>_xlfn.XLOOKUP(K5906,[2]analyte_order!$B:$B,[2]analyte_order!$C:$C)</f>
        <v>335-67-1</v>
      </c>
      <c r="M5906">
        <f>_xlfn.XLOOKUP(L5906,[2]analyte_order!$C:$C,[2]analyte_order!$E:$E)</f>
        <v>5</v>
      </c>
      <c r="N5906">
        <v>1.76</v>
      </c>
    </row>
    <row r="5907" spans="1:14">
      <c r="A5907" t="s">
        <v>142</v>
      </c>
      <c r="B5907" t="str">
        <f>_xlfn.XLOOKUP(A5907,'[1]Tissue Data'!$A:$A,'[1]Tissue Data'!$C:$C)</f>
        <v>Spill</v>
      </c>
      <c r="C5907" s="2">
        <f>_xlfn.XLOOKUP(A5907,'[1]Tissue Data'!$A:$A,'[1]Tissue Data'!$D:$D)</f>
        <v>44393</v>
      </c>
      <c r="D5907" s="2" t="s">
        <v>131</v>
      </c>
      <c r="E5907" t="str">
        <f>_xlfn.XLOOKUP(A5907,'[1]Tissue Data'!$A:$A,'[1]Tissue Data'!$H:$H)</f>
        <v>Clinostomus</v>
      </c>
      <c r="F5907" t="str">
        <f>_xlfn.XLOOKUP(A5907,'[1]Tissue Data'!$A:$A,'[1]Tissue Data'!$I:$I)</f>
        <v>funduloides</v>
      </c>
      <c r="G5907" t="str">
        <f>_xlfn.XLOOKUP(A5907,'[1]Tissue Data'!$A:$A,'[1]Tissue Data'!J:J)</f>
        <v>U</v>
      </c>
      <c r="H5907" t="str">
        <f>_xlfn.XLOOKUP(A5907,'[1]Tissue Data'!$A:$A,'[1]Tissue Data'!K:K)</f>
        <v>Whole Body</v>
      </c>
      <c r="I5907">
        <f>_xlfn.XLOOKUP(A5907,'[1]Tissue Data'!$A:$A,'[1]Tissue Data'!L:L)</f>
        <v>12</v>
      </c>
      <c r="J5907">
        <f>_xlfn.XLOOKUP(A5907,'[1]Tissue Data'!$A:$A,'[1]Tissue Data'!M:M)</f>
        <v>23.18</v>
      </c>
      <c r="K5907" t="s">
        <v>17</v>
      </c>
      <c r="L5907" t="str">
        <f>_xlfn.XLOOKUP(K5907,[2]analyte_order!$B:$B,[2]analyte_order!$C:$C)</f>
        <v>375-95-1</v>
      </c>
      <c r="M5907">
        <f>_xlfn.XLOOKUP(L5907,[2]analyte_order!$C:$C,[2]analyte_order!$E:$E)</f>
        <v>6</v>
      </c>
      <c r="N5907">
        <v>0.1235</v>
      </c>
    </row>
    <row r="5908" spans="1:14">
      <c r="A5908" t="s">
        <v>142</v>
      </c>
      <c r="B5908" t="str">
        <f>_xlfn.XLOOKUP(A5908,'[1]Tissue Data'!$A:$A,'[1]Tissue Data'!$C:$C)</f>
        <v>Spill</v>
      </c>
      <c r="C5908" s="2">
        <f>_xlfn.XLOOKUP(A5908,'[1]Tissue Data'!$A:$A,'[1]Tissue Data'!$D:$D)</f>
        <v>44393</v>
      </c>
      <c r="D5908" s="2" t="s">
        <v>131</v>
      </c>
      <c r="E5908" t="str">
        <f>_xlfn.XLOOKUP(A5908,'[1]Tissue Data'!$A:$A,'[1]Tissue Data'!$H:$H)</f>
        <v>Clinostomus</v>
      </c>
      <c r="F5908" t="str">
        <f>_xlfn.XLOOKUP(A5908,'[1]Tissue Data'!$A:$A,'[1]Tissue Data'!$I:$I)</f>
        <v>funduloides</v>
      </c>
      <c r="G5908" t="str">
        <f>_xlfn.XLOOKUP(A5908,'[1]Tissue Data'!$A:$A,'[1]Tissue Data'!J:J)</f>
        <v>U</v>
      </c>
      <c r="H5908" t="str">
        <f>_xlfn.XLOOKUP(A5908,'[1]Tissue Data'!$A:$A,'[1]Tissue Data'!K:K)</f>
        <v>Whole Body</v>
      </c>
      <c r="I5908">
        <f>_xlfn.XLOOKUP(A5908,'[1]Tissue Data'!$A:$A,'[1]Tissue Data'!L:L)</f>
        <v>12</v>
      </c>
      <c r="J5908">
        <f>_xlfn.XLOOKUP(A5908,'[1]Tissue Data'!$A:$A,'[1]Tissue Data'!M:M)</f>
        <v>23.18</v>
      </c>
      <c r="K5908" t="s">
        <v>18</v>
      </c>
      <c r="L5908" t="str">
        <f>_xlfn.XLOOKUP(K5908,[2]analyte_order!$B:$B,[2]analyte_order!$C:$C)</f>
        <v>335-76-2</v>
      </c>
      <c r="M5908">
        <f>_xlfn.XLOOKUP(L5908,[2]analyte_order!$C:$C,[2]analyte_order!$E:$E)</f>
        <v>7</v>
      </c>
      <c r="N5908">
        <v>5.53</v>
      </c>
    </row>
    <row r="5909" spans="1:14">
      <c r="A5909" t="s">
        <v>142</v>
      </c>
      <c r="B5909" t="str">
        <f>_xlfn.XLOOKUP(A5909,'[1]Tissue Data'!$A:$A,'[1]Tissue Data'!$C:$C)</f>
        <v>Spill</v>
      </c>
      <c r="C5909" s="2">
        <f>_xlfn.XLOOKUP(A5909,'[1]Tissue Data'!$A:$A,'[1]Tissue Data'!$D:$D)</f>
        <v>44393</v>
      </c>
      <c r="D5909" s="2" t="s">
        <v>131</v>
      </c>
      <c r="E5909" t="str">
        <f>_xlfn.XLOOKUP(A5909,'[1]Tissue Data'!$A:$A,'[1]Tissue Data'!$H:$H)</f>
        <v>Clinostomus</v>
      </c>
      <c r="F5909" t="str">
        <f>_xlfn.XLOOKUP(A5909,'[1]Tissue Data'!$A:$A,'[1]Tissue Data'!$I:$I)</f>
        <v>funduloides</v>
      </c>
      <c r="G5909" t="str">
        <f>_xlfn.XLOOKUP(A5909,'[1]Tissue Data'!$A:$A,'[1]Tissue Data'!J:J)</f>
        <v>U</v>
      </c>
      <c r="H5909" t="str">
        <f>_xlfn.XLOOKUP(A5909,'[1]Tissue Data'!$A:$A,'[1]Tissue Data'!K:K)</f>
        <v>Whole Body</v>
      </c>
      <c r="I5909">
        <f>_xlfn.XLOOKUP(A5909,'[1]Tissue Data'!$A:$A,'[1]Tissue Data'!L:L)</f>
        <v>12</v>
      </c>
      <c r="J5909">
        <f>_xlfn.XLOOKUP(A5909,'[1]Tissue Data'!$A:$A,'[1]Tissue Data'!M:M)</f>
        <v>23.18</v>
      </c>
      <c r="K5909" t="s">
        <v>19</v>
      </c>
      <c r="L5909" t="str">
        <f>_xlfn.XLOOKUP(K5909,[2]analyte_order!$B:$B,[2]analyte_order!$C:$C)</f>
        <v>2058-94-8</v>
      </c>
      <c r="M5909">
        <f>_xlfn.XLOOKUP(L5909,[2]analyte_order!$C:$C,[2]analyte_order!$E:$E)</f>
        <v>8</v>
      </c>
      <c r="N5909">
        <v>10.4</v>
      </c>
    </row>
    <row r="5910" spans="1:14">
      <c r="A5910" t="s">
        <v>142</v>
      </c>
      <c r="B5910" t="str">
        <f>_xlfn.XLOOKUP(A5910,'[1]Tissue Data'!$A:$A,'[1]Tissue Data'!$C:$C)</f>
        <v>Spill</v>
      </c>
      <c r="C5910" s="2">
        <f>_xlfn.XLOOKUP(A5910,'[1]Tissue Data'!$A:$A,'[1]Tissue Data'!$D:$D)</f>
        <v>44393</v>
      </c>
      <c r="D5910" s="2" t="s">
        <v>131</v>
      </c>
      <c r="E5910" t="str">
        <f>_xlfn.XLOOKUP(A5910,'[1]Tissue Data'!$A:$A,'[1]Tissue Data'!$H:$H)</f>
        <v>Clinostomus</v>
      </c>
      <c r="F5910" t="str">
        <f>_xlfn.XLOOKUP(A5910,'[1]Tissue Data'!$A:$A,'[1]Tissue Data'!$I:$I)</f>
        <v>funduloides</v>
      </c>
      <c r="G5910" t="str">
        <f>_xlfn.XLOOKUP(A5910,'[1]Tissue Data'!$A:$A,'[1]Tissue Data'!J:J)</f>
        <v>U</v>
      </c>
      <c r="H5910" t="str">
        <f>_xlfn.XLOOKUP(A5910,'[1]Tissue Data'!$A:$A,'[1]Tissue Data'!K:K)</f>
        <v>Whole Body</v>
      </c>
      <c r="I5910">
        <f>_xlfn.XLOOKUP(A5910,'[1]Tissue Data'!$A:$A,'[1]Tissue Data'!L:L)</f>
        <v>12</v>
      </c>
      <c r="J5910">
        <f>_xlfn.XLOOKUP(A5910,'[1]Tissue Data'!$A:$A,'[1]Tissue Data'!M:M)</f>
        <v>23.18</v>
      </c>
      <c r="K5910" t="s">
        <v>20</v>
      </c>
      <c r="L5910" t="str">
        <f>_xlfn.XLOOKUP(K5910,[2]analyte_order!$B:$B,[2]analyte_order!$C:$C)</f>
        <v>307-55-1</v>
      </c>
      <c r="M5910">
        <f>_xlfn.XLOOKUP(L5910,[2]analyte_order!$C:$C,[2]analyte_order!$E:$E)</f>
        <v>9</v>
      </c>
      <c r="N5910">
        <v>16.3</v>
      </c>
    </row>
    <row r="5911" spans="1:14">
      <c r="A5911" t="s">
        <v>142</v>
      </c>
      <c r="B5911" t="str">
        <f>_xlfn.XLOOKUP(A5911,'[1]Tissue Data'!$A:$A,'[1]Tissue Data'!$C:$C)</f>
        <v>Spill</v>
      </c>
      <c r="C5911" s="2">
        <f>_xlfn.XLOOKUP(A5911,'[1]Tissue Data'!$A:$A,'[1]Tissue Data'!$D:$D)</f>
        <v>44393</v>
      </c>
      <c r="D5911" s="2" t="s">
        <v>131</v>
      </c>
      <c r="E5911" t="str">
        <f>_xlfn.XLOOKUP(A5911,'[1]Tissue Data'!$A:$A,'[1]Tissue Data'!$H:$H)</f>
        <v>Clinostomus</v>
      </c>
      <c r="F5911" t="str">
        <f>_xlfn.XLOOKUP(A5911,'[1]Tissue Data'!$A:$A,'[1]Tissue Data'!$I:$I)</f>
        <v>funduloides</v>
      </c>
      <c r="G5911" t="str">
        <f>_xlfn.XLOOKUP(A5911,'[1]Tissue Data'!$A:$A,'[1]Tissue Data'!J:J)</f>
        <v>U</v>
      </c>
      <c r="H5911" t="str">
        <f>_xlfn.XLOOKUP(A5911,'[1]Tissue Data'!$A:$A,'[1]Tissue Data'!K:K)</f>
        <v>Whole Body</v>
      </c>
      <c r="I5911">
        <f>_xlfn.XLOOKUP(A5911,'[1]Tissue Data'!$A:$A,'[1]Tissue Data'!L:L)</f>
        <v>12</v>
      </c>
      <c r="J5911">
        <f>_xlfn.XLOOKUP(A5911,'[1]Tissue Data'!$A:$A,'[1]Tissue Data'!M:M)</f>
        <v>23.18</v>
      </c>
      <c r="K5911" t="s">
        <v>21</v>
      </c>
      <c r="L5911" t="str">
        <f>_xlfn.XLOOKUP(K5911,[2]analyte_order!$B:$B,[2]analyte_order!$C:$C)</f>
        <v>72629-94-8</v>
      </c>
      <c r="M5911">
        <f>_xlfn.XLOOKUP(L5911,[2]analyte_order!$C:$C,[2]analyte_order!$E:$E)</f>
        <v>10</v>
      </c>
      <c r="N5911">
        <v>8.3699999999999992</v>
      </c>
    </row>
    <row r="5912" spans="1:14">
      <c r="A5912" t="s">
        <v>142</v>
      </c>
      <c r="B5912" t="str">
        <f>_xlfn.XLOOKUP(A5912,'[1]Tissue Data'!$A:$A,'[1]Tissue Data'!$C:$C)</f>
        <v>Spill</v>
      </c>
      <c r="C5912" s="2">
        <f>_xlfn.XLOOKUP(A5912,'[1]Tissue Data'!$A:$A,'[1]Tissue Data'!$D:$D)</f>
        <v>44393</v>
      </c>
      <c r="D5912" s="2" t="s">
        <v>131</v>
      </c>
      <c r="E5912" t="str">
        <f>_xlfn.XLOOKUP(A5912,'[1]Tissue Data'!$A:$A,'[1]Tissue Data'!$H:$H)</f>
        <v>Clinostomus</v>
      </c>
      <c r="F5912" t="str">
        <f>_xlfn.XLOOKUP(A5912,'[1]Tissue Data'!$A:$A,'[1]Tissue Data'!$I:$I)</f>
        <v>funduloides</v>
      </c>
      <c r="G5912" t="str">
        <f>_xlfn.XLOOKUP(A5912,'[1]Tissue Data'!$A:$A,'[1]Tissue Data'!J:J)</f>
        <v>U</v>
      </c>
      <c r="H5912" t="str">
        <f>_xlfn.XLOOKUP(A5912,'[1]Tissue Data'!$A:$A,'[1]Tissue Data'!K:K)</f>
        <v>Whole Body</v>
      </c>
      <c r="I5912">
        <f>_xlfn.XLOOKUP(A5912,'[1]Tissue Data'!$A:$A,'[1]Tissue Data'!L:L)</f>
        <v>12</v>
      </c>
      <c r="J5912">
        <f>_xlfn.XLOOKUP(A5912,'[1]Tissue Data'!$A:$A,'[1]Tissue Data'!M:M)</f>
        <v>23.18</v>
      </c>
      <c r="K5912" t="s">
        <v>22</v>
      </c>
      <c r="L5912" t="str">
        <f>_xlfn.XLOOKUP(K5912,[2]analyte_order!$B:$B,[2]analyte_order!$C:$C)</f>
        <v>376-06-7</v>
      </c>
      <c r="M5912">
        <f>_xlfn.XLOOKUP(L5912,[2]analyte_order!$C:$C,[2]analyte_order!$E:$E)</f>
        <v>11</v>
      </c>
      <c r="N5912">
        <v>13.7</v>
      </c>
    </row>
    <row r="5913" spans="1:14">
      <c r="A5913" t="s">
        <v>142</v>
      </c>
      <c r="B5913" t="str">
        <f>_xlfn.XLOOKUP(A5913,'[1]Tissue Data'!$A:$A,'[1]Tissue Data'!$C:$C)</f>
        <v>Spill</v>
      </c>
      <c r="C5913" s="2">
        <f>_xlfn.XLOOKUP(A5913,'[1]Tissue Data'!$A:$A,'[1]Tissue Data'!$D:$D)</f>
        <v>44393</v>
      </c>
      <c r="D5913" s="2" t="s">
        <v>131</v>
      </c>
      <c r="E5913" t="str">
        <f>_xlfn.XLOOKUP(A5913,'[1]Tissue Data'!$A:$A,'[1]Tissue Data'!$H:$H)</f>
        <v>Clinostomus</v>
      </c>
      <c r="F5913" t="str">
        <f>_xlfn.XLOOKUP(A5913,'[1]Tissue Data'!$A:$A,'[1]Tissue Data'!$I:$I)</f>
        <v>funduloides</v>
      </c>
      <c r="G5913" t="str">
        <f>_xlfn.XLOOKUP(A5913,'[1]Tissue Data'!$A:$A,'[1]Tissue Data'!J:J)</f>
        <v>U</v>
      </c>
      <c r="H5913" t="str">
        <f>_xlfn.XLOOKUP(A5913,'[1]Tissue Data'!$A:$A,'[1]Tissue Data'!K:K)</f>
        <v>Whole Body</v>
      </c>
      <c r="I5913">
        <f>_xlfn.XLOOKUP(A5913,'[1]Tissue Data'!$A:$A,'[1]Tissue Data'!L:L)</f>
        <v>12</v>
      </c>
      <c r="J5913">
        <f>_xlfn.XLOOKUP(A5913,'[1]Tissue Data'!$A:$A,'[1]Tissue Data'!M:M)</f>
        <v>23.18</v>
      </c>
      <c r="K5913" t="s">
        <v>23</v>
      </c>
      <c r="L5913" t="str">
        <f>_xlfn.XLOOKUP(K5913,[2]analyte_order!$B:$B,[2]analyte_order!$C:$C)</f>
        <v>67905-19-5</v>
      </c>
      <c r="M5913">
        <f>_xlfn.XLOOKUP(L5913,[2]analyte_order!$C:$C,[2]analyte_order!$E:$E)</f>
        <v>12</v>
      </c>
      <c r="N5913">
        <v>0.14699999999999999</v>
      </c>
    </row>
    <row r="5914" spans="1:14">
      <c r="A5914" t="s">
        <v>142</v>
      </c>
      <c r="B5914" t="str">
        <f>_xlfn.XLOOKUP(A5914,'[1]Tissue Data'!$A:$A,'[1]Tissue Data'!$C:$C)</f>
        <v>Spill</v>
      </c>
      <c r="C5914" s="2">
        <f>_xlfn.XLOOKUP(A5914,'[1]Tissue Data'!$A:$A,'[1]Tissue Data'!$D:$D)</f>
        <v>44393</v>
      </c>
      <c r="D5914" s="2" t="s">
        <v>131</v>
      </c>
      <c r="E5914" t="str">
        <f>_xlfn.XLOOKUP(A5914,'[1]Tissue Data'!$A:$A,'[1]Tissue Data'!$H:$H)</f>
        <v>Clinostomus</v>
      </c>
      <c r="F5914" t="str">
        <f>_xlfn.XLOOKUP(A5914,'[1]Tissue Data'!$A:$A,'[1]Tissue Data'!$I:$I)</f>
        <v>funduloides</v>
      </c>
      <c r="G5914" t="str">
        <f>_xlfn.XLOOKUP(A5914,'[1]Tissue Data'!$A:$A,'[1]Tissue Data'!J:J)</f>
        <v>U</v>
      </c>
      <c r="H5914" t="str">
        <f>_xlfn.XLOOKUP(A5914,'[1]Tissue Data'!$A:$A,'[1]Tissue Data'!K:K)</f>
        <v>Whole Body</v>
      </c>
      <c r="I5914">
        <f>_xlfn.XLOOKUP(A5914,'[1]Tissue Data'!$A:$A,'[1]Tissue Data'!L:L)</f>
        <v>12</v>
      </c>
      <c r="J5914">
        <f>_xlfn.XLOOKUP(A5914,'[1]Tissue Data'!$A:$A,'[1]Tissue Data'!M:M)</f>
        <v>23.18</v>
      </c>
      <c r="K5914" t="s">
        <v>24</v>
      </c>
      <c r="L5914" t="str">
        <f>_xlfn.XLOOKUP(K5914,[2]analyte_order!$B:$B,[2]analyte_order!$C:$C)</f>
        <v>423-41-6</v>
      </c>
      <c r="M5914">
        <f>_xlfn.XLOOKUP(L5914,[2]analyte_order!$C:$C,[2]analyte_order!$E:$E)</f>
        <v>53</v>
      </c>
      <c r="N5914">
        <v>0.1235</v>
      </c>
    </row>
    <row r="5915" spans="1:14">
      <c r="A5915" t="s">
        <v>142</v>
      </c>
      <c r="B5915" t="str">
        <f>_xlfn.XLOOKUP(A5915,'[1]Tissue Data'!$A:$A,'[1]Tissue Data'!$C:$C)</f>
        <v>Spill</v>
      </c>
      <c r="C5915" s="2">
        <f>_xlfn.XLOOKUP(A5915,'[1]Tissue Data'!$A:$A,'[1]Tissue Data'!$D:$D)</f>
        <v>44393</v>
      </c>
      <c r="D5915" s="2" t="s">
        <v>131</v>
      </c>
      <c r="E5915" t="str">
        <f>_xlfn.XLOOKUP(A5915,'[1]Tissue Data'!$A:$A,'[1]Tissue Data'!$H:$H)</f>
        <v>Clinostomus</v>
      </c>
      <c r="F5915" t="str">
        <f>_xlfn.XLOOKUP(A5915,'[1]Tissue Data'!$A:$A,'[1]Tissue Data'!$I:$I)</f>
        <v>funduloides</v>
      </c>
      <c r="G5915" t="str">
        <f>_xlfn.XLOOKUP(A5915,'[1]Tissue Data'!$A:$A,'[1]Tissue Data'!J:J)</f>
        <v>U</v>
      </c>
      <c r="H5915" t="str">
        <f>_xlfn.XLOOKUP(A5915,'[1]Tissue Data'!$A:$A,'[1]Tissue Data'!K:K)</f>
        <v>Whole Body</v>
      </c>
      <c r="I5915">
        <f>_xlfn.XLOOKUP(A5915,'[1]Tissue Data'!$A:$A,'[1]Tissue Data'!L:L)</f>
        <v>12</v>
      </c>
      <c r="J5915">
        <f>_xlfn.XLOOKUP(A5915,'[1]Tissue Data'!$A:$A,'[1]Tissue Data'!M:M)</f>
        <v>23.18</v>
      </c>
      <c r="K5915" t="s">
        <v>25</v>
      </c>
      <c r="L5915" t="str">
        <f>_xlfn.XLOOKUP(K5915,[2]analyte_order!$B:$B,[2]analyte_order!$C:$C)</f>
        <v>375-73-5</v>
      </c>
      <c r="M5915">
        <f>_xlfn.XLOOKUP(L5915,[2]analyte_order!$C:$C,[2]analyte_order!$E:$E)</f>
        <v>14</v>
      </c>
      <c r="N5915">
        <v>0.2465</v>
      </c>
    </row>
    <row r="5916" spans="1:14">
      <c r="A5916" t="s">
        <v>142</v>
      </c>
      <c r="B5916" t="str">
        <f>_xlfn.XLOOKUP(A5916,'[1]Tissue Data'!$A:$A,'[1]Tissue Data'!$C:$C)</f>
        <v>Spill</v>
      </c>
      <c r="C5916" s="2">
        <f>_xlfn.XLOOKUP(A5916,'[1]Tissue Data'!$A:$A,'[1]Tissue Data'!$D:$D)</f>
        <v>44393</v>
      </c>
      <c r="D5916" s="2" t="s">
        <v>131</v>
      </c>
      <c r="E5916" t="str">
        <f>_xlfn.XLOOKUP(A5916,'[1]Tissue Data'!$A:$A,'[1]Tissue Data'!$H:$H)</f>
        <v>Clinostomus</v>
      </c>
      <c r="F5916" t="str">
        <f>_xlfn.XLOOKUP(A5916,'[1]Tissue Data'!$A:$A,'[1]Tissue Data'!$I:$I)</f>
        <v>funduloides</v>
      </c>
      <c r="G5916" t="str">
        <f>_xlfn.XLOOKUP(A5916,'[1]Tissue Data'!$A:$A,'[1]Tissue Data'!J:J)</f>
        <v>U</v>
      </c>
      <c r="H5916" t="str">
        <f>_xlfn.XLOOKUP(A5916,'[1]Tissue Data'!$A:$A,'[1]Tissue Data'!K:K)</f>
        <v>Whole Body</v>
      </c>
      <c r="I5916">
        <f>_xlfn.XLOOKUP(A5916,'[1]Tissue Data'!$A:$A,'[1]Tissue Data'!L:L)</f>
        <v>12</v>
      </c>
      <c r="J5916">
        <f>_xlfn.XLOOKUP(A5916,'[1]Tissue Data'!$A:$A,'[1]Tissue Data'!M:M)</f>
        <v>23.18</v>
      </c>
      <c r="K5916" t="s">
        <v>26</v>
      </c>
      <c r="L5916" t="str">
        <f>_xlfn.XLOOKUP(K5916,[2]analyte_order!$B:$B,[2]analyte_order!$C:$C)</f>
        <v>2706-91-4</v>
      </c>
      <c r="M5916">
        <f>_xlfn.XLOOKUP(L5916,[2]analyte_order!$C:$C,[2]analyte_order!$E:$E)</f>
        <v>15</v>
      </c>
      <c r="N5916">
        <v>0.96799999999999997</v>
      </c>
    </row>
    <row r="5917" spans="1:14">
      <c r="A5917" t="s">
        <v>142</v>
      </c>
      <c r="B5917" t="str">
        <f>_xlfn.XLOOKUP(A5917,'[1]Tissue Data'!$A:$A,'[1]Tissue Data'!$C:$C)</f>
        <v>Spill</v>
      </c>
      <c r="C5917" s="2">
        <f>_xlfn.XLOOKUP(A5917,'[1]Tissue Data'!$A:$A,'[1]Tissue Data'!$D:$D)</f>
        <v>44393</v>
      </c>
      <c r="D5917" s="2" t="s">
        <v>131</v>
      </c>
      <c r="E5917" t="str">
        <f>_xlfn.XLOOKUP(A5917,'[1]Tissue Data'!$A:$A,'[1]Tissue Data'!$H:$H)</f>
        <v>Clinostomus</v>
      </c>
      <c r="F5917" t="str">
        <f>_xlfn.XLOOKUP(A5917,'[1]Tissue Data'!$A:$A,'[1]Tissue Data'!$I:$I)</f>
        <v>funduloides</v>
      </c>
      <c r="G5917" t="str">
        <f>_xlfn.XLOOKUP(A5917,'[1]Tissue Data'!$A:$A,'[1]Tissue Data'!J:J)</f>
        <v>U</v>
      </c>
      <c r="H5917" t="str">
        <f>_xlfn.XLOOKUP(A5917,'[1]Tissue Data'!$A:$A,'[1]Tissue Data'!K:K)</f>
        <v>Whole Body</v>
      </c>
      <c r="I5917">
        <f>_xlfn.XLOOKUP(A5917,'[1]Tissue Data'!$A:$A,'[1]Tissue Data'!L:L)</f>
        <v>12</v>
      </c>
      <c r="J5917">
        <f>_xlfn.XLOOKUP(A5917,'[1]Tissue Data'!$A:$A,'[1]Tissue Data'!M:M)</f>
        <v>23.18</v>
      </c>
      <c r="K5917" t="s">
        <v>27</v>
      </c>
      <c r="L5917" t="str">
        <f>_xlfn.XLOOKUP(K5917,[2]analyte_order!$B:$B,[2]analyte_order!$C:$C)</f>
        <v>355-46-4</v>
      </c>
      <c r="M5917">
        <f>_xlfn.XLOOKUP(L5917,[2]analyte_order!$C:$C,[2]analyte_order!$E:$E)</f>
        <v>16</v>
      </c>
      <c r="N5917">
        <v>72.7</v>
      </c>
    </row>
    <row r="5918" spans="1:14">
      <c r="A5918" t="s">
        <v>142</v>
      </c>
      <c r="B5918" t="str">
        <f>_xlfn.XLOOKUP(A5918,'[1]Tissue Data'!$A:$A,'[1]Tissue Data'!$C:$C)</f>
        <v>Spill</v>
      </c>
      <c r="C5918" s="2">
        <f>_xlfn.XLOOKUP(A5918,'[1]Tissue Data'!$A:$A,'[1]Tissue Data'!$D:$D)</f>
        <v>44393</v>
      </c>
      <c r="D5918" s="2" t="s">
        <v>131</v>
      </c>
      <c r="E5918" t="str">
        <f>_xlfn.XLOOKUP(A5918,'[1]Tissue Data'!$A:$A,'[1]Tissue Data'!$H:$H)</f>
        <v>Clinostomus</v>
      </c>
      <c r="F5918" t="str">
        <f>_xlfn.XLOOKUP(A5918,'[1]Tissue Data'!$A:$A,'[1]Tissue Data'!$I:$I)</f>
        <v>funduloides</v>
      </c>
      <c r="G5918" t="str">
        <f>_xlfn.XLOOKUP(A5918,'[1]Tissue Data'!$A:$A,'[1]Tissue Data'!J:J)</f>
        <v>U</v>
      </c>
      <c r="H5918" t="str">
        <f>_xlfn.XLOOKUP(A5918,'[1]Tissue Data'!$A:$A,'[1]Tissue Data'!K:K)</f>
        <v>Whole Body</v>
      </c>
      <c r="I5918">
        <f>_xlfn.XLOOKUP(A5918,'[1]Tissue Data'!$A:$A,'[1]Tissue Data'!L:L)</f>
        <v>12</v>
      </c>
      <c r="J5918">
        <f>_xlfn.XLOOKUP(A5918,'[1]Tissue Data'!$A:$A,'[1]Tissue Data'!M:M)</f>
        <v>23.18</v>
      </c>
      <c r="K5918" t="s">
        <v>28</v>
      </c>
      <c r="L5918" t="str">
        <f>_xlfn.XLOOKUP(K5918,[2]analyte_order!$B:$B,[2]analyte_order!$C:$C)</f>
        <v>375-92-8</v>
      </c>
      <c r="M5918">
        <f>_xlfn.XLOOKUP(L5918,[2]analyte_order!$C:$C,[2]analyte_order!$E:$E)</f>
        <v>17</v>
      </c>
      <c r="N5918">
        <v>7.03</v>
      </c>
    </row>
    <row r="5919" spans="1:14">
      <c r="A5919" t="s">
        <v>142</v>
      </c>
      <c r="B5919" t="str">
        <f>_xlfn.XLOOKUP(A5919,'[1]Tissue Data'!$A:$A,'[1]Tissue Data'!$C:$C)</f>
        <v>Spill</v>
      </c>
      <c r="C5919" s="2">
        <f>_xlfn.XLOOKUP(A5919,'[1]Tissue Data'!$A:$A,'[1]Tissue Data'!$D:$D)</f>
        <v>44393</v>
      </c>
      <c r="D5919" s="2" t="s">
        <v>131</v>
      </c>
      <c r="E5919" t="str">
        <f>_xlfn.XLOOKUP(A5919,'[1]Tissue Data'!$A:$A,'[1]Tissue Data'!$H:$H)</f>
        <v>Clinostomus</v>
      </c>
      <c r="F5919" t="str">
        <f>_xlfn.XLOOKUP(A5919,'[1]Tissue Data'!$A:$A,'[1]Tissue Data'!$I:$I)</f>
        <v>funduloides</v>
      </c>
      <c r="G5919" t="str">
        <f>_xlfn.XLOOKUP(A5919,'[1]Tissue Data'!$A:$A,'[1]Tissue Data'!J:J)</f>
        <v>U</v>
      </c>
      <c r="H5919" t="str">
        <f>_xlfn.XLOOKUP(A5919,'[1]Tissue Data'!$A:$A,'[1]Tissue Data'!K:K)</f>
        <v>Whole Body</v>
      </c>
      <c r="I5919">
        <f>_xlfn.XLOOKUP(A5919,'[1]Tissue Data'!$A:$A,'[1]Tissue Data'!L:L)</f>
        <v>12</v>
      </c>
      <c r="J5919">
        <f>_xlfn.XLOOKUP(A5919,'[1]Tissue Data'!$A:$A,'[1]Tissue Data'!M:M)</f>
        <v>23.18</v>
      </c>
      <c r="K5919" t="s">
        <v>29</v>
      </c>
      <c r="L5919" t="str">
        <f>_xlfn.XLOOKUP(K5919,[2]analyte_order!$B:$B,[2]analyte_order!$C:$C)</f>
        <v>1763-23-1</v>
      </c>
      <c r="M5919">
        <f>_xlfn.XLOOKUP(L5919,[2]analyte_order!$C:$C,[2]analyte_order!$E:$E)</f>
        <v>18</v>
      </c>
      <c r="N5919">
        <v>623</v>
      </c>
    </row>
    <row r="5920" spans="1:14">
      <c r="A5920" t="s">
        <v>142</v>
      </c>
      <c r="B5920" t="str">
        <f>_xlfn.XLOOKUP(A5920,'[1]Tissue Data'!$A:$A,'[1]Tissue Data'!$C:$C)</f>
        <v>Spill</v>
      </c>
      <c r="C5920" s="2">
        <f>_xlfn.XLOOKUP(A5920,'[1]Tissue Data'!$A:$A,'[1]Tissue Data'!$D:$D)</f>
        <v>44393</v>
      </c>
      <c r="D5920" s="2" t="s">
        <v>131</v>
      </c>
      <c r="E5920" t="str">
        <f>_xlfn.XLOOKUP(A5920,'[1]Tissue Data'!$A:$A,'[1]Tissue Data'!$H:$H)</f>
        <v>Clinostomus</v>
      </c>
      <c r="F5920" t="str">
        <f>_xlfn.XLOOKUP(A5920,'[1]Tissue Data'!$A:$A,'[1]Tissue Data'!$I:$I)</f>
        <v>funduloides</v>
      </c>
      <c r="G5920" t="str">
        <f>_xlfn.XLOOKUP(A5920,'[1]Tissue Data'!$A:$A,'[1]Tissue Data'!J:J)</f>
        <v>U</v>
      </c>
      <c r="H5920" t="str">
        <f>_xlfn.XLOOKUP(A5920,'[1]Tissue Data'!$A:$A,'[1]Tissue Data'!K:K)</f>
        <v>Whole Body</v>
      </c>
      <c r="I5920">
        <f>_xlfn.XLOOKUP(A5920,'[1]Tissue Data'!$A:$A,'[1]Tissue Data'!L:L)</f>
        <v>12</v>
      </c>
      <c r="J5920">
        <f>_xlfn.XLOOKUP(A5920,'[1]Tissue Data'!$A:$A,'[1]Tissue Data'!M:M)</f>
        <v>23.18</v>
      </c>
      <c r="K5920" t="s">
        <v>30</v>
      </c>
      <c r="L5920" t="str">
        <f>_xlfn.XLOOKUP(K5920,[2]analyte_order!$B:$B,[2]analyte_order!$C:$C)</f>
        <v>68259-12-1</v>
      </c>
      <c r="M5920">
        <f>_xlfn.XLOOKUP(L5920,[2]analyte_order!$C:$C,[2]analyte_order!$E:$E)</f>
        <v>19</v>
      </c>
      <c r="N5920">
        <v>0.62</v>
      </c>
    </row>
    <row r="5921" spans="1:14">
      <c r="A5921" t="s">
        <v>142</v>
      </c>
      <c r="B5921" t="str">
        <f>_xlfn.XLOOKUP(A5921,'[1]Tissue Data'!$A:$A,'[1]Tissue Data'!$C:$C)</f>
        <v>Spill</v>
      </c>
      <c r="C5921" s="2">
        <f>_xlfn.XLOOKUP(A5921,'[1]Tissue Data'!$A:$A,'[1]Tissue Data'!$D:$D)</f>
        <v>44393</v>
      </c>
      <c r="D5921" s="2" t="s">
        <v>131</v>
      </c>
      <c r="E5921" t="str">
        <f>_xlfn.XLOOKUP(A5921,'[1]Tissue Data'!$A:$A,'[1]Tissue Data'!$H:$H)</f>
        <v>Clinostomus</v>
      </c>
      <c r="F5921" t="str">
        <f>_xlfn.XLOOKUP(A5921,'[1]Tissue Data'!$A:$A,'[1]Tissue Data'!$I:$I)</f>
        <v>funduloides</v>
      </c>
      <c r="G5921" t="str">
        <f>_xlfn.XLOOKUP(A5921,'[1]Tissue Data'!$A:$A,'[1]Tissue Data'!J:J)</f>
        <v>U</v>
      </c>
      <c r="H5921" t="str">
        <f>_xlfn.XLOOKUP(A5921,'[1]Tissue Data'!$A:$A,'[1]Tissue Data'!K:K)</f>
        <v>Whole Body</v>
      </c>
      <c r="I5921">
        <f>_xlfn.XLOOKUP(A5921,'[1]Tissue Data'!$A:$A,'[1]Tissue Data'!L:L)</f>
        <v>12</v>
      </c>
      <c r="J5921">
        <f>_xlfn.XLOOKUP(A5921,'[1]Tissue Data'!$A:$A,'[1]Tissue Data'!M:M)</f>
        <v>23.18</v>
      </c>
      <c r="K5921" t="s">
        <v>31</v>
      </c>
      <c r="L5921" t="str">
        <f>_xlfn.XLOOKUP(K5921,[2]analyte_order!$B:$B,[2]analyte_order!$C:$C)</f>
        <v>335-77-3</v>
      </c>
      <c r="M5921">
        <f>_xlfn.XLOOKUP(L5921,[2]analyte_order!$C:$C,[2]analyte_order!$E:$E)</f>
        <v>20</v>
      </c>
      <c r="N5921">
        <v>2.2200000000000002</v>
      </c>
    </row>
    <row r="5922" spans="1:14">
      <c r="A5922" t="s">
        <v>142</v>
      </c>
      <c r="B5922" t="str">
        <f>_xlfn.XLOOKUP(A5922,'[1]Tissue Data'!$A:$A,'[1]Tissue Data'!$C:$C)</f>
        <v>Spill</v>
      </c>
      <c r="C5922" s="2">
        <f>_xlfn.XLOOKUP(A5922,'[1]Tissue Data'!$A:$A,'[1]Tissue Data'!$D:$D)</f>
        <v>44393</v>
      </c>
      <c r="D5922" s="2" t="s">
        <v>131</v>
      </c>
      <c r="E5922" t="str">
        <f>_xlfn.XLOOKUP(A5922,'[1]Tissue Data'!$A:$A,'[1]Tissue Data'!$H:$H)</f>
        <v>Clinostomus</v>
      </c>
      <c r="F5922" t="str">
        <f>_xlfn.XLOOKUP(A5922,'[1]Tissue Data'!$A:$A,'[1]Tissue Data'!$I:$I)</f>
        <v>funduloides</v>
      </c>
      <c r="G5922" t="str">
        <f>_xlfn.XLOOKUP(A5922,'[1]Tissue Data'!$A:$A,'[1]Tissue Data'!J:J)</f>
        <v>U</v>
      </c>
      <c r="H5922" t="str">
        <f>_xlfn.XLOOKUP(A5922,'[1]Tissue Data'!$A:$A,'[1]Tissue Data'!K:K)</f>
        <v>Whole Body</v>
      </c>
      <c r="I5922">
        <f>_xlfn.XLOOKUP(A5922,'[1]Tissue Data'!$A:$A,'[1]Tissue Data'!L:L)</f>
        <v>12</v>
      </c>
      <c r="J5922">
        <f>_xlfn.XLOOKUP(A5922,'[1]Tissue Data'!$A:$A,'[1]Tissue Data'!M:M)</f>
        <v>23.18</v>
      </c>
      <c r="K5922" t="s">
        <v>32</v>
      </c>
      <c r="L5922" t="str">
        <f>_xlfn.XLOOKUP(K5922,[2]analyte_order!$B:$B,[2]analyte_order!$C:$C)</f>
        <v>79780-39-5</v>
      </c>
      <c r="M5922">
        <f>_xlfn.XLOOKUP(L5922,[2]analyte_order!$C:$C,[2]analyte_order!$E:$E)</f>
        <v>21</v>
      </c>
      <c r="N5922">
        <v>0.876</v>
      </c>
    </row>
    <row r="5923" spans="1:14">
      <c r="A5923" t="s">
        <v>142</v>
      </c>
      <c r="B5923" t="str">
        <f>_xlfn.XLOOKUP(A5923,'[1]Tissue Data'!$A:$A,'[1]Tissue Data'!$C:$C)</f>
        <v>Spill</v>
      </c>
      <c r="C5923" s="2">
        <f>_xlfn.XLOOKUP(A5923,'[1]Tissue Data'!$A:$A,'[1]Tissue Data'!$D:$D)</f>
        <v>44393</v>
      </c>
      <c r="D5923" s="2" t="s">
        <v>131</v>
      </c>
      <c r="E5923" t="str">
        <f>_xlfn.XLOOKUP(A5923,'[1]Tissue Data'!$A:$A,'[1]Tissue Data'!$H:$H)</f>
        <v>Clinostomus</v>
      </c>
      <c r="F5923" t="str">
        <f>_xlfn.XLOOKUP(A5923,'[1]Tissue Data'!$A:$A,'[1]Tissue Data'!$I:$I)</f>
        <v>funduloides</v>
      </c>
      <c r="G5923" t="str">
        <f>_xlfn.XLOOKUP(A5923,'[1]Tissue Data'!$A:$A,'[1]Tissue Data'!J:J)</f>
        <v>U</v>
      </c>
      <c r="H5923" t="str">
        <f>_xlfn.XLOOKUP(A5923,'[1]Tissue Data'!$A:$A,'[1]Tissue Data'!K:K)</f>
        <v>Whole Body</v>
      </c>
      <c r="I5923">
        <f>_xlfn.XLOOKUP(A5923,'[1]Tissue Data'!$A:$A,'[1]Tissue Data'!L:L)</f>
        <v>12</v>
      </c>
      <c r="J5923">
        <f>_xlfn.XLOOKUP(A5923,'[1]Tissue Data'!$A:$A,'[1]Tissue Data'!M:M)</f>
        <v>23.18</v>
      </c>
      <c r="K5923" t="s">
        <v>33</v>
      </c>
      <c r="L5923" t="str">
        <f>_xlfn.XLOOKUP(K5923,[2]analyte_order!$B:$B,[2]analyte_order!$C:$C)</f>
        <v>777011-38-8</v>
      </c>
      <c r="M5923">
        <f>_xlfn.XLOOKUP(L5923,[2]analyte_order!$C:$C,[2]analyte_order!$E:$E)</f>
        <v>54</v>
      </c>
      <c r="N5923">
        <v>0.15</v>
      </c>
    </row>
    <row r="5924" spans="1:14">
      <c r="A5924" t="s">
        <v>142</v>
      </c>
      <c r="B5924" t="str">
        <f>_xlfn.XLOOKUP(A5924,'[1]Tissue Data'!$A:$A,'[1]Tissue Data'!$C:$C)</f>
        <v>Spill</v>
      </c>
      <c r="C5924" s="2">
        <f>_xlfn.XLOOKUP(A5924,'[1]Tissue Data'!$A:$A,'[1]Tissue Data'!$D:$D)</f>
        <v>44393</v>
      </c>
      <c r="D5924" s="2" t="s">
        <v>131</v>
      </c>
      <c r="E5924" t="str">
        <f>_xlfn.XLOOKUP(A5924,'[1]Tissue Data'!$A:$A,'[1]Tissue Data'!$H:$H)</f>
        <v>Clinostomus</v>
      </c>
      <c r="F5924" t="str">
        <f>_xlfn.XLOOKUP(A5924,'[1]Tissue Data'!$A:$A,'[1]Tissue Data'!$I:$I)</f>
        <v>funduloides</v>
      </c>
      <c r="G5924" t="str">
        <f>_xlfn.XLOOKUP(A5924,'[1]Tissue Data'!$A:$A,'[1]Tissue Data'!J:J)</f>
        <v>U</v>
      </c>
      <c r="H5924" t="str">
        <f>_xlfn.XLOOKUP(A5924,'[1]Tissue Data'!$A:$A,'[1]Tissue Data'!K:K)</f>
        <v>Whole Body</v>
      </c>
      <c r="I5924">
        <f>_xlfn.XLOOKUP(A5924,'[1]Tissue Data'!$A:$A,'[1]Tissue Data'!L:L)</f>
        <v>12</v>
      </c>
      <c r="J5924">
        <f>_xlfn.XLOOKUP(A5924,'[1]Tissue Data'!$A:$A,'[1]Tissue Data'!M:M)</f>
        <v>23.18</v>
      </c>
      <c r="K5924" t="s">
        <v>34</v>
      </c>
      <c r="L5924" t="str">
        <f>_xlfn.XLOOKUP(K5924,[2]analyte_order!$B:$B,[2]analyte_order!$C:$C)</f>
        <v>646-83-3</v>
      </c>
      <c r="M5924">
        <f>_xlfn.XLOOKUP(L5924,[2]analyte_order!$C:$C,[2]analyte_order!$E:$E)</f>
        <v>55</v>
      </c>
      <c r="N5924">
        <v>0.375</v>
      </c>
    </row>
    <row r="5925" spans="1:14">
      <c r="A5925" t="s">
        <v>142</v>
      </c>
      <c r="B5925" t="str">
        <f>_xlfn.XLOOKUP(A5925,'[1]Tissue Data'!$A:$A,'[1]Tissue Data'!$C:$C)</f>
        <v>Spill</v>
      </c>
      <c r="C5925" s="2">
        <f>_xlfn.XLOOKUP(A5925,'[1]Tissue Data'!$A:$A,'[1]Tissue Data'!$D:$D)</f>
        <v>44393</v>
      </c>
      <c r="D5925" s="2" t="s">
        <v>131</v>
      </c>
      <c r="E5925" t="str">
        <f>_xlfn.XLOOKUP(A5925,'[1]Tissue Data'!$A:$A,'[1]Tissue Data'!$H:$H)</f>
        <v>Clinostomus</v>
      </c>
      <c r="F5925" t="str">
        <f>_xlfn.XLOOKUP(A5925,'[1]Tissue Data'!$A:$A,'[1]Tissue Data'!$I:$I)</f>
        <v>funduloides</v>
      </c>
      <c r="G5925" t="str">
        <f>_xlfn.XLOOKUP(A5925,'[1]Tissue Data'!$A:$A,'[1]Tissue Data'!J:J)</f>
        <v>U</v>
      </c>
      <c r="H5925" t="str">
        <f>_xlfn.XLOOKUP(A5925,'[1]Tissue Data'!$A:$A,'[1]Tissue Data'!K:K)</f>
        <v>Whole Body</v>
      </c>
      <c r="I5925">
        <f>_xlfn.XLOOKUP(A5925,'[1]Tissue Data'!$A:$A,'[1]Tissue Data'!L:L)</f>
        <v>12</v>
      </c>
      <c r="J5925">
        <f>_xlfn.XLOOKUP(A5925,'[1]Tissue Data'!$A:$A,'[1]Tissue Data'!M:M)</f>
        <v>23.18</v>
      </c>
      <c r="K5925" t="s">
        <v>35</v>
      </c>
      <c r="L5925" t="str">
        <f>_xlfn.XLOOKUP(K5925,[2]analyte_order!$B:$B,[2]analyte_order!$C:$C)</f>
        <v>30334-69-1</v>
      </c>
      <c r="M5925">
        <f>_xlfn.XLOOKUP(L5925,[2]analyte_order!$C:$C,[2]analyte_order!$E:$E)</f>
        <v>51</v>
      </c>
      <c r="N5925">
        <v>56.5</v>
      </c>
    </row>
    <row r="5926" spans="1:14">
      <c r="A5926" t="s">
        <v>142</v>
      </c>
      <c r="B5926" t="str">
        <f>_xlfn.XLOOKUP(A5926,'[1]Tissue Data'!$A:$A,'[1]Tissue Data'!$C:$C)</f>
        <v>Spill</v>
      </c>
      <c r="C5926" s="2">
        <f>_xlfn.XLOOKUP(A5926,'[1]Tissue Data'!$A:$A,'[1]Tissue Data'!$D:$D)</f>
        <v>44393</v>
      </c>
      <c r="D5926" s="2" t="s">
        <v>131</v>
      </c>
      <c r="E5926" t="str">
        <f>_xlfn.XLOOKUP(A5926,'[1]Tissue Data'!$A:$A,'[1]Tissue Data'!$H:$H)</f>
        <v>Clinostomus</v>
      </c>
      <c r="F5926" t="str">
        <f>_xlfn.XLOOKUP(A5926,'[1]Tissue Data'!$A:$A,'[1]Tissue Data'!$I:$I)</f>
        <v>funduloides</v>
      </c>
      <c r="G5926" t="str">
        <f>_xlfn.XLOOKUP(A5926,'[1]Tissue Data'!$A:$A,'[1]Tissue Data'!J:J)</f>
        <v>U</v>
      </c>
      <c r="H5926" t="str">
        <f>_xlfn.XLOOKUP(A5926,'[1]Tissue Data'!$A:$A,'[1]Tissue Data'!K:K)</f>
        <v>Whole Body</v>
      </c>
      <c r="I5926">
        <f>_xlfn.XLOOKUP(A5926,'[1]Tissue Data'!$A:$A,'[1]Tissue Data'!L:L)</f>
        <v>12</v>
      </c>
      <c r="J5926">
        <f>_xlfn.XLOOKUP(A5926,'[1]Tissue Data'!$A:$A,'[1]Tissue Data'!M:M)</f>
        <v>23.18</v>
      </c>
      <c r="K5926" t="s">
        <v>36</v>
      </c>
      <c r="L5926" t="str">
        <f>_xlfn.XLOOKUP(K5926,[2]analyte_order!$B:$B,[2]analyte_order!$C:$C)</f>
        <v>41997-13-1</v>
      </c>
      <c r="M5926">
        <f>_xlfn.XLOOKUP(L5926,[2]analyte_order!$C:$C,[2]analyte_order!$E:$E)</f>
        <v>52</v>
      </c>
      <c r="N5926">
        <v>121</v>
      </c>
    </row>
    <row r="5927" spans="1:14">
      <c r="A5927" t="s">
        <v>142</v>
      </c>
      <c r="B5927" t="str">
        <f>_xlfn.XLOOKUP(A5927,'[1]Tissue Data'!$A:$A,'[1]Tissue Data'!$C:$C)</f>
        <v>Spill</v>
      </c>
      <c r="C5927" s="2">
        <f>_xlfn.XLOOKUP(A5927,'[1]Tissue Data'!$A:$A,'[1]Tissue Data'!$D:$D)</f>
        <v>44393</v>
      </c>
      <c r="D5927" s="2" t="s">
        <v>131</v>
      </c>
      <c r="E5927" t="str">
        <f>_xlfn.XLOOKUP(A5927,'[1]Tissue Data'!$A:$A,'[1]Tissue Data'!$H:$H)</f>
        <v>Clinostomus</v>
      </c>
      <c r="F5927" t="str">
        <f>_xlfn.XLOOKUP(A5927,'[1]Tissue Data'!$A:$A,'[1]Tissue Data'!$I:$I)</f>
        <v>funduloides</v>
      </c>
      <c r="G5927" t="str">
        <f>_xlfn.XLOOKUP(A5927,'[1]Tissue Data'!$A:$A,'[1]Tissue Data'!J:J)</f>
        <v>U</v>
      </c>
      <c r="H5927" t="str">
        <f>_xlfn.XLOOKUP(A5927,'[1]Tissue Data'!$A:$A,'[1]Tissue Data'!K:K)</f>
        <v>Whole Body</v>
      </c>
      <c r="I5927">
        <f>_xlfn.XLOOKUP(A5927,'[1]Tissue Data'!$A:$A,'[1]Tissue Data'!L:L)</f>
        <v>12</v>
      </c>
      <c r="J5927">
        <f>_xlfn.XLOOKUP(A5927,'[1]Tissue Data'!$A:$A,'[1]Tissue Data'!M:M)</f>
        <v>23.18</v>
      </c>
      <c r="K5927" t="s">
        <v>37</v>
      </c>
      <c r="L5927" t="str">
        <f>_xlfn.XLOOKUP(K5927,[2]analyte_order!$B:$B,[2]analyte_order!$C:$C)</f>
        <v>754-91-6</v>
      </c>
      <c r="M5927">
        <f>_xlfn.XLOOKUP(L5927,[2]analyte_order!$C:$C,[2]analyte_order!$E:$E)</f>
        <v>28</v>
      </c>
      <c r="N5927">
        <v>6.5</v>
      </c>
    </row>
    <row r="5928" spans="1:14">
      <c r="A5928" t="s">
        <v>142</v>
      </c>
      <c r="B5928" t="str">
        <f>_xlfn.XLOOKUP(A5928,'[1]Tissue Data'!$A:$A,'[1]Tissue Data'!$C:$C)</f>
        <v>Spill</v>
      </c>
      <c r="C5928" s="2">
        <f>_xlfn.XLOOKUP(A5928,'[1]Tissue Data'!$A:$A,'[1]Tissue Data'!$D:$D)</f>
        <v>44393</v>
      </c>
      <c r="D5928" s="2" t="s">
        <v>131</v>
      </c>
      <c r="E5928" t="str">
        <f>_xlfn.XLOOKUP(A5928,'[1]Tissue Data'!$A:$A,'[1]Tissue Data'!$H:$H)</f>
        <v>Clinostomus</v>
      </c>
      <c r="F5928" t="str">
        <f>_xlfn.XLOOKUP(A5928,'[1]Tissue Data'!$A:$A,'[1]Tissue Data'!$I:$I)</f>
        <v>funduloides</v>
      </c>
      <c r="G5928" t="str">
        <f>_xlfn.XLOOKUP(A5928,'[1]Tissue Data'!$A:$A,'[1]Tissue Data'!J:J)</f>
        <v>U</v>
      </c>
      <c r="H5928" t="str">
        <f>_xlfn.XLOOKUP(A5928,'[1]Tissue Data'!$A:$A,'[1]Tissue Data'!K:K)</f>
        <v>Whole Body</v>
      </c>
      <c r="I5928">
        <f>_xlfn.XLOOKUP(A5928,'[1]Tissue Data'!$A:$A,'[1]Tissue Data'!L:L)</f>
        <v>12</v>
      </c>
      <c r="J5928">
        <f>_xlfn.XLOOKUP(A5928,'[1]Tissue Data'!$A:$A,'[1]Tissue Data'!M:M)</f>
        <v>23.18</v>
      </c>
      <c r="K5928" t="s">
        <v>38</v>
      </c>
      <c r="L5928" t="str">
        <f>_xlfn.XLOOKUP(K5928,[2]analyte_order!$B:$B,[2]analyte_order!$C:$C)</f>
        <v>31506-32-8</v>
      </c>
      <c r="M5928">
        <f>_xlfn.XLOOKUP(L5928,[2]analyte_order!$C:$C,[2]analyte_order!$E:$E)</f>
        <v>30</v>
      </c>
      <c r="N5928">
        <v>9.5000000000000001E-2</v>
      </c>
    </row>
    <row r="5929" spans="1:14">
      <c r="A5929" t="s">
        <v>142</v>
      </c>
      <c r="B5929" t="str">
        <f>_xlfn.XLOOKUP(A5929,'[1]Tissue Data'!$A:$A,'[1]Tissue Data'!$C:$C)</f>
        <v>Spill</v>
      </c>
      <c r="C5929" s="2">
        <f>_xlfn.XLOOKUP(A5929,'[1]Tissue Data'!$A:$A,'[1]Tissue Data'!$D:$D)</f>
        <v>44393</v>
      </c>
      <c r="D5929" s="2" t="s">
        <v>131</v>
      </c>
      <c r="E5929" t="str">
        <f>_xlfn.XLOOKUP(A5929,'[1]Tissue Data'!$A:$A,'[1]Tissue Data'!$H:$H)</f>
        <v>Clinostomus</v>
      </c>
      <c r="F5929" t="str">
        <f>_xlfn.XLOOKUP(A5929,'[1]Tissue Data'!$A:$A,'[1]Tissue Data'!$I:$I)</f>
        <v>funduloides</v>
      </c>
      <c r="G5929" t="str">
        <f>_xlfn.XLOOKUP(A5929,'[1]Tissue Data'!$A:$A,'[1]Tissue Data'!J:J)</f>
        <v>U</v>
      </c>
      <c r="H5929" t="str">
        <f>_xlfn.XLOOKUP(A5929,'[1]Tissue Data'!$A:$A,'[1]Tissue Data'!K:K)</f>
        <v>Whole Body</v>
      </c>
      <c r="I5929">
        <f>_xlfn.XLOOKUP(A5929,'[1]Tissue Data'!$A:$A,'[1]Tissue Data'!L:L)</f>
        <v>12</v>
      </c>
      <c r="J5929">
        <f>_xlfn.XLOOKUP(A5929,'[1]Tissue Data'!$A:$A,'[1]Tissue Data'!M:M)</f>
        <v>23.18</v>
      </c>
      <c r="K5929" t="s">
        <v>39</v>
      </c>
      <c r="L5929" t="str">
        <f>_xlfn.XLOOKUP(K5929,[2]analyte_order!$B:$B,[2]analyte_order!$C:$C)</f>
        <v>4151-50-2</v>
      </c>
      <c r="M5929">
        <f>_xlfn.XLOOKUP(L5929,[2]analyte_order!$C:$C,[2]analyte_order!$E:$E)</f>
        <v>31</v>
      </c>
      <c r="N5929">
        <v>0.2465</v>
      </c>
    </row>
    <row r="5930" spans="1:14">
      <c r="A5930" t="s">
        <v>142</v>
      </c>
      <c r="B5930" t="str">
        <f>_xlfn.XLOOKUP(A5930,'[1]Tissue Data'!$A:$A,'[1]Tissue Data'!$C:$C)</f>
        <v>Spill</v>
      </c>
      <c r="C5930" s="2">
        <f>_xlfn.XLOOKUP(A5930,'[1]Tissue Data'!$A:$A,'[1]Tissue Data'!$D:$D)</f>
        <v>44393</v>
      </c>
      <c r="D5930" s="2" t="s">
        <v>131</v>
      </c>
      <c r="E5930" t="str">
        <f>_xlfn.XLOOKUP(A5930,'[1]Tissue Data'!$A:$A,'[1]Tissue Data'!$H:$H)</f>
        <v>Clinostomus</v>
      </c>
      <c r="F5930" t="str">
        <f>_xlfn.XLOOKUP(A5930,'[1]Tissue Data'!$A:$A,'[1]Tissue Data'!$I:$I)</f>
        <v>funduloides</v>
      </c>
      <c r="G5930" t="str">
        <f>_xlfn.XLOOKUP(A5930,'[1]Tissue Data'!$A:$A,'[1]Tissue Data'!J:J)</f>
        <v>U</v>
      </c>
      <c r="H5930" t="str">
        <f>_xlfn.XLOOKUP(A5930,'[1]Tissue Data'!$A:$A,'[1]Tissue Data'!K:K)</f>
        <v>Whole Body</v>
      </c>
      <c r="I5930">
        <f>_xlfn.XLOOKUP(A5930,'[1]Tissue Data'!$A:$A,'[1]Tissue Data'!L:L)</f>
        <v>12</v>
      </c>
      <c r="J5930">
        <f>_xlfn.XLOOKUP(A5930,'[1]Tissue Data'!$A:$A,'[1]Tissue Data'!M:M)</f>
        <v>23.18</v>
      </c>
      <c r="K5930" t="s">
        <v>40</v>
      </c>
      <c r="L5930" t="str">
        <f>_xlfn.XLOOKUP(K5930,[2]analyte_order!$B:$B,[2]analyte_order!$C:$C)</f>
        <v>2806-24-8</v>
      </c>
      <c r="M5930">
        <f>_xlfn.XLOOKUP(L5930,[2]analyte_order!$C:$C,[2]analyte_order!$E:$E)</f>
        <v>29</v>
      </c>
      <c r="N5930">
        <v>0.2465</v>
      </c>
    </row>
    <row r="5931" spans="1:14">
      <c r="A5931" t="s">
        <v>142</v>
      </c>
      <c r="B5931" t="str">
        <f>_xlfn.XLOOKUP(A5931,'[1]Tissue Data'!$A:$A,'[1]Tissue Data'!$C:$C)</f>
        <v>Spill</v>
      </c>
      <c r="C5931" s="2">
        <f>_xlfn.XLOOKUP(A5931,'[1]Tissue Data'!$A:$A,'[1]Tissue Data'!$D:$D)</f>
        <v>44393</v>
      </c>
      <c r="D5931" s="2" t="s">
        <v>131</v>
      </c>
      <c r="E5931" t="str">
        <f>_xlfn.XLOOKUP(A5931,'[1]Tissue Data'!$A:$A,'[1]Tissue Data'!$H:$H)</f>
        <v>Clinostomus</v>
      </c>
      <c r="F5931" t="str">
        <f>_xlfn.XLOOKUP(A5931,'[1]Tissue Data'!$A:$A,'[1]Tissue Data'!$I:$I)</f>
        <v>funduloides</v>
      </c>
      <c r="G5931" t="str">
        <f>_xlfn.XLOOKUP(A5931,'[1]Tissue Data'!$A:$A,'[1]Tissue Data'!J:J)</f>
        <v>U</v>
      </c>
      <c r="H5931" t="str">
        <f>_xlfn.XLOOKUP(A5931,'[1]Tissue Data'!$A:$A,'[1]Tissue Data'!K:K)</f>
        <v>Whole Body</v>
      </c>
      <c r="I5931">
        <f>_xlfn.XLOOKUP(A5931,'[1]Tissue Data'!$A:$A,'[1]Tissue Data'!L:L)</f>
        <v>12</v>
      </c>
      <c r="J5931">
        <f>_xlfn.XLOOKUP(A5931,'[1]Tissue Data'!$A:$A,'[1]Tissue Data'!M:M)</f>
        <v>23.18</v>
      </c>
      <c r="K5931" t="s">
        <v>41</v>
      </c>
      <c r="L5931" t="str">
        <f>_xlfn.XLOOKUP(K5931,[2]analyte_order!$B:$B,[2]analyte_order!$C:$C)</f>
        <v>2355-31-9</v>
      </c>
      <c r="M5931">
        <f>_xlfn.XLOOKUP(L5931,[2]analyte_order!$C:$C,[2]analyte_order!$E:$E)</f>
        <v>26</v>
      </c>
      <c r="N5931">
        <v>0.124</v>
      </c>
    </row>
    <row r="5932" spans="1:14">
      <c r="A5932" t="s">
        <v>142</v>
      </c>
      <c r="B5932" t="str">
        <f>_xlfn.XLOOKUP(A5932,'[1]Tissue Data'!$A:$A,'[1]Tissue Data'!$C:$C)</f>
        <v>Spill</v>
      </c>
      <c r="C5932" s="2">
        <f>_xlfn.XLOOKUP(A5932,'[1]Tissue Data'!$A:$A,'[1]Tissue Data'!$D:$D)</f>
        <v>44393</v>
      </c>
      <c r="D5932" s="2" t="s">
        <v>131</v>
      </c>
      <c r="E5932" t="str">
        <f>_xlfn.XLOOKUP(A5932,'[1]Tissue Data'!$A:$A,'[1]Tissue Data'!$H:$H)</f>
        <v>Clinostomus</v>
      </c>
      <c r="F5932" t="str">
        <f>_xlfn.XLOOKUP(A5932,'[1]Tissue Data'!$A:$A,'[1]Tissue Data'!$I:$I)</f>
        <v>funduloides</v>
      </c>
      <c r="G5932" t="str">
        <f>_xlfn.XLOOKUP(A5932,'[1]Tissue Data'!$A:$A,'[1]Tissue Data'!J:J)</f>
        <v>U</v>
      </c>
      <c r="H5932" t="str">
        <f>_xlfn.XLOOKUP(A5932,'[1]Tissue Data'!$A:$A,'[1]Tissue Data'!K:K)</f>
        <v>Whole Body</v>
      </c>
      <c r="I5932">
        <f>_xlfn.XLOOKUP(A5932,'[1]Tissue Data'!$A:$A,'[1]Tissue Data'!L:L)</f>
        <v>12</v>
      </c>
      <c r="J5932">
        <f>_xlfn.XLOOKUP(A5932,'[1]Tissue Data'!$A:$A,'[1]Tissue Data'!M:M)</f>
        <v>23.18</v>
      </c>
      <c r="K5932" t="s">
        <v>42</v>
      </c>
      <c r="L5932" t="str">
        <f>_xlfn.XLOOKUP(K5932,[2]analyte_order!$B:$B,[2]analyte_order!$C:$C)</f>
        <v>2991-50-6</v>
      </c>
      <c r="M5932">
        <f>_xlfn.XLOOKUP(L5932,[2]analyte_order!$C:$C,[2]analyte_order!$E:$E)</f>
        <v>27</v>
      </c>
      <c r="N5932">
        <v>0.1235</v>
      </c>
    </row>
    <row r="5933" spans="1:14">
      <c r="A5933" t="s">
        <v>142</v>
      </c>
      <c r="B5933" t="str">
        <f>_xlfn.XLOOKUP(A5933,'[1]Tissue Data'!$A:$A,'[1]Tissue Data'!$C:$C)</f>
        <v>Spill</v>
      </c>
      <c r="C5933" s="2">
        <f>_xlfn.XLOOKUP(A5933,'[1]Tissue Data'!$A:$A,'[1]Tissue Data'!$D:$D)</f>
        <v>44393</v>
      </c>
      <c r="D5933" s="2" t="s">
        <v>131</v>
      </c>
      <c r="E5933" t="str">
        <f>_xlfn.XLOOKUP(A5933,'[1]Tissue Data'!$A:$A,'[1]Tissue Data'!$H:$H)</f>
        <v>Clinostomus</v>
      </c>
      <c r="F5933" t="str">
        <f>_xlfn.XLOOKUP(A5933,'[1]Tissue Data'!$A:$A,'[1]Tissue Data'!$I:$I)</f>
        <v>funduloides</v>
      </c>
      <c r="G5933" t="str">
        <f>_xlfn.XLOOKUP(A5933,'[1]Tissue Data'!$A:$A,'[1]Tissue Data'!J:J)</f>
        <v>U</v>
      </c>
      <c r="H5933" t="str">
        <f>_xlfn.XLOOKUP(A5933,'[1]Tissue Data'!$A:$A,'[1]Tissue Data'!K:K)</f>
        <v>Whole Body</v>
      </c>
      <c r="I5933">
        <f>_xlfn.XLOOKUP(A5933,'[1]Tissue Data'!$A:$A,'[1]Tissue Data'!L:L)</f>
        <v>12</v>
      </c>
      <c r="J5933">
        <f>_xlfn.XLOOKUP(A5933,'[1]Tissue Data'!$A:$A,'[1]Tissue Data'!M:M)</f>
        <v>23.18</v>
      </c>
      <c r="K5933" t="s">
        <v>43</v>
      </c>
      <c r="L5933" t="str">
        <f>_xlfn.XLOOKUP(K5933,[2]analyte_order!$B:$B,[2]analyte_order!$C:$C)</f>
        <v>757124-72-4</v>
      </c>
      <c r="M5933">
        <f>_xlfn.XLOOKUP(L5933,[2]analyte_order!$C:$C,[2]analyte_order!$E:$E)</f>
        <v>22</v>
      </c>
      <c r="N5933">
        <v>0.1235</v>
      </c>
    </row>
    <row r="5934" spans="1:14">
      <c r="A5934" t="s">
        <v>142</v>
      </c>
      <c r="B5934" t="str">
        <f>_xlfn.XLOOKUP(A5934,'[1]Tissue Data'!$A:$A,'[1]Tissue Data'!$C:$C)</f>
        <v>Spill</v>
      </c>
      <c r="C5934" s="2">
        <f>_xlfn.XLOOKUP(A5934,'[1]Tissue Data'!$A:$A,'[1]Tissue Data'!$D:$D)</f>
        <v>44393</v>
      </c>
      <c r="D5934" s="2" t="s">
        <v>131</v>
      </c>
      <c r="E5934" t="str">
        <f>_xlfn.XLOOKUP(A5934,'[1]Tissue Data'!$A:$A,'[1]Tissue Data'!$H:$H)</f>
        <v>Clinostomus</v>
      </c>
      <c r="F5934" t="str">
        <f>_xlfn.XLOOKUP(A5934,'[1]Tissue Data'!$A:$A,'[1]Tissue Data'!$I:$I)</f>
        <v>funduloides</v>
      </c>
      <c r="G5934" t="str">
        <f>_xlfn.XLOOKUP(A5934,'[1]Tissue Data'!$A:$A,'[1]Tissue Data'!J:J)</f>
        <v>U</v>
      </c>
      <c r="H5934" t="str">
        <f>_xlfn.XLOOKUP(A5934,'[1]Tissue Data'!$A:$A,'[1]Tissue Data'!K:K)</f>
        <v>Whole Body</v>
      </c>
      <c r="I5934">
        <f>_xlfn.XLOOKUP(A5934,'[1]Tissue Data'!$A:$A,'[1]Tissue Data'!L:L)</f>
        <v>12</v>
      </c>
      <c r="J5934">
        <f>_xlfn.XLOOKUP(A5934,'[1]Tissue Data'!$A:$A,'[1]Tissue Data'!M:M)</f>
        <v>23.18</v>
      </c>
      <c r="K5934" t="s">
        <v>44</v>
      </c>
      <c r="L5934" t="str">
        <f>_xlfn.XLOOKUP(K5934,[2]analyte_order!$B:$B,[2]analyte_order!$C:$C)</f>
        <v>27619-97-2</v>
      </c>
      <c r="M5934">
        <f>_xlfn.XLOOKUP(L5934,[2]analyte_order!$C:$C,[2]analyte_order!$E:$E)</f>
        <v>23</v>
      </c>
      <c r="N5934">
        <v>0.2465</v>
      </c>
    </row>
    <row r="5935" spans="1:14">
      <c r="A5935" t="s">
        <v>142</v>
      </c>
      <c r="B5935" t="str">
        <f>_xlfn.XLOOKUP(A5935,'[1]Tissue Data'!$A:$A,'[1]Tissue Data'!$C:$C)</f>
        <v>Spill</v>
      </c>
      <c r="C5935" s="2">
        <f>_xlfn.XLOOKUP(A5935,'[1]Tissue Data'!$A:$A,'[1]Tissue Data'!$D:$D)</f>
        <v>44393</v>
      </c>
      <c r="D5935" s="2" t="s">
        <v>131</v>
      </c>
      <c r="E5935" t="str">
        <f>_xlfn.XLOOKUP(A5935,'[1]Tissue Data'!$A:$A,'[1]Tissue Data'!$H:$H)</f>
        <v>Clinostomus</v>
      </c>
      <c r="F5935" t="str">
        <f>_xlfn.XLOOKUP(A5935,'[1]Tissue Data'!$A:$A,'[1]Tissue Data'!$I:$I)</f>
        <v>funduloides</v>
      </c>
      <c r="G5935" t="str">
        <f>_xlfn.XLOOKUP(A5935,'[1]Tissue Data'!$A:$A,'[1]Tissue Data'!J:J)</f>
        <v>U</v>
      </c>
      <c r="H5935" t="str">
        <f>_xlfn.XLOOKUP(A5935,'[1]Tissue Data'!$A:$A,'[1]Tissue Data'!K:K)</f>
        <v>Whole Body</v>
      </c>
      <c r="I5935">
        <f>_xlfn.XLOOKUP(A5935,'[1]Tissue Data'!$A:$A,'[1]Tissue Data'!L:L)</f>
        <v>12</v>
      </c>
      <c r="J5935">
        <f>_xlfn.XLOOKUP(A5935,'[1]Tissue Data'!$A:$A,'[1]Tissue Data'!M:M)</f>
        <v>23.18</v>
      </c>
      <c r="K5935" t="s">
        <v>45</v>
      </c>
      <c r="L5935" t="str">
        <f>_xlfn.XLOOKUP(K5935,[2]analyte_order!$B:$B,[2]analyte_order!$C:$C)</f>
        <v>39108-34-4</v>
      </c>
      <c r="M5935">
        <f>_xlfn.XLOOKUP(L5935,[2]analyte_order!$C:$C,[2]analyte_order!$E:$E)</f>
        <v>24</v>
      </c>
      <c r="N5935">
        <v>6.36</v>
      </c>
    </row>
    <row r="5936" spans="1:14">
      <c r="A5936" t="s">
        <v>142</v>
      </c>
      <c r="B5936" t="str">
        <f>_xlfn.XLOOKUP(A5936,'[1]Tissue Data'!$A:$A,'[1]Tissue Data'!$C:$C)</f>
        <v>Spill</v>
      </c>
      <c r="C5936" s="2">
        <f>_xlfn.XLOOKUP(A5936,'[1]Tissue Data'!$A:$A,'[1]Tissue Data'!$D:$D)</f>
        <v>44393</v>
      </c>
      <c r="D5936" s="2" t="s">
        <v>131</v>
      </c>
      <c r="E5936" t="str">
        <f>_xlfn.XLOOKUP(A5936,'[1]Tissue Data'!$A:$A,'[1]Tissue Data'!$H:$H)</f>
        <v>Clinostomus</v>
      </c>
      <c r="F5936" t="str">
        <f>_xlfn.XLOOKUP(A5936,'[1]Tissue Data'!$A:$A,'[1]Tissue Data'!$I:$I)</f>
        <v>funduloides</v>
      </c>
      <c r="G5936" t="str">
        <f>_xlfn.XLOOKUP(A5936,'[1]Tissue Data'!$A:$A,'[1]Tissue Data'!J:J)</f>
        <v>U</v>
      </c>
      <c r="H5936" t="str">
        <f>_xlfn.XLOOKUP(A5936,'[1]Tissue Data'!$A:$A,'[1]Tissue Data'!K:K)</f>
        <v>Whole Body</v>
      </c>
      <c r="I5936">
        <f>_xlfn.XLOOKUP(A5936,'[1]Tissue Data'!$A:$A,'[1]Tissue Data'!L:L)</f>
        <v>12</v>
      </c>
      <c r="J5936">
        <f>_xlfn.XLOOKUP(A5936,'[1]Tissue Data'!$A:$A,'[1]Tissue Data'!M:M)</f>
        <v>23.18</v>
      </c>
      <c r="K5936" t="s">
        <v>46</v>
      </c>
      <c r="L5936" t="str">
        <f>_xlfn.XLOOKUP(K5936,[2]analyte_order!$B:$B,[2]analyte_order!$C:$C)</f>
        <v>120226-60-0</v>
      </c>
      <c r="M5936">
        <f>_xlfn.XLOOKUP(L5936,[2]analyte_order!$C:$C,[2]analyte_order!$E:$E)</f>
        <v>25</v>
      </c>
      <c r="N5936">
        <v>1.08</v>
      </c>
    </row>
    <row r="5937" spans="1:14">
      <c r="A5937" t="s">
        <v>142</v>
      </c>
      <c r="B5937" t="str">
        <f>_xlfn.XLOOKUP(A5937,'[1]Tissue Data'!$A:$A,'[1]Tissue Data'!$C:$C)</f>
        <v>Spill</v>
      </c>
      <c r="C5937" s="2">
        <f>_xlfn.XLOOKUP(A5937,'[1]Tissue Data'!$A:$A,'[1]Tissue Data'!$D:$D)</f>
        <v>44393</v>
      </c>
      <c r="D5937" s="2" t="s">
        <v>131</v>
      </c>
      <c r="E5937" t="str">
        <f>_xlfn.XLOOKUP(A5937,'[1]Tissue Data'!$A:$A,'[1]Tissue Data'!$H:$H)</f>
        <v>Clinostomus</v>
      </c>
      <c r="F5937" t="str">
        <f>_xlfn.XLOOKUP(A5937,'[1]Tissue Data'!$A:$A,'[1]Tissue Data'!$I:$I)</f>
        <v>funduloides</v>
      </c>
      <c r="G5937" t="str">
        <f>_xlfn.XLOOKUP(A5937,'[1]Tissue Data'!$A:$A,'[1]Tissue Data'!J:J)</f>
        <v>U</v>
      </c>
      <c r="H5937" t="str">
        <f>_xlfn.XLOOKUP(A5937,'[1]Tissue Data'!$A:$A,'[1]Tissue Data'!K:K)</f>
        <v>Whole Body</v>
      </c>
      <c r="I5937">
        <f>_xlfn.XLOOKUP(A5937,'[1]Tissue Data'!$A:$A,'[1]Tissue Data'!L:L)</f>
        <v>12</v>
      </c>
      <c r="J5937">
        <f>_xlfn.XLOOKUP(A5937,'[1]Tissue Data'!$A:$A,'[1]Tissue Data'!M:M)</f>
        <v>23.18</v>
      </c>
      <c r="K5937" t="s">
        <v>47</v>
      </c>
      <c r="L5937" t="str">
        <f>_xlfn.XLOOKUP(K5937,[2]analyte_order!$B:$B,[2]analyte_order!$C:$C)</f>
        <v>356-02-5</v>
      </c>
      <c r="M5937">
        <f>_xlfn.XLOOKUP(L5937,[2]analyte_order!$C:$C,[2]analyte_order!$E:$E)</f>
        <v>38</v>
      </c>
      <c r="N5937">
        <v>0.2465</v>
      </c>
    </row>
    <row r="5938" spans="1:14">
      <c r="A5938" t="s">
        <v>142</v>
      </c>
      <c r="B5938" t="str">
        <f>_xlfn.XLOOKUP(A5938,'[1]Tissue Data'!$A:$A,'[1]Tissue Data'!$C:$C)</f>
        <v>Spill</v>
      </c>
      <c r="C5938" s="2">
        <f>_xlfn.XLOOKUP(A5938,'[1]Tissue Data'!$A:$A,'[1]Tissue Data'!$D:$D)</f>
        <v>44393</v>
      </c>
      <c r="D5938" s="2" t="s">
        <v>131</v>
      </c>
      <c r="E5938" t="str">
        <f>_xlfn.XLOOKUP(A5938,'[1]Tissue Data'!$A:$A,'[1]Tissue Data'!$H:$H)</f>
        <v>Clinostomus</v>
      </c>
      <c r="F5938" t="str">
        <f>_xlfn.XLOOKUP(A5938,'[1]Tissue Data'!$A:$A,'[1]Tissue Data'!$I:$I)</f>
        <v>funduloides</v>
      </c>
      <c r="G5938" t="str">
        <f>_xlfn.XLOOKUP(A5938,'[1]Tissue Data'!$A:$A,'[1]Tissue Data'!J:J)</f>
        <v>U</v>
      </c>
      <c r="H5938" t="str">
        <f>_xlfn.XLOOKUP(A5938,'[1]Tissue Data'!$A:$A,'[1]Tissue Data'!K:K)</f>
        <v>Whole Body</v>
      </c>
      <c r="I5938">
        <f>_xlfn.XLOOKUP(A5938,'[1]Tissue Data'!$A:$A,'[1]Tissue Data'!L:L)</f>
        <v>12</v>
      </c>
      <c r="J5938">
        <f>_xlfn.XLOOKUP(A5938,'[1]Tissue Data'!$A:$A,'[1]Tissue Data'!M:M)</f>
        <v>23.18</v>
      </c>
      <c r="K5938" t="s">
        <v>48</v>
      </c>
      <c r="L5938" t="str">
        <f>_xlfn.XLOOKUP(K5938,[2]analyte_order!$B:$B,[2]analyte_order!$C:$C)</f>
        <v>914637-49-3</v>
      </c>
      <c r="M5938">
        <f>_xlfn.XLOOKUP(L5938,[2]analyte_order!$C:$C,[2]analyte_order!$E:$E)</f>
        <v>39</v>
      </c>
      <c r="N5938">
        <v>0.1235</v>
      </c>
    </row>
    <row r="5939" spans="1:14">
      <c r="A5939" t="s">
        <v>142</v>
      </c>
      <c r="B5939" t="str">
        <f>_xlfn.XLOOKUP(A5939,'[1]Tissue Data'!$A:$A,'[1]Tissue Data'!$C:$C)</f>
        <v>Spill</v>
      </c>
      <c r="C5939" s="2">
        <f>_xlfn.XLOOKUP(A5939,'[1]Tissue Data'!$A:$A,'[1]Tissue Data'!$D:$D)</f>
        <v>44393</v>
      </c>
      <c r="D5939" s="2" t="s">
        <v>131</v>
      </c>
      <c r="E5939" t="str">
        <f>_xlfn.XLOOKUP(A5939,'[1]Tissue Data'!$A:$A,'[1]Tissue Data'!$H:$H)</f>
        <v>Clinostomus</v>
      </c>
      <c r="F5939" t="str">
        <f>_xlfn.XLOOKUP(A5939,'[1]Tissue Data'!$A:$A,'[1]Tissue Data'!$I:$I)</f>
        <v>funduloides</v>
      </c>
      <c r="G5939" t="str">
        <f>_xlfn.XLOOKUP(A5939,'[1]Tissue Data'!$A:$A,'[1]Tissue Data'!J:J)</f>
        <v>U</v>
      </c>
      <c r="H5939" t="str">
        <f>_xlfn.XLOOKUP(A5939,'[1]Tissue Data'!$A:$A,'[1]Tissue Data'!K:K)</f>
        <v>Whole Body</v>
      </c>
      <c r="I5939">
        <f>_xlfn.XLOOKUP(A5939,'[1]Tissue Data'!$A:$A,'[1]Tissue Data'!L:L)</f>
        <v>12</v>
      </c>
      <c r="J5939">
        <f>_xlfn.XLOOKUP(A5939,'[1]Tissue Data'!$A:$A,'[1]Tissue Data'!M:M)</f>
        <v>23.18</v>
      </c>
      <c r="K5939" t="s">
        <v>49</v>
      </c>
      <c r="L5939" t="str">
        <f>_xlfn.XLOOKUP(K5939,[2]analyte_order!$B:$B,[2]analyte_order!$C:$C)</f>
        <v>812-70-4</v>
      </c>
      <c r="M5939">
        <f>_xlfn.XLOOKUP(L5939,[2]analyte_order!$C:$C,[2]analyte_order!$E:$E)</f>
        <v>40</v>
      </c>
      <c r="N5939">
        <v>0.2465</v>
      </c>
    </row>
    <row r="5940" spans="1:14">
      <c r="A5940" t="s">
        <v>142</v>
      </c>
      <c r="B5940" t="str">
        <f>_xlfn.XLOOKUP(A5940,'[1]Tissue Data'!$A:$A,'[1]Tissue Data'!$C:$C)</f>
        <v>Spill</v>
      </c>
      <c r="C5940" s="2">
        <f>_xlfn.XLOOKUP(A5940,'[1]Tissue Data'!$A:$A,'[1]Tissue Data'!$D:$D)</f>
        <v>44393</v>
      </c>
      <c r="D5940" s="2" t="s">
        <v>131</v>
      </c>
      <c r="E5940" t="str">
        <f>_xlfn.XLOOKUP(A5940,'[1]Tissue Data'!$A:$A,'[1]Tissue Data'!$H:$H)</f>
        <v>Clinostomus</v>
      </c>
      <c r="F5940" t="str">
        <f>_xlfn.XLOOKUP(A5940,'[1]Tissue Data'!$A:$A,'[1]Tissue Data'!$I:$I)</f>
        <v>funduloides</v>
      </c>
      <c r="G5940" t="str">
        <f>_xlfn.XLOOKUP(A5940,'[1]Tissue Data'!$A:$A,'[1]Tissue Data'!J:J)</f>
        <v>U</v>
      </c>
      <c r="H5940" t="str">
        <f>_xlfn.XLOOKUP(A5940,'[1]Tissue Data'!$A:$A,'[1]Tissue Data'!K:K)</f>
        <v>Whole Body</v>
      </c>
      <c r="I5940">
        <f>_xlfn.XLOOKUP(A5940,'[1]Tissue Data'!$A:$A,'[1]Tissue Data'!L:L)</f>
        <v>12</v>
      </c>
      <c r="J5940">
        <f>_xlfn.XLOOKUP(A5940,'[1]Tissue Data'!$A:$A,'[1]Tissue Data'!M:M)</f>
        <v>23.18</v>
      </c>
      <c r="K5940" t="s">
        <v>50</v>
      </c>
      <c r="L5940" t="str">
        <f>_xlfn.XLOOKUP(K5940,[2]analyte_order!$B:$B,[2]analyte_order!$C:$C)</f>
        <v>53826-12-3</v>
      </c>
      <c r="M5940">
        <f>_xlfn.XLOOKUP(L5940,[2]analyte_order!$C:$C,[2]analyte_order!$E:$E)</f>
        <v>41</v>
      </c>
      <c r="N5940">
        <v>0.2465</v>
      </c>
    </row>
    <row r="5941" spans="1:14">
      <c r="A5941" t="s">
        <v>142</v>
      </c>
      <c r="B5941" t="str">
        <f>_xlfn.XLOOKUP(A5941,'[1]Tissue Data'!$A:$A,'[1]Tissue Data'!$C:$C)</f>
        <v>Spill</v>
      </c>
      <c r="C5941" s="2">
        <f>_xlfn.XLOOKUP(A5941,'[1]Tissue Data'!$A:$A,'[1]Tissue Data'!$D:$D)</f>
        <v>44393</v>
      </c>
      <c r="D5941" s="2" t="s">
        <v>131</v>
      </c>
      <c r="E5941" t="str">
        <f>_xlfn.XLOOKUP(A5941,'[1]Tissue Data'!$A:$A,'[1]Tissue Data'!$H:$H)</f>
        <v>Clinostomus</v>
      </c>
      <c r="F5941" t="str">
        <f>_xlfn.XLOOKUP(A5941,'[1]Tissue Data'!$A:$A,'[1]Tissue Data'!$I:$I)</f>
        <v>funduloides</v>
      </c>
      <c r="G5941" t="str">
        <f>_xlfn.XLOOKUP(A5941,'[1]Tissue Data'!$A:$A,'[1]Tissue Data'!J:J)</f>
        <v>U</v>
      </c>
      <c r="H5941" t="str">
        <f>_xlfn.XLOOKUP(A5941,'[1]Tissue Data'!$A:$A,'[1]Tissue Data'!K:K)</f>
        <v>Whole Body</v>
      </c>
      <c r="I5941">
        <f>_xlfn.XLOOKUP(A5941,'[1]Tissue Data'!$A:$A,'[1]Tissue Data'!L:L)</f>
        <v>12</v>
      </c>
      <c r="J5941">
        <f>_xlfn.XLOOKUP(A5941,'[1]Tissue Data'!$A:$A,'[1]Tissue Data'!M:M)</f>
        <v>23.18</v>
      </c>
      <c r="K5941" t="s">
        <v>51</v>
      </c>
      <c r="L5941" t="str">
        <f>_xlfn.XLOOKUP(K5941,[2]analyte_order!$B:$B,[2]analyte_order!$C:$C)</f>
        <v>27854-31-5</v>
      </c>
      <c r="M5941">
        <f>_xlfn.XLOOKUP(L5941,[2]analyte_order!$C:$C,[2]analyte_order!$E:$E)</f>
        <v>42</v>
      </c>
      <c r="N5941">
        <v>0.1235</v>
      </c>
    </row>
    <row r="5942" spans="1:14">
      <c r="A5942" t="s">
        <v>142</v>
      </c>
      <c r="B5942" t="str">
        <f>_xlfn.XLOOKUP(A5942,'[1]Tissue Data'!$A:$A,'[1]Tissue Data'!$C:$C)</f>
        <v>Spill</v>
      </c>
      <c r="C5942" s="2">
        <f>_xlfn.XLOOKUP(A5942,'[1]Tissue Data'!$A:$A,'[1]Tissue Data'!$D:$D)</f>
        <v>44393</v>
      </c>
      <c r="D5942" s="2" t="s">
        <v>131</v>
      </c>
      <c r="E5942" t="str">
        <f>_xlfn.XLOOKUP(A5942,'[1]Tissue Data'!$A:$A,'[1]Tissue Data'!$H:$H)</f>
        <v>Clinostomus</v>
      </c>
      <c r="F5942" t="str">
        <f>_xlfn.XLOOKUP(A5942,'[1]Tissue Data'!$A:$A,'[1]Tissue Data'!$I:$I)</f>
        <v>funduloides</v>
      </c>
      <c r="G5942" t="str">
        <f>_xlfn.XLOOKUP(A5942,'[1]Tissue Data'!$A:$A,'[1]Tissue Data'!J:J)</f>
        <v>U</v>
      </c>
      <c r="H5942" t="str">
        <f>_xlfn.XLOOKUP(A5942,'[1]Tissue Data'!$A:$A,'[1]Tissue Data'!K:K)</f>
        <v>Whole Body</v>
      </c>
      <c r="I5942">
        <f>_xlfn.XLOOKUP(A5942,'[1]Tissue Data'!$A:$A,'[1]Tissue Data'!L:L)</f>
        <v>12</v>
      </c>
      <c r="J5942">
        <f>_xlfn.XLOOKUP(A5942,'[1]Tissue Data'!$A:$A,'[1]Tissue Data'!M:M)</f>
        <v>23.18</v>
      </c>
      <c r="K5942" t="s">
        <v>52</v>
      </c>
      <c r="L5942" t="str">
        <f>_xlfn.XLOOKUP(K5942,[2]analyte_order!$B:$B,[2]analyte_order!$C:$C)</f>
        <v>53826-13-4</v>
      </c>
      <c r="M5942">
        <f>_xlfn.XLOOKUP(L5942,[2]analyte_order!$C:$C,[2]analyte_order!$E:$E)</f>
        <v>43</v>
      </c>
      <c r="N5942">
        <v>0.2465</v>
      </c>
    </row>
    <row r="5943" spans="1:14">
      <c r="A5943" t="s">
        <v>142</v>
      </c>
      <c r="B5943" t="str">
        <f>_xlfn.XLOOKUP(A5943,'[1]Tissue Data'!$A:$A,'[1]Tissue Data'!$C:$C)</f>
        <v>Spill</v>
      </c>
      <c r="C5943" s="2">
        <f>_xlfn.XLOOKUP(A5943,'[1]Tissue Data'!$A:$A,'[1]Tissue Data'!$D:$D)</f>
        <v>44393</v>
      </c>
      <c r="D5943" s="2" t="s">
        <v>131</v>
      </c>
      <c r="E5943" t="str">
        <f>_xlfn.XLOOKUP(A5943,'[1]Tissue Data'!$A:$A,'[1]Tissue Data'!$H:$H)</f>
        <v>Clinostomus</v>
      </c>
      <c r="F5943" t="str">
        <f>_xlfn.XLOOKUP(A5943,'[1]Tissue Data'!$A:$A,'[1]Tissue Data'!$I:$I)</f>
        <v>funduloides</v>
      </c>
      <c r="G5943" t="str">
        <f>_xlfn.XLOOKUP(A5943,'[1]Tissue Data'!$A:$A,'[1]Tissue Data'!J:J)</f>
        <v>U</v>
      </c>
      <c r="H5943" t="str">
        <f>_xlfn.XLOOKUP(A5943,'[1]Tissue Data'!$A:$A,'[1]Tissue Data'!K:K)</f>
        <v>Whole Body</v>
      </c>
      <c r="I5943">
        <f>_xlfn.XLOOKUP(A5943,'[1]Tissue Data'!$A:$A,'[1]Tissue Data'!L:L)</f>
        <v>12</v>
      </c>
      <c r="J5943">
        <f>_xlfn.XLOOKUP(A5943,'[1]Tissue Data'!$A:$A,'[1]Tissue Data'!M:M)</f>
        <v>23.18</v>
      </c>
      <c r="K5943" t="s">
        <v>53</v>
      </c>
      <c r="L5943" t="str">
        <f>_xlfn.XLOOKUP(K5943,[2]analyte_order!$B:$B,[2]analyte_order!$C:$C)</f>
        <v>161094-75-3</v>
      </c>
      <c r="M5943">
        <f>_xlfn.XLOOKUP(L5943,[2]analyte_order!$C:$C,[2]analyte_order!$E:$E)</f>
        <v>44</v>
      </c>
      <c r="N5943">
        <v>9.7000000000000003E-2</v>
      </c>
    </row>
    <row r="5944" spans="1:14">
      <c r="A5944" t="s">
        <v>142</v>
      </c>
      <c r="B5944" t="str">
        <f>_xlfn.XLOOKUP(A5944,'[1]Tissue Data'!$A:$A,'[1]Tissue Data'!$C:$C)</f>
        <v>Spill</v>
      </c>
      <c r="C5944" s="2">
        <f>_xlfn.XLOOKUP(A5944,'[1]Tissue Data'!$A:$A,'[1]Tissue Data'!$D:$D)</f>
        <v>44393</v>
      </c>
      <c r="D5944" s="2" t="s">
        <v>131</v>
      </c>
      <c r="E5944" t="str">
        <f>_xlfn.XLOOKUP(A5944,'[1]Tissue Data'!$A:$A,'[1]Tissue Data'!$H:$H)</f>
        <v>Clinostomus</v>
      </c>
      <c r="F5944" t="str">
        <f>_xlfn.XLOOKUP(A5944,'[1]Tissue Data'!$A:$A,'[1]Tissue Data'!$I:$I)</f>
        <v>funduloides</v>
      </c>
      <c r="G5944" t="str">
        <f>_xlfn.XLOOKUP(A5944,'[1]Tissue Data'!$A:$A,'[1]Tissue Data'!J:J)</f>
        <v>U</v>
      </c>
      <c r="H5944" t="str">
        <f>_xlfn.XLOOKUP(A5944,'[1]Tissue Data'!$A:$A,'[1]Tissue Data'!K:K)</f>
        <v>Whole Body</v>
      </c>
      <c r="I5944">
        <f>_xlfn.XLOOKUP(A5944,'[1]Tissue Data'!$A:$A,'[1]Tissue Data'!L:L)</f>
        <v>12</v>
      </c>
      <c r="J5944">
        <f>_xlfn.XLOOKUP(A5944,'[1]Tissue Data'!$A:$A,'[1]Tissue Data'!M:M)</f>
        <v>23.18</v>
      </c>
      <c r="K5944" t="s">
        <v>54</v>
      </c>
      <c r="L5944" t="str">
        <f>_xlfn.XLOOKUP(K5944,[2]analyte_order!$B:$B,[2]analyte_order!$C:$C)</f>
        <v>70887-84-2</v>
      </c>
      <c r="M5944">
        <f>_xlfn.XLOOKUP(L5944,[2]analyte_order!$C:$C,[2]analyte_order!$E:$E)</f>
        <v>45</v>
      </c>
      <c r="N5944">
        <v>7.4499999999999997E-2</v>
      </c>
    </row>
    <row r="5945" spans="1:14">
      <c r="A5945" t="s">
        <v>142</v>
      </c>
      <c r="B5945" t="str">
        <f>_xlfn.XLOOKUP(A5945,'[1]Tissue Data'!$A:$A,'[1]Tissue Data'!$C:$C)</f>
        <v>Spill</v>
      </c>
      <c r="C5945" s="2">
        <f>_xlfn.XLOOKUP(A5945,'[1]Tissue Data'!$A:$A,'[1]Tissue Data'!$D:$D)</f>
        <v>44393</v>
      </c>
      <c r="D5945" s="2" t="s">
        <v>131</v>
      </c>
      <c r="E5945" t="str">
        <f>_xlfn.XLOOKUP(A5945,'[1]Tissue Data'!$A:$A,'[1]Tissue Data'!$H:$H)</f>
        <v>Clinostomus</v>
      </c>
      <c r="F5945" t="str">
        <f>_xlfn.XLOOKUP(A5945,'[1]Tissue Data'!$A:$A,'[1]Tissue Data'!$I:$I)</f>
        <v>funduloides</v>
      </c>
      <c r="G5945" t="str">
        <f>_xlfn.XLOOKUP(A5945,'[1]Tissue Data'!$A:$A,'[1]Tissue Data'!J:J)</f>
        <v>U</v>
      </c>
      <c r="H5945" t="str">
        <f>_xlfn.XLOOKUP(A5945,'[1]Tissue Data'!$A:$A,'[1]Tissue Data'!K:K)</f>
        <v>Whole Body</v>
      </c>
      <c r="I5945">
        <f>_xlfn.XLOOKUP(A5945,'[1]Tissue Data'!$A:$A,'[1]Tissue Data'!L:L)</f>
        <v>12</v>
      </c>
      <c r="J5945">
        <f>_xlfn.XLOOKUP(A5945,'[1]Tissue Data'!$A:$A,'[1]Tissue Data'!M:M)</f>
        <v>23.18</v>
      </c>
      <c r="K5945" t="s">
        <v>55</v>
      </c>
      <c r="L5945" t="str">
        <f>_xlfn.XLOOKUP(K5945,[2]analyte_order!$B:$B,[2]analyte_order!$C:$C)</f>
        <v>919005-14-4</v>
      </c>
      <c r="M5945">
        <f>_xlfn.XLOOKUP(L5945,[2]analyte_order!$C:$C,[2]analyte_order!$E:$E)</f>
        <v>35</v>
      </c>
      <c r="N5945">
        <v>0.109</v>
      </c>
    </row>
    <row r="5946" spans="1:14">
      <c r="A5946" t="s">
        <v>142</v>
      </c>
      <c r="B5946" t="str">
        <f>_xlfn.XLOOKUP(A5946,'[1]Tissue Data'!$A:$A,'[1]Tissue Data'!$C:$C)</f>
        <v>Spill</v>
      </c>
      <c r="C5946" s="2">
        <f>_xlfn.XLOOKUP(A5946,'[1]Tissue Data'!$A:$A,'[1]Tissue Data'!$D:$D)</f>
        <v>44393</v>
      </c>
      <c r="D5946" s="2" t="s">
        <v>131</v>
      </c>
      <c r="E5946" t="str">
        <f>_xlfn.XLOOKUP(A5946,'[1]Tissue Data'!$A:$A,'[1]Tissue Data'!$H:$H)</f>
        <v>Clinostomus</v>
      </c>
      <c r="F5946" t="str">
        <f>_xlfn.XLOOKUP(A5946,'[1]Tissue Data'!$A:$A,'[1]Tissue Data'!$I:$I)</f>
        <v>funduloides</v>
      </c>
      <c r="G5946" t="str">
        <f>_xlfn.XLOOKUP(A5946,'[1]Tissue Data'!$A:$A,'[1]Tissue Data'!J:J)</f>
        <v>U</v>
      </c>
      <c r="H5946" t="str">
        <f>_xlfn.XLOOKUP(A5946,'[1]Tissue Data'!$A:$A,'[1]Tissue Data'!K:K)</f>
        <v>Whole Body</v>
      </c>
      <c r="I5946">
        <f>_xlfn.XLOOKUP(A5946,'[1]Tissue Data'!$A:$A,'[1]Tissue Data'!L:L)</f>
        <v>12</v>
      </c>
      <c r="J5946">
        <f>_xlfn.XLOOKUP(A5946,'[1]Tissue Data'!$A:$A,'[1]Tissue Data'!M:M)</f>
        <v>23.18</v>
      </c>
      <c r="K5946" t="s">
        <v>56</v>
      </c>
      <c r="L5946" t="str">
        <f>_xlfn.XLOOKUP(K5946,[2]analyte_order!$B:$B,[2]analyte_order!$C:$C)</f>
        <v>756426-58-1</v>
      </c>
      <c r="M5946">
        <f>_xlfn.XLOOKUP(L5946,[2]analyte_order!$C:$C,[2]analyte_order!$E:$E)</f>
        <v>36</v>
      </c>
      <c r="N5946">
        <v>0.2465</v>
      </c>
    </row>
    <row r="5947" spans="1:14">
      <c r="A5947" t="s">
        <v>142</v>
      </c>
      <c r="B5947" t="str">
        <f>_xlfn.XLOOKUP(A5947,'[1]Tissue Data'!$A:$A,'[1]Tissue Data'!$C:$C)</f>
        <v>Spill</v>
      </c>
      <c r="C5947" s="2">
        <f>_xlfn.XLOOKUP(A5947,'[1]Tissue Data'!$A:$A,'[1]Tissue Data'!$D:$D)</f>
        <v>44393</v>
      </c>
      <c r="D5947" s="2" t="s">
        <v>131</v>
      </c>
      <c r="E5947" t="str">
        <f>_xlfn.XLOOKUP(A5947,'[1]Tissue Data'!$A:$A,'[1]Tissue Data'!$H:$H)</f>
        <v>Clinostomus</v>
      </c>
      <c r="F5947" t="str">
        <f>_xlfn.XLOOKUP(A5947,'[1]Tissue Data'!$A:$A,'[1]Tissue Data'!$I:$I)</f>
        <v>funduloides</v>
      </c>
      <c r="G5947" t="str">
        <f>_xlfn.XLOOKUP(A5947,'[1]Tissue Data'!$A:$A,'[1]Tissue Data'!J:J)</f>
        <v>U</v>
      </c>
      <c r="H5947" t="str">
        <f>_xlfn.XLOOKUP(A5947,'[1]Tissue Data'!$A:$A,'[1]Tissue Data'!K:K)</f>
        <v>Whole Body</v>
      </c>
      <c r="I5947">
        <f>_xlfn.XLOOKUP(A5947,'[1]Tissue Data'!$A:$A,'[1]Tissue Data'!L:L)</f>
        <v>12</v>
      </c>
      <c r="J5947">
        <f>_xlfn.XLOOKUP(A5947,'[1]Tissue Data'!$A:$A,'[1]Tissue Data'!M:M)</f>
        <v>23.18</v>
      </c>
      <c r="K5947" t="s">
        <v>57</v>
      </c>
      <c r="L5947" t="str">
        <f>_xlfn.XLOOKUP(K5947,[2]analyte_order!$B:$B,[2]analyte_order!$C:$C)</f>
        <v>763051-92-9</v>
      </c>
      <c r="M5947">
        <f>_xlfn.XLOOKUP(L5947,[2]analyte_order!$C:$C,[2]analyte_order!$E:$E)</f>
        <v>37</v>
      </c>
      <c r="N5947">
        <v>0.2465</v>
      </c>
    </row>
    <row r="5948" spans="1:14">
      <c r="A5948" t="s">
        <v>142</v>
      </c>
      <c r="B5948" t="str">
        <f>_xlfn.XLOOKUP(A5948,'[1]Tissue Data'!$A:$A,'[1]Tissue Data'!$C:$C)</f>
        <v>Spill</v>
      </c>
      <c r="C5948" s="2">
        <f>_xlfn.XLOOKUP(A5948,'[1]Tissue Data'!$A:$A,'[1]Tissue Data'!$D:$D)</f>
        <v>44393</v>
      </c>
      <c r="D5948" s="2" t="s">
        <v>131</v>
      </c>
      <c r="E5948" t="str">
        <f>_xlfn.XLOOKUP(A5948,'[1]Tissue Data'!$A:$A,'[1]Tissue Data'!$H:$H)</f>
        <v>Clinostomus</v>
      </c>
      <c r="F5948" t="str">
        <f>_xlfn.XLOOKUP(A5948,'[1]Tissue Data'!$A:$A,'[1]Tissue Data'!$I:$I)</f>
        <v>funduloides</v>
      </c>
      <c r="G5948" t="str">
        <f>_xlfn.XLOOKUP(A5948,'[1]Tissue Data'!$A:$A,'[1]Tissue Data'!J:J)</f>
        <v>U</v>
      </c>
      <c r="H5948" t="str">
        <f>_xlfn.XLOOKUP(A5948,'[1]Tissue Data'!$A:$A,'[1]Tissue Data'!K:K)</f>
        <v>Whole Body</v>
      </c>
      <c r="I5948">
        <f>_xlfn.XLOOKUP(A5948,'[1]Tissue Data'!$A:$A,'[1]Tissue Data'!L:L)</f>
        <v>12</v>
      </c>
      <c r="J5948">
        <f>_xlfn.XLOOKUP(A5948,'[1]Tissue Data'!$A:$A,'[1]Tissue Data'!M:M)</f>
        <v>23.18</v>
      </c>
      <c r="K5948" t="s">
        <v>58</v>
      </c>
      <c r="L5948" t="str">
        <f>_xlfn.XLOOKUP(K5948,[2]analyte_order!$B:$B,[2]analyte_order!$C:$C)</f>
        <v>13252-13-6</v>
      </c>
      <c r="M5948">
        <f>_xlfn.XLOOKUP(L5948,[2]analyte_order!$C:$C,[2]analyte_order!$E:$E)</f>
        <v>34</v>
      </c>
      <c r="N5948">
        <v>0.17699999999999999</v>
      </c>
    </row>
    <row r="5949" spans="1:14">
      <c r="A5949" t="s">
        <v>142</v>
      </c>
      <c r="B5949" t="str">
        <f>_xlfn.XLOOKUP(A5949,'[1]Tissue Data'!$A:$A,'[1]Tissue Data'!$C:$C)</f>
        <v>Spill</v>
      </c>
      <c r="C5949" s="2">
        <f>_xlfn.XLOOKUP(A5949,'[1]Tissue Data'!$A:$A,'[1]Tissue Data'!$D:$D)</f>
        <v>44393</v>
      </c>
      <c r="D5949" s="2" t="s">
        <v>131</v>
      </c>
      <c r="E5949" t="str">
        <f>_xlfn.XLOOKUP(A5949,'[1]Tissue Data'!$A:$A,'[1]Tissue Data'!$H:$H)</f>
        <v>Clinostomus</v>
      </c>
      <c r="F5949" t="str">
        <f>_xlfn.XLOOKUP(A5949,'[1]Tissue Data'!$A:$A,'[1]Tissue Data'!$I:$I)</f>
        <v>funduloides</v>
      </c>
      <c r="G5949" t="str">
        <f>_xlfn.XLOOKUP(A5949,'[1]Tissue Data'!$A:$A,'[1]Tissue Data'!J:J)</f>
        <v>U</v>
      </c>
      <c r="H5949" t="str">
        <f>_xlfn.XLOOKUP(A5949,'[1]Tissue Data'!$A:$A,'[1]Tissue Data'!K:K)</f>
        <v>Whole Body</v>
      </c>
      <c r="I5949">
        <f>_xlfn.XLOOKUP(A5949,'[1]Tissue Data'!$A:$A,'[1]Tissue Data'!L:L)</f>
        <v>12</v>
      </c>
      <c r="J5949">
        <f>_xlfn.XLOOKUP(A5949,'[1]Tissue Data'!$A:$A,'[1]Tissue Data'!M:M)</f>
        <v>23.18</v>
      </c>
      <c r="K5949" t="s">
        <v>59</v>
      </c>
      <c r="L5949" t="str">
        <f>_xlfn.XLOOKUP(K5949,[2]analyte_order!$B:$B,[2]analyte_order!$C:$C)</f>
        <v>57677-95-9</v>
      </c>
      <c r="M5949">
        <f>_xlfn.XLOOKUP(L5949,[2]analyte_order!$C:$C,[2]analyte_order!$E:$E)</f>
        <v>46</v>
      </c>
      <c r="N5949">
        <v>0.2465</v>
      </c>
    </row>
    <row r="5950" spans="1:14">
      <c r="A5950" t="s">
        <v>142</v>
      </c>
      <c r="B5950" t="str">
        <f>_xlfn.XLOOKUP(A5950,'[1]Tissue Data'!$A:$A,'[1]Tissue Data'!$C:$C)</f>
        <v>Spill</v>
      </c>
      <c r="C5950" s="2">
        <f>_xlfn.XLOOKUP(A5950,'[1]Tissue Data'!$A:$A,'[1]Tissue Data'!$D:$D)</f>
        <v>44393</v>
      </c>
      <c r="D5950" s="2" t="s">
        <v>131</v>
      </c>
      <c r="E5950" t="str">
        <f>_xlfn.XLOOKUP(A5950,'[1]Tissue Data'!$A:$A,'[1]Tissue Data'!$H:$H)</f>
        <v>Clinostomus</v>
      </c>
      <c r="F5950" t="str">
        <f>_xlfn.XLOOKUP(A5950,'[1]Tissue Data'!$A:$A,'[1]Tissue Data'!$I:$I)</f>
        <v>funduloides</v>
      </c>
      <c r="G5950" t="str">
        <f>_xlfn.XLOOKUP(A5950,'[1]Tissue Data'!$A:$A,'[1]Tissue Data'!J:J)</f>
        <v>U</v>
      </c>
      <c r="H5950" t="str">
        <f>_xlfn.XLOOKUP(A5950,'[1]Tissue Data'!$A:$A,'[1]Tissue Data'!K:K)</f>
        <v>Whole Body</v>
      </c>
      <c r="I5950">
        <f>_xlfn.XLOOKUP(A5950,'[1]Tissue Data'!$A:$A,'[1]Tissue Data'!L:L)</f>
        <v>12</v>
      </c>
      <c r="J5950">
        <f>_xlfn.XLOOKUP(A5950,'[1]Tissue Data'!$A:$A,'[1]Tissue Data'!M:M)</f>
        <v>23.18</v>
      </c>
      <c r="K5950" t="s">
        <v>60</v>
      </c>
      <c r="L5950" t="str">
        <f>_xlfn.XLOOKUP(K5950,[2]analyte_order!$B:$B,[2]analyte_order!$C:$C)</f>
        <v>678-41-1</v>
      </c>
      <c r="M5950">
        <f>_xlfn.XLOOKUP(L5950,[2]analyte_order!$C:$C,[2]analyte_order!$E:$E)</f>
        <v>56</v>
      </c>
      <c r="N5950">
        <v>0.2465</v>
      </c>
    </row>
    <row r="5951" spans="1:14">
      <c r="A5951" t="s">
        <v>142</v>
      </c>
      <c r="B5951" t="str">
        <f>_xlfn.XLOOKUP(A5951,'[1]Tissue Data'!$A:$A,'[1]Tissue Data'!$C:$C)</f>
        <v>Spill</v>
      </c>
      <c r="C5951" s="2">
        <f>_xlfn.XLOOKUP(A5951,'[1]Tissue Data'!$A:$A,'[1]Tissue Data'!$D:$D)</f>
        <v>44393</v>
      </c>
      <c r="D5951" s="2" t="s">
        <v>131</v>
      </c>
      <c r="E5951" t="str">
        <f>_xlfn.XLOOKUP(A5951,'[1]Tissue Data'!$A:$A,'[1]Tissue Data'!$H:$H)</f>
        <v>Clinostomus</v>
      </c>
      <c r="F5951" t="str">
        <f>_xlfn.XLOOKUP(A5951,'[1]Tissue Data'!$A:$A,'[1]Tissue Data'!$I:$I)</f>
        <v>funduloides</v>
      </c>
      <c r="G5951" t="str">
        <f>_xlfn.XLOOKUP(A5951,'[1]Tissue Data'!$A:$A,'[1]Tissue Data'!J:J)</f>
        <v>U</v>
      </c>
      <c r="H5951" t="str">
        <f>_xlfn.XLOOKUP(A5951,'[1]Tissue Data'!$A:$A,'[1]Tissue Data'!K:K)</f>
        <v>Whole Body</v>
      </c>
      <c r="I5951">
        <f>_xlfn.XLOOKUP(A5951,'[1]Tissue Data'!$A:$A,'[1]Tissue Data'!L:L)</f>
        <v>12</v>
      </c>
      <c r="J5951">
        <f>_xlfn.XLOOKUP(A5951,'[1]Tissue Data'!$A:$A,'[1]Tissue Data'!M:M)</f>
        <v>23.18</v>
      </c>
      <c r="K5951" t="s">
        <v>61</v>
      </c>
      <c r="L5951" t="str">
        <f>_xlfn.XLOOKUP(K5951,[2]analyte_order!$B:$B,[2]analyte_order!$C:$C)</f>
        <v>2965-52-8</v>
      </c>
      <c r="M5951">
        <f>_xlfn.XLOOKUP(L5951,[2]analyte_order!$C:$C,[2]analyte_order!$E:$E)</f>
        <v>57</v>
      </c>
      <c r="N5951">
        <v>0.2465</v>
      </c>
    </row>
    <row r="5952" spans="1:14">
      <c r="A5952" t="s">
        <v>143</v>
      </c>
      <c r="B5952" t="str">
        <f>_xlfn.XLOOKUP(A5952,'[1]Tissue Data'!$A:$A,'[1]Tissue Data'!$C:$C)</f>
        <v>Spill</v>
      </c>
      <c r="C5952" s="2">
        <f>_xlfn.XLOOKUP(A5952,'[1]Tissue Data'!$A:$A,'[1]Tissue Data'!$D:$D)</f>
        <v>44393</v>
      </c>
      <c r="D5952" s="2" t="s">
        <v>131</v>
      </c>
      <c r="E5952" t="str">
        <f>_xlfn.XLOOKUP(A5952,'[1]Tissue Data'!$A:$A,'[1]Tissue Data'!$H:$H)</f>
        <v>Clinostomus</v>
      </c>
      <c r="F5952" t="str">
        <f>_xlfn.XLOOKUP(A5952,'[1]Tissue Data'!$A:$A,'[1]Tissue Data'!$I:$I)</f>
        <v>funduloides</v>
      </c>
      <c r="G5952" t="str">
        <f>_xlfn.XLOOKUP(A5952,'[1]Tissue Data'!$A:$A,'[1]Tissue Data'!J:J)</f>
        <v>U</v>
      </c>
      <c r="H5952" t="str">
        <f>_xlfn.XLOOKUP(A5952,'[1]Tissue Data'!$A:$A,'[1]Tissue Data'!K:K)</f>
        <v>Whole Body</v>
      </c>
      <c r="I5952">
        <f>_xlfn.XLOOKUP(A5952,'[1]Tissue Data'!$A:$A,'[1]Tissue Data'!L:L)</f>
        <v>9</v>
      </c>
      <c r="J5952">
        <f>_xlfn.XLOOKUP(A5952,'[1]Tissue Data'!$A:$A,'[1]Tissue Data'!M:M)</f>
        <v>10.02</v>
      </c>
      <c r="K5952" t="s">
        <v>12</v>
      </c>
      <c r="L5952" t="str">
        <f>_xlfn.XLOOKUP(K5952,[2]analyte_order!$B:$B,[2]analyte_order!$C:$C)</f>
        <v>375-22-4</v>
      </c>
      <c r="M5952">
        <f>_xlfn.XLOOKUP(L5952,[2]analyte_order!$C:$C,[2]analyte_order!$E:$E)</f>
        <v>1</v>
      </c>
      <c r="N5952">
        <v>0.108</v>
      </c>
    </row>
    <row r="5953" spans="1:14">
      <c r="A5953" t="s">
        <v>143</v>
      </c>
      <c r="B5953" t="str">
        <f>_xlfn.XLOOKUP(A5953,'[1]Tissue Data'!$A:$A,'[1]Tissue Data'!$C:$C)</f>
        <v>Spill</v>
      </c>
      <c r="C5953" s="2">
        <f>_xlfn.XLOOKUP(A5953,'[1]Tissue Data'!$A:$A,'[1]Tissue Data'!$D:$D)</f>
        <v>44393</v>
      </c>
      <c r="D5953" s="2" t="s">
        <v>131</v>
      </c>
      <c r="E5953" t="str">
        <f>_xlfn.XLOOKUP(A5953,'[1]Tissue Data'!$A:$A,'[1]Tissue Data'!$H:$H)</f>
        <v>Clinostomus</v>
      </c>
      <c r="F5953" t="str">
        <f>_xlfn.XLOOKUP(A5953,'[1]Tissue Data'!$A:$A,'[1]Tissue Data'!$I:$I)</f>
        <v>funduloides</v>
      </c>
      <c r="G5953" t="str">
        <f>_xlfn.XLOOKUP(A5953,'[1]Tissue Data'!$A:$A,'[1]Tissue Data'!J:J)</f>
        <v>U</v>
      </c>
      <c r="H5953" t="str">
        <f>_xlfn.XLOOKUP(A5953,'[1]Tissue Data'!$A:$A,'[1]Tissue Data'!K:K)</f>
        <v>Whole Body</v>
      </c>
      <c r="I5953">
        <f>_xlfn.XLOOKUP(A5953,'[1]Tissue Data'!$A:$A,'[1]Tissue Data'!L:L)</f>
        <v>9</v>
      </c>
      <c r="J5953">
        <f>_xlfn.XLOOKUP(A5953,'[1]Tissue Data'!$A:$A,'[1]Tissue Data'!M:M)</f>
        <v>10.02</v>
      </c>
      <c r="K5953" t="s">
        <v>13</v>
      </c>
      <c r="L5953" t="str">
        <f>_xlfn.XLOOKUP(K5953,[2]analyte_order!$B:$B,[2]analyte_order!$C:$C)</f>
        <v>2706-90-3</v>
      </c>
      <c r="M5953">
        <f>_xlfn.XLOOKUP(L5953,[2]analyte_order!$C:$C,[2]analyte_order!$E:$E)</f>
        <v>2</v>
      </c>
      <c r="N5953">
        <v>7.5999999999999998E-2</v>
      </c>
    </row>
    <row r="5954" spans="1:14">
      <c r="A5954" t="s">
        <v>143</v>
      </c>
      <c r="B5954" t="str">
        <f>_xlfn.XLOOKUP(A5954,'[1]Tissue Data'!$A:$A,'[1]Tissue Data'!$C:$C)</f>
        <v>Spill</v>
      </c>
      <c r="C5954" s="2">
        <f>_xlfn.XLOOKUP(A5954,'[1]Tissue Data'!$A:$A,'[1]Tissue Data'!$D:$D)</f>
        <v>44393</v>
      </c>
      <c r="D5954" s="2" t="s">
        <v>131</v>
      </c>
      <c r="E5954" t="str">
        <f>_xlfn.XLOOKUP(A5954,'[1]Tissue Data'!$A:$A,'[1]Tissue Data'!$H:$H)</f>
        <v>Clinostomus</v>
      </c>
      <c r="F5954" t="str">
        <f>_xlfn.XLOOKUP(A5954,'[1]Tissue Data'!$A:$A,'[1]Tissue Data'!$I:$I)</f>
        <v>funduloides</v>
      </c>
      <c r="G5954" t="str">
        <f>_xlfn.XLOOKUP(A5954,'[1]Tissue Data'!$A:$A,'[1]Tissue Data'!J:J)</f>
        <v>U</v>
      </c>
      <c r="H5954" t="str">
        <f>_xlfn.XLOOKUP(A5954,'[1]Tissue Data'!$A:$A,'[1]Tissue Data'!K:K)</f>
        <v>Whole Body</v>
      </c>
      <c r="I5954">
        <f>_xlfn.XLOOKUP(A5954,'[1]Tissue Data'!$A:$A,'[1]Tissue Data'!L:L)</f>
        <v>9</v>
      </c>
      <c r="J5954">
        <f>_xlfn.XLOOKUP(A5954,'[1]Tissue Data'!$A:$A,'[1]Tissue Data'!M:M)</f>
        <v>10.02</v>
      </c>
      <c r="K5954" t="s">
        <v>14</v>
      </c>
      <c r="L5954" t="str">
        <f>_xlfn.XLOOKUP(K5954,[2]analyte_order!$B:$B,[2]analyte_order!$C:$C)</f>
        <v>307-24-4</v>
      </c>
      <c r="M5954">
        <f>_xlfn.XLOOKUP(L5954,[2]analyte_order!$C:$C,[2]analyte_order!$E:$E)</f>
        <v>3</v>
      </c>
      <c r="N5954">
        <v>0.28599999999999998</v>
      </c>
    </row>
    <row r="5955" spans="1:14">
      <c r="A5955" t="s">
        <v>143</v>
      </c>
      <c r="B5955" t="str">
        <f>_xlfn.XLOOKUP(A5955,'[1]Tissue Data'!$A:$A,'[1]Tissue Data'!$C:$C)</f>
        <v>Spill</v>
      </c>
      <c r="C5955" s="2">
        <f>_xlfn.XLOOKUP(A5955,'[1]Tissue Data'!$A:$A,'[1]Tissue Data'!$D:$D)</f>
        <v>44393</v>
      </c>
      <c r="D5955" s="2" t="s">
        <v>131</v>
      </c>
      <c r="E5955" t="str">
        <f>_xlfn.XLOOKUP(A5955,'[1]Tissue Data'!$A:$A,'[1]Tissue Data'!$H:$H)</f>
        <v>Clinostomus</v>
      </c>
      <c r="F5955" t="str">
        <f>_xlfn.XLOOKUP(A5955,'[1]Tissue Data'!$A:$A,'[1]Tissue Data'!$I:$I)</f>
        <v>funduloides</v>
      </c>
      <c r="G5955" t="str">
        <f>_xlfn.XLOOKUP(A5955,'[1]Tissue Data'!$A:$A,'[1]Tissue Data'!J:J)</f>
        <v>U</v>
      </c>
      <c r="H5955" t="str">
        <f>_xlfn.XLOOKUP(A5955,'[1]Tissue Data'!$A:$A,'[1]Tissue Data'!K:K)</f>
        <v>Whole Body</v>
      </c>
      <c r="I5955">
        <f>_xlfn.XLOOKUP(A5955,'[1]Tissue Data'!$A:$A,'[1]Tissue Data'!L:L)</f>
        <v>9</v>
      </c>
      <c r="J5955">
        <f>_xlfn.XLOOKUP(A5955,'[1]Tissue Data'!$A:$A,'[1]Tissue Data'!M:M)</f>
        <v>10.02</v>
      </c>
      <c r="K5955" t="s">
        <v>15</v>
      </c>
      <c r="L5955" t="str">
        <f>_xlfn.XLOOKUP(K5955,[2]analyte_order!$B:$B,[2]analyte_order!$C:$C)</f>
        <v>375-85-9</v>
      </c>
      <c r="M5955">
        <f>_xlfn.XLOOKUP(L5955,[2]analyte_order!$C:$C,[2]analyte_order!$E:$E)</f>
        <v>4</v>
      </c>
      <c r="N5955">
        <v>0.108</v>
      </c>
    </row>
    <row r="5956" spans="1:14">
      <c r="A5956" t="s">
        <v>143</v>
      </c>
      <c r="B5956" t="str">
        <f>_xlfn.XLOOKUP(A5956,'[1]Tissue Data'!$A:$A,'[1]Tissue Data'!$C:$C)</f>
        <v>Spill</v>
      </c>
      <c r="C5956" s="2">
        <f>_xlfn.XLOOKUP(A5956,'[1]Tissue Data'!$A:$A,'[1]Tissue Data'!$D:$D)</f>
        <v>44393</v>
      </c>
      <c r="D5956" s="2" t="s">
        <v>131</v>
      </c>
      <c r="E5956" t="str">
        <f>_xlfn.XLOOKUP(A5956,'[1]Tissue Data'!$A:$A,'[1]Tissue Data'!$H:$H)</f>
        <v>Clinostomus</v>
      </c>
      <c r="F5956" t="str">
        <f>_xlfn.XLOOKUP(A5956,'[1]Tissue Data'!$A:$A,'[1]Tissue Data'!$I:$I)</f>
        <v>funduloides</v>
      </c>
      <c r="G5956" t="str">
        <f>_xlfn.XLOOKUP(A5956,'[1]Tissue Data'!$A:$A,'[1]Tissue Data'!J:J)</f>
        <v>U</v>
      </c>
      <c r="H5956" t="str">
        <f>_xlfn.XLOOKUP(A5956,'[1]Tissue Data'!$A:$A,'[1]Tissue Data'!K:K)</f>
        <v>Whole Body</v>
      </c>
      <c r="I5956">
        <f>_xlfn.XLOOKUP(A5956,'[1]Tissue Data'!$A:$A,'[1]Tissue Data'!L:L)</f>
        <v>9</v>
      </c>
      <c r="J5956">
        <f>_xlfn.XLOOKUP(A5956,'[1]Tissue Data'!$A:$A,'[1]Tissue Data'!M:M)</f>
        <v>10.02</v>
      </c>
      <c r="K5956" t="s">
        <v>16</v>
      </c>
      <c r="L5956" t="str">
        <f>_xlfn.XLOOKUP(K5956,[2]analyte_order!$B:$B,[2]analyte_order!$C:$C)</f>
        <v>335-67-1</v>
      </c>
      <c r="M5956">
        <f>_xlfn.XLOOKUP(L5956,[2]analyte_order!$C:$C,[2]analyte_order!$E:$E)</f>
        <v>5</v>
      </c>
      <c r="N5956">
        <v>1.37</v>
      </c>
    </row>
    <row r="5957" spans="1:14">
      <c r="A5957" t="s">
        <v>143</v>
      </c>
      <c r="B5957" t="str">
        <f>_xlfn.XLOOKUP(A5957,'[1]Tissue Data'!$A:$A,'[1]Tissue Data'!$C:$C)</f>
        <v>Spill</v>
      </c>
      <c r="C5957" s="2">
        <f>_xlfn.XLOOKUP(A5957,'[1]Tissue Data'!$A:$A,'[1]Tissue Data'!$D:$D)</f>
        <v>44393</v>
      </c>
      <c r="D5957" s="2" t="s">
        <v>131</v>
      </c>
      <c r="E5957" t="str">
        <f>_xlfn.XLOOKUP(A5957,'[1]Tissue Data'!$A:$A,'[1]Tissue Data'!$H:$H)</f>
        <v>Clinostomus</v>
      </c>
      <c r="F5957" t="str">
        <f>_xlfn.XLOOKUP(A5957,'[1]Tissue Data'!$A:$A,'[1]Tissue Data'!$I:$I)</f>
        <v>funduloides</v>
      </c>
      <c r="G5957" t="str">
        <f>_xlfn.XLOOKUP(A5957,'[1]Tissue Data'!$A:$A,'[1]Tissue Data'!J:J)</f>
        <v>U</v>
      </c>
      <c r="H5957" t="str">
        <f>_xlfn.XLOOKUP(A5957,'[1]Tissue Data'!$A:$A,'[1]Tissue Data'!K:K)</f>
        <v>Whole Body</v>
      </c>
      <c r="I5957">
        <f>_xlfn.XLOOKUP(A5957,'[1]Tissue Data'!$A:$A,'[1]Tissue Data'!L:L)</f>
        <v>9</v>
      </c>
      <c r="J5957">
        <f>_xlfn.XLOOKUP(A5957,'[1]Tissue Data'!$A:$A,'[1]Tissue Data'!M:M)</f>
        <v>10.02</v>
      </c>
      <c r="K5957" t="s">
        <v>17</v>
      </c>
      <c r="L5957" t="str">
        <f>_xlfn.XLOOKUP(K5957,[2]analyte_order!$B:$B,[2]analyte_order!$C:$C)</f>
        <v>375-95-1</v>
      </c>
      <c r="M5957">
        <f>_xlfn.XLOOKUP(L5957,[2]analyte_order!$C:$C,[2]analyte_order!$E:$E)</f>
        <v>6</v>
      </c>
      <c r="N5957">
        <v>0.7</v>
      </c>
    </row>
    <row r="5958" spans="1:14">
      <c r="A5958" t="s">
        <v>143</v>
      </c>
      <c r="B5958" t="str">
        <f>_xlfn.XLOOKUP(A5958,'[1]Tissue Data'!$A:$A,'[1]Tissue Data'!$C:$C)</f>
        <v>Spill</v>
      </c>
      <c r="C5958" s="2">
        <f>_xlfn.XLOOKUP(A5958,'[1]Tissue Data'!$A:$A,'[1]Tissue Data'!$D:$D)</f>
        <v>44393</v>
      </c>
      <c r="D5958" s="2" t="s">
        <v>131</v>
      </c>
      <c r="E5958" t="str">
        <f>_xlfn.XLOOKUP(A5958,'[1]Tissue Data'!$A:$A,'[1]Tissue Data'!$H:$H)</f>
        <v>Clinostomus</v>
      </c>
      <c r="F5958" t="str">
        <f>_xlfn.XLOOKUP(A5958,'[1]Tissue Data'!$A:$A,'[1]Tissue Data'!$I:$I)</f>
        <v>funduloides</v>
      </c>
      <c r="G5958" t="str">
        <f>_xlfn.XLOOKUP(A5958,'[1]Tissue Data'!$A:$A,'[1]Tissue Data'!J:J)</f>
        <v>U</v>
      </c>
      <c r="H5958" t="str">
        <f>_xlfn.XLOOKUP(A5958,'[1]Tissue Data'!$A:$A,'[1]Tissue Data'!K:K)</f>
        <v>Whole Body</v>
      </c>
      <c r="I5958">
        <f>_xlfn.XLOOKUP(A5958,'[1]Tissue Data'!$A:$A,'[1]Tissue Data'!L:L)</f>
        <v>9</v>
      </c>
      <c r="J5958">
        <f>_xlfn.XLOOKUP(A5958,'[1]Tissue Data'!$A:$A,'[1]Tissue Data'!M:M)</f>
        <v>10.02</v>
      </c>
      <c r="K5958" t="s">
        <v>18</v>
      </c>
      <c r="L5958" t="str">
        <f>_xlfn.XLOOKUP(K5958,[2]analyte_order!$B:$B,[2]analyte_order!$C:$C)</f>
        <v>335-76-2</v>
      </c>
      <c r="M5958">
        <f>_xlfn.XLOOKUP(L5958,[2]analyte_order!$C:$C,[2]analyte_order!$E:$E)</f>
        <v>7</v>
      </c>
      <c r="N5958">
        <v>4.7300000000000004</v>
      </c>
    </row>
    <row r="5959" spans="1:14">
      <c r="A5959" t="s">
        <v>143</v>
      </c>
      <c r="B5959" t="str">
        <f>_xlfn.XLOOKUP(A5959,'[1]Tissue Data'!$A:$A,'[1]Tissue Data'!$C:$C)</f>
        <v>Spill</v>
      </c>
      <c r="C5959" s="2">
        <f>_xlfn.XLOOKUP(A5959,'[1]Tissue Data'!$A:$A,'[1]Tissue Data'!$D:$D)</f>
        <v>44393</v>
      </c>
      <c r="D5959" s="2" t="s">
        <v>131</v>
      </c>
      <c r="E5959" t="str">
        <f>_xlfn.XLOOKUP(A5959,'[1]Tissue Data'!$A:$A,'[1]Tissue Data'!$H:$H)</f>
        <v>Clinostomus</v>
      </c>
      <c r="F5959" t="str">
        <f>_xlfn.XLOOKUP(A5959,'[1]Tissue Data'!$A:$A,'[1]Tissue Data'!$I:$I)</f>
        <v>funduloides</v>
      </c>
      <c r="G5959" t="str">
        <f>_xlfn.XLOOKUP(A5959,'[1]Tissue Data'!$A:$A,'[1]Tissue Data'!J:J)</f>
        <v>U</v>
      </c>
      <c r="H5959" t="str">
        <f>_xlfn.XLOOKUP(A5959,'[1]Tissue Data'!$A:$A,'[1]Tissue Data'!K:K)</f>
        <v>Whole Body</v>
      </c>
      <c r="I5959">
        <f>_xlfn.XLOOKUP(A5959,'[1]Tissue Data'!$A:$A,'[1]Tissue Data'!L:L)</f>
        <v>9</v>
      </c>
      <c r="J5959">
        <f>_xlfn.XLOOKUP(A5959,'[1]Tissue Data'!$A:$A,'[1]Tissue Data'!M:M)</f>
        <v>10.02</v>
      </c>
      <c r="K5959" t="s">
        <v>19</v>
      </c>
      <c r="L5959" t="str">
        <f>_xlfn.XLOOKUP(K5959,[2]analyte_order!$B:$B,[2]analyte_order!$C:$C)</f>
        <v>2058-94-8</v>
      </c>
      <c r="M5959">
        <f>_xlfn.XLOOKUP(L5959,[2]analyte_order!$C:$C,[2]analyte_order!$E:$E)</f>
        <v>8</v>
      </c>
      <c r="N5959">
        <v>8.6300000000000008</v>
      </c>
    </row>
    <row r="5960" spans="1:14">
      <c r="A5960" t="s">
        <v>143</v>
      </c>
      <c r="B5960" t="str">
        <f>_xlfn.XLOOKUP(A5960,'[1]Tissue Data'!$A:$A,'[1]Tissue Data'!$C:$C)</f>
        <v>Spill</v>
      </c>
      <c r="C5960" s="2">
        <f>_xlfn.XLOOKUP(A5960,'[1]Tissue Data'!$A:$A,'[1]Tissue Data'!$D:$D)</f>
        <v>44393</v>
      </c>
      <c r="D5960" s="2" t="s">
        <v>131</v>
      </c>
      <c r="E5960" t="str">
        <f>_xlfn.XLOOKUP(A5960,'[1]Tissue Data'!$A:$A,'[1]Tissue Data'!$H:$H)</f>
        <v>Clinostomus</v>
      </c>
      <c r="F5960" t="str">
        <f>_xlfn.XLOOKUP(A5960,'[1]Tissue Data'!$A:$A,'[1]Tissue Data'!$I:$I)</f>
        <v>funduloides</v>
      </c>
      <c r="G5960" t="str">
        <f>_xlfn.XLOOKUP(A5960,'[1]Tissue Data'!$A:$A,'[1]Tissue Data'!J:J)</f>
        <v>U</v>
      </c>
      <c r="H5960" t="str">
        <f>_xlfn.XLOOKUP(A5960,'[1]Tissue Data'!$A:$A,'[1]Tissue Data'!K:K)</f>
        <v>Whole Body</v>
      </c>
      <c r="I5960">
        <f>_xlfn.XLOOKUP(A5960,'[1]Tissue Data'!$A:$A,'[1]Tissue Data'!L:L)</f>
        <v>9</v>
      </c>
      <c r="J5960">
        <f>_xlfn.XLOOKUP(A5960,'[1]Tissue Data'!$A:$A,'[1]Tissue Data'!M:M)</f>
        <v>10.02</v>
      </c>
      <c r="K5960" t="s">
        <v>20</v>
      </c>
      <c r="L5960" t="str">
        <f>_xlfn.XLOOKUP(K5960,[2]analyte_order!$B:$B,[2]analyte_order!$C:$C)</f>
        <v>307-55-1</v>
      </c>
      <c r="M5960">
        <f>_xlfn.XLOOKUP(L5960,[2]analyte_order!$C:$C,[2]analyte_order!$E:$E)</f>
        <v>9</v>
      </c>
      <c r="N5960">
        <v>7.29</v>
      </c>
    </row>
    <row r="5961" spans="1:14">
      <c r="A5961" t="s">
        <v>143</v>
      </c>
      <c r="B5961" t="str">
        <f>_xlfn.XLOOKUP(A5961,'[1]Tissue Data'!$A:$A,'[1]Tissue Data'!$C:$C)</f>
        <v>Spill</v>
      </c>
      <c r="C5961" s="2">
        <f>_xlfn.XLOOKUP(A5961,'[1]Tissue Data'!$A:$A,'[1]Tissue Data'!$D:$D)</f>
        <v>44393</v>
      </c>
      <c r="D5961" s="2" t="s">
        <v>131</v>
      </c>
      <c r="E5961" t="str">
        <f>_xlfn.XLOOKUP(A5961,'[1]Tissue Data'!$A:$A,'[1]Tissue Data'!$H:$H)</f>
        <v>Clinostomus</v>
      </c>
      <c r="F5961" t="str">
        <f>_xlfn.XLOOKUP(A5961,'[1]Tissue Data'!$A:$A,'[1]Tissue Data'!$I:$I)</f>
        <v>funduloides</v>
      </c>
      <c r="G5961" t="str">
        <f>_xlfn.XLOOKUP(A5961,'[1]Tissue Data'!$A:$A,'[1]Tissue Data'!J:J)</f>
        <v>U</v>
      </c>
      <c r="H5961" t="str">
        <f>_xlfn.XLOOKUP(A5961,'[1]Tissue Data'!$A:$A,'[1]Tissue Data'!K:K)</f>
        <v>Whole Body</v>
      </c>
      <c r="I5961">
        <f>_xlfn.XLOOKUP(A5961,'[1]Tissue Data'!$A:$A,'[1]Tissue Data'!L:L)</f>
        <v>9</v>
      </c>
      <c r="J5961">
        <f>_xlfn.XLOOKUP(A5961,'[1]Tissue Data'!$A:$A,'[1]Tissue Data'!M:M)</f>
        <v>10.02</v>
      </c>
      <c r="K5961" t="s">
        <v>21</v>
      </c>
      <c r="L5961" t="str">
        <f>_xlfn.XLOOKUP(K5961,[2]analyte_order!$B:$B,[2]analyte_order!$C:$C)</f>
        <v>72629-94-8</v>
      </c>
      <c r="M5961">
        <f>_xlfn.XLOOKUP(L5961,[2]analyte_order!$C:$C,[2]analyte_order!$E:$E)</f>
        <v>10</v>
      </c>
      <c r="N5961">
        <v>1.54</v>
      </c>
    </row>
    <row r="5962" spans="1:14">
      <c r="A5962" t="s">
        <v>143</v>
      </c>
      <c r="B5962" t="str">
        <f>_xlfn.XLOOKUP(A5962,'[1]Tissue Data'!$A:$A,'[1]Tissue Data'!$C:$C)</f>
        <v>Spill</v>
      </c>
      <c r="C5962" s="2">
        <f>_xlfn.XLOOKUP(A5962,'[1]Tissue Data'!$A:$A,'[1]Tissue Data'!$D:$D)</f>
        <v>44393</v>
      </c>
      <c r="D5962" s="2" t="s">
        <v>131</v>
      </c>
      <c r="E5962" t="str">
        <f>_xlfn.XLOOKUP(A5962,'[1]Tissue Data'!$A:$A,'[1]Tissue Data'!$H:$H)</f>
        <v>Clinostomus</v>
      </c>
      <c r="F5962" t="str">
        <f>_xlfn.XLOOKUP(A5962,'[1]Tissue Data'!$A:$A,'[1]Tissue Data'!$I:$I)</f>
        <v>funduloides</v>
      </c>
      <c r="G5962" t="str">
        <f>_xlfn.XLOOKUP(A5962,'[1]Tissue Data'!$A:$A,'[1]Tissue Data'!J:J)</f>
        <v>U</v>
      </c>
      <c r="H5962" t="str">
        <f>_xlfn.XLOOKUP(A5962,'[1]Tissue Data'!$A:$A,'[1]Tissue Data'!K:K)</f>
        <v>Whole Body</v>
      </c>
      <c r="I5962">
        <f>_xlfn.XLOOKUP(A5962,'[1]Tissue Data'!$A:$A,'[1]Tissue Data'!L:L)</f>
        <v>9</v>
      </c>
      <c r="J5962">
        <f>_xlfn.XLOOKUP(A5962,'[1]Tissue Data'!$A:$A,'[1]Tissue Data'!M:M)</f>
        <v>10.02</v>
      </c>
      <c r="K5962" t="s">
        <v>22</v>
      </c>
      <c r="L5962" t="str">
        <f>_xlfn.XLOOKUP(K5962,[2]analyte_order!$B:$B,[2]analyte_order!$C:$C)</f>
        <v>376-06-7</v>
      </c>
      <c r="M5962">
        <f>_xlfn.XLOOKUP(L5962,[2]analyte_order!$C:$C,[2]analyte_order!$E:$E)</f>
        <v>11</v>
      </c>
      <c r="N5962">
        <v>4.05</v>
      </c>
    </row>
    <row r="5963" spans="1:14">
      <c r="A5963" t="s">
        <v>143</v>
      </c>
      <c r="B5963" t="str">
        <f>_xlfn.XLOOKUP(A5963,'[1]Tissue Data'!$A:$A,'[1]Tissue Data'!$C:$C)</f>
        <v>Spill</v>
      </c>
      <c r="C5963" s="2">
        <f>_xlfn.XLOOKUP(A5963,'[1]Tissue Data'!$A:$A,'[1]Tissue Data'!$D:$D)</f>
        <v>44393</v>
      </c>
      <c r="D5963" s="2" t="s">
        <v>131</v>
      </c>
      <c r="E5963" t="str">
        <f>_xlfn.XLOOKUP(A5963,'[1]Tissue Data'!$A:$A,'[1]Tissue Data'!$H:$H)</f>
        <v>Clinostomus</v>
      </c>
      <c r="F5963" t="str">
        <f>_xlfn.XLOOKUP(A5963,'[1]Tissue Data'!$A:$A,'[1]Tissue Data'!$I:$I)</f>
        <v>funduloides</v>
      </c>
      <c r="G5963" t="str">
        <f>_xlfn.XLOOKUP(A5963,'[1]Tissue Data'!$A:$A,'[1]Tissue Data'!J:J)</f>
        <v>U</v>
      </c>
      <c r="H5963" t="str">
        <f>_xlfn.XLOOKUP(A5963,'[1]Tissue Data'!$A:$A,'[1]Tissue Data'!K:K)</f>
        <v>Whole Body</v>
      </c>
      <c r="I5963">
        <f>_xlfn.XLOOKUP(A5963,'[1]Tissue Data'!$A:$A,'[1]Tissue Data'!L:L)</f>
        <v>9</v>
      </c>
      <c r="J5963">
        <f>_xlfn.XLOOKUP(A5963,'[1]Tissue Data'!$A:$A,'[1]Tissue Data'!M:M)</f>
        <v>10.02</v>
      </c>
      <c r="K5963" t="s">
        <v>23</v>
      </c>
      <c r="L5963" t="str">
        <f>_xlfn.XLOOKUP(K5963,[2]analyte_order!$B:$B,[2]analyte_order!$C:$C)</f>
        <v>67905-19-5</v>
      </c>
      <c r="M5963">
        <f>_xlfn.XLOOKUP(L5963,[2]analyte_order!$C:$C,[2]analyte_order!$E:$E)</f>
        <v>12</v>
      </c>
      <c r="N5963">
        <v>0.1285</v>
      </c>
    </row>
    <row r="5964" spans="1:14">
      <c r="A5964" t="s">
        <v>143</v>
      </c>
      <c r="B5964" t="str">
        <f>_xlfn.XLOOKUP(A5964,'[1]Tissue Data'!$A:$A,'[1]Tissue Data'!$C:$C)</f>
        <v>Spill</v>
      </c>
      <c r="C5964" s="2">
        <f>_xlfn.XLOOKUP(A5964,'[1]Tissue Data'!$A:$A,'[1]Tissue Data'!$D:$D)</f>
        <v>44393</v>
      </c>
      <c r="D5964" s="2" t="s">
        <v>131</v>
      </c>
      <c r="E5964" t="str">
        <f>_xlfn.XLOOKUP(A5964,'[1]Tissue Data'!$A:$A,'[1]Tissue Data'!$H:$H)</f>
        <v>Clinostomus</v>
      </c>
      <c r="F5964" t="str">
        <f>_xlfn.XLOOKUP(A5964,'[1]Tissue Data'!$A:$A,'[1]Tissue Data'!$I:$I)</f>
        <v>funduloides</v>
      </c>
      <c r="G5964" t="str">
        <f>_xlfn.XLOOKUP(A5964,'[1]Tissue Data'!$A:$A,'[1]Tissue Data'!J:J)</f>
        <v>U</v>
      </c>
      <c r="H5964" t="str">
        <f>_xlfn.XLOOKUP(A5964,'[1]Tissue Data'!$A:$A,'[1]Tissue Data'!K:K)</f>
        <v>Whole Body</v>
      </c>
      <c r="I5964">
        <f>_xlfn.XLOOKUP(A5964,'[1]Tissue Data'!$A:$A,'[1]Tissue Data'!L:L)</f>
        <v>9</v>
      </c>
      <c r="J5964">
        <f>_xlfn.XLOOKUP(A5964,'[1]Tissue Data'!$A:$A,'[1]Tissue Data'!M:M)</f>
        <v>10.02</v>
      </c>
      <c r="K5964" t="s">
        <v>24</v>
      </c>
      <c r="L5964" t="str">
        <f>_xlfn.XLOOKUP(K5964,[2]analyte_order!$B:$B,[2]analyte_order!$C:$C)</f>
        <v>423-41-6</v>
      </c>
      <c r="M5964">
        <f>_xlfn.XLOOKUP(L5964,[2]analyte_order!$C:$C,[2]analyte_order!$E:$E)</f>
        <v>53</v>
      </c>
      <c r="N5964">
        <v>0.108</v>
      </c>
    </row>
    <row r="5965" spans="1:14">
      <c r="A5965" t="s">
        <v>143</v>
      </c>
      <c r="B5965" t="str">
        <f>_xlfn.XLOOKUP(A5965,'[1]Tissue Data'!$A:$A,'[1]Tissue Data'!$C:$C)</f>
        <v>Spill</v>
      </c>
      <c r="C5965" s="2">
        <f>_xlfn.XLOOKUP(A5965,'[1]Tissue Data'!$A:$A,'[1]Tissue Data'!$D:$D)</f>
        <v>44393</v>
      </c>
      <c r="D5965" s="2" t="s">
        <v>131</v>
      </c>
      <c r="E5965" t="str">
        <f>_xlfn.XLOOKUP(A5965,'[1]Tissue Data'!$A:$A,'[1]Tissue Data'!$H:$H)</f>
        <v>Clinostomus</v>
      </c>
      <c r="F5965" t="str">
        <f>_xlfn.XLOOKUP(A5965,'[1]Tissue Data'!$A:$A,'[1]Tissue Data'!$I:$I)</f>
        <v>funduloides</v>
      </c>
      <c r="G5965" t="str">
        <f>_xlfn.XLOOKUP(A5965,'[1]Tissue Data'!$A:$A,'[1]Tissue Data'!J:J)</f>
        <v>U</v>
      </c>
      <c r="H5965" t="str">
        <f>_xlfn.XLOOKUP(A5965,'[1]Tissue Data'!$A:$A,'[1]Tissue Data'!K:K)</f>
        <v>Whole Body</v>
      </c>
      <c r="I5965">
        <f>_xlfn.XLOOKUP(A5965,'[1]Tissue Data'!$A:$A,'[1]Tissue Data'!L:L)</f>
        <v>9</v>
      </c>
      <c r="J5965">
        <f>_xlfn.XLOOKUP(A5965,'[1]Tissue Data'!$A:$A,'[1]Tissue Data'!M:M)</f>
        <v>10.02</v>
      </c>
      <c r="K5965" t="s">
        <v>25</v>
      </c>
      <c r="L5965" t="str">
        <f>_xlfn.XLOOKUP(K5965,[2]analyte_order!$B:$B,[2]analyte_order!$C:$C)</f>
        <v>375-73-5</v>
      </c>
      <c r="M5965">
        <f>_xlfn.XLOOKUP(L5965,[2]analyte_order!$C:$C,[2]analyte_order!$E:$E)</f>
        <v>14</v>
      </c>
      <c r="N5965">
        <v>0.216</v>
      </c>
    </row>
    <row r="5966" spans="1:14">
      <c r="A5966" t="s">
        <v>143</v>
      </c>
      <c r="B5966" t="str">
        <f>_xlfn.XLOOKUP(A5966,'[1]Tissue Data'!$A:$A,'[1]Tissue Data'!$C:$C)</f>
        <v>Spill</v>
      </c>
      <c r="C5966" s="2">
        <f>_xlfn.XLOOKUP(A5966,'[1]Tissue Data'!$A:$A,'[1]Tissue Data'!$D:$D)</f>
        <v>44393</v>
      </c>
      <c r="D5966" s="2" t="s">
        <v>131</v>
      </c>
      <c r="E5966" t="str">
        <f>_xlfn.XLOOKUP(A5966,'[1]Tissue Data'!$A:$A,'[1]Tissue Data'!$H:$H)</f>
        <v>Clinostomus</v>
      </c>
      <c r="F5966" t="str">
        <f>_xlfn.XLOOKUP(A5966,'[1]Tissue Data'!$A:$A,'[1]Tissue Data'!$I:$I)</f>
        <v>funduloides</v>
      </c>
      <c r="G5966" t="str">
        <f>_xlfn.XLOOKUP(A5966,'[1]Tissue Data'!$A:$A,'[1]Tissue Data'!J:J)</f>
        <v>U</v>
      </c>
      <c r="H5966" t="str">
        <f>_xlfn.XLOOKUP(A5966,'[1]Tissue Data'!$A:$A,'[1]Tissue Data'!K:K)</f>
        <v>Whole Body</v>
      </c>
      <c r="I5966">
        <f>_xlfn.XLOOKUP(A5966,'[1]Tissue Data'!$A:$A,'[1]Tissue Data'!L:L)</f>
        <v>9</v>
      </c>
      <c r="J5966">
        <f>_xlfn.XLOOKUP(A5966,'[1]Tissue Data'!$A:$A,'[1]Tissue Data'!M:M)</f>
        <v>10.02</v>
      </c>
      <c r="K5966" t="s">
        <v>26</v>
      </c>
      <c r="L5966" t="str">
        <f>_xlfn.XLOOKUP(K5966,[2]analyte_order!$B:$B,[2]analyte_order!$C:$C)</f>
        <v>2706-91-4</v>
      </c>
      <c r="M5966">
        <f>_xlfn.XLOOKUP(L5966,[2]analyte_order!$C:$C,[2]analyte_order!$E:$E)</f>
        <v>15</v>
      </c>
      <c r="N5966">
        <v>0.247</v>
      </c>
    </row>
    <row r="5967" spans="1:14">
      <c r="A5967" t="s">
        <v>143</v>
      </c>
      <c r="B5967" t="str">
        <f>_xlfn.XLOOKUP(A5967,'[1]Tissue Data'!$A:$A,'[1]Tissue Data'!$C:$C)</f>
        <v>Spill</v>
      </c>
      <c r="C5967" s="2">
        <f>_xlfn.XLOOKUP(A5967,'[1]Tissue Data'!$A:$A,'[1]Tissue Data'!$D:$D)</f>
        <v>44393</v>
      </c>
      <c r="D5967" s="2" t="s">
        <v>131</v>
      </c>
      <c r="E5967" t="str">
        <f>_xlfn.XLOOKUP(A5967,'[1]Tissue Data'!$A:$A,'[1]Tissue Data'!$H:$H)</f>
        <v>Clinostomus</v>
      </c>
      <c r="F5967" t="str">
        <f>_xlfn.XLOOKUP(A5967,'[1]Tissue Data'!$A:$A,'[1]Tissue Data'!$I:$I)</f>
        <v>funduloides</v>
      </c>
      <c r="G5967" t="str">
        <f>_xlfn.XLOOKUP(A5967,'[1]Tissue Data'!$A:$A,'[1]Tissue Data'!J:J)</f>
        <v>U</v>
      </c>
      <c r="H5967" t="str">
        <f>_xlfn.XLOOKUP(A5967,'[1]Tissue Data'!$A:$A,'[1]Tissue Data'!K:K)</f>
        <v>Whole Body</v>
      </c>
      <c r="I5967">
        <f>_xlfn.XLOOKUP(A5967,'[1]Tissue Data'!$A:$A,'[1]Tissue Data'!L:L)</f>
        <v>9</v>
      </c>
      <c r="J5967">
        <f>_xlfn.XLOOKUP(A5967,'[1]Tissue Data'!$A:$A,'[1]Tissue Data'!M:M)</f>
        <v>10.02</v>
      </c>
      <c r="K5967" t="s">
        <v>27</v>
      </c>
      <c r="L5967" t="str">
        <f>_xlfn.XLOOKUP(K5967,[2]analyte_order!$B:$B,[2]analyte_order!$C:$C)</f>
        <v>355-46-4</v>
      </c>
      <c r="M5967">
        <f>_xlfn.XLOOKUP(L5967,[2]analyte_order!$C:$C,[2]analyte_order!$E:$E)</f>
        <v>16</v>
      </c>
      <c r="N5967">
        <v>68</v>
      </c>
    </row>
    <row r="5968" spans="1:14">
      <c r="A5968" t="s">
        <v>143</v>
      </c>
      <c r="B5968" t="str">
        <f>_xlfn.XLOOKUP(A5968,'[1]Tissue Data'!$A:$A,'[1]Tissue Data'!$C:$C)</f>
        <v>Spill</v>
      </c>
      <c r="C5968" s="2">
        <f>_xlfn.XLOOKUP(A5968,'[1]Tissue Data'!$A:$A,'[1]Tissue Data'!$D:$D)</f>
        <v>44393</v>
      </c>
      <c r="D5968" s="2" t="s">
        <v>131</v>
      </c>
      <c r="E5968" t="str">
        <f>_xlfn.XLOOKUP(A5968,'[1]Tissue Data'!$A:$A,'[1]Tissue Data'!$H:$H)</f>
        <v>Clinostomus</v>
      </c>
      <c r="F5968" t="str">
        <f>_xlfn.XLOOKUP(A5968,'[1]Tissue Data'!$A:$A,'[1]Tissue Data'!$I:$I)</f>
        <v>funduloides</v>
      </c>
      <c r="G5968" t="str">
        <f>_xlfn.XLOOKUP(A5968,'[1]Tissue Data'!$A:$A,'[1]Tissue Data'!J:J)</f>
        <v>U</v>
      </c>
      <c r="H5968" t="str">
        <f>_xlfn.XLOOKUP(A5968,'[1]Tissue Data'!$A:$A,'[1]Tissue Data'!K:K)</f>
        <v>Whole Body</v>
      </c>
      <c r="I5968">
        <f>_xlfn.XLOOKUP(A5968,'[1]Tissue Data'!$A:$A,'[1]Tissue Data'!L:L)</f>
        <v>9</v>
      </c>
      <c r="J5968">
        <f>_xlfn.XLOOKUP(A5968,'[1]Tissue Data'!$A:$A,'[1]Tissue Data'!M:M)</f>
        <v>10.02</v>
      </c>
      <c r="K5968" t="s">
        <v>28</v>
      </c>
      <c r="L5968" t="str">
        <f>_xlfn.XLOOKUP(K5968,[2]analyte_order!$B:$B,[2]analyte_order!$C:$C)</f>
        <v>375-92-8</v>
      </c>
      <c r="M5968">
        <f>_xlfn.XLOOKUP(L5968,[2]analyte_order!$C:$C,[2]analyte_order!$E:$E)</f>
        <v>17</v>
      </c>
      <c r="N5968">
        <v>6.12</v>
      </c>
    </row>
    <row r="5969" spans="1:14">
      <c r="A5969" t="s">
        <v>143</v>
      </c>
      <c r="B5969" t="str">
        <f>_xlfn.XLOOKUP(A5969,'[1]Tissue Data'!$A:$A,'[1]Tissue Data'!$C:$C)</f>
        <v>Spill</v>
      </c>
      <c r="C5969" s="2">
        <f>_xlfn.XLOOKUP(A5969,'[1]Tissue Data'!$A:$A,'[1]Tissue Data'!$D:$D)</f>
        <v>44393</v>
      </c>
      <c r="D5969" s="2" t="s">
        <v>131</v>
      </c>
      <c r="E5969" t="str">
        <f>_xlfn.XLOOKUP(A5969,'[1]Tissue Data'!$A:$A,'[1]Tissue Data'!$H:$H)</f>
        <v>Clinostomus</v>
      </c>
      <c r="F5969" t="str">
        <f>_xlfn.XLOOKUP(A5969,'[1]Tissue Data'!$A:$A,'[1]Tissue Data'!$I:$I)</f>
        <v>funduloides</v>
      </c>
      <c r="G5969" t="str">
        <f>_xlfn.XLOOKUP(A5969,'[1]Tissue Data'!$A:$A,'[1]Tissue Data'!J:J)</f>
        <v>U</v>
      </c>
      <c r="H5969" t="str">
        <f>_xlfn.XLOOKUP(A5969,'[1]Tissue Data'!$A:$A,'[1]Tissue Data'!K:K)</f>
        <v>Whole Body</v>
      </c>
      <c r="I5969">
        <f>_xlfn.XLOOKUP(A5969,'[1]Tissue Data'!$A:$A,'[1]Tissue Data'!L:L)</f>
        <v>9</v>
      </c>
      <c r="J5969">
        <f>_xlfn.XLOOKUP(A5969,'[1]Tissue Data'!$A:$A,'[1]Tissue Data'!M:M)</f>
        <v>10.02</v>
      </c>
      <c r="K5969" t="s">
        <v>29</v>
      </c>
      <c r="L5969" t="str">
        <f>_xlfn.XLOOKUP(K5969,[2]analyte_order!$B:$B,[2]analyte_order!$C:$C)</f>
        <v>1763-23-1</v>
      </c>
      <c r="M5969">
        <f>_xlfn.XLOOKUP(L5969,[2]analyte_order!$C:$C,[2]analyte_order!$E:$E)</f>
        <v>18</v>
      </c>
      <c r="N5969">
        <v>560</v>
      </c>
    </row>
    <row r="5970" spans="1:14">
      <c r="A5970" t="s">
        <v>143</v>
      </c>
      <c r="B5970" t="str">
        <f>_xlfn.XLOOKUP(A5970,'[1]Tissue Data'!$A:$A,'[1]Tissue Data'!$C:$C)</f>
        <v>Spill</v>
      </c>
      <c r="C5970" s="2">
        <f>_xlfn.XLOOKUP(A5970,'[1]Tissue Data'!$A:$A,'[1]Tissue Data'!$D:$D)</f>
        <v>44393</v>
      </c>
      <c r="D5970" s="2" t="s">
        <v>131</v>
      </c>
      <c r="E5970" t="str">
        <f>_xlfn.XLOOKUP(A5970,'[1]Tissue Data'!$A:$A,'[1]Tissue Data'!$H:$H)</f>
        <v>Clinostomus</v>
      </c>
      <c r="F5970" t="str">
        <f>_xlfn.XLOOKUP(A5970,'[1]Tissue Data'!$A:$A,'[1]Tissue Data'!$I:$I)</f>
        <v>funduloides</v>
      </c>
      <c r="G5970" t="str">
        <f>_xlfn.XLOOKUP(A5970,'[1]Tissue Data'!$A:$A,'[1]Tissue Data'!J:J)</f>
        <v>U</v>
      </c>
      <c r="H5970" t="str">
        <f>_xlfn.XLOOKUP(A5970,'[1]Tissue Data'!$A:$A,'[1]Tissue Data'!K:K)</f>
        <v>Whole Body</v>
      </c>
      <c r="I5970">
        <f>_xlfn.XLOOKUP(A5970,'[1]Tissue Data'!$A:$A,'[1]Tissue Data'!L:L)</f>
        <v>9</v>
      </c>
      <c r="J5970">
        <f>_xlfn.XLOOKUP(A5970,'[1]Tissue Data'!$A:$A,'[1]Tissue Data'!M:M)</f>
        <v>10.02</v>
      </c>
      <c r="K5970" t="s">
        <v>30</v>
      </c>
      <c r="L5970" t="str">
        <f>_xlfn.XLOOKUP(K5970,[2]analyte_order!$B:$B,[2]analyte_order!$C:$C)</f>
        <v>68259-12-1</v>
      </c>
      <c r="M5970">
        <f>_xlfn.XLOOKUP(L5970,[2]analyte_order!$C:$C,[2]analyte_order!$E:$E)</f>
        <v>19</v>
      </c>
      <c r="N5970">
        <v>0.627</v>
      </c>
    </row>
    <row r="5971" spans="1:14">
      <c r="A5971" t="s">
        <v>143</v>
      </c>
      <c r="B5971" t="str">
        <f>_xlfn.XLOOKUP(A5971,'[1]Tissue Data'!$A:$A,'[1]Tissue Data'!$C:$C)</f>
        <v>Spill</v>
      </c>
      <c r="C5971" s="2">
        <f>_xlfn.XLOOKUP(A5971,'[1]Tissue Data'!$A:$A,'[1]Tissue Data'!$D:$D)</f>
        <v>44393</v>
      </c>
      <c r="D5971" s="2" t="s">
        <v>131</v>
      </c>
      <c r="E5971" t="str">
        <f>_xlfn.XLOOKUP(A5971,'[1]Tissue Data'!$A:$A,'[1]Tissue Data'!$H:$H)</f>
        <v>Clinostomus</v>
      </c>
      <c r="F5971" t="str">
        <f>_xlfn.XLOOKUP(A5971,'[1]Tissue Data'!$A:$A,'[1]Tissue Data'!$I:$I)</f>
        <v>funduloides</v>
      </c>
      <c r="G5971" t="str">
        <f>_xlfn.XLOOKUP(A5971,'[1]Tissue Data'!$A:$A,'[1]Tissue Data'!J:J)</f>
        <v>U</v>
      </c>
      <c r="H5971" t="str">
        <f>_xlfn.XLOOKUP(A5971,'[1]Tissue Data'!$A:$A,'[1]Tissue Data'!K:K)</f>
        <v>Whole Body</v>
      </c>
      <c r="I5971">
        <f>_xlfn.XLOOKUP(A5971,'[1]Tissue Data'!$A:$A,'[1]Tissue Data'!L:L)</f>
        <v>9</v>
      </c>
      <c r="J5971">
        <f>_xlfn.XLOOKUP(A5971,'[1]Tissue Data'!$A:$A,'[1]Tissue Data'!M:M)</f>
        <v>10.02</v>
      </c>
      <c r="K5971" t="s">
        <v>31</v>
      </c>
      <c r="L5971" t="str">
        <f>_xlfn.XLOOKUP(K5971,[2]analyte_order!$B:$B,[2]analyte_order!$C:$C)</f>
        <v>335-77-3</v>
      </c>
      <c r="M5971">
        <f>_xlfn.XLOOKUP(L5971,[2]analyte_order!$C:$C,[2]analyte_order!$E:$E)</f>
        <v>20</v>
      </c>
      <c r="N5971">
        <v>1.01</v>
      </c>
    </row>
    <row r="5972" spans="1:14">
      <c r="A5972" t="s">
        <v>143</v>
      </c>
      <c r="B5972" t="str">
        <f>_xlfn.XLOOKUP(A5972,'[1]Tissue Data'!$A:$A,'[1]Tissue Data'!$C:$C)</f>
        <v>Spill</v>
      </c>
      <c r="C5972" s="2">
        <f>_xlfn.XLOOKUP(A5972,'[1]Tissue Data'!$A:$A,'[1]Tissue Data'!$D:$D)</f>
        <v>44393</v>
      </c>
      <c r="D5972" s="2" t="s">
        <v>131</v>
      </c>
      <c r="E5972" t="str">
        <f>_xlfn.XLOOKUP(A5972,'[1]Tissue Data'!$A:$A,'[1]Tissue Data'!$H:$H)</f>
        <v>Clinostomus</v>
      </c>
      <c r="F5972" t="str">
        <f>_xlfn.XLOOKUP(A5972,'[1]Tissue Data'!$A:$A,'[1]Tissue Data'!$I:$I)</f>
        <v>funduloides</v>
      </c>
      <c r="G5972" t="str">
        <f>_xlfn.XLOOKUP(A5972,'[1]Tissue Data'!$A:$A,'[1]Tissue Data'!J:J)</f>
        <v>U</v>
      </c>
      <c r="H5972" t="str">
        <f>_xlfn.XLOOKUP(A5972,'[1]Tissue Data'!$A:$A,'[1]Tissue Data'!K:K)</f>
        <v>Whole Body</v>
      </c>
      <c r="I5972">
        <f>_xlfn.XLOOKUP(A5972,'[1]Tissue Data'!$A:$A,'[1]Tissue Data'!L:L)</f>
        <v>9</v>
      </c>
      <c r="J5972">
        <f>_xlfn.XLOOKUP(A5972,'[1]Tissue Data'!$A:$A,'[1]Tissue Data'!M:M)</f>
        <v>10.02</v>
      </c>
      <c r="K5972" t="s">
        <v>32</v>
      </c>
      <c r="L5972" t="str">
        <f>_xlfn.XLOOKUP(K5972,[2]analyte_order!$B:$B,[2]analyte_order!$C:$C)</f>
        <v>79780-39-5</v>
      </c>
      <c r="M5972">
        <f>_xlfn.XLOOKUP(L5972,[2]analyte_order!$C:$C,[2]analyte_order!$E:$E)</f>
        <v>21</v>
      </c>
      <c r="N5972">
        <v>0.73699999999999999</v>
      </c>
    </row>
    <row r="5973" spans="1:14">
      <c r="A5973" t="s">
        <v>143</v>
      </c>
      <c r="B5973" t="str">
        <f>_xlfn.XLOOKUP(A5973,'[1]Tissue Data'!$A:$A,'[1]Tissue Data'!$C:$C)</f>
        <v>Spill</v>
      </c>
      <c r="C5973" s="2">
        <f>_xlfn.XLOOKUP(A5973,'[1]Tissue Data'!$A:$A,'[1]Tissue Data'!$D:$D)</f>
        <v>44393</v>
      </c>
      <c r="D5973" s="2" t="s">
        <v>131</v>
      </c>
      <c r="E5973" t="str">
        <f>_xlfn.XLOOKUP(A5973,'[1]Tissue Data'!$A:$A,'[1]Tissue Data'!$H:$H)</f>
        <v>Clinostomus</v>
      </c>
      <c r="F5973" t="str">
        <f>_xlfn.XLOOKUP(A5973,'[1]Tissue Data'!$A:$A,'[1]Tissue Data'!$I:$I)</f>
        <v>funduloides</v>
      </c>
      <c r="G5973" t="str">
        <f>_xlfn.XLOOKUP(A5973,'[1]Tissue Data'!$A:$A,'[1]Tissue Data'!J:J)</f>
        <v>U</v>
      </c>
      <c r="H5973" t="str">
        <f>_xlfn.XLOOKUP(A5973,'[1]Tissue Data'!$A:$A,'[1]Tissue Data'!K:K)</f>
        <v>Whole Body</v>
      </c>
      <c r="I5973">
        <f>_xlfn.XLOOKUP(A5973,'[1]Tissue Data'!$A:$A,'[1]Tissue Data'!L:L)</f>
        <v>9</v>
      </c>
      <c r="J5973">
        <f>_xlfn.XLOOKUP(A5973,'[1]Tissue Data'!$A:$A,'[1]Tissue Data'!M:M)</f>
        <v>10.02</v>
      </c>
      <c r="K5973" t="s">
        <v>33</v>
      </c>
      <c r="L5973" t="str">
        <f>_xlfn.XLOOKUP(K5973,[2]analyte_order!$B:$B,[2]analyte_order!$C:$C)</f>
        <v>777011-38-8</v>
      </c>
      <c r="M5973">
        <f>_xlfn.XLOOKUP(L5973,[2]analyte_order!$C:$C,[2]analyte_order!$E:$E)</f>
        <v>54</v>
      </c>
      <c r="N5973">
        <v>0.35899999999999999</v>
      </c>
    </row>
    <row r="5974" spans="1:14">
      <c r="A5974" t="s">
        <v>143</v>
      </c>
      <c r="B5974" t="str">
        <f>_xlfn.XLOOKUP(A5974,'[1]Tissue Data'!$A:$A,'[1]Tissue Data'!$C:$C)</f>
        <v>Spill</v>
      </c>
      <c r="C5974" s="2">
        <f>_xlfn.XLOOKUP(A5974,'[1]Tissue Data'!$A:$A,'[1]Tissue Data'!$D:$D)</f>
        <v>44393</v>
      </c>
      <c r="D5974" s="2" t="s">
        <v>131</v>
      </c>
      <c r="E5974" t="str">
        <f>_xlfn.XLOOKUP(A5974,'[1]Tissue Data'!$A:$A,'[1]Tissue Data'!$H:$H)</f>
        <v>Clinostomus</v>
      </c>
      <c r="F5974" t="str">
        <f>_xlfn.XLOOKUP(A5974,'[1]Tissue Data'!$A:$A,'[1]Tissue Data'!$I:$I)</f>
        <v>funduloides</v>
      </c>
      <c r="G5974" t="str">
        <f>_xlfn.XLOOKUP(A5974,'[1]Tissue Data'!$A:$A,'[1]Tissue Data'!J:J)</f>
        <v>U</v>
      </c>
      <c r="H5974" t="str">
        <f>_xlfn.XLOOKUP(A5974,'[1]Tissue Data'!$A:$A,'[1]Tissue Data'!K:K)</f>
        <v>Whole Body</v>
      </c>
      <c r="I5974">
        <f>_xlfn.XLOOKUP(A5974,'[1]Tissue Data'!$A:$A,'[1]Tissue Data'!L:L)</f>
        <v>9</v>
      </c>
      <c r="J5974">
        <f>_xlfn.XLOOKUP(A5974,'[1]Tissue Data'!$A:$A,'[1]Tissue Data'!M:M)</f>
        <v>10.02</v>
      </c>
      <c r="K5974" t="s">
        <v>34</v>
      </c>
      <c r="L5974" t="str">
        <f>_xlfn.XLOOKUP(K5974,[2]analyte_order!$B:$B,[2]analyte_order!$C:$C)</f>
        <v>646-83-3</v>
      </c>
      <c r="M5974">
        <f>_xlfn.XLOOKUP(L5974,[2]analyte_order!$C:$C,[2]analyte_order!$E:$E)</f>
        <v>55</v>
      </c>
      <c r="N5974">
        <v>0.246</v>
      </c>
    </row>
    <row r="5975" spans="1:14">
      <c r="A5975" t="s">
        <v>143</v>
      </c>
      <c r="B5975" t="str">
        <f>_xlfn.XLOOKUP(A5975,'[1]Tissue Data'!$A:$A,'[1]Tissue Data'!$C:$C)</f>
        <v>Spill</v>
      </c>
      <c r="C5975" s="2">
        <f>_xlfn.XLOOKUP(A5975,'[1]Tissue Data'!$A:$A,'[1]Tissue Data'!$D:$D)</f>
        <v>44393</v>
      </c>
      <c r="D5975" s="2" t="s">
        <v>131</v>
      </c>
      <c r="E5975" t="str">
        <f>_xlfn.XLOOKUP(A5975,'[1]Tissue Data'!$A:$A,'[1]Tissue Data'!$H:$H)</f>
        <v>Clinostomus</v>
      </c>
      <c r="F5975" t="str">
        <f>_xlfn.XLOOKUP(A5975,'[1]Tissue Data'!$A:$A,'[1]Tissue Data'!$I:$I)</f>
        <v>funduloides</v>
      </c>
      <c r="G5975" t="str">
        <f>_xlfn.XLOOKUP(A5975,'[1]Tissue Data'!$A:$A,'[1]Tissue Data'!J:J)</f>
        <v>U</v>
      </c>
      <c r="H5975" t="str">
        <f>_xlfn.XLOOKUP(A5975,'[1]Tissue Data'!$A:$A,'[1]Tissue Data'!K:K)</f>
        <v>Whole Body</v>
      </c>
      <c r="I5975">
        <f>_xlfn.XLOOKUP(A5975,'[1]Tissue Data'!$A:$A,'[1]Tissue Data'!L:L)</f>
        <v>9</v>
      </c>
      <c r="J5975">
        <f>_xlfn.XLOOKUP(A5975,'[1]Tissue Data'!$A:$A,'[1]Tissue Data'!M:M)</f>
        <v>10.02</v>
      </c>
      <c r="K5975" t="s">
        <v>35</v>
      </c>
      <c r="L5975" t="str">
        <f>_xlfn.XLOOKUP(K5975,[2]analyte_order!$B:$B,[2]analyte_order!$C:$C)</f>
        <v>30334-69-1</v>
      </c>
      <c r="M5975">
        <f>_xlfn.XLOOKUP(L5975,[2]analyte_order!$C:$C,[2]analyte_order!$E:$E)</f>
        <v>51</v>
      </c>
      <c r="N5975">
        <v>28.3</v>
      </c>
    </row>
    <row r="5976" spans="1:14">
      <c r="A5976" t="s">
        <v>143</v>
      </c>
      <c r="B5976" t="str">
        <f>_xlfn.XLOOKUP(A5976,'[1]Tissue Data'!$A:$A,'[1]Tissue Data'!$C:$C)</f>
        <v>Spill</v>
      </c>
      <c r="C5976" s="2">
        <f>_xlfn.XLOOKUP(A5976,'[1]Tissue Data'!$A:$A,'[1]Tissue Data'!$D:$D)</f>
        <v>44393</v>
      </c>
      <c r="D5976" s="2" t="s">
        <v>131</v>
      </c>
      <c r="E5976" t="str">
        <f>_xlfn.XLOOKUP(A5976,'[1]Tissue Data'!$A:$A,'[1]Tissue Data'!$H:$H)</f>
        <v>Clinostomus</v>
      </c>
      <c r="F5976" t="str">
        <f>_xlfn.XLOOKUP(A5976,'[1]Tissue Data'!$A:$A,'[1]Tissue Data'!$I:$I)</f>
        <v>funduloides</v>
      </c>
      <c r="G5976" t="str">
        <f>_xlfn.XLOOKUP(A5976,'[1]Tissue Data'!$A:$A,'[1]Tissue Data'!J:J)</f>
        <v>U</v>
      </c>
      <c r="H5976" t="str">
        <f>_xlfn.XLOOKUP(A5976,'[1]Tissue Data'!$A:$A,'[1]Tissue Data'!K:K)</f>
        <v>Whole Body</v>
      </c>
      <c r="I5976">
        <f>_xlfn.XLOOKUP(A5976,'[1]Tissue Data'!$A:$A,'[1]Tissue Data'!L:L)</f>
        <v>9</v>
      </c>
      <c r="J5976">
        <f>_xlfn.XLOOKUP(A5976,'[1]Tissue Data'!$A:$A,'[1]Tissue Data'!M:M)</f>
        <v>10.02</v>
      </c>
      <c r="K5976" t="s">
        <v>36</v>
      </c>
      <c r="L5976" t="str">
        <f>_xlfn.XLOOKUP(K5976,[2]analyte_order!$B:$B,[2]analyte_order!$C:$C)</f>
        <v>41997-13-1</v>
      </c>
      <c r="M5976">
        <f>_xlfn.XLOOKUP(L5976,[2]analyte_order!$C:$C,[2]analyte_order!$E:$E)</f>
        <v>52</v>
      </c>
      <c r="N5976">
        <v>98.8</v>
      </c>
    </row>
    <row r="5977" spans="1:14">
      <c r="A5977" t="s">
        <v>143</v>
      </c>
      <c r="B5977" t="str">
        <f>_xlfn.XLOOKUP(A5977,'[1]Tissue Data'!$A:$A,'[1]Tissue Data'!$C:$C)</f>
        <v>Spill</v>
      </c>
      <c r="C5977" s="2">
        <f>_xlfn.XLOOKUP(A5977,'[1]Tissue Data'!$A:$A,'[1]Tissue Data'!$D:$D)</f>
        <v>44393</v>
      </c>
      <c r="D5977" s="2" t="s">
        <v>131</v>
      </c>
      <c r="E5977" t="str">
        <f>_xlfn.XLOOKUP(A5977,'[1]Tissue Data'!$A:$A,'[1]Tissue Data'!$H:$H)</f>
        <v>Clinostomus</v>
      </c>
      <c r="F5977" t="str">
        <f>_xlfn.XLOOKUP(A5977,'[1]Tissue Data'!$A:$A,'[1]Tissue Data'!$I:$I)</f>
        <v>funduloides</v>
      </c>
      <c r="G5977" t="str">
        <f>_xlfn.XLOOKUP(A5977,'[1]Tissue Data'!$A:$A,'[1]Tissue Data'!J:J)</f>
        <v>U</v>
      </c>
      <c r="H5977" t="str">
        <f>_xlfn.XLOOKUP(A5977,'[1]Tissue Data'!$A:$A,'[1]Tissue Data'!K:K)</f>
        <v>Whole Body</v>
      </c>
      <c r="I5977">
        <f>_xlfn.XLOOKUP(A5977,'[1]Tissue Data'!$A:$A,'[1]Tissue Data'!L:L)</f>
        <v>9</v>
      </c>
      <c r="J5977">
        <f>_xlfn.XLOOKUP(A5977,'[1]Tissue Data'!$A:$A,'[1]Tissue Data'!M:M)</f>
        <v>10.02</v>
      </c>
      <c r="K5977" t="s">
        <v>37</v>
      </c>
      <c r="L5977" t="str">
        <f>_xlfn.XLOOKUP(K5977,[2]analyte_order!$B:$B,[2]analyte_order!$C:$C)</f>
        <v>754-91-6</v>
      </c>
      <c r="M5977">
        <f>_xlfn.XLOOKUP(L5977,[2]analyte_order!$C:$C,[2]analyte_order!$E:$E)</f>
        <v>28</v>
      </c>
      <c r="N5977">
        <v>5.0599999999999996</v>
      </c>
    </row>
    <row r="5978" spans="1:14">
      <c r="A5978" t="s">
        <v>143</v>
      </c>
      <c r="B5978" t="str">
        <f>_xlfn.XLOOKUP(A5978,'[1]Tissue Data'!$A:$A,'[1]Tissue Data'!$C:$C)</f>
        <v>Spill</v>
      </c>
      <c r="C5978" s="2">
        <f>_xlfn.XLOOKUP(A5978,'[1]Tissue Data'!$A:$A,'[1]Tissue Data'!$D:$D)</f>
        <v>44393</v>
      </c>
      <c r="D5978" s="2" t="s">
        <v>131</v>
      </c>
      <c r="E5978" t="str">
        <f>_xlfn.XLOOKUP(A5978,'[1]Tissue Data'!$A:$A,'[1]Tissue Data'!$H:$H)</f>
        <v>Clinostomus</v>
      </c>
      <c r="F5978" t="str">
        <f>_xlfn.XLOOKUP(A5978,'[1]Tissue Data'!$A:$A,'[1]Tissue Data'!$I:$I)</f>
        <v>funduloides</v>
      </c>
      <c r="G5978" t="str">
        <f>_xlfn.XLOOKUP(A5978,'[1]Tissue Data'!$A:$A,'[1]Tissue Data'!J:J)</f>
        <v>U</v>
      </c>
      <c r="H5978" t="str">
        <f>_xlfn.XLOOKUP(A5978,'[1]Tissue Data'!$A:$A,'[1]Tissue Data'!K:K)</f>
        <v>Whole Body</v>
      </c>
      <c r="I5978">
        <f>_xlfn.XLOOKUP(A5978,'[1]Tissue Data'!$A:$A,'[1]Tissue Data'!L:L)</f>
        <v>9</v>
      </c>
      <c r="J5978">
        <f>_xlfn.XLOOKUP(A5978,'[1]Tissue Data'!$A:$A,'[1]Tissue Data'!M:M)</f>
        <v>10.02</v>
      </c>
      <c r="K5978" t="s">
        <v>38</v>
      </c>
      <c r="L5978" t="str">
        <f>_xlfn.XLOOKUP(K5978,[2]analyte_order!$B:$B,[2]analyte_order!$C:$C)</f>
        <v>31506-32-8</v>
      </c>
      <c r="M5978">
        <f>_xlfn.XLOOKUP(L5978,[2]analyte_order!$C:$C,[2]analyte_order!$E:$E)</f>
        <v>30</v>
      </c>
      <c r="N5978">
        <v>8.3000000000000004E-2</v>
      </c>
    </row>
    <row r="5979" spans="1:14">
      <c r="A5979" t="s">
        <v>143</v>
      </c>
      <c r="B5979" t="str">
        <f>_xlfn.XLOOKUP(A5979,'[1]Tissue Data'!$A:$A,'[1]Tissue Data'!$C:$C)</f>
        <v>Spill</v>
      </c>
      <c r="C5979" s="2">
        <f>_xlfn.XLOOKUP(A5979,'[1]Tissue Data'!$A:$A,'[1]Tissue Data'!$D:$D)</f>
        <v>44393</v>
      </c>
      <c r="D5979" s="2" t="s">
        <v>131</v>
      </c>
      <c r="E5979" t="str">
        <f>_xlfn.XLOOKUP(A5979,'[1]Tissue Data'!$A:$A,'[1]Tissue Data'!$H:$H)</f>
        <v>Clinostomus</v>
      </c>
      <c r="F5979" t="str">
        <f>_xlfn.XLOOKUP(A5979,'[1]Tissue Data'!$A:$A,'[1]Tissue Data'!$I:$I)</f>
        <v>funduloides</v>
      </c>
      <c r="G5979" t="str">
        <f>_xlfn.XLOOKUP(A5979,'[1]Tissue Data'!$A:$A,'[1]Tissue Data'!J:J)</f>
        <v>U</v>
      </c>
      <c r="H5979" t="str">
        <f>_xlfn.XLOOKUP(A5979,'[1]Tissue Data'!$A:$A,'[1]Tissue Data'!K:K)</f>
        <v>Whole Body</v>
      </c>
      <c r="I5979">
        <f>_xlfn.XLOOKUP(A5979,'[1]Tissue Data'!$A:$A,'[1]Tissue Data'!L:L)</f>
        <v>9</v>
      </c>
      <c r="J5979">
        <f>_xlfn.XLOOKUP(A5979,'[1]Tissue Data'!$A:$A,'[1]Tissue Data'!M:M)</f>
        <v>10.02</v>
      </c>
      <c r="K5979" t="s">
        <v>39</v>
      </c>
      <c r="L5979" t="str">
        <f>_xlfn.XLOOKUP(K5979,[2]analyte_order!$B:$B,[2]analyte_order!$C:$C)</f>
        <v>4151-50-2</v>
      </c>
      <c r="M5979">
        <f>_xlfn.XLOOKUP(L5979,[2]analyte_order!$C:$C,[2]analyte_order!$E:$E)</f>
        <v>31</v>
      </c>
      <c r="N5979">
        <v>0.216</v>
      </c>
    </row>
    <row r="5980" spans="1:14">
      <c r="A5980" t="s">
        <v>143</v>
      </c>
      <c r="B5980" t="str">
        <f>_xlfn.XLOOKUP(A5980,'[1]Tissue Data'!$A:$A,'[1]Tissue Data'!$C:$C)</f>
        <v>Spill</v>
      </c>
      <c r="C5980" s="2">
        <f>_xlfn.XLOOKUP(A5980,'[1]Tissue Data'!$A:$A,'[1]Tissue Data'!$D:$D)</f>
        <v>44393</v>
      </c>
      <c r="D5980" s="2" t="s">
        <v>131</v>
      </c>
      <c r="E5980" t="str">
        <f>_xlfn.XLOOKUP(A5980,'[1]Tissue Data'!$A:$A,'[1]Tissue Data'!$H:$H)</f>
        <v>Clinostomus</v>
      </c>
      <c r="F5980" t="str">
        <f>_xlfn.XLOOKUP(A5980,'[1]Tissue Data'!$A:$A,'[1]Tissue Data'!$I:$I)</f>
        <v>funduloides</v>
      </c>
      <c r="G5980" t="str">
        <f>_xlfn.XLOOKUP(A5980,'[1]Tissue Data'!$A:$A,'[1]Tissue Data'!J:J)</f>
        <v>U</v>
      </c>
      <c r="H5980" t="str">
        <f>_xlfn.XLOOKUP(A5980,'[1]Tissue Data'!$A:$A,'[1]Tissue Data'!K:K)</f>
        <v>Whole Body</v>
      </c>
      <c r="I5980">
        <f>_xlfn.XLOOKUP(A5980,'[1]Tissue Data'!$A:$A,'[1]Tissue Data'!L:L)</f>
        <v>9</v>
      </c>
      <c r="J5980">
        <f>_xlfn.XLOOKUP(A5980,'[1]Tissue Data'!$A:$A,'[1]Tissue Data'!M:M)</f>
        <v>10.02</v>
      </c>
      <c r="K5980" t="s">
        <v>40</v>
      </c>
      <c r="L5980" t="str">
        <f>_xlfn.XLOOKUP(K5980,[2]analyte_order!$B:$B,[2]analyte_order!$C:$C)</f>
        <v>2806-24-8</v>
      </c>
      <c r="M5980">
        <f>_xlfn.XLOOKUP(L5980,[2]analyte_order!$C:$C,[2]analyte_order!$E:$E)</f>
        <v>29</v>
      </c>
      <c r="N5980">
        <v>0.216</v>
      </c>
    </row>
    <row r="5981" spans="1:14">
      <c r="A5981" t="s">
        <v>143</v>
      </c>
      <c r="B5981" t="str">
        <f>_xlfn.XLOOKUP(A5981,'[1]Tissue Data'!$A:$A,'[1]Tissue Data'!$C:$C)</f>
        <v>Spill</v>
      </c>
      <c r="C5981" s="2">
        <f>_xlfn.XLOOKUP(A5981,'[1]Tissue Data'!$A:$A,'[1]Tissue Data'!$D:$D)</f>
        <v>44393</v>
      </c>
      <c r="D5981" s="2" t="s">
        <v>131</v>
      </c>
      <c r="E5981" t="str">
        <f>_xlfn.XLOOKUP(A5981,'[1]Tissue Data'!$A:$A,'[1]Tissue Data'!$H:$H)</f>
        <v>Clinostomus</v>
      </c>
      <c r="F5981" t="str">
        <f>_xlfn.XLOOKUP(A5981,'[1]Tissue Data'!$A:$A,'[1]Tissue Data'!$I:$I)</f>
        <v>funduloides</v>
      </c>
      <c r="G5981" t="str">
        <f>_xlfn.XLOOKUP(A5981,'[1]Tissue Data'!$A:$A,'[1]Tissue Data'!J:J)</f>
        <v>U</v>
      </c>
      <c r="H5981" t="str">
        <f>_xlfn.XLOOKUP(A5981,'[1]Tissue Data'!$A:$A,'[1]Tissue Data'!K:K)</f>
        <v>Whole Body</v>
      </c>
      <c r="I5981">
        <f>_xlfn.XLOOKUP(A5981,'[1]Tissue Data'!$A:$A,'[1]Tissue Data'!L:L)</f>
        <v>9</v>
      </c>
      <c r="J5981">
        <f>_xlfn.XLOOKUP(A5981,'[1]Tissue Data'!$A:$A,'[1]Tissue Data'!M:M)</f>
        <v>10.02</v>
      </c>
      <c r="K5981" t="s">
        <v>41</v>
      </c>
      <c r="L5981" t="str">
        <f>_xlfn.XLOOKUP(K5981,[2]analyte_order!$B:$B,[2]analyte_order!$C:$C)</f>
        <v>2355-31-9</v>
      </c>
      <c r="M5981">
        <f>_xlfn.XLOOKUP(L5981,[2]analyte_order!$C:$C,[2]analyte_order!$E:$E)</f>
        <v>26</v>
      </c>
      <c r="N5981">
        <v>0.1085</v>
      </c>
    </row>
    <row r="5982" spans="1:14">
      <c r="A5982" t="s">
        <v>143</v>
      </c>
      <c r="B5982" t="str">
        <f>_xlfn.XLOOKUP(A5982,'[1]Tissue Data'!$A:$A,'[1]Tissue Data'!$C:$C)</f>
        <v>Spill</v>
      </c>
      <c r="C5982" s="2">
        <f>_xlfn.XLOOKUP(A5982,'[1]Tissue Data'!$A:$A,'[1]Tissue Data'!$D:$D)</f>
        <v>44393</v>
      </c>
      <c r="D5982" s="2" t="s">
        <v>131</v>
      </c>
      <c r="E5982" t="str">
        <f>_xlfn.XLOOKUP(A5982,'[1]Tissue Data'!$A:$A,'[1]Tissue Data'!$H:$H)</f>
        <v>Clinostomus</v>
      </c>
      <c r="F5982" t="str">
        <f>_xlfn.XLOOKUP(A5982,'[1]Tissue Data'!$A:$A,'[1]Tissue Data'!$I:$I)</f>
        <v>funduloides</v>
      </c>
      <c r="G5982" t="str">
        <f>_xlfn.XLOOKUP(A5982,'[1]Tissue Data'!$A:$A,'[1]Tissue Data'!J:J)</f>
        <v>U</v>
      </c>
      <c r="H5982" t="str">
        <f>_xlfn.XLOOKUP(A5982,'[1]Tissue Data'!$A:$A,'[1]Tissue Data'!K:K)</f>
        <v>Whole Body</v>
      </c>
      <c r="I5982">
        <f>_xlfn.XLOOKUP(A5982,'[1]Tissue Data'!$A:$A,'[1]Tissue Data'!L:L)</f>
        <v>9</v>
      </c>
      <c r="J5982">
        <f>_xlfn.XLOOKUP(A5982,'[1]Tissue Data'!$A:$A,'[1]Tissue Data'!M:M)</f>
        <v>10.02</v>
      </c>
      <c r="K5982" t="s">
        <v>42</v>
      </c>
      <c r="L5982" t="str">
        <f>_xlfn.XLOOKUP(K5982,[2]analyte_order!$B:$B,[2]analyte_order!$C:$C)</f>
        <v>2991-50-6</v>
      </c>
      <c r="M5982">
        <f>_xlfn.XLOOKUP(L5982,[2]analyte_order!$C:$C,[2]analyte_order!$E:$E)</f>
        <v>27</v>
      </c>
      <c r="N5982">
        <v>0.108</v>
      </c>
    </row>
    <row r="5983" spans="1:14">
      <c r="A5983" t="s">
        <v>143</v>
      </c>
      <c r="B5983" t="str">
        <f>_xlfn.XLOOKUP(A5983,'[1]Tissue Data'!$A:$A,'[1]Tissue Data'!$C:$C)</f>
        <v>Spill</v>
      </c>
      <c r="C5983" s="2">
        <f>_xlfn.XLOOKUP(A5983,'[1]Tissue Data'!$A:$A,'[1]Tissue Data'!$D:$D)</f>
        <v>44393</v>
      </c>
      <c r="D5983" s="2" t="s">
        <v>131</v>
      </c>
      <c r="E5983" t="str">
        <f>_xlfn.XLOOKUP(A5983,'[1]Tissue Data'!$A:$A,'[1]Tissue Data'!$H:$H)</f>
        <v>Clinostomus</v>
      </c>
      <c r="F5983" t="str">
        <f>_xlfn.XLOOKUP(A5983,'[1]Tissue Data'!$A:$A,'[1]Tissue Data'!$I:$I)</f>
        <v>funduloides</v>
      </c>
      <c r="G5983" t="str">
        <f>_xlfn.XLOOKUP(A5983,'[1]Tissue Data'!$A:$A,'[1]Tissue Data'!J:J)</f>
        <v>U</v>
      </c>
      <c r="H5983" t="str">
        <f>_xlfn.XLOOKUP(A5983,'[1]Tissue Data'!$A:$A,'[1]Tissue Data'!K:K)</f>
        <v>Whole Body</v>
      </c>
      <c r="I5983">
        <f>_xlfn.XLOOKUP(A5983,'[1]Tissue Data'!$A:$A,'[1]Tissue Data'!L:L)</f>
        <v>9</v>
      </c>
      <c r="J5983">
        <f>_xlfn.XLOOKUP(A5983,'[1]Tissue Data'!$A:$A,'[1]Tissue Data'!M:M)</f>
        <v>10.02</v>
      </c>
      <c r="K5983" t="s">
        <v>43</v>
      </c>
      <c r="L5983" t="str">
        <f>_xlfn.XLOOKUP(K5983,[2]analyte_order!$B:$B,[2]analyte_order!$C:$C)</f>
        <v>757124-72-4</v>
      </c>
      <c r="M5983">
        <f>_xlfn.XLOOKUP(L5983,[2]analyte_order!$C:$C,[2]analyte_order!$E:$E)</f>
        <v>22</v>
      </c>
      <c r="N5983">
        <v>0.108</v>
      </c>
    </row>
    <row r="5984" spans="1:14">
      <c r="A5984" t="s">
        <v>143</v>
      </c>
      <c r="B5984" t="str">
        <f>_xlfn.XLOOKUP(A5984,'[1]Tissue Data'!$A:$A,'[1]Tissue Data'!$C:$C)</f>
        <v>Spill</v>
      </c>
      <c r="C5984" s="2">
        <f>_xlfn.XLOOKUP(A5984,'[1]Tissue Data'!$A:$A,'[1]Tissue Data'!$D:$D)</f>
        <v>44393</v>
      </c>
      <c r="D5984" s="2" t="s">
        <v>131</v>
      </c>
      <c r="E5984" t="str">
        <f>_xlfn.XLOOKUP(A5984,'[1]Tissue Data'!$A:$A,'[1]Tissue Data'!$H:$H)</f>
        <v>Clinostomus</v>
      </c>
      <c r="F5984" t="str">
        <f>_xlfn.XLOOKUP(A5984,'[1]Tissue Data'!$A:$A,'[1]Tissue Data'!$I:$I)</f>
        <v>funduloides</v>
      </c>
      <c r="G5984" t="str">
        <f>_xlfn.XLOOKUP(A5984,'[1]Tissue Data'!$A:$A,'[1]Tissue Data'!J:J)</f>
        <v>U</v>
      </c>
      <c r="H5984" t="str">
        <f>_xlfn.XLOOKUP(A5984,'[1]Tissue Data'!$A:$A,'[1]Tissue Data'!K:K)</f>
        <v>Whole Body</v>
      </c>
      <c r="I5984">
        <f>_xlfn.XLOOKUP(A5984,'[1]Tissue Data'!$A:$A,'[1]Tissue Data'!L:L)</f>
        <v>9</v>
      </c>
      <c r="J5984">
        <f>_xlfn.XLOOKUP(A5984,'[1]Tissue Data'!$A:$A,'[1]Tissue Data'!M:M)</f>
        <v>10.02</v>
      </c>
      <c r="K5984" t="s">
        <v>44</v>
      </c>
      <c r="L5984" t="str">
        <f>_xlfn.XLOOKUP(K5984,[2]analyte_order!$B:$B,[2]analyte_order!$C:$C)</f>
        <v>27619-97-2</v>
      </c>
      <c r="M5984">
        <f>_xlfn.XLOOKUP(L5984,[2]analyte_order!$C:$C,[2]analyte_order!$E:$E)</f>
        <v>23</v>
      </c>
      <c r="N5984">
        <v>0.216</v>
      </c>
    </row>
    <row r="5985" spans="1:14">
      <c r="A5985" t="s">
        <v>143</v>
      </c>
      <c r="B5985" t="str">
        <f>_xlfn.XLOOKUP(A5985,'[1]Tissue Data'!$A:$A,'[1]Tissue Data'!$C:$C)</f>
        <v>Spill</v>
      </c>
      <c r="C5985" s="2">
        <f>_xlfn.XLOOKUP(A5985,'[1]Tissue Data'!$A:$A,'[1]Tissue Data'!$D:$D)</f>
        <v>44393</v>
      </c>
      <c r="D5985" s="2" t="s">
        <v>131</v>
      </c>
      <c r="E5985" t="str">
        <f>_xlfn.XLOOKUP(A5985,'[1]Tissue Data'!$A:$A,'[1]Tissue Data'!$H:$H)</f>
        <v>Clinostomus</v>
      </c>
      <c r="F5985" t="str">
        <f>_xlfn.XLOOKUP(A5985,'[1]Tissue Data'!$A:$A,'[1]Tissue Data'!$I:$I)</f>
        <v>funduloides</v>
      </c>
      <c r="G5985" t="str">
        <f>_xlfn.XLOOKUP(A5985,'[1]Tissue Data'!$A:$A,'[1]Tissue Data'!J:J)</f>
        <v>U</v>
      </c>
      <c r="H5985" t="str">
        <f>_xlfn.XLOOKUP(A5985,'[1]Tissue Data'!$A:$A,'[1]Tissue Data'!K:K)</f>
        <v>Whole Body</v>
      </c>
      <c r="I5985">
        <f>_xlfn.XLOOKUP(A5985,'[1]Tissue Data'!$A:$A,'[1]Tissue Data'!L:L)</f>
        <v>9</v>
      </c>
      <c r="J5985">
        <f>_xlfn.XLOOKUP(A5985,'[1]Tissue Data'!$A:$A,'[1]Tissue Data'!M:M)</f>
        <v>10.02</v>
      </c>
      <c r="K5985" t="s">
        <v>45</v>
      </c>
      <c r="L5985" t="str">
        <f>_xlfn.XLOOKUP(K5985,[2]analyte_order!$B:$B,[2]analyte_order!$C:$C)</f>
        <v>39108-34-4</v>
      </c>
      <c r="M5985">
        <f>_xlfn.XLOOKUP(L5985,[2]analyte_order!$C:$C,[2]analyte_order!$E:$E)</f>
        <v>24</v>
      </c>
      <c r="N5985">
        <v>8.64</v>
      </c>
    </row>
    <row r="5986" spans="1:14">
      <c r="A5986" t="s">
        <v>143</v>
      </c>
      <c r="B5986" t="str">
        <f>_xlfn.XLOOKUP(A5986,'[1]Tissue Data'!$A:$A,'[1]Tissue Data'!$C:$C)</f>
        <v>Spill</v>
      </c>
      <c r="C5986" s="2">
        <f>_xlfn.XLOOKUP(A5986,'[1]Tissue Data'!$A:$A,'[1]Tissue Data'!$D:$D)</f>
        <v>44393</v>
      </c>
      <c r="D5986" s="2" t="s">
        <v>131</v>
      </c>
      <c r="E5986" t="str">
        <f>_xlfn.XLOOKUP(A5986,'[1]Tissue Data'!$A:$A,'[1]Tissue Data'!$H:$H)</f>
        <v>Clinostomus</v>
      </c>
      <c r="F5986" t="str">
        <f>_xlfn.XLOOKUP(A5986,'[1]Tissue Data'!$A:$A,'[1]Tissue Data'!$I:$I)</f>
        <v>funduloides</v>
      </c>
      <c r="G5986" t="str">
        <f>_xlfn.XLOOKUP(A5986,'[1]Tissue Data'!$A:$A,'[1]Tissue Data'!J:J)</f>
        <v>U</v>
      </c>
      <c r="H5986" t="str">
        <f>_xlfn.XLOOKUP(A5986,'[1]Tissue Data'!$A:$A,'[1]Tissue Data'!K:K)</f>
        <v>Whole Body</v>
      </c>
      <c r="I5986">
        <f>_xlfn.XLOOKUP(A5986,'[1]Tissue Data'!$A:$A,'[1]Tissue Data'!L:L)</f>
        <v>9</v>
      </c>
      <c r="J5986">
        <f>_xlfn.XLOOKUP(A5986,'[1]Tissue Data'!$A:$A,'[1]Tissue Data'!M:M)</f>
        <v>10.02</v>
      </c>
      <c r="K5986" t="s">
        <v>46</v>
      </c>
      <c r="L5986" t="str">
        <f>_xlfn.XLOOKUP(K5986,[2]analyte_order!$B:$B,[2]analyte_order!$C:$C)</f>
        <v>120226-60-0</v>
      </c>
      <c r="M5986">
        <f>_xlfn.XLOOKUP(L5986,[2]analyte_order!$C:$C,[2]analyte_order!$E:$E)</f>
        <v>25</v>
      </c>
      <c r="N5986">
        <v>0.432</v>
      </c>
    </row>
    <row r="5987" spans="1:14">
      <c r="A5987" t="s">
        <v>143</v>
      </c>
      <c r="B5987" t="str">
        <f>_xlfn.XLOOKUP(A5987,'[1]Tissue Data'!$A:$A,'[1]Tissue Data'!$C:$C)</f>
        <v>Spill</v>
      </c>
      <c r="C5987" s="2">
        <f>_xlfn.XLOOKUP(A5987,'[1]Tissue Data'!$A:$A,'[1]Tissue Data'!$D:$D)</f>
        <v>44393</v>
      </c>
      <c r="D5987" s="2" t="s">
        <v>131</v>
      </c>
      <c r="E5987" t="str">
        <f>_xlfn.XLOOKUP(A5987,'[1]Tissue Data'!$A:$A,'[1]Tissue Data'!$H:$H)</f>
        <v>Clinostomus</v>
      </c>
      <c r="F5987" t="str">
        <f>_xlfn.XLOOKUP(A5987,'[1]Tissue Data'!$A:$A,'[1]Tissue Data'!$I:$I)</f>
        <v>funduloides</v>
      </c>
      <c r="G5987" t="str">
        <f>_xlfn.XLOOKUP(A5987,'[1]Tissue Data'!$A:$A,'[1]Tissue Data'!J:J)</f>
        <v>U</v>
      </c>
      <c r="H5987" t="str">
        <f>_xlfn.XLOOKUP(A5987,'[1]Tissue Data'!$A:$A,'[1]Tissue Data'!K:K)</f>
        <v>Whole Body</v>
      </c>
      <c r="I5987">
        <f>_xlfn.XLOOKUP(A5987,'[1]Tissue Data'!$A:$A,'[1]Tissue Data'!L:L)</f>
        <v>9</v>
      </c>
      <c r="J5987">
        <f>_xlfn.XLOOKUP(A5987,'[1]Tissue Data'!$A:$A,'[1]Tissue Data'!M:M)</f>
        <v>10.02</v>
      </c>
      <c r="K5987" t="s">
        <v>47</v>
      </c>
      <c r="L5987" t="str">
        <f>_xlfn.XLOOKUP(K5987,[2]analyte_order!$B:$B,[2]analyte_order!$C:$C)</f>
        <v>356-02-5</v>
      </c>
      <c r="M5987">
        <f>_xlfn.XLOOKUP(L5987,[2]analyte_order!$C:$C,[2]analyte_order!$E:$E)</f>
        <v>38</v>
      </c>
      <c r="N5987">
        <v>0.216</v>
      </c>
    </row>
    <row r="5988" spans="1:14">
      <c r="A5988" t="s">
        <v>143</v>
      </c>
      <c r="B5988" t="str">
        <f>_xlfn.XLOOKUP(A5988,'[1]Tissue Data'!$A:$A,'[1]Tissue Data'!$C:$C)</f>
        <v>Spill</v>
      </c>
      <c r="C5988" s="2">
        <f>_xlfn.XLOOKUP(A5988,'[1]Tissue Data'!$A:$A,'[1]Tissue Data'!$D:$D)</f>
        <v>44393</v>
      </c>
      <c r="D5988" s="2" t="s">
        <v>131</v>
      </c>
      <c r="E5988" t="str">
        <f>_xlfn.XLOOKUP(A5988,'[1]Tissue Data'!$A:$A,'[1]Tissue Data'!$H:$H)</f>
        <v>Clinostomus</v>
      </c>
      <c r="F5988" t="str">
        <f>_xlfn.XLOOKUP(A5988,'[1]Tissue Data'!$A:$A,'[1]Tissue Data'!$I:$I)</f>
        <v>funduloides</v>
      </c>
      <c r="G5988" t="str">
        <f>_xlfn.XLOOKUP(A5988,'[1]Tissue Data'!$A:$A,'[1]Tissue Data'!J:J)</f>
        <v>U</v>
      </c>
      <c r="H5988" t="str">
        <f>_xlfn.XLOOKUP(A5988,'[1]Tissue Data'!$A:$A,'[1]Tissue Data'!K:K)</f>
        <v>Whole Body</v>
      </c>
      <c r="I5988">
        <f>_xlfn.XLOOKUP(A5988,'[1]Tissue Data'!$A:$A,'[1]Tissue Data'!L:L)</f>
        <v>9</v>
      </c>
      <c r="J5988">
        <f>_xlfn.XLOOKUP(A5988,'[1]Tissue Data'!$A:$A,'[1]Tissue Data'!M:M)</f>
        <v>10.02</v>
      </c>
      <c r="K5988" t="s">
        <v>48</v>
      </c>
      <c r="L5988" t="str">
        <f>_xlfn.XLOOKUP(K5988,[2]analyte_order!$B:$B,[2]analyte_order!$C:$C)</f>
        <v>914637-49-3</v>
      </c>
      <c r="M5988">
        <f>_xlfn.XLOOKUP(L5988,[2]analyte_order!$C:$C,[2]analyte_order!$E:$E)</f>
        <v>39</v>
      </c>
      <c r="N5988">
        <v>0.108</v>
      </c>
    </row>
    <row r="5989" spans="1:14">
      <c r="A5989" t="s">
        <v>143</v>
      </c>
      <c r="B5989" t="str">
        <f>_xlfn.XLOOKUP(A5989,'[1]Tissue Data'!$A:$A,'[1]Tissue Data'!$C:$C)</f>
        <v>Spill</v>
      </c>
      <c r="C5989" s="2">
        <f>_xlfn.XLOOKUP(A5989,'[1]Tissue Data'!$A:$A,'[1]Tissue Data'!$D:$D)</f>
        <v>44393</v>
      </c>
      <c r="D5989" s="2" t="s">
        <v>131</v>
      </c>
      <c r="E5989" t="str">
        <f>_xlfn.XLOOKUP(A5989,'[1]Tissue Data'!$A:$A,'[1]Tissue Data'!$H:$H)</f>
        <v>Clinostomus</v>
      </c>
      <c r="F5989" t="str">
        <f>_xlfn.XLOOKUP(A5989,'[1]Tissue Data'!$A:$A,'[1]Tissue Data'!$I:$I)</f>
        <v>funduloides</v>
      </c>
      <c r="G5989" t="str">
        <f>_xlfn.XLOOKUP(A5989,'[1]Tissue Data'!$A:$A,'[1]Tissue Data'!J:J)</f>
        <v>U</v>
      </c>
      <c r="H5989" t="str">
        <f>_xlfn.XLOOKUP(A5989,'[1]Tissue Data'!$A:$A,'[1]Tissue Data'!K:K)</f>
        <v>Whole Body</v>
      </c>
      <c r="I5989">
        <f>_xlfn.XLOOKUP(A5989,'[1]Tissue Data'!$A:$A,'[1]Tissue Data'!L:L)</f>
        <v>9</v>
      </c>
      <c r="J5989">
        <f>_xlfn.XLOOKUP(A5989,'[1]Tissue Data'!$A:$A,'[1]Tissue Data'!M:M)</f>
        <v>10.02</v>
      </c>
      <c r="K5989" t="s">
        <v>49</v>
      </c>
      <c r="L5989" t="str">
        <f>_xlfn.XLOOKUP(K5989,[2]analyte_order!$B:$B,[2]analyte_order!$C:$C)</f>
        <v>812-70-4</v>
      </c>
      <c r="M5989">
        <f>_xlfn.XLOOKUP(L5989,[2]analyte_order!$C:$C,[2]analyte_order!$E:$E)</f>
        <v>40</v>
      </c>
      <c r="N5989">
        <v>0.216</v>
      </c>
    </row>
    <row r="5990" spans="1:14">
      <c r="A5990" t="s">
        <v>143</v>
      </c>
      <c r="B5990" t="str">
        <f>_xlfn.XLOOKUP(A5990,'[1]Tissue Data'!$A:$A,'[1]Tissue Data'!$C:$C)</f>
        <v>Spill</v>
      </c>
      <c r="C5990" s="2">
        <f>_xlfn.XLOOKUP(A5990,'[1]Tissue Data'!$A:$A,'[1]Tissue Data'!$D:$D)</f>
        <v>44393</v>
      </c>
      <c r="D5990" s="2" t="s">
        <v>131</v>
      </c>
      <c r="E5990" t="str">
        <f>_xlfn.XLOOKUP(A5990,'[1]Tissue Data'!$A:$A,'[1]Tissue Data'!$H:$H)</f>
        <v>Clinostomus</v>
      </c>
      <c r="F5990" t="str">
        <f>_xlfn.XLOOKUP(A5990,'[1]Tissue Data'!$A:$A,'[1]Tissue Data'!$I:$I)</f>
        <v>funduloides</v>
      </c>
      <c r="G5990" t="str">
        <f>_xlfn.XLOOKUP(A5990,'[1]Tissue Data'!$A:$A,'[1]Tissue Data'!J:J)</f>
        <v>U</v>
      </c>
      <c r="H5990" t="str">
        <f>_xlfn.XLOOKUP(A5990,'[1]Tissue Data'!$A:$A,'[1]Tissue Data'!K:K)</f>
        <v>Whole Body</v>
      </c>
      <c r="I5990">
        <f>_xlfn.XLOOKUP(A5990,'[1]Tissue Data'!$A:$A,'[1]Tissue Data'!L:L)</f>
        <v>9</v>
      </c>
      <c r="J5990">
        <f>_xlfn.XLOOKUP(A5990,'[1]Tissue Data'!$A:$A,'[1]Tissue Data'!M:M)</f>
        <v>10.02</v>
      </c>
      <c r="K5990" t="s">
        <v>50</v>
      </c>
      <c r="L5990" t="str">
        <f>_xlfn.XLOOKUP(K5990,[2]analyte_order!$B:$B,[2]analyte_order!$C:$C)</f>
        <v>53826-12-3</v>
      </c>
      <c r="M5990">
        <f>_xlfn.XLOOKUP(L5990,[2]analyte_order!$C:$C,[2]analyte_order!$E:$E)</f>
        <v>41</v>
      </c>
      <c r="N5990">
        <v>0.216</v>
      </c>
    </row>
    <row r="5991" spans="1:14">
      <c r="A5991" t="s">
        <v>143</v>
      </c>
      <c r="B5991" t="str">
        <f>_xlfn.XLOOKUP(A5991,'[1]Tissue Data'!$A:$A,'[1]Tissue Data'!$C:$C)</f>
        <v>Spill</v>
      </c>
      <c r="C5991" s="2">
        <f>_xlfn.XLOOKUP(A5991,'[1]Tissue Data'!$A:$A,'[1]Tissue Data'!$D:$D)</f>
        <v>44393</v>
      </c>
      <c r="D5991" s="2" t="s">
        <v>131</v>
      </c>
      <c r="E5991" t="str">
        <f>_xlfn.XLOOKUP(A5991,'[1]Tissue Data'!$A:$A,'[1]Tissue Data'!$H:$H)</f>
        <v>Clinostomus</v>
      </c>
      <c r="F5991" t="str">
        <f>_xlfn.XLOOKUP(A5991,'[1]Tissue Data'!$A:$A,'[1]Tissue Data'!$I:$I)</f>
        <v>funduloides</v>
      </c>
      <c r="G5991" t="str">
        <f>_xlfn.XLOOKUP(A5991,'[1]Tissue Data'!$A:$A,'[1]Tissue Data'!J:J)</f>
        <v>U</v>
      </c>
      <c r="H5991" t="str">
        <f>_xlfn.XLOOKUP(A5991,'[1]Tissue Data'!$A:$A,'[1]Tissue Data'!K:K)</f>
        <v>Whole Body</v>
      </c>
      <c r="I5991">
        <f>_xlfn.XLOOKUP(A5991,'[1]Tissue Data'!$A:$A,'[1]Tissue Data'!L:L)</f>
        <v>9</v>
      </c>
      <c r="J5991">
        <f>_xlfn.XLOOKUP(A5991,'[1]Tissue Data'!$A:$A,'[1]Tissue Data'!M:M)</f>
        <v>10.02</v>
      </c>
      <c r="K5991" t="s">
        <v>51</v>
      </c>
      <c r="L5991" t="str">
        <f>_xlfn.XLOOKUP(K5991,[2]analyte_order!$B:$B,[2]analyte_order!$C:$C)</f>
        <v>27854-31-5</v>
      </c>
      <c r="M5991">
        <f>_xlfn.XLOOKUP(L5991,[2]analyte_order!$C:$C,[2]analyte_order!$E:$E)</f>
        <v>42</v>
      </c>
      <c r="N5991">
        <v>0.108</v>
      </c>
    </row>
    <row r="5992" spans="1:14">
      <c r="A5992" t="s">
        <v>143</v>
      </c>
      <c r="B5992" t="str">
        <f>_xlfn.XLOOKUP(A5992,'[1]Tissue Data'!$A:$A,'[1]Tissue Data'!$C:$C)</f>
        <v>Spill</v>
      </c>
      <c r="C5992" s="2">
        <f>_xlfn.XLOOKUP(A5992,'[1]Tissue Data'!$A:$A,'[1]Tissue Data'!$D:$D)</f>
        <v>44393</v>
      </c>
      <c r="D5992" s="2" t="s">
        <v>131</v>
      </c>
      <c r="E5992" t="str">
        <f>_xlfn.XLOOKUP(A5992,'[1]Tissue Data'!$A:$A,'[1]Tissue Data'!$H:$H)</f>
        <v>Clinostomus</v>
      </c>
      <c r="F5992" t="str">
        <f>_xlfn.XLOOKUP(A5992,'[1]Tissue Data'!$A:$A,'[1]Tissue Data'!$I:$I)</f>
        <v>funduloides</v>
      </c>
      <c r="G5992" t="str">
        <f>_xlfn.XLOOKUP(A5992,'[1]Tissue Data'!$A:$A,'[1]Tissue Data'!J:J)</f>
        <v>U</v>
      </c>
      <c r="H5992" t="str">
        <f>_xlfn.XLOOKUP(A5992,'[1]Tissue Data'!$A:$A,'[1]Tissue Data'!K:K)</f>
        <v>Whole Body</v>
      </c>
      <c r="I5992">
        <f>_xlfn.XLOOKUP(A5992,'[1]Tissue Data'!$A:$A,'[1]Tissue Data'!L:L)</f>
        <v>9</v>
      </c>
      <c r="J5992">
        <f>_xlfn.XLOOKUP(A5992,'[1]Tissue Data'!$A:$A,'[1]Tissue Data'!M:M)</f>
        <v>10.02</v>
      </c>
      <c r="K5992" t="s">
        <v>52</v>
      </c>
      <c r="L5992" t="str">
        <f>_xlfn.XLOOKUP(K5992,[2]analyte_order!$B:$B,[2]analyte_order!$C:$C)</f>
        <v>53826-13-4</v>
      </c>
      <c r="M5992">
        <f>_xlfn.XLOOKUP(L5992,[2]analyte_order!$C:$C,[2]analyte_order!$E:$E)</f>
        <v>43</v>
      </c>
      <c r="N5992">
        <v>0.216</v>
      </c>
    </row>
    <row r="5993" spans="1:14">
      <c r="A5993" t="s">
        <v>143</v>
      </c>
      <c r="B5993" t="str">
        <f>_xlfn.XLOOKUP(A5993,'[1]Tissue Data'!$A:$A,'[1]Tissue Data'!$C:$C)</f>
        <v>Spill</v>
      </c>
      <c r="C5993" s="2">
        <f>_xlfn.XLOOKUP(A5993,'[1]Tissue Data'!$A:$A,'[1]Tissue Data'!$D:$D)</f>
        <v>44393</v>
      </c>
      <c r="D5993" s="2" t="s">
        <v>131</v>
      </c>
      <c r="E5993" t="str">
        <f>_xlfn.XLOOKUP(A5993,'[1]Tissue Data'!$A:$A,'[1]Tissue Data'!$H:$H)</f>
        <v>Clinostomus</v>
      </c>
      <c r="F5993" t="str">
        <f>_xlfn.XLOOKUP(A5993,'[1]Tissue Data'!$A:$A,'[1]Tissue Data'!$I:$I)</f>
        <v>funduloides</v>
      </c>
      <c r="G5993" t="str">
        <f>_xlfn.XLOOKUP(A5993,'[1]Tissue Data'!$A:$A,'[1]Tissue Data'!J:J)</f>
        <v>U</v>
      </c>
      <c r="H5993" t="str">
        <f>_xlfn.XLOOKUP(A5993,'[1]Tissue Data'!$A:$A,'[1]Tissue Data'!K:K)</f>
        <v>Whole Body</v>
      </c>
      <c r="I5993">
        <f>_xlfn.XLOOKUP(A5993,'[1]Tissue Data'!$A:$A,'[1]Tissue Data'!L:L)</f>
        <v>9</v>
      </c>
      <c r="J5993">
        <f>_xlfn.XLOOKUP(A5993,'[1]Tissue Data'!$A:$A,'[1]Tissue Data'!M:M)</f>
        <v>10.02</v>
      </c>
      <c r="K5993" t="s">
        <v>53</v>
      </c>
      <c r="L5993" t="str">
        <f>_xlfn.XLOOKUP(K5993,[2]analyte_order!$B:$B,[2]analyte_order!$C:$C)</f>
        <v>161094-75-3</v>
      </c>
      <c r="M5993">
        <f>_xlfn.XLOOKUP(L5993,[2]analyte_order!$C:$C,[2]analyte_order!$E:$E)</f>
        <v>44</v>
      </c>
      <c r="N5993">
        <v>8.5000000000000006E-2</v>
      </c>
    </row>
    <row r="5994" spans="1:14">
      <c r="A5994" t="s">
        <v>143</v>
      </c>
      <c r="B5994" t="str">
        <f>_xlfn.XLOOKUP(A5994,'[1]Tissue Data'!$A:$A,'[1]Tissue Data'!$C:$C)</f>
        <v>Spill</v>
      </c>
      <c r="C5994" s="2">
        <f>_xlfn.XLOOKUP(A5994,'[1]Tissue Data'!$A:$A,'[1]Tissue Data'!$D:$D)</f>
        <v>44393</v>
      </c>
      <c r="D5994" s="2" t="s">
        <v>131</v>
      </c>
      <c r="E5994" t="str">
        <f>_xlfn.XLOOKUP(A5994,'[1]Tissue Data'!$A:$A,'[1]Tissue Data'!$H:$H)</f>
        <v>Clinostomus</v>
      </c>
      <c r="F5994" t="str">
        <f>_xlfn.XLOOKUP(A5994,'[1]Tissue Data'!$A:$A,'[1]Tissue Data'!$I:$I)</f>
        <v>funduloides</v>
      </c>
      <c r="G5994" t="str">
        <f>_xlfn.XLOOKUP(A5994,'[1]Tissue Data'!$A:$A,'[1]Tissue Data'!J:J)</f>
        <v>U</v>
      </c>
      <c r="H5994" t="str">
        <f>_xlfn.XLOOKUP(A5994,'[1]Tissue Data'!$A:$A,'[1]Tissue Data'!K:K)</f>
        <v>Whole Body</v>
      </c>
      <c r="I5994">
        <f>_xlfn.XLOOKUP(A5994,'[1]Tissue Data'!$A:$A,'[1]Tissue Data'!L:L)</f>
        <v>9</v>
      </c>
      <c r="J5994">
        <f>_xlfn.XLOOKUP(A5994,'[1]Tissue Data'!$A:$A,'[1]Tissue Data'!M:M)</f>
        <v>10.02</v>
      </c>
      <c r="K5994" t="s">
        <v>54</v>
      </c>
      <c r="L5994" t="str">
        <f>_xlfn.XLOOKUP(K5994,[2]analyte_order!$B:$B,[2]analyte_order!$C:$C)</f>
        <v>70887-84-2</v>
      </c>
      <c r="M5994">
        <f>_xlfn.XLOOKUP(L5994,[2]analyte_order!$C:$C,[2]analyte_order!$E:$E)</f>
        <v>45</v>
      </c>
      <c r="N5994">
        <v>6.5000000000000002E-2</v>
      </c>
    </row>
    <row r="5995" spans="1:14">
      <c r="A5995" t="s">
        <v>143</v>
      </c>
      <c r="B5995" t="str">
        <f>_xlfn.XLOOKUP(A5995,'[1]Tissue Data'!$A:$A,'[1]Tissue Data'!$C:$C)</f>
        <v>Spill</v>
      </c>
      <c r="C5995" s="2">
        <f>_xlfn.XLOOKUP(A5995,'[1]Tissue Data'!$A:$A,'[1]Tissue Data'!$D:$D)</f>
        <v>44393</v>
      </c>
      <c r="D5995" s="2" t="s">
        <v>131</v>
      </c>
      <c r="E5995" t="str">
        <f>_xlfn.XLOOKUP(A5995,'[1]Tissue Data'!$A:$A,'[1]Tissue Data'!$H:$H)</f>
        <v>Clinostomus</v>
      </c>
      <c r="F5995" t="str">
        <f>_xlfn.XLOOKUP(A5995,'[1]Tissue Data'!$A:$A,'[1]Tissue Data'!$I:$I)</f>
        <v>funduloides</v>
      </c>
      <c r="G5995" t="str">
        <f>_xlfn.XLOOKUP(A5995,'[1]Tissue Data'!$A:$A,'[1]Tissue Data'!J:J)</f>
        <v>U</v>
      </c>
      <c r="H5995" t="str">
        <f>_xlfn.XLOOKUP(A5995,'[1]Tissue Data'!$A:$A,'[1]Tissue Data'!K:K)</f>
        <v>Whole Body</v>
      </c>
      <c r="I5995">
        <f>_xlfn.XLOOKUP(A5995,'[1]Tissue Data'!$A:$A,'[1]Tissue Data'!L:L)</f>
        <v>9</v>
      </c>
      <c r="J5995">
        <f>_xlfn.XLOOKUP(A5995,'[1]Tissue Data'!$A:$A,'[1]Tissue Data'!M:M)</f>
        <v>10.02</v>
      </c>
      <c r="K5995" t="s">
        <v>55</v>
      </c>
      <c r="L5995" t="str">
        <f>_xlfn.XLOOKUP(K5995,[2]analyte_order!$B:$B,[2]analyte_order!$C:$C)</f>
        <v>919005-14-4</v>
      </c>
      <c r="M5995">
        <f>_xlfn.XLOOKUP(L5995,[2]analyte_order!$C:$C,[2]analyte_order!$E:$E)</f>
        <v>35</v>
      </c>
      <c r="N5995">
        <v>9.5000000000000001E-2</v>
      </c>
    </row>
    <row r="5996" spans="1:14">
      <c r="A5996" t="s">
        <v>143</v>
      </c>
      <c r="B5996" t="str">
        <f>_xlfn.XLOOKUP(A5996,'[1]Tissue Data'!$A:$A,'[1]Tissue Data'!$C:$C)</f>
        <v>Spill</v>
      </c>
      <c r="C5996" s="2">
        <f>_xlfn.XLOOKUP(A5996,'[1]Tissue Data'!$A:$A,'[1]Tissue Data'!$D:$D)</f>
        <v>44393</v>
      </c>
      <c r="D5996" s="2" t="s">
        <v>131</v>
      </c>
      <c r="E5996" t="str">
        <f>_xlfn.XLOOKUP(A5996,'[1]Tissue Data'!$A:$A,'[1]Tissue Data'!$H:$H)</f>
        <v>Clinostomus</v>
      </c>
      <c r="F5996" t="str">
        <f>_xlfn.XLOOKUP(A5996,'[1]Tissue Data'!$A:$A,'[1]Tissue Data'!$I:$I)</f>
        <v>funduloides</v>
      </c>
      <c r="G5996" t="str">
        <f>_xlfn.XLOOKUP(A5996,'[1]Tissue Data'!$A:$A,'[1]Tissue Data'!J:J)</f>
        <v>U</v>
      </c>
      <c r="H5996" t="str">
        <f>_xlfn.XLOOKUP(A5996,'[1]Tissue Data'!$A:$A,'[1]Tissue Data'!K:K)</f>
        <v>Whole Body</v>
      </c>
      <c r="I5996">
        <f>_xlfn.XLOOKUP(A5996,'[1]Tissue Data'!$A:$A,'[1]Tissue Data'!L:L)</f>
        <v>9</v>
      </c>
      <c r="J5996">
        <f>_xlfn.XLOOKUP(A5996,'[1]Tissue Data'!$A:$A,'[1]Tissue Data'!M:M)</f>
        <v>10.02</v>
      </c>
      <c r="K5996" t="s">
        <v>56</v>
      </c>
      <c r="L5996" t="str">
        <f>_xlfn.XLOOKUP(K5996,[2]analyte_order!$B:$B,[2]analyte_order!$C:$C)</f>
        <v>756426-58-1</v>
      </c>
      <c r="M5996">
        <f>_xlfn.XLOOKUP(L5996,[2]analyte_order!$C:$C,[2]analyte_order!$E:$E)</f>
        <v>36</v>
      </c>
      <c r="N5996">
        <v>0.216</v>
      </c>
    </row>
    <row r="5997" spans="1:14">
      <c r="A5997" t="s">
        <v>143</v>
      </c>
      <c r="B5997" t="str">
        <f>_xlfn.XLOOKUP(A5997,'[1]Tissue Data'!$A:$A,'[1]Tissue Data'!$C:$C)</f>
        <v>Spill</v>
      </c>
      <c r="C5997" s="2">
        <f>_xlfn.XLOOKUP(A5997,'[1]Tissue Data'!$A:$A,'[1]Tissue Data'!$D:$D)</f>
        <v>44393</v>
      </c>
      <c r="D5997" s="2" t="s">
        <v>131</v>
      </c>
      <c r="E5997" t="str">
        <f>_xlfn.XLOOKUP(A5997,'[1]Tissue Data'!$A:$A,'[1]Tissue Data'!$H:$H)</f>
        <v>Clinostomus</v>
      </c>
      <c r="F5997" t="str">
        <f>_xlfn.XLOOKUP(A5997,'[1]Tissue Data'!$A:$A,'[1]Tissue Data'!$I:$I)</f>
        <v>funduloides</v>
      </c>
      <c r="G5997" t="str">
        <f>_xlfn.XLOOKUP(A5997,'[1]Tissue Data'!$A:$A,'[1]Tissue Data'!J:J)</f>
        <v>U</v>
      </c>
      <c r="H5997" t="str">
        <f>_xlfn.XLOOKUP(A5997,'[1]Tissue Data'!$A:$A,'[1]Tissue Data'!K:K)</f>
        <v>Whole Body</v>
      </c>
      <c r="I5997">
        <f>_xlfn.XLOOKUP(A5997,'[1]Tissue Data'!$A:$A,'[1]Tissue Data'!L:L)</f>
        <v>9</v>
      </c>
      <c r="J5997">
        <f>_xlfn.XLOOKUP(A5997,'[1]Tissue Data'!$A:$A,'[1]Tissue Data'!M:M)</f>
        <v>10.02</v>
      </c>
      <c r="K5997" t="s">
        <v>57</v>
      </c>
      <c r="L5997" t="str">
        <f>_xlfn.XLOOKUP(K5997,[2]analyte_order!$B:$B,[2]analyte_order!$C:$C)</f>
        <v>763051-92-9</v>
      </c>
      <c r="M5997">
        <f>_xlfn.XLOOKUP(L5997,[2]analyte_order!$C:$C,[2]analyte_order!$E:$E)</f>
        <v>37</v>
      </c>
      <c r="N5997">
        <v>0.216</v>
      </c>
    </row>
    <row r="5998" spans="1:14">
      <c r="A5998" t="s">
        <v>143</v>
      </c>
      <c r="B5998" t="str">
        <f>_xlfn.XLOOKUP(A5998,'[1]Tissue Data'!$A:$A,'[1]Tissue Data'!$C:$C)</f>
        <v>Spill</v>
      </c>
      <c r="C5998" s="2">
        <f>_xlfn.XLOOKUP(A5998,'[1]Tissue Data'!$A:$A,'[1]Tissue Data'!$D:$D)</f>
        <v>44393</v>
      </c>
      <c r="D5998" s="2" t="s">
        <v>131</v>
      </c>
      <c r="E5998" t="str">
        <f>_xlfn.XLOOKUP(A5998,'[1]Tissue Data'!$A:$A,'[1]Tissue Data'!$H:$H)</f>
        <v>Clinostomus</v>
      </c>
      <c r="F5998" t="str">
        <f>_xlfn.XLOOKUP(A5998,'[1]Tissue Data'!$A:$A,'[1]Tissue Data'!$I:$I)</f>
        <v>funduloides</v>
      </c>
      <c r="G5998" t="str">
        <f>_xlfn.XLOOKUP(A5998,'[1]Tissue Data'!$A:$A,'[1]Tissue Data'!J:J)</f>
        <v>U</v>
      </c>
      <c r="H5998" t="str">
        <f>_xlfn.XLOOKUP(A5998,'[1]Tissue Data'!$A:$A,'[1]Tissue Data'!K:K)</f>
        <v>Whole Body</v>
      </c>
      <c r="I5998">
        <f>_xlfn.XLOOKUP(A5998,'[1]Tissue Data'!$A:$A,'[1]Tissue Data'!L:L)</f>
        <v>9</v>
      </c>
      <c r="J5998">
        <f>_xlfn.XLOOKUP(A5998,'[1]Tissue Data'!$A:$A,'[1]Tissue Data'!M:M)</f>
        <v>10.02</v>
      </c>
      <c r="K5998" t="s">
        <v>58</v>
      </c>
      <c r="L5998" t="str">
        <f>_xlfn.XLOOKUP(K5998,[2]analyte_order!$B:$B,[2]analyte_order!$C:$C)</f>
        <v>13252-13-6</v>
      </c>
      <c r="M5998">
        <f>_xlfn.XLOOKUP(L5998,[2]analyte_order!$C:$C,[2]analyte_order!$E:$E)</f>
        <v>34</v>
      </c>
      <c r="N5998">
        <v>0.155</v>
      </c>
    </row>
    <row r="5999" spans="1:14">
      <c r="A5999" t="s">
        <v>143</v>
      </c>
      <c r="B5999" t="str">
        <f>_xlfn.XLOOKUP(A5999,'[1]Tissue Data'!$A:$A,'[1]Tissue Data'!$C:$C)</f>
        <v>Spill</v>
      </c>
      <c r="C5999" s="2">
        <f>_xlfn.XLOOKUP(A5999,'[1]Tissue Data'!$A:$A,'[1]Tissue Data'!$D:$D)</f>
        <v>44393</v>
      </c>
      <c r="D5999" s="2" t="s">
        <v>131</v>
      </c>
      <c r="E5999" t="str">
        <f>_xlfn.XLOOKUP(A5999,'[1]Tissue Data'!$A:$A,'[1]Tissue Data'!$H:$H)</f>
        <v>Clinostomus</v>
      </c>
      <c r="F5999" t="str">
        <f>_xlfn.XLOOKUP(A5999,'[1]Tissue Data'!$A:$A,'[1]Tissue Data'!$I:$I)</f>
        <v>funduloides</v>
      </c>
      <c r="G5999" t="str">
        <f>_xlfn.XLOOKUP(A5999,'[1]Tissue Data'!$A:$A,'[1]Tissue Data'!J:J)</f>
        <v>U</v>
      </c>
      <c r="H5999" t="str">
        <f>_xlfn.XLOOKUP(A5999,'[1]Tissue Data'!$A:$A,'[1]Tissue Data'!K:K)</f>
        <v>Whole Body</v>
      </c>
      <c r="I5999">
        <f>_xlfn.XLOOKUP(A5999,'[1]Tissue Data'!$A:$A,'[1]Tissue Data'!L:L)</f>
        <v>9</v>
      </c>
      <c r="J5999">
        <f>_xlfn.XLOOKUP(A5999,'[1]Tissue Data'!$A:$A,'[1]Tissue Data'!M:M)</f>
        <v>10.02</v>
      </c>
      <c r="K5999" t="s">
        <v>59</v>
      </c>
      <c r="L5999" t="str">
        <f>_xlfn.XLOOKUP(K5999,[2]analyte_order!$B:$B,[2]analyte_order!$C:$C)</f>
        <v>57677-95-9</v>
      </c>
      <c r="M5999">
        <f>_xlfn.XLOOKUP(L5999,[2]analyte_order!$C:$C,[2]analyte_order!$E:$E)</f>
        <v>46</v>
      </c>
      <c r="N5999">
        <v>0.216</v>
      </c>
    </row>
    <row r="6000" spans="1:14">
      <c r="A6000" t="s">
        <v>143</v>
      </c>
      <c r="B6000" t="str">
        <f>_xlfn.XLOOKUP(A6000,'[1]Tissue Data'!$A:$A,'[1]Tissue Data'!$C:$C)</f>
        <v>Spill</v>
      </c>
      <c r="C6000" s="2">
        <f>_xlfn.XLOOKUP(A6000,'[1]Tissue Data'!$A:$A,'[1]Tissue Data'!$D:$D)</f>
        <v>44393</v>
      </c>
      <c r="D6000" s="2" t="s">
        <v>131</v>
      </c>
      <c r="E6000" t="str">
        <f>_xlfn.XLOOKUP(A6000,'[1]Tissue Data'!$A:$A,'[1]Tissue Data'!$H:$H)</f>
        <v>Clinostomus</v>
      </c>
      <c r="F6000" t="str">
        <f>_xlfn.XLOOKUP(A6000,'[1]Tissue Data'!$A:$A,'[1]Tissue Data'!$I:$I)</f>
        <v>funduloides</v>
      </c>
      <c r="G6000" t="str">
        <f>_xlfn.XLOOKUP(A6000,'[1]Tissue Data'!$A:$A,'[1]Tissue Data'!J:J)</f>
        <v>U</v>
      </c>
      <c r="H6000" t="str">
        <f>_xlfn.XLOOKUP(A6000,'[1]Tissue Data'!$A:$A,'[1]Tissue Data'!K:K)</f>
        <v>Whole Body</v>
      </c>
      <c r="I6000">
        <f>_xlfn.XLOOKUP(A6000,'[1]Tissue Data'!$A:$A,'[1]Tissue Data'!L:L)</f>
        <v>9</v>
      </c>
      <c r="J6000">
        <f>_xlfn.XLOOKUP(A6000,'[1]Tissue Data'!$A:$A,'[1]Tissue Data'!M:M)</f>
        <v>10.02</v>
      </c>
      <c r="K6000" t="s">
        <v>60</v>
      </c>
      <c r="L6000" t="str">
        <f>_xlfn.XLOOKUP(K6000,[2]analyte_order!$B:$B,[2]analyte_order!$C:$C)</f>
        <v>678-41-1</v>
      </c>
      <c r="M6000">
        <f>_xlfn.XLOOKUP(L6000,[2]analyte_order!$C:$C,[2]analyte_order!$E:$E)</f>
        <v>56</v>
      </c>
      <c r="N6000">
        <v>0.216</v>
      </c>
    </row>
    <row r="6001" spans="1:14">
      <c r="A6001" t="s">
        <v>143</v>
      </c>
      <c r="B6001" t="str">
        <f>_xlfn.XLOOKUP(A6001,'[1]Tissue Data'!$A:$A,'[1]Tissue Data'!$C:$C)</f>
        <v>Spill</v>
      </c>
      <c r="C6001" s="2">
        <f>_xlfn.XLOOKUP(A6001,'[1]Tissue Data'!$A:$A,'[1]Tissue Data'!$D:$D)</f>
        <v>44393</v>
      </c>
      <c r="D6001" s="2" t="s">
        <v>131</v>
      </c>
      <c r="E6001" t="str">
        <f>_xlfn.XLOOKUP(A6001,'[1]Tissue Data'!$A:$A,'[1]Tissue Data'!$H:$H)</f>
        <v>Clinostomus</v>
      </c>
      <c r="F6001" t="str">
        <f>_xlfn.XLOOKUP(A6001,'[1]Tissue Data'!$A:$A,'[1]Tissue Data'!$I:$I)</f>
        <v>funduloides</v>
      </c>
      <c r="G6001" t="str">
        <f>_xlfn.XLOOKUP(A6001,'[1]Tissue Data'!$A:$A,'[1]Tissue Data'!J:J)</f>
        <v>U</v>
      </c>
      <c r="H6001" t="str">
        <f>_xlfn.XLOOKUP(A6001,'[1]Tissue Data'!$A:$A,'[1]Tissue Data'!K:K)</f>
        <v>Whole Body</v>
      </c>
      <c r="I6001">
        <f>_xlfn.XLOOKUP(A6001,'[1]Tissue Data'!$A:$A,'[1]Tissue Data'!L:L)</f>
        <v>9</v>
      </c>
      <c r="J6001">
        <f>_xlfn.XLOOKUP(A6001,'[1]Tissue Data'!$A:$A,'[1]Tissue Data'!M:M)</f>
        <v>10.02</v>
      </c>
      <c r="K6001" t="s">
        <v>61</v>
      </c>
      <c r="L6001" t="str">
        <f>_xlfn.XLOOKUP(K6001,[2]analyte_order!$B:$B,[2]analyte_order!$C:$C)</f>
        <v>2965-52-8</v>
      </c>
      <c r="M6001">
        <f>_xlfn.XLOOKUP(L6001,[2]analyte_order!$C:$C,[2]analyte_order!$E:$E)</f>
        <v>57</v>
      </c>
      <c r="N6001">
        <v>0.216</v>
      </c>
    </row>
    <row r="6002" spans="1:14">
      <c r="A6002" t="s">
        <v>175</v>
      </c>
      <c r="B6002" t="str">
        <f>_xlfn.XLOOKUP(A6002,'[1]Tissue Data'!$A:$A,'[1]Tissue Data'!$C:$C)</f>
        <v>Spill</v>
      </c>
      <c r="C6002" s="2">
        <f>_xlfn.XLOOKUP(A6002,'[1]Tissue Data'!$A:$A,'[1]Tissue Data'!$D:$D)</f>
        <v>44393</v>
      </c>
      <c r="D6002" s="2" t="str">
        <f>_xlfn.XLOOKUP(A6002,'[1]Tissue Data'!$A:$A,'[1]Tissue Data'!$F:$F)</f>
        <v>Fallfish</v>
      </c>
      <c r="E6002" t="str">
        <f>_xlfn.XLOOKUP(A6002,'[1]Tissue Data'!$A:$A,'[1]Tissue Data'!$H:$H)</f>
        <v>Semotilus</v>
      </c>
      <c r="F6002" t="str">
        <f>_xlfn.XLOOKUP(A6002,'[1]Tissue Data'!$A:$A,'[1]Tissue Data'!$I:$I)</f>
        <v>corporalis</v>
      </c>
      <c r="G6002" t="str">
        <f>_xlfn.XLOOKUP(A6002,'[1]Tissue Data'!$A:$A,'[1]Tissue Data'!J:J)</f>
        <v>U</v>
      </c>
      <c r="H6002" t="str">
        <f>_xlfn.XLOOKUP(A6002,'[1]Tissue Data'!$A:$A,'[1]Tissue Data'!K:K)</f>
        <v>Whole Body</v>
      </c>
      <c r="I6002">
        <f>_xlfn.XLOOKUP(A6002,'[1]Tissue Data'!$A:$A,'[1]Tissue Data'!L:L)</f>
        <v>8</v>
      </c>
      <c r="J6002">
        <f>_xlfn.XLOOKUP(A6002,'[1]Tissue Data'!$A:$A,'[1]Tissue Data'!M:M)</f>
        <v>4.83</v>
      </c>
      <c r="K6002" t="s">
        <v>12</v>
      </c>
      <c r="L6002" t="str">
        <f>_xlfn.XLOOKUP(K6002,[2]analyte_order!$B:$B,[2]analyte_order!$C:$C)</f>
        <v>375-22-4</v>
      </c>
      <c r="M6002">
        <f>_xlfn.XLOOKUP(L6002,[2]analyte_order!$C:$C,[2]analyte_order!$E:$E)</f>
        <v>1</v>
      </c>
      <c r="N6002">
        <v>0.21299999999999999</v>
      </c>
    </row>
    <row r="6003" spans="1:14">
      <c r="A6003" t="s">
        <v>175</v>
      </c>
      <c r="B6003" t="str">
        <f>_xlfn.XLOOKUP(A6003,'[1]Tissue Data'!$A:$A,'[1]Tissue Data'!$C:$C)</f>
        <v>Spill</v>
      </c>
      <c r="C6003" s="2">
        <f>_xlfn.XLOOKUP(A6003,'[1]Tissue Data'!$A:$A,'[1]Tissue Data'!$D:$D)</f>
        <v>44393</v>
      </c>
      <c r="D6003" s="2" t="str">
        <f>_xlfn.XLOOKUP(A6003,'[1]Tissue Data'!$A:$A,'[1]Tissue Data'!$F:$F)</f>
        <v>Fallfish</v>
      </c>
      <c r="E6003" t="str">
        <f>_xlfn.XLOOKUP(A6003,'[1]Tissue Data'!$A:$A,'[1]Tissue Data'!$H:$H)</f>
        <v>Semotilus</v>
      </c>
      <c r="F6003" t="str">
        <f>_xlfn.XLOOKUP(A6003,'[1]Tissue Data'!$A:$A,'[1]Tissue Data'!$I:$I)</f>
        <v>corporalis</v>
      </c>
      <c r="G6003" t="str">
        <f>_xlfn.XLOOKUP(A6003,'[1]Tissue Data'!$A:$A,'[1]Tissue Data'!J:J)</f>
        <v>U</v>
      </c>
      <c r="H6003" t="str">
        <f>_xlfn.XLOOKUP(A6003,'[1]Tissue Data'!$A:$A,'[1]Tissue Data'!K:K)</f>
        <v>Whole Body</v>
      </c>
      <c r="I6003">
        <f>_xlfn.XLOOKUP(A6003,'[1]Tissue Data'!$A:$A,'[1]Tissue Data'!L:L)</f>
        <v>8</v>
      </c>
      <c r="J6003">
        <f>_xlfn.XLOOKUP(A6003,'[1]Tissue Data'!$A:$A,'[1]Tissue Data'!M:M)</f>
        <v>4.83</v>
      </c>
      <c r="K6003" t="s">
        <v>13</v>
      </c>
      <c r="L6003" t="str">
        <f>_xlfn.XLOOKUP(K6003,[2]analyte_order!$B:$B,[2]analyte_order!$C:$C)</f>
        <v>2706-90-3</v>
      </c>
      <c r="M6003">
        <f>_xlfn.XLOOKUP(L6003,[2]analyte_order!$C:$C,[2]analyte_order!$E:$E)</f>
        <v>2</v>
      </c>
      <c r="N6003">
        <v>7.4999999999999997E-2</v>
      </c>
    </row>
    <row r="6004" spans="1:14">
      <c r="A6004" t="s">
        <v>175</v>
      </c>
      <c r="B6004" t="str">
        <f>_xlfn.XLOOKUP(A6004,'[1]Tissue Data'!$A:$A,'[1]Tissue Data'!$C:$C)</f>
        <v>Spill</v>
      </c>
      <c r="C6004" s="2">
        <f>_xlfn.XLOOKUP(A6004,'[1]Tissue Data'!$A:$A,'[1]Tissue Data'!$D:$D)</f>
        <v>44393</v>
      </c>
      <c r="D6004" s="2" t="str">
        <f>_xlfn.XLOOKUP(A6004,'[1]Tissue Data'!$A:$A,'[1]Tissue Data'!$F:$F)</f>
        <v>Fallfish</v>
      </c>
      <c r="E6004" t="str">
        <f>_xlfn.XLOOKUP(A6004,'[1]Tissue Data'!$A:$A,'[1]Tissue Data'!$H:$H)</f>
        <v>Semotilus</v>
      </c>
      <c r="F6004" t="str">
        <f>_xlfn.XLOOKUP(A6004,'[1]Tissue Data'!$A:$A,'[1]Tissue Data'!$I:$I)</f>
        <v>corporalis</v>
      </c>
      <c r="G6004" t="str">
        <f>_xlfn.XLOOKUP(A6004,'[1]Tissue Data'!$A:$A,'[1]Tissue Data'!J:J)</f>
        <v>U</v>
      </c>
      <c r="H6004" t="str">
        <f>_xlfn.XLOOKUP(A6004,'[1]Tissue Data'!$A:$A,'[1]Tissue Data'!K:K)</f>
        <v>Whole Body</v>
      </c>
      <c r="I6004">
        <f>_xlfn.XLOOKUP(A6004,'[1]Tissue Data'!$A:$A,'[1]Tissue Data'!L:L)</f>
        <v>8</v>
      </c>
      <c r="J6004">
        <f>_xlfn.XLOOKUP(A6004,'[1]Tissue Data'!$A:$A,'[1]Tissue Data'!M:M)</f>
        <v>4.83</v>
      </c>
      <c r="K6004" t="s">
        <v>14</v>
      </c>
      <c r="L6004" t="str">
        <f>_xlfn.XLOOKUP(K6004,[2]analyte_order!$B:$B,[2]analyte_order!$C:$C)</f>
        <v>307-24-4</v>
      </c>
      <c r="M6004">
        <f>_xlfn.XLOOKUP(L6004,[2]analyte_order!$C:$C,[2]analyte_order!$E:$E)</f>
        <v>3</v>
      </c>
      <c r="N6004">
        <v>0.3</v>
      </c>
    </row>
    <row r="6005" spans="1:14">
      <c r="A6005" t="s">
        <v>175</v>
      </c>
      <c r="B6005" t="str">
        <f>_xlfn.XLOOKUP(A6005,'[1]Tissue Data'!$A:$A,'[1]Tissue Data'!$C:$C)</f>
        <v>Spill</v>
      </c>
      <c r="C6005" s="2">
        <f>_xlfn.XLOOKUP(A6005,'[1]Tissue Data'!$A:$A,'[1]Tissue Data'!$D:$D)</f>
        <v>44393</v>
      </c>
      <c r="D6005" s="2" t="str">
        <f>_xlfn.XLOOKUP(A6005,'[1]Tissue Data'!$A:$A,'[1]Tissue Data'!$F:$F)</f>
        <v>Fallfish</v>
      </c>
      <c r="E6005" t="str">
        <f>_xlfn.XLOOKUP(A6005,'[1]Tissue Data'!$A:$A,'[1]Tissue Data'!$H:$H)</f>
        <v>Semotilus</v>
      </c>
      <c r="F6005" t="str">
        <f>_xlfn.XLOOKUP(A6005,'[1]Tissue Data'!$A:$A,'[1]Tissue Data'!$I:$I)</f>
        <v>corporalis</v>
      </c>
      <c r="G6005" t="str">
        <f>_xlfn.XLOOKUP(A6005,'[1]Tissue Data'!$A:$A,'[1]Tissue Data'!J:J)</f>
        <v>U</v>
      </c>
      <c r="H6005" t="str">
        <f>_xlfn.XLOOKUP(A6005,'[1]Tissue Data'!$A:$A,'[1]Tissue Data'!K:K)</f>
        <v>Whole Body</v>
      </c>
      <c r="I6005">
        <f>_xlfn.XLOOKUP(A6005,'[1]Tissue Data'!$A:$A,'[1]Tissue Data'!L:L)</f>
        <v>8</v>
      </c>
      <c r="J6005">
        <f>_xlfn.XLOOKUP(A6005,'[1]Tissue Data'!$A:$A,'[1]Tissue Data'!M:M)</f>
        <v>4.83</v>
      </c>
      <c r="K6005" t="s">
        <v>15</v>
      </c>
      <c r="L6005" t="str">
        <f>_xlfn.XLOOKUP(K6005,[2]analyte_order!$B:$B,[2]analyte_order!$C:$C)</f>
        <v>375-85-9</v>
      </c>
      <c r="M6005">
        <f>_xlfn.XLOOKUP(L6005,[2]analyte_order!$C:$C,[2]analyte_order!$E:$E)</f>
        <v>4</v>
      </c>
      <c r="N6005">
        <v>0.21299999999999999</v>
      </c>
    </row>
    <row r="6006" spans="1:14">
      <c r="A6006" t="s">
        <v>175</v>
      </c>
      <c r="B6006" t="str">
        <f>_xlfn.XLOOKUP(A6006,'[1]Tissue Data'!$A:$A,'[1]Tissue Data'!$C:$C)</f>
        <v>Spill</v>
      </c>
      <c r="C6006" s="2">
        <f>_xlfn.XLOOKUP(A6006,'[1]Tissue Data'!$A:$A,'[1]Tissue Data'!$D:$D)</f>
        <v>44393</v>
      </c>
      <c r="D6006" s="2" t="str">
        <f>_xlfn.XLOOKUP(A6006,'[1]Tissue Data'!$A:$A,'[1]Tissue Data'!$F:$F)</f>
        <v>Fallfish</v>
      </c>
      <c r="E6006" t="str">
        <f>_xlfn.XLOOKUP(A6006,'[1]Tissue Data'!$A:$A,'[1]Tissue Data'!$H:$H)</f>
        <v>Semotilus</v>
      </c>
      <c r="F6006" t="str">
        <f>_xlfn.XLOOKUP(A6006,'[1]Tissue Data'!$A:$A,'[1]Tissue Data'!$I:$I)</f>
        <v>corporalis</v>
      </c>
      <c r="G6006" t="str">
        <f>_xlfn.XLOOKUP(A6006,'[1]Tissue Data'!$A:$A,'[1]Tissue Data'!J:J)</f>
        <v>U</v>
      </c>
      <c r="H6006" t="str">
        <f>_xlfn.XLOOKUP(A6006,'[1]Tissue Data'!$A:$A,'[1]Tissue Data'!K:K)</f>
        <v>Whole Body</v>
      </c>
      <c r="I6006">
        <f>_xlfn.XLOOKUP(A6006,'[1]Tissue Data'!$A:$A,'[1]Tissue Data'!L:L)</f>
        <v>8</v>
      </c>
      <c r="J6006">
        <f>_xlfn.XLOOKUP(A6006,'[1]Tissue Data'!$A:$A,'[1]Tissue Data'!M:M)</f>
        <v>4.83</v>
      </c>
      <c r="K6006" t="s">
        <v>16</v>
      </c>
      <c r="L6006" t="str">
        <f>_xlfn.XLOOKUP(K6006,[2]analyte_order!$B:$B,[2]analyte_order!$C:$C)</f>
        <v>335-67-1</v>
      </c>
      <c r="M6006">
        <f>_xlfn.XLOOKUP(L6006,[2]analyte_order!$C:$C,[2]analyte_order!$E:$E)</f>
        <v>5</v>
      </c>
      <c r="N6006">
        <v>1.69</v>
      </c>
    </row>
    <row r="6007" spans="1:14">
      <c r="A6007" t="s">
        <v>175</v>
      </c>
      <c r="B6007" t="str">
        <f>_xlfn.XLOOKUP(A6007,'[1]Tissue Data'!$A:$A,'[1]Tissue Data'!$C:$C)</f>
        <v>Spill</v>
      </c>
      <c r="C6007" s="2">
        <f>_xlfn.XLOOKUP(A6007,'[1]Tissue Data'!$A:$A,'[1]Tissue Data'!$D:$D)</f>
        <v>44393</v>
      </c>
      <c r="D6007" s="2" t="str">
        <f>_xlfn.XLOOKUP(A6007,'[1]Tissue Data'!$A:$A,'[1]Tissue Data'!$F:$F)</f>
        <v>Fallfish</v>
      </c>
      <c r="E6007" t="str">
        <f>_xlfn.XLOOKUP(A6007,'[1]Tissue Data'!$A:$A,'[1]Tissue Data'!$H:$H)</f>
        <v>Semotilus</v>
      </c>
      <c r="F6007" t="str">
        <f>_xlfn.XLOOKUP(A6007,'[1]Tissue Data'!$A:$A,'[1]Tissue Data'!$I:$I)</f>
        <v>corporalis</v>
      </c>
      <c r="G6007" t="str">
        <f>_xlfn.XLOOKUP(A6007,'[1]Tissue Data'!$A:$A,'[1]Tissue Data'!J:J)</f>
        <v>U</v>
      </c>
      <c r="H6007" t="str">
        <f>_xlfn.XLOOKUP(A6007,'[1]Tissue Data'!$A:$A,'[1]Tissue Data'!K:K)</f>
        <v>Whole Body</v>
      </c>
      <c r="I6007">
        <f>_xlfn.XLOOKUP(A6007,'[1]Tissue Data'!$A:$A,'[1]Tissue Data'!L:L)</f>
        <v>8</v>
      </c>
      <c r="J6007">
        <f>_xlfn.XLOOKUP(A6007,'[1]Tissue Data'!$A:$A,'[1]Tissue Data'!M:M)</f>
        <v>4.83</v>
      </c>
      <c r="K6007" t="s">
        <v>17</v>
      </c>
      <c r="L6007" t="str">
        <f>_xlfn.XLOOKUP(K6007,[2]analyte_order!$B:$B,[2]analyte_order!$C:$C)</f>
        <v>375-95-1</v>
      </c>
      <c r="M6007">
        <f>_xlfn.XLOOKUP(L6007,[2]analyte_order!$C:$C,[2]analyte_order!$E:$E)</f>
        <v>6</v>
      </c>
      <c r="N6007">
        <v>0.1065</v>
      </c>
    </row>
    <row r="6008" spans="1:14">
      <c r="A6008" t="s">
        <v>175</v>
      </c>
      <c r="B6008" t="str">
        <f>_xlfn.XLOOKUP(A6008,'[1]Tissue Data'!$A:$A,'[1]Tissue Data'!$C:$C)</f>
        <v>Spill</v>
      </c>
      <c r="C6008" s="2">
        <f>_xlfn.XLOOKUP(A6008,'[1]Tissue Data'!$A:$A,'[1]Tissue Data'!$D:$D)</f>
        <v>44393</v>
      </c>
      <c r="D6008" s="2" t="str">
        <f>_xlfn.XLOOKUP(A6008,'[1]Tissue Data'!$A:$A,'[1]Tissue Data'!$F:$F)</f>
        <v>Fallfish</v>
      </c>
      <c r="E6008" t="str">
        <f>_xlfn.XLOOKUP(A6008,'[1]Tissue Data'!$A:$A,'[1]Tissue Data'!$H:$H)</f>
        <v>Semotilus</v>
      </c>
      <c r="F6008" t="str">
        <f>_xlfn.XLOOKUP(A6008,'[1]Tissue Data'!$A:$A,'[1]Tissue Data'!$I:$I)</f>
        <v>corporalis</v>
      </c>
      <c r="G6008" t="str">
        <f>_xlfn.XLOOKUP(A6008,'[1]Tissue Data'!$A:$A,'[1]Tissue Data'!J:J)</f>
        <v>U</v>
      </c>
      <c r="H6008" t="str">
        <f>_xlfn.XLOOKUP(A6008,'[1]Tissue Data'!$A:$A,'[1]Tissue Data'!K:K)</f>
        <v>Whole Body</v>
      </c>
      <c r="I6008">
        <f>_xlfn.XLOOKUP(A6008,'[1]Tissue Data'!$A:$A,'[1]Tissue Data'!L:L)</f>
        <v>8</v>
      </c>
      <c r="J6008">
        <f>_xlfn.XLOOKUP(A6008,'[1]Tissue Data'!$A:$A,'[1]Tissue Data'!M:M)</f>
        <v>4.83</v>
      </c>
      <c r="K6008" t="s">
        <v>18</v>
      </c>
      <c r="L6008" t="str">
        <f>_xlfn.XLOOKUP(K6008,[2]analyte_order!$B:$B,[2]analyte_order!$C:$C)</f>
        <v>335-76-2</v>
      </c>
      <c r="M6008">
        <f>_xlfn.XLOOKUP(L6008,[2]analyte_order!$C:$C,[2]analyte_order!$E:$E)</f>
        <v>7</v>
      </c>
      <c r="N6008">
        <v>8.9600000000000009</v>
      </c>
    </row>
    <row r="6009" spans="1:14">
      <c r="A6009" t="s">
        <v>175</v>
      </c>
      <c r="B6009" t="str">
        <f>_xlfn.XLOOKUP(A6009,'[1]Tissue Data'!$A:$A,'[1]Tissue Data'!$C:$C)</f>
        <v>Spill</v>
      </c>
      <c r="C6009" s="2">
        <f>_xlfn.XLOOKUP(A6009,'[1]Tissue Data'!$A:$A,'[1]Tissue Data'!$D:$D)</f>
        <v>44393</v>
      </c>
      <c r="D6009" s="2" t="str">
        <f>_xlfn.XLOOKUP(A6009,'[1]Tissue Data'!$A:$A,'[1]Tissue Data'!$F:$F)</f>
        <v>Fallfish</v>
      </c>
      <c r="E6009" t="str">
        <f>_xlfn.XLOOKUP(A6009,'[1]Tissue Data'!$A:$A,'[1]Tissue Data'!$H:$H)</f>
        <v>Semotilus</v>
      </c>
      <c r="F6009" t="str">
        <f>_xlfn.XLOOKUP(A6009,'[1]Tissue Data'!$A:$A,'[1]Tissue Data'!$I:$I)</f>
        <v>corporalis</v>
      </c>
      <c r="G6009" t="str">
        <f>_xlfn.XLOOKUP(A6009,'[1]Tissue Data'!$A:$A,'[1]Tissue Data'!J:J)</f>
        <v>U</v>
      </c>
      <c r="H6009" t="str">
        <f>_xlfn.XLOOKUP(A6009,'[1]Tissue Data'!$A:$A,'[1]Tissue Data'!K:K)</f>
        <v>Whole Body</v>
      </c>
      <c r="I6009">
        <f>_xlfn.XLOOKUP(A6009,'[1]Tissue Data'!$A:$A,'[1]Tissue Data'!L:L)</f>
        <v>8</v>
      </c>
      <c r="J6009">
        <f>_xlfn.XLOOKUP(A6009,'[1]Tissue Data'!$A:$A,'[1]Tissue Data'!M:M)</f>
        <v>4.83</v>
      </c>
      <c r="K6009" t="s">
        <v>19</v>
      </c>
      <c r="L6009" t="str">
        <f>_xlfn.XLOOKUP(K6009,[2]analyte_order!$B:$B,[2]analyte_order!$C:$C)</f>
        <v>2058-94-8</v>
      </c>
      <c r="M6009">
        <f>_xlfn.XLOOKUP(L6009,[2]analyte_order!$C:$C,[2]analyte_order!$E:$E)</f>
        <v>8</v>
      </c>
      <c r="N6009">
        <v>12.1</v>
      </c>
    </row>
    <row r="6010" spans="1:14">
      <c r="A6010" t="s">
        <v>175</v>
      </c>
      <c r="B6010" t="str">
        <f>_xlfn.XLOOKUP(A6010,'[1]Tissue Data'!$A:$A,'[1]Tissue Data'!$C:$C)</f>
        <v>Spill</v>
      </c>
      <c r="C6010" s="2">
        <f>_xlfn.XLOOKUP(A6010,'[1]Tissue Data'!$A:$A,'[1]Tissue Data'!$D:$D)</f>
        <v>44393</v>
      </c>
      <c r="D6010" s="2" t="str">
        <f>_xlfn.XLOOKUP(A6010,'[1]Tissue Data'!$A:$A,'[1]Tissue Data'!$F:$F)</f>
        <v>Fallfish</v>
      </c>
      <c r="E6010" t="str">
        <f>_xlfn.XLOOKUP(A6010,'[1]Tissue Data'!$A:$A,'[1]Tissue Data'!$H:$H)</f>
        <v>Semotilus</v>
      </c>
      <c r="F6010" t="str">
        <f>_xlfn.XLOOKUP(A6010,'[1]Tissue Data'!$A:$A,'[1]Tissue Data'!$I:$I)</f>
        <v>corporalis</v>
      </c>
      <c r="G6010" t="str">
        <f>_xlfn.XLOOKUP(A6010,'[1]Tissue Data'!$A:$A,'[1]Tissue Data'!J:J)</f>
        <v>U</v>
      </c>
      <c r="H6010" t="str">
        <f>_xlfn.XLOOKUP(A6010,'[1]Tissue Data'!$A:$A,'[1]Tissue Data'!K:K)</f>
        <v>Whole Body</v>
      </c>
      <c r="I6010">
        <f>_xlfn.XLOOKUP(A6010,'[1]Tissue Data'!$A:$A,'[1]Tissue Data'!L:L)</f>
        <v>8</v>
      </c>
      <c r="J6010">
        <f>_xlfn.XLOOKUP(A6010,'[1]Tissue Data'!$A:$A,'[1]Tissue Data'!M:M)</f>
        <v>4.83</v>
      </c>
      <c r="K6010" t="s">
        <v>20</v>
      </c>
      <c r="L6010" t="str">
        <f>_xlfn.XLOOKUP(K6010,[2]analyte_order!$B:$B,[2]analyte_order!$C:$C)</f>
        <v>307-55-1</v>
      </c>
      <c r="M6010">
        <f>_xlfn.XLOOKUP(L6010,[2]analyte_order!$C:$C,[2]analyte_order!$E:$E)</f>
        <v>9</v>
      </c>
      <c r="N6010">
        <v>16.7</v>
      </c>
    </row>
    <row r="6011" spans="1:14">
      <c r="A6011" t="s">
        <v>175</v>
      </c>
      <c r="B6011" t="str">
        <f>_xlfn.XLOOKUP(A6011,'[1]Tissue Data'!$A:$A,'[1]Tissue Data'!$C:$C)</f>
        <v>Spill</v>
      </c>
      <c r="C6011" s="2">
        <f>_xlfn.XLOOKUP(A6011,'[1]Tissue Data'!$A:$A,'[1]Tissue Data'!$D:$D)</f>
        <v>44393</v>
      </c>
      <c r="D6011" s="2" t="str">
        <f>_xlfn.XLOOKUP(A6011,'[1]Tissue Data'!$A:$A,'[1]Tissue Data'!$F:$F)</f>
        <v>Fallfish</v>
      </c>
      <c r="E6011" t="str">
        <f>_xlfn.XLOOKUP(A6011,'[1]Tissue Data'!$A:$A,'[1]Tissue Data'!$H:$H)</f>
        <v>Semotilus</v>
      </c>
      <c r="F6011" t="str">
        <f>_xlfn.XLOOKUP(A6011,'[1]Tissue Data'!$A:$A,'[1]Tissue Data'!$I:$I)</f>
        <v>corporalis</v>
      </c>
      <c r="G6011" t="str">
        <f>_xlfn.XLOOKUP(A6011,'[1]Tissue Data'!$A:$A,'[1]Tissue Data'!J:J)</f>
        <v>U</v>
      </c>
      <c r="H6011" t="str">
        <f>_xlfn.XLOOKUP(A6011,'[1]Tissue Data'!$A:$A,'[1]Tissue Data'!K:K)</f>
        <v>Whole Body</v>
      </c>
      <c r="I6011">
        <f>_xlfn.XLOOKUP(A6011,'[1]Tissue Data'!$A:$A,'[1]Tissue Data'!L:L)</f>
        <v>8</v>
      </c>
      <c r="J6011">
        <f>_xlfn.XLOOKUP(A6011,'[1]Tissue Data'!$A:$A,'[1]Tissue Data'!M:M)</f>
        <v>4.83</v>
      </c>
      <c r="K6011" t="s">
        <v>21</v>
      </c>
      <c r="L6011" t="str">
        <f>_xlfn.XLOOKUP(K6011,[2]analyte_order!$B:$B,[2]analyte_order!$C:$C)</f>
        <v>72629-94-8</v>
      </c>
      <c r="M6011">
        <f>_xlfn.XLOOKUP(L6011,[2]analyte_order!$C:$C,[2]analyte_order!$E:$E)</f>
        <v>10</v>
      </c>
      <c r="N6011">
        <v>15.7</v>
      </c>
    </row>
    <row r="6012" spans="1:14">
      <c r="A6012" t="s">
        <v>175</v>
      </c>
      <c r="B6012" t="str">
        <f>_xlfn.XLOOKUP(A6012,'[1]Tissue Data'!$A:$A,'[1]Tissue Data'!$C:$C)</f>
        <v>Spill</v>
      </c>
      <c r="C6012" s="2">
        <f>_xlfn.XLOOKUP(A6012,'[1]Tissue Data'!$A:$A,'[1]Tissue Data'!$D:$D)</f>
        <v>44393</v>
      </c>
      <c r="D6012" s="2" t="str">
        <f>_xlfn.XLOOKUP(A6012,'[1]Tissue Data'!$A:$A,'[1]Tissue Data'!$F:$F)</f>
        <v>Fallfish</v>
      </c>
      <c r="E6012" t="str">
        <f>_xlfn.XLOOKUP(A6012,'[1]Tissue Data'!$A:$A,'[1]Tissue Data'!$H:$H)</f>
        <v>Semotilus</v>
      </c>
      <c r="F6012" t="str">
        <f>_xlfn.XLOOKUP(A6012,'[1]Tissue Data'!$A:$A,'[1]Tissue Data'!$I:$I)</f>
        <v>corporalis</v>
      </c>
      <c r="G6012" t="str">
        <f>_xlfn.XLOOKUP(A6012,'[1]Tissue Data'!$A:$A,'[1]Tissue Data'!J:J)</f>
        <v>U</v>
      </c>
      <c r="H6012" t="str">
        <f>_xlfn.XLOOKUP(A6012,'[1]Tissue Data'!$A:$A,'[1]Tissue Data'!K:K)</f>
        <v>Whole Body</v>
      </c>
      <c r="I6012">
        <f>_xlfn.XLOOKUP(A6012,'[1]Tissue Data'!$A:$A,'[1]Tissue Data'!L:L)</f>
        <v>8</v>
      </c>
      <c r="J6012">
        <f>_xlfn.XLOOKUP(A6012,'[1]Tissue Data'!$A:$A,'[1]Tissue Data'!M:M)</f>
        <v>4.83</v>
      </c>
      <c r="K6012" t="s">
        <v>22</v>
      </c>
      <c r="L6012" t="str">
        <f>_xlfn.XLOOKUP(K6012,[2]analyte_order!$B:$B,[2]analyte_order!$C:$C)</f>
        <v>376-06-7</v>
      </c>
      <c r="M6012">
        <f>_xlfn.XLOOKUP(L6012,[2]analyte_order!$C:$C,[2]analyte_order!$E:$E)</f>
        <v>11</v>
      </c>
      <c r="N6012">
        <v>9.16</v>
      </c>
    </row>
    <row r="6013" spans="1:14">
      <c r="A6013" t="s">
        <v>175</v>
      </c>
      <c r="B6013" t="str">
        <f>_xlfn.XLOOKUP(A6013,'[1]Tissue Data'!$A:$A,'[1]Tissue Data'!$C:$C)</f>
        <v>Spill</v>
      </c>
      <c r="C6013" s="2">
        <f>_xlfn.XLOOKUP(A6013,'[1]Tissue Data'!$A:$A,'[1]Tissue Data'!$D:$D)</f>
        <v>44393</v>
      </c>
      <c r="D6013" s="2" t="str">
        <f>_xlfn.XLOOKUP(A6013,'[1]Tissue Data'!$A:$A,'[1]Tissue Data'!$F:$F)</f>
        <v>Fallfish</v>
      </c>
      <c r="E6013" t="str">
        <f>_xlfn.XLOOKUP(A6013,'[1]Tissue Data'!$A:$A,'[1]Tissue Data'!$H:$H)</f>
        <v>Semotilus</v>
      </c>
      <c r="F6013" t="str">
        <f>_xlfn.XLOOKUP(A6013,'[1]Tissue Data'!$A:$A,'[1]Tissue Data'!$I:$I)</f>
        <v>corporalis</v>
      </c>
      <c r="G6013" t="str">
        <f>_xlfn.XLOOKUP(A6013,'[1]Tissue Data'!$A:$A,'[1]Tissue Data'!J:J)</f>
        <v>U</v>
      </c>
      <c r="H6013" t="str">
        <f>_xlfn.XLOOKUP(A6013,'[1]Tissue Data'!$A:$A,'[1]Tissue Data'!K:K)</f>
        <v>Whole Body</v>
      </c>
      <c r="I6013">
        <f>_xlfn.XLOOKUP(A6013,'[1]Tissue Data'!$A:$A,'[1]Tissue Data'!L:L)</f>
        <v>8</v>
      </c>
      <c r="J6013">
        <f>_xlfn.XLOOKUP(A6013,'[1]Tissue Data'!$A:$A,'[1]Tissue Data'!M:M)</f>
        <v>4.83</v>
      </c>
      <c r="K6013" t="s">
        <v>23</v>
      </c>
      <c r="L6013" t="str">
        <f>_xlfn.XLOOKUP(K6013,[2]analyte_order!$B:$B,[2]analyte_order!$C:$C)</f>
        <v>67905-19-5</v>
      </c>
      <c r="M6013">
        <f>_xlfn.XLOOKUP(L6013,[2]analyte_order!$C:$C,[2]analyte_order!$E:$E)</f>
        <v>12</v>
      </c>
      <c r="N6013">
        <v>0.127</v>
      </c>
    </row>
    <row r="6014" spans="1:14">
      <c r="A6014" t="s">
        <v>175</v>
      </c>
      <c r="B6014" t="str">
        <f>_xlfn.XLOOKUP(A6014,'[1]Tissue Data'!$A:$A,'[1]Tissue Data'!$C:$C)</f>
        <v>Spill</v>
      </c>
      <c r="C6014" s="2">
        <f>_xlfn.XLOOKUP(A6014,'[1]Tissue Data'!$A:$A,'[1]Tissue Data'!$D:$D)</f>
        <v>44393</v>
      </c>
      <c r="D6014" s="2" t="str">
        <f>_xlfn.XLOOKUP(A6014,'[1]Tissue Data'!$A:$A,'[1]Tissue Data'!$F:$F)</f>
        <v>Fallfish</v>
      </c>
      <c r="E6014" t="str">
        <f>_xlfn.XLOOKUP(A6014,'[1]Tissue Data'!$A:$A,'[1]Tissue Data'!$H:$H)</f>
        <v>Semotilus</v>
      </c>
      <c r="F6014" t="str">
        <f>_xlfn.XLOOKUP(A6014,'[1]Tissue Data'!$A:$A,'[1]Tissue Data'!$I:$I)</f>
        <v>corporalis</v>
      </c>
      <c r="G6014" t="str">
        <f>_xlfn.XLOOKUP(A6014,'[1]Tissue Data'!$A:$A,'[1]Tissue Data'!J:J)</f>
        <v>U</v>
      </c>
      <c r="H6014" t="str">
        <f>_xlfn.XLOOKUP(A6014,'[1]Tissue Data'!$A:$A,'[1]Tissue Data'!K:K)</f>
        <v>Whole Body</v>
      </c>
      <c r="I6014">
        <f>_xlfn.XLOOKUP(A6014,'[1]Tissue Data'!$A:$A,'[1]Tissue Data'!L:L)</f>
        <v>8</v>
      </c>
      <c r="J6014">
        <f>_xlfn.XLOOKUP(A6014,'[1]Tissue Data'!$A:$A,'[1]Tissue Data'!M:M)</f>
        <v>4.83</v>
      </c>
      <c r="K6014" t="s">
        <v>24</v>
      </c>
      <c r="L6014" t="str">
        <f>_xlfn.XLOOKUP(K6014,[2]analyte_order!$B:$B,[2]analyte_order!$C:$C)</f>
        <v>423-41-6</v>
      </c>
      <c r="M6014">
        <f>_xlfn.XLOOKUP(L6014,[2]analyte_order!$C:$C,[2]analyte_order!$E:$E)</f>
        <v>53</v>
      </c>
      <c r="N6014">
        <v>0.1065</v>
      </c>
    </row>
    <row r="6015" spans="1:14">
      <c r="A6015" t="s">
        <v>175</v>
      </c>
      <c r="B6015" t="str">
        <f>_xlfn.XLOOKUP(A6015,'[1]Tissue Data'!$A:$A,'[1]Tissue Data'!$C:$C)</f>
        <v>Spill</v>
      </c>
      <c r="C6015" s="2">
        <f>_xlfn.XLOOKUP(A6015,'[1]Tissue Data'!$A:$A,'[1]Tissue Data'!$D:$D)</f>
        <v>44393</v>
      </c>
      <c r="D6015" s="2" t="str">
        <f>_xlfn.XLOOKUP(A6015,'[1]Tissue Data'!$A:$A,'[1]Tissue Data'!$F:$F)</f>
        <v>Fallfish</v>
      </c>
      <c r="E6015" t="str">
        <f>_xlfn.XLOOKUP(A6015,'[1]Tissue Data'!$A:$A,'[1]Tissue Data'!$H:$H)</f>
        <v>Semotilus</v>
      </c>
      <c r="F6015" t="str">
        <f>_xlfn.XLOOKUP(A6015,'[1]Tissue Data'!$A:$A,'[1]Tissue Data'!$I:$I)</f>
        <v>corporalis</v>
      </c>
      <c r="G6015" t="str">
        <f>_xlfn.XLOOKUP(A6015,'[1]Tissue Data'!$A:$A,'[1]Tissue Data'!J:J)</f>
        <v>U</v>
      </c>
      <c r="H6015" t="str">
        <f>_xlfn.XLOOKUP(A6015,'[1]Tissue Data'!$A:$A,'[1]Tissue Data'!K:K)</f>
        <v>Whole Body</v>
      </c>
      <c r="I6015">
        <f>_xlfn.XLOOKUP(A6015,'[1]Tissue Data'!$A:$A,'[1]Tissue Data'!L:L)</f>
        <v>8</v>
      </c>
      <c r="J6015">
        <f>_xlfn.XLOOKUP(A6015,'[1]Tissue Data'!$A:$A,'[1]Tissue Data'!M:M)</f>
        <v>4.83</v>
      </c>
      <c r="K6015" t="s">
        <v>25</v>
      </c>
      <c r="L6015" t="str">
        <f>_xlfn.XLOOKUP(K6015,[2]analyte_order!$B:$B,[2]analyte_order!$C:$C)</f>
        <v>375-73-5</v>
      </c>
      <c r="M6015">
        <f>_xlfn.XLOOKUP(L6015,[2]analyte_order!$C:$C,[2]analyte_order!$E:$E)</f>
        <v>14</v>
      </c>
      <c r="N6015">
        <v>0.1065</v>
      </c>
    </row>
    <row r="6016" spans="1:14">
      <c r="A6016" t="s">
        <v>175</v>
      </c>
      <c r="B6016" t="str">
        <f>_xlfn.XLOOKUP(A6016,'[1]Tissue Data'!$A:$A,'[1]Tissue Data'!$C:$C)</f>
        <v>Spill</v>
      </c>
      <c r="C6016" s="2">
        <f>_xlfn.XLOOKUP(A6016,'[1]Tissue Data'!$A:$A,'[1]Tissue Data'!$D:$D)</f>
        <v>44393</v>
      </c>
      <c r="D6016" s="2" t="str">
        <f>_xlfn.XLOOKUP(A6016,'[1]Tissue Data'!$A:$A,'[1]Tissue Data'!$F:$F)</f>
        <v>Fallfish</v>
      </c>
      <c r="E6016" t="str">
        <f>_xlfn.XLOOKUP(A6016,'[1]Tissue Data'!$A:$A,'[1]Tissue Data'!$H:$H)</f>
        <v>Semotilus</v>
      </c>
      <c r="F6016" t="str">
        <f>_xlfn.XLOOKUP(A6016,'[1]Tissue Data'!$A:$A,'[1]Tissue Data'!$I:$I)</f>
        <v>corporalis</v>
      </c>
      <c r="G6016" t="str">
        <f>_xlfn.XLOOKUP(A6016,'[1]Tissue Data'!$A:$A,'[1]Tissue Data'!J:J)</f>
        <v>U</v>
      </c>
      <c r="H6016" t="str">
        <f>_xlfn.XLOOKUP(A6016,'[1]Tissue Data'!$A:$A,'[1]Tissue Data'!K:K)</f>
        <v>Whole Body</v>
      </c>
      <c r="I6016">
        <f>_xlfn.XLOOKUP(A6016,'[1]Tissue Data'!$A:$A,'[1]Tissue Data'!L:L)</f>
        <v>8</v>
      </c>
      <c r="J6016">
        <f>_xlfn.XLOOKUP(A6016,'[1]Tissue Data'!$A:$A,'[1]Tissue Data'!M:M)</f>
        <v>4.83</v>
      </c>
      <c r="K6016" t="s">
        <v>26</v>
      </c>
      <c r="L6016" t="str">
        <f>_xlfn.XLOOKUP(K6016,[2]analyte_order!$B:$B,[2]analyte_order!$C:$C)</f>
        <v>2706-91-4</v>
      </c>
      <c r="M6016">
        <f>_xlfn.XLOOKUP(L6016,[2]analyte_order!$C:$C,[2]analyte_order!$E:$E)</f>
        <v>15</v>
      </c>
      <c r="N6016">
        <v>1.04</v>
      </c>
    </row>
    <row r="6017" spans="1:14">
      <c r="A6017" t="s">
        <v>175</v>
      </c>
      <c r="B6017" t="str">
        <f>_xlfn.XLOOKUP(A6017,'[1]Tissue Data'!$A:$A,'[1]Tissue Data'!$C:$C)</f>
        <v>Spill</v>
      </c>
      <c r="C6017" s="2">
        <f>_xlfn.XLOOKUP(A6017,'[1]Tissue Data'!$A:$A,'[1]Tissue Data'!$D:$D)</f>
        <v>44393</v>
      </c>
      <c r="D6017" s="2" t="str">
        <f>_xlfn.XLOOKUP(A6017,'[1]Tissue Data'!$A:$A,'[1]Tissue Data'!$F:$F)</f>
        <v>Fallfish</v>
      </c>
      <c r="E6017" t="str">
        <f>_xlfn.XLOOKUP(A6017,'[1]Tissue Data'!$A:$A,'[1]Tissue Data'!$H:$H)</f>
        <v>Semotilus</v>
      </c>
      <c r="F6017" t="str">
        <f>_xlfn.XLOOKUP(A6017,'[1]Tissue Data'!$A:$A,'[1]Tissue Data'!$I:$I)</f>
        <v>corporalis</v>
      </c>
      <c r="G6017" t="str">
        <f>_xlfn.XLOOKUP(A6017,'[1]Tissue Data'!$A:$A,'[1]Tissue Data'!J:J)</f>
        <v>U</v>
      </c>
      <c r="H6017" t="str">
        <f>_xlfn.XLOOKUP(A6017,'[1]Tissue Data'!$A:$A,'[1]Tissue Data'!K:K)</f>
        <v>Whole Body</v>
      </c>
      <c r="I6017">
        <f>_xlfn.XLOOKUP(A6017,'[1]Tissue Data'!$A:$A,'[1]Tissue Data'!L:L)</f>
        <v>8</v>
      </c>
      <c r="J6017">
        <f>_xlfn.XLOOKUP(A6017,'[1]Tissue Data'!$A:$A,'[1]Tissue Data'!M:M)</f>
        <v>4.83</v>
      </c>
      <c r="K6017" t="s">
        <v>27</v>
      </c>
      <c r="L6017" t="str">
        <f>_xlfn.XLOOKUP(K6017,[2]analyte_order!$B:$B,[2]analyte_order!$C:$C)</f>
        <v>355-46-4</v>
      </c>
      <c r="M6017">
        <f>_xlfn.XLOOKUP(L6017,[2]analyte_order!$C:$C,[2]analyte_order!$E:$E)</f>
        <v>16</v>
      </c>
      <c r="N6017">
        <v>29.3</v>
      </c>
    </row>
    <row r="6018" spans="1:14">
      <c r="A6018" t="s">
        <v>175</v>
      </c>
      <c r="B6018" t="str">
        <f>_xlfn.XLOOKUP(A6018,'[1]Tissue Data'!$A:$A,'[1]Tissue Data'!$C:$C)</f>
        <v>Spill</v>
      </c>
      <c r="C6018" s="2">
        <f>_xlfn.XLOOKUP(A6018,'[1]Tissue Data'!$A:$A,'[1]Tissue Data'!$D:$D)</f>
        <v>44393</v>
      </c>
      <c r="D6018" s="2" t="str">
        <f>_xlfn.XLOOKUP(A6018,'[1]Tissue Data'!$A:$A,'[1]Tissue Data'!$F:$F)</f>
        <v>Fallfish</v>
      </c>
      <c r="E6018" t="str">
        <f>_xlfn.XLOOKUP(A6018,'[1]Tissue Data'!$A:$A,'[1]Tissue Data'!$H:$H)</f>
        <v>Semotilus</v>
      </c>
      <c r="F6018" t="str">
        <f>_xlfn.XLOOKUP(A6018,'[1]Tissue Data'!$A:$A,'[1]Tissue Data'!$I:$I)</f>
        <v>corporalis</v>
      </c>
      <c r="G6018" t="str">
        <f>_xlfn.XLOOKUP(A6018,'[1]Tissue Data'!$A:$A,'[1]Tissue Data'!J:J)</f>
        <v>U</v>
      </c>
      <c r="H6018" t="str">
        <f>_xlfn.XLOOKUP(A6018,'[1]Tissue Data'!$A:$A,'[1]Tissue Data'!K:K)</f>
        <v>Whole Body</v>
      </c>
      <c r="I6018">
        <f>_xlfn.XLOOKUP(A6018,'[1]Tissue Data'!$A:$A,'[1]Tissue Data'!L:L)</f>
        <v>8</v>
      </c>
      <c r="J6018">
        <f>_xlfn.XLOOKUP(A6018,'[1]Tissue Data'!$A:$A,'[1]Tissue Data'!M:M)</f>
        <v>4.83</v>
      </c>
      <c r="K6018" t="s">
        <v>28</v>
      </c>
      <c r="L6018" t="str">
        <f>_xlfn.XLOOKUP(K6018,[2]analyte_order!$B:$B,[2]analyte_order!$C:$C)</f>
        <v>375-92-8</v>
      </c>
      <c r="M6018">
        <f>_xlfn.XLOOKUP(L6018,[2]analyte_order!$C:$C,[2]analyte_order!$E:$E)</f>
        <v>17</v>
      </c>
      <c r="N6018">
        <v>9.82</v>
      </c>
    </row>
    <row r="6019" spans="1:14">
      <c r="A6019" t="s">
        <v>175</v>
      </c>
      <c r="B6019" t="str">
        <f>_xlfn.XLOOKUP(A6019,'[1]Tissue Data'!$A:$A,'[1]Tissue Data'!$C:$C)</f>
        <v>Spill</v>
      </c>
      <c r="C6019" s="2">
        <f>_xlfn.XLOOKUP(A6019,'[1]Tissue Data'!$A:$A,'[1]Tissue Data'!$D:$D)</f>
        <v>44393</v>
      </c>
      <c r="D6019" s="2" t="str">
        <f>_xlfn.XLOOKUP(A6019,'[1]Tissue Data'!$A:$A,'[1]Tissue Data'!$F:$F)</f>
        <v>Fallfish</v>
      </c>
      <c r="E6019" t="str">
        <f>_xlfn.XLOOKUP(A6019,'[1]Tissue Data'!$A:$A,'[1]Tissue Data'!$H:$H)</f>
        <v>Semotilus</v>
      </c>
      <c r="F6019" t="str">
        <f>_xlfn.XLOOKUP(A6019,'[1]Tissue Data'!$A:$A,'[1]Tissue Data'!$I:$I)</f>
        <v>corporalis</v>
      </c>
      <c r="G6019" t="str">
        <f>_xlfn.XLOOKUP(A6019,'[1]Tissue Data'!$A:$A,'[1]Tissue Data'!J:J)</f>
        <v>U</v>
      </c>
      <c r="H6019" t="str">
        <f>_xlfn.XLOOKUP(A6019,'[1]Tissue Data'!$A:$A,'[1]Tissue Data'!K:K)</f>
        <v>Whole Body</v>
      </c>
      <c r="I6019">
        <f>_xlfn.XLOOKUP(A6019,'[1]Tissue Data'!$A:$A,'[1]Tissue Data'!L:L)</f>
        <v>8</v>
      </c>
      <c r="J6019">
        <f>_xlfn.XLOOKUP(A6019,'[1]Tissue Data'!$A:$A,'[1]Tissue Data'!M:M)</f>
        <v>4.83</v>
      </c>
      <c r="K6019" t="s">
        <v>29</v>
      </c>
      <c r="L6019" t="str">
        <f>_xlfn.XLOOKUP(K6019,[2]analyte_order!$B:$B,[2]analyte_order!$C:$C)</f>
        <v>1763-23-1</v>
      </c>
      <c r="M6019">
        <f>_xlfn.XLOOKUP(L6019,[2]analyte_order!$C:$C,[2]analyte_order!$E:$E)</f>
        <v>18</v>
      </c>
      <c r="N6019">
        <v>738</v>
      </c>
    </row>
    <row r="6020" spans="1:14">
      <c r="A6020" t="s">
        <v>175</v>
      </c>
      <c r="B6020" t="str">
        <f>_xlfn.XLOOKUP(A6020,'[1]Tissue Data'!$A:$A,'[1]Tissue Data'!$C:$C)</f>
        <v>Spill</v>
      </c>
      <c r="C6020" s="2">
        <f>_xlfn.XLOOKUP(A6020,'[1]Tissue Data'!$A:$A,'[1]Tissue Data'!$D:$D)</f>
        <v>44393</v>
      </c>
      <c r="D6020" s="2" t="str">
        <f>_xlfn.XLOOKUP(A6020,'[1]Tissue Data'!$A:$A,'[1]Tissue Data'!$F:$F)</f>
        <v>Fallfish</v>
      </c>
      <c r="E6020" t="str">
        <f>_xlfn.XLOOKUP(A6020,'[1]Tissue Data'!$A:$A,'[1]Tissue Data'!$H:$H)</f>
        <v>Semotilus</v>
      </c>
      <c r="F6020" t="str">
        <f>_xlfn.XLOOKUP(A6020,'[1]Tissue Data'!$A:$A,'[1]Tissue Data'!$I:$I)</f>
        <v>corporalis</v>
      </c>
      <c r="G6020" t="str">
        <f>_xlfn.XLOOKUP(A6020,'[1]Tissue Data'!$A:$A,'[1]Tissue Data'!J:J)</f>
        <v>U</v>
      </c>
      <c r="H6020" t="str">
        <f>_xlfn.XLOOKUP(A6020,'[1]Tissue Data'!$A:$A,'[1]Tissue Data'!K:K)</f>
        <v>Whole Body</v>
      </c>
      <c r="I6020">
        <f>_xlfn.XLOOKUP(A6020,'[1]Tissue Data'!$A:$A,'[1]Tissue Data'!L:L)</f>
        <v>8</v>
      </c>
      <c r="J6020">
        <f>_xlfn.XLOOKUP(A6020,'[1]Tissue Data'!$A:$A,'[1]Tissue Data'!M:M)</f>
        <v>4.83</v>
      </c>
      <c r="K6020" t="s">
        <v>30</v>
      </c>
      <c r="L6020" t="str">
        <f>_xlfn.XLOOKUP(K6020,[2]analyte_order!$B:$B,[2]analyte_order!$C:$C)</f>
        <v>68259-12-1</v>
      </c>
      <c r="M6020">
        <f>_xlfn.XLOOKUP(L6020,[2]analyte_order!$C:$C,[2]analyte_order!$E:$E)</f>
        <v>19</v>
      </c>
      <c r="N6020">
        <v>1.1599999999999999</v>
      </c>
    </row>
    <row r="6021" spans="1:14">
      <c r="A6021" t="s">
        <v>175</v>
      </c>
      <c r="B6021" t="str">
        <f>_xlfn.XLOOKUP(A6021,'[1]Tissue Data'!$A:$A,'[1]Tissue Data'!$C:$C)</f>
        <v>Spill</v>
      </c>
      <c r="C6021" s="2">
        <f>_xlfn.XLOOKUP(A6021,'[1]Tissue Data'!$A:$A,'[1]Tissue Data'!$D:$D)</f>
        <v>44393</v>
      </c>
      <c r="D6021" s="2" t="str">
        <f>_xlfn.XLOOKUP(A6021,'[1]Tissue Data'!$A:$A,'[1]Tissue Data'!$F:$F)</f>
        <v>Fallfish</v>
      </c>
      <c r="E6021" t="str">
        <f>_xlfn.XLOOKUP(A6021,'[1]Tissue Data'!$A:$A,'[1]Tissue Data'!$H:$H)</f>
        <v>Semotilus</v>
      </c>
      <c r="F6021" t="str">
        <f>_xlfn.XLOOKUP(A6021,'[1]Tissue Data'!$A:$A,'[1]Tissue Data'!$I:$I)</f>
        <v>corporalis</v>
      </c>
      <c r="G6021" t="str">
        <f>_xlfn.XLOOKUP(A6021,'[1]Tissue Data'!$A:$A,'[1]Tissue Data'!J:J)</f>
        <v>U</v>
      </c>
      <c r="H6021" t="str">
        <f>_xlfn.XLOOKUP(A6021,'[1]Tissue Data'!$A:$A,'[1]Tissue Data'!K:K)</f>
        <v>Whole Body</v>
      </c>
      <c r="I6021">
        <f>_xlfn.XLOOKUP(A6021,'[1]Tissue Data'!$A:$A,'[1]Tissue Data'!L:L)</f>
        <v>8</v>
      </c>
      <c r="J6021">
        <f>_xlfn.XLOOKUP(A6021,'[1]Tissue Data'!$A:$A,'[1]Tissue Data'!M:M)</f>
        <v>4.83</v>
      </c>
      <c r="K6021" t="s">
        <v>31</v>
      </c>
      <c r="L6021" t="str">
        <f>_xlfn.XLOOKUP(K6021,[2]analyte_order!$B:$B,[2]analyte_order!$C:$C)</f>
        <v>335-77-3</v>
      </c>
      <c r="M6021">
        <f>_xlfn.XLOOKUP(L6021,[2]analyte_order!$C:$C,[2]analyte_order!$E:$E)</f>
        <v>20</v>
      </c>
      <c r="N6021">
        <v>2.46</v>
      </c>
    </row>
    <row r="6022" spans="1:14">
      <c r="A6022" t="s">
        <v>175</v>
      </c>
      <c r="B6022" t="str">
        <f>_xlfn.XLOOKUP(A6022,'[1]Tissue Data'!$A:$A,'[1]Tissue Data'!$C:$C)</f>
        <v>Spill</v>
      </c>
      <c r="C6022" s="2">
        <f>_xlfn.XLOOKUP(A6022,'[1]Tissue Data'!$A:$A,'[1]Tissue Data'!$D:$D)</f>
        <v>44393</v>
      </c>
      <c r="D6022" s="2" t="str">
        <f>_xlfn.XLOOKUP(A6022,'[1]Tissue Data'!$A:$A,'[1]Tissue Data'!$F:$F)</f>
        <v>Fallfish</v>
      </c>
      <c r="E6022" t="str">
        <f>_xlfn.XLOOKUP(A6022,'[1]Tissue Data'!$A:$A,'[1]Tissue Data'!$H:$H)</f>
        <v>Semotilus</v>
      </c>
      <c r="F6022" t="str">
        <f>_xlfn.XLOOKUP(A6022,'[1]Tissue Data'!$A:$A,'[1]Tissue Data'!$I:$I)</f>
        <v>corporalis</v>
      </c>
      <c r="G6022" t="str">
        <f>_xlfn.XLOOKUP(A6022,'[1]Tissue Data'!$A:$A,'[1]Tissue Data'!J:J)</f>
        <v>U</v>
      </c>
      <c r="H6022" t="str">
        <f>_xlfn.XLOOKUP(A6022,'[1]Tissue Data'!$A:$A,'[1]Tissue Data'!K:K)</f>
        <v>Whole Body</v>
      </c>
      <c r="I6022">
        <f>_xlfn.XLOOKUP(A6022,'[1]Tissue Data'!$A:$A,'[1]Tissue Data'!L:L)</f>
        <v>8</v>
      </c>
      <c r="J6022">
        <f>_xlfn.XLOOKUP(A6022,'[1]Tissue Data'!$A:$A,'[1]Tissue Data'!M:M)</f>
        <v>4.83</v>
      </c>
      <c r="K6022" t="s">
        <v>32</v>
      </c>
      <c r="L6022" t="str">
        <f>_xlfn.XLOOKUP(K6022,[2]analyte_order!$B:$B,[2]analyte_order!$C:$C)</f>
        <v>79780-39-5</v>
      </c>
      <c r="M6022">
        <f>_xlfn.XLOOKUP(L6022,[2]analyte_order!$C:$C,[2]analyte_order!$E:$E)</f>
        <v>21</v>
      </c>
      <c r="N6022">
        <v>0.49</v>
      </c>
    </row>
    <row r="6023" spans="1:14">
      <c r="A6023" t="s">
        <v>175</v>
      </c>
      <c r="B6023" t="str">
        <f>_xlfn.XLOOKUP(A6023,'[1]Tissue Data'!$A:$A,'[1]Tissue Data'!$C:$C)</f>
        <v>Spill</v>
      </c>
      <c r="C6023" s="2">
        <f>_xlfn.XLOOKUP(A6023,'[1]Tissue Data'!$A:$A,'[1]Tissue Data'!$D:$D)</f>
        <v>44393</v>
      </c>
      <c r="D6023" s="2" t="str">
        <f>_xlfn.XLOOKUP(A6023,'[1]Tissue Data'!$A:$A,'[1]Tissue Data'!$F:$F)</f>
        <v>Fallfish</v>
      </c>
      <c r="E6023" t="str">
        <f>_xlfn.XLOOKUP(A6023,'[1]Tissue Data'!$A:$A,'[1]Tissue Data'!$H:$H)</f>
        <v>Semotilus</v>
      </c>
      <c r="F6023" t="str">
        <f>_xlfn.XLOOKUP(A6023,'[1]Tissue Data'!$A:$A,'[1]Tissue Data'!$I:$I)</f>
        <v>corporalis</v>
      </c>
      <c r="G6023" t="str">
        <f>_xlfn.XLOOKUP(A6023,'[1]Tissue Data'!$A:$A,'[1]Tissue Data'!J:J)</f>
        <v>U</v>
      </c>
      <c r="H6023" t="str">
        <f>_xlfn.XLOOKUP(A6023,'[1]Tissue Data'!$A:$A,'[1]Tissue Data'!K:K)</f>
        <v>Whole Body</v>
      </c>
      <c r="I6023">
        <f>_xlfn.XLOOKUP(A6023,'[1]Tissue Data'!$A:$A,'[1]Tissue Data'!L:L)</f>
        <v>8</v>
      </c>
      <c r="J6023">
        <f>_xlfn.XLOOKUP(A6023,'[1]Tissue Data'!$A:$A,'[1]Tissue Data'!M:M)</f>
        <v>4.83</v>
      </c>
      <c r="K6023" t="s">
        <v>33</v>
      </c>
      <c r="L6023" t="str">
        <f>_xlfn.XLOOKUP(K6023,[2]analyte_order!$B:$B,[2]analyte_order!$C:$C)</f>
        <v>777011-38-8</v>
      </c>
      <c r="M6023">
        <f>_xlfn.XLOOKUP(L6023,[2]analyte_order!$C:$C,[2]analyte_order!$E:$E)</f>
        <v>54</v>
      </c>
      <c r="N6023">
        <v>6.4500000000000002E-2</v>
      </c>
    </row>
    <row r="6024" spans="1:14">
      <c r="A6024" t="s">
        <v>175</v>
      </c>
      <c r="B6024" t="str">
        <f>_xlfn.XLOOKUP(A6024,'[1]Tissue Data'!$A:$A,'[1]Tissue Data'!$C:$C)</f>
        <v>Spill</v>
      </c>
      <c r="C6024" s="2">
        <f>_xlfn.XLOOKUP(A6024,'[1]Tissue Data'!$A:$A,'[1]Tissue Data'!$D:$D)</f>
        <v>44393</v>
      </c>
      <c r="D6024" s="2" t="str">
        <f>_xlfn.XLOOKUP(A6024,'[1]Tissue Data'!$A:$A,'[1]Tissue Data'!$F:$F)</f>
        <v>Fallfish</v>
      </c>
      <c r="E6024" t="str">
        <f>_xlfn.XLOOKUP(A6024,'[1]Tissue Data'!$A:$A,'[1]Tissue Data'!$H:$H)</f>
        <v>Semotilus</v>
      </c>
      <c r="F6024" t="str">
        <f>_xlfn.XLOOKUP(A6024,'[1]Tissue Data'!$A:$A,'[1]Tissue Data'!$I:$I)</f>
        <v>corporalis</v>
      </c>
      <c r="G6024" t="str">
        <f>_xlfn.XLOOKUP(A6024,'[1]Tissue Data'!$A:$A,'[1]Tissue Data'!J:J)</f>
        <v>U</v>
      </c>
      <c r="H6024" t="str">
        <f>_xlfn.XLOOKUP(A6024,'[1]Tissue Data'!$A:$A,'[1]Tissue Data'!K:K)</f>
        <v>Whole Body</v>
      </c>
      <c r="I6024">
        <f>_xlfn.XLOOKUP(A6024,'[1]Tissue Data'!$A:$A,'[1]Tissue Data'!L:L)</f>
        <v>8</v>
      </c>
      <c r="J6024">
        <f>_xlfn.XLOOKUP(A6024,'[1]Tissue Data'!$A:$A,'[1]Tissue Data'!M:M)</f>
        <v>4.83</v>
      </c>
      <c r="K6024" t="s">
        <v>34</v>
      </c>
      <c r="L6024" t="str">
        <f>_xlfn.XLOOKUP(K6024,[2]analyte_order!$B:$B,[2]analyte_order!$C:$C)</f>
        <v>646-83-3</v>
      </c>
      <c r="M6024">
        <f>_xlfn.XLOOKUP(L6024,[2]analyte_order!$C:$C,[2]analyte_order!$E:$E)</f>
        <v>55</v>
      </c>
      <c r="N6024">
        <v>0.41499999999999998</v>
      </c>
    </row>
    <row r="6025" spans="1:14">
      <c r="A6025" t="s">
        <v>175</v>
      </c>
      <c r="B6025" t="str">
        <f>_xlfn.XLOOKUP(A6025,'[1]Tissue Data'!$A:$A,'[1]Tissue Data'!$C:$C)</f>
        <v>Spill</v>
      </c>
      <c r="C6025" s="2">
        <f>_xlfn.XLOOKUP(A6025,'[1]Tissue Data'!$A:$A,'[1]Tissue Data'!$D:$D)</f>
        <v>44393</v>
      </c>
      <c r="D6025" s="2" t="str">
        <f>_xlfn.XLOOKUP(A6025,'[1]Tissue Data'!$A:$A,'[1]Tissue Data'!$F:$F)</f>
        <v>Fallfish</v>
      </c>
      <c r="E6025" t="str">
        <f>_xlfn.XLOOKUP(A6025,'[1]Tissue Data'!$A:$A,'[1]Tissue Data'!$H:$H)</f>
        <v>Semotilus</v>
      </c>
      <c r="F6025" t="str">
        <f>_xlfn.XLOOKUP(A6025,'[1]Tissue Data'!$A:$A,'[1]Tissue Data'!$I:$I)</f>
        <v>corporalis</v>
      </c>
      <c r="G6025" t="str">
        <f>_xlfn.XLOOKUP(A6025,'[1]Tissue Data'!$A:$A,'[1]Tissue Data'!J:J)</f>
        <v>U</v>
      </c>
      <c r="H6025" t="str">
        <f>_xlfn.XLOOKUP(A6025,'[1]Tissue Data'!$A:$A,'[1]Tissue Data'!K:K)</f>
        <v>Whole Body</v>
      </c>
      <c r="I6025">
        <f>_xlfn.XLOOKUP(A6025,'[1]Tissue Data'!$A:$A,'[1]Tissue Data'!L:L)</f>
        <v>8</v>
      </c>
      <c r="J6025">
        <f>_xlfn.XLOOKUP(A6025,'[1]Tissue Data'!$A:$A,'[1]Tissue Data'!M:M)</f>
        <v>4.83</v>
      </c>
      <c r="K6025" t="s">
        <v>35</v>
      </c>
      <c r="L6025" t="str">
        <f>_xlfn.XLOOKUP(K6025,[2]analyte_order!$B:$B,[2]analyte_order!$C:$C)</f>
        <v>30334-69-1</v>
      </c>
      <c r="M6025">
        <f>_xlfn.XLOOKUP(L6025,[2]analyte_order!$C:$C,[2]analyte_order!$E:$E)</f>
        <v>51</v>
      </c>
      <c r="N6025">
        <v>75.8</v>
      </c>
    </row>
    <row r="6026" spans="1:14">
      <c r="A6026" t="s">
        <v>175</v>
      </c>
      <c r="B6026" t="str">
        <f>_xlfn.XLOOKUP(A6026,'[1]Tissue Data'!$A:$A,'[1]Tissue Data'!$C:$C)</f>
        <v>Spill</v>
      </c>
      <c r="C6026" s="2">
        <f>_xlfn.XLOOKUP(A6026,'[1]Tissue Data'!$A:$A,'[1]Tissue Data'!$D:$D)</f>
        <v>44393</v>
      </c>
      <c r="D6026" s="2" t="str">
        <f>_xlfn.XLOOKUP(A6026,'[1]Tissue Data'!$A:$A,'[1]Tissue Data'!$F:$F)</f>
        <v>Fallfish</v>
      </c>
      <c r="E6026" t="str">
        <f>_xlfn.XLOOKUP(A6026,'[1]Tissue Data'!$A:$A,'[1]Tissue Data'!$H:$H)</f>
        <v>Semotilus</v>
      </c>
      <c r="F6026" t="str">
        <f>_xlfn.XLOOKUP(A6026,'[1]Tissue Data'!$A:$A,'[1]Tissue Data'!$I:$I)</f>
        <v>corporalis</v>
      </c>
      <c r="G6026" t="str">
        <f>_xlfn.XLOOKUP(A6026,'[1]Tissue Data'!$A:$A,'[1]Tissue Data'!J:J)</f>
        <v>U</v>
      </c>
      <c r="H6026" t="str">
        <f>_xlfn.XLOOKUP(A6026,'[1]Tissue Data'!$A:$A,'[1]Tissue Data'!K:K)</f>
        <v>Whole Body</v>
      </c>
      <c r="I6026">
        <f>_xlfn.XLOOKUP(A6026,'[1]Tissue Data'!$A:$A,'[1]Tissue Data'!L:L)</f>
        <v>8</v>
      </c>
      <c r="J6026">
        <f>_xlfn.XLOOKUP(A6026,'[1]Tissue Data'!$A:$A,'[1]Tissue Data'!M:M)</f>
        <v>4.83</v>
      </c>
      <c r="K6026" t="s">
        <v>36</v>
      </c>
      <c r="L6026" t="str">
        <f>_xlfn.XLOOKUP(K6026,[2]analyte_order!$B:$B,[2]analyte_order!$C:$C)</f>
        <v>41997-13-1</v>
      </c>
      <c r="M6026">
        <f>_xlfn.XLOOKUP(L6026,[2]analyte_order!$C:$C,[2]analyte_order!$E:$E)</f>
        <v>52</v>
      </c>
      <c r="N6026">
        <v>211</v>
      </c>
    </row>
    <row r="6027" spans="1:14">
      <c r="A6027" t="s">
        <v>175</v>
      </c>
      <c r="B6027" t="str">
        <f>_xlfn.XLOOKUP(A6027,'[1]Tissue Data'!$A:$A,'[1]Tissue Data'!$C:$C)</f>
        <v>Spill</v>
      </c>
      <c r="C6027" s="2">
        <f>_xlfn.XLOOKUP(A6027,'[1]Tissue Data'!$A:$A,'[1]Tissue Data'!$D:$D)</f>
        <v>44393</v>
      </c>
      <c r="D6027" s="2" t="str">
        <f>_xlfn.XLOOKUP(A6027,'[1]Tissue Data'!$A:$A,'[1]Tissue Data'!$F:$F)</f>
        <v>Fallfish</v>
      </c>
      <c r="E6027" t="str">
        <f>_xlfn.XLOOKUP(A6027,'[1]Tissue Data'!$A:$A,'[1]Tissue Data'!$H:$H)</f>
        <v>Semotilus</v>
      </c>
      <c r="F6027" t="str">
        <f>_xlfn.XLOOKUP(A6027,'[1]Tissue Data'!$A:$A,'[1]Tissue Data'!$I:$I)</f>
        <v>corporalis</v>
      </c>
      <c r="G6027" t="str">
        <f>_xlfn.XLOOKUP(A6027,'[1]Tissue Data'!$A:$A,'[1]Tissue Data'!J:J)</f>
        <v>U</v>
      </c>
      <c r="H6027" t="str">
        <f>_xlfn.XLOOKUP(A6027,'[1]Tissue Data'!$A:$A,'[1]Tissue Data'!K:K)</f>
        <v>Whole Body</v>
      </c>
      <c r="I6027">
        <f>_xlfn.XLOOKUP(A6027,'[1]Tissue Data'!$A:$A,'[1]Tissue Data'!L:L)</f>
        <v>8</v>
      </c>
      <c r="J6027">
        <f>_xlfn.XLOOKUP(A6027,'[1]Tissue Data'!$A:$A,'[1]Tissue Data'!M:M)</f>
        <v>4.83</v>
      </c>
      <c r="K6027" t="s">
        <v>37</v>
      </c>
      <c r="L6027" t="str">
        <f>_xlfn.XLOOKUP(K6027,[2]analyte_order!$B:$B,[2]analyte_order!$C:$C)</f>
        <v>754-91-6</v>
      </c>
      <c r="M6027">
        <f>_xlfn.XLOOKUP(L6027,[2]analyte_order!$C:$C,[2]analyte_order!$E:$E)</f>
        <v>28</v>
      </c>
      <c r="N6027">
        <v>18.5</v>
      </c>
    </row>
    <row r="6028" spans="1:14">
      <c r="A6028" t="s">
        <v>175</v>
      </c>
      <c r="B6028" t="str">
        <f>_xlfn.XLOOKUP(A6028,'[1]Tissue Data'!$A:$A,'[1]Tissue Data'!$C:$C)</f>
        <v>Spill</v>
      </c>
      <c r="C6028" s="2">
        <f>_xlfn.XLOOKUP(A6028,'[1]Tissue Data'!$A:$A,'[1]Tissue Data'!$D:$D)</f>
        <v>44393</v>
      </c>
      <c r="D6028" s="2" t="str">
        <f>_xlfn.XLOOKUP(A6028,'[1]Tissue Data'!$A:$A,'[1]Tissue Data'!$F:$F)</f>
        <v>Fallfish</v>
      </c>
      <c r="E6028" t="str">
        <f>_xlfn.XLOOKUP(A6028,'[1]Tissue Data'!$A:$A,'[1]Tissue Data'!$H:$H)</f>
        <v>Semotilus</v>
      </c>
      <c r="F6028" t="str">
        <f>_xlfn.XLOOKUP(A6028,'[1]Tissue Data'!$A:$A,'[1]Tissue Data'!$I:$I)</f>
        <v>corporalis</v>
      </c>
      <c r="G6028" t="str">
        <f>_xlfn.XLOOKUP(A6028,'[1]Tissue Data'!$A:$A,'[1]Tissue Data'!J:J)</f>
        <v>U</v>
      </c>
      <c r="H6028" t="str">
        <f>_xlfn.XLOOKUP(A6028,'[1]Tissue Data'!$A:$A,'[1]Tissue Data'!K:K)</f>
        <v>Whole Body</v>
      </c>
      <c r="I6028">
        <f>_xlfn.XLOOKUP(A6028,'[1]Tissue Data'!$A:$A,'[1]Tissue Data'!L:L)</f>
        <v>8</v>
      </c>
      <c r="J6028">
        <f>_xlfn.XLOOKUP(A6028,'[1]Tissue Data'!$A:$A,'[1]Tissue Data'!M:M)</f>
        <v>4.83</v>
      </c>
      <c r="K6028" t="s">
        <v>38</v>
      </c>
      <c r="L6028" t="str">
        <f>_xlfn.XLOOKUP(K6028,[2]analyte_order!$B:$B,[2]analyte_order!$C:$C)</f>
        <v>31506-32-8</v>
      </c>
      <c r="M6028">
        <f>_xlfn.XLOOKUP(L6028,[2]analyte_order!$C:$C,[2]analyte_order!$E:$E)</f>
        <v>30</v>
      </c>
      <c r="N6028">
        <v>8.2000000000000003E-2</v>
      </c>
    </row>
    <row r="6029" spans="1:14">
      <c r="A6029" t="s">
        <v>175</v>
      </c>
      <c r="B6029" t="str">
        <f>_xlfn.XLOOKUP(A6029,'[1]Tissue Data'!$A:$A,'[1]Tissue Data'!$C:$C)</f>
        <v>Spill</v>
      </c>
      <c r="C6029" s="2">
        <f>_xlfn.XLOOKUP(A6029,'[1]Tissue Data'!$A:$A,'[1]Tissue Data'!$D:$D)</f>
        <v>44393</v>
      </c>
      <c r="D6029" s="2" t="str">
        <f>_xlfn.XLOOKUP(A6029,'[1]Tissue Data'!$A:$A,'[1]Tissue Data'!$F:$F)</f>
        <v>Fallfish</v>
      </c>
      <c r="E6029" t="str">
        <f>_xlfn.XLOOKUP(A6029,'[1]Tissue Data'!$A:$A,'[1]Tissue Data'!$H:$H)</f>
        <v>Semotilus</v>
      </c>
      <c r="F6029" t="str">
        <f>_xlfn.XLOOKUP(A6029,'[1]Tissue Data'!$A:$A,'[1]Tissue Data'!$I:$I)</f>
        <v>corporalis</v>
      </c>
      <c r="G6029" t="str">
        <f>_xlfn.XLOOKUP(A6029,'[1]Tissue Data'!$A:$A,'[1]Tissue Data'!J:J)</f>
        <v>U</v>
      </c>
      <c r="H6029" t="str">
        <f>_xlfn.XLOOKUP(A6029,'[1]Tissue Data'!$A:$A,'[1]Tissue Data'!K:K)</f>
        <v>Whole Body</v>
      </c>
      <c r="I6029">
        <f>_xlfn.XLOOKUP(A6029,'[1]Tissue Data'!$A:$A,'[1]Tissue Data'!L:L)</f>
        <v>8</v>
      </c>
      <c r="J6029">
        <f>_xlfn.XLOOKUP(A6029,'[1]Tissue Data'!$A:$A,'[1]Tissue Data'!M:M)</f>
        <v>4.83</v>
      </c>
      <c r="K6029" t="s">
        <v>39</v>
      </c>
      <c r="L6029" t="str">
        <f>_xlfn.XLOOKUP(K6029,[2]analyte_order!$B:$B,[2]analyte_order!$C:$C)</f>
        <v>4151-50-2</v>
      </c>
      <c r="M6029">
        <f>_xlfn.XLOOKUP(L6029,[2]analyte_order!$C:$C,[2]analyte_order!$E:$E)</f>
        <v>31</v>
      </c>
      <c r="N6029">
        <v>0.21299999999999999</v>
      </c>
    </row>
    <row r="6030" spans="1:14">
      <c r="A6030" t="s">
        <v>175</v>
      </c>
      <c r="B6030" t="str">
        <f>_xlfn.XLOOKUP(A6030,'[1]Tissue Data'!$A:$A,'[1]Tissue Data'!$C:$C)</f>
        <v>Spill</v>
      </c>
      <c r="C6030" s="2">
        <f>_xlfn.XLOOKUP(A6030,'[1]Tissue Data'!$A:$A,'[1]Tissue Data'!$D:$D)</f>
        <v>44393</v>
      </c>
      <c r="D6030" s="2" t="str">
        <f>_xlfn.XLOOKUP(A6030,'[1]Tissue Data'!$A:$A,'[1]Tissue Data'!$F:$F)</f>
        <v>Fallfish</v>
      </c>
      <c r="E6030" t="str">
        <f>_xlfn.XLOOKUP(A6030,'[1]Tissue Data'!$A:$A,'[1]Tissue Data'!$H:$H)</f>
        <v>Semotilus</v>
      </c>
      <c r="F6030" t="str">
        <f>_xlfn.XLOOKUP(A6030,'[1]Tissue Data'!$A:$A,'[1]Tissue Data'!$I:$I)</f>
        <v>corporalis</v>
      </c>
      <c r="G6030" t="str">
        <f>_xlfn.XLOOKUP(A6030,'[1]Tissue Data'!$A:$A,'[1]Tissue Data'!J:J)</f>
        <v>U</v>
      </c>
      <c r="H6030" t="str">
        <f>_xlfn.XLOOKUP(A6030,'[1]Tissue Data'!$A:$A,'[1]Tissue Data'!K:K)</f>
        <v>Whole Body</v>
      </c>
      <c r="I6030">
        <f>_xlfn.XLOOKUP(A6030,'[1]Tissue Data'!$A:$A,'[1]Tissue Data'!L:L)</f>
        <v>8</v>
      </c>
      <c r="J6030">
        <f>_xlfn.XLOOKUP(A6030,'[1]Tissue Data'!$A:$A,'[1]Tissue Data'!M:M)</f>
        <v>4.83</v>
      </c>
      <c r="K6030" t="s">
        <v>40</v>
      </c>
      <c r="L6030" t="str">
        <f>_xlfn.XLOOKUP(K6030,[2]analyte_order!$B:$B,[2]analyte_order!$C:$C)</f>
        <v>2806-24-8</v>
      </c>
      <c r="M6030">
        <f>_xlfn.XLOOKUP(L6030,[2]analyte_order!$C:$C,[2]analyte_order!$E:$E)</f>
        <v>29</v>
      </c>
      <c r="N6030">
        <v>0.21299999999999999</v>
      </c>
    </row>
    <row r="6031" spans="1:14">
      <c r="A6031" t="s">
        <v>175</v>
      </c>
      <c r="B6031" t="str">
        <f>_xlfn.XLOOKUP(A6031,'[1]Tissue Data'!$A:$A,'[1]Tissue Data'!$C:$C)</f>
        <v>Spill</v>
      </c>
      <c r="C6031" s="2">
        <f>_xlfn.XLOOKUP(A6031,'[1]Tissue Data'!$A:$A,'[1]Tissue Data'!$D:$D)</f>
        <v>44393</v>
      </c>
      <c r="D6031" s="2" t="str">
        <f>_xlfn.XLOOKUP(A6031,'[1]Tissue Data'!$A:$A,'[1]Tissue Data'!$F:$F)</f>
        <v>Fallfish</v>
      </c>
      <c r="E6031" t="str">
        <f>_xlfn.XLOOKUP(A6031,'[1]Tissue Data'!$A:$A,'[1]Tissue Data'!$H:$H)</f>
        <v>Semotilus</v>
      </c>
      <c r="F6031" t="str">
        <f>_xlfn.XLOOKUP(A6031,'[1]Tissue Data'!$A:$A,'[1]Tissue Data'!$I:$I)</f>
        <v>corporalis</v>
      </c>
      <c r="G6031" t="str">
        <f>_xlfn.XLOOKUP(A6031,'[1]Tissue Data'!$A:$A,'[1]Tissue Data'!J:J)</f>
        <v>U</v>
      </c>
      <c r="H6031" t="str">
        <f>_xlfn.XLOOKUP(A6031,'[1]Tissue Data'!$A:$A,'[1]Tissue Data'!K:K)</f>
        <v>Whole Body</v>
      </c>
      <c r="I6031">
        <f>_xlfn.XLOOKUP(A6031,'[1]Tissue Data'!$A:$A,'[1]Tissue Data'!L:L)</f>
        <v>8</v>
      </c>
      <c r="J6031">
        <f>_xlfn.XLOOKUP(A6031,'[1]Tissue Data'!$A:$A,'[1]Tissue Data'!M:M)</f>
        <v>4.83</v>
      </c>
      <c r="K6031" t="s">
        <v>41</v>
      </c>
      <c r="L6031" t="str">
        <f>_xlfn.XLOOKUP(K6031,[2]analyte_order!$B:$B,[2]analyte_order!$C:$C)</f>
        <v>2355-31-9</v>
      </c>
      <c r="M6031">
        <f>_xlfn.XLOOKUP(L6031,[2]analyte_order!$C:$C,[2]analyte_order!$E:$E)</f>
        <v>26</v>
      </c>
      <c r="N6031">
        <v>0.107</v>
      </c>
    </row>
    <row r="6032" spans="1:14">
      <c r="A6032" t="s">
        <v>175</v>
      </c>
      <c r="B6032" t="str">
        <f>_xlfn.XLOOKUP(A6032,'[1]Tissue Data'!$A:$A,'[1]Tissue Data'!$C:$C)</f>
        <v>Spill</v>
      </c>
      <c r="C6032" s="2">
        <f>_xlfn.XLOOKUP(A6032,'[1]Tissue Data'!$A:$A,'[1]Tissue Data'!$D:$D)</f>
        <v>44393</v>
      </c>
      <c r="D6032" s="2" t="str">
        <f>_xlfn.XLOOKUP(A6032,'[1]Tissue Data'!$A:$A,'[1]Tissue Data'!$F:$F)</f>
        <v>Fallfish</v>
      </c>
      <c r="E6032" t="str">
        <f>_xlfn.XLOOKUP(A6032,'[1]Tissue Data'!$A:$A,'[1]Tissue Data'!$H:$H)</f>
        <v>Semotilus</v>
      </c>
      <c r="F6032" t="str">
        <f>_xlfn.XLOOKUP(A6032,'[1]Tissue Data'!$A:$A,'[1]Tissue Data'!$I:$I)</f>
        <v>corporalis</v>
      </c>
      <c r="G6032" t="str">
        <f>_xlfn.XLOOKUP(A6032,'[1]Tissue Data'!$A:$A,'[1]Tissue Data'!J:J)</f>
        <v>U</v>
      </c>
      <c r="H6032" t="str">
        <f>_xlfn.XLOOKUP(A6032,'[1]Tissue Data'!$A:$A,'[1]Tissue Data'!K:K)</f>
        <v>Whole Body</v>
      </c>
      <c r="I6032">
        <f>_xlfn.XLOOKUP(A6032,'[1]Tissue Data'!$A:$A,'[1]Tissue Data'!L:L)</f>
        <v>8</v>
      </c>
      <c r="J6032">
        <f>_xlfn.XLOOKUP(A6032,'[1]Tissue Data'!$A:$A,'[1]Tissue Data'!M:M)</f>
        <v>4.83</v>
      </c>
      <c r="K6032" t="s">
        <v>42</v>
      </c>
      <c r="L6032" t="str">
        <f>_xlfn.XLOOKUP(K6032,[2]analyte_order!$B:$B,[2]analyte_order!$C:$C)</f>
        <v>2991-50-6</v>
      </c>
      <c r="M6032">
        <f>_xlfn.XLOOKUP(L6032,[2]analyte_order!$C:$C,[2]analyte_order!$E:$E)</f>
        <v>27</v>
      </c>
      <c r="N6032">
        <v>0.1065</v>
      </c>
    </row>
    <row r="6033" spans="1:14">
      <c r="A6033" t="s">
        <v>175</v>
      </c>
      <c r="B6033" t="str">
        <f>_xlfn.XLOOKUP(A6033,'[1]Tissue Data'!$A:$A,'[1]Tissue Data'!$C:$C)</f>
        <v>Spill</v>
      </c>
      <c r="C6033" s="2">
        <f>_xlfn.XLOOKUP(A6033,'[1]Tissue Data'!$A:$A,'[1]Tissue Data'!$D:$D)</f>
        <v>44393</v>
      </c>
      <c r="D6033" s="2" t="str">
        <f>_xlfn.XLOOKUP(A6033,'[1]Tissue Data'!$A:$A,'[1]Tissue Data'!$F:$F)</f>
        <v>Fallfish</v>
      </c>
      <c r="E6033" t="str">
        <f>_xlfn.XLOOKUP(A6033,'[1]Tissue Data'!$A:$A,'[1]Tissue Data'!$H:$H)</f>
        <v>Semotilus</v>
      </c>
      <c r="F6033" t="str">
        <f>_xlfn.XLOOKUP(A6033,'[1]Tissue Data'!$A:$A,'[1]Tissue Data'!$I:$I)</f>
        <v>corporalis</v>
      </c>
      <c r="G6033" t="str">
        <f>_xlfn.XLOOKUP(A6033,'[1]Tissue Data'!$A:$A,'[1]Tissue Data'!J:J)</f>
        <v>U</v>
      </c>
      <c r="H6033" t="str">
        <f>_xlfn.XLOOKUP(A6033,'[1]Tissue Data'!$A:$A,'[1]Tissue Data'!K:K)</f>
        <v>Whole Body</v>
      </c>
      <c r="I6033">
        <f>_xlfn.XLOOKUP(A6033,'[1]Tissue Data'!$A:$A,'[1]Tissue Data'!L:L)</f>
        <v>8</v>
      </c>
      <c r="J6033">
        <f>_xlfn.XLOOKUP(A6033,'[1]Tissue Data'!$A:$A,'[1]Tissue Data'!M:M)</f>
        <v>4.83</v>
      </c>
      <c r="K6033" t="s">
        <v>43</v>
      </c>
      <c r="L6033" t="str">
        <f>_xlfn.XLOOKUP(K6033,[2]analyte_order!$B:$B,[2]analyte_order!$C:$C)</f>
        <v>757124-72-4</v>
      </c>
      <c r="M6033">
        <f>_xlfn.XLOOKUP(L6033,[2]analyte_order!$C:$C,[2]analyte_order!$E:$E)</f>
        <v>22</v>
      </c>
      <c r="N6033">
        <v>0.1065</v>
      </c>
    </row>
    <row r="6034" spans="1:14">
      <c r="A6034" t="s">
        <v>175</v>
      </c>
      <c r="B6034" t="str">
        <f>_xlfn.XLOOKUP(A6034,'[1]Tissue Data'!$A:$A,'[1]Tissue Data'!$C:$C)</f>
        <v>Spill</v>
      </c>
      <c r="C6034" s="2">
        <f>_xlfn.XLOOKUP(A6034,'[1]Tissue Data'!$A:$A,'[1]Tissue Data'!$D:$D)</f>
        <v>44393</v>
      </c>
      <c r="D6034" s="2" t="str">
        <f>_xlfn.XLOOKUP(A6034,'[1]Tissue Data'!$A:$A,'[1]Tissue Data'!$F:$F)</f>
        <v>Fallfish</v>
      </c>
      <c r="E6034" t="str">
        <f>_xlfn.XLOOKUP(A6034,'[1]Tissue Data'!$A:$A,'[1]Tissue Data'!$H:$H)</f>
        <v>Semotilus</v>
      </c>
      <c r="F6034" t="str">
        <f>_xlfn.XLOOKUP(A6034,'[1]Tissue Data'!$A:$A,'[1]Tissue Data'!$I:$I)</f>
        <v>corporalis</v>
      </c>
      <c r="G6034" t="str">
        <f>_xlfn.XLOOKUP(A6034,'[1]Tissue Data'!$A:$A,'[1]Tissue Data'!J:J)</f>
        <v>U</v>
      </c>
      <c r="H6034" t="str">
        <f>_xlfn.XLOOKUP(A6034,'[1]Tissue Data'!$A:$A,'[1]Tissue Data'!K:K)</f>
        <v>Whole Body</v>
      </c>
      <c r="I6034">
        <f>_xlfn.XLOOKUP(A6034,'[1]Tissue Data'!$A:$A,'[1]Tissue Data'!L:L)</f>
        <v>8</v>
      </c>
      <c r="J6034">
        <f>_xlfn.XLOOKUP(A6034,'[1]Tissue Data'!$A:$A,'[1]Tissue Data'!M:M)</f>
        <v>4.83</v>
      </c>
      <c r="K6034" t="s">
        <v>44</v>
      </c>
      <c r="L6034" t="str">
        <f>_xlfn.XLOOKUP(K6034,[2]analyte_order!$B:$B,[2]analyte_order!$C:$C)</f>
        <v>27619-97-2</v>
      </c>
      <c r="M6034">
        <f>_xlfn.XLOOKUP(L6034,[2]analyte_order!$C:$C,[2]analyte_order!$E:$E)</f>
        <v>23</v>
      </c>
      <c r="N6034">
        <v>0.66800000000000004</v>
      </c>
    </row>
    <row r="6035" spans="1:14">
      <c r="A6035" t="s">
        <v>175</v>
      </c>
      <c r="B6035" t="str">
        <f>_xlfn.XLOOKUP(A6035,'[1]Tissue Data'!$A:$A,'[1]Tissue Data'!$C:$C)</f>
        <v>Spill</v>
      </c>
      <c r="C6035" s="2">
        <f>_xlfn.XLOOKUP(A6035,'[1]Tissue Data'!$A:$A,'[1]Tissue Data'!$D:$D)</f>
        <v>44393</v>
      </c>
      <c r="D6035" s="2" t="str">
        <f>_xlfn.XLOOKUP(A6035,'[1]Tissue Data'!$A:$A,'[1]Tissue Data'!$F:$F)</f>
        <v>Fallfish</v>
      </c>
      <c r="E6035" t="str">
        <f>_xlfn.XLOOKUP(A6035,'[1]Tissue Data'!$A:$A,'[1]Tissue Data'!$H:$H)</f>
        <v>Semotilus</v>
      </c>
      <c r="F6035" t="str">
        <f>_xlfn.XLOOKUP(A6035,'[1]Tissue Data'!$A:$A,'[1]Tissue Data'!$I:$I)</f>
        <v>corporalis</v>
      </c>
      <c r="G6035" t="str">
        <f>_xlfn.XLOOKUP(A6035,'[1]Tissue Data'!$A:$A,'[1]Tissue Data'!J:J)</f>
        <v>U</v>
      </c>
      <c r="H6035" t="str">
        <f>_xlfn.XLOOKUP(A6035,'[1]Tissue Data'!$A:$A,'[1]Tissue Data'!K:K)</f>
        <v>Whole Body</v>
      </c>
      <c r="I6035">
        <f>_xlfn.XLOOKUP(A6035,'[1]Tissue Data'!$A:$A,'[1]Tissue Data'!L:L)</f>
        <v>8</v>
      </c>
      <c r="J6035">
        <f>_xlfn.XLOOKUP(A6035,'[1]Tissue Data'!$A:$A,'[1]Tissue Data'!M:M)</f>
        <v>4.83</v>
      </c>
      <c r="K6035" t="s">
        <v>45</v>
      </c>
      <c r="L6035" t="str">
        <f>_xlfn.XLOOKUP(K6035,[2]analyte_order!$B:$B,[2]analyte_order!$C:$C)</f>
        <v>39108-34-4</v>
      </c>
      <c r="M6035">
        <f>_xlfn.XLOOKUP(L6035,[2]analyte_order!$C:$C,[2]analyte_order!$E:$E)</f>
        <v>24</v>
      </c>
      <c r="N6035">
        <v>21.9</v>
      </c>
    </row>
    <row r="6036" spans="1:14">
      <c r="A6036" t="s">
        <v>175</v>
      </c>
      <c r="B6036" t="str">
        <f>_xlfn.XLOOKUP(A6036,'[1]Tissue Data'!$A:$A,'[1]Tissue Data'!$C:$C)</f>
        <v>Spill</v>
      </c>
      <c r="C6036" s="2">
        <f>_xlfn.XLOOKUP(A6036,'[1]Tissue Data'!$A:$A,'[1]Tissue Data'!$D:$D)</f>
        <v>44393</v>
      </c>
      <c r="D6036" s="2" t="str">
        <f>_xlfn.XLOOKUP(A6036,'[1]Tissue Data'!$A:$A,'[1]Tissue Data'!$F:$F)</f>
        <v>Fallfish</v>
      </c>
      <c r="E6036" t="str">
        <f>_xlfn.XLOOKUP(A6036,'[1]Tissue Data'!$A:$A,'[1]Tissue Data'!$H:$H)</f>
        <v>Semotilus</v>
      </c>
      <c r="F6036" t="str">
        <f>_xlfn.XLOOKUP(A6036,'[1]Tissue Data'!$A:$A,'[1]Tissue Data'!$I:$I)</f>
        <v>corporalis</v>
      </c>
      <c r="G6036" t="str">
        <f>_xlfn.XLOOKUP(A6036,'[1]Tissue Data'!$A:$A,'[1]Tissue Data'!J:J)</f>
        <v>U</v>
      </c>
      <c r="H6036" t="str">
        <f>_xlfn.XLOOKUP(A6036,'[1]Tissue Data'!$A:$A,'[1]Tissue Data'!K:K)</f>
        <v>Whole Body</v>
      </c>
      <c r="I6036">
        <f>_xlfn.XLOOKUP(A6036,'[1]Tissue Data'!$A:$A,'[1]Tissue Data'!L:L)</f>
        <v>8</v>
      </c>
      <c r="J6036">
        <f>_xlfn.XLOOKUP(A6036,'[1]Tissue Data'!$A:$A,'[1]Tissue Data'!M:M)</f>
        <v>4.83</v>
      </c>
      <c r="K6036" t="s">
        <v>46</v>
      </c>
      <c r="L6036" t="str">
        <f>_xlfn.XLOOKUP(K6036,[2]analyte_order!$B:$B,[2]analyte_order!$C:$C)</f>
        <v>120226-60-0</v>
      </c>
      <c r="M6036">
        <f>_xlfn.XLOOKUP(L6036,[2]analyte_order!$C:$C,[2]analyte_order!$E:$E)</f>
        <v>25</v>
      </c>
      <c r="N6036">
        <v>1.36</v>
      </c>
    </row>
    <row r="6037" spans="1:14">
      <c r="A6037" t="s">
        <v>175</v>
      </c>
      <c r="B6037" t="str">
        <f>_xlfn.XLOOKUP(A6037,'[1]Tissue Data'!$A:$A,'[1]Tissue Data'!$C:$C)</f>
        <v>Spill</v>
      </c>
      <c r="C6037" s="2">
        <f>_xlfn.XLOOKUP(A6037,'[1]Tissue Data'!$A:$A,'[1]Tissue Data'!$D:$D)</f>
        <v>44393</v>
      </c>
      <c r="D6037" s="2" t="str">
        <f>_xlfn.XLOOKUP(A6037,'[1]Tissue Data'!$A:$A,'[1]Tissue Data'!$F:$F)</f>
        <v>Fallfish</v>
      </c>
      <c r="E6037" t="str">
        <f>_xlfn.XLOOKUP(A6037,'[1]Tissue Data'!$A:$A,'[1]Tissue Data'!$H:$H)</f>
        <v>Semotilus</v>
      </c>
      <c r="F6037" t="str">
        <f>_xlfn.XLOOKUP(A6037,'[1]Tissue Data'!$A:$A,'[1]Tissue Data'!$I:$I)</f>
        <v>corporalis</v>
      </c>
      <c r="G6037" t="str">
        <f>_xlfn.XLOOKUP(A6037,'[1]Tissue Data'!$A:$A,'[1]Tissue Data'!J:J)</f>
        <v>U</v>
      </c>
      <c r="H6037" t="str">
        <f>_xlfn.XLOOKUP(A6037,'[1]Tissue Data'!$A:$A,'[1]Tissue Data'!K:K)</f>
        <v>Whole Body</v>
      </c>
      <c r="I6037">
        <f>_xlfn.XLOOKUP(A6037,'[1]Tissue Data'!$A:$A,'[1]Tissue Data'!L:L)</f>
        <v>8</v>
      </c>
      <c r="J6037">
        <f>_xlfn.XLOOKUP(A6037,'[1]Tissue Data'!$A:$A,'[1]Tissue Data'!M:M)</f>
        <v>4.83</v>
      </c>
      <c r="K6037" t="s">
        <v>47</v>
      </c>
      <c r="L6037" t="str">
        <f>_xlfn.XLOOKUP(K6037,[2]analyte_order!$B:$B,[2]analyte_order!$C:$C)</f>
        <v>356-02-5</v>
      </c>
      <c r="M6037">
        <f>_xlfn.XLOOKUP(L6037,[2]analyte_order!$C:$C,[2]analyte_order!$E:$E)</f>
        <v>38</v>
      </c>
      <c r="N6037">
        <v>0.21299999999999999</v>
      </c>
    </row>
    <row r="6038" spans="1:14">
      <c r="A6038" t="s">
        <v>175</v>
      </c>
      <c r="B6038" t="str">
        <f>_xlfn.XLOOKUP(A6038,'[1]Tissue Data'!$A:$A,'[1]Tissue Data'!$C:$C)</f>
        <v>Spill</v>
      </c>
      <c r="C6038" s="2">
        <f>_xlfn.XLOOKUP(A6038,'[1]Tissue Data'!$A:$A,'[1]Tissue Data'!$D:$D)</f>
        <v>44393</v>
      </c>
      <c r="D6038" s="2" t="str">
        <f>_xlfn.XLOOKUP(A6038,'[1]Tissue Data'!$A:$A,'[1]Tissue Data'!$F:$F)</f>
        <v>Fallfish</v>
      </c>
      <c r="E6038" t="str">
        <f>_xlfn.XLOOKUP(A6038,'[1]Tissue Data'!$A:$A,'[1]Tissue Data'!$H:$H)</f>
        <v>Semotilus</v>
      </c>
      <c r="F6038" t="str">
        <f>_xlfn.XLOOKUP(A6038,'[1]Tissue Data'!$A:$A,'[1]Tissue Data'!$I:$I)</f>
        <v>corporalis</v>
      </c>
      <c r="G6038" t="str">
        <f>_xlfn.XLOOKUP(A6038,'[1]Tissue Data'!$A:$A,'[1]Tissue Data'!J:J)</f>
        <v>U</v>
      </c>
      <c r="H6038" t="str">
        <f>_xlfn.XLOOKUP(A6038,'[1]Tissue Data'!$A:$A,'[1]Tissue Data'!K:K)</f>
        <v>Whole Body</v>
      </c>
      <c r="I6038">
        <f>_xlfn.XLOOKUP(A6038,'[1]Tissue Data'!$A:$A,'[1]Tissue Data'!L:L)</f>
        <v>8</v>
      </c>
      <c r="J6038">
        <f>_xlfn.XLOOKUP(A6038,'[1]Tissue Data'!$A:$A,'[1]Tissue Data'!M:M)</f>
        <v>4.83</v>
      </c>
      <c r="K6038" t="s">
        <v>48</v>
      </c>
      <c r="L6038" t="str">
        <f>_xlfn.XLOOKUP(K6038,[2]analyte_order!$B:$B,[2]analyte_order!$C:$C)</f>
        <v>914637-49-3</v>
      </c>
      <c r="M6038">
        <f>_xlfn.XLOOKUP(L6038,[2]analyte_order!$C:$C,[2]analyte_order!$E:$E)</f>
        <v>39</v>
      </c>
      <c r="N6038">
        <v>0.1065</v>
      </c>
    </row>
    <row r="6039" spans="1:14">
      <c r="A6039" t="s">
        <v>175</v>
      </c>
      <c r="B6039" t="str">
        <f>_xlfn.XLOOKUP(A6039,'[1]Tissue Data'!$A:$A,'[1]Tissue Data'!$C:$C)</f>
        <v>Spill</v>
      </c>
      <c r="C6039" s="2">
        <f>_xlfn.XLOOKUP(A6039,'[1]Tissue Data'!$A:$A,'[1]Tissue Data'!$D:$D)</f>
        <v>44393</v>
      </c>
      <c r="D6039" s="2" t="str">
        <f>_xlfn.XLOOKUP(A6039,'[1]Tissue Data'!$A:$A,'[1]Tissue Data'!$F:$F)</f>
        <v>Fallfish</v>
      </c>
      <c r="E6039" t="str">
        <f>_xlfn.XLOOKUP(A6039,'[1]Tissue Data'!$A:$A,'[1]Tissue Data'!$H:$H)</f>
        <v>Semotilus</v>
      </c>
      <c r="F6039" t="str">
        <f>_xlfn.XLOOKUP(A6039,'[1]Tissue Data'!$A:$A,'[1]Tissue Data'!$I:$I)</f>
        <v>corporalis</v>
      </c>
      <c r="G6039" t="str">
        <f>_xlfn.XLOOKUP(A6039,'[1]Tissue Data'!$A:$A,'[1]Tissue Data'!J:J)</f>
        <v>U</v>
      </c>
      <c r="H6039" t="str">
        <f>_xlfn.XLOOKUP(A6039,'[1]Tissue Data'!$A:$A,'[1]Tissue Data'!K:K)</f>
        <v>Whole Body</v>
      </c>
      <c r="I6039">
        <f>_xlfn.XLOOKUP(A6039,'[1]Tissue Data'!$A:$A,'[1]Tissue Data'!L:L)</f>
        <v>8</v>
      </c>
      <c r="J6039">
        <f>_xlfn.XLOOKUP(A6039,'[1]Tissue Data'!$A:$A,'[1]Tissue Data'!M:M)</f>
        <v>4.83</v>
      </c>
      <c r="K6039" t="s">
        <v>49</v>
      </c>
      <c r="L6039" t="str">
        <f>_xlfn.XLOOKUP(K6039,[2]analyte_order!$B:$B,[2]analyte_order!$C:$C)</f>
        <v>812-70-4</v>
      </c>
      <c r="M6039">
        <f>_xlfn.XLOOKUP(L6039,[2]analyte_order!$C:$C,[2]analyte_order!$E:$E)</f>
        <v>40</v>
      </c>
      <c r="N6039">
        <v>0.21299999999999999</v>
      </c>
    </row>
    <row r="6040" spans="1:14">
      <c r="A6040" t="s">
        <v>175</v>
      </c>
      <c r="B6040" t="str">
        <f>_xlfn.XLOOKUP(A6040,'[1]Tissue Data'!$A:$A,'[1]Tissue Data'!$C:$C)</f>
        <v>Spill</v>
      </c>
      <c r="C6040" s="2">
        <f>_xlfn.XLOOKUP(A6040,'[1]Tissue Data'!$A:$A,'[1]Tissue Data'!$D:$D)</f>
        <v>44393</v>
      </c>
      <c r="D6040" s="2" t="str">
        <f>_xlfn.XLOOKUP(A6040,'[1]Tissue Data'!$A:$A,'[1]Tissue Data'!$F:$F)</f>
        <v>Fallfish</v>
      </c>
      <c r="E6040" t="str">
        <f>_xlfn.XLOOKUP(A6040,'[1]Tissue Data'!$A:$A,'[1]Tissue Data'!$H:$H)</f>
        <v>Semotilus</v>
      </c>
      <c r="F6040" t="str">
        <f>_xlfn.XLOOKUP(A6040,'[1]Tissue Data'!$A:$A,'[1]Tissue Data'!$I:$I)</f>
        <v>corporalis</v>
      </c>
      <c r="G6040" t="str">
        <f>_xlfn.XLOOKUP(A6040,'[1]Tissue Data'!$A:$A,'[1]Tissue Data'!J:J)</f>
        <v>U</v>
      </c>
      <c r="H6040" t="str">
        <f>_xlfn.XLOOKUP(A6040,'[1]Tissue Data'!$A:$A,'[1]Tissue Data'!K:K)</f>
        <v>Whole Body</v>
      </c>
      <c r="I6040">
        <f>_xlfn.XLOOKUP(A6040,'[1]Tissue Data'!$A:$A,'[1]Tissue Data'!L:L)</f>
        <v>8</v>
      </c>
      <c r="J6040">
        <f>_xlfn.XLOOKUP(A6040,'[1]Tissue Data'!$A:$A,'[1]Tissue Data'!M:M)</f>
        <v>4.83</v>
      </c>
      <c r="K6040" t="s">
        <v>50</v>
      </c>
      <c r="L6040" t="str">
        <f>_xlfn.XLOOKUP(K6040,[2]analyte_order!$B:$B,[2]analyte_order!$C:$C)</f>
        <v>53826-12-3</v>
      </c>
      <c r="M6040">
        <f>_xlfn.XLOOKUP(L6040,[2]analyte_order!$C:$C,[2]analyte_order!$E:$E)</f>
        <v>41</v>
      </c>
      <c r="N6040">
        <v>0.21299999999999999</v>
      </c>
    </row>
    <row r="6041" spans="1:14">
      <c r="A6041" t="s">
        <v>175</v>
      </c>
      <c r="B6041" t="str">
        <f>_xlfn.XLOOKUP(A6041,'[1]Tissue Data'!$A:$A,'[1]Tissue Data'!$C:$C)</f>
        <v>Spill</v>
      </c>
      <c r="C6041" s="2">
        <f>_xlfn.XLOOKUP(A6041,'[1]Tissue Data'!$A:$A,'[1]Tissue Data'!$D:$D)</f>
        <v>44393</v>
      </c>
      <c r="D6041" s="2" t="str">
        <f>_xlfn.XLOOKUP(A6041,'[1]Tissue Data'!$A:$A,'[1]Tissue Data'!$F:$F)</f>
        <v>Fallfish</v>
      </c>
      <c r="E6041" t="str">
        <f>_xlfn.XLOOKUP(A6041,'[1]Tissue Data'!$A:$A,'[1]Tissue Data'!$H:$H)</f>
        <v>Semotilus</v>
      </c>
      <c r="F6041" t="str">
        <f>_xlfn.XLOOKUP(A6041,'[1]Tissue Data'!$A:$A,'[1]Tissue Data'!$I:$I)</f>
        <v>corporalis</v>
      </c>
      <c r="G6041" t="str">
        <f>_xlfn.XLOOKUP(A6041,'[1]Tissue Data'!$A:$A,'[1]Tissue Data'!J:J)</f>
        <v>U</v>
      </c>
      <c r="H6041" t="str">
        <f>_xlfn.XLOOKUP(A6041,'[1]Tissue Data'!$A:$A,'[1]Tissue Data'!K:K)</f>
        <v>Whole Body</v>
      </c>
      <c r="I6041">
        <f>_xlfn.XLOOKUP(A6041,'[1]Tissue Data'!$A:$A,'[1]Tissue Data'!L:L)</f>
        <v>8</v>
      </c>
      <c r="J6041">
        <f>_xlfn.XLOOKUP(A6041,'[1]Tissue Data'!$A:$A,'[1]Tissue Data'!M:M)</f>
        <v>4.83</v>
      </c>
      <c r="K6041" t="s">
        <v>51</v>
      </c>
      <c r="L6041" t="str">
        <f>_xlfn.XLOOKUP(K6041,[2]analyte_order!$B:$B,[2]analyte_order!$C:$C)</f>
        <v>27854-31-5</v>
      </c>
      <c r="M6041">
        <f>_xlfn.XLOOKUP(L6041,[2]analyte_order!$C:$C,[2]analyte_order!$E:$E)</f>
        <v>42</v>
      </c>
      <c r="N6041">
        <v>0.1065</v>
      </c>
    </row>
    <row r="6042" spans="1:14">
      <c r="A6042" t="s">
        <v>175</v>
      </c>
      <c r="B6042" t="str">
        <f>_xlfn.XLOOKUP(A6042,'[1]Tissue Data'!$A:$A,'[1]Tissue Data'!$C:$C)</f>
        <v>Spill</v>
      </c>
      <c r="C6042" s="2">
        <f>_xlfn.XLOOKUP(A6042,'[1]Tissue Data'!$A:$A,'[1]Tissue Data'!$D:$D)</f>
        <v>44393</v>
      </c>
      <c r="D6042" s="2" t="str">
        <f>_xlfn.XLOOKUP(A6042,'[1]Tissue Data'!$A:$A,'[1]Tissue Data'!$F:$F)</f>
        <v>Fallfish</v>
      </c>
      <c r="E6042" t="str">
        <f>_xlfn.XLOOKUP(A6042,'[1]Tissue Data'!$A:$A,'[1]Tissue Data'!$H:$H)</f>
        <v>Semotilus</v>
      </c>
      <c r="F6042" t="str">
        <f>_xlfn.XLOOKUP(A6042,'[1]Tissue Data'!$A:$A,'[1]Tissue Data'!$I:$I)</f>
        <v>corporalis</v>
      </c>
      <c r="G6042" t="str">
        <f>_xlfn.XLOOKUP(A6042,'[1]Tissue Data'!$A:$A,'[1]Tissue Data'!J:J)</f>
        <v>U</v>
      </c>
      <c r="H6042" t="str">
        <f>_xlfn.XLOOKUP(A6042,'[1]Tissue Data'!$A:$A,'[1]Tissue Data'!K:K)</f>
        <v>Whole Body</v>
      </c>
      <c r="I6042">
        <f>_xlfn.XLOOKUP(A6042,'[1]Tissue Data'!$A:$A,'[1]Tissue Data'!L:L)</f>
        <v>8</v>
      </c>
      <c r="J6042">
        <f>_xlfn.XLOOKUP(A6042,'[1]Tissue Data'!$A:$A,'[1]Tissue Data'!M:M)</f>
        <v>4.83</v>
      </c>
      <c r="K6042" t="s">
        <v>52</v>
      </c>
      <c r="L6042" t="str">
        <f>_xlfn.XLOOKUP(K6042,[2]analyte_order!$B:$B,[2]analyte_order!$C:$C)</f>
        <v>53826-13-4</v>
      </c>
      <c r="M6042">
        <f>_xlfn.XLOOKUP(L6042,[2]analyte_order!$C:$C,[2]analyte_order!$E:$E)</f>
        <v>43</v>
      </c>
      <c r="N6042">
        <v>0.21299999999999999</v>
      </c>
    </row>
    <row r="6043" spans="1:14">
      <c r="A6043" t="s">
        <v>175</v>
      </c>
      <c r="B6043" t="str">
        <f>_xlfn.XLOOKUP(A6043,'[1]Tissue Data'!$A:$A,'[1]Tissue Data'!$C:$C)</f>
        <v>Spill</v>
      </c>
      <c r="C6043" s="2">
        <f>_xlfn.XLOOKUP(A6043,'[1]Tissue Data'!$A:$A,'[1]Tissue Data'!$D:$D)</f>
        <v>44393</v>
      </c>
      <c r="D6043" s="2" t="str">
        <f>_xlfn.XLOOKUP(A6043,'[1]Tissue Data'!$A:$A,'[1]Tissue Data'!$F:$F)</f>
        <v>Fallfish</v>
      </c>
      <c r="E6043" t="str">
        <f>_xlfn.XLOOKUP(A6043,'[1]Tissue Data'!$A:$A,'[1]Tissue Data'!$H:$H)</f>
        <v>Semotilus</v>
      </c>
      <c r="F6043" t="str">
        <f>_xlfn.XLOOKUP(A6043,'[1]Tissue Data'!$A:$A,'[1]Tissue Data'!$I:$I)</f>
        <v>corporalis</v>
      </c>
      <c r="G6043" t="str">
        <f>_xlfn.XLOOKUP(A6043,'[1]Tissue Data'!$A:$A,'[1]Tissue Data'!J:J)</f>
        <v>U</v>
      </c>
      <c r="H6043" t="str">
        <f>_xlfn.XLOOKUP(A6043,'[1]Tissue Data'!$A:$A,'[1]Tissue Data'!K:K)</f>
        <v>Whole Body</v>
      </c>
      <c r="I6043">
        <f>_xlfn.XLOOKUP(A6043,'[1]Tissue Data'!$A:$A,'[1]Tissue Data'!L:L)</f>
        <v>8</v>
      </c>
      <c r="J6043">
        <f>_xlfn.XLOOKUP(A6043,'[1]Tissue Data'!$A:$A,'[1]Tissue Data'!M:M)</f>
        <v>4.83</v>
      </c>
      <c r="K6043" t="s">
        <v>53</v>
      </c>
      <c r="L6043" t="str">
        <f>_xlfn.XLOOKUP(K6043,[2]analyte_order!$B:$B,[2]analyte_order!$C:$C)</f>
        <v>161094-75-3</v>
      </c>
      <c r="M6043">
        <f>_xlfn.XLOOKUP(L6043,[2]analyte_order!$C:$C,[2]analyte_order!$E:$E)</f>
        <v>44</v>
      </c>
      <c r="N6043">
        <v>8.3500000000000005E-2</v>
      </c>
    </row>
    <row r="6044" spans="1:14">
      <c r="A6044" t="s">
        <v>175</v>
      </c>
      <c r="B6044" t="str">
        <f>_xlfn.XLOOKUP(A6044,'[1]Tissue Data'!$A:$A,'[1]Tissue Data'!$C:$C)</f>
        <v>Spill</v>
      </c>
      <c r="C6044" s="2">
        <f>_xlfn.XLOOKUP(A6044,'[1]Tissue Data'!$A:$A,'[1]Tissue Data'!$D:$D)</f>
        <v>44393</v>
      </c>
      <c r="D6044" s="2" t="str">
        <f>_xlfn.XLOOKUP(A6044,'[1]Tissue Data'!$A:$A,'[1]Tissue Data'!$F:$F)</f>
        <v>Fallfish</v>
      </c>
      <c r="E6044" t="str">
        <f>_xlfn.XLOOKUP(A6044,'[1]Tissue Data'!$A:$A,'[1]Tissue Data'!$H:$H)</f>
        <v>Semotilus</v>
      </c>
      <c r="F6044" t="str">
        <f>_xlfn.XLOOKUP(A6044,'[1]Tissue Data'!$A:$A,'[1]Tissue Data'!$I:$I)</f>
        <v>corporalis</v>
      </c>
      <c r="G6044" t="str">
        <f>_xlfn.XLOOKUP(A6044,'[1]Tissue Data'!$A:$A,'[1]Tissue Data'!J:J)</f>
        <v>U</v>
      </c>
      <c r="H6044" t="str">
        <f>_xlfn.XLOOKUP(A6044,'[1]Tissue Data'!$A:$A,'[1]Tissue Data'!K:K)</f>
        <v>Whole Body</v>
      </c>
      <c r="I6044">
        <f>_xlfn.XLOOKUP(A6044,'[1]Tissue Data'!$A:$A,'[1]Tissue Data'!L:L)</f>
        <v>8</v>
      </c>
      <c r="J6044">
        <f>_xlfn.XLOOKUP(A6044,'[1]Tissue Data'!$A:$A,'[1]Tissue Data'!M:M)</f>
        <v>4.83</v>
      </c>
      <c r="K6044" t="s">
        <v>54</v>
      </c>
      <c r="L6044" t="str">
        <f>_xlfn.XLOOKUP(K6044,[2]analyte_order!$B:$B,[2]analyte_order!$C:$C)</f>
        <v>70887-84-2</v>
      </c>
      <c r="M6044">
        <f>_xlfn.XLOOKUP(L6044,[2]analyte_order!$C:$C,[2]analyte_order!$E:$E)</f>
        <v>45</v>
      </c>
      <c r="N6044">
        <v>6.4500000000000002E-2</v>
      </c>
    </row>
    <row r="6045" spans="1:14">
      <c r="A6045" t="s">
        <v>175</v>
      </c>
      <c r="B6045" t="str">
        <f>_xlfn.XLOOKUP(A6045,'[1]Tissue Data'!$A:$A,'[1]Tissue Data'!$C:$C)</f>
        <v>Spill</v>
      </c>
      <c r="C6045" s="2">
        <f>_xlfn.XLOOKUP(A6045,'[1]Tissue Data'!$A:$A,'[1]Tissue Data'!$D:$D)</f>
        <v>44393</v>
      </c>
      <c r="D6045" s="2" t="str">
        <f>_xlfn.XLOOKUP(A6045,'[1]Tissue Data'!$A:$A,'[1]Tissue Data'!$F:$F)</f>
        <v>Fallfish</v>
      </c>
      <c r="E6045" t="str">
        <f>_xlfn.XLOOKUP(A6045,'[1]Tissue Data'!$A:$A,'[1]Tissue Data'!$H:$H)</f>
        <v>Semotilus</v>
      </c>
      <c r="F6045" t="str">
        <f>_xlfn.XLOOKUP(A6045,'[1]Tissue Data'!$A:$A,'[1]Tissue Data'!$I:$I)</f>
        <v>corporalis</v>
      </c>
      <c r="G6045" t="str">
        <f>_xlfn.XLOOKUP(A6045,'[1]Tissue Data'!$A:$A,'[1]Tissue Data'!J:J)</f>
        <v>U</v>
      </c>
      <c r="H6045" t="str">
        <f>_xlfn.XLOOKUP(A6045,'[1]Tissue Data'!$A:$A,'[1]Tissue Data'!K:K)</f>
        <v>Whole Body</v>
      </c>
      <c r="I6045">
        <f>_xlfn.XLOOKUP(A6045,'[1]Tissue Data'!$A:$A,'[1]Tissue Data'!L:L)</f>
        <v>8</v>
      </c>
      <c r="J6045">
        <f>_xlfn.XLOOKUP(A6045,'[1]Tissue Data'!$A:$A,'[1]Tissue Data'!M:M)</f>
        <v>4.83</v>
      </c>
      <c r="K6045" t="s">
        <v>55</v>
      </c>
      <c r="L6045" t="str">
        <f>_xlfn.XLOOKUP(K6045,[2]analyte_order!$B:$B,[2]analyte_order!$C:$C)</f>
        <v>919005-14-4</v>
      </c>
      <c r="M6045">
        <f>_xlfn.XLOOKUP(L6045,[2]analyte_order!$C:$C,[2]analyte_order!$E:$E)</f>
        <v>35</v>
      </c>
      <c r="N6045">
        <v>9.4E-2</v>
      </c>
    </row>
    <row r="6046" spans="1:14">
      <c r="A6046" t="s">
        <v>175</v>
      </c>
      <c r="B6046" t="str">
        <f>_xlfn.XLOOKUP(A6046,'[1]Tissue Data'!$A:$A,'[1]Tissue Data'!$C:$C)</f>
        <v>Spill</v>
      </c>
      <c r="C6046" s="2">
        <f>_xlfn.XLOOKUP(A6046,'[1]Tissue Data'!$A:$A,'[1]Tissue Data'!$D:$D)</f>
        <v>44393</v>
      </c>
      <c r="D6046" s="2" t="str">
        <f>_xlfn.XLOOKUP(A6046,'[1]Tissue Data'!$A:$A,'[1]Tissue Data'!$F:$F)</f>
        <v>Fallfish</v>
      </c>
      <c r="E6046" t="str">
        <f>_xlfn.XLOOKUP(A6046,'[1]Tissue Data'!$A:$A,'[1]Tissue Data'!$H:$H)</f>
        <v>Semotilus</v>
      </c>
      <c r="F6046" t="str">
        <f>_xlfn.XLOOKUP(A6046,'[1]Tissue Data'!$A:$A,'[1]Tissue Data'!$I:$I)</f>
        <v>corporalis</v>
      </c>
      <c r="G6046" t="str">
        <f>_xlfn.XLOOKUP(A6046,'[1]Tissue Data'!$A:$A,'[1]Tissue Data'!J:J)</f>
        <v>U</v>
      </c>
      <c r="H6046" t="str">
        <f>_xlfn.XLOOKUP(A6046,'[1]Tissue Data'!$A:$A,'[1]Tissue Data'!K:K)</f>
        <v>Whole Body</v>
      </c>
      <c r="I6046">
        <f>_xlfn.XLOOKUP(A6046,'[1]Tissue Data'!$A:$A,'[1]Tissue Data'!L:L)</f>
        <v>8</v>
      </c>
      <c r="J6046">
        <f>_xlfn.XLOOKUP(A6046,'[1]Tissue Data'!$A:$A,'[1]Tissue Data'!M:M)</f>
        <v>4.83</v>
      </c>
      <c r="K6046" t="s">
        <v>56</v>
      </c>
      <c r="L6046" t="str">
        <f>_xlfn.XLOOKUP(K6046,[2]analyte_order!$B:$B,[2]analyte_order!$C:$C)</f>
        <v>756426-58-1</v>
      </c>
      <c r="M6046">
        <f>_xlfn.XLOOKUP(L6046,[2]analyte_order!$C:$C,[2]analyte_order!$E:$E)</f>
        <v>36</v>
      </c>
      <c r="N6046">
        <v>0.21299999999999999</v>
      </c>
    </row>
    <row r="6047" spans="1:14">
      <c r="A6047" t="s">
        <v>175</v>
      </c>
      <c r="B6047" t="str">
        <f>_xlfn.XLOOKUP(A6047,'[1]Tissue Data'!$A:$A,'[1]Tissue Data'!$C:$C)</f>
        <v>Spill</v>
      </c>
      <c r="C6047" s="2">
        <f>_xlfn.XLOOKUP(A6047,'[1]Tissue Data'!$A:$A,'[1]Tissue Data'!$D:$D)</f>
        <v>44393</v>
      </c>
      <c r="D6047" s="2" t="str">
        <f>_xlfn.XLOOKUP(A6047,'[1]Tissue Data'!$A:$A,'[1]Tissue Data'!$F:$F)</f>
        <v>Fallfish</v>
      </c>
      <c r="E6047" t="str">
        <f>_xlfn.XLOOKUP(A6047,'[1]Tissue Data'!$A:$A,'[1]Tissue Data'!$H:$H)</f>
        <v>Semotilus</v>
      </c>
      <c r="F6047" t="str">
        <f>_xlfn.XLOOKUP(A6047,'[1]Tissue Data'!$A:$A,'[1]Tissue Data'!$I:$I)</f>
        <v>corporalis</v>
      </c>
      <c r="G6047" t="str">
        <f>_xlfn.XLOOKUP(A6047,'[1]Tissue Data'!$A:$A,'[1]Tissue Data'!J:J)</f>
        <v>U</v>
      </c>
      <c r="H6047" t="str">
        <f>_xlfn.XLOOKUP(A6047,'[1]Tissue Data'!$A:$A,'[1]Tissue Data'!K:K)</f>
        <v>Whole Body</v>
      </c>
      <c r="I6047">
        <f>_xlfn.XLOOKUP(A6047,'[1]Tissue Data'!$A:$A,'[1]Tissue Data'!L:L)</f>
        <v>8</v>
      </c>
      <c r="J6047">
        <f>_xlfn.XLOOKUP(A6047,'[1]Tissue Data'!$A:$A,'[1]Tissue Data'!M:M)</f>
        <v>4.83</v>
      </c>
      <c r="K6047" t="s">
        <v>57</v>
      </c>
      <c r="L6047" t="str">
        <f>_xlfn.XLOOKUP(K6047,[2]analyte_order!$B:$B,[2]analyte_order!$C:$C)</f>
        <v>763051-92-9</v>
      </c>
      <c r="M6047">
        <f>_xlfn.XLOOKUP(L6047,[2]analyte_order!$C:$C,[2]analyte_order!$E:$E)</f>
        <v>37</v>
      </c>
      <c r="N6047">
        <v>0.21299999999999999</v>
      </c>
    </row>
    <row r="6048" spans="1:14">
      <c r="A6048" t="s">
        <v>175</v>
      </c>
      <c r="B6048" t="str">
        <f>_xlfn.XLOOKUP(A6048,'[1]Tissue Data'!$A:$A,'[1]Tissue Data'!$C:$C)</f>
        <v>Spill</v>
      </c>
      <c r="C6048" s="2">
        <f>_xlfn.XLOOKUP(A6048,'[1]Tissue Data'!$A:$A,'[1]Tissue Data'!$D:$D)</f>
        <v>44393</v>
      </c>
      <c r="D6048" s="2" t="str">
        <f>_xlfn.XLOOKUP(A6048,'[1]Tissue Data'!$A:$A,'[1]Tissue Data'!$F:$F)</f>
        <v>Fallfish</v>
      </c>
      <c r="E6048" t="str">
        <f>_xlfn.XLOOKUP(A6048,'[1]Tissue Data'!$A:$A,'[1]Tissue Data'!$H:$H)</f>
        <v>Semotilus</v>
      </c>
      <c r="F6048" t="str">
        <f>_xlfn.XLOOKUP(A6048,'[1]Tissue Data'!$A:$A,'[1]Tissue Data'!$I:$I)</f>
        <v>corporalis</v>
      </c>
      <c r="G6048" t="str">
        <f>_xlfn.XLOOKUP(A6048,'[1]Tissue Data'!$A:$A,'[1]Tissue Data'!J:J)</f>
        <v>U</v>
      </c>
      <c r="H6048" t="str">
        <f>_xlfn.XLOOKUP(A6048,'[1]Tissue Data'!$A:$A,'[1]Tissue Data'!K:K)</f>
        <v>Whole Body</v>
      </c>
      <c r="I6048">
        <f>_xlfn.XLOOKUP(A6048,'[1]Tissue Data'!$A:$A,'[1]Tissue Data'!L:L)</f>
        <v>8</v>
      </c>
      <c r="J6048">
        <f>_xlfn.XLOOKUP(A6048,'[1]Tissue Data'!$A:$A,'[1]Tissue Data'!M:M)</f>
        <v>4.83</v>
      </c>
      <c r="K6048" t="s">
        <v>58</v>
      </c>
      <c r="L6048" t="str">
        <f>_xlfn.XLOOKUP(K6048,[2]analyte_order!$B:$B,[2]analyte_order!$C:$C)</f>
        <v>13252-13-6</v>
      </c>
      <c r="M6048">
        <f>_xlfn.XLOOKUP(L6048,[2]analyte_order!$C:$C,[2]analyte_order!$E:$E)</f>
        <v>34</v>
      </c>
      <c r="N6048">
        <v>0.1525</v>
      </c>
    </row>
    <row r="6049" spans="1:14">
      <c r="A6049" t="s">
        <v>175</v>
      </c>
      <c r="B6049" t="str">
        <f>_xlfn.XLOOKUP(A6049,'[1]Tissue Data'!$A:$A,'[1]Tissue Data'!$C:$C)</f>
        <v>Spill</v>
      </c>
      <c r="C6049" s="2">
        <f>_xlfn.XLOOKUP(A6049,'[1]Tissue Data'!$A:$A,'[1]Tissue Data'!$D:$D)</f>
        <v>44393</v>
      </c>
      <c r="D6049" s="2" t="str">
        <f>_xlfn.XLOOKUP(A6049,'[1]Tissue Data'!$A:$A,'[1]Tissue Data'!$F:$F)</f>
        <v>Fallfish</v>
      </c>
      <c r="E6049" t="str">
        <f>_xlfn.XLOOKUP(A6049,'[1]Tissue Data'!$A:$A,'[1]Tissue Data'!$H:$H)</f>
        <v>Semotilus</v>
      </c>
      <c r="F6049" t="str">
        <f>_xlfn.XLOOKUP(A6049,'[1]Tissue Data'!$A:$A,'[1]Tissue Data'!$I:$I)</f>
        <v>corporalis</v>
      </c>
      <c r="G6049" t="str">
        <f>_xlfn.XLOOKUP(A6049,'[1]Tissue Data'!$A:$A,'[1]Tissue Data'!J:J)</f>
        <v>U</v>
      </c>
      <c r="H6049" t="str">
        <f>_xlfn.XLOOKUP(A6049,'[1]Tissue Data'!$A:$A,'[1]Tissue Data'!K:K)</f>
        <v>Whole Body</v>
      </c>
      <c r="I6049">
        <f>_xlfn.XLOOKUP(A6049,'[1]Tissue Data'!$A:$A,'[1]Tissue Data'!L:L)</f>
        <v>8</v>
      </c>
      <c r="J6049">
        <f>_xlfn.XLOOKUP(A6049,'[1]Tissue Data'!$A:$A,'[1]Tissue Data'!M:M)</f>
        <v>4.83</v>
      </c>
      <c r="K6049" t="s">
        <v>59</v>
      </c>
      <c r="L6049" t="str">
        <f>_xlfn.XLOOKUP(K6049,[2]analyte_order!$B:$B,[2]analyte_order!$C:$C)</f>
        <v>57677-95-9</v>
      </c>
      <c r="M6049">
        <f>_xlfn.XLOOKUP(L6049,[2]analyte_order!$C:$C,[2]analyte_order!$E:$E)</f>
        <v>46</v>
      </c>
      <c r="N6049">
        <v>0.21299999999999999</v>
      </c>
    </row>
    <row r="6050" spans="1:14">
      <c r="A6050" t="s">
        <v>175</v>
      </c>
      <c r="B6050" t="str">
        <f>_xlfn.XLOOKUP(A6050,'[1]Tissue Data'!$A:$A,'[1]Tissue Data'!$C:$C)</f>
        <v>Spill</v>
      </c>
      <c r="C6050" s="2">
        <f>_xlfn.XLOOKUP(A6050,'[1]Tissue Data'!$A:$A,'[1]Tissue Data'!$D:$D)</f>
        <v>44393</v>
      </c>
      <c r="D6050" s="2" t="str">
        <f>_xlfn.XLOOKUP(A6050,'[1]Tissue Data'!$A:$A,'[1]Tissue Data'!$F:$F)</f>
        <v>Fallfish</v>
      </c>
      <c r="E6050" t="str">
        <f>_xlfn.XLOOKUP(A6050,'[1]Tissue Data'!$A:$A,'[1]Tissue Data'!$H:$H)</f>
        <v>Semotilus</v>
      </c>
      <c r="F6050" t="str">
        <f>_xlfn.XLOOKUP(A6050,'[1]Tissue Data'!$A:$A,'[1]Tissue Data'!$I:$I)</f>
        <v>corporalis</v>
      </c>
      <c r="G6050" t="str">
        <f>_xlfn.XLOOKUP(A6050,'[1]Tissue Data'!$A:$A,'[1]Tissue Data'!J:J)</f>
        <v>U</v>
      </c>
      <c r="H6050" t="str">
        <f>_xlfn.XLOOKUP(A6050,'[1]Tissue Data'!$A:$A,'[1]Tissue Data'!K:K)</f>
        <v>Whole Body</v>
      </c>
      <c r="I6050">
        <f>_xlfn.XLOOKUP(A6050,'[1]Tissue Data'!$A:$A,'[1]Tissue Data'!L:L)</f>
        <v>8</v>
      </c>
      <c r="J6050">
        <f>_xlfn.XLOOKUP(A6050,'[1]Tissue Data'!$A:$A,'[1]Tissue Data'!M:M)</f>
        <v>4.83</v>
      </c>
      <c r="K6050" t="s">
        <v>60</v>
      </c>
      <c r="L6050" t="str">
        <f>_xlfn.XLOOKUP(K6050,[2]analyte_order!$B:$B,[2]analyte_order!$C:$C)</f>
        <v>678-41-1</v>
      </c>
      <c r="M6050">
        <f>_xlfn.XLOOKUP(L6050,[2]analyte_order!$C:$C,[2]analyte_order!$E:$E)</f>
        <v>56</v>
      </c>
      <c r="N6050">
        <v>0.21299999999999999</v>
      </c>
    </row>
    <row r="6051" spans="1:14">
      <c r="A6051" t="s">
        <v>175</v>
      </c>
      <c r="B6051" t="str">
        <f>_xlfn.XLOOKUP(A6051,'[1]Tissue Data'!$A:$A,'[1]Tissue Data'!$C:$C)</f>
        <v>Spill</v>
      </c>
      <c r="C6051" s="2">
        <f>_xlfn.XLOOKUP(A6051,'[1]Tissue Data'!$A:$A,'[1]Tissue Data'!$D:$D)</f>
        <v>44393</v>
      </c>
      <c r="D6051" s="2" t="str">
        <f>_xlfn.XLOOKUP(A6051,'[1]Tissue Data'!$A:$A,'[1]Tissue Data'!$F:$F)</f>
        <v>Fallfish</v>
      </c>
      <c r="E6051" t="str">
        <f>_xlfn.XLOOKUP(A6051,'[1]Tissue Data'!$A:$A,'[1]Tissue Data'!$H:$H)</f>
        <v>Semotilus</v>
      </c>
      <c r="F6051" t="str">
        <f>_xlfn.XLOOKUP(A6051,'[1]Tissue Data'!$A:$A,'[1]Tissue Data'!$I:$I)</f>
        <v>corporalis</v>
      </c>
      <c r="G6051" t="str">
        <f>_xlfn.XLOOKUP(A6051,'[1]Tissue Data'!$A:$A,'[1]Tissue Data'!J:J)</f>
        <v>U</v>
      </c>
      <c r="H6051" t="str">
        <f>_xlfn.XLOOKUP(A6051,'[1]Tissue Data'!$A:$A,'[1]Tissue Data'!K:K)</f>
        <v>Whole Body</v>
      </c>
      <c r="I6051">
        <f>_xlfn.XLOOKUP(A6051,'[1]Tissue Data'!$A:$A,'[1]Tissue Data'!L:L)</f>
        <v>8</v>
      </c>
      <c r="J6051">
        <f>_xlfn.XLOOKUP(A6051,'[1]Tissue Data'!$A:$A,'[1]Tissue Data'!M:M)</f>
        <v>4.83</v>
      </c>
      <c r="K6051" t="s">
        <v>61</v>
      </c>
      <c r="L6051" t="str">
        <f>_xlfn.XLOOKUP(K6051,[2]analyte_order!$B:$B,[2]analyte_order!$C:$C)</f>
        <v>2965-52-8</v>
      </c>
      <c r="M6051">
        <f>_xlfn.XLOOKUP(L6051,[2]analyte_order!$C:$C,[2]analyte_order!$E:$E)</f>
        <v>57</v>
      </c>
      <c r="N6051">
        <v>0.21299999999999999</v>
      </c>
    </row>
    <row r="6052" spans="1:14">
      <c r="A6052" t="s">
        <v>179</v>
      </c>
      <c r="B6052" t="str">
        <f>_xlfn.XLOOKUP(A6052,'[1]Tissue Data'!$A:$A,'[1]Tissue Data'!$C:$C)</f>
        <v>Spill</v>
      </c>
      <c r="C6052" s="2">
        <f>_xlfn.XLOOKUP(A6052,'[1]Tissue Data'!$A:$A,'[1]Tissue Data'!$D:$D)</f>
        <v>44393</v>
      </c>
      <c r="D6052" s="2" t="str">
        <f>_xlfn.XLOOKUP(A6052,'[1]Tissue Data'!$A:$A,'[1]Tissue Data'!$F:$F)</f>
        <v>Fallfish</v>
      </c>
      <c r="E6052" t="str">
        <f>_xlfn.XLOOKUP(A6052,'[1]Tissue Data'!$A:$A,'[1]Tissue Data'!$H:$H)</f>
        <v>Semotilus</v>
      </c>
      <c r="F6052" t="str">
        <f>_xlfn.XLOOKUP(A6052,'[1]Tissue Data'!$A:$A,'[1]Tissue Data'!$I:$I)</f>
        <v>corporalis</v>
      </c>
      <c r="G6052" t="str">
        <f>_xlfn.XLOOKUP(A6052,'[1]Tissue Data'!$A:$A,'[1]Tissue Data'!J:J)</f>
        <v>U</v>
      </c>
      <c r="H6052" t="str">
        <f>_xlfn.XLOOKUP(A6052,'[1]Tissue Data'!$A:$A,'[1]Tissue Data'!K:K)</f>
        <v>Whole Body</v>
      </c>
      <c r="I6052">
        <f>_xlfn.XLOOKUP(A6052,'[1]Tissue Data'!$A:$A,'[1]Tissue Data'!L:L)</f>
        <v>7.5</v>
      </c>
      <c r="J6052">
        <f>_xlfn.XLOOKUP(A6052,'[1]Tissue Data'!$A:$A,'[1]Tissue Data'!M:M)</f>
        <v>3.57</v>
      </c>
      <c r="K6052" t="s">
        <v>12</v>
      </c>
      <c r="L6052" t="str">
        <f>_xlfn.XLOOKUP(K6052,[2]analyte_order!$B:$B,[2]analyte_order!$C:$C)</f>
        <v>375-22-4</v>
      </c>
      <c r="M6052">
        <f>_xlfn.XLOOKUP(L6052,[2]analyte_order!$C:$C,[2]analyte_order!$E:$E)</f>
        <v>1</v>
      </c>
      <c r="N6052">
        <v>0.22</v>
      </c>
    </row>
    <row r="6053" spans="1:14">
      <c r="A6053" t="s">
        <v>179</v>
      </c>
      <c r="B6053" t="str">
        <f>_xlfn.XLOOKUP(A6053,'[1]Tissue Data'!$A:$A,'[1]Tissue Data'!$C:$C)</f>
        <v>Spill</v>
      </c>
      <c r="C6053" s="2">
        <f>_xlfn.XLOOKUP(A6053,'[1]Tissue Data'!$A:$A,'[1]Tissue Data'!$D:$D)</f>
        <v>44393</v>
      </c>
      <c r="D6053" s="2" t="str">
        <f>_xlfn.XLOOKUP(A6053,'[1]Tissue Data'!$A:$A,'[1]Tissue Data'!$F:$F)</f>
        <v>Fallfish</v>
      </c>
      <c r="E6053" t="str">
        <f>_xlfn.XLOOKUP(A6053,'[1]Tissue Data'!$A:$A,'[1]Tissue Data'!$H:$H)</f>
        <v>Semotilus</v>
      </c>
      <c r="F6053" t="str">
        <f>_xlfn.XLOOKUP(A6053,'[1]Tissue Data'!$A:$A,'[1]Tissue Data'!$I:$I)</f>
        <v>corporalis</v>
      </c>
      <c r="G6053" t="str">
        <f>_xlfn.XLOOKUP(A6053,'[1]Tissue Data'!$A:$A,'[1]Tissue Data'!J:J)</f>
        <v>U</v>
      </c>
      <c r="H6053" t="str">
        <f>_xlfn.XLOOKUP(A6053,'[1]Tissue Data'!$A:$A,'[1]Tissue Data'!K:K)</f>
        <v>Whole Body</v>
      </c>
      <c r="I6053">
        <f>_xlfn.XLOOKUP(A6053,'[1]Tissue Data'!$A:$A,'[1]Tissue Data'!L:L)</f>
        <v>7.5</v>
      </c>
      <c r="J6053">
        <f>_xlfn.XLOOKUP(A6053,'[1]Tissue Data'!$A:$A,'[1]Tissue Data'!M:M)</f>
        <v>3.57</v>
      </c>
      <c r="K6053" t="s">
        <v>13</v>
      </c>
      <c r="L6053" t="str">
        <f>_xlfn.XLOOKUP(K6053,[2]analyte_order!$B:$B,[2]analyte_order!$C:$C)</f>
        <v>2706-90-3</v>
      </c>
      <c r="M6053">
        <f>_xlfn.XLOOKUP(L6053,[2]analyte_order!$C:$C,[2]analyte_order!$E:$E)</f>
        <v>2</v>
      </c>
      <c r="N6053">
        <v>7.7499999999999999E-2</v>
      </c>
    </row>
    <row r="6054" spans="1:14">
      <c r="A6054" t="s">
        <v>179</v>
      </c>
      <c r="B6054" t="str">
        <f>_xlfn.XLOOKUP(A6054,'[1]Tissue Data'!$A:$A,'[1]Tissue Data'!$C:$C)</f>
        <v>Spill</v>
      </c>
      <c r="C6054" s="2">
        <f>_xlfn.XLOOKUP(A6054,'[1]Tissue Data'!$A:$A,'[1]Tissue Data'!$D:$D)</f>
        <v>44393</v>
      </c>
      <c r="D6054" s="2" t="str">
        <f>_xlfn.XLOOKUP(A6054,'[1]Tissue Data'!$A:$A,'[1]Tissue Data'!$F:$F)</f>
        <v>Fallfish</v>
      </c>
      <c r="E6054" t="str">
        <f>_xlfn.XLOOKUP(A6054,'[1]Tissue Data'!$A:$A,'[1]Tissue Data'!$H:$H)</f>
        <v>Semotilus</v>
      </c>
      <c r="F6054" t="str">
        <f>_xlfn.XLOOKUP(A6054,'[1]Tissue Data'!$A:$A,'[1]Tissue Data'!$I:$I)</f>
        <v>corporalis</v>
      </c>
      <c r="G6054" t="str">
        <f>_xlfn.XLOOKUP(A6054,'[1]Tissue Data'!$A:$A,'[1]Tissue Data'!J:J)</f>
        <v>U</v>
      </c>
      <c r="H6054" t="str">
        <f>_xlfn.XLOOKUP(A6054,'[1]Tissue Data'!$A:$A,'[1]Tissue Data'!K:K)</f>
        <v>Whole Body</v>
      </c>
      <c r="I6054">
        <f>_xlfn.XLOOKUP(A6054,'[1]Tissue Data'!$A:$A,'[1]Tissue Data'!L:L)</f>
        <v>7.5</v>
      </c>
      <c r="J6054">
        <f>_xlfn.XLOOKUP(A6054,'[1]Tissue Data'!$A:$A,'[1]Tissue Data'!M:M)</f>
        <v>3.57</v>
      </c>
      <c r="K6054" t="s">
        <v>14</v>
      </c>
      <c r="L6054" t="str">
        <f>_xlfn.XLOOKUP(K6054,[2]analyte_order!$B:$B,[2]analyte_order!$C:$C)</f>
        <v>307-24-4</v>
      </c>
      <c r="M6054">
        <f>_xlfn.XLOOKUP(L6054,[2]analyte_order!$C:$C,[2]analyte_order!$E:$E)</f>
        <v>3</v>
      </c>
      <c r="N6054">
        <v>0.11899999999999999</v>
      </c>
    </row>
    <row r="6055" spans="1:14">
      <c r="A6055" t="s">
        <v>179</v>
      </c>
      <c r="B6055" t="str">
        <f>_xlfn.XLOOKUP(A6055,'[1]Tissue Data'!$A:$A,'[1]Tissue Data'!$C:$C)</f>
        <v>Spill</v>
      </c>
      <c r="C6055" s="2">
        <f>_xlfn.XLOOKUP(A6055,'[1]Tissue Data'!$A:$A,'[1]Tissue Data'!$D:$D)</f>
        <v>44393</v>
      </c>
      <c r="D6055" s="2" t="str">
        <f>_xlfn.XLOOKUP(A6055,'[1]Tissue Data'!$A:$A,'[1]Tissue Data'!$F:$F)</f>
        <v>Fallfish</v>
      </c>
      <c r="E6055" t="str">
        <f>_xlfn.XLOOKUP(A6055,'[1]Tissue Data'!$A:$A,'[1]Tissue Data'!$H:$H)</f>
        <v>Semotilus</v>
      </c>
      <c r="F6055" t="str">
        <f>_xlfn.XLOOKUP(A6055,'[1]Tissue Data'!$A:$A,'[1]Tissue Data'!$I:$I)</f>
        <v>corporalis</v>
      </c>
      <c r="G6055" t="str">
        <f>_xlfn.XLOOKUP(A6055,'[1]Tissue Data'!$A:$A,'[1]Tissue Data'!J:J)</f>
        <v>U</v>
      </c>
      <c r="H6055" t="str">
        <f>_xlfn.XLOOKUP(A6055,'[1]Tissue Data'!$A:$A,'[1]Tissue Data'!K:K)</f>
        <v>Whole Body</v>
      </c>
      <c r="I6055">
        <f>_xlfn.XLOOKUP(A6055,'[1]Tissue Data'!$A:$A,'[1]Tissue Data'!L:L)</f>
        <v>7.5</v>
      </c>
      <c r="J6055">
        <f>_xlfn.XLOOKUP(A6055,'[1]Tissue Data'!$A:$A,'[1]Tissue Data'!M:M)</f>
        <v>3.57</v>
      </c>
      <c r="K6055" t="s">
        <v>15</v>
      </c>
      <c r="L6055" t="str">
        <f>_xlfn.XLOOKUP(K6055,[2]analyte_order!$B:$B,[2]analyte_order!$C:$C)</f>
        <v>375-85-9</v>
      </c>
      <c r="M6055">
        <f>_xlfn.XLOOKUP(L6055,[2]analyte_order!$C:$C,[2]analyte_order!$E:$E)</f>
        <v>4</v>
      </c>
      <c r="N6055">
        <v>0.11</v>
      </c>
    </row>
    <row r="6056" spans="1:14">
      <c r="A6056" t="s">
        <v>179</v>
      </c>
      <c r="B6056" t="str">
        <f>_xlfn.XLOOKUP(A6056,'[1]Tissue Data'!$A:$A,'[1]Tissue Data'!$C:$C)</f>
        <v>Spill</v>
      </c>
      <c r="C6056" s="2">
        <f>_xlfn.XLOOKUP(A6056,'[1]Tissue Data'!$A:$A,'[1]Tissue Data'!$D:$D)</f>
        <v>44393</v>
      </c>
      <c r="D6056" s="2" t="str">
        <f>_xlfn.XLOOKUP(A6056,'[1]Tissue Data'!$A:$A,'[1]Tissue Data'!$F:$F)</f>
        <v>Fallfish</v>
      </c>
      <c r="E6056" t="str">
        <f>_xlfn.XLOOKUP(A6056,'[1]Tissue Data'!$A:$A,'[1]Tissue Data'!$H:$H)</f>
        <v>Semotilus</v>
      </c>
      <c r="F6056" t="str">
        <f>_xlfn.XLOOKUP(A6056,'[1]Tissue Data'!$A:$A,'[1]Tissue Data'!$I:$I)</f>
        <v>corporalis</v>
      </c>
      <c r="G6056" t="str">
        <f>_xlfn.XLOOKUP(A6056,'[1]Tissue Data'!$A:$A,'[1]Tissue Data'!J:J)</f>
        <v>U</v>
      </c>
      <c r="H6056" t="str">
        <f>_xlfn.XLOOKUP(A6056,'[1]Tissue Data'!$A:$A,'[1]Tissue Data'!K:K)</f>
        <v>Whole Body</v>
      </c>
      <c r="I6056">
        <f>_xlfn.XLOOKUP(A6056,'[1]Tissue Data'!$A:$A,'[1]Tissue Data'!L:L)</f>
        <v>7.5</v>
      </c>
      <c r="J6056">
        <f>_xlfn.XLOOKUP(A6056,'[1]Tissue Data'!$A:$A,'[1]Tissue Data'!M:M)</f>
        <v>3.57</v>
      </c>
      <c r="K6056" t="s">
        <v>16</v>
      </c>
      <c r="L6056" t="str">
        <f>_xlfn.XLOOKUP(K6056,[2]analyte_order!$B:$B,[2]analyte_order!$C:$C)</f>
        <v>335-67-1</v>
      </c>
      <c r="M6056">
        <f>_xlfn.XLOOKUP(L6056,[2]analyte_order!$C:$C,[2]analyte_order!$E:$E)</f>
        <v>5</v>
      </c>
      <c r="N6056">
        <v>1.81</v>
      </c>
    </row>
    <row r="6057" spans="1:14">
      <c r="A6057" t="s">
        <v>179</v>
      </c>
      <c r="B6057" t="str">
        <f>_xlfn.XLOOKUP(A6057,'[1]Tissue Data'!$A:$A,'[1]Tissue Data'!$C:$C)</f>
        <v>Spill</v>
      </c>
      <c r="C6057" s="2">
        <f>_xlfn.XLOOKUP(A6057,'[1]Tissue Data'!$A:$A,'[1]Tissue Data'!$D:$D)</f>
        <v>44393</v>
      </c>
      <c r="D6057" s="2" t="str">
        <f>_xlfn.XLOOKUP(A6057,'[1]Tissue Data'!$A:$A,'[1]Tissue Data'!$F:$F)</f>
        <v>Fallfish</v>
      </c>
      <c r="E6057" t="str">
        <f>_xlfn.XLOOKUP(A6057,'[1]Tissue Data'!$A:$A,'[1]Tissue Data'!$H:$H)</f>
        <v>Semotilus</v>
      </c>
      <c r="F6057" t="str">
        <f>_xlfn.XLOOKUP(A6057,'[1]Tissue Data'!$A:$A,'[1]Tissue Data'!$I:$I)</f>
        <v>corporalis</v>
      </c>
      <c r="G6057" t="str">
        <f>_xlfn.XLOOKUP(A6057,'[1]Tissue Data'!$A:$A,'[1]Tissue Data'!J:J)</f>
        <v>U</v>
      </c>
      <c r="H6057" t="str">
        <f>_xlfn.XLOOKUP(A6057,'[1]Tissue Data'!$A:$A,'[1]Tissue Data'!K:K)</f>
        <v>Whole Body</v>
      </c>
      <c r="I6057">
        <f>_xlfn.XLOOKUP(A6057,'[1]Tissue Data'!$A:$A,'[1]Tissue Data'!L:L)</f>
        <v>7.5</v>
      </c>
      <c r="J6057">
        <f>_xlfn.XLOOKUP(A6057,'[1]Tissue Data'!$A:$A,'[1]Tissue Data'!M:M)</f>
        <v>3.57</v>
      </c>
      <c r="K6057" t="s">
        <v>17</v>
      </c>
      <c r="L6057" t="str">
        <f>_xlfn.XLOOKUP(K6057,[2]analyte_order!$B:$B,[2]analyte_order!$C:$C)</f>
        <v>375-95-1</v>
      </c>
      <c r="M6057">
        <f>_xlfn.XLOOKUP(L6057,[2]analyte_order!$C:$C,[2]analyte_order!$E:$E)</f>
        <v>6</v>
      </c>
      <c r="N6057">
        <v>0.11</v>
      </c>
    </row>
    <row r="6058" spans="1:14">
      <c r="A6058" t="s">
        <v>179</v>
      </c>
      <c r="B6058" t="str">
        <f>_xlfn.XLOOKUP(A6058,'[1]Tissue Data'!$A:$A,'[1]Tissue Data'!$C:$C)</f>
        <v>Spill</v>
      </c>
      <c r="C6058" s="2">
        <f>_xlfn.XLOOKUP(A6058,'[1]Tissue Data'!$A:$A,'[1]Tissue Data'!$D:$D)</f>
        <v>44393</v>
      </c>
      <c r="D6058" s="2" t="str">
        <f>_xlfn.XLOOKUP(A6058,'[1]Tissue Data'!$A:$A,'[1]Tissue Data'!$F:$F)</f>
        <v>Fallfish</v>
      </c>
      <c r="E6058" t="str">
        <f>_xlfn.XLOOKUP(A6058,'[1]Tissue Data'!$A:$A,'[1]Tissue Data'!$H:$H)</f>
        <v>Semotilus</v>
      </c>
      <c r="F6058" t="str">
        <f>_xlfn.XLOOKUP(A6058,'[1]Tissue Data'!$A:$A,'[1]Tissue Data'!$I:$I)</f>
        <v>corporalis</v>
      </c>
      <c r="G6058" t="str">
        <f>_xlfn.XLOOKUP(A6058,'[1]Tissue Data'!$A:$A,'[1]Tissue Data'!J:J)</f>
        <v>U</v>
      </c>
      <c r="H6058" t="str">
        <f>_xlfn.XLOOKUP(A6058,'[1]Tissue Data'!$A:$A,'[1]Tissue Data'!K:K)</f>
        <v>Whole Body</v>
      </c>
      <c r="I6058">
        <f>_xlfn.XLOOKUP(A6058,'[1]Tissue Data'!$A:$A,'[1]Tissue Data'!L:L)</f>
        <v>7.5</v>
      </c>
      <c r="J6058">
        <f>_xlfn.XLOOKUP(A6058,'[1]Tissue Data'!$A:$A,'[1]Tissue Data'!M:M)</f>
        <v>3.57</v>
      </c>
      <c r="K6058" t="s">
        <v>18</v>
      </c>
      <c r="L6058" t="str">
        <f>_xlfn.XLOOKUP(K6058,[2]analyte_order!$B:$B,[2]analyte_order!$C:$C)</f>
        <v>335-76-2</v>
      </c>
      <c r="M6058">
        <f>_xlfn.XLOOKUP(L6058,[2]analyte_order!$C:$C,[2]analyte_order!$E:$E)</f>
        <v>7</v>
      </c>
      <c r="N6058">
        <v>13</v>
      </c>
    </row>
    <row r="6059" spans="1:14">
      <c r="A6059" t="s">
        <v>179</v>
      </c>
      <c r="B6059" t="str">
        <f>_xlfn.XLOOKUP(A6059,'[1]Tissue Data'!$A:$A,'[1]Tissue Data'!$C:$C)</f>
        <v>Spill</v>
      </c>
      <c r="C6059" s="2">
        <f>_xlfn.XLOOKUP(A6059,'[1]Tissue Data'!$A:$A,'[1]Tissue Data'!$D:$D)</f>
        <v>44393</v>
      </c>
      <c r="D6059" s="2" t="str">
        <f>_xlfn.XLOOKUP(A6059,'[1]Tissue Data'!$A:$A,'[1]Tissue Data'!$F:$F)</f>
        <v>Fallfish</v>
      </c>
      <c r="E6059" t="str">
        <f>_xlfn.XLOOKUP(A6059,'[1]Tissue Data'!$A:$A,'[1]Tissue Data'!$H:$H)</f>
        <v>Semotilus</v>
      </c>
      <c r="F6059" t="str">
        <f>_xlfn.XLOOKUP(A6059,'[1]Tissue Data'!$A:$A,'[1]Tissue Data'!$I:$I)</f>
        <v>corporalis</v>
      </c>
      <c r="G6059" t="str">
        <f>_xlfn.XLOOKUP(A6059,'[1]Tissue Data'!$A:$A,'[1]Tissue Data'!J:J)</f>
        <v>U</v>
      </c>
      <c r="H6059" t="str">
        <f>_xlfn.XLOOKUP(A6059,'[1]Tissue Data'!$A:$A,'[1]Tissue Data'!K:K)</f>
        <v>Whole Body</v>
      </c>
      <c r="I6059">
        <f>_xlfn.XLOOKUP(A6059,'[1]Tissue Data'!$A:$A,'[1]Tissue Data'!L:L)</f>
        <v>7.5</v>
      </c>
      <c r="J6059">
        <f>_xlfn.XLOOKUP(A6059,'[1]Tissue Data'!$A:$A,'[1]Tissue Data'!M:M)</f>
        <v>3.57</v>
      </c>
      <c r="K6059" t="s">
        <v>19</v>
      </c>
      <c r="L6059" t="str">
        <f>_xlfn.XLOOKUP(K6059,[2]analyte_order!$B:$B,[2]analyte_order!$C:$C)</f>
        <v>2058-94-8</v>
      </c>
      <c r="M6059">
        <f>_xlfn.XLOOKUP(L6059,[2]analyte_order!$C:$C,[2]analyte_order!$E:$E)</f>
        <v>8</v>
      </c>
      <c r="N6059">
        <v>15.8</v>
      </c>
    </row>
    <row r="6060" spans="1:14">
      <c r="A6060" t="s">
        <v>179</v>
      </c>
      <c r="B6060" t="str">
        <f>_xlfn.XLOOKUP(A6060,'[1]Tissue Data'!$A:$A,'[1]Tissue Data'!$C:$C)</f>
        <v>Spill</v>
      </c>
      <c r="C6060" s="2">
        <f>_xlfn.XLOOKUP(A6060,'[1]Tissue Data'!$A:$A,'[1]Tissue Data'!$D:$D)</f>
        <v>44393</v>
      </c>
      <c r="D6060" s="2" t="str">
        <f>_xlfn.XLOOKUP(A6060,'[1]Tissue Data'!$A:$A,'[1]Tissue Data'!$F:$F)</f>
        <v>Fallfish</v>
      </c>
      <c r="E6060" t="str">
        <f>_xlfn.XLOOKUP(A6060,'[1]Tissue Data'!$A:$A,'[1]Tissue Data'!$H:$H)</f>
        <v>Semotilus</v>
      </c>
      <c r="F6060" t="str">
        <f>_xlfn.XLOOKUP(A6060,'[1]Tissue Data'!$A:$A,'[1]Tissue Data'!$I:$I)</f>
        <v>corporalis</v>
      </c>
      <c r="G6060" t="str">
        <f>_xlfn.XLOOKUP(A6060,'[1]Tissue Data'!$A:$A,'[1]Tissue Data'!J:J)</f>
        <v>U</v>
      </c>
      <c r="H6060" t="str">
        <f>_xlfn.XLOOKUP(A6060,'[1]Tissue Data'!$A:$A,'[1]Tissue Data'!K:K)</f>
        <v>Whole Body</v>
      </c>
      <c r="I6060">
        <f>_xlfn.XLOOKUP(A6060,'[1]Tissue Data'!$A:$A,'[1]Tissue Data'!L:L)</f>
        <v>7.5</v>
      </c>
      <c r="J6060">
        <f>_xlfn.XLOOKUP(A6060,'[1]Tissue Data'!$A:$A,'[1]Tissue Data'!M:M)</f>
        <v>3.57</v>
      </c>
      <c r="K6060" t="s">
        <v>20</v>
      </c>
      <c r="L6060" t="str">
        <f>_xlfn.XLOOKUP(K6060,[2]analyte_order!$B:$B,[2]analyte_order!$C:$C)</f>
        <v>307-55-1</v>
      </c>
      <c r="M6060">
        <f>_xlfn.XLOOKUP(L6060,[2]analyte_order!$C:$C,[2]analyte_order!$E:$E)</f>
        <v>9</v>
      </c>
      <c r="N6060">
        <v>16.100000000000001</v>
      </c>
    </row>
    <row r="6061" spans="1:14">
      <c r="A6061" t="s">
        <v>179</v>
      </c>
      <c r="B6061" t="str">
        <f>_xlfn.XLOOKUP(A6061,'[1]Tissue Data'!$A:$A,'[1]Tissue Data'!$C:$C)</f>
        <v>Spill</v>
      </c>
      <c r="C6061" s="2">
        <f>_xlfn.XLOOKUP(A6061,'[1]Tissue Data'!$A:$A,'[1]Tissue Data'!$D:$D)</f>
        <v>44393</v>
      </c>
      <c r="D6061" s="2" t="str">
        <f>_xlfn.XLOOKUP(A6061,'[1]Tissue Data'!$A:$A,'[1]Tissue Data'!$F:$F)</f>
        <v>Fallfish</v>
      </c>
      <c r="E6061" t="str">
        <f>_xlfn.XLOOKUP(A6061,'[1]Tissue Data'!$A:$A,'[1]Tissue Data'!$H:$H)</f>
        <v>Semotilus</v>
      </c>
      <c r="F6061" t="str">
        <f>_xlfn.XLOOKUP(A6061,'[1]Tissue Data'!$A:$A,'[1]Tissue Data'!$I:$I)</f>
        <v>corporalis</v>
      </c>
      <c r="G6061" t="str">
        <f>_xlfn.XLOOKUP(A6061,'[1]Tissue Data'!$A:$A,'[1]Tissue Data'!J:J)</f>
        <v>U</v>
      </c>
      <c r="H6061" t="str">
        <f>_xlfn.XLOOKUP(A6061,'[1]Tissue Data'!$A:$A,'[1]Tissue Data'!K:K)</f>
        <v>Whole Body</v>
      </c>
      <c r="I6061">
        <f>_xlfn.XLOOKUP(A6061,'[1]Tissue Data'!$A:$A,'[1]Tissue Data'!L:L)</f>
        <v>7.5</v>
      </c>
      <c r="J6061">
        <f>_xlfn.XLOOKUP(A6061,'[1]Tissue Data'!$A:$A,'[1]Tissue Data'!M:M)</f>
        <v>3.57</v>
      </c>
      <c r="K6061" t="s">
        <v>21</v>
      </c>
      <c r="L6061" t="str">
        <f>_xlfn.XLOOKUP(K6061,[2]analyte_order!$B:$B,[2]analyte_order!$C:$C)</f>
        <v>72629-94-8</v>
      </c>
      <c r="M6061">
        <f>_xlfn.XLOOKUP(L6061,[2]analyte_order!$C:$C,[2]analyte_order!$E:$E)</f>
        <v>10</v>
      </c>
      <c r="N6061">
        <v>4.07</v>
      </c>
    </row>
    <row r="6062" spans="1:14">
      <c r="A6062" t="s">
        <v>179</v>
      </c>
      <c r="B6062" t="str">
        <f>_xlfn.XLOOKUP(A6062,'[1]Tissue Data'!$A:$A,'[1]Tissue Data'!$C:$C)</f>
        <v>Spill</v>
      </c>
      <c r="C6062" s="2">
        <f>_xlfn.XLOOKUP(A6062,'[1]Tissue Data'!$A:$A,'[1]Tissue Data'!$D:$D)</f>
        <v>44393</v>
      </c>
      <c r="D6062" s="2" t="str">
        <f>_xlfn.XLOOKUP(A6062,'[1]Tissue Data'!$A:$A,'[1]Tissue Data'!$F:$F)</f>
        <v>Fallfish</v>
      </c>
      <c r="E6062" t="str">
        <f>_xlfn.XLOOKUP(A6062,'[1]Tissue Data'!$A:$A,'[1]Tissue Data'!$H:$H)</f>
        <v>Semotilus</v>
      </c>
      <c r="F6062" t="str">
        <f>_xlfn.XLOOKUP(A6062,'[1]Tissue Data'!$A:$A,'[1]Tissue Data'!$I:$I)</f>
        <v>corporalis</v>
      </c>
      <c r="G6062" t="str">
        <f>_xlfn.XLOOKUP(A6062,'[1]Tissue Data'!$A:$A,'[1]Tissue Data'!J:J)</f>
        <v>U</v>
      </c>
      <c r="H6062" t="str">
        <f>_xlfn.XLOOKUP(A6062,'[1]Tissue Data'!$A:$A,'[1]Tissue Data'!K:K)</f>
        <v>Whole Body</v>
      </c>
      <c r="I6062">
        <f>_xlfn.XLOOKUP(A6062,'[1]Tissue Data'!$A:$A,'[1]Tissue Data'!L:L)</f>
        <v>7.5</v>
      </c>
      <c r="J6062">
        <f>_xlfn.XLOOKUP(A6062,'[1]Tissue Data'!$A:$A,'[1]Tissue Data'!M:M)</f>
        <v>3.57</v>
      </c>
      <c r="K6062" t="s">
        <v>22</v>
      </c>
      <c r="L6062" t="str">
        <f>_xlfn.XLOOKUP(K6062,[2]analyte_order!$B:$B,[2]analyte_order!$C:$C)</f>
        <v>376-06-7</v>
      </c>
      <c r="M6062">
        <f>_xlfn.XLOOKUP(L6062,[2]analyte_order!$C:$C,[2]analyte_order!$E:$E)</f>
        <v>11</v>
      </c>
      <c r="N6062">
        <v>7.32</v>
      </c>
    </row>
    <row r="6063" spans="1:14">
      <c r="A6063" t="s">
        <v>179</v>
      </c>
      <c r="B6063" t="str">
        <f>_xlfn.XLOOKUP(A6063,'[1]Tissue Data'!$A:$A,'[1]Tissue Data'!$C:$C)</f>
        <v>Spill</v>
      </c>
      <c r="C6063" s="2">
        <f>_xlfn.XLOOKUP(A6063,'[1]Tissue Data'!$A:$A,'[1]Tissue Data'!$D:$D)</f>
        <v>44393</v>
      </c>
      <c r="D6063" s="2" t="str">
        <f>_xlfn.XLOOKUP(A6063,'[1]Tissue Data'!$A:$A,'[1]Tissue Data'!$F:$F)</f>
        <v>Fallfish</v>
      </c>
      <c r="E6063" t="str">
        <f>_xlfn.XLOOKUP(A6063,'[1]Tissue Data'!$A:$A,'[1]Tissue Data'!$H:$H)</f>
        <v>Semotilus</v>
      </c>
      <c r="F6063" t="str">
        <f>_xlfn.XLOOKUP(A6063,'[1]Tissue Data'!$A:$A,'[1]Tissue Data'!$I:$I)</f>
        <v>corporalis</v>
      </c>
      <c r="G6063" t="str">
        <f>_xlfn.XLOOKUP(A6063,'[1]Tissue Data'!$A:$A,'[1]Tissue Data'!J:J)</f>
        <v>U</v>
      </c>
      <c r="H6063" t="str">
        <f>_xlfn.XLOOKUP(A6063,'[1]Tissue Data'!$A:$A,'[1]Tissue Data'!K:K)</f>
        <v>Whole Body</v>
      </c>
      <c r="I6063">
        <f>_xlfn.XLOOKUP(A6063,'[1]Tissue Data'!$A:$A,'[1]Tissue Data'!L:L)</f>
        <v>7.5</v>
      </c>
      <c r="J6063">
        <f>_xlfn.XLOOKUP(A6063,'[1]Tissue Data'!$A:$A,'[1]Tissue Data'!M:M)</f>
        <v>3.57</v>
      </c>
      <c r="K6063" t="s">
        <v>23</v>
      </c>
      <c r="L6063" t="str">
        <f>_xlfn.XLOOKUP(K6063,[2]analyte_order!$B:$B,[2]analyte_order!$C:$C)</f>
        <v>67905-19-5</v>
      </c>
      <c r="M6063">
        <f>_xlfn.XLOOKUP(L6063,[2]analyte_order!$C:$C,[2]analyte_order!$E:$E)</f>
        <v>12</v>
      </c>
      <c r="N6063">
        <v>0.13100000000000001</v>
      </c>
    </row>
    <row r="6064" spans="1:14">
      <c r="A6064" t="s">
        <v>179</v>
      </c>
      <c r="B6064" t="str">
        <f>_xlfn.XLOOKUP(A6064,'[1]Tissue Data'!$A:$A,'[1]Tissue Data'!$C:$C)</f>
        <v>Spill</v>
      </c>
      <c r="C6064" s="2">
        <f>_xlfn.XLOOKUP(A6064,'[1]Tissue Data'!$A:$A,'[1]Tissue Data'!$D:$D)</f>
        <v>44393</v>
      </c>
      <c r="D6064" s="2" t="str">
        <f>_xlfn.XLOOKUP(A6064,'[1]Tissue Data'!$A:$A,'[1]Tissue Data'!$F:$F)</f>
        <v>Fallfish</v>
      </c>
      <c r="E6064" t="str">
        <f>_xlfn.XLOOKUP(A6064,'[1]Tissue Data'!$A:$A,'[1]Tissue Data'!$H:$H)</f>
        <v>Semotilus</v>
      </c>
      <c r="F6064" t="str">
        <f>_xlfn.XLOOKUP(A6064,'[1]Tissue Data'!$A:$A,'[1]Tissue Data'!$I:$I)</f>
        <v>corporalis</v>
      </c>
      <c r="G6064" t="str">
        <f>_xlfn.XLOOKUP(A6064,'[1]Tissue Data'!$A:$A,'[1]Tissue Data'!J:J)</f>
        <v>U</v>
      </c>
      <c r="H6064" t="str">
        <f>_xlfn.XLOOKUP(A6064,'[1]Tissue Data'!$A:$A,'[1]Tissue Data'!K:K)</f>
        <v>Whole Body</v>
      </c>
      <c r="I6064">
        <f>_xlfn.XLOOKUP(A6064,'[1]Tissue Data'!$A:$A,'[1]Tissue Data'!L:L)</f>
        <v>7.5</v>
      </c>
      <c r="J6064">
        <f>_xlfn.XLOOKUP(A6064,'[1]Tissue Data'!$A:$A,'[1]Tissue Data'!M:M)</f>
        <v>3.57</v>
      </c>
      <c r="K6064" t="s">
        <v>24</v>
      </c>
      <c r="L6064" t="str">
        <f>_xlfn.XLOOKUP(K6064,[2]analyte_order!$B:$B,[2]analyte_order!$C:$C)</f>
        <v>423-41-6</v>
      </c>
      <c r="M6064">
        <f>_xlfn.XLOOKUP(L6064,[2]analyte_order!$C:$C,[2]analyte_order!$E:$E)</f>
        <v>53</v>
      </c>
      <c r="N6064">
        <v>0.11</v>
      </c>
    </row>
    <row r="6065" spans="1:14">
      <c r="A6065" t="s">
        <v>179</v>
      </c>
      <c r="B6065" t="str">
        <f>_xlfn.XLOOKUP(A6065,'[1]Tissue Data'!$A:$A,'[1]Tissue Data'!$C:$C)</f>
        <v>Spill</v>
      </c>
      <c r="C6065" s="2">
        <f>_xlfn.XLOOKUP(A6065,'[1]Tissue Data'!$A:$A,'[1]Tissue Data'!$D:$D)</f>
        <v>44393</v>
      </c>
      <c r="D6065" s="2" t="str">
        <f>_xlfn.XLOOKUP(A6065,'[1]Tissue Data'!$A:$A,'[1]Tissue Data'!$F:$F)</f>
        <v>Fallfish</v>
      </c>
      <c r="E6065" t="str">
        <f>_xlfn.XLOOKUP(A6065,'[1]Tissue Data'!$A:$A,'[1]Tissue Data'!$H:$H)</f>
        <v>Semotilus</v>
      </c>
      <c r="F6065" t="str">
        <f>_xlfn.XLOOKUP(A6065,'[1]Tissue Data'!$A:$A,'[1]Tissue Data'!$I:$I)</f>
        <v>corporalis</v>
      </c>
      <c r="G6065" t="str">
        <f>_xlfn.XLOOKUP(A6065,'[1]Tissue Data'!$A:$A,'[1]Tissue Data'!J:J)</f>
        <v>U</v>
      </c>
      <c r="H6065" t="str">
        <f>_xlfn.XLOOKUP(A6065,'[1]Tissue Data'!$A:$A,'[1]Tissue Data'!K:K)</f>
        <v>Whole Body</v>
      </c>
      <c r="I6065">
        <f>_xlfn.XLOOKUP(A6065,'[1]Tissue Data'!$A:$A,'[1]Tissue Data'!L:L)</f>
        <v>7.5</v>
      </c>
      <c r="J6065">
        <f>_xlfn.XLOOKUP(A6065,'[1]Tissue Data'!$A:$A,'[1]Tissue Data'!M:M)</f>
        <v>3.57</v>
      </c>
      <c r="K6065" t="s">
        <v>25</v>
      </c>
      <c r="L6065" t="str">
        <f>_xlfn.XLOOKUP(K6065,[2]analyte_order!$B:$B,[2]analyte_order!$C:$C)</f>
        <v>375-73-5</v>
      </c>
      <c r="M6065">
        <f>_xlfn.XLOOKUP(L6065,[2]analyte_order!$C:$C,[2]analyte_order!$E:$E)</f>
        <v>14</v>
      </c>
      <c r="N6065">
        <v>0.22</v>
      </c>
    </row>
    <row r="6066" spans="1:14">
      <c r="A6066" t="s">
        <v>179</v>
      </c>
      <c r="B6066" t="str">
        <f>_xlfn.XLOOKUP(A6066,'[1]Tissue Data'!$A:$A,'[1]Tissue Data'!$C:$C)</f>
        <v>Spill</v>
      </c>
      <c r="C6066" s="2">
        <f>_xlfn.XLOOKUP(A6066,'[1]Tissue Data'!$A:$A,'[1]Tissue Data'!$D:$D)</f>
        <v>44393</v>
      </c>
      <c r="D6066" s="2" t="str">
        <f>_xlfn.XLOOKUP(A6066,'[1]Tissue Data'!$A:$A,'[1]Tissue Data'!$F:$F)</f>
        <v>Fallfish</v>
      </c>
      <c r="E6066" t="str">
        <f>_xlfn.XLOOKUP(A6066,'[1]Tissue Data'!$A:$A,'[1]Tissue Data'!$H:$H)</f>
        <v>Semotilus</v>
      </c>
      <c r="F6066" t="str">
        <f>_xlfn.XLOOKUP(A6066,'[1]Tissue Data'!$A:$A,'[1]Tissue Data'!$I:$I)</f>
        <v>corporalis</v>
      </c>
      <c r="G6066" t="str">
        <f>_xlfn.XLOOKUP(A6066,'[1]Tissue Data'!$A:$A,'[1]Tissue Data'!J:J)</f>
        <v>U</v>
      </c>
      <c r="H6066" t="str">
        <f>_xlfn.XLOOKUP(A6066,'[1]Tissue Data'!$A:$A,'[1]Tissue Data'!K:K)</f>
        <v>Whole Body</v>
      </c>
      <c r="I6066">
        <f>_xlfn.XLOOKUP(A6066,'[1]Tissue Data'!$A:$A,'[1]Tissue Data'!L:L)</f>
        <v>7.5</v>
      </c>
      <c r="J6066">
        <f>_xlfn.XLOOKUP(A6066,'[1]Tissue Data'!$A:$A,'[1]Tissue Data'!M:M)</f>
        <v>3.57</v>
      </c>
      <c r="K6066" t="s">
        <v>26</v>
      </c>
      <c r="L6066" t="str">
        <f>_xlfn.XLOOKUP(K6066,[2]analyte_order!$B:$B,[2]analyte_order!$C:$C)</f>
        <v>2706-91-4</v>
      </c>
      <c r="M6066">
        <f>_xlfn.XLOOKUP(L6066,[2]analyte_order!$C:$C,[2]analyte_order!$E:$E)</f>
        <v>15</v>
      </c>
      <c r="N6066">
        <v>0.11650000000000001</v>
      </c>
    </row>
    <row r="6067" spans="1:14">
      <c r="A6067" t="s">
        <v>179</v>
      </c>
      <c r="B6067" t="str">
        <f>_xlfn.XLOOKUP(A6067,'[1]Tissue Data'!$A:$A,'[1]Tissue Data'!$C:$C)</f>
        <v>Spill</v>
      </c>
      <c r="C6067" s="2">
        <f>_xlfn.XLOOKUP(A6067,'[1]Tissue Data'!$A:$A,'[1]Tissue Data'!$D:$D)</f>
        <v>44393</v>
      </c>
      <c r="D6067" s="2" t="str">
        <f>_xlfn.XLOOKUP(A6067,'[1]Tissue Data'!$A:$A,'[1]Tissue Data'!$F:$F)</f>
        <v>Fallfish</v>
      </c>
      <c r="E6067" t="str">
        <f>_xlfn.XLOOKUP(A6067,'[1]Tissue Data'!$A:$A,'[1]Tissue Data'!$H:$H)</f>
        <v>Semotilus</v>
      </c>
      <c r="F6067" t="str">
        <f>_xlfn.XLOOKUP(A6067,'[1]Tissue Data'!$A:$A,'[1]Tissue Data'!$I:$I)</f>
        <v>corporalis</v>
      </c>
      <c r="G6067" t="str">
        <f>_xlfn.XLOOKUP(A6067,'[1]Tissue Data'!$A:$A,'[1]Tissue Data'!J:J)</f>
        <v>U</v>
      </c>
      <c r="H6067" t="str">
        <f>_xlfn.XLOOKUP(A6067,'[1]Tissue Data'!$A:$A,'[1]Tissue Data'!K:K)</f>
        <v>Whole Body</v>
      </c>
      <c r="I6067">
        <f>_xlfn.XLOOKUP(A6067,'[1]Tissue Data'!$A:$A,'[1]Tissue Data'!L:L)</f>
        <v>7.5</v>
      </c>
      <c r="J6067">
        <f>_xlfn.XLOOKUP(A6067,'[1]Tissue Data'!$A:$A,'[1]Tissue Data'!M:M)</f>
        <v>3.57</v>
      </c>
      <c r="K6067" t="s">
        <v>27</v>
      </c>
      <c r="L6067" t="str">
        <f>_xlfn.XLOOKUP(K6067,[2]analyte_order!$B:$B,[2]analyte_order!$C:$C)</f>
        <v>355-46-4</v>
      </c>
      <c r="M6067">
        <f>_xlfn.XLOOKUP(L6067,[2]analyte_order!$C:$C,[2]analyte_order!$E:$E)</f>
        <v>16</v>
      </c>
      <c r="N6067">
        <v>13.8</v>
      </c>
    </row>
    <row r="6068" spans="1:14">
      <c r="A6068" t="s">
        <v>179</v>
      </c>
      <c r="B6068" t="str">
        <f>_xlfn.XLOOKUP(A6068,'[1]Tissue Data'!$A:$A,'[1]Tissue Data'!$C:$C)</f>
        <v>Spill</v>
      </c>
      <c r="C6068" s="2">
        <f>_xlfn.XLOOKUP(A6068,'[1]Tissue Data'!$A:$A,'[1]Tissue Data'!$D:$D)</f>
        <v>44393</v>
      </c>
      <c r="D6068" s="2" t="str">
        <f>_xlfn.XLOOKUP(A6068,'[1]Tissue Data'!$A:$A,'[1]Tissue Data'!$F:$F)</f>
        <v>Fallfish</v>
      </c>
      <c r="E6068" t="str">
        <f>_xlfn.XLOOKUP(A6068,'[1]Tissue Data'!$A:$A,'[1]Tissue Data'!$H:$H)</f>
        <v>Semotilus</v>
      </c>
      <c r="F6068" t="str">
        <f>_xlfn.XLOOKUP(A6068,'[1]Tissue Data'!$A:$A,'[1]Tissue Data'!$I:$I)</f>
        <v>corporalis</v>
      </c>
      <c r="G6068" t="str">
        <f>_xlfn.XLOOKUP(A6068,'[1]Tissue Data'!$A:$A,'[1]Tissue Data'!J:J)</f>
        <v>U</v>
      </c>
      <c r="H6068" t="str">
        <f>_xlfn.XLOOKUP(A6068,'[1]Tissue Data'!$A:$A,'[1]Tissue Data'!K:K)</f>
        <v>Whole Body</v>
      </c>
      <c r="I6068">
        <f>_xlfn.XLOOKUP(A6068,'[1]Tissue Data'!$A:$A,'[1]Tissue Data'!L:L)</f>
        <v>7.5</v>
      </c>
      <c r="J6068">
        <f>_xlfn.XLOOKUP(A6068,'[1]Tissue Data'!$A:$A,'[1]Tissue Data'!M:M)</f>
        <v>3.57</v>
      </c>
      <c r="K6068" t="s">
        <v>28</v>
      </c>
      <c r="L6068" t="str">
        <f>_xlfn.XLOOKUP(K6068,[2]analyte_order!$B:$B,[2]analyte_order!$C:$C)</f>
        <v>375-92-8</v>
      </c>
      <c r="M6068">
        <f>_xlfn.XLOOKUP(L6068,[2]analyte_order!$C:$C,[2]analyte_order!$E:$E)</f>
        <v>17</v>
      </c>
      <c r="N6068">
        <v>3.15</v>
      </c>
    </row>
    <row r="6069" spans="1:14">
      <c r="A6069" t="s">
        <v>179</v>
      </c>
      <c r="B6069" t="str">
        <f>_xlfn.XLOOKUP(A6069,'[1]Tissue Data'!$A:$A,'[1]Tissue Data'!$C:$C)</f>
        <v>Spill</v>
      </c>
      <c r="C6069" s="2">
        <f>_xlfn.XLOOKUP(A6069,'[1]Tissue Data'!$A:$A,'[1]Tissue Data'!$D:$D)</f>
        <v>44393</v>
      </c>
      <c r="D6069" s="2" t="str">
        <f>_xlfn.XLOOKUP(A6069,'[1]Tissue Data'!$A:$A,'[1]Tissue Data'!$F:$F)</f>
        <v>Fallfish</v>
      </c>
      <c r="E6069" t="str">
        <f>_xlfn.XLOOKUP(A6069,'[1]Tissue Data'!$A:$A,'[1]Tissue Data'!$H:$H)</f>
        <v>Semotilus</v>
      </c>
      <c r="F6069" t="str">
        <f>_xlfn.XLOOKUP(A6069,'[1]Tissue Data'!$A:$A,'[1]Tissue Data'!$I:$I)</f>
        <v>corporalis</v>
      </c>
      <c r="G6069" t="str">
        <f>_xlfn.XLOOKUP(A6069,'[1]Tissue Data'!$A:$A,'[1]Tissue Data'!J:J)</f>
        <v>U</v>
      </c>
      <c r="H6069" t="str">
        <f>_xlfn.XLOOKUP(A6069,'[1]Tissue Data'!$A:$A,'[1]Tissue Data'!K:K)</f>
        <v>Whole Body</v>
      </c>
      <c r="I6069">
        <f>_xlfn.XLOOKUP(A6069,'[1]Tissue Data'!$A:$A,'[1]Tissue Data'!L:L)</f>
        <v>7.5</v>
      </c>
      <c r="J6069">
        <f>_xlfn.XLOOKUP(A6069,'[1]Tissue Data'!$A:$A,'[1]Tissue Data'!M:M)</f>
        <v>3.57</v>
      </c>
      <c r="K6069" t="s">
        <v>29</v>
      </c>
      <c r="L6069" t="str">
        <f>_xlfn.XLOOKUP(K6069,[2]analyte_order!$B:$B,[2]analyte_order!$C:$C)</f>
        <v>1763-23-1</v>
      </c>
      <c r="M6069">
        <f>_xlfn.XLOOKUP(L6069,[2]analyte_order!$C:$C,[2]analyte_order!$E:$E)</f>
        <v>18</v>
      </c>
      <c r="N6069">
        <v>844</v>
      </c>
    </row>
    <row r="6070" spans="1:14">
      <c r="A6070" t="s">
        <v>179</v>
      </c>
      <c r="B6070" t="str">
        <f>_xlfn.XLOOKUP(A6070,'[1]Tissue Data'!$A:$A,'[1]Tissue Data'!$C:$C)</f>
        <v>Spill</v>
      </c>
      <c r="C6070" s="2">
        <f>_xlfn.XLOOKUP(A6070,'[1]Tissue Data'!$A:$A,'[1]Tissue Data'!$D:$D)</f>
        <v>44393</v>
      </c>
      <c r="D6070" s="2" t="str">
        <f>_xlfn.XLOOKUP(A6070,'[1]Tissue Data'!$A:$A,'[1]Tissue Data'!$F:$F)</f>
        <v>Fallfish</v>
      </c>
      <c r="E6070" t="str">
        <f>_xlfn.XLOOKUP(A6070,'[1]Tissue Data'!$A:$A,'[1]Tissue Data'!$H:$H)</f>
        <v>Semotilus</v>
      </c>
      <c r="F6070" t="str">
        <f>_xlfn.XLOOKUP(A6070,'[1]Tissue Data'!$A:$A,'[1]Tissue Data'!$I:$I)</f>
        <v>corporalis</v>
      </c>
      <c r="G6070" t="str">
        <f>_xlfn.XLOOKUP(A6070,'[1]Tissue Data'!$A:$A,'[1]Tissue Data'!J:J)</f>
        <v>U</v>
      </c>
      <c r="H6070" t="str">
        <f>_xlfn.XLOOKUP(A6070,'[1]Tissue Data'!$A:$A,'[1]Tissue Data'!K:K)</f>
        <v>Whole Body</v>
      </c>
      <c r="I6070">
        <f>_xlfn.XLOOKUP(A6070,'[1]Tissue Data'!$A:$A,'[1]Tissue Data'!L:L)</f>
        <v>7.5</v>
      </c>
      <c r="J6070">
        <f>_xlfn.XLOOKUP(A6070,'[1]Tissue Data'!$A:$A,'[1]Tissue Data'!M:M)</f>
        <v>3.57</v>
      </c>
      <c r="K6070" t="s">
        <v>30</v>
      </c>
      <c r="L6070" t="str">
        <f>_xlfn.XLOOKUP(K6070,[2]analyte_order!$B:$B,[2]analyte_order!$C:$C)</f>
        <v>68259-12-1</v>
      </c>
      <c r="M6070">
        <f>_xlfn.XLOOKUP(L6070,[2]analyte_order!$C:$C,[2]analyte_order!$E:$E)</f>
        <v>19</v>
      </c>
      <c r="N6070">
        <v>0.22</v>
      </c>
    </row>
    <row r="6071" spans="1:14">
      <c r="A6071" t="s">
        <v>179</v>
      </c>
      <c r="B6071" t="str">
        <f>_xlfn.XLOOKUP(A6071,'[1]Tissue Data'!$A:$A,'[1]Tissue Data'!$C:$C)</f>
        <v>Spill</v>
      </c>
      <c r="C6071" s="2">
        <f>_xlfn.XLOOKUP(A6071,'[1]Tissue Data'!$A:$A,'[1]Tissue Data'!$D:$D)</f>
        <v>44393</v>
      </c>
      <c r="D6071" s="2" t="str">
        <f>_xlfn.XLOOKUP(A6071,'[1]Tissue Data'!$A:$A,'[1]Tissue Data'!$F:$F)</f>
        <v>Fallfish</v>
      </c>
      <c r="E6071" t="str">
        <f>_xlfn.XLOOKUP(A6071,'[1]Tissue Data'!$A:$A,'[1]Tissue Data'!$H:$H)</f>
        <v>Semotilus</v>
      </c>
      <c r="F6071" t="str">
        <f>_xlfn.XLOOKUP(A6071,'[1]Tissue Data'!$A:$A,'[1]Tissue Data'!$I:$I)</f>
        <v>corporalis</v>
      </c>
      <c r="G6071" t="str">
        <f>_xlfn.XLOOKUP(A6071,'[1]Tissue Data'!$A:$A,'[1]Tissue Data'!J:J)</f>
        <v>U</v>
      </c>
      <c r="H6071" t="str">
        <f>_xlfn.XLOOKUP(A6071,'[1]Tissue Data'!$A:$A,'[1]Tissue Data'!K:K)</f>
        <v>Whole Body</v>
      </c>
      <c r="I6071">
        <f>_xlfn.XLOOKUP(A6071,'[1]Tissue Data'!$A:$A,'[1]Tissue Data'!L:L)</f>
        <v>7.5</v>
      </c>
      <c r="J6071">
        <f>_xlfn.XLOOKUP(A6071,'[1]Tissue Data'!$A:$A,'[1]Tissue Data'!M:M)</f>
        <v>3.57</v>
      </c>
      <c r="K6071" t="s">
        <v>31</v>
      </c>
      <c r="L6071" t="str">
        <f>_xlfn.XLOOKUP(K6071,[2]analyte_order!$B:$B,[2]analyte_order!$C:$C)</f>
        <v>335-77-3</v>
      </c>
      <c r="M6071">
        <f>_xlfn.XLOOKUP(L6071,[2]analyte_order!$C:$C,[2]analyte_order!$E:$E)</f>
        <v>20</v>
      </c>
      <c r="N6071">
        <v>0.88700000000000001</v>
      </c>
    </row>
    <row r="6072" spans="1:14">
      <c r="A6072" t="s">
        <v>179</v>
      </c>
      <c r="B6072" t="str">
        <f>_xlfn.XLOOKUP(A6072,'[1]Tissue Data'!$A:$A,'[1]Tissue Data'!$C:$C)</f>
        <v>Spill</v>
      </c>
      <c r="C6072" s="2">
        <f>_xlfn.XLOOKUP(A6072,'[1]Tissue Data'!$A:$A,'[1]Tissue Data'!$D:$D)</f>
        <v>44393</v>
      </c>
      <c r="D6072" s="2" t="str">
        <f>_xlfn.XLOOKUP(A6072,'[1]Tissue Data'!$A:$A,'[1]Tissue Data'!$F:$F)</f>
        <v>Fallfish</v>
      </c>
      <c r="E6072" t="str">
        <f>_xlfn.XLOOKUP(A6072,'[1]Tissue Data'!$A:$A,'[1]Tissue Data'!$H:$H)</f>
        <v>Semotilus</v>
      </c>
      <c r="F6072" t="str">
        <f>_xlfn.XLOOKUP(A6072,'[1]Tissue Data'!$A:$A,'[1]Tissue Data'!$I:$I)</f>
        <v>corporalis</v>
      </c>
      <c r="G6072" t="str">
        <f>_xlfn.XLOOKUP(A6072,'[1]Tissue Data'!$A:$A,'[1]Tissue Data'!J:J)</f>
        <v>U</v>
      </c>
      <c r="H6072" t="str">
        <f>_xlfn.XLOOKUP(A6072,'[1]Tissue Data'!$A:$A,'[1]Tissue Data'!K:K)</f>
        <v>Whole Body</v>
      </c>
      <c r="I6072">
        <f>_xlfn.XLOOKUP(A6072,'[1]Tissue Data'!$A:$A,'[1]Tissue Data'!L:L)</f>
        <v>7.5</v>
      </c>
      <c r="J6072">
        <f>_xlfn.XLOOKUP(A6072,'[1]Tissue Data'!$A:$A,'[1]Tissue Data'!M:M)</f>
        <v>3.57</v>
      </c>
      <c r="K6072" t="s">
        <v>32</v>
      </c>
      <c r="L6072" t="str">
        <f>_xlfn.XLOOKUP(K6072,[2]analyte_order!$B:$B,[2]analyte_order!$C:$C)</f>
        <v>79780-39-5</v>
      </c>
      <c r="M6072">
        <f>_xlfn.XLOOKUP(L6072,[2]analyte_order!$C:$C,[2]analyte_order!$E:$E)</f>
        <v>21</v>
      </c>
      <c r="N6072">
        <v>0.23549999999999999</v>
      </c>
    </row>
    <row r="6073" spans="1:14">
      <c r="A6073" t="s">
        <v>179</v>
      </c>
      <c r="B6073" t="str">
        <f>_xlfn.XLOOKUP(A6073,'[1]Tissue Data'!$A:$A,'[1]Tissue Data'!$C:$C)</f>
        <v>Spill</v>
      </c>
      <c r="C6073" s="2">
        <f>_xlfn.XLOOKUP(A6073,'[1]Tissue Data'!$A:$A,'[1]Tissue Data'!$D:$D)</f>
        <v>44393</v>
      </c>
      <c r="D6073" s="2" t="str">
        <f>_xlfn.XLOOKUP(A6073,'[1]Tissue Data'!$A:$A,'[1]Tissue Data'!$F:$F)</f>
        <v>Fallfish</v>
      </c>
      <c r="E6073" t="str">
        <f>_xlfn.XLOOKUP(A6073,'[1]Tissue Data'!$A:$A,'[1]Tissue Data'!$H:$H)</f>
        <v>Semotilus</v>
      </c>
      <c r="F6073" t="str">
        <f>_xlfn.XLOOKUP(A6073,'[1]Tissue Data'!$A:$A,'[1]Tissue Data'!$I:$I)</f>
        <v>corporalis</v>
      </c>
      <c r="G6073" t="str">
        <f>_xlfn.XLOOKUP(A6073,'[1]Tissue Data'!$A:$A,'[1]Tissue Data'!J:J)</f>
        <v>U</v>
      </c>
      <c r="H6073" t="str">
        <f>_xlfn.XLOOKUP(A6073,'[1]Tissue Data'!$A:$A,'[1]Tissue Data'!K:K)</f>
        <v>Whole Body</v>
      </c>
      <c r="I6073">
        <f>_xlfn.XLOOKUP(A6073,'[1]Tissue Data'!$A:$A,'[1]Tissue Data'!L:L)</f>
        <v>7.5</v>
      </c>
      <c r="J6073">
        <f>_xlfn.XLOOKUP(A6073,'[1]Tissue Data'!$A:$A,'[1]Tissue Data'!M:M)</f>
        <v>3.57</v>
      </c>
      <c r="K6073" t="s">
        <v>33</v>
      </c>
      <c r="L6073" t="str">
        <f>_xlfn.XLOOKUP(K6073,[2]analyte_order!$B:$B,[2]analyte_order!$C:$C)</f>
        <v>777011-38-8</v>
      </c>
      <c r="M6073">
        <f>_xlfn.XLOOKUP(L6073,[2]analyte_order!$C:$C,[2]analyte_order!$E:$E)</f>
        <v>54</v>
      </c>
      <c r="N6073">
        <v>0.13350000000000001</v>
      </c>
    </row>
    <row r="6074" spans="1:14">
      <c r="A6074" t="s">
        <v>179</v>
      </c>
      <c r="B6074" t="str">
        <f>_xlfn.XLOOKUP(A6074,'[1]Tissue Data'!$A:$A,'[1]Tissue Data'!$C:$C)</f>
        <v>Spill</v>
      </c>
      <c r="C6074" s="2">
        <f>_xlfn.XLOOKUP(A6074,'[1]Tissue Data'!$A:$A,'[1]Tissue Data'!$D:$D)</f>
        <v>44393</v>
      </c>
      <c r="D6074" s="2" t="str">
        <f>_xlfn.XLOOKUP(A6074,'[1]Tissue Data'!$A:$A,'[1]Tissue Data'!$F:$F)</f>
        <v>Fallfish</v>
      </c>
      <c r="E6074" t="str">
        <f>_xlfn.XLOOKUP(A6074,'[1]Tissue Data'!$A:$A,'[1]Tissue Data'!$H:$H)</f>
        <v>Semotilus</v>
      </c>
      <c r="F6074" t="str">
        <f>_xlfn.XLOOKUP(A6074,'[1]Tissue Data'!$A:$A,'[1]Tissue Data'!$I:$I)</f>
        <v>corporalis</v>
      </c>
      <c r="G6074" t="str">
        <f>_xlfn.XLOOKUP(A6074,'[1]Tissue Data'!$A:$A,'[1]Tissue Data'!J:J)</f>
        <v>U</v>
      </c>
      <c r="H6074" t="str">
        <f>_xlfn.XLOOKUP(A6074,'[1]Tissue Data'!$A:$A,'[1]Tissue Data'!K:K)</f>
        <v>Whole Body</v>
      </c>
      <c r="I6074">
        <f>_xlfn.XLOOKUP(A6074,'[1]Tissue Data'!$A:$A,'[1]Tissue Data'!L:L)</f>
        <v>7.5</v>
      </c>
      <c r="J6074">
        <f>_xlfn.XLOOKUP(A6074,'[1]Tissue Data'!$A:$A,'[1]Tissue Data'!M:M)</f>
        <v>3.57</v>
      </c>
      <c r="K6074" t="s">
        <v>34</v>
      </c>
      <c r="L6074" t="str">
        <f>_xlfn.XLOOKUP(K6074,[2]analyte_order!$B:$B,[2]analyte_order!$C:$C)</f>
        <v>646-83-3</v>
      </c>
      <c r="M6074">
        <f>_xlfn.XLOOKUP(L6074,[2]analyte_order!$C:$C,[2]analyte_order!$E:$E)</f>
        <v>55</v>
      </c>
      <c r="N6074">
        <v>0.182</v>
      </c>
    </row>
    <row r="6075" spans="1:14">
      <c r="A6075" t="s">
        <v>179</v>
      </c>
      <c r="B6075" t="str">
        <f>_xlfn.XLOOKUP(A6075,'[1]Tissue Data'!$A:$A,'[1]Tissue Data'!$C:$C)</f>
        <v>Spill</v>
      </c>
      <c r="C6075" s="2">
        <f>_xlfn.XLOOKUP(A6075,'[1]Tissue Data'!$A:$A,'[1]Tissue Data'!$D:$D)</f>
        <v>44393</v>
      </c>
      <c r="D6075" s="2" t="str">
        <f>_xlfn.XLOOKUP(A6075,'[1]Tissue Data'!$A:$A,'[1]Tissue Data'!$F:$F)</f>
        <v>Fallfish</v>
      </c>
      <c r="E6075" t="str">
        <f>_xlfn.XLOOKUP(A6075,'[1]Tissue Data'!$A:$A,'[1]Tissue Data'!$H:$H)</f>
        <v>Semotilus</v>
      </c>
      <c r="F6075" t="str">
        <f>_xlfn.XLOOKUP(A6075,'[1]Tissue Data'!$A:$A,'[1]Tissue Data'!$I:$I)</f>
        <v>corporalis</v>
      </c>
      <c r="G6075" t="str">
        <f>_xlfn.XLOOKUP(A6075,'[1]Tissue Data'!$A:$A,'[1]Tissue Data'!J:J)</f>
        <v>U</v>
      </c>
      <c r="H6075" t="str">
        <f>_xlfn.XLOOKUP(A6075,'[1]Tissue Data'!$A:$A,'[1]Tissue Data'!K:K)</f>
        <v>Whole Body</v>
      </c>
      <c r="I6075">
        <f>_xlfn.XLOOKUP(A6075,'[1]Tissue Data'!$A:$A,'[1]Tissue Data'!L:L)</f>
        <v>7.5</v>
      </c>
      <c r="J6075">
        <f>_xlfn.XLOOKUP(A6075,'[1]Tissue Data'!$A:$A,'[1]Tissue Data'!M:M)</f>
        <v>3.57</v>
      </c>
      <c r="K6075" t="s">
        <v>35</v>
      </c>
      <c r="L6075" t="str">
        <f>_xlfn.XLOOKUP(K6075,[2]analyte_order!$B:$B,[2]analyte_order!$C:$C)</f>
        <v>30334-69-1</v>
      </c>
      <c r="M6075">
        <f>_xlfn.XLOOKUP(L6075,[2]analyte_order!$C:$C,[2]analyte_order!$E:$E)</f>
        <v>51</v>
      </c>
      <c r="N6075">
        <v>139</v>
      </c>
    </row>
    <row r="6076" spans="1:14">
      <c r="A6076" t="s">
        <v>179</v>
      </c>
      <c r="B6076" t="str">
        <f>_xlfn.XLOOKUP(A6076,'[1]Tissue Data'!$A:$A,'[1]Tissue Data'!$C:$C)</f>
        <v>Spill</v>
      </c>
      <c r="C6076" s="2">
        <f>_xlfn.XLOOKUP(A6076,'[1]Tissue Data'!$A:$A,'[1]Tissue Data'!$D:$D)</f>
        <v>44393</v>
      </c>
      <c r="D6076" s="2" t="str">
        <f>_xlfn.XLOOKUP(A6076,'[1]Tissue Data'!$A:$A,'[1]Tissue Data'!$F:$F)</f>
        <v>Fallfish</v>
      </c>
      <c r="E6076" t="str">
        <f>_xlfn.XLOOKUP(A6076,'[1]Tissue Data'!$A:$A,'[1]Tissue Data'!$H:$H)</f>
        <v>Semotilus</v>
      </c>
      <c r="F6076" t="str">
        <f>_xlfn.XLOOKUP(A6076,'[1]Tissue Data'!$A:$A,'[1]Tissue Data'!$I:$I)</f>
        <v>corporalis</v>
      </c>
      <c r="G6076" t="str">
        <f>_xlfn.XLOOKUP(A6076,'[1]Tissue Data'!$A:$A,'[1]Tissue Data'!J:J)</f>
        <v>U</v>
      </c>
      <c r="H6076" t="str">
        <f>_xlfn.XLOOKUP(A6076,'[1]Tissue Data'!$A:$A,'[1]Tissue Data'!K:K)</f>
        <v>Whole Body</v>
      </c>
      <c r="I6076">
        <f>_xlfn.XLOOKUP(A6076,'[1]Tissue Data'!$A:$A,'[1]Tissue Data'!L:L)</f>
        <v>7.5</v>
      </c>
      <c r="J6076">
        <f>_xlfn.XLOOKUP(A6076,'[1]Tissue Data'!$A:$A,'[1]Tissue Data'!M:M)</f>
        <v>3.57</v>
      </c>
      <c r="K6076" t="s">
        <v>36</v>
      </c>
      <c r="L6076" t="str">
        <f>_xlfn.XLOOKUP(K6076,[2]analyte_order!$B:$B,[2]analyte_order!$C:$C)</f>
        <v>41997-13-1</v>
      </c>
      <c r="M6076">
        <f>_xlfn.XLOOKUP(L6076,[2]analyte_order!$C:$C,[2]analyte_order!$E:$E)</f>
        <v>52</v>
      </c>
      <c r="N6076">
        <v>1180</v>
      </c>
    </row>
    <row r="6077" spans="1:14">
      <c r="A6077" t="s">
        <v>179</v>
      </c>
      <c r="B6077" t="str">
        <f>_xlfn.XLOOKUP(A6077,'[1]Tissue Data'!$A:$A,'[1]Tissue Data'!$C:$C)</f>
        <v>Spill</v>
      </c>
      <c r="C6077" s="2">
        <f>_xlfn.XLOOKUP(A6077,'[1]Tissue Data'!$A:$A,'[1]Tissue Data'!$D:$D)</f>
        <v>44393</v>
      </c>
      <c r="D6077" s="2" t="str">
        <f>_xlfn.XLOOKUP(A6077,'[1]Tissue Data'!$A:$A,'[1]Tissue Data'!$F:$F)</f>
        <v>Fallfish</v>
      </c>
      <c r="E6077" t="str">
        <f>_xlfn.XLOOKUP(A6077,'[1]Tissue Data'!$A:$A,'[1]Tissue Data'!$H:$H)</f>
        <v>Semotilus</v>
      </c>
      <c r="F6077" t="str">
        <f>_xlfn.XLOOKUP(A6077,'[1]Tissue Data'!$A:$A,'[1]Tissue Data'!$I:$I)</f>
        <v>corporalis</v>
      </c>
      <c r="G6077" t="str">
        <f>_xlfn.XLOOKUP(A6077,'[1]Tissue Data'!$A:$A,'[1]Tissue Data'!J:J)</f>
        <v>U</v>
      </c>
      <c r="H6077" t="str">
        <f>_xlfn.XLOOKUP(A6077,'[1]Tissue Data'!$A:$A,'[1]Tissue Data'!K:K)</f>
        <v>Whole Body</v>
      </c>
      <c r="I6077">
        <f>_xlfn.XLOOKUP(A6077,'[1]Tissue Data'!$A:$A,'[1]Tissue Data'!L:L)</f>
        <v>7.5</v>
      </c>
      <c r="J6077">
        <f>_xlfn.XLOOKUP(A6077,'[1]Tissue Data'!$A:$A,'[1]Tissue Data'!M:M)</f>
        <v>3.57</v>
      </c>
      <c r="K6077" t="s">
        <v>37</v>
      </c>
      <c r="L6077" t="str">
        <f>_xlfn.XLOOKUP(K6077,[2]analyte_order!$B:$B,[2]analyte_order!$C:$C)</f>
        <v>754-91-6</v>
      </c>
      <c r="M6077">
        <f>_xlfn.XLOOKUP(L6077,[2]analyte_order!$C:$C,[2]analyte_order!$E:$E)</f>
        <v>28</v>
      </c>
      <c r="N6077">
        <v>26.6</v>
      </c>
    </row>
    <row r="6078" spans="1:14">
      <c r="A6078" t="s">
        <v>179</v>
      </c>
      <c r="B6078" t="str">
        <f>_xlfn.XLOOKUP(A6078,'[1]Tissue Data'!$A:$A,'[1]Tissue Data'!$C:$C)</f>
        <v>Spill</v>
      </c>
      <c r="C6078" s="2">
        <f>_xlfn.XLOOKUP(A6078,'[1]Tissue Data'!$A:$A,'[1]Tissue Data'!$D:$D)</f>
        <v>44393</v>
      </c>
      <c r="D6078" s="2" t="str">
        <f>_xlfn.XLOOKUP(A6078,'[1]Tissue Data'!$A:$A,'[1]Tissue Data'!$F:$F)</f>
        <v>Fallfish</v>
      </c>
      <c r="E6078" t="str">
        <f>_xlfn.XLOOKUP(A6078,'[1]Tissue Data'!$A:$A,'[1]Tissue Data'!$H:$H)</f>
        <v>Semotilus</v>
      </c>
      <c r="F6078" t="str">
        <f>_xlfn.XLOOKUP(A6078,'[1]Tissue Data'!$A:$A,'[1]Tissue Data'!$I:$I)</f>
        <v>corporalis</v>
      </c>
      <c r="G6078" t="str">
        <f>_xlfn.XLOOKUP(A6078,'[1]Tissue Data'!$A:$A,'[1]Tissue Data'!J:J)</f>
        <v>U</v>
      </c>
      <c r="H6078" t="str">
        <f>_xlfn.XLOOKUP(A6078,'[1]Tissue Data'!$A:$A,'[1]Tissue Data'!K:K)</f>
        <v>Whole Body</v>
      </c>
      <c r="I6078">
        <f>_xlfn.XLOOKUP(A6078,'[1]Tissue Data'!$A:$A,'[1]Tissue Data'!L:L)</f>
        <v>7.5</v>
      </c>
      <c r="J6078">
        <f>_xlfn.XLOOKUP(A6078,'[1]Tissue Data'!$A:$A,'[1]Tissue Data'!M:M)</f>
        <v>3.57</v>
      </c>
      <c r="K6078" t="s">
        <v>38</v>
      </c>
      <c r="L6078" t="str">
        <f>_xlfn.XLOOKUP(K6078,[2]analyte_order!$B:$B,[2]analyte_order!$C:$C)</f>
        <v>31506-32-8</v>
      </c>
      <c r="M6078">
        <f>_xlfn.XLOOKUP(L6078,[2]analyte_order!$C:$C,[2]analyte_order!$E:$E)</f>
        <v>30</v>
      </c>
      <c r="N6078">
        <v>8.4500000000000006E-2</v>
      </c>
    </row>
    <row r="6079" spans="1:14">
      <c r="A6079" t="s">
        <v>179</v>
      </c>
      <c r="B6079" t="str">
        <f>_xlfn.XLOOKUP(A6079,'[1]Tissue Data'!$A:$A,'[1]Tissue Data'!$C:$C)</f>
        <v>Spill</v>
      </c>
      <c r="C6079" s="2">
        <f>_xlfn.XLOOKUP(A6079,'[1]Tissue Data'!$A:$A,'[1]Tissue Data'!$D:$D)</f>
        <v>44393</v>
      </c>
      <c r="D6079" s="2" t="str">
        <f>_xlfn.XLOOKUP(A6079,'[1]Tissue Data'!$A:$A,'[1]Tissue Data'!$F:$F)</f>
        <v>Fallfish</v>
      </c>
      <c r="E6079" t="str">
        <f>_xlfn.XLOOKUP(A6079,'[1]Tissue Data'!$A:$A,'[1]Tissue Data'!$H:$H)</f>
        <v>Semotilus</v>
      </c>
      <c r="F6079" t="str">
        <f>_xlfn.XLOOKUP(A6079,'[1]Tissue Data'!$A:$A,'[1]Tissue Data'!$I:$I)</f>
        <v>corporalis</v>
      </c>
      <c r="G6079" t="str">
        <f>_xlfn.XLOOKUP(A6079,'[1]Tissue Data'!$A:$A,'[1]Tissue Data'!J:J)</f>
        <v>U</v>
      </c>
      <c r="H6079" t="str">
        <f>_xlfn.XLOOKUP(A6079,'[1]Tissue Data'!$A:$A,'[1]Tissue Data'!K:K)</f>
        <v>Whole Body</v>
      </c>
      <c r="I6079">
        <f>_xlfn.XLOOKUP(A6079,'[1]Tissue Data'!$A:$A,'[1]Tissue Data'!L:L)</f>
        <v>7.5</v>
      </c>
      <c r="J6079">
        <f>_xlfn.XLOOKUP(A6079,'[1]Tissue Data'!$A:$A,'[1]Tissue Data'!M:M)</f>
        <v>3.57</v>
      </c>
      <c r="K6079" t="s">
        <v>39</v>
      </c>
      <c r="L6079" t="str">
        <f>_xlfn.XLOOKUP(K6079,[2]analyte_order!$B:$B,[2]analyte_order!$C:$C)</f>
        <v>4151-50-2</v>
      </c>
      <c r="M6079">
        <f>_xlfn.XLOOKUP(L6079,[2]analyte_order!$C:$C,[2]analyte_order!$E:$E)</f>
        <v>31</v>
      </c>
      <c r="N6079">
        <v>0.22</v>
      </c>
    </row>
    <row r="6080" spans="1:14">
      <c r="A6080" t="s">
        <v>179</v>
      </c>
      <c r="B6080" t="str">
        <f>_xlfn.XLOOKUP(A6080,'[1]Tissue Data'!$A:$A,'[1]Tissue Data'!$C:$C)</f>
        <v>Spill</v>
      </c>
      <c r="C6080" s="2">
        <f>_xlfn.XLOOKUP(A6080,'[1]Tissue Data'!$A:$A,'[1]Tissue Data'!$D:$D)</f>
        <v>44393</v>
      </c>
      <c r="D6080" s="2" t="str">
        <f>_xlfn.XLOOKUP(A6080,'[1]Tissue Data'!$A:$A,'[1]Tissue Data'!$F:$F)</f>
        <v>Fallfish</v>
      </c>
      <c r="E6080" t="str">
        <f>_xlfn.XLOOKUP(A6080,'[1]Tissue Data'!$A:$A,'[1]Tissue Data'!$H:$H)</f>
        <v>Semotilus</v>
      </c>
      <c r="F6080" t="str">
        <f>_xlfn.XLOOKUP(A6080,'[1]Tissue Data'!$A:$A,'[1]Tissue Data'!$I:$I)</f>
        <v>corporalis</v>
      </c>
      <c r="G6080" t="str">
        <f>_xlfn.XLOOKUP(A6080,'[1]Tissue Data'!$A:$A,'[1]Tissue Data'!J:J)</f>
        <v>U</v>
      </c>
      <c r="H6080" t="str">
        <f>_xlfn.XLOOKUP(A6080,'[1]Tissue Data'!$A:$A,'[1]Tissue Data'!K:K)</f>
        <v>Whole Body</v>
      </c>
      <c r="I6080">
        <f>_xlfn.XLOOKUP(A6080,'[1]Tissue Data'!$A:$A,'[1]Tissue Data'!L:L)</f>
        <v>7.5</v>
      </c>
      <c r="J6080">
        <f>_xlfn.XLOOKUP(A6080,'[1]Tissue Data'!$A:$A,'[1]Tissue Data'!M:M)</f>
        <v>3.57</v>
      </c>
      <c r="K6080" t="s">
        <v>40</v>
      </c>
      <c r="L6080" t="str">
        <f>_xlfn.XLOOKUP(K6080,[2]analyte_order!$B:$B,[2]analyte_order!$C:$C)</f>
        <v>2806-24-8</v>
      </c>
      <c r="M6080">
        <f>_xlfn.XLOOKUP(L6080,[2]analyte_order!$C:$C,[2]analyte_order!$E:$E)</f>
        <v>29</v>
      </c>
      <c r="N6080">
        <v>0.22</v>
      </c>
    </row>
    <row r="6081" spans="1:14">
      <c r="A6081" t="s">
        <v>179</v>
      </c>
      <c r="B6081" t="str">
        <f>_xlfn.XLOOKUP(A6081,'[1]Tissue Data'!$A:$A,'[1]Tissue Data'!$C:$C)</f>
        <v>Spill</v>
      </c>
      <c r="C6081" s="2">
        <f>_xlfn.XLOOKUP(A6081,'[1]Tissue Data'!$A:$A,'[1]Tissue Data'!$D:$D)</f>
        <v>44393</v>
      </c>
      <c r="D6081" s="2" t="str">
        <f>_xlfn.XLOOKUP(A6081,'[1]Tissue Data'!$A:$A,'[1]Tissue Data'!$F:$F)</f>
        <v>Fallfish</v>
      </c>
      <c r="E6081" t="str">
        <f>_xlfn.XLOOKUP(A6081,'[1]Tissue Data'!$A:$A,'[1]Tissue Data'!$H:$H)</f>
        <v>Semotilus</v>
      </c>
      <c r="F6081" t="str">
        <f>_xlfn.XLOOKUP(A6081,'[1]Tissue Data'!$A:$A,'[1]Tissue Data'!$I:$I)</f>
        <v>corporalis</v>
      </c>
      <c r="G6081" t="str">
        <f>_xlfn.XLOOKUP(A6081,'[1]Tissue Data'!$A:$A,'[1]Tissue Data'!J:J)</f>
        <v>U</v>
      </c>
      <c r="H6081" t="str">
        <f>_xlfn.XLOOKUP(A6081,'[1]Tissue Data'!$A:$A,'[1]Tissue Data'!K:K)</f>
        <v>Whole Body</v>
      </c>
      <c r="I6081">
        <f>_xlfn.XLOOKUP(A6081,'[1]Tissue Data'!$A:$A,'[1]Tissue Data'!L:L)</f>
        <v>7.5</v>
      </c>
      <c r="J6081">
        <f>_xlfn.XLOOKUP(A6081,'[1]Tissue Data'!$A:$A,'[1]Tissue Data'!M:M)</f>
        <v>3.57</v>
      </c>
      <c r="K6081" t="s">
        <v>41</v>
      </c>
      <c r="L6081" t="str">
        <f>_xlfn.XLOOKUP(K6081,[2]analyte_order!$B:$B,[2]analyte_order!$C:$C)</f>
        <v>2355-31-9</v>
      </c>
      <c r="M6081">
        <f>_xlfn.XLOOKUP(L6081,[2]analyte_order!$C:$C,[2]analyte_order!$E:$E)</f>
        <v>26</v>
      </c>
      <c r="N6081">
        <v>0.1105</v>
      </c>
    </row>
    <row r="6082" spans="1:14">
      <c r="A6082" t="s">
        <v>179</v>
      </c>
      <c r="B6082" t="str">
        <f>_xlfn.XLOOKUP(A6082,'[1]Tissue Data'!$A:$A,'[1]Tissue Data'!$C:$C)</f>
        <v>Spill</v>
      </c>
      <c r="C6082" s="2">
        <f>_xlfn.XLOOKUP(A6082,'[1]Tissue Data'!$A:$A,'[1]Tissue Data'!$D:$D)</f>
        <v>44393</v>
      </c>
      <c r="D6082" s="2" t="str">
        <f>_xlfn.XLOOKUP(A6082,'[1]Tissue Data'!$A:$A,'[1]Tissue Data'!$F:$F)</f>
        <v>Fallfish</v>
      </c>
      <c r="E6082" t="str">
        <f>_xlfn.XLOOKUP(A6082,'[1]Tissue Data'!$A:$A,'[1]Tissue Data'!$H:$H)</f>
        <v>Semotilus</v>
      </c>
      <c r="F6082" t="str">
        <f>_xlfn.XLOOKUP(A6082,'[1]Tissue Data'!$A:$A,'[1]Tissue Data'!$I:$I)</f>
        <v>corporalis</v>
      </c>
      <c r="G6082" t="str">
        <f>_xlfn.XLOOKUP(A6082,'[1]Tissue Data'!$A:$A,'[1]Tissue Data'!J:J)</f>
        <v>U</v>
      </c>
      <c r="H6082" t="str">
        <f>_xlfn.XLOOKUP(A6082,'[1]Tissue Data'!$A:$A,'[1]Tissue Data'!K:K)</f>
        <v>Whole Body</v>
      </c>
      <c r="I6082">
        <f>_xlfn.XLOOKUP(A6082,'[1]Tissue Data'!$A:$A,'[1]Tissue Data'!L:L)</f>
        <v>7.5</v>
      </c>
      <c r="J6082">
        <f>_xlfn.XLOOKUP(A6082,'[1]Tissue Data'!$A:$A,'[1]Tissue Data'!M:M)</f>
        <v>3.57</v>
      </c>
      <c r="K6082" t="s">
        <v>42</v>
      </c>
      <c r="L6082" t="str">
        <f>_xlfn.XLOOKUP(K6082,[2]analyte_order!$B:$B,[2]analyte_order!$C:$C)</f>
        <v>2991-50-6</v>
      </c>
      <c r="M6082">
        <f>_xlfn.XLOOKUP(L6082,[2]analyte_order!$C:$C,[2]analyte_order!$E:$E)</f>
        <v>27</v>
      </c>
      <c r="N6082">
        <v>0.11</v>
      </c>
    </row>
    <row r="6083" spans="1:14">
      <c r="A6083" t="s">
        <v>179</v>
      </c>
      <c r="B6083" t="str">
        <f>_xlfn.XLOOKUP(A6083,'[1]Tissue Data'!$A:$A,'[1]Tissue Data'!$C:$C)</f>
        <v>Spill</v>
      </c>
      <c r="C6083" s="2">
        <f>_xlfn.XLOOKUP(A6083,'[1]Tissue Data'!$A:$A,'[1]Tissue Data'!$D:$D)</f>
        <v>44393</v>
      </c>
      <c r="D6083" s="2" t="str">
        <f>_xlfn.XLOOKUP(A6083,'[1]Tissue Data'!$A:$A,'[1]Tissue Data'!$F:$F)</f>
        <v>Fallfish</v>
      </c>
      <c r="E6083" t="str">
        <f>_xlfn.XLOOKUP(A6083,'[1]Tissue Data'!$A:$A,'[1]Tissue Data'!$H:$H)</f>
        <v>Semotilus</v>
      </c>
      <c r="F6083" t="str">
        <f>_xlfn.XLOOKUP(A6083,'[1]Tissue Data'!$A:$A,'[1]Tissue Data'!$I:$I)</f>
        <v>corporalis</v>
      </c>
      <c r="G6083" t="str">
        <f>_xlfn.XLOOKUP(A6083,'[1]Tissue Data'!$A:$A,'[1]Tissue Data'!J:J)</f>
        <v>U</v>
      </c>
      <c r="H6083" t="str">
        <f>_xlfn.XLOOKUP(A6083,'[1]Tissue Data'!$A:$A,'[1]Tissue Data'!K:K)</f>
        <v>Whole Body</v>
      </c>
      <c r="I6083">
        <f>_xlfn.XLOOKUP(A6083,'[1]Tissue Data'!$A:$A,'[1]Tissue Data'!L:L)</f>
        <v>7.5</v>
      </c>
      <c r="J6083">
        <f>_xlfn.XLOOKUP(A6083,'[1]Tissue Data'!$A:$A,'[1]Tissue Data'!M:M)</f>
        <v>3.57</v>
      </c>
      <c r="K6083" t="s">
        <v>43</v>
      </c>
      <c r="L6083" t="str">
        <f>_xlfn.XLOOKUP(K6083,[2]analyte_order!$B:$B,[2]analyte_order!$C:$C)</f>
        <v>757124-72-4</v>
      </c>
      <c r="M6083">
        <f>_xlfn.XLOOKUP(L6083,[2]analyte_order!$C:$C,[2]analyte_order!$E:$E)</f>
        <v>22</v>
      </c>
      <c r="N6083">
        <v>0.11</v>
      </c>
    </row>
    <row r="6084" spans="1:14">
      <c r="A6084" t="s">
        <v>179</v>
      </c>
      <c r="B6084" t="str">
        <f>_xlfn.XLOOKUP(A6084,'[1]Tissue Data'!$A:$A,'[1]Tissue Data'!$C:$C)</f>
        <v>Spill</v>
      </c>
      <c r="C6084" s="2">
        <f>_xlfn.XLOOKUP(A6084,'[1]Tissue Data'!$A:$A,'[1]Tissue Data'!$D:$D)</f>
        <v>44393</v>
      </c>
      <c r="D6084" s="2" t="str">
        <f>_xlfn.XLOOKUP(A6084,'[1]Tissue Data'!$A:$A,'[1]Tissue Data'!$F:$F)</f>
        <v>Fallfish</v>
      </c>
      <c r="E6084" t="str">
        <f>_xlfn.XLOOKUP(A6084,'[1]Tissue Data'!$A:$A,'[1]Tissue Data'!$H:$H)</f>
        <v>Semotilus</v>
      </c>
      <c r="F6084" t="str">
        <f>_xlfn.XLOOKUP(A6084,'[1]Tissue Data'!$A:$A,'[1]Tissue Data'!$I:$I)</f>
        <v>corporalis</v>
      </c>
      <c r="G6084" t="str">
        <f>_xlfn.XLOOKUP(A6084,'[1]Tissue Data'!$A:$A,'[1]Tissue Data'!J:J)</f>
        <v>U</v>
      </c>
      <c r="H6084" t="str">
        <f>_xlfn.XLOOKUP(A6084,'[1]Tissue Data'!$A:$A,'[1]Tissue Data'!K:K)</f>
        <v>Whole Body</v>
      </c>
      <c r="I6084">
        <f>_xlfn.XLOOKUP(A6084,'[1]Tissue Data'!$A:$A,'[1]Tissue Data'!L:L)</f>
        <v>7.5</v>
      </c>
      <c r="J6084">
        <f>_xlfn.XLOOKUP(A6084,'[1]Tissue Data'!$A:$A,'[1]Tissue Data'!M:M)</f>
        <v>3.57</v>
      </c>
      <c r="K6084" t="s">
        <v>44</v>
      </c>
      <c r="L6084" t="str">
        <f>_xlfn.XLOOKUP(K6084,[2]analyte_order!$B:$B,[2]analyte_order!$C:$C)</f>
        <v>27619-97-2</v>
      </c>
      <c r="M6084">
        <f>_xlfn.XLOOKUP(L6084,[2]analyte_order!$C:$C,[2]analyte_order!$E:$E)</f>
        <v>23</v>
      </c>
      <c r="N6084">
        <v>1.08</v>
      </c>
    </row>
    <row r="6085" spans="1:14">
      <c r="A6085" t="s">
        <v>179</v>
      </c>
      <c r="B6085" t="str">
        <f>_xlfn.XLOOKUP(A6085,'[1]Tissue Data'!$A:$A,'[1]Tissue Data'!$C:$C)</f>
        <v>Spill</v>
      </c>
      <c r="C6085" s="2">
        <f>_xlfn.XLOOKUP(A6085,'[1]Tissue Data'!$A:$A,'[1]Tissue Data'!$D:$D)</f>
        <v>44393</v>
      </c>
      <c r="D6085" s="2" t="str">
        <f>_xlfn.XLOOKUP(A6085,'[1]Tissue Data'!$A:$A,'[1]Tissue Data'!$F:$F)</f>
        <v>Fallfish</v>
      </c>
      <c r="E6085" t="str">
        <f>_xlfn.XLOOKUP(A6085,'[1]Tissue Data'!$A:$A,'[1]Tissue Data'!$H:$H)</f>
        <v>Semotilus</v>
      </c>
      <c r="F6085" t="str">
        <f>_xlfn.XLOOKUP(A6085,'[1]Tissue Data'!$A:$A,'[1]Tissue Data'!$I:$I)</f>
        <v>corporalis</v>
      </c>
      <c r="G6085" t="str">
        <f>_xlfn.XLOOKUP(A6085,'[1]Tissue Data'!$A:$A,'[1]Tissue Data'!J:J)</f>
        <v>U</v>
      </c>
      <c r="H6085" t="str">
        <f>_xlfn.XLOOKUP(A6085,'[1]Tissue Data'!$A:$A,'[1]Tissue Data'!K:K)</f>
        <v>Whole Body</v>
      </c>
      <c r="I6085">
        <f>_xlfn.XLOOKUP(A6085,'[1]Tissue Data'!$A:$A,'[1]Tissue Data'!L:L)</f>
        <v>7.5</v>
      </c>
      <c r="J6085">
        <f>_xlfn.XLOOKUP(A6085,'[1]Tissue Data'!$A:$A,'[1]Tissue Data'!M:M)</f>
        <v>3.57</v>
      </c>
      <c r="K6085" t="s">
        <v>45</v>
      </c>
      <c r="L6085" t="str">
        <f>_xlfn.XLOOKUP(K6085,[2]analyte_order!$B:$B,[2]analyte_order!$C:$C)</f>
        <v>39108-34-4</v>
      </c>
      <c r="M6085">
        <f>_xlfn.XLOOKUP(L6085,[2]analyte_order!$C:$C,[2]analyte_order!$E:$E)</f>
        <v>24</v>
      </c>
      <c r="N6085">
        <v>32.9</v>
      </c>
    </row>
    <row r="6086" spans="1:14">
      <c r="A6086" t="s">
        <v>179</v>
      </c>
      <c r="B6086" t="str">
        <f>_xlfn.XLOOKUP(A6086,'[1]Tissue Data'!$A:$A,'[1]Tissue Data'!$C:$C)</f>
        <v>Spill</v>
      </c>
      <c r="C6086" s="2">
        <f>_xlfn.XLOOKUP(A6086,'[1]Tissue Data'!$A:$A,'[1]Tissue Data'!$D:$D)</f>
        <v>44393</v>
      </c>
      <c r="D6086" s="2" t="str">
        <f>_xlfn.XLOOKUP(A6086,'[1]Tissue Data'!$A:$A,'[1]Tissue Data'!$F:$F)</f>
        <v>Fallfish</v>
      </c>
      <c r="E6086" t="str">
        <f>_xlfn.XLOOKUP(A6086,'[1]Tissue Data'!$A:$A,'[1]Tissue Data'!$H:$H)</f>
        <v>Semotilus</v>
      </c>
      <c r="F6086" t="str">
        <f>_xlfn.XLOOKUP(A6086,'[1]Tissue Data'!$A:$A,'[1]Tissue Data'!$I:$I)</f>
        <v>corporalis</v>
      </c>
      <c r="G6086" t="str">
        <f>_xlfn.XLOOKUP(A6086,'[1]Tissue Data'!$A:$A,'[1]Tissue Data'!J:J)</f>
        <v>U</v>
      </c>
      <c r="H6086" t="str">
        <f>_xlfn.XLOOKUP(A6086,'[1]Tissue Data'!$A:$A,'[1]Tissue Data'!K:K)</f>
        <v>Whole Body</v>
      </c>
      <c r="I6086">
        <f>_xlfn.XLOOKUP(A6086,'[1]Tissue Data'!$A:$A,'[1]Tissue Data'!L:L)</f>
        <v>7.5</v>
      </c>
      <c r="J6086">
        <f>_xlfn.XLOOKUP(A6086,'[1]Tissue Data'!$A:$A,'[1]Tissue Data'!M:M)</f>
        <v>3.57</v>
      </c>
      <c r="K6086" t="s">
        <v>46</v>
      </c>
      <c r="L6086" t="str">
        <f>_xlfn.XLOOKUP(K6086,[2]analyte_order!$B:$B,[2]analyte_order!$C:$C)</f>
        <v>120226-60-0</v>
      </c>
      <c r="M6086">
        <f>_xlfn.XLOOKUP(L6086,[2]analyte_order!$C:$C,[2]analyte_order!$E:$E)</f>
        <v>25</v>
      </c>
      <c r="N6086">
        <v>3.37</v>
      </c>
    </row>
    <row r="6087" spans="1:14">
      <c r="A6087" t="s">
        <v>179</v>
      </c>
      <c r="B6087" t="str">
        <f>_xlfn.XLOOKUP(A6087,'[1]Tissue Data'!$A:$A,'[1]Tissue Data'!$C:$C)</f>
        <v>Spill</v>
      </c>
      <c r="C6087" s="2">
        <f>_xlfn.XLOOKUP(A6087,'[1]Tissue Data'!$A:$A,'[1]Tissue Data'!$D:$D)</f>
        <v>44393</v>
      </c>
      <c r="D6087" s="2" t="str">
        <f>_xlfn.XLOOKUP(A6087,'[1]Tissue Data'!$A:$A,'[1]Tissue Data'!$F:$F)</f>
        <v>Fallfish</v>
      </c>
      <c r="E6087" t="str">
        <f>_xlfn.XLOOKUP(A6087,'[1]Tissue Data'!$A:$A,'[1]Tissue Data'!$H:$H)</f>
        <v>Semotilus</v>
      </c>
      <c r="F6087" t="str">
        <f>_xlfn.XLOOKUP(A6087,'[1]Tissue Data'!$A:$A,'[1]Tissue Data'!$I:$I)</f>
        <v>corporalis</v>
      </c>
      <c r="G6087" t="str">
        <f>_xlfn.XLOOKUP(A6087,'[1]Tissue Data'!$A:$A,'[1]Tissue Data'!J:J)</f>
        <v>U</v>
      </c>
      <c r="H6087" t="str">
        <f>_xlfn.XLOOKUP(A6087,'[1]Tissue Data'!$A:$A,'[1]Tissue Data'!K:K)</f>
        <v>Whole Body</v>
      </c>
      <c r="I6087">
        <f>_xlfn.XLOOKUP(A6087,'[1]Tissue Data'!$A:$A,'[1]Tissue Data'!L:L)</f>
        <v>7.5</v>
      </c>
      <c r="J6087">
        <f>_xlfn.XLOOKUP(A6087,'[1]Tissue Data'!$A:$A,'[1]Tissue Data'!M:M)</f>
        <v>3.57</v>
      </c>
      <c r="K6087" t="s">
        <v>47</v>
      </c>
      <c r="L6087" t="str">
        <f>_xlfn.XLOOKUP(K6087,[2]analyte_order!$B:$B,[2]analyte_order!$C:$C)</f>
        <v>356-02-5</v>
      </c>
      <c r="M6087">
        <f>_xlfn.XLOOKUP(L6087,[2]analyte_order!$C:$C,[2]analyte_order!$E:$E)</f>
        <v>38</v>
      </c>
      <c r="N6087">
        <v>0.22</v>
      </c>
    </row>
    <row r="6088" spans="1:14">
      <c r="A6088" t="s">
        <v>179</v>
      </c>
      <c r="B6088" t="str">
        <f>_xlfn.XLOOKUP(A6088,'[1]Tissue Data'!$A:$A,'[1]Tissue Data'!$C:$C)</f>
        <v>Spill</v>
      </c>
      <c r="C6088" s="2">
        <f>_xlfn.XLOOKUP(A6088,'[1]Tissue Data'!$A:$A,'[1]Tissue Data'!$D:$D)</f>
        <v>44393</v>
      </c>
      <c r="D6088" s="2" t="str">
        <f>_xlfn.XLOOKUP(A6088,'[1]Tissue Data'!$A:$A,'[1]Tissue Data'!$F:$F)</f>
        <v>Fallfish</v>
      </c>
      <c r="E6088" t="str">
        <f>_xlfn.XLOOKUP(A6088,'[1]Tissue Data'!$A:$A,'[1]Tissue Data'!$H:$H)</f>
        <v>Semotilus</v>
      </c>
      <c r="F6088" t="str">
        <f>_xlfn.XLOOKUP(A6088,'[1]Tissue Data'!$A:$A,'[1]Tissue Data'!$I:$I)</f>
        <v>corporalis</v>
      </c>
      <c r="G6088" t="str">
        <f>_xlfn.XLOOKUP(A6088,'[1]Tissue Data'!$A:$A,'[1]Tissue Data'!J:J)</f>
        <v>U</v>
      </c>
      <c r="H6088" t="str">
        <f>_xlfn.XLOOKUP(A6088,'[1]Tissue Data'!$A:$A,'[1]Tissue Data'!K:K)</f>
        <v>Whole Body</v>
      </c>
      <c r="I6088">
        <f>_xlfn.XLOOKUP(A6088,'[1]Tissue Data'!$A:$A,'[1]Tissue Data'!L:L)</f>
        <v>7.5</v>
      </c>
      <c r="J6088">
        <f>_xlfn.XLOOKUP(A6088,'[1]Tissue Data'!$A:$A,'[1]Tissue Data'!M:M)</f>
        <v>3.57</v>
      </c>
      <c r="K6088" t="s">
        <v>48</v>
      </c>
      <c r="L6088" t="str">
        <f>_xlfn.XLOOKUP(K6088,[2]analyte_order!$B:$B,[2]analyte_order!$C:$C)</f>
        <v>914637-49-3</v>
      </c>
      <c r="M6088">
        <f>_xlfn.XLOOKUP(L6088,[2]analyte_order!$C:$C,[2]analyte_order!$E:$E)</f>
        <v>39</v>
      </c>
      <c r="N6088">
        <v>5.45</v>
      </c>
    </row>
    <row r="6089" spans="1:14">
      <c r="A6089" t="s">
        <v>179</v>
      </c>
      <c r="B6089" t="str">
        <f>_xlfn.XLOOKUP(A6089,'[1]Tissue Data'!$A:$A,'[1]Tissue Data'!$C:$C)</f>
        <v>Spill</v>
      </c>
      <c r="C6089" s="2">
        <f>_xlfn.XLOOKUP(A6089,'[1]Tissue Data'!$A:$A,'[1]Tissue Data'!$D:$D)</f>
        <v>44393</v>
      </c>
      <c r="D6089" s="2" t="str">
        <f>_xlfn.XLOOKUP(A6089,'[1]Tissue Data'!$A:$A,'[1]Tissue Data'!$F:$F)</f>
        <v>Fallfish</v>
      </c>
      <c r="E6089" t="str">
        <f>_xlfn.XLOOKUP(A6089,'[1]Tissue Data'!$A:$A,'[1]Tissue Data'!$H:$H)</f>
        <v>Semotilus</v>
      </c>
      <c r="F6089" t="str">
        <f>_xlfn.XLOOKUP(A6089,'[1]Tissue Data'!$A:$A,'[1]Tissue Data'!$I:$I)</f>
        <v>corporalis</v>
      </c>
      <c r="G6089" t="str">
        <f>_xlfn.XLOOKUP(A6089,'[1]Tissue Data'!$A:$A,'[1]Tissue Data'!J:J)</f>
        <v>U</v>
      </c>
      <c r="H6089" t="str">
        <f>_xlfn.XLOOKUP(A6089,'[1]Tissue Data'!$A:$A,'[1]Tissue Data'!K:K)</f>
        <v>Whole Body</v>
      </c>
      <c r="I6089">
        <f>_xlfn.XLOOKUP(A6089,'[1]Tissue Data'!$A:$A,'[1]Tissue Data'!L:L)</f>
        <v>7.5</v>
      </c>
      <c r="J6089">
        <f>_xlfn.XLOOKUP(A6089,'[1]Tissue Data'!$A:$A,'[1]Tissue Data'!M:M)</f>
        <v>3.57</v>
      </c>
      <c r="K6089" t="s">
        <v>49</v>
      </c>
      <c r="L6089" t="str">
        <f>_xlfn.XLOOKUP(K6089,[2]analyte_order!$B:$B,[2]analyte_order!$C:$C)</f>
        <v>812-70-4</v>
      </c>
      <c r="M6089">
        <f>_xlfn.XLOOKUP(L6089,[2]analyte_order!$C:$C,[2]analyte_order!$E:$E)</f>
        <v>40</v>
      </c>
      <c r="N6089">
        <v>0.22</v>
      </c>
    </row>
    <row r="6090" spans="1:14">
      <c r="A6090" t="s">
        <v>179</v>
      </c>
      <c r="B6090" t="str">
        <f>_xlfn.XLOOKUP(A6090,'[1]Tissue Data'!$A:$A,'[1]Tissue Data'!$C:$C)</f>
        <v>Spill</v>
      </c>
      <c r="C6090" s="2">
        <f>_xlfn.XLOOKUP(A6090,'[1]Tissue Data'!$A:$A,'[1]Tissue Data'!$D:$D)</f>
        <v>44393</v>
      </c>
      <c r="D6090" s="2" t="str">
        <f>_xlfn.XLOOKUP(A6090,'[1]Tissue Data'!$A:$A,'[1]Tissue Data'!$F:$F)</f>
        <v>Fallfish</v>
      </c>
      <c r="E6090" t="str">
        <f>_xlfn.XLOOKUP(A6090,'[1]Tissue Data'!$A:$A,'[1]Tissue Data'!$H:$H)</f>
        <v>Semotilus</v>
      </c>
      <c r="F6090" t="str">
        <f>_xlfn.XLOOKUP(A6090,'[1]Tissue Data'!$A:$A,'[1]Tissue Data'!$I:$I)</f>
        <v>corporalis</v>
      </c>
      <c r="G6090" t="str">
        <f>_xlfn.XLOOKUP(A6090,'[1]Tissue Data'!$A:$A,'[1]Tissue Data'!J:J)</f>
        <v>U</v>
      </c>
      <c r="H6090" t="str">
        <f>_xlfn.XLOOKUP(A6090,'[1]Tissue Data'!$A:$A,'[1]Tissue Data'!K:K)</f>
        <v>Whole Body</v>
      </c>
      <c r="I6090">
        <f>_xlfn.XLOOKUP(A6090,'[1]Tissue Data'!$A:$A,'[1]Tissue Data'!L:L)</f>
        <v>7.5</v>
      </c>
      <c r="J6090">
        <f>_xlfn.XLOOKUP(A6090,'[1]Tissue Data'!$A:$A,'[1]Tissue Data'!M:M)</f>
        <v>3.57</v>
      </c>
      <c r="K6090" t="s">
        <v>50</v>
      </c>
      <c r="L6090" t="str">
        <f>_xlfn.XLOOKUP(K6090,[2]analyte_order!$B:$B,[2]analyte_order!$C:$C)</f>
        <v>53826-12-3</v>
      </c>
      <c r="M6090">
        <f>_xlfn.XLOOKUP(L6090,[2]analyte_order!$C:$C,[2]analyte_order!$E:$E)</f>
        <v>41</v>
      </c>
      <c r="N6090">
        <v>0.22</v>
      </c>
    </row>
    <row r="6091" spans="1:14">
      <c r="A6091" t="s">
        <v>179</v>
      </c>
      <c r="B6091" t="str">
        <f>_xlfn.XLOOKUP(A6091,'[1]Tissue Data'!$A:$A,'[1]Tissue Data'!$C:$C)</f>
        <v>Spill</v>
      </c>
      <c r="C6091" s="2">
        <f>_xlfn.XLOOKUP(A6091,'[1]Tissue Data'!$A:$A,'[1]Tissue Data'!$D:$D)</f>
        <v>44393</v>
      </c>
      <c r="D6091" s="2" t="str">
        <f>_xlfn.XLOOKUP(A6091,'[1]Tissue Data'!$A:$A,'[1]Tissue Data'!$F:$F)</f>
        <v>Fallfish</v>
      </c>
      <c r="E6091" t="str">
        <f>_xlfn.XLOOKUP(A6091,'[1]Tissue Data'!$A:$A,'[1]Tissue Data'!$H:$H)</f>
        <v>Semotilus</v>
      </c>
      <c r="F6091" t="str">
        <f>_xlfn.XLOOKUP(A6091,'[1]Tissue Data'!$A:$A,'[1]Tissue Data'!$I:$I)</f>
        <v>corporalis</v>
      </c>
      <c r="G6091" t="str">
        <f>_xlfn.XLOOKUP(A6091,'[1]Tissue Data'!$A:$A,'[1]Tissue Data'!J:J)</f>
        <v>U</v>
      </c>
      <c r="H6091" t="str">
        <f>_xlfn.XLOOKUP(A6091,'[1]Tissue Data'!$A:$A,'[1]Tissue Data'!K:K)</f>
        <v>Whole Body</v>
      </c>
      <c r="I6091">
        <f>_xlfn.XLOOKUP(A6091,'[1]Tissue Data'!$A:$A,'[1]Tissue Data'!L:L)</f>
        <v>7.5</v>
      </c>
      <c r="J6091">
        <f>_xlfn.XLOOKUP(A6091,'[1]Tissue Data'!$A:$A,'[1]Tissue Data'!M:M)</f>
        <v>3.57</v>
      </c>
      <c r="K6091" t="s">
        <v>51</v>
      </c>
      <c r="L6091" t="str">
        <f>_xlfn.XLOOKUP(K6091,[2]analyte_order!$B:$B,[2]analyte_order!$C:$C)</f>
        <v>27854-31-5</v>
      </c>
      <c r="M6091">
        <f>_xlfn.XLOOKUP(L6091,[2]analyte_order!$C:$C,[2]analyte_order!$E:$E)</f>
        <v>42</v>
      </c>
      <c r="N6091">
        <v>0.11</v>
      </c>
    </row>
    <row r="6092" spans="1:14">
      <c r="A6092" t="s">
        <v>179</v>
      </c>
      <c r="B6092" t="str">
        <f>_xlfn.XLOOKUP(A6092,'[1]Tissue Data'!$A:$A,'[1]Tissue Data'!$C:$C)</f>
        <v>Spill</v>
      </c>
      <c r="C6092" s="2">
        <f>_xlfn.XLOOKUP(A6092,'[1]Tissue Data'!$A:$A,'[1]Tissue Data'!$D:$D)</f>
        <v>44393</v>
      </c>
      <c r="D6092" s="2" t="str">
        <f>_xlfn.XLOOKUP(A6092,'[1]Tissue Data'!$A:$A,'[1]Tissue Data'!$F:$F)</f>
        <v>Fallfish</v>
      </c>
      <c r="E6092" t="str">
        <f>_xlfn.XLOOKUP(A6092,'[1]Tissue Data'!$A:$A,'[1]Tissue Data'!$H:$H)</f>
        <v>Semotilus</v>
      </c>
      <c r="F6092" t="str">
        <f>_xlfn.XLOOKUP(A6092,'[1]Tissue Data'!$A:$A,'[1]Tissue Data'!$I:$I)</f>
        <v>corporalis</v>
      </c>
      <c r="G6092" t="str">
        <f>_xlfn.XLOOKUP(A6092,'[1]Tissue Data'!$A:$A,'[1]Tissue Data'!J:J)</f>
        <v>U</v>
      </c>
      <c r="H6092" t="str">
        <f>_xlfn.XLOOKUP(A6092,'[1]Tissue Data'!$A:$A,'[1]Tissue Data'!K:K)</f>
        <v>Whole Body</v>
      </c>
      <c r="I6092">
        <f>_xlfn.XLOOKUP(A6092,'[1]Tissue Data'!$A:$A,'[1]Tissue Data'!L:L)</f>
        <v>7.5</v>
      </c>
      <c r="J6092">
        <f>_xlfn.XLOOKUP(A6092,'[1]Tissue Data'!$A:$A,'[1]Tissue Data'!M:M)</f>
        <v>3.57</v>
      </c>
      <c r="K6092" t="s">
        <v>52</v>
      </c>
      <c r="L6092" t="str">
        <f>_xlfn.XLOOKUP(K6092,[2]analyte_order!$B:$B,[2]analyte_order!$C:$C)</f>
        <v>53826-13-4</v>
      </c>
      <c r="M6092">
        <f>_xlfn.XLOOKUP(L6092,[2]analyte_order!$C:$C,[2]analyte_order!$E:$E)</f>
        <v>43</v>
      </c>
      <c r="N6092">
        <v>0.22</v>
      </c>
    </row>
    <row r="6093" spans="1:14">
      <c r="A6093" t="s">
        <v>179</v>
      </c>
      <c r="B6093" t="str">
        <f>_xlfn.XLOOKUP(A6093,'[1]Tissue Data'!$A:$A,'[1]Tissue Data'!$C:$C)</f>
        <v>Spill</v>
      </c>
      <c r="C6093" s="2">
        <f>_xlfn.XLOOKUP(A6093,'[1]Tissue Data'!$A:$A,'[1]Tissue Data'!$D:$D)</f>
        <v>44393</v>
      </c>
      <c r="D6093" s="2" t="str">
        <f>_xlfn.XLOOKUP(A6093,'[1]Tissue Data'!$A:$A,'[1]Tissue Data'!$F:$F)</f>
        <v>Fallfish</v>
      </c>
      <c r="E6093" t="str">
        <f>_xlfn.XLOOKUP(A6093,'[1]Tissue Data'!$A:$A,'[1]Tissue Data'!$H:$H)</f>
        <v>Semotilus</v>
      </c>
      <c r="F6093" t="str">
        <f>_xlfn.XLOOKUP(A6093,'[1]Tissue Data'!$A:$A,'[1]Tissue Data'!$I:$I)</f>
        <v>corporalis</v>
      </c>
      <c r="G6093" t="str">
        <f>_xlfn.XLOOKUP(A6093,'[1]Tissue Data'!$A:$A,'[1]Tissue Data'!J:J)</f>
        <v>U</v>
      </c>
      <c r="H6093" t="str">
        <f>_xlfn.XLOOKUP(A6093,'[1]Tissue Data'!$A:$A,'[1]Tissue Data'!K:K)</f>
        <v>Whole Body</v>
      </c>
      <c r="I6093">
        <f>_xlfn.XLOOKUP(A6093,'[1]Tissue Data'!$A:$A,'[1]Tissue Data'!L:L)</f>
        <v>7.5</v>
      </c>
      <c r="J6093">
        <f>_xlfn.XLOOKUP(A6093,'[1]Tissue Data'!$A:$A,'[1]Tissue Data'!M:M)</f>
        <v>3.57</v>
      </c>
      <c r="K6093" t="s">
        <v>53</v>
      </c>
      <c r="L6093" t="str">
        <f>_xlfn.XLOOKUP(K6093,[2]analyte_order!$B:$B,[2]analyte_order!$C:$C)</f>
        <v>161094-75-3</v>
      </c>
      <c r="M6093">
        <f>_xlfn.XLOOKUP(L6093,[2]analyte_order!$C:$C,[2]analyte_order!$E:$E)</f>
        <v>44</v>
      </c>
      <c r="N6093">
        <v>8.6499999999999994E-2</v>
      </c>
    </row>
    <row r="6094" spans="1:14">
      <c r="A6094" t="s">
        <v>179</v>
      </c>
      <c r="B6094" t="str">
        <f>_xlfn.XLOOKUP(A6094,'[1]Tissue Data'!$A:$A,'[1]Tissue Data'!$C:$C)</f>
        <v>Spill</v>
      </c>
      <c r="C6094" s="2">
        <f>_xlfn.XLOOKUP(A6094,'[1]Tissue Data'!$A:$A,'[1]Tissue Data'!$D:$D)</f>
        <v>44393</v>
      </c>
      <c r="D6094" s="2" t="str">
        <f>_xlfn.XLOOKUP(A6094,'[1]Tissue Data'!$A:$A,'[1]Tissue Data'!$F:$F)</f>
        <v>Fallfish</v>
      </c>
      <c r="E6094" t="str">
        <f>_xlfn.XLOOKUP(A6094,'[1]Tissue Data'!$A:$A,'[1]Tissue Data'!$H:$H)</f>
        <v>Semotilus</v>
      </c>
      <c r="F6094" t="str">
        <f>_xlfn.XLOOKUP(A6094,'[1]Tissue Data'!$A:$A,'[1]Tissue Data'!$I:$I)</f>
        <v>corporalis</v>
      </c>
      <c r="G6094" t="str">
        <f>_xlfn.XLOOKUP(A6094,'[1]Tissue Data'!$A:$A,'[1]Tissue Data'!J:J)</f>
        <v>U</v>
      </c>
      <c r="H6094" t="str">
        <f>_xlfn.XLOOKUP(A6094,'[1]Tissue Data'!$A:$A,'[1]Tissue Data'!K:K)</f>
        <v>Whole Body</v>
      </c>
      <c r="I6094">
        <f>_xlfn.XLOOKUP(A6094,'[1]Tissue Data'!$A:$A,'[1]Tissue Data'!L:L)</f>
        <v>7.5</v>
      </c>
      <c r="J6094">
        <f>_xlfn.XLOOKUP(A6094,'[1]Tissue Data'!$A:$A,'[1]Tissue Data'!M:M)</f>
        <v>3.57</v>
      </c>
      <c r="K6094" t="s">
        <v>54</v>
      </c>
      <c r="L6094" t="str">
        <f>_xlfn.XLOOKUP(K6094,[2]analyte_order!$B:$B,[2]analyte_order!$C:$C)</f>
        <v>70887-84-2</v>
      </c>
      <c r="M6094">
        <f>_xlfn.XLOOKUP(L6094,[2]analyte_order!$C:$C,[2]analyte_order!$E:$E)</f>
        <v>45</v>
      </c>
      <c r="N6094">
        <v>6.6500000000000004E-2</v>
      </c>
    </row>
    <row r="6095" spans="1:14">
      <c r="A6095" t="s">
        <v>179</v>
      </c>
      <c r="B6095" t="str">
        <f>_xlfn.XLOOKUP(A6095,'[1]Tissue Data'!$A:$A,'[1]Tissue Data'!$C:$C)</f>
        <v>Spill</v>
      </c>
      <c r="C6095" s="2">
        <f>_xlfn.XLOOKUP(A6095,'[1]Tissue Data'!$A:$A,'[1]Tissue Data'!$D:$D)</f>
        <v>44393</v>
      </c>
      <c r="D6095" s="2" t="str">
        <f>_xlfn.XLOOKUP(A6095,'[1]Tissue Data'!$A:$A,'[1]Tissue Data'!$F:$F)</f>
        <v>Fallfish</v>
      </c>
      <c r="E6095" t="str">
        <f>_xlfn.XLOOKUP(A6095,'[1]Tissue Data'!$A:$A,'[1]Tissue Data'!$H:$H)</f>
        <v>Semotilus</v>
      </c>
      <c r="F6095" t="str">
        <f>_xlfn.XLOOKUP(A6095,'[1]Tissue Data'!$A:$A,'[1]Tissue Data'!$I:$I)</f>
        <v>corporalis</v>
      </c>
      <c r="G6095" t="str">
        <f>_xlfn.XLOOKUP(A6095,'[1]Tissue Data'!$A:$A,'[1]Tissue Data'!J:J)</f>
        <v>U</v>
      </c>
      <c r="H6095" t="str">
        <f>_xlfn.XLOOKUP(A6095,'[1]Tissue Data'!$A:$A,'[1]Tissue Data'!K:K)</f>
        <v>Whole Body</v>
      </c>
      <c r="I6095">
        <f>_xlfn.XLOOKUP(A6095,'[1]Tissue Data'!$A:$A,'[1]Tissue Data'!L:L)</f>
        <v>7.5</v>
      </c>
      <c r="J6095">
        <f>_xlfn.XLOOKUP(A6095,'[1]Tissue Data'!$A:$A,'[1]Tissue Data'!M:M)</f>
        <v>3.57</v>
      </c>
      <c r="K6095" t="s">
        <v>55</v>
      </c>
      <c r="L6095" t="str">
        <f>_xlfn.XLOOKUP(K6095,[2]analyte_order!$B:$B,[2]analyte_order!$C:$C)</f>
        <v>919005-14-4</v>
      </c>
      <c r="M6095">
        <f>_xlfn.XLOOKUP(L6095,[2]analyte_order!$C:$C,[2]analyte_order!$E:$E)</f>
        <v>35</v>
      </c>
      <c r="N6095">
        <v>9.7000000000000003E-2</v>
      </c>
    </row>
    <row r="6096" spans="1:14">
      <c r="A6096" t="s">
        <v>179</v>
      </c>
      <c r="B6096" t="str">
        <f>_xlfn.XLOOKUP(A6096,'[1]Tissue Data'!$A:$A,'[1]Tissue Data'!$C:$C)</f>
        <v>Spill</v>
      </c>
      <c r="C6096" s="2">
        <f>_xlfn.XLOOKUP(A6096,'[1]Tissue Data'!$A:$A,'[1]Tissue Data'!$D:$D)</f>
        <v>44393</v>
      </c>
      <c r="D6096" s="2" t="str">
        <f>_xlfn.XLOOKUP(A6096,'[1]Tissue Data'!$A:$A,'[1]Tissue Data'!$F:$F)</f>
        <v>Fallfish</v>
      </c>
      <c r="E6096" t="str">
        <f>_xlfn.XLOOKUP(A6096,'[1]Tissue Data'!$A:$A,'[1]Tissue Data'!$H:$H)</f>
        <v>Semotilus</v>
      </c>
      <c r="F6096" t="str">
        <f>_xlfn.XLOOKUP(A6096,'[1]Tissue Data'!$A:$A,'[1]Tissue Data'!$I:$I)</f>
        <v>corporalis</v>
      </c>
      <c r="G6096" t="str">
        <f>_xlfn.XLOOKUP(A6096,'[1]Tissue Data'!$A:$A,'[1]Tissue Data'!J:J)</f>
        <v>U</v>
      </c>
      <c r="H6096" t="str">
        <f>_xlfn.XLOOKUP(A6096,'[1]Tissue Data'!$A:$A,'[1]Tissue Data'!K:K)</f>
        <v>Whole Body</v>
      </c>
      <c r="I6096">
        <f>_xlfn.XLOOKUP(A6096,'[1]Tissue Data'!$A:$A,'[1]Tissue Data'!L:L)</f>
        <v>7.5</v>
      </c>
      <c r="J6096">
        <f>_xlfn.XLOOKUP(A6096,'[1]Tissue Data'!$A:$A,'[1]Tissue Data'!M:M)</f>
        <v>3.57</v>
      </c>
      <c r="K6096" t="s">
        <v>56</v>
      </c>
      <c r="L6096" t="str">
        <f>_xlfn.XLOOKUP(K6096,[2]analyte_order!$B:$B,[2]analyte_order!$C:$C)</f>
        <v>756426-58-1</v>
      </c>
      <c r="M6096">
        <f>_xlfn.XLOOKUP(L6096,[2]analyte_order!$C:$C,[2]analyte_order!$E:$E)</f>
        <v>36</v>
      </c>
      <c r="N6096">
        <v>0.22</v>
      </c>
    </row>
    <row r="6097" spans="1:14">
      <c r="A6097" t="s">
        <v>179</v>
      </c>
      <c r="B6097" t="str">
        <f>_xlfn.XLOOKUP(A6097,'[1]Tissue Data'!$A:$A,'[1]Tissue Data'!$C:$C)</f>
        <v>Spill</v>
      </c>
      <c r="C6097" s="2">
        <f>_xlfn.XLOOKUP(A6097,'[1]Tissue Data'!$A:$A,'[1]Tissue Data'!$D:$D)</f>
        <v>44393</v>
      </c>
      <c r="D6097" s="2" t="str">
        <f>_xlfn.XLOOKUP(A6097,'[1]Tissue Data'!$A:$A,'[1]Tissue Data'!$F:$F)</f>
        <v>Fallfish</v>
      </c>
      <c r="E6097" t="str">
        <f>_xlfn.XLOOKUP(A6097,'[1]Tissue Data'!$A:$A,'[1]Tissue Data'!$H:$H)</f>
        <v>Semotilus</v>
      </c>
      <c r="F6097" t="str">
        <f>_xlfn.XLOOKUP(A6097,'[1]Tissue Data'!$A:$A,'[1]Tissue Data'!$I:$I)</f>
        <v>corporalis</v>
      </c>
      <c r="G6097" t="str">
        <f>_xlfn.XLOOKUP(A6097,'[1]Tissue Data'!$A:$A,'[1]Tissue Data'!J:J)</f>
        <v>U</v>
      </c>
      <c r="H6097" t="str">
        <f>_xlfn.XLOOKUP(A6097,'[1]Tissue Data'!$A:$A,'[1]Tissue Data'!K:K)</f>
        <v>Whole Body</v>
      </c>
      <c r="I6097">
        <f>_xlfn.XLOOKUP(A6097,'[1]Tissue Data'!$A:$A,'[1]Tissue Data'!L:L)</f>
        <v>7.5</v>
      </c>
      <c r="J6097">
        <f>_xlfn.XLOOKUP(A6097,'[1]Tissue Data'!$A:$A,'[1]Tissue Data'!M:M)</f>
        <v>3.57</v>
      </c>
      <c r="K6097" t="s">
        <v>57</v>
      </c>
      <c r="L6097" t="str">
        <f>_xlfn.XLOOKUP(K6097,[2]analyte_order!$B:$B,[2]analyte_order!$C:$C)</f>
        <v>763051-92-9</v>
      </c>
      <c r="M6097">
        <f>_xlfn.XLOOKUP(L6097,[2]analyte_order!$C:$C,[2]analyte_order!$E:$E)</f>
        <v>37</v>
      </c>
      <c r="N6097">
        <v>0.22</v>
      </c>
    </row>
    <row r="6098" spans="1:14">
      <c r="A6098" t="s">
        <v>179</v>
      </c>
      <c r="B6098" t="str">
        <f>_xlfn.XLOOKUP(A6098,'[1]Tissue Data'!$A:$A,'[1]Tissue Data'!$C:$C)</f>
        <v>Spill</v>
      </c>
      <c r="C6098" s="2">
        <f>_xlfn.XLOOKUP(A6098,'[1]Tissue Data'!$A:$A,'[1]Tissue Data'!$D:$D)</f>
        <v>44393</v>
      </c>
      <c r="D6098" s="2" t="str">
        <f>_xlfn.XLOOKUP(A6098,'[1]Tissue Data'!$A:$A,'[1]Tissue Data'!$F:$F)</f>
        <v>Fallfish</v>
      </c>
      <c r="E6098" t="str">
        <f>_xlfn.XLOOKUP(A6098,'[1]Tissue Data'!$A:$A,'[1]Tissue Data'!$H:$H)</f>
        <v>Semotilus</v>
      </c>
      <c r="F6098" t="str">
        <f>_xlfn.XLOOKUP(A6098,'[1]Tissue Data'!$A:$A,'[1]Tissue Data'!$I:$I)</f>
        <v>corporalis</v>
      </c>
      <c r="G6098" t="str">
        <f>_xlfn.XLOOKUP(A6098,'[1]Tissue Data'!$A:$A,'[1]Tissue Data'!J:J)</f>
        <v>U</v>
      </c>
      <c r="H6098" t="str">
        <f>_xlfn.XLOOKUP(A6098,'[1]Tissue Data'!$A:$A,'[1]Tissue Data'!K:K)</f>
        <v>Whole Body</v>
      </c>
      <c r="I6098">
        <f>_xlfn.XLOOKUP(A6098,'[1]Tissue Data'!$A:$A,'[1]Tissue Data'!L:L)</f>
        <v>7.5</v>
      </c>
      <c r="J6098">
        <f>_xlfn.XLOOKUP(A6098,'[1]Tissue Data'!$A:$A,'[1]Tissue Data'!M:M)</f>
        <v>3.57</v>
      </c>
      <c r="K6098" t="s">
        <v>58</v>
      </c>
      <c r="L6098" t="str">
        <f>_xlfn.XLOOKUP(K6098,[2]analyte_order!$B:$B,[2]analyte_order!$C:$C)</f>
        <v>13252-13-6</v>
      </c>
      <c r="M6098">
        <f>_xlfn.XLOOKUP(L6098,[2]analyte_order!$C:$C,[2]analyte_order!$E:$E)</f>
        <v>34</v>
      </c>
      <c r="N6098">
        <v>0.158</v>
      </c>
    </row>
    <row r="6099" spans="1:14">
      <c r="A6099" t="s">
        <v>179</v>
      </c>
      <c r="B6099" t="str">
        <f>_xlfn.XLOOKUP(A6099,'[1]Tissue Data'!$A:$A,'[1]Tissue Data'!$C:$C)</f>
        <v>Spill</v>
      </c>
      <c r="C6099" s="2">
        <f>_xlfn.XLOOKUP(A6099,'[1]Tissue Data'!$A:$A,'[1]Tissue Data'!$D:$D)</f>
        <v>44393</v>
      </c>
      <c r="D6099" s="2" t="str">
        <f>_xlfn.XLOOKUP(A6099,'[1]Tissue Data'!$A:$A,'[1]Tissue Data'!$F:$F)</f>
        <v>Fallfish</v>
      </c>
      <c r="E6099" t="str">
        <f>_xlfn.XLOOKUP(A6099,'[1]Tissue Data'!$A:$A,'[1]Tissue Data'!$H:$H)</f>
        <v>Semotilus</v>
      </c>
      <c r="F6099" t="str">
        <f>_xlfn.XLOOKUP(A6099,'[1]Tissue Data'!$A:$A,'[1]Tissue Data'!$I:$I)</f>
        <v>corporalis</v>
      </c>
      <c r="G6099" t="str">
        <f>_xlfn.XLOOKUP(A6099,'[1]Tissue Data'!$A:$A,'[1]Tissue Data'!J:J)</f>
        <v>U</v>
      </c>
      <c r="H6099" t="str">
        <f>_xlfn.XLOOKUP(A6099,'[1]Tissue Data'!$A:$A,'[1]Tissue Data'!K:K)</f>
        <v>Whole Body</v>
      </c>
      <c r="I6099">
        <f>_xlfn.XLOOKUP(A6099,'[1]Tissue Data'!$A:$A,'[1]Tissue Data'!L:L)</f>
        <v>7.5</v>
      </c>
      <c r="J6099">
        <f>_xlfn.XLOOKUP(A6099,'[1]Tissue Data'!$A:$A,'[1]Tissue Data'!M:M)</f>
        <v>3.57</v>
      </c>
      <c r="K6099" t="s">
        <v>59</v>
      </c>
      <c r="L6099" t="str">
        <f>_xlfn.XLOOKUP(K6099,[2]analyte_order!$B:$B,[2]analyte_order!$C:$C)</f>
        <v>57677-95-9</v>
      </c>
      <c r="M6099">
        <f>_xlfn.XLOOKUP(L6099,[2]analyte_order!$C:$C,[2]analyte_order!$E:$E)</f>
        <v>46</v>
      </c>
      <c r="N6099">
        <v>0.22</v>
      </c>
    </row>
    <row r="6100" spans="1:14">
      <c r="A6100" t="s">
        <v>179</v>
      </c>
      <c r="B6100" t="str">
        <f>_xlfn.XLOOKUP(A6100,'[1]Tissue Data'!$A:$A,'[1]Tissue Data'!$C:$C)</f>
        <v>Spill</v>
      </c>
      <c r="C6100" s="2">
        <f>_xlfn.XLOOKUP(A6100,'[1]Tissue Data'!$A:$A,'[1]Tissue Data'!$D:$D)</f>
        <v>44393</v>
      </c>
      <c r="D6100" s="2" t="str">
        <f>_xlfn.XLOOKUP(A6100,'[1]Tissue Data'!$A:$A,'[1]Tissue Data'!$F:$F)</f>
        <v>Fallfish</v>
      </c>
      <c r="E6100" t="str">
        <f>_xlfn.XLOOKUP(A6100,'[1]Tissue Data'!$A:$A,'[1]Tissue Data'!$H:$H)</f>
        <v>Semotilus</v>
      </c>
      <c r="F6100" t="str">
        <f>_xlfn.XLOOKUP(A6100,'[1]Tissue Data'!$A:$A,'[1]Tissue Data'!$I:$I)</f>
        <v>corporalis</v>
      </c>
      <c r="G6100" t="str">
        <f>_xlfn.XLOOKUP(A6100,'[1]Tissue Data'!$A:$A,'[1]Tissue Data'!J:J)</f>
        <v>U</v>
      </c>
      <c r="H6100" t="str">
        <f>_xlfn.XLOOKUP(A6100,'[1]Tissue Data'!$A:$A,'[1]Tissue Data'!K:K)</f>
        <v>Whole Body</v>
      </c>
      <c r="I6100">
        <f>_xlfn.XLOOKUP(A6100,'[1]Tissue Data'!$A:$A,'[1]Tissue Data'!L:L)</f>
        <v>7.5</v>
      </c>
      <c r="J6100">
        <f>_xlfn.XLOOKUP(A6100,'[1]Tissue Data'!$A:$A,'[1]Tissue Data'!M:M)</f>
        <v>3.57</v>
      </c>
      <c r="K6100" t="s">
        <v>60</v>
      </c>
      <c r="L6100" t="str">
        <f>_xlfn.XLOOKUP(K6100,[2]analyte_order!$B:$B,[2]analyte_order!$C:$C)</f>
        <v>678-41-1</v>
      </c>
      <c r="M6100">
        <f>_xlfn.XLOOKUP(L6100,[2]analyte_order!$C:$C,[2]analyte_order!$E:$E)</f>
        <v>56</v>
      </c>
      <c r="N6100">
        <v>0.22</v>
      </c>
    </row>
    <row r="6101" spans="1:14">
      <c r="A6101" t="s">
        <v>179</v>
      </c>
      <c r="B6101" t="str">
        <f>_xlfn.XLOOKUP(A6101,'[1]Tissue Data'!$A:$A,'[1]Tissue Data'!$C:$C)</f>
        <v>Spill</v>
      </c>
      <c r="C6101" s="2">
        <f>_xlfn.XLOOKUP(A6101,'[1]Tissue Data'!$A:$A,'[1]Tissue Data'!$D:$D)</f>
        <v>44393</v>
      </c>
      <c r="D6101" s="2" t="str">
        <f>_xlfn.XLOOKUP(A6101,'[1]Tissue Data'!$A:$A,'[1]Tissue Data'!$F:$F)</f>
        <v>Fallfish</v>
      </c>
      <c r="E6101" t="str">
        <f>_xlfn.XLOOKUP(A6101,'[1]Tissue Data'!$A:$A,'[1]Tissue Data'!$H:$H)</f>
        <v>Semotilus</v>
      </c>
      <c r="F6101" t="str">
        <f>_xlfn.XLOOKUP(A6101,'[1]Tissue Data'!$A:$A,'[1]Tissue Data'!$I:$I)</f>
        <v>corporalis</v>
      </c>
      <c r="G6101" t="str">
        <f>_xlfn.XLOOKUP(A6101,'[1]Tissue Data'!$A:$A,'[1]Tissue Data'!J:J)</f>
        <v>U</v>
      </c>
      <c r="H6101" t="str">
        <f>_xlfn.XLOOKUP(A6101,'[1]Tissue Data'!$A:$A,'[1]Tissue Data'!K:K)</f>
        <v>Whole Body</v>
      </c>
      <c r="I6101">
        <f>_xlfn.XLOOKUP(A6101,'[1]Tissue Data'!$A:$A,'[1]Tissue Data'!L:L)</f>
        <v>7.5</v>
      </c>
      <c r="J6101">
        <f>_xlfn.XLOOKUP(A6101,'[1]Tissue Data'!$A:$A,'[1]Tissue Data'!M:M)</f>
        <v>3.57</v>
      </c>
      <c r="K6101" t="s">
        <v>61</v>
      </c>
      <c r="L6101" t="str">
        <f>_xlfn.XLOOKUP(K6101,[2]analyte_order!$B:$B,[2]analyte_order!$C:$C)</f>
        <v>2965-52-8</v>
      </c>
      <c r="M6101">
        <f>_xlfn.XLOOKUP(L6101,[2]analyte_order!$C:$C,[2]analyte_order!$E:$E)</f>
        <v>57</v>
      </c>
      <c r="N6101">
        <v>0.22</v>
      </c>
    </row>
    <row r="6102" spans="1:14">
      <c r="A6102" t="s">
        <v>180</v>
      </c>
      <c r="B6102" t="str">
        <f>_xlfn.XLOOKUP(A6102,'[1]Tissue Data'!$A:$A,'[1]Tissue Data'!$C:$C)</f>
        <v>Spill</v>
      </c>
      <c r="C6102" s="2">
        <f>_xlfn.XLOOKUP(A6102,'[1]Tissue Data'!$A:$A,'[1]Tissue Data'!$D:$D)</f>
        <v>44393</v>
      </c>
      <c r="D6102" s="2" t="str">
        <f>_xlfn.XLOOKUP(A6102,'[1]Tissue Data'!$A:$A,'[1]Tissue Data'!$F:$F)</f>
        <v>Fallfish</v>
      </c>
      <c r="E6102" t="str">
        <f>_xlfn.XLOOKUP(A6102,'[1]Tissue Data'!$A:$A,'[1]Tissue Data'!$H:$H)</f>
        <v>Semotilus</v>
      </c>
      <c r="F6102" t="str">
        <f>_xlfn.XLOOKUP(A6102,'[1]Tissue Data'!$A:$A,'[1]Tissue Data'!$I:$I)</f>
        <v>corporalis</v>
      </c>
      <c r="G6102" t="str">
        <f>_xlfn.XLOOKUP(A6102,'[1]Tissue Data'!$A:$A,'[1]Tissue Data'!J:J)</f>
        <v>U</v>
      </c>
      <c r="H6102" t="str">
        <f>_xlfn.XLOOKUP(A6102,'[1]Tissue Data'!$A:$A,'[1]Tissue Data'!K:K)</f>
        <v>Whole Body</v>
      </c>
      <c r="I6102">
        <f>_xlfn.XLOOKUP(A6102,'[1]Tissue Data'!$A:$A,'[1]Tissue Data'!L:L)</f>
        <v>8</v>
      </c>
      <c r="J6102">
        <f>_xlfn.XLOOKUP(A6102,'[1]Tissue Data'!$A:$A,'[1]Tissue Data'!M:M)</f>
        <v>4.43</v>
      </c>
      <c r="K6102" t="s">
        <v>12</v>
      </c>
      <c r="L6102" t="str">
        <f>_xlfn.XLOOKUP(K6102,[2]analyte_order!$B:$B,[2]analyte_order!$C:$C)</f>
        <v>375-22-4</v>
      </c>
      <c r="M6102">
        <f>_xlfn.XLOOKUP(L6102,[2]analyte_order!$C:$C,[2]analyte_order!$E:$E)</f>
        <v>1</v>
      </c>
      <c r="N6102">
        <v>0.246</v>
      </c>
    </row>
    <row r="6103" spans="1:14">
      <c r="A6103" t="s">
        <v>180</v>
      </c>
      <c r="B6103" t="str">
        <f>_xlfn.XLOOKUP(A6103,'[1]Tissue Data'!$A:$A,'[1]Tissue Data'!$C:$C)</f>
        <v>Spill</v>
      </c>
      <c r="C6103" s="2">
        <f>_xlfn.XLOOKUP(A6103,'[1]Tissue Data'!$A:$A,'[1]Tissue Data'!$D:$D)</f>
        <v>44393</v>
      </c>
      <c r="D6103" s="2" t="str">
        <f>_xlfn.XLOOKUP(A6103,'[1]Tissue Data'!$A:$A,'[1]Tissue Data'!$F:$F)</f>
        <v>Fallfish</v>
      </c>
      <c r="E6103" t="str">
        <f>_xlfn.XLOOKUP(A6103,'[1]Tissue Data'!$A:$A,'[1]Tissue Data'!$H:$H)</f>
        <v>Semotilus</v>
      </c>
      <c r="F6103" t="str">
        <f>_xlfn.XLOOKUP(A6103,'[1]Tissue Data'!$A:$A,'[1]Tissue Data'!$I:$I)</f>
        <v>corporalis</v>
      </c>
      <c r="G6103" t="str">
        <f>_xlfn.XLOOKUP(A6103,'[1]Tissue Data'!$A:$A,'[1]Tissue Data'!J:J)</f>
        <v>U</v>
      </c>
      <c r="H6103" t="str">
        <f>_xlfn.XLOOKUP(A6103,'[1]Tissue Data'!$A:$A,'[1]Tissue Data'!K:K)</f>
        <v>Whole Body</v>
      </c>
      <c r="I6103">
        <f>_xlfn.XLOOKUP(A6103,'[1]Tissue Data'!$A:$A,'[1]Tissue Data'!L:L)</f>
        <v>8</v>
      </c>
      <c r="J6103">
        <f>_xlfn.XLOOKUP(A6103,'[1]Tissue Data'!$A:$A,'[1]Tissue Data'!M:M)</f>
        <v>4.43</v>
      </c>
      <c r="K6103" t="s">
        <v>13</v>
      </c>
      <c r="L6103" t="str">
        <f>_xlfn.XLOOKUP(K6103,[2]analyte_order!$B:$B,[2]analyte_order!$C:$C)</f>
        <v>2706-90-3</v>
      </c>
      <c r="M6103">
        <f>_xlfn.XLOOKUP(L6103,[2]analyte_order!$C:$C,[2]analyte_order!$E:$E)</f>
        <v>2</v>
      </c>
      <c r="N6103">
        <v>8.6999999999999994E-2</v>
      </c>
    </row>
    <row r="6104" spans="1:14">
      <c r="A6104" t="s">
        <v>180</v>
      </c>
      <c r="B6104" t="str">
        <f>_xlfn.XLOOKUP(A6104,'[1]Tissue Data'!$A:$A,'[1]Tissue Data'!$C:$C)</f>
        <v>Spill</v>
      </c>
      <c r="C6104" s="2">
        <f>_xlfn.XLOOKUP(A6104,'[1]Tissue Data'!$A:$A,'[1]Tissue Data'!$D:$D)</f>
        <v>44393</v>
      </c>
      <c r="D6104" s="2" t="str">
        <f>_xlfn.XLOOKUP(A6104,'[1]Tissue Data'!$A:$A,'[1]Tissue Data'!$F:$F)</f>
        <v>Fallfish</v>
      </c>
      <c r="E6104" t="str">
        <f>_xlfn.XLOOKUP(A6104,'[1]Tissue Data'!$A:$A,'[1]Tissue Data'!$H:$H)</f>
        <v>Semotilus</v>
      </c>
      <c r="F6104" t="str">
        <f>_xlfn.XLOOKUP(A6104,'[1]Tissue Data'!$A:$A,'[1]Tissue Data'!$I:$I)</f>
        <v>corporalis</v>
      </c>
      <c r="G6104" t="str">
        <f>_xlfn.XLOOKUP(A6104,'[1]Tissue Data'!$A:$A,'[1]Tissue Data'!J:J)</f>
        <v>U</v>
      </c>
      <c r="H6104" t="str">
        <f>_xlfn.XLOOKUP(A6104,'[1]Tissue Data'!$A:$A,'[1]Tissue Data'!K:K)</f>
        <v>Whole Body</v>
      </c>
      <c r="I6104">
        <f>_xlfn.XLOOKUP(A6104,'[1]Tissue Data'!$A:$A,'[1]Tissue Data'!L:L)</f>
        <v>8</v>
      </c>
      <c r="J6104">
        <f>_xlfn.XLOOKUP(A6104,'[1]Tissue Data'!$A:$A,'[1]Tissue Data'!M:M)</f>
        <v>4.43</v>
      </c>
      <c r="K6104" t="s">
        <v>14</v>
      </c>
      <c r="L6104" t="str">
        <f>_xlfn.XLOOKUP(K6104,[2]analyte_order!$B:$B,[2]analyte_order!$C:$C)</f>
        <v>307-24-4</v>
      </c>
      <c r="M6104">
        <f>_xlfn.XLOOKUP(L6104,[2]analyte_order!$C:$C,[2]analyte_order!$E:$E)</f>
        <v>3</v>
      </c>
      <c r="N6104">
        <v>6.6500000000000004E-2</v>
      </c>
    </row>
    <row r="6105" spans="1:14">
      <c r="A6105" t="s">
        <v>180</v>
      </c>
      <c r="B6105" t="str">
        <f>_xlfn.XLOOKUP(A6105,'[1]Tissue Data'!$A:$A,'[1]Tissue Data'!$C:$C)</f>
        <v>Spill</v>
      </c>
      <c r="C6105" s="2">
        <f>_xlfn.XLOOKUP(A6105,'[1]Tissue Data'!$A:$A,'[1]Tissue Data'!$D:$D)</f>
        <v>44393</v>
      </c>
      <c r="D6105" s="2" t="str">
        <f>_xlfn.XLOOKUP(A6105,'[1]Tissue Data'!$A:$A,'[1]Tissue Data'!$F:$F)</f>
        <v>Fallfish</v>
      </c>
      <c r="E6105" t="str">
        <f>_xlfn.XLOOKUP(A6105,'[1]Tissue Data'!$A:$A,'[1]Tissue Data'!$H:$H)</f>
        <v>Semotilus</v>
      </c>
      <c r="F6105" t="str">
        <f>_xlfn.XLOOKUP(A6105,'[1]Tissue Data'!$A:$A,'[1]Tissue Data'!$I:$I)</f>
        <v>corporalis</v>
      </c>
      <c r="G6105" t="str">
        <f>_xlfn.XLOOKUP(A6105,'[1]Tissue Data'!$A:$A,'[1]Tissue Data'!J:J)</f>
        <v>U</v>
      </c>
      <c r="H6105" t="str">
        <f>_xlfn.XLOOKUP(A6105,'[1]Tissue Data'!$A:$A,'[1]Tissue Data'!K:K)</f>
        <v>Whole Body</v>
      </c>
      <c r="I6105">
        <f>_xlfn.XLOOKUP(A6105,'[1]Tissue Data'!$A:$A,'[1]Tissue Data'!L:L)</f>
        <v>8</v>
      </c>
      <c r="J6105">
        <f>_xlfn.XLOOKUP(A6105,'[1]Tissue Data'!$A:$A,'[1]Tissue Data'!M:M)</f>
        <v>4.43</v>
      </c>
      <c r="K6105" t="s">
        <v>15</v>
      </c>
      <c r="L6105" t="str">
        <f>_xlfn.XLOOKUP(K6105,[2]analyte_order!$B:$B,[2]analyte_order!$C:$C)</f>
        <v>375-85-9</v>
      </c>
      <c r="M6105">
        <f>_xlfn.XLOOKUP(L6105,[2]analyte_order!$C:$C,[2]analyte_order!$E:$E)</f>
        <v>4</v>
      </c>
      <c r="N6105">
        <v>0.123</v>
      </c>
    </row>
    <row r="6106" spans="1:14">
      <c r="A6106" t="s">
        <v>180</v>
      </c>
      <c r="B6106" t="str">
        <f>_xlfn.XLOOKUP(A6106,'[1]Tissue Data'!$A:$A,'[1]Tissue Data'!$C:$C)</f>
        <v>Spill</v>
      </c>
      <c r="C6106" s="2">
        <f>_xlfn.XLOOKUP(A6106,'[1]Tissue Data'!$A:$A,'[1]Tissue Data'!$D:$D)</f>
        <v>44393</v>
      </c>
      <c r="D6106" s="2" t="str">
        <f>_xlfn.XLOOKUP(A6106,'[1]Tissue Data'!$A:$A,'[1]Tissue Data'!$F:$F)</f>
        <v>Fallfish</v>
      </c>
      <c r="E6106" t="str">
        <f>_xlfn.XLOOKUP(A6106,'[1]Tissue Data'!$A:$A,'[1]Tissue Data'!$H:$H)</f>
        <v>Semotilus</v>
      </c>
      <c r="F6106" t="str">
        <f>_xlfn.XLOOKUP(A6106,'[1]Tissue Data'!$A:$A,'[1]Tissue Data'!$I:$I)</f>
        <v>corporalis</v>
      </c>
      <c r="G6106" t="str">
        <f>_xlfn.XLOOKUP(A6106,'[1]Tissue Data'!$A:$A,'[1]Tissue Data'!J:J)</f>
        <v>U</v>
      </c>
      <c r="H6106" t="str">
        <f>_xlfn.XLOOKUP(A6106,'[1]Tissue Data'!$A:$A,'[1]Tissue Data'!K:K)</f>
        <v>Whole Body</v>
      </c>
      <c r="I6106">
        <f>_xlfn.XLOOKUP(A6106,'[1]Tissue Data'!$A:$A,'[1]Tissue Data'!L:L)</f>
        <v>8</v>
      </c>
      <c r="J6106">
        <f>_xlfn.XLOOKUP(A6106,'[1]Tissue Data'!$A:$A,'[1]Tissue Data'!M:M)</f>
        <v>4.43</v>
      </c>
      <c r="K6106" t="s">
        <v>16</v>
      </c>
      <c r="L6106" t="str">
        <f>_xlfn.XLOOKUP(K6106,[2]analyte_order!$B:$B,[2]analyte_order!$C:$C)</f>
        <v>335-67-1</v>
      </c>
      <c r="M6106">
        <f>_xlfn.XLOOKUP(L6106,[2]analyte_order!$C:$C,[2]analyte_order!$E:$E)</f>
        <v>5</v>
      </c>
      <c r="N6106">
        <v>2.1</v>
      </c>
    </row>
    <row r="6107" spans="1:14">
      <c r="A6107" t="s">
        <v>180</v>
      </c>
      <c r="B6107" t="str">
        <f>_xlfn.XLOOKUP(A6107,'[1]Tissue Data'!$A:$A,'[1]Tissue Data'!$C:$C)</f>
        <v>Spill</v>
      </c>
      <c r="C6107" s="2">
        <f>_xlfn.XLOOKUP(A6107,'[1]Tissue Data'!$A:$A,'[1]Tissue Data'!$D:$D)</f>
        <v>44393</v>
      </c>
      <c r="D6107" s="2" t="str">
        <f>_xlfn.XLOOKUP(A6107,'[1]Tissue Data'!$A:$A,'[1]Tissue Data'!$F:$F)</f>
        <v>Fallfish</v>
      </c>
      <c r="E6107" t="str">
        <f>_xlfn.XLOOKUP(A6107,'[1]Tissue Data'!$A:$A,'[1]Tissue Data'!$H:$H)</f>
        <v>Semotilus</v>
      </c>
      <c r="F6107" t="str">
        <f>_xlfn.XLOOKUP(A6107,'[1]Tissue Data'!$A:$A,'[1]Tissue Data'!$I:$I)</f>
        <v>corporalis</v>
      </c>
      <c r="G6107" t="str">
        <f>_xlfn.XLOOKUP(A6107,'[1]Tissue Data'!$A:$A,'[1]Tissue Data'!J:J)</f>
        <v>U</v>
      </c>
      <c r="H6107" t="str">
        <f>_xlfn.XLOOKUP(A6107,'[1]Tissue Data'!$A:$A,'[1]Tissue Data'!K:K)</f>
        <v>Whole Body</v>
      </c>
      <c r="I6107">
        <f>_xlfn.XLOOKUP(A6107,'[1]Tissue Data'!$A:$A,'[1]Tissue Data'!L:L)</f>
        <v>8</v>
      </c>
      <c r="J6107">
        <f>_xlfn.XLOOKUP(A6107,'[1]Tissue Data'!$A:$A,'[1]Tissue Data'!M:M)</f>
        <v>4.43</v>
      </c>
      <c r="K6107" t="s">
        <v>17</v>
      </c>
      <c r="L6107" t="str">
        <f>_xlfn.XLOOKUP(K6107,[2]analyte_order!$B:$B,[2]analyte_order!$C:$C)</f>
        <v>375-95-1</v>
      </c>
      <c r="M6107">
        <f>_xlfn.XLOOKUP(L6107,[2]analyte_order!$C:$C,[2]analyte_order!$E:$E)</f>
        <v>6</v>
      </c>
      <c r="N6107">
        <v>0.123</v>
      </c>
    </row>
    <row r="6108" spans="1:14">
      <c r="A6108" t="s">
        <v>180</v>
      </c>
      <c r="B6108" t="str">
        <f>_xlfn.XLOOKUP(A6108,'[1]Tissue Data'!$A:$A,'[1]Tissue Data'!$C:$C)</f>
        <v>Spill</v>
      </c>
      <c r="C6108" s="2">
        <f>_xlfn.XLOOKUP(A6108,'[1]Tissue Data'!$A:$A,'[1]Tissue Data'!$D:$D)</f>
        <v>44393</v>
      </c>
      <c r="D6108" s="2" t="str">
        <f>_xlfn.XLOOKUP(A6108,'[1]Tissue Data'!$A:$A,'[1]Tissue Data'!$F:$F)</f>
        <v>Fallfish</v>
      </c>
      <c r="E6108" t="str">
        <f>_xlfn.XLOOKUP(A6108,'[1]Tissue Data'!$A:$A,'[1]Tissue Data'!$H:$H)</f>
        <v>Semotilus</v>
      </c>
      <c r="F6108" t="str">
        <f>_xlfn.XLOOKUP(A6108,'[1]Tissue Data'!$A:$A,'[1]Tissue Data'!$I:$I)</f>
        <v>corporalis</v>
      </c>
      <c r="G6108" t="str">
        <f>_xlfn.XLOOKUP(A6108,'[1]Tissue Data'!$A:$A,'[1]Tissue Data'!J:J)</f>
        <v>U</v>
      </c>
      <c r="H6108" t="str">
        <f>_xlfn.XLOOKUP(A6108,'[1]Tissue Data'!$A:$A,'[1]Tissue Data'!K:K)</f>
        <v>Whole Body</v>
      </c>
      <c r="I6108">
        <f>_xlfn.XLOOKUP(A6108,'[1]Tissue Data'!$A:$A,'[1]Tissue Data'!L:L)</f>
        <v>8</v>
      </c>
      <c r="J6108">
        <f>_xlfn.XLOOKUP(A6108,'[1]Tissue Data'!$A:$A,'[1]Tissue Data'!M:M)</f>
        <v>4.43</v>
      </c>
      <c r="K6108" t="s">
        <v>18</v>
      </c>
      <c r="L6108" t="str">
        <f>_xlfn.XLOOKUP(K6108,[2]analyte_order!$B:$B,[2]analyte_order!$C:$C)</f>
        <v>335-76-2</v>
      </c>
      <c r="M6108">
        <f>_xlfn.XLOOKUP(L6108,[2]analyte_order!$C:$C,[2]analyte_order!$E:$E)</f>
        <v>7</v>
      </c>
      <c r="N6108">
        <v>4.62</v>
      </c>
    </row>
    <row r="6109" spans="1:14">
      <c r="A6109" t="s">
        <v>180</v>
      </c>
      <c r="B6109" t="str">
        <f>_xlfn.XLOOKUP(A6109,'[1]Tissue Data'!$A:$A,'[1]Tissue Data'!$C:$C)</f>
        <v>Spill</v>
      </c>
      <c r="C6109" s="2">
        <f>_xlfn.XLOOKUP(A6109,'[1]Tissue Data'!$A:$A,'[1]Tissue Data'!$D:$D)</f>
        <v>44393</v>
      </c>
      <c r="D6109" s="2" t="str">
        <f>_xlfn.XLOOKUP(A6109,'[1]Tissue Data'!$A:$A,'[1]Tissue Data'!$F:$F)</f>
        <v>Fallfish</v>
      </c>
      <c r="E6109" t="str">
        <f>_xlfn.XLOOKUP(A6109,'[1]Tissue Data'!$A:$A,'[1]Tissue Data'!$H:$H)</f>
        <v>Semotilus</v>
      </c>
      <c r="F6109" t="str">
        <f>_xlfn.XLOOKUP(A6109,'[1]Tissue Data'!$A:$A,'[1]Tissue Data'!$I:$I)</f>
        <v>corporalis</v>
      </c>
      <c r="G6109" t="str">
        <f>_xlfn.XLOOKUP(A6109,'[1]Tissue Data'!$A:$A,'[1]Tissue Data'!J:J)</f>
        <v>U</v>
      </c>
      <c r="H6109" t="str">
        <f>_xlfn.XLOOKUP(A6109,'[1]Tissue Data'!$A:$A,'[1]Tissue Data'!K:K)</f>
        <v>Whole Body</v>
      </c>
      <c r="I6109">
        <f>_xlfn.XLOOKUP(A6109,'[1]Tissue Data'!$A:$A,'[1]Tissue Data'!L:L)</f>
        <v>8</v>
      </c>
      <c r="J6109">
        <f>_xlfn.XLOOKUP(A6109,'[1]Tissue Data'!$A:$A,'[1]Tissue Data'!M:M)</f>
        <v>4.43</v>
      </c>
      <c r="K6109" t="s">
        <v>19</v>
      </c>
      <c r="L6109" t="str">
        <f>_xlfn.XLOOKUP(K6109,[2]analyte_order!$B:$B,[2]analyte_order!$C:$C)</f>
        <v>2058-94-8</v>
      </c>
      <c r="M6109">
        <f>_xlfn.XLOOKUP(L6109,[2]analyte_order!$C:$C,[2]analyte_order!$E:$E)</f>
        <v>8</v>
      </c>
      <c r="N6109">
        <v>6.6</v>
      </c>
    </row>
    <row r="6110" spans="1:14">
      <c r="A6110" t="s">
        <v>180</v>
      </c>
      <c r="B6110" t="str">
        <f>_xlfn.XLOOKUP(A6110,'[1]Tissue Data'!$A:$A,'[1]Tissue Data'!$C:$C)</f>
        <v>Spill</v>
      </c>
      <c r="C6110" s="2">
        <f>_xlfn.XLOOKUP(A6110,'[1]Tissue Data'!$A:$A,'[1]Tissue Data'!$D:$D)</f>
        <v>44393</v>
      </c>
      <c r="D6110" s="2" t="str">
        <f>_xlfn.XLOOKUP(A6110,'[1]Tissue Data'!$A:$A,'[1]Tissue Data'!$F:$F)</f>
        <v>Fallfish</v>
      </c>
      <c r="E6110" t="str">
        <f>_xlfn.XLOOKUP(A6110,'[1]Tissue Data'!$A:$A,'[1]Tissue Data'!$H:$H)</f>
        <v>Semotilus</v>
      </c>
      <c r="F6110" t="str">
        <f>_xlfn.XLOOKUP(A6110,'[1]Tissue Data'!$A:$A,'[1]Tissue Data'!$I:$I)</f>
        <v>corporalis</v>
      </c>
      <c r="G6110" t="str">
        <f>_xlfn.XLOOKUP(A6110,'[1]Tissue Data'!$A:$A,'[1]Tissue Data'!J:J)</f>
        <v>U</v>
      </c>
      <c r="H6110" t="str">
        <f>_xlfn.XLOOKUP(A6110,'[1]Tissue Data'!$A:$A,'[1]Tissue Data'!K:K)</f>
        <v>Whole Body</v>
      </c>
      <c r="I6110">
        <f>_xlfn.XLOOKUP(A6110,'[1]Tissue Data'!$A:$A,'[1]Tissue Data'!L:L)</f>
        <v>8</v>
      </c>
      <c r="J6110">
        <f>_xlfn.XLOOKUP(A6110,'[1]Tissue Data'!$A:$A,'[1]Tissue Data'!M:M)</f>
        <v>4.43</v>
      </c>
      <c r="K6110" t="s">
        <v>20</v>
      </c>
      <c r="L6110" t="str">
        <f>_xlfn.XLOOKUP(K6110,[2]analyte_order!$B:$B,[2]analyte_order!$C:$C)</f>
        <v>307-55-1</v>
      </c>
      <c r="M6110">
        <f>_xlfn.XLOOKUP(L6110,[2]analyte_order!$C:$C,[2]analyte_order!$E:$E)</f>
        <v>9</v>
      </c>
      <c r="N6110">
        <v>8</v>
      </c>
    </row>
    <row r="6111" spans="1:14">
      <c r="A6111" t="s">
        <v>180</v>
      </c>
      <c r="B6111" t="str">
        <f>_xlfn.XLOOKUP(A6111,'[1]Tissue Data'!$A:$A,'[1]Tissue Data'!$C:$C)</f>
        <v>Spill</v>
      </c>
      <c r="C6111" s="2">
        <f>_xlfn.XLOOKUP(A6111,'[1]Tissue Data'!$A:$A,'[1]Tissue Data'!$D:$D)</f>
        <v>44393</v>
      </c>
      <c r="D6111" s="2" t="str">
        <f>_xlfn.XLOOKUP(A6111,'[1]Tissue Data'!$A:$A,'[1]Tissue Data'!$F:$F)</f>
        <v>Fallfish</v>
      </c>
      <c r="E6111" t="str">
        <f>_xlfn.XLOOKUP(A6111,'[1]Tissue Data'!$A:$A,'[1]Tissue Data'!$H:$H)</f>
        <v>Semotilus</v>
      </c>
      <c r="F6111" t="str">
        <f>_xlfn.XLOOKUP(A6111,'[1]Tissue Data'!$A:$A,'[1]Tissue Data'!$I:$I)</f>
        <v>corporalis</v>
      </c>
      <c r="G6111" t="str">
        <f>_xlfn.XLOOKUP(A6111,'[1]Tissue Data'!$A:$A,'[1]Tissue Data'!J:J)</f>
        <v>U</v>
      </c>
      <c r="H6111" t="str">
        <f>_xlfn.XLOOKUP(A6111,'[1]Tissue Data'!$A:$A,'[1]Tissue Data'!K:K)</f>
        <v>Whole Body</v>
      </c>
      <c r="I6111">
        <f>_xlfn.XLOOKUP(A6111,'[1]Tissue Data'!$A:$A,'[1]Tissue Data'!L:L)</f>
        <v>8</v>
      </c>
      <c r="J6111">
        <f>_xlfn.XLOOKUP(A6111,'[1]Tissue Data'!$A:$A,'[1]Tissue Data'!M:M)</f>
        <v>4.43</v>
      </c>
      <c r="K6111" t="s">
        <v>21</v>
      </c>
      <c r="L6111" t="str">
        <f>_xlfn.XLOOKUP(K6111,[2]analyte_order!$B:$B,[2]analyte_order!$C:$C)</f>
        <v>72629-94-8</v>
      </c>
      <c r="M6111">
        <f>_xlfn.XLOOKUP(L6111,[2]analyte_order!$C:$C,[2]analyte_order!$E:$E)</f>
        <v>10</v>
      </c>
      <c r="N6111">
        <v>2.06</v>
      </c>
    </row>
    <row r="6112" spans="1:14">
      <c r="A6112" t="s">
        <v>180</v>
      </c>
      <c r="B6112" t="str">
        <f>_xlfn.XLOOKUP(A6112,'[1]Tissue Data'!$A:$A,'[1]Tissue Data'!$C:$C)</f>
        <v>Spill</v>
      </c>
      <c r="C6112" s="2">
        <f>_xlfn.XLOOKUP(A6112,'[1]Tissue Data'!$A:$A,'[1]Tissue Data'!$D:$D)</f>
        <v>44393</v>
      </c>
      <c r="D6112" s="2" t="str">
        <f>_xlfn.XLOOKUP(A6112,'[1]Tissue Data'!$A:$A,'[1]Tissue Data'!$F:$F)</f>
        <v>Fallfish</v>
      </c>
      <c r="E6112" t="str">
        <f>_xlfn.XLOOKUP(A6112,'[1]Tissue Data'!$A:$A,'[1]Tissue Data'!$H:$H)</f>
        <v>Semotilus</v>
      </c>
      <c r="F6112" t="str">
        <f>_xlfn.XLOOKUP(A6112,'[1]Tissue Data'!$A:$A,'[1]Tissue Data'!$I:$I)</f>
        <v>corporalis</v>
      </c>
      <c r="G6112" t="str">
        <f>_xlfn.XLOOKUP(A6112,'[1]Tissue Data'!$A:$A,'[1]Tissue Data'!J:J)</f>
        <v>U</v>
      </c>
      <c r="H6112" t="str">
        <f>_xlfn.XLOOKUP(A6112,'[1]Tissue Data'!$A:$A,'[1]Tissue Data'!K:K)</f>
        <v>Whole Body</v>
      </c>
      <c r="I6112">
        <f>_xlfn.XLOOKUP(A6112,'[1]Tissue Data'!$A:$A,'[1]Tissue Data'!L:L)</f>
        <v>8</v>
      </c>
      <c r="J6112">
        <f>_xlfn.XLOOKUP(A6112,'[1]Tissue Data'!$A:$A,'[1]Tissue Data'!M:M)</f>
        <v>4.43</v>
      </c>
      <c r="K6112" t="s">
        <v>22</v>
      </c>
      <c r="L6112" t="str">
        <f>_xlfn.XLOOKUP(K6112,[2]analyte_order!$B:$B,[2]analyte_order!$C:$C)</f>
        <v>376-06-7</v>
      </c>
      <c r="M6112">
        <f>_xlfn.XLOOKUP(L6112,[2]analyte_order!$C:$C,[2]analyte_order!$E:$E)</f>
        <v>11</v>
      </c>
      <c r="N6112">
        <v>6.09</v>
      </c>
    </row>
    <row r="6113" spans="1:14">
      <c r="A6113" t="s">
        <v>180</v>
      </c>
      <c r="B6113" t="str">
        <f>_xlfn.XLOOKUP(A6113,'[1]Tissue Data'!$A:$A,'[1]Tissue Data'!$C:$C)</f>
        <v>Spill</v>
      </c>
      <c r="C6113" s="2">
        <f>_xlfn.XLOOKUP(A6113,'[1]Tissue Data'!$A:$A,'[1]Tissue Data'!$D:$D)</f>
        <v>44393</v>
      </c>
      <c r="D6113" s="2" t="str">
        <f>_xlfn.XLOOKUP(A6113,'[1]Tissue Data'!$A:$A,'[1]Tissue Data'!$F:$F)</f>
        <v>Fallfish</v>
      </c>
      <c r="E6113" t="str">
        <f>_xlfn.XLOOKUP(A6113,'[1]Tissue Data'!$A:$A,'[1]Tissue Data'!$H:$H)</f>
        <v>Semotilus</v>
      </c>
      <c r="F6113" t="str">
        <f>_xlfn.XLOOKUP(A6113,'[1]Tissue Data'!$A:$A,'[1]Tissue Data'!$I:$I)</f>
        <v>corporalis</v>
      </c>
      <c r="G6113" t="str">
        <f>_xlfn.XLOOKUP(A6113,'[1]Tissue Data'!$A:$A,'[1]Tissue Data'!J:J)</f>
        <v>U</v>
      </c>
      <c r="H6113" t="str">
        <f>_xlfn.XLOOKUP(A6113,'[1]Tissue Data'!$A:$A,'[1]Tissue Data'!K:K)</f>
        <v>Whole Body</v>
      </c>
      <c r="I6113">
        <f>_xlfn.XLOOKUP(A6113,'[1]Tissue Data'!$A:$A,'[1]Tissue Data'!L:L)</f>
        <v>8</v>
      </c>
      <c r="J6113">
        <f>_xlfn.XLOOKUP(A6113,'[1]Tissue Data'!$A:$A,'[1]Tissue Data'!M:M)</f>
        <v>4.43</v>
      </c>
      <c r="K6113" t="s">
        <v>23</v>
      </c>
      <c r="L6113" t="str">
        <f>_xlfn.XLOOKUP(K6113,[2]analyte_order!$B:$B,[2]analyte_order!$C:$C)</f>
        <v>67905-19-5</v>
      </c>
      <c r="M6113">
        <f>_xlfn.XLOOKUP(L6113,[2]analyte_order!$C:$C,[2]analyte_order!$E:$E)</f>
        <v>12</v>
      </c>
      <c r="N6113">
        <v>0.14649999999999999</v>
      </c>
    </row>
    <row r="6114" spans="1:14">
      <c r="A6114" t="s">
        <v>180</v>
      </c>
      <c r="B6114" t="str">
        <f>_xlfn.XLOOKUP(A6114,'[1]Tissue Data'!$A:$A,'[1]Tissue Data'!$C:$C)</f>
        <v>Spill</v>
      </c>
      <c r="C6114" s="2">
        <f>_xlfn.XLOOKUP(A6114,'[1]Tissue Data'!$A:$A,'[1]Tissue Data'!$D:$D)</f>
        <v>44393</v>
      </c>
      <c r="D6114" s="2" t="str">
        <f>_xlfn.XLOOKUP(A6114,'[1]Tissue Data'!$A:$A,'[1]Tissue Data'!$F:$F)</f>
        <v>Fallfish</v>
      </c>
      <c r="E6114" t="str">
        <f>_xlfn.XLOOKUP(A6114,'[1]Tissue Data'!$A:$A,'[1]Tissue Data'!$H:$H)</f>
        <v>Semotilus</v>
      </c>
      <c r="F6114" t="str">
        <f>_xlfn.XLOOKUP(A6114,'[1]Tissue Data'!$A:$A,'[1]Tissue Data'!$I:$I)</f>
        <v>corporalis</v>
      </c>
      <c r="G6114" t="str">
        <f>_xlfn.XLOOKUP(A6114,'[1]Tissue Data'!$A:$A,'[1]Tissue Data'!J:J)</f>
        <v>U</v>
      </c>
      <c r="H6114" t="str">
        <f>_xlfn.XLOOKUP(A6114,'[1]Tissue Data'!$A:$A,'[1]Tissue Data'!K:K)</f>
        <v>Whole Body</v>
      </c>
      <c r="I6114">
        <f>_xlfn.XLOOKUP(A6114,'[1]Tissue Data'!$A:$A,'[1]Tissue Data'!L:L)</f>
        <v>8</v>
      </c>
      <c r="J6114">
        <f>_xlfn.XLOOKUP(A6114,'[1]Tissue Data'!$A:$A,'[1]Tissue Data'!M:M)</f>
        <v>4.43</v>
      </c>
      <c r="K6114" t="s">
        <v>24</v>
      </c>
      <c r="L6114" t="str">
        <f>_xlfn.XLOOKUP(K6114,[2]analyte_order!$B:$B,[2]analyte_order!$C:$C)</f>
        <v>423-41-6</v>
      </c>
      <c r="M6114">
        <f>_xlfn.XLOOKUP(L6114,[2]analyte_order!$C:$C,[2]analyte_order!$E:$E)</f>
        <v>53</v>
      </c>
      <c r="N6114">
        <v>0.123</v>
      </c>
    </row>
    <row r="6115" spans="1:14">
      <c r="A6115" t="s">
        <v>180</v>
      </c>
      <c r="B6115" t="str">
        <f>_xlfn.XLOOKUP(A6115,'[1]Tissue Data'!$A:$A,'[1]Tissue Data'!$C:$C)</f>
        <v>Spill</v>
      </c>
      <c r="C6115" s="2">
        <f>_xlfn.XLOOKUP(A6115,'[1]Tissue Data'!$A:$A,'[1]Tissue Data'!$D:$D)</f>
        <v>44393</v>
      </c>
      <c r="D6115" s="2" t="str">
        <f>_xlfn.XLOOKUP(A6115,'[1]Tissue Data'!$A:$A,'[1]Tissue Data'!$F:$F)</f>
        <v>Fallfish</v>
      </c>
      <c r="E6115" t="str">
        <f>_xlfn.XLOOKUP(A6115,'[1]Tissue Data'!$A:$A,'[1]Tissue Data'!$H:$H)</f>
        <v>Semotilus</v>
      </c>
      <c r="F6115" t="str">
        <f>_xlfn.XLOOKUP(A6115,'[1]Tissue Data'!$A:$A,'[1]Tissue Data'!$I:$I)</f>
        <v>corporalis</v>
      </c>
      <c r="G6115" t="str">
        <f>_xlfn.XLOOKUP(A6115,'[1]Tissue Data'!$A:$A,'[1]Tissue Data'!J:J)</f>
        <v>U</v>
      </c>
      <c r="H6115" t="str">
        <f>_xlfn.XLOOKUP(A6115,'[1]Tissue Data'!$A:$A,'[1]Tissue Data'!K:K)</f>
        <v>Whole Body</v>
      </c>
      <c r="I6115">
        <f>_xlfn.XLOOKUP(A6115,'[1]Tissue Data'!$A:$A,'[1]Tissue Data'!L:L)</f>
        <v>8</v>
      </c>
      <c r="J6115">
        <f>_xlfn.XLOOKUP(A6115,'[1]Tissue Data'!$A:$A,'[1]Tissue Data'!M:M)</f>
        <v>4.43</v>
      </c>
      <c r="K6115" t="s">
        <v>25</v>
      </c>
      <c r="L6115" t="str">
        <f>_xlfn.XLOOKUP(K6115,[2]analyte_order!$B:$B,[2]analyte_order!$C:$C)</f>
        <v>375-73-5</v>
      </c>
      <c r="M6115">
        <f>_xlfn.XLOOKUP(L6115,[2]analyte_order!$C:$C,[2]analyte_order!$E:$E)</f>
        <v>14</v>
      </c>
      <c r="N6115">
        <v>0.246</v>
      </c>
    </row>
    <row r="6116" spans="1:14">
      <c r="A6116" t="s">
        <v>180</v>
      </c>
      <c r="B6116" t="str">
        <f>_xlfn.XLOOKUP(A6116,'[1]Tissue Data'!$A:$A,'[1]Tissue Data'!$C:$C)</f>
        <v>Spill</v>
      </c>
      <c r="C6116" s="2">
        <f>_xlfn.XLOOKUP(A6116,'[1]Tissue Data'!$A:$A,'[1]Tissue Data'!$D:$D)</f>
        <v>44393</v>
      </c>
      <c r="D6116" s="2" t="str">
        <f>_xlfn.XLOOKUP(A6116,'[1]Tissue Data'!$A:$A,'[1]Tissue Data'!$F:$F)</f>
        <v>Fallfish</v>
      </c>
      <c r="E6116" t="str">
        <f>_xlfn.XLOOKUP(A6116,'[1]Tissue Data'!$A:$A,'[1]Tissue Data'!$H:$H)</f>
        <v>Semotilus</v>
      </c>
      <c r="F6116" t="str">
        <f>_xlfn.XLOOKUP(A6116,'[1]Tissue Data'!$A:$A,'[1]Tissue Data'!$I:$I)</f>
        <v>corporalis</v>
      </c>
      <c r="G6116" t="str">
        <f>_xlfn.XLOOKUP(A6116,'[1]Tissue Data'!$A:$A,'[1]Tissue Data'!J:J)</f>
        <v>U</v>
      </c>
      <c r="H6116" t="str">
        <f>_xlfn.XLOOKUP(A6116,'[1]Tissue Data'!$A:$A,'[1]Tissue Data'!K:K)</f>
        <v>Whole Body</v>
      </c>
      <c r="I6116">
        <f>_xlfn.XLOOKUP(A6116,'[1]Tissue Data'!$A:$A,'[1]Tissue Data'!L:L)</f>
        <v>8</v>
      </c>
      <c r="J6116">
        <f>_xlfn.XLOOKUP(A6116,'[1]Tissue Data'!$A:$A,'[1]Tissue Data'!M:M)</f>
        <v>4.43</v>
      </c>
      <c r="K6116" t="s">
        <v>26</v>
      </c>
      <c r="L6116" t="str">
        <f>_xlfn.XLOOKUP(K6116,[2]analyte_order!$B:$B,[2]analyte_order!$C:$C)</f>
        <v>2706-91-4</v>
      </c>
      <c r="M6116">
        <f>_xlfn.XLOOKUP(L6116,[2]analyte_order!$C:$C,[2]analyte_order!$E:$E)</f>
        <v>15</v>
      </c>
      <c r="N6116">
        <v>0.1305</v>
      </c>
    </row>
    <row r="6117" spans="1:14">
      <c r="A6117" t="s">
        <v>180</v>
      </c>
      <c r="B6117" t="str">
        <f>_xlfn.XLOOKUP(A6117,'[1]Tissue Data'!$A:$A,'[1]Tissue Data'!$C:$C)</f>
        <v>Spill</v>
      </c>
      <c r="C6117" s="2">
        <f>_xlfn.XLOOKUP(A6117,'[1]Tissue Data'!$A:$A,'[1]Tissue Data'!$D:$D)</f>
        <v>44393</v>
      </c>
      <c r="D6117" s="2" t="str">
        <f>_xlfn.XLOOKUP(A6117,'[1]Tissue Data'!$A:$A,'[1]Tissue Data'!$F:$F)</f>
        <v>Fallfish</v>
      </c>
      <c r="E6117" t="str">
        <f>_xlfn.XLOOKUP(A6117,'[1]Tissue Data'!$A:$A,'[1]Tissue Data'!$H:$H)</f>
        <v>Semotilus</v>
      </c>
      <c r="F6117" t="str">
        <f>_xlfn.XLOOKUP(A6117,'[1]Tissue Data'!$A:$A,'[1]Tissue Data'!$I:$I)</f>
        <v>corporalis</v>
      </c>
      <c r="G6117" t="str">
        <f>_xlfn.XLOOKUP(A6117,'[1]Tissue Data'!$A:$A,'[1]Tissue Data'!J:J)</f>
        <v>U</v>
      </c>
      <c r="H6117" t="str">
        <f>_xlfn.XLOOKUP(A6117,'[1]Tissue Data'!$A:$A,'[1]Tissue Data'!K:K)</f>
        <v>Whole Body</v>
      </c>
      <c r="I6117">
        <f>_xlfn.XLOOKUP(A6117,'[1]Tissue Data'!$A:$A,'[1]Tissue Data'!L:L)</f>
        <v>8</v>
      </c>
      <c r="J6117">
        <f>_xlfn.XLOOKUP(A6117,'[1]Tissue Data'!$A:$A,'[1]Tissue Data'!M:M)</f>
        <v>4.43</v>
      </c>
      <c r="K6117" t="s">
        <v>27</v>
      </c>
      <c r="L6117" t="str">
        <f>_xlfn.XLOOKUP(K6117,[2]analyte_order!$B:$B,[2]analyte_order!$C:$C)</f>
        <v>355-46-4</v>
      </c>
      <c r="M6117">
        <f>_xlfn.XLOOKUP(L6117,[2]analyte_order!$C:$C,[2]analyte_order!$E:$E)</f>
        <v>16</v>
      </c>
      <c r="N6117">
        <v>17.5</v>
      </c>
    </row>
    <row r="6118" spans="1:14">
      <c r="A6118" t="s">
        <v>180</v>
      </c>
      <c r="B6118" t="str">
        <f>_xlfn.XLOOKUP(A6118,'[1]Tissue Data'!$A:$A,'[1]Tissue Data'!$C:$C)</f>
        <v>Spill</v>
      </c>
      <c r="C6118" s="2">
        <f>_xlfn.XLOOKUP(A6118,'[1]Tissue Data'!$A:$A,'[1]Tissue Data'!$D:$D)</f>
        <v>44393</v>
      </c>
      <c r="D6118" s="2" t="str">
        <f>_xlfn.XLOOKUP(A6118,'[1]Tissue Data'!$A:$A,'[1]Tissue Data'!$F:$F)</f>
        <v>Fallfish</v>
      </c>
      <c r="E6118" t="str">
        <f>_xlfn.XLOOKUP(A6118,'[1]Tissue Data'!$A:$A,'[1]Tissue Data'!$H:$H)</f>
        <v>Semotilus</v>
      </c>
      <c r="F6118" t="str">
        <f>_xlfn.XLOOKUP(A6118,'[1]Tissue Data'!$A:$A,'[1]Tissue Data'!$I:$I)</f>
        <v>corporalis</v>
      </c>
      <c r="G6118" t="str">
        <f>_xlfn.XLOOKUP(A6118,'[1]Tissue Data'!$A:$A,'[1]Tissue Data'!J:J)</f>
        <v>U</v>
      </c>
      <c r="H6118" t="str">
        <f>_xlfn.XLOOKUP(A6118,'[1]Tissue Data'!$A:$A,'[1]Tissue Data'!K:K)</f>
        <v>Whole Body</v>
      </c>
      <c r="I6118">
        <f>_xlfn.XLOOKUP(A6118,'[1]Tissue Data'!$A:$A,'[1]Tissue Data'!L:L)</f>
        <v>8</v>
      </c>
      <c r="J6118">
        <f>_xlfn.XLOOKUP(A6118,'[1]Tissue Data'!$A:$A,'[1]Tissue Data'!M:M)</f>
        <v>4.43</v>
      </c>
      <c r="K6118" t="s">
        <v>28</v>
      </c>
      <c r="L6118" t="str">
        <f>_xlfn.XLOOKUP(K6118,[2]analyte_order!$B:$B,[2]analyte_order!$C:$C)</f>
        <v>375-92-8</v>
      </c>
      <c r="M6118">
        <f>_xlfn.XLOOKUP(L6118,[2]analyte_order!$C:$C,[2]analyte_order!$E:$E)</f>
        <v>17</v>
      </c>
      <c r="N6118">
        <v>3.58</v>
      </c>
    </row>
    <row r="6119" spans="1:14">
      <c r="A6119" t="s">
        <v>180</v>
      </c>
      <c r="B6119" t="str">
        <f>_xlfn.XLOOKUP(A6119,'[1]Tissue Data'!$A:$A,'[1]Tissue Data'!$C:$C)</f>
        <v>Spill</v>
      </c>
      <c r="C6119" s="2">
        <f>_xlfn.XLOOKUP(A6119,'[1]Tissue Data'!$A:$A,'[1]Tissue Data'!$D:$D)</f>
        <v>44393</v>
      </c>
      <c r="D6119" s="2" t="str">
        <f>_xlfn.XLOOKUP(A6119,'[1]Tissue Data'!$A:$A,'[1]Tissue Data'!$F:$F)</f>
        <v>Fallfish</v>
      </c>
      <c r="E6119" t="str">
        <f>_xlfn.XLOOKUP(A6119,'[1]Tissue Data'!$A:$A,'[1]Tissue Data'!$H:$H)</f>
        <v>Semotilus</v>
      </c>
      <c r="F6119" t="str">
        <f>_xlfn.XLOOKUP(A6119,'[1]Tissue Data'!$A:$A,'[1]Tissue Data'!$I:$I)</f>
        <v>corporalis</v>
      </c>
      <c r="G6119" t="str">
        <f>_xlfn.XLOOKUP(A6119,'[1]Tissue Data'!$A:$A,'[1]Tissue Data'!J:J)</f>
        <v>U</v>
      </c>
      <c r="H6119" t="str">
        <f>_xlfn.XLOOKUP(A6119,'[1]Tissue Data'!$A:$A,'[1]Tissue Data'!K:K)</f>
        <v>Whole Body</v>
      </c>
      <c r="I6119">
        <f>_xlfn.XLOOKUP(A6119,'[1]Tissue Data'!$A:$A,'[1]Tissue Data'!L:L)</f>
        <v>8</v>
      </c>
      <c r="J6119">
        <f>_xlfn.XLOOKUP(A6119,'[1]Tissue Data'!$A:$A,'[1]Tissue Data'!M:M)</f>
        <v>4.43</v>
      </c>
      <c r="K6119" t="s">
        <v>29</v>
      </c>
      <c r="L6119" t="str">
        <f>_xlfn.XLOOKUP(K6119,[2]analyte_order!$B:$B,[2]analyte_order!$C:$C)</f>
        <v>1763-23-1</v>
      </c>
      <c r="M6119">
        <f>_xlfn.XLOOKUP(L6119,[2]analyte_order!$C:$C,[2]analyte_order!$E:$E)</f>
        <v>18</v>
      </c>
      <c r="N6119">
        <v>779</v>
      </c>
    </row>
    <row r="6120" spans="1:14">
      <c r="A6120" t="s">
        <v>180</v>
      </c>
      <c r="B6120" t="str">
        <f>_xlfn.XLOOKUP(A6120,'[1]Tissue Data'!$A:$A,'[1]Tissue Data'!$C:$C)</f>
        <v>Spill</v>
      </c>
      <c r="C6120" s="2">
        <f>_xlfn.XLOOKUP(A6120,'[1]Tissue Data'!$A:$A,'[1]Tissue Data'!$D:$D)</f>
        <v>44393</v>
      </c>
      <c r="D6120" s="2" t="str">
        <f>_xlfn.XLOOKUP(A6120,'[1]Tissue Data'!$A:$A,'[1]Tissue Data'!$F:$F)</f>
        <v>Fallfish</v>
      </c>
      <c r="E6120" t="str">
        <f>_xlfn.XLOOKUP(A6120,'[1]Tissue Data'!$A:$A,'[1]Tissue Data'!$H:$H)</f>
        <v>Semotilus</v>
      </c>
      <c r="F6120" t="str">
        <f>_xlfn.XLOOKUP(A6120,'[1]Tissue Data'!$A:$A,'[1]Tissue Data'!$I:$I)</f>
        <v>corporalis</v>
      </c>
      <c r="G6120" t="str">
        <f>_xlfn.XLOOKUP(A6120,'[1]Tissue Data'!$A:$A,'[1]Tissue Data'!J:J)</f>
        <v>U</v>
      </c>
      <c r="H6120" t="str">
        <f>_xlfn.XLOOKUP(A6120,'[1]Tissue Data'!$A:$A,'[1]Tissue Data'!K:K)</f>
        <v>Whole Body</v>
      </c>
      <c r="I6120">
        <f>_xlfn.XLOOKUP(A6120,'[1]Tissue Data'!$A:$A,'[1]Tissue Data'!L:L)</f>
        <v>8</v>
      </c>
      <c r="J6120">
        <f>_xlfn.XLOOKUP(A6120,'[1]Tissue Data'!$A:$A,'[1]Tissue Data'!M:M)</f>
        <v>4.43</v>
      </c>
      <c r="K6120" t="s">
        <v>30</v>
      </c>
      <c r="L6120" t="str">
        <f>_xlfn.XLOOKUP(K6120,[2]analyte_order!$B:$B,[2]analyte_order!$C:$C)</f>
        <v>68259-12-1</v>
      </c>
      <c r="M6120">
        <f>_xlfn.XLOOKUP(L6120,[2]analyte_order!$C:$C,[2]analyte_order!$E:$E)</f>
        <v>19</v>
      </c>
      <c r="N6120">
        <v>0.246</v>
      </c>
    </row>
    <row r="6121" spans="1:14">
      <c r="A6121" t="s">
        <v>180</v>
      </c>
      <c r="B6121" t="str">
        <f>_xlfn.XLOOKUP(A6121,'[1]Tissue Data'!$A:$A,'[1]Tissue Data'!$C:$C)</f>
        <v>Spill</v>
      </c>
      <c r="C6121" s="2">
        <f>_xlfn.XLOOKUP(A6121,'[1]Tissue Data'!$A:$A,'[1]Tissue Data'!$D:$D)</f>
        <v>44393</v>
      </c>
      <c r="D6121" s="2" t="str">
        <f>_xlfn.XLOOKUP(A6121,'[1]Tissue Data'!$A:$A,'[1]Tissue Data'!$F:$F)</f>
        <v>Fallfish</v>
      </c>
      <c r="E6121" t="str">
        <f>_xlfn.XLOOKUP(A6121,'[1]Tissue Data'!$A:$A,'[1]Tissue Data'!$H:$H)</f>
        <v>Semotilus</v>
      </c>
      <c r="F6121" t="str">
        <f>_xlfn.XLOOKUP(A6121,'[1]Tissue Data'!$A:$A,'[1]Tissue Data'!$I:$I)</f>
        <v>corporalis</v>
      </c>
      <c r="G6121" t="str">
        <f>_xlfn.XLOOKUP(A6121,'[1]Tissue Data'!$A:$A,'[1]Tissue Data'!J:J)</f>
        <v>U</v>
      </c>
      <c r="H6121" t="str">
        <f>_xlfn.XLOOKUP(A6121,'[1]Tissue Data'!$A:$A,'[1]Tissue Data'!K:K)</f>
        <v>Whole Body</v>
      </c>
      <c r="I6121">
        <f>_xlfn.XLOOKUP(A6121,'[1]Tissue Data'!$A:$A,'[1]Tissue Data'!L:L)</f>
        <v>8</v>
      </c>
      <c r="J6121">
        <f>_xlfn.XLOOKUP(A6121,'[1]Tissue Data'!$A:$A,'[1]Tissue Data'!M:M)</f>
        <v>4.43</v>
      </c>
      <c r="K6121" t="s">
        <v>31</v>
      </c>
      <c r="L6121" t="str">
        <f>_xlfn.XLOOKUP(K6121,[2]analyte_order!$B:$B,[2]analyte_order!$C:$C)</f>
        <v>335-77-3</v>
      </c>
      <c r="M6121">
        <f>_xlfn.XLOOKUP(L6121,[2]analyte_order!$C:$C,[2]analyte_order!$E:$E)</f>
        <v>20</v>
      </c>
      <c r="N6121">
        <v>0.629</v>
      </c>
    </row>
    <row r="6122" spans="1:14">
      <c r="A6122" t="s">
        <v>180</v>
      </c>
      <c r="B6122" t="str">
        <f>_xlfn.XLOOKUP(A6122,'[1]Tissue Data'!$A:$A,'[1]Tissue Data'!$C:$C)</f>
        <v>Spill</v>
      </c>
      <c r="C6122" s="2">
        <f>_xlfn.XLOOKUP(A6122,'[1]Tissue Data'!$A:$A,'[1]Tissue Data'!$D:$D)</f>
        <v>44393</v>
      </c>
      <c r="D6122" s="2" t="str">
        <f>_xlfn.XLOOKUP(A6122,'[1]Tissue Data'!$A:$A,'[1]Tissue Data'!$F:$F)</f>
        <v>Fallfish</v>
      </c>
      <c r="E6122" t="str">
        <f>_xlfn.XLOOKUP(A6122,'[1]Tissue Data'!$A:$A,'[1]Tissue Data'!$H:$H)</f>
        <v>Semotilus</v>
      </c>
      <c r="F6122" t="str">
        <f>_xlfn.XLOOKUP(A6122,'[1]Tissue Data'!$A:$A,'[1]Tissue Data'!$I:$I)</f>
        <v>corporalis</v>
      </c>
      <c r="G6122" t="str">
        <f>_xlfn.XLOOKUP(A6122,'[1]Tissue Data'!$A:$A,'[1]Tissue Data'!J:J)</f>
        <v>U</v>
      </c>
      <c r="H6122" t="str">
        <f>_xlfn.XLOOKUP(A6122,'[1]Tissue Data'!$A:$A,'[1]Tissue Data'!K:K)</f>
        <v>Whole Body</v>
      </c>
      <c r="I6122">
        <f>_xlfn.XLOOKUP(A6122,'[1]Tissue Data'!$A:$A,'[1]Tissue Data'!L:L)</f>
        <v>8</v>
      </c>
      <c r="J6122">
        <f>_xlfn.XLOOKUP(A6122,'[1]Tissue Data'!$A:$A,'[1]Tissue Data'!M:M)</f>
        <v>4.43</v>
      </c>
      <c r="K6122" t="s">
        <v>32</v>
      </c>
      <c r="L6122" t="str">
        <f>_xlfn.XLOOKUP(K6122,[2]analyte_order!$B:$B,[2]analyte_order!$C:$C)</f>
        <v>79780-39-5</v>
      </c>
      <c r="M6122">
        <f>_xlfn.XLOOKUP(L6122,[2]analyte_order!$C:$C,[2]analyte_order!$E:$E)</f>
        <v>21</v>
      </c>
      <c r="N6122">
        <v>0.26350000000000001</v>
      </c>
    </row>
    <row r="6123" spans="1:14">
      <c r="A6123" t="s">
        <v>180</v>
      </c>
      <c r="B6123" t="str">
        <f>_xlfn.XLOOKUP(A6123,'[1]Tissue Data'!$A:$A,'[1]Tissue Data'!$C:$C)</f>
        <v>Spill</v>
      </c>
      <c r="C6123" s="2">
        <f>_xlfn.XLOOKUP(A6123,'[1]Tissue Data'!$A:$A,'[1]Tissue Data'!$D:$D)</f>
        <v>44393</v>
      </c>
      <c r="D6123" s="2" t="str">
        <f>_xlfn.XLOOKUP(A6123,'[1]Tissue Data'!$A:$A,'[1]Tissue Data'!$F:$F)</f>
        <v>Fallfish</v>
      </c>
      <c r="E6123" t="str">
        <f>_xlfn.XLOOKUP(A6123,'[1]Tissue Data'!$A:$A,'[1]Tissue Data'!$H:$H)</f>
        <v>Semotilus</v>
      </c>
      <c r="F6123" t="str">
        <f>_xlfn.XLOOKUP(A6123,'[1]Tissue Data'!$A:$A,'[1]Tissue Data'!$I:$I)</f>
        <v>corporalis</v>
      </c>
      <c r="G6123" t="str">
        <f>_xlfn.XLOOKUP(A6123,'[1]Tissue Data'!$A:$A,'[1]Tissue Data'!J:J)</f>
        <v>U</v>
      </c>
      <c r="H6123" t="str">
        <f>_xlfn.XLOOKUP(A6123,'[1]Tissue Data'!$A:$A,'[1]Tissue Data'!K:K)</f>
        <v>Whole Body</v>
      </c>
      <c r="I6123">
        <f>_xlfn.XLOOKUP(A6123,'[1]Tissue Data'!$A:$A,'[1]Tissue Data'!L:L)</f>
        <v>8</v>
      </c>
      <c r="J6123">
        <f>_xlfn.XLOOKUP(A6123,'[1]Tissue Data'!$A:$A,'[1]Tissue Data'!M:M)</f>
        <v>4.43</v>
      </c>
      <c r="K6123" t="s">
        <v>33</v>
      </c>
      <c r="L6123" t="str">
        <f>_xlfn.XLOOKUP(K6123,[2]analyte_order!$B:$B,[2]analyte_order!$C:$C)</f>
        <v>777011-38-8</v>
      </c>
      <c r="M6123">
        <f>_xlfn.XLOOKUP(L6123,[2]analyte_order!$C:$C,[2]analyte_order!$E:$E)</f>
        <v>54</v>
      </c>
      <c r="N6123">
        <v>0.14949999999999999</v>
      </c>
    </row>
    <row r="6124" spans="1:14">
      <c r="A6124" t="s">
        <v>180</v>
      </c>
      <c r="B6124" t="str">
        <f>_xlfn.XLOOKUP(A6124,'[1]Tissue Data'!$A:$A,'[1]Tissue Data'!$C:$C)</f>
        <v>Spill</v>
      </c>
      <c r="C6124" s="2">
        <f>_xlfn.XLOOKUP(A6124,'[1]Tissue Data'!$A:$A,'[1]Tissue Data'!$D:$D)</f>
        <v>44393</v>
      </c>
      <c r="D6124" s="2" t="str">
        <f>_xlfn.XLOOKUP(A6124,'[1]Tissue Data'!$A:$A,'[1]Tissue Data'!$F:$F)</f>
        <v>Fallfish</v>
      </c>
      <c r="E6124" t="str">
        <f>_xlfn.XLOOKUP(A6124,'[1]Tissue Data'!$A:$A,'[1]Tissue Data'!$H:$H)</f>
        <v>Semotilus</v>
      </c>
      <c r="F6124" t="str">
        <f>_xlfn.XLOOKUP(A6124,'[1]Tissue Data'!$A:$A,'[1]Tissue Data'!$I:$I)</f>
        <v>corporalis</v>
      </c>
      <c r="G6124" t="str">
        <f>_xlfn.XLOOKUP(A6124,'[1]Tissue Data'!$A:$A,'[1]Tissue Data'!J:J)</f>
        <v>U</v>
      </c>
      <c r="H6124" t="str">
        <f>_xlfn.XLOOKUP(A6124,'[1]Tissue Data'!$A:$A,'[1]Tissue Data'!K:K)</f>
        <v>Whole Body</v>
      </c>
      <c r="I6124">
        <f>_xlfn.XLOOKUP(A6124,'[1]Tissue Data'!$A:$A,'[1]Tissue Data'!L:L)</f>
        <v>8</v>
      </c>
      <c r="J6124">
        <f>_xlfn.XLOOKUP(A6124,'[1]Tissue Data'!$A:$A,'[1]Tissue Data'!M:M)</f>
        <v>4.43</v>
      </c>
      <c r="K6124" t="s">
        <v>34</v>
      </c>
      <c r="L6124" t="str">
        <f>_xlfn.XLOOKUP(K6124,[2]analyte_order!$B:$B,[2]analyte_order!$C:$C)</f>
        <v>646-83-3</v>
      </c>
      <c r="M6124">
        <f>_xlfn.XLOOKUP(L6124,[2]analyte_order!$C:$C,[2]analyte_order!$E:$E)</f>
        <v>55</v>
      </c>
      <c r="N6124">
        <v>0.23300000000000001</v>
      </c>
    </row>
    <row r="6125" spans="1:14">
      <c r="A6125" t="s">
        <v>180</v>
      </c>
      <c r="B6125" t="str">
        <f>_xlfn.XLOOKUP(A6125,'[1]Tissue Data'!$A:$A,'[1]Tissue Data'!$C:$C)</f>
        <v>Spill</v>
      </c>
      <c r="C6125" s="2">
        <f>_xlfn.XLOOKUP(A6125,'[1]Tissue Data'!$A:$A,'[1]Tissue Data'!$D:$D)</f>
        <v>44393</v>
      </c>
      <c r="D6125" s="2" t="str">
        <f>_xlfn.XLOOKUP(A6125,'[1]Tissue Data'!$A:$A,'[1]Tissue Data'!$F:$F)</f>
        <v>Fallfish</v>
      </c>
      <c r="E6125" t="str">
        <f>_xlfn.XLOOKUP(A6125,'[1]Tissue Data'!$A:$A,'[1]Tissue Data'!$H:$H)</f>
        <v>Semotilus</v>
      </c>
      <c r="F6125" t="str">
        <f>_xlfn.XLOOKUP(A6125,'[1]Tissue Data'!$A:$A,'[1]Tissue Data'!$I:$I)</f>
        <v>corporalis</v>
      </c>
      <c r="G6125" t="str">
        <f>_xlfn.XLOOKUP(A6125,'[1]Tissue Data'!$A:$A,'[1]Tissue Data'!J:J)</f>
        <v>U</v>
      </c>
      <c r="H6125" t="str">
        <f>_xlfn.XLOOKUP(A6125,'[1]Tissue Data'!$A:$A,'[1]Tissue Data'!K:K)</f>
        <v>Whole Body</v>
      </c>
      <c r="I6125">
        <f>_xlfn.XLOOKUP(A6125,'[1]Tissue Data'!$A:$A,'[1]Tissue Data'!L:L)</f>
        <v>8</v>
      </c>
      <c r="J6125">
        <f>_xlfn.XLOOKUP(A6125,'[1]Tissue Data'!$A:$A,'[1]Tissue Data'!M:M)</f>
        <v>4.43</v>
      </c>
      <c r="K6125" t="s">
        <v>35</v>
      </c>
      <c r="L6125" t="str">
        <f>_xlfn.XLOOKUP(K6125,[2]analyte_order!$B:$B,[2]analyte_order!$C:$C)</f>
        <v>30334-69-1</v>
      </c>
      <c r="M6125">
        <f>_xlfn.XLOOKUP(L6125,[2]analyte_order!$C:$C,[2]analyte_order!$E:$E)</f>
        <v>51</v>
      </c>
      <c r="N6125">
        <v>192</v>
      </c>
    </row>
    <row r="6126" spans="1:14">
      <c r="A6126" t="s">
        <v>180</v>
      </c>
      <c r="B6126" t="str">
        <f>_xlfn.XLOOKUP(A6126,'[1]Tissue Data'!$A:$A,'[1]Tissue Data'!$C:$C)</f>
        <v>Spill</v>
      </c>
      <c r="C6126" s="2">
        <f>_xlfn.XLOOKUP(A6126,'[1]Tissue Data'!$A:$A,'[1]Tissue Data'!$D:$D)</f>
        <v>44393</v>
      </c>
      <c r="D6126" s="2" t="str">
        <f>_xlfn.XLOOKUP(A6126,'[1]Tissue Data'!$A:$A,'[1]Tissue Data'!$F:$F)</f>
        <v>Fallfish</v>
      </c>
      <c r="E6126" t="str">
        <f>_xlfn.XLOOKUP(A6126,'[1]Tissue Data'!$A:$A,'[1]Tissue Data'!$H:$H)</f>
        <v>Semotilus</v>
      </c>
      <c r="F6126" t="str">
        <f>_xlfn.XLOOKUP(A6126,'[1]Tissue Data'!$A:$A,'[1]Tissue Data'!$I:$I)</f>
        <v>corporalis</v>
      </c>
      <c r="G6126" t="str">
        <f>_xlfn.XLOOKUP(A6126,'[1]Tissue Data'!$A:$A,'[1]Tissue Data'!J:J)</f>
        <v>U</v>
      </c>
      <c r="H6126" t="str">
        <f>_xlfn.XLOOKUP(A6126,'[1]Tissue Data'!$A:$A,'[1]Tissue Data'!K:K)</f>
        <v>Whole Body</v>
      </c>
      <c r="I6126">
        <f>_xlfn.XLOOKUP(A6126,'[1]Tissue Data'!$A:$A,'[1]Tissue Data'!L:L)</f>
        <v>8</v>
      </c>
      <c r="J6126">
        <f>_xlfn.XLOOKUP(A6126,'[1]Tissue Data'!$A:$A,'[1]Tissue Data'!M:M)</f>
        <v>4.43</v>
      </c>
      <c r="K6126" t="s">
        <v>36</v>
      </c>
      <c r="L6126" t="str">
        <f>_xlfn.XLOOKUP(K6126,[2]analyte_order!$B:$B,[2]analyte_order!$C:$C)</f>
        <v>41997-13-1</v>
      </c>
      <c r="M6126">
        <f>_xlfn.XLOOKUP(L6126,[2]analyte_order!$C:$C,[2]analyte_order!$E:$E)</f>
        <v>52</v>
      </c>
      <c r="N6126">
        <v>1340</v>
      </c>
    </row>
    <row r="6127" spans="1:14">
      <c r="A6127" t="s">
        <v>180</v>
      </c>
      <c r="B6127" t="str">
        <f>_xlfn.XLOOKUP(A6127,'[1]Tissue Data'!$A:$A,'[1]Tissue Data'!$C:$C)</f>
        <v>Spill</v>
      </c>
      <c r="C6127" s="2">
        <f>_xlfn.XLOOKUP(A6127,'[1]Tissue Data'!$A:$A,'[1]Tissue Data'!$D:$D)</f>
        <v>44393</v>
      </c>
      <c r="D6127" s="2" t="str">
        <f>_xlfn.XLOOKUP(A6127,'[1]Tissue Data'!$A:$A,'[1]Tissue Data'!$F:$F)</f>
        <v>Fallfish</v>
      </c>
      <c r="E6127" t="str">
        <f>_xlfn.XLOOKUP(A6127,'[1]Tissue Data'!$A:$A,'[1]Tissue Data'!$H:$H)</f>
        <v>Semotilus</v>
      </c>
      <c r="F6127" t="str">
        <f>_xlfn.XLOOKUP(A6127,'[1]Tissue Data'!$A:$A,'[1]Tissue Data'!$I:$I)</f>
        <v>corporalis</v>
      </c>
      <c r="G6127" t="str">
        <f>_xlfn.XLOOKUP(A6127,'[1]Tissue Data'!$A:$A,'[1]Tissue Data'!J:J)</f>
        <v>U</v>
      </c>
      <c r="H6127" t="str">
        <f>_xlfn.XLOOKUP(A6127,'[1]Tissue Data'!$A:$A,'[1]Tissue Data'!K:K)</f>
        <v>Whole Body</v>
      </c>
      <c r="I6127">
        <f>_xlfn.XLOOKUP(A6127,'[1]Tissue Data'!$A:$A,'[1]Tissue Data'!L:L)</f>
        <v>8</v>
      </c>
      <c r="J6127">
        <f>_xlfn.XLOOKUP(A6127,'[1]Tissue Data'!$A:$A,'[1]Tissue Data'!M:M)</f>
        <v>4.43</v>
      </c>
      <c r="K6127" t="s">
        <v>37</v>
      </c>
      <c r="L6127" t="str">
        <f>_xlfn.XLOOKUP(K6127,[2]analyte_order!$B:$B,[2]analyte_order!$C:$C)</f>
        <v>754-91-6</v>
      </c>
      <c r="M6127">
        <f>_xlfn.XLOOKUP(L6127,[2]analyte_order!$C:$C,[2]analyte_order!$E:$E)</f>
        <v>28</v>
      </c>
      <c r="N6127">
        <v>26.1</v>
      </c>
    </row>
    <row r="6128" spans="1:14">
      <c r="A6128" t="s">
        <v>180</v>
      </c>
      <c r="B6128" t="str">
        <f>_xlfn.XLOOKUP(A6128,'[1]Tissue Data'!$A:$A,'[1]Tissue Data'!$C:$C)</f>
        <v>Spill</v>
      </c>
      <c r="C6128" s="2">
        <f>_xlfn.XLOOKUP(A6128,'[1]Tissue Data'!$A:$A,'[1]Tissue Data'!$D:$D)</f>
        <v>44393</v>
      </c>
      <c r="D6128" s="2" t="str">
        <f>_xlfn.XLOOKUP(A6128,'[1]Tissue Data'!$A:$A,'[1]Tissue Data'!$F:$F)</f>
        <v>Fallfish</v>
      </c>
      <c r="E6128" t="str">
        <f>_xlfn.XLOOKUP(A6128,'[1]Tissue Data'!$A:$A,'[1]Tissue Data'!$H:$H)</f>
        <v>Semotilus</v>
      </c>
      <c r="F6128" t="str">
        <f>_xlfn.XLOOKUP(A6128,'[1]Tissue Data'!$A:$A,'[1]Tissue Data'!$I:$I)</f>
        <v>corporalis</v>
      </c>
      <c r="G6128" t="str">
        <f>_xlfn.XLOOKUP(A6128,'[1]Tissue Data'!$A:$A,'[1]Tissue Data'!J:J)</f>
        <v>U</v>
      </c>
      <c r="H6128" t="str">
        <f>_xlfn.XLOOKUP(A6128,'[1]Tissue Data'!$A:$A,'[1]Tissue Data'!K:K)</f>
        <v>Whole Body</v>
      </c>
      <c r="I6128">
        <f>_xlfn.XLOOKUP(A6128,'[1]Tissue Data'!$A:$A,'[1]Tissue Data'!L:L)</f>
        <v>8</v>
      </c>
      <c r="J6128">
        <f>_xlfn.XLOOKUP(A6128,'[1]Tissue Data'!$A:$A,'[1]Tissue Data'!M:M)</f>
        <v>4.43</v>
      </c>
      <c r="K6128" t="s">
        <v>38</v>
      </c>
      <c r="L6128" t="str">
        <f>_xlfn.XLOOKUP(K6128,[2]analyte_order!$B:$B,[2]analyte_order!$C:$C)</f>
        <v>31506-32-8</v>
      </c>
      <c r="M6128">
        <f>_xlfn.XLOOKUP(L6128,[2]analyte_order!$C:$C,[2]analyte_order!$E:$E)</f>
        <v>30</v>
      </c>
      <c r="N6128">
        <v>9.5000000000000001E-2</v>
      </c>
    </row>
    <row r="6129" spans="1:14">
      <c r="A6129" t="s">
        <v>180</v>
      </c>
      <c r="B6129" t="str">
        <f>_xlfn.XLOOKUP(A6129,'[1]Tissue Data'!$A:$A,'[1]Tissue Data'!$C:$C)</f>
        <v>Spill</v>
      </c>
      <c r="C6129" s="2">
        <f>_xlfn.XLOOKUP(A6129,'[1]Tissue Data'!$A:$A,'[1]Tissue Data'!$D:$D)</f>
        <v>44393</v>
      </c>
      <c r="D6129" s="2" t="str">
        <f>_xlfn.XLOOKUP(A6129,'[1]Tissue Data'!$A:$A,'[1]Tissue Data'!$F:$F)</f>
        <v>Fallfish</v>
      </c>
      <c r="E6129" t="str">
        <f>_xlfn.XLOOKUP(A6129,'[1]Tissue Data'!$A:$A,'[1]Tissue Data'!$H:$H)</f>
        <v>Semotilus</v>
      </c>
      <c r="F6129" t="str">
        <f>_xlfn.XLOOKUP(A6129,'[1]Tissue Data'!$A:$A,'[1]Tissue Data'!$I:$I)</f>
        <v>corporalis</v>
      </c>
      <c r="G6129" t="str">
        <f>_xlfn.XLOOKUP(A6129,'[1]Tissue Data'!$A:$A,'[1]Tissue Data'!J:J)</f>
        <v>U</v>
      </c>
      <c r="H6129" t="str">
        <f>_xlfn.XLOOKUP(A6129,'[1]Tissue Data'!$A:$A,'[1]Tissue Data'!K:K)</f>
        <v>Whole Body</v>
      </c>
      <c r="I6129">
        <f>_xlfn.XLOOKUP(A6129,'[1]Tissue Data'!$A:$A,'[1]Tissue Data'!L:L)</f>
        <v>8</v>
      </c>
      <c r="J6129">
        <f>_xlfn.XLOOKUP(A6129,'[1]Tissue Data'!$A:$A,'[1]Tissue Data'!M:M)</f>
        <v>4.43</v>
      </c>
      <c r="K6129" t="s">
        <v>39</v>
      </c>
      <c r="L6129" t="str">
        <f>_xlfn.XLOOKUP(K6129,[2]analyte_order!$B:$B,[2]analyte_order!$C:$C)</f>
        <v>4151-50-2</v>
      </c>
      <c r="M6129">
        <f>_xlfn.XLOOKUP(L6129,[2]analyte_order!$C:$C,[2]analyte_order!$E:$E)</f>
        <v>31</v>
      </c>
      <c r="N6129">
        <v>0.246</v>
      </c>
    </row>
    <row r="6130" spans="1:14">
      <c r="A6130" t="s">
        <v>180</v>
      </c>
      <c r="B6130" t="str">
        <f>_xlfn.XLOOKUP(A6130,'[1]Tissue Data'!$A:$A,'[1]Tissue Data'!$C:$C)</f>
        <v>Spill</v>
      </c>
      <c r="C6130" s="2">
        <f>_xlfn.XLOOKUP(A6130,'[1]Tissue Data'!$A:$A,'[1]Tissue Data'!$D:$D)</f>
        <v>44393</v>
      </c>
      <c r="D6130" s="2" t="str">
        <f>_xlfn.XLOOKUP(A6130,'[1]Tissue Data'!$A:$A,'[1]Tissue Data'!$F:$F)</f>
        <v>Fallfish</v>
      </c>
      <c r="E6130" t="str">
        <f>_xlfn.XLOOKUP(A6130,'[1]Tissue Data'!$A:$A,'[1]Tissue Data'!$H:$H)</f>
        <v>Semotilus</v>
      </c>
      <c r="F6130" t="str">
        <f>_xlfn.XLOOKUP(A6130,'[1]Tissue Data'!$A:$A,'[1]Tissue Data'!$I:$I)</f>
        <v>corporalis</v>
      </c>
      <c r="G6130" t="str">
        <f>_xlfn.XLOOKUP(A6130,'[1]Tissue Data'!$A:$A,'[1]Tissue Data'!J:J)</f>
        <v>U</v>
      </c>
      <c r="H6130" t="str">
        <f>_xlfn.XLOOKUP(A6130,'[1]Tissue Data'!$A:$A,'[1]Tissue Data'!K:K)</f>
        <v>Whole Body</v>
      </c>
      <c r="I6130">
        <f>_xlfn.XLOOKUP(A6130,'[1]Tissue Data'!$A:$A,'[1]Tissue Data'!L:L)</f>
        <v>8</v>
      </c>
      <c r="J6130">
        <f>_xlfn.XLOOKUP(A6130,'[1]Tissue Data'!$A:$A,'[1]Tissue Data'!M:M)</f>
        <v>4.43</v>
      </c>
      <c r="K6130" t="s">
        <v>40</v>
      </c>
      <c r="L6130" t="str">
        <f>_xlfn.XLOOKUP(K6130,[2]analyte_order!$B:$B,[2]analyte_order!$C:$C)</f>
        <v>2806-24-8</v>
      </c>
      <c r="M6130">
        <f>_xlfn.XLOOKUP(L6130,[2]analyte_order!$C:$C,[2]analyte_order!$E:$E)</f>
        <v>29</v>
      </c>
      <c r="N6130">
        <v>0.246</v>
      </c>
    </row>
    <row r="6131" spans="1:14">
      <c r="A6131" t="s">
        <v>180</v>
      </c>
      <c r="B6131" t="str">
        <f>_xlfn.XLOOKUP(A6131,'[1]Tissue Data'!$A:$A,'[1]Tissue Data'!$C:$C)</f>
        <v>Spill</v>
      </c>
      <c r="C6131" s="2">
        <f>_xlfn.XLOOKUP(A6131,'[1]Tissue Data'!$A:$A,'[1]Tissue Data'!$D:$D)</f>
        <v>44393</v>
      </c>
      <c r="D6131" s="2" t="str">
        <f>_xlfn.XLOOKUP(A6131,'[1]Tissue Data'!$A:$A,'[1]Tissue Data'!$F:$F)</f>
        <v>Fallfish</v>
      </c>
      <c r="E6131" t="str">
        <f>_xlfn.XLOOKUP(A6131,'[1]Tissue Data'!$A:$A,'[1]Tissue Data'!$H:$H)</f>
        <v>Semotilus</v>
      </c>
      <c r="F6131" t="str">
        <f>_xlfn.XLOOKUP(A6131,'[1]Tissue Data'!$A:$A,'[1]Tissue Data'!$I:$I)</f>
        <v>corporalis</v>
      </c>
      <c r="G6131" t="str">
        <f>_xlfn.XLOOKUP(A6131,'[1]Tissue Data'!$A:$A,'[1]Tissue Data'!J:J)</f>
        <v>U</v>
      </c>
      <c r="H6131" t="str">
        <f>_xlfn.XLOOKUP(A6131,'[1]Tissue Data'!$A:$A,'[1]Tissue Data'!K:K)</f>
        <v>Whole Body</v>
      </c>
      <c r="I6131">
        <f>_xlfn.XLOOKUP(A6131,'[1]Tissue Data'!$A:$A,'[1]Tissue Data'!L:L)</f>
        <v>8</v>
      </c>
      <c r="J6131">
        <f>_xlfn.XLOOKUP(A6131,'[1]Tissue Data'!$A:$A,'[1]Tissue Data'!M:M)</f>
        <v>4.43</v>
      </c>
      <c r="K6131" t="s">
        <v>41</v>
      </c>
      <c r="L6131" t="str">
        <f>_xlfn.XLOOKUP(K6131,[2]analyte_order!$B:$B,[2]analyte_order!$C:$C)</f>
        <v>2355-31-9</v>
      </c>
      <c r="M6131">
        <f>_xlfn.XLOOKUP(L6131,[2]analyte_order!$C:$C,[2]analyte_order!$E:$E)</f>
        <v>26</v>
      </c>
      <c r="N6131">
        <v>0.124</v>
      </c>
    </row>
    <row r="6132" spans="1:14">
      <c r="A6132" t="s">
        <v>180</v>
      </c>
      <c r="B6132" t="str">
        <f>_xlfn.XLOOKUP(A6132,'[1]Tissue Data'!$A:$A,'[1]Tissue Data'!$C:$C)</f>
        <v>Spill</v>
      </c>
      <c r="C6132" s="2">
        <f>_xlfn.XLOOKUP(A6132,'[1]Tissue Data'!$A:$A,'[1]Tissue Data'!$D:$D)</f>
        <v>44393</v>
      </c>
      <c r="D6132" s="2" t="str">
        <f>_xlfn.XLOOKUP(A6132,'[1]Tissue Data'!$A:$A,'[1]Tissue Data'!$F:$F)</f>
        <v>Fallfish</v>
      </c>
      <c r="E6132" t="str">
        <f>_xlfn.XLOOKUP(A6132,'[1]Tissue Data'!$A:$A,'[1]Tissue Data'!$H:$H)</f>
        <v>Semotilus</v>
      </c>
      <c r="F6132" t="str">
        <f>_xlfn.XLOOKUP(A6132,'[1]Tissue Data'!$A:$A,'[1]Tissue Data'!$I:$I)</f>
        <v>corporalis</v>
      </c>
      <c r="G6132" t="str">
        <f>_xlfn.XLOOKUP(A6132,'[1]Tissue Data'!$A:$A,'[1]Tissue Data'!J:J)</f>
        <v>U</v>
      </c>
      <c r="H6132" t="str">
        <f>_xlfn.XLOOKUP(A6132,'[1]Tissue Data'!$A:$A,'[1]Tissue Data'!K:K)</f>
        <v>Whole Body</v>
      </c>
      <c r="I6132">
        <f>_xlfn.XLOOKUP(A6132,'[1]Tissue Data'!$A:$A,'[1]Tissue Data'!L:L)</f>
        <v>8</v>
      </c>
      <c r="J6132">
        <f>_xlfn.XLOOKUP(A6132,'[1]Tissue Data'!$A:$A,'[1]Tissue Data'!M:M)</f>
        <v>4.43</v>
      </c>
      <c r="K6132" t="s">
        <v>42</v>
      </c>
      <c r="L6132" t="str">
        <f>_xlfn.XLOOKUP(K6132,[2]analyte_order!$B:$B,[2]analyte_order!$C:$C)</f>
        <v>2991-50-6</v>
      </c>
      <c r="M6132">
        <f>_xlfn.XLOOKUP(L6132,[2]analyte_order!$C:$C,[2]analyte_order!$E:$E)</f>
        <v>27</v>
      </c>
      <c r="N6132">
        <v>0.123</v>
      </c>
    </row>
    <row r="6133" spans="1:14">
      <c r="A6133" t="s">
        <v>180</v>
      </c>
      <c r="B6133" t="str">
        <f>_xlfn.XLOOKUP(A6133,'[1]Tissue Data'!$A:$A,'[1]Tissue Data'!$C:$C)</f>
        <v>Spill</v>
      </c>
      <c r="C6133" s="2">
        <f>_xlfn.XLOOKUP(A6133,'[1]Tissue Data'!$A:$A,'[1]Tissue Data'!$D:$D)</f>
        <v>44393</v>
      </c>
      <c r="D6133" s="2" t="str">
        <f>_xlfn.XLOOKUP(A6133,'[1]Tissue Data'!$A:$A,'[1]Tissue Data'!$F:$F)</f>
        <v>Fallfish</v>
      </c>
      <c r="E6133" t="str">
        <f>_xlfn.XLOOKUP(A6133,'[1]Tissue Data'!$A:$A,'[1]Tissue Data'!$H:$H)</f>
        <v>Semotilus</v>
      </c>
      <c r="F6133" t="str">
        <f>_xlfn.XLOOKUP(A6133,'[1]Tissue Data'!$A:$A,'[1]Tissue Data'!$I:$I)</f>
        <v>corporalis</v>
      </c>
      <c r="G6133" t="str">
        <f>_xlfn.XLOOKUP(A6133,'[1]Tissue Data'!$A:$A,'[1]Tissue Data'!J:J)</f>
        <v>U</v>
      </c>
      <c r="H6133" t="str">
        <f>_xlfn.XLOOKUP(A6133,'[1]Tissue Data'!$A:$A,'[1]Tissue Data'!K:K)</f>
        <v>Whole Body</v>
      </c>
      <c r="I6133">
        <f>_xlfn.XLOOKUP(A6133,'[1]Tissue Data'!$A:$A,'[1]Tissue Data'!L:L)</f>
        <v>8</v>
      </c>
      <c r="J6133">
        <f>_xlfn.XLOOKUP(A6133,'[1]Tissue Data'!$A:$A,'[1]Tissue Data'!M:M)</f>
        <v>4.43</v>
      </c>
      <c r="K6133" t="s">
        <v>43</v>
      </c>
      <c r="L6133" t="str">
        <f>_xlfn.XLOOKUP(K6133,[2]analyte_order!$B:$B,[2]analyte_order!$C:$C)</f>
        <v>757124-72-4</v>
      </c>
      <c r="M6133">
        <f>_xlfn.XLOOKUP(L6133,[2]analyte_order!$C:$C,[2]analyte_order!$E:$E)</f>
        <v>22</v>
      </c>
      <c r="N6133">
        <v>0.123</v>
      </c>
    </row>
    <row r="6134" spans="1:14">
      <c r="A6134" t="s">
        <v>180</v>
      </c>
      <c r="B6134" t="str">
        <f>_xlfn.XLOOKUP(A6134,'[1]Tissue Data'!$A:$A,'[1]Tissue Data'!$C:$C)</f>
        <v>Spill</v>
      </c>
      <c r="C6134" s="2">
        <f>_xlfn.XLOOKUP(A6134,'[1]Tissue Data'!$A:$A,'[1]Tissue Data'!$D:$D)</f>
        <v>44393</v>
      </c>
      <c r="D6134" s="2" t="str">
        <f>_xlfn.XLOOKUP(A6134,'[1]Tissue Data'!$A:$A,'[1]Tissue Data'!$F:$F)</f>
        <v>Fallfish</v>
      </c>
      <c r="E6134" t="str">
        <f>_xlfn.XLOOKUP(A6134,'[1]Tissue Data'!$A:$A,'[1]Tissue Data'!$H:$H)</f>
        <v>Semotilus</v>
      </c>
      <c r="F6134" t="str">
        <f>_xlfn.XLOOKUP(A6134,'[1]Tissue Data'!$A:$A,'[1]Tissue Data'!$I:$I)</f>
        <v>corporalis</v>
      </c>
      <c r="G6134" t="str">
        <f>_xlfn.XLOOKUP(A6134,'[1]Tissue Data'!$A:$A,'[1]Tissue Data'!J:J)</f>
        <v>U</v>
      </c>
      <c r="H6134" t="str">
        <f>_xlfn.XLOOKUP(A6134,'[1]Tissue Data'!$A:$A,'[1]Tissue Data'!K:K)</f>
        <v>Whole Body</v>
      </c>
      <c r="I6134">
        <f>_xlfn.XLOOKUP(A6134,'[1]Tissue Data'!$A:$A,'[1]Tissue Data'!L:L)</f>
        <v>8</v>
      </c>
      <c r="J6134">
        <f>_xlfn.XLOOKUP(A6134,'[1]Tissue Data'!$A:$A,'[1]Tissue Data'!M:M)</f>
        <v>4.43</v>
      </c>
      <c r="K6134" t="s">
        <v>44</v>
      </c>
      <c r="L6134" t="str">
        <f>_xlfn.XLOOKUP(K6134,[2]analyte_order!$B:$B,[2]analyte_order!$C:$C)</f>
        <v>27619-97-2</v>
      </c>
      <c r="M6134">
        <f>_xlfn.XLOOKUP(L6134,[2]analyte_order!$C:$C,[2]analyte_order!$E:$E)</f>
        <v>23</v>
      </c>
      <c r="N6134">
        <v>0.83799999999999997</v>
      </c>
    </row>
    <row r="6135" spans="1:14">
      <c r="A6135" t="s">
        <v>180</v>
      </c>
      <c r="B6135" t="str">
        <f>_xlfn.XLOOKUP(A6135,'[1]Tissue Data'!$A:$A,'[1]Tissue Data'!$C:$C)</f>
        <v>Spill</v>
      </c>
      <c r="C6135" s="2">
        <f>_xlfn.XLOOKUP(A6135,'[1]Tissue Data'!$A:$A,'[1]Tissue Data'!$D:$D)</f>
        <v>44393</v>
      </c>
      <c r="D6135" s="2" t="str">
        <f>_xlfn.XLOOKUP(A6135,'[1]Tissue Data'!$A:$A,'[1]Tissue Data'!$F:$F)</f>
        <v>Fallfish</v>
      </c>
      <c r="E6135" t="str">
        <f>_xlfn.XLOOKUP(A6135,'[1]Tissue Data'!$A:$A,'[1]Tissue Data'!$H:$H)</f>
        <v>Semotilus</v>
      </c>
      <c r="F6135" t="str">
        <f>_xlfn.XLOOKUP(A6135,'[1]Tissue Data'!$A:$A,'[1]Tissue Data'!$I:$I)</f>
        <v>corporalis</v>
      </c>
      <c r="G6135" t="str">
        <f>_xlfn.XLOOKUP(A6135,'[1]Tissue Data'!$A:$A,'[1]Tissue Data'!J:J)</f>
        <v>U</v>
      </c>
      <c r="H6135" t="str">
        <f>_xlfn.XLOOKUP(A6135,'[1]Tissue Data'!$A:$A,'[1]Tissue Data'!K:K)</f>
        <v>Whole Body</v>
      </c>
      <c r="I6135">
        <f>_xlfn.XLOOKUP(A6135,'[1]Tissue Data'!$A:$A,'[1]Tissue Data'!L:L)</f>
        <v>8</v>
      </c>
      <c r="J6135">
        <f>_xlfn.XLOOKUP(A6135,'[1]Tissue Data'!$A:$A,'[1]Tissue Data'!M:M)</f>
        <v>4.43</v>
      </c>
      <c r="K6135" t="s">
        <v>45</v>
      </c>
      <c r="L6135" t="str">
        <f>_xlfn.XLOOKUP(K6135,[2]analyte_order!$B:$B,[2]analyte_order!$C:$C)</f>
        <v>39108-34-4</v>
      </c>
      <c r="M6135">
        <f>_xlfn.XLOOKUP(L6135,[2]analyte_order!$C:$C,[2]analyte_order!$E:$E)</f>
        <v>24</v>
      </c>
      <c r="N6135">
        <v>19.100000000000001</v>
      </c>
    </row>
    <row r="6136" spans="1:14">
      <c r="A6136" t="s">
        <v>180</v>
      </c>
      <c r="B6136" t="str">
        <f>_xlfn.XLOOKUP(A6136,'[1]Tissue Data'!$A:$A,'[1]Tissue Data'!$C:$C)</f>
        <v>Spill</v>
      </c>
      <c r="C6136" s="2">
        <f>_xlfn.XLOOKUP(A6136,'[1]Tissue Data'!$A:$A,'[1]Tissue Data'!$D:$D)</f>
        <v>44393</v>
      </c>
      <c r="D6136" s="2" t="str">
        <f>_xlfn.XLOOKUP(A6136,'[1]Tissue Data'!$A:$A,'[1]Tissue Data'!$F:$F)</f>
        <v>Fallfish</v>
      </c>
      <c r="E6136" t="str">
        <f>_xlfn.XLOOKUP(A6136,'[1]Tissue Data'!$A:$A,'[1]Tissue Data'!$H:$H)</f>
        <v>Semotilus</v>
      </c>
      <c r="F6136" t="str">
        <f>_xlfn.XLOOKUP(A6136,'[1]Tissue Data'!$A:$A,'[1]Tissue Data'!$I:$I)</f>
        <v>corporalis</v>
      </c>
      <c r="G6136" t="str">
        <f>_xlfn.XLOOKUP(A6136,'[1]Tissue Data'!$A:$A,'[1]Tissue Data'!J:J)</f>
        <v>U</v>
      </c>
      <c r="H6136" t="str">
        <f>_xlfn.XLOOKUP(A6136,'[1]Tissue Data'!$A:$A,'[1]Tissue Data'!K:K)</f>
        <v>Whole Body</v>
      </c>
      <c r="I6136">
        <f>_xlfn.XLOOKUP(A6136,'[1]Tissue Data'!$A:$A,'[1]Tissue Data'!L:L)</f>
        <v>8</v>
      </c>
      <c r="J6136">
        <f>_xlfn.XLOOKUP(A6136,'[1]Tissue Data'!$A:$A,'[1]Tissue Data'!M:M)</f>
        <v>4.43</v>
      </c>
      <c r="K6136" t="s">
        <v>46</v>
      </c>
      <c r="L6136" t="str">
        <f>_xlfn.XLOOKUP(K6136,[2]analyte_order!$B:$B,[2]analyte_order!$C:$C)</f>
        <v>120226-60-0</v>
      </c>
      <c r="M6136">
        <f>_xlfn.XLOOKUP(L6136,[2]analyte_order!$C:$C,[2]analyte_order!$E:$E)</f>
        <v>25</v>
      </c>
      <c r="N6136">
        <v>1.36</v>
      </c>
    </row>
    <row r="6137" spans="1:14">
      <c r="A6137" t="s">
        <v>180</v>
      </c>
      <c r="B6137" t="str">
        <f>_xlfn.XLOOKUP(A6137,'[1]Tissue Data'!$A:$A,'[1]Tissue Data'!$C:$C)</f>
        <v>Spill</v>
      </c>
      <c r="C6137" s="2">
        <f>_xlfn.XLOOKUP(A6137,'[1]Tissue Data'!$A:$A,'[1]Tissue Data'!$D:$D)</f>
        <v>44393</v>
      </c>
      <c r="D6137" s="2" t="str">
        <f>_xlfn.XLOOKUP(A6137,'[1]Tissue Data'!$A:$A,'[1]Tissue Data'!$F:$F)</f>
        <v>Fallfish</v>
      </c>
      <c r="E6137" t="str">
        <f>_xlfn.XLOOKUP(A6137,'[1]Tissue Data'!$A:$A,'[1]Tissue Data'!$H:$H)</f>
        <v>Semotilus</v>
      </c>
      <c r="F6137" t="str">
        <f>_xlfn.XLOOKUP(A6137,'[1]Tissue Data'!$A:$A,'[1]Tissue Data'!$I:$I)</f>
        <v>corporalis</v>
      </c>
      <c r="G6137" t="str">
        <f>_xlfn.XLOOKUP(A6137,'[1]Tissue Data'!$A:$A,'[1]Tissue Data'!J:J)</f>
        <v>U</v>
      </c>
      <c r="H6137" t="str">
        <f>_xlfn.XLOOKUP(A6137,'[1]Tissue Data'!$A:$A,'[1]Tissue Data'!K:K)</f>
        <v>Whole Body</v>
      </c>
      <c r="I6137">
        <f>_xlfn.XLOOKUP(A6137,'[1]Tissue Data'!$A:$A,'[1]Tissue Data'!L:L)</f>
        <v>8</v>
      </c>
      <c r="J6137">
        <f>_xlfn.XLOOKUP(A6137,'[1]Tissue Data'!$A:$A,'[1]Tissue Data'!M:M)</f>
        <v>4.43</v>
      </c>
      <c r="K6137" t="s">
        <v>47</v>
      </c>
      <c r="L6137" t="str">
        <f>_xlfn.XLOOKUP(K6137,[2]analyte_order!$B:$B,[2]analyte_order!$C:$C)</f>
        <v>356-02-5</v>
      </c>
      <c r="M6137">
        <f>_xlfn.XLOOKUP(L6137,[2]analyte_order!$C:$C,[2]analyte_order!$E:$E)</f>
        <v>38</v>
      </c>
      <c r="N6137">
        <v>0.246</v>
      </c>
    </row>
    <row r="6138" spans="1:14">
      <c r="A6138" t="s">
        <v>180</v>
      </c>
      <c r="B6138" t="str">
        <f>_xlfn.XLOOKUP(A6138,'[1]Tissue Data'!$A:$A,'[1]Tissue Data'!$C:$C)</f>
        <v>Spill</v>
      </c>
      <c r="C6138" s="2">
        <f>_xlfn.XLOOKUP(A6138,'[1]Tissue Data'!$A:$A,'[1]Tissue Data'!$D:$D)</f>
        <v>44393</v>
      </c>
      <c r="D6138" s="2" t="str">
        <f>_xlfn.XLOOKUP(A6138,'[1]Tissue Data'!$A:$A,'[1]Tissue Data'!$F:$F)</f>
        <v>Fallfish</v>
      </c>
      <c r="E6138" t="str">
        <f>_xlfn.XLOOKUP(A6138,'[1]Tissue Data'!$A:$A,'[1]Tissue Data'!$H:$H)</f>
        <v>Semotilus</v>
      </c>
      <c r="F6138" t="str">
        <f>_xlfn.XLOOKUP(A6138,'[1]Tissue Data'!$A:$A,'[1]Tissue Data'!$I:$I)</f>
        <v>corporalis</v>
      </c>
      <c r="G6138" t="str">
        <f>_xlfn.XLOOKUP(A6138,'[1]Tissue Data'!$A:$A,'[1]Tissue Data'!J:J)</f>
        <v>U</v>
      </c>
      <c r="H6138" t="str">
        <f>_xlfn.XLOOKUP(A6138,'[1]Tissue Data'!$A:$A,'[1]Tissue Data'!K:K)</f>
        <v>Whole Body</v>
      </c>
      <c r="I6138">
        <f>_xlfn.XLOOKUP(A6138,'[1]Tissue Data'!$A:$A,'[1]Tissue Data'!L:L)</f>
        <v>8</v>
      </c>
      <c r="J6138">
        <f>_xlfn.XLOOKUP(A6138,'[1]Tissue Data'!$A:$A,'[1]Tissue Data'!M:M)</f>
        <v>4.43</v>
      </c>
      <c r="K6138" t="s">
        <v>48</v>
      </c>
      <c r="L6138" t="str">
        <f>_xlfn.XLOOKUP(K6138,[2]analyte_order!$B:$B,[2]analyte_order!$C:$C)</f>
        <v>914637-49-3</v>
      </c>
      <c r="M6138">
        <f>_xlfn.XLOOKUP(L6138,[2]analyte_order!$C:$C,[2]analyte_order!$E:$E)</f>
        <v>39</v>
      </c>
      <c r="N6138">
        <v>0.69299999999999995</v>
      </c>
    </row>
    <row r="6139" spans="1:14">
      <c r="A6139" t="s">
        <v>180</v>
      </c>
      <c r="B6139" t="str">
        <f>_xlfn.XLOOKUP(A6139,'[1]Tissue Data'!$A:$A,'[1]Tissue Data'!$C:$C)</f>
        <v>Spill</v>
      </c>
      <c r="C6139" s="2">
        <f>_xlfn.XLOOKUP(A6139,'[1]Tissue Data'!$A:$A,'[1]Tissue Data'!$D:$D)</f>
        <v>44393</v>
      </c>
      <c r="D6139" s="2" t="str">
        <f>_xlfn.XLOOKUP(A6139,'[1]Tissue Data'!$A:$A,'[1]Tissue Data'!$F:$F)</f>
        <v>Fallfish</v>
      </c>
      <c r="E6139" t="str">
        <f>_xlfn.XLOOKUP(A6139,'[1]Tissue Data'!$A:$A,'[1]Tissue Data'!$H:$H)</f>
        <v>Semotilus</v>
      </c>
      <c r="F6139" t="str">
        <f>_xlfn.XLOOKUP(A6139,'[1]Tissue Data'!$A:$A,'[1]Tissue Data'!$I:$I)</f>
        <v>corporalis</v>
      </c>
      <c r="G6139" t="str">
        <f>_xlfn.XLOOKUP(A6139,'[1]Tissue Data'!$A:$A,'[1]Tissue Data'!J:J)</f>
        <v>U</v>
      </c>
      <c r="H6139" t="str">
        <f>_xlfn.XLOOKUP(A6139,'[1]Tissue Data'!$A:$A,'[1]Tissue Data'!K:K)</f>
        <v>Whole Body</v>
      </c>
      <c r="I6139">
        <f>_xlfn.XLOOKUP(A6139,'[1]Tissue Data'!$A:$A,'[1]Tissue Data'!L:L)</f>
        <v>8</v>
      </c>
      <c r="J6139">
        <f>_xlfn.XLOOKUP(A6139,'[1]Tissue Data'!$A:$A,'[1]Tissue Data'!M:M)</f>
        <v>4.43</v>
      </c>
      <c r="K6139" t="s">
        <v>49</v>
      </c>
      <c r="L6139" t="str">
        <f>_xlfn.XLOOKUP(K6139,[2]analyte_order!$B:$B,[2]analyte_order!$C:$C)</f>
        <v>812-70-4</v>
      </c>
      <c r="M6139">
        <f>_xlfn.XLOOKUP(L6139,[2]analyte_order!$C:$C,[2]analyte_order!$E:$E)</f>
        <v>40</v>
      </c>
      <c r="N6139">
        <v>0.246</v>
      </c>
    </row>
    <row r="6140" spans="1:14">
      <c r="A6140" t="s">
        <v>180</v>
      </c>
      <c r="B6140" t="str">
        <f>_xlfn.XLOOKUP(A6140,'[1]Tissue Data'!$A:$A,'[1]Tissue Data'!$C:$C)</f>
        <v>Spill</v>
      </c>
      <c r="C6140" s="2">
        <f>_xlfn.XLOOKUP(A6140,'[1]Tissue Data'!$A:$A,'[1]Tissue Data'!$D:$D)</f>
        <v>44393</v>
      </c>
      <c r="D6140" s="2" t="str">
        <f>_xlfn.XLOOKUP(A6140,'[1]Tissue Data'!$A:$A,'[1]Tissue Data'!$F:$F)</f>
        <v>Fallfish</v>
      </c>
      <c r="E6140" t="str">
        <f>_xlfn.XLOOKUP(A6140,'[1]Tissue Data'!$A:$A,'[1]Tissue Data'!$H:$H)</f>
        <v>Semotilus</v>
      </c>
      <c r="F6140" t="str">
        <f>_xlfn.XLOOKUP(A6140,'[1]Tissue Data'!$A:$A,'[1]Tissue Data'!$I:$I)</f>
        <v>corporalis</v>
      </c>
      <c r="G6140" t="str">
        <f>_xlfn.XLOOKUP(A6140,'[1]Tissue Data'!$A:$A,'[1]Tissue Data'!J:J)</f>
        <v>U</v>
      </c>
      <c r="H6140" t="str">
        <f>_xlfn.XLOOKUP(A6140,'[1]Tissue Data'!$A:$A,'[1]Tissue Data'!K:K)</f>
        <v>Whole Body</v>
      </c>
      <c r="I6140">
        <f>_xlfn.XLOOKUP(A6140,'[1]Tissue Data'!$A:$A,'[1]Tissue Data'!L:L)</f>
        <v>8</v>
      </c>
      <c r="J6140">
        <f>_xlfn.XLOOKUP(A6140,'[1]Tissue Data'!$A:$A,'[1]Tissue Data'!M:M)</f>
        <v>4.43</v>
      </c>
      <c r="K6140" t="s">
        <v>50</v>
      </c>
      <c r="L6140" t="str">
        <f>_xlfn.XLOOKUP(K6140,[2]analyte_order!$B:$B,[2]analyte_order!$C:$C)</f>
        <v>53826-12-3</v>
      </c>
      <c r="M6140">
        <f>_xlfn.XLOOKUP(L6140,[2]analyte_order!$C:$C,[2]analyte_order!$E:$E)</f>
        <v>41</v>
      </c>
      <c r="N6140">
        <v>0.246</v>
      </c>
    </row>
    <row r="6141" spans="1:14">
      <c r="A6141" t="s">
        <v>180</v>
      </c>
      <c r="B6141" t="str">
        <f>_xlfn.XLOOKUP(A6141,'[1]Tissue Data'!$A:$A,'[1]Tissue Data'!$C:$C)</f>
        <v>Spill</v>
      </c>
      <c r="C6141" s="2">
        <f>_xlfn.XLOOKUP(A6141,'[1]Tissue Data'!$A:$A,'[1]Tissue Data'!$D:$D)</f>
        <v>44393</v>
      </c>
      <c r="D6141" s="2" t="str">
        <f>_xlfn.XLOOKUP(A6141,'[1]Tissue Data'!$A:$A,'[1]Tissue Data'!$F:$F)</f>
        <v>Fallfish</v>
      </c>
      <c r="E6141" t="str">
        <f>_xlfn.XLOOKUP(A6141,'[1]Tissue Data'!$A:$A,'[1]Tissue Data'!$H:$H)</f>
        <v>Semotilus</v>
      </c>
      <c r="F6141" t="str">
        <f>_xlfn.XLOOKUP(A6141,'[1]Tissue Data'!$A:$A,'[1]Tissue Data'!$I:$I)</f>
        <v>corporalis</v>
      </c>
      <c r="G6141" t="str">
        <f>_xlfn.XLOOKUP(A6141,'[1]Tissue Data'!$A:$A,'[1]Tissue Data'!J:J)</f>
        <v>U</v>
      </c>
      <c r="H6141" t="str">
        <f>_xlfn.XLOOKUP(A6141,'[1]Tissue Data'!$A:$A,'[1]Tissue Data'!K:K)</f>
        <v>Whole Body</v>
      </c>
      <c r="I6141">
        <f>_xlfn.XLOOKUP(A6141,'[1]Tissue Data'!$A:$A,'[1]Tissue Data'!L:L)</f>
        <v>8</v>
      </c>
      <c r="J6141">
        <f>_xlfn.XLOOKUP(A6141,'[1]Tissue Data'!$A:$A,'[1]Tissue Data'!M:M)</f>
        <v>4.43</v>
      </c>
      <c r="K6141" t="s">
        <v>51</v>
      </c>
      <c r="L6141" t="str">
        <f>_xlfn.XLOOKUP(K6141,[2]analyte_order!$B:$B,[2]analyte_order!$C:$C)</f>
        <v>27854-31-5</v>
      </c>
      <c r="M6141">
        <f>_xlfn.XLOOKUP(L6141,[2]analyte_order!$C:$C,[2]analyte_order!$E:$E)</f>
        <v>42</v>
      </c>
      <c r="N6141">
        <v>0.123</v>
      </c>
    </row>
    <row r="6142" spans="1:14">
      <c r="A6142" t="s">
        <v>180</v>
      </c>
      <c r="B6142" t="str">
        <f>_xlfn.XLOOKUP(A6142,'[1]Tissue Data'!$A:$A,'[1]Tissue Data'!$C:$C)</f>
        <v>Spill</v>
      </c>
      <c r="C6142" s="2">
        <f>_xlfn.XLOOKUP(A6142,'[1]Tissue Data'!$A:$A,'[1]Tissue Data'!$D:$D)</f>
        <v>44393</v>
      </c>
      <c r="D6142" s="2" t="str">
        <f>_xlfn.XLOOKUP(A6142,'[1]Tissue Data'!$A:$A,'[1]Tissue Data'!$F:$F)</f>
        <v>Fallfish</v>
      </c>
      <c r="E6142" t="str">
        <f>_xlfn.XLOOKUP(A6142,'[1]Tissue Data'!$A:$A,'[1]Tissue Data'!$H:$H)</f>
        <v>Semotilus</v>
      </c>
      <c r="F6142" t="str">
        <f>_xlfn.XLOOKUP(A6142,'[1]Tissue Data'!$A:$A,'[1]Tissue Data'!$I:$I)</f>
        <v>corporalis</v>
      </c>
      <c r="G6142" t="str">
        <f>_xlfn.XLOOKUP(A6142,'[1]Tissue Data'!$A:$A,'[1]Tissue Data'!J:J)</f>
        <v>U</v>
      </c>
      <c r="H6142" t="str">
        <f>_xlfn.XLOOKUP(A6142,'[1]Tissue Data'!$A:$A,'[1]Tissue Data'!K:K)</f>
        <v>Whole Body</v>
      </c>
      <c r="I6142">
        <f>_xlfn.XLOOKUP(A6142,'[1]Tissue Data'!$A:$A,'[1]Tissue Data'!L:L)</f>
        <v>8</v>
      </c>
      <c r="J6142">
        <f>_xlfn.XLOOKUP(A6142,'[1]Tissue Data'!$A:$A,'[1]Tissue Data'!M:M)</f>
        <v>4.43</v>
      </c>
      <c r="K6142" t="s">
        <v>52</v>
      </c>
      <c r="L6142" t="str">
        <f>_xlfn.XLOOKUP(K6142,[2]analyte_order!$B:$B,[2]analyte_order!$C:$C)</f>
        <v>53826-13-4</v>
      </c>
      <c r="M6142">
        <f>_xlfn.XLOOKUP(L6142,[2]analyte_order!$C:$C,[2]analyte_order!$E:$E)</f>
        <v>43</v>
      </c>
      <c r="N6142">
        <v>0.246</v>
      </c>
    </row>
    <row r="6143" spans="1:14">
      <c r="A6143" t="s">
        <v>180</v>
      </c>
      <c r="B6143" t="str">
        <f>_xlfn.XLOOKUP(A6143,'[1]Tissue Data'!$A:$A,'[1]Tissue Data'!$C:$C)</f>
        <v>Spill</v>
      </c>
      <c r="C6143" s="2">
        <f>_xlfn.XLOOKUP(A6143,'[1]Tissue Data'!$A:$A,'[1]Tissue Data'!$D:$D)</f>
        <v>44393</v>
      </c>
      <c r="D6143" s="2" t="str">
        <f>_xlfn.XLOOKUP(A6143,'[1]Tissue Data'!$A:$A,'[1]Tissue Data'!$F:$F)</f>
        <v>Fallfish</v>
      </c>
      <c r="E6143" t="str">
        <f>_xlfn.XLOOKUP(A6143,'[1]Tissue Data'!$A:$A,'[1]Tissue Data'!$H:$H)</f>
        <v>Semotilus</v>
      </c>
      <c r="F6143" t="str">
        <f>_xlfn.XLOOKUP(A6143,'[1]Tissue Data'!$A:$A,'[1]Tissue Data'!$I:$I)</f>
        <v>corporalis</v>
      </c>
      <c r="G6143" t="str">
        <f>_xlfn.XLOOKUP(A6143,'[1]Tissue Data'!$A:$A,'[1]Tissue Data'!J:J)</f>
        <v>U</v>
      </c>
      <c r="H6143" t="str">
        <f>_xlfn.XLOOKUP(A6143,'[1]Tissue Data'!$A:$A,'[1]Tissue Data'!K:K)</f>
        <v>Whole Body</v>
      </c>
      <c r="I6143">
        <f>_xlfn.XLOOKUP(A6143,'[1]Tissue Data'!$A:$A,'[1]Tissue Data'!L:L)</f>
        <v>8</v>
      </c>
      <c r="J6143">
        <f>_xlfn.XLOOKUP(A6143,'[1]Tissue Data'!$A:$A,'[1]Tissue Data'!M:M)</f>
        <v>4.43</v>
      </c>
      <c r="K6143" t="s">
        <v>53</v>
      </c>
      <c r="L6143" t="str">
        <f>_xlfn.XLOOKUP(K6143,[2]analyte_order!$B:$B,[2]analyte_order!$C:$C)</f>
        <v>161094-75-3</v>
      </c>
      <c r="M6143">
        <f>_xlfn.XLOOKUP(L6143,[2]analyte_order!$C:$C,[2]analyte_order!$E:$E)</f>
        <v>44</v>
      </c>
      <c r="N6143">
        <v>9.6500000000000002E-2</v>
      </c>
    </row>
    <row r="6144" spans="1:14">
      <c r="A6144" t="s">
        <v>180</v>
      </c>
      <c r="B6144" t="str">
        <f>_xlfn.XLOOKUP(A6144,'[1]Tissue Data'!$A:$A,'[1]Tissue Data'!$C:$C)</f>
        <v>Spill</v>
      </c>
      <c r="C6144" s="2">
        <f>_xlfn.XLOOKUP(A6144,'[1]Tissue Data'!$A:$A,'[1]Tissue Data'!$D:$D)</f>
        <v>44393</v>
      </c>
      <c r="D6144" s="2" t="str">
        <f>_xlfn.XLOOKUP(A6144,'[1]Tissue Data'!$A:$A,'[1]Tissue Data'!$F:$F)</f>
        <v>Fallfish</v>
      </c>
      <c r="E6144" t="str">
        <f>_xlfn.XLOOKUP(A6144,'[1]Tissue Data'!$A:$A,'[1]Tissue Data'!$H:$H)</f>
        <v>Semotilus</v>
      </c>
      <c r="F6144" t="str">
        <f>_xlfn.XLOOKUP(A6144,'[1]Tissue Data'!$A:$A,'[1]Tissue Data'!$I:$I)</f>
        <v>corporalis</v>
      </c>
      <c r="G6144" t="str">
        <f>_xlfn.XLOOKUP(A6144,'[1]Tissue Data'!$A:$A,'[1]Tissue Data'!J:J)</f>
        <v>U</v>
      </c>
      <c r="H6144" t="str">
        <f>_xlfn.XLOOKUP(A6144,'[1]Tissue Data'!$A:$A,'[1]Tissue Data'!K:K)</f>
        <v>Whole Body</v>
      </c>
      <c r="I6144">
        <f>_xlfn.XLOOKUP(A6144,'[1]Tissue Data'!$A:$A,'[1]Tissue Data'!L:L)</f>
        <v>8</v>
      </c>
      <c r="J6144">
        <f>_xlfn.XLOOKUP(A6144,'[1]Tissue Data'!$A:$A,'[1]Tissue Data'!M:M)</f>
        <v>4.43</v>
      </c>
      <c r="K6144" t="s">
        <v>54</v>
      </c>
      <c r="L6144" t="str">
        <f>_xlfn.XLOOKUP(K6144,[2]analyte_order!$B:$B,[2]analyte_order!$C:$C)</f>
        <v>70887-84-2</v>
      </c>
      <c r="M6144">
        <f>_xlfn.XLOOKUP(L6144,[2]analyte_order!$C:$C,[2]analyte_order!$E:$E)</f>
        <v>45</v>
      </c>
      <c r="N6144">
        <v>7.4499999999999997E-2</v>
      </c>
    </row>
    <row r="6145" spans="1:14">
      <c r="A6145" t="s">
        <v>180</v>
      </c>
      <c r="B6145" t="str">
        <f>_xlfn.XLOOKUP(A6145,'[1]Tissue Data'!$A:$A,'[1]Tissue Data'!$C:$C)</f>
        <v>Spill</v>
      </c>
      <c r="C6145" s="2">
        <f>_xlfn.XLOOKUP(A6145,'[1]Tissue Data'!$A:$A,'[1]Tissue Data'!$D:$D)</f>
        <v>44393</v>
      </c>
      <c r="D6145" s="2" t="str">
        <f>_xlfn.XLOOKUP(A6145,'[1]Tissue Data'!$A:$A,'[1]Tissue Data'!$F:$F)</f>
        <v>Fallfish</v>
      </c>
      <c r="E6145" t="str">
        <f>_xlfn.XLOOKUP(A6145,'[1]Tissue Data'!$A:$A,'[1]Tissue Data'!$H:$H)</f>
        <v>Semotilus</v>
      </c>
      <c r="F6145" t="str">
        <f>_xlfn.XLOOKUP(A6145,'[1]Tissue Data'!$A:$A,'[1]Tissue Data'!$I:$I)</f>
        <v>corporalis</v>
      </c>
      <c r="G6145" t="str">
        <f>_xlfn.XLOOKUP(A6145,'[1]Tissue Data'!$A:$A,'[1]Tissue Data'!J:J)</f>
        <v>U</v>
      </c>
      <c r="H6145" t="str">
        <f>_xlfn.XLOOKUP(A6145,'[1]Tissue Data'!$A:$A,'[1]Tissue Data'!K:K)</f>
        <v>Whole Body</v>
      </c>
      <c r="I6145">
        <f>_xlfn.XLOOKUP(A6145,'[1]Tissue Data'!$A:$A,'[1]Tissue Data'!L:L)</f>
        <v>8</v>
      </c>
      <c r="J6145">
        <f>_xlfn.XLOOKUP(A6145,'[1]Tissue Data'!$A:$A,'[1]Tissue Data'!M:M)</f>
        <v>4.43</v>
      </c>
      <c r="K6145" t="s">
        <v>55</v>
      </c>
      <c r="L6145" t="str">
        <f>_xlfn.XLOOKUP(K6145,[2]analyte_order!$B:$B,[2]analyte_order!$C:$C)</f>
        <v>919005-14-4</v>
      </c>
      <c r="M6145">
        <f>_xlfn.XLOOKUP(L6145,[2]analyte_order!$C:$C,[2]analyte_order!$E:$E)</f>
        <v>35</v>
      </c>
      <c r="N6145">
        <v>0.1085</v>
      </c>
    </row>
    <row r="6146" spans="1:14">
      <c r="A6146" t="s">
        <v>180</v>
      </c>
      <c r="B6146" t="str">
        <f>_xlfn.XLOOKUP(A6146,'[1]Tissue Data'!$A:$A,'[1]Tissue Data'!$C:$C)</f>
        <v>Spill</v>
      </c>
      <c r="C6146" s="2">
        <f>_xlfn.XLOOKUP(A6146,'[1]Tissue Data'!$A:$A,'[1]Tissue Data'!$D:$D)</f>
        <v>44393</v>
      </c>
      <c r="D6146" s="2" t="str">
        <f>_xlfn.XLOOKUP(A6146,'[1]Tissue Data'!$A:$A,'[1]Tissue Data'!$F:$F)</f>
        <v>Fallfish</v>
      </c>
      <c r="E6146" t="str">
        <f>_xlfn.XLOOKUP(A6146,'[1]Tissue Data'!$A:$A,'[1]Tissue Data'!$H:$H)</f>
        <v>Semotilus</v>
      </c>
      <c r="F6146" t="str">
        <f>_xlfn.XLOOKUP(A6146,'[1]Tissue Data'!$A:$A,'[1]Tissue Data'!$I:$I)</f>
        <v>corporalis</v>
      </c>
      <c r="G6146" t="str">
        <f>_xlfn.XLOOKUP(A6146,'[1]Tissue Data'!$A:$A,'[1]Tissue Data'!J:J)</f>
        <v>U</v>
      </c>
      <c r="H6146" t="str">
        <f>_xlfn.XLOOKUP(A6146,'[1]Tissue Data'!$A:$A,'[1]Tissue Data'!K:K)</f>
        <v>Whole Body</v>
      </c>
      <c r="I6146">
        <f>_xlfn.XLOOKUP(A6146,'[1]Tissue Data'!$A:$A,'[1]Tissue Data'!L:L)</f>
        <v>8</v>
      </c>
      <c r="J6146">
        <f>_xlfn.XLOOKUP(A6146,'[1]Tissue Data'!$A:$A,'[1]Tissue Data'!M:M)</f>
        <v>4.43</v>
      </c>
      <c r="K6146" t="s">
        <v>56</v>
      </c>
      <c r="L6146" t="str">
        <f>_xlfn.XLOOKUP(K6146,[2]analyte_order!$B:$B,[2]analyte_order!$C:$C)</f>
        <v>756426-58-1</v>
      </c>
      <c r="M6146">
        <f>_xlfn.XLOOKUP(L6146,[2]analyte_order!$C:$C,[2]analyte_order!$E:$E)</f>
        <v>36</v>
      </c>
      <c r="N6146">
        <v>0.246</v>
      </c>
    </row>
    <row r="6147" spans="1:14">
      <c r="A6147" t="s">
        <v>180</v>
      </c>
      <c r="B6147" t="str">
        <f>_xlfn.XLOOKUP(A6147,'[1]Tissue Data'!$A:$A,'[1]Tissue Data'!$C:$C)</f>
        <v>Spill</v>
      </c>
      <c r="C6147" s="2">
        <f>_xlfn.XLOOKUP(A6147,'[1]Tissue Data'!$A:$A,'[1]Tissue Data'!$D:$D)</f>
        <v>44393</v>
      </c>
      <c r="D6147" s="2" t="str">
        <f>_xlfn.XLOOKUP(A6147,'[1]Tissue Data'!$A:$A,'[1]Tissue Data'!$F:$F)</f>
        <v>Fallfish</v>
      </c>
      <c r="E6147" t="str">
        <f>_xlfn.XLOOKUP(A6147,'[1]Tissue Data'!$A:$A,'[1]Tissue Data'!$H:$H)</f>
        <v>Semotilus</v>
      </c>
      <c r="F6147" t="str">
        <f>_xlfn.XLOOKUP(A6147,'[1]Tissue Data'!$A:$A,'[1]Tissue Data'!$I:$I)</f>
        <v>corporalis</v>
      </c>
      <c r="G6147" t="str">
        <f>_xlfn.XLOOKUP(A6147,'[1]Tissue Data'!$A:$A,'[1]Tissue Data'!J:J)</f>
        <v>U</v>
      </c>
      <c r="H6147" t="str">
        <f>_xlfn.XLOOKUP(A6147,'[1]Tissue Data'!$A:$A,'[1]Tissue Data'!K:K)</f>
        <v>Whole Body</v>
      </c>
      <c r="I6147">
        <f>_xlfn.XLOOKUP(A6147,'[1]Tissue Data'!$A:$A,'[1]Tissue Data'!L:L)</f>
        <v>8</v>
      </c>
      <c r="J6147">
        <f>_xlfn.XLOOKUP(A6147,'[1]Tissue Data'!$A:$A,'[1]Tissue Data'!M:M)</f>
        <v>4.43</v>
      </c>
      <c r="K6147" t="s">
        <v>57</v>
      </c>
      <c r="L6147" t="str">
        <f>_xlfn.XLOOKUP(K6147,[2]analyte_order!$B:$B,[2]analyte_order!$C:$C)</f>
        <v>763051-92-9</v>
      </c>
      <c r="M6147">
        <f>_xlfn.XLOOKUP(L6147,[2]analyte_order!$C:$C,[2]analyte_order!$E:$E)</f>
        <v>37</v>
      </c>
      <c r="N6147">
        <v>0.246</v>
      </c>
    </row>
    <row r="6148" spans="1:14">
      <c r="A6148" t="s">
        <v>180</v>
      </c>
      <c r="B6148" t="str">
        <f>_xlfn.XLOOKUP(A6148,'[1]Tissue Data'!$A:$A,'[1]Tissue Data'!$C:$C)</f>
        <v>Spill</v>
      </c>
      <c r="C6148" s="2">
        <f>_xlfn.XLOOKUP(A6148,'[1]Tissue Data'!$A:$A,'[1]Tissue Data'!$D:$D)</f>
        <v>44393</v>
      </c>
      <c r="D6148" s="2" t="str">
        <f>_xlfn.XLOOKUP(A6148,'[1]Tissue Data'!$A:$A,'[1]Tissue Data'!$F:$F)</f>
        <v>Fallfish</v>
      </c>
      <c r="E6148" t="str">
        <f>_xlfn.XLOOKUP(A6148,'[1]Tissue Data'!$A:$A,'[1]Tissue Data'!$H:$H)</f>
        <v>Semotilus</v>
      </c>
      <c r="F6148" t="str">
        <f>_xlfn.XLOOKUP(A6148,'[1]Tissue Data'!$A:$A,'[1]Tissue Data'!$I:$I)</f>
        <v>corporalis</v>
      </c>
      <c r="G6148" t="str">
        <f>_xlfn.XLOOKUP(A6148,'[1]Tissue Data'!$A:$A,'[1]Tissue Data'!J:J)</f>
        <v>U</v>
      </c>
      <c r="H6148" t="str">
        <f>_xlfn.XLOOKUP(A6148,'[1]Tissue Data'!$A:$A,'[1]Tissue Data'!K:K)</f>
        <v>Whole Body</v>
      </c>
      <c r="I6148">
        <f>_xlfn.XLOOKUP(A6148,'[1]Tissue Data'!$A:$A,'[1]Tissue Data'!L:L)</f>
        <v>8</v>
      </c>
      <c r="J6148">
        <f>_xlfn.XLOOKUP(A6148,'[1]Tissue Data'!$A:$A,'[1]Tissue Data'!M:M)</f>
        <v>4.43</v>
      </c>
      <c r="K6148" t="s">
        <v>58</v>
      </c>
      <c r="L6148" t="str">
        <f>_xlfn.XLOOKUP(K6148,[2]analyte_order!$B:$B,[2]analyte_order!$C:$C)</f>
        <v>13252-13-6</v>
      </c>
      <c r="M6148">
        <f>_xlfn.XLOOKUP(L6148,[2]analyte_order!$C:$C,[2]analyte_order!$E:$E)</f>
        <v>34</v>
      </c>
      <c r="N6148">
        <v>0.17649999999999999</v>
      </c>
    </row>
    <row r="6149" spans="1:14">
      <c r="A6149" t="s">
        <v>180</v>
      </c>
      <c r="B6149" t="str">
        <f>_xlfn.XLOOKUP(A6149,'[1]Tissue Data'!$A:$A,'[1]Tissue Data'!$C:$C)</f>
        <v>Spill</v>
      </c>
      <c r="C6149" s="2">
        <f>_xlfn.XLOOKUP(A6149,'[1]Tissue Data'!$A:$A,'[1]Tissue Data'!$D:$D)</f>
        <v>44393</v>
      </c>
      <c r="D6149" s="2" t="str">
        <f>_xlfn.XLOOKUP(A6149,'[1]Tissue Data'!$A:$A,'[1]Tissue Data'!$F:$F)</f>
        <v>Fallfish</v>
      </c>
      <c r="E6149" t="str">
        <f>_xlfn.XLOOKUP(A6149,'[1]Tissue Data'!$A:$A,'[1]Tissue Data'!$H:$H)</f>
        <v>Semotilus</v>
      </c>
      <c r="F6149" t="str">
        <f>_xlfn.XLOOKUP(A6149,'[1]Tissue Data'!$A:$A,'[1]Tissue Data'!$I:$I)</f>
        <v>corporalis</v>
      </c>
      <c r="G6149" t="str">
        <f>_xlfn.XLOOKUP(A6149,'[1]Tissue Data'!$A:$A,'[1]Tissue Data'!J:J)</f>
        <v>U</v>
      </c>
      <c r="H6149" t="str">
        <f>_xlfn.XLOOKUP(A6149,'[1]Tissue Data'!$A:$A,'[1]Tissue Data'!K:K)</f>
        <v>Whole Body</v>
      </c>
      <c r="I6149">
        <f>_xlfn.XLOOKUP(A6149,'[1]Tissue Data'!$A:$A,'[1]Tissue Data'!L:L)</f>
        <v>8</v>
      </c>
      <c r="J6149">
        <f>_xlfn.XLOOKUP(A6149,'[1]Tissue Data'!$A:$A,'[1]Tissue Data'!M:M)</f>
        <v>4.43</v>
      </c>
      <c r="K6149" t="s">
        <v>59</v>
      </c>
      <c r="L6149" t="str">
        <f>_xlfn.XLOOKUP(K6149,[2]analyte_order!$B:$B,[2]analyte_order!$C:$C)</f>
        <v>57677-95-9</v>
      </c>
      <c r="M6149">
        <f>_xlfn.XLOOKUP(L6149,[2]analyte_order!$C:$C,[2]analyte_order!$E:$E)</f>
        <v>46</v>
      </c>
      <c r="N6149">
        <v>0.246</v>
      </c>
    </row>
    <row r="6150" spans="1:14">
      <c r="A6150" t="s">
        <v>180</v>
      </c>
      <c r="B6150" t="str">
        <f>_xlfn.XLOOKUP(A6150,'[1]Tissue Data'!$A:$A,'[1]Tissue Data'!$C:$C)</f>
        <v>Spill</v>
      </c>
      <c r="C6150" s="2">
        <f>_xlfn.XLOOKUP(A6150,'[1]Tissue Data'!$A:$A,'[1]Tissue Data'!$D:$D)</f>
        <v>44393</v>
      </c>
      <c r="D6150" s="2" t="str">
        <f>_xlfn.XLOOKUP(A6150,'[1]Tissue Data'!$A:$A,'[1]Tissue Data'!$F:$F)</f>
        <v>Fallfish</v>
      </c>
      <c r="E6150" t="str">
        <f>_xlfn.XLOOKUP(A6150,'[1]Tissue Data'!$A:$A,'[1]Tissue Data'!$H:$H)</f>
        <v>Semotilus</v>
      </c>
      <c r="F6150" t="str">
        <f>_xlfn.XLOOKUP(A6150,'[1]Tissue Data'!$A:$A,'[1]Tissue Data'!$I:$I)</f>
        <v>corporalis</v>
      </c>
      <c r="G6150" t="str">
        <f>_xlfn.XLOOKUP(A6150,'[1]Tissue Data'!$A:$A,'[1]Tissue Data'!J:J)</f>
        <v>U</v>
      </c>
      <c r="H6150" t="str">
        <f>_xlfn.XLOOKUP(A6150,'[1]Tissue Data'!$A:$A,'[1]Tissue Data'!K:K)</f>
        <v>Whole Body</v>
      </c>
      <c r="I6150">
        <f>_xlfn.XLOOKUP(A6150,'[1]Tissue Data'!$A:$A,'[1]Tissue Data'!L:L)</f>
        <v>8</v>
      </c>
      <c r="J6150">
        <f>_xlfn.XLOOKUP(A6150,'[1]Tissue Data'!$A:$A,'[1]Tissue Data'!M:M)</f>
        <v>4.43</v>
      </c>
      <c r="K6150" t="s">
        <v>60</v>
      </c>
      <c r="L6150" t="str">
        <f>_xlfn.XLOOKUP(K6150,[2]analyte_order!$B:$B,[2]analyte_order!$C:$C)</f>
        <v>678-41-1</v>
      </c>
      <c r="M6150">
        <f>_xlfn.XLOOKUP(L6150,[2]analyte_order!$C:$C,[2]analyte_order!$E:$E)</f>
        <v>56</v>
      </c>
      <c r="N6150">
        <v>0.246</v>
      </c>
    </row>
    <row r="6151" spans="1:14">
      <c r="A6151" t="s">
        <v>180</v>
      </c>
      <c r="B6151" t="str">
        <f>_xlfn.XLOOKUP(A6151,'[1]Tissue Data'!$A:$A,'[1]Tissue Data'!$C:$C)</f>
        <v>Spill</v>
      </c>
      <c r="C6151" s="2">
        <f>_xlfn.XLOOKUP(A6151,'[1]Tissue Data'!$A:$A,'[1]Tissue Data'!$D:$D)</f>
        <v>44393</v>
      </c>
      <c r="D6151" s="2" t="str">
        <f>_xlfn.XLOOKUP(A6151,'[1]Tissue Data'!$A:$A,'[1]Tissue Data'!$F:$F)</f>
        <v>Fallfish</v>
      </c>
      <c r="E6151" t="str">
        <f>_xlfn.XLOOKUP(A6151,'[1]Tissue Data'!$A:$A,'[1]Tissue Data'!$H:$H)</f>
        <v>Semotilus</v>
      </c>
      <c r="F6151" t="str">
        <f>_xlfn.XLOOKUP(A6151,'[1]Tissue Data'!$A:$A,'[1]Tissue Data'!$I:$I)</f>
        <v>corporalis</v>
      </c>
      <c r="G6151" t="str">
        <f>_xlfn.XLOOKUP(A6151,'[1]Tissue Data'!$A:$A,'[1]Tissue Data'!J:J)</f>
        <v>U</v>
      </c>
      <c r="H6151" t="str">
        <f>_xlfn.XLOOKUP(A6151,'[1]Tissue Data'!$A:$A,'[1]Tissue Data'!K:K)</f>
        <v>Whole Body</v>
      </c>
      <c r="I6151">
        <f>_xlfn.XLOOKUP(A6151,'[1]Tissue Data'!$A:$A,'[1]Tissue Data'!L:L)</f>
        <v>8</v>
      </c>
      <c r="J6151">
        <f>_xlfn.XLOOKUP(A6151,'[1]Tissue Data'!$A:$A,'[1]Tissue Data'!M:M)</f>
        <v>4.43</v>
      </c>
      <c r="K6151" t="s">
        <v>61</v>
      </c>
      <c r="L6151" t="str">
        <f>_xlfn.XLOOKUP(K6151,[2]analyte_order!$B:$B,[2]analyte_order!$C:$C)</f>
        <v>2965-52-8</v>
      </c>
      <c r="M6151">
        <f>_xlfn.XLOOKUP(L6151,[2]analyte_order!$C:$C,[2]analyte_order!$E:$E)</f>
        <v>57</v>
      </c>
      <c r="N6151">
        <v>0.246</v>
      </c>
    </row>
    <row r="6152" spans="1:14">
      <c r="A6152" t="s">
        <v>315</v>
      </c>
      <c r="B6152" t="str">
        <f>_xlfn.XLOOKUP(A6152,'[1]Tissue Data'!$A:$A,'[1]Tissue Data'!$C:$C)</f>
        <v>Spill</v>
      </c>
      <c r="C6152" s="2">
        <f>_xlfn.XLOOKUP(A6152,'[1]Tissue Data'!$A:$A,'[1]Tissue Data'!$D:$D)</f>
        <v>44393</v>
      </c>
      <c r="D6152" s="2" t="s">
        <v>131</v>
      </c>
      <c r="E6152" t="str">
        <f>_xlfn.XLOOKUP(A6152,'[1]Tissue Data'!$A:$A,'[1]Tissue Data'!$H:$H)</f>
        <v>Rhinichthys</v>
      </c>
      <c r="F6152" t="str">
        <f>_xlfn.XLOOKUP(A6152,'[1]Tissue Data'!$A:$A,'[1]Tissue Data'!$I:$I)</f>
        <v>atratulus</v>
      </c>
      <c r="G6152" t="str">
        <f>_xlfn.XLOOKUP(A6152,'[1]Tissue Data'!$A:$A,'[1]Tissue Data'!J:J)</f>
        <v>U</v>
      </c>
      <c r="H6152" t="str">
        <f>_xlfn.XLOOKUP(A6152,'[1]Tissue Data'!$A:$A,'[1]Tissue Data'!K:K)</f>
        <v>Whole Body</v>
      </c>
      <c r="I6152">
        <f>_xlfn.XLOOKUP(A6152,'[1]Tissue Data'!$A:$A,'[1]Tissue Data'!L:L)</f>
        <v>4.3</v>
      </c>
      <c r="J6152">
        <f>_xlfn.XLOOKUP(A6152,'[1]Tissue Data'!$A:$A,'[1]Tissue Data'!M:M)</f>
        <v>2.0099999999999998</v>
      </c>
      <c r="K6152" t="s">
        <v>12</v>
      </c>
      <c r="L6152" t="str">
        <f>_xlfn.XLOOKUP(K6152,[2]analyte_order!$B:$B,[2]analyte_order!$C:$C)</f>
        <v>375-22-4</v>
      </c>
      <c r="M6152">
        <f>_xlfn.XLOOKUP(L6152,[2]analyte_order!$C:$C,[2]analyte_order!$E:$E)</f>
        <v>1</v>
      </c>
      <c r="N6152">
        <v>0.109</v>
      </c>
    </row>
    <row r="6153" spans="1:14">
      <c r="A6153" t="s">
        <v>315</v>
      </c>
      <c r="B6153" t="str">
        <f>_xlfn.XLOOKUP(A6153,'[1]Tissue Data'!$A:$A,'[1]Tissue Data'!$C:$C)</f>
        <v>Spill</v>
      </c>
      <c r="C6153" s="2">
        <f>_xlfn.XLOOKUP(A6153,'[1]Tissue Data'!$A:$A,'[1]Tissue Data'!$D:$D)</f>
        <v>44393</v>
      </c>
      <c r="D6153" s="2" t="s">
        <v>131</v>
      </c>
      <c r="E6153" t="str">
        <f>_xlfn.XLOOKUP(A6153,'[1]Tissue Data'!$A:$A,'[1]Tissue Data'!$H:$H)</f>
        <v>Rhinichthys</v>
      </c>
      <c r="F6153" t="str">
        <f>_xlfn.XLOOKUP(A6153,'[1]Tissue Data'!$A:$A,'[1]Tissue Data'!$I:$I)</f>
        <v>atratulus</v>
      </c>
      <c r="G6153" t="str">
        <f>_xlfn.XLOOKUP(A6153,'[1]Tissue Data'!$A:$A,'[1]Tissue Data'!J:J)</f>
        <v>U</v>
      </c>
      <c r="H6153" t="str">
        <f>_xlfn.XLOOKUP(A6153,'[1]Tissue Data'!$A:$A,'[1]Tissue Data'!K:K)</f>
        <v>Whole Body</v>
      </c>
      <c r="I6153">
        <f>_xlfn.XLOOKUP(A6153,'[1]Tissue Data'!$A:$A,'[1]Tissue Data'!L:L)</f>
        <v>4.3</v>
      </c>
      <c r="J6153">
        <f>_xlfn.XLOOKUP(A6153,'[1]Tissue Data'!$A:$A,'[1]Tissue Data'!M:M)</f>
        <v>2.0099999999999998</v>
      </c>
      <c r="K6153" t="s">
        <v>13</v>
      </c>
      <c r="L6153" t="str">
        <f>_xlfn.XLOOKUP(K6153,[2]analyte_order!$B:$B,[2]analyte_order!$C:$C)</f>
        <v>2706-90-3</v>
      </c>
      <c r="M6153">
        <f>_xlfn.XLOOKUP(L6153,[2]analyte_order!$C:$C,[2]analyte_order!$E:$E)</f>
        <v>2</v>
      </c>
      <c r="N6153">
        <v>7.6999999999999999E-2</v>
      </c>
    </row>
    <row r="6154" spans="1:14">
      <c r="A6154" t="s">
        <v>315</v>
      </c>
      <c r="B6154" t="str">
        <f>_xlfn.XLOOKUP(A6154,'[1]Tissue Data'!$A:$A,'[1]Tissue Data'!$C:$C)</f>
        <v>Spill</v>
      </c>
      <c r="C6154" s="2">
        <f>_xlfn.XLOOKUP(A6154,'[1]Tissue Data'!$A:$A,'[1]Tissue Data'!$D:$D)</f>
        <v>44393</v>
      </c>
      <c r="D6154" s="2" t="s">
        <v>131</v>
      </c>
      <c r="E6154" t="str">
        <f>_xlfn.XLOOKUP(A6154,'[1]Tissue Data'!$A:$A,'[1]Tissue Data'!$H:$H)</f>
        <v>Rhinichthys</v>
      </c>
      <c r="F6154" t="str">
        <f>_xlfn.XLOOKUP(A6154,'[1]Tissue Data'!$A:$A,'[1]Tissue Data'!$I:$I)</f>
        <v>atratulus</v>
      </c>
      <c r="G6154" t="str">
        <f>_xlfn.XLOOKUP(A6154,'[1]Tissue Data'!$A:$A,'[1]Tissue Data'!J:J)</f>
        <v>U</v>
      </c>
      <c r="H6154" t="str">
        <f>_xlfn.XLOOKUP(A6154,'[1]Tissue Data'!$A:$A,'[1]Tissue Data'!K:K)</f>
        <v>Whole Body</v>
      </c>
      <c r="I6154">
        <f>_xlfn.XLOOKUP(A6154,'[1]Tissue Data'!$A:$A,'[1]Tissue Data'!L:L)</f>
        <v>4.3</v>
      </c>
      <c r="J6154">
        <f>_xlfn.XLOOKUP(A6154,'[1]Tissue Data'!$A:$A,'[1]Tissue Data'!M:M)</f>
        <v>2.0099999999999998</v>
      </c>
      <c r="K6154" t="s">
        <v>14</v>
      </c>
      <c r="L6154" t="str">
        <f>_xlfn.XLOOKUP(K6154,[2]analyte_order!$B:$B,[2]analyte_order!$C:$C)</f>
        <v>307-24-4</v>
      </c>
      <c r="M6154">
        <f>_xlfn.XLOOKUP(L6154,[2]analyte_order!$C:$C,[2]analyte_order!$E:$E)</f>
        <v>3</v>
      </c>
      <c r="N6154">
        <v>5.8999999999999997E-2</v>
      </c>
    </row>
    <row r="6155" spans="1:14">
      <c r="A6155" t="s">
        <v>315</v>
      </c>
      <c r="B6155" t="str">
        <f>_xlfn.XLOOKUP(A6155,'[1]Tissue Data'!$A:$A,'[1]Tissue Data'!$C:$C)</f>
        <v>Spill</v>
      </c>
      <c r="C6155" s="2">
        <f>_xlfn.XLOOKUP(A6155,'[1]Tissue Data'!$A:$A,'[1]Tissue Data'!$D:$D)</f>
        <v>44393</v>
      </c>
      <c r="D6155" s="2" t="s">
        <v>131</v>
      </c>
      <c r="E6155" t="str">
        <f>_xlfn.XLOOKUP(A6155,'[1]Tissue Data'!$A:$A,'[1]Tissue Data'!$H:$H)</f>
        <v>Rhinichthys</v>
      </c>
      <c r="F6155" t="str">
        <f>_xlfn.XLOOKUP(A6155,'[1]Tissue Data'!$A:$A,'[1]Tissue Data'!$I:$I)</f>
        <v>atratulus</v>
      </c>
      <c r="G6155" t="str">
        <f>_xlfn.XLOOKUP(A6155,'[1]Tissue Data'!$A:$A,'[1]Tissue Data'!J:J)</f>
        <v>U</v>
      </c>
      <c r="H6155" t="str">
        <f>_xlfn.XLOOKUP(A6155,'[1]Tissue Data'!$A:$A,'[1]Tissue Data'!K:K)</f>
        <v>Whole Body</v>
      </c>
      <c r="I6155">
        <f>_xlfn.XLOOKUP(A6155,'[1]Tissue Data'!$A:$A,'[1]Tissue Data'!L:L)</f>
        <v>4.3</v>
      </c>
      <c r="J6155">
        <f>_xlfn.XLOOKUP(A6155,'[1]Tissue Data'!$A:$A,'[1]Tissue Data'!M:M)</f>
        <v>2.0099999999999998</v>
      </c>
      <c r="K6155" t="s">
        <v>15</v>
      </c>
      <c r="L6155" t="str">
        <f>_xlfn.XLOOKUP(K6155,[2]analyte_order!$B:$B,[2]analyte_order!$C:$C)</f>
        <v>375-85-9</v>
      </c>
      <c r="M6155">
        <f>_xlfn.XLOOKUP(L6155,[2]analyte_order!$C:$C,[2]analyte_order!$E:$E)</f>
        <v>4</v>
      </c>
      <c r="N6155">
        <v>0.2185</v>
      </c>
    </row>
    <row r="6156" spans="1:14">
      <c r="A6156" t="s">
        <v>315</v>
      </c>
      <c r="B6156" t="str">
        <f>_xlfn.XLOOKUP(A6156,'[1]Tissue Data'!$A:$A,'[1]Tissue Data'!$C:$C)</f>
        <v>Spill</v>
      </c>
      <c r="C6156" s="2">
        <f>_xlfn.XLOOKUP(A6156,'[1]Tissue Data'!$A:$A,'[1]Tissue Data'!$D:$D)</f>
        <v>44393</v>
      </c>
      <c r="D6156" s="2" t="s">
        <v>131</v>
      </c>
      <c r="E6156" t="str">
        <f>_xlfn.XLOOKUP(A6156,'[1]Tissue Data'!$A:$A,'[1]Tissue Data'!$H:$H)</f>
        <v>Rhinichthys</v>
      </c>
      <c r="F6156" t="str">
        <f>_xlfn.XLOOKUP(A6156,'[1]Tissue Data'!$A:$A,'[1]Tissue Data'!$I:$I)</f>
        <v>atratulus</v>
      </c>
      <c r="G6156" t="str">
        <f>_xlfn.XLOOKUP(A6156,'[1]Tissue Data'!$A:$A,'[1]Tissue Data'!J:J)</f>
        <v>U</v>
      </c>
      <c r="H6156" t="str">
        <f>_xlfn.XLOOKUP(A6156,'[1]Tissue Data'!$A:$A,'[1]Tissue Data'!K:K)</f>
        <v>Whole Body</v>
      </c>
      <c r="I6156">
        <f>_xlfn.XLOOKUP(A6156,'[1]Tissue Data'!$A:$A,'[1]Tissue Data'!L:L)</f>
        <v>4.3</v>
      </c>
      <c r="J6156">
        <f>_xlfn.XLOOKUP(A6156,'[1]Tissue Data'!$A:$A,'[1]Tissue Data'!M:M)</f>
        <v>2.0099999999999998</v>
      </c>
      <c r="K6156" t="s">
        <v>16</v>
      </c>
      <c r="L6156" t="str">
        <f>_xlfn.XLOOKUP(K6156,[2]analyte_order!$B:$B,[2]analyte_order!$C:$C)</f>
        <v>335-67-1</v>
      </c>
      <c r="M6156">
        <f>_xlfn.XLOOKUP(L6156,[2]analyte_order!$C:$C,[2]analyte_order!$E:$E)</f>
        <v>5</v>
      </c>
      <c r="N6156">
        <v>3.75</v>
      </c>
    </row>
    <row r="6157" spans="1:14">
      <c r="A6157" t="s">
        <v>315</v>
      </c>
      <c r="B6157" t="str">
        <f>_xlfn.XLOOKUP(A6157,'[1]Tissue Data'!$A:$A,'[1]Tissue Data'!$C:$C)</f>
        <v>Spill</v>
      </c>
      <c r="C6157" s="2">
        <f>_xlfn.XLOOKUP(A6157,'[1]Tissue Data'!$A:$A,'[1]Tissue Data'!$D:$D)</f>
        <v>44393</v>
      </c>
      <c r="D6157" s="2" t="s">
        <v>131</v>
      </c>
      <c r="E6157" t="str">
        <f>_xlfn.XLOOKUP(A6157,'[1]Tissue Data'!$A:$A,'[1]Tissue Data'!$H:$H)</f>
        <v>Rhinichthys</v>
      </c>
      <c r="F6157" t="str">
        <f>_xlfn.XLOOKUP(A6157,'[1]Tissue Data'!$A:$A,'[1]Tissue Data'!$I:$I)</f>
        <v>atratulus</v>
      </c>
      <c r="G6157" t="str">
        <f>_xlfn.XLOOKUP(A6157,'[1]Tissue Data'!$A:$A,'[1]Tissue Data'!J:J)</f>
        <v>U</v>
      </c>
      <c r="H6157" t="str">
        <f>_xlfn.XLOOKUP(A6157,'[1]Tissue Data'!$A:$A,'[1]Tissue Data'!K:K)</f>
        <v>Whole Body</v>
      </c>
      <c r="I6157">
        <f>_xlfn.XLOOKUP(A6157,'[1]Tissue Data'!$A:$A,'[1]Tissue Data'!L:L)</f>
        <v>4.3</v>
      </c>
      <c r="J6157">
        <f>_xlfn.XLOOKUP(A6157,'[1]Tissue Data'!$A:$A,'[1]Tissue Data'!M:M)</f>
        <v>2.0099999999999998</v>
      </c>
      <c r="K6157" t="s">
        <v>17</v>
      </c>
      <c r="L6157" t="str">
        <f>_xlfn.XLOOKUP(K6157,[2]analyte_order!$B:$B,[2]analyte_order!$C:$C)</f>
        <v>375-95-1</v>
      </c>
      <c r="M6157">
        <f>_xlfn.XLOOKUP(L6157,[2]analyte_order!$C:$C,[2]analyte_order!$E:$E)</f>
        <v>6</v>
      </c>
      <c r="N6157">
        <v>3.53</v>
      </c>
    </row>
    <row r="6158" spans="1:14">
      <c r="A6158" t="s">
        <v>315</v>
      </c>
      <c r="B6158" t="str">
        <f>_xlfn.XLOOKUP(A6158,'[1]Tissue Data'!$A:$A,'[1]Tissue Data'!$C:$C)</f>
        <v>Spill</v>
      </c>
      <c r="C6158" s="2">
        <f>_xlfn.XLOOKUP(A6158,'[1]Tissue Data'!$A:$A,'[1]Tissue Data'!$D:$D)</f>
        <v>44393</v>
      </c>
      <c r="D6158" s="2" t="s">
        <v>131</v>
      </c>
      <c r="E6158" t="str">
        <f>_xlfn.XLOOKUP(A6158,'[1]Tissue Data'!$A:$A,'[1]Tissue Data'!$H:$H)</f>
        <v>Rhinichthys</v>
      </c>
      <c r="F6158" t="str">
        <f>_xlfn.XLOOKUP(A6158,'[1]Tissue Data'!$A:$A,'[1]Tissue Data'!$I:$I)</f>
        <v>atratulus</v>
      </c>
      <c r="G6158" t="str">
        <f>_xlfn.XLOOKUP(A6158,'[1]Tissue Data'!$A:$A,'[1]Tissue Data'!J:J)</f>
        <v>U</v>
      </c>
      <c r="H6158" t="str">
        <f>_xlfn.XLOOKUP(A6158,'[1]Tissue Data'!$A:$A,'[1]Tissue Data'!K:K)</f>
        <v>Whole Body</v>
      </c>
      <c r="I6158">
        <f>_xlfn.XLOOKUP(A6158,'[1]Tissue Data'!$A:$A,'[1]Tissue Data'!L:L)</f>
        <v>4.3</v>
      </c>
      <c r="J6158">
        <f>_xlfn.XLOOKUP(A6158,'[1]Tissue Data'!$A:$A,'[1]Tissue Data'!M:M)</f>
        <v>2.0099999999999998</v>
      </c>
      <c r="K6158" t="s">
        <v>18</v>
      </c>
      <c r="L6158" t="str">
        <f>_xlfn.XLOOKUP(K6158,[2]analyte_order!$B:$B,[2]analyte_order!$C:$C)</f>
        <v>335-76-2</v>
      </c>
      <c r="M6158">
        <f>_xlfn.XLOOKUP(L6158,[2]analyte_order!$C:$C,[2]analyte_order!$E:$E)</f>
        <v>7</v>
      </c>
      <c r="N6158">
        <v>10.3</v>
      </c>
    </row>
    <row r="6159" spans="1:14">
      <c r="A6159" t="s">
        <v>315</v>
      </c>
      <c r="B6159" t="str">
        <f>_xlfn.XLOOKUP(A6159,'[1]Tissue Data'!$A:$A,'[1]Tissue Data'!$C:$C)</f>
        <v>Spill</v>
      </c>
      <c r="C6159" s="2">
        <f>_xlfn.XLOOKUP(A6159,'[1]Tissue Data'!$A:$A,'[1]Tissue Data'!$D:$D)</f>
        <v>44393</v>
      </c>
      <c r="D6159" s="2" t="s">
        <v>131</v>
      </c>
      <c r="E6159" t="str">
        <f>_xlfn.XLOOKUP(A6159,'[1]Tissue Data'!$A:$A,'[1]Tissue Data'!$H:$H)</f>
        <v>Rhinichthys</v>
      </c>
      <c r="F6159" t="str">
        <f>_xlfn.XLOOKUP(A6159,'[1]Tissue Data'!$A:$A,'[1]Tissue Data'!$I:$I)</f>
        <v>atratulus</v>
      </c>
      <c r="G6159" t="str">
        <f>_xlfn.XLOOKUP(A6159,'[1]Tissue Data'!$A:$A,'[1]Tissue Data'!J:J)</f>
        <v>U</v>
      </c>
      <c r="H6159" t="str">
        <f>_xlfn.XLOOKUP(A6159,'[1]Tissue Data'!$A:$A,'[1]Tissue Data'!K:K)</f>
        <v>Whole Body</v>
      </c>
      <c r="I6159">
        <f>_xlfn.XLOOKUP(A6159,'[1]Tissue Data'!$A:$A,'[1]Tissue Data'!L:L)</f>
        <v>4.3</v>
      </c>
      <c r="J6159">
        <f>_xlfn.XLOOKUP(A6159,'[1]Tissue Data'!$A:$A,'[1]Tissue Data'!M:M)</f>
        <v>2.0099999999999998</v>
      </c>
      <c r="K6159" t="s">
        <v>19</v>
      </c>
      <c r="L6159" t="str">
        <f>_xlfn.XLOOKUP(K6159,[2]analyte_order!$B:$B,[2]analyte_order!$C:$C)</f>
        <v>2058-94-8</v>
      </c>
      <c r="M6159">
        <f>_xlfn.XLOOKUP(L6159,[2]analyte_order!$C:$C,[2]analyte_order!$E:$E)</f>
        <v>8</v>
      </c>
      <c r="N6159">
        <v>6.13</v>
      </c>
    </row>
    <row r="6160" spans="1:14">
      <c r="A6160" t="s">
        <v>315</v>
      </c>
      <c r="B6160" t="str">
        <f>_xlfn.XLOOKUP(A6160,'[1]Tissue Data'!$A:$A,'[1]Tissue Data'!$C:$C)</f>
        <v>Spill</v>
      </c>
      <c r="C6160" s="2">
        <f>_xlfn.XLOOKUP(A6160,'[1]Tissue Data'!$A:$A,'[1]Tissue Data'!$D:$D)</f>
        <v>44393</v>
      </c>
      <c r="D6160" s="2" t="s">
        <v>131</v>
      </c>
      <c r="E6160" t="str">
        <f>_xlfn.XLOOKUP(A6160,'[1]Tissue Data'!$A:$A,'[1]Tissue Data'!$H:$H)</f>
        <v>Rhinichthys</v>
      </c>
      <c r="F6160" t="str">
        <f>_xlfn.XLOOKUP(A6160,'[1]Tissue Data'!$A:$A,'[1]Tissue Data'!$I:$I)</f>
        <v>atratulus</v>
      </c>
      <c r="G6160" t="str">
        <f>_xlfn.XLOOKUP(A6160,'[1]Tissue Data'!$A:$A,'[1]Tissue Data'!J:J)</f>
        <v>U</v>
      </c>
      <c r="H6160" t="str">
        <f>_xlfn.XLOOKUP(A6160,'[1]Tissue Data'!$A:$A,'[1]Tissue Data'!K:K)</f>
        <v>Whole Body</v>
      </c>
      <c r="I6160">
        <f>_xlfn.XLOOKUP(A6160,'[1]Tissue Data'!$A:$A,'[1]Tissue Data'!L:L)</f>
        <v>4.3</v>
      </c>
      <c r="J6160">
        <f>_xlfn.XLOOKUP(A6160,'[1]Tissue Data'!$A:$A,'[1]Tissue Data'!M:M)</f>
        <v>2.0099999999999998</v>
      </c>
      <c r="K6160" t="s">
        <v>20</v>
      </c>
      <c r="L6160" t="str">
        <f>_xlfn.XLOOKUP(K6160,[2]analyte_order!$B:$B,[2]analyte_order!$C:$C)</f>
        <v>307-55-1</v>
      </c>
      <c r="M6160">
        <f>_xlfn.XLOOKUP(L6160,[2]analyte_order!$C:$C,[2]analyte_order!$E:$E)</f>
        <v>9</v>
      </c>
      <c r="N6160">
        <v>5.44</v>
      </c>
    </row>
    <row r="6161" spans="1:14">
      <c r="A6161" t="s">
        <v>315</v>
      </c>
      <c r="B6161" t="str">
        <f>_xlfn.XLOOKUP(A6161,'[1]Tissue Data'!$A:$A,'[1]Tissue Data'!$C:$C)</f>
        <v>Spill</v>
      </c>
      <c r="C6161" s="2">
        <f>_xlfn.XLOOKUP(A6161,'[1]Tissue Data'!$A:$A,'[1]Tissue Data'!$D:$D)</f>
        <v>44393</v>
      </c>
      <c r="D6161" s="2" t="s">
        <v>131</v>
      </c>
      <c r="E6161" t="str">
        <f>_xlfn.XLOOKUP(A6161,'[1]Tissue Data'!$A:$A,'[1]Tissue Data'!$H:$H)</f>
        <v>Rhinichthys</v>
      </c>
      <c r="F6161" t="str">
        <f>_xlfn.XLOOKUP(A6161,'[1]Tissue Data'!$A:$A,'[1]Tissue Data'!$I:$I)</f>
        <v>atratulus</v>
      </c>
      <c r="G6161" t="str">
        <f>_xlfn.XLOOKUP(A6161,'[1]Tissue Data'!$A:$A,'[1]Tissue Data'!J:J)</f>
        <v>U</v>
      </c>
      <c r="H6161" t="str">
        <f>_xlfn.XLOOKUP(A6161,'[1]Tissue Data'!$A:$A,'[1]Tissue Data'!K:K)</f>
        <v>Whole Body</v>
      </c>
      <c r="I6161">
        <f>_xlfn.XLOOKUP(A6161,'[1]Tissue Data'!$A:$A,'[1]Tissue Data'!L:L)</f>
        <v>4.3</v>
      </c>
      <c r="J6161">
        <f>_xlfn.XLOOKUP(A6161,'[1]Tissue Data'!$A:$A,'[1]Tissue Data'!M:M)</f>
        <v>2.0099999999999998</v>
      </c>
      <c r="K6161" t="s">
        <v>21</v>
      </c>
      <c r="L6161" t="str">
        <f>_xlfn.XLOOKUP(K6161,[2]analyte_order!$B:$B,[2]analyte_order!$C:$C)</f>
        <v>72629-94-8</v>
      </c>
      <c r="M6161">
        <f>_xlfn.XLOOKUP(L6161,[2]analyte_order!$C:$C,[2]analyte_order!$E:$E)</f>
        <v>10</v>
      </c>
      <c r="N6161">
        <v>2.75</v>
      </c>
    </row>
    <row r="6162" spans="1:14">
      <c r="A6162" t="s">
        <v>315</v>
      </c>
      <c r="B6162" t="str">
        <f>_xlfn.XLOOKUP(A6162,'[1]Tissue Data'!$A:$A,'[1]Tissue Data'!$C:$C)</f>
        <v>Spill</v>
      </c>
      <c r="C6162" s="2">
        <f>_xlfn.XLOOKUP(A6162,'[1]Tissue Data'!$A:$A,'[1]Tissue Data'!$D:$D)</f>
        <v>44393</v>
      </c>
      <c r="D6162" s="2" t="s">
        <v>131</v>
      </c>
      <c r="E6162" t="str">
        <f>_xlfn.XLOOKUP(A6162,'[1]Tissue Data'!$A:$A,'[1]Tissue Data'!$H:$H)</f>
        <v>Rhinichthys</v>
      </c>
      <c r="F6162" t="str">
        <f>_xlfn.XLOOKUP(A6162,'[1]Tissue Data'!$A:$A,'[1]Tissue Data'!$I:$I)</f>
        <v>atratulus</v>
      </c>
      <c r="G6162" t="str">
        <f>_xlfn.XLOOKUP(A6162,'[1]Tissue Data'!$A:$A,'[1]Tissue Data'!J:J)</f>
        <v>U</v>
      </c>
      <c r="H6162" t="str">
        <f>_xlfn.XLOOKUP(A6162,'[1]Tissue Data'!$A:$A,'[1]Tissue Data'!K:K)</f>
        <v>Whole Body</v>
      </c>
      <c r="I6162">
        <f>_xlfn.XLOOKUP(A6162,'[1]Tissue Data'!$A:$A,'[1]Tissue Data'!L:L)</f>
        <v>4.3</v>
      </c>
      <c r="J6162">
        <f>_xlfn.XLOOKUP(A6162,'[1]Tissue Data'!$A:$A,'[1]Tissue Data'!M:M)</f>
        <v>2.0099999999999998</v>
      </c>
      <c r="K6162" t="s">
        <v>22</v>
      </c>
      <c r="L6162" t="str">
        <f>_xlfn.XLOOKUP(K6162,[2]analyte_order!$B:$B,[2]analyte_order!$C:$C)</f>
        <v>376-06-7</v>
      </c>
      <c r="M6162">
        <f>_xlfn.XLOOKUP(L6162,[2]analyte_order!$C:$C,[2]analyte_order!$E:$E)</f>
        <v>11</v>
      </c>
      <c r="N6162">
        <v>2.4500000000000002</v>
      </c>
    </row>
    <row r="6163" spans="1:14">
      <c r="A6163" t="s">
        <v>315</v>
      </c>
      <c r="B6163" t="str">
        <f>_xlfn.XLOOKUP(A6163,'[1]Tissue Data'!$A:$A,'[1]Tissue Data'!$C:$C)</f>
        <v>Spill</v>
      </c>
      <c r="C6163" s="2">
        <f>_xlfn.XLOOKUP(A6163,'[1]Tissue Data'!$A:$A,'[1]Tissue Data'!$D:$D)</f>
        <v>44393</v>
      </c>
      <c r="D6163" s="2" t="s">
        <v>131</v>
      </c>
      <c r="E6163" t="str">
        <f>_xlfn.XLOOKUP(A6163,'[1]Tissue Data'!$A:$A,'[1]Tissue Data'!$H:$H)</f>
        <v>Rhinichthys</v>
      </c>
      <c r="F6163" t="str">
        <f>_xlfn.XLOOKUP(A6163,'[1]Tissue Data'!$A:$A,'[1]Tissue Data'!$I:$I)</f>
        <v>atratulus</v>
      </c>
      <c r="G6163" t="str">
        <f>_xlfn.XLOOKUP(A6163,'[1]Tissue Data'!$A:$A,'[1]Tissue Data'!J:J)</f>
        <v>U</v>
      </c>
      <c r="H6163" t="str">
        <f>_xlfn.XLOOKUP(A6163,'[1]Tissue Data'!$A:$A,'[1]Tissue Data'!K:K)</f>
        <v>Whole Body</v>
      </c>
      <c r="I6163">
        <f>_xlfn.XLOOKUP(A6163,'[1]Tissue Data'!$A:$A,'[1]Tissue Data'!L:L)</f>
        <v>4.3</v>
      </c>
      <c r="J6163">
        <f>_xlfn.XLOOKUP(A6163,'[1]Tissue Data'!$A:$A,'[1]Tissue Data'!M:M)</f>
        <v>2.0099999999999998</v>
      </c>
      <c r="K6163" t="s">
        <v>23</v>
      </c>
      <c r="L6163" t="str">
        <f>_xlfn.XLOOKUP(K6163,[2]analyte_order!$B:$B,[2]analyte_order!$C:$C)</f>
        <v>67905-19-5</v>
      </c>
      <c r="M6163">
        <f>_xlfn.XLOOKUP(L6163,[2]analyte_order!$C:$C,[2]analyte_order!$E:$E)</f>
        <v>12</v>
      </c>
      <c r="N6163">
        <v>0.13</v>
      </c>
    </row>
    <row r="6164" spans="1:14">
      <c r="A6164" t="s">
        <v>315</v>
      </c>
      <c r="B6164" t="str">
        <f>_xlfn.XLOOKUP(A6164,'[1]Tissue Data'!$A:$A,'[1]Tissue Data'!$C:$C)</f>
        <v>Spill</v>
      </c>
      <c r="C6164" s="2">
        <f>_xlfn.XLOOKUP(A6164,'[1]Tissue Data'!$A:$A,'[1]Tissue Data'!$D:$D)</f>
        <v>44393</v>
      </c>
      <c r="D6164" s="2" t="s">
        <v>131</v>
      </c>
      <c r="E6164" t="str">
        <f>_xlfn.XLOOKUP(A6164,'[1]Tissue Data'!$A:$A,'[1]Tissue Data'!$H:$H)</f>
        <v>Rhinichthys</v>
      </c>
      <c r="F6164" t="str">
        <f>_xlfn.XLOOKUP(A6164,'[1]Tissue Data'!$A:$A,'[1]Tissue Data'!$I:$I)</f>
        <v>atratulus</v>
      </c>
      <c r="G6164" t="str">
        <f>_xlfn.XLOOKUP(A6164,'[1]Tissue Data'!$A:$A,'[1]Tissue Data'!J:J)</f>
        <v>U</v>
      </c>
      <c r="H6164" t="str">
        <f>_xlfn.XLOOKUP(A6164,'[1]Tissue Data'!$A:$A,'[1]Tissue Data'!K:K)</f>
        <v>Whole Body</v>
      </c>
      <c r="I6164">
        <f>_xlfn.XLOOKUP(A6164,'[1]Tissue Data'!$A:$A,'[1]Tissue Data'!L:L)</f>
        <v>4.3</v>
      </c>
      <c r="J6164">
        <f>_xlfn.XLOOKUP(A6164,'[1]Tissue Data'!$A:$A,'[1]Tissue Data'!M:M)</f>
        <v>2.0099999999999998</v>
      </c>
      <c r="K6164" t="s">
        <v>24</v>
      </c>
      <c r="L6164" t="str">
        <f>_xlfn.XLOOKUP(K6164,[2]analyte_order!$B:$B,[2]analyte_order!$C:$C)</f>
        <v>423-41-6</v>
      </c>
      <c r="M6164">
        <f>_xlfn.XLOOKUP(L6164,[2]analyte_order!$C:$C,[2]analyte_order!$E:$E)</f>
        <v>53</v>
      </c>
      <c r="N6164">
        <v>0.109</v>
      </c>
    </row>
    <row r="6165" spans="1:14">
      <c r="A6165" t="s">
        <v>315</v>
      </c>
      <c r="B6165" t="str">
        <f>_xlfn.XLOOKUP(A6165,'[1]Tissue Data'!$A:$A,'[1]Tissue Data'!$C:$C)</f>
        <v>Spill</v>
      </c>
      <c r="C6165" s="2">
        <f>_xlfn.XLOOKUP(A6165,'[1]Tissue Data'!$A:$A,'[1]Tissue Data'!$D:$D)</f>
        <v>44393</v>
      </c>
      <c r="D6165" s="2" t="s">
        <v>131</v>
      </c>
      <c r="E6165" t="str">
        <f>_xlfn.XLOOKUP(A6165,'[1]Tissue Data'!$A:$A,'[1]Tissue Data'!$H:$H)</f>
        <v>Rhinichthys</v>
      </c>
      <c r="F6165" t="str">
        <f>_xlfn.XLOOKUP(A6165,'[1]Tissue Data'!$A:$A,'[1]Tissue Data'!$I:$I)</f>
        <v>atratulus</v>
      </c>
      <c r="G6165" t="str">
        <f>_xlfn.XLOOKUP(A6165,'[1]Tissue Data'!$A:$A,'[1]Tissue Data'!J:J)</f>
        <v>U</v>
      </c>
      <c r="H6165" t="str">
        <f>_xlfn.XLOOKUP(A6165,'[1]Tissue Data'!$A:$A,'[1]Tissue Data'!K:K)</f>
        <v>Whole Body</v>
      </c>
      <c r="I6165">
        <f>_xlfn.XLOOKUP(A6165,'[1]Tissue Data'!$A:$A,'[1]Tissue Data'!L:L)</f>
        <v>4.3</v>
      </c>
      <c r="J6165">
        <f>_xlfn.XLOOKUP(A6165,'[1]Tissue Data'!$A:$A,'[1]Tissue Data'!M:M)</f>
        <v>2.0099999999999998</v>
      </c>
      <c r="K6165" t="s">
        <v>25</v>
      </c>
      <c r="L6165" t="str">
        <f>_xlfn.XLOOKUP(K6165,[2]analyte_order!$B:$B,[2]analyte_order!$C:$C)</f>
        <v>375-73-5</v>
      </c>
      <c r="M6165">
        <f>_xlfn.XLOOKUP(L6165,[2]analyte_order!$C:$C,[2]analyte_order!$E:$E)</f>
        <v>14</v>
      </c>
      <c r="N6165">
        <v>0.2185</v>
      </c>
    </row>
    <row r="6166" spans="1:14">
      <c r="A6166" t="s">
        <v>315</v>
      </c>
      <c r="B6166" t="str">
        <f>_xlfn.XLOOKUP(A6166,'[1]Tissue Data'!$A:$A,'[1]Tissue Data'!$C:$C)</f>
        <v>Spill</v>
      </c>
      <c r="C6166" s="2">
        <f>_xlfn.XLOOKUP(A6166,'[1]Tissue Data'!$A:$A,'[1]Tissue Data'!$D:$D)</f>
        <v>44393</v>
      </c>
      <c r="D6166" s="2" t="s">
        <v>131</v>
      </c>
      <c r="E6166" t="str">
        <f>_xlfn.XLOOKUP(A6166,'[1]Tissue Data'!$A:$A,'[1]Tissue Data'!$H:$H)</f>
        <v>Rhinichthys</v>
      </c>
      <c r="F6166" t="str">
        <f>_xlfn.XLOOKUP(A6166,'[1]Tissue Data'!$A:$A,'[1]Tissue Data'!$I:$I)</f>
        <v>atratulus</v>
      </c>
      <c r="G6166" t="str">
        <f>_xlfn.XLOOKUP(A6166,'[1]Tissue Data'!$A:$A,'[1]Tissue Data'!J:J)</f>
        <v>U</v>
      </c>
      <c r="H6166" t="str">
        <f>_xlfn.XLOOKUP(A6166,'[1]Tissue Data'!$A:$A,'[1]Tissue Data'!K:K)</f>
        <v>Whole Body</v>
      </c>
      <c r="I6166">
        <f>_xlfn.XLOOKUP(A6166,'[1]Tissue Data'!$A:$A,'[1]Tissue Data'!L:L)</f>
        <v>4.3</v>
      </c>
      <c r="J6166">
        <f>_xlfn.XLOOKUP(A6166,'[1]Tissue Data'!$A:$A,'[1]Tissue Data'!M:M)</f>
        <v>2.0099999999999998</v>
      </c>
      <c r="K6166" t="s">
        <v>26</v>
      </c>
      <c r="L6166" t="str">
        <f>_xlfn.XLOOKUP(K6166,[2]analyte_order!$B:$B,[2]analyte_order!$C:$C)</f>
        <v>2706-91-4</v>
      </c>
      <c r="M6166">
        <f>_xlfn.XLOOKUP(L6166,[2]analyte_order!$C:$C,[2]analyte_order!$E:$E)</f>
        <v>15</v>
      </c>
      <c r="N6166">
        <v>0.59799999999999998</v>
      </c>
    </row>
    <row r="6167" spans="1:14">
      <c r="A6167" t="s">
        <v>315</v>
      </c>
      <c r="B6167" t="str">
        <f>_xlfn.XLOOKUP(A6167,'[1]Tissue Data'!$A:$A,'[1]Tissue Data'!$C:$C)</f>
        <v>Spill</v>
      </c>
      <c r="C6167" s="2">
        <f>_xlfn.XLOOKUP(A6167,'[1]Tissue Data'!$A:$A,'[1]Tissue Data'!$D:$D)</f>
        <v>44393</v>
      </c>
      <c r="D6167" s="2" t="s">
        <v>131</v>
      </c>
      <c r="E6167" t="str">
        <f>_xlfn.XLOOKUP(A6167,'[1]Tissue Data'!$A:$A,'[1]Tissue Data'!$H:$H)</f>
        <v>Rhinichthys</v>
      </c>
      <c r="F6167" t="str">
        <f>_xlfn.XLOOKUP(A6167,'[1]Tissue Data'!$A:$A,'[1]Tissue Data'!$I:$I)</f>
        <v>atratulus</v>
      </c>
      <c r="G6167" t="str">
        <f>_xlfn.XLOOKUP(A6167,'[1]Tissue Data'!$A:$A,'[1]Tissue Data'!J:J)</f>
        <v>U</v>
      </c>
      <c r="H6167" t="str">
        <f>_xlfn.XLOOKUP(A6167,'[1]Tissue Data'!$A:$A,'[1]Tissue Data'!K:K)</f>
        <v>Whole Body</v>
      </c>
      <c r="I6167">
        <f>_xlfn.XLOOKUP(A6167,'[1]Tissue Data'!$A:$A,'[1]Tissue Data'!L:L)</f>
        <v>4.3</v>
      </c>
      <c r="J6167">
        <f>_xlfn.XLOOKUP(A6167,'[1]Tissue Data'!$A:$A,'[1]Tissue Data'!M:M)</f>
        <v>2.0099999999999998</v>
      </c>
      <c r="K6167" t="s">
        <v>27</v>
      </c>
      <c r="L6167" t="str">
        <f>_xlfn.XLOOKUP(K6167,[2]analyte_order!$B:$B,[2]analyte_order!$C:$C)</f>
        <v>355-46-4</v>
      </c>
      <c r="M6167">
        <f>_xlfn.XLOOKUP(L6167,[2]analyte_order!$C:$C,[2]analyte_order!$E:$E)</f>
        <v>16</v>
      </c>
      <c r="N6167">
        <v>68.599999999999994</v>
      </c>
    </row>
    <row r="6168" spans="1:14">
      <c r="A6168" t="s">
        <v>315</v>
      </c>
      <c r="B6168" t="str">
        <f>_xlfn.XLOOKUP(A6168,'[1]Tissue Data'!$A:$A,'[1]Tissue Data'!$C:$C)</f>
        <v>Spill</v>
      </c>
      <c r="C6168" s="2">
        <f>_xlfn.XLOOKUP(A6168,'[1]Tissue Data'!$A:$A,'[1]Tissue Data'!$D:$D)</f>
        <v>44393</v>
      </c>
      <c r="D6168" s="2" t="s">
        <v>131</v>
      </c>
      <c r="E6168" t="str">
        <f>_xlfn.XLOOKUP(A6168,'[1]Tissue Data'!$A:$A,'[1]Tissue Data'!$H:$H)</f>
        <v>Rhinichthys</v>
      </c>
      <c r="F6168" t="str">
        <f>_xlfn.XLOOKUP(A6168,'[1]Tissue Data'!$A:$A,'[1]Tissue Data'!$I:$I)</f>
        <v>atratulus</v>
      </c>
      <c r="G6168" t="str">
        <f>_xlfn.XLOOKUP(A6168,'[1]Tissue Data'!$A:$A,'[1]Tissue Data'!J:J)</f>
        <v>U</v>
      </c>
      <c r="H6168" t="str">
        <f>_xlfn.XLOOKUP(A6168,'[1]Tissue Data'!$A:$A,'[1]Tissue Data'!K:K)</f>
        <v>Whole Body</v>
      </c>
      <c r="I6168">
        <f>_xlfn.XLOOKUP(A6168,'[1]Tissue Data'!$A:$A,'[1]Tissue Data'!L:L)</f>
        <v>4.3</v>
      </c>
      <c r="J6168">
        <f>_xlfn.XLOOKUP(A6168,'[1]Tissue Data'!$A:$A,'[1]Tissue Data'!M:M)</f>
        <v>2.0099999999999998</v>
      </c>
      <c r="K6168" t="s">
        <v>28</v>
      </c>
      <c r="L6168" t="str">
        <f>_xlfn.XLOOKUP(K6168,[2]analyte_order!$B:$B,[2]analyte_order!$C:$C)</f>
        <v>375-92-8</v>
      </c>
      <c r="M6168">
        <f>_xlfn.XLOOKUP(L6168,[2]analyte_order!$C:$C,[2]analyte_order!$E:$E)</f>
        <v>17</v>
      </c>
      <c r="N6168">
        <v>6.57</v>
      </c>
    </row>
    <row r="6169" spans="1:14">
      <c r="A6169" t="s">
        <v>315</v>
      </c>
      <c r="B6169" t="str">
        <f>_xlfn.XLOOKUP(A6169,'[1]Tissue Data'!$A:$A,'[1]Tissue Data'!$C:$C)</f>
        <v>Spill</v>
      </c>
      <c r="C6169" s="2">
        <f>_xlfn.XLOOKUP(A6169,'[1]Tissue Data'!$A:$A,'[1]Tissue Data'!$D:$D)</f>
        <v>44393</v>
      </c>
      <c r="D6169" s="2" t="s">
        <v>131</v>
      </c>
      <c r="E6169" t="str">
        <f>_xlfn.XLOOKUP(A6169,'[1]Tissue Data'!$A:$A,'[1]Tissue Data'!$H:$H)</f>
        <v>Rhinichthys</v>
      </c>
      <c r="F6169" t="str">
        <f>_xlfn.XLOOKUP(A6169,'[1]Tissue Data'!$A:$A,'[1]Tissue Data'!$I:$I)</f>
        <v>atratulus</v>
      </c>
      <c r="G6169" t="str">
        <f>_xlfn.XLOOKUP(A6169,'[1]Tissue Data'!$A:$A,'[1]Tissue Data'!J:J)</f>
        <v>U</v>
      </c>
      <c r="H6169" t="str">
        <f>_xlfn.XLOOKUP(A6169,'[1]Tissue Data'!$A:$A,'[1]Tissue Data'!K:K)</f>
        <v>Whole Body</v>
      </c>
      <c r="I6169">
        <f>_xlfn.XLOOKUP(A6169,'[1]Tissue Data'!$A:$A,'[1]Tissue Data'!L:L)</f>
        <v>4.3</v>
      </c>
      <c r="J6169">
        <f>_xlfn.XLOOKUP(A6169,'[1]Tissue Data'!$A:$A,'[1]Tissue Data'!M:M)</f>
        <v>2.0099999999999998</v>
      </c>
      <c r="K6169" t="s">
        <v>29</v>
      </c>
      <c r="L6169" t="str">
        <f>_xlfn.XLOOKUP(K6169,[2]analyte_order!$B:$B,[2]analyte_order!$C:$C)</f>
        <v>1763-23-1</v>
      </c>
      <c r="M6169">
        <f>_xlfn.XLOOKUP(L6169,[2]analyte_order!$C:$C,[2]analyte_order!$E:$E)</f>
        <v>18</v>
      </c>
      <c r="N6169">
        <v>708</v>
      </c>
    </row>
    <row r="6170" spans="1:14">
      <c r="A6170" t="s">
        <v>315</v>
      </c>
      <c r="B6170" t="str">
        <f>_xlfn.XLOOKUP(A6170,'[1]Tissue Data'!$A:$A,'[1]Tissue Data'!$C:$C)</f>
        <v>Spill</v>
      </c>
      <c r="C6170" s="2">
        <f>_xlfn.XLOOKUP(A6170,'[1]Tissue Data'!$A:$A,'[1]Tissue Data'!$D:$D)</f>
        <v>44393</v>
      </c>
      <c r="D6170" s="2" t="s">
        <v>131</v>
      </c>
      <c r="E6170" t="str">
        <f>_xlfn.XLOOKUP(A6170,'[1]Tissue Data'!$A:$A,'[1]Tissue Data'!$H:$H)</f>
        <v>Rhinichthys</v>
      </c>
      <c r="F6170" t="str">
        <f>_xlfn.XLOOKUP(A6170,'[1]Tissue Data'!$A:$A,'[1]Tissue Data'!$I:$I)</f>
        <v>atratulus</v>
      </c>
      <c r="G6170" t="str">
        <f>_xlfn.XLOOKUP(A6170,'[1]Tissue Data'!$A:$A,'[1]Tissue Data'!J:J)</f>
        <v>U</v>
      </c>
      <c r="H6170" t="str">
        <f>_xlfn.XLOOKUP(A6170,'[1]Tissue Data'!$A:$A,'[1]Tissue Data'!K:K)</f>
        <v>Whole Body</v>
      </c>
      <c r="I6170">
        <f>_xlfn.XLOOKUP(A6170,'[1]Tissue Data'!$A:$A,'[1]Tissue Data'!L:L)</f>
        <v>4.3</v>
      </c>
      <c r="J6170">
        <f>_xlfn.XLOOKUP(A6170,'[1]Tissue Data'!$A:$A,'[1]Tissue Data'!M:M)</f>
        <v>2.0099999999999998</v>
      </c>
      <c r="K6170" t="s">
        <v>30</v>
      </c>
      <c r="L6170" t="str">
        <f>_xlfn.XLOOKUP(K6170,[2]analyte_order!$B:$B,[2]analyte_order!$C:$C)</f>
        <v>68259-12-1</v>
      </c>
      <c r="M6170">
        <f>_xlfn.XLOOKUP(L6170,[2]analyte_order!$C:$C,[2]analyte_order!$E:$E)</f>
        <v>19</v>
      </c>
      <c r="N6170">
        <v>0.746</v>
      </c>
    </row>
    <row r="6171" spans="1:14">
      <c r="A6171" t="s">
        <v>315</v>
      </c>
      <c r="B6171" t="str">
        <f>_xlfn.XLOOKUP(A6171,'[1]Tissue Data'!$A:$A,'[1]Tissue Data'!$C:$C)</f>
        <v>Spill</v>
      </c>
      <c r="C6171" s="2">
        <f>_xlfn.XLOOKUP(A6171,'[1]Tissue Data'!$A:$A,'[1]Tissue Data'!$D:$D)</f>
        <v>44393</v>
      </c>
      <c r="D6171" s="2" t="s">
        <v>131</v>
      </c>
      <c r="E6171" t="str">
        <f>_xlfn.XLOOKUP(A6171,'[1]Tissue Data'!$A:$A,'[1]Tissue Data'!$H:$H)</f>
        <v>Rhinichthys</v>
      </c>
      <c r="F6171" t="str">
        <f>_xlfn.XLOOKUP(A6171,'[1]Tissue Data'!$A:$A,'[1]Tissue Data'!$I:$I)</f>
        <v>atratulus</v>
      </c>
      <c r="G6171" t="str">
        <f>_xlfn.XLOOKUP(A6171,'[1]Tissue Data'!$A:$A,'[1]Tissue Data'!J:J)</f>
        <v>U</v>
      </c>
      <c r="H6171" t="str">
        <f>_xlfn.XLOOKUP(A6171,'[1]Tissue Data'!$A:$A,'[1]Tissue Data'!K:K)</f>
        <v>Whole Body</v>
      </c>
      <c r="I6171">
        <f>_xlfn.XLOOKUP(A6171,'[1]Tissue Data'!$A:$A,'[1]Tissue Data'!L:L)</f>
        <v>4.3</v>
      </c>
      <c r="J6171">
        <f>_xlfn.XLOOKUP(A6171,'[1]Tissue Data'!$A:$A,'[1]Tissue Data'!M:M)</f>
        <v>2.0099999999999998</v>
      </c>
      <c r="K6171" t="s">
        <v>31</v>
      </c>
      <c r="L6171" t="str">
        <f>_xlfn.XLOOKUP(K6171,[2]analyte_order!$B:$B,[2]analyte_order!$C:$C)</f>
        <v>335-77-3</v>
      </c>
      <c r="M6171">
        <f>_xlfn.XLOOKUP(L6171,[2]analyte_order!$C:$C,[2]analyte_order!$E:$E)</f>
        <v>20</v>
      </c>
      <c r="N6171">
        <v>1.25</v>
      </c>
    </row>
    <row r="6172" spans="1:14">
      <c r="A6172" t="s">
        <v>315</v>
      </c>
      <c r="B6172" t="str">
        <f>_xlfn.XLOOKUP(A6172,'[1]Tissue Data'!$A:$A,'[1]Tissue Data'!$C:$C)</f>
        <v>Spill</v>
      </c>
      <c r="C6172" s="2">
        <f>_xlfn.XLOOKUP(A6172,'[1]Tissue Data'!$A:$A,'[1]Tissue Data'!$D:$D)</f>
        <v>44393</v>
      </c>
      <c r="D6172" s="2" t="s">
        <v>131</v>
      </c>
      <c r="E6172" t="str">
        <f>_xlfn.XLOOKUP(A6172,'[1]Tissue Data'!$A:$A,'[1]Tissue Data'!$H:$H)</f>
        <v>Rhinichthys</v>
      </c>
      <c r="F6172" t="str">
        <f>_xlfn.XLOOKUP(A6172,'[1]Tissue Data'!$A:$A,'[1]Tissue Data'!$I:$I)</f>
        <v>atratulus</v>
      </c>
      <c r="G6172" t="str">
        <f>_xlfn.XLOOKUP(A6172,'[1]Tissue Data'!$A:$A,'[1]Tissue Data'!J:J)</f>
        <v>U</v>
      </c>
      <c r="H6172" t="str">
        <f>_xlfn.XLOOKUP(A6172,'[1]Tissue Data'!$A:$A,'[1]Tissue Data'!K:K)</f>
        <v>Whole Body</v>
      </c>
      <c r="I6172">
        <f>_xlfn.XLOOKUP(A6172,'[1]Tissue Data'!$A:$A,'[1]Tissue Data'!L:L)</f>
        <v>4.3</v>
      </c>
      <c r="J6172">
        <f>_xlfn.XLOOKUP(A6172,'[1]Tissue Data'!$A:$A,'[1]Tissue Data'!M:M)</f>
        <v>2.0099999999999998</v>
      </c>
      <c r="K6172" t="s">
        <v>32</v>
      </c>
      <c r="L6172" t="str">
        <f>_xlfn.XLOOKUP(K6172,[2]analyte_order!$B:$B,[2]analyte_order!$C:$C)</f>
        <v>79780-39-5</v>
      </c>
      <c r="M6172">
        <f>_xlfn.XLOOKUP(L6172,[2]analyte_order!$C:$C,[2]analyte_order!$E:$E)</f>
        <v>21</v>
      </c>
      <c r="N6172">
        <v>0.23350000000000001</v>
      </c>
    </row>
    <row r="6173" spans="1:14">
      <c r="A6173" t="s">
        <v>315</v>
      </c>
      <c r="B6173" t="str">
        <f>_xlfn.XLOOKUP(A6173,'[1]Tissue Data'!$A:$A,'[1]Tissue Data'!$C:$C)</f>
        <v>Spill</v>
      </c>
      <c r="C6173" s="2">
        <f>_xlfn.XLOOKUP(A6173,'[1]Tissue Data'!$A:$A,'[1]Tissue Data'!$D:$D)</f>
        <v>44393</v>
      </c>
      <c r="D6173" s="2" t="s">
        <v>131</v>
      </c>
      <c r="E6173" t="str">
        <f>_xlfn.XLOOKUP(A6173,'[1]Tissue Data'!$A:$A,'[1]Tissue Data'!$H:$H)</f>
        <v>Rhinichthys</v>
      </c>
      <c r="F6173" t="str">
        <f>_xlfn.XLOOKUP(A6173,'[1]Tissue Data'!$A:$A,'[1]Tissue Data'!$I:$I)</f>
        <v>atratulus</v>
      </c>
      <c r="G6173" t="str">
        <f>_xlfn.XLOOKUP(A6173,'[1]Tissue Data'!$A:$A,'[1]Tissue Data'!J:J)</f>
        <v>U</v>
      </c>
      <c r="H6173" t="str">
        <f>_xlfn.XLOOKUP(A6173,'[1]Tissue Data'!$A:$A,'[1]Tissue Data'!K:K)</f>
        <v>Whole Body</v>
      </c>
      <c r="I6173">
        <f>_xlfn.XLOOKUP(A6173,'[1]Tissue Data'!$A:$A,'[1]Tissue Data'!L:L)</f>
        <v>4.3</v>
      </c>
      <c r="J6173">
        <f>_xlfn.XLOOKUP(A6173,'[1]Tissue Data'!$A:$A,'[1]Tissue Data'!M:M)</f>
        <v>2.0099999999999998</v>
      </c>
      <c r="K6173" t="s">
        <v>33</v>
      </c>
      <c r="L6173" t="str">
        <f>_xlfn.XLOOKUP(K6173,[2]analyte_order!$B:$B,[2]analyte_order!$C:$C)</f>
        <v>777011-38-8</v>
      </c>
      <c r="M6173">
        <f>_xlfn.XLOOKUP(L6173,[2]analyte_order!$C:$C,[2]analyte_order!$E:$E)</f>
        <v>54</v>
      </c>
      <c r="N6173">
        <v>0.52600000000000002</v>
      </c>
    </row>
    <row r="6174" spans="1:14">
      <c r="A6174" t="s">
        <v>315</v>
      </c>
      <c r="B6174" t="str">
        <f>_xlfn.XLOOKUP(A6174,'[1]Tissue Data'!$A:$A,'[1]Tissue Data'!$C:$C)</f>
        <v>Spill</v>
      </c>
      <c r="C6174" s="2">
        <f>_xlfn.XLOOKUP(A6174,'[1]Tissue Data'!$A:$A,'[1]Tissue Data'!$D:$D)</f>
        <v>44393</v>
      </c>
      <c r="D6174" s="2" t="s">
        <v>131</v>
      </c>
      <c r="E6174" t="str">
        <f>_xlfn.XLOOKUP(A6174,'[1]Tissue Data'!$A:$A,'[1]Tissue Data'!$H:$H)</f>
        <v>Rhinichthys</v>
      </c>
      <c r="F6174" t="str">
        <f>_xlfn.XLOOKUP(A6174,'[1]Tissue Data'!$A:$A,'[1]Tissue Data'!$I:$I)</f>
        <v>atratulus</v>
      </c>
      <c r="G6174" t="str">
        <f>_xlfn.XLOOKUP(A6174,'[1]Tissue Data'!$A:$A,'[1]Tissue Data'!J:J)</f>
        <v>U</v>
      </c>
      <c r="H6174" t="str">
        <f>_xlfn.XLOOKUP(A6174,'[1]Tissue Data'!$A:$A,'[1]Tissue Data'!K:K)</f>
        <v>Whole Body</v>
      </c>
      <c r="I6174">
        <f>_xlfn.XLOOKUP(A6174,'[1]Tissue Data'!$A:$A,'[1]Tissue Data'!L:L)</f>
        <v>4.3</v>
      </c>
      <c r="J6174">
        <f>_xlfn.XLOOKUP(A6174,'[1]Tissue Data'!$A:$A,'[1]Tissue Data'!M:M)</f>
        <v>2.0099999999999998</v>
      </c>
      <c r="K6174" t="s">
        <v>34</v>
      </c>
      <c r="L6174" t="str">
        <f>_xlfn.XLOOKUP(K6174,[2]analyte_order!$B:$B,[2]analyte_order!$C:$C)</f>
        <v>646-83-3</v>
      </c>
      <c r="M6174">
        <f>_xlfn.XLOOKUP(L6174,[2]analyte_order!$C:$C,[2]analyte_order!$E:$E)</f>
        <v>55</v>
      </c>
      <c r="N6174">
        <v>0.436</v>
      </c>
    </row>
    <row r="6175" spans="1:14">
      <c r="A6175" t="s">
        <v>315</v>
      </c>
      <c r="B6175" t="str">
        <f>_xlfn.XLOOKUP(A6175,'[1]Tissue Data'!$A:$A,'[1]Tissue Data'!$C:$C)</f>
        <v>Spill</v>
      </c>
      <c r="C6175" s="2">
        <f>_xlfn.XLOOKUP(A6175,'[1]Tissue Data'!$A:$A,'[1]Tissue Data'!$D:$D)</f>
        <v>44393</v>
      </c>
      <c r="D6175" s="2" t="s">
        <v>131</v>
      </c>
      <c r="E6175" t="str">
        <f>_xlfn.XLOOKUP(A6175,'[1]Tissue Data'!$A:$A,'[1]Tissue Data'!$H:$H)</f>
        <v>Rhinichthys</v>
      </c>
      <c r="F6175" t="str">
        <f>_xlfn.XLOOKUP(A6175,'[1]Tissue Data'!$A:$A,'[1]Tissue Data'!$I:$I)</f>
        <v>atratulus</v>
      </c>
      <c r="G6175" t="str">
        <f>_xlfn.XLOOKUP(A6175,'[1]Tissue Data'!$A:$A,'[1]Tissue Data'!J:J)</f>
        <v>U</v>
      </c>
      <c r="H6175" t="str">
        <f>_xlfn.XLOOKUP(A6175,'[1]Tissue Data'!$A:$A,'[1]Tissue Data'!K:K)</f>
        <v>Whole Body</v>
      </c>
      <c r="I6175">
        <f>_xlfn.XLOOKUP(A6175,'[1]Tissue Data'!$A:$A,'[1]Tissue Data'!L:L)</f>
        <v>4.3</v>
      </c>
      <c r="J6175">
        <f>_xlfn.XLOOKUP(A6175,'[1]Tissue Data'!$A:$A,'[1]Tissue Data'!M:M)</f>
        <v>2.0099999999999998</v>
      </c>
      <c r="K6175" t="s">
        <v>35</v>
      </c>
      <c r="L6175" t="str">
        <f>_xlfn.XLOOKUP(K6175,[2]analyte_order!$B:$B,[2]analyte_order!$C:$C)</f>
        <v>30334-69-1</v>
      </c>
      <c r="M6175">
        <f>_xlfn.XLOOKUP(L6175,[2]analyte_order!$C:$C,[2]analyte_order!$E:$E)</f>
        <v>51</v>
      </c>
      <c r="N6175">
        <v>46.8</v>
      </c>
    </row>
    <row r="6176" spans="1:14">
      <c r="A6176" t="s">
        <v>315</v>
      </c>
      <c r="B6176" t="str">
        <f>_xlfn.XLOOKUP(A6176,'[1]Tissue Data'!$A:$A,'[1]Tissue Data'!$C:$C)</f>
        <v>Spill</v>
      </c>
      <c r="C6176" s="2">
        <f>_xlfn.XLOOKUP(A6176,'[1]Tissue Data'!$A:$A,'[1]Tissue Data'!$D:$D)</f>
        <v>44393</v>
      </c>
      <c r="D6176" s="2" t="s">
        <v>131</v>
      </c>
      <c r="E6176" t="str">
        <f>_xlfn.XLOOKUP(A6176,'[1]Tissue Data'!$A:$A,'[1]Tissue Data'!$H:$H)</f>
        <v>Rhinichthys</v>
      </c>
      <c r="F6176" t="str">
        <f>_xlfn.XLOOKUP(A6176,'[1]Tissue Data'!$A:$A,'[1]Tissue Data'!$I:$I)</f>
        <v>atratulus</v>
      </c>
      <c r="G6176" t="str">
        <f>_xlfn.XLOOKUP(A6176,'[1]Tissue Data'!$A:$A,'[1]Tissue Data'!J:J)</f>
        <v>U</v>
      </c>
      <c r="H6176" t="str">
        <f>_xlfn.XLOOKUP(A6176,'[1]Tissue Data'!$A:$A,'[1]Tissue Data'!K:K)</f>
        <v>Whole Body</v>
      </c>
      <c r="I6176">
        <f>_xlfn.XLOOKUP(A6176,'[1]Tissue Data'!$A:$A,'[1]Tissue Data'!L:L)</f>
        <v>4.3</v>
      </c>
      <c r="J6176">
        <f>_xlfn.XLOOKUP(A6176,'[1]Tissue Data'!$A:$A,'[1]Tissue Data'!M:M)</f>
        <v>2.0099999999999998</v>
      </c>
      <c r="K6176" t="s">
        <v>36</v>
      </c>
      <c r="L6176" t="str">
        <f>_xlfn.XLOOKUP(K6176,[2]analyte_order!$B:$B,[2]analyte_order!$C:$C)</f>
        <v>41997-13-1</v>
      </c>
      <c r="M6176">
        <f>_xlfn.XLOOKUP(L6176,[2]analyte_order!$C:$C,[2]analyte_order!$E:$E)</f>
        <v>52</v>
      </c>
      <c r="N6176">
        <v>579</v>
      </c>
    </row>
    <row r="6177" spans="1:14">
      <c r="A6177" t="s">
        <v>315</v>
      </c>
      <c r="B6177" t="str">
        <f>_xlfn.XLOOKUP(A6177,'[1]Tissue Data'!$A:$A,'[1]Tissue Data'!$C:$C)</f>
        <v>Spill</v>
      </c>
      <c r="C6177" s="2">
        <f>_xlfn.XLOOKUP(A6177,'[1]Tissue Data'!$A:$A,'[1]Tissue Data'!$D:$D)</f>
        <v>44393</v>
      </c>
      <c r="D6177" s="2" t="s">
        <v>131</v>
      </c>
      <c r="E6177" t="str">
        <f>_xlfn.XLOOKUP(A6177,'[1]Tissue Data'!$A:$A,'[1]Tissue Data'!$H:$H)</f>
        <v>Rhinichthys</v>
      </c>
      <c r="F6177" t="str">
        <f>_xlfn.XLOOKUP(A6177,'[1]Tissue Data'!$A:$A,'[1]Tissue Data'!$I:$I)</f>
        <v>atratulus</v>
      </c>
      <c r="G6177" t="str">
        <f>_xlfn.XLOOKUP(A6177,'[1]Tissue Data'!$A:$A,'[1]Tissue Data'!J:J)</f>
        <v>U</v>
      </c>
      <c r="H6177" t="str">
        <f>_xlfn.XLOOKUP(A6177,'[1]Tissue Data'!$A:$A,'[1]Tissue Data'!K:K)</f>
        <v>Whole Body</v>
      </c>
      <c r="I6177">
        <f>_xlfn.XLOOKUP(A6177,'[1]Tissue Data'!$A:$A,'[1]Tissue Data'!L:L)</f>
        <v>4.3</v>
      </c>
      <c r="J6177">
        <f>_xlfn.XLOOKUP(A6177,'[1]Tissue Data'!$A:$A,'[1]Tissue Data'!M:M)</f>
        <v>2.0099999999999998</v>
      </c>
      <c r="K6177" t="s">
        <v>37</v>
      </c>
      <c r="L6177" t="str">
        <f>_xlfn.XLOOKUP(K6177,[2]analyte_order!$B:$B,[2]analyte_order!$C:$C)</f>
        <v>754-91-6</v>
      </c>
      <c r="M6177">
        <f>_xlfn.XLOOKUP(L6177,[2]analyte_order!$C:$C,[2]analyte_order!$E:$E)</f>
        <v>28</v>
      </c>
      <c r="N6177">
        <v>26</v>
      </c>
    </row>
    <row r="6178" spans="1:14">
      <c r="A6178" t="s">
        <v>315</v>
      </c>
      <c r="B6178" t="str">
        <f>_xlfn.XLOOKUP(A6178,'[1]Tissue Data'!$A:$A,'[1]Tissue Data'!$C:$C)</f>
        <v>Spill</v>
      </c>
      <c r="C6178" s="2">
        <f>_xlfn.XLOOKUP(A6178,'[1]Tissue Data'!$A:$A,'[1]Tissue Data'!$D:$D)</f>
        <v>44393</v>
      </c>
      <c r="D6178" s="2" t="s">
        <v>131</v>
      </c>
      <c r="E6178" t="str">
        <f>_xlfn.XLOOKUP(A6178,'[1]Tissue Data'!$A:$A,'[1]Tissue Data'!$H:$H)</f>
        <v>Rhinichthys</v>
      </c>
      <c r="F6178" t="str">
        <f>_xlfn.XLOOKUP(A6178,'[1]Tissue Data'!$A:$A,'[1]Tissue Data'!$I:$I)</f>
        <v>atratulus</v>
      </c>
      <c r="G6178" t="str">
        <f>_xlfn.XLOOKUP(A6178,'[1]Tissue Data'!$A:$A,'[1]Tissue Data'!J:J)</f>
        <v>U</v>
      </c>
      <c r="H6178" t="str">
        <f>_xlfn.XLOOKUP(A6178,'[1]Tissue Data'!$A:$A,'[1]Tissue Data'!K:K)</f>
        <v>Whole Body</v>
      </c>
      <c r="I6178">
        <f>_xlfn.XLOOKUP(A6178,'[1]Tissue Data'!$A:$A,'[1]Tissue Data'!L:L)</f>
        <v>4.3</v>
      </c>
      <c r="J6178">
        <f>_xlfn.XLOOKUP(A6178,'[1]Tissue Data'!$A:$A,'[1]Tissue Data'!M:M)</f>
        <v>2.0099999999999998</v>
      </c>
      <c r="K6178" t="s">
        <v>38</v>
      </c>
      <c r="L6178" t="str">
        <f>_xlfn.XLOOKUP(K6178,[2]analyte_order!$B:$B,[2]analyte_order!$C:$C)</f>
        <v>31506-32-8</v>
      </c>
      <c r="M6178">
        <f>_xlfn.XLOOKUP(L6178,[2]analyte_order!$C:$C,[2]analyte_order!$E:$E)</f>
        <v>30</v>
      </c>
      <c r="N6178">
        <v>8.4000000000000005E-2</v>
      </c>
    </row>
    <row r="6179" spans="1:14">
      <c r="A6179" t="s">
        <v>315</v>
      </c>
      <c r="B6179" t="str">
        <f>_xlfn.XLOOKUP(A6179,'[1]Tissue Data'!$A:$A,'[1]Tissue Data'!$C:$C)</f>
        <v>Spill</v>
      </c>
      <c r="C6179" s="2">
        <f>_xlfn.XLOOKUP(A6179,'[1]Tissue Data'!$A:$A,'[1]Tissue Data'!$D:$D)</f>
        <v>44393</v>
      </c>
      <c r="D6179" s="2" t="s">
        <v>131</v>
      </c>
      <c r="E6179" t="str">
        <f>_xlfn.XLOOKUP(A6179,'[1]Tissue Data'!$A:$A,'[1]Tissue Data'!$H:$H)</f>
        <v>Rhinichthys</v>
      </c>
      <c r="F6179" t="str">
        <f>_xlfn.XLOOKUP(A6179,'[1]Tissue Data'!$A:$A,'[1]Tissue Data'!$I:$I)</f>
        <v>atratulus</v>
      </c>
      <c r="G6179" t="str">
        <f>_xlfn.XLOOKUP(A6179,'[1]Tissue Data'!$A:$A,'[1]Tissue Data'!J:J)</f>
        <v>U</v>
      </c>
      <c r="H6179" t="str">
        <f>_xlfn.XLOOKUP(A6179,'[1]Tissue Data'!$A:$A,'[1]Tissue Data'!K:K)</f>
        <v>Whole Body</v>
      </c>
      <c r="I6179">
        <f>_xlfn.XLOOKUP(A6179,'[1]Tissue Data'!$A:$A,'[1]Tissue Data'!L:L)</f>
        <v>4.3</v>
      </c>
      <c r="J6179">
        <f>_xlfn.XLOOKUP(A6179,'[1]Tissue Data'!$A:$A,'[1]Tissue Data'!M:M)</f>
        <v>2.0099999999999998</v>
      </c>
      <c r="K6179" t="s">
        <v>39</v>
      </c>
      <c r="L6179" t="str">
        <f>_xlfn.XLOOKUP(K6179,[2]analyte_order!$B:$B,[2]analyte_order!$C:$C)</f>
        <v>4151-50-2</v>
      </c>
      <c r="M6179">
        <f>_xlfn.XLOOKUP(L6179,[2]analyte_order!$C:$C,[2]analyte_order!$E:$E)</f>
        <v>31</v>
      </c>
      <c r="N6179">
        <v>0.2185</v>
      </c>
    </row>
    <row r="6180" spans="1:14">
      <c r="A6180" t="s">
        <v>315</v>
      </c>
      <c r="B6180" t="str">
        <f>_xlfn.XLOOKUP(A6180,'[1]Tissue Data'!$A:$A,'[1]Tissue Data'!$C:$C)</f>
        <v>Spill</v>
      </c>
      <c r="C6180" s="2">
        <f>_xlfn.XLOOKUP(A6180,'[1]Tissue Data'!$A:$A,'[1]Tissue Data'!$D:$D)</f>
        <v>44393</v>
      </c>
      <c r="D6180" s="2" t="s">
        <v>131</v>
      </c>
      <c r="E6180" t="str">
        <f>_xlfn.XLOOKUP(A6180,'[1]Tissue Data'!$A:$A,'[1]Tissue Data'!$H:$H)</f>
        <v>Rhinichthys</v>
      </c>
      <c r="F6180" t="str">
        <f>_xlfn.XLOOKUP(A6180,'[1]Tissue Data'!$A:$A,'[1]Tissue Data'!$I:$I)</f>
        <v>atratulus</v>
      </c>
      <c r="G6180" t="str">
        <f>_xlfn.XLOOKUP(A6180,'[1]Tissue Data'!$A:$A,'[1]Tissue Data'!J:J)</f>
        <v>U</v>
      </c>
      <c r="H6180" t="str">
        <f>_xlfn.XLOOKUP(A6180,'[1]Tissue Data'!$A:$A,'[1]Tissue Data'!K:K)</f>
        <v>Whole Body</v>
      </c>
      <c r="I6180">
        <f>_xlfn.XLOOKUP(A6180,'[1]Tissue Data'!$A:$A,'[1]Tissue Data'!L:L)</f>
        <v>4.3</v>
      </c>
      <c r="J6180">
        <f>_xlfn.XLOOKUP(A6180,'[1]Tissue Data'!$A:$A,'[1]Tissue Data'!M:M)</f>
        <v>2.0099999999999998</v>
      </c>
      <c r="K6180" t="s">
        <v>40</v>
      </c>
      <c r="L6180" t="str">
        <f>_xlfn.XLOOKUP(K6180,[2]analyte_order!$B:$B,[2]analyte_order!$C:$C)</f>
        <v>2806-24-8</v>
      </c>
      <c r="M6180">
        <f>_xlfn.XLOOKUP(L6180,[2]analyte_order!$C:$C,[2]analyte_order!$E:$E)</f>
        <v>29</v>
      </c>
      <c r="N6180">
        <v>0.2185</v>
      </c>
    </row>
    <row r="6181" spans="1:14">
      <c r="A6181" t="s">
        <v>315</v>
      </c>
      <c r="B6181" t="str">
        <f>_xlfn.XLOOKUP(A6181,'[1]Tissue Data'!$A:$A,'[1]Tissue Data'!$C:$C)</f>
        <v>Spill</v>
      </c>
      <c r="C6181" s="2">
        <f>_xlfn.XLOOKUP(A6181,'[1]Tissue Data'!$A:$A,'[1]Tissue Data'!$D:$D)</f>
        <v>44393</v>
      </c>
      <c r="D6181" s="2" t="s">
        <v>131</v>
      </c>
      <c r="E6181" t="str">
        <f>_xlfn.XLOOKUP(A6181,'[1]Tissue Data'!$A:$A,'[1]Tissue Data'!$H:$H)</f>
        <v>Rhinichthys</v>
      </c>
      <c r="F6181" t="str">
        <f>_xlfn.XLOOKUP(A6181,'[1]Tissue Data'!$A:$A,'[1]Tissue Data'!$I:$I)</f>
        <v>atratulus</v>
      </c>
      <c r="G6181" t="str">
        <f>_xlfn.XLOOKUP(A6181,'[1]Tissue Data'!$A:$A,'[1]Tissue Data'!J:J)</f>
        <v>U</v>
      </c>
      <c r="H6181" t="str">
        <f>_xlfn.XLOOKUP(A6181,'[1]Tissue Data'!$A:$A,'[1]Tissue Data'!K:K)</f>
        <v>Whole Body</v>
      </c>
      <c r="I6181">
        <f>_xlfn.XLOOKUP(A6181,'[1]Tissue Data'!$A:$A,'[1]Tissue Data'!L:L)</f>
        <v>4.3</v>
      </c>
      <c r="J6181">
        <f>_xlfn.XLOOKUP(A6181,'[1]Tissue Data'!$A:$A,'[1]Tissue Data'!M:M)</f>
        <v>2.0099999999999998</v>
      </c>
      <c r="K6181" t="s">
        <v>41</v>
      </c>
      <c r="L6181" t="str">
        <f>_xlfn.XLOOKUP(K6181,[2]analyte_order!$B:$B,[2]analyte_order!$C:$C)</f>
        <v>2355-31-9</v>
      </c>
      <c r="M6181">
        <f>_xlfn.XLOOKUP(L6181,[2]analyte_order!$C:$C,[2]analyte_order!$E:$E)</f>
        <v>26</v>
      </c>
      <c r="N6181">
        <v>0.11</v>
      </c>
    </row>
    <row r="6182" spans="1:14">
      <c r="A6182" t="s">
        <v>315</v>
      </c>
      <c r="B6182" t="str">
        <f>_xlfn.XLOOKUP(A6182,'[1]Tissue Data'!$A:$A,'[1]Tissue Data'!$C:$C)</f>
        <v>Spill</v>
      </c>
      <c r="C6182" s="2">
        <f>_xlfn.XLOOKUP(A6182,'[1]Tissue Data'!$A:$A,'[1]Tissue Data'!$D:$D)</f>
        <v>44393</v>
      </c>
      <c r="D6182" s="2" t="s">
        <v>131</v>
      </c>
      <c r="E6182" t="str">
        <f>_xlfn.XLOOKUP(A6182,'[1]Tissue Data'!$A:$A,'[1]Tissue Data'!$H:$H)</f>
        <v>Rhinichthys</v>
      </c>
      <c r="F6182" t="str">
        <f>_xlfn.XLOOKUP(A6182,'[1]Tissue Data'!$A:$A,'[1]Tissue Data'!$I:$I)</f>
        <v>atratulus</v>
      </c>
      <c r="G6182" t="str">
        <f>_xlfn.XLOOKUP(A6182,'[1]Tissue Data'!$A:$A,'[1]Tissue Data'!J:J)</f>
        <v>U</v>
      </c>
      <c r="H6182" t="str">
        <f>_xlfn.XLOOKUP(A6182,'[1]Tissue Data'!$A:$A,'[1]Tissue Data'!K:K)</f>
        <v>Whole Body</v>
      </c>
      <c r="I6182">
        <f>_xlfn.XLOOKUP(A6182,'[1]Tissue Data'!$A:$A,'[1]Tissue Data'!L:L)</f>
        <v>4.3</v>
      </c>
      <c r="J6182">
        <f>_xlfn.XLOOKUP(A6182,'[1]Tissue Data'!$A:$A,'[1]Tissue Data'!M:M)</f>
        <v>2.0099999999999998</v>
      </c>
      <c r="K6182" t="s">
        <v>42</v>
      </c>
      <c r="L6182" t="str">
        <f>_xlfn.XLOOKUP(K6182,[2]analyte_order!$B:$B,[2]analyte_order!$C:$C)</f>
        <v>2991-50-6</v>
      </c>
      <c r="M6182">
        <f>_xlfn.XLOOKUP(L6182,[2]analyte_order!$C:$C,[2]analyte_order!$E:$E)</f>
        <v>27</v>
      </c>
      <c r="N6182">
        <v>0.109</v>
      </c>
    </row>
    <row r="6183" spans="1:14">
      <c r="A6183" t="s">
        <v>315</v>
      </c>
      <c r="B6183" t="str">
        <f>_xlfn.XLOOKUP(A6183,'[1]Tissue Data'!$A:$A,'[1]Tissue Data'!$C:$C)</f>
        <v>Spill</v>
      </c>
      <c r="C6183" s="2">
        <f>_xlfn.XLOOKUP(A6183,'[1]Tissue Data'!$A:$A,'[1]Tissue Data'!$D:$D)</f>
        <v>44393</v>
      </c>
      <c r="D6183" s="2" t="s">
        <v>131</v>
      </c>
      <c r="E6183" t="str">
        <f>_xlfn.XLOOKUP(A6183,'[1]Tissue Data'!$A:$A,'[1]Tissue Data'!$H:$H)</f>
        <v>Rhinichthys</v>
      </c>
      <c r="F6183" t="str">
        <f>_xlfn.XLOOKUP(A6183,'[1]Tissue Data'!$A:$A,'[1]Tissue Data'!$I:$I)</f>
        <v>atratulus</v>
      </c>
      <c r="G6183" t="str">
        <f>_xlfn.XLOOKUP(A6183,'[1]Tissue Data'!$A:$A,'[1]Tissue Data'!J:J)</f>
        <v>U</v>
      </c>
      <c r="H6183" t="str">
        <f>_xlfn.XLOOKUP(A6183,'[1]Tissue Data'!$A:$A,'[1]Tissue Data'!K:K)</f>
        <v>Whole Body</v>
      </c>
      <c r="I6183">
        <f>_xlfn.XLOOKUP(A6183,'[1]Tissue Data'!$A:$A,'[1]Tissue Data'!L:L)</f>
        <v>4.3</v>
      </c>
      <c r="J6183">
        <f>_xlfn.XLOOKUP(A6183,'[1]Tissue Data'!$A:$A,'[1]Tissue Data'!M:M)</f>
        <v>2.0099999999999998</v>
      </c>
      <c r="K6183" t="s">
        <v>43</v>
      </c>
      <c r="L6183" t="str">
        <f>_xlfn.XLOOKUP(K6183,[2]analyte_order!$B:$B,[2]analyte_order!$C:$C)</f>
        <v>757124-72-4</v>
      </c>
      <c r="M6183">
        <f>_xlfn.XLOOKUP(L6183,[2]analyte_order!$C:$C,[2]analyte_order!$E:$E)</f>
        <v>22</v>
      </c>
      <c r="N6183">
        <v>0.109</v>
      </c>
    </row>
    <row r="6184" spans="1:14">
      <c r="A6184" t="s">
        <v>315</v>
      </c>
      <c r="B6184" t="str">
        <f>_xlfn.XLOOKUP(A6184,'[1]Tissue Data'!$A:$A,'[1]Tissue Data'!$C:$C)</f>
        <v>Spill</v>
      </c>
      <c r="C6184" s="2">
        <f>_xlfn.XLOOKUP(A6184,'[1]Tissue Data'!$A:$A,'[1]Tissue Data'!$D:$D)</f>
        <v>44393</v>
      </c>
      <c r="D6184" s="2" t="s">
        <v>131</v>
      </c>
      <c r="E6184" t="str">
        <f>_xlfn.XLOOKUP(A6184,'[1]Tissue Data'!$A:$A,'[1]Tissue Data'!$H:$H)</f>
        <v>Rhinichthys</v>
      </c>
      <c r="F6184" t="str">
        <f>_xlfn.XLOOKUP(A6184,'[1]Tissue Data'!$A:$A,'[1]Tissue Data'!$I:$I)</f>
        <v>atratulus</v>
      </c>
      <c r="G6184" t="str">
        <f>_xlfn.XLOOKUP(A6184,'[1]Tissue Data'!$A:$A,'[1]Tissue Data'!J:J)</f>
        <v>U</v>
      </c>
      <c r="H6184" t="str">
        <f>_xlfn.XLOOKUP(A6184,'[1]Tissue Data'!$A:$A,'[1]Tissue Data'!K:K)</f>
        <v>Whole Body</v>
      </c>
      <c r="I6184">
        <f>_xlfn.XLOOKUP(A6184,'[1]Tissue Data'!$A:$A,'[1]Tissue Data'!L:L)</f>
        <v>4.3</v>
      </c>
      <c r="J6184">
        <f>_xlfn.XLOOKUP(A6184,'[1]Tissue Data'!$A:$A,'[1]Tissue Data'!M:M)</f>
        <v>2.0099999999999998</v>
      </c>
      <c r="K6184" t="s">
        <v>44</v>
      </c>
      <c r="L6184" t="str">
        <f>_xlfn.XLOOKUP(K6184,[2]analyte_order!$B:$B,[2]analyte_order!$C:$C)</f>
        <v>27619-97-2</v>
      </c>
      <c r="M6184">
        <f>_xlfn.XLOOKUP(L6184,[2]analyte_order!$C:$C,[2]analyte_order!$E:$E)</f>
        <v>23</v>
      </c>
      <c r="N6184">
        <v>0.98599999999999999</v>
      </c>
    </row>
    <row r="6185" spans="1:14">
      <c r="A6185" t="s">
        <v>315</v>
      </c>
      <c r="B6185" t="str">
        <f>_xlfn.XLOOKUP(A6185,'[1]Tissue Data'!$A:$A,'[1]Tissue Data'!$C:$C)</f>
        <v>Spill</v>
      </c>
      <c r="C6185" s="2">
        <f>_xlfn.XLOOKUP(A6185,'[1]Tissue Data'!$A:$A,'[1]Tissue Data'!$D:$D)</f>
        <v>44393</v>
      </c>
      <c r="D6185" s="2" t="s">
        <v>131</v>
      </c>
      <c r="E6185" t="str">
        <f>_xlfn.XLOOKUP(A6185,'[1]Tissue Data'!$A:$A,'[1]Tissue Data'!$H:$H)</f>
        <v>Rhinichthys</v>
      </c>
      <c r="F6185" t="str">
        <f>_xlfn.XLOOKUP(A6185,'[1]Tissue Data'!$A:$A,'[1]Tissue Data'!$I:$I)</f>
        <v>atratulus</v>
      </c>
      <c r="G6185" t="str">
        <f>_xlfn.XLOOKUP(A6185,'[1]Tissue Data'!$A:$A,'[1]Tissue Data'!J:J)</f>
        <v>U</v>
      </c>
      <c r="H6185" t="str">
        <f>_xlfn.XLOOKUP(A6185,'[1]Tissue Data'!$A:$A,'[1]Tissue Data'!K:K)</f>
        <v>Whole Body</v>
      </c>
      <c r="I6185">
        <f>_xlfn.XLOOKUP(A6185,'[1]Tissue Data'!$A:$A,'[1]Tissue Data'!L:L)</f>
        <v>4.3</v>
      </c>
      <c r="J6185">
        <f>_xlfn.XLOOKUP(A6185,'[1]Tissue Data'!$A:$A,'[1]Tissue Data'!M:M)</f>
        <v>2.0099999999999998</v>
      </c>
      <c r="K6185" t="s">
        <v>45</v>
      </c>
      <c r="L6185" t="str">
        <f>_xlfn.XLOOKUP(K6185,[2]analyte_order!$B:$B,[2]analyte_order!$C:$C)</f>
        <v>39108-34-4</v>
      </c>
      <c r="M6185">
        <f>_xlfn.XLOOKUP(L6185,[2]analyte_order!$C:$C,[2]analyte_order!$E:$E)</f>
        <v>24</v>
      </c>
      <c r="N6185">
        <v>18.3</v>
      </c>
    </row>
    <row r="6186" spans="1:14">
      <c r="A6186" t="s">
        <v>315</v>
      </c>
      <c r="B6186" t="str">
        <f>_xlfn.XLOOKUP(A6186,'[1]Tissue Data'!$A:$A,'[1]Tissue Data'!$C:$C)</f>
        <v>Spill</v>
      </c>
      <c r="C6186" s="2">
        <f>_xlfn.XLOOKUP(A6186,'[1]Tissue Data'!$A:$A,'[1]Tissue Data'!$D:$D)</f>
        <v>44393</v>
      </c>
      <c r="D6186" s="2" t="s">
        <v>131</v>
      </c>
      <c r="E6186" t="str">
        <f>_xlfn.XLOOKUP(A6186,'[1]Tissue Data'!$A:$A,'[1]Tissue Data'!$H:$H)</f>
        <v>Rhinichthys</v>
      </c>
      <c r="F6186" t="str">
        <f>_xlfn.XLOOKUP(A6186,'[1]Tissue Data'!$A:$A,'[1]Tissue Data'!$I:$I)</f>
        <v>atratulus</v>
      </c>
      <c r="G6186" t="str">
        <f>_xlfn.XLOOKUP(A6186,'[1]Tissue Data'!$A:$A,'[1]Tissue Data'!J:J)</f>
        <v>U</v>
      </c>
      <c r="H6186" t="str">
        <f>_xlfn.XLOOKUP(A6186,'[1]Tissue Data'!$A:$A,'[1]Tissue Data'!K:K)</f>
        <v>Whole Body</v>
      </c>
      <c r="I6186">
        <f>_xlfn.XLOOKUP(A6186,'[1]Tissue Data'!$A:$A,'[1]Tissue Data'!L:L)</f>
        <v>4.3</v>
      </c>
      <c r="J6186">
        <f>_xlfn.XLOOKUP(A6186,'[1]Tissue Data'!$A:$A,'[1]Tissue Data'!M:M)</f>
        <v>2.0099999999999998</v>
      </c>
      <c r="K6186" t="s">
        <v>46</v>
      </c>
      <c r="L6186" t="str">
        <f>_xlfn.XLOOKUP(K6186,[2]analyte_order!$B:$B,[2]analyte_order!$C:$C)</f>
        <v>120226-60-0</v>
      </c>
      <c r="M6186">
        <f>_xlfn.XLOOKUP(L6186,[2]analyte_order!$C:$C,[2]analyte_order!$E:$E)</f>
        <v>25</v>
      </c>
      <c r="N6186">
        <v>0.4365</v>
      </c>
    </row>
    <row r="6187" spans="1:14">
      <c r="A6187" t="s">
        <v>315</v>
      </c>
      <c r="B6187" t="str">
        <f>_xlfn.XLOOKUP(A6187,'[1]Tissue Data'!$A:$A,'[1]Tissue Data'!$C:$C)</f>
        <v>Spill</v>
      </c>
      <c r="C6187" s="2">
        <f>_xlfn.XLOOKUP(A6187,'[1]Tissue Data'!$A:$A,'[1]Tissue Data'!$D:$D)</f>
        <v>44393</v>
      </c>
      <c r="D6187" s="2" t="s">
        <v>131</v>
      </c>
      <c r="E6187" t="str">
        <f>_xlfn.XLOOKUP(A6187,'[1]Tissue Data'!$A:$A,'[1]Tissue Data'!$H:$H)</f>
        <v>Rhinichthys</v>
      </c>
      <c r="F6187" t="str">
        <f>_xlfn.XLOOKUP(A6187,'[1]Tissue Data'!$A:$A,'[1]Tissue Data'!$I:$I)</f>
        <v>atratulus</v>
      </c>
      <c r="G6187" t="str">
        <f>_xlfn.XLOOKUP(A6187,'[1]Tissue Data'!$A:$A,'[1]Tissue Data'!J:J)</f>
        <v>U</v>
      </c>
      <c r="H6187" t="str">
        <f>_xlfn.XLOOKUP(A6187,'[1]Tissue Data'!$A:$A,'[1]Tissue Data'!K:K)</f>
        <v>Whole Body</v>
      </c>
      <c r="I6187">
        <f>_xlfn.XLOOKUP(A6187,'[1]Tissue Data'!$A:$A,'[1]Tissue Data'!L:L)</f>
        <v>4.3</v>
      </c>
      <c r="J6187">
        <f>_xlfn.XLOOKUP(A6187,'[1]Tissue Data'!$A:$A,'[1]Tissue Data'!M:M)</f>
        <v>2.0099999999999998</v>
      </c>
      <c r="K6187" t="s">
        <v>47</v>
      </c>
      <c r="L6187" t="str">
        <f>_xlfn.XLOOKUP(K6187,[2]analyte_order!$B:$B,[2]analyte_order!$C:$C)</f>
        <v>356-02-5</v>
      </c>
      <c r="M6187">
        <f>_xlfn.XLOOKUP(L6187,[2]analyte_order!$C:$C,[2]analyte_order!$E:$E)</f>
        <v>38</v>
      </c>
      <c r="N6187">
        <v>0.2185</v>
      </c>
    </row>
    <row r="6188" spans="1:14">
      <c r="A6188" t="s">
        <v>315</v>
      </c>
      <c r="B6188" t="str">
        <f>_xlfn.XLOOKUP(A6188,'[1]Tissue Data'!$A:$A,'[1]Tissue Data'!$C:$C)</f>
        <v>Spill</v>
      </c>
      <c r="C6188" s="2">
        <f>_xlfn.XLOOKUP(A6188,'[1]Tissue Data'!$A:$A,'[1]Tissue Data'!$D:$D)</f>
        <v>44393</v>
      </c>
      <c r="D6188" s="2" t="s">
        <v>131</v>
      </c>
      <c r="E6188" t="str">
        <f>_xlfn.XLOOKUP(A6188,'[1]Tissue Data'!$A:$A,'[1]Tissue Data'!$H:$H)</f>
        <v>Rhinichthys</v>
      </c>
      <c r="F6188" t="str">
        <f>_xlfn.XLOOKUP(A6188,'[1]Tissue Data'!$A:$A,'[1]Tissue Data'!$I:$I)</f>
        <v>atratulus</v>
      </c>
      <c r="G6188" t="str">
        <f>_xlfn.XLOOKUP(A6188,'[1]Tissue Data'!$A:$A,'[1]Tissue Data'!J:J)</f>
        <v>U</v>
      </c>
      <c r="H6188" t="str">
        <f>_xlfn.XLOOKUP(A6188,'[1]Tissue Data'!$A:$A,'[1]Tissue Data'!K:K)</f>
        <v>Whole Body</v>
      </c>
      <c r="I6188">
        <f>_xlfn.XLOOKUP(A6188,'[1]Tissue Data'!$A:$A,'[1]Tissue Data'!L:L)</f>
        <v>4.3</v>
      </c>
      <c r="J6188">
        <f>_xlfn.XLOOKUP(A6188,'[1]Tissue Data'!$A:$A,'[1]Tissue Data'!M:M)</f>
        <v>2.0099999999999998</v>
      </c>
      <c r="K6188" t="s">
        <v>48</v>
      </c>
      <c r="L6188" t="str">
        <f>_xlfn.XLOOKUP(K6188,[2]analyte_order!$B:$B,[2]analyte_order!$C:$C)</f>
        <v>914637-49-3</v>
      </c>
      <c r="M6188">
        <f>_xlfn.XLOOKUP(L6188,[2]analyte_order!$C:$C,[2]analyte_order!$E:$E)</f>
        <v>39</v>
      </c>
      <c r="N6188">
        <v>0.109</v>
      </c>
    </row>
    <row r="6189" spans="1:14">
      <c r="A6189" t="s">
        <v>315</v>
      </c>
      <c r="B6189" t="str">
        <f>_xlfn.XLOOKUP(A6189,'[1]Tissue Data'!$A:$A,'[1]Tissue Data'!$C:$C)</f>
        <v>Spill</v>
      </c>
      <c r="C6189" s="2">
        <f>_xlfn.XLOOKUP(A6189,'[1]Tissue Data'!$A:$A,'[1]Tissue Data'!$D:$D)</f>
        <v>44393</v>
      </c>
      <c r="D6189" s="2" t="s">
        <v>131</v>
      </c>
      <c r="E6189" t="str">
        <f>_xlfn.XLOOKUP(A6189,'[1]Tissue Data'!$A:$A,'[1]Tissue Data'!$H:$H)</f>
        <v>Rhinichthys</v>
      </c>
      <c r="F6189" t="str">
        <f>_xlfn.XLOOKUP(A6189,'[1]Tissue Data'!$A:$A,'[1]Tissue Data'!$I:$I)</f>
        <v>atratulus</v>
      </c>
      <c r="G6189" t="str">
        <f>_xlfn.XLOOKUP(A6189,'[1]Tissue Data'!$A:$A,'[1]Tissue Data'!J:J)</f>
        <v>U</v>
      </c>
      <c r="H6189" t="str">
        <f>_xlfn.XLOOKUP(A6189,'[1]Tissue Data'!$A:$A,'[1]Tissue Data'!K:K)</f>
        <v>Whole Body</v>
      </c>
      <c r="I6189">
        <f>_xlfn.XLOOKUP(A6189,'[1]Tissue Data'!$A:$A,'[1]Tissue Data'!L:L)</f>
        <v>4.3</v>
      </c>
      <c r="J6189">
        <f>_xlfn.XLOOKUP(A6189,'[1]Tissue Data'!$A:$A,'[1]Tissue Data'!M:M)</f>
        <v>2.0099999999999998</v>
      </c>
      <c r="K6189" t="s">
        <v>49</v>
      </c>
      <c r="L6189" t="str">
        <f>_xlfn.XLOOKUP(K6189,[2]analyte_order!$B:$B,[2]analyte_order!$C:$C)</f>
        <v>812-70-4</v>
      </c>
      <c r="M6189">
        <f>_xlfn.XLOOKUP(L6189,[2]analyte_order!$C:$C,[2]analyte_order!$E:$E)</f>
        <v>40</v>
      </c>
      <c r="N6189">
        <v>0.2185</v>
      </c>
    </row>
    <row r="6190" spans="1:14">
      <c r="A6190" t="s">
        <v>315</v>
      </c>
      <c r="B6190" t="str">
        <f>_xlfn.XLOOKUP(A6190,'[1]Tissue Data'!$A:$A,'[1]Tissue Data'!$C:$C)</f>
        <v>Spill</v>
      </c>
      <c r="C6190" s="2">
        <f>_xlfn.XLOOKUP(A6190,'[1]Tissue Data'!$A:$A,'[1]Tissue Data'!$D:$D)</f>
        <v>44393</v>
      </c>
      <c r="D6190" s="2" t="s">
        <v>131</v>
      </c>
      <c r="E6190" t="str">
        <f>_xlfn.XLOOKUP(A6190,'[1]Tissue Data'!$A:$A,'[1]Tissue Data'!$H:$H)</f>
        <v>Rhinichthys</v>
      </c>
      <c r="F6190" t="str">
        <f>_xlfn.XLOOKUP(A6190,'[1]Tissue Data'!$A:$A,'[1]Tissue Data'!$I:$I)</f>
        <v>atratulus</v>
      </c>
      <c r="G6190" t="str">
        <f>_xlfn.XLOOKUP(A6190,'[1]Tissue Data'!$A:$A,'[1]Tissue Data'!J:J)</f>
        <v>U</v>
      </c>
      <c r="H6190" t="str">
        <f>_xlfn.XLOOKUP(A6190,'[1]Tissue Data'!$A:$A,'[1]Tissue Data'!K:K)</f>
        <v>Whole Body</v>
      </c>
      <c r="I6190">
        <f>_xlfn.XLOOKUP(A6190,'[1]Tissue Data'!$A:$A,'[1]Tissue Data'!L:L)</f>
        <v>4.3</v>
      </c>
      <c r="J6190">
        <f>_xlfn.XLOOKUP(A6190,'[1]Tissue Data'!$A:$A,'[1]Tissue Data'!M:M)</f>
        <v>2.0099999999999998</v>
      </c>
      <c r="K6190" t="s">
        <v>50</v>
      </c>
      <c r="L6190" t="str">
        <f>_xlfn.XLOOKUP(K6190,[2]analyte_order!$B:$B,[2]analyte_order!$C:$C)</f>
        <v>53826-12-3</v>
      </c>
      <c r="M6190">
        <f>_xlfn.XLOOKUP(L6190,[2]analyte_order!$C:$C,[2]analyte_order!$E:$E)</f>
        <v>41</v>
      </c>
      <c r="N6190">
        <v>0.2185</v>
      </c>
    </row>
    <row r="6191" spans="1:14">
      <c r="A6191" t="s">
        <v>315</v>
      </c>
      <c r="B6191" t="str">
        <f>_xlfn.XLOOKUP(A6191,'[1]Tissue Data'!$A:$A,'[1]Tissue Data'!$C:$C)</f>
        <v>Spill</v>
      </c>
      <c r="C6191" s="2">
        <f>_xlfn.XLOOKUP(A6191,'[1]Tissue Data'!$A:$A,'[1]Tissue Data'!$D:$D)</f>
        <v>44393</v>
      </c>
      <c r="D6191" s="2" t="s">
        <v>131</v>
      </c>
      <c r="E6191" t="str">
        <f>_xlfn.XLOOKUP(A6191,'[1]Tissue Data'!$A:$A,'[1]Tissue Data'!$H:$H)</f>
        <v>Rhinichthys</v>
      </c>
      <c r="F6191" t="str">
        <f>_xlfn.XLOOKUP(A6191,'[1]Tissue Data'!$A:$A,'[1]Tissue Data'!$I:$I)</f>
        <v>atratulus</v>
      </c>
      <c r="G6191" t="str">
        <f>_xlfn.XLOOKUP(A6191,'[1]Tissue Data'!$A:$A,'[1]Tissue Data'!J:J)</f>
        <v>U</v>
      </c>
      <c r="H6191" t="str">
        <f>_xlfn.XLOOKUP(A6191,'[1]Tissue Data'!$A:$A,'[1]Tissue Data'!K:K)</f>
        <v>Whole Body</v>
      </c>
      <c r="I6191">
        <f>_xlfn.XLOOKUP(A6191,'[1]Tissue Data'!$A:$A,'[1]Tissue Data'!L:L)</f>
        <v>4.3</v>
      </c>
      <c r="J6191">
        <f>_xlfn.XLOOKUP(A6191,'[1]Tissue Data'!$A:$A,'[1]Tissue Data'!M:M)</f>
        <v>2.0099999999999998</v>
      </c>
      <c r="K6191" t="s">
        <v>51</v>
      </c>
      <c r="L6191" t="str">
        <f>_xlfn.XLOOKUP(K6191,[2]analyte_order!$B:$B,[2]analyte_order!$C:$C)</f>
        <v>27854-31-5</v>
      </c>
      <c r="M6191">
        <f>_xlfn.XLOOKUP(L6191,[2]analyte_order!$C:$C,[2]analyte_order!$E:$E)</f>
        <v>42</v>
      </c>
      <c r="N6191">
        <v>0.109</v>
      </c>
    </row>
    <row r="6192" spans="1:14">
      <c r="A6192" t="s">
        <v>315</v>
      </c>
      <c r="B6192" t="str">
        <f>_xlfn.XLOOKUP(A6192,'[1]Tissue Data'!$A:$A,'[1]Tissue Data'!$C:$C)</f>
        <v>Spill</v>
      </c>
      <c r="C6192" s="2">
        <f>_xlfn.XLOOKUP(A6192,'[1]Tissue Data'!$A:$A,'[1]Tissue Data'!$D:$D)</f>
        <v>44393</v>
      </c>
      <c r="D6192" s="2" t="s">
        <v>131</v>
      </c>
      <c r="E6192" t="str">
        <f>_xlfn.XLOOKUP(A6192,'[1]Tissue Data'!$A:$A,'[1]Tissue Data'!$H:$H)</f>
        <v>Rhinichthys</v>
      </c>
      <c r="F6192" t="str">
        <f>_xlfn.XLOOKUP(A6192,'[1]Tissue Data'!$A:$A,'[1]Tissue Data'!$I:$I)</f>
        <v>atratulus</v>
      </c>
      <c r="G6192" t="str">
        <f>_xlfn.XLOOKUP(A6192,'[1]Tissue Data'!$A:$A,'[1]Tissue Data'!J:J)</f>
        <v>U</v>
      </c>
      <c r="H6192" t="str">
        <f>_xlfn.XLOOKUP(A6192,'[1]Tissue Data'!$A:$A,'[1]Tissue Data'!K:K)</f>
        <v>Whole Body</v>
      </c>
      <c r="I6192">
        <f>_xlfn.XLOOKUP(A6192,'[1]Tissue Data'!$A:$A,'[1]Tissue Data'!L:L)</f>
        <v>4.3</v>
      </c>
      <c r="J6192">
        <f>_xlfn.XLOOKUP(A6192,'[1]Tissue Data'!$A:$A,'[1]Tissue Data'!M:M)</f>
        <v>2.0099999999999998</v>
      </c>
      <c r="K6192" t="s">
        <v>52</v>
      </c>
      <c r="L6192" t="str">
        <f>_xlfn.XLOOKUP(K6192,[2]analyte_order!$B:$B,[2]analyte_order!$C:$C)</f>
        <v>53826-13-4</v>
      </c>
      <c r="M6192">
        <f>_xlfn.XLOOKUP(L6192,[2]analyte_order!$C:$C,[2]analyte_order!$E:$E)</f>
        <v>43</v>
      </c>
      <c r="N6192">
        <v>0.2185</v>
      </c>
    </row>
    <row r="6193" spans="1:14">
      <c r="A6193" t="s">
        <v>315</v>
      </c>
      <c r="B6193" t="str">
        <f>_xlfn.XLOOKUP(A6193,'[1]Tissue Data'!$A:$A,'[1]Tissue Data'!$C:$C)</f>
        <v>Spill</v>
      </c>
      <c r="C6193" s="2">
        <f>_xlfn.XLOOKUP(A6193,'[1]Tissue Data'!$A:$A,'[1]Tissue Data'!$D:$D)</f>
        <v>44393</v>
      </c>
      <c r="D6193" s="2" t="s">
        <v>131</v>
      </c>
      <c r="E6193" t="str">
        <f>_xlfn.XLOOKUP(A6193,'[1]Tissue Data'!$A:$A,'[1]Tissue Data'!$H:$H)</f>
        <v>Rhinichthys</v>
      </c>
      <c r="F6193" t="str">
        <f>_xlfn.XLOOKUP(A6193,'[1]Tissue Data'!$A:$A,'[1]Tissue Data'!$I:$I)</f>
        <v>atratulus</v>
      </c>
      <c r="G6193" t="str">
        <f>_xlfn.XLOOKUP(A6193,'[1]Tissue Data'!$A:$A,'[1]Tissue Data'!J:J)</f>
        <v>U</v>
      </c>
      <c r="H6193" t="str">
        <f>_xlfn.XLOOKUP(A6193,'[1]Tissue Data'!$A:$A,'[1]Tissue Data'!K:K)</f>
        <v>Whole Body</v>
      </c>
      <c r="I6193">
        <f>_xlfn.XLOOKUP(A6193,'[1]Tissue Data'!$A:$A,'[1]Tissue Data'!L:L)</f>
        <v>4.3</v>
      </c>
      <c r="J6193">
        <f>_xlfn.XLOOKUP(A6193,'[1]Tissue Data'!$A:$A,'[1]Tissue Data'!M:M)</f>
        <v>2.0099999999999998</v>
      </c>
      <c r="K6193" t="s">
        <v>53</v>
      </c>
      <c r="L6193" t="str">
        <f>_xlfn.XLOOKUP(K6193,[2]analyte_order!$B:$B,[2]analyte_order!$C:$C)</f>
        <v>161094-75-3</v>
      </c>
      <c r="M6193">
        <f>_xlfn.XLOOKUP(L6193,[2]analyte_order!$C:$C,[2]analyte_order!$E:$E)</f>
        <v>44</v>
      </c>
      <c r="N6193">
        <v>8.5500000000000007E-2</v>
      </c>
    </row>
    <row r="6194" spans="1:14">
      <c r="A6194" t="s">
        <v>315</v>
      </c>
      <c r="B6194" t="str">
        <f>_xlfn.XLOOKUP(A6194,'[1]Tissue Data'!$A:$A,'[1]Tissue Data'!$C:$C)</f>
        <v>Spill</v>
      </c>
      <c r="C6194" s="2">
        <f>_xlfn.XLOOKUP(A6194,'[1]Tissue Data'!$A:$A,'[1]Tissue Data'!$D:$D)</f>
        <v>44393</v>
      </c>
      <c r="D6194" s="2" t="s">
        <v>131</v>
      </c>
      <c r="E6194" t="str">
        <f>_xlfn.XLOOKUP(A6194,'[1]Tissue Data'!$A:$A,'[1]Tissue Data'!$H:$H)</f>
        <v>Rhinichthys</v>
      </c>
      <c r="F6194" t="str">
        <f>_xlfn.XLOOKUP(A6194,'[1]Tissue Data'!$A:$A,'[1]Tissue Data'!$I:$I)</f>
        <v>atratulus</v>
      </c>
      <c r="G6194" t="str">
        <f>_xlfn.XLOOKUP(A6194,'[1]Tissue Data'!$A:$A,'[1]Tissue Data'!J:J)</f>
        <v>U</v>
      </c>
      <c r="H6194" t="str">
        <f>_xlfn.XLOOKUP(A6194,'[1]Tissue Data'!$A:$A,'[1]Tissue Data'!K:K)</f>
        <v>Whole Body</v>
      </c>
      <c r="I6194">
        <f>_xlfn.XLOOKUP(A6194,'[1]Tissue Data'!$A:$A,'[1]Tissue Data'!L:L)</f>
        <v>4.3</v>
      </c>
      <c r="J6194">
        <f>_xlfn.XLOOKUP(A6194,'[1]Tissue Data'!$A:$A,'[1]Tissue Data'!M:M)</f>
        <v>2.0099999999999998</v>
      </c>
      <c r="K6194" t="s">
        <v>54</v>
      </c>
      <c r="L6194" t="str">
        <f>_xlfn.XLOOKUP(K6194,[2]analyte_order!$B:$B,[2]analyte_order!$C:$C)</f>
        <v>70887-84-2</v>
      </c>
      <c r="M6194">
        <f>_xlfn.XLOOKUP(L6194,[2]analyte_order!$C:$C,[2]analyte_order!$E:$E)</f>
        <v>45</v>
      </c>
      <c r="N6194">
        <v>6.6000000000000003E-2</v>
      </c>
    </row>
    <row r="6195" spans="1:14">
      <c r="A6195" t="s">
        <v>315</v>
      </c>
      <c r="B6195" t="str">
        <f>_xlfn.XLOOKUP(A6195,'[1]Tissue Data'!$A:$A,'[1]Tissue Data'!$C:$C)</f>
        <v>Spill</v>
      </c>
      <c r="C6195" s="2">
        <f>_xlfn.XLOOKUP(A6195,'[1]Tissue Data'!$A:$A,'[1]Tissue Data'!$D:$D)</f>
        <v>44393</v>
      </c>
      <c r="D6195" s="2" t="s">
        <v>131</v>
      </c>
      <c r="E6195" t="str">
        <f>_xlfn.XLOOKUP(A6195,'[1]Tissue Data'!$A:$A,'[1]Tissue Data'!$H:$H)</f>
        <v>Rhinichthys</v>
      </c>
      <c r="F6195" t="str">
        <f>_xlfn.XLOOKUP(A6195,'[1]Tissue Data'!$A:$A,'[1]Tissue Data'!$I:$I)</f>
        <v>atratulus</v>
      </c>
      <c r="G6195" t="str">
        <f>_xlfn.XLOOKUP(A6195,'[1]Tissue Data'!$A:$A,'[1]Tissue Data'!J:J)</f>
        <v>U</v>
      </c>
      <c r="H6195" t="str">
        <f>_xlfn.XLOOKUP(A6195,'[1]Tissue Data'!$A:$A,'[1]Tissue Data'!K:K)</f>
        <v>Whole Body</v>
      </c>
      <c r="I6195">
        <f>_xlfn.XLOOKUP(A6195,'[1]Tissue Data'!$A:$A,'[1]Tissue Data'!L:L)</f>
        <v>4.3</v>
      </c>
      <c r="J6195">
        <f>_xlfn.XLOOKUP(A6195,'[1]Tissue Data'!$A:$A,'[1]Tissue Data'!M:M)</f>
        <v>2.0099999999999998</v>
      </c>
      <c r="K6195" t="s">
        <v>55</v>
      </c>
      <c r="L6195" t="str">
        <f>_xlfn.XLOOKUP(K6195,[2]analyte_order!$B:$B,[2]analyte_order!$C:$C)</f>
        <v>919005-14-4</v>
      </c>
      <c r="M6195">
        <f>_xlfn.XLOOKUP(L6195,[2]analyte_order!$C:$C,[2]analyte_order!$E:$E)</f>
        <v>35</v>
      </c>
      <c r="N6195">
        <v>9.6500000000000002E-2</v>
      </c>
    </row>
    <row r="6196" spans="1:14">
      <c r="A6196" t="s">
        <v>315</v>
      </c>
      <c r="B6196" t="str">
        <f>_xlfn.XLOOKUP(A6196,'[1]Tissue Data'!$A:$A,'[1]Tissue Data'!$C:$C)</f>
        <v>Spill</v>
      </c>
      <c r="C6196" s="2">
        <f>_xlfn.XLOOKUP(A6196,'[1]Tissue Data'!$A:$A,'[1]Tissue Data'!$D:$D)</f>
        <v>44393</v>
      </c>
      <c r="D6196" s="2" t="s">
        <v>131</v>
      </c>
      <c r="E6196" t="str">
        <f>_xlfn.XLOOKUP(A6196,'[1]Tissue Data'!$A:$A,'[1]Tissue Data'!$H:$H)</f>
        <v>Rhinichthys</v>
      </c>
      <c r="F6196" t="str">
        <f>_xlfn.XLOOKUP(A6196,'[1]Tissue Data'!$A:$A,'[1]Tissue Data'!$I:$I)</f>
        <v>atratulus</v>
      </c>
      <c r="G6196" t="str">
        <f>_xlfn.XLOOKUP(A6196,'[1]Tissue Data'!$A:$A,'[1]Tissue Data'!J:J)</f>
        <v>U</v>
      </c>
      <c r="H6196" t="str">
        <f>_xlfn.XLOOKUP(A6196,'[1]Tissue Data'!$A:$A,'[1]Tissue Data'!K:K)</f>
        <v>Whole Body</v>
      </c>
      <c r="I6196">
        <f>_xlfn.XLOOKUP(A6196,'[1]Tissue Data'!$A:$A,'[1]Tissue Data'!L:L)</f>
        <v>4.3</v>
      </c>
      <c r="J6196">
        <f>_xlfn.XLOOKUP(A6196,'[1]Tissue Data'!$A:$A,'[1]Tissue Data'!M:M)</f>
        <v>2.0099999999999998</v>
      </c>
      <c r="K6196" t="s">
        <v>56</v>
      </c>
      <c r="L6196" t="str">
        <f>_xlfn.XLOOKUP(K6196,[2]analyte_order!$B:$B,[2]analyte_order!$C:$C)</f>
        <v>756426-58-1</v>
      </c>
      <c r="M6196">
        <f>_xlfn.XLOOKUP(L6196,[2]analyte_order!$C:$C,[2]analyte_order!$E:$E)</f>
        <v>36</v>
      </c>
      <c r="N6196">
        <v>0.2185</v>
      </c>
    </row>
    <row r="6197" spans="1:14">
      <c r="A6197" t="s">
        <v>315</v>
      </c>
      <c r="B6197" t="str">
        <f>_xlfn.XLOOKUP(A6197,'[1]Tissue Data'!$A:$A,'[1]Tissue Data'!$C:$C)</f>
        <v>Spill</v>
      </c>
      <c r="C6197" s="2">
        <f>_xlfn.XLOOKUP(A6197,'[1]Tissue Data'!$A:$A,'[1]Tissue Data'!$D:$D)</f>
        <v>44393</v>
      </c>
      <c r="D6197" s="2" t="s">
        <v>131</v>
      </c>
      <c r="E6197" t="str">
        <f>_xlfn.XLOOKUP(A6197,'[1]Tissue Data'!$A:$A,'[1]Tissue Data'!$H:$H)</f>
        <v>Rhinichthys</v>
      </c>
      <c r="F6197" t="str">
        <f>_xlfn.XLOOKUP(A6197,'[1]Tissue Data'!$A:$A,'[1]Tissue Data'!$I:$I)</f>
        <v>atratulus</v>
      </c>
      <c r="G6197" t="str">
        <f>_xlfn.XLOOKUP(A6197,'[1]Tissue Data'!$A:$A,'[1]Tissue Data'!J:J)</f>
        <v>U</v>
      </c>
      <c r="H6197" t="str">
        <f>_xlfn.XLOOKUP(A6197,'[1]Tissue Data'!$A:$A,'[1]Tissue Data'!K:K)</f>
        <v>Whole Body</v>
      </c>
      <c r="I6197">
        <f>_xlfn.XLOOKUP(A6197,'[1]Tissue Data'!$A:$A,'[1]Tissue Data'!L:L)</f>
        <v>4.3</v>
      </c>
      <c r="J6197">
        <f>_xlfn.XLOOKUP(A6197,'[1]Tissue Data'!$A:$A,'[1]Tissue Data'!M:M)</f>
        <v>2.0099999999999998</v>
      </c>
      <c r="K6197" t="s">
        <v>57</v>
      </c>
      <c r="L6197" t="str">
        <f>_xlfn.XLOOKUP(K6197,[2]analyte_order!$B:$B,[2]analyte_order!$C:$C)</f>
        <v>763051-92-9</v>
      </c>
      <c r="M6197">
        <f>_xlfn.XLOOKUP(L6197,[2]analyte_order!$C:$C,[2]analyte_order!$E:$E)</f>
        <v>37</v>
      </c>
      <c r="N6197">
        <v>0.2185</v>
      </c>
    </row>
    <row r="6198" spans="1:14">
      <c r="A6198" t="s">
        <v>315</v>
      </c>
      <c r="B6198" t="str">
        <f>_xlfn.XLOOKUP(A6198,'[1]Tissue Data'!$A:$A,'[1]Tissue Data'!$C:$C)</f>
        <v>Spill</v>
      </c>
      <c r="C6198" s="2">
        <f>_xlfn.XLOOKUP(A6198,'[1]Tissue Data'!$A:$A,'[1]Tissue Data'!$D:$D)</f>
        <v>44393</v>
      </c>
      <c r="D6198" s="2" t="s">
        <v>131</v>
      </c>
      <c r="E6198" t="str">
        <f>_xlfn.XLOOKUP(A6198,'[1]Tissue Data'!$A:$A,'[1]Tissue Data'!$H:$H)</f>
        <v>Rhinichthys</v>
      </c>
      <c r="F6198" t="str">
        <f>_xlfn.XLOOKUP(A6198,'[1]Tissue Data'!$A:$A,'[1]Tissue Data'!$I:$I)</f>
        <v>atratulus</v>
      </c>
      <c r="G6198" t="str">
        <f>_xlfn.XLOOKUP(A6198,'[1]Tissue Data'!$A:$A,'[1]Tissue Data'!J:J)</f>
        <v>U</v>
      </c>
      <c r="H6198" t="str">
        <f>_xlfn.XLOOKUP(A6198,'[1]Tissue Data'!$A:$A,'[1]Tissue Data'!K:K)</f>
        <v>Whole Body</v>
      </c>
      <c r="I6198">
        <f>_xlfn.XLOOKUP(A6198,'[1]Tissue Data'!$A:$A,'[1]Tissue Data'!L:L)</f>
        <v>4.3</v>
      </c>
      <c r="J6198">
        <f>_xlfn.XLOOKUP(A6198,'[1]Tissue Data'!$A:$A,'[1]Tissue Data'!M:M)</f>
        <v>2.0099999999999998</v>
      </c>
      <c r="K6198" t="s">
        <v>58</v>
      </c>
      <c r="L6198" t="str">
        <f>_xlfn.XLOOKUP(K6198,[2]analyte_order!$B:$B,[2]analyte_order!$C:$C)</f>
        <v>13252-13-6</v>
      </c>
      <c r="M6198">
        <f>_xlfn.XLOOKUP(L6198,[2]analyte_order!$C:$C,[2]analyte_order!$E:$E)</f>
        <v>34</v>
      </c>
      <c r="N6198">
        <v>0.1565</v>
      </c>
    </row>
    <row r="6199" spans="1:14">
      <c r="A6199" t="s">
        <v>315</v>
      </c>
      <c r="B6199" t="str">
        <f>_xlfn.XLOOKUP(A6199,'[1]Tissue Data'!$A:$A,'[1]Tissue Data'!$C:$C)</f>
        <v>Spill</v>
      </c>
      <c r="C6199" s="2">
        <f>_xlfn.XLOOKUP(A6199,'[1]Tissue Data'!$A:$A,'[1]Tissue Data'!$D:$D)</f>
        <v>44393</v>
      </c>
      <c r="D6199" s="2" t="s">
        <v>131</v>
      </c>
      <c r="E6199" t="str">
        <f>_xlfn.XLOOKUP(A6199,'[1]Tissue Data'!$A:$A,'[1]Tissue Data'!$H:$H)</f>
        <v>Rhinichthys</v>
      </c>
      <c r="F6199" t="str">
        <f>_xlfn.XLOOKUP(A6199,'[1]Tissue Data'!$A:$A,'[1]Tissue Data'!$I:$I)</f>
        <v>atratulus</v>
      </c>
      <c r="G6199" t="str">
        <f>_xlfn.XLOOKUP(A6199,'[1]Tissue Data'!$A:$A,'[1]Tissue Data'!J:J)</f>
        <v>U</v>
      </c>
      <c r="H6199" t="str">
        <f>_xlfn.XLOOKUP(A6199,'[1]Tissue Data'!$A:$A,'[1]Tissue Data'!K:K)</f>
        <v>Whole Body</v>
      </c>
      <c r="I6199">
        <f>_xlfn.XLOOKUP(A6199,'[1]Tissue Data'!$A:$A,'[1]Tissue Data'!L:L)</f>
        <v>4.3</v>
      </c>
      <c r="J6199">
        <f>_xlfn.XLOOKUP(A6199,'[1]Tissue Data'!$A:$A,'[1]Tissue Data'!M:M)</f>
        <v>2.0099999999999998</v>
      </c>
      <c r="K6199" t="s">
        <v>59</v>
      </c>
      <c r="L6199" t="str">
        <f>_xlfn.XLOOKUP(K6199,[2]analyte_order!$B:$B,[2]analyte_order!$C:$C)</f>
        <v>57677-95-9</v>
      </c>
      <c r="M6199">
        <f>_xlfn.XLOOKUP(L6199,[2]analyte_order!$C:$C,[2]analyte_order!$E:$E)</f>
        <v>46</v>
      </c>
      <c r="N6199">
        <v>0.2185</v>
      </c>
    </row>
    <row r="6200" spans="1:14">
      <c r="A6200" t="s">
        <v>315</v>
      </c>
      <c r="B6200" t="str">
        <f>_xlfn.XLOOKUP(A6200,'[1]Tissue Data'!$A:$A,'[1]Tissue Data'!$C:$C)</f>
        <v>Spill</v>
      </c>
      <c r="C6200" s="2">
        <f>_xlfn.XLOOKUP(A6200,'[1]Tissue Data'!$A:$A,'[1]Tissue Data'!$D:$D)</f>
        <v>44393</v>
      </c>
      <c r="D6200" s="2" t="s">
        <v>131</v>
      </c>
      <c r="E6200" t="str">
        <f>_xlfn.XLOOKUP(A6200,'[1]Tissue Data'!$A:$A,'[1]Tissue Data'!$H:$H)</f>
        <v>Rhinichthys</v>
      </c>
      <c r="F6200" t="str">
        <f>_xlfn.XLOOKUP(A6200,'[1]Tissue Data'!$A:$A,'[1]Tissue Data'!$I:$I)</f>
        <v>atratulus</v>
      </c>
      <c r="G6200" t="str">
        <f>_xlfn.XLOOKUP(A6200,'[1]Tissue Data'!$A:$A,'[1]Tissue Data'!J:J)</f>
        <v>U</v>
      </c>
      <c r="H6200" t="str">
        <f>_xlfn.XLOOKUP(A6200,'[1]Tissue Data'!$A:$A,'[1]Tissue Data'!K:K)</f>
        <v>Whole Body</v>
      </c>
      <c r="I6200">
        <f>_xlfn.XLOOKUP(A6200,'[1]Tissue Data'!$A:$A,'[1]Tissue Data'!L:L)</f>
        <v>4.3</v>
      </c>
      <c r="J6200">
        <f>_xlfn.XLOOKUP(A6200,'[1]Tissue Data'!$A:$A,'[1]Tissue Data'!M:M)</f>
        <v>2.0099999999999998</v>
      </c>
      <c r="K6200" t="s">
        <v>60</v>
      </c>
      <c r="L6200" t="str">
        <f>_xlfn.XLOOKUP(K6200,[2]analyte_order!$B:$B,[2]analyte_order!$C:$C)</f>
        <v>678-41-1</v>
      </c>
      <c r="M6200">
        <f>_xlfn.XLOOKUP(L6200,[2]analyte_order!$C:$C,[2]analyte_order!$E:$E)</f>
        <v>56</v>
      </c>
      <c r="N6200">
        <v>0.2185</v>
      </c>
    </row>
    <row r="6201" spans="1:14">
      <c r="A6201" t="s">
        <v>315</v>
      </c>
      <c r="B6201" t="str">
        <f>_xlfn.XLOOKUP(A6201,'[1]Tissue Data'!$A:$A,'[1]Tissue Data'!$C:$C)</f>
        <v>Spill</v>
      </c>
      <c r="C6201" s="2">
        <f>_xlfn.XLOOKUP(A6201,'[1]Tissue Data'!$A:$A,'[1]Tissue Data'!$D:$D)</f>
        <v>44393</v>
      </c>
      <c r="D6201" s="2" t="s">
        <v>131</v>
      </c>
      <c r="E6201" t="str">
        <f>_xlfn.XLOOKUP(A6201,'[1]Tissue Data'!$A:$A,'[1]Tissue Data'!$H:$H)</f>
        <v>Rhinichthys</v>
      </c>
      <c r="F6201" t="str">
        <f>_xlfn.XLOOKUP(A6201,'[1]Tissue Data'!$A:$A,'[1]Tissue Data'!$I:$I)</f>
        <v>atratulus</v>
      </c>
      <c r="G6201" t="str">
        <f>_xlfn.XLOOKUP(A6201,'[1]Tissue Data'!$A:$A,'[1]Tissue Data'!J:J)</f>
        <v>U</v>
      </c>
      <c r="H6201" t="str">
        <f>_xlfn.XLOOKUP(A6201,'[1]Tissue Data'!$A:$A,'[1]Tissue Data'!K:K)</f>
        <v>Whole Body</v>
      </c>
      <c r="I6201">
        <f>_xlfn.XLOOKUP(A6201,'[1]Tissue Data'!$A:$A,'[1]Tissue Data'!L:L)</f>
        <v>4.3</v>
      </c>
      <c r="J6201">
        <f>_xlfn.XLOOKUP(A6201,'[1]Tissue Data'!$A:$A,'[1]Tissue Data'!M:M)</f>
        <v>2.0099999999999998</v>
      </c>
      <c r="K6201" t="s">
        <v>61</v>
      </c>
      <c r="L6201" t="str">
        <f>_xlfn.XLOOKUP(K6201,[2]analyte_order!$B:$B,[2]analyte_order!$C:$C)</f>
        <v>2965-52-8</v>
      </c>
      <c r="M6201">
        <f>_xlfn.XLOOKUP(L6201,[2]analyte_order!$C:$C,[2]analyte_order!$E:$E)</f>
        <v>57</v>
      </c>
      <c r="N6201">
        <v>0.2185</v>
      </c>
    </row>
    <row r="6202" spans="1:14">
      <c r="A6202" t="s">
        <v>316</v>
      </c>
      <c r="B6202" t="str">
        <f>_xlfn.XLOOKUP(A6202,'[1]Tissue Data'!$A:$A,'[1]Tissue Data'!$C:$C)</f>
        <v>Spill</v>
      </c>
      <c r="C6202" s="2">
        <f>_xlfn.XLOOKUP(A6202,'[1]Tissue Data'!$A:$A,'[1]Tissue Data'!$D:$D)</f>
        <v>44393</v>
      </c>
      <c r="D6202" s="2" t="s">
        <v>131</v>
      </c>
      <c r="E6202" t="str">
        <f>_xlfn.XLOOKUP(A6202,'[1]Tissue Data'!$A:$A,'[1]Tissue Data'!$H:$H)</f>
        <v>Rhinichthys</v>
      </c>
      <c r="F6202" t="str">
        <f>_xlfn.XLOOKUP(A6202,'[1]Tissue Data'!$A:$A,'[1]Tissue Data'!$I:$I)</f>
        <v>atratulus</v>
      </c>
      <c r="G6202" t="str">
        <f>_xlfn.XLOOKUP(A6202,'[1]Tissue Data'!$A:$A,'[1]Tissue Data'!J:J)</f>
        <v>U</v>
      </c>
      <c r="H6202" t="str">
        <f>_xlfn.XLOOKUP(A6202,'[1]Tissue Data'!$A:$A,'[1]Tissue Data'!K:K)</f>
        <v>Whole Body</v>
      </c>
      <c r="I6202">
        <f>_xlfn.XLOOKUP(A6202,'[1]Tissue Data'!$A:$A,'[1]Tissue Data'!L:L)</f>
        <v>6</v>
      </c>
      <c r="J6202">
        <f>_xlfn.XLOOKUP(A6202,'[1]Tissue Data'!$A:$A,'[1]Tissue Data'!M:M)</f>
        <v>2.12</v>
      </c>
      <c r="K6202" t="s">
        <v>12</v>
      </c>
      <c r="L6202" t="str">
        <f>_xlfn.XLOOKUP(K6202,[2]analyte_order!$B:$B,[2]analyte_order!$C:$C)</f>
        <v>375-22-4</v>
      </c>
      <c r="M6202">
        <f>_xlfn.XLOOKUP(L6202,[2]analyte_order!$C:$C,[2]analyte_order!$E:$E)</f>
        <v>1</v>
      </c>
      <c r="N6202">
        <v>0.24349999999999999</v>
      </c>
    </row>
    <row r="6203" spans="1:14">
      <c r="A6203" t="s">
        <v>316</v>
      </c>
      <c r="B6203" t="str">
        <f>_xlfn.XLOOKUP(A6203,'[1]Tissue Data'!$A:$A,'[1]Tissue Data'!$C:$C)</f>
        <v>Spill</v>
      </c>
      <c r="C6203" s="2">
        <f>_xlfn.XLOOKUP(A6203,'[1]Tissue Data'!$A:$A,'[1]Tissue Data'!$D:$D)</f>
        <v>44393</v>
      </c>
      <c r="D6203" s="2" t="s">
        <v>131</v>
      </c>
      <c r="E6203" t="str">
        <f>_xlfn.XLOOKUP(A6203,'[1]Tissue Data'!$A:$A,'[1]Tissue Data'!$H:$H)</f>
        <v>Rhinichthys</v>
      </c>
      <c r="F6203" t="str">
        <f>_xlfn.XLOOKUP(A6203,'[1]Tissue Data'!$A:$A,'[1]Tissue Data'!$I:$I)</f>
        <v>atratulus</v>
      </c>
      <c r="G6203" t="str">
        <f>_xlfn.XLOOKUP(A6203,'[1]Tissue Data'!$A:$A,'[1]Tissue Data'!J:J)</f>
        <v>U</v>
      </c>
      <c r="H6203" t="str">
        <f>_xlfn.XLOOKUP(A6203,'[1]Tissue Data'!$A:$A,'[1]Tissue Data'!K:K)</f>
        <v>Whole Body</v>
      </c>
      <c r="I6203">
        <f>_xlfn.XLOOKUP(A6203,'[1]Tissue Data'!$A:$A,'[1]Tissue Data'!L:L)</f>
        <v>6</v>
      </c>
      <c r="J6203">
        <f>_xlfn.XLOOKUP(A6203,'[1]Tissue Data'!$A:$A,'[1]Tissue Data'!M:M)</f>
        <v>2.12</v>
      </c>
      <c r="K6203" t="s">
        <v>13</v>
      </c>
      <c r="L6203" t="str">
        <f>_xlfn.XLOOKUP(K6203,[2]analyte_order!$B:$B,[2]analyte_order!$C:$C)</f>
        <v>2706-90-3</v>
      </c>
      <c r="M6203">
        <f>_xlfn.XLOOKUP(L6203,[2]analyte_order!$C:$C,[2]analyte_order!$E:$E)</f>
        <v>2</v>
      </c>
      <c r="N6203">
        <v>8.5999999999999993E-2</v>
      </c>
    </row>
    <row r="6204" spans="1:14">
      <c r="A6204" t="s">
        <v>316</v>
      </c>
      <c r="B6204" t="str">
        <f>_xlfn.XLOOKUP(A6204,'[1]Tissue Data'!$A:$A,'[1]Tissue Data'!$C:$C)</f>
        <v>Spill</v>
      </c>
      <c r="C6204" s="2">
        <f>_xlfn.XLOOKUP(A6204,'[1]Tissue Data'!$A:$A,'[1]Tissue Data'!$D:$D)</f>
        <v>44393</v>
      </c>
      <c r="D6204" s="2" t="s">
        <v>131</v>
      </c>
      <c r="E6204" t="str">
        <f>_xlfn.XLOOKUP(A6204,'[1]Tissue Data'!$A:$A,'[1]Tissue Data'!$H:$H)</f>
        <v>Rhinichthys</v>
      </c>
      <c r="F6204" t="str">
        <f>_xlfn.XLOOKUP(A6204,'[1]Tissue Data'!$A:$A,'[1]Tissue Data'!$I:$I)</f>
        <v>atratulus</v>
      </c>
      <c r="G6204" t="str">
        <f>_xlfn.XLOOKUP(A6204,'[1]Tissue Data'!$A:$A,'[1]Tissue Data'!J:J)</f>
        <v>U</v>
      </c>
      <c r="H6204" t="str">
        <f>_xlfn.XLOOKUP(A6204,'[1]Tissue Data'!$A:$A,'[1]Tissue Data'!K:K)</f>
        <v>Whole Body</v>
      </c>
      <c r="I6204">
        <f>_xlfn.XLOOKUP(A6204,'[1]Tissue Data'!$A:$A,'[1]Tissue Data'!L:L)</f>
        <v>6</v>
      </c>
      <c r="J6204">
        <f>_xlfn.XLOOKUP(A6204,'[1]Tissue Data'!$A:$A,'[1]Tissue Data'!M:M)</f>
        <v>2.12</v>
      </c>
      <c r="K6204" t="s">
        <v>14</v>
      </c>
      <c r="L6204" t="str">
        <f>_xlfn.XLOOKUP(K6204,[2]analyte_order!$B:$B,[2]analyte_order!$C:$C)</f>
        <v>307-24-4</v>
      </c>
      <c r="M6204">
        <f>_xlfn.XLOOKUP(L6204,[2]analyte_order!$C:$C,[2]analyte_order!$E:$E)</f>
        <v>3</v>
      </c>
      <c r="N6204">
        <v>6.6000000000000003E-2</v>
      </c>
    </row>
    <row r="6205" spans="1:14">
      <c r="A6205" t="s">
        <v>316</v>
      </c>
      <c r="B6205" t="str">
        <f>_xlfn.XLOOKUP(A6205,'[1]Tissue Data'!$A:$A,'[1]Tissue Data'!$C:$C)</f>
        <v>Spill</v>
      </c>
      <c r="C6205" s="2">
        <f>_xlfn.XLOOKUP(A6205,'[1]Tissue Data'!$A:$A,'[1]Tissue Data'!$D:$D)</f>
        <v>44393</v>
      </c>
      <c r="D6205" s="2" t="s">
        <v>131</v>
      </c>
      <c r="E6205" t="str">
        <f>_xlfn.XLOOKUP(A6205,'[1]Tissue Data'!$A:$A,'[1]Tissue Data'!$H:$H)</f>
        <v>Rhinichthys</v>
      </c>
      <c r="F6205" t="str">
        <f>_xlfn.XLOOKUP(A6205,'[1]Tissue Data'!$A:$A,'[1]Tissue Data'!$I:$I)</f>
        <v>atratulus</v>
      </c>
      <c r="G6205" t="str">
        <f>_xlfn.XLOOKUP(A6205,'[1]Tissue Data'!$A:$A,'[1]Tissue Data'!J:J)</f>
        <v>U</v>
      </c>
      <c r="H6205" t="str">
        <f>_xlfn.XLOOKUP(A6205,'[1]Tissue Data'!$A:$A,'[1]Tissue Data'!K:K)</f>
        <v>Whole Body</v>
      </c>
      <c r="I6205">
        <f>_xlfn.XLOOKUP(A6205,'[1]Tissue Data'!$A:$A,'[1]Tissue Data'!L:L)</f>
        <v>6</v>
      </c>
      <c r="J6205">
        <f>_xlfn.XLOOKUP(A6205,'[1]Tissue Data'!$A:$A,'[1]Tissue Data'!M:M)</f>
        <v>2.12</v>
      </c>
      <c r="K6205" t="s">
        <v>15</v>
      </c>
      <c r="L6205" t="str">
        <f>_xlfn.XLOOKUP(K6205,[2]analyte_order!$B:$B,[2]analyte_order!$C:$C)</f>
        <v>375-85-9</v>
      </c>
      <c r="M6205">
        <f>_xlfn.XLOOKUP(L6205,[2]analyte_order!$C:$C,[2]analyte_order!$E:$E)</f>
        <v>4</v>
      </c>
      <c r="N6205">
        <v>0.24349999999999999</v>
      </c>
    </row>
    <row r="6206" spans="1:14">
      <c r="A6206" t="s">
        <v>316</v>
      </c>
      <c r="B6206" t="str">
        <f>_xlfn.XLOOKUP(A6206,'[1]Tissue Data'!$A:$A,'[1]Tissue Data'!$C:$C)</f>
        <v>Spill</v>
      </c>
      <c r="C6206" s="2">
        <f>_xlfn.XLOOKUP(A6206,'[1]Tissue Data'!$A:$A,'[1]Tissue Data'!$D:$D)</f>
        <v>44393</v>
      </c>
      <c r="D6206" s="2" t="s">
        <v>131</v>
      </c>
      <c r="E6206" t="str">
        <f>_xlfn.XLOOKUP(A6206,'[1]Tissue Data'!$A:$A,'[1]Tissue Data'!$H:$H)</f>
        <v>Rhinichthys</v>
      </c>
      <c r="F6206" t="str">
        <f>_xlfn.XLOOKUP(A6206,'[1]Tissue Data'!$A:$A,'[1]Tissue Data'!$I:$I)</f>
        <v>atratulus</v>
      </c>
      <c r="G6206" t="str">
        <f>_xlfn.XLOOKUP(A6206,'[1]Tissue Data'!$A:$A,'[1]Tissue Data'!J:J)</f>
        <v>U</v>
      </c>
      <c r="H6206" t="str">
        <f>_xlfn.XLOOKUP(A6206,'[1]Tissue Data'!$A:$A,'[1]Tissue Data'!K:K)</f>
        <v>Whole Body</v>
      </c>
      <c r="I6206">
        <f>_xlfn.XLOOKUP(A6206,'[1]Tissue Data'!$A:$A,'[1]Tissue Data'!L:L)</f>
        <v>6</v>
      </c>
      <c r="J6206">
        <f>_xlfn.XLOOKUP(A6206,'[1]Tissue Data'!$A:$A,'[1]Tissue Data'!M:M)</f>
        <v>2.12</v>
      </c>
      <c r="K6206" t="s">
        <v>16</v>
      </c>
      <c r="L6206" t="str">
        <f>_xlfn.XLOOKUP(K6206,[2]analyte_order!$B:$B,[2]analyte_order!$C:$C)</f>
        <v>335-67-1</v>
      </c>
      <c r="M6206">
        <f>_xlfn.XLOOKUP(L6206,[2]analyte_order!$C:$C,[2]analyte_order!$E:$E)</f>
        <v>5</v>
      </c>
      <c r="N6206">
        <v>1.33</v>
      </c>
    </row>
    <row r="6207" spans="1:14">
      <c r="A6207" t="s">
        <v>316</v>
      </c>
      <c r="B6207" t="str">
        <f>_xlfn.XLOOKUP(A6207,'[1]Tissue Data'!$A:$A,'[1]Tissue Data'!$C:$C)</f>
        <v>Spill</v>
      </c>
      <c r="C6207" s="2">
        <f>_xlfn.XLOOKUP(A6207,'[1]Tissue Data'!$A:$A,'[1]Tissue Data'!$D:$D)</f>
        <v>44393</v>
      </c>
      <c r="D6207" s="2" t="s">
        <v>131</v>
      </c>
      <c r="E6207" t="str">
        <f>_xlfn.XLOOKUP(A6207,'[1]Tissue Data'!$A:$A,'[1]Tissue Data'!$H:$H)</f>
        <v>Rhinichthys</v>
      </c>
      <c r="F6207" t="str">
        <f>_xlfn.XLOOKUP(A6207,'[1]Tissue Data'!$A:$A,'[1]Tissue Data'!$I:$I)</f>
        <v>atratulus</v>
      </c>
      <c r="G6207" t="str">
        <f>_xlfn.XLOOKUP(A6207,'[1]Tissue Data'!$A:$A,'[1]Tissue Data'!J:J)</f>
        <v>U</v>
      </c>
      <c r="H6207" t="str">
        <f>_xlfn.XLOOKUP(A6207,'[1]Tissue Data'!$A:$A,'[1]Tissue Data'!K:K)</f>
        <v>Whole Body</v>
      </c>
      <c r="I6207">
        <f>_xlfn.XLOOKUP(A6207,'[1]Tissue Data'!$A:$A,'[1]Tissue Data'!L:L)</f>
        <v>6</v>
      </c>
      <c r="J6207">
        <f>_xlfn.XLOOKUP(A6207,'[1]Tissue Data'!$A:$A,'[1]Tissue Data'!M:M)</f>
        <v>2.12</v>
      </c>
      <c r="K6207" t="s">
        <v>17</v>
      </c>
      <c r="L6207" t="str">
        <f>_xlfn.XLOOKUP(K6207,[2]analyte_order!$B:$B,[2]analyte_order!$C:$C)</f>
        <v>375-95-1</v>
      </c>
      <c r="M6207">
        <f>_xlfn.XLOOKUP(L6207,[2]analyte_order!$C:$C,[2]analyte_order!$E:$E)</f>
        <v>6</v>
      </c>
      <c r="N6207">
        <v>2.06</v>
      </c>
    </row>
    <row r="6208" spans="1:14">
      <c r="A6208" t="s">
        <v>316</v>
      </c>
      <c r="B6208" t="str">
        <f>_xlfn.XLOOKUP(A6208,'[1]Tissue Data'!$A:$A,'[1]Tissue Data'!$C:$C)</f>
        <v>Spill</v>
      </c>
      <c r="C6208" s="2">
        <f>_xlfn.XLOOKUP(A6208,'[1]Tissue Data'!$A:$A,'[1]Tissue Data'!$D:$D)</f>
        <v>44393</v>
      </c>
      <c r="D6208" s="2" t="s">
        <v>131</v>
      </c>
      <c r="E6208" t="str">
        <f>_xlfn.XLOOKUP(A6208,'[1]Tissue Data'!$A:$A,'[1]Tissue Data'!$H:$H)</f>
        <v>Rhinichthys</v>
      </c>
      <c r="F6208" t="str">
        <f>_xlfn.XLOOKUP(A6208,'[1]Tissue Data'!$A:$A,'[1]Tissue Data'!$I:$I)</f>
        <v>atratulus</v>
      </c>
      <c r="G6208" t="str">
        <f>_xlfn.XLOOKUP(A6208,'[1]Tissue Data'!$A:$A,'[1]Tissue Data'!J:J)</f>
        <v>U</v>
      </c>
      <c r="H6208" t="str">
        <f>_xlfn.XLOOKUP(A6208,'[1]Tissue Data'!$A:$A,'[1]Tissue Data'!K:K)</f>
        <v>Whole Body</v>
      </c>
      <c r="I6208">
        <f>_xlfn.XLOOKUP(A6208,'[1]Tissue Data'!$A:$A,'[1]Tissue Data'!L:L)</f>
        <v>6</v>
      </c>
      <c r="J6208">
        <f>_xlfn.XLOOKUP(A6208,'[1]Tissue Data'!$A:$A,'[1]Tissue Data'!M:M)</f>
        <v>2.12</v>
      </c>
      <c r="K6208" t="s">
        <v>18</v>
      </c>
      <c r="L6208" t="str">
        <f>_xlfn.XLOOKUP(K6208,[2]analyte_order!$B:$B,[2]analyte_order!$C:$C)</f>
        <v>335-76-2</v>
      </c>
      <c r="M6208">
        <f>_xlfn.XLOOKUP(L6208,[2]analyte_order!$C:$C,[2]analyte_order!$E:$E)</f>
        <v>7</v>
      </c>
      <c r="N6208">
        <v>6.13</v>
      </c>
    </row>
    <row r="6209" spans="1:14">
      <c r="A6209" t="s">
        <v>316</v>
      </c>
      <c r="B6209" t="str">
        <f>_xlfn.XLOOKUP(A6209,'[1]Tissue Data'!$A:$A,'[1]Tissue Data'!$C:$C)</f>
        <v>Spill</v>
      </c>
      <c r="C6209" s="2">
        <f>_xlfn.XLOOKUP(A6209,'[1]Tissue Data'!$A:$A,'[1]Tissue Data'!$D:$D)</f>
        <v>44393</v>
      </c>
      <c r="D6209" s="2" t="s">
        <v>131</v>
      </c>
      <c r="E6209" t="str">
        <f>_xlfn.XLOOKUP(A6209,'[1]Tissue Data'!$A:$A,'[1]Tissue Data'!$H:$H)</f>
        <v>Rhinichthys</v>
      </c>
      <c r="F6209" t="str">
        <f>_xlfn.XLOOKUP(A6209,'[1]Tissue Data'!$A:$A,'[1]Tissue Data'!$I:$I)</f>
        <v>atratulus</v>
      </c>
      <c r="G6209" t="str">
        <f>_xlfn.XLOOKUP(A6209,'[1]Tissue Data'!$A:$A,'[1]Tissue Data'!J:J)</f>
        <v>U</v>
      </c>
      <c r="H6209" t="str">
        <f>_xlfn.XLOOKUP(A6209,'[1]Tissue Data'!$A:$A,'[1]Tissue Data'!K:K)</f>
        <v>Whole Body</v>
      </c>
      <c r="I6209">
        <f>_xlfn.XLOOKUP(A6209,'[1]Tissue Data'!$A:$A,'[1]Tissue Data'!L:L)</f>
        <v>6</v>
      </c>
      <c r="J6209">
        <f>_xlfn.XLOOKUP(A6209,'[1]Tissue Data'!$A:$A,'[1]Tissue Data'!M:M)</f>
        <v>2.12</v>
      </c>
      <c r="K6209" t="s">
        <v>19</v>
      </c>
      <c r="L6209" t="str">
        <f>_xlfn.XLOOKUP(K6209,[2]analyte_order!$B:$B,[2]analyte_order!$C:$C)</f>
        <v>2058-94-8</v>
      </c>
      <c r="M6209">
        <f>_xlfn.XLOOKUP(L6209,[2]analyte_order!$C:$C,[2]analyte_order!$E:$E)</f>
        <v>8</v>
      </c>
      <c r="N6209">
        <v>9.9499999999999993</v>
      </c>
    </row>
    <row r="6210" spans="1:14">
      <c r="A6210" t="s">
        <v>316</v>
      </c>
      <c r="B6210" t="str">
        <f>_xlfn.XLOOKUP(A6210,'[1]Tissue Data'!$A:$A,'[1]Tissue Data'!$C:$C)</f>
        <v>Spill</v>
      </c>
      <c r="C6210" s="2">
        <f>_xlfn.XLOOKUP(A6210,'[1]Tissue Data'!$A:$A,'[1]Tissue Data'!$D:$D)</f>
        <v>44393</v>
      </c>
      <c r="D6210" s="2" t="s">
        <v>131</v>
      </c>
      <c r="E6210" t="str">
        <f>_xlfn.XLOOKUP(A6210,'[1]Tissue Data'!$A:$A,'[1]Tissue Data'!$H:$H)</f>
        <v>Rhinichthys</v>
      </c>
      <c r="F6210" t="str">
        <f>_xlfn.XLOOKUP(A6210,'[1]Tissue Data'!$A:$A,'[1]Tissue Data'!$I:$I)</f>
        <v>atratulus</v>
      </c>
      <c r="G6210" t="str">
        <f>_xlfn.XLOOKUP(A6210,'[1]Tissue Data'!$A:$A,'[1]Tissue Data'!J:J)</f>
        <v>U</v>
      </c>
      <c r="H6210" t="str">
        <f>_xlfn.XLOOKUP(A6210,'[1]Tissue Data'!$A:$A,'[1]Tissue Data'!K:K)</f>
        <v>Whole Body</v>
      </c>
      <c r="I6210">
        <f>_xlfn.XLOOKUP(A6210,'[1]Tissue Data'!$A:$A,'[1]Tissue Data'!L:L)</f>
        <v>6</v>
      </c>
      <c r="J6210">
        <f>_xlfn.XLOOKUP(A6210,'[1]Tissue Data'!$A:$A,'[1]Tissue Data'!M:M)</f>
        <v>2.12</v>
      </c>
      <c r="K6210" t="s">
        <v>20</v>
      </c>
      <c r="L6210" t="str">
        <f>_xlfn.XLOOKUP(K6210,[2]analyte_order!$B:$B,[2]analyte_order!$C:$C)</f>
        <v>307-55-1</v>
      </c>
      <c r="M6210">
        <f>_xlfn.XLOOKUP(L6210,[2]analyte_order!$C:$C,[2]analyte_order!$E:$E)</f>
        <v>9</v>
      </c>
      <c r="N6210">
        <v>10.5</v>
      </c>
    </row>
    <row r="6211" spans="1:14">
      <c r="A6211" t="s">
        <v>316</v>
      </c>
      <c r="B6211" t="str">
        <f>_xlfn.XLOOKUP(A6211,'[1]Tissue Data'!$A:$A,'[1]Tissue Data'!$C:$C)</f>
        <v>Spill</v>
      </c>
      <c r="C6211" s="2">
        <f>_xlfn.XLOOKUP(A6211,'[1]Tissue Data'!$A:$A,'[1]Tissue Data'!$D:$D)</f>
        <v>44393</v>
      </c>
      <c r="D6211" s="2" t="s">
        <v>131</v>
      </c>
      <c r="E6211" t="str">
        <f>_xlfn.XLOOKUP(A6211,'[1]Tissue Data'!$A:$A,'[1]Tissue Data'!$H:$H)</f>
        <v>Rhinichthys</v>
      </c>
      <c r="F6211" t="str">
        <f>_xlfn.XLOOKUP(A6211,'[1]Tissue Data'!$A:$A,'[1]Tissue Data'!$I:$I)</f>
        <v>atratulus</v>
      </c>
      <c r="G6211" t="str">
        <f>_xlfn.XLOOKUP(A6211,'[1]Tissue Data'!$A:$A,'[1]Tissue Data'!J:J)</f>
        <v>U</v>
      </c>
      <c r="H6211" t="str">
        <f>_xlfn.XLOOKUP(A6211,'[1]Tissue Data'!$A:$A,'[1]Tissue Data'!K:K)</f>
        <v>Whole Body</v>
      </c>
      <c r="I6211">
        <f>_xlfn.XLOOKUP(A6211,'[1]Tissue Data'!$A:$A,'[1]Tissue Data'!L:L)</f>
        <v>6</v>
      </c>
      <c r="J6211">
        <f>_xlfn.XLOOKUP(A6211,'[1]Tissue Data'!$A:$A,'[1]Tissue Data'!M:M)</f>
        <v>2.12</v>
      </c>
      <c r="K6211" t="s">
        <v>21</v>
      </c>
      <c r="L6211" t="str">
        <f>_xlfn.XLOOKUP(K6211,[2]analyte_order!$B:$B,[2]analyte_order!$C:$C)</f>
        <v>72629-94-8</v>
      </c>
      <c r="M6211">
        <f>_xlfn.XLOOKUP(L6211,[2]analyte_order!$C:$C,[2]analyte_order!$E:$E)</f>
        <v>10</v>
      </c>
      <c r="N6211">
        <v>7.92</v>
      </c>
    </row>
    <row r="6212" spans="1:14">
      <c r="A6212" t="s">
        <v>316</v>
      </c>
      <c r="B6212" t="str">
        <f>_xlfn.XLOOKUP(A6212,'[1]Tissue Data'!$A:$A,'[1]Tissue Data'!$C:$C)</f>
        <v>Spill</v>
      </c>
      <c r="C6212" s="2">
        <f>_xlfn.XLOOKUP(A6212,'[1]Tissue Data'!$A:$A,'[1]Tissue Data'!$D:$D)</f>
        <v>44393</v>
      </c>
      <c r="D6212" s="2" t="s">
        <v>131</v>
      </c>
      <c r="E6212" t="str">
        <f>_xlfn.XLOOKUP(A6212,'[1]Tissue Data'!$A:$A,'[1]Tissue Data'!$H:$H)</f>
        <v>Rhinichthys</v>
      </c>
      <c r="F6212" t="str">
        <f>_xlfn.XLOOKUP(A6212,'[1]Tissue Data'!$A:$A,'[1]Tissue Data'!$I:$I)</f>
        <v>atratulus</v>
      </c>
      <c r="G6212" t="str">
        <f>_xlfn.XLOOKUP(A6212,'[1]Tissue Data'!$A:$A,'[1]Tissue Data'!J:J)</f>
        <v>U</v>
      </c>
      <c r="H6212" t="str">
        <f>_xlfn.XLOOKUP(A6212,'[1]Tissue Data'!$A:$A,'[1]Tissue Data'!K:K)</f>
        <v>Whole Body</v>
      </c>
      <c r="I6212">
        <f>_xlfn.XLOOKUP(A6212,'[1]Tissue Data'!$A:$A,'[1]Tissue Data'!L:L)</f>
        <v>6</v>
      </c>
      <c r="J6212">
        <f>_xlfn.XLOOKUP(A6212,'[1]Tissue Data'!$A:$A,'[1]Tissue Data'!M:M)</f>
        <v>2.12</v>
      </c>
      <c r="K6212" t="s">
        <v>22</v>
      </c>
      <c r="L6212" t="str">
        <f>_xlfn.XLOOKUP(K6212,[2]analyte_order!$B:$B,[2]analyte_order!$C:$C)</f>
        <v>376-06-7</v>
      </c>
      <c r="M6212">
        <f>_xlfn.XLOOKUP(L6212,[2]analyte_order!$C:$C,[2]analyte_order!$E:$E)</f>
        <v>11</v>
      </c>
      <c r="N6212">
        <v>3.36</v>
      </c>
    </row>
    <row r="6213" spans="1:14">
      <c r="A6213" t="s">
        <v>316</v>
      </c>
      <c r="B6213" t="str">
        <f>_xlfn.XLOOKUP(A6213,'[1]Tissue Data'!$A:$A,'[1]Tissue Data'!$C:$C)</f>
        <v>Spill</v>
      </c>
      <c r="C6213" s="2">
        <f>_xlfn.XLOOKUP(A6213,'[1]Tissue Data'!$A:$A,'[1]Tissue Data'!$D:$D)</f>
        <v>44393</v>
      </c>
      <c r="D6213" s="2" t="s">
        <v>131</v>
      </c>
      <c r="E6213" t="str">
        <f>_xlfn.XLOOKUP(A6213,'[1]Tissue Data'!$A:$A,'[1]Tissue Data'!$H:$H)</f>
        <v>Rhinichthys</v>
      </c>
      <c r="F6213" t="str">
        <f>_xlfn.XLOOKUP(A6213,'[1]Tissue Data'!$A:$A,'[1]Tissue Data'!$I:$I)</f>
        <v>atratulus</v>
      </c>
      <c r="G6213" t="str">
        <f>_xlfn.XLOOKUP(A6213,'[1]Tissue Data'!$A:$A,'[1]Tissue Data'!J:J)</f>
        <v>U</v>
      </c>
      <c r="H6213" t="str">
        <f>_xlfn.XLOOKUP(A6213,'[1]Tissue Data'!$A:$A,'[1]Tissue Data'!K:K)</f>
        <v>Whole Body</v>
      </c>
      <c r="I6213">
        <f>_xlfn.XLOOKUP(A6213,'[1]Tissue Data'!$A:$A,'[1]Tissue Data'!L:L)</f>
        <v>6</v>
      </c>
      <c r="J6213">
        <f>_xlfn.XLOOKUP(A6213,'[1]Tissue Data'!$A:$A,'[1]Tissue Data'!M:M)</f>
        <v>2.12</v>
      </c>
      <c r="K6213" t="s">
        <v>23</v>
      </c>
      <c r="L6213" t="str">
        <f>_xlfn.XLOOKUP(K6213,[2]analyte_order!$B:$B,[2]analyte_order!$C:$C)</f>
        <v>67905-19-5</v>
      </c>
      <c r="M6213">
        <f>_xlfn.XLOOKUP(L6213,[2]analyte_order!$C:$C,[2]analyte_order!$E:$E)</f>
        <v>12</v>
      </c>
      <c r="N6213">
        <v>0.14499999999999999</v>
      </c>
    </row>
    <row r="6214" spans="1:14">
      <c r="A6214" t="s">
        <v>316</v>
      </c>
      <c r="B6214" t="str">
        <f>_xlfn.XLOOKUP(A6214,'[1]Tissue Data'!$A:$A,'[1]Tissue Data'!$C:$C)</f>
        <v>Spill</v>
      </c>
      <c r="C6214" s="2">
        <f>_xlfn.XLOOKUP(A6214,'[1]Tissue Data'!$A:$A,'[1]Tissue Data'!$D:$D)</f>
        <v>44393</v>
      </c>
      <c r="D6214" s="2" t="s">
        <v>131</v>
      </c>
      <c r="E6214" t="str">
        <f>_xlfn.XLOOKUP(A6214,'[1]Tissue Data'!$A:$A,'[1]Tissue Data'!$H:$H)</f>
        <v>Rhinichthys</v>
      </c>
      <c r="F6214" t="str">
        <f>_xlfn.XLOOKUP(A6214,'[1]Tissue Data'!$A:$A,'[1]Tissue Data'!$I:$I)</f>
        <v>atratulus</v>
      </c>
      <c r="G6214" t="str">
        <f>_xlfn.XLOOKUP(A6214,'[1]Tissue Data'!$A:$A,'[1]Tissue Data'!J:J)</f>
        <v>U</v>
      </c>
      <c r="H6214" t="str">
        <f>_xlfn.XLOOKUP(A6214,'[1]Tissue Data'!$A:$A,'[1]Tissue Data'!K:K)</f>
        <v>Whole Body</v>
      </c>
      <c r="I6214">
        <f>_xlfn.XLOOKUP(A6214,'[1]Tissue Data'!$A:$A,'[1]Tissue Data'!L:L)</f>
        <v>6</v>
      </c>
      <c r="J6214">
        <f>_xlfn.XLOOKUP(A6214,'[1]Tissue Data'!$A:$A,'[1]Tissue Data'!M:M)</f>
        <v>2.12</v>
      </c>
      <c r="K6214" t="s">
        <v>24</v>
      </c>
      <c r="L6214" t="str">
        <f>_xlfn.XLOOKUP(K6214,[2]analyte_order!$B:$B,[2]analyte_order!$C:$C)</f>
        <v>423-41-6</v>
      </c>
      <c r="M6214">
        <f>_xlfn.XLOOKUP(L6214,[2]analyte_order!$C:$C,[2]analyte_order!$E:$E)</f>
        <v>53</v>
      </c>
      <c r="N6214">
        <v>0.122</v>
      </c>
    </row>
    <row r="6215" spans="1:14">
      <c r="A6215" t="s">
        <v>316</v>
      </c>
      <c r="B6215" t="str">
        <f>_xlfn.XLOOKUP(A6215,'[1]Tissue Data'!$A:$A,'[1]Tissue Data'!$C:$C)</f>
        <v>Spill</v>
      </c>
      <c r="C6215" s="2">
        <f>_xlfn.XLOOKUP(A6215,'[1]Tissue Data'!$A:$A,'[1]Tissue Data'!$D:$D)</f>
        <v>44393</v>
      </c>
      <c r="D6215" s="2" t="s">
        <v>131</v>
      </c>
      <c r="E6215" t="str">
        <f>_xlfn.XLOOKUP(A6215,'[1]Tissue Data'!$A:$A,'[1]Tissue Data'!$H:$H)</f>
        <v>Rhinichthys</v>
      </c>
      <c r="F6215" t="str">
        <f>_xlfn.XLOOKUP(A6215,'[1]Tissue Data'!$A:$A,'[1]Tissue Data'!$I:$I)</f>
        <v>atratulus</v>
      </c>
      <c r="G6215" t="str">
        <f>_xlfn.XLOOKUP(A6215,'[1]Tissue Data'!$A:$A,'[1]Tissue Data'!J:J)</f>
        <v>U</v>
      </c>
      <c r="H6215" t="str">
        <f>_xlfn.XLOOKUP(A6215,'[1]Tissue Data'!$A:$A,'[1]Tissue Data'!K:K)</f>
        <v>Whole Body</v>
      </c>
      <c r="I6215">
        <f>_xlfn.XLOOKUP(A6215,'[1]Tissue Data'!$A:$A,'[1]Tissue Data'!L:L)</f>
        <v>6</v>
      </c>
      <c r="J6215">
        <f>_xlfn.XLOOKUP(A6215,'[1]Tissue Data'!$A:$A,'[1]Tissue Data'!M:M)</f>
        <v>2.12</v>
      </c>
      <c r="K6215" t="s">
        <v>25</v>
      </c>
      <c r="L6215" t="str">
        <f>_xlfn.XLOOKUP(K6215,[2]analyte_order!$B:$B,[2]analyte_order!$C:$C)</f>
        <v>375-73-5</v>
      </c>
      <c r="M6215">
        <f>_xlfn.XLOOKUP(L6215,[2]analyte_order!$C:$C,[2]analyte_order!$E:$E)</f>
        <v>14</v>
      </c>
      <c r="N6215">
        <v>0.24349999999999999</v>
      </c>
    </row>
    <row r="6216" spans="1:14">
      <c r="A6216" t="s">
        <v>316</v>
      </c>
      <c r="B6216" t="str">
        <f>_xlfn.XLOOKUP(A6216,'[1]Tissue Data'!$A:$A,'[1]Tissue Data'!$C:$C)</f>
        <v>Spill</v>
      </c>
      <c r="C6216" s="2">
        <f>_xlfn.XLOOKUP(A6216,'[1]Tissue Data'!$A:$A,'[1]Tissue Data'!$D:$D)</f>
        <v>44393</v>
      </c>
      <c r="D6216" s="2" t="s">
        <v>131</v>
      </c>
      <c r="E6216" t="str">
        <f>_xlfn.XLOOKUP(A6216,'[1]Tissue Data'!$A:$A,'[1]Tissue Data'!$H:$H)</f>
        <v>Rhinichthys</v>
      </c>
      <c r="F6216" t="str">
        <f>_xlfn.XLOOKUP(A6216,'[1]Tissue Data'!$A:$A,'[1]Tissue Data'!$I:$I)</f>
        <v>atratulus</v>
      </c>
      <c r="G6216" t="str">
        <f>_xlfn.XLOOKUP(A6216,'[1]Tissue Data'!$A:$A,'[1]Tissue Data'!J:J)</f>
        <v>U</v>
      </c>
      <c r="H6216" t="str">
        <f>_xlfn.XLOOKUP(A6216,'[1]Tissue Data'!$A:$A,'[1]Tissue Data'!K:K)</f>
        <v>Whole Body</v>
      </c>
      <c r="I6216">
        <f>_xlfn.XLOOKUP(A6216,'[1]Tissue Data'!$A:$A,'[1]Tissue Data'!L:L)</f>
        <v>6</v>
      </c>
      <c r="J6216">
        <f>_xlfn.XLOOKUP(A6216,'[1]Tissue Data'!$A:$A,'[1]Tissue Data'!M:M)</f>
        <v>2.12</v>
      </c>
      <c r="K6216" t="s">
        <v>26</v>
      </c>
      <c r="L6216" t="str">
        <f>_xlfn.XLOOKUP(K6216,[2]analyte_order!$B:$B,[2]analyte_order!$C:$C)</f>
        <v>2706-91-4</v>
      </c>
      <c r="M6216">
        <f>_xlfn.XLOOKUP(L6216,[2]analyte_order!$C:$C,[2]analyte_order!$E:$E)</f>
        <v>15</v>
      </c>
      <c r="N6216">
        <v>0.30299999999999999</v>
      </c>
    </row>
    <row r="6217" spans="1:14">
      <c r="A6217" t="s">
        <v>316</v>
      </c>
      <c r="B6217" t="str">
        <f>_xlfn.XLOOKUP(A6217,'[1]Tissue Data'!$A:$A,'[1]Tissue Data'!$C:$C)</f>
        <v>Spill</v>
      </c>
      <c r="C6217" s="2">
        <f>_xlfn.XLOOKUP(A6217,'[1]Tissue Data'!$A:$A,'[1]Tissue Data'!$D:$D)</f>
        <v>44393</v>
      </c>
      <c r="D6217" s="2" t="s">
        <v>131</v>
      </c>
      <c r="E6217" t="str">
        <f>_xlfn.XLOOKUP(A6217,'[1]Tissue Data'!$A:$A,'[1]Tissue Data'!$H:$H)</f>
        <v>Rhinichthys</v>
      </c>
      <c r="F6217" t="str">
        <f>_xlfn.XLOOKUP(A6217,'[1]Tissue Data'!$A:$A,'[1]Tissue Data'!$I:$I)</f>
        <v>atratulus</v>
      </c>
      <c r="G6217" t="str">
        <f>_xlfn.XLOOKUP(A6217,'[1]Tissue Data'!$A:$A,'[1]Tissue Data'!J:J)</f>
        <v>U</v>
      </c>
      <c r="H6217" t="str">
        <f>_xlfn.XLOOKUP(A6217,'[1]Tissue Data'!$A:$A,'[1]Tissue Data'!K:K)</f>
        <v>Whole Body</v>
      </c>
      <c r="I6217">
        <f>_xlfn.XLOOKUP(A6217,'[1]Tissue Data'!$A:$A,'[1]Tissue Data'!L:L)</f>
        <v>6</v>
      </c>
      <c r="J6217">
        <f>_xlfn.XLOOKUP(A6217,'[1]Tissue Data'!$A:$A,'[1]Tissue Data'!M:M)</f>
        <v>2.12</v>
      </c>
      <c r="K6217" t="s">
        <v>27</v>
      </c>
      <c r="L6217" t="str">
        <f>_xlfn.XLOOKUP(K6217,[2]analyte_order!$B:$B,[2]analyte_order!$C:$C)</f>
        <v>355-46-4</v>
      </c>
      <c r="M6217">
        <f>_xlfn.XLOOKUP(L6217,[2]analyte_order!$C:$C,[2]analyte_order!$E:$E)</f>
        <v>16</v>
      </c>
      <c r="N6217">
        <v>41.3</v>
      </c>
    </row>
    <row r="6218" spans="1:14">
      <c r="A6218" t="s">
        <v>316</v>
      </c>
      <c r="B6218" t="str">
        <f>_xlfn.XLOOKUP(A6218,'[1]Tissue Data'!$A:$A,'[1]Tissue Data'!$C:$C)</f>
        <v>Spill</v>
      </c>
      <c r="C6218" s="2">
        <f>_xlfn.XLOOKUP(A6218,'[1]Tissue Data'!$A:$A,'[1]Tissue Data'!$D:$D)</f>
        <v>44393</v>
      </c>
      <c r="D6218" s="2" t="s">
        <v>131</v>
      </c>
      <c r="E6218" t="str">
        <f>_xlfn.XLOOKUP(A6218,'[1]Tissue Data'!$A:$A,'[1]Tissue Data'!$H:$H)</f>
        <v>Rhinichthys</v>
      </c>
      <c r="F6218" t="str">
        <f>_xlfn.XLOOKUP(A6218,'[1]Tissue Data'!$A:$A,'[1]Tissue Data'!$I:$I)</f>
        <v>atratulus</v>
      </c>
      <c r="G6218" t="str">
        <f>_xlfn.XLOOKUP(A6218,'[1]Tissue Data'!$A:$A,'[1]Tissue Data'!J:J)</f>
        <v>U</v>
      </c>
      <c r="H6218" t="str">
        <f>_xlfn.XLOOKUP(A6218,'[1]Tissue Data'!$A:$A,'[1]Tissue Data'!K:K)</f>
        <v>Whole Body</v>
      </c>
      <c r="I6218">
        <f>_xlfn.XLOOKUP(A6218,'[1]Tissue Data'!$A:$A,'[1]Tissue Data'!L:L)</f>
        <v>6</v>
      </c>
      <c r="J6218">
        <f>_xlfn.XLOOKUP(A6218,'[1]Tissue Data'!$A:$A,'[1]Tissue Data'!M:M)</f>
        <v>2.12</v>
      </c>
      <c r="K6218" t="s">
        <v>28</v>
      </c>
      <c r="L6218" t="str">
        <f>_xlfn.XLOOKUP(K6218,[2]analyte_order!$B:$B,[2]analyte_order!$C:$C)</f>
        <v>375-92-8</v>
      </c>
      <c r="M6218">
        <f>_xlfn.XLOOKUP(L6218,[2]analyte_order!$C:$C,[2]analyte_order!$E:$E)</f>
        <v>17</v>
      </c>
      <c r="N6218">
        <v>3.37</v>
      </c>
    </row>
    <row r="6219" spans="1:14">
      <c r="A6219" t="s">
        <v>316</v>
      </c>
      <c r="B6219" t="str">
        <f>_xlfn.XLOOKUP(A6219,'[1]Tissue Data'!$A:$A,'[1]Tissue Data'!$C:$C)</f>
        <v>Spill</v>
      </c>
      <c r="C6219" s="2">
        <f>_xlfn.XLOOKUP(A6219,'[1]Tissue Data'!$A:$A,'[1]Tissue Data'!$D:$D)</f>
        <v>44393</v>
      </c>
      <c r="D6219" s="2" t="s">
        <v>131</v>
      </c>
      <c r="E6219" t="str">
        <f>_xlfn.XLOOKUP(A6219,'[1]Tissue Data'!$A:$A,'[1]Tissue Data'!$H:$H)</f>
        <v>Rhinichthys</v>
      </c>
      <c r="F6219" t="str">
        <f>_xlfn.XLOOKUP(A6219,'[1]Tissue Data'!$A:$A,'[1]Tissue Data'!$I:$I)</f>
        <v>atratulus</v>
      </c>
      <c r="G6219" t="str">
        <f>_xlfn.XLOOKUP(A6219,'[1]Tissue Data'!$A:$A,'[1]Tissue Data'!J:J)</f>
        <v>U</v>
      </c>
      <c r="H6219" t="str">
        <f>_xlfn.XLOOKUP(A6219,'[1]Tissue Data'!$A:$A,'[1]Tissue Data'!K:K)</f>
        <v>Whole Body</v>
      </c>
      <c r="I6219">
        <f>_xlfn.XLOOKUP(A6219,'[1]Tissue Data'!$A:$A,'[1]Tissue Data'!L:L)</f>
        <v>6</v>
      </c>
      <c r="J6219">
        <f>_xlfn.XLOOKUP(A6219,'[1]Tissue Data'!$A:$A,'[1]Tissue Data'!M:M)</f>
        <v>2.12</v>
      </c>
      <c r="K6219" t="s">
        <v>29</v>
      </c>
      <c r="L6219" t="str">
        <f>_xlfn.XLOOKUP(K6219,[2]analyte_order!$B:$B,[2]analyte_order!$C:$C)</f>
        <v>1763-23-1</v>
      </c>
      <c r="M6219">
        <f>_xlfn.XLOOKUP(L6219,[2]analyte_order!$C:$C,[2]analyte_order!$E:$E)</f>
        <v>18</v>
      </c>
      <c r="N6219">
        <v>655</v>
      </c>
    </row>
    <row r="6220" spans="1:14">
      <c r="A6220" t="s">
        <v>316</v>
      </c>
      <c r="B6220" t="str">
        <f>_xlfn.XLOOKUP(A6220,'[1]Tissue Data'!$A:$A,'[1]Tissue Data'!$C:$C)</f>
        <v>Spill</v>
      </c>
      <c r="C6220" s="2">
        <f>_xlfn.XLOOKUP(A6220,'[1]Tissue Data'!$A:$A,'[1]Tissue Data'!$D:$D)</f>
        <v>44393</v>
      </c>
      <c r="D6220" s="2" t="s">
        <v>131</v>
      </c>
      <c r="E6220" t="str">
        <f>_xlfn.XLOOKUP(A6220,'[1]Tissue Data'!$A:$A,'[1]Tissue Data'!$H:$H)</f>
        <v>Rhinichthys</v>
      </c>
      <c r="F6220" t="str">
        <f>_xlfn.XLOOKUP(A6220,'[1]Tissue Data'!$A:$A,'[1]Tissue Data'!$I:$I)</f>
        <v>atratulus</v>
      </c>
      <c r="G6220" t="str">
        <f>_xlfn.XLOOKUP(A6220,'[1]Tissue Data'!$A:$A,'[1]Tissue Data'!J:J)</f>
        <v>U</v>
      </c>
      <c r="H6220" t="str">
        <f>_xlfn.XLOOKUP(A6220,'[1]Tissue Data'!$A:$A,'[1]Tissue Data'!K:K)</f>
        <v>Whole Body</v>
      </c>
      <c r="I6220">
        <f>_xlfn.XLOOKUP(A6220,'[1]Tissue Data'!$A:$A,'[1]Tissue Data'!L:L)</f>
        <v>6</v>
      </c>
      <c r="J6220">
        <f>_xlfn.XLOOKUP(A6220,'[1]Tissue Data'!$A:$A,'[1]Tissue Data'!M:M)</f>
        <v>2.12</v>
      </c>
      <c r="K6220" t="s">
        <v>30</v>
      </c>
      <c r="L6220" t="str">
        <f>_xlfn.XLOOKUP(K6220,[2]analyte_order!$B:$B,[2]analyte_order!$C:$C)</f>
        <v>68259-12-1</v>
      </c>
      <c r="M6220">
        <f>_xlfn.XLOOKUP(L6220,[2]analyte_order!$C:$C,[2]analyte_order!$E:$E)</f>
        <v>19</v>
      </c>
      <c r="N6220">
        <v>0.48899999999999999</v>
      </c>
    </row>
    <row r="6221" spans="1:14">
      <c r="A6221" t="s">
        <v>316</v>
      </c>
      <c r="B6221" t="str">
        <f>_xlfn.XLOOKUP(A6221,'[1]Tissue Data'!$A:$A,'[1]Tissue Data'!$C:$C)</f>
        <v>Spill</v>
      </c>
      <c r="C6221" s="2">
        <f>_xlfn.XLOOKUP(A6221,'[1]Tissue Data'!$A:$A,'[1]Tissue Data'!$D:$D)</f>
        <v>44393</v>
      </c>
      <c r="D6221" s="2" t="s">
        <v>131</v>
      </c>
      <c r="E6221" t="str">
        <f>_xlfn.XLOOKUP(A6221,'[1]Tissue Data'!$A:$A,'[1]Tissue Data'!$H:$H)</f>
        <v>Rhinichthys</v>
      </c>
      <c r="F6221" t="str">
        <f>_xlfn.XLOOKUP(A6221,'[1]Tissue Data'!$A:$A,'[1]Tissue Data'!$I:$I)</f>
        <v>atratulus</v>
      </c>
      <c r="G6221" t="str">
        <f>_xlfn.XLOOKUP(A6221,'[1]Tissue Data'!$A:$A,'[1]Tissue Data'!J:J)</f>
        <v>U</v>
      </c>
      <c r="H6221" t="str">
        <f>_xlfn.XLOOKUP(A6221,'[1]Tissue Data'!$A:$A,'[1]Tissue Data'!K:K)</f>
        <v>Whole Body</v>
      </c>
      <c r="I6221">
        <f>_xlfn.XLOOKUP(A6221,'[1]Tissue Data'!$A:$A,'[1]Tissue Data'!L:L)</f>
        <v>6</v>
      </c>
      <c r="J6221">
        <f>_xlfn.XLOOKUP(A6221,'[1]Tissue Data'!$A:$A,'[1]Tissue Data'!M:M)</f>
        <v>2.12</v>
      </c>
      <c r="K6221" t="s">
        <v>31</v>
      </c>
      <c r="L6221" t="str">
        <f>_xlfn.XLOOKUP(K6221,[2]analyte_order!$B:$B,[2]analyte_order!$C:$C)</f>
        <v>335-77-3</v>
      </c>
      <c r="M6221">
        <f>_xlfn.XLOOKUP(L6221,[2]analyte_order!$C:$C,[2]analyte_order!$E:$E)</f>
        <v>20</v>
      </c>
      <c r="N6221">
        <v>0.24349999999999999</v>
      </c>
    </row>
    <row r="6222" spans="1:14">
      <c r="A6222" t="s">
        <v>316</v>
      </c>
      <c r="B6222" t="str">
        <f>_xlfn.XLOOKUP(A6222,'[1]Tissue Data'!$A:$A,'[1]Tissue Data'!$C:$C)</f>
        <v>Spill</v>
      </c>
      <c r="C6222" s="2">
        <f>_xlfn.XLOOKUP(A6222,'[1]Tissue Data'!$A:$A,'[1]Tissue Data'!$D:$D)</f>
        <v>44393</v>
      </c>
      <c r="D6222" s="2" t="s">
        <v>131</v>
      </c>
      <c r="E6222" t="str">
        <f>_xlfn.XLOOKUP(A6222,'[1]Tissue Data'!$A:$A,'[1]Tissue Data'!$H:$H)</f>
        <v>Rhinichthys</v>
      </c>
      <c r="F6222" t="str">
        <f>_xlfn.XLOOKUP(A6222,'[1]Tissue Data'!$A:$A,'[1]Tissue Data'!$I:$I)</f>
        <v>atratulus</v>
      </c>
      <c r="G6222" t="str">
        <f>_xlfn.XLOOKUP(A6222,'[1]Tissue Data'!$A:$A,'[1]Tissue Data'!J:J)</f>
        <v>U</v>
      </c>
      <c r="H6222" t="str">
        <f>_xlfn.XLOOKUP(A6222,'[1]Tissue Data'!$A:$A,'[1]Tissue Data'!K:K)</f>
        <v>Whole Body</v>
      </c>
      <c r="I6222">
        <f>_xlfn.XLOOKUP(A6222,'[1]Tissue Data'!$A:$A,'[1]Tissue Data'!L:L)</f>
        <v>6</v>
      </c>
      <c r="J6222">
        <f>_xlfn.XLOOKUP(A6222,'[1]Tissue Data'!$A:$A,'[1]Tissue Data'!M:M)</f>
        <v>2.12</v>
      </c>
      <c r="K6222" t="s">
        <v>32</v>
      </c>
      <c r="L6222" t="str">
        <f>_xlfn.XLOOKUP(K6222,[2]analyte_order!$B:$B,[2]analyte_order!$C:$C)</f>
        <v>79780-39-5</v>
      </c>
      <c r="M6222">
        <f>_xlfn.XLOOKUP(L6222,[2]analyte_order!$C:$C,[2]analyte_order!$E:$E)</f>
        <v>21</v>
      </c>
      <c r="N6222">
        <v>0.26050000000000001</v>
      </c>
    </row>
    <row r="6223" spans="1:14">
      <c r="A6223" t="s">
        <v>316</v>
      </c>
      <c r="B6223" t="str">
        <f>_xlfn.XLOOKUP(A6223,'[1]Tissue Data'!$A:$A,'[1]Tissue Data'!$C:$C)</f>
        <v>Spill</v>
      </c>
      <c r="C6223" s="2">
        <f>_xlfn.XLOOKUP(A6223,'[1]Tissue Data'!$A:$A,'[1]Tissue Data'!$D:$D)</f>
        <v>44393</v>
      </c>
      <c r="D6223" s="2" t="s">
        <v>131</v>
      </c>
      <c r="E6223" t="str">
        <f>_xlfn.XLOOKUP(A6223,'[1]Tissue Data'!$A:$A,'[1]Tissue Data'!$H:$H)</f>
        <v>Rhinichthys</v>
      </c>
      <c r="F6223" t="str">
        <f>_xlfn.XLOOKUP(A6223,'[1]Tissue Data'!$A:$A,'[1]Tissue Data'!$I:$I)</f>
        <v>atratulus</v>
      </c>
      <c r="G6223" t="str">
        <f>_xlfn.XLOOKUP(A6223,'[1]Tissue Data'!$A:$A,'[1]Tissue Data'!J:J)</f>
        <v>U</v>
      </c>
      <c r="H6223" t="str">
        <f>_xlfn.XLOOKUP(A6223,'[1]Tissue Data'!$A:$A,'[1]Tissue Data'!K:K)</f>
        <v>Whole Body</v>
      </c>
      <c r="I6223">
        <f>_xlfn.XLOOKUP(A6223,'[1]Tissue Data'!$A:$A,'[1]Tissue Data'!L:L)</f>
        <v>6</v>
      </c>
      <c r="J6223">
        <f>_xlfn.XLOOKUP(A6223,'[1]Tissue Data'!$A:$A,'[1]Tissue Data'!M:M)</f>
        <v>2.12</v>
      </c>
      <c r="K6223" t="s">
        <v>33</v>
      </c>
      <c r="L6223" t="str">
        <f>_xlfn.XLOOKUP(K6223,[2]analyte_order!$B:$B,[2]analyte_order!$C:$C)</f>
        <v>777011-38-8</v>
      </c>
      <c r="M6223">
        <f>_xlfn.XLOOKUP(L6223,[2]analyte_order!$C:$C,[2]analyte_order!$E:$E)</f>
        <v>54</v>
      </c>
      <c r="N6223">
        <v>0.14799999999999999</v>
      </c>
    </row>
    <row r="6224" spans="1:14">
      <c r="A6224" t="s">
        <v>316</v>
      </c>
      <c r="B6224" t="str">
        <f>_xlfn.XLOOKUP(A6224,'[1]Tissue Data'!$A:$A,'[1]Tissue Data'!$C:$C)</f>
        <v>Spill</v>
      </c>
      <c r="C6224" s="2">
        <f>_xlfn.XLOOKUP(A6224,'[1]Tissue Data'!$A:$A,'[1]Tissue Data'!$D:$D)</f>
        <v>44393</v>
      </c>
      <c r="D6224" s="2" t="s">
        <v>131</v>
      </c>
      <c r="E6224" t="str">
        <f>_xlfn.XLOOKUP(A6224,'[1]Tissue Data'!$A:$A,'[1]Tissue Data'!$H:$H)</f>
        <v>Rhinichthys</v>
      </c>
      <c r="F6224" t="str">
        <f>_xlfn.XLOOKUP(A6224,'[1]Tissue Data'!$A:$A,'[1]Tissue Data'!$I:$I)</f>
        <v>atratulus</v>
      </c>
      <c r="G6224" t="str">
        <f>_xlfn.XLOOKUP(A6224,'[1]Tissue Data'!$A:$A,'[1]Tissue Data'!J:J)</f>
        <v>U</v>
      </c>
      <c r="H6224" t="str">
        <f>_xlfn.XLOOKUP(A6224,'[1]Tissue Data'!$A:$A,'[1]Tissue Data'!K:K)</f>
        <v>Whole Body</v>
      </c>
      <c r="I6224">
        <f>_xlfn.XLOOKUP(A6224,'[1]Tissue Data'!$A:$A,'[1]Tissue Data'!L:L)</f>
        <v>6</v>
      </c>
      <c r="J6224">
        <f>_xlfn.XLOOKUP(A6224,'[1]Tissue Data'!$A:$A,'[1]Tissue Data'!M:M)</f>
        <v>2.12</v>
      </c>
      <c r="K6224" t="s">
        <v>34</v>
      </c>
      <c r="L6224" t="str">
        <f>_xlfn.XLOOKUP(K6224,[2]analyte_order!$B:$B,[2]analyte_order!$C:$C)</f>
        <v>646-83-3</v>
      </c>
      <c r="M6224">
        <f>_xlfn.XLOOKUP(L6224,[2]analyte_order!$C:$C,[2]analyte_order!$E:$E)</f>
        <v>55</v>
      </c>
      <c r="N6224">
        <v>0.2</v>
      </c>
    </row>
    <row r="6225" spans="1:14">
      <c r="A6225" t="s">
        <v>316</v>
      </c>
      <c r="B6225" t="str">
        <f>_xlfn.XLOOKUP(A6225,'[1]Tissue Data'!$A:$A,'[1]Tissue Data'!$C:$C)</f>
        <v>Spill</v>
      </c>
      <c r="C6225" s="2">
        <f>_xlfn.XLOOKUP(A6225,'[1]Tissue Data'!$A:$A,'[1]Tissue Data'!$D:$D)</f>
        <v>44393</v>
      </c>
      <c r="D6225" s="2" t="s">
        <v>131</v>
      </c>
      <c r="E6225" t="str">
        <f>_xlfn.XLOOKUP(A6225,'[1]Tissue Data'!$A:$A,'[1]Tissue Data'!$H:$H)</f>
        <v>Rhinichthys</v>
      </c>
      <c r="F6225" t="str">
        <f>_xlfn.XLOOKUP(A6225,'[1]Tissue Data'!$A:$A,'[1]Tissue Data'!$I:$I)</f>
        <v>atratulus</v>
      </c>
      <c r="G6225" t="str">
        <f>_xlfn.XLOOKUP(A6225,'[1]Tissue Data'!$A:$A,'[1]Tissue Data'!J:J)</f>
        <v>U</v>
      </c>
      <c r="H6225" t="str">
        <f>_xlfn.XLOOKUP(A6225,'[1]Tissue Data'!$A:$A,'[1]Tissue Data'!K:K)</f>
        <v>Whole Body</v>
      </c>
      <c r="I6225">
        <f>_xlfn.XLOOKUP(A6225,'[1]Tissue Data'!$A:$A,'[1]Tissue Data'!L:L)</f>
        <v>6</v>
      </c>
      <c r="J6225">
        <f>_xlfn.XLOOKUP(A6225,'[1]Tissue Data'!$A:$A,'[1]Tissue Data'!M:M)</f>
        <v>2.12</v>
      </c>
      <c r="K6225" t="s">
        <v>35</v>
      </c>
      <c r="L6225" t="str">
        <f>_xlfn.XLOOKUP(K6225,[2]analyte_order!$B:$B,[2]analyte_order!$C:$C)</f>
        <v>30334-69-1</v>
      </c>
      <c r="M6225">
        <f>_xlfn.XLOOKUP(L6225,[2]analyte_order!$C:$C,[2]analyte_order!$E:$E)</f>
        <v>51</v>
      </c>
      <c r="N6225">
        <v>195</v>
      </c>
    </row>
    <row r="6226" spans="1:14">
      <c r="A6226" t="s">
        <v>316</v>
      </c>
      <c r="B6226" t="str">
        <f>_xlfn.XLOOKUP(A6226,'[1]Tissue Data'!$A:$A,'[1]Tissue Data'!$C:$C)</f>
        <v>Spill</v>
      </c>
      <c r="C6226" s="2">
        <f>_xlfn.XLOOKUP(A6226,'[1]Tissue Data'!$A:$A,'[1]Tissue Data'!$D:$D)</f>
        <v>44393</v>
      </c>
      <c r="D6226" s="2" t="s">
        <v>131</v>
      </c>
      <c r="E6226" t="str">
        <f>_xlfn.XLOOKUP(A6226,'[1]Tissue Data'!$A:$A,'[1]Tissue Data'!$H:$H)</f>
        <v>Rhinichthys</v>
      </c>
      <c r="F6226" t="str">
        <f>_xlfn.XLOOKUP(A6226,'[1]Tissue Data'!$A:$A,'[1]Tissue Data'!$I:$I)</f>
        <v>atratulus</v>
      </c>
      <c r="G6226" t="str">
        <f>_xlfn.XLOOKUP(A6226,'[1]Tissue Data'!$A:$A,'[1]Tissue Data'!J:J)</f>
        <v>U</v>
      </c>
      <c r="H6226" t="str">
        <f>_xlfn.XLOOKUP(A6226,'[1]Tissue Data'!$A:$A,'[1]Tissue Data'!K:K)</f>
        <v>Whole Body</v>
      </c>
      <c r="I6226">
        <f>_xlfn.XLOOKUP(A6226,'[1]Tissue Data'!$A:$A,'[1]Tissue Data'!L:L)</f>
        <v>6</v>
      </c>
      <c r="J6226">
        <f>_xlfn.XLOOKUP(A6226,'[1]Tissue Data'!$A:$A,'[1]Tissue Data'!M:M)</f>
        <v>2.12</v>
      </c>
      <c r="K6226" t="s">
        <v>36</v>
      </c>
      <c r="L6226" t="str">
        <f>_xlfn.XLOOKUP(K6226,[2]analyte_order!$B:$B,[2]analyte_order!$C:$C)</f>
        <v>41997-13-1</v>
      </c>
      <c r="M6226">
        <f>_xlfn.XLOOKUP(L6226,[2]analyte_order!$C:$C,[2]analyte_order!$E:$E)</f>
        <v>52</v>
      </c>
      <c r="N6226">
        <v>726</v>
      </c>
    </row>
    <row r="6227" spans="1:14">
      <c r="A6227" t="s">
        <v>316</v>
      </c>
      <c r="B6227" t="str">
        <f>_xlfn.XLOOKUP(A6227,'[1]Tissue Data'!$A:$A,'[1]Tissue Data'!$C:$C)</f>
        <v>Spill</v>
      </c>
      <c r="C6227" s="2">
        <f>_xlfn.XLOOKUP(A6227,'[1]Tissue Data'!$A:$A,'[1]Tissue Data'!$D:$D)</f>
        <v>44393</v>
      </c>
      <c r="D6227" s="2" t="s">
        <v>131</v>
      </c>
      <c r="E6227" t="str">
        <f>_xlfn.XLOOKUP(A6227,'[1]Tissue Data'!$A:$A,'[1]Tissue Data'!$H:$H)</f>
        <v>Rhinichthys</v>
      </c>
      <c r="F6227" t="str">
        <f>_xlfn.XLOOKUP(A6227,'[1]Tissue Data'!$A:$A,'[1]Tissue Data'!$I:$I)</f>
        <v>atratulus</v>
      </c>
      <c r="G6227" t="str">
        <f>_xlfn.XLOOKUP(A6227,'[1]Tissue Data'!$A:$A,'[1]Tissue Data'!J:J)</f>
        <v>U</v>
      </c>
      <c r="H6227" t="str">
        <f>_xlfn.XLOOKUP(A6227,'[1]Tissue Data'!$A:$A,'[1]Tissue Data'!K:K)</f>
        <v>Whole Body</v>
      </c>
      <c r="I6227">
        <f>_xlfn.XLOOKUP(A6227,'[1]Tissue Data'!$A:$A,'[1]Tissue Data'!L:L)</f>
        <v>6</v>
      </c>
      <c r="J6227">
        <f>_xlfn.XLOOKUP(A6227,'[1]Tissue Data'!$A:$A,'[1]Tissue Data'!M:M)</f>
        <v>2.12</v>
      </c>
      <c r="K6227" t="s">
        <v>37</v>
      </c>
      <c r="L6227" t="str">
        <f>_xlfn.XLOOKUP(K6227,[2]analyte_order!$B:$B,[2]analyte_order!$C:$C)</f>
        <v>754-91-6</v>
      </c>
      <c r="M6227">
        <f>_xlfn.XLOOKUP(L6227,[2]analyte_order!$C:$C,[2]analyte_order!$E:$E)</f>
        <v>28</v>
      </c>
      <c r="N6227">
        <v>18.600000000000001</v>
      </c>
    </row>
    <row r="6228" spans="1:14">
      <c r="A6228" t="s">
        <v>316</v>
      </c>
      <c r="B6228" t="str">
        <f>_xlfn.XLOOKUP(A6228,'[1]Tissue Data'!$A:$A,'[1]Tissue Data'!$C:$C)</f>
        <v>Spill</v>
      </c>
      <c r="C6228" s="2">
        <f>_xlfn.XLOOKUP(A6228,'[1]Tissue Data'!$A:$A,'[1]Tissue Data'!$D:$D)</f>
        <v>44393</v>
      </c>
      <c r="D6228" s="2" t="s">
        <v>131</v>
      </c>
      <c r="E6228" t="str">
        <f>_xlfn.XLOOKUP(A6228,'[1]Tissue Data'!$A:$A,'[1]Tissue Data'!$H:$H)</f>
        <v>Rhinichthys</v>
      </c>
      <c r="F6228" t="str">
        <f>_xlfn.XLOOKUP(A6228,'[1]Tissue Data'!$A:$A,'[1]Tissue Data'!$I:$I)</f>
        <v>atratulus</v>
      </c>
      <c r="G6228" t="str">
        <f>_xlfn.XLOOKUP(A6228,'[1]Tissue Data'!$A:$A,'[1]Tissue Data'!J:J)</f>
        <v>U</v>
      </c>
      <c r="H6228" t="str">
        <f>_xlfn.XLOOKUP(A6228,'[1]Tissue Data'!$A:$A,'[1]Tissue Data'!K:K)</f>
        <v>Whole Body</v>
      </c>
      <c r="I6228">
        <f>_xlfn.XLOOKUP(A6228,'[1]Tissue Data'!$A:$A,'[1]Tissue Data'!L:L)</f>
        <v>6</v>
      </c>
      <c r="J6228">
        <f>_xlfn.XLOOKUP(A6228,'[1]Tissue Data'!$A:$A,'[1]Tissue Data'!M:M)</f>
        <v>2.12</v>
      </c>
      <c r="K6228" t="s">
        <v>38</v>
      </c>
      <c r="L6228" t="str">
        <f>_xlfn.XLOOKUP(K6228,[2]analyte_order!$B:$B,[2]analyte_order!$C:$C)</f>
        <v>31506-32-8</v>
      </c>
      <c r="M6228">
        <f>_xlfn.XLOOKUP(L6228,[2]analyte_order!$C:$C,[2]analyte_order!$E:$E)</f>
        <v>30</v>
      </c>
      <c r="N6228">
        <v>9.4E-2</v>
      </c>
    </row>
    <row r="6229" spans="1:14">
      <c r="A6229" t="s">
        <v>316</v>
      </c>
      <c r="B6229" t="str">
        <f>_xlfn.XLOOKUP(A6229,'[1]Tissue Data'!$A:$A,'[1]Tissue Data'!$C:$C)</f>
        <v>Spill</v>
      </c>
      <c r="C6229" s="2">
        <f>_xlfn.XLOOKUP(A6229,'[1]Tissue Data'!$A:$A,'[1]Tissue Data'!$D:$D)</f>
        <v>44393</v>
      </c>
      <c r="D6229" s="2" t="s">
        <v>131</v>
      </c>
      <c r="E6229" t="str">
        <f>_xlfn.XLOOKUP(A6229,'[1]Tissue Data'!$A:$A,'[1]Tissue Data'!$H:$H)</f>
        <v>Rhinichthys</v>
      </c>
      <c r="F6229" t="str">
        <f>_xlfn.XLOOKUP(A6229,'[1]Tissue Data'!$A:$A,'[1]Tissue Data'!$I:$I)</f>
        <v>atratulus</v>
      </c>
      <c r="G6229" t="str">
        <f>_xlfn.XLOOKUP(A6229,'[1]Tissue Data'!$A:$A,'[1]Tissue Data'!J:J)</f>
        <v>U</v>
      </c>
      <c r="H6229" t="str">
        <f>_xlfn.XLOOKUP(A6229,'[1]Tissue Data'!$A:$A,'[1]Tissue Data'!K:K)</f>
        <v>Whole Body</v>
      </c>
      <c r="I6229">
        <f>_xlfn.XLOOKUP(A6229,'[1]Tissue Data'!$A:$A,'[1]Tissue Data'!L:L)</f>
        <v>6</v>
      </c>
      <c r="J6229">
        <f>_xlfn.XLOOKUP(A6229,'[1]Tissue Data'!$A:$A,'[1]Tissue Data'!M:M)</f>
        <v>2.12</v>
      </c>
      <c r="K6229" t="s">
        <v>39</v>
      </c>
      <c r="L6229" t="str">
        <f>_xlfn.XLOOKUP(K6229,[2]analyte_order!$B:$B,[2]analyte_order!$C:$C)</f>
        <v>4151-50-2</v>
      </c>
      <c r="M6229">
        <f>_xlfn.XLOOKUP(L6229,[2]analyte_order!$C:$C,[2]analyte_order!$E:$E)</f>
        <v>31</v>
      </c>
      <c r="N6229">
        <v>0.24349999999999999</v>
      </c>
    </row>
    <row r="6230" spans="1:14">
      <c r="A6230" t="s">
        <v>316</v>
      </c>
      <c r="B6230" t="str">
        <f>_xlfn.XLOOKUP(A6230,'[1]Tissue Data'!$A:$A,'[1]Tissue Data'!$C:$C)</f>
        <v>Spill</v>
      </c>
      <c r="C6230" s="2">
        <f>_xlfn.XLOOKUP(A6230,'[1]Tissue Data'!$A:$A,'[1]Tissue Data'!$D:$D)</f>
        <v>44393</v>
      </c>
      <c r="D6230" s="2" t="s">
        <v>131</v>
      </c>
      <c r="E6230" t="str">
        <f>_xlfn.XLOOKUP(A6230,'[1]Tissue Data'!$A:$A,'[1]Tissue Data'!$H:$H)</f>
        <v>Rhinichthys</v>
      </c>
      <c r="F6230" t="str">
        <f>_xlfn.XLOOKUP(A6230,'[1]Tissue Data'!$A:$A,'[1]Tissue Data'!$I:$I)</f>
        <v>atratulus</v>
      </c>
      <c r="G6230" t="str">
        <f>_xlfn.XLOOKUP(A6230,'[1]Tissue Data'!$A:$A,'[1]Tissue Data'!J:J)</f>
        <v>U</v>
      </c>
      <c r="H6230" t="str">
        <f>_xlfn.XLOOKUP(A6230,'[1]Tissue Data'!$A:$A,'[1]Tissue Data'!K:K)</f>
        <v>Whole Body</v>
      </c>
      <c r="I6230">
        <f>_xlfn.XLOOKUP(A6230,'[1]Tissue Data'!$A:$A,'[1]Tissue Data'!L:L)</f>
        <v>6</v>
      </c>
      <c r="J6230">
        <f>_xlfn.XLOOKUP(A6230,'[1]Tissue Data'!$A:$A,'[1]Tissue Data'!M:M)</f>
        <v>2.12</v>
      </c>
      <c r="K6230" t="s">
        <v>40</v>
      </c>
      <c r="L6230" t="str">
        <f>_xlfn.XLOOKUP(K6230,[2]analyte_order!$B:$B,[2]analyte_order!$C:$C)</f>
        <v>2806-24-8</v>
      </c>
      <c r="M6230">
        <f>_xlfn.XLOOKUP(L6230,[2]analyte_order!$C:$C,[2]analyte_order!$E:$E)</f>
        <v>29</v>
      </c>
      <c r="N6230">
        <v>0.24349999999999999</v>
      </c>
    </row>
    <row r="6231" spans="1:14">
      <c r="A6231" t="s">
        <v>316</v>
      </c>
      <c r="B6231" t="str">
        <f>_xlfn.XLOOKUP(A6231,'[1]Tissue Data'!$A:$A,'[1]Tissue Data'!$C:$C)</f>
        <v>Spill</v>
      </c>
      <c r="C6231" s="2">
        <f>_xlfn.XLOOKUP(A6231,'[1]Tissue Data'!$A:$A,'[1]Tissue Data'!$D:$D)</f>
        <v>44393</v>
      </c>
      <c r="D6231" s="2" t="s">
        <v>131</v>
      </c>
      <c r="E6231" t="str">
        <f>_xlfn.XLOOKUP(A6231,'[1]Tissue Data'!$A:$A,'[1]Tissue Data'!$H:$H)</f>
        <v>Rhinichthys</v>
      </c>
      <c r="F6231" t="str">
        <f>_xlfn.XLOOKUP(A6231,'[1]Tissue Data'!$A:$A,'[1]Tissue Data'!$I:$I)</f>
        <v>atratulus</v>
      </c>
      <c r="G6231" t="str">
        <f>_xlfn.XLOOKUP(A6231,'[1]Tissue Data'!$A:$A,'[1]Tissue Data'!J:J)</f>
        <v>U</v>
      </c>
      <c r="H6231" t="str">
        <f>_xlfn.XLOOKUP(A6231,'[1]Tissue Data'!$A:$A,'[1]Tissue Data'!K:K)</f>
        <v>Whole Body</v>
      </c>
      <c r="I6231">
        <f>_xlfn.XLOOKUP(A6231,'[1]Tissue Data'!$A:$A,'[1]Tissue Data'!L:L)</f>
        <v>6</v>
      </c>
      <c r="J6231">
        <f>_xlfn.XLOOKUP(A6231,'[1]Tissue Data'!$A:$A,'[1]Tissue Data'!M:M)</f>
        <v>2.12</v>
      </c>
      <c r="K6231" t="s">
        <v>41</v>
      </c>
      <c r="L6231" t="str">
        <f>_xlfn.XLOOKUP(K6231,[2]analyte_order!$B:$B,[2]analyte_order!$C:$C)</f>
        <v>2355-31-9</v>
      </c>
      <c r="M6231">
        <f>_xlfn.XLOOKUP(L6231,[2]analyte_order!$C:$C,[2]analyte_order!$E:$E)</f>
        <v>26</v>
      </c>
      <c r="N6231">
        <v>0.1225</v>
      </c>
    </row>
    <row r="6232" spans="1:14">
      <c r="A6232" t="s">
        <v>316</v>
      </c>
      <c r="B6232" t="str">
        <f>_xlfn.XLOOKUP(A6232,'[1]Tissue Data'!$A:$A,'[1]Tissue Data'!$C:$C)</f>
        <v>Spill</v>
      </c>
      <c r="C6232" s="2">
        <f>_xlfn.XLOOKUP(A6232,'[1]Tissue Data'!$A:$A,'[1]Tissue Data'!$D:$D)</f>
        <v>44393</v>
      </c>
      <c r="D6232" s="2" t="s">
        <v>131</v>
      </c>
      <c r="E6232" t="str">
        <f>_xlfn.XLOOKUP(A6232,'[1]Tissue Data'!$A:$A,'[1]Tissue Data'!$H:$H)</f>
        <v>Rhinichthys</v>
      </c>
      <c r="F6232" t="str">
        <f>_xlfn.XLOOKUP(A6232,'[1]Tissue Data'!$A:$A,'[1]Tissue Data'!$I:$I)</f>
        <v>atratulus</v>
      </c>
      <c r="G6232" t="str">
        <f>_xlfn.XLOOKUP(A6232,'[1]Tissue Data'!$A:$A,'[1]Tissue Data'!J:J)</f>
        <v>U</v>
      </c>
      <c r="H6232" t="str">
        <f>_xlfn.XLOOKUP(A6232,'[1]Tissue Data'!$A:$A,'[1]Tissue Data'!K:K)</f>
        <v>Whole Body</v>
      </c>
      <c r="I6232">
        <f>_xlfn.XLOOKUP(A6232,'[1]Tissue Data'!$A:$A,'[1]Tissue Data'!L:L)</f>
        <v>6</v>
      </c>
      <c r="J6232">
        <f>_xlfn.XLOOKUP(A6232,'[1]Tissue Data'!$A:$A,'[1]Tissue Data'!M:M)</f>
        <v>2.12</v>
      </c>
      <c r="K6232" t="s">
        <v>42</v>
      </c>
      <c r="L6232" t="str">
        <f>_xlfn.XLOOKUP(K6232,[2]analyte_order!$B:$B,[2]analyte_order!$C:$C)</f>
        <v>2991-50-6</v>
      </c>
      <c r="M6232">
        <f>_xlfn.XLOOKUP(L6232,[2]analyte_order!$C:$C,[2]analyte_order!$E:$E)</f>
        <v>27</v>
      </c>
      <c r="N6232">
        <v>0.122</v>
      </c>
    </row>
    <row r="6233" spans="1:14">
      <c r="A6233" t="s">
        <v>316</v>
      </c>
      <c r="B6233" t="str">
        <f>_xlfn.XLOOKUP(A6233,'[1]Tissue Data'!$A:$A,'[1]Tissue Data'!$C:$C)</f>
        <v>Spill</v>
      </c>
      <c r="C6233" s="2">
        <f>_xlfn.XLOOKUP(A6233,'[1]Tissue Data'!$A:$A,'[1]Tissue Data'!$D:$D)</f>
        <v>44393</v>
      </c>
      <c r="D6233" s="2" t="s">
        <v>131</v>
      </c>
      <c r="E6233" t="str">
        <f>_xlfn.XLOOKUP(A6233,'[1]Tissue Data'!$A:$A,'[1]Tissue Data'!$H:$H)</f>
        <v>Rhinichthys</v>
      </c>
      <c r="F6233" t="str">
        <f>_xlfn.XLOOKUP(A6233,'[1]Tissue Data'!$A:$A,'[1]Tissue Data'!$I:$I)</f>
        <v>atratulus</v>
      </c>
      <c r="G6233" t="str">
        <f>_xlfn.XLOOKUP(A6233,'[1]Tissue Data'!$A:$A,'[1]Tissue Data'!J:J)</f>
        <v>U</v>
      </c>
      <c r="H6233" t="str">
        <f>_xlfn.XLOOKUP(A6233,'[1]Tissue Data'!$A:$A,'[1]Tissue Data'!K:K)</f>
        <v>Whole Body</v>
      </c>
      <c r="I6233">
        <f>_xlfn.XLOOKUP(A6233,'[1]Tissue Data'!$A:$A,'[1]Tissue Data'!L:L)</f>
        <v>6</v>
      </c>
      <c r="J6233">
        <f>_xlfn.XLOOKUP(A6233,'[1]Tissue Data'!$A:$A,'[1]Tissue Data'!M:M)</f>
        <v>2.12</v>
      </c>
      <c r="K6233" t="s">
        <v>43</v>
      </c>
      <c r="L6233" t="str">
        <f>_xlfn.XLOOKUP(K6233,[2]analyte_order!$B:$B,[2]analyte_order!$C:$C)</f>
        <v>757124-72-4</v>
      </c>
      <c r="M6233">
        <f>_xlfn.XLOOKUP(L6233,[2]analyte_order!$C:$C,[2]analyte_order!$E:$E)</f>
        <v>22</v>
      </c>
      <c r="N6233">
        <v>0.122</v>
      </c>
    </row>
    <row r="6234" spans="1:14">
      <c r="A6234" t="s">
        <v>316</v>
      </c>
      <c r="B6234" t="str">
        <f>_xlfn.XLOOKUP(A6234,'[1]Tissue Data'!$A:$A,'[1]Tissue Data'!$C:$C)</f>
        <v>Spill</v>
      </c>
      <c r="C6234" s="2">
        <f>_xlfn.XLOOKUP(A6234,'[1]Tissue Data'!$A:$A,'[1]Tissue Data'!$D:$D)</f>
        <v>44393</v>
      </c>
      <c r="D6234" s="2" t="s">
        <v>131</v>
      </c>
      <c r="E6234" t="str">
        <f>_xlfn.XLOOKUP(A6234,'[1]Tissue Data'!$A:$A,'[1]Tissue Data'!$H:$H)</f>
        <v>Rhinichthys</v>
      </c>
      <c r="F6234" t="str">
        <f>_xlfn.XLOOKUP(A6234,'[1]Tissue Data'!$A:$A,'[1]Tissue Data'!$I:$I)</f>
        <v>atratulus</v>
      </c>
      <c r="G6234" t="str">
        <f>_xlfn.XLOOKUP(A6234,'[1]Tissue Data'!$A:$A,'[1]Tissue Data'!J:J)</f>
        <v>U</v>
      </c>
      <c r="H6234" t="str">
        <f>_xlfn.XLOOKUP(A6234,'[1]Tissue Data'!$A:$A,'[1]Tissue Data'!K:K)</f>
        <v>Whole Body</v>
      </c>
      <c r="I6234">
        <f>_xlfn.XLOOKUP(A6234,'[1]Tissue Data'!$A:$A,'[1]Tissue Data'!L:L)</f>
        <v>6</v>
      </c>
      <c r="J6234">
        <f>_xlfn.XLOOKUP(A6234,'[1]Tissue Data'!$A:$A,'[1]Tissue Data'!M:M)</f>
        <v>2.12</v>
      </c>
      <c r="K6234" t="s">
        <v>44</v>
      </c>
      <c r="L6234" t="str">
        <f>_xlfn.XLOOKUP(K6234,[2]analyte_order!$B:$B,[2]analyte_order!$C:$C)</f>
        <v>27619-97-2</v>
      </c>
      <c r="M6234">
        <f>_xlfn.XLOOKUP(L6234,[2]analyte_order!$C:$C,[2]analyte_order!$E:$E)</f>
        <v>23</v>
      </c>
      <c r="N6234">
        <v>0.51700000000000002</v>
      </c>
    </row>
    <row r="6235" spans="1:14">
      <c r="A6235" t="s">
        <v>316</v>
      </c>
      <c r="B6235" t="str">
        <f>_xlfn.XLOOKUP(A6235,'[1]Tissue Data'!$A:$A,'[1]Tissue Data'!$C:$C)</f>
        <v>Spill</v>
      </c>
      <c r="C6235" s="2">
        <f>_xlfn.XLOOKUP(A6235,'[1]Tissue Data'!$A:$A,'[1]Tissue Data'!$D:$D)</f>
        <v>44393</v>
      </c>
      <c r="D6235" s="2" t="s">
        <v>131</v>
      </c>
      <c r="E6235" t="str">
        <f>_xlfn.XLOOKUP(A6235,'[1]Tissue Data'!$A:$A,'[1]Tissue Data'!$H:$H)</f>
        <v>Rhinichthys</v>
      </c>
      <c r="F6235" t="str">
        <f>_xlfn.XLOOKUP(A6235,'[1]Tissue Data'!$A:$A,'[1]Tissue Data'!$I:$I)</f>
        <v>atratulus</v>
      </c>
      <c r="G6235" t="str">
        <f>_xlfn.XLOOKUP(A6235,'[1]Tissue Data'!$A:$A,'[1]Tissue Data'!J:J)</f>
        <v>U</v>
      </c>
      <c r="H6235" t="str">
        <f>_xlfn.XLOOKUP(A6235,'[1]Tissue Data'!$A:$A,'[1]Tissue Data'!K:K)</f>
        <v>Whole Body</v>
      </c>
      <c r="I6235">
        <f>_xlfn.XLOOKUP(A6235,'[1]Tissue Data'!$A:$A,'[1]Tissue Data'!L:L)</f>
        <v>6</v>
      </c>
      <c r="J6235">
        <f>_xlfn.XLOOKUP(A6235,'[1]Tissue Data'!$A:$A,'[1]Tissue Data'!M:M)</f>
        <v>2.12</v>
      </c>
      <c r="K6235" t="s">
        <v>45</v>
      </c>
      <c r="L6235" t="str">
        <f>_xlfn.XLOOKUP(K6235,[2]analyte_order!$B:$B,[2]analyte_order!$C:$C)</f>
        <v>39108-34-4</v>
      </c>
      <c r="M6235">
        <f>_xlfn.XLOOKUP(L6235,[2]analyte_order!$C:$C,[2]analyte_order!$E:$E)</f>
        <v>24</v>
      </c>
      <c r="N6235">
        <v>16</v>
      </c>
    </row>
    <row r="6236" spans="1:14">
      <c r="A6236" t="s">
        <v>316</v>
      </c>
      <c r="B6236" t="str">
        <f>_xlfn.XLOOKUP(A6236,'[1]Tissue Data'!$A:$A,'[1]Tissue Data'!$C:$C)</f>
        <v>Spill</v>
      </c>
      <c r="C6236" s="2">
        <f>_xlfn.XLOOKUP(A6236,'[1]Tissue Data'!$A:$A,'[1]Tissue Data'!$D:$D)</f>
        <v>44393</v>
      </c>
      <c r="D6236" s="2" t="s">
        <v>131</v>
      </c>
      <c r="E6236" t="str">
        <f>_xlfn.XLOOKUP(A6236,'[1]Tissue Data'!$A:$A,'[1]Tissue Data'!$H:$H)</f>
        <v>Rhinichthys</v>
      </c>
      <c r="F6236" t="str">
        <f>_xlfn.XLOOKUP(A6236,'[1]Tissue Data'!$A:$A,'[1]Tissue Data'!$I:$I)</f>
        <v>atratulus</v>
      </c>
      <c r="G6236" t="str">
        <f>_xlfn.XLOOKUP(A6236,'[1]Tissue Data'!$A:$A,'[1]Tissue Data'!J:J)</f>
        <v>U</v>
      </c>
      <c r="H6236" t="str">
        <f>_xlfn.XLOOKUP(A6236,'[1]Tissue Data'!$A:$A,'[1]Tissue Data'!K:K)</f>
        <v>Whole Body</v>
      </c>
      <c r="I6236">
        <f>_xlfn.XLOOKUP(A6236,'[1]Tissue Data'!$A:$A,'[1]Tissue Data'!L:L)</f>
        <v>6</v>
      </c>
      <c r="J6236">
        <f>_xlfn.XLOOKUP(A6236,'[1]Tissue Data'!$A:$A,'[1]Tissue Data'!M:M)</f>
        <v>2.12</v>
      </c>
      <c r="K6236" t="s">
        <v>46</v>
      </c>
      <c r="L6236" t="str">
        <f>_xlfn.XLOOKUP(K6236,[2]analyte_order!$B:$B,[2]analyte_order!$C:$C)</f>
        <v>120226-60-0</v>
      </c>
      <c r="M6236">
        <f>_xlfn.XLOOKUP(L6236,[2]analyte_order!$C:$C,[2]analyte_order!$E:$E)</f>
        <v>25</v>
      </c>
      <c r="N6236">
        <v>0.24349999999999999</v>
      </c>
    </row>
    <row r="6237" spans="1:14">
      <c r="A6237" t="s">
        <v>316</v>
      </c>
      <c r="B6237" t="str">
        <f>_xlfn.XLOOKUP(A6237,'[1]Tissue Data'!$A:$A,'[1]Tissue Data'!$C:$C)</f>
        <v>Spill</v>
      </c>
      <c r="C6237" s="2">
        <f>_xlfn.XLOOKUP(A6237,'[1]Tissue Data'!$A:$A,'[1]Tissue Data'!$D:$D)</f>
        <v>44393</v>
      </c>
      <c r="D6237" s="2" t="s">
        <v>131</v>
      </c>
      <c r="E6237" t="str">
        <f>_xlfn.XLOOKUP(A6237,'[1]Tissue Data'!$A:$A,'[1]Tissue Data'!$H:$H)</f>
        <v>Rhinichthys</v>
      </c>
      <c r="F6237" t="str">
        <f>_xlfn.XLOOKUP(A6237,'[1]Tissue Data'!$A:$A,'[1]Tissue Data'!$I:$I)</f>
        <v>atratulus</v>
      </c>
      <c r="G6237" t="str">
        <f>_xlfn.XLOOKUP(A6237,'[1]Tissue Data'!$A:$A,'[1]Tissue Data'!J:J)</f>
        <v>U</v>
      </c>
      <c r="H6237" t="str">
        <f>_xlfn.XLOOKUP(A6237,'[1]Tissue Data'!$A:$A,'[1]Tissue Data'!K:K)</f>
        <v>Whole Body</v>
      </c>
      <c r="I6237">
        <f>_xlfn.XLOOKUP(A6237,'[1]Tissue Data'!$A:$A,'[1]Tissue Data'!L:L)</f>
        <v>6</v>
      </c>
      <c r="J6237">
        <f>_xlfn.XLOOKUP(A6237,'[1]Tissue Data'!$A:$A,'[1]Tissue Data'!M:M)</f>
        <v>2.12</v>
      </c>
      <c r="K6237" t="s">
        <v>47</v>
      </c>
      <c r="L6237" t="str">
        <f>_xlfn.XLOOKUP(K6237,[2]analyte_order!$B:$B,[2]analyte_order!$C:$C)</f>
        <v>356-02-5</v>
      </c>
      <c r="M6237">
        <f>_xlfn.XLOOKUP(L6237,[2]analyte_order!$C:$C,[2]analyte_order!$E:$E)</f>
        <v>38</v>
      </c>
      <c r="N6237">
        <v>0.24349999999999999</v>
      </c>
    </row>
    <row r="6238" spans="1:14">
      <c r="A6238" t="s">
        <v>316</v>
      </c>
      <c r="B6238" t="str">
        <f>_xlfn.XLOOKUP(A6238,'[1]Tissue Data'!$A:$A,'[1]Tissue Data'!$C:$C)</f>
        <v>Spill</v>
      </c>
      <c r="C6238" s="2">
        <f>_xlfn.XLOOKUP(A6238,'[1]Tissue Data'!$A:$A,'[1]Tissue Data'!$D:$D)</f>
        <v>44393</v>
      </c>
      <c r="D6238" s="2" t="s">
        <v>131</v>
      </c>
      <c r="E6238" t="str">
        <f>_xlfn.XLOOKUP(A6238,'[1]Tissue Data'!$A:$A,'[1]Tissue Data'!$H:$H)</f>
        <v>Rhinichthys</v>
      </c>
      <c r="F6238" t="str">
        <f>_xlfn.XLOOKUP(A6238,'[1]Tissue Data'!$A:$A,'[1]Tissue Data'!$I:$I)</f>
        <v>atratulus</v>
      </c>
      <c r="G6238" t="str">
        <f>_xlfn.XLOOKUP(A6238,'[1]Tissue Data'!$A:$A,'[1]Tissue Data'!J:J)</f>
        <v>U</v>
      </c>
      <c r="H6238" t="str">
        <f>_xlfn.XLOOKUP(A6238,'[1]Tissue Data'!$A:$A,'[1]Tissue Data'!K:K)</f>
        <v>Whole Body</v>
      </c>
      <c r="I6238">
        <f>_xlfn.XLOOKUP(A6238,'[1]Tissue Data'!$A:$A,'[1]Tissue Data'!L:L)</f>
        <v>6</v>
      </c>
      <c r="J6238">
        <f>_xlfn.XLOOKUP(A6238,'[1]Tissue Data'!$A:$A,'[1]Tissue Data'!M:M)</f>
        <v>2.12</v>
      </c>
      <c r="K6238" t="s">
        <v>48</v>
      </c>
      <c r="L6238" t="str">
        <f>_xlfn.XLOOKUP(K6238,[2]analyte_order!$B:$B,[2]analyte_order!$C:$C)</f>
        <v>914637-49-3</v>
      </c>
      <c r="M6238">
        <f>_xlfn.XLOOKUP(L6238,[2]analyte_order!$C:$C,[2]analyte_order!$E:$E)</f>
        <v>39</v>
      </c>
      <c r="N6238">
        <v>0.122</v>
      </c>
    </row>
    <row r="6239" spans="1:14">
      <c r="A6239" t="s">
        <v>316</v>
      </c>
      <c r="B6239" t="str">
        <f>_xlfn.XLOOKUP(A6239,'[1]Tissue Data'!$A:$A,'[1]Tissue Data'!$C:$C)</f>
        <v>Spill</v>
      </c>
      <c r="C6239" s="2">
        <f>_xlfn.XLOOKUP(A6239,'[1]Tissue Data'!$A:$A,'[1]Tissue Data'!$D:$D)</f>
        <v>44393</v>
      </c>
      <c r="D6239" s="2" t="s">
        <v>131</v>
      </c>
      <c r="E6239" t="str">
        <f>_xlfn.XLOOKUP(A6239,'[1]Tissue Data'!$A:$A,'[1]Tissue Data'!$H:$H)</f>
        <v>Rhinichthys</v>
      </c>
      <c r="F6239" t="str">
        <f>_xlfn.XLOOKUP(A6239,'[1]Tissue Data'!$A:$A,'[1]Tissue Data'!$I:$I)</f>
        <v>atratulus</v>
      </c>
      <c r="G6239" t="str">
        <f>_xlfn.XLOOKUP(A6239,'[1]Tissue Data'!$A:$A,'[1]Tissue Data'!J:J)</f>
        <v>U</v>
      </c>
      <c r="H6239" t="str">
        <f>_xlfn.XLOOKUP(A6239,'[1]Tissue Data'!$A:$A,'[1]Tissue Data'!K:K)</f>
        <v>Whole Body</v>
      </c>
      <c r="I6239">
        <f>_xlfn.XLOOKUP(A6239,'[1]Tissue Data'!$A:$A,'[1]Tissue Data'!L:L)</f>
        <v>6</v>
      </c>
      <c r="J6239">
        <f>_xlfn.XLOOKUP(A6239,'[1]Tissue Data'!$A:$A,'[1]Tissue Data'!M:M)</f>
        <v>2.12</v>
      </c>
      <c r="K6239" t="s">
        <v>49</v>
      </c>
      <c r="L6239" t="str">
        <f>_xlfn.XLOOKUP(K6239,[2]analyte_order!$B:$B,[2]analyte_order!$C:$C)</f>
        <v>812-70-4</v>
      </c>
      <c r="M6239">
        <f>_xlfn.XLOOKUP(L6239,[2]analyte_order!$C:$C,[2]analyte_order!$E:$E)</f>
        <v>40</v>
      </c>
      <c r="N6239">
        <v>6.56</v>
      </c>
    </row>
    <row r="6240" spans="1:14">
      <c r="A6240" t="s">
        <v>316</v>
      </c>
      <c r="B6240" t="str">
        <f>_xlfn.XLOOKUP(A6240,'[1]Tissue Data'!$A:$A,'[1]Tissue Data'!$C:$C)</f>
        <v>Spill</v>
      </c>
      <c r="C6240" s="2">
        <f>_xlfn.XLOOKUP(A6240,'[1]Tissue Data'!$A:$A,'[1]Tissue Data'!$D:$D)</f>
        <v>44393</v>
      </c>
      <c r="D6240" s="2" t="s">
        <v>131</v>
      </c>
      <c r="E6240" t="str">
        <f>_xlfn.XLOOKUP(A6240,'[1]Tissue Data'!$A:$A,'[1]Tissue Data'!$H:$H)</f>
        <v>Rhinichthys</v>
      </c>
      <c r="F6240" t="str">
        <f>_xlfn.XLOOKUP(A6240,'[1]Tissue Data'!$A:$A,'[1]Tissue Data'!$I:$I)</f>
        <v>atratulus</v>
      </c>
      <c r="G6240" t="str">
        <f>_xlfn.XLOOKUP(A6240,'[1]Tissue Data'!$A:$A,'[1]Tissue Data'!J:J)</f>
        <v>U</v>
      </c>
      <c r="H6240" t="str">
        <f>_xlfn.XLOOKUP(A6240,'[1]Tissue Data'!$A:$A,'[1]Tissue Data'!K:K)</f>
        <v>Whole Body</v>
      </c>
      <c r="I6240">
        <f>_xlfn.XLOOKUP(A6240,'[1]Tissue Data'!$A:$A,'[1]Tissue Data'!L:L)</f>
        <v>6</v>
      </c>
      <c r="J6240">
        <f>_xlfn.XLOOKUP(A6240,'[1]Tissue Data'!$A:$A,'[1]Tissue Data'!M:M)</f>
        <v>2.12</v>
      </c>
      <c r="K6240" t="s">
        <v>50</v>
      </c>
      <c r="L6240" t="str">
        <f>_xlfn.XLOOKUP(K6240,[2]analyte_order!$B:$B,[2]analyte_order!$C:$C)</f>
        <v>53826-12-3</v>
      </c>
      <c r="M6240">
        <f>_xlfn.XLOOKUP(L6240,[2]analyte_order!$C:$C,[2]analyte_order!$E:$E)</f>
        <v>41</v>
      </c>
      <c r="N6240">
        <v>0.24349999999999999</v>
      </c>
    </row>
    <row r="6241" spans="1:14">
      <c r="A6241" t="s">
        <v>316</v>
      </c>
      <c r="B6241" t="str">
        <f>_xlfn.XLOOKUP(A6241,'[1]Tissue Data'!$A:$A,'[1]Tissue Data'!$C:$C)</f>
        <v>Spill</v>
      </c>
      <c r="C6241" s="2">
        <f>_xlfn.XLOOKUP(A6241,'[1]Tissue Data'!$A:$A,'[1]Tissue Data'!$D:$D)</f>
        <v>44393</v>
      </c>
      <c r="D6241" s="2" t="s">
        <v>131</v>
      </c>
      <c r="E6241" t="str">
        <f>_xlfn.XLOOKUP(A6241,'[1]Tissue Data'!$A:$A,'[1]Tissue Data'!$H:$H)</f>
        <v>Rhinichthys</v>
      </c>
      <c r="F6241" t="str">
        <f>_xlfn.XLOOKUP(A6241,'[1]Tissue Data'!$A:$A,'[1]Tissue Data'!$I:$I)</f>
        <v>atratulus</v>
      </c>
      <c r="G6241" t="str">
        <f>_xlfn.XLOOKUP(A6241,'[1]Tissue Data'!$A:$A,'[1]Tissue Data'!J:J)</f>
        <v>U</v>
      </c>
      <c r="H6241" t="str">
        <f>_xlfn.XLOOKUP(A6241,'[1]Tissue Data'!$A:$A,'[1]Tissue Data'!K:K)</f>
        <v>Whole Body</v>
      </c>
      <c r="I6241">
        <f>_xlfn.XLOOKUP(A6241,'[1]Tissue Data'!$A:$A,'[1]Tissue Data'!L:L)</f>
        <v>6</v>
      </c>
      <c r="J6241">
        <f>_xlfn.XLOOKUP(A6241,'[1]Tissue Data'!$A:$A,'[1]Tissue Data'!M:M)</f>
        <v>2.12</v>
      </c>
      <c r="K6241" t="s">
        <v>51</v>
      </c>
      <c r="L6241" t="str">
        <f>_xlfn.XLOOKUP(K6241,[2]analyte_order!$B:$B,[2]analyte_order!$C:$C)</f>
        <v>27854-31-5</v>
      </c>
      <c r="M6241">
        <f>_xlfn.XLOOKUP(L6241,[2]analyte_order!$C:$C,[2]analyte_order!$E:$E)</f>
        <v>42</v>
      </c>
      <c r="N6241">
        <v>0.122</v>
      </c>
    </row>
    <row r="6242" spans="1:14">
      <c r="A6242" t="s">
        <v>316</v>
      </c>
      <c r="B6242" t="str">
        <f>_xlfn.XLOOKUP(A6242,'[1]Tissue Data'!$A:$A,'[1]Tissue Data'!$C:$C)</f>
        <v>Spill</v>
      </c>
      <c r="C6242" s="2">
        <f>_xlfn.XLOOKUP(A6242,'[1]Tissue Data'!$A:$A,'[1]Tissue Data'!$D:$D)</f>
        <v>44393</v>
      </c>
      <c r="D6242" s="2" t="s">
        <v>131</v>
      </c>
      <c r="E6242" t="str">
        <f>_xlfn.XLOOKUP(A6242,'[1]Tissue Data'!$A:$A,'[1]Tissue Data'!$H:$H)</f>
        <v>Rhinichthys</v>
      </c>
      <c r="F6242" t="str">
        <f>_xlfn.XLOOKUP(A6242,'[1]Tissue Data'!$A:$A,'[1]Tissue Data'!$I:$I)</f>
        <v>atratulus</v>
      </c>
      <c r="G6242" t="str">
        <f>_xlfn.XLOOKUP(A6242,'[1]Tissue Data'!$A:$A,'[1]Tissue Data'!J:J)</f>
        <v>U</v>
      </c>
      <c r="H6242" t="str">
        <f>_xlfn.XLOOKUP(A6242,'[1]Tissue Data'!$A:$A,'[1]Tissue Data'!K:K)</f>
        <v>Whole Body</v>
      </c>
      <c r="I6242">
        <f>_xlfn.XLOOKUP(A6242,'[1]Tissue Data'!$A:$A,'[1]Tissue Data'!L:L)</f>
        <v>6</v>
      </c>
      <c r="J6242">
        <f>_xlfn.XLOOKUP(A6242,'[1]Tissue Data'!$A:$A,'[1]Tissue Data'!M:M)</f>
        <v>2.12</v>
      </c>
      <c r="K6242" t="s">
        <v>52</v>
      </c>
      <c r="L6242" t="str">
        <f>_xlfn.XLOOKUP(K6242,[2]analyte_order!$B:$B,[2]analyte_order!$C:$C)</f>
        <v>53826-13-4</v>
      </c>
      <c r="M6242">
        <f>_xlfn.XLOOKUP(L6242,[2]analyte_order!$C:$C,[2]analyte_order!$E:$E)</f>
        <v>43</v>
      </c>
      <c r="N6242">
        <v>0.24349999999999999</v>
      </c>
    </row>
    <row r="6243" spans="1:14">
      <c r="A6243" t="s">
        <v>316</v>
      </c>
      <c r="B6243" t="str">
        <f>_xlfn.XLOOKUP(A6243,'[1]Tissue Data'!$A:$A,'[1]Tissue Data'!$C:$C)</f>
        <v>Spill</v>
      </c>
      <c r="C6243" s="2">
        <f>_xlfn.XLOOKUP(A6243,'[1]Tissue Data'!$A:$A,'[1]Tissue Data'!$D:$D)</f>
        <v>44393</v>
      </c>
      <c r="D6243" s="2" t="s">
        <v>131</v>
      </c>
      <c r="E6243" t="str">
        <f>_xlfn.XLOOKUP(A6243,'[1]Tissue Data'!$A:$A,'[1]Tissue Data'!$H:$H)</f>
        <v>Rhinichthys</v>
      </c>
      <c r="F6243" t="str">
        <f>_xlfn.XLOOKUP(A6243,'[1]Tissue Data'!$A:$A,'[1]Tissue Data'!$I:$I)</f>
        <v>atratulus</v>
      </c>
      <c r="G6243" t="str">
        <f>_xlfn.XLOOKUP(A6243,'[1]Tissue Data'!$A:$A,'[1]Tissue Data'!J:J)</f>
        <v>U</v>
      </c>
      <c r="H6243" t="str">
        <f>_xlfn.XLOOKUP(A6243,'[1]Tissue Data'!$A:$A,'[1]Tissue Data'!K:K)</f>
        <v>Whole Body</v>
      </c>
      <c r="I6243">
        <f>_xlfn.XLOOKUP(A6243,'[1]Tissue Data'!$A:$A,'[1]Tissue Data'!L:L)</f>
        <v>6</v>
      </c>
      <c r="J6243">
        <f>_xlfn.XLOOKUP(A6243,'[1]Tissue Data'!$A:$A,'[1]Tissue Data'!M:M)</f>
        <v>2.12</v>
      </c>
      <c r="K6243" t="s">
        <v>53</v>
      </c>
      <c r="L6243" t="str">
        <f>_xlfn.XLOOKUP(K6243,[2]analyte_order!$B:$B,[2]analyte_order!$C:$C)</f>
        <v>161094-75-3</v>
      </c>
      <c r="M6243">
        <f>_xlfn.XLOOKUP(L6243,[2]analyte_order!$C:$C,[2]analyte_order!$E:$E)</f>
        <v>44</v>
      </c>
      <c r="N6243">
        <v>9.5500000000000002E-2</v>
      </c>
    </row>
    <row r="6244" spans="1:14">
      <c r="A6244" t="s">
        <v>316</v>
      </c>
      <c r="B6244" t="str">
        <f>_xlfn.XLOOKUP(A6244,'[1]Tissue Data'!$A:$A,'[1]Tissue Data'!$C:$C)</f>
        <v>Spill</v>
      </c>
      <c r="C6244" s="2">
        <f>_xlfn.XLOOKUP(A6244,'[1]Tissue Data'!$A:$A,'[1]Tissue Data'!$D:$D)</f>
        <v>44393</v>
      </c>
      <c r="D6244" s="2" t="s">
        <v>131</v>
      </c>
      <c r="E6244" t="str">
        <f>_xlfn.XLOOKUP(A6244,'[1]Tissue Data'!$A:$A,'[1]Tissue Data'!$H:$H)</f>
        <v>Rhinichthys</v>
      </c>
      <c r="F6244" t="str">
        <f>_xlfn.XLOOKUP(A6244,'[1]Tissue Data'!$A:$A,'[1]Tissue Data'!$I:$I)</f>
        <v>atratulus</v>
      </c>
      <c r="G6244" t="str">
        <f>_xlfn.XLOOKUP(A6244,'[1]Tissue Data'!$A:$A,'[1]Tissue Data'!J:J)</f>
        <v>U</v>
      </c>
      <c r="H6244" t="str">
        <f>_xlfn.XLOOKUP(A6244,'[1]Tissue Data'!$A:$A,'[1]Tissue Data'!K:K)</f>
        <v>Whole Body</v>
      </c>
      <c r="I6244">
        <f>_xlfn.XLOOKUP(A6244,'[1]Tissue Data'!$A:$A,'[1]Tissue Data'!L:L)</f>
        <v>6</v>
      </c>
      <c r="J6244">
        <f>_xlfn.XLOOKUP(A6244,'[1]Tissue Data'!$A:$A,'[1]Tissue Data'!M:M)</f>
        <v>2.12</v>
      </c>
      <c r="K6244" t="s">
        <v>54</v>
      </c>
      <c r="L6244" t="str">
        <f>_xlfn.XLOOKUP(K6244,[2]analyte_order!$B:$B,[2]analyte_order!$C:$C)</f>
        <v>70887-84-2</v>
      </c>
      <c r="M6244">
        <f>_xlfn.XLOOKUP(L6244,[2]analyte_order!$C:$C,[2]analyte_order!$E:$E)</f>
        <v>45</v>
      </c>
      <c r="N6244">
        <v>7.3499999999999996E-2</v>
      </c>
    </row>
    <row r="6245" spans="1:14">
      <c r="A6245" t="s">
        <v>316</v>
      </c>
      <c r="B6245" t="str">
        <f>_xlfn.XLOOKUP(A6245,'[1]Tissue Data'!$A:$A,'[1]Tissue Data'!$C:$C)</f>
        <v>Spill</v>
      </c>
      <c r="C6245" s="2">
        <f>_xlfn.XLOOKUP(A6245,'[1]Tissue Data'!$A:$A,'[1]Tissue Data'!$D:$D)</f>
        <v>44393</v>
      </c>
      <c r="D6245" s="2" t="s">
        <v>131</v>
      </c>
      <c r="E6245" t="str">
        <f>_xlfn.XLOOKUP(A6245,'[1]Tissue Data'!$A:$A,'[1]Tissue Data'!$H:$H)</f>
        <v>Rhinichthys</v>
      </c>
      <c r="F6245" t="str">
        <f>_xlfn.XLOOKUP(A6245,'[1]Tissue Data'!$A:$A,'[1]Tissue Data'!$I:$I)</f>
        <v>atratulus</v>
      </c>
      <c r="G6245" t="str">
        <f>_xlfn.XLOOKUP(A6245,'[1]Tissue Data'!$A:$A,'[1]Tissue Data'!J:J)</f>
        <v>U</v>
      </c>
      <c r="H6245" t="str">
        <f>_xlfn.XLOOKUP(A6245,'[1]Tissue Data'!$A:$A,'[1]Tissue Data'!K:K)</f>
        <v>Whole Body</v>
      </c>
      <c r="I6245">
        <f>_xlfn.XLOOKUP(A6245,'[1]Tissue Data'!$A:$A,'[1]Tissue Data'!L:L)</f>
        <v>6</v>
      </c>
      <c r="J6245">
        <f>_xlfn.XLOOKUP(A6245,'[1]Tissue Data'!$A:$A,'[1]Tissue Data'!M:M)</f>
        <v>2.12</v>
      </c>
      <c r="K6245" t="s">
        <v>55</v>
      </c>
      <c r="L6245" t="str">
        <f>_xlfn.XLOOKUP(K6245,[2]analyte_order!$B:$B,[2]analyte_order!$C:$C)</f>
        <v>919005-14-4</v>
      </c>
      <c r="M6245">
        <f>_xlfn.XLOOKUP(L6245,[2]analyte_order!$C:$C,[2]analyte_order!$E:$E)</f>
        <v>35</v>
      </c>
      <c r="N6245">
        <v>0.1075</v>
      </c>
    </row>
    <row r="6246" spans="1:14">
      <c r="A6246" t="s">
        <v>316</v>
      </c>
      <c r="B6246" t="str">
        <f>_xlfn.XLOOKUP(A6246,'[1]Tissue Data'!$A:$A,'[1]Tissue Data'!$C:$C)</f>
        <v>Spill</v>
      </c>
      <c r="C6246" s="2">
        <f>_xlfn.XLOOKUP(A6246,'[1]Tissue Data'!$A:$A,'[1]Tissue Data'!$D:$D)</f>
        <v>44393</v>
      </c>
      <c r="D6246" s="2" t="s">
        <v>131</v>
      </c>
      <c r="E6246" t="str">
        <f>_xlfn.XLOOKUP(A6246,'[1]Tissue Data'!$A:$A,'[1]Tissue Data'!$H:$H)</f>
        <v>Rhinichthys</v>
      </c>
      <c r="F6246" t="str">
        <f>_xlfn.XLOOKUP(A6246,'[1]Tissue Data'!$A:$A,'[1]Tissue Data'!$I:$I)</f>
        <v>atratulus</v>
      </c>
      <c r="G6246" t="str">
        <f>_xlfn.XLOOKUP(A6246,'[1]Tissue Data'!$A:$A,'[1]Tissue Data'!J:J)</f>
        <v>U</v>
      </c>
      <c r="H6246" t="str">
        <f>_xlfn.XLOOKUP(A6246,'[1]Tissue Data'!$A:$A,'[1]Tissue Data'!K:K)</f>
        <v>Whole Body</v>
      </c>
      <c r="I6246">
        <f>_xlfn.XLOOKUP(A6246,'[1]Tissue Data'!$A:$A,'[1]Tissue Data'!L:L)</f>
        <v>6</v>
      </c>
      <c r="J6246">
        <f>_xlfn.XLOOKUP(A6246,'[1]Tissue Data'!$A:$A,'[1]Tissue Data'!M:M)</f>
        <v>2.12</v>
      </c>
      <c r="K6246" t="s">
        <v>56</v>
      </c>
      <c r="L6246" t="str">
        <f>_xlfn.XLOOKUP(K6246,[2]analyte_order!$B:$B,[2]analyte_order!$C:$C)</f>
        <v>756426-58-1</v>
      </c>
      <c r="M6246">
        <f>_xlfn.XLOOKUP(L6246,[2]analyte_order!$C:$C,[2]analyte_order!$E:$E)</f>
        <v>36</v>
      </c>
      <c r="N6246">
        <v>0.24349999999999999</v>
      </c>
    </row>
    <row r="6247" spans="1:14">
      <c r="A6247" t="s">
        <v>316</v>
      </c>
      <c r="B6247" t="str">
        <f>_xlfn.XLOOKUP(A6247,'[1]Tissue Data'!$A:$A,'[1]Tissue Data'!$C:$C)</f>
        <v>Spill</v>
      </c>
      <c r="C6247" s="2">
        <f>_xlfn.XLOOKUP(A6247,'[1]Tissue Data'!$A:$A,'[1]Tissue Data'!$D:$D)</f>
        <v>44393</v>
      </c>
      <c r="D6247" s="2" t="s">
        <v>131</v>
      </c>
      <c r="E6247" t="str">
        <f>_xlfn.XLOOKUP(A6247,'[1]Tissue Data'!$A:$A,'[1]Tissue Data'!$H:$H)</f>
        <v>Rhinichthys</v>
      </c>
      <c r="F6247" t="str">
        <f>_xlfn.XLOOKUP(A6247,'[1]Tissue Data'!$A:$A,'[1]Tissue Data'!$I:$I)</f>
        <v>atratulus</v>
      </c>
      <c r="G6247" t="str">
        <f>_xlfn.XLOOKUP(A6247,'[1]Tissue Data'!$A:$A,'[1]Tissue Data'!J:J)</f>
        <v>U</v>
      </c>
      <c r="H6247" t="str">
        <f>_xlfn.XLOOKUP(A6247,'[1]Tissue Data'!$A:$A,'[1]Tissue Data'!K:K)</f>
        <v>Whole Body</v>
      </c>
      <c r="I6247">
        <f>_xlfn.XLOOKUP(A6247,'[1]Tissue Data'!$A:$A,'[1]Tissue Data'!L:L)</f>
        <v>6</v>
      </c>
      <c r="J6247">
        <f>_xlfn.XLOOKUP(A6247,'[1]Tissue Data'!$A:$A,'[1]Tissue Data'!M:M)</f>
        <v>2.12</v>
      </c>
      <c r="K6247" t="s">
        <v>57</v>
      </c>
      <c r="L6247" t="str">
        <f>_xlfn.XLOOKUP(K6247,[2]analyte_order!$B:$B,[2]analyte_order!$C:$C)</f>
        <v>763051-92-9</v>
      </c>
      <c r="M6247">
        <f>_xlfn.XLOOKUP(L6247,[2]analyte_order!$C:$C,[2]analyte_order!$E:$E)</f>
        <v>37</v>
      </c>
      <c r="N6247">
        <v>0.24349999999999999</v>
      </c>
    </row>
    <row r="6248" spans="1:14">
      <c r="A6248" t="s">
        <v>316</v>
      </c>
      <c r="B6248" t="str">
        <f>_xlfn.XLOOKUP(A6248,'[1]Tissue Data'!$A:$A,'[1]Tissue Data'!$C:$C)</f>
        <v>Spill</v>
      </c>
      <c r="C6248" s="2">
        <f>_xlfn.XLOOKUP(A6248,'[1]Tissue Data'!$A:$A,'[1]Tissue Data'!$D:$D)</f>
        <v>44393</v>
      </c>
      <c r="D6248" s="2" t="s">
        <v>131</v>
      </c>
      <c r="E6248" t="str">
        <f>_xlfn.XLOOKUP(A6248,'[1]Tissue Data'!$A:$A,'[1]Tissue Data'!$H:$H)</f>
        <v>Rhinichthys</v>
      </c>
      <c r="F6248" t="str">
        <f>_xlfn.XLOOKUP(A6248,'[1]Tissue Data'!$A:$A,'[1]Tissue Data'!$I:$I)</f>
        <v>atratulus</v>
      </c>
      <c r="G6248" t="str">
        <f>_xlfn.XLOOKUP(A6248,'[1]Tissue Data'!$A:$A,'[1]Tissue Data'!J:J)</f>
        <v>U</v>
      </c>
      <c r="H6248" t="str">
        <f>_xlfn.XLOOKUP(A6248,'[1]Tissue Data'!$A:$A,'[1]Tissue Data'!K:K)</f>
        <v>Whole Body</v>
      </c>
      <c r="I6248">
        <f>_xlfn.XLOOKUP(A6248,'[1]Tissue Data'!$A:$A,'[1]Tissue Data'!L:L)</f>
        <v>6</v>
      </c>
      <c r="J6248">
        <f>_xlfn.XLOOKUP(A6248,'[1]Tissue Data'!$A:$A,'[1]Tissue Data'!M:M)</f>
        <v>2.12</v>
      </c>
      <c r="K6248" t="s">
        <v>58</v>
      </c>
      <c r="L6248" t="str">
        <f>_xlfn.XLOOKUP(K6248,[2]analyte_order!$B:$B,[2]analyte_order!$C:$C)</f>
        <v>13252-13-6</v>
      </c>
      <c r="M6248">
        <f>_xlfn.XLOOKUP(L6248,[2]analyte_order!$C:$C,[2]analyte_order!$E:$E)</f>
        <v>34</v>
      </c>
      <c r="N6248">
        <v>0.17499999999999999</v>
      </c>
    </row>
    <row r="6249" spans="1:14">
      <c r="A6249" t="s">
        <v>316</v>
      </c>
      <c r="B6249" t="str">
        <f>_xlfn.XLOOKUP(A6249,'[1]Tissue Data'!$A:$A,'[1]Tissue Data'!$C:$C)</f>
        <v>Spill</v>
      </c>
      <c r="C6249" s="2">
        <f>_xlfn.XLOOKUP(A6249,'[1]Tissue Data'!$A:$A,'[1]Tissue Data'!$D:$D)</f>
        <v>44393</v>
      </c>
      <c r="D6249" s="2" t="s">
        <v>131</v>
      </c>
      <c r="E6249" t="str">
        <f>_xlfn.XLOOKUP(A6249,'[1]Tissue Data'!$A:$A,'[1]Tissue Data'!$H:$H)</f>
        <v>Rhinichthys</v>
      </c>
      <c r="F6249" t="str">
        <f>_xlfn.XLOOKUP(A6249,'[1]Tissue Data'!$A:$A,'[1]Tissue Data'!$I:$I)</f>
        <v>atratulus</v>
      </c>
      <c r="G6249" t="str">
        <f>_xlfn.XLOOKUP(A6249,'[1]Tissue Data'!$A:$A,'[1]Tissue Data'!J:J)</f>
        <v>U</v>
      </c>
      <c r="H6249" t="str">
        <f>_xlfn.XLOOKUP(A6249,'[1]Tissue Data'!$A:$A,'[1]Tissue Data'!K:K)</f>
        <v>Whole Body</v>
      </c>
      <c r="I6249">
        <f>_xlfn.XLOOKUP(A6249,'[1]Tissue Data'!$A:$A,'[1]Tissue Data'!L:L)</f>
        <v>6</v>
      </c>
      <c r="J6249">
        <f>_xlfn.XLOOKUP(A6249,'[1]Tissue Data'!$A:$A,'[1]Tissue Data'!M:M)</f>
        <v>2.12</v>
      </c>
      <c r="K6249" t="s">
        <v>59</v>
      </c>
      <c r="L6249" t="str">
        <f>_xlfn.XLOOKUP(K6249,[2]analyte_order!$B:$B,[2]analyte_order!$C:$C)</f>
        <v>57677-95-9</v>
      </c>
      <c r="M6249">
        <f>_xlfn.XLOOKUP(L6249,[2]analyte_order!$C:$C,[2]analyte_order!$E:$E)</f>
        <v>46</v>
      </c>
      <c r="N6249">
        <v>0.24349999999999999</v>
      </c>
    </row>
    <row r="6250" spans="1:14">
      <c r="A6250" t="s">
        <v>316</v>
      </c>
      <c r="B6250" t="str">
        <f>_xlfn.XLOOKUP(A6250,'[1]Tissue Data'!$A:$A,'[1]Tissue Data'!$C:$C)</f>
        <v>Spill</v>
      </c>
      <c r="C6250" s="2">
        <f>_xlfn.XLOOKUP(A6250,'[1]Tissue Data'!$A:$A,'[1]Tissue Data'!$D:$D)</f>
        <v>44393</v>
      </c>
      <c r="D6250" s="2" t="s">
        <v>131</v>
      </c>
      <c r="E6250" t="str">
        <f>_xlfn.XLOOKUP(A6250,'[1]Tissue Data'!$A:$A,'[1]Tissue Data'!$H:$H)</f>
        <v>Rhinichthys</v>
      </c>
      <c r="F6250" t="str">
        <f>_xlfn.XLOOKUP(A6250,'[1]Tissue Data'!$A:$A,'[1]Tissue Data'!$I:$I)</f>
        <v>atratulus</v>
      </c>
      <c r="G6250" t="str">
        <f>_xlfn.XLOOKUP(A6250,'[1]Tissue Data'!$A:$A,'[1]Tissue Data'!J:J)</f>
        <v>U</v>
      </c>
      <c r="H6250" t="str">
        <f>_xlfn.XLOOKUP(A6250,'[1]Tissue Data'!$A:$A,'[1]Tissue Data'!K:K)</f>
        <v>Whole Body</v>
      </c>
      <c r="I6250">
        <f>_xlfn.XLOOKUP(A6250,'[1]Tissue Data'!$A:$A,'[1]Tissue Data'!L:L)</f>
        <v>6</v>
      </c>
      <c r="J6250">
        <f>_xlfn.XLOOKUP(A6250,'[1]Tissue Data'!$A:$A,'[1]Tissue Data'!M:M)</f>
        <v>2.12</v>
      </c>
      <c r="K6250" t="s">
        <v>60</v>
      </c>
      <c r="L6250" t="str">
        <f>_xlfn.XLOOKUP(K6250,[2]analyte_order!$B:$B,[2]analyte_order!$C:$C)</f>
        <v>678-41-1</v>
      </c>
      <c r="M6250">
        <f>_xlfn.XLOOKUP(L6250,[2]analyte_order!$C:$C,[2]analyte_order!$E:$E)</f>
        <v>56</v>
      </c>
      <c r="N6250">
        <v>0.24349999999999999</v>
      </c>
    </row>
    <row r="6251" spans="1:14">
      <c r="A6251" t="s">
        <v>316</v>
      </c>
      <c r="B6251" t="str">
        <f>_xlfn.XLOOKUP(A6251,'[1]Tissue Data'!$A:$A,'[1]Tissue Data'!$C:$C)</f>
        <v>Spill</v>
      </c>
      <c r="C6251" s="2">
        <f>_xlfn.XLOOKUP(A6251,'[1]Tissue Data'!$A:$A,'[1]Tissue Data'!$D:$D)</f>
        <v>44393</v>
      </c>
      <c r="D6251" s="2" t="s">
        <v>131</v>
      </c>
      <c r="E6251" t="str">
        <f>_xlfn.XLOOKUP(A6251,'[1]Tissue Data'!$A:$A,'[1]Tissue Data'!$H:$H)</f>
        <v>Rhinichthys</v>
      </c>
      <c r="F6251" t="str">
        <f>_xlfn.XLOOKUP(A6251,'[1]Tissue Data'!$A:$A,'[1]Tissue Data'!$I:$I)</f>
        <v>atratulus</v>
      </c>
      <c r="G6251" t="str">
        <f>_xlfn.XLOOKUP(A6251,'[1]Tissue Data'!$A:$A,'[1]Tissue Data'!J:J)</f>
        <v>U</v>
      </c>
      <c r="H6251" t="str">
        <f>_xlfn.XLOOKUP(A6251,'[1]Tissue Data'!$A:$A,'[1]Tissue Data'!K:K)</f>
        <v>Whole Body</v>
      </c>
      <c r="I6251">
        <f>_xlfn.XLOOKUP(A6251,'[1]Tissue Data'!$A:$A,'[1]Tissue Data'!L:L)</f>
        <v>6</v>
      </c>
      <c r="J6251">
        <f>_xlfn.XLOOKUP(A6251,'[1]Tissue Data'!$A:$A,'[1]Tissue Data'!M:M)</f>
        <v>2.12</v>
      </c>
      <c r="K6251" t="s">
        <v>61</v>
      </c>
      <c r="L6251" t="str">
        <f>_xlfn.XLOOKUP(K6251,[2]analyte_order!$B:$B,[2]analyte_order!$C:$C)</f>
        <v>2965-52-8</v>
      </c>
      <c r="M6251">
        <f>_xlfn.XLOOKUP(L6251,[2]analyte_order!$C:$C,[2]analyte_order!$E:$E)</f>
        <v>57</v>
      </c>
      <c r="N6251">
        <v>0.24349999999999999</v>
      </c>
    </row>
    <row r="6252" spans="1:14">
      <c r="A6252" t="s">
        <v>317</v>
      </c>
      <c r="B6252" t="str">
        <f>_xlfn.XLOOKUP(A6252,'[1]Tissue Data'!$A:$A,'[1]Tissue Data'!$C:$C)</f>
        <v>Spill</v>
      </c>
      <c r="C6252" s="2">
        <f>_xlfn.XLOOKUP(A6252,'[1]Tissue Data'!$A:$A,'[1]Tissue Data'!$D:$D)</f>
        <v>44393</v>
      </c>
      <c r="D6252" s="2" t="s">
        <v>131</v>
      </c>
      <c r="E6252" t="str">
        <f>_xlfn.XLOOKUP(A6252,'[1]Tissue Data'!$A:$A,'[1]Tissue Data'!$H:$H)</f>
        <v>Rhinichthys</v>
      </c>
      <c r="F6252" t="str">
        <f>_xlfn.XLOOKUP(A6252,'[1]Tissue Data'!$A:$A,'[1]Tissue Data'!$I:$I)</f>
        <v>atratulus</v>
      </c>
      <c r="G6252" t="str">
        <f>_xlfn.XLOOKUP(A6252,'[1]Tissue Data'!$A:$A,'[1]Tissue Data'!J:J)</f>
        <v>U</v>
      </c>
      <c r="H6252" t="str">
        <f>_xlfn.XLOOKUP(A6252,'[1]Tissue Data'!$A:$A,'[1]Tissue Data'!K:K)</f>
        <v>Whole Body</v>
      </c>
      <c r="I6252">
        <f>_xlfn.XLOOKUP(A6252,'[1]Tissue Data'!$A:$A,'[1]Tissue Data'!L:L)</f>
        <v>5</v>
      </c>
      <c r="J6252">
        <f>_xlfn.XLOOKUP(A6252,'[1]Tissue Data'!$A:$A,'[1]Tissue Data'!M:M)</f>
        <v>2.04</v>
      </c>
      <c r="K6252" t="s">
        <v>12</v>
      </c>
      <c r="L6252" t="str">
        <f>_xlfn.XLOOKUP(K6252,[2]analyte_order!$B:$B,[2]analyte_order!$C:$C)</f>
        <v>375-22-4</v>
      </c>
      <c r="M6252">
        <f>_xlfn.XLOOKUP(L6252,[2]analyte_order!$C:$C,[2]analyte_order!$E:$E)</f>
        <v>1</v>
      </c>
      <c r="N6252">
        <v>0.2555</v>
      </c>
    </row>
    <row r="6253" spans="1:14">
      <c r="A6253" t="s">
        <v>317</v>
      </c>
      <c r="B6253" t="str">
        <f>_xlfn.XLOOKUP(A6253,'[1]Tissue Data'!$A:$A,'[1]Tissue Data'!$C:$C)</f>
        <v>Spill</v>
      </c>
      <c r="C6253" s="2">
        <f>_xlfn.XLOOKUP(A6253,'[1]Tissue Data'!$A:$A,'[1]Tissue Data'!$D:$D)</f>
        <v>44393</v>
      </c>
      <c r="D6253" s="2" t="s">
        <v>131</v>
      </c>
      <c r="E6253" t="str">
        <f>_xlfn.XLOOKUP(A6253,'[1]Tissue Data'!$A:$A,'[1]Tissue Data'!$H:$H)</f>
        <v>Rhinichthys</v>
      </c>
      <c r="F6253" t="str">
        <f>_xlfn.XLOOKUP(A6253,'[1]Tissue Data'!$A:$A,'[1]Tissue Data'!$I:$I)</f>
        <v>atratulus</v>
      </c>
      <c r="G6253" t="str">
        <f>_xlfn.XLOOKUP(A6253,'[1]Tissue Data'!$A:$A,'[1]Tissue Data'!J:J)</f>
        <v>U</v>
      </c>
      <c r="H6253" t="str">
        <f>_xlfn.XLOOKUP(A6253,'[1]Tissue Data'!$A:$A,'[1]Tissue Data'!K:K)</f>
        <v>Whole Body</v>
      </c>
      <c r="I6253">
        <f>_xlfn.XLOOKUP(A6253,'[1]Tissue Data'!$A:$A,'[1]Tissue Data'!L:L)</f>
        <v>5</v>
      </c>
      <c r="J6253">
        <f>_xlfn.XLOOKUP(A6253,'[1]Tissue Data'!$A:$A,'[1]Tissue Data'!M:M)</f>
        <v>2.04</v>
      </c>
      <c r="K6253" t="s">
        <v>13</v>
      </c>
      <c r="L6253" t="str">
        <f>_xlfn.XLOOKUP(K6253,[2]analyte_order!$B:$B,[2]analyte_order!$C:$C)</f>
        <v>2706-90-3</v>
      </c>
      <c r="M6253">
        <f>_xlfn.XLOOKUP(L6253,[2]analyte_order!$C:$C,[2]analyte_order!$E:$E)</f>
        <v>2</v>
      </c>
      <c r="N6253">
        <v>9.0499999999999997E-2</v>
      </c>
    </row>
    <row r="6254" spans="1:14">
      <c r="A6254" t="s">
        <v>317</v>
      </c>
      <c r="B6254" t="str">
        <f>_xlfn.XLOOKUP(A6254,'[1]Tissue Data'!$A:$A,'[1]Tissue Data'!$C:$C)</f>
        <v>Spill</v>
      </c>
      <c r="C6254" s="2">
        <f>_xlfn.XLOOKUP(A6254,'[1]Tissue Data'!$A:$A,'[1]Tissue Data'!$D:$D)</f>
        <v>44393</v>
      </c>
      <c r="D6254" s="2" t="s">
        <v>131</v>
      </c>
      <c r="E6254" t="str">
        <f>_xlfn.XLOOKUP(A6254,'[1]Tissue Data'!$A:$A,'[1]Tissue Data'!$H:$H)</f>
        <v>Rhinichthys</v>
      </c>
      <c r="F6254" t="str">
        <f>_xlfn.XLOOKUP(A6254,'[1]Tissue Data'!$A:$A,'[1]Tissue Data'!$I:$I)</f>
        <v>atratulus</v>
      </c>
      <c r="G6254" t="str">
        <f>_xlfn.XLOOKUP(A6254,'[1]Tissue Data'!$A:$A,'[1]Tissue Data'!J:J)</f>
        <v>U</v>
      </c>
      <c r="H6254" t="str">
        <f>_xlfn.XLOOKUP(A6254,'[1]Tissue Data'!$A:$A,'[1]Tissue Data'!K:K)</f>
        <v>Whole Body</v>
      </c>
      <c r="I6254">
        <f>_xlfn.XLOOKUP(A6254,'[1]Tissue Data'!$A:$A,'[1]Tissue Data'!L:L)</f>
        <v>5</v>
      </c>
      <c r="J6254">
        <f>_xlfn.XLOOKUP(A6254,'[1]Tissue Data'!$A:$A,'[1]Tissue Data'!M:M)</f>
        <v>2.04</v>
      </c>
      <c r="K6254" t="s">
        <v>14</v>
      </c>
      <c r="L6254" t="str">
        <f>_xlfn.XLOOKUP(K6254,[2]analyte_order!$B:$B,[2]analyte_order!$C:$C)</f>
        <v>307-24-4</v>
      </c>
      <c r="M6254">
        <f>_xlfn.XLOOKUP(L6254,[2]analyte_order!$C:$C,[2]analyte_order!$E:$E)</f>
        <v>3</v>
      </c>
      <c r="N6254">
        <v>0.13800000000000001</v>
      </c>
    </row>
    <row r="6255" spans="1:14">
      <c r="A6255" t="s">
        <v>317</v>
      </c>
      <c r="B6255" t="str">
        <f>_xlfn.XLOOKUP(A6255,'[1]Tissue Data'!$A:$A,'[1]Tissue Data'!$C:$C)</f>
        <v>Spill</v>
      </c>
      <c r="C6255" s="2">
        <f>_xlfn.XLOOKUP(A6255,'[1]Tissue Data'!$A:$A,'[1]Tissue Data'!$D:$D)</f>
        <v>44393</v>
      </c>
      <c r="D6255" s="2" t="s">
        <v>131</v>
      </c>
      <c r="E6255" t="str">
        <f>_xlfn.XLOOKUP(A6255,'[1]Tissue Data'!$A:$A,'[1]Tissue Data'!$H:$H)</f>
        <v>Rhinichthys</v>
      </c>
      <c r="F6255" t="str">
        <f>_xlfn.XLOOKUP(A6255,'[1]Tissue Data'!$A:$A,'[1]Tissue Data'!$I:$I)</f>
        <v>atratulus</v>
      </c>
      <c r="G6255" t="str">
        <f>_xlfn.XLOOKUP(A6255,'[1]Tissue Data'!$A:$A,'[1]Tissue Data'!J:J)</f>
        <v>U</v>
      </c>
      <c r="H6255" t="str">
        <f>_xlfn.XLOOKUP(A6255,'[1]Tissue Data'!$A:$A,'[1]Tissue Data'!K:K)</f>
        <v>Whole Body</v>
      </c>
      <c r="I6255">
        <f>_xlfn.XLOOKUP(A6255,'[1]Tissue Data'!$A:$A,'[1]Tissue Data'!L:L)</f>
        <v>5</v>
      </c>
      <c r="J6255">
        <f>_xlfn.XLOOKUP(A6255,'[1]Tissue Data'!$A:$A,'[1]Tissue Data'!M:M)</f>
        <v>2.04</v>
      </c>
      <c r="K6255" t="s">
        <v>15</v>
      </c>
      <c r="L6255" t="str">
        <f>_xlfn.XLOOKUP(K6255,[2]analyte_order!$B:$B,[2]analyte_order!$C:$C)</f>
        <v>375-85-9</v>
      </c>
      <c r="M6255">
        <f>_xlfn.XLOOKUP(L6255,[2]analyte_order!$C:$C,[2]analyte_order!$E:$E)</f>
        <v>4</v>
      </c>
      <c r="N6255">
        <v>0.128</v>
      </c>
    </row>
    <row r="6256" spans="1:14">
      <c r="A6256" t="s">
        <v>317</v>
      </c>
      <c r="B6256" t="str">
        <f>_xlfn.XLOOKUP(A6256,'[1]Tissue Data'!$A:$A,'[1]Tissue Data'!$C:$C)</f>
        <v>Spill</v>
      </c>
      <c r="C6256" s="2">
        <f>_xlfn.XLOOKUP(A6256,'[1]Tissue Data'!$A:$A,'[1]Tissue Data'!$D:$D)</f>
        <v>44393</v>
      </c>
      <c r="D6256" s="2" t="s">
        <v>131</v>
      </c>
      <c r="E6256" t="str">
        <f>_xlfn.XLOOKUP(A6256,'[1]Tissue Data'!$A:$A,'[1]Tissue Data'!$H:$H)</f>
        <v>Rhinichthys</v>
      </c>
      <c r="F6256" t="str">
        <f>_xlfn.XLOOKUP(A6256,'[1]Tissue Data'!$A:$A,'[1]Tissue Data'!$I:$I)</f>
        <v>atratulus</v>
      </c>
      <c r="G6256" t="str">
        <f>_xlfn.XLOOKUP(A6256,'[1]Tissue Data'!$A:$A,'[1]Tissue Data'!J:J)</f>
        <v>U</v>
      </c>
      <c r="H6256" t="str">
        <f>_xlfn.XLOOKUP(A6256,'[1]Tissue Data'!$A:$A,'[1]Tissue Data'!K:K)</f>
        <v>Whole Body</v>
      </c>
      <c r="I6256">
        <f>_xlfn.XLOOKUP(A6256,'[1]Tissue Data'!$A:$A,'[1]Tissue Data'!L:L)</f>
        <v>5</v>
      </c>
      <c r="J6256">
        <f>_xlfn.XLOOKUP(A6256,'[1]Tissue Data'!$A:$A,'[1]Tissue Data'!M:M)</f>
        <v>2.04</v>
      </c>
      <c r="K6256" t="s">
        <v>16</v>
      </c>
      <c r="L6256" t="str">
        <f>_xlfn.XLOOKUP(K6256,[2]analyte_order!$B:$B,[2]analyte_order!$C:$C)</f>
        <v>335-67-1</v>
      </c>
      <c r="M6256">
        <f>_xlfn.XLOOKUP(L6256,[2]analyte_order!$C:$C,[2]analyte_order!$E:$E)</f>
        <v>5</v>
      </c>
      <c r="N6256">
        <v>2.93</v>
      </c>
    </row>
    <row r="6257" spans="1:14">
      <c r="A6257" t="s">
        <v>317</v>
      </c>
      <c r="B6257" t="str">
        <f>_xlfn.XLOOKUP(A6257,'[1]Tissue Data'!$A:$A,'[1]Tissue Data'!$C:$C)</f>
        <v>Spill</v>
      </c>
      <c r="C6257" s="2">
        <f>_xlfn.XLOOKUP(A6257,'[1]Tissue Data'!$A:$A,'[1]Tissue Data'!$D:$D)</f>
        <v>44393</v>
      </c>
      <c r="D6257" s="2" t="s">
        <v>131</v>
      </c>
      <c r="E6257" t="str">
        <f>_xlfn.XLOOKUP(A6257,'[1]Tissue Data'!$A:$A,'[1]Tissue Data'!$H:$H)</f>
        <v>Rhinichthys</v>
      </c>
      <c r="F6257" t="str">
        <f>_xlfn.XLOOKUP(A6257,'[1]Tissue Data'!$A:$A,'[1]Tissue Data'!$I:$I)</f>
        <v>atratulus</v>
      </c>
      <c r="G6257" t="str">
        <f>_xlfn.XLOOKUP(A6257,'[1]Tissue Data'!$A:$A,'[1]Tissue Data'!J:J)</f>
        <v>U</v>
      </c>
      <c r="H6257" t="str">
        <f>_xlfn.XLOOKUP(A6257,'[1]Tissue Data'!$A:$A,'[1]Tissue Data'!K:K)</f>
        <v>Whole Body</v>
      </c>
      <c r="I6257">
        <f>_xlfn.XLOOKUP(A6257,'[1]Tissue Data'!$A:$A,'[1]Tissue Data'!L:L)</f>
        <v>5</v>
      </c>
      <c r="J6257">
        <f>_xlfn.XLOOKUP(A6257,'[1]Tissue Data'!$A:$A,'[1]Tissue Data'!M:M)</f>
        <v>2.04</v>
      </c>
      <c r="K6257" t="s">
        <v>17</v>
      </c>
      <c r="L6257" t="str">
        <f>_xlfn.XLOOKUP(K6257,[2]analyte_order!$B:$B,[2]analyte_order!$C:$C)</f>
        <v>375-95-1</v>
      </c>
      <c r="M6257">
        <f>_xlfn.XLOOKUP(L6257,[2]analyte_order!$C:$C,[2]analyte_order!$E:$E)</f>
        <v>6</v>
      </c>
      <c r="N6257">
        <v>2.3199999999999998</v>
      </c>
    </row>
    <row r="6258" spans="1:14">
      <c r="A6258" t="s">
        <v>317</v>
      </c>
      <c r="B6258" t="str">
        <f>_xlfn.XLOOKUP(A6258,'[1]Tissue Data'!$A:$A,'[1]Tissue Data'!$C:$C)</f>
        <v>Spill</v>
      </c>
      <c r="C6258" s="2">
        <f>_xlfn.XLOOKUP(A6258,'[1]Tissue Data'!$A:$A,'[1]Tissue Data'!$D:$D)</f>
        <v>44393</v>
      </c>
      <c r="D6258" s="2" t="s">
        <v>131</v>
      </c>
      <c r="E6258" t="str">
        <f>_xlfn.XLOOKUP(A6258,'[1]Tissue Data'!$A:$A,'[1]Tissue Data'!$H:$H)</f>
        <v>Rhinichthys</v>
      </c>
      <c r="F6258" t="str">
        <f>_xlfn.XLOOKUP(A6258,'[1]Tissue Data'!$A:$A,'[1]Tissue Data'!$I:$I)</f>
        <v>atratulus</v>
      </c>
      <c r="G6258" t="str">
        <f>_xlfn.XLOOKUP(A6258,'[1]Tissue Data'!$A:$A,'[1]Tissue Data'!J:J)</f>
        <v>U</v>
      </c>
      <c r="H6258" t="str">
        <f>_xlfn.XLOOKUP(A6258,'[1]Tissue Data'!$A:$A,'[1]Tissue Data'!K:K)</f>
        <v>Whole Body</v>
      </c>
      <c r="I6258">
        <f>_xlfn.XLOOKUP(A6258,'[1]Tissue Data'!$A:$A,'[1]Tissue Data'!L:L)</f>
        <v>5</v>
      </c>
      <c r="J6258">
        <f>_xlfn.XLOOKUP(A6258,'[1]Tissue Data'!$A:$A,'[1]Tissue Data'!M:M)</f>
        <v>2.04</v>
      </c>
      <c r="K6258" t="s">
        <v>18</v>
      </c>
      <c r="L6258" t="str">
        <f>_xlfn.XLOOKUP(K6258,[2]analyte_order!$B:$B,[2]analyte_order!$C:$C)</f>
        <v>335-76-2</v>
      </c>
      <c r="M6258">
        <f>_xlfn.XLOOKUP(L6258,[2]analyte_order!$C:$C,[2]analyte_order!$E:$E)</f>
        <v>7</v>
      </c>
      <c r="N6258">
        <v>6.71</v>
      </c>
    </row>
    <row r="6259" spans="1:14">
      <c r="A6259" t="s">
        <v>317</v>
      </c>
      <c r="B6259" t="str">
        <f>_xlfn.XLOOKUP(A6259,'[1]Tissue Data'!$A:$A,'[1]Tissue Data'!$C:$C)</f>
        <v>Spill</v>
      </c>
      <c r="C6259" s="2">
        <f>_xlfn.XLOOKUP(A6259,'[1]Tissue Data'!$A:$A,'[1]Tissue Data'!$D:$D)</f>
        <v>44393</v>
      </c>
      <c r="D6259" s="2" t="s">
        <v>131</v>
      </c>
      <c r="E6259" t="str">
        <f>_xlfn.XLOOKUP(A6259,'[1]Tissue Data'!$A:$A,'[1]Tissue Data'!$H:$H)</f>
        <v>Rhinichthys</v>
      </c>
      <c r="F6259" t="str">
        <f>_xlfn.XLOOKUP(A6259,'[1]Tissue Data'!$A:$A,'[1]Tissue Data'!$I:$I)</f>
        <v>atratulus</v>
      </c>
      <c r="G6259" t="str">
        <f>_xlfn.XLOOKUP(A6259,'[1]Tissue Data'!$A:$A,'[1]Tissue Data'!J:J)</f>
        <v>U</v>
      </c>
      <c r="H6259" t="str">
        <f>_xlfn.XLOOKUP(A6259,'[1]Tissue Data'!$A:$A,'[1]Tissue Data'!K:K)</f>
        <v>Whole Body</v>
      </c>
      <c r="I6259">
        <f>_xlfn.XLOOKUP(A6259,'[1]Tissue Data'!$A:$A,'[1]Tissue Data'!L:L)</f>
        <v>5</v>
      </c>
      <c r="J6259">
        <f>_xlfn.XLOOKUP(A6259,'[1]Tissue Data'!$A:$A,'[1]Tissue Data'!M:M)</f>
        <v>2.04</v>
      </c>
      <c r="K6259" t="s">
        <v>19</v>
      </c>
      <c r="L6259" t="str">
        <f>_xlfn.XLOOKUP(K6259,[2]analyte_order!$B:$B,[2]analyte_order!$C:$C)</f>
        <v>2058-94-8</v>
      </c>
      <c r="M6259">
        <f>_xlfn.XLOOKUP(L6259,[2]analyte_order!$C:$C,[2]analyte_order!$E:$E)</f>
        <v>8</v>
      </c>
      <c r="N6259">
        <v>7.72</v>
      </c>
    </row>
    <row r="6260" spans="1:14">
      <c r="A6260" t="s">
        <v>317</v>
      </c>
      <c r="B6260" t="str">
        <f>_xlfn.XLOOKUP(A6260,'[1]Tissue Data'!$A:$A,'[1]Tissue Data'!$C:$C)</f>
        <v>Spill</v>
      </c>
      <c r="C6260" s="2">
        <f>_xlfn.XLOOKUP(A6260,'[1]Tissue Data'!$A:$A,'[1]Tissue Data'!$D:$D)</f>
        <v>44393</v>
      </c>
      <c r="D6260" s="2" t="s">
        <v>131</v>
      </c>
      <c r="E6260" t="str">
        <f>_xlfn.XLOOKUP(A6260,'[1]Tissue Data'!$A:$A,'[1]Tissue Data'!$H:$H)</f>
        <v>Rhinichthys</v>
      </c>
      <c r="F6260" t="str">
        <f>_xlfn.XLOOKUP(A6260,'[1]Tissue Data'!$A:$A,'[1]Tissue Data'!$I:$I)</f>
        <v>atratulus</v>
      </c>
      <c r="G6260" t="str">
        <f>_xlfn.XLOOKUP(A6260,'[1]Tissue Data'!$A:$A,'[1]Tissue Data'!J:J)</f>
        <v>U</v>
      </c>
      <c r="H6260" t="str">
        <f>_xlfn.XLOOKUP(A6260,'[1]Tissue Data'!$A:$A,'[1]Tissue Data'!K:K)</f>
        <v>Whole Body</v>
      </c>
      <c r="I6260">
        <f>_xlfn.XLOOKUP(A6260,'[1]Tissue Data'!$A:$A,'[1]Tissue Data'!L:L)</f>
        <v>5</v>
      </c>
      <c r="J6260">
        <f>_xlfn.XLOOKUP(A6260,'[1]Tissue Data'!$A:$A,'[1]Tissue Data'!M:M)</f>
        <v>2.04</v>
      </c>
      <c r="K6260" t="s">
        <v>20</v>
      </c>
      <c r="L6260" t="str">
        <f>_xlfn.XLOOKUP(K6260,[2]analyte_order!$B:$B,[2]analyte_order!$C:$C)</f>
        <v>307-55-1</v>
      </c>
      <c r="M6260">
        <f>_xlfn.XLOOKUP(L6260,[2]analyte_order!$C:$C,[2]analyte_order!$E:$E)</f>
        <v>9</v>
      </c>
      <c r="N6260">
        <v>15.8</v>
      </c>
    </row>
    <row r="6261" spans="1:14">
      <c r="A6261" t="s">
        <v>317</v>
      </c>
      <c r="B6261" t="str">
        <f>_xlfn.XLOOKUP(A6261,'[1]Tissue Data'!$A:$A,'[1]Tissue Data'!$C:$C)</f>
        <v>Spill</v>
      </c>
      <c r="C6261" s="2">
        <f>_xlfn.XLOOKUP(A6261,'[1]Tissue Data'!$A:$A,'[1]Tissue Data'!$D:$D)</f>
        <v>44393</v>
      </c>
      <c r="D6261" s="2" t="s">
        <v>131</v>
      </c>
      <c r="E6261" t="str">
        <f>_xlfn.XLOOKUP(A6261,'[1]Tissue Data'!$A:$A,'[1]Tissue Data'!$H:$H)</f>
        <v>Rhinichthys</v>
      </c>
      <c r="F6261" t="str">
        <f>_xlfn.XLOOKUP(A6261,'[1]Tissue Data'!$A:$A,'[1]Tissue Data'!$I:$I)</f>
        <v>atratulus</v>
      </c>
      <c r="G6261" t="str">
        <f>_xlfn.XLOOKUP(A6261,'[1]Tissue Data'!$A:$A,'[1]Tissue Data'!J:J)</f>
        <v>U</v>
      </c>
      <c r="H6261" t="str">
        <f>_xlfn.XLOOKUP(A6261,'[1]Tissue Data'!$A:$A,'[1]Tissue Data'!K:K)</f>
        <v>Whole Body</v>
      </c>
      <c r="I6261">
        <f>_xlfn.XLOOKUP(A6261,'[1]Tissue Data'!$A:$A,'[1]Tissue Data'!L:L)</f>
        <v>5</v>
      </c>
      <c r="J6261">
        <f>_xlfn.XLOOKUP(A6261,'[1]Tissue Data'!$A:$A,'[1]Tissue Data'!M:M)</f>
        <v>2.04</v>
      </c>
      <c r="K6261" t="s">
        <v>21</v>
      </c>
      <c r="L6261" t="str">
        <f>_xlfn.XLOOKUP(K6261,[2]analyte_order!$B:$B,[2]analyte_order!$C:$C)</f>
        <v>72629-94-8</v>
      </c>
      <c r="M6261">
        <f>_xlfn.XLOOKUP(L6261,[2]analyte_order!$C:$C,[2]analyte_order!$E:$E)</f>
        <v>10</v>
      </c>
      <c r="N6261">
        <v>7.46</v>
      </c>
    </row>
    <row r="6262" spans="1:14">
      <c r="A6262" t="s">
        <v>317</v>
      </c>
      <c r="B6262" t="str">
        <f>_xlfn.XLOOKUP(A6262,'[1]Tissue Data'!$A:$A,'[1]Tissue Data'!$C:$C)</f>
        <v>Spill</v>
      </c>
      <c r="C6262" s="2">
        <f>_xlfn.XLOOKUP(A6262,'[1]Tissue Data'!$A:$A,'[1]Tissue Data'!$D:$D)</f>
        <v>44393</v>
      </c>
      <c r="D6262" s="2" t="s">
        <v>131</v>
      </c>
      <c r="E6262" t="str">
        <f>_xlfn.XLOOKUP(A6262,'[1]Tissue Data'!$A:$A,'[1]Tissue Data'!$H:$H)</f>
        <v>Rhinichthys</v>
      </c>
      <c r="F6262" t="str">
        <f>_xlfn.XLOOKUP(A6262,'[1]Tissue Data'!$A:$A,'[1]Tissue Data'!$I:$I)</f>
        <v>atratulus</v>
      </c>
      <c r="G6262" t="str">
        <f>_xlfn.XLOOKUP(A6262,'[1]Tissue Data'!$A:$A,'[1]Tissue Data'!J:J)</f>
        <v>U</v>
      </c>
      <c r="H6262" t="str">
        <f>_xlfn.XLOOKUP(A6262,'[1]Tissue Data'!$A:$A,'[1]Tissue Data'!K:K)</f>
        <v>Whole Body</v>
      </c>
      <c r="I6262">
        <f>_xlfn.XLOOKUP(A6262,'[1]Tissue Data'!$A:$A,'[1]Tissue Data'!L:L)</f>
        <v>5</v>
      </c>
      <c r="J6262">
        <f>_xlfn.XLOOKUP(A6262,'[1]Tissue Data'!$A:$A,'[1]Tissue Data'!M:M)</f>
        <v>2.04</v>
      </c>
      <c r="K6262" t="s">
        <v>22</v>
      </c>
      <c r="L6262" t="str">
        <f>_xlfn.XLOOKUP(K6262,[2]analyte_order!$B:$B,[2]analyte_order!$C:$C)</f>
        <v>376-06-7</v>
      </c>
      <c r="M6262">
        <f>_xlfn.XLOOKUP(L6262,[2]analyte_order!$C:$C,[2]analyte_order!$E:$E)</f>
        <v>11</v>
      </c>
      <c r="N6262">
        <v>13.6</v>
      </c>
    </row>
    <row r="6263" spans="1:14">
      <c r="A6263" t="s">
        <v>317</v>
      </c>
      <c r="B6263" t="str">
        <f>_xlfn.XLOOKUP(A6263,'[1]Tissue Data'!$A:$A,'[1]Tissue Data'!$C:$C)</f>
        <v>Spill</v>
      </c>
      <c r="C6263" s="2">
        <f>_xlfn.XLOOKUP(A6263,'[1]Tissue Data'!$A:$A,'[1]Tissue Data'!$D:$D)</f>
        <v>44393</v>
      </c>
      <c r="D6263" s="2" t="s">
        <v>131</v>
      </c>
      <c r="E6263" t="str">
        <f>_xlfn.XLOOKUP(A6263,'[1]Tissue Data'!$A:$A,'[1]Tissue Data'!$H:$H)</f>
        <v>Rhinichthys</v>
      </c>
      <c r="F6263" t="str">
        <f>_xlfn.XLOOKUP(A6263,'[1]Tissue Data'!$A:$A,'[1]Tissue Data'!$I:$I)</f>
        <v>atratulus</v>
      </c>
      <c r="G6263" t="str">
        <f>_xlfn.XLOOKUP(A6263,'[1]Tissue Data'!$A:$A,'[1]Tissue Data'!J:J)</f>
        <v>U</v>
      </c>
      <c r="H6263" t="str">
        <f>_xlfn.XLOOKUP(A6263,'[1]Tissue Data'!$A:$A,'[1]Tissue Data'!K:K)</f>
        <v>Whole Body</v>
      </c>
      <c r="I6263">
        <f>_xlfn.XLOOKUP(A6263,'[1]Tissue Data'!$A:$A,'[1]Tissue Data'!L:L)</f>
        <v>5</v>
      </c>
      <c r="J6263">
        <f>_xlfn.XLOOKUP(A6263,'[1]Tissue Data'!$A:$A,'[1]Tissue Data'!M:M)</f>
        <v>2.04</v>
      </c>
      <c r="K6263" t="s">
        <v>23</v>
      </c>
      <c r="L6263" t="str">
        <f>_xlfn.XLOOKUP(K6263,[2]analyte_order!$B:$B,[2]analyte_order!$C:$C)</f>
        <v>67905-19-5</v>
      </c>
      <c r="M6263">
        <f>_xlfn.XLOOKUP(L6263,[2]analyte_order!$C:$C,[2]analyte_order!$E:$E)</f>
        <v>12</v>
      </c>
      <c r="N6263">
        <v>0.1525</v>
      </c>
    </row>
    <row r="6264" spans="1:14">
      <c r="A6264" t="s">
        <v>317</v>
      </c>
      <c r="B6264" t="str">
        <f>_xlfn.XLOOKUP(A6264,'[1]Tissue Data'!$A:$A,'[1]Tissue Data'!$C:$C)</f>
        <v>Spill</v>
      </c>
      <c r="C6264" s="2">
        <f>_xlfn.XLOOKUP(A6264,'[1]Tissue Data'!$A:$A,'[1]Tissue Data'!$D:$D)</f>
        <v>44393</v>
      </c>
      <c r="D6264" s="2" t="s">
        <v>131</v>
      </c>
      <c r="E6264" t="str">
        <f>_xlfn.XLOOKUP(A6264,'[1]Tissue Data'!$A:$A,'[1]Tissue Data'!$H:$H)</f>
        <v>Rhinichthys</v>
      </c>
      <c r="F6264" t="str">
        <f>_xlfn.XLOOKUP(A6264,'[1]Tissue Data'!$A:$A,'[1]Tissue Data'!$I:$I)</f>
        <v>atratulus</v>
      </c>
      <c r="G6264" t="str">
        <f>_xlfn.XLOOKUP(A6264,'[1]Tissue Data'!$A:$A,'[1]Tissue Data'!J:J)</f>
        <v>U</v>
      </c>
      <c r="H6264" t="str">
        <f>_xlfn.XLOOKUP(A6264,'[1]Tissue Data'!$A:$A,'[1]Tissue Data'!K:K)</f>
        <v>Whole Body</v>
      </c>
      <c r="I6264">
        <f>_xlfn.XLOOKUP(A6264,'[1]Tissue Data'!$A:$A,'[1]Tissue Data'!L:L)</f>
        <v>5</v>
      </c>
      <c r="J6264">
        <f>_xlfn.XLOOKUP(A6264,'[1]Tissue Data'!$A:$A,'[1]Tissue Data'!M:M)</f>
        <v>2.04</v>
      </c>
      <c r="K6264" t="s">
        <v>24</v>
      </c>
      <c r="L6264" t="str">
        <f>_xlfn.XLOOKUP(K6264,[2]analyte_order!$B:$B,[2]analyte_order!$C:$C)</f>
        <v>423-41-6</v>
      </c>
      <c r="M6264">
        <f>_xlfn.XLOOKUP(L6264,[2]analyte_order!$C:$C,[2]analyte_order!$E:$E)</f>
        <v>53</v>
      </c>
      <c r="N6264">
        <v>0.128</v>
      </c>
    </row>
    <row r="6265" spans="1:14">
      <c r="A6265" t="s">
        <v>317</v>
      </c>
      <c r="B6265" t="str">
        <f>_xlfn.XLOOKUP(A6265,'[1]Tissue Data'!$A:$A,'[1]Tissue Data'!$C:$C)</f>
        <v>Spill</v>
      </c>
      <c r="C6265" s="2">
        <f>_xlfn.XLOOKUP(A6265,'[1]Tissue Data'!$A:$A,'[1]Tissue Data'!$D:$D)</f>
        <v>44393</v>
      </c>
      <c r="D6265" s="2" t="s">
        <v>131</v>
      </c>
      <c r="E6265" t="str">
        <f>_xlfn.XLOOKUP(A6265,'[1]Tissue Data'!$A:$A,'[1]Tissue Data'!$H:$H)</f>
        <v>Rhinichthys</v>
      </c>
      <c r="F6265" t="str">
        <f>_xlfn.XLOOKUP(A6265,'[1]Tissue Data'!$A:$A,'[1]Tissue Data'!$I:$I)</f>
        <v>atratulus</v>
      </c>
      <c r="G6265" t="str">
        <f>_xlfn.XLOOKUP(A6265,'[1]Tissue Data'!$A:$A,'[1]Tissue Data'!J:J)</f>
        <v>U</v>
      </c>
      <c r="H6265" t="str">
        <f>_xlfn.XLOOKUP(A6265,'[1]Tissue Data'!$A:$A,'[1]Tissue Data'!K:K)</f>
        <v>Whole Body</v>
      </c>
      <c r="I6265">
        <f>_xlfn.XLOOKUP(A6265,'[1]Tissue Data'!$A:$A,'[1]Tissue Data'!L:L)</f>
        <v>5</v>
      </c>
      <c r="J6265">
        <f>_xlfn.XLOOKUP(A6265,'[1]Tissue Data'!$A:$A,'[1]Tissue Data'!M:M)</f>
        <v>2.04</v>
      </c>
      <c r="K6265" t="s">
        <v>25</v>
      </c>
      <c r="L6265" t="str">
        <f>_xlfn.XLOOKUP(K6265,[2]analyte_order!$B:$B,[2]analyte_order!$C:$C)</f>
        <v>375-73-5</v>
      </c>
      <c r="M6265">
        <f>_xlfn.XLOOKUP(L6265,[2]analyte_order!$C:$C,[2]analyte_order!$E:$E)</f>
        <v>14</v>
      </c>
      <c r="N6265">
        <v>0.2555</v>
      </c>
    </row>
    <row r="6266" spans="1:14">
      <c r="A6266" t="s">
        <v>317</v>
      </c>
      <c r="B6266" t="str">
        <f>_xlfn.XLOOKUP(A6266,'[1]Tissue Data'!$A:$A,'[1]Tissue Data'!$C:$C)</f>
        <v>Spill</v>
      </c>
      <c r="C6266" s="2">
        <f>_xlfn.XLOOKUP(A6266,'[1]Tissue Data'!$A:$A,'[1]Tissue Data'!$D:$D)</f>
        <v>44393</v>
      </c>
      <c r="D6266" s="2" t="s">
        <v>131</v>
      </c>
      <c r="E6266" t="str">
        <f>_xlfn.XLOOKUP(A6266,'[1]Tissue Data'!$A:$A,'[1]Tissue Data'!$H:$H)</f>
        <v>Rhinichthys</v>
      </c>
      <c r="F6266" t="str">
        <f>_xlfn.XLOOKUP(A6266,'[1]Tissue Data'!$A:$A,'[1]Tissue Data'!$I:$I)</f>
        <v>atratulus</v>
      </c>
      <c r="G6266" t="str">
        <f>_xlfn.XLOOKUP(A6266,'[1]Tissue Data'!$A:$A,'[1]Tissue Data'!J:J)</f>
        <v>U</v>
      </c>
      <c r="H6266" t="str">
        <f>_xlfn.XLOOKUP(A6266,'[1]Tissue Data'!$A:$A,'[1]Tissue Data'!K:K)</f>
        <v>Whole Body</v>
      </c>
      <c r="I6266">
        <f>_xlfn.XLOOKUP(A6266,'[1]Tissue Data'!$A:$A,'[1]Tissue Data'!L:L)</f>
        <v>5</v>
      </c>
      <c r="J6266">
        <f>_xlfn.XLOOKUP(A6266,'[1]Tissue Data'!$A:$A,'[1]Tissue Data'!M:M)</f>
        <v>2.04</v>
      </c>
      <c r="K6266" t="s">
        <v>26</v>
      </c>
      <c r="L6266" t="str">
        <f>_xlfn.XLOOKUP(K6266,[2]analyte_order!$B:$B,[2]analyte_order!$C:$C)</f>
        <v>2706-91-4</v>
      </c>
      <c r="M6266">
        <f>_xlfn.XLOOKUP(L6266,[2]analyte_order!$C:$C,[2]analyte_order!$E:$E)</f>
        <v>15</v>
      </c>
      <c r="N6266">
        <v>0.36599999999999999</v>
      </c>
    </row>
    <row r="6267" spans="1:14">
      <c r="A6267" t="s">
        <v>317</v>
      </c>
      <c r="B6267" t="str">
        <f>_xlfn.XLOOKUP(A6267,'[1]Tissue Data'!$A:$A,'[1]Tissue Data'!$C:$C)</f>
        <v>Spill</v>
      </c>
      <c r="C6267" s="2">
        <f>_xlfn.XLOOKUP(A6267,'[1]Tissue Data'!$A:$A,'[1]Tissue Data'!$D:$D)</f>
        <v>44393</v>
      </c>
      <c r="D6267" s="2" t="s">
        <v>131</v>
      </c>
      <c r="E6267" t="str">
        <f>_xlfn.XLOOKUP(A6267,'[1]Tissue Data'!$A:$A,'[1]Tissue Data'!$H:$H)</f>
        <v>Rhinichthys</v>
      </c>
      <c r="F6267" t="str">
        <f>_xlfn.XLOOKUP(A6267,'[1]Tissue Data'!$A:$A,'[1]Tissue Data'!$I:$I)</f>
        <v>atratulus</v>
      </c>
      <c r="G6267" t="str">
        <f>_xlfn.XLOOKUP(A6267,'[1]Tissue Data'!$A:$A,'[1]Tissue Data'!J:J)</f>
        <v>U</v>
      </c>
      <c r="H6267" t="str">
        <f>_xlfn.XLOOKUP(A6267,'[1]Tissue Data'!$A:$A,'[1]Tissue Data'!K:K)</f>
        <v>Whole Body</v>
      </c>
      <c r="I6267">
        <f>_xlfn.XLOOKUP(A6267,'[1]Tissue Data'!$A:$A,'[1]Tissue Data'!L:L)</f>
        <v>5</v>
      </c>
      <c r="J6267">
        <f>_xlfn.XLOOKUP(A6267,'[1]Tissue Data'!$A:$A,'[1]Tissue Data'!M:M)</f>
        <v>2.04</v>
      </c>
      <c r="K6267" t="s">
        <v>27</v>
      </c>
      <c r="L6267" t="str">
        <f>_xlfn.XLOOKUP(K6267,[2]analyte_order!$B:$B,[2]analyte_order!$C:$C)</f>
        <v>355-46-4</v>
      </c>
      <c r="M6267">
        <f>_xlfn.XLOOKUP(L6267,[2]analyte_order!$C:$C,[2]analyte_order!$E:$E)</f>
        <v>16</v>
      </c>
      <c r="N6267">
        <v>60.3</v>
      </c>
    </row>
    <row r="6268" spans="1:14">
      <c r="A6268" t="s">
        <v>317</v>
      </c>
      <c r="B6268" t="str">
        <f>_xlfn.XLOOKUP(A6268,'[1]Tissue Data'!$A:$A,'[1]Tissue Data'!$C:$C)</f>
        <v>Spill</v>
      </c>
      <c r="C6268" s="2">
        <f>_xlfn.XLOOKUP(A6268,'[1]Tissue Data'!$A:$A,'[1]Tissue Data'!$D:$D)</f>
        <v>44393</v>
      </c>
      <c r="D6268" s="2" t="s">
        <v>131</v>
      </c>
      <c r="E6268" t="str">
        <f>_xlfn.XLOOKUP(A6268,'[1]Tissue Data'!$A:$A,'[1]Tissue Data'!$H:$H)</f>
        <v>Rhinichthys</v>
      </c>
      <c r="F6268" t="str">
        <f>_xlfn.XLOOKUP(A6268,'[1]Tissue Data'!$A:$A,'[1]Tissue Data'!$I:$I)</f>
        <v>atratulus</v>
      </c>
      <c r="G6268" t="str">
        <f>_xlfn.XLOOKUP(A6268,'[1]Tissue Data'!$A:$A,'[1]Tissue Data'!J:J)</f>
        <v>U</v>
      </c>
      <c r="H6268" t="str">
        <f>_xlfn.XLOOKUP(A6268,'[1]Tissue Data'!$A:$A,'[1]Tissue Data'!K:K)</f>
        <v>Whole Body</v>
      </c>
      <c r="I6268">
        <f>_xlfn.XLOOKUP(A6268,'[1]Tissue Data'!$A:$A,'[1]Tissue Data'!L:L)</f>
        <v>5</v>
      </c>
      <c r="J6268">
        <f>_xlfn.XLOOKUP(A6268,'[1]Tissue Data'!$A:$A,'[1]Tissue Data'!M:M)</f>
        <v>2.04</v>
      </c>
      <c r="K6268" t="s">
        <v>28</v>
      </c>
      <c r="L6268" t="str">
        <f>_xlfn.XLOOKUP(K6268,[2]analyte_order!$B:$B,[2]analyte_order!$C:$C)</f>
        <v>375-92-8</v>
      </c>
      <c r="M6268">
        <f>_xlfn.XLOOKUP(L6268,[2]analyte_order!$C:$C,[2]analyte_order!$E:$E)</f>
        <v>17</v>
      </c>
      <c r="N6268">
        <v>2.69</v>
      </c>
    </row>
    <row r="6269" spans="1:14">
      <c r="A6269" t="s">
        <v>317</v>
      </c>
      <c r="B6269" t="str">
        <f>_xlfn.XLOOKUP(A6269,'[1]Tissue Data'!$A:$A,'[1]Tissue Data'!$C:$C)</f>
        <v>Spill</v>
      </c>
      <c r="C6269" s="2">
        <f>_xlfn.XLOOKUP(A6269,'[1]Tissue Data'!$A:$A,'[1]Tissue Data'!$D:$D)</f>
        <v>44393</v>
      </c>
      <c r="D6269" s="2" t="s">
        <v>131</v>
      </c>
      <c r="E6269" t="str">
        <f>_xlfn.XLOOKUP(A6269,'[1]Tissue Data'!$A:$A,'[1]Tissue Data'!$H:$H)</f>
        <v>Rhinichthys</v>
      </c>
      <c r="F6269" t="str">
        <f>_xlfn.XLOOKUP(A6269,'[1]Tissue Data'!$A:$A,'[1]Tissue Data'!$I:$I)</f>
        <v>atratulus</v>
      </c>
      <c r="G6269" t="str">
        <f>_xlfn.XLOOKUP(A6269,'[1]Tissue Data'!$A:$A,'[1]Tissue Data'!J:J)</f>
        <v>U</v>
      </c>
      <c r="H6269" t="str">
        <f>_xlfn.XLOOKUP(A6269,'[1]Tissue Data'!$A:$A,'[1]Tissue Data'!K:K)</f>
        <v>Whole Body</v>
      </c>
      <c r="I6269">
        <f>_xlfn.XLOOKUP(A6269,'[1]Tissue Data'!$A:$A,'[1]Tissue Data'!L:L)</f>
        <v>5</v>
      </c>
      <c r="J6269">
        <f>_xlfn.XLOOKUP(A6269,'[1]Tissue Data'!$A:$A,'[1]Tissue Data'!M:M)</f>
        <v>2.04</v>
      </c>
      <c r="K6269" t="s">
        <v>29</v>
      </c>
      <c r="L6269" t="str">
        <f>_xlfn.XLOOKUP(K6269,[2]analyte_order!$B:$B,[2]analyte_order!$C:$C)</f>
        <v>1763-23-1</v>
      </c>
      <c r="M6269">
        <f>_xlfn.XLOOKUP(L6269,[2]analyte_order!$C:$C,[2]analyte_order!$E:$E)</f>
        <v>18</v>
      </c>
      <c r="N6269">
        <v>724</v>
      </c>
    </row>
    <row r="6270" spans="1:14">
      <c r="A6270" t="s">
        <v>317</v>
      </c>
      <c r="B6270" t="str">
        <f>_xlfn.XLOOKUP(A6270,'[1]Tissue Data'!$A:$A,'[1]Tissue Data'!$C:$C)</f>
        <v>Spill</v>
      </c>
      <c r="C6270" s="2">
        <f>_xlfn.XLOOKUP(A6270,'[1]Tissue Data'!$A:$A,'[1]Tissue Data'!$D:$D)</f>
        <v>44393</v>
      </c>
      <c r="D6270" s="2" t="s">
        <v>131</v>
      </c>
      <c r="E6270" t="str">
        <f>_xlfn.XLOOKUP(A6270,'[1]Tissue Data'!$A:$A,'[1]Tissue Data'!$H:$H)</f>
        <v>Rhinichthys</v>
      </c>
      <c r="F6270" t="str">
        <f>_xlfn.XLOOKUP(A6270,'[1]Tissue Data'!$A:$A,'[1]Tissue Data'!$I:$I)</f>
        <v>atratulus</v>
      </c>
      <c r="G6270" t="str">
        <f>_xlfn.XLOOKUP(A6270,'[1]Tissue Data'!$A:$A,'[1]Tissue Data'!J:J)</f>
        <v>U</v>
      </c>
      <c r="H6270" t="str">
        <f>_xlfn.XLOOKUP(A6270,'[1]Tissue Data'!$A:$A,'[1]Tissue Data'!K:K)</f>
        <v>Whole Body</v>
      </c>
      <c r="I6270">
        <f>_xlfn.XLOOKUP(A6270,'[1]Tissue Data'!$A:$A,'[1]Tissue Data'!L:L)</f>
        <v>5</v>
      </c>
      <c r="J6270">
        <f>_xlfn.XLOOKUP(A6270,'[1]Tissue Data'!$A:$A,'[1]Tissue Data'!M:M)</f>
        <v>2.04</v>
      </c>
      <c r="K6270" t="s">
        <v>30</v>
      </c>
      <c r="L6270" t="str">
        <f>_xlfn.XLOOKUP(K6270,[2]analyte_order!$B:$B,[2]analyte_order!$C:$C)</f>
        <v>68259-12-1</v>
      </c>
      <c r="M6270">
        <f>_xlfn.XLOOKUP(L6270,[2]analyte_order!$C:$C,[2]analyte_order!$E:$E)</f>
        <v>19</v>
      </c>
      <c r="N6270">
        <v>0.2555</v>
      </c>
    </row>
    <row r="6271" spans="1:14">
      <c r="A6271" t="s">
        <v>317</v>
      </c>
      <c r="B6271" t="str">
        <f>_xlfn.XLOOKUP(A6271,'[1]Tissue Data'!$A:$A,'[1]Tissue Data'!$C:$C)</f>
        <v>Spill</v>
      </c>
      <c r="C6271" s="2">
        <f>_xlfn.XLOOKUP(A6271,'[1]Tissue Data'!$A:$A,'[1]Tissue Data'!$D:$D)</f>
        <v>44393</v>
      </c>
      <c r="D6271" s="2" t="s">
        <v>131</v>
      </c>
      <c r="E6271" t="str">
        <f>_xlfn.XLOOKUP(A6271,'[1]Tissue Data'!$A:$A,'[1]Tissue Data'!$H:$H)</f>
        <v>Rhinichthys</v>
      </c>
      <c r="F6271" t="str">
        <f>_xlfn.XLOOKUP(A6271,'[1]Tissue Data'!$A:$A,'[1]Tissue Data'!$I:$I)</f>
        <v>atratulus</v>
      </c>
      <c r="G6271" t="str">
        <f>_xlfn.XLOOKUP(A6271,'[1]Tissue Data'!$A:$A,'[1]Tissue Data'!J:J)</f>
        <v>U</v>
      </c>
      <c r="H6271" t="str">
        <f>_xlfn.XLOOKUP(A6271,'[1]Tissue Data'!$A:$A,'[1]Tissue Data'!K:K)</f>
        <v>Whole Body</v>
      </c>
      <c r="I6271">
        <f>_xlfn.XLOOKUP(A6271,'[1]Tissue Data'!$A:$A,'[1]Tissue Data'!L:L)</f>
        <v>5</v>
      </c>
      <c r="J6271">
        <f>_xlfn.XLOOKUP(A6271,'[1]Tissue Data'!$A:$A,'[1]Tissue Data'!M:M)</f>
        <v>2.04</v>
      </c>
      <c r="K6271" t="s">
        <v>31</v>
      </c>
      <c r="L6271" t="str">
        <f>_xlfn.XLOOKUP(K6271,[2]analyte_order!$B:$B,[2]analyte_order!$C:$C)</f>
        <v>335-77-3</v>
      </c>
      <c r="M6271">
        <f>_xlfn.XLOOKUP(L6271,[2]analyte_order!$C:$C,[2]analyte_order!$E:$E)</f>
        <v>20</v>
      </c>
      <c r="N6271">
        <v>0.66</v>
      </c>
    </row>
    <row r="6272" spans="1:14">
      <c r="A6272" t="s">
        <v>317</v>
      </c>
      <c r="B6272" t="str">
        <f>_xlfn.XLOOKUP(A6272,'[1]Tissue Data'!$A:$A,'[1]Tissue Data'!$C:$C)</f>
        <v>Spill</v>
      </c>
      <c r="C6272" s="2">
        <f>_xlfn.XLOOKUP(A6272,'[1]Tissue Data'!$A:$A,'[1]Tissue Data'!$D:$D)</f>
        <v>44393</v>
      </c>
      <c r="D6272" s="2" t="s">
        <v>131</v>
      </c>
      <c r="E6272" t="str">
        <f>_xlfn.XLOOKUP(A6272,'[1]Tissue Data'!$A:$A,'[1]Tissue Data'!$H:$H)</f>
        <v>Rhinichthys</v>
      </c>
      <c r="F6272" t="str">
        <f>_xlfn.XLOOKUP(A6272,'[1]Tissue Data'!$A:$A,'[1]Tissue Data'!$I:$I)</f>
        <v>atratulus</v>
      </c>
      <c r="G6272" t="str">
        <f>_xlfn.XLOOKUP(A6272,'[1]Tissue Data'!$A:$A,'[1]Tissue Data'!J:J)</f>
        <v>U</v>
      </c>
      <c r="H6272" t="str">
        <f>_xlfn.XLOOKUP(A6272,'[1]Tissue Data'!$A:$A,'[1]Tissue Data'!K:K)</f>
        <v>Whole Body</v>
      </c>
      <c r="I6272">
        <f>_xlfn.XLOOKUP(A6272,'[1]Tissue Data'!$A:$A,'[1]Tissue Data'!L:L)</f>
        <v>5</v>
      </c>
      <c r="J6272">
        <f>_xlfn.XLOOKUP(A6272,'[1]Tissue Data'!$A:$A,'[1]Tissue Data'!M:M)</f>
        <v>2.04</v>
      </c>
      <c r="K6272" t="s">
        <v>32</v>
      </c>
      <c r="L6272" t="str">
        <f>_xlfn.XLOOKUP(K6272,[2]analyte_order!$B:$B,[2]analyte_order!$C:$C)</f>
        <v>79780-39-5</v>
      </c>
      <c r="M6272">
        <f>_xlfn.XLOOKUP(L6272,[2]analyte_order!$C:$C,[2]analyte_order!$E:$E)</f>
        <v>21</v>
      </c>
      <c r="N6272">
        <v>0.27350000000000002</v>
      </c>
    </row>
    <row r="6273" spans="1:14">
      <c r="A6273" t="s">
        <v>317</v>
      </c>
      <c r="B6273" t="str">
        <f>_xlfn.XLOOKUP(A6273,'[1]Tissue Data'!$A:$A,'[1]Tissue Data'!$C:$C)</f>
        <v>Spill</v>
      </c>
      <c r="C6273" s="2">
        <f>_xlfn.XLOOKUP(A6273,'[1]Tissue Data'!$A:$A,'[1]Tissue Data'!$D:$D)</f>
        <v>44393</v>
      </c>
      <c r="D6273" s="2" t="s">
        <v>131</v>
      </c>
      <c r="E6273" t="str">
        <f>_xlfn.XLOOKUP(A6273,'[1]Tissue Data'!$A:$A,'[1]Tissue Data'!$H:$H)</f>
        <v>Rhinichthys</v>
      </c>
      <c r="F6273" t="str">
        <f>_xlfn.XLOOKUP(A6273,'[1]Tissue Data'!$A:$A,'[1]Tissue Data'!$I:$I)</f>
        <v>atratulus</v>
      </c>
      <c r="G6273" t="str">
        <f>_xlfn.XLOOKUP(A6273,'[1]Tissue Data'!$A:$A,'[1]Tissue Data'!J:J)</f>
        <v>U</v>
      </c>
      <c r="H6273" t="str">
        <f>_xlfn.XLOOKUP(A6273,'[1]Tissue Data'!$A:$A,'[1]Tissue Data'!K:K)</f>
        <v>Whole Body</v>
      </c>
      <c r="I6273">
        <f>_xlfn.XLOOKUP(A6273,'[1]Tissue Data'!$A:$A,'[1]Tissue Data'!L:L)</f>
        <v>5</v>
      </c>
      <c r="J6273">
        <f>_xlfn.XLOOKUP(A6273,'[1]Tissue Data'!$A:$A,'[1]Tissue Data'!M:M)</f>
        <v>2.04</v>
      </c>
      <c r="K6273" t="s">
        <v>33</v>
      </c>
      <c r="L6273" t="str">
        <f>_xlfn.XLOOKUP(K6273,[2]analyte_order!$B:$B,[2]analyte_order!$C:$C)</f>
        <v>777011-38-8</v>
      </c>
      <c r="M6273">
        <f>_xlfn.XLOOKUP(L6273,[2]analyte_order!$C:$C,[2]analyte_order!$E:$E)</f>
        <v>54</v>
      </c>
      <c r="N6273">
        <v>0.1555</v>
      </c>
    </row>
    <row r="6274" spans="1:14">
      <c r="A6274" t="s">
        <v>317</v>
      </c>
      <c r="B6274" t="str">
        <f>_xlfn.XLOOKUP(A6274,'[1]Tissue Data'!$A:$A,'[1]Tissue Data'!$C:$C)</f>
        <v>Spill</v>
      </c>
      <c r="C6274" s="2">
        <f>_xlfn.XLOOKUP(A6274,'[1]Tissue Data'!$A:$A,'[1]Tissue Data'!$D:$D)</f>
        <v>44393</v>
      </c>
      <c r="D6274" s="2" t="s">
        <v>131</v>
      </c>
      <c r="E6274" t="str">
        <f>_xlfn.XLOOKUP(A6274,'[1]Tissue Data'!$A:$A,'[1]Tissue Data'!$H:$H)</f>
        <v>Rhinichthys</v>
      </c>
      <c r="F6274" t="str">
        <f>_xlfn.XLOOKUP(A6274,'[1]Tissue Data'!$A:$A,'[1]Tissue Data'!$I:$I)</f>
        <v>atratulus</v>
      </c>
      <c r="G6274" t="str">
        <f>_xlfn.XLOOKUP(A6274,'[1]Tissue Data'!$A:$A,'[1]Tissue Data'!J:J)</f>
        <v>U</v>
      </c>
      <c r="H6274" t="str">
        <f>_xlfn.XLOOKUP(A6274,'[1]Tissue Data'!$A:$A,'[1]Tissue Data'!K:K)</f>
        <v>Whole Body</v>
      </c>
      <c r="I6274">
        <f>_xlfn.XLOOKUP(A6274,'[1]Tissue Data'!$A:$A,'[1]Tissue Data'!L:L)</f>
        <v>5</v>
      </c>
      <c r="J6274">
        <f>_xlfn.XLOOKUP(A6274,'[1]Tissue Data'!$A:$A,'[1]Tissue Data'!M:M)</f>
        <v>2.04</v>
      </c>
      <c r="K6274" t="s">
        <v>34</v>
      </c>
      <c r="L6274" t="str">
        <f>_xlfn.XLOOKUP(K6274,[2]analyte_order!$B:$B,[2]analyte_order!$C:$C)</f>
        <v>646-83-3</v>
      </c>
      <c r="M6274">
        <f>_xlfn.XLOOKUP(L6274,[2]analyte_order!$C:$C,[2]analyte_order!$E:$E)</f>
        <v>55</v>
      </c>
      <c r="N6274">
        <v>0.10249999999999999</v>
      </c>
    </row>
    <row r="6275" spans="1:14">
      <c r="A6275" t="s">
        <v>317</v>
      </c>
      <c r="B6275" t="str">
        <f>_xlfn.XLOOKUP(A6275,'[1]Tissue Data'!$A:$A,'[1]Tissue Data'!$C:$C)</f>
        <v>Spill</v>
      </c>
      <c r="C6275" s="2">
        <f>_xlfn.XLOOKUP(A6275,'[1]Tissue Data'!$A:$A,'[1]Tissue Data'!$D:$D)</f>
        <v>44393</v>
      </c>
      <c r="D6275" s="2" t="s">
        <v>131</v>
      </c>
      <c r="E6275" t="str">
        <f>_xlfn.XLOOKUP(A6275,'[1]Tissue Data'!$A:$A,'[1]Tissue Data'!$H:$H)</f>
        <v>Rhinichthys</v>
      </c>
      <c r="F6275" t="str">
        <f>_xlfn.XLOOKUP(A6275,'[1]Tissue Data'!$A:$A,'[1]Tissue Data'!$I:$I)</f>
        <v>atratulus</v>
      </c>
      <c r="G6275" t="str">
        <f>_xlfn.XLOOKUP(A6275,'[1]Tissue Data'!$A:$A,'[1]Tissue Data'!J:J)</f>
        <v>U</v>
      </c>
      <c r="H6275" t="str">
        <f>_xlfn.XLOOKUP(A6275,'[1]Tissue Data'!$A:$A,'[1]Tissue Data'!K:K)</f>
        <v>Whole Body</v>
      </c>
      <c r="I6275">
        <f>_xlfn.XLOOKUP(A6275,'[1]Tissue Data'!$A:$A,'[1]Tissue Data'!L:L)</f>
        <v>5</v>
      </c>
      <c r="J6275">
        <f>_xlfn.XLOOKUP(A6275,'[1]Tissue Data'!$A:$A,'[1]Tissue Data'!M:M)</f>
        <v>2.04</v>
      </c>
      <c r="K6275" t="s">
        <v>35</v>
      </c>
      <c r="L6275" t="str">
        <f>_xlfn.XLOOKUP(K6275,[2]analyte_order!$B:$B,[2]analyte_order!$C:$C)</f>
        <v>30334-69-1</v>
      </c>
      <c r="M6275">
        <f>_xlfn.XLOOKUP(L6275,[2]analyte_order!$C:$C,[2]analyte_order!$E:$E)</f>
        <v>51</v>
      </c>
      <c r="N6275">
        <v>79.8</v>
      </c>
    </row>
    <row r="6276" spans="1:14">
      <c r="A6276" t="s">
        <v>317</v>
      </c>
      <c r="B6276" t="str">
        <f>_xlfn.XLOOKUP(A6276,'[1]Tissue Data'!$A:$A,'[1]Tissue Data'!$C:$C)</f>
        <v>Spill</v>
      </c>
      <c r="C6276" s="2">
        <f>_xlfn.XLOOKUP(A6276,'[1]Tissue Data'!$A:$A,'[1]Tissue Data'!$D:$D)</f>
        <v>44393</v>
      </c>
      <c r="D6276" s="2" t="s">
        <v>131</v>
      </c>
      <c r="E6276" t="str">
        <f>_xlfn.XLOOKUP(A6276,'[1]Tissue Data'!$A:$A,'[1]Tissue Data'!$H:$H)</f>
        <v>Rhinichthys</v>
      </c>
      <c r="F6276" t="str">
        <f>_xlfn.XLOOKUP(A6276,'[1]Tissue Data'!$A:$A,'[1]Tissue Data'!$I:$I)</f>
        <v>atratulus</v>
      </c>
      <c r="G6276" t="str">
        <f>_xlfn.XLOOKUP(A6276,'[1]Tissue Data'!$A:$A,'[1]Tissue Data'!J:J)</f>
        <v>U</v>
      </c>
      <c r="H6276" t="str">
        <f>_xlfn.XLOOKUP(A6276,'[1]Tissue Data'!$A:$A,'[1]Tissue Data'!K:K)</f>
        <v>Whole Body</v>
      </c>
      <c r="I6276">
        <f>_xlfn.XLOOKUP(A6276,'[1]Tissue Data'!$A:$A,'[1]Tissue Data'!L:L)</f>
        <v>5</v>
      </c>
      <c r="J6276">
        <f>_xlfn.XLOOKUP(A6276,'[1]Tissue Data'!$A:$A,'[1]Tissue Data'!M:M)</f>
        <v>2.04</v>
      </c>
      <c r="K6276" t="s">
        <v>36</v>
      </c>
      <c r="L6276" t="str">
        <f>_xlfn.XLOOKUP(K6276,[2]analyte_order!$B:$B,[2]analyte_order!$C:$C)</f>
        <v>41997-13-1</v>
      </c>
      <c r="M6276">
        <f>_xlfn.XLOOKUP(L6276,[2]analyte_order!$C:$C,[2]analyte_order!$E:$E)</f>
        <v>52</v>
      </c>
      <c r="N6276">
        <v>279</v>
      </c>
    </row>
    <row r="6277" spans="1:14">
      <c r="A6277" t="s">
        <v>317</v>
      </c>
      <c r="B6277" t="str">
        <f>_xlfn.XLOOKUP(A6277,'[1]Tissue Data'!$A:$A,'[1]Tissue Data'!$C:$C)</f>
        <v>Spill</v>
      </c>
      <c r="C6277" s="2">
        <f>_xlfn.XLOOKUP(A6277,'[1]Tissue Data'!$A:$A,'[1]Tissue Data'!$D:$D)</f>
        <v>44393</v>
      </c>
      <c r="D6277" s="2" t="s">
        <v>131</v>
      </c>
      <c r="E6277" t="str">
        <f>_xlfn.XLOOKUP(A6277,'[1]Tissue Data'!$A:$A,'[1]Tissue Data'!$H:$H)</f>
        <v>Rhinichthys</v>
      </c>
      <c r="F6277" t="str">
        <f>_xlfn.XLOOKUP(A6277,'[1]Tissue Data'!$A:$A,'[1]Tissue Data'!$I:$I)</f>
        <v>atratulus</v>
      </c>
      <c r="G6277" t="str">
        <f>_xlfn.XLOOKUP(A6277,'[1]Tissue Data'!$A:$A,'[1]Tissue Data'!J:J)</f>
        <v>U</v>
      </c>
      <c r="H6277" t="str">
        <f>_xlfn.XLOOKUP(A6277,'[1]Tissue Data'!$A:$A,'[1]Tissue Data'!K:K)</f>
        <v>Whole Body</v>
      </c>
      <c r="I6277">
        <f>_xlfn.XLOOKUP(A6277,'[1]Tissue Data'!$A:$A,'[1]Tissue Data'!L:L)</f>
        <v>5</v>
      </c>
      <c r="J6277">
        <f>_xlfn.XLOOKUP(A6277,'[1]Tissue Data'!$A:$A,'[1]Tissue Data'!M:M)</f>
        <v>2.04</v>
      </c>
      <c r="K6277" t="s">
        <v>37</v>
      </c>
      <c r="L6277" t="str">
        <f>_xlfn.XLOOKUP(K6277,[2]analyte_order!$B:$B,[2]analyte_order!$C:$C)</f>
        <v>754-91-6</v>
      </c>
      <c r="M6277">
        <f>_xlfn.XLOOKUP(L6277,[2]analyte_order!$C:$C,[2]analyte_order!$E:$E)</f>
        <v>28</v>
      </c>
      <c r="N6277">
        <v>11.6</v>
      </c>
    </row>
    <row r="6278" spans="1:14">
      <c r="A6278" t="s">
        <v>317</v>
      </c>
      <c r="B6278" t="str">
        <f>_xlfn.XLOOKUP(A6278,'[1]Tissue Data'!$A:$A,'[1]Tissue Data'!$C:$C)</f>
        <v>Spill</v>
      </c>
      <c r="C6278" s="2">
        <f>_xlfn.XLOOKUP(A6278,'[1]Tissue Data'!$A:$A,'[1]Tissue Data'!$D:$D)</f>
        <v>44393</v>
      </c>
      <c r="D6278" s="2" t="s">
        <v>131</v>
      </c>
      <c r="E6278" t="str">
        <f>_xlfn.XLOOKUP(A6278,'[1]Tissue Data'!$A:$A,'[1]Tissue Data'!$H:$H)</f>
        <v>Rhinichthys</v>
      </c>
      <c r="F6278" t="str">
        <f>_xlfn.XLOOKUP(A6278,'[1]Tissue Data'!$A:$A,'[1]Tissue Data'!$I:$I)</f>
        <v>atratulus</v>
      </c>
      <c r="G6278" t="str">
        <f>_xlfn.XLOOKUP(A6278,'[1]Tissue Data'!$A:$A,'[1]Tissue Data'!J:J)</f>
        <v>U</v>
      </c>
      <c r="H6278" t="str">
        <f>_xlfn.XLOOKUP(A6278,'[1]Tissue Data'!$A:$A,'[1]Tissue Data'!K:K)</f>
        <v>Whole Body</v>
      </c>
      <c r="I6278">
        <f>_xlfn.XLOOKUP(A6278,'[1]Tissue Data'!$A:$A,'[1]Tissue Data'!L:L)</f>
        <v>5</v>
      </c>
      <c r="J6278">
        <f>_xlfn.XLOOKUP(A6278,'[1]Tissue Data'!$A:$A,'[1]Tissue Data'!M:M)</f>
        <v>2.04</v>
      </c>
      <c r="K6278" t="s">
        <v>38</v>
      </c>
      <c r="L6278" t="str">
        <f>_xlfn.XLOOKUP(K6278,[2]analyte_order!$B:$B,[2]analyte_order!$C:$C)</f>
        <v>31506-32-8</v>
      </c>
      <c r="M6278">
        <f>_xlfn.XLOOKUP(L6278,[2]analyte_order!$C:$C,[2]analyte_order!$E:$E)</f>
        <v>30</v>
      </c>
      <c r="N6278">
        <v>9.8500000000000004E-2</v>
      </c>
    </row>
    <row r="6279" spans="1:14">
      <c r="A6279" t="s">
        <v>317</v>
      </c>
      <c r="B6279" t="str">
        <f>_xlfn.XLOOKUP(A6279,'[1]Tissue Data'!$A:$A,'[1]Tissue Data'!$C:$C)</f>
        <v>Spill</v>
      </c>
      <c r="C6279" s="2">
        <f>_xlfn.XLOOKUP(A6279,'[1]Tissue Data'!$A:$A,'[1]Tissue Data'!$D:$D)</f>
        <v>44393</v>
      </c>
      <c r="D6279" s="2" t="s">
        <v>131</v>
      </c>
      <c r="E6279" t="str">
        <f>_xlfn.XLOOKUP(A6279,'[1]Tissue Data'!$A:$A,'[1]Tissue Data'!$H:$H)</f>
        <v>Rhinichthys</v>
      </c>
      <c r="F6279" t="str">
        <f>_xlfn.XLOOKUP(A6279,'[1]Tissue Data'!$A:$A,'[1]Tissue Data'!$I:$I)</f>
        <v>atratulus</v>
      </c>
      <c r="G6279" t="str">
        <f>_xlfn.XLOOKUP(A6279,'[1]Tissue Data'!$A:$A,'[1]Tissue Data'!J:J)</f>
        <v>U</v>
      </c>
      <c r="H6279" t="str">
        <f>_xlfn.XLOOKUP(A6279,'[1]Tissue Data'!$A:$A,'[1]Tissue Data'!K:K)</f>
        <v>Whole Body</v>
      </c>
      <c r="I6279">
        <f>_xlfn.XLOOKUP(A6279,'[1]Tissue Data'!$A:$A,'[1]Tissue Data'!L:L)</f>
        <v>5</v>
      </c>
      <c r="J6279">
        <f>_xlfn.XLOOKUP(A6279,'[1]Tissue Data'!$A:$A,'[1]Tissue Data'!M:M)</f>
        <v>2.04</v>
      </c>
      <c r="K6279" t="s">
        <v>39</v>
      </c>
      <c r="L6279" t="str">
        <f>_xlfn.XLOOKUP(K6279,[2]analyte_order!$B:$B,[2]analyte_order!$C:$C)</f>
        <v>4151-50-2</v>
      </c>
      <c r="M6279">
        <f>_xlfn.XLOOKUP(L6279,[2]analyte_order!$C:$C,[2]analyte_order!$E:$E)</f>
        <v>31</v>
      </c>
      <c r="N6279">
        <v>0.2555</v>
      </c>
    </row>
    <row r="6280" spans="1:14">
      <c r="A6280" t="s">
        <v>317</v>
      </c>
      <c r="B6280" t="str">
        <f>_xlfn.XLOOKUP(A6280,'[1]Tissue Data'!$A:$A,'[1]Tissue Data'!$C:$C)</f>
        <v>Spill</v>
      </c>
      <c r="C6280" s="2">
        <f>_xlfn.XLOOKUP(A6280,'[1]Tissue Data'!$A:$A,'[1]Tissue Data'!$D:$D)</f>
        <v>44393</v>
      </c>
      <c r="D6280" s="2" t="s">
        <v>131</v>
      </c>
      <c r="E6280" t="str">
        <f>_xlfn.XLOOKUP(A6280,'[1]Tissue Data'!$A:$A,'[1]Tissue Data'!$H:$H)</f>
        <v>Rhinichthys</v>
      </c>
      <c r="F6280" t="str">
        <f>_xlfn.XLOOKUP(A6280,'[1]Tissue Data'!$A:$A,'[1]Tissue Data'!$I:$I)</f>
        <v>atratulus</v>
      </c>
      <c r="G6280" t="str">
        <f>_xlfn.XLOOKUP(A6280,'[1]Tissue Data'!$A:$A,'[1]Tissue Data'!J:J)</f>
        <v>U</v>
      </c>
      <c r="H6280" t="str">
        <f>_xlfn.XLOOKUP(A6280,'[1]Tissue Data'!$A:$A,'[1]Tissue Data'!K:K)</f>
        <v>Whole Body</v>
      </c>
      <c r="I6280">
        <f>_xlfn.XLOOKUP(A6280,'[1]Tissue Data'!$A:$A,'[1]Tissue Data'!L:L)</f>
        <v>5</v>
      </c>
      <c r="J6280">
        <f>_xlfn.XLOOKUP(A6280,'[1]Tissue Data'!$A:$A,'[1]Tissue Data'!M:M)</f>
        <v>2.04</v>
      </c>
      <c r="K6280" t="s">
        <v>40</v>
      </c>
      <c r="L6280" t="str">
        <f>_xlfn.XLOOKUP(K6280,[2]analyte_order!$B:$B,[2]analyte_order!$C:$C)</f>
        <v>2806-24-8</v>
      </c>
      <c r="M6280">
        <f>_xlfn.XLOOKUP(L6280,[2]analyte_order!$C:$C,[2]analyte_order!$E:$E)</f>
        <v>29</v>
      </c>
      <c r="N6280">
        <v>0.2555</v>
      </c>
    </row>
    <row r="6281" spans="1:14">
      <c r="A6281" t="s">
        <v>317</v>
      </c>
      <c r="B6281" t="str">
        <f>_xlfn.XLOOKUP(A6281,'[1]Tissue Data'!$A:$A,'[1]Tissue Data'!$C:$C)</f>
        <v>Spill</v>
      </c>
      <c r="C6281" s="2">
        <f>_xlfn.XLOOKUP(A6281,'[1]Tissue Data'!$A:$A,'[1]Tissue Data'!$D:$D)</f>
        <v>44393</v>
      </c>
      <c r="D6281" s="2" t="s">
        <v>131</v>
      </c>
      <c r="E6281" t="str">
        <f>_xlfn.XLOOKUP(A6281,'[1]Tissue Data'!$A:$A,'[1]Tissue Data'!$H:$H)</f>
        <v>Rhinichthys</v>
      </c>
      <c r="F6281" t="str">
        <f>_xlfn.XLOOKUP(A6281,'[1]Tissue Data'!$A:$A,'[1]Tissue Data'!$I:$I)</f>
        <v>atratulus</v>
      </c>
      <c r="G6281" t="str">
        <f>_xlfn.XLOOKUP(A6281,'[1]Tissue Data'!$A:$A,'[1]Tissue Data'!J:J)</f>
        <v>U</v>
      </c>
      <c r="H6281" t="str">
        <f>_xlfn.XLOOKUP(A6281,'[1]Tissue Data'!$A:$A,'[1]Tissue Data'!K:K)</f>
        <v>Whole Body</v>
      </c>
      <c r="I6281">
        <f>_xlfn.XLOOKUP(A6281,'[1]Tissue Data'!$A:$A,'[1]Tissue Data'!L:L)</f>
        <v>5</v>
      </c>
      <c r="J6281">
        <f>_xlfn.XLOOKUP(A6281,'[1]Tissue Data'!$A:$A,'[1]Tissue Data'!M:M)</f>
        <v>2.04</v>
      </c>
      <c r="K6281" t="s">
        <v>41</v>
      </c>
      <c r="L6281" t="str">
        <f>_xlfn.XLOOKUP(K6281,[2]analyte_order!$B:$B,[2]analyte_order!$C:$C)</f>
        <v>2355-31-9</v>
      </c>
      <c r="M6281">
        <f>_xlfn.XLOOKUP(L6281,[2]analyte_order!$C:$C,[2]analyte_order!$E:$E)</f>
        <v>26</v>
      </c>
      <c r="N6281">
        <v>0.1285</v>
      </c>
    </row>
    <row r="6282" spans="1:14">
      <c r="A6282" t="s">
        <v>317</v>
      </c>
      <c r="B6282" t="str">
        <f>_xlfn.XLOOKUP(A6282,'[1]Tissue Data'!$A:$A,'[1]Tissue Data'!$C:$C)</f>
        <v>Spill</v>
      </c>
      <c r="C6282" s="2">
        <f>_xlfn.XLOOKUP(A6282,'[1]Tissue Data'!$A:$A,'[1]Tissue Data'!$D:$D)</f>
        <v>44393</v>
      </c>
      <c r="D6282" s="2" t="s">
        <v>131</v>
      </c>
      <c r="E6282" t="str">
        <f>_xlfn.XLOOKUP(A6282,'[1]Tissue Data'!$A:$A,'[1]Tissue Data'!$H:$H)</f>
        <v>Rhinichthys</v>
      </c>
      <c r="F6282" t="str">
        <f>_xlfn.XLOOKUP(A6282,'[1]Tissue Data'!$A:$A,'[1]Tissue Data'!$I:$I)</f>
        <v>atratulus</v>
      </c>
      <c r="G6282" t="str">
        <f>_xlfn.XLOOKUP(A6282,'[1]Tissue Data'!$A:$A,'[1]Tissue Data'!J:J)</f>
        <v>U</v>
      </c>
      <c r="H6282" t="str">
        <f>_xlfn.XLOOKUP(A6282,'[1]Tissue Data'!$A:$A,'[1]Tissue Data'!K:K)</f>
        <v>Whole Body</v>
      </c>
      <c r="I6282">
        <f>_xlfn.XLOOKUP(A6282,'[1]Tissue Data'!$A:$A,'[1]Tissue Data'!L:L)</f>
        <v>5</v>
      </c>
      <c r="J6282">
        <f>_xlfn.XLOOKUP(A6282,'[1]Tissue Data'!$A:$A,'[1]Tissue Data'!M:M)</f>
        <v>2.04</v>
      </c>
      <c r="K6282" t="s">
        <v>42</v>
      </c>
      <c r="L6282" t="str">
        <f>_xlfn.XLOOKUP(K6282,[2]analyte_order!$B:$B,[2]analyte_order!$C:$C)</f>
        <v>2991-50-6</v>
      </c>
      <c r="M6282">
        <f>_xlfn.XLOOKUP(L6282,[2]analyte_order!$C:$C,[2]analyte_order!$E:$E)</f>
        <v>27</v>
      </c>
      <c r="N6282">
        <v>0.128</v>
      </c>
    </row>
    <row r="6283" spans="1:14">
      <c r="A6283" t="s">
        <v>317</v>
      </c>
      <c r="B6283" t="str">
        <f>_xlfn.XLOOKUP(A6283,'[1]Tissue Data'!$A:$A,'[1]Tissue Data'!$C:$C)</f>
        <v>Spill</v>
      </c>
      <c r="C6283" s="2">
        <f>_xlfn.XLOOKUP(A6283,'[1]Tissue Data'!$A:$A,'[1]Tissue Data'!$D:$D)</f>
        <v>44393</v>
      </c>
      <c r="D6283" s="2" t="s">
        <v>131</v>
      </c>
      <c r="E6283" t="str">
        <f>_xlfn.XLOOKUP(A6283,'[1]Tissue Data'!$A:$A,'[1]Tissue Data'!$H:$H)</f>
        <v>Rhinichthys</v>
      </c>
      <c r="F6283" t="str">
        <f>_xlfn.XLOOKUP(A6283,'[1]Tissue Data'!$A:$A,'[1]Tissue Data'!$I:$I)</f>
        <v>atratulus</v>
      </c>
      <c r="G6283" t="str">
        <f>_xlfn.XLOOKUP(A6283,'[1]Tissue Data'!$A:$A,'[1]Tissue Data'!J:J)</f>
        <v>U</v>
      </c>
      <c r="H6283" t="str">
        <f>_xlfn.XLOOKUP(A6283,'[1]Tissue Data'!$A:$A,'[1]Tissue Data'!K:K)</f>
        <v>Whole Body</v>
      </c>
      <c r="I6283">
        <f>_xlfn.XLOOKUP(A6283,'[1]Tissue Data'!$A:$A,'[1]Tissue Data'!L:L)</f>
        <v>5</v>
      </c>
      <c r="J6283">
        <f>_xlfn.XLOOKUP(A6283,'[1]Tissue Data'!$A:$A,'[1]Tissue Data'!M:M)</f>
        <v>2.04</v>
      </c>
      <c r="K6283" t="s">
        <v>43</v>
      </c>
      <c r="L6283" t="str">
        <f>_xlfn.XLOOKUP(K6283,[2]analyte_order!$B:$B,[2]analyte_order!$C:$C)</f>
        <v>757124-72-4</v>
      </c>
      <c r="M6283">
        <f>_xlfn.XLOOKUP(L6283,[2]analyte_order!$C:$C,[2]analyte_order!$E:$E)</f>
        <v>22</v>
      </c>
      <c r="N6283">
        <v>0.128</v>
      </c>
    </row>
    <row r="6284" spans="1:14">
      <c r="A6284" t="s">
        <v>317</v>
      </c>
      <c r="B6284" t="str">
        <f>_xlfn.XLOOKUP(A6284,'[1]Tissue Data'!$A:$A,'[1]Tissue Data'!$C:$C)</f>
        <v>Spill</v>
      </c>
      <c r="C6284" s="2">
        <f>_xlfn.XLOOKUP(A6284,'[1]Tissue Data'!$A:$A,'[1]Tissue Data'!$D:$D)</f>
        <v>44393</v>
      </c>
      <c r="D6284" s="2" t="s">
        <v>131</v>
      </c>
      <c r="E6284" t="str">
        <f>_xlfn.XLOOKUP(A6284,'[1]Tissue Data'!$A:$A,'[1]Tissue Data'!$H:$H)</f>
        <v>Rhinichthys</v>
      </c>
      <c r="F6284" t="str">
        <f>_xlfn.XLOOKUP(A6284,'[1]Tissue Data'!$A:$A,'[1]Tissue Data'!$I:$I)</f>
        <v>atratulus</v>
      </c>
      <c r="G6284" t="str">
        <f>_xlfn.XLOOKUP(A6284,'[1]Tissue Data'!$A:$A,'[1]Tissue Data'!J:J)</f>
        <v>U</v>
      </c>
      <c r="H6284" t="str">
        <f>_xlfn.XLOOKUP(A6284,'[1]Tissue Data'!$A:$A,'[1]Tissue Data'!K:K)</f>
        <v>Whole Body</v>
      </c>
      <c r="I6284">
        <f>_xlfn.XLOOKUP(A6284,'[1]Tissue Data'!$A:$A,'[1]Tissue Data'!L:L)</f>
        <v>5</v>
      </c>
      <c r="J6284">
        <f>_xlfn.XLOOKUP(A6284,'[1]Tissue Data'!$A:$A,'[1]Tissue Data'!M:M)</f>
        <v>2.04</v>
      </c>
      <c r="K6284" t="s">
        <v>44</v>
      </c>
      <c r="L6284" t="str">
        <f>_xlfn.XLOOKUP(K6284,[2]analyte_order!$B:$B,[2]analyte_order!$C:$C)</f>
        <v>27619-97-2</v>
      </c>
      <c r="M6284">
        <f>_xlfn.XLOOKUP(L6284,[2]analyte_order!$C:$C,[2]analyte_order!$E:$E)</f>
        <v>23</v>
      </c>
      <c r="N6284">
        <v>0.84799999999999998</v>
      </c>
    </row>
    <row r="6285" spans="1:14">
      <c r="A6285" t="s">
        <v>317</v>
      </c>
      <c r="B6285" t="str">
        <f>_xlfn.XLOOKUP(A6285,'[1]Tissue Data'!$A:$A,'[1]Tissue Data'!$C:$C)</f>
        <v>Spill</v>
      </c>
      <c r="C6285" s="2">
        <f>_xlfn.XLOOKUP(A6285,'[1]Tissue Data'!$A:$A,'[1]Tissue Data'!$D:$D)</f>
        <v>44393</v>
      </c>
      <c r="D6285" s="2" t="s">
        <v>131</v>
      </c>
      <c r="E6285" t="str">
        <f>_xlfn.XLOOKUP(A6285,'[1]Tissue Data'!$A:$A,'[1]Tissue Data'!$H:$H)</f>
        <v>Rhinichthys</v>
      </c>
      <c r="F6285" t="str">
        <f>_xlfn.XLOOKUP(A6285,'[1]Tissue Data'!$A:$A,'[1]Tissue Data'!$I:$I)</f>
        <v>atratulus</v>
      </c>
      <c r="G6285" t="str">
        <f>_xlfn.XLOOKUP(A6285,'[1]Tissue Data'!$A:$A,'[1]Tissue Data'!J:J)</f>
        <v>U</v>
      </c>
      <c r="H6285" t="str">
        <f>_xlfn.XLOOKUP(A6285,'[1]Tissue Data'!$A:$A,'[1]Tissue Data'!K:K)</f>
        <v>Whole Body</v>
      </c>
      <c r="I6285">
        <f>_xlfn.XLOOKUP(A6285,'[1]Tissue Data'!$A:$A,'[1]Tissue Data'!L:L)</f>
        <v>5</v>
      </c>
      <c r="J6285">
        <f>_xlfn.XLOOKUP(A6285,'[1]Tissue Data'!$A:$A,'[1]Tissue Data'!M:M)</f>
        <v>2.04</v>
      </c>
      <c r="K6285" t="s">
        <v>45</v>
      </c>
      <c r="L6285" t="str">
        <f>_xlfn.XLOOKUP(K6285,[2]analyte_order!$B:$B,[2]analyte_order!$C:$C)</f>
        <v>39108-34-4</v>
      </c>
      <c r="M6285">
        <f>_xlfn.XLOOKUP(L6285,[2]analyte_order!$C:$C,[2]analyte_order!$E:$E)</f>
        <v>24</v>
      </c>
      <c r="N6285">
        <v>11.5</v>
      </c>
    </row>
    <row r="6286" spans="1:14">
      <c r="A6286" t="s">
        <v>317</v>
      </c>
      <c r="B6286" t="str">
        <f>_xlfn.XLOOKUP(A6286,'[1]Tissue Data'!$A:$A,'[1]Tissue Data'!$C:$C)</f>
        <v>Spill</v>
      </c>
      <c r="C6286" s="2">
        <f>_xlfn.XLOOKUP(A6286,'[1]Tissue Data'!$A:$A,'[1]Tissue Data'!$D:$D)</f>
        <v>44393</v>
      </c>
      <c r="D6286" s="2" t="s">
        <v>131</v>
      </c>
      <c r="E6286" t="str">
        <f>_xlfn.XLOOKUP(A6286,'[1]Tissue Data'!$A:$A,'[1]Tissue Data'!$H:$H)</f>
        <v>Rhinichthys</v>
      </c>
      <c r="F6286" t="str">
        <f>_xlfn.XLOOKUP(A6286,'[1]Tissue Data'!$A:$A,'[1]Tissue Data'!$I:$I)</f>
        <v>atratulus</v>
      </c>
      <c r="G6286" t="str">
        <f>_xlfn.XLOOKUP(A6286,'[1]Tissue Data'!$A:$A,'[1]Tissue Data'!J:J)</f>
        <v>U</v>
      </c>
      <c r="H6286" t="str">
        <f>_xlfn.XLOOKUP(A6286,'[1]Tissue Data'!$A:$A,'[1]Tissue Data'!K:K)</f>
        <v>Whole Body</v>
      </c>
      <c r="I6286">
        <f>_xlfn.XLOOKUP(A6286,'[1]Tissue Data'!$A:$A,'[1]Tissue Data'!L:L)</f>
        <v>5</v>
      </c>
      <c r="J6286">
        <f>_xlfn.XLOOKUP(A6286,'[1]Tissue Data'!$A:$A,'[1]Tissue Data'!M:M)</f>
        <v>2.04</v>
      </c>
      <c r="K6286" t="s">
        <v>46</v>
      </c>
      <c r="L6286" t="str">
        <f>_xlfn.XLOOKUP(K6286,[2]analyte_order!$B:$B,[2]analyte_order!$C:$C)</f>
        <v>120226-60-0</v>
      </c>
      <c r="M6286">
        <f>_xlfn.XLOOKUP(L6286,[2]analyte_order!$C:$C,[2]analyte_order!$E:$E)</f>
        <v>25</v>
      </c>
      <c r="N6286">
        <v>0.51</v>
      </c>
    </row>
    <row r="6287" spans="1:14">
      <c r="A6287" t="s">
        <v>317</v>
      </c>
      <c r="B6287" t="str">
        <f>_xlfn.XLOOKUP(A6287,'[1]Tissue Data'!$A:$A,'[1]Tissue Data'!$C:$C)</f>
        <v>Spill</v>
      </c>
      <c r="C6287" s="2">
        <f>_xlfn.XLOOKUP(A6287,'[1]Tissue Data'!$A:$A,'[1]Tissue Data'!$D:$D)</f>
        <v>44393</v>
      </c>
      <c r="D6287" s="2" t="s">
        <v>131</v>
      </c>
      <c r="E6287" t="str">
        <f>_xlfn.XLOOKUP(A6287,'[1]Tissue Data'!$A:$A,'[1]Tissue Data'!$H:$H)</f>
        <v>Rhinichthys</v>
      </c>
      <c r="F6287" t="str">
        <f>_xlfn.XLOOKUP(A6287,'[1]Tissue Data'!$A:$A,'[1]Tissue Data'!$I:$I)</f>
        <v>atratulus</v>
      </c>
      <c r="G6287" t="str">
        <f>_xlfn.XLOOKUP(A6287,'[1]Tissue Data'!$A:$A,'[1]Tissue Data'!J:J)</f>
        <v>U</v>
      </c>
      <c r="H6287" t="str">
        <f>_xlfn.XLOOKUP(A6287,'[1]Tissue Data'!$A:$A,'[1]Tissue Data'!K:K)</f>
        <v>Whole Body</v>
      </c>
      <c r="I6287">
        <f>_xlfn.XLOOKUP(A6287,'[1]Tissue Data'!$A:$A,'[1]Tissue Data'!L:L)</f>
        <v>5</v>
      </c>
      <c r="J6287">
        <f>_xlfn.XLOOKUP(A6287,'[1]Tissue Data'!$A:$A,'[1]Tissue Data'!M:M)</f>
        <v>2.04</v>
      </c>
      <c r="K6287" t="s">
        <v>47</v>
      </c>
      <c r="L6287" t="str">
        <f>_xlfn.XLOOKUP(K6287,[2]analyte_order!$B:$B,[2]analyte_order!$C:$C)</f>
        <v>356-02-5</v>
      </c>
      <c r="M6287">
        <f>_xlfn.XLOOKUP(L6287,[2]analyte_order!$C:$C,[2]analyte_order!$E:$E)</f>
        <v>38</v>
      </c>
      <c r="N6287">
        <v>0.2555</v>
      </c>
    </row>
    <row r="6288" spans="1:14">
      <c r="A6288" t="s">
        <v>317</v>
      </c>
      <c r="B6288" t="str">
        <f>_xlfn.XLOOKUP(A6288,'[1]Tissue Data'!$A:$A,'[1]Tissue Data'!$C:$C)</f>
        <v>Spill</v>
      </c>
      <c r="C6288" s="2">
        <f>_xlfn.XLOOKUP(A6288,'[1]Tissue Data'!$A:$A,'[1]Tissue Data'!$D:$D)</f>
        <v>44393</v>
      </c>
      <c r="D6288" s="2" t="s">
        <v>131</v>
      </c>
      <c r="E6288" t="str">
        <f>_xlfn.XLOOKUP(A6288,'[1]Tissue Data'!$A:$A,'[1]Tissue Data'!$H:$H)</f>
        <v>Rhinichthys</v>
      </c>
      <c r="F6288" t="str">
        <f>_xlfn.XLOOKUP(A6288,'[1]Tissue Data'!$A:$A,'[1]Tissue Data'!$I:$I)</f>
        <v>atratulus</v>
      </c>
      <c r="G6288" t="str">
        <f>_xlfn.XLOOKUP(A6288,'[1]Tissue Data'!$A:$A,'[1]Tissue Data'!J:J)</f>
        <v>U</v>
      </c>
      <c r="H6288" t="str">
        <f>_xlfn.XLOOKUP(A6288,'[1]Tissue Data'!$A:$A,'[1]Tissue Data'!K:K)</f>
        <v>Whole Body</v>
      </c>
      <c r="I6288">
        <f>_xlfn.XLOOKUP(A6288,'[1]Tissue Data'!$A:$A,'[1]Tissue Data'!L:L)</f>
        <v>5</v>
      </c>
      <c r="J6288">
        <f>_xlfn.XLOOKUP(A6288,'[1]Tissue Data'!$A:$A,'[1]Tissue Data'!M:M)</f>
        <v>2.04</v>
      </c>
      <c r="K6288" t="s">
        <v>48</v>
      </c>
      <c r="L6288" t="str">
        <f>_xlfn.XLOOKUP(K6288,[2]analyte_order!$B:$B,[2]analyte_order!$C:$C)</f>
        <v>914637-49-3</v>
      </c>
      <c r="M6288">
        <f>_xlfn.XLOOKUP(L6288,[2]analyte_order!$C:$C,[2]analyte_order!$E:$E)</f>
        <v>39</v>
      </c>
      <c r="N6288">
        <v>0.128</v>
      </c>
    </row>
    <row r="6289" spans="1:14">
      <c r="A6289" t="s">
        <v>317</v>
      </c>
      <c r="B6289" t="str">
        <f>_xlfn.XLOOKUP(A6289,'[1]Tissue Data'!$A:$A,'[1]Tissue Data'!$C:$C)</f>
        <v>Spill</v>
      </c>
      <c r="C6289" s="2">
        <f>_xlfn.XLOOKUP(A6289,'[1]Tissue Data'!$A:$A,'[1]Tissue Data'!$D:$D)</f>
        <v>44393</v>
      </c>
      <c r="D6289" s="2" t="s">
        <v>131</v>
      </c>
      <c r="E6289" t="str">
        <f>_xlfn.XLOOKUP(A6289,'[1]Tissue Data'!$A:$A,'[1]Tissue Data'!$H:$H)</f>
        <v>Rhinichthys</v>
      </c>
      <c r="F6289" t="str">
        <f>_xlfn.XLOOKUP(A6289,'[1]Tissue Data'!$A:$A,'[1]Tissue Data'!$I:$I)</f>
        <v>atratulus</v>
      </c>
      <c r="G6289" t="str">
        <f>_xlfn.XLOOKUP(A6289,'[1]Tissue Data'!$A:$A,'[1]Tissue Data'!J:J)</f>
        <v>U</v>
      </c>
      <c r="H6289" t="str">
        <f>_xlfn.XLOOKUP(A6289,'[1]Tissue Data'!$A:$A,'[1]Tissue Data'!K:K)</f>
        <v>Whole Body</v>
      </c>
      <c r="I6289">
        <f>_xlfn.XLOOKUP(A6289,'[1]Tissue Data'!$A:$A,'[1]Tissue Data'!L:L)</f>
        <v>5</v>
      </c>
      <c r="J6289">
        <f>_xlfn.XLOOKUP(A6289,'[1]Tissue Data'!$A:$A,'[1]Tissue Data'!M:M)</f>
        <v>2.04</v>
      </c>
      <c r="K6289" t="s">
        <v>49</v>
      </c>
      <c r="L6289" t="str">
        <f>_xlfn.XLOOKUP(K6289,[2]analyte_order!$B:$B,[2]analyte_order!$C:$C)</f>
        <v>812-70-4</v>
      </c>
      <c r="M6289">
        <f>_xlfn.XLOOKUP(L6289,[2]analyte_order!$C:$C,[2]analyte_order!$E:$E)</f>
        <v>40</v>
      </c>
      <c r="N6289">
        <v>6.73</v>
      </c>
    </row>
    <row r="6290" spans="1:14">
      <c r="A6290" t="s">
        <v>317</v>
      </c>
      <c r="B6290" t="str">
        <f>_xlfn.XLOOKUP(A6290,'[1]Tissue Data'!$A:$A,'[1]Tissue Data'!$C:$C)</f>
        <v>Spill</v>
      </c>
      <c r="C6290" s="2">
        <f>_xlfn.XLOOKUP(A6290,'[1]Tissue Data'!$A:$A,'[1]Tissue Data'!$D:$D)</f>
        <v>44393</v>
      </c>
      <c r="D6290" s="2" t="s">
        <v>131</v>
      </c>
      <c r="E6290" t="str">
        <f>_xlfn.XLOOKUP(A6290,'[1]Tissue Data'!$A:$A,'[1]Tissue Data'!$H:$H)</f>
        <v>Rhinichthys</v>
      </c>
      <c r="F6290" t="str">
        <f>_xlfn.XLOOKUP(A6290,'[1]Tissue Data'!$A:$A,'[1]Tissue Data'!$I:$I)</f>
        <v>atratulus</v>
      </c>
      <c r="G6290" t="str">
        <f>_xlfn.XLOOKUP(A6290,'[1]Tissue Data'!$A:$A,'[1]Tissue Data'!J:J)</f>
        <v>U</v>
      </c>
      <c r="H6290" t="str">
        <f>_xlfn.XLOOKUP(A6290,'[1]Tissue Data'!$A:$A,'[1]Tissue Data'!K:K)</f>
        <v>Whole Body</v>
      </c>
      <c r="I6290">
        <f>_xlfn.XLOOKUP(A6290,'[1]Tissue Data'!$A:$A,'[1]Tissue Data'!L:L)</f>
        <v>5</v>
      </c>
      <c r="J6290">
        <f>_xlfn.XLOOKUP(A6290,'[1]Tissue Data'!$A:$A,'[1]Tissue Data'!M:M)</f>
        <v>2.04</v>
      </c>
      <c r="K6290" t="s">
        <v>50</v>
      </c>
      <c r="L6290" t="str">
        <f>_xlfn.XLOOKUP(K6290,[2]analyte_order!$B:$B,[2]analyte_order!$C:$C)</f>
        <v>53826-12-3</v>
      </c>
      <c r="M6290">
        <f>_xlfn.XLOOKUP(L6290,[2]analyte_order!$C:$C,[2]analyte_order!$E:$E)</f>
        <v>41</v>
      </c>
      <c r="N6290">
        <v>0.2555</v>
      </c>
    </row>
    <row r="6291" spans="1:14">
      <c r="A6291" t="s">
        <v>317</v>
      </c>
      <c r="B6291" t="str">
        <f>_xlfn.XLOOKUP(A6291,'[1]Tissue Data'!$A:$A,'[1]Tissue Data'!$C:$C)</f>
        <v>Spill</v>
      </c>
      <c r="C6291" s="2">
        <f>_xlfn.XLOOKUP(A6291,'[1]Tissue Data'!$A:$A,'[1]Tissue Data'!$D:$D)</f>
        <v>44393</v>
      </c>
      <c r="D6291" s="2" t="s">
        <v>131</v>
      </c>
      <c r="E6291" t="str">
        <f>_xlfn.XLOOKUP(A6291,'[1]Tissue Data'!$A:$A,'[1]Tissue Data'!$H:$H)</f>
        <v>Rhinichthys</v>
      </c>
      <c r="F6291" t="str">
        <f>_xlfn.XLOOKUP(A6291,'[1]Tissue Data'!$A:$A,'[1]Tissue Data'!$I:$I)</f>
        <v>atratulus</v>
      </c>
      <c r="G6291" t="str">
        <f>_xlfn.XLOOKUP(A6291,'[1]Tissue Data'!$A:$A,'[1]Tissue Data'!J:J)</f>
        <v>U</v>
      </c>
      <c r="H6291" t="str">
        <f>_xlfn.XLOOKUP(A6291,'[1]Tissue Data'!$A:$A,'[1]Tissue Data'!K:K)</f>
        <v>Whole Body</v>
      </c>
      <c r="I6291">
        <f>_xlfn.XLOOKUP(A6291,'[1]Tissue Data'!$A:$A,'[1]Tissue Data'!L:L)</f>
        <v>5</v>
      </c>
      <c r="J6291">
        <f>_xlfn.XLOOKUP(A6291,'[1]Tissue Data'!$A:$A,'[1]Tissue Data'!M:M)</f>
        <v>2.04</v>
      </c>
      <c r="K6291" t="s">
        <v>51</v>
      </c>
      <c r="L6291" t="str">
        <f>_xlfn.XLOOKUP(K6291,[2]analyte_order!$B:$B,[2]analyte_order!$C:$C)</f>
        <v>27854-31-5</v>
      </c>
      <c r="M6291">
        <f>_xlfn.XLOOKUP(L6291,[2]analyte_order!$C:$C,[2]analyte_order!$E:$E)</f>
        <v>42</v>
      </c>
      <c r="N6291">
        <v>0.128</v>
      </c>
    </row>
    <row r="6292" spans="1:14">
      <c r="A6292" t="s">
        <v>317</v>
      </c>
      <c r="B6292" t="str">
        <f>_xlfn.XLOOKUP(A6292,'[1]Tissue Data'!$A:$A,'[1]Tissue Data'!$C:$C)</f>
        <v>Spill</v>
      </c>
      <c r="C6292" s="2">
        <f>_xlfn.XLOOKUP(A6292,'[1]Tissue Data'!$A:$A,'[1]Tissue Data'!$D:$D)</f>
        <v>44393</v>
      </c>
      <c r="D6292" s="2" t="s">
        <v>131</v>
      </c>
      <c r="E6292" t="str">
        <f>_xlfn.XLOOKUP(A6292,'[1]Tissue Data'!$A:$A,'[1]Tissue Data'!$H:$H)</f>
        <v>Rhinichthys</v>
      </c>
      <c r="F6292" t="str">
        <f>_xlfn.XLOOKUP(A6292,'[1]Tissue Data'!$A:$A,'[1]Tissue Data'!$I:$I)</f>
        <v>atratulus</v>
      </c>
      <c r="G6292" t="str">
        <f>_xlfn.XLOOKUP(A6292,'[1]Tissue Data'!$A:$A,'[1]Tissue Data'!J:J)</f>
        <v>U</v>
      </c>
      <c r="H6292" t="str">
        <f>_xlfn.XLOOKUP(A6292,'[1]Tissue Data'!$A:$A,'[1]Tissue Data'!K:K)</f>
        <v>Whole Body</v>
      </c>
      <c r="I6292">
        <f>_xlfn.XLOOKUP(A6292,'[1]Tissue Data'!$A:$A,'[1]Tissue Data'!L:L)</f>
        <v>5</v>
      </c>
      <c r="J6292">
        <f>_xlfn.XLOOKUP(A6292,'[1]Tissue Data'!$A:$A,'[1]Tissue Data'!M:M)</f>
        <v>2.04</v>
      </c>
      <c r="K6292" t="s">
        <v>52</v>
      </c>
      <c r="L6292" t="str">
        <f>_xlfn.XLOOKUP(K6292,[2]analyte_order!$B:$B,[2]analyte_order!$C:$C)</f>
        <v>53826-13-4</v>
      </c>
      <c r="M6292">
        <f>_xlfn.XLOOKUP(L6292,[2]analyte_order!$C:$C,[2]analyte_order!$E:$E)</f>
        <v>43</v>
      </c>
      <c r="N6292">
        <v>0.2555</v>
      </c>
    </row>
    <row r="6293" spans="1:14">
      <c r="A6293" t="s">
        <v>317</v>
      </c>
      <c r="B6293" t="str">
        <f>_xlfn.XLOOKUP(A6293,'[1]Tissue Data'!$A:$A,'[1]Tissue Data'!$C:$C)</f>
        <v>Spill</v>
      </c>
      <c r="C6293" s="2">
        <f>_xlfn.XLOOKUP(A6293,'[1]Tissue Data'!$A:$A,'[1]Tissue Data'!$D:$D)</f>
        <v>44393</v>
      </c>
      <c r="D6293" s="2" t="s">
        <v>131</v>
      </c>
      <c r="E6293" t="str">
        <f>_xlfn.XLOOKUP(A6293,'[1]Tissue Data'!$A:$A,'[1]Tissue Data'!$H:$H)</f>
        <v>Rhinichthys</v>
      </c>
      <c r="F6293" t="str">
        <f>_xlfn.XLOOKUP(A6293,'[1]Tissue Data'!$A:$A,'[1]Tissue Data'!$I:$I)</f>
        <v>atratulus</v>
      </c>
      <c r="G6293" t="str">
        <f>_xlfn.XLOOKUP(A6293,'[1]Tissue Data'!$A:$A,'[1]Tissue Data'!J:J)</f>
        <v>U</v>
      </c>
      <c r="H6293" t="str">
        <f>_xlfn.XLOOKUP(A6293,'[1]Tissue Data'!$A:$A,'[1]Tissue Data'!K:K)</f>
        <v>Whole Body</v>
      </c>
      <c r="I6293">
        <f>_xlfn.XLOOKUP(A6293,'[1]Tissue Data'!$A:$A,'[1]Tissue Data'!L:L)</f>
        <v>5</v>
      </c>
      <c r="J6293">
        <f>_xlfn.XLOOKUP(A6293,'[1]Tissue Data'!$A:$A,'[1]Tissue Data'!M:M)</f>
        <v>2.04</v>
      </c>
      <c r="K6293" t="s">
        <v>53</v>
      </c>
      <c r="L6293" t="str">
        <f>_xlfn.XLOOKUP(K6293,[2]analyte_order!$B:$B,[2]analyte_order!$C:$C)</f>
        <v>161094-75-3</v>
      </c>
      <c r="M6293">
        <f>_xlfn.XLOOKUP(L6293,[2]analyte_order!$C:$C,[2]analyte_order!$E:$E)</f>
        <v>44</v>
      </c>
      <c r="N6293">
        <v>0.10050000000000001</v>
      </c>
    </row>
    <row r="6294" spans="1:14">
      <c r="A6294" t="s">
        <v>317</v>
      </c>
      <c r="B6294" t="str">
        <f>_xlfn.XLOOKUP(A6294,'[1]Tissue Data'!$A:$A,'[1]Tissue Data'!$C:$C)</f>
        <v>Spill</v>
      </c>
      <c r="C6294" s="2">
        <f>_xlfn.XLOOKUP(A6294,'[1]Tissue Data'!$A:$A,'[1]Tissue Data'!$D:$D)</f>
        <v>44393</v>
      </c>
      <c r="D6294" s="2" t="s">
        <v>131</v>
      </c>
      <c r="E6294" t="str">
        <f>_xlfn.XLOOKUP(A6294,'[1]Tissue Data'!$A:$A,'[1]Tissue Data'!$H:$H)</f>
        <v>Rhinichthys</v>
      </c>
      <c r="F6294" t="str">
        <f>_xlfn.XLOOKUP(A6294,'[1]Tissue Data'!$A:$A,'[1]Tissue Data'!$I:$I)</f>
        <v>atratulus</v>
      </c>
      <c r="G6294" t="str">
        <f>_xlfn.XLOOKUP(A6294,'[1]Tissue Data'!$A:$A,'[1]Tissue Data'!J:J)</f>
        <v>U</v>
      </c>
      <c r="H6294" t="str">
        <f>_xlfn.XLOOKUP(A6294,'[1]Tissue Data'!$A:$A,'[1]Tissue Data'!K:K)</f>
        <v>Whole Body</v>
      </c>
      <c r="I6294">
        <f>_xlfn.XLOOKUP(A6294,'[1]Tissue Data'!$A:$A,'[1]Tissue Data'!L:L)</f>
        <v>5</v>
      </c>
      <c r="J6294">
        <f>_xlfn.XLOOKUP(A6294,'[1]Tissue Data'!$A:$A,'[1]Tissue Data'!M:M)</f>
        <v>2.04</v>
      </c>
      <c r="K6294" t="s">
        <v>54</v>
      </c>
      <c r="L6294" t="str">
        <f>_xlfn.XLOOKUP(K6294,[2]analyte_order!$B:$B,[2]analyte_order!$C:$C)</f>
        <v>70887-84-2</v>
      </c>
      <c r="M6294">
        <f>_xlfn.XLOOKUP(L6294,[2]analyte_order!$C:$C,[2]analyte_order!$E:$E)</f>
        <v>45</v>
      </c>
      <c r="N6294">
        <v>7.7499999999999999E-2</v>
      </c>
    </row>
    <row r="6295" spans="1:14">
      <c r="A6295" t="s">
        <v>317</v>
      </c>
      <c r="B6295" t="str">
        <f>_xlfn.XLOOKUP(A6295,'[1]Tissue Data'!$A:$A,'[1]Tissue Data'!$C:$C)</f>
        <v>Spill</v>
      </c>
      <c r="C6295" s="2">
        <f>_xlfn.XLOOKUP(A6295,'[1]Tissue Data'!$A:$A,'[1]Tissue Data'!$D:$D)</f>
        <v>44393</v>
      </c>
      <c r="D6295" s="2" t="s">
        <v>131</v>
      </c>
      <c r="E6295" t="str">
        <f>_xlfn.XLOOKUP(A6295,'[1]Tissue Data'!$A:$A,'[1]Tissue Data'!$H:$H)</f>
        <v>Rhinichthys</v>
      </c>
      <c r="F6295" t="str">
        <f>_xlfn.XLOOKUP(A6295,'[1]Tissue Data'!$A:$A,'[1]Tissue Data'!$I:$I)</f>
        <v>atratulus</v>
      </c>
      <c r="G6295" t="str">
        <f>_xlfn.XLOOKUP(A6295,'[1]Tissue Data'!$A:$A,'[1]Tissue Data'!J:J)</f>
        <v>U</v>
      </c>
      <c r="H6295" t="str">
        <f>_xlfn.XLOOKUP(A6295,'[1]Tissue Data'!$A:$A,'[1]Tissue Data'!K:K)</f>
        <v>Whole Body</v>
      </c>
      <c r="I6295">
        <f>_xlfn.XLOOKUP(A6295,'[1]Tissue Data'!$A:$A,'[1]Tissue Data'!L:L)</f>
        <v>5</v>
      </c>
      <c r="J6295">
        <f>_xlfn.XLOOKUP(A6295,'[1]Tissue Data'!$A:$A,'[1]Tissue Data'!M:M)</f>
        <v>2.04</v>
      </c>
      <c r="K6295" t="s">
        <v>55</v>
      </c>
      <c r="L6295" t="str">
        <f>_xlfn.XLOOKUP(K6295,[2]analyte_order!$B:$B,[2]analyte_order!$C:$C)</f>
        <v>919005-14-4</v>
      </c>
      <c r="M6295">
        <f>_xlfn.XLOOKUP(L6295,[2]analyte_order!$C:$C,[2]analyte_order!$E:$E)</f>
        <v>35</v>
      </c>
      <c r="N6295">
        <v>0.113</v>
      </c>
    </row>
    <row r="6296" spans="1:14">
      <c r="A6296" t="s">
        <v>317</v>
      </c>
      <c r="B6296" t="str">
        <f>_xlfn.XLOOKUP(A6296,'[1]Tissue Data'!$A:$A,'[1]Tissue Data'!$C:$C)</f>
        <v>Spill</v>
      </c>
      <c r="C6296" s="2">
        <f>_xlfn.XLOOKUP(A6296,'[1]Tissue Data'!$A:$A,'[1]Tissue Data'!$D:$D)</f>
        <v>44393</v>
      </c>
      <c r="D6296" s="2" t="s">
        <v>131</v>
      </c>
      <c r="E6296" t="str">
        <f>_xlfn.XLOOKUP(A6296,'[1]Tissue Data'!$A:$A,'[1]Tissue Data'!$H:$H)</f>
        <v>Rhinichthys</v>
      </c>
      <c r="F6296" t="str">
        <f>_xlfn.XLOOKUP(A6296,'[1]Tissue Data'!$A:$A,'[1]Tissue Data'!$I:$I)</f>
        <v>atratulus</v>
      </c>
      <c r="G6296" t="str">
        <f>_xlfn.XLOOKUP(A6296,'[1]Tissue Data'!$A:$A,'[1]Tissue Data'!J:J)</f>
        <v>U</v>
      </c>
      <c r="H6296" t="str">
        <f>_xlfn.XLOOKUP(A6296,'[1]Tissue Data'!$A:$A,'[1]Tissue Data'!K:K)</f>
        <v>Whole Body</v>
      </c>
      <c r="I6296">
        <f>_xlfn.XLOOKUP(A6296,'[1]Tissue Data'!$A:$A,'[1]Tissue Data'!L:L)</f>
        <v>5</v>
      </c>
      <c r="J6296">
        <f>_xlfn.XLOOKUP(A6296,'[1]Tissue Data'!$A:$A,'[1]Tissue Data'!M:M)</f>
        <v>2.04</v>
      </c>
      <c r="K6296" t="s">
        <v>56</v>
      </c>
      <c r="L6296" t="str">
        <f>_xlfn.XLOOKUP(K6296,[2]analyte_order!$B:$B,[2]analyte_order!$C:$C)</f>
        <v>756426-58-1</v>
      </c>
      <c r="M6296">
        <f>_xlfn.XLOOKUP(L6296,[2]analyte_order!$C:$C,[2]analyte_order!$E:$E)</f>
        <v>36</v>
      </c>
      <c r="N6296">
        <v>0.2555</v>
      </c>
    </row>
    <row r="6297" spans="1:14">
      <c r="A6297" t="s">
        <v>317</v>
      </c>
      <c r="B6297" t="str">
        <f>_xlfn.XLOOKUP(A6297,'[1]Tissue Data'!$A:$A,'[1]Tissue Data'!$C:$C)</f>
        <v>Spill</v>
      </c>
      <c r="C6297" s="2">
        <f>_xlfn.XLOOKUP(A6297,'[1]Tissue Data'!$A:$A,'[1]Tissue Data'!$D:$D)</f>
        <v>44393</v>
      </c>
      <c r="D6297" s="2" t="s">
        <v>131</v>
      </c>
      <c r="E6297" t="str">
        <f>_xlfn.XLOOKUP(A6297,'[1]Tissue Data'!$A:$A,'[1]Tissue Data'!$H:$H)</f>
        <v>Rhinichthys</v>
      </c>
      <c r="F6297" t="str">
        <f>_xlfn.XLOOKUP(A6297,'[1]Tissue Data'!$A:$A,'[1]Tissue Data'!$I:$I)</f>
        <v>atratulus</v>
      </c>
      <c r="G6297" t="str">
        <f>_xlfn.XLOOKUP(A6297,'[1]Tissue Data'!$A:$A,'[1]Tissue Data'!J:J)</f>
        <v>U</v>
      </c>
      <c r="H6297" t="str">
        <f>_xlfn.XLOOKUP(A6297,'[1]Tissue Data'!$A:$A,'[1]Tissue Data'!K:K)</f>
        <v>Whole Body</v>
      </c>
      <c r="I6297">
        <f>_xlfn.XLOOKUP(A6297,'[1]Tissue Data'!$A:$A,'[1]Tissue Data'!L:L)</f>
        <v>5</v>
      </c>
      <c r="J6297">
        <f>_xlfn.XLOOKUP(A6297,'[1]Tissue Data'!$A:$A,'[1]Tissue Data'!M:M)</f>
        <v>2.04</v>
      </c>
      <c r="K6297" t="s">
        <v>57</v>
      </c>
      <c r="L6297" t="str">
        <f>_xlfn.XLOOKUP(K6297,[2]analyte_order!$B:$B,[2]analyte_order!$C:$C)</f>
        <v>763051-92-9</v>
      </c>
      <c r="M6297">
        <f>_xlfn.XLOOKUP(L6297,[2]analyte_order!$C:$C,[2]analyte_order!$E:$E)</f>
        <v>37</v>
      </c>
      <c r="N6297">
        <v>0.2555</v>
      </c>
    </row>
    <row r="6298" spans="1:14">
      <c r="A6298" t="s">
        <v>317</v>
      </c>
      <c r="B6298" t="str">
        <f>_xlfn.XLOOKUP(A6298,'[1]Tissue Data'!$A:$A,'[1]Tissue Data'!$C:$C)</f>
        <v>Spill</v>
      </c>
      <c r="C6298" s="2">
        <f>_xlfn.XLOOKUP(A6298,'[1]Tissue Data'!$A:$A,'[1]Tissue Data'!$D:$D)</f>
        <v>44393</v>
      </c>
      <c r="D6298" s="2" t="s">
        <v>131</v>
      </c>
      <c r="E6298" t="str">
        <f>_xlfn.XLOOKUP(A6298,'[1]Tissue Data'!$A:$A,'[1]Tissue Data'!$H:$H)</f>
        <v>Rhinichthys</v>
      </c>
      <c r="F6298" t="str">
        <f>_xlfn.XLOOKUP(A6298,'[1]Tissue Data'!$A:$A,'[1]Tissue Data'!$I:$I)</f>
        <v>atratulus</v>
      </c>
      <c r="G6298" t="str">
        <f>_xlfn.XLOOKUP(A6298,'[1]Tissue Data'!$A:$A,'[1]Tissue Data'!J:J)</f>
        <v>U</v>
      </c>
      <c r="H6298" t="str">
        <f>_xlfn.XLOOKUP(A6298,'[1]Tissue Data'!$A:$A,'[1]Tissue Data'!K:K)</f>
        <v>Whole Body</v>
      </c>
      <c r="I6298">
        <f>_xlfn.XLOOKUP(A6298,'[1]Tissue Data'!$A:$A,'[1]Tissue Data'!L:L)</f>
        <v>5</v>
      </c>
      <c r="J6298">
        <f>_xlfn.XLOOKUP(A6298,'[1]Tissue Data'!$A:$A,'[1]Tissue Data'!M:M)</f>
        <v>2.04</v>
      </c>
      <c r="K6298" t="s">
        <v>58</v>
      </c>
      <c r="L6298" t="str">
        <f>_xlfn.XLOOKUP(K6298,[2]analyte_order!$B:$B,[2]analyte_order!$C:$C)</f>
        <v>13252-13-6</v>
      </c>
      <c r="M6298">
        <f>_xlfn.XLOOKUP(L6298,[2]analyte_order!$C:$C,[2]analyte_order!$E:$E)</f>
        <v>34</v>
      </c>
      <c r="N6298">
        <v>0.1835</v>
      </c>
    </row>
    <row r="6299" spans="1:14">
      <c r="A6299" t="s">
        <v>317</v>
      </c>
      <c r="B6299" t="str">
        <f>_xlfn.XLOOKUP(A6299,'[1]Tissue Data'!$A:$A,'[1]Tissue Data'!$C:$C)</f>
        <v>Spill</v>
      </c>
      <c r="C6299" s="2">
        <f>_xlfn.XLOOKUP(A6299,'[1]Tissue Data'!$A:$A,'[1]Tissue Data'!$D:$D)</f>
        <v>44393</v>
      </c>
      <c r="D6299" s="2" t="s">
        <v>131</v>
      </c>
      <c r="E6299" t="str">
        <f>_xlfn.XLOOKUP(A6299,'[1]Tissue Data'!$A:$A,'[1]Tissue Data'!$H:$H)</f>
        <v>Rhinichthys</v>
      </c>
      <c r="F6299" t="str">
        <f>_xlfn.XLOOKUP(A6299,'[1]Tissue Data'!$A:$A,'[1]Tissue Data'!$I:$I)</f>
        <v>atratulus</v>
      </c>
      <c r="G6299" t="str">
        <f>_xlfn.XLOOKUP(A6299,'[1]Tissue Data'!$A:$A,'[1]Tissue Data'!J:J)</f>
        <v>U</v>
      </c>
      <c r="H6299" t="str">
        <f>_xlfn.XLOOKUP(A6299,'[1]Tissue Data'!$A:$A,'[1]Tissue Data'!K:K)</f>
        <v>Whole Body</v>
      </c>
      <c r="I6299">
        <f>_xlfn.XLOOKUP(A6299,'[1]Tissue Data'!$A:$A,'[1]Tissue Data'!L:L)</f>
        <v>5</v>
      </c>
      <c r="J6299">
        <f>_xlfn.XLOOKUP(A6299,'[1]Tissue Data'!$A:$A,'[1]Tissue Data'!M:M)</f>
        <v>2.04</v>
      </c>
      <c r="K6299" t="s">
        <v>59</v>
      </c>
      <c r="L6299" t="str">
        <f>_xlfn.XLOOKUP(K6299,[2]analyte_order!$B:$B,[2]analyte_order!$C:$C)</f>
        <v>57677-95-9</v>
      </c>
      <c r="M6299">
        <f>_xlfn.XLOOKUP(L6299,[2]analyte_order!$C:$C,[2]analyte_order!$E:$E)</f>
        <v>46</v>
      </c>
      <c r="N6299">
        <v>0.2555</v>
      </c>
    </row>
    <row r="6300" spans="1:14">
      <c r="A6300" t="s">
        <v>317</v>
      </c>
      <c r="B6300" t="str">
        <f>_xlfn.XLOOKUP(A6300,'[1]Tissue Data'!$A:$A,'[1]Tissue Data'!$C:$C)</f>
        <v>Spill</v>
      </c>
      <c r="C6300" s="2">
        <f>_xlfn.XLOOKUP(A6300,'[1]Tissue Data'!$A:$A,'[1]Tissue Data'!$D:$D)</f>
        <v>44393</v>
      </c>
      <c r="D6300" s="2" t="s">
        <v>131</v>
      </c>
      <c r="E6300" t="str">
        <f>_xlfn.XLOOKUP(A6300,'[1]Tissue Data'!$A:$A,'[1]Tissue Data'!$H:$H)</f>
        <v>Rhinichthys</v>
      </c>
      <c r="F6300" t="str">
        <f>_xlfn.XLOOKUP(A6300,'[1]Tissue Data'!$A:$A,'[1]Tissue Data'!$I:$I)</f>
        <v>atratulus</v>
      </c>
      <c r="G6300" t="str">
        <f>_xlfn.XLOOKUP(A6300,'[1]Tissue Data'!$A:$A,'[1]Tissue Data'!J:J)</f>
        <v>U</v>
      </c>
      <c r="H6300" t="str">
        <f>_xlfn.XLOOKUP(A6300,'[1]Tissue Data'!$A:$A,'[1]Tissue Data'!K:K)</f>
        <v>Whole Body</v>
      </c>
      <c r="I6300">
        <f>_xlfn.XLOOKUP(A6300,'[1]Tissue Data'!$A:$A,'[1]Tissue Data'!L:L)</f>
        <v>5</v>
      </c>
      <c r="J6300">
        <f>_xlfn.XLOOKUP(A6300,'[1]Tissue Data'!$A:$A,'[1]Tissue Data'!M:M)</f>
        <v>2.04</v>
      </c>
      <c r="K6300" t="s">
        <v>60</v>
      </c>
      <c r="L6300" t="str">
        <f>_xlfn.XLOOKUP(K6300,[2]analyte_order!$B:$B,[2]analyte_order!$C:$C)</f>
        <v>678-41-1</v>
      </c>
      <c r="M6300">
        <f>_xlfn.XLOOKUP(L6300,[2]analyte_order!$C:$C,[2]analyte_order!$E:$E)</f>
        <v>56</v>
      </c>
      <c r="N6300">
        <v>0.2555</v>
      </c>
    </row>
    <row r="6301" spans="1:14">
      <c r="A6301" t="s">
        <v>317</v>
      </c>
      <c r="B6301" t="str">
        <f>_xlfn.XLOOKUP(A6301,'[1]Tissue Data'!$A:$A,'[1]Tissue Data'!$C:$C)</f>
        <v>Spill</v>
      </c>
      <c r="C6301" s="2">
        <f>_xlfn.XLOOKUP(A6301,'[1]Tissue Data'!$A:$A,'[1]Tissue Data'!$D:$D)</f>
        <v>44393</v>
      </c>
      <c r="D6301" s="2" t="s">
        <v>131</v>
      </c>
      <c r="E6301" t="str">
        <f>_xlfn.XLOOKUP(A6301,'[1]Tissue Data'!$A:$A,'[1]Tissue Data'!$H:$H)</f>
        <v>Rhinichthys</v>
      </c>
      <c r="F6301" t="str">
        <f>_xlfn.XLOOKUP(A6301,'[1]Tissue Data'!$A:$A,'[1]Tissue Data'!$I:$I)</f>
        <v>atratulus</v>
      </c>
      <c r="G6301" t="str">
        <f>_xlfn.XLOOKUP(A6301,'[1]Tissue Data'!$A:$A,'[1]Tissue Data'!J:J)</f>
        <v>U</v>
      </c>
      <c r="H6301" t="str">
        <f>_xlfn.XLOOKUP(A6301,'[1]Tissue Data'!$A:$A,'[1]Tissue Data'!K:K)</f>
        <v>Whole Body</v>
      </c>
      <c r="I6301">
        <f>_xlfn.XLOOKUP(A6301,'[1]Tissue Data'!$A:$A,'[1]Tissue Data'!L:L)</f>
        <v>5</v>
      </c>
      <c r="J6301">
        <f>_xlfn.XLOOKUP(A6301,'[1]Tissue Data'!$A:$A,'[1]Tissue Data'!M:M)</f>
        <v>2.04</v>
      </c>
      <c r="K6301" t="s">
        <v>61</v>
      </c>
      <c r="L6301" t="str">
        <f>_xlfn.XLOOKUP(K6301,[2]analyte_order!$B:$B,[2]analyte_order!$C:$C)</f>
        <v>2965-52-8</v>
      </c>
      <c r="M6301">
        <f>_xlfn.XLOOKUP(L6301,[2]analyte_order!$C:$C,[2]analyte_order!$E:$E)</f>
        <v>57</v>
      </c>
      <c r="N6301">
        <v>0.2555</v>
      </c>
    </row>
    <row r="6302" spans="1:14">
      <c r="A6302" t="s">
        <v>318</v>
      </c>
      <c r="B6302" t="str">
        <f>_xlfn.XLOOKUP(A6302,'[1]Tissue Data'!$A:$A,'[1]Tissue Data'!$C:$C)</f>
        <v>Spill</v>
      </c>
      <c r="C6302" s="2">
        <f>_xlfn.XLOOKUP(A6302,'[1]Tissue Data'!$A:$A,'[1]Tissue Data'!$D:$D)</f>
        <v>44393</v>
      </c>
      <c r="D6302" s="2" t="s">
        <v>131</v>
      </c>
      <c r="E6302" t="str">
        <f>_xlfn.XLOOKUP(A6302,'[1]Tissue Data'!$A:$A,'[1]Tissue Data'!$H:$H)</f>
        <v>Rhinichthys</v>
      </c>
      <c r="F6302" t="str">
        <f>_xlfn.XLOOKUP(A6302,'[1]Tissue Data'!$A:$A,'[1]Tissue Data'!$I:$I)</f>
        <v>atratulus</v>
      </c>
      <c r="G6302" t="str">
        <f>_xlfn.XLOOKUP(A6302,'[1]Tissue Data'!$A:$A,'[1]Tissue Data'!J:J)</f>
        <v>U</v>
      </c>
      <c r="H6302" t="str">
        <f>_xlfn.XLOOKUP(A6302,'[1]Tissue Data'!$A:$A,'[1]Tissue Data'!K:K)</f>
        <v>Whole Body</v>
      </c>
      <c r="I6302">
        <f>_xlfn.XLOOKUP(A6302,'[1]Tissue Data'!$A:$A,'[1]Tissue Data'!L:L)</f>
        <v>4.2</v>
      </c>
      <c r="J6302">
        <f>_xlfn.XLOOKUP(A6302,'[1]Tissue Data'!$A:$A,'[1]Tissue Data'!M:M)</f>
        <v>3.02</v>
      </c>
      <c r="K6302" t="s">
        <v>12</v>
      </c>
      <c r="L6302" t="str">
        <f>_xlfn.XLOOKUP(K6302,[2]analyte_order!$B:$B,[2]analyte_order!$C:$C)</f>
        <v>375-22-4</v>
      </c>
      <c r="M6302">
        <f>_xlfn.XLOOKUP(L6302,[2]analyte_order!$C:$C,[2]analyte_order!$E:$E)</f>
        <v>1</v>
      </c>
      <c r="N6302">
        <v>0.248</v>
      </c>
    </row>
    <row r="6303" spans="1:14">
      <c r="A6303" t="s">
        <v>318</v>
      </c>
      <c r="B6303" t="str">
        <f>_xlfn.XLOOKUP(A6303,'[1]Tissue Data'!$A:$A,'[1]Tissue Data'!$C:$C)</f>
        <v>Spill</v>
      </c>
      <c r="C6303" s="2">
        <f>_xlfn.XLOOKUP(A6303,'[1]Tissue Data'!$A:$A,'[1]Tissue Data'!$D:$D)</f>
        <v>44393</v>
      </c>
      <c r="D6303" s="2" t="s">
        <v>131</v>
      </c>
      <c r="E6303" t="str">
        <f>_xlfn.XLOOKUP(A6303,'[1]Tissue Data'!$A:$A,'[1]Tissue Data'!$H:$H)</f>
        <v>Rhinichthys</v>
      </c>
      <c r="F6303" t="str">
        <f>_xlfn.XLOOKUP(A6303,'[1]Tissue Data'!$A:$A,'[1]Tissue Data'!$I:$I)</f>
        <v>atratulus</v>
      </c>
      <c r="G6303" t="str">
        <f>_xlfn.XLOOKUP(A6303,'[1]Tissue Data'!$A:$A,'[1]Tissue Data'!J:J)</f>
        <v>U</v>
      </c>
      <c r="H6303" t="str">
        <f>_xlfn.XLOOKUP(A6303,'[1]Tissue Data'!$A:$A,'[1]Tissue Data'!K:K)</f>
        <v>Whole Body</v>
      </c>
      <c r="I6303">
        <f>_xlfn.XLOOKUP(A6303,'[1]Tissue Data'!$A:$A,'[1]Tissue Data'!L:L)</f>
        <v>4.2</v>
      </c>
      <c r="J6303">
        <f>_xlfn.XLOOKUP(A6303,'[1]Tissue Data'!$A:$A,'[1]Tissue Data'!M:M)</f>
        <v>3.02</v>
      </c>
      <c r="K6303" t="s">
        <v>13</v>
      </c>
      <c r="L6303" t="str">
        <f>_xlfn.XLOOKUP(K6303,[2]analyte_order!$B:$B,[2]analyte_order!$C:$C)</f>
        <v>2706-90-3</v>
      </c>
      <c r="M6303">
        <f>_xlfn.XLOOKUP(L6303,[2]analyte_order!$C:$C,[2]analyte_order!$E:$E)</f>
        <v>2</v>
      </c>
      <c r="N6303">
        <v>8.7499999999999994E-2</v>
      </c>
    </row>
    <row r="6304" spans="1:14">
      <c r="A6304" t="s">
        <v>318</v>
      </c>
      <c r="B6304" t="str">
        <f>_xlfn.XLOOKUP(A6304,'[1]Tissue Data'!$A:$A,'[1]Tissue Data'!$C:$C)</f>
        <v>Spill</v>
      </c>
      <c r="C6304" s="2">
        <f>_xlfn.XLOOKUP(A6304,'[1]Tissue Data'!$A:$A,'[1]Tissue Data'!$D:$D)</f>
        <v>44393</v>
      </c>
      <c r="D6304" s="2" t="s">
        <v>131</v>
      </c>
      <c r="E6304" t="str">
        <f>_xlfn.XLOOKUP(A6304,'[1]Tissue Data'!$A:$A,'[1]Tissue Data'!$H:$H)</f>
        <v>Rhinichthys</v>
      </c>
      <c r="F6304" t="str">
        <f>_xlfn.XLOOKUP(A6304,'[1]Tissue Data'!$A:$A,'[1]Tissue Data'!$I:$I)</f>
        <v>atratulus</v>
      </c>
      <c r="G6304" t="str">
        <f>_xlfn.XLOOKUP(A6304,'[1]Tissue Data'!$A:$A,'[1]Tissue Data'!J:J)</f>
        <v>U</v>
      </c>
      <c r="H6304" t="str">
        <f>_xlfn.XLOOKUP(A6304,'[1]Tissue Data'!$A:$A,'[1]Tissue Data'!K:K)</f>
        <v>Whole Body</v>
      </c>
      <c r="I6304">
        <f>_xlfn.XLOOKUP(A6304,'[1]Tissue Data'!$A:$A,'[1]Tissue Data'!L:L)</f>
        <v>4.2</v>
      </c>
      <c r="J6304">
        <f>_xlfn.XLOOKUP(A6304,'[1]Tissue Data'!$A:$A,'[1]Tissue Data'!M:M)</f>
        <v>3.02</v>
      </c>
      <c r="K6304" t="s">
        <v>14</v>
      </c>
      <c r="L6304" t="str">
        <f>_xlfn.XLOOKUP(K6304,[2]analyte_order!$B:$B,[2]analyte_order!$C:$C)</f>
        <v>307-24-4</v>
      </c>
      <c r="M6304">
        <f>_xlfn.XLOOKUP(L6304,[2]analyte_order!$C:$C,[2]analyte_order!$E:$E)</f>
        <v>3</v>
      </c>
      <c r="N6304">
        <v>0.13400000000000001</v>
      </c>
    </row>
    <row r="6305" spans="1:14">
      <c r="A6305" t="s">
        <v>318</v>
      </c>
      <c r="B6305" t="str">
        <f>_xlfn.XLOOKUP(A6305,'[1]Tissue Data'!$A:$A,'[1]Tissue Data'!$C:$C)</f>
        <v>Spill</v>
      </c>
      <c r="C6305" s="2">
        <f>_xlfn.XLOOKUP(A6305,'[1]Tissue Data'!$A:$A,'[1]Tissue Data'!$D:$D)</f>
        <v>44393</v>
      </c>
      <c r="D6305" s="2" t="s">
        <v>131</v>
      </c>
      <c r="E6305" t="str">
        <f>_xlfn.XLOOKUP(A6305,'[1]Tissue Data'!$A:$A,'[1]Tissue Data'!$H:$H)</f>
        <v>Rhinichthys</v>
      </c>
      <c r="F6305" t="str">
        <f>_xlfn.XLOOKUP(A6305,'[1]Tissue Data'!$A:$A,'[1]Tissue Data'!$I:$I)</f>
        <v>atratulus</v>
      </c>
      <c r="G6305" t="str">
        <f>_xlfn.XLOOKUP(A6305,'[1]Tissue Data'!$A:$A,'[1]Tissue Data'!J:J)</f>
        <v>U</v>
      </c>
      <c r="H6305" t="str">
        <f>_xlfn.XLOOKUP(A6305,'[1]Tissue Data'!$A:$A,'[1]Tissue Data'!K:K)</f>
        <v>Whole Body</v>
      </c>
      <c r="I6305">
        <f>_xlfn.XLOOKUP(A6305,'[1]Tissue Data'!$A:$A,'[1]Tissue Data'!L:L)</f>
        <v>4.2</v>
      </c>
      <c r="J6305">
        <f>_xlfn.XLOOKUP(A6305,'[1]Tissue Data'!$A:$A,'[1]Tissue Data'!M:M)</f>
        <v>3.02</v>
      </c>
      <c r="K6305" t="s">
        <v>15</v>
      </c>
      <c r="L6305" t="str">
        <f>_xlfn.XLOOKUP(K6305,[2]analyte_order!$B:$B,[2]analyte_order!$C:$C)</f>
        <v>375-85-9</v>
      </c>
      <c r="M6305">
        <f>_xlfn.XLOOKUP(L6305,[2]analyte_order!$C:$C,[2]analyte_order!$E:$E)</f>
        <v>4</v>
      </c>
      <c r="N6305">
        <v>0.248</v>
      </c>
    </row>
    <row r="6306" spans="1:14">
      <c r="A6306" t="s">
        <v>318</v>
      </c>
      <c r="B6306" t="str">
        <f>_xlfn.XLOOKUP(A6306,'[1]Tissue Data'!$A:$A,'[1]Tissue Data'!$C:$C)</f>
        <v>Spill</v>
      </c>
      <c r="C6306" s="2">
        <f>_xlfn.XLOOKUP(A6306,'[1]Tissue Data'!$A:$A,'[1]Tissue Data'!$D:$D)</f>
        <v>44393</v>
      </c>
      <c r="D6306" s="2" t="s">
        <v>131</v>
      </c>
      <c r="E6306" t="str">
        <f>_xlfn.XLOOKUP(A6306,'[1]Tissue Data'!$A:$A,'[1]Tissue Data'!$H:$H)</f>
        <v>Rhinichthys</v>
      </c>
      <c r="F6306" t="str">
        <f>_xlfn.XLOOKUP(A6306,'[1]Tissue Data'!$A:$A,'[1]Tissue Data'!$I:$I)</f>
        <v>atratulus</v>
      </c>
      <c r="G6306" t="str">
        <f>_xlfn.XLOOKUP(A6306,'[1]Tissue Data'!$A:$A,'[1]Tissue Data'!J:J)</f>
        <v>U</v>
      </c>
      <c r="H6306" t="str">
        <f>_xlfn.XLOOKUP(A6306,'[1]Tissue Data'!$A:$A,'[1]Tissue Data'!K:K)</f>
        <v>Whole Body</v>
      </c>
      <c r="I6306">
        <f>_xlfn.XLOOKUP(A6306,'[1]Tissue Data'!$A:$A,'[1]Tissue Data'!L:L)</f>
        <v>4.2</v>
      </c>
      <c r="J6306">
        <f>_xlfn.XLOOKUP(A6306,'[1]Tissue Data'!$A:$A,'[1]Tissue Data'!M:M)</f>
        <v>3.02</v>
      </c>
      <c r="K6306" t="s">
        <v>16</v>
      </c>
      <c r="L6306" t="str">
        <f>_xlfn.XLOOKUP(K6306,[2]analyte_order!$B:$B,[2]analyte_order!$C:$C)</f>
        <v>335-67-1</v>
      </c>
      <c r="M6306">
        <f>_xlfn.XLOOKUP(L6306,[2]analyte_order!$C:$C,[2]analyte_order!$E:$E)</f>
        <v>5</v>
      </c>
      <c r="N6306">
        <v>5.39</v>
      </c>
    </row>
    <row r="6307" spans="1:14">
      <c r="A6307" t="s">
        <v>318</v>
      </c>
      <c r="B6307" t="str">
        <f>_xlfn.XLOOKUP(A6307,'[1]Tissue Data'!$A:$A,'[1]Tissue Data'!$C:$C)</f>
        <v>Spill</v>
      </c>
      <c r="C6307" s="2">
        <f>_xlfn.XLOOKUP(A6307,'[1]Tissue Data'!$A:$A,'[1]Tissue Data'!$D:$D)</f>
        <v>44393</v>
      </c>
      <c r="D6307" s="2" t="s">
        <v>131</v>
      </c>
      <c r="E6307" t="str">
        <f>_xlfn.XLOOKUP(A6307,'[1]Tissue Data'!$A:$A,'[1]Tissue Data'!$H:$H)</f>
        <v>Rhinichthys</v>
      </c>
      <c r="F6307" t="str">
        <f>_xlfn.XLOOKUP(A6307,'[1]Tissue Data'!$A:$A,'[1]Tissue Data'!$I:$I)</f>
        <v>atratulus</v>
      </c>
      <c r="G6307" t="str">
        <f>_xlfn.XLOOKUP(A6307,'[1]Tissue Data'!$A:$A,'[1]Tissue Data'!J:J)</f>
        <v>U</v>
      </c>
      <c r="H6307" t="str">
        <f>_xlfn.XLOOKUP(A6307,'[1]Tissue Data'!$A:$A,'[1]Tissue Data'!K:K)</f>
        <v>Whole Body</v>
      </c>
      <c r="I6307">
        <f>_xlfn.XLOOKUP(A6307,'[1]Tissue Data'!$A:$A,'[1]Tissue Data'!L:L)</f>
        <v>4.2</v>
      </c>
      <c r="J6307">
        <f>_xlfn.XLOOKUP(A6307,'[1]Tissue Data'!$A:$A,'[1]Tissue Data'!M:M)</f>
        <v>3.02</v>
      </c>
      <c r="K6307" t="s">
        <v>17</v>
      </c>
      <c r="L6307" t="str">
        <f>_xlfn.XLOOKUP(K6307,[2]analyte_order!$B:$B,[2]analyte_order!$C:$C)</f>
        <v>375-95-1</v>
      </c>
      <c r="M6307">
        <f>_xlfn.XLOOKUP(L6307,[2]analyte_order!$C:$C,[2]analyte_order!$E:$E)</f>
        <v>6</v>
      </c>
      <c r="N6307">
        <v>7.52</v>
      </c>
    </row>
    <row r="6308" spans="1:14">
      <c r="A6308" t="s">
        <v>318</v>
      </c>
      <c r="B6308" t="str">
        <f>_xlfn.XLOOKUP(A6308,'[1]Tissue Data'!$A:$A,'[1]Tissue Data'!$C:$C)</f>
        <v>Spill</v>
      </c>
      <c r="C6308" s="2">
        <f>_xlfn.XLOOKUP(A6308,'[1]Tissue Data'!$A:$A,'[1]Tissue Data'!$D:$D)</f>
        <v>44393</v>
      </c>
      <c r="D6308" s="2" t="s">
        <v>131</v>
      </c>
      <c r="E6308" t="str">
        <f>_xlfn.XLOOKUP(A6308,'[1]Tissue Data'!$A:$A,'[1]Tissue Data'!$H:$H)</f>
        <v>Rhinichthys</v>
      </c>
      <c r="F6308" t="str">
        <f>_xlfn.XLOOKUP(A6308,'[1]Tissue Data'!$A:$A,'[1]Tissue Data'!$I:$I)</f>
        <v>atratulus</v>
      </c>
      <c r="G6308" t="str">
        <f>_xlfn.XLOOKUP(A6308,'[1]Tissue Data'!$A:$A,'[1]Tissue Data'!J:J)</f>
        <v>U</v>
      </c>
      <c r="H6308" t="str">
        <f>_xlfn.XLOOKUP(A6308,'[1]Tissue Data'!$A:$A,'[1]Tissue Data'!K:K)</f>
        <v>Whole Body</v>
      </c>
      <c r="I6308">
        <f>_xlfn.XLOOKUP(A6308,'[1]Tissue Data'!$A:$A,'[1]Tissue Data'!L:L)</f>
        <v>4.2</v>
      </c>
      <c r="J6308">
        <f>_xlfn.XLOOKUP(A6308,'[1]Tissue Data'!$A:$A,'[1]Tissue Data'!M:M)</f>
        <v>3.02</v>
      </c>
      <c r="K6308" t="s">
        <v>18</v>
      </c>
      <c r="L6308" t="str">
        <f>_xlfn.XLOOKUP(K6308,[2]analyte_order!$B:$B,[2]analyte_order!$C:$C)</f>
        <v>335-76-2</v>
      </c>
      <c r="M6308">
        <f>_xlfn.XLOOKUP(L6308,[2]analyte_order!$C:$C,[2]analyte_order!$E:$E)</f>
        <v>7</v>
      </c>
      <c r="N6308">
        <v>11.1</v>
      </c>
    </row>
    <row r="6309" spans="1:14">
      <c r="A6309" t="s">
        <v>318</v>
      </c>
      <c r="B6309" t="str">
        <f>_xlfn.XLOOKUP(A6309,'[1]Tissue Data'!$A:$A,'[1]Tissue Data'!$C:$C)</f>
        <v>Spill</v>
      </c>
      <c r="C6309" s="2">
        <f>_xlfn.XLOOKUP(A6309,'[1]Tissue Data'!$A:$A,'[1]Tissue Data'!$D:$D)</f>
        <v>44393</v>
      </c>
      <c r="D6309" s="2" t="s">
        <v>131</v>
      </c>
      <c r="E6309" t="str">
        <f>_xlfn.XLOOKUP(A6309,'[1]Tissue Data'!$A:$A,'[1]Tissue Data'!$H:$H)</f>
        <v>Rhinichthys</v>
      </c>
      <c r="F6309" t="str">
        <f>_xlfn.XLOOKUP(A6309,'[1]Tissue Data'!$A:$A,'[1]Tissue Data'!$I:$I)</f>
        <v>atratulus</v>
      </c>
      <c r="G6309" t="str">
        <f>_xlfn.XLOOKUP(A6309,'[1]Tissue Data'!$A:$A,'[1]Tissue Data'!J:J)</f>
        <v>U</v>
      </c>
      <c r="H6309" t="str">
        <f>_xlfn.XLOOKUP(A6309,'[1]Tissue Data'!$A:$A,'[1]Tissue Data'!K:K)</f>
        <v>Whole Body</v>
      </c>
      <c r="I6309">
        <f>_xlfn.XLOOKUP(A6309,'[1]Tissue Data'!$A:$A,'[1]Tissue Data'!L:L)</f>
        <v>4.2</v>
      </c>
      <c r="J6309">
        <f>_xlfn.XLOOKUP(A6309,'[1]Tissue Data'!$A:$A,'[1]Tissue Data'!M:M)</f>
        <v>3.02</v>
      </c>
      <c r="K6309" t="s">
        <v>19</v>
      </c>
      <c r="L6309" t="str">
        <f>_xlfn.XLOOKUP(K6309,[2]analyte_order!$B:$B,[2]analyte_order!$C:$C)</f>
        <v>2058-94-8</v>
      </c>
      <c r="M6309">
        <f>_xlfn.XLOOKUP(L6309,[2]analyte_order!$C:$C,[2]analyte_order!$E:$E)</f>
        <v>8</v>
      </c>
      <c r="N6309">
        <v>9.7200000000000006</v>
      </c>
    </row>
    <row r="6310" spans="1:14">
      <c r="A6310" t="s">
        <v>318</v>
      </c>
      <c r="B6310" t="str">
        <f>_xlfn.XLOOKUP(A6310,'[1]Tissue Data'!$A:$A,'[1]Tissue Data'!$C:$C)</f>
        <v>Spill</v>
      </c>
      <c r="C6310" s="2">
        <f>_xlfn.XLOOKUP(A6310,'[1]Tissue Data'!$A:$A,'[1]Tissue Data'!$D:$D)</f>
        <v>44393</v>
      </c>
      <c r="D6310" s="2" t="s">
        <v>131</v>
      </c>
      <c r="E6310" t="str">
        <f>_xlfn.XLOOKUP(A6310,'[1]Tissue Data'!$A:$A,'[1]Tissue Data'!$H:$H)</f>
        <v>Rhinichthys</v>
      </c>
      <c r="F6310" t="str">
        <f>_xlfn.XLOOKUP(A6310,'[1]Tissue Data'!$A:$A,'[1]Tissue Data'!$I:$I)</f>
        <v>atratulus</v>
      </c>
      <c r="G6310" t="str">
        <f>_xlfn.XLOOKUP(A6310,'[1]Tissue Data'!$A:$A,'[1]Tissue Data'!J:J)</f>
        <v>U</v>
      </c>
      <c r="H6310" t="str">
        <f>_xlfn.XLOOKUP(A6310,'[1]Tissue Data'!$A:$A,'[1]Tissue Data'!K:K)</f>
        <v>Whole Body</v>
      </c>
      <c r="I6310">
        <f>_xlfn.XLOOKUP(A6310,'[1]Tissue Data'!$A:$A,'[1]Tissue Data'!L:L)</f>
        <v>4.2</v>
      </c>
      <c r="J6310">
        <f>_xlfn.XLOOKUP(A6310,'[1]Tissue Data'!$A:$A,'[1]Tissue Data'!M:M)</f>
        <v>3.02</v>
      </c>
      <c r="K6310" t="s">
        <v>20</v>
      </c>
      <c r="L6310" t="str">
        <f>_xlfn.XLOOKUP(K6310,[2]analyte_order!$B:$B,[2]analyte_order!$C:$C)</f>
        <v>307-55-1</v>
      </c>
      <c r="M6310">
        <f>_xlfn.XLOOKUP(L6310,[2]analyte_order!$C:$C,[2]analyte_order!$E:$E)</f>
        <v>9</v>
      </c>
      <c r="N6310">
        <v>7.14</v>
      </c>
    </row>
    <row r="6311" spans="1:14">
      <c r="A6311" t="s">
        <v>318</v>
      </c>
      <c r="B6311" t="str">
        <f>_xlfn.XLOOKUP(A6311,'[1]Tissue Data'!$A:$A,'[1]Tissue Data'!$C:$C)</f>
        <v>Spill</v>
      </c>
      <c r="C6311" s="2">
        <f>_xlfn.XLOOKUP(A6311,'[1]Tissue Data'!$A:$A,'[1]Tissue Data'!$D:$D)</f>
        <v>44393</v>
      </c>
      <c r="D6311" s="2" t="s">
        <v>131</v>
      </c>
      <c r="E6311" t="str">
        <f>_xlfn.XLOOKUP(A6311,'[1]Tissue Data'!$A:$A,'[1]Tissue Data'!$H:$H)</f>
        <v>Rhinichthys</v>
      </c>
      <c r="F6311" t="str">
        <f>_xlfn.XLOOKUP(A6311,'[1]Tissue Data'!$A:$A,'[1]Tissue Data'!$I:$I)</f>
        <v>atratulus</v>
      </c>
      <c r="G6311" t="str">
        <f>_xlfn.XLOOKUP(A6311,'[1]Tissue Data'!$A:$A,'[1]Tissue Data'!J:J)</f>
        <v>U</v>
      </c>
      <c r="H6311" t="str">
        <f>_xlfn.XLOOKUP(A6311,'[1]Tissue Data'!$A:$A,'[1]Tissue Data'!K:K)</f>
        <v>Whole Body</v>
      </c>
      <c r="I6311">
        <f>_xlfn.XLOOKUP(A6311,'[1]Tissue Data'!$A:$A,'[1]Tissue Data'!L:L)</f>
        <v>4.2</v>
      </c>
      <c r="J6311">
        <f>_xlfn.XLOOKUP(A6311,'[1]Tissue Data'!$A:$A,'[1]Tissue Data'!M:M)</f>
        <v>3.02</v>
      </c>
      <c r="K6311" t="s">
        <v>21</v>
      </c>
      <c r="L6311" t="str">
        <f>_xlfn.XLOOKUP(K6311,[2]analyte_order!$B:$B,[2]analyte_order!$C:$C)</f>
        <v>72629-94-8</v>
      </c>
      <c r="M6311">
        <f>_xlfn.XLOOKUP(L6311,[2]analyte_order!$C:$C,[2]analyte_order!$E:$E)</f>
        <v>10</v>
      </c>
      <c r="N6311">
        <v>3.78</v>
      </c>
    </row>
    <row r="6312" spans="1:14">
      <c r="A6312" t="s">
        <v>318</v>
      </c>
      <c r="B6312" t="str">
        <f>_xlfn.XLOOKUP(A6312,'[1]Tissue Data'!$A:$A,'[1]Tissue Data'!$C:$C)</f>
        <v>Spill</v>
      </c>
      <c r="C6312" s="2">
        <f>_xlfn.XLOOKUP(A6312,'[1]Tissue Data'!$A:$A,'[1]Tissue Data'!$D:$D)</f>
        <v>44393</v>
      </c>
      <c r="D6312" s="2" t="s">
        <v>131</v>
      </c>
      <c r="E6312" t="str">
        <f>_xlfn.XLOOKUP(A6312,'[1]Tissue Data'!$A:$A,'[1]Tissue Data'!$H:$H)</f>
        <v>Rhinichthys</v>
      </c>
      <c r="F6312" t="str">
        <f>_xlfn.XLOOKUP(A6312,'[1]Tissue Data'!$A:$A,'[1]Tissue Data'!$I:$I)</f>
        <v>atratulus</v>
      </c>
      <c r="G6312" t="str">
        <f>_xlfn.XLOOKUP(A6312,'[1]Tissue Data'!$A:$A,'[1]Tissue Data'!J:J)</f>
        <v>U</v>
      </c>
      <c r="H6312" t="str">
        <f>_xlfn.XLOOKUP(A6312,'[1]Tissue Data'!$A:$A,'[1]Tissue Data'!K:K)</f>
        <v>Whole Body</v>
      </c>
      <c r="I6312">
        <f>_xlfn.XLOOKUP(A6312,'[1]Tissue Data'!$A:$A,'[1]Tissue Data'!L:L)</f>
        <v>4.2</v>
      </c>
      <c r="J6312">
        <f>_xlfn.XLOOKUP(A6312,'[1]Tissue Data'!$A:$A,'[1]Tissue Data'!M:M)</f>
        <v>3.02</v>
      </c>
      <c r="K6312" t="s">
        <v>22</v>
      </c>
      <c r="L6312" t="str">
        <f>_xlfn.XLOOKUP(K6312,[2]analyte_order!$B:$B,[2]analyte_order!$C:$C)</f>
        <v>376-06-7</v>
      </c>
      <c r="M6312">
        <f>_xlfn.XLOOKUP(L6312,[2]analyte_order!$C:$C,[2]analyte_order!$E:$E)</f>
        <v>11</v>
      </c>
      <c r="N6312">
        <v>2.5299999999999998</v>
      </c>
    </row>
    <row r="6313" spans="1:14">
      <c r="A6313" t="s">
        <v>318</v>
      </c>
      <c r="B6313" t="str">
        <f>_xlfn.XLOOKUP(A6313,'[1]Tissue Data'!$A:$A,'[1]Tissue Data'!$C:$C)</f>
        <v>Spill</v>
      </c>
      <c r="C6313" s="2">
        <f>_xlfn.XLOOKUP(A6313,'[1]Tissue Data'!$A:$A,'[1]Tissue Data'!$D:$D)</f>
        <v>44393</v>
      </c>
      <c r="D6313" s="2" t="s">
        <v>131</v>
      </c>
      <c r="E6313" t="str">
        <f>_xlfn.XLOOKUP(A6313,'[1]Tissue Data'!$A:$A,'[1]Tissue Data'!$H:$H)</f>
        <v>Rhinichthys</v>
      </c>
      <c r="F6313" t="str">
        <f>_xlfn.XLOOKUP(A6313,'[1]Tissue Data'!$A:$A,'[1]Tissue Data'!$I:$I)</f>
        <v>atratulus</v>
      </c>
      <c r="G6313" t="str">
        <f>_xlfn.XLOOKUP(A6313,'[1]Tissue Data'!$A:$A,'[1]Tissue Data'!J:J)</f>
        <v>U</v>
      </c>
      <c r="H6313" t="str">
        <f>_xlfn.XLOOKUP(A6313,'[1]Tissue Data'!$A:$A,'[1]Tissue Data'!K:K)</f>
        <v>Whole Body</v>
      </c>
      <c r="I6313">
        <f>_xlfn.XLOOKUP(A6313,'[1]Tissue Data'!$A:$A,'[1]Tissue Data'!L:L)</f>
        <v>4.2</v>
      </c>
      <c r="J6313">
        <f>_xlfn.XLOOKUP(A6313,'[1]Tissue Data'!$A:$A,'[1]Tissue Data'!M:M)</f>
        <v>3.02</v>
      </c>
      <c r="K6313" t="s">
        <v>23</v>
      </c>
      <c r="L6313" t="str">
        <f>_xlfn.XLOOKUP(K6313,[2]analyte_order!$B:$B,[2]analyte_order!$C:$C)</f>
        <v>67905-19-5</v>
      </c>
      <c r="M6313">
        <f>_xlfn.XLOOKUP(L6313,[2]analyte_order!$C:$C,[2]analyte_order!$E:$E)</f>
        <v>12</v>
      </c>
      <c r="N6313">
        <v>0.14749999999999999</v>
      </c>
    </row>
    <row r="6314" spans="1:14">
      <c r="A6314" t="s">
        <v>318</v>
      </c>
      <c r="B6314" t="str">
        <f>_xlfn.XLOOKUP(A6314,'[1]Tissue Data'!$A:$A,'[1]Tissue Data'!$C:$C)</f>
        <v>Spill</v>
      </c>
      <c r="C6314" s="2">
        <f>_xlfn.XLOOKUP(A6314,'[1]Tissue Data'!$A:$A,'[1]Tissue Data'!$D:$D)</f>
        <v>44393</v>
      </c>
      <c r="D6314" s="2" t="s">
        <v>131</v>
      </c>
      <c r="E6314" t="str">
        <f>_xlfn.XLOOKUP(A6314,'[1]Tissue Data'!$A:$A,'[1]Tissue Data'!$H:$H)</f>
        <v>Rhinichthys</v>
      </c>
      <c r="F6314" t="str">
        <f>_xlfn.XLOOKUP(A6314,'[1]Tissue Data'!$A:$A,'[1]Tissue Data'!$I:$I)</f>
        <v>atratulus</v>
      </c>
      <c r="G6314" t="str">
        <f>_xlfn.XLOOKUP(A6314,'[1]Tissue Data'!$A:$A,'[1]Tissue Data'!J:J)</f>
        <v>U</v>
      </c>
      <c r="H6314" t="str">
        <f>_xlfn.XLOOKUP(A6314,'[1]Tissue Data'!$A:$A,'[1]Tissue Data'!K:K)</f>
        <v>Whole Body</v>
      </c>
      <c r="I6314">
        <f>_xlfn.XLOOKUP(A6314,'[1]Tissue Data'!$A:$A,'[1]Tissue Data'!L:L)</f>
        <v>4.2</v>
      </c>
      <c r="J6314">
        <f>_xlfn.XLOOKUP(A6314,'[1]Tissue Data'!$A:$A,'[1]Tissue Data'!M:M)</f>
        <v>3.02</v>
      </c>
      <c r="K6314" t="s">
        <v>24</v>
      </c>
      <c r="L6314" t="str">
        <f>_xlfn.XLOOKUP(K6314,[2]analyte_order!$B:$B,[2]analyte_order!$C:$C)</f>
        <v>423-41-6</v>
      </c>
      <c r="M6314">
        <f>_xlfn.XLOOKUP(L6314,[2]analyte_order!$C:$C,[2]analyte_order!$E:$E)</f>
        <v>53</v>
      </c>
      <c r="N6314">
        <v>0.124</v>
      </c>
    </row>
    <row r="6315" spans="1:14">
      <c r="A6315" t="s">
        <v>318</v>
      </c>
      <c r="B6315" t="str">
        <f>_xlfn.XLOOKUP(A6315,'[1]Tissue Data'!$A:$A,'[1]Tissue Data'!$C:$C)</f>
        <v>Spill</v>
      </c>
      <c r="C6315" s="2">
        <f>_xlfn.XLOOKUP(A6315,'[1]Tissue Data'!$A:$A,'[1]Tissue Data'!$D:$D)</f>
        <v>44393</v>
      </c>
      <c r="D6315" s="2" t="s">
        <v>131</v>
      </c>
      <c r="E6315" t="str">
        <f>_xlfn.XLOOKUP(A6315,'[1]Tissue Data'!$A:$A,'[1]Tissue Data'!$H:$H)</f>
        <v>Rhinichthys</v>
      </c>
      <c r="F6315" t="str">
        <f>_xlfn.XLOOKUP(A6315,'[1]Tissue Data'!$A:$A,'[1]Tissue Data'!$I:$I)</f>
        <v>atratulus</v>
      </c>
      <c r="G6315" t="str">
        <f>_xlfn.XLOOKUP(A6315,'[1]Tissue Data'!$A:$A,'[1]Tissue Data'!J:J)</f>
        <v>U</v>
      </c>
      <c r="H6315" t="str">
        <f>_xlfn.XLOOKUP(A6315,'[1]Tissue Data'!$A:$A,'[1]Tissue Data'!K:K)</f>
        <v>Whole Body</v>
      </c>
      <c r="I6315">
        <f>_xlfn.XLOOKUP(A6315,'[1]Tissue Data'!$A:$A,'[1]Tissue Data'!L:L)</f>
        <v>4.2</v>
      </c>
      <c r="J6315">
        <f>_xlfn.XLOOKUP(A6315,'[1]Tissue Data'!$A:$A,'[1]Tissue Data'!M:M)</f>
        <v>3.02</v>
      </c>
      <c r="K6315" t="s">
        <v>25</v>
      </c>
      <c r="L6315" t="str">
        <f>_xlfn.XLOOKUP(K6315,[2]analyte_order!$B:$B,[2]analyte_order!$C:$C)</f>
        <v>375-73-5</v>
      </c>
      <c r="M6315">
        <f>_xlfn.XLOOKUP(L6315,[2]analyte_order!$C:$C,[2]analyte_order!$E:$E)</f>
        <v>14</v>
      </c>
      <c r="N6315">
        <v>0.248</v>
      </c>
    </row>
    <row r="6316" spans="1:14">
      <c r="A6316" t="s">
        <v>318</v>
      </c>
      <c r="B6316" t="str">
        <f>_xlfn.XLOOKUP(A6316,'[1]Tissue Data'!$A:$A,'[1]Tissue Data'!$C:$C)</f>
        <v>Spill</v>
      </c>
      <c r="C6316" s="2">
        <f>_xlfn.XLOOKUP(A6316,'[1]Tissue Data'!$A:$A,'[1]Tissue Data'!$D:$D)</f>
        <v>44393</v>
      </c>
      <c r="D6316" s="2" t="s">
        <v>131</v>
      </c>
      <c r="E6316" t="str">
        <f>_xlfn.XLOOKUP(A6316,'[1]Tissue Data'!$A:$A,'[1]Tissue Data'!$H:$H)</f>
        <v>Rhinichthys</v>
      </c>
      <c r="F6316" t="str">
        <f>_xlfn.XLOOKUP(A6316,'[1]Tissue Data'!$A:$A,'[1]Tissue Data'!$I:$I)</f>
        <v>atratulus</v>
      </c>
      <c r="G6316" t="str">
        <f>_xlfn.XLOOKUP(A6316,'[1]Tissue Data'!$A:$A,'[1]Tissue Data'!J:J)</f>
        <v>U</v>
      </c>
      <c r="H6316" t="str">
        <f>_xlfn.XLOOKUP(A6316,'[1]Tissue Data'!$A:$A,'[1]Tissue Data'!K:K)</f>
        <v>Whole Body</v>
      </c>
      <c r="I6316">
        <f>_xlfn.XLOOKUP(A6316,'[1]Tissue Data'!$A:$A,'[1]Tissue Data'!L:L)</f>
        <v>4.2</v>
      </c>
      <c r="J6316">
        <f>_xlfn.XLOOKUP(A6316,'[1]Tissue Data'!$A:$A,'[1]Tissue Data'!M:M)</f>
        <v>3.02</v>
      </c>
      <c r="K6316" t="s">
        <v>26</v>
      </c>
      <c r="L6316" t="str">
        <f>_xlfn.XLOOKUP(K6316,[2]analyte_order!$B:$B,[2]analyte_order!$C:$C)</f>
        <v>2706-91-4</v>
      </c>
      <c r="M6316">
        <f>_xlfn.XLOOKUP(L6316,[2]analyte_order!$C:$C,[2]analyte_order!$E:$E)</f>
        <v>15</v>
      </c>
      <c r="N6316">
        <v>0.435</v>
      </c>
    </row>
    <row r="6317" spans="1:14">
      <c r="A6317" t="s">
        <v>318</v>
      </c>
      <c r="B6317" t="str">
        <f>_xlfn.XLOOKUP(A6317,'[1]Tissue Data'!$A:$A,'[1]Tissue Data'!$C:$C)</f>
        <v>Spill</v>
      </c>
      <c r="C6317" s="2">
        <f>_xlfn.XLOOKUP(A6317,'[1]Tissue Data'!$A:$A,'[1]Tissue Data'!$D:$D)</f>
        <v>44393</v>
      </c>
      <c r="D6317" s="2" t="s">
        <v>131</v>
      </c>
      <c r="E6317" t="str">
        <f>_xlfn.XLOOKUP(A6317,'[1]Tissue Data'!$A:$A,'[1]Tissue Data'!$H:$H)</f>
        <v>Rhinichthys</v>
      </c>
      <c r="F6317" t="str">
        <f>_xlfn.XLOOKUP(A6317,'[1]Tissue Data'!$A:$A,'[1]Tissue Data'!$I:$I)</f>
        <v>atratulus</v>
      </c>
      <c r="G6317" t="str">
        <f>_xlfn.XLOOKUP(A6317,'[1]Tissue Data'!$A:$A,'[1]Tissue Data'!J:J)</f>
        <v>U</v>
      </c>
      <c r="H6317" t="str">
        <f>_xlfn.XLOOKUP(A6317,'[1]Tissue Data'!$A:$A,'[1]Tissue Data'!K:K)</f>
        <v>Whole Body</v>
      </c>
      <c r="I6317">
        <f>_xlfn.XLOOKUP(A6317,'[1]Tissue Data'!$A:$A,'[1]Tissue Data'!L:L)</f>
        <v>4.2</v>
      </c>
      <c r="J6317">
        <f>_xlfn.XLOOKUP(A6317,'[1]Tissue Data'!$A:$A,'[1]Tissue Data'!M:M)</f>
        <v>3.02</v>
      </c>
      <c r="K6317" t="s">
        <v>27</v>
      </c>
      <c r="L6317" t="str">
        <f>_xlfn.XLOOKUP(K6317,[2]analyte_order!$B:$B,[2]analyte_order!$C:$C)</f>
        <v>355-46-4</v>
      </c>
      <c r="M6317">
        <f>_xlfn.XLOOKUP(L6317,[2]analyte_order!$C:$C,[2]analyte_order!$E:$E)</f>
        <v>16</v>
      </c>
      <c r="N6317">
        <v>62.7</v>
      </c>
    </row>
    <row r="6318" spans="1:14">
      <c r="A6318" t="s">
        <v>318</v>
      </c>
      <c r="B6318" t="str">
        <f>_xlfn.XLOOKUP(A6318,'[1]Tissue Data'!$A:$A,'[1]Tissue Data'!$C:$C)</f>
        <v>Spill</v>
      </c>
      <c r="C6318" s="2">
        <f>_xlfn.XLOOKUP(A6318,'[1]Tissue Data'!$A:$A,'[1]Tissue Data'!$D:$D)</f>
        <v>44393</v>
      </c>
      <c r="D6318" s="2" t="s">
        <v>131</v>
      </c>
      <c r="E6318" t="str">
        <f>_xlfn.XLOOKUP(A6318,'[1]Tissue Data'!$A:$A,'[1]Tissue Data'!$H:$H)</f>
        <v>Rhinichthys</v>
      </c>
      <c r="F6318" t="str">
        <f>_xlfn.XLOOKUP(A6318,'[1]Tissue Data'!$A:$A,'[1]Tissue Data'!$I:$I)</f>
        <v>atratulus</v>
      </c>
      <c r="G6318" t="str">
        <f>_xlfn.XLOOKUP(A6318,'[1]Tissue Data'!$A:$A,'[1]Tissue Data'!J:J)</f>
        <v>U</v>
      </c>
      <c r="H6318" t="str">
        <f>_xlfn.XLOOKUP(A6318,'[1]Tissue Data'!$A:$A,'[1]Tissue Data'!K:K)</f>
        <v>Whole Body</v>
      </c>
      <c r="I6318">
        <f>_xlfn.XLOOKUP(A6318,'[1]Tissue Data'!$A:$A,'[1]Tissue Data'!L:L)</f>
        <v>4.2</v>
      </c>
      <c r="J6318">
        <f>_xlfn.XLOOKUP(A6318,'[1]Tissue Data'!$A:$A,'[1]Tissue Data'!M:M)</f>
        <v>3.02</v>
      </c>
      <c r="K6318" t="s">
        <v>28</v>
      </c>
      <c r="L6318" t="str">
        <f>_xlfn.XLOOKUP(K6318,[2]analyte_order!$B:$B,[2]analyte_order!$C:$C)</f>
        <v>375-92-8</v>
      </c>
      <c r="M6318">
        <f>_xlfn.XLOOKUP(L6318,[2]analyte_order!$C:$C,[2]analyte_order!$E:$E)</f>
        <v>17</v>
      </c>
      <c r="N6318">
        <v>6.45</v>
      </c>
    </row>
    <row r="6319" spans="1:14">
      <c r="A6319" t="s">
        <v>318</v>
      </c>
      <c r="B6319" t="str">
        <f>_xlfn.XLOOKUP(A6319,'[1]Tissue Data'!$A:$A,'[1]Tissue Data'!$C:$C)</f>
        <v>Spill</v>
      </c>
      <c r="C6319" s="2">
        <f>_xlfn.XLOOKUP(A6319,'[1]Tissue Data'!$A:$A,'[1]Tissue Data'!$D:$D)</f>
        <v>44393</v>
      </c>
      <c r="D6319" s="2" t="s">
        <v>131</v>
      </c>
      <c r="E6319" t="str">
        <f>_xlfn.XLOOKUP(A6319,'[1]Tissue Data'!$A:$A,'[1]Tissue Data'!$H:$H)</f>
        <v>Rhinichthys</v>
      </c>
      <c r="F6319" t="str">
        <f>_xlfn.XLOOKUP(A6319,'[1]Tissue Data'!$A:$A,'[1]Tissue Data'!$I:$I)</f>
        <v>atratulus</v>
      </c>
      <c r="G6319" t="str">
        <f>_xlfn.XLOOKUP(A6319,'[1]Tissue Data'!$A:$A,'[1]Tissue Data'!J:J)</f>
        <v>U</v>
      </c>
      <c r="H6319" t="str">
        <f>_xlfn.XLOOKUP(A6319,'[1]Tissue Data'!$A:$A,'[1]Tissue Data'!K:K)</f>
        <v>Whole Body</v>
      </c>
      <c r="I6319">
        <f>_xlfn.XLOOKUP(A6319,'[1]Tissue Data'!$A:$A,'[1]Tissue Data'!L:L)</f>
        <v>4.2</v>
      </c>
      <c r="J6319">
        <f>_xlfn.XLOOKUP(A6319,'[1]Tissue Data'!$A:$A,'[1]Tissue Data'!M:M)</f>
        <v>3.02</v>
      </c>
      <c r="K6319" t="s">
        <v>29</v>
      </c>
      <c r="L6319" t="str">
        <f>_xlfn.XLOOKUP(K6319,[2]analyte_order!$B:$B,[2]analyte_order!$C:$C)</f>
        <v>1763-23-1</v>
      </c>
      <c r="M6319">
        <f>_xlfn.XLOOKUP(L6319,[2]analyte_order!$C:$C,[2]analyte_order!$E:$E)</f>
        <v>18</v>
      </c>
      <c r="N6319">
        <v>809</v>
      </c>
    </row>
    <row r="6320" spans="1:14">
      <c r="A6320" t="s">
        <v>318</v>
      </c>
      <c r="B6320" t="str">
        <f>_xlfn.XLOOKUP(A6320,'[1]Tissue Data'!$A:$A,'[1]Tissue Data'!$C:$C)</f>
        <v>Spill</v>
      </c>
      <c r="C6320" s="2">
        <f>_xlfn.XLOOKUP(A6320,'[1]Tissue Data'!$A:$A,'[1]Tissue Data'!$D:$D)</f>
        <v>44393</v>
      </c>
      <c r="D6320" s="2" t="s">
        <v>131</v>
      </c>
      <c r="E6320" t="str">
        <f>_xlfn.XLOOKUP(A6320,'[1]Tissue Data'!$A:$A,'[1]Tissue Data'!$H:$H)</f>
        <v>Rhinichthys</v>
      </c>
      <c r="F6320" t="str">
        <f>_xlfn.XLOOKUP(A6320,'[1]Tissue Data'!$A:$A,'[1]Tissue Data'!$I:$I)</f>
        <v>atratulus</v>
      </c>
      <c r="G6320" t="str">
        <f>_xlfn.XLOOKUP(A6320,'[1]Tissue Data'!$A:$A,'[1]Tissue Data'!J:J)</f>
        <v>U</v>
      </c>
      <c r="H6320" t="str">
        <f>_xlfn.XLOOKUP(A6320,'[1]Tissue Data'!$A:$A,'[1]Tissue Data'!K:K)</f>
        <v>Whole Body</v>
      </c>
      <c r="I6320">
        <f>_xlfn.XLOOKUP(A6320,'[1]Tissue Data'!$A:$A,'[1]Tissue Data'!L:L)</f>
        <v>4.2</v>
      </c>
      <c r="J6320">
        <f>_xlfn.XLOOKUP(A6320,'[1]Tissue Data'!$A:$A,'[1]Tissue Data'!M:M)</f>
        <v>3.02</v>
      </c>
      <c r="K6320" t="s">
        <v>30</v>
      </c>
      <c r="L6320" t="str">
        <f>_xlfn.XLOOKUP(K6320,[2]analyte_order!$B:$B,[2]analyte_order!$C:$C)</f>
        <v>68259-12-1</v>
      </c>
      <c r="M6320">
        <f>_xlfn.XLOOKUP(L6320,[2]analyte_order!$C:$C,[2]analyte_order!$E:$E)</f>
        <v>19</v>
      </c>
      <c r="N6320">
        <v>0.71499999999999997</v>
      </c>
    </row>
    <row r="6321" spans="1:14">
      <c r="A6321" t="s">
        <v>318</v>
      </c>
      <c r="B6321" t="str">
        <f>_xlfn.XLOOKUP(A6321,'[1]Tissue Data'!$A:$A,'[1]Tissue Data'!$C:$C)</f>
        <v>Spill</v>
      </c>
      <c r="C6321" s="2">
        <f>_xlfn.XLOOKUP(A6321,'[1]Tissue Data'!$A:$A,'[1]Tissue Data'!$D:$D)</f>
        <v>44393</v>
      </c>
      <c r="D6321" s="2" t="s">
        <v>131</v>
      </c>
      <c r="E6321" t="str">
        <f>_xlfn.XLOOKUP(A6321,'[1]Tissue Data'!$A:$A,'[1]Tissue Data'!$H:$H)</f>
        <v>Rhinichthys</v>
      </c>
      <c r="F6321" t="str">
        <f>_xlfn.XLOOKUP(A6321,'[1]Tissue Data'!$A:$A,'[1]Tissue Data'!$I:$I)</f>
        <v>atratulus</v>
      </c>
      <c r="G6321" t="str">
        <f>_xlfn.XLOOKUP(A6321,'[1]Tissue Data'!$A:$A,'[1]Tissue Data'!J:J)</f>
        <v>U</v>
      </c>
      <c r="H6321" t="str">
        <f>_xlfn.XLOOKUP(A6321,'[1]Tissue Data'!$A:$A,'[1]Tissue Data'!K:K)</f>
        <v>Whole Body</v>
      </c>
      <c r="I6321">
        <f>_xlfn.XLOOKUP(A6321,'[1]Tissue Data'!$A:$A,'[1]Tissue Data'!L:L)</f>
        <v>4.2</v>
      </c>
      <c r="J6321">
        <f>_xlfn.XLOOKUP(A6321,'[1]Tissue Data'!$A:$A,'[1]Tissue Data'!M:M)</f>
        <v>3.02</v>
      </c>
      <c r="K6321" t="s">
        <v>31</v>
      </c>
      <c r="L6321" t="str">
        <f>_xlfn.XLOOKUP(K6321,[2]analyte_order!$B:$B,[2]analyte_order!$C:$C)</f>
        <v>335-77-3</v>
      </c>
      <c r="M6321">
        <f>_xlfn.XLOOKUP(L6321,[2]analyte_order!$C:$C,[2]analyte_order!$E:$E)</f>
        <v>20</v>
      </c>
      <c r="N6321">
        <v>0.66800000000000004</v>
      </c>
    </row>
    <row r="6322" spans="1:14">
      <c r="A6322" t="s">
        <v>318</v>
      </c>
      <c r="B6322" t="str">
        <f>_xlfn.XLOOKUP(A6322,'[1]Tissue Data'!$A:$A,'[1]Tissue Data'!$C:$C)</f>
        <v>Spill</v>
      </c>
      <c r="C6322" s="2">
        <f>_xlfn.XLOOKUP(A6322,'[1]Tissue Data'!$A:$A,'[1]Tissue Data'!$D:$D)</f>
        <v>44393</v>
      </c>
      <c r="D6322" s="2" t="s">
        <v>131</v>
      </c>
      <c r="E6322" t="str">
        <f>_xlfn.XLOOKUP(A6322,'[1]Tissue Data'!$A:$A,'[1]Tissue Data'!$H:$H)</f>
        <v>Rhinichthys</v>
      </c>
      <c r="F6322" t="str">
        <f>_xlfn.XLOOKUP(A6322,'[1]Tissue Data'!$A:$A,'[1]Tissue Data'!$I:$I)</f>
        <v>atratulus</v>
      </c>
      <c r="G6322" t="str">
        <f>_xlfn.XLOOKUP(A6322,'[1]Tissue Data'!$A:$A,'[1]Tissue Data'!J:J)</f>
        <v>U</v>
      </c>
      <c r="H6322" t="str">
        <f>_xlfn.XLOOKUP(A6322,'[1]Tissue Data'!$A:$A,'[1]Tissue Data'!K:K)</f>
        <v>Whole Body</v>
      </c>
      <c r="I6322">
        <f>_xlfn.XLOOKUP(A6322,'[1]Tissue Data'!$A:$A,'[1]Tissue Data'!L:L)</f>
        <v>4.2</v>
      </c>
      <c r="J6322">
        <f>_xlfn.XLOOKUP(A6322,'[1]Tissue Data'!$A:$A,'[1]Tissue Data'!M:M)</f>
        <v>3.02</v>
      </c>
      <c r="K6322" t="s">
        <v>32</v>
      </c>
      <c r="L6322" t="str">
        <f>_xlfn.XLOOKUP(K6322,[2]analyte_order!$B:$B,[2]analyte_order!$C:$C)</f>
        <v>79780-39-5</v>
      </c>
      <c r="M6322">
        <f>_xlfn.XLOOKUP(L6322,[2]analyte_order!$C:$C,[2]analyte_order!$E:$E)</f>
        <v>21</v>
      </c>
      <c r="N6322">
        <v>0.26500000000000001</v>
      </c>
    </row>
    <row r="6323" spans="1:14">
      <c r="A6323" t="s">
        <v>318</v>
      </c>
      <c r="B6323" t="str">
        <f>_xlfn.XLOOKUP(A6323,'[1]Tissue Data'!$A:$A,'[1]Tissue Data'!$C:$C)</f>
        <v>Spill</v>
      </c>
      <c r="C6323" s="2">
        <f>_xlfn.XLOOKUP(A6323,'[1]Tissue Data'!$A:$A,'[1]Tissue Data'!$D:$D)</f>
        <v>44393</v>
      </c>
      <c r="D6323" s="2" t="s">
        <v>131</v>
      </c>
      <c r="E6323" t="str">
        <f>_xlfn.XLOOKUP(A6323,'[1]Tissue Data'!$A:$A,'[1]Tissue Data'!$H:$H)</f>
        <v>Rhinichthys</v>
      </c>
      <c r="F6323" t="str">
        <f>_xlfn.XLOOKUP(A6323,'[1]Tissue Data'!$A:$A,'[1]Tissue Data'!$I:$I)</f>
        <v>atratulus</v>
      </c>
      <c r="G6323" t="str">
        <f>_xlfn.XLOOKUP(A6323,'[1]Tissue Data'!$A:$A,'[1]Tissue Data'!J:J)</f>
        <v>U</v>
      </c>
      <c r="H6323" t="str">
        <f>_xlfn.XLOOKUP(A6323,'[1]Tissue Data'!$A:$A,'[1]Tissue Data'!K:K)</f>
        <v>Whole Body</v>
      </c>
      <c r="I6323">
        <f>_xlfn.XLOOKUP(A6323,'[1]Tissue Data'!$A:$A,'[1]Tissue Data'!L:L)</f>
        <v>4.2</v>
      </c>
      <c r="J6323">
        <f>_xlfn.XLOOKUP(A6323,'[1]Tissue Data'!$A:$A,'[1]Tissue Data'!M:M)</f>
        <v>3.02</v>
      </c>
      <c r="K6323" t="s">
        <v>33</v>
      </c>
      <c r="L6323" t="str">
        <f>_xlfn.XLOOKUP(K6323,[2]analyte_order!$B:$B,[2]analyte_order!$C:$C)</f>
        <v>777011-38-8</v>
      </c>
      <c r="M6323">
        <f>_xlfn.XLOOKUP(L6323,[2]analyte_order!$C:$C,[2]analyte_order!$E:$E)</f>
        <v>54</v>
      </c>
      <c r="N6323">
        <v>0.32800000000000001</v>
      </c>
    </row>
    <row r="6324" spans="1:14">
      <c r="A6324" t="s">
        <v>318</v>
      </c>
      <c r="B6324" t="str">
        <f>_xlfn.XLOOKUP(A6324,'[1]Tissue Data'!$A:$A,'[1]Tissue Data'!$C:$C)</f>
        <v>Spill</v>
      </c>
      <c r="C6324" s="2">
        <f>_xlfn.XLOOKUP(A6324,'[1]Tissue Data'!$A:$A,'[1]Tissue Data'!$D:$D)</f>
        <v>44393</v>
      </c>
      <c r="D6324" s="2" t="s">
        <v>131</v>
      </c>
      <c r="E6324" t="str">
        <f>_xlfn.XLOOKUP(A6324,'[1]Tissue Data'!$A:$A,'[1]Tissue Data'!$H:$H)</f>
        <v>Rhinichthys</v>
      </c>
      <c r="F6324" t="str">
        <f>_xlfn.XLOOKUP(A6324,'[1]Tissue Data'!$A:$A,'[1]Tissue Data'!$I:$I)</f>
        <v>atratulus</v>
      </c>
      <c r="G6324" t="str">
        <f>_xlfn.XLOOKUP(A6324,'[1]Tissue Data'!$A:$A,'[1]Tissue Data'!J:J)</f>
        <v>U</v>
      </c>
      <c r="H6324" t="str">
        <f>_xlfn.XLOOKUP(A6324,'[1]Tissue Data'!$A:$A,'[1]Tissue Data'!K:K)</f>
        <v>Whole Body</v>
      </c>
      <c r="I6324">
        <f>_xlfn.XLOOKUP(A6324,'[1]Tissue Data'!$A:$A,'[1]Tissue Data'!L:L)</f>
        <v>4.2</v>
      </c>
      <c r="J6324">
        <f>_xlfn.XLOOKUP(A6324,'[1]Tissue Data'!$A:$A,'[1]Tissue Data'!M:M)</f>
        <v>3.02</v>
      </c>
      <c r="K6324" t="s">
        <v>34</v>
      </c>
      <c r="L6324" t="str">
        <f>_xlfn.XLOOKUP(K6324,[2]analyte_order!$B:$B,[2]analyte_order!$C:$C)</f>
        <v>646-83-3</v>
      </c>
      <c r="M6324">
        <f>_xlfn.XLOOKUP(L6324,[2]analyte_order!$C:$C,[2]analyte_order!$E:$E)</f>
        <v>55</v>
      </c>
      <c r="N6324">
        <v>0.33400000000000002</v>
      </c>
    </row>
    <row r="6325" spans="1:14">
      <c r="A6325" t="s">
        <v>318</v>
      </c>
      <c r="B6325" t="str">
        <f>_xlfn.XLOOKUP(A6325,'[1]Tissue Data'!$A:$A,'[1]Tissue Data'!$C:$C)</f>
        <v>Spill</v>
      </c>
      <c r="C6325" s="2">
        <f>_xlfn.XLOOKUP(A6325,'[1]Tissue Data'!$A:$A,'[1]Tissue Data'!$D:$D)</f>
        <v>44393</v>
      </c>
      <c r="D6325" s="2" t="s">
        <v>131</v>
      </c>
      <c r="E6325" t="str">
        <f>_xlfn.XLOOKUP(A6325,'[1]Tissue Data'!$A:$A,'[1]Tissue Data'!$H:$H)</f>
        <v>Rhinichthys</v>
      </c>
      <c r="F6325" t="str">
        <f>_xlfn.XLOOKUP(A6325,'[1]Tissue Data'!$A:$A,'[1]Tissue Data'!$I:$I)</f>
        <v>atratulus</v>
      </c>
      <c r="G6325" t="str">
        <f>_xlfn.XLOOKUP(A6325,'[1]Tissue Data'!$A:$A,'[1]Tissue Data'!J:J)</f>
        <v>U</v>
      </c>
      <c r="H6325" t="str">
        <f>_xlfn.XLOOKUP(A6325,'[1]Tissue Data'!$A:$A,'[1]Tissue Data'!K:K)</f>
        <v>Whole Body</v>
      </c>
      <c r="I6325">
        <f>_xlfn.XLOOKUP(A6325,'[1]Tissue Data'!$A:$A,'[1]Tissue Data'!L:L)</f>
        <v>4.2</v>
      </c>
      <c r="J6325">
        <f>_xlfn.XLOOKUP(A6325,'[1]Tissue Data'!$A:$A,'[1]Tissue Data'!M:M)</f>
        <v>3.02</v>
      </c>
      <c r="K6325" t="s">
        <v>35</v>
      </c>
      <c r="L6325" t="str">
        <f>_xlfn.XLOOKUP(K6325,[2]analyte_order!$B:$B,[2]analyte_order!$C:$C)</f>
        <v>30334-69-1</v>
      </c>
      <c r="M6325">
        <f>_xlfn.XLOOKUP(L6325,[2]analyte_order!$C:$C,[2]analyte_order!$E:$E)</f>
        <v>51</v>
      </c>
      <c r="N6325">
        <v>54</v>
      </c>
    </row>
    <row r="6326" spans="1:14">
      <c r="A6326" t="s">
        <v>318</v>
      </c>
      <c r="B6326" t="str">
        <f>_xlfn.XLOOKUP(A6326,'[1]Tissue Data'!$A:$A,'[1]Tissue Data'!$C:$C)</f>
        <v>Spill</v>
      </c>
      <c r="C6326" s="2">
        <f>_xlfn.XLOOKUP(A6326,'[1]Tissue Data'!$A:$A,'[1]Tissue Data'!$D:$D)</f>
        <v>44393</v>
      </c>
      <c r="D6326" s="2" t="s">
        <v>131</v>
      </c>
      <c r="E6326" t="str">
        <f>_xlfn.XLOOKUP(A6326,'[1]Tissue Data'!$A:$A,'[1]Tissue Data'!$H:$H)</f>
        <v>Rhinichthys</v>
      </c>
      <c r="F6326" t="str">
        <f>_xlfn.XLOOKUP(A6326,'[1]Tissue Data'!$A:$A,'[1]Tissue Data'!$I:$I)</f>
        <v>atratulus</v>
      </c>
      <c r="G6326" t="str">
        <f>_xlfn.XLOOKUP(A6326,'[1]Tissue Data'!$A:$A,'[1]Tissue Data'!J:J)</f>
        <v>U</v>
      </c>
      <c r="H6326" t="str">
        <f>_xlfn.XLOOKUP(A6326,'[1]Tissue Data'!$A:$A,'[1]Tissue Data'!K:K)</f>
        <v>Whole Body</v>
      </c>
      <c r="I6326">
        <f>_xlfn.XLOOKUP(A6326,'[1]Tissue Data'!$A:$A,'[1]Tissue Data'!L:L)</f>
        <v>4.2</v>
      </c>
      <c r="J6326">
        <f>_xlfn.XLOOKUP(A6326,'[1]Tissue Data'!$A:$A,'[1]Tissue Data'!M:M)</f>
        <v>3.02</v>
      </c>
      <c r="K6326" t="s">
        <v>36</v>
      </c>
      <c r="L6326" t="str">
        <f>_xlfn.XLOOKUP(K6326,[2]analyte_order!$B:$B,[2]analyte_order!$C:$C)</f>
        <v>41997-13-1</v>
      </c>
      <c r="M6326">
        <f>_xlfn.XLOOKUP(L6326,[2]analyte_order!$C:$C,[2]analyte_order!$E:$E)</f>
        <v>52</v>
      </c>
      <c r="N6326">
        <v>383</v>
      </c>
    </row>
    <row r="6327" spans="1:14">
      <c r="A6327" t="s">
        <v>318</v>
      </c>
      <c r="B6327" t="str">
        <f>_xlfn.XLOOKUP(A6327,'[1]Tissue Data'!$A:$A,'[1]Tissue Data'!$C:$C)</f>
        <v>Spill</v>
      </c>
      <c r="C6327" s="2">
        <f>_xlfn.XLOOKUP(A6327,'[1]Tissue Data'!$A:$A,'[1]Tissue Data'!$D:$D)</f>
        <v>44393</v>
      </c>
      <c r="D6327" s="2" t="s">
        <v>131</v>
      </c>
      <c r="E6327" t="str">
        <f>_xlfn.XLOOKUP(A6327,'[1]Tissue Data'!$A:$A,'[1]Tissue Data'!$H:$H)</f>
        <v>Rhinichthys</v>
      </c>
      <c r="F6327" t="str">
        <f>_xlfn.XLOOKUP(A6327,'[1]Tissue Data'!$A:$A,'[1]Tissue Data'!$I:$I)</f>
        <v>atratulus</v>
      </c>
      <c r="G6327" t="str">
        <f>_xlfn.XLOOKUP(A6327,'[1]Tissue Data'!$A:$A,'[1]Tissue Data'!J:J)</f>
        <v>U</v>
      </c>
      <c r="H6327" t="str">
        <f>_xlfn.XLOOKUP(A6327,'[1]Tissue Data'!$A:$A,'[1]Tissue Data'!K:K)</f>
        <v>Whole Body</v>
      </c>
      <c r="I6327">
        <f>_xlfn.XLOOKUP(A6327,'[1]Tissue Data'!$A:$A,'[1]Tissue Data'!L:L)</f>
        <v>4.2</v>
      </c>
      <c r="J6327">
        <f>_xlfn.XLOOKUP(A6327,'[1]Tissue Data'!$A:$A,'[1]Tissue Data'!M:M)</f>
        <v>3.02</v>
      </c>
      <c r="K6327" t="s">
        <v>37</v>
      </c>
      <c r="L6327" t="str">
        <f>_xlfn.XLOOKUP(K6327,[2]analyte_order!$B:$B,[2]analyte_order!$C:$C)</f>
        <v>754-91-6</v>
      </c>
      <c r="M6327">
        <f>_xlfn.XLOOKUP(L6327,[2]analyte_order!$C:$C,[2]analyte_order!$E:$E)</f>
        <v>28</v>
      </c>
      <c r="N6327">
        <v>13.5</v>
      </c>
    </row>
    <row r="6328" spans="1:14">
      <c r="A6328" t="s">
        <v>318</v>
      </c>
      <c r="B6328" t="str">
        <f>_xlfn.XLOOKUP(A6328,'[1]Tissue Data'!$A:$A,'[1]Tissue Data'!$C:$C)</f>
        <v>Spill</v>
      </c>
      <c r="C6328" s="2">
        <f>_xlfn.XLOOKUP(A6328,'[1]Tissue Data'!$A:$A,'[1]Tissue Data'!$D:$D)</f>
        <v>44393</v>
      </c>
      <c r="D6328" s="2" t="s">
        <v>131</v>
      </c>
      <c r="E6328" t="str">
        <f>_xlfn.XLOOKUP(A6328,'[1]Tissue Data'!$A:$A,'[1]Tissue Data'!$H:$H)</f>
        <v>Rhinichthys</v>
      </c>
      <c r="F6328" t="str">
        <f>_xlfn.XLOOKUP(A6328,'[1]Tissue Data'!$A:$A,'[1]Tissue Data'!$I:$I)</f>
        <v>atratulus</v>
      </c>
      <c r="G6328" t="str">
        <f>_xlfn.XLOOKUP(A6328,'[1]Tissue Data'!$A:$A,'[1]Tissue Data'!J:J)</f>
        <v>U</v>
      </c>
      <c r="H6328" t="str">
        <f>_xlfn.XLOOKUP(A6328,'[1]Tissue Data'!$A:$A,'[1]Tissue Data'!K:K)</f>
        <v>Whole Body</v>
      </c>
      <c r="I6328">
        <f>_xlfn.XLOOKUP(A6328,'[1]Tissue Data'!$A:$A,'[1]Tissue Data'!L:L)</f>
        <v>4.2</v>
      </c>
      <c r="J6328">
        <f>_xlfn.XLOOKUP(A6328,'[1]Tissue Data'!$A:$A,'[1]Tissue Data'!M:M)</f>
        <v>3.02</v>
      </c>
      <c r="K6328" t="s">
        <v>38</v>
      </c>
      <c r="L6328" t="str">
        <f>_xlfn.XLOOKUP(K6328,[2]analyte_order!$B:$B,[2]analyte_order!$C:$C)</f>
        <v>31506-32-8</v>
      </c>
      <c r="M6328">
        <f>_xlfn.XLOOKUP(L6328,[2]analyte_order!$C:$C,[2]analyte_order!$E:$E)</f>
        <v>30</v>
      </c>
      <c r="N6328">
        <v>9.5500000000000002E-2</v>
      </c>
    </row>
    <row r="6329" spans="1:14">
      <c r="A6329" t="s">
        <v>318</v>
      </c>
      <c r="B6329" t="str">
        <f>_xlfn.XLOOKUP(A6329,'[1]Tissue Data'!$A:$A,'[1]Tissue Data'!$C:$C)</f>
        <v>Spill</v>
      </c>
      <c r="C6329" s="2">
        <f>_xlfn.XLOOKUP(A6329,'[1]Tissue Data'!$A:$A,'[1]Tissue Data'!$D:$D)</f>
        <v>44393</v>
      </c>
      <c r="D6329" s="2" t="s">
        <v>131</v>
      </c>
      <c r="E6329" t="str">
        <f>_xlfn.XLOOKUP(A6329,'[1]Tissue Data'!$A:$A,'[1]Tissue Data'!$H:$H)</f>
        <v>Rhinichthys</v>
      </c>
      <c r="F6329" t="str">
        <f>_xlfn.XLOOKUP(A6329,'[1]Tissue Data'!$A:$A,'[1]Tissue Data'!$I:$I)</f>
        <v>atratulus</v>
      </c>
      <c r="G6329" t="str">
        <f>_xlfn.XLOOKUP(A6329,'[1]Tissue Data'!$A:$A,'[1]Tissue Data'!J:J)</f>
        <v>U</v>
      </c>
      <c r="H6329" t="str">
        <f>_xlfn.XLOOKUP(A6329,'[1]Tissue Data'!$A:$A,'[1]Tissue Data'!K:K)</f>
        <v>Whole Body</v>
      </c>
      <c r="I6329">
        <f>_xlfn.XLOOKUP(A6329,'[1]Tissue Data'!$A:$A,'[1]Tissue Data'!L:L)</f>
        <v>4.2</v>
      </c>
      <c r="J6329">
        <f>_xlfn.XLOOKUP(A6329,'[1]Tissue Data'!$A:$A,'[1]Tissue Data'!M:M)</f>
        <v>3.02</v>
      </c>
      <c r="K6329" t="s">
        <v>39</v>
      </c>
      <c r="L6329" t="str">
        <f>_xlfn.XLOOKUP(K6329,[2]analyte_order!$B:$B,[2]analyte_order!$C:$C)</f>
        <v>4151-50-2</v>
      </c>
      <c r="M6329">
        <f>_xlfn.XLOOKUP(L6329,[2]analyte_order!$C:$C,[2]analyte_order!$E:$E)</f>
        <v>31</v>
      </c>
      <c r="N6329">
        <v>0.248</v>
      </c>
    </row>
    <row r="6330" spans="1:14">
      <c r="A6330" t="s">
        <v>318</v>
      </c>
      <c r="B6330" t="str">
        <f>_xlfn.XLOOKUP(A6330,'[1]Tissue Data'!$A:$A,'[1]Tissue Data'!$C:$C)</f>
        <v>Spill</v>
      </c>
      <c r="C6330" s="2">
        <f>_xlfn.XLOOKUP(A6330,'[1]Tissue Data'!$A:$A,'[1]Tissue Data'!$D:$D)</f>
        <v>44393</v>
      </c>
      <c r="D6330" s="2" t="s">
        <v>131</v>
      </c>
      <c r="E6330" t="str">
        <f>_xlfn.XLOOKUP(A6330,'[1]Tissue Data'!$A:$A,'[1]Tissue Data'!$H:$H)</f>
        <v>Rhinichthys</v>
      </c>
      <c r="F6330" t="str">
        <f>_xlfn.XLOOKUP(A6330,'[1]Tissue Data'!$A:$A,'[1]Tissue Data'!$I:$I)</f>
        <v>atratulus</v>
      </c>
      <c r="G6330" t="str">
        <f>_xlfn.XLOOKUP(A6330,'[1]Tissue Data'!$A:$A,'[1]Tissue Data'!J:J)</f>
        <v>U</v>
      </c>
      <c r="H6330" t="str">
        <f>_xlfn.XLOOKUP(A6330,'[1]Tissue Data'!$A:$A,'[1]Tissue Data'!K:K)</f>
        <v>Whole Body</v>
      </c>
      <c r="I6330">
        <f>_xlfn.XLOOKUP(A6330,'[1]Tissue Data'!$A:$A,'[1]Tissue Data'!L:L)</f>
        <v>4.2</v>
      </c>
      <c r="J6330">
        <f>_xlfn.XLOOKUP(A6330,'[1]Tissue Data'!$A:$A,'[1]Tissue Data'!M:M)</f>
        <v>3.02</v>
      </c>
      <c r="K6330" t="s">
        <v>40</v>
      </c>
      <c r="L6330" t="str">
        <f>_xlfn.XLOOKUP(K6330,[2]analyte_order!$B:$B,[2]analyte_order!$C:$C)</f>
        <v>2806-24-8</v>
      </c>
      <c r="M6330">
        <f>_xlfn.XLOOKUP(L6330,[2]analyte_order!$C:$C,[2]analyte_order!$E:$E)</f>
        <v>29</v>
      </c>
      <c r="N6330">
        <v>0.248</v>
      </c>
    </row>
    <row r="6331" spans="1:14">
      <c r="A6331" t="s">
        <v>318</v>
      </c>
      <c r="B6331" t="str">
        <f>_xlfn.XLOOKUP(A6331,'[1]Tissue Data'!$A:$A,'[1]Tissue Data'!$C:$C)</f>
        <v>Spill</v>
      </c>
      <c r="C6331" s="2">
        <f>_xlfn.XLOOKUP(A6331,'[1]Tissue Data'!$A:$A,'[1]Tissue Data'!$D:$D)</f>
        <v>44393</v>
      </c>
      <c r="D6331" s="2" t="s">
        <v>131</v>
      </c>
      <c r="E6331" t="str">
        <f>_xlfn.XLOOKUP(A6331,'[1]Tissue Data'!$A:$A,'[1]Tissue Data'!$H:$H)</f>
        <v>Rhinichthys</v>
      </c>
      <c r="F6331" t="str">
        <f>_xlfn.XLOOKUP(A6331,'[1]Tissue Data'!$A:$A,'[1]Tissue Data'!$I:$I)</f>
        <v>atratulus</v>
      </c>
      <c r="G6331" t="str">
        <f>_xlfn.XLOOKUP(A6331,'[1]Tissue Data'!$A:$A,'[1]Tissue Data'!J:J)</f>
        <v>U</v>
      </c>
      <c r="H6331" t="str">
        <f>_xlfn.XLOOKUP(A6331,'[1]Tissue Data'!$A:$A,'[1]Tissue Data'!K:K)</f>
        <v>Whole Body</v>
      </c>
      <c r="I6331">
        <f>_xlfn.XLOOKUP(A6331,'[1]Tissue Data'!$A:$A,'[1]Tissue Data'!L:L)</f>
        <v>4.2</v>
      </c>
      <c r="J6331">
        <f>_xlfn.XLOOKUP(A6331,'[1]Tissue Data'!$A:$A,'[1]Tissue Data'!M:M)</f>
        <v>3.02</v>
      </c>
      <c r="K6331" t="s">
        <v>41</v>
      </c>
      <c r="L6331" t="str">
        <f>_xlfn.XLOOKUP(K6331,[2]analyte_order!$B:$B,[2]analyte_order!$C:$C)</f>
        <v>2355-31-9</v>
      </c>
      <c r="M6331">
        <f>_xlfn.XLOOKUP(L6331,[2]analyte_order!$C:$C,[2]analyte_order!$E:$E)</f>
        <v>26</v>
      </c>
      <c r="N6331">
        <v>0.1245</v>
      </c>
    </row>
    <row r="6332" spans="1:14">
      <c r="A6332" t="s">
        <v>318</v>
      </c>
      <c r="B6332" t="str">
        <f>_xlfn.XLOOKUP(A6332,'[1]Tissue Data'!$A:$A,'[1]Tissue Data'!$C:$C)</f>
        <v>Spill</v>
      </c>
      <c r="C6332" s="2">
        <f>_xlfn.XLOOKUP(A6332,'[1]Tissue Data'!$A:$A,'[1]Tissue Data'!$D:$D)</f>
        <v>44393</v>
      </c>
      <c r="D6332" s="2" t="s">
        <v>131</v>
      </c>
      <c r="E6332" t="str">
        <f>_xlfn.XLOOKUP(A6332,'[1]Tissue Data'!$A:$A,'[1]Tissue Data'!$H:$H)</f>
        <v>Rhinichthys</v>
      </c>
      <c r="F6332" t="str">
        <f>_xlfn.XLOOKUP(A6332,'[1]Tissue Data'!$A:$A,'[1]Tissue Data'!$I:$I)</f>
        <v>atratulus</v>
      </c>
      <c r="G6332" t="str">
        <f>_xlfn.XLOOKUP(A6332,'[1]Tissue Data'!$A:$A,'[1]Tissue Data'!J:J)</f>
        <v>U</v>
      </c>
      <c r="H6332" t="str">
        <f>_xlfn.XLOOKUP(A6332,'[1]Tissue Data'!$A:$A,'[1]Tissue Data'!K:K)</f>
        <v>Whole Body</v>
      </c>
      <c r="I6332">
        <f>_xlfn.XLOOKUP(A6332,'[1]Tissue Data'!$A:$A,'[1]Tissue Data'!L:L)</f>
        <v>4.2</v>
      </c>
      <c r="J6332">
        <f>_xlfn.XLOOKUP(A6332,'[1]Tissue Data'!$A:$A,'[1]Tissue Data'!M:M)</f>
        <v>3.02</v>
      </c>
      <c r="K6332" t="s">
        <v>42</v>
      </c>
      <c r="L6332" t="str">
        <f>_xlfn.XLOOKUP(K6332,[2]analyte_order!$B:$B,[2]analyte_order!$C:$C)</f>
        <v>2991-50-6</v>
      </c>
      <c r="M6332">
        <f>_xlfn.XLOOKUP(L6332,[2]analyte_order!$C:$C,[2]analyte_order!$E:$E)</f>
        <v>27</v>
      </c>
      <c r="N6332">
        <v>0.124</v>
      </c>
    </row>
    <row r="6333" spans="1:14">
      <c r="A6333" t="s">
        <v>318</v>
      </c>
      <c r="B6333" t="str">
        <f>_xlfn.XLOOKUP(A6333,'[1]Tissue Data'!$A:$A,'[1]Tissue Data'!$C:$C)</f>
        <v>Spill</v>
      </c>
      <c r="C6333" s="2">
        <f>_xlfn.XLOOKUP(A6333,'[1]Tissue Data'!$A:$A,'[1]Tissue Data'!$D:$D)</f>
        <v>44393</v>
      </c>
      <c r="D6333" s="2" t="s">
        <v>131</v>
      </c>
      <c r="E6333" t="str">
        <f>_xlfn.XLOOKUP(A6333,'[1]Tissue Data'!$A:$A,'[1]Tissue Data'!$H:$H)</f>
        <v>Rhinichthys</v>
      </c>
      <c r="F6333" t="str">
        <f>_xlfn.XLOOKUP(A6333,'[1]Tissue Data'!$A:$A,'[1]Tissue Data'!$I:$I)</f>
        <v>atratulus</v>
      </c>
      <c r="G6333" t="str">
        <f>_xlfn.XLOOKUP(A6333,'[1]Tissue Data'!$A:$A,'[1]Tissue Data'!J:J)</f>
        <v>U</v>
      </c>
      <c r="H6333" t="str">
        <f>_xlfn.XLOOKUP(A6333,'[1]Tissue Data'!$A:$A,'[1]Tissue Data'!K:K)</f>
        <v>Whole Body</v>
      </c>
      <c r="I6333">
        <f>_xlfn.XLOOKUP(A6333,'[1]Tissue Data'!$A:$A,'[1]Tissue Data'!L:L)</f>
        <v>4.2</v>
      </c>
      <c r="J6333">
        <f>_xlfn.XLOOKUP(A6333,'[1]Tissue Data'!$A:$A,'[1]Tissue Data'!M:M)</f>
        <v>3.02</v>
      </c>
      <c r="K6333" t="s">
        <v>43</v>
      </c>
      <c r="L6333" t="str">
        <f>_xlfn.XLOOKUP(K6333,[2]analyte_order!$B:$B,[2]analyte_order!$C:$C)</f>
        <v>757124-72-4</v>
      </c>
      <c r="M6333">
        <f>_xlfn.XLOOKUP(L6333,[2]analyte_order!$C:$C,[2]analyte_order!$E:$E)</f>
        <v>22</v>
      </c>
      <c r="N6333">
        <v>0.124</v>
      </c>
    </row>
    <row r="6334" spans="1:14">
      <c r="A6334" t="s">
        <v>318</v>
      </c>
      <c r="B6334" t="str">
        <f>_xlfn.XLOOKUP(A6334,'[1]Tissue Data'!$A:$A,'[1]Tissue Data'!$C:$C)</f>
        <v>Spill</v>
      </c>
      <c r="C6334" s="2">
        <f>_xlfn.XLOOKUP(A6334,'[1]Tissue Data'!$A:$A,'[1]Tissue Data'!$D:$D)</f>
        <v>44393</v>
      </c>
      <c r="D6334" s="2" t="s">
        <v>131</v>
      </c>
      <c r="E6334" t="str">
        <f>_xlfn.XLOOKUP(A6334,'[1]Tissue Data'!$A:$A,'[1]Tissue Data'!$H:$H)</f>
        <v>Rhinichthys</v>
      </c>
      <c r="F6334" t="str">
        <f>_xlfn.XLOOKUP(A6334,'[1]Tissue Data'!$A:$A,'[1]Tissue Data'!$I:$I)</f>
        <v>atratulus</v>
      </c>
      <c r="G6334" t="str">
        <f>_xlfn.XLOOKUP(A6334,'[1]Tissue Data'!$A:$A,'[1]Tissue Data'!J:J)</f>
        <v>U</v>
      </c>
      <c r="H6334" t="str">
        <f>_xlfn.XLOOKUP(A6334,'[1]Tissue Data'!$A:$A,'[1]Tissue Data'!K:K)</f>
        <v>Whole Body</v>
      </c>
      <c r="I6334">
        <f>_xlfn.XLOOKUP(A6334,'[1]Tissue Data'!$A:$A,'[1]Tissue Data'!L:L)</f>
        <v>4.2</v>
      </c>
      <c r="J6334">
        <f>_xlfn.XLOOKUP(A6334,'[1]Tissue Data'!$A:$A,'[1]Tissue Data'!M:M)</f>
        <v>3.02</v>
      </c>
      <c r="K6334" t="s">
        <v>44</v>
      </c>
      <c r="L6334" t="str">
        <f>_xlfn.XLOOKUP(K6334,[2]analyte_order!$B:$B,[2]analyte_order!$C:$C)</f>
        <v>27619-97-2</v>
      </c>
      <c r="M6334">
        <f>_xlfn.XLOOKUP(L6334,[2]analyte_order!$C:$C,[2]analyte_order!$E:$E)</f>
        <v>23</v>
      </c>
      <c r="N6334">
        <v>1.42</v>
      </c>
    </row>
    <row r="6335" spans="1:14">
      <c r="A6335" t="s">
        <v>318</v>
      </c>
      <c r="B6335" t="str">
        <f>_xlfn.XLOOKUP(A6335,'[1]Tissue Data'!$A:$A,'[1]Tissue Data'!$C:$C)</f>
        <v>Spill</v>
      </c>
      <c r="C6335" s="2">
        <f>_xlfn.XLOOKUP(A6335,'[1]Tissue Data'!$A:$A,'[1]Tissue Data'!$D:$D)</f>
        <v>44393</v>
      </c>
      <c r="D6335" s="2" t="s">
        <v>131</v>
      </c>
      <c r="E6335" t="str">
        <f>_xlfn.XLOOKUP(A6335,'[1]Tissue Data'!$A:$A,'[1]Tissue Data'!$H:$H)</f>
        <v>Rhinichthys</v>
      </c>
      <c r="F6335" t="str">
        <f>_xlfn.XLOOKUP(A6335,'[1]Tissue Data'!$A:$A,'[1]Tissue Data'!$I:$I)</f>
        <v>atratulus</v>
      </c>
      <c r="G6335" t="str">
        <f>_xlfn.XLOOKUP(A6335,'[1]Tissue Data'!$A:$A,'[1]Tissue Data'!J:J)</f>
        <v>U</v>
      </c>
      <c r="H6335" t="str">
        <f>_xlfn.XLOOKUP(A6335,'[1]Tissue Data'!$A:$A,'[1]Tissue Data'!K:K)</f>
        <v>Whole Body</v>
      </c>
      <c r="I6335">
        <f>_xlfn.XLOOKUP(A6335,'[1]Tissue Data'!$A:$A,'[1]Tissue Data'!L:L)</f>
        <v>4.2</v>
      </c>
      <c r="J6335">
        <f>_xlfn.XLOOKUP(A6335,'[1]Tissue Data'!$A:$A,'[1]Tissue Data'!M:M)</f>
        <v>3.02</v>
      </c>
      <c r="K6335" t="s">
        <v>45</v>
      </c>
      <c r="L6335" t="str">
        <f>_xlfn.XLOOKUP(K6335,[2]analyte_order!$B:$B,[2]analyte_order!$C:$C)</f>
        <v>39108-34-4</v>
      </c>
      <c r="M6335">
        <f>_xlfn.XLOOKUP(L6335,[2]analyte_order!$C:$C,[2]analyte_order!$E:$E)</f>
        <v>24</v>
      </c>
      <c r="N6335">
        <v>20.3</v>
      </c>
    </row>
    <row r="6336" spans="1:14">
      <c r="A6336" t="s">
        <v>318</v>
      </c>
      <c r="B6336" t="str">
        <f>_xlfn.XLOOKUP(A6336,'[1]Tissue Data'!$A:$A,'[1]Tissue Data'!$C:$C)</f>
        <v>Spill</v>
      </c>
      <c r="C6336" s="2">
        <f>_xlfn.XLOOKUP(A6336,'[1]Tissue Data'!$A:$A,'[1]Tissue Data'!$D:$D)</f>
        <v>44393</v>
      </c>
      <c r="D6336" s="2" t="s">
        <v>131</v>
      </c>
      <c r="E6336" t="str">
        <f>_xlfn.XLOOKUP(A6336,'[1]Tissue Data'!$A:$A,'[1]Tissue Data'!$H:$H)</f>
        <v>Rhinichthys</v>
      </c>
      <c r="F6336" t="str">
        <f>_xlfn.XLOOKUP(A6336,'[1]Tissue Data'!$A:$A,'[1]Tissue Data'!$I:$I)</f>
        <v>atratulus</v>
      </c>
      <c r="G6336" t="str">
        <f>_xlfn.XLOOKUP(A6336,'[1]Tissue Data'!$A:$A,'[1]Tissue Data'!J:J)</f>
        <v>U</v>
      </c>
      <c r="H6336" t="str">
        <f>_xlfn.XLOOKUP(A6336,'[1]Tissue Data'!$A:$A,'[1]Tissue Data'!K:K)</f>
        <v>Whole Body</v>
      </c>
      <c r="I6336">
        <f>_xlfn.XLOOKUP(A6336,'[1]Tissue Data'!$A:$A,'[1]Tissue Data'!L:L)</f>
        <v>4.2</v>
      </c>
      <c r="J6336">
        <f>_xlfn.XLOOKUP(A6336,'[1]Tissue Data'!$A:$A,'[1]Tissue Data'!M:M)</f>
        <v>3.02</v>
      </c>
      <c r="K6336" t="s">
        <v>46</v>
      </c>
      <c r="L6336" t="str">
        <f>_xlfn.XLOOKUP(K6336,[2]analyte_order!$B:$B,[2]analyte_order!$C:$C)</f>
        <v>120226-60-0</v>
      </c>
      <c r="M6336">
        <f>_xlfn.XLOOKUP(L6336,[2]analyte_order!$C:$C,[2]analyte_order!$E:$E)</f>
        <v>25</v>
      </c>
      <c r="N6336">
        <v>0.248</v>
      </c>
    </row>
    <row r="6337" spans="1:14">
      <c r="A6337" t="s">
        <v>318</v>
      </c>
      <c r="B6337" t="str">
        <f>_xlfn.XLOOKUP(A6337,'[1]Tissue Data'!$A:$A,'[1]Tissue Data'!$C:$C)</f>
        <v>Spill</v>
      </c>
      <c r="C6337" s="2">
        <f>_xlfn.XLOOKUP(A6337,'[1]Tissue Data'!$A:$A,'[1]Tissue Data'!$D:$D)</f>
        <v>44393</v>
      </c>
      <c r="D6337" s="2" t="s">
        <v>131</v>
      </c>
      <c r="E6337" t="str">
        <f>_xlfn.XLOOKUP(A6337,'[1]Tissue Data'!$A:$A,'[1]Tissue Data'!$H:$H)</f>
        <v>Rhinichthys</v>
      </c>
      <c r="F6337" t="str">
        <f>_xlfn.XLOOKUP(A6337,'[1]Tissue Data'!$A:$A,'[1]Tissue Data'!$I:$I)</f>
        <v>atratulus</v>
      </c>
      <c r="G6337" t="str">
        <f>_xlfn.XLOOKUP(A6337,'[1]Tissue Data'!$A:$A,'[1]Tissue Data'!J:J)</f>
        <v>U</v>
      </c>
      <c r="H6337" t="str">
        <f>_xlfn.XLOOKUP(A6337,'[1]Tissue Data'!$A:$A,'[1]Tissue Data'!K:K)</f>
        <v>Whole Body</v>
      </c>
      <c r="I6337">
        <f>_xlfn.XLOOKUP(A6337,'[1]Tissue Data'!$A:$A,'[1]Tissue Data'!L:L)</f>
        <v>4.2</v>
      </c>
      <c r="J6337">
        <f>_xlfn.XLOOKUP(A6337,'[1]Tissue Data'!$A:$A,'[1]Tissue Data'!M:M)</f>
        <v>3.02</v>
      </c>
      <c r="K6337" t="s">
        <v>47</v>
      </c>
      <c r="L6337" t="str">
        <f>_xlfn.XLOOKUP(K6337,[2]analyte_order!$B:$B,[2]analyte_order!$C:$C)</f>
        <v>356-02-5</v>
      </c>
      <c r="M6337">
        <f>_xlfn.XLOOKUP(L6337,[2]analyte_order!$C:$C,[2]analyte_order!$E:$E)</f>
        <v>38</v>
      </c>
      <c r="N6337">
        <v>0.248</v>
      </c>
    </row>
    <row r="6338" spans="1:14">
      <c r="A6338" t="s">
        <v>318</v>
      </c>
      <c r="B6338" t="str">
        <f>_xlfn.XLOOKUP(A6338,'[1]Tissue Data'!$A:$A,'[1]Tissue Data'!$C:$C)</f>
        <v>Spill</v>
      </c>
      <c r="C6338" s="2">
        <f>_xlfn.XLOOKUP(A6338,'[1]Tissue Data'!$A:$A,'[1]Tissue Data'!$D:$D)</f>
        <v>44393</v>
      </c>
      <c r="D6338" s="2" t="s">
        <v>131</v>
      </c>
      <c r="E6338" t="str">
        <f>_xlfn.XLOOKUP(A6338,'[1]Tissue Data'!$A:$A,'[1]Tissue Data'!$H:$H)</f>
        <v>Rhinichthys</v>
      </c>
      <c r="F6338" t="str">
        <f>_xlfn.XLOOKUP(A6338,'[1]Tissue Data'!$A:$A,'[1]Tissue Data'!$I:$I)</f>
        <v>atratulus</v>
      </c>
      <c r="G6338" t="str">
        <f>_xlfn.XLOOKUP(A6338,'[1]Tissue Data'!$A:$A,'[1]Tissue Data'!J:J)</f>
        <v>U</v>
      </c>
      <c r="H6338" t="str">
        <f>_xlfn.XLOOKUP(A6338,'[1]Tissue Data'!$A:$A,'[1]Tissue Data'!K:K)</f>
        <v>Whole Body</v>
      </c>
      <c r="I6338">
        <f>_xlfn.XLOOKUP(A6338,'[1]Tissue Data'!$A:$A,'[1]Tissue Data'!L:L)</f>
        <v>4.2</v>
      </c>
      <c r="J6338">
        <f>_xlfn.XLOOKUP(A6338,'[1]Tissue Data'!$A:$A,'[1]Tissue Data'!M:M)</f>
        <v>3.02</v>
      </c>
      <c r="K6338" t="s">
        <v>48</v>
      </c>
      <c r="L6338" t="str">
        <f>_xlfn.XLOOKUP(K6338,[2]analyte_order!$B:$B,[2]analyte_order!$C:$C)</f>
        <v>914637-49-3</v>
      </c>
      <c r="M6338">
        <f>_xlfn.XLOOKUP(L6338,[2]analyte_order!$C:$C,[2]analyte_order!$E:$E)</f>
        <v>39</v>
      </c>
      <c r="N6338">
        <v>0.95</v>
      </c>
    </row>
    <row r="6339" spans="1:14">
      <c r="A6339" t="s">
        <v>318</v>
      </c>
      <c r="B6339" t="str">
        <f>_xlfn.XLOOKUP(A6339,'[1]Tissue Data'!$A:$A,'[1]Tissue Data'!$C:$C)</f>
        <v>Spill</v>
      </c>
      <c r="C6339" s="2">
        <f>_xlfn.XLOOKUP(A6339,'[1]Tissue Data'!$A:$A,'[1]Tissue Data'!$D:$D)</f>
        <v>44393</v>
      </c>
      <c r="D6339" s="2" t="s">
        <v>131</v>
      </c>
      <c r="E6339" t="str">
        <f>_xlfn.XLOOKUP(A6339,'[1]Tissue Data'!$A:$A,'[1]Tissue Data'!$H:$H)</f>
        <v>Rhinichthys</v>
      </c>
      <c r="F6339" t="str">
        <f>_xlfn.XLOOKUP(A6339,'[1]Tissue Data'!$A:$A,'[1]Tissue Data'!$I:$I)</f>
        <v>atratulus</v>
      </c>
      <c r="G6339" t="str">
        <f>_xlfn.XLOOKUP(A6339,'[1]Tissue Data'!$A:$A,'[1]Tissue Data'!J:J)</f>
        <v>U</v>
      </c>
      <c r="H6339" t="str">
        <f>_xlfn.XLOOKUP(A6339,'[1]Tissue Data'!$A:$A,'[1]Tissue Data'!K:K)</f>
        <v>Whole Body</v>
      </c>
      <c r="I6339">
        <f>_xlfn.XLOOKUP(A6339,'[1]Tissue Data'!$A:$A,'[1]Tissue Data'!L:L)</f>
        <v>4.2</v>
      </c>
      <c r="J6339">
        <f>_xlfn.XLOOKUP(A6339,'[1]Tissue Data'!$A:$A,'[1]Tissue Data'!M:M)</f>
        <v>3.02</v>
      </c>
      <c r="K6339" t="s">
        <v>49</v>
      </c>
      <c r="L6339" t="str">
        <f>_xlfn.XLOOKUP(K6339,[2]analyte_order!$B:$B,[2]analyte_order!$C:$C)</f>
        <v>812-70-4</v>
      </c>
      <c r="M6339">
        <f>_xlfn.XLOOKUP(L6339,[2]analyte_order!$C:$C,[2]analyte_order!$E:$E)</f>
        <v>40</v>
      </c>
      <c r="N6339">
        <v>0.248</v>
      </c>
    </row>
    <row r="6340" spans="1:14">
      <c r="A6340" t="s">
        <v>318</v>
      </c>
      <c r="B6340" t="str">
        <f>_xlfn.XLOOKUP(A6340,'[1]Tissue Data'!$A:$A,'[1]Tissue Data'!$C:$C)</f>
        <v>Spill</v>
      </c>
      <c r="C6340" s="2">
        <f>_xlfn.XLOOKUP(A6340,'[1]Tissue Data'!$A:$A,'[1]Tissue Data'!$D:$D)</f>
        <v>44393</v>
      </c>
      <c r="D6340" s="2" t="s">
        <v>131</v>
      </c>
      <c r="E6340" t="str">
        <f>_xlfn.XLOOKUP(A6340,'[1]Tissue Data'!$A:$A,'[1]Tissue Data'!$H:$H)</f>
        <v>Rhinichthys</v>
      </c>
      <c r="F6340" t="str">
        <f>_xlfn.XLOOKUP(A6340,'[1]Tissue Data'!$A:$A,'[1]Tissue Data'!$I:$I)</f>
        <v>atratulus</v>
      </c>
      <c r="G6340" t="str">
        <f>_xlfn.XLOOKUP(A6340,'[1]Tissue Data'!$A:$A,'[1]Tissue Data'!J:J)</f>
        <v>U</v>
      </c>
      <c r="H6340" t="str">
        <f>_xlfn.XLOOKUP(A6340,'[1]Tissue Data'!$A:$A,'[1]Tissue Data'!K:K)</f>
        <v>Whole Body</v>
      </c>
      <c r="I6340">
        <f>_xlfn.XLOOKUP(A6340,'[1]Tissue Data'!$A:$A,'[1]Tissue Data'!L:L)</f>
        <v>4.2</v>
      </c>
      <c r="J6340">
        <f>_xlfn.XLOOKUP(A6340,'[1]Tissue Data'!$A:$A,'[1]Tissue Data'!M:M)</f>
        <v>3.02</v>
      </c>
      <c r="K6340" t="s">
        <v>50</v>
      </c>
      <c r="L6340" t="str">
        <f>_xlfn.XLOOKUP(K6340,[2]analyte_order!$B:$B,[2]analyte_order!$C:$C)</f>
        <v>53826-12-3</v>
      </c>
      <c r="M6340">
        <f>_xlfn.XLOOKUP(L6340,[2]analyte_order!$C:$C,[2]analyte_order!$E:$E)</f>
        <v>41</v>
      </c>
      <c r="N6340">
        <v>0.248</v>
      </c>
    </row>
    <row r="6341" spans="1:14">
      <c r="A6341" t="s">
        <v>318</v>
      </c>
      <c r="B6341" t="str">
        <f>_xlfn.XLOOKUP(A6341,'[1]Tissue Data'!$A:$A,'[1]Tissue Data'!$C:$C)</f>
        <v>Spill</v>
      </c>
      <c r="C6341" s="2">
        <f>_xlfn.XLOOKUP(A6341,'[1]Tissue Data'!$A:$A,'[1]Tissue Data'!$D:$D)</f>
        <v>44393</v>
      </c>
      <c r="D6341" s="2" t="s">
        <v>131</v>
      </c>
      <c r="E6341" t="str">
        <f>_xlfn.XLOOKUP(A6341,'[1]Tissue Data'!$A:$A,'[1]Tissue Data'!$H:$H)</f>
        <v>Rhinichthys</v>
      </c>
      <c r="F6341" t="str">
        <f>_xlfn.XLOOKUP(A6341,'[1]Tissue Data'!$A:$A,'[1]Tissue Data'!$I:$I)</f>
        <v>atratulus</v>
      </c>
      <c r="G6341" t="str">
        <f>_xlfn.XLOOKUP(A6341,'[1]Tissue Data'!$A:$A,'[1]Tissue Data'!J:J)</f>
        <v>U</v>
      </c>
      <c r="H6341" t="str">
        <f>_xlfn.XLOOKUP(A6341,'[1]Tissue Data'!$A:$A,'[1]Tissue Data'!K:K)</f>
        <v>Whole Body</v>
      </c>
      <c r="I6341">
        <f>_xlfn.XLOOKUP(A6341,'[1]Tissue Data'!$A:$A,'[1]Tissue Data'!L:L)</f>
        <v>4.2</v>
      </c>
      <c r="J6341">
        <f>_xlfn.XLOOKUP(A6341,'[1]Tissue Data'!$A:$A,'[1]Tissue Data'!M:M)</f>
        <v>3.02</v>
      </c>
      <c r="K6341" t="s">
        <v>51</v>
      </c>
      <c r="L6341" t="str">
        <f>_xlfn.XLOOKUP(K6341,[2]analyte_order!$B:$B,[2]analyte_order!$C:$C)</f>
        <v>27854-31-5</v>
      </c>
      <c r="M6341">
        <f>_xlfn.XLOOKUP(L6341,[2]analyte_order!$C:$C,[2]analyte_order!$E:$E)</f>
        <v>42</v>
      </c>
      <c r="N6341">
        <v>0.124</v>
      </c>
    </row>
    <row r="6342" spans="1:14">
      <c r="A6342" t="s">
        <v>318</v>
      </c>
      <c r="B6342" t="str">
        <f>_xlfn.XLOOKUP(A6342,'[1]Tissue Data'!$A:$A,'[1]Tissue Data'!$C:$C)</f>
        <v>Spill</v>
      </c>
      <c r="C6342" s="2">
        <f>_xlfn.XLOOKUP(A6342,'[1]Tissue Data'!$A:$A,'[1]Tissue Data'!$D:$D)</f>
        <v>44393</v>
      </c>
      <c r="D6342" s="2" t="s">
        <v>131</v>
      </c>
      <c r="E6342" t="str">
        <f>_xlfn.XLOOKUP(A6342,'[1]Tissue Data'!$A:$A,'[1]Tissue Data'!$H:$H)</f>
        <v>Rhinichthys</v>
      </c>
      <c r="F6342" t="str">
        <f>_xlfn.XLOOKUP(A6342,'[1]Tissue Data'!$A:$A,'[1]Tissue Data'!$I:$I)</f>
        <v>atratulus</v>
      </c>
      <c r="G6342" t="str">
        <f>_xlfn.XLOOKUP(A6342,'[1]Tissue Data'!$A:$A,'[1]Tissue Data'!J:J)</f>
        <v>U</v>
      </c>
      <c r="H6342" t="str">
        <f>_xlfn.XLOOKUP(A6342,'[1]Tissue Data'!$A:$A,'[1]Tissue Data'!K:K)</f>
        <v>Whole Body</v>
      </c>
      <c r="I6342">
        <f>_xlfn.XLOOKUP(A6342,'[1]Tissue Data'!$A:$A,'[1]Tissue Data'!L:L)</f>
        <v>4.2</v>
      </c>
      <c r="J6342">
        <f>_xlfn.XLOOKUP(A6342,'[1]Tissue Data'!$A:$A,'[1]Tissue Data'!M:M)</f>
        <v>3.02</v>
      </c>
      <c r="K6342" t="s">
        <v>52</v>
      </c>
      <c r="L6342" t="str">
        <f>_xlfn.XLOOKUP(K6342,[2]analyte_order!$B:$B,[2]analyte_order!$C:$C)</f>
        <v>53826-13-4</v>
      </c>
      <c r="M6342">
        <f>_xlfn.XLOOKUP(L6342,[2]analyte_order!$C:$C,[2]analyte_order!$E:$E)</f>
        <v>43</v>
      </c>
      <c r="N6342">
        <v>0.248</v>
      </c>
    </row>
    <row r="6343" spans="1:14">
      <c r="A6343" t="s">
        <v>318</v>
      </c>
      <c r="B6343" t="str">
        <f>_xlfn.XLOOKUP(A6343,'[1]Tissue Data'!$A:$A,'[1]Tissue Data'!$C:$C)</f>
        <v>Spill</v>
      </c>
      <c r="C6343" s="2">
        <f>_xlfn.XLOOKUP(A6343,'[1]Tissue Data'!$A:$A,'[1]Tissue Data'!$D:$D)</f>
        <v>44393</v>
      </c>
      <c r="D6343" s="2" t="s">
        <v>131</v>
      </c>
      <c r="E6343" t="str">
        <f>_xlfn.XLOOKUP(A6343,'[1]Tissue Data'!$A:$A,'[1]Tissue Data'!$H:$H)</f>
        <v>Rhinichthys</v>
      </c>
      <c r="F6343" t="str">
        <f>_xlfn.XLOOKUP(A6343,'[1]Tissue Data'!$A:$A,'[1]Tissue Data'!$I:$I)</f>
        <v>atratulus</v>
      </c>
      <c r="G6343" t="str">
        <f>_xlfn.XLOOKUP(A6343,'[1]Tissue Data'!$A:$A,'[1]Tissue Data'!J:J)</f>
        <v>U</v>
      </c>
      <c r="H6343" t="str">
        <f>_xlfn.XLOOKUP(A6343,'[1]Tissue Data'!$A:$A,'[1]Tissue Data'!K:K)</f>
        <v>Whole Body</v>
      </c>
      <c r="I6343">
        <f>_xlfn.XLOOKUP(A6343,'[1]Tissue Data'!$A:$A,'[1]Tissue Data'!L:L)</f>
        <v>4.2</v>
      </c>
      <c r="J6343">
        <f>_xlfn.XLOOKUP(A6343,'[1]Tissue Data'!$A:$A,'[1]Tissue Data'!M:M)</f>
        <v>3.02</v>
      </c>
      <c r="K6343" t="s">
        <v>53</v>
      </c>
      <c r="L6343" t="str">
        <f>_xlfn.XLOOKUP(K6343,[2]analyte_order!$B:$B,[2]analyte_order!$C:$C)</f>
        <v>161094-75-3</v>
      </c>
      <c r="M6343">
        <f>_xlfn.XLOOKUP(L6343,[2]analyte_order!$C:$C,[2]analyte_order!$E:$E)</f>
        <v>44</v>
      </c>
      <c r="N6343">
        <v>9.7500000000000003E-2</v>
      </c>
    </row>
    <row r="6344" spans="1:14">
      <c r="A6344" t="s">
        <v>318</v>
      </c>
      <c r="B6344" t="str">
        <f>_xlfn.XLOOKUP(A6344,'[1]Tissue Data'!$A:$A,'[1]Tissue Data'!$C:$C)</f>
        <v>Spill</v>
      </c>
      <c r="C6344" s="2">
        <f>_xlfn.XLOOKUP(A6344,'[1]Tissue Data'!$A:$A,'[1]Tissue Data'!$D:$D)</f>
        <v>44393</v>
      </c>
      <c r="D6344" s="2" t="s">
        <v>131</v>
      </c>
      <c r="E6344" t="str">
        <f>_xlfn.XLOOKUP(A6344,'[1]Tissue Data'!$A:$A,'[1]Tissue Data'!$H:$H)</f>
        <v>Rhinichthys</v>
      </c>
      <c r="F6344" t="str">
        <f>_xlfn.XLOOKUP(A6344,'[1]Tissue Data'!$A:$A,'[1]Tissue Data'!$I:$I)</f>
        <v>atratulus</v>
      </c>
      <c r="G6344" t="str">
        <f>_xlfn.XLOOKUP(A6344,'[1]Tissue Data'!$A:$A,'[1]Tissue Data'!J:J)</f>
        <v>U</v>
      </c>
      <c r="H6344" t="str">
        <f>_xlfn.XLOOKUP(A6344,'[1]Tissue Data'!$A:$A,'[1]Tissue Data'!K:K)</f>
        <v>Whole Body</v>
      </c>
      <c r="I6344">
        <f>_xlfn.XLOOKUP(A6344,'[1]Tissue Data'!$A:$A,'[1]Tissue Data'!L:L)</f>
        <v>4.2</v>
      </c>
      <c r="J6344">
        <f>_xlfn.XLOOKUP(A6344,'[1]Tissue Data'!$A:$A,'[1]Tissue Data'!M:M)</f>
        <v>3.02</v>
      </c>
      <c r="K6344" t="s">
        <v>54</v>
      </c>
      <c r="L6344" t="str">
        <f>_xlfn.XLOOKUP(K6344,[2]analyte_order!$B:$B,[2]analyte_order!$C:$C)</f>
        <v>70887-84-2</v>
      </c>
      <c r="M6344">
        <f>_xlfn.XLOOKUP(L6344,[2]analyte_order!$C:$C,[2]analyte_order!$E:$E)</f>
        <v>45</v>
      </c>
      <c r="N6344">
        <v>7.4999999999999997E-2</v>
      </c>
    </row>
    <row r="6345" spans="1:14">
      <c r="A6345" t="s">
        <v>318</v>
      </c>
      <c r="B6345" t="str">
        <f>_xlfn.XLOOKUP(A6345,'[1]Tissue Data'!$A:$A,'[1]Tissue Data'!$C:$C)</f>
        <v>Spill</v>
      </c>
      <c r="C6345" s="2">
        <f>_xlfn.XLOOKUP(A6345,'[1]Tissue Data'!$A:$A,'[1]Tissue Data'!$D:$D)</f>
        <v>44393</v>
      </c>
      <c r="D6345" s="2" t="s">
        <v>131</v>
      </c>
      <c r="E6345" t="str">
        <f>_xlfn.XLOOKUP(A6345,'[1]Tissue Data'!$A:$A,'[1]Tissue Data'!$H:$H)</f>
        <v>Rhinichthys</v>
      </c>
      <c r="F6345" t="str">
        <f>_xlfn.XLOOKUP(A6345,'[1]Tissue Data'!$A:$A,'[1]Tissue Data'!$I:$I)</f>
        <v>atratulus</v>
      </c>
      <c r="G6345" t="str">
        <f>_xlfn.XLOOKUP(A6345,'[1]Tissue Data'!$A:$A,'[1]Tissue Data'!J:J)</f>
        <v>U</v>
      </c>
      <c r="H6345" t="str">
        <f>_xlfn.XLOOKUP(A6345,'[1]Tissue Data'!$A:$A,'[1]Tissue Data'!K:K)</f>
        <v>Whole Body</v>
      </c>
      <c r="I6345">
        <f>_xlfn.XLOOKUP(A6345,'[1]Tissue Data'!$A:$A,'[1]Tissue Data'!L:L)</f>
        <v>4.2</v>
      </c>
      <c r="J6345">
        <f>_xlfn.XLOOKUP(A6345,'[1]Tissue Data'!$A:$A,'[1]Tissue Data'!M:M)</f>
        <v>3.02</v>
      </c>
      <c r="K6345" t="s">
        <v>55</v>
      </c>
      <c r="L6345" t="str">
        <f>_xlfn.XLOOKUP(K6345,[2]analyte_order!$B:$B,[2]analyte_order!$C:$C)</f>
        <v>919005-14-4</v>
      </c>
      <c r="M6345">
        <f>_xlfn.XLOOKUP(L6345,[2]analyte_order!$C:$C,[2]analyte_order!$E:$E)</f>
        <v>35</v>
      </c>
      <c r="N6345">
        <v>0.1095</v>
      </c>
    </row>
    <row r="6346" spans="1:14">
      <c r="A6346" t="s">
        <v>318</v>
      </c>
      <c r="B6346" t="str">
        <f>_xlfn.XLOOKUP(A6346,'[1]Tissue Data'!$A:$A,'[1]Tissue Data'!$C:$C)</f>
        <v>Spill</v>
      </c>
      <c r="C6346" s="2">
        <f>_xlfn.XLOOKUP(A6346,'[1]Tissue Data'!$A:$A,'[1]Tissue Data'!$D:$D)</f>
        <v>44393</v>
      </c>
      <c r="D6346" s="2" t="s">
        <v>131</v>
      </c>
      <c r="E6346" t="str">
        <f>_xlfn.XLOOKUP(A6346,'[1]Tissue Data'!$A:$A,'[1]Tissue Data'!$H:$H)</f>
        <v>Rhinichthys</v>
      </c>
      <c r="F6346" t="str">
        <f>_xlfn.XLOOKUP(A6346,'[1]Tissue Data'!$A:$A,'[1]Tissue Data'!$I:$I)</f>
        <v>atratulus</v>
      </c>
      <c r="G6346" t="str">
        <f>_xlfn.XLOOKUP(A6346,'[1]Tissue Data'!$A:$A,'[1]Tissue Data'!J:J)</f>
        <v>U</v>
      </c>
      <c r="H6346" t="str">
        <f>_xlfn.XLOOKUP(A6346,'[1]Tissue Data'!$A:$A,'[1]Tissue Data'!K:K)</f>
        <v>Whole Body</v>
      </c>
      <c r="I6346">
        <f>_xlfn.XLOOKUP(A6346,'[1]Tissue Data'!$A:$A,'[1]Tissue Data'!L:L)</f>
        <v>4.2</v>
      </c>
      <c r="J6346">
        <f>_xlfn.XLOOKUP(A6346,'[1]Tissue Data'!$A:$A,'[1]Tissue Data'!M:M)</f>
        <v>3.02</v>
      </c>
      <c r="K6346" t="s">
        <v>56</v>
      </c>
      <c r="L6346" t="str">
        <f>_xlfn.XLOOKUP(K6346,[2]analyte_order!$B:$B,[2]analyte_order!$C:$C)</f>
        <v>756426-58-1</v>
      </c>
      <c r="M6346">
        <f>_xlfn.XLOOKUP(L6346,[2]analyte_order!$C:$C,[2]analyte_order!$E:$E)</f>
        <v>36</v>
      </c>
      <c r="N6346">
        <v>0.248</v>
      </c>
    </row>
    <row r="6347" spans="1:14">
      <c r="A6347" t="s">
        <v>318</v>
      </c>
      <c r="B6347" t="str">
        <f>_xlfn.XLOOKUP(A6347,'[1]Tissue Data'!$A:$A,'[1]Tissue Data'!$C:$C)</f>
        <v>Spill</v>
      </c>
      <c r="C6347" s="2">
        <f>_xlfn.XLOOKUP(A6347,'[1]Tissue Data'!$A:$A,'[1]Tissue Data'!$D:$D)</f>
        <v>44393</v>
      </c>
      <c r="D6347" s="2" t="s">
        <v>131</v>
      </c>
      <c r="E6347" t="str">
        <f>_xlfn.XLOOKUP(A6347,'[1]Tissue Data'!$A:$A,'[1]Tissue Data'!$H:$H)</f>
        <v>Rhinichthys</v>
      </c>
      <c r="F6347" t="str">
        <f>_xlfn.XLOOKUP(A6347,'[1]Tissue Data'!$A:$A,'[1]Tissue Data'!$I:$I)</f>
        <v>atratulus</v>
      </c>
      <c r="G6347" t="str">
        <f>_xlfn.XLOOKUP(A6347,'[1]Tissue Data'!$A:$A,'[1]Tissue Data'!J:J)</f>
        <v>U</v>
      </c>
      <c r="H6347" t="str">
        <f>_xlfn.XLOOKUP(A6347,'[1]Tissue Data'!$A:$A,'[1]Tissue Data'!K:K)</f>
        <v>Whole Body</v>
      </c>
      <c r="I6347">
        <f>_xlfn.XLOOKUP(A6347,'[1]Tissue Data'!$A:$A,'[1]Tissue Data'!L:L)</f>
        <v>4.2</v>
      </c>
      <c r="J6347">
        <f>_xlfn.XLOOKUP(A6347,'[1]Tissue Data'!$A:$A,'[1]Tissue Data'!M:M)</f>
        <v>3.02</v>
      </c>
      <c r="K6347" t="s">
        <v>57</v>
      </c>
      <c r="L6347" t="str">
        <f>_xlfn.XLOOKUP(K6347,[2]analyte_order!$B:$B,[2]analyte_order!$C:$C)</f>
        <v>763051-92-9</v>
      </c>
      <c r="M6347">
        <f>_xlfn.XLOOKUP(L6347,[2]analyte_order!$C:$C,[2]analyte_order!$E:$E)</f>
        <v>37</v>
      </c>
      <c r="N6347">
        <v>0.248</v>
      </c>
    </row>
    <row r="6348" spans="1:14">
      <c r="A6348" t="s">
        <v>318</v>
      </c>
      <c r="B6348" t="str">
        <f>_xlfn.XLOOKUP(A6348,'[1]Tissue Data'!$A:$A,'[1]Tissue Data'!$C:$C)</f>
        <v>Spill</v>
      </c>
      <c r="C6348" s="2">
        <f>_xlfn.XLOOKUP(A6348,'[1]Tissue Data'!$A:$A,'[1]Tissue Data'!$D:$D)</f>
        <v>44393</v>
      </c>
      <c r="D6348" s="2" t="s">
        <v>131</v>
      </c>
      <c r="E6348" t="str">
        <f>_xlfn.XLOOKUP(A6348,'[1]Tissue Data'!$A:$A,'[1]Tissue Data'!$H:$H)</f>
        <v>Rhinichthys</v>
      </c>
      <c r="F6348" t="str">
        <f>_xlfn.XLOOKUP(A6348,'[1]Tissue Data'!$A:$A,'[1]Tissue Data'!$I:$I)</f>
        <v>atratulus</v>
      </c>
      <c r="G6348" t="str">
        <f>_xlfn.XLOOKUP(A6348,'[1]Tissue Data'!$A:$A,'[1]Tissue Data'!J:J)</f>
        <v>U</v>
      </c>
      <c r="H6348" t="str">
        <f>_xlfn.XLOOKUP(A6348,'[1]Tissue Data'!$A:$A,'[1]Tissue Data'!K:K)</f>
        <v>Whole Body</v>
      </c>
      <c r="I6348">
        <f>_xlfn.XLOOKUP(A6348,'[1]Tissue Data'!$A:$A,'[1]Tissue Data'!L:L)</f>
        <v>4.2</v>
      </c>
      <c r="J6348">
        <f>_xlfn.XLOOKUP(A6348,'[1]Tissue Data'!$A:$A,'[1]Tissue Data'!M:M)</f>
        <v>3.02</v>
      </c>
      <c r="K6348" t="s">
        <v>58</v>
      </c>
      <c r="L6348" t="str">
        <f>_xlfn.XLOOKUP(K6348,[2]analyte_order!$B:$B,[2]analyte_order!$C:$C)</f>
        <v>13252-13-6</v>
      </c>
      <c r="M6348">
        <f>_xlfn.XLOOKUP(L6348,[2]analyte_order!$C:$C,[2]analyte_order!$E:$E)</f>
        <v>34</v>
      </c>
      <c r="N6348">
        <v>0.17799999999999999</v>
      </c>
    </row>
    <row r="6349" spans="1:14">
      <c r="A6349" t="s">
        <v>318</v>
      </c>
      <c r="B6349" t="str">
        <f>_xlfn.XLOOKUP(A6349,'[1]Tissue Data'!$A:$A,'[1]Tissue Data'!$C:$C)</f>
        <v>Spill</v>
      </c>
      <c r="C6349" s="2">
        <f>_xlfn.XLOOKUP(A6349,'[1]Tissue Data'!$A:$A,'[1]Tissue Data'!$D:$D)</f>
        <v>44393</v>
      </c>
      <c r="D6349" s="2" t="s">
        <v>131</v>
      </c>
      <c r="E6349" t="str">
        <f>_xlfn.XLOOKUP(A6349,'[1]Tissue Data'!$A:$A,'[1]Tissue Data'!$H:$H)</f>
        <v>Rhinichthys</v>
      </c>
      <c r="F6349" t="str">
        <f>_xlfn.XLOOKUP(A6349,'[1]Tissue Data'!$A:$A,'[1]Tissue Data'!$I:$I)</f>
        <v>atratulus</v>
      </c>
      <c r="G6349" t="str">
        <f>_xlfn.XLOOKUP(A6349,'[1]Tissue Data'!$A:$A,'[1]Tissue Data'!J:J)</f>
        <v>U</v>
      </c>
      <c r="H6349" t="str">
        <f>_xlfn.XLOOKUP(A6349,'[1]Tissue Data'!$A:$A,'[1]Tissue Data'!K:K)</f>
        <v>Whole Body</v>
      </c>
      <c r="I6349">
        <f>_xlfn.XLOOKUP(A6349,'[1]Tissue Data'!$A:$A,'[1]Tissue Data'!L:L)</f>
        <v>4.2</v>
      </c>
      <c r="J6349">
        <f>_xlfn.XLOOKUP(A6349,'[1]Tissue Data'!$A:$A,'[1]Tissue Data'!M:M)</f>
        <v>3.02</v>
      </c>
      <c r="K6349" t="s">
        <v>59</v>
      </c>
      <c r="L6349" t="str">
        <f>_xlfn.XLOOKUP(K6349,[2]analyte_order!$B:$B,[2]analyte_order!$C:$C)</f>
        <v>57677-95-9</v>
      </c>
      <c r="M6349">
        <f>_xlfn.XLOOKUP(L6349,[2]analyte_order!$C:$C,[2]analyte_order!$E:$E)</f>
        <v>46</v>
      </c>
      <c r="N6349">
        <v>0.248</v>
      </c>
    </row>
    <row r="6350" spans="1:14">
      <c r="A6350" t="s">
        <v>318</v>
      </c>
      <c r="B6350" t="str">
        <f>_xlfn.XLOOKUP(A6350,'[1]Tissue Data'!$A:$A,'[1]Tissue Data'!$C:$C)</f>
        <v>Spill</v>
      </c>
      <c r="C6350" s="2">
        <f>_xlfn.XLOOKUP(A6350,'[1]Tissue Data'!$A:$A,'[1]Tissue Data'!$D:$D)</f>
        <v>44393</v>
      </c>
      <c r="D6350" s="2" t="s">
        <v>131</v>
      </c>
      <c r="E6350" t="str">
        <f>_xlfn.XLOOKUP(A6350,'[1]Tissue Data'!$A:$A,'[1]Tissue Data'!$H:$H)</f>
        <v>Rhinichthys</v>
      </c>
      <c r="F6350" t="str">
        <f>_xlfn.XLOOKUP(A6350,'[1]Tissue Data'!$A:$A,'[1]Tissue Data'!$I:$I)</f>
        <v>atratulus</v>
      </c>
      <c r="G6350" t="str">
        <f>_xlfn.XLOOKUP(A6350,'[1]Tissue Data'!$A:$A,'[1]Tissue Data'!J:J)</f>
        <v>U</v>
      </c>
      <c r="H6350" t="str">
        <f>_xlfn.XLOOKUP(A6350,'[1]Tissue Data'!$A:$A,'[1]Tissue Data'!K:K)</f>
        <v>Whole Body</v>
      </c>
      <c r="I6350">
        <f>_xlfn.XLOOKUP(A6350,'[1]Tissue Data'!$A:$A,'[1]Tissue Data'!L:L)</f>
        <v>4.2</v>
      </c>
      <c r="J6350">
        <f>_xlfn.XLOOKUP(A6350,'[1]Tissue Data'!$A:$A,'[1]Tissue Data'!M:M)</f>
        <v>3.02</v>
      </c>
      <c r="K6350" t="s">
        <v>60</v>
      </c>
      <c r="L6350" t="str">
        <f>_xlfn.XLOOKUP(K6350,[2]analyte_order!$B:$B,[2]analyte_order!$C:$C)</f>
        <v>678-41-1</v>
      </c>
      <c r="M6350">
        <f>_xlfn.XLOOKUP(L6350,[2]analyte_order!$C:$C,[2]analyte_order!$E:$E)</f>
        <v>56</v>
      </c>
      <c r="N6350">
        <v>0.248</v>
      </c>
    </row>
    <row r="6351" spans="1:14">
      <c r="A6351" t="s">
        <v>318</v>
      </c>
      <c r="B6351" t="str">
        <f>_xlfn.XLOOKUP(A6351,'[1]Tissue Data'!$A:$A,'[1]Tissue Data'!$C:$C)</f>
        <v>Spill</v>
      </c>
      <c r="C6351" s="2">
        <f>_xlfn.XLOOKUP(A6351,'[1]Tissue Data'!$A:$A,'[1]Tissue Data'!$D:$D)</f>
        <v>44393</v>
      </c>
      <c r="D6351" s="2" t="s">
        <v>131</v>
      </c>
      <c r="E6351" t="str">
        <f>_xlfn.XLOOKUP(A6351,'[1]Tissue Data'!$A:$A,'[1]Tissue Data'!$H:$H)</f>
        <v>Rhinichthys</v>
      </c>
      <c r="F6351" t="str">
        <f>_xlfn.XLOOKUP(A6351,'[1]Tissue Data'!$A:$A,'[1]Tissue Data'!$I:$I)</f>
        <v>atratulus</v>
      </c>
      <c r="G6351" t="str">
        <f>_xlfn.XLOOKUP(A6351,'[1]Tissue Data'!$A:$A,'[1]Tissue Data'!J:J)</f>
        <v>U</v>
      </c>
      <c r="H6351" t="str">
        <f>_xlfn.XLOOKUP(A6351,'[1]Tissue Data'!$A:$A,'[1]Tissue Data'!K:K)</f>
        <v>Whole Body</v>
      </c>
      <c r="I6351">
        <f>_xlfn.XLOOKUP(A6351,'[1]Tissue Data'!$A:$A,'[1]Tissue Data'!L:L)</f>
        <v>4.2</v>
      </c>
      <c r="J6351">
        <f>_xlfn.XLOOKUP(A6351,'[1]Tissue Data'!$A:$A,'[1]Tissue Data'!M:M)</f>
        <v>3.02</v>
      </c>
      <c r="K6351" t="s">
        <v>61</v>
      </c>
      <c r="L6351" t="str">
        <f>_xlfn.XLOOKUP(K6351,[2]analyte_order!$B:$B,[2]analyte_order!$C:$C)</f>
        <v>2965-52-8</v>
      </c>
      <c r="M6351">
        <f>_xlfn.XLOOKUP(L6351,[2]analyte_order!$C:$C,[2]analyte_order!$E:$E)</f>
        <v>57</v>
      </c>
      <c r="N6351">
        <v>0.248</v>
      </c>
    </row>
    <row r="6352" spans="1:14">
      <c r="A6352" t="s">
        <v>222</v>
      </c>
      <c r="B6352" t="str">
        <f>_xlfn.XLOOKUP(A6352,'[1]Tissue Data'!$A:$A,'[1]Tissue Data'!$C:$C)</f>
        <v>Spill</v>
      </c>
      <c r="C6352" s="2">
        <f>_xlfn.XLOOKUP(A6352,'[1]Tissue Data'!$A:$A,'[1]Tissue Data'!$D:$D)</f>
        <v>44393</v>
      </c>
      <c r="D6352" s="2" t="str">
        <f>_xlfn.XLOOKUP(A6352,'[1]Tissue Data'!$A:$A,'[1]Tissue Data'!$F:$F)</f>
        <v>Margined Madtom</v>
      </c>
      <c r="E6352" t="str">
        <f>_xlfn.XLOOKUP(A6352,'[1]Tissue Data'!$A:$A,'[1]Tissue Data'!$H:$H)</f>
        <v>Noturus</v>
      </c>
      <c r="F6352" t="str">
        <f>_xlfn.XLOOKUP(A6352,'[1]Tissue Data'!$A:$A,'[1]Tissue Data'!$I:$I)</f>
        <v>insignis</v>
      </c>
      <c r="G6352" t="str">
        <f>_xlfn.XLOOKUP(A6352,'[1]Tissue Data'!$A:$A,'[1]Tissue Data'!J:J)</f>
        <v>U</v>
      </c>
      <c r="H6352" t="str">
        <f>_xlfn.XLOOKUP(A6352,'[1]Tissue Data'!$A:$A,'[1]Tissue Data'!K:K)</f>
        <v>Whole Body</v>
      </c>
      <c r="I6352">
        <f>_xlfn.XLOOKUP(A6352,'[1]Tissue Data'!$A:$A,'[1]Tissue Data'!L:L)</f>
        <v>13</v>
      </c>
      <c r="J6352">
        <f>_xlfn.XLOOKUP(A6352,'[1]Tissue Data'!$A:$A,'[1]Tissue Data'!M:M)</f>
        <v>18.59</v>
      </c>
      <c r="K6352" t="s">
        <v>12</v>
      </c>
      <c r="L6352" t="str">
        <f>_xlfn.XLOOKUP(K6352,[2]analyte_order!$B:$B,[2]analyte_order!$C:$C)</f>
        <v>375-22-4</v>
      </c>
      <c r="M6352">
        <f>_xlfn.XLOOKUP(L6352,[2]analyte_order!$C:$C,[2]analyte_order!$E:$E)</f>
        <v>1</v>
      </c>
      <c r="N6352">
        <v>0.21149999999999999</v>
      </c>
    </row>
    <row r="6353" spans="1:14">
      <c r="A6353" t="s">
        <v>222</v>
      </c>
      <c r="B6353" t="str">
        <f>_xlfn.XLOOKUP(A6353,'[1]Tissue Data'!$A:$A,'[1]Tissue Data'!$C:$C)</f>
        <v>Spill</v>
      </c>
      <c r="C6353" s="2">
        <f>_xlfn.XLOOKUP(A6353,'[1]Tissue Data'!$A:$A,'[1]Tissue Data'!$D:$D)</f>
        <v>44393</v>
      </c>
      <c r="D6353" s="2" t="str">
        <f>_xlfn.XLOOKUP(A6353,'[1]Tissue Data'!$A:$A,'[1]Tissue Data'!$F:$F)</f>
        <v>Margined Madtom</v>
      </c>
      <c r="E6353" t="str">
        <f>_xlfn.XLOOKUP(A6353,'[1]Tissue Data'!$A:$A,'[1]Tissue Data'!$H:$H)</f>
        <v>Noturus</v>
      </c>
      <c r="F6353" t="str">
        <f>_xlfn.XLOOKUP(A6353,'[1]Tissue Data'!$A:$A,'[1]Tissue Data'!$I:$I)</f>
        <v>insignis</v>
      </c>
      <c r="G6353" t="str">
        <f>_xlfn.XLOOKUP(A6353,'[1]Tissue Data'!$A:$A,'[1]Tissue Data'!J:J)</f>
        <v>U</v>
      </c>
      <c r="H6353" t="str">
        <f>_xlfn.XLOOKUP(A6353,'[1]Tissue Data'!$A:$A,'[1]Tissue Data'!K:K)</f>
        <v>Whole Body</v>
      </c>
      <c r="I6353">
        <f>_xlfn.XLOOKUP(A6353,'[1]Tissue Data'!$A:$A,'[1]Tissue Data'!L:L)</f>
        <v>13</v>
      </c>
      <c r="J6353">
        <f>_xlfn.XLOOKUP(A6353,'[1]Tissue Data'!$A:$A,'[1]Tissue Data'!M:M)</f>
        <v>18.59</v>
      </c>
      <c r="K6353" t="s">
        <v>13</v>
      </c>
      <c r="L6353" t="str">
        <f>_xlfn.XLOOKUP(K6353,[2]analyte_order!$B:$B,[2]analyte_order!$C:$C)</f>
        <v>2706-90-3</v>
      </c>
      <c r="M6353">
        <f>_xlfn.XLOOKUP(L6353,[2]analyte_order!$C:$C,[2]analyte_order!$E:$E)</f>
        <v>2</v>
      </c>
      <c r="N6353">
        <v>7.4499999999999997E-2</v>
      </c>
    </row>
    <row r="6354" spans="1:14">
      <c r="A6354" t="s">
        <v>222</v>
      </c>
      <c r="B6354" t="str">
        <f>_xlfn.XLOOKUP(A6354,'[1]Tissue Data'!$A:$A,'[1]Tissue Data'!$C:$C)</f>
        <v>Spill</v>
      </c>
      <c r="C6354" s="2">
        <f>_xlfn.XLOOKUP(A6354,'[1]Tissue Data'!$A:$A,'[1]Tissue Data'!$D:$D)</f>
        <v>44393</v>
      </c>
      <c r="D6354" s="2" t="str">
        <f>_xlfn.XLOOKUP(A6354,'[1]Tissue Data'!$A:$A,'[1]Tissue Data'!$F:$F)</f>
        <v>Margined Madtom</v>
      </c>
      <c r="E6354" t="str">
        <f>_xlfn.XLOOKUP(A6354,'[1]Tissue Data'!$A:$A,'[1]Tissue Data'!$H:$H)</f>
        <v>Noturus</v>
      </c>
      <c r="F6354" t="str">
        <f>_xlfn.XLOOKUP(A6354,'[1]Tissue Data'!$A:$A,'[1]Tissue Data'!$I:$I)</f>
        <v>insignis</v>
      </c>
      <c r="G6354" t="str">
        <f>_xlfn.XLOOKUP(A6354,'[1]Tissue Data'!$A:$A,'[1]Tissue Data'!J:J)</f>
        <v>U</v>
      </c>
      <c r="H6354" t="str">
        <f>_xlfn.XLOOKUP(A6354,'[1]Tissue Data'!$A:$A,'[1]Tissue Data'!K:K)</f>
        <v>Whole Body</v>
      </c>
      <c r="I6354">
        <f>_xlfn.XLOOKUP(A6354,'[1]Tissue Data'!$A:$A,'[1]Tissue Data'!L:L)</f>
        <v>13</v>
      </c>
      <c r="J6354">
        <f>_xlfn.XLOOKUP(A6354,'[1]Tissue Data'!$A:$A,'[1]Tissue Data'!M:M)</f>
        <v>18.59</v>
      </c>
      <c r="K6354" t="s">
        <v>14</v>
      </c>
      <c r="L6354" t="str">
        <f>_xlfn.XLOOKUP(K6354,[2]analyte_order!$B:$B,[2]analyte_order!$C:$C)</f>
        <v>307-24-4</v>
      </c>
      <c r="M6354">
        <f>_xlfn.XLOOKUP(L6354,[2]analyte_order!$C:$C,[2]analyte_order!$E:$E)</f>
        <v>3</v>
      </c>
      <c r="N6354">
        <v>5.7000000000000002E-2</v>
      </c>
    </row>
    <row r="6355" spans="1:14">
      <c r="A6355" t="s">
        <v>222</v>
      </c>
      <c r="B6355" t="str">
        <f>_xlfn.XLOOKUP(A6355,'[1]Tissue Data'!$A:$A,'[1]Tissue Data'!$C:$C)</f>
        <v>Spill</v>
      </c>
      <c r="C6355" s="2">
        <f>_xlfn.XLOOKUP(A6355,'[1]Tissue Data'!$A:$A,'[1]Tissue Data'!$D:$D)</f>
        <v>44393</v>
      </c>
      <c r="D6355" s="2" t="str">
        <f>_xlfn.XLOOKUP(A6355,'[1]Tissue Data'!$A:$A,'[1]Tissue Data'!$F:$F)</f>
        <v>Margined Madtom</v>
      </c>
      <c r="E6355" t="str">
        <f>_xlfn.XLOOKUP(A6355,'[1]Tissue Data'!$A:$A,'[1]Tissue Data'!$H:$H)</f>
        <v>Noturus</v>
      </c>
      <c r="F6355" t="str">
        <f>_xlfn.XLOOKUP(A6355,'[1]Tissue Data'!$A:$A,'[1]Tissue Data'!$I:$I)</f>
        <v>insignis</v>
      </c>
      <c r="G6355" t="str">
        <f>_xlfn.XLOOKUP(A6355,'[1]Tissue Data'!$A:$A,'[1]Tissue Data'!J:J)</f>
        <v>U</v>
      </c>
      <c r="H6355" t="str">
        <f>_xlfn.XLOOKUP(A6355,'[1]Tissue Data'!$A:$A,'[1]Tissue Data'!K:K)</f>
        <v>Whole Body</v>
      </c>
      <c r="I6355">
        <f>_xlfn.XLOOKUP(A6355,'[1]Tissue Data'!$A:$A,'[1]Tissue Data'!L:L)</f>
        <v>13</v>
      </c>
      <c r="J6355">
        <f>_xlfn.XLOOKUP(A6355,'[1]Tissue Data'!$A:$A,'[1]Tissue Data'!M:M)</f>
        <v>18.59</v>
      </c>
      <c r="K6355" t="s">
        <v>15</v>
      </c>
      <c r="L6355" t="str">
        <f>_xlfn.XLOOKUP(K6355,[2]analyte_order!$B:$B,[2]analyte_order!$C:$C)</f>
        <v>375-85-9</v>
      </c>
      <c r="M6355">
        <f>_xlfn.XLOOKUP(L6355,[2]analyte_order!$C:$C,[2]analyte_order!$E:$E)</f>
        <v>4</v>
      </c>
      <c r="N6355">
        <v>0.106</v>
      </c>
    </row>
    <row r="6356" spans="1:14">
      <c r="A6356" t="s">
        <v>222</v>
      </c>
      <c r="B6356" t="str">
        <f>_xlfn.XLOOKUP(A6356,'[1]Tissue Data'!$A:$A,'[1]Tissue Data'!$C:$C)</f>
        <v>Spill</v>
      </c>
      <c r="C6356" s="2">
        <f>_xlfn.XLOOKUP(A6356,'[1]Tissue Data'!$A:$A,'[1]Tissue Data'!$D:$D)</f>
        <v>44393</v>
      </c>
      <c r="D6356" s="2" t="str">
        <f>_xlfn.XLOOKUP(A6356,'[1]Tissue Data'!$A:$A,'[1]Tissue Data'!$F:$F)</f>
        <v>Margined Madtom</v>
      </c>
      <c r="E6356" t="str">
        <f>_xlfn.XLOOKUP(A6356,'[1]Tissue Data'!$A:$A,'[1]Tissue Data'!$H:$H)</f>
        <v>Noturus</v>
      </c>
      <c r="F6356" t="str">
        <f>_xlfn.XLOOKUP(A6356,'[1]Tissue Data'!$A:$A,'[1]Tissue Data'!$I:$I)</f>
        <v>insignis</v>
      </c>
      <c r="G6356" t="str">
        <f>_xlfn.XLOOKUP(A6356,'[1]Tissue Data'!$A:$A,'[1]Tissue Data'!J:J)</f>
        <v>U</v>
      </c>
      <c r="H6356" t="str">
        <f>_xlfn.XLOOKUP(A6356,'[1]Tissue Data'!$A:$A,'[1]Tissue Data'!K:K)</f>
        <v>Whole Body</v>
      </c>
      <c r="I6356">
        <f>_xlfn.XLOOKUP(A6356,'[1]Tissue Data'!$A:$A,'[1]Tissue Data'!L:L)</f>
        <v>13</v>
      </c>
      <c r="J6356">
        <f>_xlfn.XLOOKUP(A6356,'[1]Tissue Data'!$A:$A,'[1]Tissue Data'!M:M)</f>
        <v>18.59</v>
      </c>
      <c r="K6356" t="s">
        <v>16</v>
      </c>
      <c r="L6356" t="str">
        <f>_xlfn.XLOOKUP(K6356,[2]analyte_order!$B:$B,[2]analyte_order!$C:$C)</f>
        <v>335-67-1</v>
      </c>
      <c r="M6356">
        <f>_xlfn.XLOOKUP(L6356,[2]analyte_order!$C:$C,[2]analyte_order!$E:$E)</f>
        <v>5</v>
      </c>
      <c r="N6356">
        <v>0.68400000000000005</v>
      </c>
    </row>
    <row r="6357" spans="1:14">
      <c r="A6357" t="s">
        <v>222</v>
      </c>
      <c r="B6357" t="str">
        <f>_xlfn.XLOOKUP(A6357,'[1]Tissue Data'!$A:$A,'[1]Tissue Data'!$C:$C)</f>
        <v>Spill</v>
      </c>
      <c r="C6357" s="2">
        <f>_xlfn.XLOOKUP(A6357,'[1]Tissue Data'!$A:$A,'[1]Tissue Data'!$D:$D)</f>
        <v>44393</v>
      </c>
      <c r="D6357" s="2" t="str">
        <f>_xlfn.XLOOKUP(A6357,'[1]Tissue Data'!$A:$A,'[1]Tissue Data'!$F:$F)</f>
        <v>Margined Madtom</v>
      </c>
      <c r="E6357" t="str">
        <f>_xlfn.XLOOKUP(A6357,'[1]Tissue Data'!$A:$A,'[1]Tissue Data'!$H:$H)</f>
        <v>Noturus</v>
      </c>
      <c r="F6357" t="str">
        <f>_xlfn.XLOOKUP(A6357,'[1]Tissue Data'!$A:$A,'[1]Tissue Data'!$I:$I)</f>
        <v>insignis</v>
      </c>
      <c r="G6357" t="str">
        <f>_xlfn.XLOOKUP(A6357,'[1]Tissue Data'!$A:$A,'[1]Tissue Data'!J:J)</f>
        <v>U</v>
      </c>
      <c r="H6357" t="str">
        <f>_xlfn.XLOOKUP(A6357,'[1]Tissue Data'!$A:$A,'[1]Tissue Data'!K:K)</f>
        <v>Whole Body</v>
      </c>
      <c r="I6357">
        <f>_xlfn.XLOOKUP(A6357,'[1]Tissue Data'!$A:$A,'[1]Tissue Data'!L:L)</f>
        <v>13</v>
      </c>
      <c r="J6357">
        <f>_xlfn.XLOOKUP(A6357,'[1]Tissue Data'!$A:$A,'[1]Tissue Data'!M:M)</f>
        <v>18.59</v>
      </c>
      <c r="K6357" t="s">
        <v>17</v>
      </c>
      <c r="L6357" t="str">
        <f>_xlfn.XLOOKUP(K6357,[2]analyte_order!$B:$B,[2]analyte_order!$C:$C)</f>
        <v>375-95-1</v>
      </c>
      <c r="M6357">
        <f>_xlfn.XLOOKUP(L6357,[2]analyte_order!$C:$C,[2]analyte_order!$E:$E)</f>
        <v>6</v>
      </c>
      <c r="N6357">
        <v>0.61699999999999999</v>
      </c>
    </row>
    <row r="6358" spans="1:14">
      <c r="A6358" t="s">
        <v>222</v>
      </c>
      <c r="B6358" t="str">
        <f>_xlfn.XLOOKUP(A6358,'[1]Tissue Data'!$A:$A,'[1]Tissue Data'!$C:$C)</f>
        <v>Spill</v>
      </c>
      <c r="C6358" s="2">
        <f>_xlfn.XLOOKUP(A6358,'[1]Tissue Data'!$A:$A,'[1]Tissue Data'!$D:$D)</f>
        <v>44393</v>
      </c>
      <c r="D6358" s="2" t="str">
        <f>_xlfn.XLOOKUP(A6358,'[1]Tissue Data'!$A:$A,'[1]Tissue Data'!$F:$F)</f>
        <v>Margined Madtom</v>
      </c>
      <c r="E6358" t="str">
        <f>_xlfn.XLOOKUP(A6358,'[1]Tissue Data'!$A:$A,'[1]Tissue Data'!$H:$H)</f>
        <v>Noturus</v>
      </c>
      <c r="F6358" t="str">
        <f>_xlfn.XLOOKUP(A6358,'[1]Tissue Data'!$A:$A,'[1]Tissue Data'!$I:$I)</f>
        <v>insignis</v>
      </c>
      <c r="G6358" t="str">
        <f>_xlfn.XLOOKUP(A6358,'[1]Tissue Data'!$A:$A,'[1]Tissue Data'!J:J)</f>
        <v>U</v>
      </c>
      <c r="H6358" t="str">
        <f>_xlfn.XLOOKUP(A6358,'[1]Tissue Data'!$A:$A,'[1]Tissue Data'!K:K)</f>
        <v>Whole Body</v>
      </c>
      <c r="I6358">
        <f>_xlfn.XLOOKUP(A6358,'[1]Tissue Data'!$A:$A,'[1]Tissue Data'!L:L)</f>
        <v>13</v>
      </c>
      <c r="J6358">
        <f>_xlfn.XLOOKUP(A6358,'[1]Tissue Data'!$A:$A,'[1]Tissue Data'!M:M)</f>
        <v>18.59</v>
      </c>
      <c r="K6358" t="s">
        <v>18</v>
      </c>
      <c r="L6358" t="str">
        <f>_xlfn.XLOOKUP(K6358,[2]analyte_order!$B:$B,[2]analyte_order!$C:$C)</f>
        <v>335-76-2</v>
      </c>
      <c r="M6358">
        <f>_xlfn.XLOOKUP(L6358,[2]analyte_order!$C:$C,[2]analyte_order!$E:$E)</f>
        <v>7</v>
      </c>
      <c r="N6358">
        <v>7.47</v>
      </c>
    </row>
    <row r="6359" spans="1:14">
      <c r="A6359" t="s">
        <v>222</v>
      </c>
      <c r="B6359" t="str">
        <f>_xlfn.XLOOKUP(A6359,'[1]Tissue Data'!$A:$A,'[1]Tissue Data'!$C:$C)</f>
        <v>Spill</v>
      </c>
      <c r="C6359" s="2">
        <f>_xlfn.XLOOKUP(A6359,'[1]Tissue Data'!$A:$A,'[1]Tissue Data'!$D:$D)</f>
        <v>44393</v>
      </c>
      <c r="D6359" s="2" t="str">
        <f>_xlfn.XLOOKUP(A6359,'[1]Tissue Data'!$A:$A,'[1]Tissue Data'!$F:$F)</f>
        <v>Margined Madtom</v>
      </c>
      <c r="E6359" t="str">
        <f>_xlfn.XLOOKUP(A6359,'[1]Tissue Data'!$A:$A,'[1]Tissue Data'!$H:$H)</f>
        <v>Noturus</v>
      </c>
      <c r="F6359" t="str">
        <f>_xlfn.XLOOKUP(A6359,'[1]Tissue Data'!$A:$A,'[1]Tissue Data'!$I:$I)</f>
        <v>insignis</v>
      </c>
      <c r="G6359" t="str">
        <f>_xlfn.XLOOKUP(A6359,'[1]Tissue Data'!$A:$A,'[1]Tissue Data'!J:J)</f>
        <v>U</v>
      </c>
      <c r="H6359" t="str">
        <f>_xlfn.XLOOKUP(A6359,'[1]Tissue Data'!$A:$A,'[1]Tissue Data'!K:K)</f>
        <v>Whole Body</v>
      </c>
      <c r="I6359">
        <f>_xlfn.XLOOKUP(A6359,'[1]Tissue Data'!$A:$A,'[1]Tissue Data'!L:L)</f>
        <v>13</v>
      </c>
      <c r="J6359">
        <f>_xlfn.XLOOKUP(A6359,'[1]Tissue Data'!$A:$A,'[1]Tissue Data'!M:M)</f>
        <v>18.59</v>
      </c>
      <c r="K6359" t="s">
        <v>19</v>
      </c>
      <c r="L6359" t="str">
        <f>_xlfn.XLOOKUP(K6359,[2]analyte_order!$B:$B,[2]analyte_order!$C:$C)</f>
        <v>2058-94-8</v>
      </c>
      <c r="M6359">
        <f>_xlfn.XLOOKUP(L6359,[2]analyte_order!$C:$C,[2]analyte_order!$E:$E)</f>
        <v>8</v>
      </c>
      <c r="N6359">
        <v>15.7</v>
      </c>
    </row>
    <row r="6360" spans="1:14">
      <c r="A6360" t="s">
        <v>222</v>
      </c>
      <c r="B6360" t="str">
        <f>_xlfn.XLOOKUP(A6360,'[1]Tissue Data'!$A:$A,'[1]Tissue Data'!$C:$C)</f>
        <v>Spill</v>
      </c>
      <c r="C6360" s="2">
        <f>_xlfn.XLOOKUP(A6360,'[1]Tissue Data'!$A:$A,'[1]Tissue Data'!$D:$D)</f>
        <v>44393</v>
      </c>
      <c r="D6360" s="2" t="str">
        <f>_xlfn.XLOOKUP(A6360,'[1]Tissue Data'!$A:$A,'[1]Tissue Data'!$F:$F)</f>
        <v>Margined Madtom</v>
      </c>
      <c r="E6360" t="str">
        <f>_xlfn.XLOOKUP(A6360,'[1]Tissue Data'!$A:$A,'[1]Tissue Data'!$H:$H)</f>
        <v>Noturus</v>
      </c>
      <c r="F6360" t="str">
        <f>_xlfn.XLOOKUP(A6360,'[1]Tissue Data'!$A:$A,'[1]Tissue Data'!$I:$I)</f>
        <v>insignis</v>
      </c>
      <c r="G6360" t="str">
        <f>_xlfn.XLOOKUP(A6360,'[1]Tissue Data'!$A:$A,'[1]Tissue Data'!J:J)</f>
        <v>U</v>
      </c>
      <c r="H6360" t="str">
        <f>_xlfn.XLOOKUP(A6360,'[1]Tissue Data'!$A:$A,'[1]Tissue Data'!K:K)</f>
        <v>Whole Body</v>
      </c>
      <c r="I6360">
        <f>_xlfn.XLOOKUP(A6360,'[1]Tissue Data'!$A:$A,'[1]Tissue Data'!L:L)</f>
        <v>13</v>
      </c>
      <c r="J6360">
        <f>_xlfn.XLOOKUP(A6360,'[1]Tissue Data'!$A:$A,'[1]Tissue Data'!M:M)</f>
        <v>18.59</v>
      </c>
      <c r="K6360" t="s">
        <v>20</v>
      </c>
      <c r="L6360" t="str">
        <f>_xlfn.XLOOKUP(K6360,[2]analyte_order!$B:$B,[2]analyte_order!$C:$C)</f>
        <v>307-55-1</v>
      </c>
      <c r="M6360">
        <f>_xlfn.XLOOKUP(L6360,[2]analyte_order!$C:$C,[2]analyte_order!$E:$E)</f>
        <v>9</v>
      </c>
      <c r="N6360">
        <v>22.5</v>
      </c>
    </row>
    <row r="6361" spans="1:14">
      <c r="A6361" t="s">
        <v>222</v>
      </c>
      <c r="B6361" t="str">
        <f>_xlfn.XLOOKUP(A6361,'[1]Tissue Data'!$A:$A,'[1]Tissue Data'!$C:$C)</f>
        <v>Spill</v>
      </c>
      <c r="C6361" s="2">
        <f>_xlfn.XLOOKUP(A6361,'[1]Tissue Data'!$A:$A,'[1]Tissue Data'!$D:$D)</f>
        <v>44393</v>
      </c>
      <c r="D6361" s="2" t="str">
        <f>_xlfn.XLOOKUP(A6361,'[1]Tissue Data'!$A:$A,'[1]Tissue Data'!$F:$F)</f>
        <v>Margined Madtom</v>
      </c>
      <c r="E6361" t="str">
        <f>_xlfn.XLOOKUP(A6361,'[1]Tissue Data'!$A:$A,'[1]Tissue Data'!$H:$H)</f>
        <v>Noturus</v>
      </c>
      <c r="F6361" t="str">
        <f>_xlfn.XLOOKUP(A6361,'[1]Tissue Data'!$A:$A,'[1]Tissue Data'!$I:$I)</f>
        <v>insignis</v>
      </c>
      <c r="G6361" t="str">
        <f>_xlfn.XLOOKUP(A6361,'[1]Tissue Data'!$A:$A,'[1]Tissue Data'!J:J)</f>
        <v>U</v>
      </c>
      <c r="H6361" t="str">
        <f>_xlfn.XLOOKUP(A6361,'[1]Tissue Data'!$A:$A,'[1]Tissue Data'!K:K)</f>
        <v>Whole Body</v>
      </c>
      <c r="I6361">
        <f>_xlfn.XLOOKUP(A6361,'[1]Tissue Data'!$A:$A,'[1]Tissue Data'!L:L)</f>
        <v>13</v>
      </c>
      <c r="J6361">
        <f>_xlfn.XLOOKUP(A6361,'[1]Tissue Data'!$A:$A,'[1]Tissue Data'!M:M)</f>
        <v>18.59</v>
      </c>
      <c r="K6361" t="s">
        <v>21</v>
      </c>
      <c r="L6361" t="str">
        <f>_xlfn.XLOOKUP(K6361,[2]analyte_order!$B:$B,[2]analyte_order!$C:$C)</f>
        <v>72629-94-8</v>
      </c>
      <c r="M6361">
        <f>_xlfn.XLOOKUP(L6361,[2]analyte_order!$C:$C,[2]analyte_order!$E:$E)</f>
        <v>10</v>
      </c>
      <c r="N6361">
        <v>5.58</v>
      </c>
    </row>
    <row r="6362" spans="1:14">
      <c r="A6362" t="s">
        <v>222</v>
      </c>
      <c r="B6362" t="str">
        <f>_xlfn.XLOOKUP(A6362,'[1]Tissue Data'!$A:$A,'[1]Tissue Data'!$C:$C)</f>
        <v>Spill</v>
      </c>
      <c r="C6362" s="2">
        <f>_xlfn.XLOOKUP(A6362,'[1]Tissue Data'!$A:$A,'[1]Tissue Data'!$D:$D)</f>
        <v>44393</v>
      </c>
      <c r="D6362" s="2" t="str">
        <f>_xlfn.XLOOKUP(A6362,'[1]Tissue Data'!$A:$A,'[1]Tissue Data'!$F:$F)</f>
        <v>Margined Madtom</v>
      </c>
      <c r="E6362" t="str">
        <f>_xlfn.XLOOKUP(A6362,'[1]Tissue Data'!$A:$A,'[1]Tissue Data'!$H:$H)</f>
        <v>Noturus</v>
      </c>
      <c r="F6362" t="str">
        <f>_xlfn.XLOOKUP(A6362,'[1]Tissue Data'!$A:$A,'[1]Tissue Data'!$I:$I)</f>
        <v>insignis</v>
      </c>
      <c r="G6362" t="str">
        <f>_xlfn.XLOOKUP(A6362,'[1]Tissue Data'!$A:$A,'[1]Tissue Data'!J:J)</f>
        <v>U</v>
      </c>
      <c r="H6362" t="str">
        <f>_xlfn.XLOOKUP(A6362,'[1]Tissue Data'!$A:$A,'[1]Tissue Data'!K:K)</f>
        <v>Whole Body</v>
      </c>
      <c r="I6362">
        <f>_xlfn.XLOOKUP(A6362,'[1]Tissue Data'!$A:$A,'[1]Tissue Data'!L:L)</f>
        <v>13</v>
      </c>
      <c r="J6362">
        <f>_xlfn.XLOOKUP(A6362,'[1]Tissue Data'!$A:$A,'[1]Tissue Data'!M:M)</f>
        <v>18.59</v>
      </c>
      <c r="K6362" t="s">
        <v>22</v>
      </c>
      <c r="L6362" t="str">
        <f>_xlfn.XLOOKUP(K6362,[2]analyte_order!$B:$B,[2]analyte_order!$C:$C)</f>
        <v>376-06-7</v>
      </c>
      <c r="M6362">
        <f>_xlfn.XLOOKUP(L6362,[2]analyte_order!$C:$C,[2]analyte_order!$E:$E)</f>
        <v>11</v>
      </c>
      <c r="N6362">
        <v>14.3</v>
      </c>
    </row>
    <row r="6363" spans="1:14">
      <c r="A6363" t="s">
        <v>222</v>
      </c>
      <c r="B6363" t="str">
        <f>_xlfn.XLOOKUP(A6363,'[1]Tissue Data'!$A:$A,'[1]Tissue Data'!$C:$C)</f>
        <v>Spill</v>
      </c>
      <c r="C6363" s="2">
        <f>_xlfn.XLOOKUP(A6363,'[1]Tissue Data'!$A:$A,'[1]Tissue Data'!$D:$D)</f>
        <v>44393</v>
      </c>
      <c r="D6363" s="2" t="str">
        <f>_xlfn.XLOOKUP(A6363,'[1]Tissue Data'!$A:$A,'[1]Tissue Data'!$F:$F)</f>
        <v>Margined Madtom</v>
      </c>
      <c r="E6363" t="str">
        <f>_xlfn.XLOOKUP(A6363,'[1]Tissue Data'!$A:$A,'[1]Tissue Data'!$H:$H)</f>
        <v>Noturus</v>
      </c>
      <c r="F6363" t="str">
        <f>_xlfn.XLOOKUP(A6363,'[1]Tissue Data'!$A:$A,'[1]Tissue Data'!$I:$I)</f>
        <v>insignis</v>
      </c>
      <c r="G6363" t="str">
        <f>_xlfn.XLOOKUP(A6363,'[1]Tissue Data'!$A:$A,'[1]Tissue Data'!J:J)</f>
        <v>U</v>
      </c>
      <c r="H6363" t="str">
        <f>_xlfn.XLOOKUP(A6363,'[1]Tissue Data'!$A:$A,'[1]Tissue Data'!K:K)</f>
        <v>Whole Body</v>
      </c>
      <c r="I6363">
        <f>_xlfn.XLOOKUP(A6363,'[1]Tissue Data'!$A:$A,'[1]Tissue Data'!L:L)</f>
        <v>13</v>
      </c>
      <c r="J6363">
        <f>_xlfn.XLOOKUP(A6363,'[1]Tissue Data'!$A:$A,'[1]Tissue Data'!M:M)</f>
        <v>18.59</v>
      </c>
      <c r="K6363" t="s">
        <v>23</v>
      </c>
      <c r="L6363" t="str">
        <f>_xlfn.XLOOKUP(K6363,[2]analyte_order!$B:$B,[2]analyte_order!$C:$C)</f>
        <v>67905-19-5</v>
      </c>
      <c r="M6363">
        <f>_xlfn.XLOOKUP(L6363,[2]analyte_order!$C:$C,[2]analyte_order!$E:$E)</f>
        <v>12</v>
      </c>
      <c r="N6363">
        <v>0.126</v>
      </c>
    </row>
    <row r="6364" spans="1:14">
      <c r="A6364" t="s">
        <v>222</v>
      </c>
      <c r="B6364" t="str">
        <f>_xlfn.XLOOKUP(A6364,'[1]Tissue Data'!$A:$A,'[1]Tissue Data'!$C:$C)</f>
        <v>Spill</v>
      </c>
      <c r="C6364" s="2">
        <f>_xlfn.XLOOKUP(A6364,'[1]Tissue Data'!$A:$A,'[1]Tissue Data'!$D:$D)</f>
        <v>44393</v>
      </c>
      <c r="D6364" s="2" t="str">
        <f>_xlfn.XLOOKUP(A6364,'[1]Tissue Data'!$A:$A,'[1]Tissue Data'!$F:$F)</f>
        <v>Margined Madtom</v>
      </c>
      <c r="E6364" t="str">
        <f>_xlfn.XLOOKUP(A6364,'[1]Tissue Data'!$A:$A,'[1]Tissue Data'!$H:$H)</f>
        <v>Noturus</v>
      </c>
      <c r="F6364" t="str">
        <f>_xlfn.XLOOKUP(A6364,'[1]Tissue Data'!$A:$A,'[1]Tissue Data'!$I:$I)</f>
        <v>insignis</v>
      </c>
      <c r="G6364" t="str">
        <f>_xlfn.XLOOKUP(A6364,'[1]Tissue Data'!$A:$A,'[1]Tissue Data'!J:J)</f>
        <v>U</v>
      </c>
      <c r="H6364" t="str">
        <f>_xlfn.XLOOKUP(A6364,'[1]Tissue Data'!$A:$A,'[1]Tissue Data'!K:K)</f>
        <v>Whole Body</v>
      </c>
      <c r="I6364">
        <f>_xlfn.XLOOKUP(A6364,'[1]Tissue Data'!$A:$A,'[1]Tissue Data'!L:L)</f>
        <v>13</v>
      </c>
      <c r="J6364">
        <f>_xlfn.XLOOKUP(A6364,'[1]Tissue Data'!$A:$A,'[1]Tissue Data'!M:M)</f>
        <v>18.59</v>
      </c>
      <c r="K6364" t="s">
        <v>24</v>
      </c>
      <c r="L6364" t="str">
        <f>_xlfn.XLOOKUP(K6364,[2]analyte_order!$B:$B,[2]analyte_order!$C:$C)</f>
        <v>423-41-6</v>
      </c>
      <c r="M6364">
        <f>_xlfn.XLOOKUP(L6364,[2]analyte_order!$C:$C,[2]analyte_order!$E:$E)</f>
        <v>53</v>
      </c>
      <c r="N6364">
        <v>0.106</v>
      </c>
    </row>
    <row r="6365" spans="1:14">
      <c r="A6365" t="s">
        <v>222</v>
      </c>
      <c r="B6365" t="str">
        <f>_xlfn.XLOOKUP(A6365,'[1]Tissue Data'!$A:$A,'[1]Tissue Data'!$C:$C)</f>
        <v>Spill</v>
      </c>
      <c r="C6365" s="2">
        <f>_xlfn.XLOOKUP(A6365,'[1]Tissue Data'!$A:$A,'[1]Tissue Data'!$D:$D)</f>
        <v>44393</v>
      </c>
      <c r="D6365" s="2" t="str">
        <f>_xlfn.XLOOKUP(A6365,'[1]Tissue Data'!$A:$A,'[1]Tissue Data'!$F:$F)</f>
        <v>Margined Madtom</v>
      </c>
      <c r="E6365" t="str">
        <f>_xlfn.XLOOKUP(A6365,'[1]Tissue Data'!$A:$A,'[1]Tissue Data'!$H:$H)</f>
        <v>Noturus</v>
      </c>
      <c r="F6365" t="str">
        <f>_xlfn.XLOOKUP(A6365,'[1]Tissue Data'!$A:$A,'[1]Tissue Data'!$I:$I)</f>
        <v>insignis</v>
      </c>
      <c r="G6365" t="str">
        <f>_xlfn.XLOOKUP(A6365,'[1]Tissue Data'!$A:$A,'[1]Tissue Data'!J:J)</f>
        <v>U</v>
      </c>
      <c r="H6365" t="str">
        <f>_xlfn.XLOOKUP(A6365,'[1]Tissue Data'!$A:$A,'[1]Tissue Data'!K:K)</f>
        <v>Whole Body</v>
      </c>
      <c r="I6365">
        <f>_xlfn.XLOOKUP(A6365,'[1]Tissue Data'!$A:$A,'[1]Tissue Data'!L:L)</f>
        <v>13</v>
      </c>
      <c r="J6365">
        <f>_xlfn.XLOOKUP(A6365,'[1]Tissue Data'!$A:$A,'[1]Tissue Data'!M:M)</f>
        <v>18.59</v>
      </c>
      <c r="K6365" t="s">
        <v>25</v>
      </c>
      <c r="L6365" t="str">
        <f>_xlfn.XLOOKUP(K6365,[2]analyte_order!$B:$B,[2]analyte_order!$C:$C)</f>
        <v>375-73-5</v>
      </c>
      <c r="M6365">
        <f>_xlfn.XLOOKUP(L6365,[2]analyte_order!$C:$C,[2]analyte_order!$E:$E)</f>
        <v>14</v>
      </c>
      <c r="N6365">
        <v>1.66</v>
      </c>
    </row>
    <row r="6366" spans="1:14">
      <c r="A6366" t="s">
        <v>222</v>
      </c>
      <c r="B6366" t="str">
        <f>_xlfn.XLOOKUP(A6366,'[1]Tissue Data'!$A:$A,'[1]Tissue Data'!$C:$C)</f>
        <v>Spill</v>
      </c>
      <c r="C6366" s="2">
        <f>_xlfn.XLOOKUP(A6366,'[1]Tissue Data'!$A:$A,'[1]Tissue Data'!$D:$D)</f>
        <v>44393</v>
      </c>
      <c r="D6366" s="2" t="str">
        <f>_xlfn.XLOOKUP(A6366,'[1]Tissue Data'!$A:$A,'[1]Tissue Data'!$F:$F)</f>
        <v>Margined Madtom</v>
      </c>
      <c r="E6366" t="str">
        <f>_xlfn.XLOOKUP(A6366,'[1]Tissue Data'!$A:$A,'[1]Tissue Data'!$H:$H)</f>
        <v>Noturus</v>
      </c>
      <c r="F6366" t="str">
        <f>_xlfn.XLOOKUP(A6366,'[1]Tissue Data'!$A:$A,'[1]Tissue Data'!$I:$I)</f>
        <v>insignis</v>
      </c>
      <c r="G6366" t="str">
        <f>_xlfn.XLOOKUP(A6366,'[1]Tissue Data'!$A:$A,'[1]Tissue Data'!J:J)</f>
        <v>U</v>
      </c>
      <c r="H6366" t="str">
        <f>_xlfn.XLOOKUP(A6366,'[1]Tissue Data'!$A:$A,'[1]Tissue Data'!K:K)</f>
        <v>Whole Body</v>
      </c>
      <c r="I6366">
        <f>_xlfn.XLOOKUP(A6366,'[1]Tissue Data'!$A:$A,'[1]Tissue Data'!L:L)</f>
        <v>13</v>
      </c>
      <c r="J6366">
        <f>_xlfn.XLOOKUP(A6366,'[1]Tissue Data'!$A:$A,'[1]Tissue Data'!M:M)</f>
        <v>18.59</v>
      </c>
      <c r="K6366" t="s">
        <v>26</v>
      </c>
      <c r="L6366" t="str">
        <f>_xlfn.XLOOKUP(K6366,[2]analyte_order!$B:$B,[2]analyte_order!$C:$C)</f>
        <v>2706-91-4</v>
      </c>
      <c r="M6366">
        <f>_xlfn.XLOOKUP(L6366,[2]analyte_order!$C:$C,[2]analyte_order!$E:$E)</f>
        <v>15</v>
      </c>
      <c r="N6366">
        <v>0.29599999999999999</v>
      </c>
    </row>
    <row r="6367" spans="1:14">
      <c r="A6367" t="s">
        <v>222</v>
      </c>
      <c r="B6367" t="str">
        <f>_xlfn.XLOOKUP(A6367,'[1]Tissue Data'!$A:$A,'[1]Tissue Data'!$C:$C)</f>
        <v>Spill</v>
      </c>
      <c r="C6367" s="2">
        <f>_xlfn.XLOOKUP(A6367,'[1]Tissue Data'!$A:$A,'[1]Tissue Data'!$D:$D)</f>
        <v>44393</v>
      </c>
      <c r="D6367" s="2" t="str">
        <f>_xlfn.XLOOKUP(A6367,'[1]Tissue Data'!$A:$A,'[1]Tissue Data'!$F:$F)</f>
        <v>Margined Madtom</v>
      </c>
      <c r="E6367" t="str">
        <f>_xlfn.XLOOKUP(A6367,'[1]Tissue Data'!$A:$A,'[1]Tissue Data'!$H:$H)</f>
        <v>Noturus</v>
      </c>
      <c r="F6367" t="str">
        <f>_xlfn.XLOOKUP(A6367,'[1]Tissue Data'!$A:$A,'[1]Tissue Data'!$I:$I)</f>
        <v>insignis</v>
      </c>
      <c r="G6367" t="str">
        <f>_xlfn.XLOOKUP(A6367,'[1]Tissue Data'!$A:$A,'[1]Tissue Data'!J:J)</f>
        <v>U</v>
      </c>
      <c r="H6367" t="str">
        <f>_xlfn.XLOOKUP(A6367,'[1]Tissue Data'!$A:$A,'[1]Tissue Data'!K:K)</f>
        <v>Whole Body</v>
      </c>
      <c r="I6367">
        <f>_xlfn.XLOOKUP(A6367,'[1]Tissue Data'!$A:$A,'[1]Tissue Data'!L:L)</f>
        <v>13</v>
      </c>
      <c r="J6367">
        <f>_xlfn.XLOOKUP(A6367,'[1]Tissue Data'!$A:$A,'[1]Tissue Data'!M:M)</f>
        <v>18.59</v>
      </c>
      <c r="K6367" t="s">
        <v>27</v>
      </c>
      <c r="L6367" t="str">
        <f>_xlfn.XLOOKUP(K6367,[2]analyte_order!$B:$B,[2]analyte_order!$C:$C)</f>
        <v>355-46-4</v>
      </c>
      <c r="M6367">
        <f>_xlfn.XLOOKUP(L6367,[2]analyte_order!$C:$C,[2]analyte_order!$E:$E)</f>
        <v>16</v>
      </c>
      <c r="N6367">
        <v>62.6</v>
      </c>
    </row>
    <row r="6368" spans="1:14">
      <c r="A6368" t="s">
        <v>222</v>
      </c>
      <c r="B6368" t="str">
        <f>_xlfn.XLOOKUP(A6368,'[1]Tissue Data'!$A:$A,'[1]Tissue Data'!$C:$C)</f>
        <v>Spill</v>
      </c>
      <c r="C6368" s="2">
        <f>_xlfn.XLOOKUP(A6368,'[1]Tissue Data'!$A:$A,'[1]Tissue Data'!$D:$D)</f>
        <v>44393</v>
      </c>
      <c r="D6368" s="2" t="str">
        <f>_xlfn.XLOOKUP(A6368,'[1]Tissue Data'!$A:$A,'[1]Tissue Data'!$F:$F)</f>
        <v>Margined Madtom</v>
      </c>
      <c r="E6368" t="str">
        <f>_xlfn.XLOOKUP(A6368,'[1]Tissue Data'!$A:$A,'[1]Tissue Data'!$H:$H)</f>
        <v>Noturus</v>
      </c>
      <c r="F6368" t="str">
        <f>_xlfn.XLOOKUP(A6368,'[1]Tissue Data'!$A:$A,'[1]Tissue Data'!$I:$I)</f>
        <v>insignis</v>
      </c>
      <c r="G6368" t="str">
        <f>_xlfn.XLOOKUP(A6368,'[1]Tissue Data'!$A:$A,'[1]Tissue Data'!J:J)</f>
        <v>U</v>
      </c>
      <c r="H6368" t="str">
        <f>_xlfn.XLOOKUP(A6368,'[1]Tissue Data'!$A:$A,'[1]Tissue Data'!K:K)</f>
        <v>Whole Body</v>
      </c>
      <c r="I6368">
        <f>_xlfn.XLOOKUP(A6368,'[1]Tissue Data'!$A:$A,'[1]Tissue Data'!L:L)</f>
        <v>13</v>
      </c>
      <c r="J6368">
        <f>_xlfn.XLOOKUP(A6368,'[1]Tissue Data'!$A:$A,'[1]Tissue Data'!M:M)</f>
        <v>18.59</v>
      </c>
      <c r="K6368" t="s">
        <v>28</v>
      </c>
      <c r="L6368" t="str">
        <f>_xlfn.XLOOKUP(K6368,[2]analyte_order!$B:$B,[2]analyte_order!$C:$C)</f>
        <v>375-92-8</v>
      </c>
      <c r="M6368">
        <f>_xlfn.XLOOKUP(L6368,[2]analyte_order!$C:$C,[2]analyte_order!$E:$E)</f>
        <v>17</v>
      </c>
      <c r="N6368">
        <v>5.4</v>
      </c>
    </row>
    <row r="6369" spans="1:14">
      <c r="A6369" t="s">
        <v>222</v>
      </c>
      <c r="B6369" t="str">
        <f>_xlfn.XLOOKUP(A6369,'[1]Tissue Data'!$A:$A,'[1]Tissue Data'!$C:$C)</f>
        <v>Spill</v>
      </c>
      <c r="C6369" s="2">
        <f>_xlfn.XLOOKUP(A6369,'[1]Tissue Data'!$A:$A,'[1]Tissue Data'!$D:$D)</f>
        <v>44393</v>
      </c>
      <c r="D6369" s="2" t="str">
        <f>_xlfn.XLOOKUP(A6369,'[1]Tissue Data'!$A:$A,'[1]Tissue Data'!$F:$F)</f>
        <v>Margined Madtom</v>
      </c>
      <c r="E6369" t="str">
        <f>_xlfn.XLOOKUP(A6369,'[1]Tissue Data'!$A:$A,'[1]Tissue Data'!$H:$H)</f>
        <v>Noturus</v>
      </c>
      <c r="F6369" t="str">
        <f>_xlfn.XLOOKUP(A6369,'[1]Tissue Data'!$A:$A,'[1]Tissue Data'!$I:$I)</f>
        <v>insignis</v>
      </c>
      <c r="G6369" t="str">
        <f>_xlfn.XLOOKUP(A6369,'[1]Tissue Data'!$A:$A,'[1]Tissue Data'!J:J)</f>
        <v>U</v>
      </c>
      <c r="H6369" t="str">
        <f>_xlfn.XLOOKUP(A6369,'[1]Tissue Data'!$A:$A,'[1]Tissue Data'!K:K)</f>
        <v>Whole Body</v>
      </c>
      <c r="I6369">
        <f>_xlfn.XLOOKUP(A6369,'[1]Tissue Data'!$A:$A,'[1]Tissue Data'!L:L)</f>
        <v>13</v>
      </c>
      <c r="J6369">
        <f>_xlfn.XLOOKUP(A6369,'[1]Tissue Data'!$A:$A,'[1]Tissue Data'!M:M)</f>
        <v>18.59</v>
      </c>
      <c r="K6369" t="s">
        <v>29</v>
      </c>
      <c r="L6369" t="str">
        <f>_xlfn.XLOOKUP(K6369,[2]analyte_order!$B:$B,[2]analyte_order!$C:$C)</f>
        <v>1763-23-1</v>
      </c>
      <c r="M6369">
        <f>_xlfn.XLOOKUP(L6369,[2]analyte_order!$C:$C,[2]analyte_order!$E:$E)</f>
        <v>18</v>
      </c>
      <c r="N6369">
        <v>792</v>
      </c>
    </row>
    <row r="6370" spans="1:14">
      <c r="A6370" t="s">
        <v>222</v>
      </c>
      <c r="B6370" t="str">
        <f>_xlfn.XLOOKUP(A6370,'[1]Tissue Data'!$A:$A,'[1]Tissue Data'!$C:$C)</f>
        <v>Spill</v>
      </c>
      <c r="C6370" s="2">
        <f>_xlfn.XLOOKUP(A6370,'[1]Tissue Data'!$A:$A,'[1]Tissue Data'!$D:$D)</f>
        <v>44393</v>
      </c>
      <c r="D6370" s="2" t="str">
        <f>_xlfn.XLOOKUP(A6370,'[1]Tissue Data'!$A:$A,'[1]Tissue Data'!$F:$F)</f>
        <v>Margined Madtom</v>
      </c>
      <c r="E6370" t="str">
        <f>_xlfn.XLOOKUP(A6370,'[1]Tissue Data'!$A:$A,'[1]Tissue Data'!$H:$H)</f>
        <v>Noturus</v>
      </c>
      <c r="F6370" t="str">
        <f>_xlfn.XLOOKUP(A6370,'[1]Tissue Data'!$A:$A,'[1]Tissue Data'!$I:$I)</f>
        <v>insignis</v>
      </c>
      <c r="G6370" t="str">
        <f>_xlfn.XLOOKUP(A6370,'[1]Tissue Data'!$A:$A,'[1]Tissue Data'!J:J)</f>
        <v>U</v>
      </c>
      <c r="H6370" t="str">
        <f>_xlfn.XLOOKUP(A6370,'[1]Tissue Data'!$A:$A,'[1]Tissue Data'!K:K)</f>
        <v>Whole Body</v>
      </c>
      <c r="I6370">
        <f>_xlfn.XLOOKUP(A6370,'[1]Tissue Data'!$A:$A,'[1]Tissue Data'!L:L)</f>
        <v>13</v>
      </c>
      <c r="J6370">
        <f>_xlfn.XLOOKUP(A6370,'[1]Tissue Data'!$A:$A,'[1]Tissue Data'!M:M)</f>
        <v>18.59</v>
      </c>
      <c r="K6370" t="s">
        <v>30</v>
      </c>
      <c r="L6370" t="str">
        <f>_xlfn.XLOOKUP(K6370,[2]analyte_order!$B:$B,[2]analyte_order!$C:$C)</f>
        <v>68259-12-1</v>
      </c>
      <c r="M6370">
        <f>_xlfn.XLOOKUP(L6370,[2]analyte_order!$C:$C,[2]analyte_order!$E:$E)</f>
        <v>19</v>
      </c>
      <c r="N6370">
        <v>1.39</v>
      </c>
    </row>
    <row r="6371" spans="1:14">
      <c r="A6371" t="s">
        <v>222</v>
      </c>
      <c r="B6371" t="str">
        <f>_xlfn.XLOOKUP(A6371,'[1]Tissue Data'!$A:$A,'[1]Tissue Data'!$C:$C)</f>
        <v>Spill</v>
      </c>
      <c r="C6371" s="2">
        <f>_xlfn.XLOOKUP(A6371,'[1]Tissue Data'!$A:$A,'[1]Tissue Data'!$D:$D)</f>
        <v>44393</v>
      </c>
      <c r="D6371" s="2" t="str">
        <f>_xlfn.XLOOKUP(A6371,'[1]Tissue Data'!$A:$A,'[1]Tissue Data'!$F:$F)</f>
        <v>Margined Madtom</v>
      </c>
      <c r="E6371" t="str">
        <f>_xlfn.XLOOKUP(A6371,'[1]Tissue Data'!$A:$A,'[1]Tissue Data'!$H:$H)</f>
        <v>Noturus</v>
      </c>
      <c r="F6371" t="str">
        <f>_xlfn.XLOOKUP(A6371,'[1]Tissue Data'!$A:$A,'[1]Tissue Data'!$I:$I)</f>
        <v>insignis</v>
      </c>
      <c r="G6371" t="str">
        <f>_xlfn.XLOOKUP(A6371,'[1]Tissue Data'!$A:$A,'[1]Tissue Data'!J:J)</f>
        <v>U</v>
      </c>
      <c r="H6371" t="str">
        <f>_xlfn.XLOOKUP(A6371,'[1]Tissue Data'!$A:$A,'[1]Tissue Data'!K:K)</f>
        <v>Whole Body</v>
      </c>
      <c r="I6371">
        <f>_xlfn.XLOOKUP(A6371,'[1]Tissue Data'!$A:$A,'[1]Tissue Data'!L:L)</f>
        <v>13</v>
      </c>
      <c r="J6371">
        <f>_xlfn.XLOOKUP(A6371,'[1]Tissue Data'!$A:$A,'[1]Tissue Data'!M:M)</f>
        <v>18.59</v>
      </c>
      <c r="K6371" t="s">
        <v>31</v>
      </c>
      <c r="L6371" t="str">
        <f>_xlfn.XLOOKUP(K6371,[2]analyte_order!$B:$B,[2]analyte_order!$C:$C)</f>
        <v>335-77-3</v>
      </c>
      <c r="M6371">
        <f>_xlfn.XLOOKUP(L6371,[2]analyte_order!$C:$C,[2]analyte_order!$E:$E)</f>
        <v>20</v>
      </c>
      <c r="N6371">
        <v>1.87</v>
      </c>
    </row>
    <row r="6372" spans="1:14">
      <c r="A6372" t="s">
        <v>222</v>
      </c>
      <c r="B6372" t="str">
        <f>_xlfn.XLOOKUP(A6372,'[1]Tissue Data'!$A:$A,'[1]Tissue Data'!$C:$C)</f>
        <v>Spill</v>
      </c>
      <c r="C6372" s="2">
        <f>_xlfn.XLOOKUP(A6372,'[1]Tissue Data'!$A:$A,'[1]Tissue Data'!$D:$D)</f>
        <v>44393</v>
      </c>
      <c r="D6372" s="2" t="str">
        <f>_xlfn.XLOOKUP(A6372,'[1]Tissue Data'!$A:$A,'[1]Tissue Data'!$F:$F)</f>
        <v>Margined Madtom</v>
      </c>
      <c r="E6372" t="str">
        <f>_xlfn.XLOOKUP(A6372,'[1]Tissue Data'!$A:$A,'[1]Tissue Data'!$H:$H)</f>
        <v>Noturus</v>
      </c>
      <c r="F6372" t="str">
        <f>_xlfn.XLOOKUP(A6372,'[1]Tissue Data'!$A:$A,'[1]Tissue Data'!$I:$I)</f>
        <v>insignis</v>
      </c>
      <c r="G6372" t="str">
        <f>_xlfn.XLOOKUP(A6372,'[1]Tissue Data'!$A:$A,'[1]Tissue Data'!J:J)</f>
        <v>U</v>
      </c>
      <c r="H6372" t="str">
        <f>_xlfn.XLOOKUP(A6372,'[1]Tissue Data'!$A:$A,'[1]Tissue Data'!K:K)</f>
        <v>Whole Body</v>
      </c>
      <c r="I6372">
        <f>_xlfn.XLOOKUP(A6372,'[1]Tissue Data'!$A:$A,'[1]Tissue Data'!L:L)</f>
        <v>13</v>
      </c>
      <c r="J6372">
        <f>_xlfn.XLOOKUP(A6372,'[1]Tissue Data'!$A:$A,'[1]Tissue Data'!M:M)</f>
        <v>18.59</v>
      </c>
      <c r="K6372" t="s">
        <v>32</v>
      </c>
      <c r="L6372" t="str">
        <f>_xlfn.XLOOKUP(K6372,[2]analyte_order!$B:$B,[2]analyte_order!$C:$C)</f>
        <v>79780-39-5</v>
      </c>
      <c r="M6372">
        <f>_xlfn.XLOOKUP(L6372,[2]analyte_order!$C:$C,[2]analyte_order!$E:$E)</f>
        <v>21</v>
      </c>
      <c r="N6372">
        <v>0.72</v>
      </c>
    </row>
    <row r="6373" spans="1:14">
      <c r="A6373" t="s">
        <v>222</v>
      </c>
      <c r="B6373" t="str">
        <f>_xlfn.XLOOKUP(A6373,'[1]Tissue Data'!$A:$A,'[1]Tissue Data'!$C:$C)</f>
        <v>Spill</v>
      </c>
      <c r="C6373" s="2">
        <f>_xlfn.XLOOKUP(A6373,'[1]Tissue Data'!$A:$A,'[1]Tissue Data'!$D:$D)</f>
        <v>44393</v>
      </c>
      <c r="D6373" s="2" t="str">
        <f>_xlfn.XLOOKUP(A6373,'[1]Tissue Data'!$A:$A,'[1]Tissue Data'!$F:$F)</f>
        <v>Margined Madtom</v>
      </c>
      <c r="E6373" t="str">
        <f>_xlfn.XLOOKUP(A6373,'[1]Tissue Data'!$A:$A,'[1]Tissue Data'!$H:$H)</f>
        <v>Noturus</v>
      </c>
      <c r="F6373" t="str">
        <f>_xlfn.XLOOKUP(A6373,'[1]Tissue Data'!$A:$A,'[1]Tissue Data'!$I:$I)</f>
        <v>insignis</v>
      </c>
      <c r="G6373" t="str">
        <f>_xlfn.XLOOKUP(A6373,'[1]Tissue Data'!$A:$A,'[1]Tissue Data'!J:J)</f>
        <v>U</v>
      </c>
      <c r="H6373" t="str">
        <f>_xlfn.XLOOKUP(A6373,'[1]Tissue Data'!$A:$A,'[1]Tissue Data'!K:K)</f>
        <v>Whole Body</v>
      </c>
      <c r="I6373">
        <f>_xlfn.XLOOKUP(A6373,'[1]Tissue Data'!$A:$A,'[1]Tissue Data'!L:L)</f>
        <v>13</v>
      </c>
      <c r="J6373">
        <f>_xlfn.XLOOKUP(A6373,'[1]Tissue Data'!$A:$A,'[1]Tissue Data'!M:M)</f>
        <v>18.59</v>
      </c>
      <c r="K6373" t="s">
        <v>33</v>
      </c>
      <c r="L6373" t="str">
        <f>_xlfn.XLOOKUP(K6373,[2]analyte_order!$B:$B,[2]analyte_order!$C:$C)</f>
        <v>777011-38-8</v>
      </c>
      <c r="M6373">
        <f>_xlfn.XLOOKUP(L6373,[2]analyte_order!$C:$C,[2]analyte_order!$E:$E)</f>
        <v>54</v>
      </c>
      <c r="N6373">
        <v>0.1285</v>
      </c>
    </row>
    <row r="6374" spans="1:14">
      <c r="A6374" t="s">
        <v>222</v>
      </c>
      <c r="B6374" t="str">
        <f>_xlfn.XLOOKUP(A6374,'[1]Tissue Data'!$A:$A,'[1]Tissue Data'!$C:$C)</f>
        <v>Spill</v>
      </c>
      <c r="C6374" s="2">
        <f>_xlfn.XLOOKUP(A6374,'[1]Tissue Data'!$A:$A,'[1]Tissue Data'!$D:$D)</f>
        <v>44393</v>
      </c>
      <c r="D6374" s="2" t="str">
        <f>_xlfn.XLOOKUP(A6374,'[1]Tissue Data'!$A:$A,'[1]Tissue Data'!$F:$F)</f>
        <v>Margined Madtom</v>
      </c>
      <c r="E6374" t="str">
        <f>_xlfn.XLOOKUP(A6374,'[1]Tissue Data'!$A:$A,'[1]Tissue Data'!$H:$H)</f>
        <v>Noturus</v>
      </c>
      <c r="F6374" t="str">
        <f>_xlfn.XLOOKUP(A6374,'[1]Tissue Data'!$A:$A,'[1]Tissue Data'!$I:$I)</f>
        <v>insignis</v>
      </c>
      <c r="G6374" t="str">
        <f>_xlfn.XLOOKUP(A6374,'[1]Tissue Data'!$A:$A,'[1]Tissue Data'!J:J)</f>
        <v>U</v>
      </c>
      <c r="H6374" t="str">
        <f>_xlfn.XLOOKUP(A6374,'[1]Tissue Data'!$A:$A,'[1]Tissue Data'!K:K)</f>
        <v>Whole Body</v>
      </c>
      <c r="I6374">
        <f>_xlfn.XLOOKUP(A6374,'[1]Tissue Data'!$A:$A,'[1]Tissue Data'!L:L)</f>
        <v>13</v>
      </c>
      <c r="J6374">
        <f>_xlfn.XLOOKUP(A6374,'[1]Tissue Data'!$A:$A,'[1]Tissue Data'!M:M)</f>
        <v>18.59</v>
      </c>
      <c r="K6374" t="s">
        <v>34</v>
      </c>
      <c r="L6374" t="str">
        <f>_xlfn.XLOOKUP(K6374,[2]analyte_order!$B:$B,[2]analyte_order!$C:$C)</f>
        <v>646-83-3</v>
      </c>
      <c r="M6374">
        <f>_xlfn.XLOOKUP(L6374,[2]analyte_order!$C:$C,[2]analyte_order!$E:$E)</f>
        <v>55</v>
      </c>
      <c r="N6374">
        <v>0.188</v>
      </c>
    </row>
    <row r="6375" spans="1:14">
      <c r="A6375" t="s">
        <v>222</v>
      </c>
      <c r="B6375" t="str">
        <f>_xlfn.XLOOKUP(A6375,'[1]Tissue Data'!$A:$A,'[1]Tissue Data'!$C:$C)</f>
        <v>Spill</v>
      </c>
      <c r="C6375" s="2">
        <f>_xlfn.XLOOKUP(A6375,'[1]Tissue Data'!$A:$A,'[1]Tissue Data'!$D:$D)</f>
        <v>44393</v>
      </c>
      <c r="D6375" s="2" t="str">
        <f>_xlfn.XLOOKUP(A6375,'[1]Tissue Data'!$A:$A,'[1]Tissue Data'!$F:$F)</f>
        <v>Margined Madtom</v>
      </c>
      <c r="E6375" t="str">
        <f>_xlfn.XLOOKUP(A6375,'[1]Tissue Data'!$A:$A,'[1]Tissue Data'!$H:$H)</f>
        <v>Noturus</v>
      </c>
      <c r="F6375" t="str">
        <f>_xlfn.XLOOKUP(A6375,'[1]Tissue Data'!$A:$A,'[1]Tissue Data'!$I:$I)</f>
        <v>insignis</v>
      </c>
      <c r="G6375" t="str">
        <f>_xlfn.XLOOKUP(A6375,'[1]Tissue Data'!$A:$A,'[1]Tissue Data'!J:J)</f>
        <v>U</v>
      </c>
      <c r="H6375" t="str">
        <f>_xlfn.XLOOKUP(A6375,'[1]Tissue Data'!$A:$A,'[1]Tissue Data'!K:K)</f>
        <v>Whole Body</v>
      </c>
      <c r="I6375">
        <f>_xlfn.XLOOKUP(A6375,'[1]Tissue Data'!$A:$A,'[1]Tissue Data'!L:L)</f>
        <v>13</v>
      </c>
      <c r="J6375">
        <f>_xlfn.XLOOKUP(A6375,'[1]Tissue Data'!$A:$A,'[1]Tissue Data'!M:M)</f>
        <v>18.59</v>
      </c>
      <c r="K6375" t="s">
        <v>35</v>
      </c>
      <c r="L6375" t="str">
        <f>_xlfn.XLOOKUP(K6375,[2]analyte_order!$B:$B,[2]analyte_order!$C:$C)</f>
        <v>30334-69-1</v>
      </c>
      <c r="M6375">
        <f>_xlfn.XLOOKUP(L6375,[2]analyte_order!$C:$C,[2]analyte_order!$E:$E)</f>
        <v>51</v>
      </c>
      <c r="N6375">
        <v>166</v>
      </c>
    </row>
    <row r="6376" spans="1:14">
      <c r="A6376" t="s">
        <v>222</v>
      </c>
      <c r="B6376" t="str">
        <f>_xlfn.XLOOKUP(A6376,'[1]Tissue Data'!$A:$A,'[1]Tissue Data'!$C:$C)</f>
        <v>Spill</v>
      </c>
      <c r="C6376" s="2">
        <f>_xlfn.XLOOKUP(A6376,'[1]Tissue Data'!$A:$A,'[1]Tissue Data'!$D:$D)</f>
        <v>44393</v>
      </c>
      <c r="D6376" s="2" t="str">
        <f>_xlfn.XLOOKUP(A6376,'[1]Tissue Data'!$A:$A,'[1]Tissue Data'!$F:$F)</f>
        <v>Margined Madtom</v>
      </c>
      <c r="E6376" t="str">
        <f>_xlfn.XLOOKUP(A6376,'[1]Tissue Data'!$A:$A,'[1]Tissue Data'!$H:$H)</f>
        <v>Noturus</v>
      </c>
      <c r="F6376" t="str">
        <f>_xlfn.XLOOKUP(A6376,'[1]Tissue Data'!$A:$A,'[1]Tissue Data'!$I:$I)</f>
        <v>insignis</v>
      </c>
      <c r="G6376" t="str">
        <f>_xlfn.XLOOKUP(A6376,'[1]Tissue Data'!$A:$A,'[1]Tissue Data'!J:J)</f>
        <v>U</v>
      </c>
      <c r="H6376" t="str">
        <f>_xlfn.XLOOKUP(A6376,'[1]Tissue Data'!$A:$A,'[1]Tissue Data'!K:K)</f>
        <v>Whole Body</v>
      </c>
      <c r="I6376">
        <f>_xlfn.XLOOKUP(A6376,'[1]Tissue Data'!$A:$A,'[1]Tissue Data'!L:L)</f>
        <v>13</v>
      </c>
      <c r="J6376">
        <f>_xlfn.XLOOKUP(A6376,'[1]Tissue Data'!$A:$A,'[1]Tissue Data'!M:M)</f>
        <v>18.59</v>
      </c>
      <c r="K6376" t="s">
        <v>36</v>
      </c>
      <c r="L6376" t="str">
        <f>_xlfn.XLOOKUP(K6376,[2]analyte_order!$B:$B,[2]analyte_order!$C:$C)</f>
        <v>41997-13-1</v>
      </c>
      <c r="M6376">
        <f>_xlfn.XLOOKUP(L6376,[2]analyte_order!$C:$C,[2]analyte_order!$E:$E)</f>
        <v>52</v>
      </c>
      <c r="N6376">
        <v>664</v>
      </c>
    </row>
    <row r="6377" spans="1:14">
      <c r="A6377" t="s">
        <v>222</v>
      </c>
      <c r="B6377" t="str">
        <f>_xlfn.XLOOKUP(A6377,'[1]Tissue Data'!$A:$A,'[1]Tissue Data'!$C:$C)</f>
        <v>Spill</v>
      </c>
      <c r="C6377" s="2">
        <f>_xlfn.XLOOKUP(A6377,'[1]Tissue Data'!$A:$A,'[1]Tissue Data'!$D:$D)</f>
        <v>44393</v>
      </c>
      <c r="D6377" s="2" t="str">
        <f>_xlfn.XLOOKUP(A6377,'[1]Tissue Data'!$A:$A,'[1]Tissue Data'!$F:$F)</f>
        <v>Margined Madtom</v>
      </c>
      <c r="E6377" t="str">
        <f>_xlfn.XLOOKUP(A6377,'[1]Tissue Data'!$A:$A,'[1]Tissue Data'!$H:$H)</f>
        <v>Noturus</v>
      </c>
      <c r="F6377" t="str">
        <f>_xlfn.XLOOKUP(A6377,'[1]Tissue Data'!$A:$A,'[1]Tissue Data'!$I:$I)</f>
        <v>insignis</v>
      </c>
      <c r="G6377" t="str">
        <f>_xlfn.XLOOKUP(A6377,'[1]Tissue Data'!$A:$A,'[1]Tissue Data'!J:J)</f>
        <v>U</v>
      </c>
      <c r="H6377" t="str">
        <f>_xlfn.XLOOKUP(A6377,'[1]Tissue Data'!$A:$A,'[1]Tissue Data'!K:K)</f>
        <v>Whole Body</v>
      </c>
      <c r="I6377">
        <f>_xlfn.XLOOKUP(A6377,'[1]Tissue Data'!$A:$A,'[1]Tissue Data'!L:L)</f>
        <v>13</v>
      </c>
      <c r="J6377">
        <f>_xlfn.XLOOKUP(A6377,'[1]Tissue Data'!$A:$A,'[1]Tissue Data'!M:M)</f>
        <v>18.59</v>
      </c>
      <c r="K6377" t="s">
        <v>37</v>
      </c>
      <c r="L6377" t="str">
        <f>_xlfn.XLOOKUP(K6377,[2]analyte_order!$B:$B,[2]analyte_order!$C:$C)</f>
        <v>754-91-6</v>
      </c>
      <c r="M6377">
        <f>_xlfn.XLOOKUP(L6377,[2]analyte_order!$C:$C,[2]analyte_order!$E:$E)</f>
        <v>28</v>
      </c>
      <c r="N6377">
        <v>23.8</v>
      </c>
    </row>
    <row r="6378" spans="1:14">
      <c r="A6378" t="s">
        <v>222</v>
      </c>
      <c r="B6378" t="str">
        <f>_xlfn.XLOOKUP(A6378,'[1]Tissue Data'!$A:$A,'[1]Tissue Data'!$C:$C)</f>
        <v>Spill</v>
      </c>
      <c r="C6378" s="2">
        <f>_xlfn.XLOOKUP(A6378,'[1]Tissue Data'!$A:$A,'[1]Tissue Data'!$D:$D)</f>
        <v>44393</v>
      </c>
      <c r="D6378" s="2" t="str">
        <f>_xlfn.XLOOKUP(A6378,'[1]Tissue Data'!$A:$A,'[1]Tissue Data'!$F:$F)</f>
        <v>Margined Madtom</v>
      </c>
      <c r="E6378" t="str">
        <f>_xlfn.XLOOKUP(A6378,'[1]Tissue Data'!$A:$A,'[1]Tissue Data'!$H:$H)</f>
        <v>Noturus</v>
      </c>
      <c r="F6378" t="str">
        <f>_xlfn.XLOOKUP(A6378,'[1]Tissue Data'!$A:$A,'[1]Tissue Data'!$I:$I)</f>
        <v>insignis</v>
      </c>
      <c r="G6378" t="str">
        <f>_xlfn.XLOOKUP(A6378,'[1]Tissue Data'!$A:$A,'[1]Tissue Data'!J:J)</f>
        <v>U</v>
      </c>
      <c r="H6378" t="str">
        <f>_xlfn.XLOOKUP(A6378,'[1]Tissue Data'!$A:$A,'[1]Tissue Data'!K:K)</f>
        <v>Whole Body</v>
      </c>
      <c r="I6378">
        <f>_xlfn.XLOOKUP(A6378,'[1]Tissue Data'!$A:$A,'[1]Tissue Data'!L:L)</f>
        <v>13</v>
      </c>
      <c r="J6378">
        <f>_xlfn.XLOOKUP(A6378,'[1]Tissue Data'!$A:$A,'[1]Tissue Data'!M:M)</f>
        <v>18.59</v>
      </c>
      <c r="K6378" t="s">
        <v>38</v>
      </c>
      <c r="L6378" t="str">
        <f>_xlfn.XLOOKUP(K6378,[2]analyte_order!$B:$B,[2]analyte_order!$C:$C)</f>
        <v>31506-32-8</v>
      </c>
      <c r="M6378">
        <f>_xlfn.XLOOKUP(L6378,[2]analyte_order!$C:$C,[2]analyte_order!$E:$E)</f>
        <v>30</v>
      </c>
      <c r="N6378">
        <v>8.1500000000000003E-2</v>
      </c>
    </row>
    <row r="6379" spans="1:14">
      <c r="A6379" t="s">
        <v>222</v>
      </c>
      <c r="B6379" t="str">
        <f>_xlfn.XLOOKUP(A6379,'[1]Tissue Data'!$A:$A,'[1]Tissue Data'!$C:$C)</f>
        <v>Spill</v>
      </c>
      <c r="C6379" s="2">
        <f>_xlfn.XLOOKUP(A6379,'[1]Tissue Data'!$A:$A,'[1]Tissue Data'!$D:$D)</f>
        <v>44393</v>
      </c>
      <c r="D6379" s="2" t="str">
        <f>_xlfn.XLOOKUP(A6379,'[1]Tissue Data'!$A:$A,'[1]Tissue Data'!$F:$F)</f>
        <v>Margined Madtom</v>
      </c>
      <c r="E6379" t="str">
        <f>_xlfn.XLOOKUP(A6379,'[1]Tissue Data'!$A:$A,'[1]Tissue Data'!$H:$H)</f>
        <v>Noturus</v>
      </c>
      <c r="F6379" t="str">
        <f>_xlfn.XLOOKUP(A6379,'[1]Tissue Data'!$A:$A,'[1]Tissue Data'!$I:$I)</f>
        <v>insignis</v>
      </c>
      <c r="G6379" t="str">
        <f>_xlfn.XLOOKUP(A6379,'[1]Tissue Data'!$A:$A,'[1]Tissue Data'!J:J)</f>
        <v>U</v>
      </c>
      <c r="H6379" t="str">
        <f>_xlfn.XLOOKUP(A6379,'[1]Tissue Data'!$A:$A,'[1]Tissue Data'!K:K)</f>
        <v>Whole Body</v>
      </c>
      <c r="I6379">
        <f>_xlfn.XLOOKUP(A6379,'[1]Tissue Data'!$A:$A,'[1]Tissue Data'!L:L)</f>
        <v>13</v>
      </c>
      <c r="J6379">
        <f>_xlfn.XLOOKUP(A6379,'[1]Tissue Data'!$A:$A,'[1]Tissue Data'!M:M)</f>
        <v>18.59</v>
      </c>
      <c r="K6379" t="s">
        <v>39</v>
      </c>
      <c r="L6379" t="str">
        <f>_xlfn.XLOOKUP(K6379,[2]analyte_order!$B:$B,[2]analyte_order!$C:$C)</f>
        <v>4151-50-2</v>
      </c>
      <c r="M6379">
        <f>_xlfn.XLOOKUP(L6379,[2]analyte_order!$C:$C,[2]analyte_order!$E:$E)</f>
        <v>31</v>
      </c>
      <c r="N6379">
        <v>0.21149999999999999</v>
      </c>
    </row>
    <row r="6380" spans="1:14">
      <c r="A6380" t="s">
        <v>222</v>
      </c>
      <c r="B6380" t="str">
        <f>_xlfn.XLOOKUP(A6380,'[1]Tissue Data'!$A:$A,'[1]Tissue Data'!$C:$C)</f>
        <v>Spill</v>
      </c>
      <c r="C6380" s="2">
        <f>_xlfn.XLOOKUP(A6380,'[1]Tissue Data'!$A:$A,'[1]Tissue Data'!$D:$D)</f>
        <v>44393</v>
      </c>
      <c r="D6380" s="2" t="str">
        <f>_xlfn.XLOOKUP(A6380,'[1]Tissue Data'!$A:$A,'[1]Tissue Data'!$F:$F)</f>
        <v>Margined Madtom</v>
      </c>
      <c r="E6380" t="str">
        <f>_xlfn.XLOOKUP(A6380,'[1]Tissue Data'!$A:$A,'[1]Tissue Data'!$H:$H)</f>
        <v>Noturus</v>
      </c>
      <c r="F6380" t="str">
        <f>_xlfn.XLOOKUP(A6380,'[1]Tissue Data'!$A:$A,'[1]Tissue Data'!$I:$I)</f>
        <v>insignis</v>
      </c>
      <c r="G6380" t="str">
        <f>_xlfn.XLOOKUP(A6380,'[1]Tissue Data'!$A:$A,'[1]Tissue Data'!J:J)</f>
        <v>U</v>
      </c>
      <c r="H6380" t="str">
        <f>_xlfn.XLOOKUP(A6380,'[1]Tissue Data'!$A:$A,'[1]Tissue Data'!K:K)</f>
        <v>Whole Body</v>
      </c>
      <c r="I6380">
        <f>_xlfn.XLOOKUP(A6380,'[1]Tissue Data'!$A:$A,'[1]Tissue Data'!L:L)</f>
        <v>13</v>
      </c>
      <c r="J6380">
        <f>_xlfn.XLOOKUP(A6380,'[1]Tissue Data'!$A:$A,'[1]Tissue Data'!M:M)</f>
        <v>18.59</v>
      </c>
      <c r="K6380" t="s">
        <v>40</v>
      </c>
      <c r="L6380" t="str">
        <f>_xlfn.XLOOKUP(K6380,[2]analyte_order!$B:$B,[2]analyte_order!$C:$C)</f>
        <v>2806-24-8</v>
      </c>
      <c r="M6380">
        <f>_xlfn.XLOOKUP(L6380,[2]analyte_order!$C:$C,[2]analyte_order!$E:$E)</f>
        <v>29</v>
      </c>
      <c r="N6380">
        <v>0.42299999999999999</v>
      </c>
    </row>
    <row r="6381" spans="1:14">
      <c r="A6381" t="s">
        <v>222</v>
      </c>
      <c r="B6381" t="str">
        <f>_xlfn.XLOOKUP(A6381,'[1]Tissue Data'!$A:$A,'[1]Tissue Data'!$C:$C)</f>
        <v>Spill</v>
      </c>
      <c r="C6381" s="2">
        <f>_xlfn.XLOOKUP(A6381,'[1]Tissue Data'!$A:$A,'[1]Tissue Data'!$D:$D)</f>
        <v>44393</v>
      </c>
      <c r="D6381" s="2" t="str">
        <f>_xlfn.XLOOKUP(A6381,'[1]Tissue Data'!$A:$A,'[1]Tissue Data'!$F:$F)</f>
        <v>Margined Madtom</v>
      </c>
      <c r="E6381" t="str">
        <f>_xlfn.XLOOKUP(A6381,'[1]Tissue Data'!$A:$A,'[1]Tissue Data'!$H:$H)</f>
        <v>Noturus</v>
      </c>
      <c r="F6381" t="str">
        <f>_xlfn.XLOOKUP(A6381,'[1]Tissue Data'!$A:$A,'[1]Tissue Data'!$I:$I)</f>
        <v>insignis</v>
      </c>
      <c r="G6381" t="str">
        <f>_xlfn.XLOOKUP(A6381,'[1]Tissue Data'!$A:$A,'[1]Tissue Data'!J:J)</f>
        <v>U</v>
      </c>
      <c r="H6381" t="str">
        <f>_xlfn.XLOOKUP(A6381,'[1]Tissue Data'!$A:$A,'[1]Tissue Data'!K:K)</f>
        <v>Whole Body</v>
      </c>
      <c r="I6381">
        <f>_xlfn.XLOOKUP(A6381,'[1]Tissue Data'!$A:$A,'[1]Tissue Data'!L:L)</f>
        <v>13</v>
      </c>
      <c r="J6381">
        <f>_xlfn.XLOOKUP(A6381,'[1]Tissue Data'!$A:$A,'[1]Tissue Data'!M:M)</f>
        <v>18.59</v>
      </c>
      <c r="K6381" t="s">
        <v>41</v>
      </c>
      <c r="L6381" t="str">
        <f>_xlfn.XLOOKUP(K6381,[2]analyte_order!$B:$B,[2]analyte_order!$C:$C)</f>
        <v>2355-31-9</v>
      </c>
      <c r="M6381">
        <f>_xlfn.XLOOKUP(L6381,[2]analyte_order!$C:$C,[2]analyte_order!$E:$E)</f>
        <v>26</v>
      </c>
      <c r="N6381">
        <v>0.1065</v>
      </c>
    </row>
    <row r="6382" spans="1:14">
      <c r="A6382" t="s">
        <v>222</v>
      </c>
      <c r="B6382" t="str">
        <f>_xlfn.XLOOKUP(A6382,'[1]Tissue Data'!$A:$A,'[1]Tissue Data'!$C:$C)</f>
        <v>Spill</v>
      </c>
      <c r="C6382" s="2">
        <f>_xlfn.XLOOKUP(A6382,'[1]Tissue Data'!$A:$A,'[1]Tissue Data'!$D:$D)</f>
        <v>44393</v>
      </c>
      <c r="D6382" s="2" t="str">
        <f>_xlfn.XLOOKUP(A6382,'[1]Tissue Data'!$A:$A,'[1]Tissue Data'!$F:$F)</f>
        <v>Margined Madtom</v>
      </c>
      <c r="E6382" t="str">
        <f>_xlfn.XLOOKUP(A6382,'[1]Tissue Data'!$A:$A,'[1]Tissue Data'!$H:$H)</f>
        <v>Noturus</v>
      </c>
      <c r="F6382" t="str">
        <f>_xlfn.XLOOKUP(A6382,'[1]Tissue Data'!$A:$A,'[1]Tissue Data'!$I:$I)</f>
        <v>insignis</v>
      </c>
      <c r="G6382" t="str">
        <f>_xlfn.XLOOKUP(A6382,'[1]Tissue Data'!$A:$A,'[1]Tissue Data'!J:J)</f>
        <v>U</v>
      </c>
      <c r="H6382" t="str">
        <f>_xlfn.XLOOKUP(A6382,'[1]Tissue Data'!$A:$A,'[1]Tissue Data'!K:K)</f>
        <v>Whole Body</v>
      </c>
      <c r="I6382">
        <f>_xlfn.XLOOKUP(A6382,'[1]Tissue Data'!$A:$A,'[1]Tissue Data'!L:L)</f>
        <v>13</v>
      </c>
      <c r="J6382">
        <f>_xlfn.XLOOKUP(A6382,'[1]Tissue Data'!$A:$A,'[1]Tissue Data'!M:M)</f>
        <v>18.59</v>
      </c>
      <c r="K6382" t="s">
        <v>42</v>
      </c>
      <c r="L6382" t="str">
        <f>_xlfn.XLOOKUP(K6382,[2]analyte_order!$B:$B,[2]analyte_order!$C:$C)</f>
        <v>2991-50-6</v>
      </c>
      <c r="M6382">
        <f>_xlfn.XLOOKUP(L6382,[2]analyte_order!$C:$C,[2]analyte_order!$E:$E)</f>
        <v>27</v>
      </c>
      <c r="N6382">
        <v>0.106</v>
      </c>
    </row>
    <row r="6383" spans="1:14">
      <c r="A6383" t="s">
        <v>222</v>
      </c>
      <c r="B6383" t="str">
        <f>_xlfn.XLOOKUP(A6383,'[1]Tissue Data'!$A:$A,'[1]Tissue Data'!$C:$C)</f>
        <v>Spill</v>
      </c>
      <c r="C6383" s="2">
        <f>_xlfn.XLOOKUP(A6383,'[1]Tissue Data'!$A:$A,'[1]Tissue Data'!$D:$D)</f>
        <v>44393</v>
      </c>
      <c r="D6383" s="2" t="str">
        <f>_xlfn.XLOOKUP(A6383,'[1]Tissue Data'!$A:$A,'[1]Tissue Data'!$F:$F)</f>
        <v>Margined Madtom</v>
      </c>
      <c r="E6383" t="str">
        <f>_xlfn.XLOOKUP(A6383,'[1]Tissue Data'!$A:$A,'[1]Tissue Data'!$H:$H)</f>
        <v>Noturus</v>
      </c>
      <c r="F6383" t="str">
        <f>_xlfn.XLOOKUP(A6383,'[1]Tissue Data'!$A:$A,'[1]Tissue Data'!$I:$I)</f>
        <v>insignis</v>
      </c>
      <c r="G6383" t="str">
        <f>_xlfn.XLOOKUP(A6383,'[1]Tissue Data'!$A:$A,'[1]Tissue Data'!J:J)</f>
        <v>U</v>
      </c>
      <c r="H6383" t="str">
        <f>_xlfn.XLOOKUP(A6383,'[1]Tissue Data'!$A:$A,'[1]Tissue Data'!K:K)</f>
        <v>Whole Body</v>
      </c>
      <c r="I6383">
        <f>_xlfn.XLOOKUP(A6383,'[1]Tissue Data'!$A:$A,'[1]Tissue Data'!L:L)</f>
        <v>13</v>
      </c>
      <c r="J6383">
        <f>_xlfn.XLOOKUP(A6383,'[1]Tissue Data'!$A:$A,'[1]Tissue Data'!M:M)</f>
        <v>18.59</v>
      </c>
      <c r="K6383" t="s">
        <v>43</v>
      </c>
      <c r="L6383" t="str">
        <f>_xlfn.XLOOKUP(K6383,[2]analyte_order!$B:$B,[2]analyte_order!$C:$C)</f>
        <v>757124-72-4</v>
      </c>
      <c r="M6383">
        <f>_xlfn.XLOOKUP(L6383,[2]analyte_order!$C:$C,[2]analyte_order!$E:$E)</f>
        <v>22</v>
      </c>
      <c r="N6383">
        <v>0.106</v>
      </c>
    </row>
    <row r="6384" spans="1:14">
      <c r="A6384" t="s">
        <v>222</v>
      </c>
      <c r="B6384" t="str">
        <f>_xlfn.XLOOKUP(A6384,'[1]Tissue Data'!$A:$A,'[1]Tissue Data'!$C:$C)</f>
        <v>Spill</v>
      </c>
      <c r="C6384" s="2">
        <f>_xlfn.XLOOKUP(A6384,'[1]Tissue Data'!$A:$A,'[1]Tissue Data'!$D:$D)</f>
        <v>44393</v>
      </c>
      <c r="D6384" s="2" t="str">
        <f>_xlfn.XLOOKUP(A6384,'[1]Tissue Data'!$A:$A,'[1]Tissue Data'!$F:$F)</f>
        <v>Margined Madtom</v>
      </c>
      <c r="E6384" t="str">
        <f>_xlfn.XLOOKUP(A6384,'[1]Tissue Data'!$A:$A,'[1]Tissue Data'!$H:$H)</f>
        <v>Noturus</v>
      </c>
      <c r="F6384" t="str">
        <f>_xlfn.XLOOKUP(A6384,'[1]Tissue Data'!$A:$A,'[1]Tissue Data'!$I:$I)</f>
        <v>insignis</v>
      </c>
      <c r="G6384" t="str">
        <f>_xlfn.XLOOKUP(A6384,'[1]Tissue Data'!$A:$A,'[1]Tissue Data'!J:J)</f>
        <v>U</v>
      </c>
      <c r="H6384" t="str">
        <f>_xlfn.XLOOKUP(A6384,'[1]Tissue Data'!$A:$A,'[1]Tissue Data'!K:K)</f>
        <v>Whole Body</v>
      </c>
      <c r="I6384">
        <f>_xlfn.XLOOKUP(A6384,'[1]Tissue Data'!$A:$A,'[1]Tissue Data'!L:L)</f>
        <v>13</v>
      </c>
      <c r="J6384">
        <f>_xlfn.XLOOKUP(A6384,'[1]Tissue Data'!$A:$A,'[1]Tissue Data'!M:M)</f>
        <v>18.59</v>
      </c>
      <c r="K6384" t="s">
        <v>44</v>
      </c>
      <c r="L6384" t="str">
        <f>_xlfn.XLOOKUP(K6384,[2]analyte_order!$B:$B,[2]analyte_order!$C:$C)</f>
        <v>27619-97-2</v>
      </c>
      <c r="M6384">
        <f>_xlfn.XLOOKUP(L6384,[2]analyte_order!$C:$C,[2]analyte_order!$E:$E)</f>
        <v>23</v>
      </c>
      <c r="N6384">
        <v>0.21149999999999999</v>
      </c>
    </row>
    <row r="6385" spans="1:14">
      <c r="A6385" t="s">
        <v>222</v>
      </c>
      <c r="B6385" t="str">
        <f>_xlfn.XLOOKUP(A6385,'[1]Tissue Data'!$A:$A,'[1]Tissue Data'!$C:$C)</f>
        <v>Spill</v>
      </c>
      <c r="C6385" s="2">
        <f>_xlfn.XLOOKUP(A6385,'[1]Tissue Data'!$A:$A,'[1]Tissue Data'!$D:$D)</f>
        <v>44393</v>
      </c>
      <c r="D6385" s="2" t="str">
        <f>_xlfn.XLOOKUP(A6385,'[1]Tissue Data'!$A:$A,'[1]Tissue Data'!$F:$F)</f>
        <v>Margined Madtom</v>
      </c>
      <c r="E6385" t="str">
        <f>_xlfn.XLOOKUP(A6385,'[1]Tissue Data'!$A:$A,'[1]Tissue Data'!$H:$H)</f>
        <v>Noturus</v>
      </c>
      <c r="F6385" t="str">
        <f>_xlfn.XLOOKUP(A6385,'[1]Tissue Data'!$A:$A,'[1]Tissue Data'!$I:$I)</f>
        <v>insignis</v>
      </c>
      <c r="G6385" t="str">
        <f>_xlfn.XLOOKUP(A6385,'[1]Tissue Data'!$A:$A,'[1]Tissue Data'!J:J)</f>
        <v>U</v>
      </c>
      <c r="H6385" t="str">
        <f>_xlfn.XLOOKUP(A6385,'[1]Tissue Data'!$A:$A,'[1]Tissue Data'!K:K)</f>
        <v>Whole Body</v>
      </c>
      <c r="I6385">
        <f>_xlfn.XLOOKUP(A6385,'[1]Tissue Data'!$A:$A,'[1]Tissue Data'!L:L)</f>
        <v>13</v>
      </c>
      <c r="J6385">
        <f>_xlfn.XLOOKUP(A6385,'[1]Tissue Data'!$A:$A,'[1]Tissue Data'!M:M)</f>
        <v>18.59</v>
      </c>
      <c r="K6385" t="s">
        <v>45</v>
      </c>
      <c r="L6385" t="str">
        <f>_xlfn.XLOOKUP(K6385,[2]analyte_order!$B:$B,[2]analyte_order!$C:$C)</f>
        <v>39108-34-4</v>
      </c>
      <c r="M6385">
        <f>_xlfn.XLOOKUP(L6385,[2]analyte_order!$C:$C,[2]analyte_order!$E:$E)</f>
        <v>24</v>
      </c>
      <c r="N6385">
        <v>20.2</v>
      </c>
    </row>
    <row r="6386" spans="1:14">
      <c r="A6386" t="s">
        <v>222</v>
      </c>
      <c r="B6386" t="str">
        <f>_xlfn.XLOOKUP(A6386,'[1]Tissue Data'!$A:$A,'[1]Tissue Data'!$C:$C)</f>
        <v>Spill</v>
      </c>
      <c r="C6386" s="2">
        <f>_xlfn.XLOOKUP(A6386,'[1]Tissue Data'!$A:$A,'[1]Tissue Data'!$D:$D)</f>
        <v>44393</v>
      </c>
      <c r="D6386" s="2" t="str">
        <f>_xlfn.XLOOKUP(A6386,'[1]Tissue Data'!$A:$A,'[1]Tissue Data'!$F:$F)</f>
        <v>Margined Madtom</v>
      </c>
      <c r="E6386" t="str">
        <f>_xlfn.XLOOKUP(A6386,'[1]Tissue Data'!$A:$A,'[1]Tissue Data'!$H:$H)</f>
        <v>Noturus</v>
      </c>
      <c r="F6386" t="str">
        <f>_xlfn.XLOOKUP(A6386,'[1]Tissue Data'!$A:$A,'[1]Tissue Data'!$I:$I)</f>
        <v>insignis</v>
      </c>
      <c r="G6386" t="str">
        <f>_xlfn.XLOOKUP(A6386,'[1]Tissue Data'!$A:$A,'[1]Tissue Data'!J:J)</f>
        <v>U</v>
      </c>
      <c r="H6386" t="str">
        <f>_xlfn.XLOOKUP(A6386,'[1]Tissue Data'!$A:$A,'[1]Tissue Data'!K:K)</f>
        <v>Whole Body</v>
      </c>
      <c r="I6386">
        <f>_xlfn.XLOOKUP(A6386,'[1]Tissue Data'!$A:$A,'[1]Tissue Data'!L:L)</f>
        <v>13</v>
      </c>
      <c r="J6386">
        <f>_xlfn.XLOOKUP(A6386,'[1]Tissue Data'!$A:$A,'[1]Tissue Data'!M:M)</f>
        <v>18.59</v>
      </c>
      <c r="K6386" t="s">
        <v>46</v>
      </c>
      <c r="L6386" t="str">
        <f>_xlfn.XLOOKUP(K6386,[2]analyte_order!$B:$B,[2]analyte_order!$C:$C)</f>
        <v>120226-60-0</v>
      </c>
      <c r="M6386">
        <f>_xlfn.XLOOKUP(L6386,[2]analyte_order!$C:$C,[2]analyte_order!$E:$E)</f>
        <v>25</v>
      </c>
      <c r="N6386">
        <v>0.42299999999999999</v>
      </c>
    </row>
    <row r="6387" spans="1:14">
      <c r="A6387" t="s">
        <v>222</v>
      </c>
      <c r="B6387" t="str">
        <f>_xlfn.XLOOKUP(A6387,'[1]Tissue Data'!$A:$A,'[1]Tissue Data'!$C:$C)</f>
        <v>Spill</v>
      </c>
      <c r="C6387" s="2">
        <f>_xlfn.XLOOKUP(A6387,'[1]Tissue Data'!$A:$A,'[1]Tissue Data'!$D:$D)</f>
        <v>44393</v>
      </c>
      <c r="D6387" s="2" t="str">
        <f>_xlfn.XLOOKUP(A6387,'[1]Tissue Data'!$A:$A,'[1]Tissue Data'!$F:$F)</f>
        <v>Margined Madtom</v>
      </c>
      <c r="E6387" t="str">
        <f>_xlfn.XLOOKUP(A6387,'[1]Tissue Data'!$A:$A,'[1]Tissue Data'!$H:$H)</f>
        <v>Noturus</v>
      </c>
      <c r="F6387" t="str">
        <f>_xlfn.XLOOKUP(A6387,'[1]Tissue Data'!$A:$A,'[1]Tissue Data'!$I:$I)</f>
        <v>insignis</v>
      </c>
      <c r="G6387" t="str">
        <f>_xlfn.XLOOKUP(A6387,'[1]Tissue Data'!$A:$A,'[1]Tissue Data'!J:J)</f>
        <v>U</v>
      </c>
      <c r="H6387" t="str">
        <f>_xlfn.XLOOKUP(A6387,'[1]Tissue Data'!$A:$A,'[1]Tissue Data'!K:K)</f>
        <v>Whole Body</v>
      </c>
      <c r="I6387">
        <f>_xlfn.XLOOKUP(A6387,'[1]Tissue Data'!$A:$A,'[1]Tissue Data'!L:L)</f>
        <v>13</v>
      </c>
      <c r="J6387">
        <f>_xlfn.XLOOKUP(A6387,'[1]Tissue Data'!$A:$A,'[1]Tissue Data'!M:M)</f>
        <v>18.59</v>
      </c>
      <c r="K6387" t="s">
        <v>47</v>
      </c>
      <c r="L6387" t="str">
        <f>_xlfn.XLOOKUP(K6387,[2]analyte_order!$B:$B,[2]analyte_order!$C:$C)</f>
        <v>356-02-5</v>
      </c>
      <c r="M6387">
        <f>_xlfn.XLOOKUP(L6387,[2]analyte_order!$C:$C,[2]analyte_order!$E:$E)</f>
        <v>38</v>
      </c>
      <c r="N6387">
        <v>0.21149999999999999</v>
      </c>
    </row>
    <row r="6388" spans="1:14">
      <c r="A6388" t="s">
        <v>222</v>
      </c>
      <c r="B6388" t="str">
        <f>_xlfn.XLOOKUP(A6388,'[1]Tissue Data'!$A:$A,'[1]Tissue Data'!$C:$C)</f>
        <v>Spill</v>
      </c>
      <c r="C6388" s="2">
        <f>_xlfn.XLOOKUP(A6388,'[1]Tissue Data'!$A:$A,'[1]Tissue Data'!$D:$D)</f>
        <v>44393</v>
      </c>
      <c r="D6388" s="2" t="str">
        <f>_xlfn.XLOOKUP(A6388,'[1]Tissue Data'!$A:$A,'[1]Tissue Data'!$F:$F)</f>
        <v>Margined Madtom</v>
      </c>
      <c r="E6388" t="str">
        <f>_xlfn.XLOOKUP(A6388,'[1]Tissue Data'!$A:$A,'[1]Tissue Data'!$H:$H)</f>
        <v>Noturus</v>
      </c>
      <c r="F6388" t="str">
        <f>_xlfn.XLOOKUP(A6388,'[1]Tissue Data'!$A:$A,'[1]Tissue Data'!$I:$I)</f>
        <v>insignis</v>
      </c>
      <c r="G6388" t="str">
        <f>_xlfn.XLOOKUP(A6388,'[1]Tissue Data'!$A:$A,'[1]Tissue Data'!J:J)</f>
        <v>U</v>
      </c>
      <c r="H6388" t="str">
        <f>_xlfn.XLOOKUP(A6388,'[1]Tissue Data'!$A:$A,'[1]Tissue Data'!K:K)</f>
        <v>Whole Body</v>
      </c>
      <c r="I6388">
        <f>_xlfn.XLOOKUP(A6388,'[1]Tissue Data'!$A:$A,'[1]Tissue Data'!L:L)</f>
        <v>13</v>
      </c>
      <c r="J6388">
        <f>_xlfn.XLOOKUP(A6388,'[1]Tissue Data'!$A:$A,'[1]Tissue Data'!M:M)</f>
        <v>18.59</v>
      </c>
      <c r="K6388" t="s">
        <v>48</v>
      </c>
      <c r="L6388" t="str">
        <f>_xlfn.XLOOKUP(K6388,[2]analyte_order!$B:$B,[2]analyte_order!$C:$C)</f>
        <v>914637-49-3</v>
      </c>
      <c r="M6388">
        <f>_xlfn.XLOOKUP(L6388,[2]analyte_order!$C:$C,[2]analyte_order!$E:$E)</f>
        <v>39</v>
      </c>
      <c r="N6388">
        <v>1.0900000000000001</v>
      </c>
    </row>
    <row r="6389" spans="1:14">
      <c r="A6389" t="s">
        <v>222</v>
      </c>
      <c r="B6389" t="str">
        <f>_xlfn.XLOOKUP(A6389,'[1]Tissue Data'!$A:$A,'[1]Tissue Data'!$C:$C)</f>
        <v>Spill</v>
      </c>
      <c r="C6389" s="2">
        <f>_xlfn.XLOOKUP(A6389,'[1]Tissue Data'!$A:$A,'[1]Tissue Data'!$D:$D)</f>
        <v>44393</v>
      </c>
      <c r="D6389" s="2" t="str">
        <f>_xlfn.XLOOKUP(A6389,'[1]Tissue Data'!$A:$A,'[1]Tissue Data'!$F:$F)</f>
        <v>Margined Madtom</v>
      </c>
      <c r="E6389" t="str">
        <f>_xlfn.XLOOKUP(A6389,'[1]Tissue Data'!$A:$A,'[1]Tissue Data'!$H:$H)</f>
        <v>Noturus</v>
      </c>
      <c r="F6389" t="str">
        <f>_xlfn.XLOOKUP(A6389,'[1]Tissue Data'!$A:$A,'[1]Tissue Data'!$I:$I)</f>
        <v>insignis</v>
      </c>
      <c r="G6389" t="str">
        <f>_xlfn.XLOOKUP(A6389,'[1]Tissue Data'!$A:$A,'[1]Tissue Data'!J:J)</f>
        <v>U</v>
      </c>
      <c r="H6389" t="str">
        <f>_xlfn.XLOOKUP(A6389,'[1]Tissue Data'!$A:$A,'[1]Tissue Data'!K:K)</f>
        <v>Whole Body</v>
      </c>
      <c r="I6389">
        <f>_xlfn.XLOOKUP(A6389,'[1]Tissue Data'!$A:$A,'[1]Tissue Data'!L:L)</f>
        <v>13</v>
      </c>
      <c r="J6389">
        <f>_xlfn.XLOOKUP(A6389,'[1]Tissue Data'!$A:$A,'[1]Tissue Data'!M:M)</f>
        <v>18.59</v>
      </c>
      <c r="K6389" t="s">
        <v>49</v>
      </c>
      <c r="L6389" t="str">
        <f>_xlfn.XLOOKUP(K6389,[2]analyte_order!$B:$B,[2]analyte_order!$C:$C)</f>
        <v>812-70-4</v>
      </c>
      <c r="M6389">
        <f>_xlfn.XLOOKUP(L6389,[2]analyte_order!$C:$C,[2]analyte_order!$E:$E)</f>
        <v>40</v>
      </c>
      <c r="N6389">
        <v>13</v>
      </c>
    </row>
    <row r="6390" spans="1:14">
      <c r="A6390" t="s">
        <v>222</v>
      </c>
      <c r="B6390" t="str">
        <f>_xlfn.XLOOKUP(A6390,'[1]Tissue Data'!$A:$A,'[1]Tissue Data'!$C:$C)</f>
        <v>Spill</v>
      </c>
      <c r="C6390" s="2">
        <f>_xlfn.XLOOKUP(A6390,'[1]Tissue Data'!$A:$A,'[1]Tissue Data'!$D:$D)</f>
        <v>44393</v>
      </c>
      <c r="D6390" s="2" t="str">
        <f>_xlfn.XLOOKUP(A6390,'[1]Tissue Data'!$A:$A,'[1]Tissue Data'!$F:$F)</f>
        <v>Margined Madtom</v>
      </c>
      <c r="E6390" t="str">
        <f>_xlfn.XLOOKUP(A6390,'[1]Tissue Data'!$A:$A,'[1]Tissue Data'!$H:$H)</f>
        <v>Noturus</v>
      </c>
      <c r="F6390" t="str">
        <f>_xlfn.XLOOKUP(A6390,'[1]Tissue Data'!$A:$A,'[1]Tissue Data'!$I:$I)</f>
        <v>insignis</v>
      </c>
      <c r="G6390" t="str">
        <f>_xlfn.XLOOKUP(A6390,'[1]Tissue Data'!$A:$A,'[1]Tissue Data'!J:J)</f>
        <v>U</v>
      </c>
      <c r="H6390" t="str">
        <f>_xlfn.XLOOKUP(A6390,'[1]Tissue Data'!$A:$A,'[1]Tissue Data'!K:K)</f>
        <v>Whole Body</v>
      </c>
      <c r="I6390">
        <f>_xlfn.XLOOKUP(A6390,'[1]Tissue Data'!$A:$A,'[1]Tissue Data'!L:L)</f>
        <v>13</v>
      </c>
      <c r="J6390">
        <f>_xlfn.XLOOKUP(A6390,'[1]Tissue Data'!$A:$A,'[1]Tissue Data'!M:M)</f>
        <v>18.59</v>
      </c>
      <c r="K6390" t="s">
        <v>50</v>
      </c>
      <c r="L6390" t="str">
        <f>_xlfn.XLOOKUP(K6390,[2]analyte_order!$B:$B,[2]analyte_order!$C:$C)</f>
        <v>53826-12-3</v>
      </c>
      <c r="M6390">
        <f>_xlfn.XLOOKUP(L6390,[2]analyte_order!$C:$C,[2]analyte_order!$E:$E)</f>
        <v>41</v>
      </c>
      <c r="N6390">
        <v>0.21149999999999999</v>
      </c>
    </row>
    <row r="6391" spans="1:14">
      <c r="A6391" t="s">
        <v>222</v>
      </c>
      <c r="B6391" t="str">
        <f>_xlfn.XLOOKUP(A6391,'[1]Tissue Data'!$A:$A,'[1]Tissue Data'!$C:$C)</f>
        <v>Spill</v>
      </c>
      <c r="C6391" s="2">
        <f>_xlfn.XLOOKUP(A6391,'[1]Tissue Data'!$A:$A,'[1]Tissue Data'!$D:$D)</f>
        <v>44393</v>
      </c>
      <c r="D6391" s="2" t="str">
        <f>_xlfn.XLOOKUP(A6391,'[1]Tissue Data'!$A:$A,'[1]Tissue Data'!$F:$F)</f>
        <v>Margined Madtom</v>
      </c>
      <c r="E6391" t="str">
        <f>_xlfn.XLOOKUP(A6391,'[1]Tissue Data'!$A:$A,'[1]Tissue Data'!$H:$H)</f>
        <v>Noturus</v>
      </c>
      <c r="F6391" t="str">
        <f>_xlfn.XLOOKUP(A6391,'[1]Tissue Data'!$A:$A,'[1]Tissue Data'!$I:$I)</f>
        <v>insignis</v>
      </c>
      <c r="G6391" t="str">
        <f>_xlfn.XLOOKUP(A6391,'[1]Tissue Data'!$A:$A,'[1]Tissue Data'!J:J)</f>
        <v>U</v>
      </c>
      <c r="H6391" t="str">
        <f>_xlfn.XLOOKUP(A6391,'[1]Tissue Data'!$A:$A,'[1]Tissue Data'!K:K)</f>
        <v>Whole Body</v>
      </c>
      <c r="I6391">
        <f>_xlfn.XLOOKUP(A6391,'[1]Tissue Data'!$A:$A,'[1]Tissue Data'!L:L)</f>
        <v>13</v>
      </c>
      <c r="J6391">
        <f>_xlfn.XLOOKUP(A6391,'[1]Tissue Data'!$A:$A,'[1]Tissue Data'!M:M)</f>
        <v>18.59</v>
      </c>
      <c r="K6391" t="s">
        <v>51</v>
      </c>
      <c r="L6391" t="str">
        <f>_xlfn.XLOOKUP(K6391,[2]analyte_order!$B:$B,[2]analyte_order!$C:$C)</f>
        <v>27854-31-5</v>
      </c>
      <c r="M6391">
        <f>_xlfn.XLOOKUP(L6391,[2]analyte_order!$C:$C,[2]analyte_order!$E:$E)</f>
        <v>42</v>
      </c>
      <c r="N6391">
        <v>0.106</v>
      </c>
    </row>
    <row r="6392" spans="1:14">
      <c r="A6392" t="s">
        <v>222</v>
      </c>
      <c r="B6392" t="str">
        <f>_xlfn.XLOOKUP(A6392,'[1]Tissue Data'!$A:$A,'[1]Tissue Data'!$C:$C)</f>
        <v>Spill</v>
      </c>
      <c r="C6392" s="2">
        <f>_xlfn.XLOOKUP(A6392,'[1]Tissue Data'!$A:$A,'[1]Tissue Data'!$D:$D)</f>
        <v>44393</v>
      </c>
      <c r="D6392" s="2" t="str">
        <f>_xlfn.XLOOKUP(A6392,'[1]Tissue Data'!$A:$A,'[1]Tissue Data'!$F:$F)</f>
        <v>Margined Madtom</v>
      </c>
      <c r="E6392" t="str">
        <f>_xlfn.XLOOKUP(A6392,'[1]Tissue Data'!$A:$A,'[1]Tissue Data'!$H:$H)</f>
        <v>Noturus</v>
      </c>
      <c r="F6392" t="str">
        <f>_xlfn.XLOOKUP(A6392,'[1]Tissue Data'!$A:$A,'[1]Tissue Data'!$I:$I)</f>
        <v>insignis</v>
      </c>
      <c r="G6392" t="str">
        <f>_xlfn.XLOOKUP(A6392,'[1]Tissue Data'!$A:$A,'[1]Tissue Data'!J:J)</f>
        <v>U</v>
      </c>
      <c r="H6392" t="str">
        <f>_xlfn.XLOOKUP(A6392,'[1]Tissue Data'!$A:$A,'[1]Tissue Data'!K:K)</f>
        <v>Whole Body</v>
      </c>
      <c r="I6392">
        <f>_xlfn.XLOOKUP(A6392,'[1]Tissue Data'!$A:$A,'[1]Tissue Data'!L:L)</f>
        <v>13</v>
      </c>
      <c r="J6392">
        <f>_xlfn.XLOOKUP(A6392,'[1]Tissue Data'!$A:$A,'[1]Tissue Data'!M:M)</f>
        <v>18.59</v>
      </c>
      <c r="K6392" t="s">
        <v>52</v>
      </c>
      <c r="L6392" t="str">
        <f>_xlfn.XLOOKUP(K6392,[2]analyte_order!$B:$B,[2]analyte_order!$C:$C)</f>
        <v>53826-13-4</v>
      </c>
      <c r="M6392">
        <f>_xlfn.XLOOKUP(L6392,[2]analyte_order!$C:$C,[2]analyte_order!$E:$E)</f>
        <v>43</v>
      </c>
      <c r="N6392">
        <v>0.21149999999999999</v>
      </c>
    </row>
    <row r="6393" spans="1:14">
      <c r="A6393" t="s">
        <v>222</v>
      </c>
      <c r="B6393" t="str">
        <f>_xlfn.XLOOKUP(A6393,'[1]Tissue Data'!$A:$A,'[1]Tissue Data'!$C:$C)</f>
        <v>Spill</v>
      </c>
      <c r="C6393" s="2">
        <f>_xlfn.XLOOKUP(A6393,'[1]Tissue Data'!$A:$A,'[1]Tissue Data'!$D:$D)</f>
        <v>44393</v>
      </c>
      <c r="D6393" s="2" t="str">
        <f>_xlfn.XLOOKUP(A6393,'[1]Tissue Data'!$A:$A,'[1]Tissue Data'!$F:$F)</f>
        <v>Margined Madtom</v>
      </c>
      <c r="E6393" t="str">
        <f>_xlfn.XLOOKUP(A6393,'[1]Tissue Data'!$A:$A,'[1]Tissue Data'!$H:$H)</f>
        <v>Noturus</v>
      </c>
      <c r="F6393" t="str">
        <f>_xlfn.XLOOKUP(A6393,'[1]Tissue Data'!$A:$A,'[1]Tissue Data'!$I:$I)</f>
        <v>insignis</v>
      </c>
      <c r="G6393" t="str">
        <f>_xlfn.XLOOKUP(A6393,'[1]Tissue Data'!$A:$A,'[1]Tissue Data'!J:J)</f>
        <v>U</v>
      </c>
      <c r="H6393" t="str">
        <f>_xlfn.XLOOKUP(A6393,'[1]Tissue Data'!$A:$A,'[1]Tissue Data'!K:K)</f>
        <v>Whole Body</v>
      </c>
      <c r="I6393">
        <f>_xlfn.XLOOKUP(A6393,'[1]Tissue Data'!$A:$A,'[1]Tissue Data'!L:L)</f>
        <v>13</v>
      </c>
      <c r="J6393">
        <f>_xlfn.XLOOKUP(A6393,'[1]Tissue Data'!$A:$A,'[1]Tissue Data'!M:M)</f>
        <v>18.59</v>
      </c>
      <c r="K6393" t="s">
        <v>53</v>
      </c>
      <c r="L6393" t="str">
        <f>_xlfn.XLOOKUP(K6393,[2]analyte_order!$B:$B,[2]analyte_order!$C:$C)</f>
        <v>161094-75-3</v>
      </c>
      <c r="M6393">
        <f>_xlfn.XLOOKUP(L6393,[2]analyte_order!$C:$C,[2]analyte_order!$E:$E)</f>
        <v>44</v>
      </c>
      <c r="N6393">
        <v>8.3000000000000004E-2</v>
      </c>
    </row>
    <row r="6394" spans="1:14">
      <c r="A6394" t="s">
        <v>222</v>
      </c>
      <c r="B6394" t="str">
        <f>_xlfn.XLOOKUP(A6394,'[1]Tissue Data'!$A:$A,'[1]Tissue Data'!$C:$C)</f>
        <v>Spill</v>
      </c>
      <c r="C6394" s="2">
        <f>_xlfn.XLOOKUP(A6394,'[1]Tissue Data'!$A:$A,'[1]Tissue Data'!$D:$D)</f>
        <v>44393</v>
      </c>
      <c r="D6394" s="2" t="str">
        <f>_xlfn.XLOOKUP(A6394,'[1]Tissue Data'!$A:$A,'[1]Tissue Data'!$F:$F)</f>
        <v>Margined Madtom</v>
      </c>
      <c r="E6394" t="str">
        <f>_xlfn.XLOOKUP(A6394,'[1]Tissue Data'!$A:$A,'[1]Tissue Data'!$H:$H)</f>
        <v>Noturus</v>
      </c>
      <c r="F6394" t="str">
        <f>_xlfn.XLOOKUP(A6394,'[1]Tissue Data'!$A:$A,'[1]Tissue Data'!$I:$I)</f>
        <v>insignis</v>
      </c>
      <c r="G6394" t="str">
        <f>_xlfn.XLOOKUP(A6394,'[1]Tissue Data'!$A:$A,'[1]Tissue Data'!J:J)</f>
        <v>U</v>
      </c>
      <c r="H6394" t="str">
        <f>_xlfn.XLOOKUP(A6394,'[1]Tissue Data'!$A:$A,'[1]Tissue Data'!K:K)</f>
        <v>Whole Body</v>
      </c>
      <c r="I6394">
        <f>_xlfn.XLOOKUP(A6394,'[1]Tissue Data'!$A:$A,'[1]Tissue Data'!L:L)</f>
        <v>13</v>
      </c>
      <c r="J6394">
        <f>_xlfn.XLOOKUP(A6394,'[1]Tissue Data'!$A:$A,'[1]Tissue Data'!M:M)</f>
        <v>18.59</v>
      </c>
      <c r="K6394" t="s">
        <v>54</v>
      </c>
      <c r="L6394" t="str">
        <f>_xlfn.XLOOKUP(K6394,[2]analyte_order!$B:$B,[2]analyte_order!$C:$C)</f>
        <v>70887-84-2</v>
      </c>
      <c r="M6394">
        <f>_xlfn.XLOOKUP(L6394,[2]analyte_order!$C:$C,[2]analyte_order!$E:$E)</f>
        <v>45</v>
      </c>
      <c r="N6394">
        <v>6.4000000000000001E-2</v>
      </c>
    </row>
    <row r="6395" spans="1:14">
      <c r="A6395" t="s">
        <v>222</v>
      </c>
      <c r="B6395" t="str">
        <f>_xlfn.XLOOKUP(A6395,'[1]Tissue Data'!$A:$A,'[1]Tissue Data'!$C:$C)</f>
        <v>Spill</v>
      </c>
      <c r="C6395" s="2">
        <f>_xlfn.XLOOKUP(A6395,'[1]Tissue Data'!$A:$A,'[1]Tissue Data'!$D:$D)</f>
        <v>44393</v>
      </c>
      <c r="D6395" s="2" t="str">
        <f>_xlfn.XLOOKUP(A6395,'[1]Tissue Data'!$A:$A,'[1]Tissue Data'!$F:$F)</f>
        <v>Margined Madtom</v>
      </c>
      <c r="E6395" t="str">
        <f>_xlfn.XLOOKUP(A6395,'[1]Tissue Data'!$A:$A,'[1]Tissue Data'!$H:$H)</f>
        <v>Noturus</v>
      </c>
      <c r="F6395" t="str">
        <f>_xlfn.XLOOKUP(A6395,'[1]Tissue Data'!$A:$A,'[1]Tissue Data'!$I:$I)</f>
        <v>insignis</v>
      </c>
      <c r="G6395" t="str">
        <f>_xlfn.XLOOKUP(A6395,'[1]Tissue Data'!$A:$A,'[1]Tissue Data'!J:J)</f>
        <v>U</v>
      </c>
      <c r="H6395" t="str">
        <f>_xlfn.XLOOKUP(A6395,'[1]Tissue Data'!$A:$A,'[1]Tissue Data'!K:K)</f>
        <v>Whole Body</v>
      </c>
      <c r="I6395">
        <f>_xlfn.XLOOKUP(A6395,'[1]Tissue Data'!$A:$A,'[1]Tissue Data'!L:L)</f>
        <v>13</v>
      </c>
      <c r="J6395">
        <f>_xlfn.XLOOKUP(A6395,'[1]Tissue Data'!$A:$A,'[1]Tissue Data'!M:M)</f>
        <v>18.59</v>
      </c>
      <c r="K6395" t="s">
        <v>55</v>
      </c>
      <c r="L6395" t="str">
        <f>_xlfn.XLOOKUP(K6395,[2]analyte_order!$B:$B,[2]analyte_order!$C:$C)</f>
        <v>919005-14-4</v>
      </c>
      <c r="M6395">
        <f>_xlfn.XLOOKUP(L6395,[2]analyte_order!$C:$C,[2]analyte_order!$E:$E)</f>
        <v>35</v>
      </c>
      <c r="N6395">
        <v>9.35E-2</v>
      </c>
    </row>
    <row r="6396" spans="1:14">
      <c r="A6396" t="s">
        <v>222</v>
      </c>
      <c r="B6396" t="str">
        <f>_xlfn.XLOOKUP(A6396,'[1]Tissue Data'!$A:$A,'[1]Tissue Data'!$C:$C)</f>
        <v>Spill</v>
      </c>
      <c r="C6396" s="2">
        <f>_xlfn.XLOOKUP(A6396,'[1]Tissue Data'!$A:$A,'[1]Tissue Data'!$D:$D)</f>
        <v>44393</v>
      </c>
      <c r="D6396" s="2" t="str">
        <f>_xlfn.XLOOKUP(A6396,'[1]Tissue Data'!$A:$A,'[1]Tissue Data'!$F:$F)</f>
        <v>Margined Madtom</v>
      </c>
      <c r="E6396" t="str">
        <f>_xlfn.XLOOKUP(A6396,'[1]Tissue Data'!$A:$A,'[1]Tissue Data'!$H:$H)</f>
        <v>Noturus</v>
      </c>
      <c r="F6396" t="str">
        <f>_xlfn.XLOOKUP(A6396,'[1]Tissue Data'!$A:$A,'[1]Tissue Data'!$I:$I)</f>
        <v>insignis</v>
      </c>
      <c r="G6396" t="str">
        <f>_xlfn.XLOOKUP(A6396,'[1]Tissue Data'!$A:$A,'[1]Tissue Data'!J:J)</f>
        <v>U</v>
      </c>
      <c r="H6396" t="str">
        <f>_xlfn.XLOOKUP(A6396,'[1]Tissue Data'!$A:$A,'[1]Tissue Data'!K:K)</f>
        <v>Whole Body</v>
      </c>
      <c r="I6396">
        <f>_xlfn.XLOOKUP(A6396,'[1]Tissue Data'!$A:$A,'[1]Tissue Data'!L:L)</f>
        <v>13</v>
      </c>
      <c r="J6396">
        <f>_xlfn.XLOOKUP(A6396,'[1]Tissue Data'!$A:$A,'[1]Tissue Data'!M:M)</f>
        <v>18.59</v>
      </c>
      <c r="K6396" t="s">
        <v>56</v>
      </c>
      <c r="L6396" t="str">
        <f>_xlfn.XLOOKUP(K6396,[2]analyte_order!$B:$B,[2]analyte_order!$C:$C)</f>
        <v>756426-58-1</v>
      </c>
      <c r="M6396">
        <f>_xlfn.XLOOKUP(L6396,[2]analyte_order!$C:$C,[2]analyte_order!$E:$E)</f>
        <v>36</v>
      </c>
      <c r="N6396">
        <v>0.21149999999999999</v>
      </c>
    </row>
    <row r="6397" spans="1:14">
      <c r="A6397" t="s">
        <v>222</v>
      </c>
      <c r="B6397" t="str">
        <f>_xlfn.XLOOKUP(A6397,'[1]Tissue Data'!$A:$A,'[1]Tissue Data'!$C:$C)</f>
        <v>Spill</v>
      </c>
      <c r="C6397" s="2">
        <f>_xlfn.XLOOKUP(A6397,'[1]Tissue Data'!$A:$A,'[1]Tissue Data'!$D:$D)</f>
        <v>44393</v>
      </c>
      <c r="D6397" s="2" t="str">
        <f>_xlfn.XLOOKUP(A6397,'[1]Tissue Data'!$A:$A,'[1]Tissue Data'!$F:$F)</f>
        <v>Margined Madtom</v>
      </c>
      <c r="E6397" t="str">
        <f>_xlfn.XLOOKUP(A6397,'[1]Tissue Data'!$A:$A,'[1]Tissue Data'!$H:$H)</f>
        <v>Noturus</v>
      </c>
      <c r="F6397" t="str">
        <f>_xlfn.XLOOKUP(A6397,'[1]Tissue Data'!$A:$A,'[1]Tissue Data'!$I:$I)</f>
        <v>insignis</v>
      </c>
      <c r="G6397" t="str">
        <f>_xlfn.XLOOKUP(A6397,'[1]Tissue Data'!$A:$A,'[1]Tissue Data'!J:J)</f>
        <v>U</v>
      </c>
      <c r="H6397" t="str">
        <f>_xlfn.XLOOKUP(A6397,'[1]Tissue Data'!$A:$A,'[1]Tissue Data'!K:K)</f>
        <v>Whole Body</v>
      </c>
      <c r="I6397">
        <f>_xlfn.XLOOKUP(A6397,'[1]Tissue Data'!$A:$A,'[1]Tissue Data'!L:L)</f>
        <v>13</v>
      </c>
      <c r="J6397">
        <f>_xlfn.XLOOKUP(A6397,'[1]Tissue Data'!$A:$A,'[1]Tissue Data'!M:M)</f>
        <v>18.59</v>
      </c>
      <c r="K6397" t="s">
        <v>57</v>
      </c>
      <c r="L6397" t="str">
        <f>_xlfn.XLOOKUP(K6397,[2]analyte_order!$B:$B,[2]analyte_order!$C:$C)</f>
        <v>763051-92-9</v>
      </c>
      <c r="M6397">
        <f>_xlfn.XLOOKUP(L6397,[2]analyte_order!$C:$C,[2]analyte_order!$E:$E)</f>
        <v>37</v>
      </c>
      <c r="N6397">
        <v>0.21149999999999999</v>
      </c>
    </row>
    <row r="6398" spans="1:14">
      <c r="A6398" t="s">
        <v>222</v>
      </c>
      <c r="B6398" t="str">
        <f>_xlfn.XLOOKUP(A6398,'[1]Tissue Data'!$A:$A,'[1]Tissue Data'!$C:$C)</f>
        <v>Spill</v>
      </c>
      <c r="C6398" s="2">
        <f>_xlfn.XLOOKUP(A6398,'[1]Tissue Data'!$A:$A,'[1]Tissue Data'!$D:$D)</f>
        <v>44393</v>
      </c>
      <c r="D6398" s="2" t="str">
        <f>_xlfn.XLOOKUP(A6398,'[1]Tissue Data'!$A:$A,'[1]Tissue Data'!$F:$F)</f>
        <v>Margined Madtom</v>
      </c>
      <c r="E6398" t="str">
        <f>_xlfn.XLOOKUP(A6398,'[1]Tissue Data'!$A:$A,'[1]Tissue Data'!$H:$H)</f>
        <v>Noturus</v>
      </c>
      <c r="F6398" t="str">
        <f>_xlfn.XLOOKUP(A6398,'[1]Tissue Data'!$A:$A,'[1]Tissue Data'!$I:$I)</f>
        <v>insignis</v>
      </c>
      <c r="G6398" t="str">
        <f>_xlfn.XLOOKUP(A6398,'[1]Tissue Data'!$A:$A,'[1]Tissue Data'!J:J)</f>
        <v>U</v>
      </c>
      <c r="H6398" t="str">
        <f>_xlfn.XLOOKUP(A6398,'[1]Tissue Data'!$A:$A,'[1]Tissue Data'!K:K)</f>
        <v>Whole Body</v>
      </c>
      <c r="I6398">
        <f>_xlfn.XLOOKUP(A6398,'[1]Tissue Data'!$A:$A,'[1]Tissue Data'!L:L)</f>
        <v>13</v>
      </c>
      <c r="J6398">
        <f>_xlfn.XLOOKUP(A6398,'[1]Tissue Data'!$A:$A,'[1]Tissue Data'!M:M)</f>
        <v>18.59</v>
      </c>
      <c r="K6398" t="s">
        <v>58</v>
      </c>
      <c r="L6398" t="str">
        <f>_xlfn.XLOOKUP(K6398,[2]analyte_order!$B:$B,[2]analyte_order!$C:$C)</f>
        <v>13252-13-6</v>
      </c>
      <c r="M6398">
        <f>_xlfn.XLOOKUP(L6398,[2]analyte_order!$C:$C,[2]analyte_order!$E:$E)</f>
        <v>34</v>
      </c>
      <c r="N6398">
        <v>0.152</v>
      </c>
    </row>
    <row r="6399" spans="1:14">
      <c r="A6399" t="s">
        <v>222</v>
      </c>
      <c r="B6399" t="str">
        <f>_xlfn.XLOOKUP(A6399,'[1]Tissue Data'!$A:$A,'[1]Tissue Data'!$C:$C)</f>
        <v>Spill</v>
      </c>
      <c r="C6399" s="2">
        <f>_xlfn.XLOOKUP(A6399,'[1]Tissue Data'!$A:$A,'[1]Tissue Data'!$D:$D)</f>
        <v>44393</v>
      </c>
      <c r="D6399" s="2" t="str">
        <f>_xlfn.XLOOKUP(A6399,'[1]Tissue Data'!$A:$A,'[1]Tissue Data'!$F:$F)</f>
        <v>Margined Madtom</v>
      </c>
      <c r="E6399" t="str">
        <f>_xlfn.XLOOKUP(A6399,'[1]Tissue Data'!$A:$A,'[1]Tissue Data'!$H:$H)</f>
        <v>Noturus</v>
      </c>
      <c r="F6399" t="str">
        <f>_xlfn.XLOOKUP(A6399,'[1]Tissue Data'!$A:$A,'[1]Tissue Data'!$I:$I)</f>
        <v>insignis</v>
      </c>
      <c r="G6399" t="str">
        <f>_xlfn.XLOOKUP(A6399,'[1]Tissue Data'!$A:$A,'[1]Tissue Data'!J:J)</f>
        <v>U</v>
      </c>
      <c r="H6399" t="str">
        <f>_xlfn.XLOOKUP(A6399,'[1]Tissue Data'!$A:$A,'[1]Tissue Data'!K:K)</f>
        <v>Whole Body</v>
      </c>
      <c r="I6399">
        <f>_xlfn.XLOOKUP(A6399,'[1]Tissue Data'!$A:$A,'[1]Tissue Data'!L:L)</f>
        <v>13</v>
      </c>
      <c r="J6399">
        <f>_xlfn.XLOOKUP(A6399,'[1]Tissue Data'!$A:$A,'[1]Tissue Data'!M:M)</f>
        <v>18.59</v>
      </c>
      <c r="K6399" t="s">
        <v>59</v>
      </c>
      <c r="L6399" t="str">
        <f>_xlfn.XLOOKUP(K6399,[2]analyte_order!$B:$B,[2]analyte_order!$C:$C)</f>
        <v>57677-95-9</v>
      </c>
      <c r="M6399">
        <f>_xlfn.XLOOKUP(L6399,[2]analyte_order!$C:$C,[2]analyte_order!$E:$E)</f>
        <v>46</v>
      </c>
      <c r="N6399">
        <v>0.21149999999999999</v>
      </c>
    </row>
    <row r="6400" spans="1:14">
      <c r="A6400" t="s">
        <v>222</v>
      </c>
      <c r="B6400" t="str">
        <f>_xlfn.XLOOKUP(A6400,'[1]Tissue Data'!$A:$A,'[1]Tissue Data'!$C:$C)</f>
        <v>Spill</v>
      </c>
      <c r="C6400" s="2">
        <f>_xlfn.XLOOKUP(A6400,'[1]Tissue Data'!$A:$A,'[1]Tissue Data'!$D:$D)</f>
        <v>44393</v>
      </c>
      <c r="D6400" s="2" t="str">
        <f>_xlfn.XLOOKUP(A6400,'[1]Tissue Data'!$A:$A,'[1]Tissue Data'!$F:$F)</f>
        <v>Margined Madtom</v>
      </c>
      <c r="E6400" t="str">
        <f>_xlfn.XLOOKUP(A6400,'[1]Tissue Data'!$A:$A,'[1]Tissue Data'!$H:$H)</f>
        <v>Noturus</v>
      </c>
      <c r="F6400" t="str">
        <f>_xlfn.XLOOKUP(A6400,'[1]Tissue Data'!$A:$A,'[1]Tissue Data'!$I:$I)</f>
        <v>insignis</v>
      </c>
      <c r="G6400" t="str">
        <f>_xlfn.XLOOKUP(A6400,'[1]Tissue Data'!$A:$A,'[1]Tissue Data'!J:J)</f>
        <v>U</v>
      </c>
      <c r="H6400" t="str">
        <f>_xlfn.XLOOKUP(A6400,'[1]Tissue Data'!$A:$A,'[1]Tissue Data'!K:K)</f>
        <v>Whole Body</v>
      </c>
      <c r="I6400">
        <f>_xlfn.XLOOKUP(A6400,'[1]Tissue Data'!$A:$A,'[1]Tissue Data'!L:L)</f>
        <v>13</v>
      </c>
      <c r="J6400">
        <f>_xlfn.XLOOKUP(A6400,'[1]Tissue Data'!$A:$A,'[1]Tissue Data'!M:M)</f>
        <v>18.59</v>
      </c>
      <c r="K6400" t="s">
        <v>60</v>
      </c>
      <c r="L6400" t="str">
        <f>_xlfn.XLOOKUP(K6400,[2]analyte_order!$B:$B,[2]analyte_order!$C:$C)</f>
        <v>678-41-1</v>
      </c>
      <c r="M6400">
        <f>_xlfn.XLOOKUP(L6400,[2]analyte_order!$C:$C,[2]analyte_order!$E:$E)</f>
        <v>56</v>
      </c>
      <c r="N6400">
        <v>0.21149999999999999</v>
      </c>
    </row>
    <row r="6401" spans="1:14">
      <c r="A6401" t="s">
        <v>222</v>
      </c>
      <c r="B6401" t="str">
        <f>_xlfn.XLOOKUP(A6401,'[1]Tissue Data'!$A:$A,'[1]Tissue Data'!$C:$C)</f>
        <v>Spill</v>
      </c>
      <c r="C6401" s="2">
        <f>_xlfn.XLOOKUP(A6401,'[1]Tissue Data'!$A:$A,'[1]Tissue Data'!$D:$D)</f>
        <v>44393</v>
      </c>
      <c r="D6401" s="2" t="str">
        <f>_xlfn.XLOOKUP(A6401,'[1]Tissue Data'!$A:$A,'[1]Tissue Data'!$F:$F)</f>
        <v>Margined Madtom</v>
      </c>
      <c r="E6401" t="str">
        <f>_xlfn.XLOOKUP(A6401,'[1]Tissue Data'!$A:$A,'[1]Tissue Data'!$H:$H)</f>
        <v>Noturus</v>
      </c>
      <c r="F6401" t="str">
        <f>_xlfn.XLOOKUP(A6401,'[1]Tissue Data'!$A:$A,'[1]Tissue Data'!$I:$I)</f>
        <v>insignis</v>
      </c>
      <c r="G6401" t="str">
        <f>_xlfn.XLOOKUP(A6401,'[1]Tissue Data'!$A:$A,'[1]Tissue Data'!J:J)</f>
        <v>U</v>
      </c>
      <c r="H6401" t="str">
        <f>_xlfn.XLOOKUP(A6401,'[1]Tissue Data'!$A:$A,'[1]Tissue Data'!K:K)</f>
        <v>Whole Body</v>
      </c>
      <c r="I6401">
        <f>_xlfn.XLOOKUP(A6401,'[1]Tissue Data'!$A:$A,'[1]Tissue Data'!L:L)</f>
        <v>13</v>
      </c>
      <c r="J6401">
        <f>_xlfn.XLOOKUP(A6401,'[1]Tissue Data'!$A:$A,'[1]Tissue Data'!M:M)</f>
        <v>18.59</v>
      </c>
      <c r="K6401" t="s">
        <v>61</v>
      </c>
      <c r="L6401" t="str">
        <f>_xlfn.XLOOKUP(K6401,[2]analyte_order!$B:$B,[2]analyte_order!$C:$C)</f>
        <v>2965-52-8</v>
      </c>
      <c r="M6401">
        <f>_xlfn.XLOOKUP(L6401,[2]analyte_order!$C:$C,[2]analyte_order!$E:$E)</f>
        <v>57</v>
      </c>
      <c r="N6401">
        <v>0.21149999999999999</v>
      </c>
    </row>
    <row r="6402" spans="1:14">
      <c r="A6402" t="s">
        <v>223</v>
      </c>
      <c r="B6402" t="str">
        <f>_xlfn.XLOOKUP(A6402,'[1]Tissue Data'!$A:$A,'[1]Tissue Data'!$C:$C)</f>
        <v>Spill</v>
      </c>
      <c r="C6402" s="2">
        <f>_xlfn.XLOOKUP(A6402,'[1]Tissue Data'!$A:$A,'[1]Tissue Data'!$D:$D)</f>
        <v>44393</v>
      </c>
      <c r="D6402" s="2" t="str">
        <f>_xlfn.XLOOKUP(A6402,'[1]Tissue Data'!$A:$A,'[1]Tissue Data'!$F:$F)</f>
        <v>Margined Madtom</v>
      </c>
      <c r="E6402" t="str">
        <f>_xlfn.XLOOKUP(A6402,'[1]Tissue Data'!$A:$A,'[1]Tissue Data'!$H:$H)</f>
        <v>Noturus</v>
      </c>
      <c r="F6402" t="str">
        <f>_xlfn.XLOOKUP(A6402,'[1]Tissue Data'!$A:$A,'[1]Tissue Data'!$I:$I)</f>
        <v>insignis</v>
      </c>
      <c r="G6402" t="str">
        <f>_xlfn.XLOOKUP(A6402,'[1]Tissue Data'!$A:$A,'[1]Tissue Data'!J:J)</f>
        <v>U</v>
      </c>
      <c r="H6402" t="str">
        <f>_xlfn.XLOOKUP(A6402,'[1]Tissue Data'!$A:$A,'[1]Tissue Data'!K:K)</f>
        <v>Whole Body</v>
      </c>
      <c r="I6402">
        <f>_xlfn.XLOOKUP(A6402,'[1]Tissue Data'!$A:$A,'[1]Tissue Data'!L:L)</f>
        <v>8</v>
      </c>
      <c r="J6402">
        <f>_xlfn.XLOOKUP(A6402,'[1]Tissue Data'!$A:$A,'[1]Tissue Data'!M:M)</f>
        <v>3.74</v>
      </c>
      <c r="K6402" t="s">
        <v>12</v>
      </c>
      <c r="L6402" t="str">
        <f>_xlfn.XLOOKUP(K6402,[2]analyte_order!$B:$B,[2]analyte_order!$C:$C)</f>
        <v>375-22-4</v>
      </c>
      <c r="M6402">
        <f>_xlfn.XLOOKUP(L6402,[2]analyte_order!$C:$C,[2]analyte_order!$E:$E)</f>
        <v>1</v>
      </c>
      <c r="N6402">
        <v>0.25</v>
      </c>
    </row>
    <row r="6403" spans="1:14">
      <c r="A6403" t="s">
        <v>223</v>
      </c>
      <c r="B6403" t="str">
        <f>_xlfn.XLOOKUP(A6403,'[1]Tissue Data'!$A:$A,'[1]Tissue Data'!$C:$C)</f>
        <v>Spill</v>
      </c>
      <c r="C6403" s="2">
        <f>_xlfn.XLOOKUP(A6403,'[1]Tissue Data'!$A:$A,'[1]Tissue Data'!$D:$D)</f>
        <v>44393</v>
      </c>
      <c r="D6403" s="2" t="str">
        <f>_xlfn.XLOOKUP(A6403,'[1]Tissue Data'!$A:$A,'[1]Tissue Data'!$F:$F)</f>
        <v>Margined Madtom</v>
      </c>
      <c r="E6403" t="str">
        <f>_xlfn.XLOOKUP(A6403,'[1]Tissue Data'!$A:$A,'[1]Tissue Data'!$H:$H)</f>
        <v>Noturus</v>
      </c>
      <c r="F6403" t="str">
        <f>_xlfn.XLOOKUP(A6403,'[1]Tissue Data'!$A:$A,'[1]Tissue Data'!$I:$I)</f>
        <v>insignis</v>
      </c>
      <c r="G6403" t="str">
        <f>_xlfn.XLOOKUP(A6403,'[1]Tissue Data'!$A:$A,'[1]Tissue Data'!J:J)</f>
        <v>U</v>
      </c>
      <c r="H6403" t="str">
        <f>_xlfn.XLOOKUP(A6403,'[1]Tissue Data'!$A:$A,'[1]Tissue Data'!K:K)</f>
        <v>Whole Body</v>
      </c>
      <c r="I6403">
        <f>_xlfn.XLOOKUP(A6403,'[1]Tissue Data'!$A:$A,'[1]Tissue Data'!L:L)</f>
        <v>8</v>
      </c>
      <c r="J6403">
        <f>_xlfn.XLOOKUP(A6403,'[1]Tissue Data'!$A:$A,'[1]Tissue Data'!M:M)</f>
        <v>3.74</v>
      </c>
      <c r="K6403" t="s">
        <v>13</v>
      </c>
      <c r="L6403" t="str">
        <f>_xlfn.XLOOKUP(K6403,[2]analyte_order!$B:$B,[2]analyte_order!$C:$C)</f>
        <v>2706-90-3</v>
      </c>
      <c r="M6403">
        <f>_xlfn.XLOOKUP(L6403,[2]analyte_order!$C:$C,[2]analyte_order!$E:$E)</f>
        <v>2</v>
      </c>
      <c r="N6403">
        <v>8.8499999999999995E-2</v>
      </c>
    </row>
    <row r="6404" spans="1:14">
      <c r="A6404" t="s">
        <v>223</v>
      </c>
      <c r="B6404" t="str">
        <f>_xlfn.XLOOKUP(A6404,'[1]Tissue Data'!$A:$A,'[1]Tissue Data'!$C:$C)</f>
        <v>Spill</v>
      </c>
      <c r="C6404" s="2">
        <f>_xlfn.XLOOKUP(A6404,'[1]Tissue Data'!$A:$A,'[1]Tissue Data'!$D:$D)</f>
        <v>44393</v>
      </c>
      <c r="D6404" s="2" t="str">
        <f>_xlfn.XLOOKUP(A6404,'[1]Tissue Data'!$A:$A,'[1]Tissue Data'!$F:$F)</f>
        <v>Margined Madtom</v>
      </c>
      <c r="E6404" t="str">
        <f>_xlfn.XLOOKUP(A6404,'[1]Tissue Data'!$A:$A,'[1]Tissue Data'!$H:$H)</f>
        <v>Noturus</v>
      </c>
      <c r="F6404" t="str">
        <f>_xlfn.XLOOKUP(A6404,'[1]Tissue Data'!$A:$A,'[1]Tissue Data'!$I:$I)</f>
        <v>insignis</v>
      </c>
      <c r="G6404" t="str">
        <f>_xlfn.XLOOKUP(A6404,'[1]Tissue Data'!$A:$A,'[1]Tissue Data'!J:J)</f>
        <v>U</v>
      </c>
      <c r="H6404" t="str">
        <f>_xlfn.XLOOKUP(A6404,'[1]Tissue Data'!$A:$A,'[1]Tissue Data'!K:K)</f>
        <v>Whole Body</v>
      </c>
      <c r="I6404">
        <f>_xlfn.XLOOKUP(A6404,'[1]Tissue Data'!$A:$A,'[1]Tissue Data'!L:L)</f>
        <v>8</v>
      </c>
      <c r="J6404">
        <f>_xlfn.XLOOKUP(A6404,'[1]Tissue Data'!$A:$A,'[1]Tissue Data'!M:M)</f>
        <v>3.74</v>
      </c>
      <c r="K6404" t="s">
        <v>14</v>
      </c>
      <c r="L6404" t="str">
        <f>_xlfn.XLOOKUP(K6404,[2]analyte_order!$B:$B,[2]analyte_order!$C:$C)</f>
        <v>307-24-4</v>
      </c>
      <c r="M6404">
        <f>_xlfn.XLOOKUP(L6404,[2]analyte_order!$C:$C,[2]analyte_order!$E:$E)</f>
        <v>3</v>
      </c>
      <c r="N6404">
        <v>6.7500000000000004E-2</v>
      </c>
    </row>
    <row r="6405" spans="1:14">
      <c r="A6405" t="s">
        <v>223</v>
      </c>
      <c r="B6405" t="str">
        <f>_xlfn.XLOOKUP(A6405,'[1]Tissue Data'!$A:$A,'[1]Tissue Data'!$C:$C)</f>
        <v>Spill</v>
      </c>
      <c r="C6405" s="2">
        <f>_xlfn.XLOOKUP(A6405,'[1]Tissue Data'!$A:$A,'[1]Tissue Data'!$D:$D)</f>
        <v>44393</v>
      </c>
      <c r="D6405" s="2" t="str">
        <f>_xlfn.XLOOKUP(A6405,'[1]Tissue Data'!$A:$A,'[1]Tissue Data'!$F:$F)</f>
        <v>Margined Madtom</v>
      </c>
      <c r="E6405" t="str">
        <f>_xlfn.XLOOKUP(A6405,'[1]Tissue Data'!$A:$A,'[1]Tissue Data'!$H:$H)</f>
        <v>Noturus</v>
      </c>
      <c r="F6405" t="str">
        <f>_xlfn.XLOOKUP(A6405,'[1]Tissue Data'!$A:$A,'[1]Tissue Data'!$I:$I)</f>
        <v>insignis</v>
      </c>
      <c r="G6405" t="str">
        <f>_xlfn.XLOOKUP(A6405,'[1]Tissue Data'!$A:$A,'[1]Tissue Data'!J:J)</f>
        <v>U</v>
      </c>
      <c r="H6405" t="str">
        <f>_xlfn.XLOOKUP(A6405,'[1]Tissue Data'!$A:$A,'[1]Tissue Data'!K:K)</f>
        <v>Whole Body</v>
      </c>
      <c r="I6405">
        <f>_xlfn.XLOOKUP(A6405,'[1]Tissue Data'!$A:$A,'[1]Tissue Data'!L:L)</f>
        <v>8</v>
      </c>
      <c r="J6405">
        <f>_xlfn.XLOOKUP(A6405,'[1]Tissue Data'!$A:$A,'[1]Tissue Data'!M:M)</f>
        <v>3.74</v>
      </c>
      <c r="K6405" t="s">
        <v>15</v>
      </c>
      <c r="L6405" t="str">
        <f>_xlfn.XLOOKUP(K6405,[2]analyte_order!$B:$B,[2]analyte_order!$C:$C)</f>
        <v>375-85-9</v>
      </c>
      <c r="M6405">
        <f>_xlfn.XLOOKUP(L6405,[2]analyte_order!$C:$C,[2]analyte_order!$E:$E)</f>
        <v>4</v>
      </c>
      <c r="N6405">
        <v>0.125</v>
      </c>
    </row>
    <row r="6406" spans="1:14">
      <c r="A6406" t="s">
        <v>223</v>
      </c>
      <c r="B6406" t="str">
        <f>_xlfn.XLOOKUP(A6406,'[1]Tissue Data'!$A:$A,'[1]Tissue Data'!$C:$C)</f>
        <v>Spill</v>
      </c>
      <c r="C6406" s="2">
        <f>_xlfn.XLOOKUP(A6406,'[1]Tissue Data'!$A:$A,'[1]Tissue Data'!$D:$D)</f>
        <v>44393</v>
      </c>
      <c r="D6406" s="2" t="str">
        <f>_xlfn.XLOOKUP(A6406,'[1]Tissue Data'!$A:$A,'[1]Tissue Data'!$F:$F)</f>
        <v>Margined Madtom</v>
      </c>
      <c r="E6406" t="str">
        <f>_xlfn.XLOOKUP(A6406,'[1]Tissue Data'!$A:$A,'[1]Tissue Data'!$H:$H)</f>
        <v>Noturus</v>
      </c>
      <c r="F6406" t="str">
        <f>_xlfn.XLOOKUP(A6406,'[1]Tissue Data'!$A:$A,'[1]Tissue Data'!$I:$I)</f>
        <v>insignis</v>
      </c>
      <c r="G6406" t="str">
        <f>_xlfn.XLOOKUP(A6406,'[1]Tissue Data'!$A:$A,'[1]Tissue Data'!J:J)</f>
        <v>U</v>
      </c>
      <c r="H6406" t="str">
        <f>_xlfn.XLOOKUP(A6406,'[1]Tissue Data'!$A:$A,'[1]Tissue Data'!K:K)</f>
        <v>Whole Body</v>
      </c>
      <c r="I6406">
        <f>_xlfn.XLOOKUP(A6406,'[1]Tissue Data'!$A:$A,'[1]Tissue Data'!L:L)</f>
        <v>8</v>
      </c>
      <c r="J6406">
        <f>_xlfn.XLOOKUP(A6406,'[1]Tissue Data'!$A:$A,'[1]Tissue Data'!M:M)</f>
        <v>3.74</v>
      </c>
      <c r="K6406" t="s">
        <v>16</v>
      </c>
      <c r="L6406" t="str">
        <f>_xlfn.XLOOKUP(K6406,[2]analyte_order!$B:$B,[2]analyte_order!$C:$C)</f>
        <v>335-67-1</v>
      </c>
      <c r="M6406">
        <f>_xlfn.XLOOKUP(L6406,[2]analyte_order!$C:$C,[2]analyte_order!$E:$E)</f>
        <v>5</v>
      </c>
      <c r="N6406">
        <v>0.82299999999999995</v>
      </c>
    </row>
    <row r="6407" spans="1:14">
      <c r="A6407" t="s">
        <v>223</v>
      </c>
      <c r="B6407" t="str">
        <f>_xlfn.XLOOKUP(A6407,'[1]Tissue Data'!$A:$A,'[1]Tissue Data'!$C:$C)</f>
        <v>Spill</v>
      </c>
      <c r="C6407" s="2">
        <f>_xlfn.XLOOKUP(A6407,'[1]Tissue Data'!$A:$A,'[1]Tissue Data'!$D:$D)</f>
        <v>44393</v>
      </c>
      <c r="D6407" s="2" t="str">
        <f>_xlfn.XLOOKUP(A6407,'[1]Tissue Data'!$A:$A,'[1]Tissue Data'!$F:$F)</f>
        <v>Margined Madtom</v>
      </c>
      <c r="E6407" t="str">
        <f>_xlfn.XLOOKUP(A6407,'[1]Tissue Data'!$A:$A,'[1]Tissue Data'!$H:$H)</f>
        <v>Noturus</v>
      </c>
      <c r="F6407" t="str">
        <f>_xlfn.XLOOKUP(A6407,'[1]Tissue Data'!$A:$A,'[1]Tissue Data'!$I:$I)</f>
        <v>insignis</v>
      </c>
      <c r="G6407" t="str">
        <f>_xlfn.XLOOKUP(A6407,'[1]Tissue Data'!$A:$A,'[1]Tissue Data'!J:J)</f>
        <v>U</v>
      </c>
      <c r="H6407" t="str">
        <f>_xlfn.XLOOKUP(A6407,'[1]Tissue Data'!$A:$A,'[1]Tissue Data'!K:K)</f>
        <v>Whole Body</v>
      </c>
      <c r="I6407">
        <f>_xlfn.XLOOKUP(A6407,'[1]Tissue Data'!$A:$A,'[1]Tissue Data'!L:L)</f>
        <v>8</v>
      </c>
      <c r="J6407">
        <f>_xlfn.XLOOKUP(A6407,'[1]Tissue Data'!$A:$A,'[1]Tissue Data'!M:M)</f>
        <v>3.74</v>
      </c>
      <c r="K6407" t="s">
        <v>17</v>
      </c>
      <c r="L6407" t="str">
        <f>_xlfn.XLOOKUP(K6407,[2]analyte_order!$B:$B,[2]analyte_order!$C:$C)</f>
        <v>375-95-1</v>
      </c>
      <c r="M6407">
        <f>_xlfn.XLOOKUP(L6407,[2]analyte_order!$C:$C,[2]analyte_order!$E:$E)</f>
        <v>6</v>
      </c>
      <c r="N6407">
        <v>0.25</v>
      </c>
    </row>
    <row r="6408" spans="1:14">
      <c r="A6408" t="s">
        <v>223</v>
      </c>
      <c r="B6408" t="str">
        <f>_xlfn.XLOOKUP(A6408,'[1]Tissue Data'!$A:$A,'[1]Tissue Data'!$C:$C)</f>
        <v>Spill</v>
      </c>
      <c r="C6408" s="2">
        <f>_xlfn.XLOOKUP(A6408,'[1]Tissue Data'!$A:$A,'[1]Tissue Data'!$D:$D)</f>
        <v>44393</v>
      </c>
      <c r="D6408" s="2" t="str">
        <f>_xlfn.XLOOKUP(A6408,'[1]Tissue Data'!$A:$A,'[1]Tissue Data'!$F:$F)</f>
        <v>Margined Madtom</v>
      </c>
      <c r="E6408" t="str">
        <f>_xlfn.XLOOKUP(A6408,'[1]Tissue Data'!$A:$A,'[1]Tissue Data'!$H:$H)</f>
        <v>Noturus</v>
      </c>
      <c r="F6408" t="str">
        <f>_xlfn.XLOOKUP(A6408,'[1]Tissue Data'!$A:$A,'[1]Tissue Data'!$I:$I)</f>
        <v>insignis</v>
      </c>
      <c r="G6408" t="str">
        <f>_xlfn.XLOOKUP(A6408,'[1]Tissue Data'!$A:$A,'[1]Tissue Data'!J:J)</f>
        <v>U</v>
      </c>
      <c r="H6408" t="str">
        <f>_xlfn.XLOOKUP(A6408,'[1]Tissue Data'!$A:$A,'[1]Tissue Data'!K:K)</f>
        <v>Whole Body</v>
      </c>
      <c r="I6408">
        <f>_xlfn.XLOOKUP(A6408,'[1]Tissue Data'!$A:$A,'[1]Tissue Data'!L:L)</f>
        <v>8</v>
      </c>
      <c r="J6408">
        <f>_xlfn.XLOOKUP(A6408,'[1]Tissue Data'!$A:$A,'[1]Tissue Data'!M:M)</f>
        <v>3.74</v>
      </c>
      <c r="K6408" t="s">
        <v>18</v>
      </c>
      <c r="L6408" t="str">
        <f>_xlfn.XLOOKUP(K6408,[2]analyte_order!$B:$B,[2]analyte_order!$C:$C)</f>
        <v>335-76-2</v>
      </c>
      <c r="M6408">
        <f>_xlfn.XLOOKUP(L6408,[2]analyte_order!$C:$C,[2]analyte_order!$E:$E)</f>
        <v>7</v>
      </c>
      <c r="N6408">
        <v>3.96</v>
      </c>
    </row>
    <row r="6409" spans="1:14">
      <c r="A6409" t="s">
        <v>223</v>
      </c>
      <c r="B6409" t="str">
        <f>_xlfn.XLOOKUP(A6409,'[1]Tissue Data'!$A:$A,'[1]Tissue Data'!$C:$C)</f>
        <v>Spill</v>
      </c>
      <c r="C6409" s="2">
        <f>_xlfn.XLOOKUP(A6409,'[1]Tissue Data'!$A:$A,'[1]Tissue Data'!$D:$D)</f>
        <v>44393</v>
      </c>
      <c r="D6409" s="2" t="str">
        <f>_xlfn.XLOOKUP(A6409,'[1]Tissue Data'!$A:$A,'[1]Tissue Data'!$F:$F)</f>
        <v>Margined Madtom</v>
      </c>
      <c r="E6409" t="str">
        <f>_xlfn.XLOOKUP(A6409,'[1]Tissue Data'!$A:$A,'[1]Tissue Data'!$H:$H)</f>
        <v>Noturus</v>
      </c>
      <c r="F6409" t="str">
        <f>_xlfn.XLOOKUP(A6409,'[1]Tissue Data'!$A:$A,'[1]Tissue Data'!$I:$I)</f>
        <v>insignis</v>
      </c>
      <c r="G6409" t="str">
        <f>_xlfn.XLOOKUP(A6409,'[1]Tissue Data'!$A:$A,'[1]Tissue Data'!J:J)</f>
        <v>U</v>
      </c>
      <c r="H6409" t="str">
        <f>_xlfn.XLOOKUP(A6409,'[1]Tissue Data'!$A:$A,'[1]Tissue Data'!K:K)</f>
        <v>Whole Body</v>
      </c>
      <c r="I6409">
        <f>_xlfn.XLOOKUP(A6409,'[1]Tissue Data'!$A:$A,'[1]Tissue Data'!L:L)</f>
        <v>8</v>
      </c>
      <c r="J6409">
        <f>_xlfn.XLOOKUP(A6409,'[1]Tissue Data'!$A:$A,'[1]Tissue Data'!M:M)</f>
        <v>3.74</v>
      </c>
      <c r="K6409" t="s">
        <v>19</v>
      </c>
      <c r="L6409" t="str">
        <f>_xlfn.XLOOKUP(K6409,[2]analyte_order!$B:$B,[2]analyte_order!$C:$C)</f>
        <v>2058-94-8</v>
      </c>
      <c r="M6409">
        <f>_xlfn.XLOOKUP(L6409,[2]analyte_order!$C:$C,[2]analyte_order!$E:$E)</f>
        <v>8</v>
      </c>
      <c r="N6409">
        <v>9.64</v>
      </c>
    </row>
    <row r="6410" spans="1:14">
      <c r="A6410" t="s">
        <v>223</v>
      </c>
      <c r="B6410" t="str">
        <f>_xlfn.XLOOKUP(A6410,'[1]Tissue Data'!$A:$A,'[1]Tissue Data'!$C:$C)</f>
        <v>Spill</v>
      </c>
      <c r="C6410" s="2">
        <f>_xlfn.XLOOKUP(A6410,'[1]Tissue Data'!$A:$A,'[1]Tissue Data'!$D:$D)</f>
        <v>44393</v>
      </c>
      <c r="D6410" s="2" t="str">
        <f>_xlfn.XLOOKUP(A6410,'[1]Tissue Data'!$A:$A,'[1]Tissue Data'!$F:$F)</f>
        <v>Margined Madtom</v>
      </c>
      <c r="E6410" t="str">
        <f>_xlfn.XLOOKUP(A6410,'[1]Tissue Data'!$A:$A,'[1]Tissue Data'!$H:$H)</f>
        <v>Noturus</v>
      </c>
      <c r="F6410" t="str">
        <f>_xlfn.XLOOKUP(A6410,'[1]Tissue Data'!$A:$A,'[1]Tissue Data'!$I:$I)</f>
        <v>insignis</v>
      </c>
      <c r="G6410" t="str">
        <f>_xlfn.XLOOKUP(A6410,'[1]Tissue Data'!$A:$A,'[1]Tissue Data'!J:J)</f>
        <v>U</v>
      </c>
      <c r="H6410" t="str">
        <f>_xlfn.XLOOKUP(A6410,'[1]Tissue Data'!$A:$A,'[1]Tissue Data'!K:K)</f>
        <v>Whole Body</v>
      </c>
      <c r="I6410">
        <f>_xlfn.XLOOKUP(A6410,'[1]Tissue Data'!$A:$A,'[1]Tissue Data'!L:L)</f>
        <v>8</v>
      </c>
      <c r="J6410">
        <f>_xlfn.XLOOKUP(A6410,'[1]Tissue Data'!$A:$A,'[1]Tissue Data'!M:M)</f>
        <v>3.74</v>
      </c>
      <c r="K6410" t="s">
        <v>20</v>
      </c>
      <c r="L6410" t="str">
        <f>_xlfn.XLOOKUP(K6410,[2]analyte_order!$B:$B,[2]analyte_order!$C:$C)</f>
        <v>307-55-1</v>
      </c>
      <c r="M6410">
        <f>_xlfn.XLOOKUP(L6410,[2]analyte_order!$C:$C,[2]analyte_order!$E:$E)</f>
        <v>9</v>
      </c>
      <c r="N6410">
        <v>33.799999999999997</v>
      </c>
    </row>
    <row r="6411" spans="1:14">
      <c r="A6411" t="s">
        <v>223</v>
      </c>
      <c r="B6411" t="str">
        <f>_xlfn.XLOOKUP(A6411,'[1]Tissue Data'!$A:$A,'[1]Tissue Data'!$C:$C)</f>
        <v>Spill</v>
      </c>
      <c r="C6411" s="2">
        <f>_xlfn.XLOOKUP(A6411,'[1]Tissue Data'!$A:$A,'[1]Tissue Data'!$D:$D)</f>
        <v>44393</v>
      </c>
      <c r="D6411" s="2" t="str">
        <f>_xlfn.XLOOKUP(A6411,'[1]Tissue Data'!$A:$A,'[1]Tissue Data'!$F:$F)</f>
        <v>Margined Madtom</v>
      </c>
      <c r="E6411" t="str">
        <f>_xlfn.XLOOKUP(A6411,'[1]Tissue Data'!$A:$A,'[1]Tissue Data'!$H:$H)</f>
        <v>Noturus</v>
      </c>
      <c r="F6411" t="str">
        <f>_xlfn.XLOOKUP(A6411,'[1]Tissue Data'!$A:$A,'[1]Tissue Data'!$I:$I)</f>
        <v>insignis</v>
      </c>
      <c r="G6411" t="str">
        <f>_xlfn.XLOOKUP(A6411,'[1]Tissue Data'!$A:$A,'[1]Tissue Data'!J:J)</f>
        <v>U</v>
      </c>
      <c r="H6411" t="str">
        <f>_xlfn.XLOOKUP(A6411,'[1]Tissue Data'!$A:$A,'[1]Tissue Data'!K:K)</f>
        <v>Whole Body</v>
      </c>
      <c r="I6411">
        <f>_xlfn.XLOOKUP(A6411,'[1]Tissue Data'!$A:$A,'[1]Tissue Data'!L:L)</f>
        <v>8</v>
      </c>
      <c r="J6411">
        <f>_xlfn.XLOOKUP(A6411,'[1]Tissue Data'!$A:$A,'[1]Tissue Data'!M:M)</f>
        <v>3.74</v>
      </c>
      <c r="K6411" t="s">
        <v>21</v>
      </c>
      <c r="L6411" t="str">
        <f>_xlfn.XLOOKUP(K6411,[2]analyte_order!$B:$B,[2]analyte_order!$C:$C)</f>
        <v>72629-94-8</v>
      </c>
      <c r="M6411">
        <f>_xlfn.XLOOKUP(L6411,[2]analyte_order!$C:$C,[2]analyte_order!$E:$E)</f>
        <v>10</v>
      </c>
      <c r="N6411">
        <v>7.75</v>
      </c>
    </row>
    <row r="6412" spans="1:14">
      <c r="A6412" t="s">
        <v>223</v>
      </c>
      <c r="B6412" t="str">
        <f>_xlfn.XLOOKUP(A6412,'[1]Tissue Data'!$A:$A,'[1]Tissue Data'!$C:$C)</f>
        <v>Spill</v>
      </c>
      <c r="C6412" s="2">
        <f>_xlfn.XLOOKUP(A6412,'[1]Tissue Data'!$A:$A,'[1]Tissue Data'!$D:$D)</f>
        <v>44393</v>
      </c>
      <c r="D6412" s="2" t="str">
        <f>_xlfn.XLOOKUP(A6412,'[1]Tissue Data'!$A:$A,'[1]Tissue Data'!$F:$F)</f>
        <v>Margined Madtom</v>
      </c>
      <c r="E6412" t="str">
        <f>_xlfn.XLOOKUP(A6412,'[1]Tissue Data'!$A:$A,'[1]Tissue Data'!$H:$H)</f>
        <v>Noturus</v>
      </c>
      <c r="F6412" t="str">
        <f>_xlfn.XLOOKUP(A6412,'[1]Tissue Data'!$A:$A,'[1]Tissue Data'!$I:$I)</f>
        <v>insignis</v>
      </c>
      <c r="G6412" t="str">
        <f>_xlfn.XLOOKUP(A6412,'[1]Tissue Data'!$A:$A,'[1]Tissue Data'!J:J)</f>
        <v>U</v>
      </c>
      <c r="H6412" t="str">
        <f>_xlfn.XLOOKUP(A6412,'[1]Tissue Data'!$A:$A,'[1]Tissue Data'!K:K)</f>
        <v>Whole Body</v>
      </c>
      <c r="I6412">
        <f>_xlfn.XLOOKUP(A6412,'[1]Tissue Data'!$A:$A,'[1]Tissue Data'!L:L)</f>
        <v>8</v>
      </c>
      <c r="J6412">
        <f>_xlfn.XLOOKUP(A6412,'[1]Tissue Data'!$A:$A,'[1]Tissue Data'!M:M)</f>
        <v>3.74</v>
      </c>
      <c r="K6412" t="s">
        <v>22</v>
      </c>
      <c r="L6412" t="str">
        <f>_xlfn.XLOOKUP(K6412,[2]analyte_order!$B:$B,[2]analyte_order!$C:$C)</f>
        <v>376-06-7</v>
      </c>
      <c r="M6412">
        <f>_xlfn.XLOOKUP(L6412,[2]analyte_order!$C:$C,[2]analyte_order!$E:$E)</f>
        <v>11</v>
      </c>
      <c r="N6412">
        <v>16.5</v>
      </c>
    </row>
    <row r="6413" spans="1:14">
      <c r="A6413" t="s">
        <v>223</v>
      </c>
      <c r="B6413" t="str">
        <f>_xlfn.XLOOKUP(A6413,'[1]Tissue Data'!$A:$A,'[1]Tissue Data'!$C:$C)</f>
        <v>Spill</v>
      </c>
      <c r="C6413" s="2">
        <f>_xlfn.XLOOKUP(A6413,'[1]Tissue Data'!$A:$A,'[1]Tissue Data'!$D:$D)</f>
        <v>44393</v>
      </c>
      <c r="D6413" s="2" t="str">
        <f>_xlfn.XLOOKUP(A6413,'[1]Tissue Data'!$A:$A,'[1]Tissue Data'!$F:$F)</f>
        <v>Margined Madtom</v>
      </c>
      <c r="E6413" t="str">
        <f>_xlfn.XLOOKUP(A6413,'[1]Tissue Data'!$A:$A,'[1]Tissue Data'!$H:$H)</f>
        <v>Noturus</v>
      </c>
      <c r="F6413" t="str">
        <f>_xlfn.XLOOKUP(A6413,'[1]Tissue Data'!$A:$A,'[1]Tissue Data'!$I:$I)</f>
        <v>insignis</v>
      </c>
      <c r="G6413" t="str">
        <f>_xlfn.XLOOKUP(A6413,'[1]Tissue Data'!$A:$A,'[1]Tissue Data'!J:J)</f>
        <v>U</v>
      </c>
      <c r="H6413" t="str">
        <f>_xlfn.XLOOKUP(A6413,'[1]Tissue Data'!$A:$A,'[1]Tissue Data'!K:K)</f>
        <v>Whole Body</v>
      </c>
      <c r="I6413">
        <f>_xlfn.XLOOKUP(A6413,'[1]Tissue Data'!$A:$A,'[1]Tissue Data'!L:L)</f>
        <v>8</v>
      </c>
      <c r="J6413">
        <f>_xlfn.XLOOKUP(A6413,'[1]Tissue Data'!$A:$A,'[1]Tissue Data'!M:M)</f>
        <v>3.74</v>
      </c>
      <c r="K6413" t="s">
        <v>23</v>
      </c>
      <c r="L6413" t="str">
        <f>_xlfn.XLOOKUP(K6413,[2]analyte_order!$B:$B,[2]analyte_order!$C:$C)</f>
        <v>67905-19-5</v>
      </c>
      <c r="M6413">
        <f>_xlfn.XLOOKUP(L6413,[2]analyte_order!$C:$C,[2]analyte_order!$E:$E)</f>
        <v>12</v>
      </c>
      <c r="N6413">
        <v>0.14899999999999999</v>
      </c>
    </row>
    <row r="6414" spans="1:14">
      <c r="A6414" t="s">
        <v>223</v>
      </c>
      <c r="B6414" t="str">
        <f>_xlfn.XLOOKUP(A6414,'[1]Tissue Data'!$A:$A,'[1]Tissue Data'!$C:$C)</f>
        <v>Spill</v>
      </c>
      <c r="C6414" s="2">
        <f>_xlfn.XLOOKUP(A6414,'[1]Tissue Data'!$A:$A,'[1]Tissue Data'!$D:$D)</f>
        <v>44393</v>
      </c>
      <c r="D6414" s="2" t="str">
        <f>_xlfn.XLOOKUP(A6414,'[1]Tissue Data'!$A:$A,'[1]Tissue Data'!$F:$F)</f>
        <v>Margined Madtom</v>
      </c>
      <c r="E6414" t="str">
        <f>_xlfn.XLOOKUP(A6414,'[1]Tissue Data'!$A:$A,'[1]Tissue Data'!$H:$H)</f>
        <v>Noturus</v>
      </c>
      <c r="F6414" t="str">
        <f>_xlfn.XLOOKUP(A6414,'[1]Tissue Data'!$A:$A,'[1]Tissue Data'!$I:$I)</f>
        <v>insignis</v>
      </c>
      <c r="G6414" t="str">
        <f>_xlfn.XLOOKUP(A6414,'[1]Tissue Data'!$A:$A,'[1]Tissue Data'!J:J)</f>
        <v>U</v>
      </c>
      <c r="H6414" t="str">
        <f>_xlfn.XLOOKUP(A6414,'[1]Tissue Data'!$A:$A,'[1]Tissue Data'!K:K)</f>
        <v>Whole Body</v>
      </c>
      <c r="I6414">
        <f>_xlfn.XLOOKUP(A6414,'[1]Tissue Data'!$A:$A,'[1]Tissue Data'!L:L)</f>
        <v>8</v>
      </c>
      <c r="J6414">
        <f>_xlfn.XLOOKUP(A6414,'[1]Tissue Data'!$A:$A,'[1]Tissue Data'!M:M)</f>
        <v>3.74</v>
      </c>
      <c r="K6414" t="s">
        <v>24</v>
      </c>
      <c r="L6414" t="str">
        <f>_xlfn.XLOOKUP(K6414,[2]analyte_order!$B:$B,[2]analyte_order!$C:$C)</f>
        <v>423-41-6</v>
      </c>
      <c r="M6414">
        <f>_xlfn.XLOOKUP(L6414,[2]analyte_order!$C:$C,[2]analyte_order!$E:$E)</f>
        <v>53</v>
      </c>
      <c r="N6414">
        <v>0.125</v>
      </c>
    </row>
    <row r="6415" spans="1:14">
      <c r="A6415" t="s">
        <v>223</v>
      </c>
      <c r="B6415" t="str">
        <f>_xlfn.XLOOKUP(A6415,'[1]Tissue Data'!$A:$A,'[1]Tissue Data'!$C:$C)</f>
        <v>Spill</v>
      </c>
      <c r="C6415" s="2">
        <f>_xlfn.XLOOKUP(A6415,'[1]Tissue Data'!$A:$A,'[1]Tissue Data'!$D:$D)</f>
        <v>44393</v>
      </c>
      <c r="D6415" s="2" t="str">
        <f>_xlfn.XLOOKUP(A6415,'[1]Tissue Data'!$A:$A,'[1]Tissue Data'!$F:$F)</f>
        <v>Margined Madtom</v>
      </c>
      <c r="E6415" t="str">
        <f>_xlfn.XLOOKUP(A6415,'[1]Tissue Data'!$A:$A,'[1]Tissue Data'!$H:$H)</f>
        <v>Noturus</v>
      </c>
      <c r="F6415" t="str">
        <f>_xlfn.XLOOKUP(A6415,'[1]Tissue Data'!$A:$A,'[1]Tissue Data'!$I:$I)</f>
        <v>insignis</v>
      </c>
      <c r="G6415" t="str">
        <f>_xlfn.XLOOKUP(A6415,'[1]Tissue Data'!$A:$A,'[1]Tissue Data'!J:J)</f>
        <v>U</v>
      </c>
      <c r="H6415" t="str">
        <f>_xlfn.XLOOKUP(A6415,'[1]Tissue Data'!$A:$A,'[1]Tissue Data'!K:K)</f>
        <v>Whole Body</v>
      </c>
      <c r="I6415">
        <f>_xlfn.XLOOKUP(A6415,'[1]Tissue Data'!$A:$A,'[1]Tissue Data'!L:L)</f>
        <v>8</v>
      </c>
      <c r="J6415">
        <f>_xlfn.XLOOKUP(A6415,'[1]Tissue Data'!$A:$A,'[1]Tissue Data'!M:M)</f>
        <v>3.74</v>
      </c>
      <c r="K6415" t="s">
        <v>25</v>
      </c>
      <c r="L6415" t="str">
        <f>_xlfn.XLOOKUP(K6415,[2]analyte_order!$B:$B,[2]analyte_order!$C:$C)</f>
        <v>375-73-5</v>
      </c>
      <c r="M6415">
        <f>_xlfn.XLOOKUP(L6415,[2]analyte_order!$C:$C,[2]analyte_order!$E:$E)</f>
        <v>14</v>
      </c>
      <c r="N6415">
        <v>0.73</v>
      </c>
    </row>
    <row r="6416" spans="1:14">
      <c r="A6416" t="s">
        <v>223</v>
      </c>
      <c r="B6416" t="str">
        <f>_xlfn.XLOOKUP(A6416,'[1]Tissue Data'!$A:$A,'[1]Tissue Data'!$C:$C)</f>
        <v>Spill</v>
      </c>
      <c r="C6416" s="2">
        <f>_xlfn.XLOOKUP(A6416,'[1]Tissue Data'!$A:$A,'[1]Tissue Data'!$D:$D)</f>
        <v>44393</v>
      </c>
      <c r="D6416" s="2" t="str">
        <f>_xlfn.XLOOKUP(A6416,'[1]Tissue Data'!$A:$A,'[1]Tissue Data'!$F:$F)</f>
        <v>Margined Madtom</v>
      </c>
      <c r="E6416" t="str">
        <f>_xlfn.XLOOKUP(A6416,'[1]Tissue Data'!$A:$A,'[1]Tissue Data'!$H:$H)</f>
        <v>Noturus</v>
      </c>
      <c r="F6416" t="str">
        <f>_xlfn.XLOOKUP(A6416,'[1]Tissue Data'!$A:$A,'[1]Tissue Data'!$I:$I)</f>
        <v>insignis</v>
      </c>
      <c r="G6416" t="str">
        <f>_xlfn.XLOOKUP(A6416,'[1]Tissue Data'!$A:$A,'[1]Tissue Data'!J:J)</f>
        <v>U</v>
      </c>
      <c r="H6416" t="str">
        <f>_xlfn.XLOOKUP(A6416,'[1]Tissue Data'!$A:$A,'[1]Tissue Data'!K:K)</f>
        <v>Whole Body</v>
      </c>
      <c r="I6416">
        <f>_xlfn.XLOOKUP(A6416,'[1]Tissue Data'!$A:$A,'[1]Tissue Data'!L:L)</f>
        <v>8</v>
      </c>
      <c r="J6416">
        <f>_xlfn.XLOOKUP(A6416,'[1]Tissue Data'!$A:$A,'[1]Tissue Data'!M:M)</f>
        <v>3.74</v>
      </c>
      <c r="K6416" t="s">
        <v>26</v>
      </c>
      <c r="L6416" t="str">
        <f>_xlfn.XLOOKUP(K6416,[2]analyte_order!$B:$B,[2]analyte_order!$C:$C)</f>
        <v>2706-91-4</v>
      </c>
      <c r="M6416">
        <f>_xlfn.XLOOKUP(L6416,[2]analyte_order!$C:$C,[2]analyte_order!$E:$E)</f>
        <v>15</v>
      </c>
      <c r="N6416">
        <v>0.13250000000000001</v>
      </c>
    </row>
    <row r="6417" spans="1:14">
      <c r="A6417" t="s">
        <v>223</v>
      </c>
      <c r="B6417" t="str">
        <f>_xlfn.XLOOKUP(A6417,'[1]Tissue Data'!$A:$A,'[1]Tissue Data'!$C:$C)</f>
        <v>Spill</v>
      </c>
      <c r="C6417" s="2">
        <f>_xlfn.XLOOKUP(A6417,'[1]Tissue Data'!$A:$A,'[1]Tissue Data'!$D:$D)</f>
        <v>44393</v>
      </c>
      <c r="D6417" s="2" t="str">
        <f>_xlfn.XLOOKUP(A6417,'[1]Tissue Data'!$A:$A,'[1]Tissue Data'!$F:$F)</f>
        <v>Margined Madtom</v>
      </c>
      <c r="E6417" t="str">
        <f>_xlfn.XLOOKUP(A6417,'[1]Tissue Data'!$A:$A,'[1]Tissue Data'!$H:$H)</f>
        <v>Noturus</v>
      </c>
      <c r="F6417" t="str">
        <f>_xlfn.XLOOKUP(A6417,'[1]Tissue Data'!$A:$A,'[1]Tissue Data'!$I:$I)</f>
        <v>insignis</v>
      </c>
      <c r="G6417" t="str">
        <f>_xlfn.XLOOKUP(A6417,'[1]Tissue Data'!$A:$A,'[1]Tissue Data'!J:J)</f>
        <v>U</v>
      </c>
      <c r="H6417" t="str">
        <f>_xlfn.XLOOKUP(A6417,'[1]Tissue Data'!$A:$A,'[1]Tissue Data'!K:K)</f>
        <v>Whole Body</v>
      </c>
      <c r="I6417">
        <f>_xlfn.XLOOKUP(A6417,'[1]Tissue Data'!$A:$A,'[1]Tissue Data'!L:L)</f>
        <v>8</v>
      </c>
      <c r="J6417">
        <f>_xlfn.XLOOKUP(A6417,'[1]Tissue Data'!$A:$A,'[1]Tissue Data'!M:M)</f>
        <v>3.74</v>
      </c>
      <c r="K6417" t="s">
        <v>27</v>
      </c>
      <c r="L6417" t="str">
        <f>_xlfn.XLOOKUP(K6417,[2]analyte_order!$B:$B,[2]analyte_order!$C:$C)</f>
        <v>355-46-4</v>
      </c>
      <c r="M6417">
        <f>_xlfn.XLOOKUP(L6417,[2]analyte_order!$C:$C,[2]analyte_order!$E:$E)</f>
        <v>16</v>
      </c>
      <c r="N6417">
        <v>21.6</v>
      </c>
    </row>
    <row r="6418" spans="1:14">
      <c r="A6418" t="s">
        <v>223</v>
      </c>
      <c r="B6418" t="str">
        <f>_xlfn.XLOOKUP(A6418,'[1]Tissue Data'!$A:$A,'[1]Tissue Data'!$C:$C)</f>
        <v>Spill</v>
      </c>
      <c r="C6418" s="2">
        <f>_xlfn.XLOOKUP(A6418,'[1]Tissue Data'!$A:$A,'[1]Tissue Data'!$D:$D)</f>
        <v>44393</v>
      </c>
      <c r="D6418" s="2" t="str">
        <f>_xlfn.XLOOKUP(A6418,'[1]Tissue Data'!$A:$A,'[1]Tissue Data'!$F:$F)</f>
        <v>Margined Madtom</v>
      </c>
      <c r="E6418" t="str">
        <f>_xlfn.XLOOKUP(A6418,'[1]Tissue Data'!$A:$A,'[1]Tissue Data'!$H:$H)</f>
        <v>Noturus</v>
      </c>
      <c r="F6418" t="str">
        <f>_xlfn.XLOOKUP(A6418,'[1]Tissue Data'!$A:$A,'[1]Tissue Data'!$I:$I)</f>
        <v>insignis</v>
      </c>
      <c r="G6418" t="str">
        <f>_xlfn.XLOOKUP(A6418,'[1]Tissue Data'!$A:$A,'[1]Tissue Data'!J:J)</f>
        <v>U</v>
      </c>
      <c r="H6418" t="str">
        <f>_xlfn.XLOOKUP(A6418,'[1]Tissue Data'!$A:$A,'[1]Tissue Data'!K:K)</f>
        <v>Whole Body</v>
      </c>
      <c r="I6418">
        <f>_xlfn.XLOOKUP(A6418,'[1]Tissue Data'!$A:$A,'[1]Tissue Data'!L:L)</f>
        <v>8</v>
      </c>
      <c r="J6418">
        <f>_xlfn.XLOOKUP(A6418,'[1]Tissue Data'!$A:$A,'[1]Tissue Data'!M:M)</f>
        <v>3.74</v>
      </c>
      <c r="K6418" t="s">
        <v>28</v>
      </c>
      <c r="L6418" t="str">
        <f>_xlfn.XLOOKUP(K6418,[2]analyte_order!$B:$B,[2]analyte_order!$C:$C)</f>
        <v>375-92-8</v>
      </c>
      <c r="M6418">
        <f>_xlfn.XLOOKUP(L6418,[2]analyte_order!$C:$C,[2]analyte_order!$E:$E)</f>
        <v>17</v>
      </c>
      <c r="N6418">
        <v>1.37</v>
      </c>
    </row>
    <row r="6419" spans="1:14">
      <c r="A6419" t="s">
        <v>223</v>
      </c>
      <c r="B6419" t="str">
        <f>_xlfn.XLOOKUP(A6419,'[1]Tissue Data'!$A:$A,'[1]Tissue Data'!$C:$C)</f>
        <v>Spill</v>
      </c>
      <c r="C6419" s="2">
        <f>_xlfn.XLOOKUP(A6419,'[1]Tissue Data'!$A:$A,'[1]Tissue Data'!$D:$D)</f>
        <v>44393</v>
      </c>
      <c r="D6419" s="2" t="str">
        <f>_xlfn.XLOOKUP(A6419,'[1]Tissue Data'!$A:$A,'[1]Tissue Data'!$F:$F)</f>
        <v>Margined Madtom</v>
      </c>
      <c r="E6419" t="str">
        <f>_xlfn.XLOOKUP(A6419,'[1]Tissue Data'!$A:$A,'[1]Tissue Data'!$H:$H)</f>
        <v>Noturus</v>
      </c>
      <c r="F6419" t="str">
        <f>_xlfn.XLOOKUP(A6419,'[1]Tissue Data'!$A:$A,'[1]Tissue Data'!$I:$I)</f>
        <v>insignis</v>
      </c>
      <c r="G6419" t="str">
        <f>_xlfn.XLOOKUP(A6419,'[1]Tissue Data'!$A:$A,'[1]Tissue Data'!J:J)</f>
        <v>U</v>
      </c>
      <c r="H6419" t="str">
        <f>_xlfn.XLOOKUP(A6419,'[1]Tissue Data'!$A:$A,'[1]Tissue Data'!K:K)</f>
        <v>Whole Body</v>
      </c>
      <c r="I6419">
        <f>_xlfn.XLOOKUP(A6419,'[1]Tissue Data'!$A:$A,'[1]Tissue Data'!L:L)</f>
        <v>8</v>
      </c>
      <c r="J6419">
        <f>_xlfn.XLOOKUP(A6419,'[1]Tissue Data'!$A:$A,'[1]Tissue Data'!M:M)</f>
        <v>3.74</v>
      </c>
      <c r="K6419" t="s">
        <v>29</v>
      </c>
      <c r="L6419" t="str">
        <f>_xlfn.XLOOKUP(K6419,[2]analyte_order!$B:$B,[2]analyte_order!$C:$C)</f>
        <v>1763-23-1</v>
      </c>
      <c r="M6419">
        <f>_xlfn.XLOOKUP(L6419,[2]analyte_order!$C:$C,[2]analyte_order!$E:$E)</f>
        <v>18</v>
      </c>
      <c r="N6419">
        <v>493</v>
      </c>
    </row>
    <row r="6420" spans="1:14">
      <c r="A6420" t="s">
        <v>223</v>
      </c>
      <c r="B6420" t="str">
        <f>_xlfn.XLOOKUP(A6420,'[1]Tissue Data'!$A:$A,'[1]Tissue Data'!$C:$C)</f>
        <v>Spill</v>
      </c>
      <c r="C6420" s="2">
        <f>_xlfn.XLOOKUP(A6420,'[1]Tissue Data'!$A:$A,'[1]Tissue Data'!$D:$D)</f>
        <v>44393</v>
      </c>
      <c r="D6420" s="2" t="str">
        <f>_xlfn.XLOOKUP(A6420,'[1]Tissue Data'!$A:$A,'[1]Tissue Data'!$F:$F)</f>
        <v>Margined Madtom</v>
      </c>
      <c r="E6420" t="str">
        <f>_xlfn.XLOOKUP(A6420,'[1]Tissue Data'!$A:$A,'[1]Tissue Data'!$H:$H)</f>
        <v>Noturus</v>
      </c>
      <c r="F6420" t="str">
        <f>_xlfn.XLOOKUP(A6420,'[1]Tissue Data'!$A:$A,'[1]Tissue Data'!$I:$I)</f>
        <v>insignis</v>
      </c>
      <c r="G6420" t="str">
        <f>_xlfn.XLOOKUP(A6420,'[1]Tissue Data'!$A:$A,'[1]Tissue Data'!J:J)</f>
        <v>U</v>
      </c>
      <c r="H6420" t="str">
        <f>_xlfn.XLOOKUP(A6420,'[1]Tissue Data'!$A:$A,'[1]Tissue Data'!K:K)</f>
        <v>Whole Body</v>
      </c>
      <c r="I6420">
        <f>_xlfn.XLOOKUP(A6420,'[1]Tissue Data'!$A:$A,'[1]Tissue Data'!L:L)</f>
        <v>8</v>
      </c>
      <c r="J6420">
        <f>_xlfn.XLOOKUP(A6420,'[1]Tissue Data'!$A:$A,'[1]Tissue Data'!M:M)</f>
        <v>3.74</v>
      </c>
      <c r="K6420" t="s">
        <v>30</v>
      </c>
      <c r="L6420" t="str">
        <f>_xlfn.XLOOKUP(K6420,[2]analyte_order!$B:$B,[2]analyte_order!$C:$C)</f>
        <v>68259-12-1</v>
      </c>
      <c r="M6420">
        <f>_xlfn.XLOOKUP(L6420,[2]analyte_order!$C:$C,[2]analyte_order!$E:$E)</f>
        <v>19</v>
      </c>
      <c r="N6420">
        <v>0.82099999999999995</v>
      </c>
    </row>
    <row r="6421" spans="1:14">
      <c r="A6421" t="s">
        <v>223</v>
      </c>
      <c r="B6421" t="str">
        <f>_xlfn.XLOOKUP(A6421,'[1]Tissue Data'!$A:$A,'[1]Tissue Data'!$C:$C)</f>
        <v>Spill</v>
      </c>
      <c r="C6421" s="2">
        <f>_xlfn.XLOOKUP(A6421,'[1]Tissue Data'!$A:$A,'[1]Tissue Data'!$D:$D)</f>
        <v>44393</v>
      </c>
      <c r="D6421" s="2" t="str">
        <f>_xlfn.XLOOKUP(A6421,'[1]Tissue Data'!$A:$A,'[1]Tissue Data'!$F:$F)</f>
        <v>Margined Madtom</v>
      </c>
      <c r="E6421" t="str">
        <f>_xlfn.XLOOKUP(A6421,'[1]Tissue Data'!$A:$A,'[1]Tissue Data'!$H:$H)</f>
        <v>Noturus</v>
      </c>
      <c r="F6421" t="str">
        <f>_xlfn.XLOOKUP(A6421,'[1]Tissue Data'!$A:$A,'[1]Tissue Data'!$I:$I)</f>
        <v>insignis</v>
      </c>
      <c r="G6421" t="str">
        <f>_xlfn.XLOOKUP(A6421,'[1]Tissue Data'!$A:$A,'[1]Tissue Data'!J:J)</f>
        <v>U</v>
      </c>
      <c r="H6421" t="str">
        <f>_xlfn.XLOOKUP(A6421,'[1]Tissue Data'!$A:$A,'[1]Tissue Data'!K:K)</f>
        <v>Whole Body</v>
      </c>
      <c r="I6421">
        <f>_xlfn.XLOOKUP(A6421,'[1]Tissue Data'!$A:$A,'[1]Tissue Data'!L:L)</f>
        <v>8</v>
      </c>
      <c r="J6421">
        <f>_xlfn.XLOOKUP(A6421,'[1]Tissue Data'!$A:$A,'[1]Tissue Data'!M:M)</f>
        <v>3.74</v>
      </c>
      <c r="K6421" t="s">
        <v>31</v>
      </c>
      <c r="L6421" t="str">
        <f>_xlfn.XLOOKUP(K6421,[2]analyte_order!$B:$B,[2]analyte_order!$C:$C)</f>
        <v>335-77-3</v>
      </c>
      <c r="M6421">
        <f>_xlfn.XLOOKUP(L6421,[2]analyte_order!$C:$C,[2]analyte_order!$E:$E)</f>
        <v>20</v>
      </c>
      <c r="N6421">
        <v>1.1599999999999999</v>
      </c>
    </row>
    <row r="6422" spans="1:14">
      <c r="A6422" t="s">
        <v>223</v>
      </c>
      <c r="B6422" t="str">
        <f>_xlfn.XLOOKUP(A6422,'[1]Tissue Data'!$A:$A,'[1]Tissue Data'!$C:$C)</f>
        <v>Spill</v>
      </c>
      <c r="C6422" s="2">
        <f>_xlfn.XLOOKUP(A6422,'[1]Tissue Data'!$A:$A,'[1]Tissue Data'!$D:$D)</f>
        <v>44393</v>
      </c>
      <c r="D6422" s="2" t="str">
        <f>_xlfn.XLOOKUP(A6422,'[1]Tissue Data'!$A:$A,'[1]Tissue Data'!$F:$F)</f>
        <v>Margined Madtom</v>
      </c>
      <c r="E6422" t="str">
        <f>_xlfn.XLOOKUP(A6422,'[1]Tissue Data'!$A:$A,'[1]Tissue Data'!$H:$H)</f>
        <v>Noturus</v>
      </c>
      <c r="F6422" t="str">
        <f>_xlfn.XLOOKUP(A6422,'[1]Tissue Data'!$A:$A,'[1]Tissue Data'!$I:$I)</f>
        <v>insignis</v>
      </c>
      <c r="G6422" t="str">
        <f>_xlfn.XLOOKUP(A6422,'[1]Tissue Data'!$A:$A,'[1]Tissue Data'!J:J)</f>
        <v>U</v>
      </c>
      <c r="H6422" t="str">
        <f>_xlfn.XLOOKUP(A6422,'[1]Tissue Data'!$A:$A,'[1]Tissue Data'!K:K)</f>
        <v>Whole Body</v>
      </c>
      <c r="I6422">
        <f>_xlfn.XLOOKUP(A6422,'[1]Tissue Data'!$A:$A,'[1]Tissue Data'!L:L)</f>
        <v>8</v>
      </c>
      <c r="J6422">
        <f>_xlfn.XLOOKUP(A6422,'[1]Tissue Data'!$A:$A,'[1]Tissue Data'!M:M)</f>
        <v>3.74</v>
      </c>
      <c r="K6422" t="s">
        <v>32</v>
      </c>
      <c r="L6422" t="str">
        <f>_xlfn.XLOOKUP(K6422,[2]analyte_order!$B:$B,[2]analyte_order!$C:$C)</f>
        <v>79780-39-5</v>
      </c>
      <c r="M6422">
        <f>_xlfn.XLOOKUP(L6422,[2]analyte_order!$C:$C,[2]analyte_order!$E:$E)</f>
        <v>21</v>
      </c>
      <c r="N6422">
        <v>0.26750000000000002</v>
      </c>
    </row>
    <row r="6423" spans="1:14">
      <c r="A6423" t="s">
        <v>223</v>
      </c>
      <c r="B6423" t="str">
        <f>_xlfn.XLOOKUP(A6423,'[1]Tissue Data'!$A:$A,'[1]Tissue Data'!$C:$C)</f>
        <v>Spill</v>
      </c>
      <c r="C6423" s="2">
        <f>_xlfn.XLOOKUP(A6423,'[1]Tissue Data'!$A:$A,'[1]Tissue Data'!$D:$D)</f>
        <v>44393</v>
      </c>
      <c r="D6423" s="2" t="str">
        <f>_xlfn.XLOOKUP(A6423,'[1]Tissue Data'!$A:$A,'[1]Tissue Data'!$F:$F)</f>
        <v>Margined Madtom</v>
      </c>
      <c r="E6423" t="str">
        <f>_xlfn.XLOOKUP(A6423,'[1]Tissue Data'!$A:$A,'[1]Tissue Data'!$H:$H)</f>
        <v>Noturus</v>
      </c>
      <c r="F6423" t="str">
        <f>_xlfn.XLOOKUP(A6423,'[1]Tissue Data'!$A:$A,'[1]Tissue Data'!$I:$I)</f>
        <v>insignis</v>
      </c>
      <c r="G6423" t="str">
        <f>_xlfn.XLOOKUP(A6423,'[1]Tissue Data'!$A:$A,'[1]Tissue Data'!J:J)</f>
        <v>U</v>
      </c>
      <c r="H6423" t="str">
        <f>_xlfn.XLOOKUP(A6423,'[1]Tissue Data'!$A:$A,'[1]Tissue Data'!K:K)</f>
        <v>Whole Body</v>
      </c>
      <c r="I6423">
        <f>_xlfn.XLOOKUP(A6423,'[1]Tissue Data'!$A:$A,'[1]Tissue Data'!L:L)</f>
        <v>8</v>
      </c>
      <c r="J6423">
        <f>_xlfn.XLOOKUP(A6423,'[1]Tissue Data'!$A:$A,'[1]Tissue Data'!M:M)</f>
        <v>3.74</v>
      </c>
      <c r="K6423" t="s">
        <v>33</v>
      </c>
      <c r="L6423" t="str">
        <f>_xlfn.XLOOKUP(K6423,[2]analyte_order!$B:$B,[2]analyte_order!$C:$C)</f>
        <v>777011-38-8</v>
      </c>
      <c r="M6423">
        <f>_xlfn.XLOOKUP(L6423,[2]analyte_order!$C:$C,[2]analyte_order!$E:$E)</f>
        <v>54</v>
      </c>
      <c r="N6423">
        <v>0.152</v>
      </c>
    </row>
    <row r="6424" spans="1:14">
      <c r="A6424" t="s">
        <v>223</v>
      </c>
      <c r="B6424" t="str">
        <f>_xlfn.XLOOKUP(A6424,'[1]Tissue Data'!$A:$A,'[1]Tissue Data'!$C:$C)</f>
        <v>Spill</v>
      </c>
      <c r="C6424" s="2">
        <f>_xlfn.XLOOKUP(A6424,'[1]Tissue Data'!$A:$A,'[1]Tissue Data'!$D:$D)</f>
        <v>44393</v>
      </c>
      <c r="D6424" s="2" t="str">
        <f>_xlfn.XLOOKUP(A6424,'[1]Tissue Data'!$A:$A,'[1]Tissue Data'!$F:$F)</f>
        <v>Margined Madtom</v>
      </c>
      <c r="E6424" t="str">
        <f>_xlfn.XLOOKUP(A6424,'[1]Tissue Data'!$A:$A,'[1]Tissue Data'!$H:$H)</f>
        <v>Noturus</v>
      </c>
      <c r="F6424" t="str">
        <f>_xlfn.XLOOKUP(A6424,'[1]Tissue Data'!$A:$A,'[1]Tissue Data'!$I:$I)</f>
        <v>insignis</v>
      </c>
      <c r="G6424" t="str">
        <f>_xlfn.XLOOKUP(A6424,'[1]Tissue Data'!$A:$A,'[1]Tissue Data'!J:J)</f>
        <v>U</v>
      </c>
      <c r="H6424" t="str">
        <f>_xlfn.XLOOKUP(A6424,'[1]Tissue Data'!$A:$A,'[1]Tissue Data'!K:K)</f>
        <v>Whole Body</v>
      </c>
      <c r="I6424">
        <f>_xlfn.XLOOKUP(A6424,'[1]Tissue Data'!$A:$A,'[1]Tissue Data'!L:L)</f>
        <v>8</v>
      </c>
      <c r="J6424">
        <f>_xlfn.XLOOKUP(A6424,'[1]Tissue Data'!$A:$A,'[1]Tissue Data'!M:M)</f>
        <v>3.74</v>
      </c>
      <c r="K6424" t="s">
        <v>34</v>
      </c>
      <c r="L6424" t="str">
        <f>_xlfn.XLOOKUP(K6424,[2]analyte_order!$B:$B,[2]analyte_order!$C:$C)</f>
        <v>646-83-3</v>
      </c>
      <c r="M6424">
        <f>_xlfn.XLOOKUP(L6424,[2]analyte_order!$C:$C,[2]analyte_order!$E:$E)</f>
        <v>55</v>
      </c>
      <c r="N6424">
        <v>0.1</v>
      </c>
    </row>
    <row r="6425" spans="1:14">
      <c r="A6425" t="s">
        <v>223</v>
      </c>
      <c r="B6425" t="str">
        <f>_xlfn.XLOOKUP(A6425,'[1]Tissue Data'!$A:$A,'[1]Tissue Data'!$C:$C)</f>
        <v>Spill</v>
      </c>
      <c r="C6425" s="2">
        <f>_xlfn.XLOOKUP(A6425,'[1]Tissue Data'!$A:$A,'[1]Tissue Data'!$D:$D)</f>
        <v>44393</v>
      </c>
      <c r="D6425" s="2" t="str">
        <f>_xlfn.XLOOKUP(A6425,'[1]Tissue Data'!$A:$A,'[1]Tissue Data'!$F:$F)</f>
        <v>Margined Madtom</v>
      </c>
      <c r="E6425" t="str">
        <f>_xlfn.XLOOKUP(A6425,'[1]Tissue Data'!$A:$A,'[1]Tissue Data'!$H:$H)</f>
        <v>Noturus</v>
      </c>
      <c r="F6425" t="str">
        <f>_xlfn.XLOOKUP(A6425,'[1]Tissue Data'!$A:$A,'[1]Tissue Data'!$I:$I)</f>
        <v>insignis</v>
      </c>
      <c r="G6425" t="str">
        <f>_xlfn.XLOOKUP(A6425,'[1]Tissue Data'!$A:$A,'[1]Tissue Data'!J:J)</f>
        <v>U</v>
      </c>
      <c r="H6425" t="str">
        <f>_xlfn.XLOOKUP(A6425,'[1]Tissue Data'!$A:$A,'[1]Tissue Data'!K:K)</f>
        <v>Whole Body</v>
      </c>
      <c r="I6425">
        <f>_xlfn.XLOOKUP(A6425,'[1]Tissue Data'!$A:$A,'[1]Tissue Data'!L:L)</f>
        <v>8</v>
      </c>
      <c r="J6425">
        <f>_xlfn.XLOOKUP(A6425,'[1]Tissue Data'!$A:$A,'[1]Tissue Data'!M:M)</f>
        <v>3.74</v>
      </c>
      <c r="K6425" t="s">
        <v>35</v>
      </c>
      <c r="L6425" t="str">
        <f>_xlfn.XLOOKUP(K6425,[2]analyte_order!$B:$B,[2]analyte_order!$C:$C)</f>
        <v>30334-69-1</v>
      </c>
      <c r="M6425">
        <f>_xlfn.XLOOKUP(L6425,[2]analyte_order!$C:$C,[2]analyte_order!$E:$E)</f>
        <v>51</v>
      </c>
      <c r="N6425">
        <v>80</v>
      </c>
    </row>
    <row r="6426" spans="1:14">
      <c r="A6426" t="s">
        <v>223</v>
      </c>
      <c r="B6426" t="str">
        <f>_xlfn.XLOOKUP(A6426,'[1]Tissue Data'!$A:$A,'[1]Tissue Data'!$C:$C)</f>
        <v>Spill</v>
      </c>
      <c r="C6426" s="2">
        <f>_xlfn.XLOOKUP(A6426,'[1]Tissue Data'!$A:$A,'[1]Tissue Data'!$D:$D)</f>
        <v>44393</v>
      </c>
      <c r="D6426" s="2" t="str">
        <f>_xlfn.XLOOKUP(A6426,'[1]Tissue Data'!$A:$A,'[1]Tissue Data'!$F:$F)</f>
        <v>Margined Madtom</v>
      </c>
      <c r="E6426" t="str">
        <f>_xlfn.XLOOKUP(A6426,'[1]Tissue Data'!$A:$A,'[1]Tissue Data'!$H:$H)</f>
        <v>Noturus</v>
      </c>
      <c r="F6426" t="str">
        <f>_xlfn.XLOOKUP(A6426,'[1]Tissue Data'!$A:$A,'[1]Tissue Data'!$I:$I)</f>
        <v>insignis</v>
      </c>
      <c r="G6426" t="str">
        <f>_xlfn.XLOOKUP(A6426,'[1]Tissue Data'!$A:$A,'[1]Tissue Data'!J:J)</f>
        <v>U</v>
      </c>
      <c r="H6426" t="str">
        <f>_xlfn.XLOOKUP(A6426,'[1]Tissue Data'!$A:$A,'[1]Tissue Data'!K:K)</f>
        <v>Whole Body</v>
      </c>
      <c r="I6426">
        <f>_xlfn.XLOOKUP(A6426,'[1]Tissue Data'!$A:$A,'[1]Tissue Data'!L:L)</f>
        <v>8</v>
      </c>
      <c r="J6426">
        <f>_xlfn.XLOOKUP(A6426,'[1]Tissue Data'!$A:$A,'[1]Tissue Data'!M:M)</f>
        <v>3.74</v>
      </c>
      <c r="K6426" t="s">
        <v>36</v>
      </c>
      <c r="L6426" t="str">
        <f>_xlfn.XLOOKUP(K6426,[2]analyte_order!$B:$B,[2]analyte_order!$C:$C)</f>
        <v>41997-13-1</v>
      </c>
      <c r="M6426">
        <f>_xlfn.XLOOKUP(L6426,[2]analyte_order!$C:$C,[2]analyte_order!$E:$E)</f>
        <v>52</v>
      </c>
      <c r="N6426">
        <v>204</v>
      </c>
    </row>
    <row r="6427" spans="1:14">
      <c r="A6427" t="s">
        <v>223</v>
      </c>
      <c r="B6427" t="str">
        <f>_xlfn.XLOOKUP(A6427,'[1]Tissue Data'!$A:$A,'[1]Tissue Data'!$C:$C)</f>
        <v>Spill</v>
      </c>
      <c r="C6427" s="2">
        <f>_xlfn.XLOOKUP(A6427,'[1]Tissue Data'!$A:$A,'[1]Tissue Data'!$D:$D)</f>
        <v>44393</v>
      </c>
      <c r="D6427" s="2" t="str">
        <f>_xlfn.XLOOKUP(A6427,'[1]Tissue Data'!$A:$A,'[1]Tissue Data'!$F:$F)</f>
        <v>Margined Madtom</v>
      </c>
      <c r="E6427" t="str">
        <f>_xlfn.XLOOKUP(A6427,'[1]Tissue Data'!$A:$A,'[1]Tissue Data'!$H:$H)</f>
        <v>Noturus</v>
      </c>
      <c r="F6427" t="str">
        <f>_xlfn.XLOOKUP(A6427,'[1]Tissue Data'!$A:$A,'[1]Tissue Data'!$I:$I)</f>
        <v>insignis</v>
      </c>
      <c r="G6427" t="str">
        <f>_xlfn.XLOOKUP(A6427,'[1]Tissue Data'!$A:$A,'[1]Tissue Data'!J:J)</f>
        <v>U</v>
      </c>
      <c r="H6427" t="str">
        <f>_xlfn.XLOOKUP(A6427,'[1]Tissue Data'!$A:$A,'[1]Tissue Data'!K:K)</f>
        <v>Whole Body</v>
      </c>
      <c r="I6427">
        <f>_xlfn.XLOOKUP(A6427,'[1]Tissue Data'!$A:$A,'[1]Tissue Data'!L:L)</f>
        <v>8</v>
      </c>
      <c r="J6427">
        <f>_xlfn.XLOOKUP(A6427,'[1]Tissue Data'!$A:$A,'[1]Tissue Data'!M:M)</f>
        <v>3.74</v>
      </c>
      <c r="K6427" t="s">
        <v>37</v>
      </c>
      <c r="L6427" t="str">
        <f>_xlfn.XLOOKUP(K6427,[2]analyte_order!$B:$B,[2]analyte_order!$C:$C)</f>
        <v>754-91-6</v>
      </c>
      <c r="M6427">
        <f>_xlfn.XLOOKUP(L6427,[2]analyte_order!$C:$C,[2]analyte_order!$E:$E)</f>
        <v>28</v>
      </c>
      <c r="N6427">
        <v>13.6</v>
      </c>
    </row>
    <row r="6428" spans="1:14">
      <c r="A6428" t="s">
        <v>223</v>
      </c>
      <c r="B6428" t="str">
        <f>_xlfn.XLOOKUP(A6428,'[1]Tissue Data'!$A:$A,'[1]Tissue Data'!$C:$C)</f>
        <v>Spill</v>
      </c>
      <c r="C6428" s="2">
        <f>_xlfn.XLOOKUP(A6428,'[1]Tissue Data'!$A:$A,'[1]Tissue Data'!$D:$D)</f>
        <v>44393</v>
      </c>
      <c r="D6428" s="2" t="str">
        <f>_xlfn.XLOOKUP(A6428,'[1]Tissue Data'!$A:$A,'[1]Tissue Data'!$F:$F)</f>
        <v>Margined Madtom</v>
      </c>
      <c r="E6428" t="str">
        <f>_xlfn.XLOOKUP(A6428,'[1]Tissue Data'!$A:$A,'[1]Tissue Data'!$H:$H)</f>
        <v>Noturus</v>
      </c>
      <c r="F6428" t="str">
        <f>_xlfn.XLOOKUP(A6428,'[1]Tissue Data'!$A:$A,'[1]Tissue Data'!$I:$I)</f>
        <v>insignis</v>
      </c>
      <c r="G6428" t="str">
        <f>_xlfn.XLOOKUP(A6428,'[1]Tissue Data'!$A:$A,'[1]Tissue Data'!J:J)</f>
        <v>U</v>
      </c>
      <c r="H6428" t="str">
        <f>_xlfn.XLOOKUP(A6428,'[1]Tissue Data'!$A:$A,'[1]Tissue Data'!K:K)</f>
        <v>Whole Body</v>
      </c>
      <c r="I6428">
        <f>_xlfn.XLOOKUP(A6428,'[1]Tissue Data'!$A:$A,'[1]Tissue Data'!L:L)</f>
        <v>8</v>
      </c>
      <c r="J6428">
        <f>_xlfn.XLOOKUP(A6428,'[1]Tissue Data'!$A:$A,'[1]Tissue Data'!M:M)</f>
        <v>3.74</v>
      </c>
      <c r="K6428" t="s">
        <v>38</v>
      </c>
      <c r="L6428" t="str">
        <f>_xlfn.XLOOKUP(K6428,[2]analyte_order!$B:$B,[2]analyte_order!$C:$C)</f>
        <v>31506-32-8</v>
      </c>
      <c r="M6428">
        <f>_xlfn.XLOOKUP(L6428,[2]analyte_order!$C:$C,[2]analyte_order!$E:$E)</f>
        <v>30</v>
      </c>
      <c r="N6428">
        <v>9.6500000000000002E-2</v>
      </c>
    </row>
    <row r="6429" spans="1:14">
      <c r="A6429" t="s">
        <v>223</v>
      </c>
      <c r="B6429" t="str">
        <f>_xlfn.XLOOKUP(A6429,'[1]Tissue Data'!$A:$A,'[1]Tissue Data'!$C:$C)</f>
        <v>Spill</v>
      </c>
      <c r="C6429" s="2">
        <f>_xlfn.XLOOKUP(A6429,'[1]Tissue Data'!$A:$A,'[1]Tissue Data'!$D:$D)</f>
        <v>44393</v>
      </c>
      <c r="D6429" s="2" t="str">
        <f>_xlfn.XLOOKUP(A6429,'[1]Tissue Data'!$A:$A,'[1]Tissue Data'!$F:$F)</f>
        <v>Margined Madtom</v>
      </c>
      <c r="E6429" t="str">
        <f>_xlfn.XLOOKUP(A6429,'[1]Tissue Data'!$A:$A,'[1]Tissue Data'!$H:$H)</f>
        <v>Noturus</v>
      </c>
      <c r="F6429" t="str">
        <f>_xlfn.XLOOKUP(A6429,'[1]Tissue Data'!$A:$A,'[1]Tissue Data'!$I:$I)</f>
        <v>insignis</v>
      </c>
      <c r="G6429" t="str">
        <f>_xlfn.XLOOKUP(A6429,'[1]Tissue Data'!$A:$A,'[1]Tissue Data'!J:J)</f>
        <v>U</v>
      </c>
      <c r="H6429" t="str">
        <f>_xlfn.XLOOKUP(A6429,'[1]Tissue Data'!$A:$A,'[1]Tissue Data'!K:K)</f>
        <v>Whole Body</v>
      </c>
      <c r="I6429">
        <f>_xlfn.XLOOKUP(A6429,'[1]Tissue Data'!$A:$A,'[1]Tissue Data'!L:L)</f>
        <v>8</v>
      </c>
      <c r="J6429">
        <f>_xlfn.XLOOKUP(A6429,'[1]Tissue Data'!$A:$A,'[1]Tissue Data'!M:M)</f>
        <v>3.74</v>
      </c>
      <c r="K6429" t="s">
        <v>39</v>
      </c>
      <c r="L6429" t="str">
        <f>_xlfn.XLOOKUP(K6429,[2]analyte_order!$B:$B,[2]analyte_order!$C:$C)</f>
        <v>4151-50-2</v>
      </c>
      <c r="M6429">
        <f>_xlfn.XLOOKUP(L6429,[2]analyte_order!$C:$C,[2]analyte_order!$E:$E)</f>
        <v>31</v>
      </c>
      <c r="N6429">
        <v>0.25</v>
      </c>
    </row>
    <row r="6430" spans="1:14">
      <c r="A6430" t="s">
        <v>223</v>
      </c>
      <c r="B6430" t="str">
        <f>_xlfn.XLOOKUP(A6430,'[1]Tissue Data'!$A:$A,'[1]Tissue Data'!$C:$C)</f>
        <v>Spill</v>
      </c>
      <c r="C6430" s="2">
        <f>_xlfn.XLOOKUP(A6430,'[1]Tissue Data'!$A:$A,'[1]Tissue Data'!$D:$D)</f>
        <v>44393</v>
      </c>
      <c r="D6430" s="2" t="str">
        <f>_xlfn.XLOOKUP(A6430,'[1]Tissue Data'!$A:$A,'[1]Tissue Data'!$F:$F)</f>
        <v>Margined Madtom</v>
      </c>
      <c r="E6430" t="str">
        <f>_xlfn.XLOOKUP(A6430,'[1]Tissue Data'!$A:$A,'[1]Tissue Data'!$H:$H)</f>
        <v>Noturus</v>
      </c>
      <c r="F6430" t="str">
        <f>_xlfn.XLOOKUP(A6430,'[1]Tissue Data'!$A:$A,'[1]Tissue Data'!$I:$I)</f>
        <v>insignis</v>
      </c>
      <c r="G6430" t="str">
        <f>_xlfn.XLOOKUP(A6430,'[1]Tissue Data'!$A:$A,'[1]Tissue Data'!J:J)</f>
        <v>U</v>
      </c>
      <c r="H6430" t="str">
        <f>_xlfn.XLOOKUP(A6430,'[1]Tissue Data'!$A:$A,'[1]Tissue Data'!K:K)</f>
        <v>Whole Body</v>
      </c>
      <c r="I6430">
        <f>_xlfn.XLOOKUP(A6430,'[1]Tissue Data'!$A:$A,'[1]Tissue Data'!L:L)</f>
        <v>8</v>
      </c>
      <c r="J6430">
        <f>_xlfn.XLOOKUP(A6430,'[1]Tissue Data'!$A:$A,'[1]Tissue Data'!M:M)</f>
        <v>3.74</v>
      </c>
      <c r="K6430" t="s">
        <v>40</v>
      </c>
      <c r="L6430" t="str">
        <f>_xlfn.XLOOKUP(K6430,[2]analyte_order!$B:$B,[2]analyte_order!$C:$C)</f>
        <v>2806-24-8</v>
      </c>
      <c r="M6430">
        <f>_xlfn.XLOOKUP(L6430,[2]analyte_order!$C:$C,[2]analyte_order!$E:$E)</f>
        <v>29</v>
      </c>
      <c r="N6430">
        <v>0.25</v>
      </c>
    </row>
    <row r="6431" spans="1:14">
      <c r="A6431" t="s">
        <v>223</v>
      </c>
      <c r="B6431" t="str">
        <f>_xlfn.XLOOKUP(A6431,'[1]Tissue Data'!$A:$A,'[1]Tissue Data'!$C:$C)</f>
        <v>Spill</v>
      </c>
      <c r="C6431" s="2">
        <f>_xlfn.XLOOKUP(A6431,'[1]Tissue Data'!$A:$A,'[1]Tissue Data'!$D:$D)</f>
        <v>44393</v>
      </c>
      <c r="D6431" s="2" t="str">
        <f>_xlfn.XLOOKUP(A6431,'[1]Tissue Data'!$A:$A,'[1]Tissue Data'!$F:$F)</f>
        <v>Margined Madtom</v>
      </c>
      <c r="E6431" t="str">
        <f>_xlfn.XLOOKUP(A6431,'[1]Tissue Data'!$A:$A,'[1]Tissue Data'!$H:$H)</f>
        <v>Noturus</v>
      </c>
      <c r="F6431" t="str">
        <f>_xlfn.XLOOKUP(A6431,'[1]Tissue Data'!$A:$A,'[1]Tissue Data'!$I:$I)</f>
        <v>insignis</v>
      </c>
      <c r="G6431" t="str">
        <f>_xlfn.XLOOKUP(A6431,'[1]Tissue Data'!$A:$A,'[1]Tissue Data'!J:J)</f>
        <v>U</v>
      </c>
      <c r="H6431" t="str">
        <f>_xlfn.XLOOKUP(A6431,'[1]Tissue Data'!$A:$A,'[1]Tissue Data'!K:K)</f>
        <v>Whole Body</v>
      </c>
      <c r="I6431">
        <f>_xlfn.XLOOKUP(A6431,'[1]Tissue Data'!$A:$A,'[1]Tissue Data'!L:L)</f>
        <v>8</v>
      </c>
      <c r="J6431">
        <f>_xlfn.XLOOKUP(A6431,'[1]Tissue Data'!$A:$A,'[1]Tissue Data'!M:M)</f>
        <v>3.74</v>
      </c>
      <c r="K6431" t="s">
        <v>41</v>
      </c>
      <c r="L6431" t="str">
        <f>_xlfn.XLOOKUP(K6431,[2]analyte_order!$B:$B,[2]analyte_order!$C:$C)</f>
        <v>2355-31-9</v>
      </c>
      <c r="M6431">
        <f>_xlfn.XLOOKUP(L6431,[2]analyte_order!$C:$C,[2]analyte_order!$E:$E)</f>
        <v>26</v>
      </c>
      <c r="N6431">
        <v>0.126</v>
      </c>
    </row>
    <row r="6432" spans="1:14">
      <c r="A6432" t="s">
        <v>223</v>
      </c>
      <c r="B6432" t="str">
        <f>_xlfn.XLOOKUP(A6432,'[1]Tissue Data'!$A:$A,'[1]Tissue Data'!$C:$C)</f>
        <v>Spill</v>
      </c>
      <c r="C6432" s="2">
        <f>_xlfn.XLOOKUP(A6432,'[1]Tissue Data'!$A:$A,'[1]Tissue Data'!$D:$D)</f>
        <v>44393</v>
      </c>
      <c r="D6432" s="2" t="str">
        <f>_xlfn.XLOOKUP(A6432,'[1]Tissue Data'!$A:$A,'[1]Tissue Data'!$F:$F)</f>
        <v>Margined Madtom</v>
      </c>
      <c r="E6432" t="str">
        <f>_xlfn.XLOOKUP(A6432,'[1]Tissue Data'!$A:$A,'[1]Tissue Data'!$H:$H)</f>
        <v>Noturus</v>
      </c>
      <c r="F6432" t="str">
        <f>_xlfn.XLOOKUP(A6432,'[1]Tissue Data'!$A:$A,'[1]Tissue Data'!$I:$I)</f>
        <v>insignis</v>
      </c>
      <c r="G6432" t="str">
        <f>_xlfn.XLOOKUP(A6432,'[1]Tissue Data'!$A:$A,'[1]Tissue Data'!J:J)</f>
        <v>U</v>
      </c>
      <c r="H6432" t="str">
        <f>_xlfn.XLOOKUP(A6432,'[1]Tissue Data'!$A:$A,'[1]Tissue Data'!K:K)</f>
        <v>Whole Body</v>
      </c>
      <c r="I6432">
        <f>_xlfn.XLOOKUP(A6432,'[1]Tissue Data'!$A:$A,'[1]Tissue Data'!L:L)</f>
        <v>8</v>
      </c>
      <c r="J6432">
        <f>_xlfn.XLOOKUP(A6432,'[1]Tissue Data'!$A:$A,'[1]Tissue Data'!M:M)</f>
        <v>3.74</v>
      </c>
      <c r="K6432" t="s">
        <v>42</v>
      </c>
      <c r="L6432" t="str">
        <f>_xlfn.XLOOKUP(K6432,[2]analyte_order!$B:$B,[2]analyte_order!$C:$C)</f>
        <v>2991-50-6</v>
      </c>
      <c r="M6432">
        <f>_xlfn.XLOOKUP(L6432,[2]analyte_order!$C:$C,[2]analyte_order!$E:$E)</f>
        <v>27</v>
      </c>
      <c r="N6432">
        <v>0.125</v>
      </c>
    </row>
    <row r="6433" spans="1:14">
      <c r="A6433" t="s">
        <v>223</v>
      </c>
      <c r="B6433" t="str">
        <f>_xlfn.XLOOKUP(A6433,'[1]Tissue Data'!$A:$A,'[1]Tissue Data'!$C:$C)</f>
        <v>Spill</v>
      </c>
      <c r="C6433" s="2">
        <f>_xlfn.XLOOKUP(A6433,'[1]Tissue Data'!$A:$A,'[1]Tissue Data'!$D:$D)</f>
        <v>44393</v>
      </c>
      <c r="D6433" s="2" t="str">
        <f>_xlfn.XLOOKUP(A6433,'[1]Tissue Data'!$A:$A,'[1]Tissue Data'!$F:$F)</f>
        <v>Margined Madtom</v>
      </c>
      <c r="E6433" t="str">
        <f>_xlfn.XLOOKUP(A6433,'[1]Tissue Data'!$A:$A,'[1]Tissue Data'!$H:$H)</f>
        <v>Noturus</v>
      </c>
      <c r="F6433" t="str">
        <f>_xlfn.XLOOKUP(A6433,'[1]Tissue Data'!$A:$A,'[1]Tissue Data'!$I:$I)</f>
        <v>insignis</v>
      </c>
      <c r="G6433" t="str">
        <f>_xlfn.XLOOKUP(A6433,'[1]Tissue Data'!$A:$A,'[1]Tissue Data'!J:J)</f>
        <v>U</v>
      </c>
      <c r="H6433" t="str">
        <f>_xlfn.XLOOKUP(A6433,'[1]Tissue Data'!$A:$A,'[1]Tissue Data'!K:K)</f>
        <v>Whole Body</v>
      </c>
      <c r="I6433">
        <f>_xlfn.XLOOKUP(A6433,'[1]Tissue Data'!$A:$A,'[1]Tissue Data'!L:L)</f>
        <v>8</v>
      </c>
      <c r="J6433">
        <f>_xlfn.XLOOKUP(A6433,'[1]Tissue Data'!$A:$A,'[1]Tissue Data'!M:M)</f>
        <v>3.74</v>
      </c>
      <c r="K6433" t="s">
        <v>43</v>
      </c>
      <c r="L6433" t="str">
        <f>_xlfn.XLOOKUP(K6433,[2]analyte_order!$B:$B,[2]analyte_order!$C:$C)</f>
        <v>757124-72-4</v>
      </c>
      <c r="M6433">
        <f>_xlfn.XLOOKUP(L6433,[2]analyte_order!$C:$C,[2]analyte_order!$E:$E)</f>
        <v>22</v>
      </c>
      <c r="N6433">
        <v>0.125</v>
      </c>
    </row>
    <row r="6434" spans="1:14">
      <c r="A6434" t="s">
        <v>223</v>
      </c>
      <c r="B6434" t="str">
        <f>_xlfn.XLOOKUP(A6434,'[1]Tissue Data'!$A:$A,'[1]Tissue Data'!$C:$C)</f>
        <v>Spill</v>
      </c>
      <c r="C6434" s="2">
        <f>_xlfn.XLOOKUP(A6434,'[1]Tissue Data'!$A:$A,'[1]Tissue Data'!$D:$D)</f>
        <v>44393</v>
      </c>
      <c r="D6434" s="2" t="str">
        <f>_xlfn.XLOOKUP(A6434,'[1]Tissue Data'!$A:$A,'[1]Tissue Data'!$F:$F)</f>
        <v>Margined Madtom</v>
      </c>
      <c r="E6434" t="str">
        <f>_xlfn.XLOOKUP(A6434,'[1]Tissue Data'!$A:$A,'[1]Tissue Data'!$H:$H)</f>
        <v>Noturus</v>
      </c>
      <c r="F6434" t="str">
        <f>_xlfn.XLOOKUP(A6434,'[1]Tissue Data'!$A:$A,'[1]Tissue Data'!$I:$I)</f>
        <v>insignis</v>
      </c>
      <c r="G6434" t="str">
        <f>_xlfn.XLOOKUP(A6434,'[1]Tissue Data'!$A:$A,'[1]Tissue Data'!J:J)</f>
        <v>U</v>
      </c>
      <c r="H6434" t="str">
        <f>_xlfn.XLOOKUP(A6434,'[1]Tissue Data'!$A:$A,'[1]Tissue Data'!K:K)</f>
        <v>Whole Body</v>
      </c>
      <c r="I6434">
        <f>_xlfn.XLOOKUP(A6434,'[1]Tissue Data'!$A:$A,'[1]Tissue Data'!L:L)</f>
        <v>8</v>
      </c>
      <c r="J6434">
        <f>_xlfn.XLOOKUP(A6434,'[1]Tissue Data'!$A:$A,'[1]Tissue Data'!M:M)</f>
        <v>3.74</v>
      </c>
      <c r="K6434" t="s">
        <v>44</v>
      </c>
      <c r="L6434" t="str">
        <f>_xlfn.XLOOKUP(K6434,[2]analyte_order!$B:$B,[2]analyte_order!$C:$C)</f>
        <v>27619-97-2</v>
      </c>
      <c r="M6434">
        <f>_xlfn.XLOOKUP(L6434,[2]analyte_order!$C:$C,[2]analyte_order!$E:$E)</f>
        <v>23</v>
      </c>
      <c r="N6434">
        <v>0.125</v>
      </c>
    </row>
    <row r="6435" spans="1:14">
      <c r="A6435" t="s">
        <v>223</v>
      </c>
      <c r="B6435" t="str">
        <f>_xlfn.XLOOKUP(A6435,'[1]Tissue Data'!$A:$A,'[1]Tissue Data'!$C:$C)</f>
        <v>Spill</v>
      </c>
      <c r="C6435" s="2">
        <f>_xlfn.XLOOKUP(A6435,'[1]Tissue Data'!$A:$A,'[1]Tissue Data'!$D:$D)</f>
        <v>44393</v>
      </c>
      <c r="D6435" s="2" t="str">
        <f>_xlfn.XLOOKUP(A6435,'[1]Tissue Data'!$A:$A,'[1]Tissue Data'!$F:$F)</f>
        <v>Margined Madtom</v>
      </c>
      <c r="E6435" t="str">
        <f>_xlfn.XLOOKUP(A6435,'[1]Tissue Data'!$A:$A,'[1]Tissue Data'!$H:$H)</f>
        <v>Noturus</v>
      </c>
      <c r="F6435" t="str">
        <f>_xlfn.XLOOKUP(A6435,'[1]Tissue Data'!$A:$A,'[1]Tissue Data'!$I:$I)</f>
        <v>insignis</v>
      </c>
      <c r="G6435" t="str">
        <f>_xlfn.XLOOKUP(A6435,'[1]Tissue Data'!$A:$A,'[1]Tissue Data'!J:J)</f>
        <v>U</v>
      </c>
      <c r="H6435" t="str">
        <f>_xlfn.XLOOKUP(A6435,'[1]Tissue Data'!$A:$A,'[1]Tissue Data'!K:K)</f>
        <v>Whole Body</v>
      </c>
      <c r="I6435">
        <f>_xlfn.XLOOKUP(A6435,'[1]Tissue Data'!$A:$A,'[1]Tissue Data'!L:L)</f>
        <v>8</v>
      </c>
      <c r="J6435">
        <f>_xlfn.XLOOKUP(A6435,'[1]Tissue Data'!$A:$A,'[1]Tissue Data'!M:M)</f>
        <v>3.74</v>
      </c>
      <c r="K6435" t="s">
        <v>45</v>
      </c>
      <c r="L6435" t="str">
        <f>_xlfn.XLOOKUP(K6435,[2]analyte_order!$B:$B,[2]analyte_order!$C:$C)</f>
        <v>39108-34-4</v>
      </c>
      <c r="M6435">
        <f>_xlfn.XLOOKUP(L6435,[2]analyte_order!$C:$C,[2]analyte_order!$E:$E)</f>
        <v>24</v>
      </c>
      <c r="N6435">
        <v>9.31</v>
      </c>
    </row>
    <row r="6436" spans="1:14">
      <c r="A6436" t="s">
        <v>223</v>
      </c>
      <c r="B6436" t="str">
        <f>_xlfn.XLOOKUP(A6436,'[1]Tissue Data'!$A:$A,'[1]Tissue Data'!$C:$C)</f>
        <v>Spill</v>
      </c>
      <c r="C6436" s="2">
        <f>_xlfn.XLOOKUP(A6436,'[1]Tissue Data'!$A:$A,'[1]Tissue Data'!$D:$D)</f>
        <v>44393</v>
      </c>
      <c r="D6436" s="2" t="str">
        <f>_xlfn.XLOOKUP(A6436,'[1]Tissue Data'!$A:$A,'[1]Tissue Data'!$F:$F)</f>
        <v>Margined Madtom</v>
      </c>
      <c r="E6436" t="str">
        <f>_xlfn.XLOOKUP(A6436,'[1]Tissue Data'!$A:$A,'[1]Tissue Data'!$H:$H)</f>
        <v>Noturus</v>
      </c>
      <c r="F6436" t="str">
        <f>_xlfn.XLOOKUP(A6436,'[1]Tissue Data'!$A:$A,'[1]Tissue Data'!$I:$I)</f>
        <v>insignis</v>
      </c>
      <c r="G6436" t="str">
        <f>_xlfn.XLOOKUP(A6436,'[1]Tissue Data'!$A:$A,'[1]Tissue Data'!J:J)</f>
        <v>U</v>
      </c>
      <c r="H6436" t="str">
        <f>_xlfn.XLOOKUP(A6436,'[1]Tissue Data'!$A:$A,'[1]Tissue Data'!K:K)</f>
        <v>Whole Body</v>
      </c>
      <c r="I6436">
        <f>_xlfn.XLOOKUP(A6436,'[1]Tissue Data'!$A:$A,'[1]Tissue Data'!L:L)</f>
        <v>8</v>
      </c>
      <c r="J6436">
        <f>_xlfn.XLOOKUP(A6436,'[1]Tissue Data'!$A:$A,'[1]Tissue Data'!M:M)</f>
        <v>3.74</v>
      </c>
      <c r="K6436" t="s">
        <v>46</v>
      </c>
      <c r="L6436" t="str">
        <f>_xlfn.XLOOKUP(K6436,[2]analyte_order!$B:$B,[2]analyte_order!$C:$C)</f>
        <v>120226-60-0</v>
      </c>
      <c r="M6436">
        <f>_xlfn.XLOOKUP(L6436,[2]analyte_order!$C:$C,[2]analyte_order!$E:$E)</f>
        <v>25</v>
      </c>
      <c r="N6436">
        <v>0.5</v>
      </c>
    </row>
    <row r="6437" spans="1:14">
      <c r="A6437" t="s">
        <v>223</v>
      </c>
      <c r="B6437" t="str">
        <f>_xlfn.XLOOKUP(A6437,'[1]Tissue Data'!$A:$A,'[1]Tissue Data'!$C:$C)</f>
        <v>Spill</v>
      </c>
      <c r="C6437" s="2">
        <f>_xlfn.XLOOKUP(A6437,'[1]Tissue Data'!$A:$A,'[1]Tissue Data'!$D:$D)</f>
        <v>44393</v>
      </c>
      <c r="D6437" s="2" t="str">
        <f>_xlfn.XLOOKUP(A6437,'[1]Tissue Data'!$A:$A,'[1]Tissue Data'!$F:$F)</f>
        <v>Margined Madtom</v>
      </c>
      <c r="E6437" t="str">
        <f>_xlfn.XLOOKUP(A6437,'[1]Tissue Data'!$A:$A,'[1]Tissue Data'!$H:$H)</f>
        <v>Noturus</v>
      </c>
      <c r="F6437" t="str">
        <f>_xlfn.XLOOKUP(A6437,'[1]Tissue Data'!$A:$A,'[1]Tissue Data'!$I:$I)</f>
        <v>insignis</v>
      </c>
      <c r="G6437" t="str">
        <f>_xlfn.XLOOKUP(A6437,'[1]Tissue Data'!$A:$A,'[1]Tissue Data'!J:J)</f>
        <v>U</v>
      </c>
      <c r="H6437" t="str">
        <f>_xlfn.XLOOKUP(A6437,'[1]Tissue Data'!$A:$A,'[1]Tissue Data'!K:K)</f>
        <v>Whole Body</v>
      </c>
      <c r="I6437">
        <f>_xlfn.XLOOKUP(A6437,'[1]Tissue Data'!$A:$A,'[1]Tissue Data'!L:L)</f>
        <v>8</v>
      </c>
      <c r="J6437">
        <f>_xlfn.XLOOKUP(A6437,'[1]Tissue Data'!$A:$A,'[1]Tissue Data'!M:M)</f>
        <v>3.74</v>
      </c>
      <c r="K6437" t="s">
        <v>47</v>
      </c>
      <c r="L6437" t="str">
        <f>_xlfn.XLOOKUP(K6437,[2]analyte_order!$B:$B,[2]analyte_order!$C:$C)</f>
        <v>356-02-5</v>
      </c>
      <c r="M6437">
        <f>_xlfn.XLOOKUP(L6437,[2]analyte_order!$C:$C,[2]analyte_order!$E:$E)</f>
        <v>38</v>
      </c>
      <c r="N6437">
        <v>0.25</v>
      </c>
    </row>
    <row r="6438" spans="1:14">
      <c r="A6438" t="s">
        <v>223</v>
      </c>
      <c r="B6438" t="str">
        <f>_xlfn.XLOOKUP(A6438,'[1]Tissue Data'!$A:$A,'[1]Tissue Data'!$C:$C)</f>
        <v>Spill</v>
      </c>
      <c r="C6438" s="2">
        <f>_xlfn.XLOOKUP(A6438,'[1]Tissue Data'!$A:$A,'[1]Tissue Data'!$D:$D)</f>
        <v>44393</v>
      </c>
      <c r="D6438" s="2" t="str">
        <f>_xlfn.XLOOKUP(A6438,'[1]Tissue Data'!$A:$A,'[1]Tissue Data'!$F:$F)</f>
        <v>Margined Madtom</v>
      </c>
      <c r="E6438" t="str">
        <f>_xlfn.XLOOKUP(A6438,'[1]Tissue Data'!$A:$A,'[1]Tissue Data'!$H:$H)</f>
        <v>Noturus</v>
      </c>
      <c r="F6438" t="str">
        <f>_xlfn.XLOOKUP(A6438,'[1]Tissue Data'!$A:$A,'[1]Tissue Data'!$I:$I)</f>
        <v>insignis</v>
      </c>
      <c r="G6438" t="str">
        <f>_xlfn.XLOOKUP(A6438,'[1]Tissue Data'!$A:$A,'[1]Tissue Data'!J:J)</f>
        <v>U</v>
      </c>
      <c r="H6438" t="str">
        <f>_xlfn.XLOOKUP(A6438,'[1]Tissue Data'!$A:$A,'[1]Tissue Data'!K:K)</f>
        <v>Whole Body</v>
      </c>
      <c r="I6438">
        <f>_xlfn.XLOOKUP(A6438,'[1]Tissue Data'!$A:$A,'[1]Tissue Data'!L:L)</f>
        <v>8</v>
      </c>
      <c r="J6438">
        <f>_xlfn.XLOOKUP(A6438,'[1]Tissue Data'!$A:$A,'[1]Tissue Data'!M:M)</f>
        <v>3.74</v>
      </c>
      <c r="K6438" t="s">
        <v>48</v>
      </c>
      <c r="L6438" t="str">
        <f>_xlfn.XLOOKUP(K6438,[2]analyte_order!$B:$B,[2]analyte_order!$C:$C)</f>
        <v>914637-49-3</v>
      </c>
      <c r="M6438">
        <f>_xlfn.XLOOKUP(L6438,[2]analyte_order!$C:$C,[2]analyte_order!$E:$E)</f>
        <v>39</v>
      </c>
      <c r="N6438">
        <v>2.4700000000000002</v>
      </c>
    </row>
    <row r="6439" spans="1:14">
      <c r="A6439" t="s">
        <v>223</v>
      </c>
      <c r="B6439" t="str">
        <f>_xlfn.XLOOKUP(A6439,'[1]Tissue Data'!$A:$A,'[1]Tissue Data'!$C:$C)</f>
        <v>Spill</v>
      </c>
      <c r="C6439" s="2">
        <f>_xlfn.XLOOKUP(A6439,'[1]Tissue Data'!$A:$A,'[1]Tissue Data'!$D:$D)</f>
        <v>44393</v>
      </c>
      <c r="D6439" s="2" t="str">
        <f>_xlfn.XLOOKUP(A6439,'[1]Tissue Data'!$A:$A,'[1]Tissue Data'!$F:$F)</f>
        <v>Margined Madtom</v>
      </c>
      <c r="E6439" t="str">
        <f>_xlfn.XLOOKUP(A6439,'[1]Tissue Data'!$A:$A,'[1]Tissue Data'!$H:$H)</f>
        <v>Noturus</v>
      </c>
      <c r="F6439" t="str">
        <f>_xlfn.XLOOKUP(A6439,'[1]Tissue Data'!$A:$A,'[1]Tissue Data'!$I:$I)</f>
        <v>insignis</v>
      </c>
      <c r="G6439" t="str">
        <f>_xlfn.XLOOKUP(A6439,'[1]Tissue Data'!$A:$A,'[1]Tissue Data'!J:J)</f>
        <v>U</v>
      </c>
      <c r="H6439" t="str">
        <f>_xlfn.XLOOKUP(A6439,'[1]Tissue Data'!$A:$A,'[1]Tissue Data'!K:K)</f>
        <v>Whole Body</v>
      </c>
      <c r="I6439">
        <f>_xlfn.XLOOKUP(A6439,'[1]Tissue Data'!$A:$A,'[1]Tissue Data'!L:L)</f>
        <v>8</v>
      </c>
      <c r="J6439">
        <f>_xlfn.XLOOKUP(A6439,'[1]Tissue Data'!$A:$A,'[1]Tissue Data'!M:M)</f>
        <v>3.74</v>
      </c>
      <c r="K6439" t="s">
        <v>49</v>
      </c>
      <c r="L6439" t="str">
        <f>_xlfn.XLOOKUP(K6439,[2]analyte_order!$B:$B,[2]analyte_order!$C:$C)</f>
        <v>812-70-4</v>
      </c>
      <c r="M6439">
        <f>_xlfn.XLOOKUP(L6439,[2]analyte_order!$C:$C,[2]analyte_order!$E:$E)</f>
        <v>40</v>
      </c>
      <c r="N6439">
        <v>28.2</v>
      </c>
    </row>
    <row r="6440" spans="1:14">
      <c r="A6440" t="s">
        <v>223</v>
      </c>
      <c r="B6440" t="str">
        <f>_xlfn.XLOOKUP(A6440,'[1]Tissue Data'!$A:$A,'[1]Tissue Data'!$C:$C)</f>
        <v>Spill</v>
      </c>
      <c r="C6440" s="2">
        <f>_xlfn.XLOOKUP(A6440,'[1]Tissue Data'!$A:$A,'[1]Tissue Data'!$D:$D)</f>
        <v>44393</v>
      </c>
      <c r="D6440" s="2" t="str">
        <f>_xlfn.XLOOKUP(A6440,'[1]Tissue Data'!$A:$A,'[1]Tissue Data'!$F:$F)</f>
        <v>Margined Madtom</v>
      </c>
      <c r="E6440" t="str">
        <f>_xlfn.XLOOKUP(A6440,'[1]Tissue Data'!$A:$A,'[1]Tissue Data'!$H:$H)</f>
        <v>Noturus</v>
      </c>
      <c r="F6440" t="str">
        <f>_xlfn.XLOOKUP(A6440,'[1]Tissue Data'!$A:$A,'[1]Tissue Data'!$I:$I)</f>
        <v>insignis</v>
      </c>
      <c r="G6440" t="str">
        <f>_xlfn.XLOOKUP(A6440,'[1]Tissue Data'!$A:$A,'[1]Tissue Data'!J:J)</f>
        <v>U</v>
      </c>
      <c r="H6440" t="str">
        <f>_xlfn.XLOOKUP(A6440,'[1]Tissue Data'!$A:$A,'[1]Tissue Data'!K:K)</f>
        <v>Whole Body</v>
      </c>
      <c r="I6440">
        <f>_xlfn.XLOOKUP(A6440,'[1]Tissue Data'!$A:$A,'[1]Tissue Data'!L:L)</f>
        <v>8</v>
      </c>
      <c r="J6440">
        <f>_xlfn.XLOOKUP(A6440,'[1]Tissue Data'!$A:$A,'[1]Tissue Data'!M:M)</f>
        <v>3.74</v>
      </c>
      <c r="K6440" t="s">
        <v>50</v>
      </c>
      <c r="L6440" t="str">
        <f>_xlfn.XLOOKUP(K6440,[2]analyte_order!$B:$B,[2]analyte_order!$C:$C)</f>
        <v>53826-12-3</v>
      </c>
      <c r="M6440">
        <f>_xlfn.XLOOKUP(L6440,[2]analyte_order!$C:$C,[2]analyte_order!$E:$E)</f>
        <v>41</v>
      </c>
      <c r="N6440">
        <v>0.25</v>
      </c>
    </row>
    <row r="6441" spans="1:14">
      <c r="A6441" t="s">
        <v>223</v>
      </c>
      <c r="B6441" t="str">
        <f>_xlfn.XLOOKUP(A6441,'[1]Tissue Data'!$A:$A,'[1]Tissue Data'!$C:$C)</f>
        <v>Spill</v>
      </c>
      <c r="C6441" s="2">
        <f>_xlfn.XLOOKUP(A6441,'[1]Tissue Data'!$A:$A,'[1]Tissue Data'!$D:$D)</f>
        <v>44393</v>
      </c>
      <c r="D6441" s="2" t="str">
        <f>_xlfn.XLOOKUP(A6441,'[1]Tissue Data'!$A:$A,'[1]Tissue Data'!$F:$F)</f>
        <v>Margined Madtom</v>
      </c>
      <c r="E6441" t="str">
        <f>_xlfn.XLOOKUP(A6441,'[1]Tissue Data'!$A:$A,'[1]Tissue Data'!$H:$H)</f>
        <v>Noturus</v>
      </c>
      <c r="F6441" t="str">
        <f>_xlfn.XLOOKUP(A6441,'[1]Tissue Data'!$A:$A,'[1]Tissue Data'!$I:$I)</f>
        <v>insignis</v>
      </c>
      <c r="G6441" t="str">
        <f>_xlfn.XLOOKUP(A6441,'[1]Tissue Data'!$A:$A,'[1]Tissue Data'!J:J)</f>
        <v>U</v>
      </c>
      <c r="H6441" t="str">
        <f>_xlfn.XLOOKUP(A6441,'[1]Tissue Data'!$A:$A,'[1]Tissue Data'!K:K)</f>
        <v>Whole Body</v>
      </c>
      <c r="I6441">
        <f>_xlfn.XLOOKUP(A6441,'[1]Tissue Data'!$A:$A,'[1]Tissue Data'!L:L)</f>
        <v>8</v>
      </c>
      <c r="J6441">
        <f>_xlfn.XLOOKUP(A6441,'[1]Tissue Data'!$A:$A,'[1]Tissue Data'!M:M)</f>
        <v>3.74</v>
      </c>
      <c r="K6441" t="s">
        <v>51</v>
      </c>
      <c r="L6441" t="str">
        <f>_xlfn.XLOOKUP(K6441,[2]analyte_order!$B:$B,[2]analyte_order!$C:$C)</f>
        <v>27854-31-5</v>
      </c>
      <c r="M6441">
        <f>_xlfn.XLOOKUP(L6441,[2]analyte_order!$C:$C,[2]analyte_order!$E:$E)</f>
        <v>42</v>
      </c>
      <c r="N6441">
        <v>0.125</v>
      </c>
    </row>
    <row r="6442" spans="1:14">
      <c r="A6442" t="s">
        <v>223</v>
      </c>
      <c r="B6442" t="str">
        <f>_xlfn.XLOOKUP(A6442,'[1]Tissue Data'!$A:$A,'[1]Tissue Data'!$C:$C)</f>
        <v>Spill</v>
      </c>
      <c r="C6442" s="2">
        <f>_xlfn.XLOOKUP(A6442,'[1]Tissue Data'!$A:$A,'[1]Tissue Data'!$D:$D)</f>
        <v>44393</v>
      </c>
      <c r="D6442" s="2" t="str">
        <f>_xlfn.XLOOKUP(A6442,'[1]Tissue Data'!$A:$A,'[1]Tissue Data'!$F:$F)</f>
        <v>Margined Madtom</v>
      </c>
      <c r="E6442" t="str">
        <f>_xlfn.XLOOKUP(A6442,'[1]Tissue Data'!$A:$A,'[1]Tissue Data'!$H:$H)</f>
        <v>Noturus</v>
      </c>
      <c r="F6442" t="str">
        <f>_xlfn.XLOOKUP(A6442,'[1]Tissue Data'!$A:$A,'[1]Tissue Data'!$I:$I)</f>
        <v>insignis</v>
      </c>
      <c r="G6442" t="str">
        <f>_xlfn.XLOOKUP(A6442,'[1]Tissue Data'!$A:$A,'[1]Tissue Data'!J:J)</f>
        <v>U</v>
      </c>
      <c r="H6442" t="str">
        <f>_xlfn.XLOOKUP(A6442,'[1]Tissue Data'!$A:$A,'[1]Tissue Data'!K:K)</f>
        <v>Whole Body</v>
      </c>
      <c r="I6442">
        <f>_xlfn.XLOOKUP(A6442,'[1]Tissue Data'!$A:$A,'[1]Tissue Data'!L:L)</f>
        <v>8</v>
      </c>
      <c r="J6442">
        <f>_xlfn.XLOOKUP(A6442,'[1]Tissue Data'!$A:$A,'[1]Tissue Data'!M:M)</f>
        <v>3.74</v>
      </c>
      <c r="K6442" t="s">
        <v>52</v>
      </c>
      <c r="L6442" t="str">
        <f>_xlfn.XLOOKUP(K6442,[2]analyte_order!$B:$B,[2]analyte_order!$C:$C)</f>
        <v>53826-13-4</v>
      </c>
      <c r="M6442">
        <f>_xlfn.XLOOKUP(L6442,[2]analyte_order!$C:$C,[2]analyte_order!$E:$E)</f>
        <v>43</v>
      </c>
      <c r="N6442">
        <v>0.25</v>
      </c>
    </row>
    <row r="6443" spans="1:14">
      <c r="A6443" t="s">
        <v>223</v>
      </c>
      <c r="B6443" t="str">
        <f>_xlfn.XLOOKUP(A6443,'[1]Tissue Data'!$A:$A,'[1]Tissue Data'!$C:$C)</f>
        <v>Spill</v>
      </c>
      <c r="C6443" s="2">
        <f>_xlfn.XLOOKUP(A6443,'[1]Tissue Data'!$A:$A,'[1]Tissue Data'!$D:$D)</f>
        <v>44393</v>
      </c>
      <c r="D6443" s="2" t="str">
        <f>_xlfn.XLOOKUP(A6443,'[1]Tissue Data'!$A:$A,'[1]Tissue Data'!$F:$F)</f>
        <v>Margined Madtom</v>
      </c>
      <c r="E6443" t="str">
        <f>_xlfn.XLOOKUP(A6443,'[1]Tissue Data'!$A:$A,'[1]Tissue Data'!$H:$H)</f>
        <v>Noturus</v>
      </c>
      <c r="F6443" t="str">
        <f>_xlfn.XLOOKUP(A6443,'[1]Tissue Data'!$A:$A,'[1]Tissue Data'!$I:$I)</f>
        <v>insignis</v>
      </c>
      <c r="G6443" t="str">
        <f>_xlfn.XLOOKUP(A6443,'[1]Tissue Data'!$A:$A,'[1]Tissue Data'!J:J)</f>
        <v>U</v>
      </c>
      <c r="H6443" t="str">
        <f>_xlfn.XLOOKUP(A6443,'[1]Tissue Data'!$A:$A,'[1]Tissue Data'!K:K)</f>
        <v>Whole Body</v>
      </c>
      <c r="I6443">
        <f>_xlfn.XLOOKUP(A6443,'[1]Tissue Data'!$A:$A,'[1]Tissue Data'!L:L)</f>
        <v>8</v>
      </c>
      <c r="J6443">
        <f>_xlfn.XLOOKUP(A6443,'[1]Tissue Data'!$A:$A,'[1]Tissue Data'!M:M)</f>
        <v>3.74</v>
      </c>
      <c r="K6443" t="s">
        <v>53</v>
      </c>
      <c r="L6443" t="str">
        <f>_xlfn.XLOOKUP(K6443,[2]analyte_order!$B:$B,[2]analyte_order!$C:$C)</f>
        <v>161094-75-3</v>
      </c>
      <c r="M6443">
        <f>_xlfn.XLOOKUP(L6443,[2]analyte_order!$C:$C,[2]analyte_order!$E:$E)</f>
        <v>44</v>
      </c>
      <c r="N6443">
        <v>9.8000000000000004E-2</v>
      </c>
    </row>
    <row r="6444" spans="1:14">
      <c r="A6444" t="s">
        <v>223</v>
      </c>
      <c r="B6444" t="str">
        <f>_xlfn.XLOOKUP(A6444,'[1]Tissue Data'!$A:$A,'[1]Tissue Data'!$C:$C)</f>
        <v>Spill</v>
      </c>
      <c r="C6444" s="2">
        <f>_xlfn.XLOOKUP(A6444,'[1]Tissue Data'!$A:$A,'[1]Tissue Data'!$D:$D)</f>
        <v>44393</v>
      </c>
      <c r="D6444" s="2" t="str">
        <f>_xlfn.XLOOKUP(A6444,'[1]Tissue Data'!$A:$A,'[1]Tissue Data'!$F:$F)</f>
        <v>Margined Madtom</v>
      </c>
      <c r="E6444" t="str">
        <f>_xlfn.XLOOKUP(A6444,'[1]Tissue Data'!$A:$A,'[1]Tissue Data'!$H:$H)</f>
        <v>Noturus</v>
      </c>
      <c r="F6444" t="str">
        <f>_xlfn.XLOOKUP(A6444,'[1]Tissue Data'!$A:$A,'[1]Tissue Data'!$I:$I)</f>
        <v>insignis</v>
      </c>
      <c r="G6444" t="str">
        <f>_xlfn.XLOOKUP(A6444,'[1]Tissue Data'!$A:$A,'[1]Tissue Data'!J:J)</f>
        <v>U</v>
      </c>
      <c r="H6444" t="str">
        <f>_xlfn.XLOOKUP(A6444,'[1]Tissue Data'!$A:$A,'[1]Tissue Data'!K:K)</f>
        <v>Whole Body</v>
      </c>
      <c r="I6444">
        <f>_xlfn.XLOOKUP(A6444,'[1]Tissue Data'!$A:$A,'[1]Tissue Data'!L:L)</f>
        <v>8</v>
      </c>
      <c r="J6444">
        <f>_xlfn.XLOOKUP(A6444,'[1]Tissue Data'!$A:$A,'[1]Tissue Data'!M:M)</f>
        <v>3.74</v>
      </c>
      <c r="K6444" t="s">
        <v>54</v>
      </c>
      <c r="L6444" t="str">
        <f>_xlfn.XLOOKUP(K6444,[2]analyte_order!$B:$B,[2]analyte_order!$C:$C)</f>
        <v>70887-84-2</v>
      </c>
      <c r="M6444">
        <f>_xlfn.XLOOKUP(L6444,[2]analyte_order!$C:$C,[2]analyte_order!$E:$E)</f>
        <v>45</v>
      </c>
      <c r="N6444">
        <v>7.5499999999999998E-2</v>
      </c>
    </row>
    <row r="6445" spans="1:14">
      <c r="A6445" t="s">
        <v>223</v>
      </c>
      <c r="B6445" t="str">
        <f>_xlfn.XLOOKUP(A6445,'[1]Tissue Data'!$A:$A,'[1]Tissue Data'!$C:$C)</f>
        <v>Spill</v>
      </c>
      <c r="C6445" s="2">
        <f>_xlfn.XLOOKUP(A6445,'[1]Tissue Data'!$A:$A,'[1]Tissue Data'!$D:$D)</f>
        <v>44393</v>
      </c>
      <c r="D6445" s="2" t="str">
        <f>_xlfn.XLOOKUP(A6445,'[1]Tissue Data'!$A:$A,'[1]Tissue Data'!$F:$F)</f>
        <v>Margined Madtom</v>
      </c>
      <c r="E6445" t="str">
        <f>_xlfn.XLOOKUP(A6445,'[1]Tissue Data'!$A:$A,'[1]Tissue Data'!$H:$H)</f>
        <v>Noturus</v>
      </c>
      <c r="F6445" t="str">
        <f>_xlfn.XLOOKUP(A6445,'[1]Tissue Data'!$A:$A,'[1]Tissue Data'!$I:$I)</f>
        <v>insignis</v>
      </c>
      <c r="G6445" t="str">
        <f>_xlfn.XLOOKUP(A6445,'[1]Tissue Data'!$A:$A,'[1]Tissue Data'!J:J)</f>
        <v>U</v>
      </c>
      <c r="H6445" t="str">
        <f>_xlfn.XLOOKUP(A6445,'[1]Tissue Data'!$A:$A,'[1]Tissue Data'!K:K)</f>
        <v>Whole Body</v>
      </c>
      <c r="I6445">
        <f>_xlfn.XLOOKUP(A6445,'[1]Tissue Data'!$A:$A,'[1]Tissue Data'!L:L)</f>
        <v>8</v>
      </c>
      <c r="J6445">
        <f>_xlfn.XLOOKUP(A6445,'[1]Tissue Data'!$A:$A,'[1]Tissue Data'!M:M)</f>
        <v>3.74</v>
      </c>
      <c r="K6445" t="s">
        <v>55</v>
      </c>
      <c r="L6445" t="str">
        <f>_xlfn.XLOOKUP(K6445,[2]analyte_order!$B:$B,[2]analyte_order!$C:$C)</f>
        <v>919005-14-4</v>
      </c>
      <c r="M6445">
        <f>_xlfn.XLOOKUP(L6445,[2]analyte_order!$C:$C,[2]analyte_order!$E:$E)</f>
        <v>35</v>
      </c>
      <c r="N6445">
        <v>0.1105</v>
      </c>
    </row>
    <row r="6446" spans="1:14">
      <c r="A6446" t="s">
        <v>223</v>
      </c>
      <c r="B6446" t="str">
        <f>_xlfn.XLOOKUP(A6446,'[1]Tissue Data'!$A:$A,'[1]Tissue Data'!$C:$C)</f>
        <v>Spill</v>
      </c>
      <c r="C6446" s="2">
        <f>_xlfn.XLOOKUP(A6446,'[1]Tissue Data'!$A:$A,'[1]Tissue Data'!$D:$D)</f>
        <v>44393</v>
      </c>
      <c r="D6446" s="2" t="str">
        <f>_xlfn.XLOOKUP(A6446,'[1]Tissue Data'!$A:$A,'[1]Tissue Data'!$F:$F)</f>
        <v>Margined Madtom</v>
      </c>
      <c r="E6446" t="str">
        <f>_xlfn.XLOOKUP(A6446,'[1]Tissue Data'!$A:$A,'[1]Tissue Data'!$H:$H)</f>
        <v>Noturus</v>
      </c>
      <c r="F6446" t="str">
        <f>_xlfn.XLOOKUP(A6446,'[1]Tissue Data'!$A:$A,'[1]Tissue Data'!$I:$I)</f>
        <v>insignis</v>
      </c>
      <c r="G6446" t="str">
        <f>_xlfn.XLOOKUP(A6446,'[1]Tissue Data'!$A:$A,'[1]Tissue Data'!J:J)</f>
        <v>U</v>
      </c>
      <c r="H6446" t="str">
        <f>_xlfn.XLOOKUP(A6446,'[1]Tissue Data'!$A:$A,'[1]Tissue Data'!K:K)</f>
        <v>Whole Body</v>
      </c>
      <c r="I6446">
        <f>_xlfn.XLOOKUP(A6446,'[1]Tissue Data'!$A:$A,'[1]Tissue Data'!L:L)</f>
        <v>8</v>
      </c>
      <c r="J6446">
        <f>_xlfn.XLOOKUP(A6446,'[1]Tissue Data'!$A:$A,'[1]Tissue Data'!M:M)</f>
        <v>3.74</v>
      </c>
      <c r="K6446" t="s">
        <v>56</v>
      </c>
      <c r="L6446" t="str">
        <f>_xlfn.XLOOKUP(K6446,[2]analyte_order!$B:$B,[2]analyte_order!$C:$C)</f>
        <v>756426-58-1</v>
      </c>
      <c r="M6446">
        <f>_xlfn.XLOOKUP(L6446,[2]analyte_order!$C:$C,[2]analyte_order!$E:$E)</f>
        <v>36</v>
      </c>
      <c r="N6446">
        <v>0.25</v>
      </c>
    </row>
    <row r="6447" spans="1:14">
      <c r="A6447" t="s">
        <v>223</v>
      </c>
      <c r="B6447" t="str">
        <f>_xlfn.XLOOKUP(A6447,'[1]Tissue Data'!$A:$A,'[1]Tissue Data'!$C:$C)</f>
        <v>Spill</v>
      </c>
      <c r="C6447" s="2">
        <f>_xlfn.XLOOKUP(A6447,'[1]Tissue Data'!$A:$A,'[1]Tissue Data'!$D:$D)</f>
        <v>44393</v>
      </c>
      <c r="D6447" s="2" t="str">
        <f>_xlfn.XLOOKUP(A6447,'[1]Tissue Data'!$A:$A,'[1]Tissue Data'!$F:$F)</f>
        <v>Margined Madtom</v>
      </c>
      <c r="E6447" t="str">
        <f>_xlfn.XLOOKUP(A6447,'[1]Tissue Data'!$A:$A,'[1]Tissue Data'!$H:$H)</f>
        <v>Noturus</v>
      </c>
      <c r="F6447" t="str">
        <f>_xlfn.XLOOKUP(A6447,'[1]Tissue Data'!$A:$A,'[1]Tissue Data'!$I:$I)</f>
        <v>insignis</v>
      </c>
      <c r="G6447" t="str">
        <f>_xlfn.XLOOKUP(A6447,'[1]Tissue Data'!$A:$A,'[1]Tissue Data'!J:J)</f>
        <v>U</v>
      </c>
      <c r="H6447" t="str">
        <f>_xlfn.XLOOKUP(A6447,'[1]Tissue Data'!$A:$A,'[1]Tissue Data'!K:K)</f>
        <v>Whole Body</v>
      </c>
      <c r="I6447">
        <f>_xlfn.XLOOKUP(A6447,'[1]Tissue Data'!$A:$A,'[1]Tissue Data'!L:L)</f>
        <v>8</v>
      </c>
      <c r="J6447">
        <f>_xlfn.XLOOKUP(A6447,'[1]Tissue Data'!$A:$A,'[1]Tissue Data'!M:M)</f>
        <v>3.74</v>
      </c>
      <c r="K6447" t="s">
        <v>57</v>
      </c>
      <c r="L6447" t="str">
        <f>_xlfn.XLOOKUP(K6447,[2]analyte_order!$B:$B,[2]analyte_order!$C:$C)</f>
        <v>763051-92-9</v>
      </c>
      <c r="M6447">
        <f>_xlfn.XLOOKUP(L6447,[2]analyte_order!$C:$C,[2]analyte_order!$E:$E)</f>
        <v>37</v>
      </c>
      <c r="N6447">
        <v>0.25</v>
      </c>
    </row>
    <row r="6448" spans="1:14">
      <c r="A6448" t="s">
        <v>223</v>
      </c>
      <c r="B6448" t="str">
        <f>_xlfn.XLOOKUP(A6448,'[1]Tissue Data'!$A:$A,'[1]Tissue Data'!$C:$C)</f>
        <v>Spill</v>
      </c>
      <c r="C6448" s="2">
        <f>_xlfn.XLOOKUP(A6448,'[1]Tissue Data'!$A:$A,'[1]Tissue Data'!$D:$D)</f>
        <v>44393</v>
      </c>
      <c r="D6448" s="2" t="str">
        <f>_xlfn.XLOOKUP(A6448,'[1]Tissue Data'!$A:$A,'[1]Tissue Data'!$F:$F)</f>
        <v>Margined Madtom</v>
      </c>
      <c r="E6448" t="str">
        <f>_xlfn.XLOOKUP(A6448,'[1]Tissue Data'!$A:$A,'[1]Tissue Data'!$H:$H)</f>
        <v>Noturus</v>
      </c>
      <c r="F6448" t="str">
        <f>_xlfn.XLOOKUP(A6448,'[1]Tissue Data'!$A:$A,'[1]Tissue Data'!$I:$I)</f>
        <v>insignis</v>
      </c>
      <c r="G6448" t="str">
        <f>_xlfn.XLOOKUP(A6448,'[1]Tissue Data'!$A:$A,'[1]Tissue Data'!J:J)</f>
        <v>U</v>
      </c>
      <c r="H6448" t="str">
        <f>_xlfn.XLOOKUP(A6448,'[1]Tissue Data'!$A:$A,'[1]Tissue Data'!K:K)</f>
        <v>Whole Body</v>
      </c>
      <c r="I6448">
        <f>_xlfn.XLOOKUP(A6448,'[1]Tissue Data'!$A:$A,'[1]Tissue Data'!L:L)</f>
        <v>8</v>
      </c>
      <c r="J6448">
        <f>_xlfn.XLOOKUP(A6448,'[1]Tissue Data'!$A:$A,'[1]Tissue Data'!M:M)</f>
        <v>3.74</v>
      </c>
      <c r="K6448" t="s">
        <v>58</v>
      </c>
      <c r="L6448" t="str">
        <f>_xlfn.XLOOKUP(K6448,[2]analyte_order!$B:$B,[2]analyte_order!$C:$C)</f>
        <v>13252-13-6</v>
      </c>
      <c r="M6448">
        <f>_xlfn.XLOOKUP(L6448,[2]analyte_order!$C:$C,[2]analyte_order!$E:$E)</f>
        <v>34</v>
      </c>
      <c r="N6448">
        <v>0.17949999999999999</v>
      </c>
    </row>
    <row r="6449" spans="1:14">
      <c r="A6449" t="s">
        <v>223</v>
      </c>
      <c r="B6449" t="str">
        <f>_xlfn.XLOOKUP(A6449,'[1]Tissue Data'!$A:$A,'[1]Tissue Data'!$C:$C)</f>
        <v>Spill</v>
      </c>
      <c r="C6449" s="2">
        <f>_xlfn.XLOOKUP(A6449,'[1]Tissue Data'!$A:$A,'[1]Tissue Data'!$D:$D)</f>
        <v>44393</v>
      </c>
      <c r="D6449" s="2" t="str">
        <f>_xlfn.XLOOKUP(A6449,'[1]Tissue Data'!$A:$A,'[1]Tissue Data'!$F:$F)</f>
        <v>Margined Madtom</v>
      </c>
      <c r="E6449" t="str">
        <f>_xlfn.XLOOKUP(A6449,'[1]Tissue Data'!$A:$A,'[1]Tissue Data'!$H:$H)</f>
        <v>Noturus</v>
      </c>
      <c r="F6449" t="str">
        <f>_xlfn.XLOOKUP(A6449,'[1]Tissue Data'!$A:$A,'[1]Tissue Data'!$I:$I)</f>
        <v>insignis</v>
      </c>
      <c r="G6449" t="str">
        <f>_xlfn.XLOOKUP(A6449,'[1]Tissue Data'!$A:$A,'[1]Tissue Data'!J:J)</f>
        <v>U</v>
      </c>
      <c r="H6449" t="str">
        <f>_xlfn.XLOOKUP(A6449,'[1]Tissue Data'!$A:$A,'[1]Tissue Data'!K:K)</f>
        <v>Whole Body</v>
      </c>
      <c r="I6449">
        <f>_xlfn.XLOOKUP(A6449,'[1]Tissue Data'!$A:$A,'[1]Tissue Data'!L:L)</f>
        <v>8</v>
      </c>
      <c r="J6449">
        <f>_xlfn.XLOOKUP(A6449,'[1]Tissue Data'!$A:$A,'[1]Tissue Data'!M:M)</f>
        <v>3.74</v>
      </c>
      <c r="K6449" t="s">
        <v>59</v>
      </c>
      <c r="L6449" t="str">
        <f>_xlfn.XLOOKUP(K6449,[2]analyte_order!$B:$B,[2]analyte_order!$C:$C)</f>
        <v>57677-95-9</v>
      </c>
      <c r="M6449">
        <f>_xlfn.XLOOKUP(L6449,[2]analyte_order!$C:$C,[2]analyte_order!$E:$E)</f>
        <v>46</v>
      </c>
      <c r="N6449">
        <v>0.25</v>
      </c>
    </row>
    <row r="6450" spans="1:14">
      <c r="A6450" t="s">
        <v>223</v>
      </c>
      <c r="B6450" t="str">
        <f>_xlfn.XLOOKUP(A6450,'[1]Tissue Data'!$A:$A,'[1]Tissue Data'!$C:$C)</f>
        <v>Spill</v>
      </c>
      <c r="C6450" s="2">
        <f>_xlfn.XLOOKUP(A6450,'[1]Tissue Data'!$A:$A,'[1]Tissue Data'!$D:$D)</f>
        <v>44393</v>
      </c>
      <c r="D6450" s="2" t="str">
        <f>_xlfn.XLOOKUP(A6450,'[1]Tissue Data'!$A:$A,'[1]Tissue Data'!$F:$F)</f>
        <v>Margined Madtom</v>
      </c>
      <c r="E6450" t="str">
        <f>_xlfn.XLOOKUP(A6450,'[1]Tissue Data'!$A:$A,'[1]Tissue Data'!$H:$H)</f>
        <v>Noturus</v>
      </c>
      <c r="F6450" t="str">
        <f>_xlfn.XLOOKUP(A6450,'[1]Tissue Data'!$A:$A,'[1]Tissue Data'!$I:$I)</f>
        <v>insignis</v>
      </c>
      <c r="G6450" t="str">
        <f>_xlfn.XLOOKUP(A6450,'[1]Tissue Data'!$A:$A,'[1]Tissue Data'!J:J)</f>
        <v>U</v>
      </c>
      <c r="H6450" t="str">
        <f>_xlfn.XLOOKUP(A6450,'[1]Tissue Data'!$A:$A,'[1]Tissue Data'!K:K)</f>
        <v>Whole Body</v>
      </c>
      <c r="I6450">
        <f>_xlfn.XLOOKUP(A6450,'[1]Tissue Data'!$A:$A,'[1]Tissue Data'!L:L)</f>
        <v>8</v>
      </c>
      <c r="J6450">
        <f>_xlfn.XLOOKUP(A6450,'[1]Tissue Data'!$A:$A,'[1]Tissue Data'!M:M)</f>
        <v>3.74</v>
      </c>
      <c r="K6450" t="s">
        <v>60</v>
      </c>
      <c r="L6450" t="str">
        <f>_xlfn.XLOOKUP(K6450,[2]analyte_order!$B:$B,[2]analyte_order!$C:$C)</f>
        <v>678-41-1</v>
      </c>
      <c r="M6450">
        <f>_xlfn.XLOOKUP(L6450,[2]analyte_order!$C:$C,[2]analyte_order!$E:$E)</f>
        <v>56</v>
      </c>
      <c r="N6450">
        <v>0.25</v>
      </c>
    </row>
    <row r="6451" spans="1:14">
      <c r="A6451" t="s">
        <v>223</v>
      </c>
      <c r="B6451" t="str">
        <f>_xlfn.XLOOKUP(A6451,'[1]Tissue Data'!$A:$A,'[1]Tissue Data'!$C:$C)</f>
        <v>Spill</v>
      </c>
      <c r="C6451" s="2">
        <f>_xlfn.XLOOKUP(A6451,'[1]Tissue Data'!$A:$A,'[1]Tissue Data'!$D:$D)</f>
        <v>44393</v>
      </c>
      <c r="D6451" s="2" t="str">
        <f>_xlfn.XLOOKUP(A6451,'[1]Tissue Data'!$A:$A,'[1]Tissue Data'!$F:$F)</f>
        <v>Margined Madtom</v>
      </c>
      <c r="E6451" t="str">
        <f>_xlfn.XLOOKUP(A6451,'[1]Tissue Data'!$A:$A,'[1]Tissue Data'!$H:$H)</f>
        <v>Noturus</v>
      </c>
      <c r="F6451" t="str">
        <f>_xlfn.XLOOKUP(A6451,'[1]Tissue Data'!$A:$A,'[1]Tissue Data'!$I:$I)</f>
        <v>insignis</v>
      </c>
      <c r="G6451" t="str">
        <f>_xlfn.XLOOKUP(A6451,'[1]Tissue Data'!$A:$A,'[1]Tissue Data'!J:J)</f>
        <v>U</v>
      </c>
      <c r="H6451" t="str">
        <f>_xlfn.XLOOKUP(A6451,'[1]Tissue Data'!$A:$A,'[1]Tissue Data'!K:K)</f>
        <v>Whole Body</v>
      </c>
      <c r="I6451">
        <f>_xlfn.XLOOKUP(A6451,'[1]Tissue Data'!$A:$A,'[1]Tissue Data'!L:L)</f>
        <v>8</v>
      </c>
      <c r="J6451">
        <f>_xlfn.XLOOKUP(A6451,'[1]Tissue Data'!$A:$A,'[1]Tissue Data'!M:M)</f>
        <v>3.74</v>
      </c>
      <c r="K6451" t="s">
        <v>61</v>
      </c>
      <c r="L6451" t="str">
        <f>_xlfn.XLOOKUP(K6451,[2]analyte_order!$B:$B,[2]analyte_order!$C:$C)</f>
        <v>2965-52-8</v>
      </c>
      <c r="M6451">
        <f>_xlfn.XLOOKUP(L6451,[2]analyte_order!$C:$C,[2]analyte_order!$E:$E)</f>
        <v>57</v>
      </c>
      <c r="N6451">
        <v>0.25</v>
      </c>
    </row>
    <row r="6452" spans="1:14">
      <c r="A6452" t="s">
        <v>224</v>
      </c>
      <c r="B6452" t="str">
        <f>_xlfn.XLOOKUP(A6452,'[1]Tissue Data'!$A:$A,'[1]Tissue Data'!$C:$C)</f>
        <v>Spill</v>
      </c>
      <c r="C6452" s="2">
        <f>_xlfn.XLOOKUP(A6452,'[1]Tissue Data'!$A:$A,'[1]Tissue Data'!$D:$D)</f>
        <v>44393</v>
      </c>
      <c r="D6452" s="2" t="str">
        <f>_xlfn.XLOOKUP(A6452,'[1]Tissue Data'!$A:$A,'[1]Tissue Data'!$F:$F)</f>
        <v>Margined Madtom</v>
      </c>
      <c r="E6452" t="str">
        <f>_xlfn.XLOOKUP(A6452,'[1]Tissue Data'!$A:$A,'[1]Tissue Data'!$H:$H)</f>
        <v>Noturus</v>
      </c>
      <c r="F6452" t="str">
        <f>_xlfn.XLOOKUP(A6452,'[1]Tissue Data'!$A:$A,'[1]Tissue Data'!$I:$I)</f>
        <v>insignis</v>
      </c>
      <c r="G6452" t="str">
        <f>_xlfn.XLOOKUP(A6452,'[1]Tissue Data'!$A:$A,'[1]Tissue Data'!J:J)</f>
        <v>U</v>
      </c>
      <c r="H6452" t="str">
        <f>_xlfn.XLOOKUP(A6452,'[1]Tissue Data'!$A:$A,'[1]Tissue Data'!K:K)</f>
        <v>Whole Body</v>
      </c>
      <c r="I6452">
        <f>_xlfn.XLOOKUP(A6452,'[1]Tissue Data'!$A:$A,'[1]Tissue Data'!L:L)</f>
        <v>7</v>
      </c>
      <c r="J6452">
        <f>_xlfn.XLOOKUP(A6452,'[1]Tissue Data'!$A:$A,'[1]Tissue Data'!M:M)</f>
        <v>3.22</v>
      </c>
      <c r="K6452" t="s">
        <v>12</v>
      </c>
      <c r="L6452" t="str">
        <f>_xlfn.XLOOKUP(K6452,[2]analyte_order!$B:$B,[2]analyte_order!$C:$C)</f>
        <v>375-22-4</v>
      </c>
      <c r="M6452">
        <f>_xlfn.XLOOKUP(L6452,[2]analyte_order!$C:$C,[2]analyte_order!$E:$E)</f>
        <v>1</v>
      </c>
      <c r="N6452">
        <v>0.2225</v>
      </c>
    </row>
    <row r="6453" spans="1:14">
      <c r="A6453" t="s">
        <v>224</v>
      </c>
      <c r="B6453" t="str">
        <f>_xlfn.XLOOKUP(A6453,'[1]Tissue Data'!$A:$A,'[1]Tissue Data'!$C:$C)</f>
        <v>Spill</v>
      </c>
      <c r="C6453" s="2">
        <f>_xlfn.XLOOKUP(A6453,'[1]Tissue Data'!$A:$A,'[1]Tissue Data'!$D:$D)</f>
        <v>44393</v>
      </c>
      <c r="D6453" s="2" t="str">
        <f>_xlfn.XLOOKUP(A6453,'[1]Tissue Data'!$A:$A,'[1]Tissue Data'!$F:$F)</f>
        <v>Margined Madtom</v>
      </c>
      <c r="E6453" t="str">
        <f>_xlfn.XLOOKUP(A6453,'[1]Tissue Data'!$A:$A,'[1]Tissue Data'!$H:$H)</f>
        <v>Noturus</v>
      </c>
      <c r="F6453" t="str">
        <f>_xlfn.XLOOKUP(A6453,'[1]Tissue Data'!$A:$A,'[1]Tissue Data'!$I:$I)</f>
        <v>insignis</v>
      </c>
      <c r="G6453" t="str">
        <f>_xlfn.XLOOKUP(A6453,'[1]Tissue Data'!$A:$A,'[1]Tissue Data'!J:J)</f>
        <v>U</v>
      </c>
      <c r="H6453" t="str">
        <f>_xlfn.XLOOKUP(A6453,'[1]Tissue Data'!$A:$A,'[1]Tissue Data'!K:K)</f>
        <v>Whole Body</v>
      </c>
      <c r="I6453">
        <f>_xlfn.XLOOKUP(A6453,'[1]Tissue Data'!$A:$A,'[1]Tissue Data'!L:L)</f>
        <v>7</v>
      </c>
      <c r="J6453">
        <f>_xlfn.XLOOKUP(A6453,'[1]Tissue Data'!$A:$A,'[1]Tissue Data'!M:M)</f>
        <v>3.22</v>
      </c>
      <c r="K6453" t="s">
        <v>13</v>
      </c>
      <c r="L6453" t="str">
        <f>_xlfn.XLOOKUP(K6453,[2]analyte_order!$B:$B,[2]analyte_order!$C:$C)</f>
        <v>2706-90-3</v>
      </c>
      <c r="M6453">
        <f>_xlfn.XLOOKUP(L6453,[2]analyte_order!$C:$C,[2]analyte_order!$E:$E)</f>
        <v>2</v>
      </c>
      <c r="N6453">
        <v>7.85E-2</v>
      </c>
    </row>
    <row r="6454" spans="1:14">
      <c r="A6454" t="s">
        <v>224</v>
      </c>
      <c r="B6454" t="str">
        <f>_xlfn.XLOOKUP(A6454,'[1]Tissue Data'!$A:$A,'[1]Tissue Data'!$C:$C)</f>
        <v>Spill</v>
      </c>
      <c r="C6454" s="2">
        <f>_xlfn.XLOOKUP(A6454,'[1]Tissue Data'!$A:$A,'[1]Tissue Data'!$D:$D)</f>
        <v>44393</v>
      </c>
      <c r="D6454" s="2" t="str">
        <f>_xlfn.XLOOKUP(A6454,'[1]Tissue Data'!$A:$A,'[1]Tissue Data'!$F:$F)</f>
        <v>Margined Madtom</v>
      </c>
      <c r="E6454" t="str">
        <f>_xlfn.XLOOKUP(A6454,'[1]Tissue Data'!$A:$A,'[1]Tissue Data'!$H:$H)</f>
        <v>Noturus</v>
      </c>
      <c r="F6454" t="str">
        <f>_xlfn.XLOOKUP(A6454,'[1]Tissue Data'!$A:$A,'[1]Tissue Data'!$I:$I)</f>
        <v>insignis</v>
      </c>
      <c r="G6454" t="str">
        <f>_xlfn.XLOOKUP(A6454,'[1]Tissue Data'!$A:$A,'[1]Tissue Data'!J:J)</f>
        <v>U</v>
      </c>
      <c r="H6454" t="str">
        <f>_xlfn.XLOOKUP(A6454,'[1]Tissue Data'!$A:$A,'[1]Tissue Data'!K:K)</f>
        <v>Whole Body</v>
      </c>
      <c r="I6454">
        <f>_xlfn.XLOOKUP(A6454,'[1]Tissue Data'!$A:$A,'[1]Tissue Data'!L:L)</f>
        <v>7</v>
      </c>
      <c r="J6454">
        <f>_xlfn.XLOOKUP(A6454,'[1]Tissue Data'!$A:$A,'[1]Tissue Data'!M:M)</f>
        <v>3.22</v>
      </c>
      <c r="K6454" t="s">
        <v>14</v>
      </c>
      <c r="L6454" t="str">
        <f>_xlfn.XLOOKUP(K6454,[2]analyte_order!$B:$B,[2]analyte_order!$C:$C)</f>
        <v>307-24-4</v>
      </c>
      <c r="M6454">
        <f>_xlfn.XLOOKUP(L6454,[2]analyte_order!$C:$C,[2]analyte_order!$E:$E)</f>
        <v>3</v>
      </c>
      <c r="N6454">
        <v>0.12</v>
      </c>
    </row>
    <row r="6455" spans="1:14">
      <c r="A6455" t="s">
        <v>224</v>
      </c>
      <c r="B6455" t="str">
        <f>_xlfn.XLOOKUP(A6455,'[1]Tissue Data'!$A:$A,'[1]Tissue Data'!$C:$C)</f>
        <v>Spill</v>
      </c>
      <c r="C6455" s="2">
        <f>_xlfn.XLOOKUP(A6455,'[1]Tissue Data'!$A:$A,'[1]Tissue Data'!$D:$D)</f>
        <v>44393</v>
      </c>
      <c r="D6455" s="2" t="str">
        <f>_xlfn.XLOOKUP(A6455,'[1]Tissue Data'!$A:$A,'[1]Tissue Data'!$F:$F)</f>
        <v>Margined Madtom</v>
      </c>
      <c r="E6455" t="str">
        <f>_xlfn.XLOOKUP(A6455,'[1]Tissue Data'!$A:$A,'[1]Tissue Data'!$H:$H)</f>
        <v>Noturus</v>
      </c>
      <c r="F6455" t="str">
        <f>_xlfn.XLOOKUP(A6455,'[1]Tissue Data'!$A:$A,'[1]Tissue Data'!$I:$I)</f>
        <v>insignis</v>
      </c>
      <c r="G6455" t="str">
        <f>_xlfn.XLOOKUP(A6455,'[1]Tissue Data'!$A:$A,'[1]Tissue Data'!J:J)</f>
        <v>U</v>
      </c>
      <c r="H6455" t="str">
        <f>_xlfn.XLOOKUP(A6455,'[1]Tissue Data'!$A:$A,'[1]Tissue Data'!K:K)</f>
        <v>Whole Body</v>
      </c>
      <c r="I6455">
        <f>_xlfn.XLOOKUP(A6455,'[1]Tissue Data'!$A:$A,'[1]Tissue Data'!L:L)</f>
        <v>7</v>
      </c>
      <c r="J6455">
        <f>_xlfn.XLOOKUP(A6455,'[1]Tissue Data'!$A:$A,'[1]Tissue Data'!M:M)</f>
        <v>3.22</v>
      </c>
      <c r="K6455" t="s">
        <v>15</v>
      </c>
      <c r="L6455" t="str">
        <f>_xlfn.XLOOKUP(K6455,[2]analyte_order!$B:$B,[2]analyte_order!$C:$C)</f>
        <v>375-85-9</v>
      </c>
      <c r="M6455">
        <f>_xlfn.XLOOKUP(L6455,[2]analyte_order!$C:$C,[2]analyte_order!$E:$E)</f>
        <v>4</v>
      </c>
      <c r="N6455">
        <v>0.2225</v>
      </c>
    </row>
    <row r="6456" spans="1:14">
      <c r="A6456" t="s">
        <v>224</v>
      </c>
      <c r="B6456" t="str">
        <f>_xlfn.XLOOKUP(A6456,'[1]Tissue Data'!$A:$A,'[1]Tissue Data'!$C:$C)</f>
        <v>Spill</v>
      </c>
      <c r="C6456" s="2">
        <f>_xlfn.XLOOKUP(A6456,'[1]Tissue Data'!$A:$A,'[1]Tissue Data'!$D:$D)</f>
        <v>44393</v>
      </c>
      <c r="D6456" s="2" t="str">
        <f>_xlfn.XLOOKUP(A6456,'[1]Tissue Data'!$A:$A,'[1]Tissue Data'!$F:$F)</f>
        <v>Margined Madtom</v>
      </c>
      <c r="E6456" t="str">
        <f>_xlfn.XLOOKUP(A6456,'[1]Tissue Data'!$A:$A,'[1]Tissue Data'!$H:$H)</f>
        <v>Noturus</v>
      </c>
      <c r="F6456" t="str">
        <f>_xlfn.XLOOKUP(A6456,'[1]Tissue Data'!$A:$A,'[1]Tissue Data'!$I:$I)</f>
        <v>insignis</v>
      </c>
      <c r="G6456" t="str">
        <f>_xlfn.XLOOKUP(A6456,'[1]Tissue Data'!$A:$A,'[1]Tissue Data'!J:J)</f>
        <v>U</v>
      </c>
      <c r="H6456" t="str">
        <f>_xlfn.XLOOKUP(A6456,'[1]Tissue Data'!$A:$A,'[1]Tissue Data'!K:K)</f>
        <v>Whole Body</v>
      </c>
      <c r="I6456">
        <f>_xlfn.XLOOKUP(A6456,'[1]Tissue Data'!$A:$A,'[1]Tissue Data'!L:L)</f>
        <v>7</v>
      </c>
      <c r="J6456">
        <f>_xlfn.XLOOKUP(A6456,'[1]Tissue Data'!$A:$A,'[1]Tissue Data'!M:M)</f>
        <v>3.22</v>
      </c>
      <c r="K6456" t="s">
        <v>16</v>
      </c>
      <c r="L6456" t="str">
        <f>_xlfn.XLOOKUP(K6456,[2]analyte_order!$B:$B,[2]analyte_order!$C:$C)</f>
        <v>335-67-1</v>
      </c>
      <c r="M6456">
        <f>_xlfn.XLOOKUP(L6456,[2]analyte_order!$C:$C,[2]analyte_order!$E:$E)</f>
        <v>5</v>
      </c>
      <c r="N6456">
        <v>1.31</v>
      </c>
    </row>
    <row r="6457" spans="1:14">
      <c r="A6457" t="s">
        <v>224</v>
      </c>
      <c r="B6457" t="str">
        <f>_xlfn.XLOOKUP(A6457,'[1]Tissue Data'!$A:$A,'[1]Tissue Data'!$C:$C)</f>
        <v>Spill</v>
      </c>
      <c r="C6457" s="2">
        <f>_xlfn.XLOOKUP(A6457,'[1]Tissue Data'!$A:$A,'[1]Tissue Data'!$D:$D)</f>
        <v>44393</v>
      </c>
      <c r="D6457" s="2" t="str">
        <f>_xlfn.XLOOKUP(A6457,'[1]Tissue Data'!$A:$A,'[1]Tissue Data'!$F:$F)</f>
        <v>Margined Madtom</v>
      </c>
      <c r="E6457" t="str">
        <f>_xlfn.XLOOKUP(A6457,'[1]Tissue Data'!$A:$A,'[1]Tissue Data'!$H:$H)</f>
        <v>Noturus</v>
      </c>
      <c r="F6457" t="str">
        <f>_xlfn.XLOOKUP(A6457,'[1]Tissue Data'!$A:$A,'[1]Tissue Data'!$I:$I)</f>
        <v>insignis</v>
      </c>
      <c r="G6457" t="str">
        <f>_xlfn.XLOOKUP(A6457,'[1]Tissue Data'!$A:$A,'[1]Tissue Data'!J:J)</f>
        <v>U</v>
      </c>
      <c r="H6457" t="str">
        <f>_xlfn.XLOOKUP(A6457,'[1]Tissue Data'!$A:$A,'[1]Tissue Data'!K:K)</f>
        <v>Whole Body</v>
      </c>
      <c r="I6457">
        <f>_xlfn.XLOOKUP(A6457,'[1]Tissue Data'!$A:$A,'[1]Tissue Data'!L:L)</f>
        <v>7</v>
      </c>
      <c r="J6457">
        <f>_xlfn.XLOOKUP(A6457,'[1]Tissue Data'!$A:$A,'[1]Tissue Data'!M:M)</f>
        <v>3.22</v>
      </c>
      <c r="K6457" t="s">
        <v>17</v>
      </c>
      <c r="L6457" t="str">
        <f>_xlfn.XLOOKUP(K6457,[2]analyte_order!$B:$B,[2]analyte_order!$C:$C)</f>
        <v>375-95-1</v>
      </c>
      <c r="M6457">
        <f>_xlfn.XLOOKUP(L6457,[2]analyte_order!$C:$C,[2]analyte_order!$E:$E)</f>
        <v>6</v>
      </c>
      <c r="N6457">
        <v>0.2225</v>
      </c>
    </row>
    <row r="6458" spans="1:14">
      <c r="A6458" t="s">
        <v>224</v>
      </c>
      <c r="B6458" t="str">
        <f>_xlfn.XLOOKUP(A6458,'[1]Tissue Data'!$A:$A,'[1]Tissue Data'!$C:$C)</f>
        <v>Spill</v>
      </c>
      <c r="C6458" s="2">
        <f>_xlfn.XLOOKUP(A6458,'[1]Tissue Data'!$A:$A,'[1]Tissue Data'!$D:$D)</f>
        <v>44393</v>
      </c>
      <c r="D6458" s="2" t="str">
        <f>_xlfn.XLOOKUP(A6458,'[1]Tissue Data'!$A:$A,'[1]Tissue Data'!$F:$F)</f>
        <v>Margined Madtom</v>
      </c>
      <c r="E6458" t="str">
        <f>_xlfn.XLOOKUP(A6458,'[1]Tissue Data'!$A:$A,'[1]Tissue Data'!$H:$H)</f>
        <v>Noturus</v>
      </c>
      <c r="F6458" t="str">
        <f>_xlfn.XLOOKUP(A6458,'[1]Tissue Data'!$A:$A,'[1]Tissue Data'!$I:$I)</f>
        <v>insignis</v>
      </c>
      <c r="G6458" t="str">
        <f>_xlfn.XLOOKUP(A6458,'[1]Tissue Data'!$A:$A,'[1]Tissue Data'!J:J)</f>
        <v>U</v>
      </c>
      <c r="H6458" t="str">
        <f>_xlfn.XLOOKUP(A6458,'[1]Tissue Data'!$A:$A,'[1]Tissue Data'!K:K)</f>
        <v>Whole Body</v>
      </c>
      <c r="I6458">
        <f>_xlfn.XLOOKUP(A6458,'[1]Tissue Data'!$A:$A,'[1]Tissue Data'!L:L)</f>
        <v>7</v>
      </c>
      <c r="J6458">
        <f>_xlfn.XLOOKUP(A6458,'[1]Tissue Data'!$A:$A,'[1]Tissue Data'!M:M)</f>
        <v>3.22</v>
      </c>
      <c r="K6458" t="s">
        <v>18</v>
      </c>
      <c r="L6458" t="str">
        <f>_xlfn.XLOOKUP(K6458,[2]analyte_order!$B:$B,[2]analyte_order!$C:$C)</f>
        <v>335-76-2</v>
      </c>
      <c r="M6458">
        <f>_xlfn.XLOOKUP(L6458,[2]analyte_order!$C:$C,[2]analyte_order!$E:$E)</f>
        <v>7</v>
      </c>
      <c r="N6458">
        <v>5.78</v>
      </c>
    </row>
    <row r="6459" spans="1:14">
      <c r="A6459" t="s">
        <v>224</v>
      </c>
      <c r="B6459" t="str">
        <f>_xlfn.XLOOKUP(A6459,'[1]Tissue Data'!$A:$A,'[1]Tissue Data'!$C:$C)</f>
        <v>Spill</v>
      </c>
      <c r="C6459" s="2">
        <f>_xlfn.XLOOKUP(A6459,'[1]Tissue Data'!$A:$A,'[1]Tissue Data'!$D:$D)</f>
        <v>44393</v>
      </c>
      <c r="D6459" s="2" t="str">
        <f>_xlfn.XLOOKUP(A6459,'[1]Tissue Data'!$A:$A,'[1]Tissue Data'!$F:$F)</f>
        <v>Margined Madtom</v>
      </c>
      <c r="E6459" t="str">
        <f>_xlfn.XLOOKUP(A6459,'[1]Tissue Data'!$A:$A,'[1]Tissue Data'!$H:$H)</f>
        <v>Noturus</v>
      </c>
      <c r="F6459" t="str">
        <f>_xlfn.XLOOKUP(A6459,'[1]Tissue Data'!$A:$A,'[1]Tissue Data'!$I:$I)</f>
        <v>insignis</v>
      </c>
      <c r="G6459" t="str">
        <f>_xlfn.XLOOKUP(A6459,'[1]Tissue Data'!$A:$A,'[1]Tissue Data'!J:J)</f>
        <v>U</v>
      </c>
      <c r="H6459" t="str">
        <f>_xlfn.XLOOKUP(A6459,'[1]Tissue Data'!$A:$A,'[1]Tissue Data'!K:K)</f>
        <v>Whole Body</v>
      </c>
      <c r="I6459">
        <f>_xlfn.XLOOKUP(A6459,'[1]Tissue Data'!$A:$A,'[1]Tissue Data'!L:L)</f>
        <v>7</v>
      </c>
      <c r="J6459">
        <f>_xlfn.XLOOKUP(A6459,'[1]Tissue Data'!$A:$A,'[1]Tissue Data'!M:M)</f>
        <v>3.22</v>
      </c>
      <c r="K6459" t="s">
        <v>19</v>
      </c>
      <c r="L6459" t="str">
        <f>_xlfn.XLOOKUP(K6459,[2]analyte_order!$B:$B,[2]analyte_order!$C:$C)</f>
        <v>2058-94-8</v>
      </c>
      <c r="M6459">
        <f>_xlfn.XLOOKUP(L6459,[2]analyte_order!$C:$C,[2]analyte_order!$E:$E)</f>
        <v>8</v>
      </c>
      <c r="N6459">
        <v>14.3</v>
      </c>
    </row>
    <row r="6460" spans="1:14">
      <c r="A6460" t="s">
        <v>224</v>
      </c>
      <c r="B6460" t="str">
        <f>_xlfn.XLOOKUP(A6460,'[1]Tissue Data'!$A:$A,'[1]Tissue Data'!$C:$C)</f>
        <v>Spill</v>
      </c>
      <c r="C6460" s="2">
        <f>_xlfn.XLOOKUP(A6460,'[1]Tissue Data'!$A:$A,'[1]Tissue Data'!$D:$D)</f>
        <v>44393</v>
      </c>
      <c r="D6460" s="2" t="str">
        <f>_xlfn.XLOOKUP(A6460,'[1]Tissue Data'!$A:$A,'[1]Tissue Data'!$F:$F)</f>
        <v>Margined Madtom</v>
      </c>
      <c r="E6460" t="str">
        <f>_xlfn.XLOOKUP(A6460,'[1]Tissue Data'!$A:$A,'[1]Tissue Data'!$H:$H)</f>
        <v>Noturus</v>
      </c>
      <c r="F6460" t="str">
        <f>_xlfn.XLOOKUP(A6460,'[1]Tissue Data'!$A:$A,'[1]Tissue Data'!$I:$I)</f>
        <v>insignis</v>
      </c>
      <c r="G6460" t="str">
        <f>_xlfn.XLOOKUP(A6460,'[1]Tissue Data'!$A:$A,'[1]Tissue Data'!J:J)</f>
        <v>U</v>
      </c>
      <c r="H6460" t="str">
        <f>_xlfn.XLOOKUP(A6460,'[1]Tissue Data'!$A:$A,'[1]Tissue Data'!K:K)</f>
        <v>Whole Body</v>
      </c>
      <c r="I6460">
        <f>_xlfn.XLOOKUP(A6460,'[1]Tissue Data'!$A:$A,'[1]Tissue Data'!L:L)</f>
        <v>7</v>
      </c>
      <c r="J6460">
        <f>_xlfn.XLOOKUP(A6460,'[1]Tissue Data'!$A:$A,'[1]Tissue Data'!M:M)</f>
        <v>3.22</v>
      </c>
      <c r="K6460" t="s">
        <v>20</v>
      </c>
      <c r="L6460" t="str">
        <f>_xlfn.XLOOKUP(K6460,[2]analyte_order!$B:$B,[2]analyte_order!$C:$C)</f>
        <v>307-55-1</v>
      </c>
      <c r="M6460">
        <f>_xlfn.XLOOKUP(L6460,[2]analyte_order!$C:$C,[2]analyte_order!$E:$E)</f>
        <v>9</v>
      </c>
      <c r="N6460">
        <v>51.6</v>
      </c>
    </row>
    <row r="6461" spans="1:14">
      <c r="A6461" t="s">
        <v>224</v>
      </c>
      <c r="B6461" t="str">
        <f>_xlfn.XLOOKUP(A6461,'[1]Tissue Data'!$A:$A,'[1]Tissue Data'!$C:$C)</f>
        <v>Spill</v>
      </c>
      <c r="C6461" s="2">
        <f>_xlfn.XLOOKUP(A6461,'[1]Tissue Data'!$A:$A,'[1]Tissue Data'!$D:$D)</f>
        <v>44393</v>
      </c>
      <c r="D6461" s="2" t="str">
        <f>_xlfn.XLOOKUP(A6461,'[1]Tissue Data'!$A:$A,'[1]Tissue Data'!$F:$F)</f>
        <v>Margined Madtom</v>
      </c>
      <c r="E6461" t="str">
        <f>_xlfn.XLOOKUP(A6461,'[1]Tissue Data'!$A:$A,'[1]Tissue Data'!$H:$H)</f>
        <v>Noturus</v>
      </c>
      <c r="F6461" t="str">
        <f>_xlfn.XLOOKUP(A6461,'[1]Tissue Data'!$A:$A,'[1]Tissue Data'!$I:$I)</f>
        <v>insignis</v>
      </c>
      <c r="G6461" t="str">
        <f>_xlfn.XLOOKUP(A6461,'[1]Tissue Data'!$A:$A,'[1]Tissue Data'!J:J)</f>
        <v>U</v>
      </c>
      <c r="H6461" t="str">
        <f>_xlfn.XLOOKUP(A6461,'[1]Tissue Data'!$A:$A,'[1]Tissue Data'!K:K)</f>
        <v>Whole Body</v>
      </c>
      <c r="I6461">
        <f>_xlfn.XLOOKUP(A6461,'[1]Tissue Data'!$A:$A,'[1]Tissue Data'!L:L)</f>
        <v>7</v>
      </c>
      <c r="J6461">
        <f>_xlfn.XLOOKUP(A6461,'[1]Tissue Data'!$A:$A,'[1]Tissue Data'!M:M)</f>
        <v>3.22</v>
      </c>
      <c r="K6461" t="s">
        <v>21</v>
      </c>
      <c r="L6461" t="str">
        <f>_xlfn.XLOOKUP(K6461,[2]analyte_order!$B:$B,[2]analyte_order!$C:$C)</f>
        <v>72629-94-8</v>
      </c>
      <c r="M6461">
        <f>_xlfn.XLOOKUP(L6461,[2]analyte_order!$C:$C,[2]analyte_order!$E:$E)</f>
        <v>10</v>
      </c>
      <c r="N6461">
        <v>5.45</v>
      </c>
    </row>
    <row r="6462" spans="1:14">
      <c r="A6462" t="s">
        <v>224</v>
      </c>
      <c r="B6462" t="str">
        <f>_xlfn.XLOOKUP(A6462,'[1]Tissue Data'!$A:$A,'[1]Tissue Data'!$C:$C)</f>
        <v>Spill</v>
      </c>
      <c r="C6462" s="2">
        <f>_xlfn.XLOOKUP(A6462,'[1]Tissue Data'!$A:$A,'[1]Tissue Data'!$D:$D)</f>
        <v>44393</v>
      </c>
      <c r="D6462" s="2" t="str">
        <f>_xlfn.XLOOKUP(A6462,'[1]Tissue Data'!$A:$A,'[1]Tissue Data'!$F:$F)</f>
        <v>Margined Madtom</v>
      </c>
      <c r="E6462" t="str">
        <f>_xlfn.XLOOKUP(A6462,'[1]Tissue Data'!$A:$A,'[1]Tissue Data'!$H:$H)</f>
        <v>Noturus</v>
      </c>
      <c r="F6462" t="str">
        <f>_xlfn.XLOOKUP(A6462,'[1]Tissue Data'!$A:$A,'[1]Tissue Data'!$I:$I)</f>
        <v>insignis</v>
      </c>
      <c r="G6462" t="str">
        <f>_xlfn.XLOOKUP(A6462,'[1]Tissue Data'!$A:$A,'[1]Tissue Data'!J:J)</f>
        <v>U</v>
      </c>
      <c r="H6462" t="str">
        <f>_xlfn.XLOOKUP(A6462,'[1]Tissue Data'!$A:$A,'[1]Tissue Data'!K:K)</f>
        <v>Whole Body</v>
      </c>
      <c r="I6462">
        <f>_xlfn.XLOOKUP(A6462,'[1]Tissue Data'!$A:$A,'[1]Tissue Data'!L:L)</f>
        <v>7</v>
      </c>
      <c r="J6462">
        <f>_xlfn.XLOOKUP(A6462,'[1]Tissue Data'!$A:$A,'[1]Tissue Data'!M:M)</f>
        <v>3.22</v>
      </c>
      <c r="K6462" t="s">
        <v>22</v>
      </c>
      <c r="L6462" t="str">
        <f>_xlfn.XLOOKUP(K6462,[2]analyte_order!$B:$B,[2]analyte_order!$C:$C)</f>
        <v>376-06-7</v>
      </c>
      <c r="M6462">
        <f>_xlfn.XLOOKUP(L6462,[2]analyte_order!$C:$C,[2]analyte_order!$E:$E)</f>
        <v>11</v>
      </c>
      <c r="N6462">
        <v>25.2</v>
      </c>
    </row>
    <row r="6463" spans="1:14">
      <c r="A6463" t="s">
        <v>224</v>
      </c>
      <c r="B6463" t="str">
        <f>_xlfn.XLOOKUP(A6463,'[1]Tissue Data'!$A:$A,'[1]Tissue Data'!$C:$C)</f>
        <v>Spill</v>
      </c>
      <c r="C6463" s="2">
        <f>_xlfn.XLOOKUP(A6463,'[1]Tissue Data'!$A:$A,'[1]Tissue Data'!$D:$D)</f>
        <v>44393</v>
      </c>
      <c r="D6463" s="2" t="str">
        <f>_xlfn.XLOOKUP(A6463,'[1]Tissue Data'!$A:$A,'[1]Tissue Data'!$F:$F)</f>
        <v>Margined Madtom</v>
      </c>
      <c r="E6463" t="str">
        <f>_xlfn.XLOOKUP(A6463,'[1]Tissue Data'!$A:$A,'[1]Tissue Data'!$H:$H)</f>
        <v>Noturus</v>
      </c>
      <c r="F6463" t="str">
        <f>_xlfn.XLOOKUP(A6463,'[1]Tissue Data'!$A:$A,'[1]Tissue Data'!$I:$I)</f>
        <v>insignis</v>
      </c>
      <c r="G6463" t="str">
        <f>_xlfn.XLOOKUP(A6463,'[1]Tissue Data'!$A:$A,'[1]Tissue Data'!J:J)</f>
        <v>U</v>
      </c>
      <c r="H6463" t="str">
        <f>_xlfn.XLOOKUP(A6463,'[1]Tissue Data'!$A:$A,'[1]Tissue Data'!K:K)</f>
        <v>Whole Body</v>
      </c>
      <c r="I6463">
        <f>_xlfn.XLOOKUP(A6463,'[1]Tissue Data'!$A:$A,'[1]Tissue Data'!L:L)</f>
        <v>7</v>
      </c>
      <c r="J6463">
        <f>_xlfn.XLOOKUP(A6463,'[1]Tissue Data'!$A:$A,'[1]Tissue Data'!M:M)</f>
        <v>3.22</v>
      </c>
      <c r="K6463" t="s">
        <v>23</v>
      </c>
      <c r="L6463" t="str">
        <f>_xlfn.XLOOKUP(K6463,[2]analyte_order!$B:$B,[2]analyte_order!$C:$C)</f>
        <v>67905-19-5</v>
      </c>
      <c r="M6463">
        <f>_xlfn.XLOOKUP(L6463,[2]analyte_order!$C:$C,[2]analyte_order!$E:$E)</f>
        <v>12</v>
      </c>
      <c r="N6463">
        <v>0.13250000000000001</v>
      </c>
    </row>
    <row r="6464" spans="1:14">
      <c r="A6464" t="s">
        <v>224</v>
      </c>
      <c r="B6464" t="str">
        <f>_xlfn.XLOOKUP(A6464,'[1]Tissue Data'!$A:$A,'[1]Tissue Data'!$C:$C)</f>
        <v>Spill</v>
      </c>
      <c r="C6464" s="2">
        <f>_xlfn.XLOOKUP(A6464,'[1]Tissue Data'!$A:$A,'[1]Tissue Data'!$D:$D)</f>
        <v>44393</v>
      </c>
      <c r="D6464" s="2" t="str">
        <f>_xlfn.XLOOKUP(A6464,'[1]Tissue Data'!$A:$A,'[1]Tissue Data'!$F:$F)</f>
        <v>Margined Madtom</v>
      </c>
      <c r="E6464" t="str">
        <f>_xlfn.XLOOKUP(A6464,'[1]Tissue Data'!$A:$A,'[1]Tissue Data'!$H:$H)</f>
        <v>Noturus</v>
      </c>
      <c r="F6464" t="str">
        <f>_xlfn.XLOOKUP(A6464,'[1]Tissue Data'!$A:$A,'[1]Tissue Data'!$I:$I)</f>
        <v>insignis</v>
      </c>
      <c r="G6464" t="str">
        <f>_xlfn.XLOOKUP(A6464,'[1]Tissue Data'!$A:$A,'[1]Tissue Data'!J:J)</f>
        <v>U</v>
      </c>
      <c r="H6464" t="str">
        <f>_xlfn.XLOOKUP(A6464,'[1]Tissue Data'!$A:$A,'[1]Tissue Data'!K:K)</f>
        <v>Whole Body</v>
      </c>
      <c r="I6464">
        <f>_xlfn.XLOOKUP(A6464,'[1]Tissue Data'!$A:$A,'[1]Tissue Data'!L:L)</f>
        <v>7</v>
      </c>
      <c r="J6464">
        <f>_xlfn.XLOOKUP(A6464,'[1]Tissue Data'!$A:$A,'[1]Tissue Data'!M:M)</f>
        <v>3.22</v>
      </c>
      <c r="K6464" t="s">
        <v>24</v>
      </c>
      <c r="L6464" t="str">
        <f>_xlfn.XLOOKUP(K6464,[2]analyte_order!$B:$B,[2]analyte_order!$C:$C)</f>
        <v>423-41-6</v>
      </c>
      <c r="M6464">
        <f>_xlfn.XLOOKUP(L6464,[2]analyte_order!$C:$C,[2]analyte_order!$E:$E)</f>
        <v>53</v>
      </c>
      <c r="N6464">
        <v>0.1115</v>
      </c>
    </row>
    <row r="6465" spans="1:14">
      <c r="A6465" t="s">
        <v>224</v>
      </c>
      <c r="B6465" t="str">
        <f>_xlfn.XLOOKUP(A6465,'[1]Tissue Data'!$A:$A,'[1]Tissue Data'!$C:$C)</f>
        <v>Spill</v>
      </c>
      <c r="C6465" s="2">
        <f>_xlfn.XLOOKUP(A6465,'[1]Tissue Data'!$A:$A,'[1]Tissue Data'!$D:$D)</f>
        <v>44393</v>
      </c>
      <c r="D6465" s="2" t="str">
        <f>_xlfn.XLOOKUP(A6465,'[1]Tissue Data'!$A:$A,'[1]Tissue Data'!$F:$F)</f>
        <v>Margined Madtom</v>
      </c>
      <c r="E6465" t="str">
        <f>_xlfn.XLOOKUP(A6465,'[1]Tissue Data'!$A:$A,'[1]Tissue Data'!$H:$H)</f>
        <v>Noturus</v>
      </c>
      <c r="F6465" t="str">
        <f>_xlfn.XLOOKUP(A6465,'[1]Tissue Data'!$A:$A,'[1]Tissue Data'!$I:$I)</f>
        <v>insignis</v>
      </c>
      <c r="G6465" t="str">
        <f>_xlfn.XLOOKUP(A6465,'[1]Tissue Data'!$A:$A,'[1]Tissue Data'!J:J)</f>
        <v>U</v>
      </c>
      <c r="H6465" t="str">
        <f>_xlfn.XLOOKUP(A6465,'[1]Tissue Data'!$A:$A,'[1]Tissue Data'!K:K)</f>
        <v>Whole Body</v>
      </c>
      <c r="I6465">
        <f>_xlfn.XLOOKUP(A6465,'[1]Tissue Data'!$A:$A,'[1]Tissue Data'!L:L)</f>
        <v>7</v>
      </c>
      <c r="J6465">
        <f>_xlfn.XLOOKUP(A6465,'[1]Tissue Data'!$A:$A,'[1]Tissue Data'!M:M)</f>
        <v>3.22</v>
      </c>
      <c r="K6465" t="s">
        <v>25</v>
      </c>
      <c r="L6465" t="str">
        <f>_xlfn.XLOOKUP(K6465,[2]analyte_order!$B:$B,[2]analyte_order!$C:$C)</f>
        <v>375-73-5</v>
      </c>
      <c r="M6465">
        <f>_xlfn.XLOOKUP(L6465,[2]analyte_order!$C:$C,[2]analyte_order!$E:$E)</f>
        <v>14</v>
      </c>
      <c r="N6465">
        <v>0.2225</v>
      </c>
    </row>
    <row r="6466" spans="1:14">
      <c r="A6466" t="s">
        <v>224</v>
      </c>
      <c r="B6466" t="str">
        <f>_xlfn.XLOOKUP(A6466,'[1]Tissue Data'!$A:$A,'[1]Tissue Data'!$C:$C)</f>
        <v>Spill</v>
      </c>
      <c r="C6466" s="2">
        <f>_xlfn.XLOOKUP(A6466,'[1]Tissue Data'!$A:$A,'[1]Tissue Data'!$D:$D)</f>
        <v>44393</v>
      </c>
      <c r="D6466" s="2" t="str">
        <f>_xlfn.XLOOKUP(A6466,'[1]Tissue Data'!$A:$A,'[1]Tissue Data'!$F:$F)</f>
        <v>Margined Madtom</v>
      </c>
      <c r="E6466" t="str">
        <f>_xlfn.XLOOKUP(A6466,'[1]Tissue Data'!$A:$A,'[1]Tissue Data'!$H:$H)</f>
        <v>Noturus</v>
      </c>
      <c r="F6466" t="str">
        <f>_xlfn.XLOOKUP(A6466,'[1]Tissue Data'!$A:$A,'[1]Tissue Data'!$I:$I)</f>
        <v>insignis</v>
      </c>
      <c r="G6466" t="str">
        <f>_xlfn.XLOOKUP(A6466,'[1]Tissue Data'!$A:$A,'[1]Tissue Data'!J:J)</f>
        <v>U</v>
      </c>
      <c r="H6466" t="str">
        <f>_xlfn.XLOOKUP(A6466,'[1]Tissue Data'!$A:$A,'[1]Tissue Data'!K:K)</f>
        <v>Whole Body</v>
      </c>
      <c r="I6466">
        <f>_xlfn.XLOOKUP(A6466,'[1]Tissue Data'!$A:$A,'[1]Tissue Data'!L:L)</f>
        <v>7</v>
      </c>
      <c r="J6466">
        <f>_xlfn.XLOOKUP(A6466,'[1]Tissue Data'!$A:$A,'[1]Tissue Data'!M:M)</f>
        <v>3.22</v>
      </c>
      <c r="K6466" t="s">
        <v>26</v>
      </c>
      <c r="L6466" t="str">
        <f>_xlfn.XLOOKUP(K6466,[2]analyte_order!$B:$B,[2]analyte_order!$C:$C)</f>
        <v>2706-91-4</v>
      </c>
      <c r="M6466">
        <f>_xlfn.XLOOKUP(L6466,[2]analyte_order!$C:$C,[2]analyte_order!$E:$E)</f>
        <v>15</v>
      </c>
      <c r="N6466">
        <v>0.39300000000000002</v>
      </c>
    </row>
    <row r="6467" spans="1:14">
      <c r="A6467" t="s">
        <v>224</v>
      </c>
      <c r="B6467" t="str">
        <f>_xlfn.XLOOKUP(A6467,'[1]Tissue Data'!$A:$A,'[1]Tissue Data'!$C:$C)</f>
        <v>Spill</v>
      </c>
      <c r="C6467" s="2">
        <f>_xlfn.XLOOKUP(A6467,'[1]Tissue Data'!$A:$A,'[1]Tissue Data'!$D:$D)</f>
        <v>44393</v>
      </c>
      <c r="D6467" s="2" t="str">
        <f>_xlfn.XLOOKUP(A6467,'[1]Tissue Data'!$A:$A,'[1]Tissue Data'!$F:$F)</f>
        <v>Margined Madtom</v>
      </c>
      <c r="E6467" t="str">
        <f>_xlfn.XLOOKUP(A6467,'[1]Tissue Data'!$A:$A,'[1]Tissue Data'!$H:$H)</f>
        <v>Noturus</v>
      </c>
      <c r="F6467" t="str">
        <f>_xlfn.XLOOKUP(A6467,'[1]Tissue Data'!$A:$A,'[1]Tissue Data'!$I:$I)</f>
        <v>insignis</v>
      </c>
      <c r="G6467" t="str">
        <f>_xlfn.XLOOKUP(A6467,'[1]Tissue Data'!$A:$A,'[1]Tissue Data'!J:J)</f>
        <v>U</v>
      </c>
      <c r="H6467" t="str">
        <f>_xlfn.XLOOKUP(A6467,'[1]Tissue Data'!$A:$A,'[1]Tissue Data'!K:K)</f>
        <v>Whole Body</v>
      </c>
      <c r="I6467">
        <f>_xlfn.XLOOKUP(A6467,'[1]Tissue Data'!$A:$A,'[1]Tissue Data'!L:L)</f>
        <v>7</v>
      </c>
      <c r="J6467">
        <f>_xlfn.XLOOKUP(A6467,'[1]Tissue Data'!$A:$A,'[1]Tissue Data'!M:M)</f>
        <v>3.22</v>
      </c>
      <c r="K6467" t="s">
        <v>27</v>
      </c>
      <c r="L6467" t="str">
        <f>_xlfn.XLOOKUP(K6467,[2]analyte_order!$B:$B,[2]analyte_order!$C:$C)</f>
        <v>355-46-4</v>
      </c>
      <c r="M6467">
        <f>_xlfn.XLOOKUP(L6467,[2]analyte_order!$C:$C,[2]analyte_order!$E:$E)</f>
        <v>16</v>
      </c>
      <c r="N6467">
        <v>42.6</v>
      </c>
    </row>
    <row r="6468" spans="1:14">
      <c r="A6468" t="s">
        <v>224</v>
      </c>
      <c r="B6468" t="str">
        <f>_xlfn.XLOOKUP(A6468,'[1]Tissue Data'!$A:$A,'[1]Tissue Data'!$C:$C)</f>
        <v>Spill</v>
      </c>
      <c r="C6468" s="2">
        <f>_xlfn.XLOOKUP(A6468,'[1]Tissue Data'!$A:$A,'[1]Tissue Data'!$D:$D)</f>
        <v>44393</v>
      </c>
      <c r="D6468" s="2" t="str">
        <f>_xlfn.XLOOKUP(A6468,'[1]Tissue Data'!$A:$A,'[1]Tissue Data'!$F:$F)</f>
        <v>Margined Madtom</v>
      </c>
      <c r="E6468" t="str">
        <f>_xlfn.XLOOKUP(A6468,'[1]Tissue Data'!$A:$A,'[1]Tissue Data'!$H:$H)</f>
        <v>Noturus</v>
      </c>
      <c r="F6468" t="str">
        <f>_xlfn.XLOOKUP(A6468,'[1]Tissue Data'!$A:$A,'[1]Tissue Data'!$I:$I)</f>
        <v>insignis</v>
      </c>
      <c r="G6468" t="str">
        <f>_xlfn.XLOOKUP(A6468,'[1]Tissue Data'!$A:$A,'[1]Tissue Data'!J:J)</f>
        <v>U</v>
      </c>
      <c r="H6468" t="str">
        <f>_xlfn.XLOOKUP(A6468,'[1]Tissue Data'!$A:$A,'[1]Tissue Data'!K:K)</f>
        <v>Whole Body</v>
      </c>
      <c r="I6468">
        <f>_xlfn.XLOOKUP(A6468,'[1]Tissue Data'!$A:$A,'[1]Tissue Data'!L:L)</f>
        <v>7</v>
      </c>
      <c r="J6468">
        <f>_xlfn.XLOOKUP(A6468,'[1]Tissue Data'!$A:$A,'[1]Tissue Data'!M:M)</f>
        <v>3.22</v>
      </c>
      <c r="K6468" t="s">
        <v>28</v>
      </c>
      <c r="L6468" t="str">
        <f>_xlfn.XLOOKUP(K6468,[2]analyte_order!$B:$B,[2]analyte_order!$C:$C)</f>
        <v>375-92-8</v>
      </c>
      <c r="M6468">
        <f>_xlfn.XLOOKUP(L6468,[2]analyte_order!$C:$C,[2]analyte_order!$E:$E)</f>
        <v>17</v>
      </c>
      <c r="N6468">
        <v>2.9</v>
      </c>
    </row>
    <row r="6469" spans="1:14">
      <c r="A6469" t="s">
        <v>224</v>
      </c>
      <c r="B6469" t="str">
        <f>_xlfn.XLOOKUP(A6469,'[1]Tissue Data'!$A:$A,'[1]Tissue Data'!$C:$C)</f>
        <v>Spill</v>
      </c>
      <c r="C6469" s="2">
        <f>_xlfn.XLOOKUP(A6469,'[1]Tissue Data'!$A:$A,'[1]Tissue Data'!$D:$D)</f>
        <v>44393</v>
      </c>
      <c r="D6469" s="2" t="str">
        <f>_xlfn.XLOOKUP(A6469,'[1]Tissue Data'!$A:$A,'[1]Tissue Data'!$F:$F)</f>
        <v>Margined Madtom</v>
      </c>
      <c r="E6469" t="str">
        <f>_xlfn.XLOOKUP(A6469,'[1]Tissue Data'!$A:$A,'[1]Tissue Data'!$H:$H)</f>
        <v>Noturus</v>
      </c>
      <c r="F6469" t="str">
        <f>_xlfn.XLOOKUP(A6469,'[1]Tissue Data'!$A:$A,'[1]Tissue Data'!$I:$I)</f>
        <v>insignis</v>
      </c>
      <c r="G6469" t="str">
        <f>_xlfn.XLOOKUP(A6469,'[1]Tissue Data'!$A:$A,'[1]Tissue Data'!J:J)</f>
        <v>U</v>
      </c>
      <c r="H6469" t="str">
        <f>_xlfn.XLOOKUP(A6469,'[1]Tissue Data'!$A:$A,'[1]Tissue Data'!K:K)</f>
        <v>Whole Body</v>
      </c>
      <c r="I6469">
        <f>_xlfn.XLOOKUP(A6469,'[1]Tissue Data'!$A:$A,'[1]Tissue Data'!L:L)</f>
        <v>7</v>
      </c>
      <c r="J6469">
        <f>_xlfn.XLOOKUP(A6469,'[1]Tissue Data'!$A:$A,'[1]Tissue Data'!M:M)</f>
        <v>3.22</v>
      </c>
      <c r="K6469" t="s">
        <v>29</v>
      </c>
      <c r="L6469" t="str">
        <f>_xlfn.XLOOKUP(K6469,[2]analyte_order!$B:$B,[2]analyte_order!$C:$C)</f>
        <v>1763-23-1</v>
      </c>
      <c r="M6469">
        <f>_xlfn.XLOOKUP(L6469,[2]analyte_order!$C:$C,[2]analyte_order!$E:$E)</f>
        <v>18</v>
      </c>
      <c r="N6469">
        <v>342</v>
      </c>
    </row>
    <row r="6470" spans="1:14">
      <c r="A6470" t="s">
        <v>224</v>
      </c>
      <c r="B6470" t="str">
        <f>_xlfn.XLOOKUP(A6470,'[1]Tissue Data'!$A:$A,'[1]Tissue Data'!$C:$C)</f>
        <v>Spill</v>
      </c>
      <c r="C6470" s="2">
        <f>_xlfn.XLOOKUP(A6470,'[1]Tissue Data'!$A:$A,'[1]Tissue Data'!$D:$D)</f>
        <v>44393</v>
      </c>
      <c r="D6470" s="2" t="str">
        <f>_xlfn.XLOOKUP(A6470,'[1]Tissue Data'!$A:$A,'[1]Tissue Data'!$F:$F)</f>
        <v>Margined Madtom</v>
      </c>
      <c r="E6470" t="str">
        <f>_xlfn.XLOOKUP(A6470,'[1]Tissue Data'!$A:$A,'[1]Tissue Data'!$H:$H)</f>
        <v>Noturus</v>
      </c>
      <c r="F6470" t="str">
        <f>_xlfn.XLOOKUP(A6470,'[1]Tissue Data'!$A:$A,'[1]Tissue Data'!$I:$I)</f>
        <v>insignis</v>
      </c>
      <c r="G6470" t="str">
        <f>_xlfn.XLOOKUP(A6470,'[1]Tissue Data'!$A:$A,'[1]Tissue Data'!J:J)</f>
        <v>U</v>
      </c>
      <c r="H6470" t="str">
        <f>_xlfn.XLOOKUP(A6470,'[1]Tissue Data'!$A:$A,'[1]Tissue Data'!K:K)</f>
        <v>Whole Body</v>
      </c>
      <c r="I6470">
        <f>_xlfn.XLOOKUP(A6470,'[1]Tissue Data'!$A:$A,'[1]Tissue Data'!L:L)</f>
        <v>7</v>
      </c>
      <c r="J6470">
        <f>_xlfn.XLOOKUP(A6470,'[1]Tissue Data'!$A:$A,'[1]Tissue Data'!M:M)</f>
        <v>3.22</v>
      </c>
      <c r="K6470" t="s">
        <v>30</v>
      </c>
      <c r="L6470" t="str">
        <f>_xlfn.XLOOKUP(K6470,[2]analyte_order!$B:$B,[2]analyte_order!$C:$C)</f>
        <v>68259-12-1</v>
      </c>
      <c r="M6470">
        <f>_xlfn.XLOOKUP(L6470,[2]analyte_order!$C:$C,[2]analyte_order!$E:$E)</f>
        <v>19</v>
      </c>
      <c r="N6470">
        <v>0.77800000000000002</v>
      </c>
    </row>
    <row r="6471" spans="1:14">
      <c r="A6471" t="s">
        <v>224</v>
      </c>
      <c r="B6471" t="str">
        <f>_xlfn.XLOOKUP(A6471,'[1]Tissue Data'!$A:$A,'[1]Tissue Data'!$C:$C)</f>
        <v>Spill</v>
      </c>
      <c r="C6471" s="2">
        <f>_xlfn.XLOOKUP(A6471,'[1]Tissue Data'!$A:$A,'[1]Tissue Data'!$D:$D)</f>
        <v>44393</v>
      </c>
      <c r="D6471" s="2" t="str">
        <f>_xlfn.XLOOKUP(A6471,'[1]Tissue Data'!$A:$A,'[1]Tissue Data'!$F:$F)</f>
        <v>Margined Madtom</v>
      </c>
      <c r="E6471" t="str">
        <f>_xlfn.XLOOKUP(A6471,'[1]Tissue Data'!$A:$A,'[1]Tissue Data'!$H:$H)</f>
        <v>Noturus</v>
      </c>
      <c r="F6471" t="str">
        <f>_xlfn.XLOOKUP(A6471,'[1]Tissue Data'!$A:$A,'[1]Tissue Data'!$I:$I)</f>
        <v>insignis</v>
      </c>
      <c r="G6471" t="str">
        <f>_xlfn.XLOOKUP(A6471,'[1]Tissue Data'!$A:$A,'[1]Tissue Data'!J:J)</f>
        <v>U</v>
      </c>
      <c r="H6471" t="str">
        <f>_xlfn.XLOOKUP(A6471,'[1]Tissue Data'!$A:$A,'[1]Tissue Data'!K:K)</f>
        <v>Whole Body</v>
      </c>
      <c r="I6471">
        <f>_xlfn.XLOOKUP(A6471,'[1]Tissue Data'!$A:$A,'[1]Tissue Data'!L:L)</f>
        <v>7</v>
      </c>
      <c r="J6471">
        <f>_xlfn.XLOOKUP(A6471,'[1]Tissue Data'!$A:$A,'[1]Tissue Data'!M:M)</f>
        <v>3.22</v>
      </c>
      <c r="K6471" t="s">
        <v>31</v>
      </c>
      <c r="L6471" t="str">
        <f>_xlfn.XLOOKUP(K6471,[2]analyte_order!$B:$B,[2]analyte_order!$C:$C)</f>
        <v>335-77-3</v>
      </c>
      <c r="M6471">
        <f>_xlfn.XLOOKUP(L6471,[2]analyte_order!$C:$C,[2]analyte_order!$E:$E)</f>
        <v>20</v>
      </c>
      <c r="N6471">
        <v>1.19</v>
      </c>
    </row>
    <row r="6472" spans="1:14">
      <c r="A6472" t="s">
        <v>224</v>
      </c>
      <c r="B6472" t="str">
        <f>_xlfn.XLOOKUP(A6472,'[1]Tissue Data'!$A:$A,'[1]Tissue Data'!$C:$C)</f>
        <v>Spill</v>
      </c>
      <c r="C6472" s="2">
        <f>_xlfn.XLOOKUP(A6472,'[1]Tissue Data'!$A:$A,'[1]Tissue Data'!$D:$D)</f>
        <v>44393</v>
      </c>
      <c r="D6472" s="2" t="str">
        <f>_xlfn.XLOOKUP(A6472,'[1]Tissue Data'!$A:$A,'[1]Tissue Data'!$F:$F)</f>
        <v>Margined Madtom</v>
      </c>
      <c r="E6472" t="str">
        <f>_xlfn.XLOOKUP(A6472,'[1]Tissue Data'!$A:$A,'[1]Tissue Data'!$H:$H)</f>
        <v>Noturus</v>
      </c>
      <c r="F6472" t="str">
        <f>_xlfn.XLOOKUP(A6472,'[1]Tissue Data'!$A:$A,'[1]Tissue Data'!$I:$I)</f>
        <v>insignis</v>
      </c>
      <c r="G6472" t="str">
        <f>_xlfn.XLOOKUP(A6472,'[1]Tissue Data'!$A:$A,'[1]Tissue Data'!J:J)</f>
        <v>U</v>
      </c>
      <c r="H6472" t="str">
        <f>_xlfn.XLOOKUP(A6472,'[1]Tissue Data'!$A:$A,'[1]Tissue Data'!K:K)</f>
        <v>Whole Body</v>
      </c>
      <c r="I6472">
        <f>_xlfn.XLOOKUP(A6472,'[1]Tissue Data'!$A:$A,'[1]Tissue Data'!L:L)</f>
        <v>7</v>
      </c>
      <c r="J6472">
        <f>_xlfn.XLOOKUP(A6472,'[1]Tissue Data'!$A:$A,'[1]Tissue Data'!M:M)</f>
        <v>3.22</v>
      </c>
      <c r="K6472" t="s">
        <v>32</v>
      </c>
      <c r="L6472" t="str">
        <f>_xlfn.XLOOKUP(K6472,[2]analyte_order!$B:$B,[2]analyte_order!$C:$C)</f>
        <v>79780-39-5</v>
      </c>
      <c r="M6472">
        <f>_xlfn.XLOOKUP(L6472,[2]analyte_order!$C:$C,[2]analyte_order!$E:$E)</f>
        <v>21</v>
      </c>
      <c r="N6472">
        <v>0.23799999999999999</v>
      </c>
    </row>
    <row r="6473" spans="1:14">
      <c r="A6473" t="s">
        <v>224</v>
      </c>
      <c r="B6473" t="str">
        <f>_xlfn.XLOOKUP(A6473,'[1]Tissue Data'!$A:$A,'[1]Tissue Data'!$C:$C)</f>
        <v>Spill</v>
      </c>
      <c r="C6473" s="2">
        <f>_xlfn.XLOOKUP(A6473,'[1]Tissue Data'!$A:$A,'[1]Tissue Data'!$D:$D)</f>
        <v>44393</v>
      </c>
      <c r="D6473" s="2" t="str">
        <f>_xlfn.XLOOKUP(A6473,'[1]Tissue Data'!$A:$A,'[1]Tissue Data'!$F:$F)</f>
        <v>Margined Madtom</v>
      </c>
      <c r="E6473" t="str">
        <f>_xlfn.XLOOKUP(A6473,'[1]Tissue Data'!$A:$A,'[1]Tissue Data'!$H:$H)</f>
        <v>Noturus</v>
      </c>
      <c r="F6473" t="str">
        <f>_xlfn.XLOOKUP(A6473,'[1]Tissue Data'!$A:$A,'[1]Tissue Data'!$I:$I)</f>
        <v>insignis</v>
      </c>
      <c r="G6473" t="str">
        <f>_xlfn.XLOOKUP(A6473,'[1]Tissue Data'!$A:$A,'[1]Tissue Data'!J:J)</f>
        <v>U</v>
      </c>
      <c r="H6473" t="str">
        <f>_xlfn.XLOOKUP(A6473,'[1]Tissue Data'!$A:$A,'[1]Tissue Data'!K:K)</f>
        <v>Whole Body</v>
      </c>
      <c r="I6473">
        <f>_xlfn.XLOOKUP(A6473,'[1]Tissue Data'!$A:$A,'[1]Tissue Data'!L:L)</f>
        <v>7</v>
      </c>
      <c r="J6473">
        <f>_xlfn.XLOOKUP(A6473,'[1]Tissue Data'!$A:$A,'[1]Tissue Data'!M:M)</f>
        <v>3.22</v>
      </c>
      <c r="K6473" t="s">
        <v>33</v>
      </c>
      <c r="L6473" t="str">
        <f>_xlfn.XLOOKUP(K6473,[2]analyte_order!$B:$B,[2]analyte_order!$C:$C)</f>
        <v>777011-38-8</v>
      </c>
      <c r="M6473">
        <f>_xlfn.XLOOKUP(L6473,[2]analyte_order!$C:$C,[2]analyte_order!$E:$E)</f>
        <v>54</v>
      </c>
      <c r="N6473">
        <v>0.13550000000000001</v>
      </c>
    </row>
    <row r="6474" spans="1:14">
      <c r="A6474" t="s">
        <v>224</v>
      </c>
      <c r="B6474" t="str">
        <f>_xlfn.XLOOKUP(A6474,'[1]Tissue Data'!$A:$A,'[1]Tissue Data'!$C:$C)</f>
        <v>Spill</v>
      </c>
      <c r="C6474" s="2">
        <f>_xlfn.XLOOKUP(A6474,'[1]Tissue Data'!$A:$A,'[1]Tissue Data'!$D:$D)</f>
        <v>44393</v>
      </c>
      <c r="D6474" s="2" t="str">
        <f>_xlfn.XLOOKUP(A6474,'[1]Tissue Data'!$A:$A,'[1]Tissue Data'!$F:$F)</f>
        <v>Margined Madtom</v>
      </c>
      <c r="E6474" t="str">
        <f>_xlfn.XLOOKUP(A6474,'[1]Tissue Data'!$A:$A,'[1]Tissue Data'!$H:$H)</f>
        <v>Noturus</v>
      </c>
      <c r="F6474" t="str">
        <f>_xlfn.XLOOKUP(A6474,'[1]Tissue Data'!$A:$A,'[1]Tissue Data'!$I:$I)</f>
        <v>insignis</v>
      </c>
      <c r="G6474" t="str">
        <f>_xlfn.XLOOKUP(A6474,'[1]Tissue Data'!$A:$A,'[1]Tissue Data'!J:J)</f>
        <v>U</v>
      </c>
      <c r="H6474" t="str">
        <f>_xlfn.XLOOKUP(A6474,'[1]Tissue Data'!$A:$A,'[1]Tissue Data'!K:K)</f>
        <v>Whole Body</v>
      </c>
      <c r="I6474">
        <f>_xlfn.XLOOKUP(A6474,'[1]Tissue Data'!$A:$A,'[1]Tissue Data'!L:L)</f>
        <v>7</v>
      </c>
      <c r="J6474">
        <f>_xlfn.XLOOKUP(A6474,'[1]Tissue Data'!$A:$A,'[1]Tissue Data'!M:M)</f>
        <v>3.22</v>
      </c>
      <c r="K6474" t="s">
        <v>34</v>
      </c>
      <c r="L6474" t="str">
        <f>_xlfn.XLOOKUP(K6474,[2]analyte_order!$B:$B,[2]analyte_order!$C:$C)</f>
        <v>646-83-3</v>
      </c>
      <c r="M6474">
        <f>_xlfn.XLOOKUP(L6474,[2]analyte_order!$C:$C,[2]analyte_order!$E:$E)</f>
        <v>55</v>
      </c>
      <c r="N6474">
        <v>0.187</v>
      </c>
    </row>
    <row r="6475" spans="1:14">
      <c r="A6475" t="s">
        <v>224</v>
      </c>
      <c r="B6475" t="str">
        <f>_xlfn.XLOOKUP(A6475,'[1]Tissue Data'!$A:$A,'[1]Tissue Data'!$C:$C)</f>
        <v>Spill</v>
      </c>
      <c r="C6475" s="2">
        <f>_xlfn.XLOOKUP(A6475,'[1]Tissue Data'!$A:$A,'[1]Tissue Data'!$D:$D)</f>
        <v>44393</v>
      </c>
      <c r="D6475" s="2" t="str">
        <f>_xlfn.XLOOKUP(A6475,'[1]Tissue Data'!$A:$A,'[1]Tissue Data'!$F:$F)</f>
        <v>Margined Madtom</v>
      </c>
      <c r="E6475" t="str">
        <f>_xlfn.XLOOKUP(A6475,'[1]Tissue Data'!$A:$A,'[1]Tissue Data'!$H:$H)</f>
        <v>Noturus</v>
      </c>
      <c r="F6475" t="str">
        <f>_xlfn.XLOOKUP(A6475,'[1]Tissue Data'!$A:$A,'[1]Tissue Data'!$I:$I)</f>
        <v>insignis</v>
      </c>
      <c r="G6475" t="str">
        <f>_xlfn.XLOOKUP(A6475,'[1]Tissue Data'!$A:$A,'[1]Tissue Data'!J:J)</f>
        <v>U</v>
      </c>
      <c r="H6475" t="str">
        <f>_xlfn.XLOOKUP(A6475,'[1]Tissue Data'!$A:$A,'[1]Tissue Data'!K:K)</f>
        <v>Whole Body</v>
      </c>
      <c r="I6475">
        <f>_xlfn.XLOOKUP(A6475,'[1]Tissue Data'!$A:$A,'[1]Tissue Data'!L:L)</f>
        <v>7</v>
      </c>
      <c r="J6475">
        <f>_xlfn.XLOOKUP(A6475,'[1]Tissue Data'!$A:$A,'[1]Tissue Data'!M:M)</f>
        <v>3.22</v>
      </c>
      <c r="K6475" t="s">
        <v>35</v>
      </c>
      <c r="L6475" t="str">
        <f>_xlfn.XLOOKUP(K6475,[2]analyte_order!$B:$B,[2]analyte_order!$C:$C)</f>
        <v>30334-69-1</v>
      </c>
      <c r="M6475">
        <f>_xlfn.XLOOKUP(L6475,[2]analyte_order!$C:$C,[2]analyte_order!$E:$E)</f>
        <v>51</v>
      </c>
      <c r="N6475">
        <v>119</v>
      </c>
    </row>
    <row r="6476" spans="1:14">
      <c r="A6476" t="s">
        <v>224</v>
      </c>
      <c r="B6476" t="str">
        <f>_xlfn.XLOOKUP(A6476,'[1]Tissue Data'!$A:$A,'[1]Tissue Data'!$C:$C)</f>
        <v>Spill</v>
      </c>
      <c r="C6476" s="2">
        <f>_xlfn.XLOOKUP(A6476,'[1]Tissue Data'!$A:$A,'[1]Tissue Data'!$D:$D)</f>
        <v>44393</v>
      </c>
      <c r="D6476" s="2" t="str">
        <f>_xlfn.XLOOKUP(A6476,'[1]Tissue Data'!$A:$A,'[1]Tissue Data'!$F:$F)</f>
        <v>Margined Madtom</v>
      </c>
      <c r="E6476" t="str">
        <f>_xlfn.XLOOKUP(A6476,'[1]Tissue Data'!$A:$A,'[1]Tissue Data'!$H:$H)</f>
        <v>Noturus</v>
      </c>
      <c r="F6476" t="str">
        <f>_xlfn.XLOOKUP(A6476,'[1]Tissue Data'!$A:$A,'[1]Tissue Data'!$I:$I)</f>
        <v>insignis</v>
      </c>
      <c r="G6476" t="str">
        <f>_xlfn.XLOOKUP(A6476,'[1]Tissue Data'!$A:$A,'[1]Tissue Data'!J:J)</f>
        <v>U</v>
      </c>
      <c r="H6476" t="str">
        <f>_xlfn.XLOOKUP(A6476,'[1]Tissue Data'!$A:$A,'[1]Tissue Data'!K:K)</f>
        <v>Whole Body</v>
      </c>
      <c r="I6476">
        <f>_xlfn.XLOOKUP(A6476,'[1]Tissue Data'!$A:$A,'[1]Tissue Data'!L:L)</f>
        <v>7</v>
      </c>
      <c r="J6476">
        <f>_xlfn.XLOOKUP(A6476,'[1]Tissue Data'!$A:$A,'[1]Tissue Data'!M:M)</f>
        <v>3.22</v>
      </c>
      <c r="K6476" t="s">
        <v>36</v>
      </c>
      <c r="L6476" t="str">
        <f>_xlfn.XLOOKUP(K6476,[2]analyte_order!$B:$B,[2]analyte_order!$C:$C)</f>
        <v>41997-13-1</v>
      </c>
      <c r="M6476">
        <f>_xlfn.XLOOKUP(L6476,[2]analyte_order!$C:$C,[2]analyte_order!$E:$E)</f>
        <v>52</v>
      </c>
      <c r="N6476">
        <v>283</v>
      </c>
    </row>
    <row r="6477" spans="1:14">
      <c r="A6477" t="s">
        <v>224</v>
      </c>
      <c r="B6477" t="str">
        <f>_xlfn.XLOOKUP(A6477,'[1]Tissue Data'!$A:$A,'[1]Tissue Data'!$C:$C)</f>
        <v>Spill</v>
      </c>
      <c r="C6477" s="2">
        <f>_xlfn.XLOOKUP(A6477,'[1]Tissue Data'!$A:$A,'[1]Tissue Data'!$D:$D)</f>
        <v>44393</v>
      </c>
      <c r="D6477" s="2" t="str">
        <f>_xlfn.XLOOKUP(A6477,'[1]Tissue Data'!$A:$A,'[1]Tissue Data'!$F:$F)</f>
        <v>Margined Madtom</v>
      </c>
      <c r="E6477" t="str">
        <f>_xlfn.XLOOKUP(A6477,'[1]Tissue Data'!$A:$A,'[1]Tissue Data'!$H:$H)</f>
        <v>Noturus</v>
      </c>
      <c r="F6477" t="str">
        <f>_xlfn.XLOOKUP(A6477,'[1]Tissue Data'!$A:$A,'[1]Tissue Data'!$I:$I)</f>
        <v>insignis</v>
      </c>
      <c r="G6477" t="str">
        <f>_xlfn.XLOOKUP(A6477,'[1]Tissue Data'!$A:$A,'[1]Tissue Data'!J:J)</f>
        <v>U</v>
      </c>
      <c r="H6477" t="str">
        <f>_xlfn.XLOOKUP(A6477,'[1]Tissue Data'!$A:$A,'[1]Tissue Data'!K:K)</f>
        <v>Whole Body</v>
      </c>
      <c r="I6477">
        <f>_xlfn.XLOOKUP(A6477,'[1]Tissue Data'!$A:$A,'[1]Tissue Data'!L:L)</f>
        <v>7</v>
      </c>
      <c r="J6477">
        <f>_xlfn.XLOOKUP(A6477,'[1]Tissue Data'!$A:$A,'[1]Tissue Data'!M:M)</f>
        <v>3.22</v>
      </c>
      <c r="K6477" t="s">
        <v>37</v>
      </c>
      <c r="L6477" t="str">
        <f>_xlfn.XLOOKUP(K6477,[2]analyte_order!$B:$B,[2]analyte_order!$C:$C)</f>
        <v>754-91-6</v>
      </c>
      <c r="M6477">
        <f>_xlfn.XLOOKUP(L6477,[2]analyte_order!$C:$C,[2]analyte_order!$E:$E)</f>
        <v>28</v>
      </c>
      <c r="N6477">
        <v>17.100000000000001</v>
      </c>
    </row>
    <row r="6478" spans="1:14">
      <c r="A6478" t="s">
        <v>224</v>
      </c>
      <c r="B6478" t="str">
        <f>_xlfn.XLOOKUP(A6478,'[1]Tissue Data'!$A:$A,'[1]Tissue Data'!$C:$C)</f>
        <v>Spill</v>
      </c>
      <c r="C6478" s="2">
        <f>_xlfn.XLOOKUP(A6478,'[1]Tissue Data'!$A:$A,'[1]Tissue Data'!$D:$D)</f>
        <v>44393</v>
      </c>
      <c r="D6478" s="2" t="str">
        <f>_xlfn.XLOOKUP(A6478,'[1]Tissue Data'!$A:$A,'[1]Tissue Data'!$F:$F)</f>
        <v>Margined Madtom</v>
      </c>
      <c r="E6478" t="str">
        <f>_xlfn.XLOOKUP(A6478,'[1]Tissue Data'!$A:$A,'[1]Tissue Data'!$H:$H)</f>
        <v>Noturus</v>
      </c>
      <c r="F6478" t="str">
        <f>_xlfn.XLOOKUP(A6478,'[1]Tissue Data'!$A:$A,'[1]Tissue Data'!$I:$I)</f>
        <v>insignis</v>
      </c>
      <c r="G6478" t="str">
        <f>_xlfn.XLOOKUP(A6478,'[1]Tissue Data'!$A:$A,'[1]Tissue Data'!J:J)</f>
        <v>U</v>
      </c>
      <c r="H6478" t="str">
        <f>_xlfn.XLOOKUP(A6478,'[1]Tissue Data'!$A:$A,'[1]Tissue Data'!K:K)</f>
        <v>Whole Body</v>
      </c>
      <c r="I6478">
        <f>_xlfn.XLOOKUP(A6478,'[1]Tissue Data'!$A:$A,'[1]Tissue Data'!L:L)</f>
        <v>7</v>
      </c>
      <c r="J6478">
        <f>_xlfn.XLOOKUP(A6478,'[1]Tissue Data'!$A:$A,'[1]Tissue Data'!M:M)</f>
        <v>3.22</v>
      </c>
      <c r="K6478" t="s">
        <v>38</v>
      </c>
      <c r="L6478" t="str">
        <f>_xlfn.XLOOKUP(K6478,[2]analyte_order!$B:$B,[2]analyte_order!$C:$C)</f>
        <v>31506-32-8</v>
      </c>
      <c r="M6478">
        <f>_xlfn.XLOOKUP(L6478,[2]analyte_order!$C:$C,[2]analyte_order!$E:$E)</f>
        <v>30</v>
      </c>
      <c r="N6478">
        <v>8.5500000000000007E-2</v>
      </c>
    </row>
    <row r="6479" spans="1:14">
      <c r="A6479" t="s">
        <v>224</v>
      </c>
      <c r="B6479" t="str">
        <f>_xlfn.XLOOKUP(A6479,'[1]Tissue Data'!$A:$A,'[1]Tissue Data'!$C:$C)</f>
        <v>Spill</v>
      </c>
      <c r="C6479" s="2">
        <f>_xlfn.XLOOKUP(A6479,'[1]Tissue Data'!$A:$A,'[1]Tissue Data'!$D:$D)</f>
        <v>44393</v>
      </c>
      <c r="D6479" s="2" t="str">
        <f>_xlfn.XLOOKUP(A6479,'[1]Tissue Data'!$A:$A,'[1]Tissue Data'!$F:$F)</f>
        <v>Margined Madtom</v>
      </c>
      <c r="E6479" t="str">
        <f>_xlfn.XLOOKUP(A6479,'[1]Tissue Data'!$A:$A,'[1]Tissue Data'!$H:$H)</f>
        <v>Noturus</v>
      </c>
      <c r="F6479" t="str">
        <f>_xlfn.XLOOKUP(A6479,'[1]Tissue Data'!$A:$A,'[1]Tissue Data'!$I:$I)</f>
        <v>insignis</v>
      </c>
      <c r="G6479" t="str">
        <f>_xlfn.XLOOKUP(A6479,'[1]Tissue Data'!$A:$A,'[1]Tissue Data'!J:J)</f>
        <v>U</v>
      </c>
      <c r="H6479" t="str">
        <f>_xlfn.XLOOKUP(A6479,'[1]Tissue Data'!$A:$A,'[1]Tissue Data'!K:K)</f>
        <v>Whole Body</v>
      </c>
      <c r="I6479">
        <f>_xlfn.XLOOKUP(A6479,'[1]Tissue Data'!$A:$A,'[1]Tissue Data'!L:L)</f>
        <v>7</v>
      </c>
      <c r="J6479">
        <f>_xlfn.XLOOKUP(A6479,'[1]Tissue Data'!$A:$A,'[1]Tissue Data'!M:M)</f>
        <v>3.22</v>
      </c>
      <c r="K6479" t="s">
        <v>39</v>
      </c>
      <c r="L6479" t="str">
        <f>_xlfn.XLOOKUP(K6479,[2]analyte_order!$B:$B,[2]analyte_order!$C:$C)</f>
        <v>4151-50-2</v>
      </c>
      <c r="M6479">
        <f>_xlfn.XLOOKUP(L6479,[2]analyte_order!$C:$C,[2]analyte_order!$E:$E)</f>
        <v>31</v>
      </c>
      <c r="N6479">
        <v>0.2225</v>
      </c>
    </row>
    <row r="6480" spans="1:14">
      <c r="A6480" t="s">
        <v>224</v>
      </c>
      <c r="B6480" t="str">
        <f>_xlfn.XLOOKUP(A6480,'[1]Tissue Data'!$A:$A,'[1]Tissue Data'!$C:$C)</f>
        <v>Spill</v>
      </c>
      <c r="C6480" s="2">
        <f>_xlfn.XLOOKUP(A6480,'[1]Tissue Data'!$A:$A,'[1]Tissue Data'!$D:$D)</f>
        <v>44393</v>
      </c>
      <c r="D6480" s="2" t="str">
        <f>_xlfn.XLOOKUP(A6480,'[1]Tissue Data'!$A:$A,'[1]Tissue Data'!$F:$F)</f>
        <v>Margined Madtom</v>
      </c>
      <c r="E6480" t="str">
        <f>_xlfn.XLOOKUP(A6480,'[1]Tissue Data'!$A:$A,'[1]Tissue Data'!$H:$H)</f>
        <v>Noturus</v>
      </c>
      <c r="F6480" t="str">
        <f>_xlfn.XLOOKUP(A6480,'[1]Tissue Data'!$A:$A,'[1]Tissue Data'!$I:$I)</f>
        <v>insignis</v>
      </c>
      <c r="G6480" t="str">
        <f>_xlfn.XLOOKUP(A6480,'[1]Tissue Data'!$A:$A,'[1]Tissue Data'!J:J)</f>
        <v>U</v>
      </c>
      <c r="H6480" t="str">
        <f>_xlfn.XLOOKUP(A6480,'[1]Tissue Data'!$A:$A,'[1]Tissue Data'!K:K)</f>
        <v>Whole Body</v>
      </c>
      <c r="I6480">
        <f>_xlfn.XLOOKUP(A6480,'[1]Tissue Data'!$A:$A,'[1]Tissue Data'!L:L)</f>
        <v>7</v>
      </c>
      <c r="J6480">
        <f>_xlfn.XLOOKUP(A6480,'[1]Tissue Data'!$A:$A,'[1]Tissue Data'!M:M)</f>
        <v>3.22</v>
      </c>
      <c r="K6480" t="s">
        <v>40</v>
      </c>
      <c r="L6480" t="str">
        <f>_xlfn.XLOOKUP(K6480,[2]analyte_order!$B:$B,[2]analyte_order!$C:$C)</f>
        <v>2806-24-8</v>
      </c>
      <c r="M6480">
        <f>_xlfn.XLOOKUP(L6480,[2]analyte_order!$C:$C,[2]analyte_order!$E:$E)</f>
        <v>29</v>
      </c>
      <c r="N6480">
        <v>0.2225</v>
      </c>
    </row>
    <row r="6481" spans="1:14">
      <c r="A6481" t="s">
        <v>224</v>
      </c>
      <c r="B6481" t="str">
        <f>_xlfn.XLOOKUP(A6481,'[1]Tissue Data'!$A:$A,'[1]Tissue Data'!$C:$C)</f>
        <v>Spill</v>
      </c>
      <c r="C6481" s="2">
        <f>_xlfn.XLOOKUP(A6481,'[1]Tissue Data'!$A:$A,'[1]Tissue Data'!$D:$D)</f>
        <v>44393</v>
      </c>
      <c r="D6481" s="2" t="str">
        <f>_xlfn.XLOOKUP(A6481,'[1]Tissue Data'!$A:$A,'[1]Tissue Data'!$F:$F)</f>
        <v>Margined Madtom</v>
      </c>
      <c r="E6481" t="str">
        <f>_xlfn.XLOOKUP(A6481,'[1]Tissue Data'!$A:$A,'[1]Tissue Data'!$H:$H)</f>
        <v>Noturus</v>
      </c>
      <c r="F6481" t="str">
        <f>_xlfn.XLOOKUP(A6481,'[1]Tissue Data'!$A:$A,'[1]Tissue Data'!$I:$I)</f>
        <v>insignis</v>
      </c>
      <c r="G6481" t="str">
        <f>_xlfn.XLOOKUP(A6481,'[1]Tissue Data'!$A:$A,'[1]Tissue Data'!J:J)</f>
        <v>U</v>
      </c>
      <c r="H6481" t="str">
        <f>_xlfn.XLOOKUP(A6481,'[1]Tissue Data'!$A:$A,'[1]Tissue Data'!K:K)</f>
        <v>Whole Body</v>
      </c>
      <c r="I6481">
        <f>_xlfn.XLOOKUP(A6481,'[1]Tissue Data'!$A:$A,'[1]Tissue Data'!L:L)</f>
        <v>7</v>
      </c>
      <c r="J6481">
        <f>_xlfn.XLOOKUP(A6481,'[1]Tissue Data'!$A:$A,'[1]Tissue Data'!M:M)</f>
        <v>3.22</v>
      </c>
      <c r="K6481" t="s">
        <v>41</v>
      </c>
      <c r="L6481" t="str">
        <f>_xlfn.XLOOKUP(K6481,[2]analyte_order!$B:$B,[2]analyte_order!$C:$C)</f>
        <v>2355-31-9</v>
      </c>
      <c r="M6481">
        <f>_xlfn.XLOOKUP(L6481,[2]analyte_order!$C:$C,[2]analyte_order!$E:$E)</f>
        <v>26</v>
      </c>
      <c r="N6481">
        <v>0.112</v>
      </c>
    </row>
    <row r="6482" spans="1:14">
      <c r="A6482" t="s">
        <v>224</v>
      </c>
      <c r="B6482" t="str">
        <f>_xlfn.XLOOKUP(A6482,'[1]Tissue Data'!$A:$A,'[1]Tissue Data'!$C:$C)</f>
        <v>Spill</v>
      </c>
      <c r="C6482" s="2">
        <f>_xlfn.XLOOKUP(A6482,'[1]Tissue Data'!$A:$A,'[1]Tissue Data'!$D:$D)</f>
        <v>44393</v>
      </c>
      <c r="D6482" s="2" t="str">
        <f>_xlfn.XLOOKUP(A6482,'[1]Tissue Data'!$A:$A,'[1]Tissue Data'!$F:$F)</f>
        <v>Margined Madtom</v>
      </c>
      <c r="E6482" t="str">
        <f>_xlfn.XLOOKUP(A6482,'[1]Tissue Data'!$A:$A,'[1]Tissue Data'!$H:$H)</f>
        <v>Noturus</v>
      </c>
      <c r="F6482" t="str">
        <f>_xlfn.XLOOKUP(A6482,'[1]Tissue Data'!$A:$A,'[1]Tissue Data'!$I:$I)</f>
        <v>insignis</v>
      </c>
      <c r="G6482" t="str">
        <f>_xlfn.XLOOKUP(A6482,'[1]Tissue Data'!$A:$A,'[1]Tissue Data'!J:J)</f>
        <v>U</v>
      </c>
      <c r="H6482" t="str">
        <f>_xlfn.XLOOKUP(A6482,'[1]Tissue Data'!$A:$A,'[1]Tissue Data'!K:K)</f>
        <v>Whole Body</v>
      </c>
      <c r="I6482">
        <f>_xlfn.XLOOKUP(A6482,'[1]Tissue Data'!$A:$A,'[1]Tissue Data'!L:L)</f>
        <v>7</v>
      </c>
      <c r="J6482">
        <f>_xlfn.XLOOKUP(A6482,'[1]Tissue Data'!$A:$A,'[1]Tissue Data'!M:M)</f>
        <v>3.22</v>
      </c>
      <c r="K6482" t="s">
        <v>42</v>
      </c>
      <c r="L6482" t="str">
        <f>_xlfn.XLOOKUP(K6482,[2]analyte_order!$B:$B,[2]analyte_order!$C:$C)</f>
        <v>2991-50-6</v>
      </c>
      <c r="M6482">
        <f>_xlfn.XLOOKUP(L6482,[2]analyte_order!$C:$C,[2]analyte_order!$E:$E)</f>
        <v>27</v>
      </c>
      <c r="N6482">
        <v>0.1115</v>
      </c>
    </row>
    <row r="6483" spans="1:14">
      <c r="A6483" t="s">
        <v>224</v>
      </c>
      <c r="B6483" t="str">
        <f>_xlfn.XLOOKUP(A6483,'[1]Tissue Data'!$A:$A,'[1]Tissue Data'!$C:$C)</f>
        <v>Spill</v>
      </c>
      <c r="C6483" s="2">
        <f>_xlfn.XLOOKUP(A6483,'[1]Tissue Data'!$A:$A,'[1]Tissue Data'!$D:$D)</f>
        <v>44393</v>
      </c>
      <c r="D6483" s="2" t="str">
        <f>_xlfn.XLOOKUP(A6483,'[1]Tissue Data'!$A:$A,'[1]Tissue Data'!$F:$F)</f>
        <v>Margined Madtom</v>
      </c>
      <c r="E6483" t="str">
        <f>_xlfn.XLOOKUP(A6483,'[1]Tissue Data'!$A:$A,'[1]Tissue Data'!$H:$H)</f>
        <v>Noturus</v>
      </c>
      <c r="F6483" t="str">
        <f>_xlfn.XLOOKUP(A6483,'[1]Tissue Data'!$A:$A,'[1]Tissue Data'!$I:$I)</f>
        <v>insignis</v>
      </c>
      <c r="G6483" t="str">
        <f>_xlfn.XLOOKUP(A6483,'[1]Tissue Data'!$A:$A,'[1]Tissue Data'!J:J)</f>
        <v>U</v>
      </c>
      <c r="H6483" t="str">
        <f>_xlfn.XLOOKUP(A6483,'[1]Tissue Data'!$A:$A,'[1]Tissue Data'!K:K)</f>
        <v>Whole Body</v>
      </c>
      <c r="I6483">
        <f>_xlfn.XLOOKUP(A6483,'[1]Tissue Data'!$A:$A,'[1]Tissue Data'!L:L)</f>
        <v>7</v>
      </c>
      <c r="J6483">
        <f>_xlfn.XLOOKUP(A6483,'[1]Tissue Data'!$A:$A,'[1]Tissue Data'!M:M)</f>
        <v>3.22</v>
      </c>
      <c r="K6483" t="s">
        <v>43</v>
      </c>
      <c r="L6483" t="str">
        <f>_xlfn.XLOOKUP(K6483,[2]analyte_order!$B:$B,[2]analyte_order!$C:$C)</f>
        <v>757124-72-4</v>
      </c>
      <c r="M6483">
        <f>_xlfn.XLOOKUP(L6483,[2]analyte_order!$C:$C,[2]analyte_order!$E:$E)</f>
        <v>22</v>
      </c>
      <c r="N6483">
        <v>0.1115</v>
      </c>
    </row>
    <row r="6484" spans="1:14">
      <c r="A6484" t="s">
        <v>224</v>
      </c>
      <c r="B6484" t="str">
        <f>_xlfn.XLOOKUP(A6484,'[1]Tissue Data'!$A:$A,'[1]Tissue Data'!$C:$C)</f>
        <v>Spill</v>
      </c>
      <c r="C6484" s="2">
        <f>_xlfn.XLOOKUP(A6484,'[1]Tissue Data'!$A:$A,'[1]Tissue Data'!$D:$D)</f>
        <v>44393</v>
      </c>
      <c r="D6484" s="2" t="str">
        <f>_xlfn.XLOOKUP(A6484,'[1]Tissue Data'!$A:$A,'[1]Tissue Data'!$F:$F)</f>
        <v>Margined Madtom</v>
      </c>
      <c r="E6484" t="str">
        <f>_xlfn.XLOOKUP(A6484,'[1]Tissue Data'!$A:$A,'[1]Tissue Data'!$H:$H)</f>
        <v>Noturus</v>
      </c>
      <c r="F6484" t="str">
        <f>_xlfn.XLOOKUP(A6484,'[1]Tissue Data'!$A:$A,'[1]Tissue Data'!$I:$I)</f>
        <v>insignis</v>
      </c>
      <c r="G6484" t="str">
        <f>_xlfn.XLOOKUP(A6484,'[1]Tissue Data'!$A:$A,'[1]Tissue Data'!J:J)</f>
        <v>U</v>
      </c>
      <c r="H6484" t="str">
        <f>_xlfn.XLOOKUP(A6484,'[1]Tissue Data'!$A:$A,'[1]Tissue Data'!K:K)</f>
        <v>Whole Body</v>
      </c>
      <c r="I6484">
        <f>_xlfn.XLOOKUP(A6484,'[1]Tissue Data'!$A:$A,'[1]Tissue Data'!L:L)</f>
        <v>7</v>
      </c>
      <c r="J6484">
        <f>_xlfn.XLOOKUP(A6484,'[1]Tissue Data'!$A:$A,'[1]Tissue Data'!M:M)</f>
        <v>3.22</v>
      </c>
      <c r="K6484" t="s">
        <v>44</v>
      </c>
      <c r="L6484" t="str">
        <f>_xlfn.XLOOKUP(K6484,[2]analyte_order!$B:$B,[2]analyte_order!$C:$C)</f>
        <v>27619-97-2</v>
      </c>
      <c r="M6484">
        <f>_xlfn.XLOOKUP(L6484,[2]analyte_order!$C:$C,[2]analyte_order!$E:$E)</f>
        <v>23</v>
      </c>
      <c r="N6484">
        <v>0.67700000000000005</v>
      </c>
    </row>
    <row r="6485" spans="1:14">
      <c r="A6485" t="s">
        <v>224</v>
      </c>
      <c r="B6485" t="str">
        <f>_xlfn.XLOOKUP(A6485,'[1]Tissue Data'!$A:$A,'[1]Tissue Data'!$C:$C)</f>
        <v>Spill</v>
      </c>
      <c r="C6485" s="2">
        <f>_xlfn.XLOOKUP(A6485,'[1]Tissue Data'!$A:$A,'[1]Tissue Data'!$D:$D)</f>
        <v>44393</v>
      </c>
      <c r="D6485" s="2" t="str">
        <f>_xlfn.XLOOKUP(A6485,'[1]Tissue Data'!$A:$A,'[1]Tissue Data'!$F:$F)</f>
        <v>Margined Madtom</v>
      </c>
      <c r="E6485" t="str">
        <f>_xlfn.XLOOKUP(A6485,'[1]Tissue Data'!$A:$A,'[1]Tissue Data'!$H:$H)</f>
        <v>Noturus</v>
      </c>
      <c r="F6485" t="str">
        <f>_xlfn.XLOOKUP(A6485,'[1]Tissue Data'!$A:$A,'[1]Tissue Data'!$I:$I)</f>
        <v>insignis</v>
      </c>
      <c r="G6485" t="str">
        <f>_xlfn.XLOOKUP(A6485,'[1]Tissue Data'!$A:$A,'[1]Tissue Data'!J:J)</f>
        <v>U</v>
      </c>
      <c r="H6485" t="str">
        <f>_xlfn.XLOOKUP(A6485,'[1]Tissue Data'!$A:$A,'[1]Tissue Data'!K:K)</f>
        <v>Whole Body</v>
      </c>
      <c r="I6485">
        <f>_xlfn.XLOOKUP(A6485,'[1]Tissue Data'!$A:$A,'[1]Tissue Data'!L:L)</f>
        <v>7</v>
      </c>
      <c r="J6485">
        <f>_xlfn.XLOOKUP(A6485,'[1]Tissue Data'!$A:$A,'[1]Tissue Data'!M:M)</f>
        <v>3.22</v>
      </c>
      <c r="K6485" t="s">
        <v>45</v>
      </c>
      <c r="L6485" t="str">
        <f>_xlfn.XLOOKUP(K6485,[2]analyte_order!$B:$B,[2]analyte_order!$C:$C)</f>
        <v>39108-34-4</v>
      </c>
      <c r="M6485">
        <f>_xlfn.XLOOKUP(L6485,[2]analyte_order!$C:$C,[2]analyte_order!$E:$E)</f>
        <v>24</v>
      </c>
      <c r="N6485">
        <v>14.1</v>
      </c>
    </row>
    <row r="6486" spans="1:14">
      <c r="A6486" t="s">
        <v>224</v>
      </c>
      <c r="B6486" t="str">
        <f>_xlfn.XLOOKUP(A6486,'[1]Tissue Data'!$A:$A,'[1]Tissue Data'!$C:$C)</f>
        <v>Spill</v>
      </c>
      <c r="C6486" s="2">
        <f>_xlfn.XLOOKUP(A6486,'[1]Tissue Data'!$A:$A,'[1]Tissue Data'!$D:$D)</f>
        <v>44393</v>
      </c>
      <c r="D6486" s="2" t="str">
        <f>_xlfn.XLOOKUP(A6486,'[1]Tissue Data'!$A:$A,'[1]Tissue Data'!$F:$F)</f>
        <v>Margined Madtom</v>
      </c>
      <c r="E6486" t="str">
        <f>_xlfn.XLOOKUP(A6486,'[1]Tissue Data'!$A:$A,'[1]Tissue Data'!$H:$H)</f>
        <v>Noturus</v>
      </c>
      <c r="F6486" t="str">
        <f>_xlfn.XLOOKUP(A6486,'[1]Tissue Data'!$A:$A,'[1]Tissue Data'!$I:$I)</f>
        <v>insignis</v>
      </c>
      <c r="G6486" t="str">
        <f>_xlfn.XLOOKUP(A6486,'[1]Tissue Data'!$A:$A,'[1]Tissue Data'!J:J)</f>
        <v>U</v>
      </c>
      <c r="H6486" t="str">
        <f>_xlfn.XLOOKUP(A6486,'[1]Tissue Data'!$A:$A,'[1]Tissue Data'!K:K)</f>
        <v>Whole Body</v>
      </c>
      <c r="I6486">
        <f>_xlfn.XLOOKUP(A6486,'[1]Tissue Data'!$A:$A,'[1]Tissue Data'!L:L)</f>
        <v>7</v>
      </c>
      <c r="J6486">
        <f>_xlfn.XLOOKUP(A6486,'[1]Tissue Data'!$A:$A,'[1]Tissue Data'!M:M)</f>
        <v>3.22</v>
      </c>
      <c r="K6486" t="s">
        <v>46</v>
      </c>
      <c r="L6486" t="str">
        <f>_xlfn.XLOOKUP(K6486,[2]analyte_order!$B:$B,[2]analyte_order!$C:$C)</f>
        <v>120226-60-0</v>
      </c>
      <c r="M6486">
        <f>_xlfn.XLOOKUP(L6486,[2]analyte_order!$C:$C,[2]analyte_order!$E:$E)</f>
        <v>25</v>
      </c>
      <c r="N6486">
        <v>0.2225</v>
      </c>
    </row>
    <row r="6487" spans="1:14">
      <c r="A6487" t="s">
        <v>224</v>
      </c>
      <c r="B6487" t="str">
        <f>_xlfn.XLOOKUP(A6487,'[1]Tissue Data'!$A:$A,'[1]Tissue Data'!$C:$C)</f>
        <v>Spill</v>
      </c>
      <c r="C6487" s="2">
        <f>_xlfn.XLOOKUP(A6487,'[1]Tissue Data'!$A:$A,'[1]Tissue Data'!$D:$D)</f>
        <v>44393</v>
      </c>
      <c r="D6487" s="2" t="str">
        <f>_xlfn.XLOOKUP(A6487,'[1]Tissue Data'!$A:$A,'[1]Tissue Data'!$F:$F)</f>
        <v>Margined Madtom</v>
      </c>
      <c r="E6487" t="str">
        <f>_xlfn.XLOOKUP(A6487,'[1]Tissue Data'!$A:$A,'[1]Tissue Data'!$H:$H)</f>
        <v>Noturus</v>
      </c>
      <c r="F6487" t="str">
        <f>_xlfn.XLOOKUP(A6487,'[1]Tissue Data'!$A:$A,'[1]Tissue Data'!$I:$I)</f>
        <v>insignis</v>
      </c>
      <c r="G6487" t="str">
        <f>_xlfn.XLOOKUP(A6487,'[1]Tissue Data'!$A:$A,'[1]Tissue Data'!J:J)</f>
        <v>U</v>
      </c>
      <c r="H6487" t="str">
        <f>_xlfn.XLOOKUP(A6487,'[1]Tissue Data'!$A:$A,'[1]Tissue Data'!K:K)</f>
        <v>Whole Body</v>
      </c>
      <c r="I6487">
        <f>_xlfn.XLOOKUP(A6487,'[1]Tissue Data'!$A:$A,'[1]Tissue Data'!L:L)</f>
        <v>7</v>
      </c>
      <c r="J6487">
        <f>_xlfn.XLOOKUP(A6487,'[1]Tissue Data'!$A:$A,'[1]Tissue Data'!M:M)</f>
        <v>3.22</v>
      </c>
      <c r="K6487" t="s">
        <v>47</v>
      </c>
      <c r="L6487" t="str">
        <f>_xlfn.XLOOKUP(K6487,[2]analyte_order!$B:$B,[2]analyte_order!$C:$C)</f>
        <v>356-02-5</v>
      </c>
      <c r="M6487">
        <f>_xlfn.XLOOKUP(L6487,[2]analyte_order!$C:$C,[2]analyte_order!$E:$E)</f>
        <v>38</v>
      </c>
      <c r="N6487">
        <v>0.2225</v>
      </c>
    </row>
    <row r="6488" spans="1:14">
      <c r="A6488" t="s">
        <v>224</v>
      </c>
      <c r="B6488" t="str">
        <f>_xlfn.XLOOKUP(A6488,'[1]Tissue Data'!$A:$A,'[1]Tissue Data'!$C:$C)</f>
        <v>Spill</v>
      </c>
      <c r="C6488" s="2">
        <f>_xlfn.XLOOKUP(A6488,'[1]Tissue Data'!$A:$A,'[1]Tissue Data'!$D:$D)</f>
        <v>44393</v>
      </c>
      <c r="D6488" s="2" t="str">
        <f>_xlfn.XLOOKUP(A6488,'[1]Tissue Data'!$A:$A,'[1]Tissue Data'!$F:$F)</f>
        <v>Margined Madtom</v>
      </c>
      <c r="E6488" t="str">
        <f>_xlfn.XLOOKUP(A6488,'[1]Tissue Data'!$A:$A,'[1]Tissue Data'!$H:$H)</f>
        <v>Noturus</v>
      </c>
      <c r="F6488" t="str">
        <f>_xlfn.XLOOKUP(A6488,'[1]Tissue Data'!$A:$A,'[1]Tissue Data'!$I:$I)</f>
        <v>insignis</v>
      </c>
      <c r="G6488" t="str">
        <f>_xlfn.XLOOKUP(A6488,'[1]Tissue Data'!$A:$A,'[1]Tissue Data'!J:J)</f>
        <v>U</v>
      </c>
      <c r="H6488" t="str">
        <f>_xlfn.XLOOKUP(A6488,'[1]Tissue Data'!$A:$A,'[1]Tissue Data'!K:K)</f>
        <v>Whole Body</v>
      </c>
      <c r="I6488">
        <f>_xlfn.XLOOKUP(A6488,'[1]Tissue Data'!$A:$A,'[1]Tissue Data'!L:L)</f>
        <v>7</v>
      </c>
      <c r="J6488">
        <f>_xlfn.XLOOKUP(A6488,'[1]Tissue Data'!$A:$A,'[1]Tissue Data'!M:M)</f>
        <v>3.22</v>
      </c>
      <c r="K6488" t="s">
        <v>48</v>
      </c>
      <c r="L6488" t="str">
        <f>_xlfn.XLOOKUP(K6488,[2]analyte_order!$B:$B,[2]analyte_order!$C:$C)</f>
        <v>914637-49-3</v>
      </c>
      <c r="M6488">
        <f>_xlfn.XLOOKUP(L6488,[2]analyte_order!$C:$C,[2]analyte_order!$E:$E)</f>
        <v>39</v>
      </c>
      <c r="N6488">
        <v>6.01</v>
      </c>
    </row>
    <row r="6489" spans="1:14">
      <c r="A6489" t="s">
        <v>224</v>
      </c>
      <c r="B6489" t="str">
        <f>_xlfn.XLOOKUP(A6489,'[1]Tissue Data'!$A:$A,'[1]Tissue Data'!$C:$C)</f>
        <v>Spill</v>
      </c>
      <c r="C6489" s="2">
        <f>_xlfn.XLOOKUP(A6489,'[1]Tissue Data'!$A:$A,'[1]Tissue Data'!$D:$D)</f>
        <v>44393</v>
      </c>
      <c r="D6489" s="2" t="str">
        <f>_xlfn.XLOOKUP(A6489,'[1]Tissue Data'!$A:$A,'[1]Tissue Data'!$F:$F)</f>
        <v>Margined Madtom</v>
      </c>
      <c r="E6489" t="str">
        <f>_xlfn.XLOOKUP(A6489,'[1]Tissue Data'!$A:$A,'[1]Tissue Data'!$H:$H)</f>
        <v>Noturus</v>
      </c>
      <c r="F6489" t="str">
        <f>_xlfn.XLOOKUP(A6489,'[1]Tissue Data'!$A:$A,'[1]Tissue Data'!$I:$I)</f>
        <v>insignis</v>
      </c>
      <c r="G6489" t="str">
        <f>_xlfn.XLOOKUP(A6489,'[1]Tissue Data'!$A:$A,'[1]Tissue Data'!J:J)</f>
        <v>U</v>
      </c>
      <c r="H6489" t="str">
        <f>_xlfn.XLOOKUP(A6489,'[1]Tissue Data'!$A:$A,'[1]Tissue Data'!K:K)</f>
        <v>Whole Body</v>
      </c>
      <c r="I6489">
        <f>_xlfn.XLOOKUP(A6489,'[1]Tissue Data'!$A:$A,'[1]Tissue Data'!L:L)</f>
        <v>7</v>
      </c>
      <c r="J6489">
        <f>_xlfn.XLOOKUP(A6489,'[1]Tissue Data'!$A:$A,'[1]Tissue Data'!M:M)</f>
        <v>3.22</v>
      </c>
      <c r="K6489" t="s">
        <v>49</v>
      </c>
      <c r="L6489" t="str">
        <f>_xlfn.XLOOKUP(K6489,[2]analyte_order!$B:$B,[2]analyte_order!$C:$C)</f>
        <v>812-70-4</v>
      </c>
      <c r="M6489">
        <f>_xlfn.XLOOKUP(L6489,[2]analyte_order!$C:$C,[2]analyte_order!$E:$E)</f>
        <v>40</v>
      </c>
      <c r="N6489">
        <v>33.4</v>
      </c>
    </row>
    <row r="6490" spans="1:14">
      <c r="A6490" t="s">
        <v>224</v>
      </c>
      <c r="B6490" t="str">
        <f>_xlfn.XLOOKUP(A6490,'[1]Tissue Data'!$A:$A,'[1]Tissue Data'!$C:$C)</f>
        <v>Spill</v>
      </c>
      <c r="C6490" s="2">
        <f>_xlfn.XLOOKUP(A6490,'[1]Tissue Data'!$A:$A,'[1]Tissue Data'!$D:$D)</f>
        <v>44393</v>
      </c>
      <c r="D6490" s="2" t="str">
        <f>_xlfn.XLOOKUP(A6490,'[1]Tissue Data'!$A:$A,'[1]Tissue Data'!$F:$F)</f>
        <v>Margined Madtom</v>
      </c>
      <c r="E6490" t="str">
        <f>_xlfn.XLOOKUP(A6490,'[1]Tissue Data'!$A:$A,'[1]Tissue Data'!$H:$H)</f>
        <v>Noturus</v>
      </c>
      <c r="F6490" t="str">
        <f>_xlfn.XLOOKUP(A6490,'[1]Tissue Data'!$A:$A,'[1]Tissue Data'!$I:$I)</f>
        <v>insignis</v>
      </c>
      <c r="G6490" t="str">
        <f>_xlfn.XLOOKUP(A6490,'[1]Tissue Data'!$A:$A,'[1]Tissue Data'!J:J)</f>
        <v>U</v>
      </c>
      <c r="H6490" t="str">
        <f>_xlfn.XLOOKUP(A6490,'[1]Tissue Data'!$A:$A,'[1]Tissue Data'!K:K)</f>
        <v>Whole Body</v>
      </c>
      <c r="I6490">
        <f>_xlfn.XLOOKUP(A6490,'[1]Tissue Data'!$A:$A,'[1]Tissue Data'!L:L)</f>
        <v>7</v>
      </c>
      <c r="J6490">
        <f>_xlfn.XLOOKUP(A6490,'[1]Tissue Data'!$A:$A,'[1]Tissue Data'!M:M)</f>
        <v>3.22</v>
      </c>
      <c r="K6490" t="s">
        <v>50</v>
      </c>
      <c r="L6490" t="str">
        <f>_xlfn.XLOOKUP(K6490,[2]analyte_order!$B:$B,[2]analyte_order!$C:$C)</f>
        <v>53826-12-3</v>
      </c>
      <c r="M6490">
        <f>_xlfn.XLOOKUP(L6490,[2]analyte_order!$C:$C,[2]analyte_order!$E:$E)</f>
        <v>41</v>
      </c>
      <c r="N6490">
        <v>0.2225</v>
      </c>
    </row>
    <row r="6491" spans="1:14">
      <c r="A6491" t="s">
        <v>224</v>
      </c>
      <c r="B6491" t="str">
        <f>_xlfn.XLOOKUP(A6491,'[1]Tissue Data'!$A:$A,'[1]Tissue Data'!$C:$C)</f>
        <v>Spill</v>
      </c>
      <c r="C6491" s="2">
        <f>_xlfn.XLOOKUP(A6491,'[1]Tissue Data'!$A:$A,'[1]Tissue Data'!$D:$D)</f>
        <v>44393</v>
      </c>
      <c r="D6491" s="2" t="str">
        <f>_xlfn.XLOOKUP(A6491,'[1]Tissue Data'!$A:$A,'[1]Tissue Data'!$F:$F)</f>
        <v>Margined Madtom</v>
      </c>
      <c r="E6491" t="str">
        <f>_xlfn.XLOOKUP(A6491,'[1]Tissue Data'!$A:$A,'[1]Tissue Data'!$H:$H)</f>
        <v>Noturus</v>
      </c>
      <c r="F6491" t="str">
        <f>_xlfn.XLOOKUP(A6491,'[1]Tissue Data'!$A:$A,'[1]Tissue Data'!$I:$I)</f>
        <v>insignis</v>
      </c>
      <c r="G6491" t="str">
        <f>_xlfn.XLOOKUP(A6491,'[1]Tissue Data'!$A:$A,'[1]Tissue Data'!J:J)</f>
        <v>U</v>
      </c>
      <c r="H6491" t="str">
        <f>_xlfn.XLOOKUP(A6491,'[1]Tissue Data'!$A:$A,'[1]Tissue Data'!K:K)</f>
        <v>Whole Body</v>
      </c>
      <c r="I6491">
        <f>_xlfn.XLOOKUP(A6491,'[1]Tissue Data'!$A:$A,'[1]Tissue Data'!L:L)</f>
        <v>7</v>
      </c>
      <c r="J6491">
        <f>_xlfn.XLOOKUP(A6491,'[1]Tissue Data'!$A:$A,'[1]Tissue Data'!M:M)</f>
        <v>3.22</v>
      </c>
      <c r="K6491" t="s">
        <v>51</v>
      </c>
      <c r="L6491" t="str">
        <f>_xlfn.XLOOKUP(K6491,[2]analyte_order!$B:$B,[2]analyte_order!$C:$C)</f>
        <v>27854-31-5</v>
      </c>
      <c r="M6491">
        <f>_xlfn.XLOOKUP(L6491,[2]analyte_order!$C:$C,[2]analyte_order!$E:$E)</f>
        <v>42</v>
      </c>
      <c r="N6491">
        <v>0.1115</v>
      </c>
    </row>
    <row r="6492" spans="1:14">
      <c r="A6492" t="s">
        <v>224</v>
      </c>
      <c r="B6492" t="str">
        <f>_xlfn.XLOOKUP(A6492,'[1]Tissue Data'!$A:$A,'[1]Tissue Data'!$C:$C)</f>
        <v>Spill</v>
      </c>
      <c r="C6492" s="2">
        <f>_xlfn.XLOOKUP(A6492,'[1]Tissue Data'!$A:$A,'[1]Tissue Data'!$D:$D)</f>
        <v>44393</v>
      </c>
      <c r="D6492" s="2" t="str">
        <f>_xlfn.XLOOKUP(A6492,'[1]Tissue Data'!$A:$A,'[1]Tissue Data'!$F:$F)</f>
        <v>Margined Madtom</v>
      </c>
      <c r="E6492" t="str">
        <f>_xlfn.XLOOKUP(A6492,'[1]Tissue Data'!$A:$A,'[1]Tissue Data'!$H:$H)</f>
        <v>Noturus</v>
      </c>
      <c r="F6492" t="str">
        <f>_xlfn.XLOOKUP(A6492,'[1]Tissue Data'!$A:$A,'[1]Tissue Data'!$I:$I)</f>
        <v>insignis</v>
      </c>
      <c r="G6492" t="str">
        <f>_xlfn.XLOOKUP(A6492,'[1]Tissue Data'!$A:$A,'[1]Tissue Data'!J:J)</f>
        <v>U</v>
      </c>
      <c r="H6492" t="str">
        <f>_xlfn.XLOOKUP(A6492,'[1]Tissue Data'!$A:$A,'[1]Tissue Data'!K:K)</f>
        <v>Whole Body</v>
      </c>
      <c r="I6492">
        <f>_xlfn.XLOOKUP(A6492,'[1]Tissue Data'!$A:$A,'[1]Tissue Data'!L:L)</f>
        <v>7</v>
      </c>
      <c r="J6492">
        <f>_xlfn.XLOOKUP(A6492,'[1]Tissue Data'!$A:$A,'[1]Tissue Data'!M:M)</f>
        <v>3.22</v>
      </c>
      <c r="K6492" t="s">
        <v>52</v>
      </c>
      <c r="L6492" t="str">
        <f>_xlfn.XLOOKUP(K6492,[2]analyte_order!$B:$B,[2]analyte_order!$C:$C)</f>
        <v>53826-13-4</v>
      </c>
      <c r="M6492">
        <f>_xlfn.XLOOKUP(L6492,[2]analyte_order!$C:$C,[2]analyte_order!$E:$E)</f>
        <v>43</v>
      </c>
      <c r="N6492">
        <v>0.2225</v>
      </c>
    </row>
    <row r="6493" spans="1:14">
      <c r="A6493" t="s">
        <v>224</v>
      </c>
      <c r="B6493" t="str">
        <f>_xlfn.XLOOKUP(A6493,'[1]Tissue Data'!$A:$A,'[1]Tissue Data'!$C:$C)</f>
        <v>Spill</v>
      </c>
      <c r="C6493" s="2">
        <f>_xlfn.XLOOKUP(A6493,'[1]Tissue Data'!$A:$A,'[1]Tissue Data'!$D:$D)</f>
        <v>44393</v>
      </c>
      <c r="D6493" s="2" t="str">
        <f>_xlfn.XLOOKUP(A6493,'[1]Tissue Data'!$A:$A,'[1]Tissue Data'!$F:$F)</f>
        <v>Margined Madtom</v>
      </c>
      <c r="E6493" t="str">
        <f>_xlfn.XLOOKUP(A6493,'[1]Tissue Data'!$A:$A,'[1]Tissue Data'!$H:$H)</f>
        <v>Noturus</v>
      </c>
      <c r="F6493" t="str">
        <f>_xlfn.XLOOKUP(A6493,'[1]Tissue Data'!$A:$A,'[1]Tissue Data'!$I:$I)</f>
        <v>insignis</v>
      </c>
      <c r="G6493" t="str">
        <f>_xlfn.XLOOKUP(A6493,'[1]Tissue Data'!$A:$A,'[1]Tissue Data'!J:J)</f>
        <v>U</v>
      </c>
      <c r="H6493" t="str">
        <f>_xlfn.XLOOKUP(A6493,'[1]Tissue Data'!$A:$A,'[1]Tissue Data'!K:K)</f>
        <v>Whole Body</v>
      </c>
      <c r="I6493">
        <f>_xlfn.XLOOKUP(A6493,'[1]Tissue Data'!$A:$A,'[1]Tissue Data'!L:L)</f>
        <v>7</v>
      </c>
      <c r="J6493">
        <f>_xlfn.XLOOKUP(A6493,'[1]Tissue Data'!$A:$A,'[1]Tissue Data'!M:M)</f>
        <v>3.22</v>
      </c>
      <c r="K6493" t="s">
        <v>53</v>
      </c>
      <c r="L6493" t="str">
        <f>_xlfn.XLOOKUP(K6493,[2]analyte_order!$B:$B,[2]analyte_order!$C:$C)</f>
        <v>161094-75-3</v>
      </c>
      <c r="M6493">
        <f>_xlfn.XLOOKUP(L6493,[2]analyte_order!$C:$C,[2]analyte_order!$E:$E)</f>
        <v>44</v>
      </c>
      <c r="N6493">
        <v>8.7499999999999994E-2</v>
      </c>
    </row>
    <row r="6494" spans="1:14">
      <c r="A6494" t="s">
        <v>224</v>
      </c>
      <c r="B6494" t="str">
        <f>_xlfn.XLOOKUP(A6494,'[1]Tissue Data'!$A:$A,'[1]Tissue Data'!$C:$C)</f>
        <v>Spill</v>
      </c>
      <c r="C6494" s="2">
        <f>_xlfn.XLOOKUP(A6494,'[1]Tissue Data'!$A:$A,'[1]Tissue Data'!$D:$D)</f>
        <v>44393</v>
      </c>
      <c r="D6494" s="2" t="str">
        <f>_xlfn.XLOOKUP(A6494,'[1]Tissue Data'!$A:$A,'[1]Tissue Data'!$F:$F)</f>
        <v>Margined Madtom</v>
      </c>
      <c r="E6494" t="str">
        <f>_xlfn.XLOOKUP(A6494,'[1]Tissue Data'!$A:$A,'[1]Tissue Data'!$H:$H)</f>
        <v>Noturus</v>
      </c>
      <c r="F6494" t="str">
        <f>_xlfn.XLOOKUP(A6494,'[1]Tissue Data'!$A:$A,'[1]Tissue Data'!$I:$I)</f>
        <v>insignis</v>
      </c>
      <c r="G6494" t="str">
        <f>_xlfn.XLOOKUP(A6494,'[1]Tissue Data'!$A:$A,'[1]Tissue Data'!J:J)</f>
        <v>U</v>
      </c>
      <c r="H6494" t="str">
        <f>_xlfn.XLOOKUP(A6494,'[1]Tissue Data'!$A:$A,'[1]Tissue Data'!K:K)</f>
        <v>Whole Body</v>
      </c>
      <c r="I6494">
        <f>_xlfn.XLOOKUP(A6494,'[1]Tissue Data'!$A:$A,'[1]Tissue Data'!L:L)</f>
        <v>7</v>
      </c>
      <c r="J6494">
        <f>_xlfn.XLOOKUP(A6494,'[1]Tissue Data'!$A:$A,'[1]Tissue Data'!M:M)</f>
        <v>3.22</v>
      </c>
      <c r="K6494" t="s">
        <v>54</v>
      </c>
      <c r="L6494" t="str">
        <f>_xlfn.XLOOKUP(K6494,[2]analyte_order!$B:$B,[2]analyte_order!$C:$C)</f>
        <v>70887-84-2</v>
      </c>
      <c r="M6494">
        <f>_xlfn.XLOOKUP(L6494,[2]analyte_order!$C:$C,[2]analyte_order!$E:$E)</f>
        <v>45</v>
      </c>
      <c r="N6494">
        <v>6.7500000000000004E-2</v>
      </c>
    </row>
    <row r="6495" spans="1:14">
      <c r="A6495" t="s">
        <v>224</v>
      </c>
      <c r="B6495" t="str">
        <f>_xlfn.XLOOKUP(A6495,'[1]Tissue Data'!$A:$A,'[1]Tissue Data'!$C:$C)</f>
        <v>Spill</v>
      </c>
      <c r="C6495" s="2">
        <f>_xlfn.XLOOKUP(A6495,'[1]Tissue Data'!$A:$A,'[1]Tissue Data'!$D:$D)</f>
        <v>44393</v>
      </c>
      <c r="D6495" s="2" t="str">
        <f>_xlfn.XLOOKUP(A6495,'[1]Tissue Data'!$A:$A,'[1]Tissue Data'!$F:$F)</f>
        <v>Margined Madtom</v>
      </c>
      <c r="E6495" t="str">
        <f>_xlfn.XLOOKUP(A6495,'[1]Tissue Data'!$A:$A,'[1]Tissue Data'!$H:$H)</f>
        <v>Noturus</v>
      </c>
      <c r="F6495" t="str">
        <f>_xlfn.XLOOKUP(A6495,'[1]Tissue Data'!$A:$A,'[1]Tissue Data'!$I:$I)</f>
        <v>insignis</v>
      </c>
      <c r="G6495" t="str">
        <f>_xlfn.XLOOKUP(A6495,'[1]Tissue Data'!$A:$A,'[1]Tissue Data'!J:J)</f>
        <v>U</v>
      </c>
      <c r="H6495" t="str">
        <f>_xlfn.XLOOKUP(A6495,'[1]Tissue Data'!$A:$A,'[1]Tissue Data'!K:K)</f>
        <v>Whole Body</v>
      </c>
      <c r="I6495">
        <f>_xlfn.XLOOKUP(A6495,'[1]Tissue Data'!$A:$A,'[1]Tissue Data'!L:L)</f>
        <v>7</v>
      </c>
      <c r="J6495">
        <f>_xlfn.XLOOKUP(A6495,'[1]Tissue Data'!$A:$A,'[1]Tissue Data'!M:M)</f>
        <v>3.22</v>
      </c>
      <c r="K6495" t="s">
        <v>55</v>
      </c>
      <c r="L6495" t="str">
        <f>_xlfn.XLOOKUP(K6495,[2]analyte_order!$B:$B,[2]analyte_order!$C:$C)</f>
        <v>919005-14-4</v>
      </c>
      <c r="M6495">
        <f>_xlfn.XLOOKUP(L6495,[2]analyte_order!$C:$C,[2]analyte_order!$E:$E)</f>
        <v>35</v>
      </c>
      <c r="N6495">
        <v>9.8000000000000004E-2</v>
      </c>
    </row>
    <row r="6496" spans="1:14">
      <c r="A6496" t="s">
        <v>224</v>
      </c>
      <c r="B6496" t="str">
        <f>_xlfn.XLOOKUP(A6496,'[1]Tissue Data'!$A:$A,'[1]Tissue Data'!$C:$C)</f>
        <v>Spill</v>
      </c>
      <c r="C6496" s="2">
        <f>_xlfn.XLOOKUP(A6496,'[1]Tissue Data'!$A:$A,'[1]Tissue Data'!$D:$D)</f>
        <v>44393</v>
      </c>
      <c r="D6496" s="2" t="str">
        <f>_xlfn.XLOOKUP(A6496,'[1]Tissue Data'!$A:$A,'[1]Tissue Data'!$F:$F)</f>
        <v>Margined Madtom</v>
      </c>
      <c r="E6496" t="str">
        <f>_xlfn.XLOOKUP(A6496,'[1]Tissue Data'!$A:$A,'[1]Tissue Data'!$H:$H)</f>
        <v>Noturus</v>
      </c>
      <c r="F6496" t="str">
        <f>_xlfn.XLOOKUP(A6496,'[1]Tissue Data'!$A:$A,'[1]Tissue Data'!$I:$I)</f>
        <v>insignis</v>
      </c>
      <c r="G6496" t="str">
        <f>_xlfn.XLOOKUP(A6496,'[1]Tissue Data'!$A:$A,'[1]Tissue Data'!J:J)</f>
        <v>U</v>
      </c>
      <c r="H6496" t="str">
        <f>_xlfn.XLOOKUP(A6496,'[1]Tissue Data'!$A:$A,'[1]Tissue Data'!K:K)</f>
        <v>Whole Body</v>
      </c>
      <c r="I6496">
        <f>_xlfn.XLOOKUP(A6496,'[1]Tissue Data'!$A:$A,'[1]Tissue Data'!L:L)</f>
        <v>7</v>
      </c>
      <c r="J6496">
        <f>_xlfn.XLOOKUP(A6496,'[1]Tissue Data'!$A:$A,'[1]Tissue Data'!M:M)</f>
        <v>3.22</v>
      </c>
      <c r="K6496" t="s">
        <v>56</v>
      </c>
      <c r="L6496" t="str">
        <f>_xlfn.XLOOKUP(K6496,[2]analyte_order!$B:$B,[2]analyte_order!$C:$C)</f>
        <v>756426-58-1</v>
      </c>
      <c r="M6496">
        <f>_xlfn.XLOOKUP(L6496,[2]analyte_order!$C:$C,[2]analyte_order!$E:$E)</f>
        <v>36</v>
      </c>
      <c r="N6496">
        <v>0.2225</v>
      </c>
    </row>
    <row r="6497" spans="1:14">
      <c r="A6497" t="s">
        <v>224</v>
      </c>
      <c r="B6497" t="str">
        <f>_xlfn.XLOOKUP(A6497,'[1]Tissue Data'!$A:$A,'[1]Tissue Data'!$C:$C)</f>
        <v>Spill</v>
      </c>
      <c r="C6497" s="2">
        <f>_xlfn.XLOOKUP(A6497,'[1]Tissue Data'!$A:$A,'[1]Tissue Data'!$D:$D)</f>
        <v>44393</v>
      </c>
      <c r="D6497" s="2" t="str">
        <f>_xlfn.XLOOKUP(A6497,'[1]Tissue Data'!$A:$A,'[1]Tissue Data'!$F:$F)</f>
        <v>Margined Madtom</v>
      </c>
      <c r="E6497" t="str">
        <f>_xlfn.XLOOKUP(A6497,'[1]Tissue Data'!$A:$A,'[1]Tissue Data'!$H:$H)</f>
        <v>Noturus</v>
      </c>
      <c r="F6497" t="str">
        <f>_xlfn.XLOOKUP(A6497,'[1]Tissue Data'!$A:$A,'[1]Tissue Data'!$I:$I)</f>
        <v>insignis</v>
      </c>
      <c r="G6497" t="str">
        <f>_xlfn.XLOOKUP(A6497,'[1]Tissue Data'!$A:$A,'[1]Tissue Data'!J:J)</f>
        <v>U</v>
      </c>
      <c r="H6497" t="str">
        <f>_xlfn.XLOOKUP(A6497,'[1]Tissue Data'!$A:$A,'[1]Tissue Data'!K:K)</f>
        <v>Whole Body</v>
      </c>
      <c r="I6497">
        <f>_xlfn.XLOOKUP(A6497,'[1]Tissue Data'!$A:$A,'[1]Tissue Data'!L:L)</f>
        <v>7</v>
      </c>
      <c r="J6497">
        <f>_xlfn.XLOOKUP(A6497,'[1]Tissue Data'!$A:$A,'[1]Tissue Data'!M:M)</f>
        <v>3.22</v>
      </c>
      <c r="K6497" t="s">
        <v>57</v>
      </c>
      <c r="L6497" t="str">
        <f>_xlfn.XLOOKUP(K6497,[2]analyte_order!$B:$B,[2]analyte_order!$C:$C)</f>
        <v>763051-92-9</v>
      </c>
      <c r="M6497">
        <f>_xlfn.XLOOKUP(L6497,[2]analyte_order!$C:$C,[2]analyte_order!$E:$E)</f>
        <v>37</v>
      </c>
      <c r="N6497">
        <v>0.2225</v>
      </c>
    </row>
    <row r="6498" spans="1:14">
      <c r="A6498" t="s">
        <v>224</v>
      </c>
      <c r="B6498" t="str">
        <f>_xlfn.XLOOKUP(A6498,'[1]Tissue Data'!$A:$A,'[1]Tissue Data'!$C:$C)</f>
        <v>Spill</v>
      </c>
      <c r="C6498" s="2">
        <f>_xlfn.XLOOKUP(A6498,'[1]Tissue Data'!$A:$A,'[1]Tissue Data'!$D:$D)</f>
        <v>44393</v>
      </c>
      <c r="D6498" s="2" t="str">
        <f>_xlfn.XLOOKUP(A6498,'[1]Tissue Data'!$A:$A,'[1]Tissue Data'!$F:$F)</f>
        <v>Margined Madtom</v>
      </c>
      <c r="E6498" t="str">
        <f>_xlfn.XLOOKUP(A6498,'[1]Tissue Data'!$A:$A,'[1]Tissue Data'!$H:$H)</f>
        <v>Noturus</v>
      </c>
      <c r="F6498" t="str">
        <f>_xlfn.XLOOKUP(A6498,'[1]Tissue Data'!$A:$A,'[1]Tissue Data'!$I:$I)</f>
        <v>insignis</v>
      </c>
      <c r="G6498" t="str">
        <f>_xlfn.XLOOKUP(A6498,'[1]Tissue Data'!$A:$A,'[1]Tissue Data'!J:J)</f>
        <v>U</v>
      </c>
      <c r="H6498" t="str">
        <f>_xlfn.XLOOKUP(A6498,'[1]Tissue Data'!$A:$A,'[1]Tissue Data'!K:K)</f>
        <v>Whole Body</v>
      </c>
      <c r="I6498">
        <f>_xlfn.XLOOKUP(A6498,'[1]Tissue Data'!$A:$A,'[1]Tissue Data'!L:L)</f>
        <v>7</v>
      </c>
      <c r="J6498">
        <f>_xlfn.XLOOKUP(A6498,'[1]Tissue Data'!$A:$A,'[1]Tissue Data'!M:M)</f>
        <v>3.22</v>
      </c>
      <c r="K6498" t="s">
        <v>58</v>
      </c>
      <c r="L6498" t="str">
        <f>_xlfn.XLOOKUP(K6498,[2]analyte_order!$B:$B,[2]analyte_order!$C:$C)</f>
        <v>13252-13-6</v>
      </c>
      <c r="M6498">
        <f>_xlfn.XLOOKUP(L6498,[2]analyte_order!$C:$C,[2]analyte_order!$E:$E)</f>
        <v>34</v>
      </c>
      <c r="N6498">
        <v>0.1595</v>
      </c>
    </row>
    <row r="6499" spans="1:14">
      <c r="A6499" t="s">
        <v>224</v>
      </c>
      <c r="B6499" t="str">
        <f>_xlfn.XLOOKUP(A6499,'[1]Tissue Data'!$A:$A,'[1]Tissue Data'!$C:$C)</f>
        <v>Spill</v>
      </c>
      <c r="C6499" s="2">
        <f>_xlfn.XLOOKUP(A6499,'[1]Tissue Data'!$A:$A,'[1]Tissue Data'!$D:$D)</f>
        <v>44393</v>
      </c>
      <c r="D6499" s="2" t="str">
        <f>_xlfn.XLOOKUP(A6499,'[1]Tissue Data'!$A:$A,'[1]Tissue Data'!$F:$F)</f>
        <v>Margined Madtom</v>
      </c>
      <c r="E6499" t="str">
        <f>_xlfn.XLOOKUP(A6499,'[1]Tissue Data'!$A:$A,'[1]Tissue Data'!$H:$H)</f>
        <v>Noturus</v>
      </c>
      <c r="F6499" t="str">
        <f>_xlfn.XLOOKUP(A6499,'[1]Tissue Data'!$A:$A,'[1]Tissue Data'!$I:$I)</f>
        <v>insignis</v>
      </c>
      <c r="G6499" t="str">
        <f>_xlfn.XLOOKUP(A6499,'[1]Tissue Data'!$A:$A,'[1]Tissue Data'!J:J)</f>
        <v>U</v>
      </c>
      <c r="H6499" t="str">
        <f>_xlfn.XLOOKUP(A6499,'[1]Tissue Data'!$A:$A,'[1]Tissue Data'!K:K)</f>
        <v>Whole Body</v>
      </c>
      <c r="I6499">
        <f>_xlfn.XLOOKUP(A6499,'[1]Tissue Data'!$A:$A,'[1]Tissue Data'!L:L)</f>
        <v>7</v>
      </c>
      <c r="J6499">
        <f>_xlfn.XLOOKUP(A6499,'[1]Tissue Data'!$A:$A,'[1]Tissue Data'!M:M)</f>
        <v>3.22</v>
      </c>
      <c r="K6499" t="s">
        <v>59</v>
      </c>
      <c r="L6499" t="str">
        <f>_xlfn.XLOOKUP(K6499,[2]analyte_order!$B:$B,[2]analyte_order!$C:$C)</f>
        <v>57677-95-9</v>
      </c>
      <c r="M6499">
        <f>_xlfn.XLOOKUP(L6499,[2]analyte_order!$C:$C,[2]analyte_order!$E:$E)</f>
        <v>46</v>
      </c>
      <c r="N6499">
        <v>0.2225</v>
      </c>
    </row>
    <row r="6500" spans="1:14">
      <c r="A6500" t="s">
        <v>224</v>
      </c>
      <c r="B6500" t="str">
        <f>_xlfn.XLOOKUP(A6500,'[1]Tissue Data'!$A:$A,'[1]Tissue Data'!$C:$C)</f>
        <v>Spill</v>
      </c>
      <c r="C6500" s="2">
        <f>_xlfn.XLOOKUP(A6500,'[1]Tissue Data'!$A:$A,'[1]Tissue Data'!$D:$D)</f>
        <v>44393</v>
      </c>
      <c r="D6500" s="2" t="str">
        <f>_xlfn.XLOOKUP(A6500,'[1]Tissue Data'!$A:$A,'[1]Tissue Data'!$F:$F)</f>
        <v>Margined Madtom</v>
      </c>
      <c r="E6500" t="str">
        <f>_xlfn.XLOOKUP(A6500,'[1]Tissue Data'!$A:$A,'[1]Tissue Data'!$H:$H)</f>
        <v>Noturus</v>
      </c>
      <c r="F6500" t="str">
        <f>_xlfn.XLOOKUP(A6500,'[1]Tissue Data'!$A:$A,'[1]Tissue Data'!$I:$I)</f>
        <v>insignis</v>
      </c>
      <c r="G6500" t="str">
        <f>_xlfn.XLOOKUP(A6500,'[1]Tissue Data'!$A:$A,'[1]Tissue Data'!J:J)</f>
        <v>U</v>
      </c>
      <c r="H6500" t="str">
        <f>_xlfn.XLOOKUP(A6500,'[1]Tissue Data'!$A:$A,'[1]Tissue Data'!K:K)</f>
        <v>Whole Body</v>
      </c>
      <c r="I6500">
        <f>_xlfn.XLOOKUP(A6500,'[1]Tissue Data'!$A:$A,'[1]Tissue Data'!L:L)</f>
        <v>7</v>
      </c>
      <c r="J6500">
        <f>_xlfn.XLOOKUP(A6500,'[1]Tissue Data'!$A:$A,'[1]Tissue Data'!M:M)</f>
        <v>3.22</v>
      </c>
      <c r="K6500" t="s">
        <v>60</v>
      </c>
      <c r="L6500" t="str">
        <f>_xlfn.XLOOKUP(K6500,[2]analyte_order!$B:$B,[2]analyte_order!$C:$C)</f>
        <v>678-41-1</v>
      </c>
      <c r="M6500">
        <f>_xlfn.XLOOKUP(L6500,[2]analyte_order!$C:$C,[2]analyte_order!$E:$E)</f>
        <v>56</v>
      </c>
      <c r="N6500">
        <v>0.2225</v>
      </c>
    </row>
    <row r="6501" spans="1:14">
      <c r="A6501" t="s">
        <v>224</v>
      </c>
      <c r="B6501" t="str">
        <f>_xlfn.XLOOKUP(A6501,'[1]Tissue Data'!$A:$A,'[1]Tissue Data'!$C:$C)</f>
        <v>Spill</v>
      </c>
      <c r="C6501" s="2">
        <f>_xlfn.XLOOKUP(A6501,'[1]Tissue Data'!$A:$A,'[1]Tissue Data'!$D:$D)</f>
        <v>44393</v>
      </c>
      <c r="D6501" s="2" t="str">
        <f>_xlfn.XLOOKUP(A6501,'[1]Tissue Data'!$A:$A,'[1]Tissue Data'!$F:$F)</f>
        <v>Margined Madtom</v>
      </c>
      <c r="E6501" t="str">
        <f>_xlfn.XLOOKUP(A6501,'[1]Tissue Data'!$A:$A,'[1]Tissue Data'!$H:$H)</f>
        <v>Noturus</v>
      </c>
      <c r="F6501" t="str">
        <f>_xlfn.XLOOKUP(A6501,'[1]Tissue Data'!$A:$A,'[1]Tissue Data'!$I:$I)</f>
        <v>insignis</v>
      </c>
      <c r="G6501" t="str">
        <f>_xlfn.XLOOKUP(A6501,'[1]Tissue Data'!$A:$A,'[1]Tissue Data'!J:J)</f>
        <v>U</v>
      </c>
      <c r="H6501" t="str">
        <f>_xlfn.XLOOKUP(A6501,'[1]Tissue Data'!$A:$A,'[1]Tissue Data'!K:K)</f>
        <v>Whole Body</v>
      </c>
      <c r="I6501">
        <f>_xlfn.XLOOKUP(A6501,'[1]Tissue Data'!$A:$A,'[1]Tissue Data'!L:L)</f>
        <v>7</v>
      </c>
      <c r="J6501">
        <f>_xlfn.XLOOKUP(A6501,'[1]Tissue Data'!$A:$A,'[1]Tissue Data'!M:M)</f>
        <v>3.22</v>
      </c>
      <c r="K6501" t="s">
        <v>61</v>
      </c>
      <c r="L6501" t="str">
        <f>_xlfn.XLOOKUP(K6501,[2]analyte_order!$B:$B,[2]analyte_order!$C:$C)</f>
        <v>2965-52-8</v>
      </c>
      <c r="M6501">
        <f>_xlfn.XLOOKUP(L6501,[2]analyte_order!$C:$C,[2]analyte_order!$E:$E)</f>
        <v>57</v>
      </c>
      <c r="N6501">
        <v>0.2225</v>
      </c>
    </row>
    <row r="6502" spans="1:14">
      <c r="A6502" t="s">
        <v>172</v>
      </c>
      <c r="B6502" t="str">
        <f>_xlfn.XLOOKUP(A6502,'[1]Tissue Data'!$A:$A,'[1]Tissue Data'!$C:$C)</f>
        <v>Spill</v>
      </c>
      <c r="C6502" s="2">
        <f>_xlfn.XLOOKUP(A6502,'[1]Tissue Data'!$A:$A,'[1]Tissue Data'!$D:$D)</f>
        <v>44393</v>
      </c>
      <c r="D6502" s="2" t="str">
        <f>_xlfn.XLOOKUP(A6502,'[1]Tissue Data'!$A:$A,'[1]Tissue Data'!$F:$F)</f>
        <v>Eastern Mudminnow</v>
      </c>
      <c r="E6502" t="str">
        <f>_xlfn.XLOOKUP(A6502,'[1]Tissue Data'!$A:$A,'[1]Tissue Data'!$H:$H)</f>
        <v>Umbra</v>
      </c>
      <c r="F6502" t="str">
        <f>_xlfn.XLOOKUP(A6502,'[1]Tissue Data'!$A:$A,'[1]Tissue Data'!$I:$I)</f>
        <v>pygmaea</v>
      </c>
      <c r="G6502" t="str">
        <f>_xlfn.XLOOKUP(A6502,'[1]Tissue Data'!$A:$A,'[1]Tissue Data'!J:J)</f>
        <v>U</v>
      </c>
      <c r="H6502" t="str">
        <f>_xlfn.XLOOKUP(A6502,'[1]Tissue Data'!$A:$A,'[1]Tissue Data'!K:K)</f>
        <v>Whole Body</v>
      </c>
      <c r="I6502">
        <f>_xlfn.XLOOKUP(A6502,'[1]Tissue Data'!$A:$A,'[1]Tissue Data'!L:L)</f>
        <v>6</v>
      </c>
      <c r="J6502">
        <f>_xlfn.XLOOKUP(A6502,'[1]Tissue Data'!$A:$A,'[1]Tissue Data'!M:M)</f>
        <v>2.62</v>
      </c>
      <c r="K6502" t="s">
        <v>12</v>
      </c>
      <c r="L6502" t="str">
        <f>_xlfn.XLOOKUP(K6502,[2]analyte_order!$B:$B,[2]analyte_order!$C:$C)</f>
        <v>375-22-4</v>
      </c>
      <c r="M6502">
        <f>_xlfn.XLOOKUP(L6502,[2]analyte_order!$C:$C,[2]analyte_order!$E:$E)</f>
        <v>1</v>
      </c>
      <c r="N6502">
        <v>0.24</v>
      </c>
    </row>
    <row r="6503" spans="1:14">
      <c r="A6503" t="s">
        <v>172</v>
      </c>
      <c r="B6503" t="str">
        <f>_xlfn.XLOOKUP(A6503,'[1]Tissue Data'!$A:$A,'[1]Tissue Data'!$C:$C)</f>
        <v>Spill</v>
      </c>
      <c r="C6503" s="2">
        <f>_xlfn.XLOOKUP(A6503,'[1]Tissue Data'!$A:$A,'[1]Tissue Data'!$D:$D)</f>
        <v>44393</v>
      </c>
      <c r="D6503" s="2" t="str">
        <f>_xlfn.XLOOKUP(A6503,'[1]Tissue Data'!$A:$A,'[1]Tissue Data'!$F:$F)</f>
        <v>Eastern Mudminnow</v>
      </c>
      <c r="E6503" t="str">
        <f>_xlfn.XLOOKUP(A6503,'[1]Tissue Data'!$A:$A,'[1]Tissue Data'!$H:$H)</f>
        <v>Umbra</v>
      </c>
      <c r="F6503" t="str">
        <f>_xlfn.XLOOKUP(A6503,'[1]Tissue Data'!$A:$A,'[1]Tissue Data'!$I:$I)</f>
        <v>pygmaea</v>
      </c>
      <c r="G6503" t="str">
        <f>_xlfn.XLOOKUP(A6503,'[1]Tissue Data'!$A:$A,'[1]Tissue Data'!J:J)</f>
        <v>U</v>
      </c>
      <c r="H6503" t="str">
        <f>_xlfn.XLOOKUP(A6503,'[1]Tissue Data'!$A:$A,'[1]Tissue Data'!K:K)</f>
        <v>Whole Body</v>
      </c>
      <c r="I6503">
        <f>_xlfn.XLOOKUP(A6503,'[1]Tissue Data'!$A:$A,'[1]Tissue Data'!L:L)</f>
        <v>6</v>
      </c>
      <c r="J6503">
        <f>_xlfn.XLOOKUP(A6503,'[1]Tissue Data'!$A:$A,'[1]Tissue Data'!M:M)</f>
        <v>2.62</v>
      </c>
      <c r="K6503" t="s">
        <v>13</v>
      </c>
      <c r="L6503" t="str">
        <f>_xlfn.XLOOKUP(K6503,[2]analyte_order!$B:$B,[2]analyte_order!$C:$C)</f>
        <v>2706-90-3</v>
      </c>
      <c r="M6503">
        <f>_xlfn.XLOOKUP(L6503,[2]analyte_order!$C:$C,[2]analyte_order!$E:$E)</f>
        <v>2</v>
      </c>
      <c r="N6503">
        <v>8.4500000000000006E-2</v>
      </c>
    </row>
    <row r="6504" spans="1:14">
      <c r="A6504" t="s">
        <v>172</v>
      </c>
      <c r="B6504" t="str">
        <f>_xlfn.XLOOKUP(A6504,'[1]Tissue Data'!$A:$A,'[1]Tissue Data'!$C:$C)</f>
        <v>Spill</v>
      </c>
      <c r="C6504" s="2">
        <f>_xlfn.XLOOKUP(A6504,'[1]Tissue Data'!$A:$A,'[1]Tissue Data'!$D:$D)</f>
        <v>44393</v>
      </c>
      <c r="D6504" s="2" t="str">
        <f>_xlfn.XLOOKUP(A6504,'[1]Tissue Data'!$A:$A,'[1]Tissue Data'!$F:$F)</f>
        <v>Eastern Mudminnow</v>
      </c>
      <c r="E6504" t="str">
        <f>_xlfn.XLOOKUP(A6504,'[1]Tissue Data'!$A:$A,'[1]Tissue Data'!$H:$H)</f>
        <v>Umbra</v>
      </c>
      <c r="F6504" t="str">
        <f>_xlfn.XLOOKUP(A6504,'[1]Tissue Data'!$A:$A,'[1]Tissue Data'!$I:$I)</f>
        <v>pygmaea</v>
      </c>
      <c r="G6504" t="str">
        <f>_xlfn.XLOOKUP(A6504,'[1]Tissue Data'!$A:$A,'[1]Tissue Data'!J:J)</f>
        <v>U</v>
      </c>
      <c r="H6504" t="str">
        <f>_xlfn.XLOOKUP(A6504,'[1]Tissue Data'!$A:$A,'[1]Tissue Data'!K:K)</f>
        <v>Whole Body</v>
      </c>
      <c r="I6504">
        <f>_xlfn.XLOOKUP(A6504,'[1]Tissue Data'!$A:$A,'[1]Tissue Data'!L:L)</f>
        <v>6</v>
      </c>
      <c r="J6504">
        <f>_xlfn.XLOOKUP(A6504,'[1]Tissue Data'!$A:$A,'[1]Tissue Data'!M:M)</f>
        <v>2.62</v>
      </c>
      <c r="K6504" t="s">
        <v>14</v>
      </c>
      <c r="L6504" t="str">
        <f>_xlfn.XLOOKUP(K6504,[2]analyte_order!$B:$B,[2]analyte_order!$C:$C)</f>
        <v>307-24-4</v>
      </c>
      <c r="M6504">
        <f>_xlfn.XLOOKUP(L6504,[2]analyte_order!$C:$C,[2]analyte_order!$E:$E)</f>
        <v>3</v>
      </c>
      <c r="N6504">
        <v>0.1295</v>
      </c>
    </row>
    <row r="6505" spans="1:14">
      <c r="A6505" t="s">
        <v>172</v>
      </c>
      <c r="B6505" t="str">
        <f>_xlfn.XLOOKUP(A6505,'[1]Tissue Data'!$A:$A,'[1]Tissue Data'!$C:$C)</f>
        <v>Spill</v>
      </c>
      <c r="C6505" s="2">
        <f>_xlfn.XLOOKUP(A6505,'[1]Tissue Data'!$A:$A,'[1]Tissue Data'!$D:$D)</f>
        <v>44393</v>
      </c>
      <c r="D6505" s="2" t="str">
        <f>_xlfn.XLOOKUP(A6505,'[1]Tissue Data'!$A:$A,'[1]Tissue Data'!$F:$F)</f>
        <v>Eastern Mudminnow</v>
      </c>
      <c r="E6505" t="str">
        <f>_xlfn.XLOOKUP(A6505,'[1]Tissue Data'!$A:$A,'[1]Tissue Data'!$H:$H)</f>
        <v>Umbra</v>
      </c>
      <c r="F6505" t="str">
        <f>_xlfn.XLOOKUP(A6505,'[1]Tissue Data'!$A:$A,'[1]Tissue Data'!$I:$I)</f>
        <v>pygmaea</v>
      </c>
      <c r="G6505" t="str">
        <f>_xlfn.XLOOKUP(A6505,'[1]Tissue Data'!$A:$A,'[1]Tissue Data'!J:J)</f>
        <v>U</v>
      </c>
      <c r="H6505" t="str">
        <f>_xlfn.XLOOKUP(A6505,'[1]Tissue Data'!$A:$A,'[1]Tissue Data'!K:K)</f>
        <v>Whole Body</v>
      </c>
      <c r="I6505">
        <f>_xlfn.XLOOKUP(A6505,'[1]Tissue Data'!$A:$A,'[1]Tissue Data'!L:L)</f>
        <v>6</v>
      </c>
      <c r="J6505">
        <f>_xlfn.XLOOKUP(A6505,'[1]Tissue Data'!$A:$A,'[1]Tissue Data'!M:M)</f>
        <v>2.62</v>
      </c>
      <c r="K6505" t="s">
        <v>15</v>
      </c>
      <c r="L6505" t="str">
        <f>_xlfn.XLOOKUP(K6505,[2]analyte_order!$B:$B,[2]analyte_order!$C:$C)</f>
        <v>375-85-9</v>
      </c>
      <c r="M6505">
        <f>_xlfn.XLOOKUP(L6505,[2]analyte_order!$C:$C,[2]analyte_order!$E:$E)</f>
        <v>4</v>
      </c>
      <c r="N6505">
        <v>0.24</v>
      </c>
    </row>
    <row r="6506" spans="1:14">
      <c r="A6506" t="s">
        <v>172</v>
      </c>
      <c r="B6506" t="str">
        <f>_xlfn.XLOOKUP(A6506,'[1]Tissue Data'!$A:$A,'[1]Tissue Data'!$C:$C)</f>
        <v>Spill</v>
      </c>
      <c r="C6506" s="2">
        <f>_xlfn.XLOOKUP(A6506,'[1]Tissue Data'!$A:$A,'[1]Tissue Data'!$D:$D)</f>
        <v>44393</v>
      </c>
      <c r="D6506" s="2" t="str">
        <f>_xlfn.XLOOKUP(A6506,'[1]Tissue Data'!$A:$A,'[1]Tissue Data'!$F:$F)</f>
        <v>Eastern Mudminnow</v>
      </c>
      <c r="E6506" t="str">
        <f>_xlfn.XLOOKUP(A6506,'[1]Tissue Data'!$A:$A,'[1]Tissue Data'!$H:$H)</f>
        <v>Umbra</v>
      </c>
      <c r="F6506" t="str">
        <f>_xlfn.XLOOKUP(A6506,'[1]Tissue Data'!$A:$A,'[1]Tissue Data'!$I:$I)</f>
        <v>pygmaea</v>
      </c>
      <c r="G6506" t="str">
        <f>_xlfn.XLOOKUP(A6506,'[1]Tissue Data'!$A:$A,'[1]Tissue Data'!J:J)</f>
        <v>U</v>
      </c>
      <c r="H6506" t="str">
        <f>_xlfn.XLOOKUP(A6506,'[1]Tissue Data'!$A:$A,'[1]Tissue Data'!K:K)</f>
        <v>Whole Body</v>
      </c>
      <c r="I6506">
        <f>_xlfn.XLOOKUP(A6506,'[1]Tissue Data'!$A:$A,'[1]Tissue Data'!L:L)</f>
        <v>6</v>
      </c>
      <c r="J6506">
        <f>_xlfn.XLOOKUP(A6506,'[1]Tissue Data'!$A:$A,'[1]Tissue Data'!M:M)</f>
        <v>2.62</v>
      </c>
      <c r="K6506" t="s">
        <v>16</v>
      </c>
      <c r="L6506" t="str">
        <f>_xlfn.XLOOKUP(K6506,[2]analyte_order!$B:$B,[2]analyte_order!$C:$C)</f>
        <v>335-67-1</v>
      </c>
      <c r="M6506">
        <f>_xlfn.XLOOKUP(L6506,[2]analyte_order!$C:$C,[2]analyte_order!$E:$E)</f>
        <v>5</v>
      </c>
      <c r="N6506">
        <v>16.3</v>
      </c>
    </row>
    <row r="6507" spans="1:14">
      <c r="A6507" t="s">
        <v>172</v>
      </c>
      <c r="B6507" t="str">
        <f>_xlfn.XLOOKUP(A6507,'[1]Tissue Data'!$A:$A,'[1]Tissue Data'!$C:$C)</f>
        <v>Spill</v>
      </c>
      <c r="C6507" s="2">
        <f>_xlfn.XLOOKUP(A6507,'[1]Tissue Data'!$A:$A,'[1]Tissue Data'!$D:$D)</f>
        <v>44393</v>
      </c>
      <c r="D6507" s="2" t="str">
        <f>_xlfn.XLOOKUP(A6507,'[1]Tissue Data'!$A:$A,'[1]Tissue Data'!$F:$F)</f>
        <v>Eastern Mudminnow</v>
      </c>
      <c r="E6507" t="str">
        <f>_xlfn.XLOOKUP(A6507,'[1]Tissue Data'!$A:$A,'[1]Tissue Data'!$H:$H)</f>
        <v>Umbra</v>
      </c>
      <c r="F6507" t="str">
        <f>_xlfn.XLOOKUP(A6507,'[1]Tissue Data'!$A:$A,'[1]Tissue Data'!$I:$I)</f>
        <v>pygmaea</v>
      </c>
      <c r="G6507" t="str">
        <f>_xlfn.XLOOKUP(A6507,'[1]Tissue Data'!$A:$A,'[1]Tissue Data'!J:J)</f>
        <v>U</v>
      </c>
      <c r="H6507" t="str">
        <f>_xlfn.XLOOKUP(A6507,'[1]Tissue Data'!$A:$A,'[1]Tissue Data'!K:K)</f>
        <v>Whole Body</v>
      </c>
      <c r="I6507">
        <f>_xlfn.XLOOKUP(A6507,'[1]Tissue Data'!$A:$A,'[1]Tissue Data'!L:L)</f>
        <v>6</v>
      </c>
      <c r="J6507">
        <f>_xlfn.XLOOKUP(A6507,'[1]Tissue Data'!$A:$A,'[1]Tissue Data'!M:M)</f>
        <v>2.62</v>
      </c>
      <c r="K6507" t="s">
        <v>17</v>
      </c>
      <c r="L6507" t="str">
        <f>_xlfn.XLOOKUP(K6507,[2]analyte_order!$B:$B,[2]analyte_order!$C:$C)</f>
        <v>375-95-1</v>
      </c>
      <c r="M6507">
        <f>_xlfn.XLOOKUP(L6507,[2]analyte_order!$C:$C,[2]analyte_order!$E:$E)</f>
        <v>6</v>
      </c>
      <c r="N6507">
        <v>5.29</v>
      </c>
    </row>
    <row r="6508" spans="1:14">
      <c r="A6508" t="s">
        <v>172</v>
      </c>
      <c r="B6508" t="str">
        <f>_xlfn.XLOOKUP(A6508,'[1]Tissue Data'!$A:$A,'[1]Tissue Data'!$C:$C)</f>
        <v>Spill</v>
      </c>
      <c r="C6508" s="2">
        <f>_xlfn.XLOOKUP(A6508,'[1]Tissue Data'!$A:$A,'[1]Tissue Data'!$D:$D)</f>
        <v>44393</v>
      </c>
      <c r="D6508" s="2" t="str">
        <f>_xlfn.XLOOKUP(A6508,'[1]Tissue Data'!$A:$A,'[1]Tissue Data'!$F:$F)</f>
        <v>Eastern Mudminnow</v>
      </c>
      <c r="E6508" t="str">
        <f>_xlfn.XLOOKUP(A6508,'[1]Tissue Data'!$A:$A,'[1]Tissue Data'!$H:$H)</f>
        <v>Umbra</v>
      </c>
      <c r="F6508" t="str">
        <f>_xlfn.XLOOKUP(A6508,'[1]Tissue Data'!$A:$A,'[1]Tissue Data'!$I:$I)</f>
        <v>pygmaea</v>
      </c>
      <c r="G6508" t="str">
        <f>_xlfn.XLOOKUP(A6508,'[1]Tissue Data'!$A:$A,'[1]Tissue Data'!J:J)</f>
        <v>U</v>
      </c>
      <c r="H6508" t="str">
        <f>_xlfn.XLOOKUP(A6508,'[1]Tissue Data'!$A:$A,'[1]Tissue Data'!K:K)</f>
        <v>Whole Body</v>
      </c>
      <c r="I6508">
        <f>_xlfn.XLOOKUP(A6508,'[1]Tissue Data'!$A:$A,'[1]Tissue Data'!L:L)</f>
        <v>6</v>
      </c>
      <c r="J6508">
        <f>_xlfn.XLOOKUP(A6508,'[1]Tissue Data'!$A:$A,'[1]Tissue Data'!M:M)</f>
        <v>2.62</v>
      </c>
      <c r="K6508" t="s">
        <v>18</v>
      </c>
      <c r="L6508" t="str">
        <f>_xlfn.XLOOKUP(K6508,[2]analyte_order!$B:$B,[2]analyte_order!$C:$C)</f>
        <v>335-76-2</v>
      </c>
      <c r="M6508">
        <f>_xlfn.XLOOKUP(L6508,[2]analyte_order!$C:$C,[2]analyte_order!$E:$E)</f>
        <v>7</v>
      </c>
      <c r="N6508">
        <v>4.58</v>
      </c>
    </row>
    <row r="6509" spans="1:14">
      <c r="A6509" t="s">
        <v>172</v>
      </c>
      <c r="B6509" t="str">
        <f>_xlfn.XLOOKUP(A6509,'[1]Tissue Data'!$A:$A,'[1]Tissue Data'!$C:$C)</f>
        <v>Spill</v>
      </c>
      <c r="C6509" s="2">
        <f>_xlfn.XLOOKUP(A6509,'[1]Tissue Data'!$A:$A,'[1]Tissue Data'!$D:$D)</f>
        <v>44393</v>
      </c>
      <c r="D6509" s="2" t="str">
        <f>_xlfn.XLOOKUP(A6509,'[1]Tissue Data'!$A:$A,'[1]Tissue Data'!$F:$F)</f>
        <v>Eastern Mudminnow</v>
      </c>
      <c r="E6509" t="str">
        <f>_xlfn.XLOOKUP(A6509,'[1]Tissue Data'!$A:$A,'[1]Tissue Data'!$H:$H)</f>
        <v>Umbra</v>
      </c>
      <c r="F6509" t="str">
        <f>_xlfn.XLOOKUP(A6509,'[1]Tissue Data'!$A:$A,'[1]Tissue Data'!$I:$I)</f>
        <v>pygmaea</v>
      </c>
      <c r="G6509" t="str">
        <f>_xlfn.XLOOKUP(A6509,'[1]Tissue Data'!$A:$A,'[1]Tissue Data'!J:J)</f>
        <v>U</v>
      </c>
      <c r="H6509" t="str">
        <f>_xlfn.XLOOKUP(A6509,'[1]Tissue Data'!$A:$A,'[1]Tissue Data'!K:K)</f>
        <v>Whole Body</v>
      </c>
      <c r="I6509">
        <f>_xlfn.XLOOKUP(A6509,'[1]Tissue Data'!$A:$A,'[1]Tissue Data'!L:L)</f>
        <v>6</v>
      </c>
      <c r="J6509">
        <f>_xlfn.XLOOKUP(A6509,'[1]Tissue Data'!$A:$A,'[1]Tissue Data'!M:M)</f>
        <v>2.62</v>
      </c>
      <c r="K6509" t="s">
        <v>19</v>
      </c>
      <c r="L6509" t="str">
        <f>_xlfn.XLOOKUP(K6509,[2]analyte_order!$B:$B,[2]analyte_order!$C:$C)</f>
        <v>2058-94-8</v>
      </c>
      <c r="M6509">
        <f>_xlfn.XLOOKUP(L6509,[2]analyte_order!$C:$C,[2]analyte_order!$E:$E)</f>
        <v>8</v>
      </c>
      <c r="N6509">
        <v>6.89</v>
      </c>
    </row>
    <row r="6510" spans="1:14">
      <c r="A6510" t="s">
        <v>172</v>
      </c>
      <c r="B6510" t="str">
        <f>_xlfn.XLOOKUP(A6510,'[1]Tissue Data'!$A:$A,'[1]Tissue Data'!$C:$C)</f>
        <v>Spill</v>
      </c>
      <c r="C6510" s="2">
        <f>_xlfn.XLOOKUP(A6510,'[1]Tissue Data'!$A:$A,'[1]Tissue Data'!$D:$D)</f>
        <v>44393</v>
      </c>
      <c r="D6510" s="2" t="str">
        <f>_xlfn.XLOOKUP(A6510,'[1]Tissue Data'!$A:$A,'[1]Tissue Data'!$F:$F)</f>
        <v>Eastern Mudminnow</v>
      </c>
      <c r="E6510" t="str">
        <f>_xlfn.XLOOKUP(A6510,'[1]Tissue Data'!$A:$A,'[1]Tissue Data'!$H:$H)</f>
        <v>Umbra</v>
      </c>
      <c r="F6510" t="str">
        <f>_xlfn.XLOOKUP(A6510,'[1]Tissue Data'!$A:$A,'[1]Tissue Data'!$I:$I)</f>
        <v>pygmaea</v>
      </c>
      <c r="G6510" t="str">
        <f>_xlfn.XLOOKUP(A6510,'[1]Tissue Data'!$A:$A,'[1]Tissue Data'!J:J)</f>
        <v>U</v>
      </c>
      <c r="H6510" t="str">
        <f>_xlfn.XLOOKUP(A6510,'[1]Tissue Data'!$A:$A,'[1]Tissue Data'!K:K)</f>
        <v>Whole Body</v>
      </c>
      <c r="I6510">
        <f>_xlfn.XLOOKUP(A6510,'[1]Tissue Data'!$A:$A,'[1]Tissue Data'!L:L)</f>
        <v>6</v>
      </c>
      <c r="J6510">
        <f>_xlfn.XLOOKUP(A6510,'[1]Tissue Data'!$A:$A,'[1]Tissue Data'!M:M)</f>
        <v>2.62</v>
      </c>
      <c r="K6510" t="s">
        <v>20</v>
      </c>
      <c r="L6510" t="str">
        <f>_xlfn.XLOOKUP(K6510,[2]analyte_order!$B:$B,[2]analyte_order!$C:$C)</f>
        <v>307-55-1</v>
      </c>
      <c r="M6510">
        <f>_xlfn.XLOOKUP(L6510,[2]analyte_order!$C:$C,[2]analyte_order!$E:$E)</f>
        <v>9</v>
      </c>
      <c r="N6510">
        <v>11</v>
      </c>
    </row>
    <row r="6511" spans="1:14">
      <c r="A6511" t="s">
        <v>172</v>
      </c>
      <c r="B6511" t="str">
        <f>_xlfn.XLOOKUP(A6511,'[1]Tissue Data'!$A:$A,'[1]Tissue Data'!$C:$C)</f>
        <v>Spill</v>
      </c>
      <c r="C6511" s="2">
        <f>_xlfn.XLOOKUP(A6511,'[1]Tissue Data'!$A:$A,'[1]Tissue Data'!$D:$D)</f>
        <v>44393</v>
      </c>
      <c r="D6511" s="2" t="str">
        <f>_xlfn.XLOOKUP(A6511,'[1]Tissue Data'!$A:$A,'[1]Tissue Data'!$F:$F)</f>
        <v>Eastern Mudminnow</v>
      </c>
      <c r="E6511" t="str">
        <f>_xlfn.XLOOKUP(A6511,'[1]Tissue Data'!$A:$A,'[1]Tissue Data'!$H:$H)</f>
        <v>Umbra</v>
      </c>
      <c r="F6511" t="str">
        <f>_xlfn.XLOOKUP(A6511,'[1]Tissue Data'!$A:$A,'[1]Tissue Data'!$I:$I)</f>
        <v>pygmaea</v>
      </c>
      <c r="G6511" t="str">
        <f>_xlfn.XLOOKUP(A6511,'[1]Tissue Data'!$A:$A,'[1]Tissue Data'!J:J)</f>
        <v>U</v>
      </c>
      <c r="H6511" t="str">
        <f>_xlfn.XLOOKUP(A6511,'[1]Tissue Data'!$A:$A,'[1]Tissue Data'!K:K)</f>
        <v>Whole Body</v>
      </c>
      <c r="I6511">
        <f>_xlfn.XLOOKUP(A6511,'[1]Tissue Data'!$A:$A,'[1]Tissue Data'!L:L)</f>
        <v>6</v>
      </c>
      <c r="J6511">
        <f>_xlfn.XLOOKUP(A6511,'[1]Tissue Data'!$A:$A,'[1]Tissue Data'!M:M)</f>
        <v>2.62</v>
      </c>
      <c r="K6511" t="s">
        <v>21</v>
      </c>
      <c r="L6511" t="str">
        <f>_xlfn.XLOOKUP(K6511,[2]analyte_order!$B:$B,[2]analyte_order!$C:$C)</f>
        <v>72629-94-8</v>
      </c>
      <c r="M6511">
        <f>_xlfn.XLOOKUP(L6511,[2]analyte_order!$C:$C,[2]analyte_order!$E:$E)</f>
        <v>10</v>
      </c>
      <c r="N6511">
        <v>1.85</v>
      </c>
    </row>
    <row r="6512" spans="1:14">
      <c r="A6512" t="s">
        <v>172</v>
      </c>
      <c r="B6512" t="str">
        <f>_xlfn.XLOOKUP(A6512,'[1]Tissue Data'!$A:$A,'[1]Tissue Data'!$C:$C)</f>
        <v>Spill</v>
      </c>
      <c r="C6512" s="2">
        <f>_xlfn.XLOOKUP(A6512,'[1]Tissue Data'!$A:$A,'[1]Tissue Data'!$D:$D)</f>
        <v>44393</v>
      </c>
      <c r="D6512" s="2" t="str">
        <f>_xlfn.XLOOKUP(A6512,'[1]Tissue Data'!$A:$A,'[1]Tissue Data'!$F:$F)</f>
        <v>Eastern Mudminnow</v>
      </c>
      <c r="E6512" t="str">
        <f>_xlfn.XLOOKUP(A6512,'[1]Tissue Data'!$A:$A,'[1]Tissue Data'!$H:$H)</f>
        <v>Umbra</v>
      </c>
      <c r="F6512" t="str">
        <f>_xlfn.XLOOKUP(A6512,'[1]Tissue Data'!$A:$A,'[1]Tissue Data'!$I:$I)</f>
        <v>pygmaea</v>
      </c>
      <c r="G6512" t="str">
        <f>_xlfn.XLOOKUP(A6512,'[1]Tissue Data'!$A:$A,'[1]Tissue Data'!J:J)</f>
        <v>U</v>
      </c>
      <c r="H6512" t="str">
        <f>_xlfn.XLOOKUP(A6512,'[1]Tissue Data'!$A:$A,'[1]Tissue Data'!K:K)</f>
        <v>Whole Body</v>
      </c>
      <c r="I6512">
        <f>_xlfn.XLOOKUP(A6512,'[1]Tissue Data'!$A:$A,'[1]Tissue Data'!L:L)</f>
        <v>6</v>
      </c>
      <c r="J6512">
        <f>_xlfn.XLOOKUP(A6512,'[1]Tissue Data'!$A:$A,'[1]Tissue Data'!M:M)</f>
        <v>2.62</v>
      </c>
      <c r="K6512" t="s">
        <v>22</v>
      </c>
      <c r="L6512" t="str">
        <f>_xlfn.XLOOKUP(K6512,[2]analyte_order!$B:$B,[2]analyte_order!$C:$C)</f>
        <v>376-06-7</v>
      </c>
      <c r="M6512">
        <f>_xlfn.XLOOKUP(L6512,[2]analyte_order!$C:$C,[2]analyte_order!$E:$E)</f>
        <v>11</v>
      </c>
      <c r="N6512">
        <v>9.92</v>
      </c>
    </row>
    <row r="6513" spans="1:14">
      <c r="A6513" t="s">
        <v>172</v>
      </c>
      <c r="B6513" t="str">
        <f>_xlfn.XLOOKUP(A6513,'[1]Tissue Data'!$A:$A,'[1]Tissue Data'!$C:$C)</f>
        <v>Spill</v>
      </c>
      <c r="C6513" s="2">
        <f>_xlfn.XLOOKUP(A6513,'[1]Tissue Data'!$A:$A,'[1]Tissue Data'!$D:$D)</f>
        <v>44393</v>
      </c>
      <c r="D6513" s="2" t="str">
        <f>_xlfn.XLOOKUP(A6513,'[1]Tissue Data'!$A:$A,'[1]Tissue Data'!$F:$F)</f>
        <v>Eastern Mudminnow</v>
      </c>
      <c r="E6513" t="str">
        <f>_xlfn.XLOOKUP(A6513,'[1]Tissue Data'!$A:$A,'[1]Tissue Data'!$H:$H)</f>
        <v>Umbra</v>
      </c>
      <c r="F6513" t="str">
        <f>_xlfn.XLOOKUP(A6513,'[1]Tissue Data'!$A:$A,'[1]Tissue Data'!$I:$I)</f>
        <v>pygmaea</v>
      </c>
      <c r="G6513" t="str">
        <f>_xlfn.XLOOKUP(A6513,'[1]Tissue Data'!$A:$A,'[1]Tissue Data'!J:J)</f>
        <v>U</v>
      </c>
      <c r="H6513" t="str">
        <f>_xlfn.XLOOKUP(A6513,'[1]Tissue Data'!$A:$A,'[1]Tissue Data'!K:K)</f>
        <v>Whole Body</v>
      </c>
      <c r="I6513">
        <f>_xlfn.XLOOKUP(A6513,'[1]Tissue Data'!$A:$A,'[1]Tissue Data'!L:L)</f>
        <v>6</v>
      </c>
      <c r="J6513">
        <f>_xlfn.XLOOKUP(A6513,'[1]Tissue Data'!$A:$A,'[1]Tissue Data'!M:M)</f>
        <v>2.62</v>
      </c>
      <c r="K6513" t="s">
        <v>23</v>
      </c>
      <c r="L6513" t="str">
        <f>_xlfn.XLOOKUP(K6513,[2]analyte_order!$B:$B,[2]analyte_order!$C:$C)</f>
        <v>67905-19-5</v>
      </c>
      <c r="M6513">
        <f>_xlfn.XLOOKUP(L6513,[2]analyte_order!$C:$C,[2]analyte_order!$E:$E)</f>
        <v>12</v>
      </c>
      <c r="N6513">
        <v>0.14299999999999999</v>
      </c>
    </row>
    <row r="6514" spans="1:14">
      <c r="A6514" t="s">
        <v>172</v>
      </c>
      <c r="B6514" t="str">
        <f>_xlfn.XLOOKUP(A6514,'[1]Tissue Data'!$A:$A,'[1]Tissue Data'!$C:$C)</f>
        <v>Spill</v>
      </c>
      <c r="C6514" s="2">
        <f>_xlfn.XLOOKUP(A6514,'[1]Tissue Data'!$A:$A,'[1]Tissue Data'!$D:$D)</f>
        <v>44393</v>
      </c>
      <c r="D6514" s="2" t="str">
        <f>_xlfn.XLOOKUP(A6514,'[1]Tissue Data'!$A:$A,'[1]Tissue Data'!$F:$F)</f>
        <v>Eastern Mudminnow</v>
      </c>
      <c r="E6514" t="str">
        <f>_xlfn.XLOOKUP(A6514,'[1]Tissue Data'!$A:$A,'[1]Tissue Data'!$H:$H)</f>
        <v>Umbra</v>
      </c>
      <c r="F6514" t="str">
        <f>_xlfn.XLOOKUP(A6514,'[1]Tissue Data'!$A:$A,'[1]Tissue Data'!$I:$I)</f>
        <v>pygmaea</v>
      </c>
      <c r="G6514" t="str">
        <f>_xlfn.XLOOKUP(A6514,'[1]Tissue Data'!$A:$A,'[1]Tissue Data'!J:J)</f>
        <v>U</v>
      </c>
      <c r="H6514" t="str">
        <f>_xlfn.XLOOKUP(A6514,'[1]Tissue Data'!$A:$A,'[1]Tissue Data'!K:K)</f>
        <v>Whole Body</v>
      </c>
      <c r="I6514">
        <f>_xlfn.XLOOKUP(A6514,'[1]Tissue Data'!$A:$A,'[1]Tissue Data'!L:L)</f>
        <v>6</v>
      </c>
      <c r="J6514">
        <f>_xlfn.XLOOKUP(A6514,'[1]Tissue Data'!$A:$A,'[1]Tissue Data'!M:M)</f>
        <v>2.62</v>
      </c>
      <c r="K6514" t="s">
        <v>24</v>
      </c>
      <c r="L6514" t="str">
        <f>_xlfn.XLOOKUP(K6514,[2]analyte_order!$B:$B,[2]analyte_order!$C:$C)</f>
        <v>423-41-6</v>
      </c>
      <c r="M6514">
        <f>_xlfn.XLOOKUP(L6514,[2]analyte_order!$C:$C,[2]analyte_order!$E:$E)</f>
        <v>53</v>
      </c>
      <c r="N6514">
        <v>0.24</v>
      </c>
    </row>
    <row r="6515" spans="1:14">
      <c r="A6515" t="s">
        <v>172</v>
      </c>
      <c r="B6515" t="str">
        <f>_xlfn.XLOOKUP(A6515,'[1]Tissue Data'!$A:$A,'[1]Tissue Data'!$C:$C)</f>
        <v>Spill</v>
      </c>
      <c r="C6515" s="2">
        <f>_xlfn.XLOOKUP(A6515,'[1]Tissue Data'!$A:$A,'[1]Tissue Data'!$D:$D)</f>
        <v>44393</v>
      </c>
      <c r="D6515" s="2" t="str">
        <f>_xlfn.XLOOKUP(A6515,'[1]Tissue Data'!$A:$A,'[1]Tissue Data'!$F:$F)</f>
        <v>Eastern Mudminnow</v>
      </c>
      <c r="E6515" t="str">
        <f>_xlfn.XLOOKUP(A6515,'[1]Tissue Data'!$A:$A,'[1]Tissue Data'!$H:$H)</f>
        <v>Umbra</v>
      </c>
      <c r="F6515" t="str">
        <f>_xlfn.XLOOKUP(A6515,'[1]Tissue Data'!$A:$A,'[1]Tissue Data'!$I:$I)</f>
        <v>pygmaea</v>
      </c>
      <c r="G6515" t="str">
        <f>_xlfn.XLOOKUP(A6515,'[1]Tissue Data'!$A:$A,'[1]Tissue Data'!J:J)</f>
        <v>U</v>
      </c>
      <c r="H6515" t="str">
        <f>_xlfn.XLOOKUP(A6515,'[1]Tissue Data'!$A:$A,'[1]Tissue Data'!K:K)</f>
        <v>Whole Body</v>
      </c>
      <c r="I6515">
        <f>_xlfn.XLOOKUP(A6515,'[1]Tissue Data'!$A:$A,'[1]Tissue Data'!L:L)</f>
        <v>6</v>
      </c>
      <c r="J6515">
        <f>_xlfn.XLOOKUP(A6515,'[1]Tissue Data'!$A:$A,'[1]Tissue Data'!M:M)</f>
        <v>2.62</v>
      </c>
      <c r="K6515" t="s">
        <v>25</v>
      </c>
      <c r="L6515" t="str">
        <f>_xlfn.XLOOKUP(K6515,[2]analyte_order!$B:$B,[2]analyte_order!$C:$C)</f>
        <v>375-73-5</v>
      </c>
      <c r="M6515">
        <f>_xlfn.XLOOKUP(L6515,[2]analyte_order!$C:$C,[2]analyte_order!$E:$E)</f>
        <v>14</v>
      </c>
      <c r="N6515">
        <v>0.24</v>
      </c>
    </row>
    <row r="6516" spans="1:14">
      <c r="A6516" t="s">
        <v>172</v>
      </c>
      <c r="B6516" t="str">
        <f>_xlfn.XLOOKUP(A6516,'[1]Tissue Data'!$A:$A,'[1]Tissue Data'!$C:$C)</f>
        <v>Spill</v>
      </c>
      <c r="C6516" s="2">
        <f>_xlfn.XLOOKUP(A6516,'[1]Tissue Data'!$A:$A,'[1]Tissue Data'!$D:$D)</f>
        <v>44393</v>
      </c>
      <c r="D6516" s="2" t="str">
        <f>_xlfn.XLOOKUP(A6516,'[1]Tissue Data'!$A:$A,'[1]Tissue Data'!$F:$F)</f>
        <v>Eastern Mudminnow</v>
      </c>
      <c r="E6516" t="str">
        <f>_xlfn.XLOOKUP(A6516,'[1]Tissue Data'!$A:$A,'[1]Tissue Data'!$H:$H)</f>
        <v>Umbra</v>
      </c>
      <c r="F6516" t="str">
        <f>_xlfn.XLOOKUP(A6516,'[1]Tissue Data'!$A:$A,'[1]Tissue Data'!$I:$I)</f>
        <v>pygmaea</v>
      </c>
      <c r="G6516" t="str">
        <f>_xlfn.XLOOKUP(A6516,'[1]Tissue Data'!$A:$A,'[1]Tissue Data'!J:J)</f>
        <v>U</v>
      </c>
      <c r="H6516" t="str">
        <f>_xlfn.XLOOKUP(A6516,'[1]Tissue Data'!$A:$A,'[1]Tissue Data'!K:K)</f>
        <v>Whole Body</v>
      </c>
      <c r="I6516">
        <f>_xlfn.XLOOKUP(A6516,'[1]Tissue Data'!$A:$A,'[1]Tissue Data'!L:L)</f>
        <v>6</v>
      </c>
      <c r="J6516">
        <f>_xlfn.XLOOKUP(A6516,'[1]Tissue Data'!$A:$A,'[1]Tissue Data'!M:M)</f>
        <v>2.62</v>
      </c>
      <c r="K6516" t="s">
        <v>26</v>
      </c>
      <c r="L6516" t="str">
        <f>_xlfn.XLOOKUP(K6516,[2]analyte_order!$B:$B,[2]analyte_order!$C:$C)</f>
        <v>2706-91-4</v>
      </c>
      <c r="M6516">
        <f>_xlfn.XLOOKUP(L6516,[2]analyte_order!$C:$C,[2]analyte_order!$E:$E)</f>
        <v>15</v>
      </c>
      <c r="N6516">
        <v>0.77100000000000002</v>
      </c>
    </row>
    <row r="6517" spans="1:14">
      <c r="A6517" t="s">
        <v>172</v>
      </c>
      <c r="B6517" t="str">
        <f>_xlfn.XLOOKUP(A6517,'[1]Tissue Data'!$A:$A,'[1]Tissue Data'!$C:$C)</f>
        <v>Spill</v>
      </c>
      <c r="C6517" s="2">
        <f>_xlfn.XLOOKUP(A6517,'[1]Tissue Data'!$A:$A,'[1]Tissue Data'!$D:$D)</f>
        <v>44393</v>
      </c>
      <c r="D6517" s="2" t="str">
        <f>_xlfn.XLOOKUP(A6517,'[1]Tissue Data'!$A:$A,'[1]Tissue Data'!$F:$F)</f>
        <v>Eastern Mudminnow</v>
      </c>
      <c r="E6517" t="str">
        <f>_xlfn.XLOOKUP(A6517,'[1]Tissue Data'!$A:$A,'[1]Tissue Data'!$H:$H)</f>
        <v>Umbra</v>
      </c>
      <c r="F6517" t="str">
        <f>_xlfn.XLOOKUP(A6517,'[1]Tissue Data'!$A:$A,'[1]Tissue Data'!$I:$I)</f>
        <v>pygmaea</v>
      </c>
      <c r="G6517" t="str">
        <f>_xlfn.XLOOKUP(A6517,'[1]Tissue Data'!$A:$A,'[1]Tissue Data'!J:J)</f>
        <v>U</v>
      </c>
      <c r="H6517" t="str">
        <f>_xlfn.XLOOKUP(A6517,'[1]Tissue Data'!$A:$A,'[1]Tissue Data'!K:K)</f>
        <v>Whole Body</v>
      </c>
      <c r="I6517">
        <f>_xlfn.XLOOKUP(A6517,'[1]Tissue Data'!$A:$A,'[1]Tissue Data'!L:L)</f>
        <v>6</v>
      </c>
      <c r="J6517">
        <f>_xlfn.XLOOKUP(A6517,'[1]Tissue Data'!$A:$A,'[1]Tissue Data'!M:M)</f>
        <v>2.62</v>
      </c>
      <c r="K6517" t="s">
        <v>27</v>
      </c>
      <c r="L6517" t="str">
        <f>_xlfn.XLOOKUP(K6517,[2]analyte_order!$B:$B,[2]analyte_order!$C:$C)</f>
        <v>355-46-4</v>
      </c>
      <c r="M6517">
        <f>_xlfn.XLOOKUP(L6517,[2]analyte_order!$C:$C,[2]analyte_order!$E:$E)</f>
        <v>16</v>
      </c>
      <c r="N6517">
        <v>108</v>
      </c>
    </row>
    <row r="6518" spans="1:14">
      <c r="A6518" t="s">
        <v>172</v>
      </c>
      <c r="B6518" t="str">
        <f>_xlfn.XLOOKUP(A6518,'[1]Tissue Data'!$A:$A,'[1]Tissue Data'!$C:$C)</f>
        <v>Spill</v>
      </c>
      <c r="C6518" s="2">
        <f>_xlfn.XLOOKUP(A6518,'[1]Tissue Data'!$A:$A,'[1]Tissue Data'!$D:$D)</f>
        <v>44393</v>
      </c>
      <c r="D6518" s="2" t="str">
        <f>_xlfn.XLOOKUP(A6518,'[1]Tissue Data'!$A:$A,'[1]Tissue Data'!$F:$F)</f>
        <v>Eastern Mudminnow</v>
      </c>
      <c r="E6518" t="str">
        <f>_xlfn.XLOOKUP(A6518,'[1]Tissue Data'!$A:$A,'[1]Tissue Data'!$H:$H)</f>
        <v>Umbra</v>
      </c>
      <c r="F6518" t="str">
        <f>_xlfn.XLOOKUP(A6518,'[1]Tissue Data'!$A:$A,'[1]Tissue Data'!$I:$I)</f>
        <v>pygmaea</v>
      </c>
      <c r="G6518" t="str">
        <f>_xlfn.XLOOKUP(A6518,'[1]Tissue Data'!$A:$A,'[1]Tissue Data'!J:J)</f>
        <v>U</v>
      </c>
      <c r="H6518" t="str">
        <f>_xlfn.XLOOKUP(A6518,'[1]Tissue Data'!$A:$A,'[1]Tissue Data'!K:K)</f>
        <v>Whole Body</v>
      </c>
      <c r="I6518">
        <f>_xlfn.XLOOKUP(A6518,'[1]Tissue Data'!$A:$A,'[1]Tissue Data'!L:L)</f>
        <v>6</v>
      </c>
      <c r="J6518">
        <f>_xlfn.XLOOKUP(A6518,'[1]Tissue Data'!$A:$A,'[1]Tissue Data'!M:M)</f>
        <v>2.62</v>
      </c>
      <c r="K6518" t="s">
        <v>28</v>
      </c>
      <c r="L6518" t="str">
        <f>_xlfn.XLOOKUP(K6518,[2]analyte_order!$B:$B,[2]analyte_order!$C:$C)</f>
        <v>375-92-8</v>
      </c>
      <c r="M6518">
        <f>_xlfn.XLOOKUP(L6518,[2]analyte_order!$C:$C,[2]analyte_order!$E:$E)</f>
        <v>17</v>
      </c>
      <c r="N6518">
        <v>4.5999999999999996</v>
      </c>
    </row>
    <row r="6519" spans="1:14">
      <c r="A6519" t="s">
        <v>172</v>
      </c>
      <c r="B6519" t="str">
        <f>_xlfn.XLOOKUP(A6519,'[1]Tissue Data'!$A:$A,'[1]Tissue Data'!$C:$C)</f>
        <v>Spill</v>
      </c>
      <c r="C6519" s="2">
        <f>_xlfn.XLOOKUP(A6519,'[1]Tissue Data'!$A:$A,'[1]Tissue Data'!$D:$D)</f>
        <v>44393</v>
      </c>
      <c r="D6519" s="2" t="str">
        <f>_xlfn.XLOOKUP(A6519,'[1]Tissue Data'!$A:$A,'[1]Tissue Data'!$F:$F)</f>
        <v>Eastern Mudminnow</v>
      </c>
      <c r="E6519" t="str">
        <f>_xlfn.XLOOKUP(A6519,'[1]Tissue Data'!$A:$A,'[1]Tissue Data'!$H:$H)</f>
        <v>Umbra</v>
      </c>
      <c r="F6519" t="str">
        <f>_xlfn.XLOOKUP(A6519,'[1]Tissue Data'!$A:$A,'[1]Tissue Data'!$I:$I)</f>
        <v>pygmaea</v>
      </c>
      <c r="G6519" t="str">
        <f>_xlfn.XLOOKUP(A6519,'[1]Tissue Data'!$A:$A,'[1]Tissue Data'!J:J)</f>
        <v>U</v>
      </c>
      <c r="H6519" t="str">
        <f>_xlfn.XLOOKUP(A6519,'[1]Tissue Data'!$A:$A,'[1]Tissue Data'!K:K)</f>
        <v>Whole Body</v>
      </c>
      <c r="I6519">
        <f>_xlfn.XLOOKUP(A6519,'[1]Tissue Data'!$A:$A,'[1]Tissue Data'!L:L)</f>
        <v>6</v>
      </c>
      <c r="J6519">
        <f>_xlfn.XLOOKUP(A6519,'[1]Tissue Data'!$A:$A,'[1]Tissue Data'!M:M)</f>
        <v>2.62</v>
      </c>
      <c r="K6519" t="s">
        <v>29</v>
      </c>
      <c r="L6519" t="str">
        <f>_xlfn.XLOOKUP(K6519,[2]analyte_order!$B:$B,[2]analyte_order!$C:$C)</f>
        <v>1763-23-1</v>
      </c>
      <c r="M6519">
        <f>_xlfn.XLOOKUP(L6519,[2]analyte_order!$C:$C,[2]analyte_order!$E:$E)</f>
        <v>18</v>
      </c>
      <c r="N6519">
        <v>792</v>
      </c>
    </row>
    <row r="6520" spans="1:14">
      <c r="A6520" t="s">
        <v>172</v>
      </c>
      <c r="B6520" t="str">
        <f>_xlfn.XLOOKUP(A6520,'[1]Tissue Data'!$A:$A,'[1]Tissue Data'!$C:$C)</f>
        <v>Spill</v>
      </c>
      <c r="C6520" s="2">
        <f>_xlfn.XLOOKUP(A6520,'[1]Tissue Data'!$A:$A,'[1]Tissue Data'!$D:$D)</f>
        <v>44393</v>
      </c>
      <c r="D6520" s="2" t="str">
        <f>_xlfn.XLOOKUP(A6520,'[1]Tissue Data'!$A:$A,'[1]Tissue Data'!$F:$F)</f>
        <v>Eastern Mudminnow</v>
      </c>
      <c r="E6520" t="str">
        <f>_xlfn.XLOOKUP(A6520,'[1]Tissue Data'!$A:$A,'[1]Tissue Data'!$H:$H)</f>
        <v>Umbra</v>
      </c>
      <c r="F6520" t="str">
        <f>_xlfn.XLOOKUP(A6520,'[1]Tissue Data'!$A:$A,'[1]Tissue Data'!$I:$I)</f>
        <v>pygmaea</v>
      </c>
      <c r="G6520" t="str">
        <f>_xlfn.XLOOKUP(A6520,'[1]Tissue Data'!$A:$A,'[1]Tissue Data'!J:J)</f>
        <v>U</v>
      </c>
      <c r="H6520" t="str">
        <f>_xlfn.XLOOKUP(A6520,'[1]Tissue Data'!$A:$A,'[1]Tissue Data'!K:K)</f>
        <v>Whole Body</v>
      </c>
      <c r="I6520">
        <f>_xlfn.XLOOKUP(A6520,'[1]Tissue Data'!$A:$A,'[1]Tissue Data'!L:L)</f>
        <v>6</v>
      </c>
      <c r="J6520">
        <f>_xlfn.XLOOKUP(A6520,'[1]Tissue Data'!$A:$A,'[1]Tissue Data'!M:M)</f>
        <v>2.62</v>
      </c>
      <c r="K6520" t="s">
        <v>30</v>
      </c>
      <c r="L6520" t="str">
        <f>_xlfn.XLOOKUP(K6520,[2]analyte_order!$B:$B,[2]analyte_order!$C:$C)</f>
        <v>68259-12-1</v>
      </c>
      <c r="M6520">
        <f>_xlfn.XLOOKUP(L6520,[2]analyte_order!$C:$C,[2]analyte_order!$E:$E)</f>
        <v>19</v>
      </c>
      <c r="N6520">
        <v>0.99299999999999999</v>
      </c>
    </row>
    <row r="6521" spans="1:14">
      <c r="A6521" t="s">
        <v>172</v>
      </c>
      <c r="B6521" t="str">
        <f>_xlfn.XLOOKUP(A6521,'[1]Tissue Data'!$A:$A,'[1]Tissue Data'!$C:$C)</f>
        <v>Spill</v>
      </c>
      <c r="C6521" s="2">
        <f>_xlfn.XLOOKUP(A6521,'[1]Tissue Data'!$A:$A,'[1]Tissue Data'!$D:$D)</f>
        <v>44393</v>
      </c>
      <c r="D6521" s="2" t="str">
        <f>_xlfn.XLOOKUP(A6521,'[1]Tissue Data'!$A:$A,'[1]Tissue Data'!$F:$F)</f>
        <v>Eastern Mudminnow</v>
      </c>
      <c r="E6521" t="str">
        <f>_xlfn.XLOOKUP(A6521,'[1]Tissue Data'!$A:$A,'[1]Tissue Data'!$H:$H)</f>
        <v>Umbra</v>
      </c>
      <c r="F6521" t="str">
        <f>_xlfn.XLOOKUP(A6521,'[1]Tissue Data'!$A:$A,'[1]Tissue Data'!$I:$I)</f>
        <v>pygmaea</v>
      </c>
      <c r="G6521" t="str">
        <f>_xlfn.XLOOKUP(A6521,'[1]Tissue Data'!$A:$A,'[1]Tissue Data'!J:J)</f>
        <v>U</v>
      </c>
      <c r="H6521" t="str">
        <f>_xlfn.XLOOKUP(A6521,'[1]Tissue Data'!$A:$A,'[1]Tissue Data'!K:K)</f>
        <v>Whole Body</v>
      </c>
      <c r="I6521">
        <f>_xlfn.XLOOKUP(A6521,'[1]Tissue Data'!$A:$A,'[1]Tissue Data'!L:L)</f>
        <v>6</v>
      </c>
      <c r="J6521">
        <f>_xlfn.XLOOKUP(A6521,'[1]Tissue Data'!$A:$A,'[1]Tissue Data'!M:M)</f>
        <v>2.62</v>
      </c>
      <c r="K6521" t="s">
        <v>31</v>
      </c>
      <c r="L6521" t="str">
        <f>_xlfn.XLOOKUP(K6521,[2]analyte_order!$B:$B,[2]analyte_order!$C:$C)</f>
        <v>335-77-3</v>
      </c>
      <c r="M6521">
        <f>_xlfn.XLOOKUP(L6521,[2]analyte_order!$C:$C,[2]analyte_order!$E:$E)</f>
        <v>20</v>
      </c>
      <c r="N6521">
        <v>0.89</v>
      </c>
    </row>
    <row r="6522" spans="1:14">
      <c r="A6522" t="s">
        <v>172</v>
      </c>
      <c r="B6522" t="str">
        <f>_xlfn.XLOOKUP(A6522,'[1]Tissue Data'!$A:$A,'[1]Tissue Data'!$C:$C)</f>
        <v>Spill</v>
      </c>
      <c r="C6522" s="2">
        <f>_xlfn.XLOOKUP(A6522,'[1]Tissue Data'!$A:$A,'[1]Tissue Data'!$D:$D)</f>
        <v>44393</v>
      </c>
      <c r="D6522" s="2" t="str">
        <f>_xlfn.XLOOKUP(A6522,'[1]Tissue Data'!$A:$A,'[1]Tissue Data'!$F:$F)</f>
        <v>Eastern Mudminnow</v>
      </c>
      <c r="E6522" t="str">
        <f>_xlfn.XLOOKUP(A6522,'[1]Tissue Data'!$A:$A,'[1]Tissue Data'!$H:$H)</f>
        <v>Umbra</v>
      </c>
      <c r="F6522" t="str">
        <f>_xlfn.XLOOKUP(A6522,'[1]Tissue Data'!$A:$A,'[1]Tissue Data'!$I:$I)</f>
        <v>pygmaea</v>
      </c>
      <c r="G6522" t="str">
        <f>_xlfn.XLOOKUP(A6522,'[1]Tissue Data'!$A:$A,'[1]Tissue Data'!J:J)</f>
        <v>U</v>
      </c>
      <c r="H6522" t="str">
        <f>_xlfn.XLOOKUP(A6522,'[1]Tissue Data'!$A:$A,'[1]Tissue Data'!K:K)</f>
        <v>Whole Body</v>
      </c>
      <c r="I6522">
        <f>_xlfn.XLOOKUP(A6522,'[1]Tissue Data'!$A:$A,'[1]Tissue Data'!L:L)</f>
        <v>6</v>
      </c>
      <c r="J6522">
        <f>_xlfn.XLOOKUP(A6522,'[1]Tissue Data'!$A:$A,'[1]Tissue Data'!M:M)</f>
        <v>2.62</v>
      </c>
      <c r="K6522" t="s">
        <v>32</v>
      </c>
      <c r="L6522" t="str">
        <f>_xlfn.XLOOKUP(K6522,[2]analyte_order!$B:$B,[2]analyte_order!$C:$C)</f>
        <v>79780-39-5</v>
      </c>
      <c r="M6522">
        <f>_xlfn.XLOOKUP(L6522,[2]analyte_order!$C:$C,[2]analyte_order!$E:$E)</f>
        <v>21</v>
      </c>
      <c r="N6522">
        <v>0.25650000000000001</v>
      </c>
    </row>
    <row r="6523" spans="1:14">
      <c r="A6523" t="s">
        <v>172</v>
      </c>
      <c r="B6523" t="str">
        <f>_xlfn.XLOOKUP(A6523,'[1]Tissue Data'!$A:$A,'[1]Tissue Data'!$C:$C)</f>
        <v>Spill</v>
      </c>
      <c r="C6523" s="2">
        <f>_xlfn.XLOOKUP(A6523,'[1]Tissue Data'!$A:$A,'[1]Tissue Data'!$D:$D)</f>
        <v>44393</v>
      </c>
      <c r="D6523" s="2" t="str">
        <f>_xlfn.XLOOKUP(A6523,'[1]Tissue Data'!$A:$A,'[1]Tissue Data'!$F:$F)</f>
        <v>Eastern Mudminnow</v>
      </c>
      <c r="E6523" t="str">
        <f>_xlfn.XLOOKUP(A6523,'[1]Tissue Data'!$A:$A,'[1]Tissue Data'!$H:$H)</f>
        <v>Umbra</v>
      </c>
      <c r="F6523" t="str">
        <f>_xlfn.XLOOKUP(A6523,'[1]Tissue Data'!$A:$A,'[1]Tissue Data'!$I:$I)</f>
        <v>pygmaea</v>
      </c>
      <c r="G6523" t="str">
        <f>_xlfn.XLOOKUP(A6523,'[1]Tissue Data'!$A:$A,'[1]Tissue Data'!J:J)</f>
        <v>U</v>
      </c>
      <c r="H6523" t="str">
        <f>_xlfn.XLOOKUP(A6523,'[1]Tissue Data'!$A:$A,'[1]Tissue Data'!K:K)</f>
        <v>Whole Body</v>
      </c>
      <c r="I6523">
        <f>_xlfn.XLOOKUP(A6523,'[1]Tissue Data'!$A:$A,'[1]Tissue Data'!L:L)</f>
        <v>6</v>
      </c>
      <c r="J6523">
        <f>_xlfn.XLOOKUP(A6523,'[1]Tissue Data'!$A:$A,'[1]Tissue Data'!M:M)</f>
        <v>2.62</v>
      </c>
      <c r="K6523" t="s">
        <v>33</v>
      </c>
      <c r="L6523" t="str">
        <f>_xlfn.XLOOKUP(K6523,[2]analyte_order!$B:$B,[2]analyte_order!$C:$C)</f>
        <v>777011-38-8</v>
      </c>
      <c r="M6523">
        <f>_xlfn.XLOOKUP(L6523,[2]analyte_order!$C:$C,[2]analyte_order!$E:$E)</f>
        <v>54</v>
      </c>
      <c r="N6523">
        <v>0.14599999999999999</v>
      </c>
    </row>
    <row r="6524" spans="1:14">
      <c r="A6524" t="s">
        <v>172</v>
      </c>
      <c r="B6524" t="str">
        <f>_xlfn.XLOOKUP(A6524,'[1]Tissue Data'!$A:$A,'[1]Tissue Data'!$C:$C)</f>
        <v>Spill</v>
      </c>
      <c r="C6524" s="2">
        <f>_xlfn.XLOOKUP(A6524,'[1]Tissue Data'!$A:$A,'[1]Tissue Data'!$D:$D)</f>
        <v>44393</v>
      </c>
      <c r="D6524" s="2" t="str">
        <f>_xlfn.XLOOKUP(A6524,'[1]Tissue Data'!$A:$A,'[1]Tissue Data'!$F:$F)</f>
        <v>Eastern Mudminnow</v>
      </c>
      <c r="E6524" t="str">
        <f>_xlfn.XLOOKUP(A6524,'[1]Tissue Data'!$A:$A,'[1]Tissue Data'!$H:$H)</f>
        <v>Umbra</v>
      </c>
      <c r="F6524" t="str">
        <f>_xlfn.XLOOKUP(A6524,'[1]Tissue Data'!$A:$A,'[1]Tissue Data'!$I:$I)</f>
        <v>pygmaea</v>
      </c>
      <c r="G6524" t="str">
        <f>_xlfn.XLOOKUP(A6524,'[1]Tissue Data'!$A:$A,'[1]Tissue Data'!J:J)</f>
        <v>U</v>
      </c>
      <c r="H6524" t="str">
        <f>_xlfn.XLOOKUP(A6524,'[1]Tissue Data'!$A:$A,'[1]Tissue Data'!K:K)</f>
        <v>Whole Body</v>
      </c>
      <c r="I6524">
        <f>_xlfn.XLOOKUP(A6524,'[1]Tissue Data'!$A:$A,'[1]Tissue Data'!L:L)</f>
        <v>6</v>
      </c>
      <c r="J6524">
        <f>_xlfn.XLOOKUP(A6524,'[1]Tissue Data'!$A:$A,'[1]Tissue Data'!M:M)</f>
        <v>2.62</v>
      </c>
      <c r="K6524" t="s">
        <v>34</v>
      </c>
      <c r="L6524" t="str">
        <f>_xlfn.XLOOKUP(K6524,[2]analyte_order!$B:$B,[2]analyte_order!$C:$C)</f>
        <v>646-83-3</v>
      </c>
      <c r="M6524">
        <f>_xlfn.XLOOKUP(L6524,[2]analyte_order!$C:$C,[2]analyte_order!$E:$E)</f>
        <v>55</v>
      </c>
      <c r="N6524">
        <v>0.36</v>
      </c>
    </row>
    <row r="6525" spans="1:14">
      <c r="A6525" t="s">
        <v>172</v>
      </c>
      <c r="B6525" t="str">
        <f>_xlfn.XLOOKUP(A6525,'[1]Tissue Data'!$A:$A,'[1]Tissue Data'!$C:$C)</f>
        <v>Spill</v>
      </c>
      <c r="C6525" s="2">
        <f>_xlfn.XLOOKUP(A6525,'[1]Tissue Data'!$A:$A,'[1]Tissue Data'!$D:$D)</f>
        <v>44393</v>
      </c>
      <c r="D6525" s="2" t="str">
        <f>_xlfn.XLOOKUP(A6525,'[1]Tissue Data'!$A:$A,'[1]Tissue Data'!$F:$F)</f>
        <v>Eastern Mudminnow</v>
      </c>
      <c r="E6525" t="str">
        <f>_xlfn.XLOOKUP(A6525,'[1]Tissue Data'!$A:$A,'[1]Tissue Data'!$H:$H)</f>
        <v>Umbra</v>
      </c>
      <c r="F6525" t="str">
        <f>_xlfn.XLOOKUP(A6525,'[1]Tissue Data'!$A:$A,'[1]Tissue Data'!$I:$I)</f>
        <v>pygmaea</v>
      </c>
      <c r="G6525" t="str">
        <f>_xlfn.XLOOKUP(A6525,'[1]Tissue Data'!$A:$A,'[1]Tissue Data'!J:J)</f>
        <v>U</v>
      </c>
      <c r="H6525" t="str">
        <f>_xlfn.XLOOKUP(A6525,'[1]Tissue Data'!$A:$A,'[1]Tissue Data'!K:K)</f>
        <v>Whole Body</v>
      </c>
      <c r="I6525">
        <f>_xlfn.XLOOKUP(A6525,'[1]Tissue Data'!$A:$A,'[1]Tissue Data'!L:L)</f>
        <v>6</v>
      </c>
      <c r="J6525">
        <f>_xlfn.XLOOKUP(A6525,'[1]Tissue Data'!$A:$A,'[1]Tissue Data'!M:M)</f>
        <v>2.62</v>
      </c>
      <c r="K6525" t="s">
        <v>35</v>
      </c>
      <c r="L6525" t="str">
        <f>_xlfn.XLOOKUP(K6525,[2]analyte_order!$B:$B,[2]analyte_order!$C:$C)</f>
        <v>30334-69-1</v>
      </c>
      <c r="M6525">
        <f>_xlfn.XLOOKUP(L6525,[2]analyte_order!$C:$C,[2]analyte_order!$E:$E)</f>
        <v>51</v>
      </c>
      <c r="N6525">
        <v>43.1</v>
      </c>
    </row>
    <row r="6526" spans="1:14">
      <c r="A6526" t="s">
        <v>172</v>
      </c>
      <c r="B6526" t="str">
        <f>_xlfn.XLOOKUP(A6526,'[1]Tissue Data'!$A:$A,'[1]Tissue Data'!$C:$C)</f>
        <v>Spill</v>
      </c>
      <c r="C6526" s="2">
        <f>_xlfn.XLOOKUP(A6526,'[1]Tissue Data'!$A:$A,'[1]Tissue Data'!$D:$D)</f>
        <v>44393</v>
      </c>
      <c r="D6526" s="2" t="str">
        <f>_xlfn.XLOOKUP(A6526,'[1]Tissue Data'!$A:$A,'[1]Tissue Data'!$F:$F)</f>
        <v>Eastern Mudminnow</v>
      </c>
      <c r="E6526" t="str">
        <f>_xlfn.XLOOKUP(A6526,'[1]Tissue Data'!$A:$A,'[1]Tissue Data'!$H:$H)</f>
        <v>Umbra</v>
      </c>
      <c r="F6526" t="str">
        <f>_xlfn.XLOOKUP(A6526,'[1]Tissue Data'!$A:$A,'[1]Tissue Data'!$I:$I)</f>
        <v>pygmaea</v>
      </c>
      <c r="G6526" t="str">
        <f>_xlfn.XLOOKUP(A6526,'[1]Tissue Data'!$A:$A,'[1]Tissue Data'!J:J)</f>
        <v>U</v>
      </c>
      <c r="H6526" t="str">
        <f>_xlfn.XLOOKUP(A6526,'[1]Tissue Data'!$A:$A,'[1]Tissue Data'!K:K)</f>
        <v>Whole Body</v>
      </c>
      <c r="I6526">
        <f>_xlfn.XLOOKUP(A6526,'[1]Tissue Data'!$A:$A,'[1]Tissue Data'!L:L)</f>
        <v>6</v>
      </c>
      <c r="J6526">
        <f>_xlfn.XLOOKUP(A6526,'[1]Tissue Data'!$A:$A,'[1]Tissue Data'!M:M)</f>
        <v>2.62</v>
      </c>
      <c r="K6526" t="s">
        <v>36</v>
      </c>
      <c r="L6526" t="str">
        <f>_xlfn.XLOOKUP(K6526,[2]analyte_order!$B:$B,[2]analyte_order!$C:$C)</f>
        <v>41997-13-1</v>
      </c>
      <c r="M6526">
        <f>_xlfn.XLOOKUP(L6526,[2]analyte_order!$C:$C,[2]analyte_order!$E:$E)</f>
        <v>52</v>
      </c>
      <c r="N6526">
        <v>247</v>
      </c>
    </row>
    <row r="6527" spans="1:14">
      <c r="A6527" t="s">
        <v>172</v>
      </c>
      <c r="B6527" t="str">
        <f>_xlfn.XLOOKUP(A6527,'[1]Tissue Data'!$A:$A,'[1]Tissue Data'!$C:$C)</f>
        <v>Spill</v>
      </c>
      <c r="C6527" s="2">
        <f>_xlfn.XLOOKUP(A6527,'[1]Tissue Data'!$A:$A,'[1]Tissue Data'!$D:$D)</f>
        <v>44393</v>
      </c>
      <c r="D6527" s="2" t="str">
        <f>_xlfn.XLOOKUP(A6527,'[1]Tissue Data'!$A:$A,'[1]Tissue Data'!$F:$F)</f>
        <v>Eastern Mudminnow</v>
      </c>
      <c r="E6527" t="str">
        <f>_xlfn.XLOOKUP(A6527,'[1]Tissue Data'!$A:$A,'[1]Tissue Data'!$H:$H)</f>
        <v>Umbra</v>
      </c>
      <c r="F6527" t="str">
        <f>_xlfn.XLOOKUP(A6527,'[1]Tissue Data'!$A:$A,'[1]Tissue Data'!$I:$I)</f>
        <v>pygmaea</v>
      </c>
      <c r="G6527" t="str">
        <f>_xlfn.XLOOKUP(A6527,'[1]Tissue Data'!$A:$A,'[1]Tissue Data'!J:J)</f>
        <v>U</v>
      </c>
      <c r="H6527" t="str">
        <f>_xlfn.XLOOKUP(A6527,'[1]Tissue Data'!$A:$A,'[1]Tissue Data'!K:K)</f>
        <v>Whole Body</v>
      </c>
      <c r="I6527">
        <f>_xlfn.XLOOKUP(A6527,'[1]Tissue Data'!$A:$A,'[1]Tissue Data'!L:L)</f>
        <v>6</v>
      </c>
      <c r="J6527">
        <f>_xlfn.XLOOKUP(A6527,'[1]Tissue Data'!$A:$A,'[1]Tissue Data'!M:M)</f>
        <v>2.62</v>
      </c>
      <c r="K6527" t="s">
        <v>37</v>
      </c>
      <c r="L6527" t="str">
        <f>_xlfn.XLOOKUP(K6527,[2]analyte_order!$B:$B,[2]analyte_order!$C:$C)</f>
        <v>754-91-6</v>
      </c>
      <c r="M6527">
        <f>_xlfn.XLOOKUP(L6527,[2]analyte_order!$C:$C,[2]analyte_order!$E:$E)</f>
        <v>28</v>
      </c>
      <c r="N6527">
        <v>14.1</v>
      </c>
    </row>
    <row r="6528" spans="1:14">
      <c r="A6528" t="s">
        <v>172</v>
      </c>
      <c r="B6528" t="str">
        <f>_xlfn.XLOOKUP(A6528,'[1]Tissue Data'!$A:$A,'[1]Tissue Data'!$C:$C)</f>
        <v>Spill</v>
      </c>
      <c r="C6528" s="2">
        <f>_xlfn.XLOOKUP(A6528,'[1]Tissue Data'!$A:$A,'[1]Tissue Data'!$D:$D)</f>
        <v>44393</v>
      </c>
      <c r="D6528" s="2" t="str">
        <f>_xlfn.XLOOKUP(A6528,'[1]Tissue Data'!$A:$A,'[1]Tissue Data'!$F:$F)</f>
        <v>Eastern Mudminnow</v>
      </c>
      <c r="E6528" t="str">
        <f>_xlfn.XLOOKUP(A6528,'[1]Tissue Data'!$A:$A,'[1]Tissue Data'!$H:$H)</f>
        <v>Umbra</v>
      </c>
      <c r="F6528" t="str">
        <f>_xlfn.XLOOKUP(A6528,'[1]Tissue Data'!$A:$A,'[1]Tissue Data'!$I:$I)</f>
        <v>pygmaea</v>
      </c>
      <c r="G6528" t="str">
        <f>_xlfn.XLOOKUP(A6528,'[1]Tissue Data'!$A:$A,'[1]Tissue Data'!J:J)</f>
        <v>U</v>
      </c>
      <c r="H6528" t="str">
        <f>_xlfn.XLOOKUP(A6528,'[1]Tissue Data'!$A:$A,'[1]Tissue Data'!K:K)</f>
        <v>Whole Body</v>
      </c>
      <c r="I6528">
        <f>_xlfn.XLOOKUP(A6528,'[1]Tissue Data'!$A:$A,'[1]Tissue Data'!L:L)</f>
        <v>6</v>
      </c>
      <c r="J6528">
        <f>_xlfn.XLOOKUP(A6528,'[1]Tissue Data'!$A:$A,'[1]Tissue Data'!M:M)</f>
        <v>2.62</v>
      </c>
      <c r="K6528" t="s">
        <v>38</v>
      </c>
      <c r="L6528" t="str">
        <f>_xlfn.XLOOKUP(K6528,[2]analyte_order!$B:$B,[2]analyte_order!$C:$C)</f>
        <v>31506-32-8</v>
      </c>
      <c r="M6528">
        <f>_xlfn.XLOOKUP(L6528,[2]analyte_order!$C:$C,[2]analyte_order!$E:$E)</f>
        <v>30</v>
      </c>
      <c r="N6528">
        <v>9.2499999999999999E-2</v>
      </c>
    </row>
    <row r="6529" spans="1:14">
      <c r="A6529" t="s">
        <v>172</v>
      </c>
      <c r="B6529" t="str">
        <f>_xlfn.XLOOKUP(A6529,'[1]Tissue Data'!$A:$A,'[1]Tissue Data'!$C:$C)</f>
        <v>Spill</v>
      </c>
      <c r="C6529" s="2">
        <f>_xlfn.XLOOKUP(A6529,'[1]Tissue Data'!$A:$A,'[1]Tissue Data'!$D:$D)</f>
        <v>44393</v>
      </c>
      <c r="D6529" s="2" t="str">
        <f>_xlfn.XLOOKUP(A6529,'[1]Tissue Data'!$A:$A,'[1]Tissue Data'!$F:$F)</f>
        <v>Eastern Mudminnow</v>
      </c>
      <c r="E6529" t="str">
        <f>_xlfn.XLOOKUP(A6529,'[1]Tissue Data'!$A:$A,'[1]Tissue Data'!$H:$H)</f>
        <v>Umbra</v>
      </c>
      <c r="F6529" t="str">
        <f>_xlfn.XLOOKUP(A6529,'[1]Tissue Data'!$A:$A,'[1]Tissue Data'!$I:$I)</f>
        <v>pygmaea</v>
      </c>
      <c r="G6529" t="str">
        <f>_xlfn.XLOOKUP(A6529,'[1]Tissue Data'!$A:$A,'[1]Tissue Data'!J:J)</f>
        <v>U</v>
      </c>
      <c r="H6529" t="str">
        <f>_xlfn.XLOOKUP(A6529,'[1]Tissue Data'!$A:$A,'[1]Tissue Data'!K:K)</f>
        <v>Whole Body</v>
      </c>
      <c r="I6529">
        <f>_xlfn.XLOOKUP(A6529,'[1]Tissue Data'!$A:$A,'[1]Tissue Data'!L:L)</f>
        <v>6</v>
      </c>
      <c r="J6529">
        <f>_xlfn.XLOOKUP(A6529,'[1]Tissue Data'!$A:$A,'[1]Tissue Data'!M:M)</f>
        <v>2.62</v>
      </c>
      <c r="K6529" t="s">
        <v>39</v>
      </c>
      <c r="L6529" t="str">
        <f>_xlfn.XLOOKUP(K6529,[2]analyte_order!$B:$B,[2]analyte_order!$C:$C)</f>
        <v>4151-50-2</v>
      </c>
      <c r="M6529">
        <f>_xlfn.XLOOKUP(L6529,[2]analyte_order!$C:$C,[2]analyte_order!$E:$E)</f>
        <v>31</v>
      </c>
      <c r="N6529">
        <v>0.24</v>
      </c>
    </row>
    <row r="6530" spans="1:14">
      <c r="A6530" t="s">
        <v>172</v>
      </c>
      <c r="B6530" t="str">
        <f>_xlfn.XLOOKUP(A6530,'[1]Tissue Data'!$A:$A,'[1]Tissue Data'!$C:$C)</f>
        <v>Spill</v>
      </c>
      <c r="C6530" s="2">
        <f>_xlfn.XLOOKUP(A6530,'[1]Tissue Data'!$A:$A,'[1]Tissue Data'!$D:$D)</f>
        <v>44393</v>
      </c>
      <c r="D6530" s="2" t="str">
        <f>_xlfn.XLOOKUP(A6530,'[1]Tissue Data'!$A:$A,'[1]Tissue Data'!$F:$F)</f>
        <v>Eastern Mudminnow</v>
      </c>
      <c r="E6530" t="str">
        <f>_xlfn.XLOOKUP(A6530,'[1]Tissue Data'!$A:$A,'[1]Tissue Data'!$H:$H)</f>
        <v>Umbra</v>
      </c>
      <c r="F6530" t="str">
        <f>_xlfn.XLOOKUP(A6530,'[1]Tissue Data'!$A:$A,'[1]Tissue Data'!$I:$I)</f>
        <v>pygmaea</v>
      </c>
      <c r="G6530" t="str">
        <f>_xlfn.XLOOKUP(A6530,'[1]Tissue Data'!$A:$A,'[1]Tissue Data'!J:J)</f>
        <v>U</v>
      </c>
      <c r="H6530" t="str">
        <f>_xlfn.XLOOKUP(A6530,'[1]Tissue Data'!$A:$A,'[1]Tissue Data'!K:K)</f>
        <v>Whole Body</v>
      </c>
      <c r="I6530">
        <f>_xlfn.XLOOKUP(A6530,'[1]Tissue Data'!$A:$A,'[1]Tissue Data'!L:L)</f>
        <v>6</v>
      </c>
      <c r="J6530">
        <f>_xlfn.XLOOKUP(A6530,'[1]Tissue Data'!$A:$A,'[1]Tissue Data'!M:M)</f>
        <v>2.62</v>
      </c>
      <c r="K6530" t="s">
        <v>40</v>
      </c>
      <c r="L6530" t="str">
        <f>_xlfn.XLOOKUP(K6530,[2]analyte_order!$B:$B,[2]analyte_order!$C:$C)</f>
        <v>2806-24-8</v>
      </c>
      <c r="M6530">
        <f>_xlfn.XLOOKUP(L6530,[2]analyte_order!$C:$C,[2]analyte_order!$E:$E)</f>
        <v>29</v>
      </c>
      <c r="N6530">
        <v>0.24</v>
      </c>
    </row>
    <row r="6531" spans="1:14">
      <c r="A6531" t="s">
        <v>172</v>
      </c>
      <c r="B6531" t="str">
        <f>_xlfn.XLOOKUP(A6531,'[1]Tissue Data'!$A:$A,'[1]Tissue Data'!$C:$C)</f>
        <v>Spill</v>
      </c>
      <c r="C6531" s="2">
        <f>_xlfn.XLOOKUP(A6531,'[1]Tissue Data'!$A:$A,'[1]Tissue Data'!$D:$D)</f>
        <v>44393</v>
      </c>
      <c r="D6531" s="2" t="str">
        <f>_xlfn.XLOOKUP(A6531,'[1]Tissue Data'!$A:$A,'[1]Tissue Data'!$F:$F)</f>
        <v>Eastern Mudminnow</v>
      </c>
      <c r="E6531" t="str">
        <f>_xlfn.XLOOKUP(A6531,'[1]Tissue Data'!$A:$A,'[1]Tissue Data'!$H:$H)</f>
        <v>Umbra</v>
      </c>
      <c r="F6531" t="str">
        <f>_xlfn.XLOOKUP(A6531,'[1]Tissue Data'!$A:$A,'[1]Tissue Data'!$I:$I)</f>
        <v>pygmaea</v>
      </c>
      <c r="G6531" t="str">
        <f>_xlfn.XLOOKUP(A6531,'[1]Tissue Data'!$A:$A,'[1]Tissue Data'!J:J)</f>
        <v>U</v>
      </c>
      <c r="H6531" t="str">
        <f>_xlfn.XLOOKUP(A6531,'[1]Tissue Data'!$A:$A,'[1]Tissue Data'!K:K)</f>
        <v>Whole Body</v>
      </c>
      <c r="I6531">
        <f>_xlfn.XLOOKUP(A6531,'[1]Tissue Data'!$A:$A,'[1]Tissue Data'!L:L)</f>
        <v>6</v>
      </c>
      <c r="J6531">
        <f>_xlfn.XLOOKUP(A6531,'[1]Tissue Data'!$A:$A,'[1]Tissue Data'!M:M)</f>
        <v>2.62</v>
      </c>
      <c r="K6531" t="s">
        <v>41</v>
      </c>
      <c r="L6531" t="str">
        <f>_xlfn.XLOOKUP(K6531,[2]analyte_order!$B:$B,[2]analyte_order!$C:$C)</f>
        <v>2355-31-9</v>
      </c>
      <c r="M6531">
        <f>_xlfn.XLOOKUP(L6531,[2]analyte_order!$C:$C,[2]analyte_order!$E:$E)</f>
        <v>26</v>
      </c>
      <c r="N6531">
        <v>0.1205</v>
      </c>
    </row>
    <row r="6532" spans="1:14">
      <c r="A6532" t="s">
        <v>172</v>
      </c>
      <c r="B6532" t="str">
        <f>_xlfn.XLOOKUP(A6532,'[1]Tissue Data'!$A:$A,'[1]Tissue Data'!$C:$C)</f>
        <v>Spill</v>
      </c>
      <c r="C6532" s="2">
        <f>_xlfn.XLOOKUP(A6532,'[1]Tissue Data'!$A:$A,'[1]Tissue Data'!$D:$D)</f>
        <v>44393</v>
      </c>
      <c r="D6532" s="2" t="str">
        <f>_xlfn.XLOOKUP(A6532,'[1]Tissue Data'!$A:$A,'[1]Tissue Data'!$F:$F)</f>
        <v>Eastern Mudminnow</v>
      </c>
      <c r="E6532" t="str">
        <f>_xlfn.XLOOKUP(A6532,'[1]Tissue Data'!$A:$A,'[1]Tissue Data'!$H:$H)</f>
        <v>Umbra</v>
      </c>
      <c r="F6532" t="str">
        <f>_xlfn.XLOOKUP(A6532,'[1]Tissue Data'!$A:$A,'[1]Tissue Data'!$I:$I)</f>
        <v>pygmaea</v>
      </c>
      <c r="G6532" t="str">
        <f>_xlfn.XLOOKUP(A6532,'[1]Tissue Data'!$A:$A,'[1]Tissue Data'!J:J)</f>
        <v>U</v>
      </c>
      <c r="H6532" t="str">
        <f>_xlfn.XLOOKUP(A6532,'[1]Tissue Data'!$A:$A,'[1]Tissue Data'!K:K)</f>
        <v>Whole Body</v>
      </c>
      <c r="I6532">
        <f>_xlfn.XLOOKUP(A6532,'[1]Tissue Data'!$A:$A,'[1]Tissue Data'!L:L)</f>
        <v>6</v>
      </c>
      <c r="J6532">
        <f>_xlfn.XLOOKUP(A6532,'[1]Tissue Data'!$A:$A,'[1]Tissue Data'!M:M)</f>
        <v>2.62</v>
      </c>
      <c r="K6532" t="s">
        <v>42</v>
      </c>
      <c r="L6532" t="str">
        <f>_xlfn.XLOOKUP(K6532,[2]analyte_order!$B:$B,[2]analyte_order!$C:$C)</f>
        <v>2991-50-6</v>
      </c>
      <c r="M6532">
        <f>_xlfn.XLOOKUP(L6532,[2]analyte_order!$C:$C,[2]analyte_order!$E:$E)</f>
        <v>27</v>
      </c>
      <c r="N6532">
        <v>0.12</v>
      </c>
    </row>
    <row r="6533" spans="1:14">
      <c r="A6533" t="s">
        <v>172</v>
      </c>
      <c r="B6533" t="str">
        <f>_xlfn.XLOOKUP(A6533,'[1]Tissue Data'!$A:$A,'[1]Tissue Data'!$C:$C)</f>
        <v>Spill</v>
      </c>
      <c r="C6533" s="2">
        <f>_xlfn.XLOOKUP(A6533,'[1]Tissue Data'!$A:$A,'[1]Tissue Data'!$D:$D)</f>
        <v>44393</v>
      </c>
      <c r="D6533" s="2" t="str">
        <f>_xlfn.XLOOKUP(A6533,'[1]Tissue Data'!$A:$A,'[1]Tissue Data'!$F:$F)</f>
        <v>Eastern Mudminnow</v>
      </c>
      <c r="E6533" t="str">
        <f>_xlfn.XLOOKUP(A6533,'[1]Tissue Data'!$A:$A,'[1]Tissue Data'!$H:$H)</f>
        <v>Umbra</v>
      </c>
      <c r="F6533" t="str">
        <f>_xlfn.XLOOKUP(A6533,'[1]Tissue Data'!$A:$A,'[1]Tissue Data'!$I:$I)</f>
        <v>pygmaea</v>
      </c>
      <c r="G6533" t="str">
        <f>_xlfn.XLOOKUP(A6533,'[1]Tissue Data'!$A:$A,'[1]Tissue Data'!J:J)</f>
        <v>U</v>
      </c>
      <c r="H6533" t="str">
        <f>_xlfn.XLOOKUP(A6533,'[1]Tissue Data'!$A:$A,'[1]Tissue Data'!K:K)</f>
        <v>Whole Body</v>
      </c>
      <c r="I6533">
        <f>_xlfn.XLOOKUP(A6533,'[1]Tissue Data'!$A:$A,'[1]Tissue Data'!L:L)</f>
        <v>6</v>
      </c>
      <c r="J6533">
        <f>_xlfn.XLOOKUP(A6533,'[1]Tissue Data'!$A:$A,'[1]Tissue Data'!M:M)</f>
        <v>2.62</v>
      </c>
      <c r="K6533" t="s">
        <v>43</v>
      </c>
      <c r="L6533" t="str">
        <f>_xlfn.XLOOKUP(K6533,[2]analyte_order!$B:$B,[2]analyte_order!$C:$C)</f>
        <v>757124-72-4</v>
      </c>
      <c r="M6533">
        <f>_xlfn.XLOOKUP(L6533,[2]analyte_order!$C:$C,[2]analyte_order!$E:$E)</f>
        <v>22</v>
      </c>
      <c r="N6533">
        <v>0.12</v>
      </c>
    </row>
    <row r="6534" spans="1:14">
      <c r="A6534" t="s">
        <v>172</v>
      </c>
      <c r="B6534" t="str">
        <f>_xlfn.XLOOKUP(A6534,'[1]Tissue Data'!$A:$A,'[1]Tissue Data'!$C:$C)</f>
        <v>Spill</v>
      </c>
      <c r="C6534" s="2">
        <f>_xlfn.XLOOKUP(A6534,'[1]Tissue Data'!$A:$A,'[1]Tissue Data'!$D:$D)</f>
        <v>44393</v>
      </c>
      <c r="D6534" s="2" t="str">
        <f>_xlfn.XLOOKUP(A6534,'[1]Tissue Data'!$A:$A,'[1]Tissue Data'!$F:$F)</f>
        <v>Eastern Mudminnow</v>
      </c>
      <c r="E6534" t="str">
        <f>_xlfn.XLOOKUP(A6534,'[1]Tissue Data'!$A:$A,'[1]Tissue Data'!$H:$H)</f>
        <v>Umbra</v>
      </c>
      <c r="F6534" t="str">
        <f>_xlfn.XLOOKUP(A6534,'[1]Tissue Data'!$A:$A,'[1]Tissue Data'!$I:$I)</f>
        <v>pygmaea</v>
      </c>
      <c r="G6534" t="str">
        <f>_xlfn.XLOOKUP(A6534,'[1]Tissue Data'!$A:$A,'[1]Tissue Data'!J:J)</f>
        <v>U</v>
      </c>
      <c r="H6534" t="str">
        <f>_xlfn.XLOOKUP(A6534,'[1]Tissue Data'!$A:$A,'[1]Tissue Data'!K:K)</f>
        <v>Whole Body</v>
      </c>
      <c r="I6534">
        <f>_xlfn.XLOOKUP(A6534,'[1]Tissue Data'!$A:$A,'[1]Tissue Data'!L:L)</f>
        <v>6</v>
      </c>
      <c r="J6534">
        <f>_xlfn.XLOOKUP(A6534,'[1]Tissue Data'!$A:$A,'[1]Tissue Data'!M:M)</f>
        <v>2.62</v>
      </c>
      <c r="K6534" t="s">
        <v>44</v>
      </c>
      <c r="L6534" t="str">
        <f>_xlfn.XLOOKUP(K6534,[2]analyte_order!$B:$B,[2]analyte_order!$C:$C)</f>
        <v>27619-97-2</v>
      </c>
      <c r="M6534">
        <f>_xlfn.XLOOKUP(L6534,[2]analyte_order!$C:$C,[2]analyte_order!$E:$E)</f>
        <v>23</v>
      </c>
      <c r="N6534">
        <v>3.21</v>
      </c>
    </row>
    <row r="6535" spans="1:14">
      <c r="A6535" t="s">
        <v>172</v>
      </c>
      <c r="B6535" t="str">
        <f>_xlfn.XLOOKUP(A6535,'[1]Tissue Data'!$A:$A,'[1]Tissue Data'!$C:$C)</f>
        <v>Spill</v>
      </c>
      <c r="C6535" s="2">
        <f>_xlfn.XLOOKUP(A6535,'[1]Tissue Data'!$A:$A,'[1]Tissue Data'!$D:$D)</f>
        <v>44393</v>
      </c>
      <c r="D6535" s="2" t="str">
        <f>_xlfn.XLOOKUP(A6535,'[1]Tissue Data'!$A:$A,'[1]Tissue Data'!$F:$F)</f>
        <v>Eastern Mudminnow</v>
      </c>
      <c r="E6535" t="str">
        <f>_xlfn.XLOOKUP(A6535,'[1]Tissue Data'!$A:$A,'[1]Tissue Data'!$H:$H)</f>
        <v>Umbra</v>
      </c>
      <c r="F6535" t="str">
        <f>_xlfn.XLOOKUP(A6535,'[1]Tissue Data'!$A:$A,'[1]Tissue Data'!$I:$I)</f>
        <v>pygmaea</v>
      </c>
      <c r="G6535" t="str">
        <f>_xlfn.XLOOKUP(A6535,'[1]Tissue Data'!$A:$A,'[1]Tissue Data'!J:J)</f>
        <v>U</v>
      </c>
      <c r="H6535" t="str">
        <f>_xlfn.XLOOKUP(A6535,'[1]Tissue Data'!$A:$A,'[1]Tissue Data'!K:K)</f>
        <v>Whole Body</v>
      </c>
      <c r="I6535">
        <f>_xlfn.XLOOKUP(A6535,'[1]Tissue Data'!$A:$A,'[1]Tissue Data'!L:L)</f>
        <v>6</v>
      </c>
      <c r="J6535">
        <f>_xlfn.XLOOKUP(A6535,'[1]Tissue Data'!$A:$A,'[1]Tissue Data'!M:M)</f>
        <v>2.62</v>
      </c>
      <c r="K6535" t="s">
        <v>45</v>
      </c>
      <c r="L6535" t="str">
        <f>_xlfn.XLOOKUP(K6535,[2]analyte_order!$B:$B,[2]analyte_order!$C:$C)</f>
        <v>39108-34-4</v>
      </c>
      <c r="M6535">
        <f>_xlfn.XLOOKUP(L6535,[2]analyte_order!$C:$C,[2]analyte_order!$E:$E)</f>
        <v>24</v>
      </c>
      <c r="N6535">
        <v>2.7</v>
      </c>
    </row>
    <row r="6536" spans="1:14">
      <c r="A6536" t="s">
        <v>172</v>
      </c>
      <c r="B6536" t="str">
        <f>_xlfn.XLOOKUP(A6536,'[1]Tissue Data'!$A:$A,'[1]Tissue Data'!$C:$C)</f>
        <v>Spill</v>
      </c>
      <c r="C6536" s="2">
        <f>_xlfn.XLOOKUP(A6536,'[1]Tissue Data'!$A:$A,'[1]Tissue Data'!$D:$D)</f>
        <v>44393</v>
      </c>
      <c r="D6536" s="2" t="str">
        <f>_xlfn.XLOOKUP(A6536,'[1]Tissue Data'!$A:$A,'[1]Tissue Data'!$F:$F)</f>
        <v>Eastern Mudminnow</v>
      </c>
      <c r="E6536" t="str">
        <f>_xlfn.XLOOKUP(A6536,'[1]Tissue Data'!$A:$A,'[1]Tissue Data'!$H:$H)</f>
        <v>Umbra</v>
      </c>
      <c r="F6536" t="str">
        <f>_xlfn.XLOOKUP(A6536,'[1]Tissue Data'!$A:$A,'[1]Tissue Data'!$I:$I)</f>
        <v>pygmaea</v>
      </c>
      <c r="G6536" t="str">
        <f>_xlfn.XLOOKUP(A6536,'[1]Tissue Data'!$A:$A,'[1]Tissue Data'!J:J)</f>
        <v>U</v>
      </c>
      <c r="H6536" t="str">
        <f>_xlfn.XLOOKUP(A6536,'[1]Tissue Data'!$A:$A,'[1]Tissue Data'!K:K)</f>
        <v>Whole Body</v>
      </c>
      <c r="I6536">
        <f>_xlfn.XLOOKUP(A6536,'[1]Tissue Data'!$A:$A,'[1]Tissue Data'!L:L)</f>
        <v>6</v>
      </c>
      <c r="J6536">
        <f>_xlfn.XLOOKUP(A6536,'[1]Tissue Data'!$A:$A,'[1]Tissue Data'!M:M)</f>
        <v>2.62</v>
      </c>
      <c r="K6536" t="s">
        <v>46</v>
      </c>
      <c r="L6536" t="str">
        <f>_xlfn.XLOOKUP(K6536,[2]analyte_order!$B:$B,[2]analyte_order!$C:$C)</f>
        <v>120226-60-0</v>
      </c>
      <c r="M6536">
        <f>_xlfn.XLOOKUP(L6536,[2]analyte_order!$C:$C,[2]analyte_order!$E:$E)</f>
        <v>25</v>
      </c>
      <c r="N6536">
        <v>0.48</v>
      </c>
    </row>
    <row r="6537" spans="1:14">
      <c r="A6537" t="s">
        <v>172</v>
      </c>
      <c r="B6537" t="str">
        <f>_xlfn.XLOOKUP(A6537,'[1]Tissue Data'!$A:$A,'[1]Tissue Data'!$C:$C)</f>
        <v>Spill</v>
      </c>
      <c r="C6537" s="2">
        <f>_xlfn.XLOOKUP(A6537,'[1]Tissue Data'!$A:$A,'[1]Tissue Data'!$D:$D)</f>
        <v>44393</v>
      </c>
      <c r="D6537" s="2" t="str">
        <f>_xlfn.XLOOKUP(A6537,'[1]Tissue Data'!$A:$A,'[1]Tissue Data'!$F:$F)</f>
        <v>Eastern Mudminnow</v>
      </c>
      <c r="E6537" t="str">
        <f>_xlfn.XLOOKUP(A6537,'[1]Tissue Data'!$A:$A,'[1]Tissue Data'!$H:$H)</f>
        <v>Umbra</v>
      </c>
      <c r="F6537" t="str">
        <f>_xlfn.XLOOKUP(A6537,'[1]Tissue Data'!$A:$A,'[1]Tissue Data'!$I:$I)</f>
        <v>pygmaea</v>
      </c>
      <c r="G6537" t="str">
        <f>_xlfn.XLOOKUP(A6537,'[1]Tissue Data'!$A:$A,'[1]Tissue Data'!J:J)</f>
        <v>U</v>
      </c>
      <c r="H6537" t="str">
        <f>_xlfn.XLOOKUP(A6537,'[1]Tissue Data'!$A:$A,'[1]Tissue Data'!K:K)</f>
        <v>Whole Body</v>
      </c>
      <c r="I6537">
        <f>_xlfn.XLOOKUP(A6537,'[1]Tissue Data'!$A:$A,'[1]Tissue Data'!L:L)</f>
        <v>6</v>
      </c>
      <c r="J6537">
        <f>_xlfn.XLOOKUP(A6537,'[1]Tissue Data'!$A:$A,'[1]Tissue Data'!M:M)</f>
        <v>2.62</v>
      </c>
      <c r="K6537" t="s">
        <v>47</v>
      </c>
      <c r="L6537" t="str">
        <f>_xlfn.XLOOKUP(K6537,[2]analyte_order!$B:$B,[2]analyte_order!$C:$C)</f>
        <v>356-02-5</v>
      </c>
      <c r="M6537">
        <f>_xlfn.XLOOKUP(L6537,[2]analyte_order!$C:$C,[2]analyte_order!$E:$E)</f>
        <v>38</v>
      </c>
      <c r="N6537">
        <v>0.24</v>
      </c>
    </row>
    <row r="6538" spans="1:14">
      <c r="A6538" t="s">
        <v>172</v>
      </c>
      <c r="B6538" t="str">
        <f>_xlfn.XLOOKUP(A6538,'[1]Tissue Data'!$A:$A,'[1]Tissue Data'!$C:$C)</f>
        <v>Spill</v>
      </c>
      <c r="C6538" s="2">
        <f>_xlfn.XLOOKUP(A6538,'[1]Tissue Data'!$A:$A,'[1]Tissue Data'!$D:$D)</f>
        <v>44393</v>
      </c>
      <c r="D6538" s="2" t="str">
        <f>_xlfn.XLOOKUP(A6538,'[1]Tissue Data'!$A:$A,'[1]Tissue Data'!$F:$F)</f>
        <v>Eastern Mudminnow</v>
      </c>
      <c r="E6538" t="str">
        <f>_xlfn.XLOOKUP(A6538,'[1]Tissue Data'!$A:$A,'[1]Tissue Data'!$H:$H)</f>
        <v>Umbra</v>
      </c>
      <c r="F6538" t="str">
        <f>_xlfn.XLOOKUP(A6538,'[1]Tissue Data'!$A:$A,'[1]Tissue Data'!$I:$I)</f>
        <v>pygmaea</v>
      </c>
      <c r="G6538" t="str">
        <f>_xlfn.XLOOKUP(A6538,'[1]Tissue Data'!$A:$A,'[1]Tissue Data'!J:J)</f>
        <v>U</v>
      </c>
      <c r="H6538" t="str">
        <f>_xlfn.XLOOKUP(A6538,'[1]Tissue Data'!$A:$A,'[1]Tissue Data'!K:K)</f>
        <v>Whole Body</v>
      </c>
      <c r="I6538">
        <f>_xlfn.XLOOKUP(A6538,'[1]Tissue Data'!$A:$A,'[1]Tissue Data'!L:L)</f>
        <v>6</v>
      </c>
      <c r="J6538">
        <f>_xlfn.XLOOKUP(A6538,'[1]Tissue Data'!$A:$A,'[1]Tissue Data'!M:M)</f>
        <v>2.62</v>
      </c>
      <c r="K6538" t="s">
        <v>48</v>
      </c>
      <c r="L6538" t="str">
        <f>_xlfn.XLOOKUP(K6538,[2]analyte_order!$B:$B,[2]analyte_order!$C:$C)</f>
        <v>914637-49-3</v>
      </c>
      <c r="M6538">
        <f>_xlfn.XLOOKUP(L6538,[2]analyte_order!$C:$C,[2]analyte_order!$E:$E)</f>
        <v>39</v>
      </c>
      <c r="N6538">
        <v>10.3</v>
      </c>
    </row>
    <row r="6539" spans="1:14">
      <c r="A6539" t="s">
        <v>172</v>
      </c>
      <c r="B6539" t="str">
        <f>_xlfn.XLOOKUP(A6539,'[1]Tissue Data'!$A:$A,'[1]Tissue Data'!$C:$C)</f>
        <v>Spill</v>
      </c>
      <c r="C6539" s="2">
        <f>_xlfn.XLOOKUP(A6539,'[1]Tissue Data'!$A:$A,'[1]Tissue Data'!$D:$D)</f>
        <v>44393</v>
      </c>
      <c r="D6539" s="2" t="str">
        <f>_xlfn.XLOOKUP(A6539,'[1]Tissue Data'!$A:$A,'[1]Tissue Data'!$F:$F)</f>
        <v>Eastern Mudminnow</v>
      </c>
      <c r="E6539" t="str">
        <f>_xlfn.XLOOKUP(A6539,'[1]Tissue Data'!$A:$A,'[1]Tissue Data'!$H:$H)</f>
        <v>Umbra</v>
      </c>
      <c r="F6539" t="str">
        <f>_xlfn.XLOOKUP(A6539,'[1]Tissue Data'!$A:$A,'[1]Tissue Data'!$I:$I)</f>
        <v>pygmaea</v>
      </c>
      <c r="G6539" t="str">
        <f>_xlfn.XLOOKUP(A6539,'[1]Tissue Data'!$A:$A,'[1]Tissue Data'!J:J)</f>
        <v>U</v>
      </c>
      <c r="H6539" t="str">
        <f>_xlfn.XLOOKUP(A6539,'[1]Tissue Data'!$A:$A,'[1]Tissue Data'!K:K)</f>
        <v>Whole Body</v>
      </c>
      <c r="I6539">
        <f>_xlfn.XLOOKUP(A6539,'[1]Tissue Data'!$A:$A,'[1]Tissue Data'!L:L)</f>
        <v>6</v>
      </c>
      <c r="J6539">
        <f>_xlfn.XLOOKUP(A6539,'[1]Tissue Data'!$A:$A,'[1]Tissue Data'!M:M)</f>
        <v>2.62</v>
      </c>
      <c r="K6539" t="s">
        <v>49</v>
      </c>
      <c r="L6539" t="str">
        <f>_xlfn.XLOOKUP(K6539,[2]analyte_order!$B:$B,[2]analyte_order!$C:$C)</f>
        <v>812-70-4</v>
      </c>
      <c r="M6539">
        <f>_xlfn.XLOOKUP(L6539,[2]analyte_order!$C:$C,[2]analyte_order!$E:$E)</f>
        <v>40</v>
      </c>
      <c r="N6539">
        <v>6.56</v>
      </c>
    </row>
    <row r="6540" spans="1:14">
      <c r="A6540" t="s">
        <v>172</v>
      </c>
      <c r="B6540" t="str">
        <f>_xlfn.XLOOKUP(A6540,'[1]Tissue Data'!$A:$A,'[1]Tissue Data'!$C:$C)</f>
        <v>Spill</v>
      </c>
      <c r="C6540" s="2">
        <f>_xlfn.XLOOKUP(A6540,'[1]Tissue Data'!$A:$A,'[1]Tissue Data'!$D:$D)</f>
        <v>44393</v>
      </c>
      <c r="D6540" s="2" t="str">
        <f>_xlfn.XLOOKUP(A6540,'[1]Tissue Data'!$A:$A,'[1]Tissue Data'!$F:$F)</f>
        <v>Eastern Mudminnow</v>
      </c>
      <c r="E6540" t="str">
        <f>_xlfn.XLOOKUP(A6540,'[1]Tissue Data'!$A:$A,'[1]Tissue Data'!$H:$H)</f>
        <v>Umbra</v>
      </c>
      <c r="F6540" t="str">
        <f>_xlfn.XLOOKUP(A6540,'[1]Tissue Data'!$A:$A,'[1]Tissue Data'!$I:$I)</f>
        <v>pygmaea</v>
      </c>
      <c r="G6540" t="str">
        <f>_xlfn.XLOOKUP(A6540,'[1]Tissue Data'!$A:$A,'[1]Tissue Data'!J:J)</f>
        <v>U</v>
      </c>
      <c r="H6540" t="str">
        <f>_xlfn.XLOOKUP(A6540,'[1]Tissue Data'!$A:$A,'[1]Tissue Data'!K:K)</f>
        <v>Whole Body</v>
      </c>
      <c r="I6540">
        <f>_xlfn.XLOOKUP(A6540,'[1]Tissue Data'!$A:$A,'[1]Tissue Data'!L:L)</f>
        <v>6</v>
      </c>
      <c r="J6540">
        <f>_xlfn.XLOOKUP(A6540,'[1]Tissue Data'!$A:$A,'[1]Tissue Data'!M:M)</f>
        <v>2.62</v>
      </c>
      <c r="K6540" t="s">
        <v>50</v>
      </c>
      <c r="L6540" t="str">
        <f>_xlfn.XLOOKUP(K6540,[2]analyte_order!$B:$B,[2]analyte_order!$C:$C)</f>
        <v>53826-12-3</v>
      </c>
      <c r="M6540">
        <f>_xlfn.XLOOKUP(L6540,[2]analyte_order!$C:$C,[2]analyte_order!$E:$E)</f>
        <v>41</v>
      </c>
      <c r="N6540">
        <v>0.24</v>
      </c>
    </row>
    <row r="6541" spans="1:14">
      <c r="A6541" t="s">
        <v>172</v>
      </c>
      <c r="B6541" t="str">
        <f>_xlfn.XLOOKUP(A6541,'[1]Tissue Data'!$A:$A,'[1]Tissue Data'!$C:$C)</f>
        <v>Spill</v>
      </c>
      <c r="C6541" s="2">
        <f>_xlfn.XLOOKUP(A6541,'[1]Tissue Data'!$A:$A,'[1]Tissue Data'!$D:$D)</f>
        <v>44393</v>
      </c>
      <c r="D6541" s="2" t="str">
        <f>_xlfn.XLOOKUP(A6541,'[1]Tissue Data'!$A:$A,'[1]Tissue Data'!$F:$F)</f>
        <v>Eastern Mudminnow</v>
      </c>
      <c r="E6541" t="str">
        <f>_xlfn.XLOOKUP(A6541,'[1]Tissue Data'!$A:$A,'[1]Tissue Data'!$H:$H)</f>
        <v>Umbra</v>
      </c>
      <c r="F6541" t="str">
        <f>_xlfn.XLOOKUP(A6541,'[1]Tissue Data'!$A:$A,'[1]Tissue Data'!$I:$I)</f>
        <v>pygmaea</v>
      </c>
      <c r="G6541" t="str">
        <f>_xlfn.XLOOKUP(A6541,'[1]Tissue Data'!$A:$A,'[1]Tissue Data'!J:J)</f>
        <v>U</v>
      </c>
      <c r="H6541" t="str">
        <f>_xlfn.XLOOKUP(A6541,'[1]Tissue Data'!$A:$A,'[1]Tissue Data'!K:K)</f>
        <v>Whole Body</v>
      </c>
      <c r="I6541">
        <f>_xlfn.XLOOKUP(A6541,'[1]Tissue Data'!$A:$A,'[1]Tissue Data'!L:L)</f>
        <v>6</v>
      </c>
      <c r="J6541">
        <f>_xlfn.XLOOKUP(A6541,'[1]Tissue Data'!$A:$A,'[1]Tissue Data'!M:M)</f>
        <v>2.62</v>
      </c>
      <c r="K6541" t="s">
        <v>51</v>
      </c>
      <c r="L6541" t="str">
        <f>_xlfn.XLOOKUP(K6541,[2]analyte_order!$B:$B,[2]analyte_order!$C:$C)</f>
        <v>27854-31-5</v>
      </c>
      <c r="M6541">
        <f>_xlfn.XLOOKUP(L6541,[2]analyte_order!$C:$C,[2]analyte_order!$E:$E)</f>
        <v>42</v>
      </c>
      <c r="N6541">
        <v>0.12</v>
      </c>
    </row>
    <row r="6542" spans="1:14">
      <c r="A6542" t="s">
        <v>172</v>
      </c>
      <c r="B6542" t="str">
        <f>_xlfn.XLOOKUP(A6542,'[1]Tissue Data'!$A:$A,'[1]Tissue Data'!$C:$C)</f>
        <v>Spill</v>
      </c>
      <c r="C6542" s="2">
        <f>_xlfn.XLOOKUP(A6542,'[1]Tissue Data'!$A:$A,'[1]Tissue Data'!$D:$D)</f>
        <v>44393</v>
      </c>
      <c r="D6542" s="2" t="str">
        <f>_xlfn.XLOOKUP(A6542,'[1]Tissue Data'!$A:$A,'[1]Tissue Data'!$F:$F)</f>
        <v>Eastern Mudminnow</v>
      </c>
      <c r="E6542" t="str">
        <f>_xlfn.XLOOKUP(A6542,'[1]Tissue Data'!$A:$A,'[1]Tissue Data'!$H:$H)</f>
        <v>Umbra</v>
      </c>
      <c r="F6542" t="str">
        <f>_xlfn.XLOOKUP(A6542,'[1]Tissue Data'!$A:$A,'[1]Tissue Data'!$I:$I)</f>
        <v>pygmaea</v>
      </c>
      <c r="G6542" t="str">
        <f>_xlfn.XLOOKUP(A6542,'[1]Tissue Data'!$A:$A,'[1]Tissue Data'!J:J)</f>
        <v>U</v>
      </c>
      <c r="H6542" t="str">
        <f>_xlfn.XLOOKUP(A6542,'[1]Tissue Data'!$A:$A,'[1]Tissue Data'!K:K)</f>
        <v>Whole Body</v>
      </c>
      <c r="I6542">
        <f>_xlfn.XLOOKUP(A6542,'[1]Tissue Data'!$A:$A,'[1]Tissue Data'!L:L)</f>
        <v>6</v>
      </c>
      <c r="J6542">
        <f>_xlfn.XLOOKUP(A6542,'[1]Tissue Data'!$A:$A,'[1]Tissue Data'!M:M)</f>
        <v>2.62</v>
      </c>
      <c r="K6542" t="s">
        <v>52</v>
      </c>
      <c r="L6542" t="str">
        <f>_xlfn.XLOOKUP(K6542,[2]analyte_order!$B:$B,[2]analyte_order!$C:$C)</f>
        <v>53826-13-4</v>
      </c>
      <c r="M6542">
        <f>_xlfn.XLOOKUP(L6542,[2]analyte_order!$C:$C,[2]analyte_order!$E:$E)</f>
        <v>43</v>
      </c>
      <c r="N6542">
        <v>0.24</v>
      </c>
    </row>
    <row r="6543" spans="1:14">
      <c r="A6543" t="s">
        <v>172</v>
      </c>
      <c r="B6543" t="str">
        <f>_xlfn.XLOOKUP(A6543,'[1]Tissue Data'!$A:$A,'[1]Tissue Data'!$C:$C)</f>
        <v>Spill</v>
      </c>
      <c r="C6543" s="2">
        <f>_xlfn.XLOOKUP(A6543,'[1]Tissue Data'!$A:$A,'[1]Tissue Data'!$D:$D)</f>
        <v>44393</v>
      </c>
      <c r="D6543" s="2" t="str">
        <f>_xlfn.XLOOKUP(A6543,'[1]Tissue Data'!$A:$A,'[1]Tissue Data'!$F:$F)</f>
        <v>Eastern Mudminnow</v>
      </c>
      <c r="E6543" t="str">
        <f>_xlfn.XLOOKUP(A6543,'[1]Tissue Data'!$A:$A,'[1]Tissue Data'!$H:$H)</f>
        <v>Umbra</v>
      </c>
      <c r="F6543" t="str">
        <f>_xlfn.XLOOKUP(A6543,'[1]Tissue Data'!$A:$A,'[1]Tissue Data'!$I:$I)</f>
        <v>pygmaea</v>
      </c>
      <c r="G6543" t="str">
        <f>_xlfn.XLOOKUP(A6543,'[1]Tissue Data'!$A:$A,'[1]Tissue Data'!J:J)</f>
        <v>U</v>
      </c>
      <c r="H6543" t="str">
        <f>_xlfn.XLOOKUP(A6543,'[1]Tissue Data'!$A:$A,'[1]Tissue Data'!K:K)</f>
        <v>Whole Body</v>
      </c>
      <c r="I6543">
        <f>_xlfn.XLOOKUP(A6543,'[1]Tissue Data'!$A:$A,'[1]Tissue Data'!L:L)</f>
        <v>6</v>
      </c>
      <c r="J6543">
        <f>_xlfn.XLOOKUP(A6543,'[1]Tissue Data'!$A:$A,'[1]Tissue Data'!M:M)</f>
        <v>2.62</v>
      </c>
      <c r="K6543" t="s">
        <v>53</v>
      </c>
      <c r="L6543" t="str">
        <f>_xlfn.XLOOKUP(K6543,[2]analyte_order!$B:$B,[2]analyte_order!$C:$C)</f>
        <v>161094-75-3</v>
      </c>
      <c r="M6543">
        <f>_xlfn.XLOOKUP(L6543,[2]analyte_order!$C:$C,[2]analyte_order!$E:$E)</f>
        <v>44</v>
      </c>
      <c r="N6543">
        <v>9.4E-2</v>
      </c>
    </row>
    <row r="6544" spans="1:14">
      <c r="A6544" t="s">
        <v>172</v>
      </c>
      <c r="B6544" t="str">
        <f>_xlfn.XLOOKUP(A6544,'[1]Tissue Data'!$A:$A,'[1]Tissue Data'!$C:$C)</f>
        <v>Spill</v>
      </c>
      <c r="C6544" s="2">
        <f>_xlfn.XLOOKUP(A6544,'[1]Tissue Data'!$A:$A,'[1]Tissue Data'!$D:$D)</f>
        <v>44393</v>
      </c>
      <c r="D6544" s="2" t="str">
        <f>_xlfn.XLOOKUP(A6544,'[1]Tissue Data'!$A:$A,'[1]Tissue Data'!$F:$F)</f>
        <v>Eastern Mudminnow</v>
      </c>
      <c r="E6544" t="str">
        <f>_xlfn.XLOOKUP(A6544,'[1]Tissue Data'!$A:$A,'[1]Tissue Data'!$H:$H)</f>
        <v>Umbra</v>
      </c>
      <c r="F6544" t="str">
        <f>_xlfn.XLOOKUP(A6544,'[1]Tissue Data'!$A:$A,'[1]Tissue Data'!$I:$I)</f>
        <v>pygmaea</v>
      </c>
      <c r="G6544" t="str">
        <f>_xlfn.XLOOKUP(A6544,'[1]Tissue Data'!$A:$A,'[1]Tissue Data'!J:J)</f>
        <v>U</v>
      </c>
      <c r="H6544" t="str">
        <f>_xlfn.XLOOKUP(A6544,'[1]Tissue Data'!$A:$A,'[1]Tissue Data'!K:K)</f>
        <v>Whole Body</v>
      </c>
      <c r="I6544">
        <f>_xlfn.XLOOKUP(A6544,'[1]Tissue Data'!$A:$A,'[1]Tissue Data'!L:L)</f>
        <v>6</v>
      </c>
      <c r="J6544">
        <f>_xlfn.XLOOKUP(A6544,'[1]Tissue Data'!$A:$A,'[1]Tissue Data'!M:M)</f>
        <v>2.62</v>
      </c>
      <c r="K6544" t="s">
        <v>54</v>
      </c>
      <c r="L6544" t="str">
        <f>_xlfn.XLOOKUP(K6544,[2]analyte_order!$B:$B,[2]analyte_order!$C:$C)</f>
        <v>70887-84-2</v>
      </c>
      <c r="M6544">
        <f>_xlfn.XLOOKUP(L6544,[2]analyte_order!$C:$C,[2]analyte_order!$E:$E)</f>
        <v>45</v>
      </c>
      <c r="N6544">
        <v>7.2499999999999995E-2</v>
      </c>
    </row>
    <row r="6545" spans="1:14">
      <c r="A6545" t="s">
        <v>172</v>
      </c>
      <c r="B6545" t="str">
        <f>_xlfn.XLOOKUP(A6545,'[1]Tissue Data'!$A:$A,'[1]Tissue Data'!$C:$C)</f>
        <v>Spill</v>
      </c>
      <c r="C6545" s="2">
        <f>_xlfn.XLOOKUP(A6545,'[1]Tissue Data'!$A:$A,'[1]Tissue Data'!$D:$D)</f>
        <v>44393</v>
      </c>
      <c r="D6545" s="2" t="str">
        <f>_xlfn.XLOOKUP(A6545,'[1]Tissue Data'!$A:$A,'[1]Tissue Data'!$F:$F)</f>
        <v>Eastern Mudminnow</v>
      </c>
      <c r="E6545" t="str">
        <f>_xlfn.XLOOKUP(A6545,'[1]Tissue Data'!$A:$A,'[1]Tissue Data'!$H:$H)</f>
        <v>Umbra</v>
      </c>
      <c r="F6545" t="str">
        <f>_xlfn.XLOOKUP(A6545,'[1]Tissue Data'!$A:$A,'[1]Tissue Data'!$I:$I)</f>
        <v>pygmaea</v>
      </c>
      <c r="G6545" t="str">
        <f>_xlfn.XLOOKUP(A6545,'[1]Tissue Data'!$A:$A,'[1]Tissue Data'!J:J)</f>
        <v>U</v>
      </c>
      <c r="H6545" t="str">
        <f>_xlfn.XLOOKUP(A6545,'[1]Tissue Data'!$A:$A,'[1]Tissue Data'!K:K)</f>
        <v>Whole Body</v>
      </c>
      <c r="I6545">
        <f>_xlfn.XLOOKUP(A6545,'[1]Tissue Data'!$A:$A,'[1]Tissue Data'!L:L)</f>
        <v>6</v>
      </c>
      <c r="J6545">
        <f>_xlfn.XLOOKUP(A6545,'[1]Tissue Data'!$A:$A,'[1]Tissue Data'!M:M)</f>
        <v>2.62</v>
      </c>
      <c r="K6545" t="s">
        <v>55</v>
      </c>
      <c r="L6545" t="str">
        <f>_xlfn.XLOOKUP(K6545,[2]analyte_order!$B:$B,[2]analyte_order!$C:$C)</f>
        <v>919005-14-4</v>
      </c>
      <c r="M6545">
        <f>_xlfn.XLOOKUP(L6545,[2]analyte_order!$C:$C,[2]analyte_order!$E:$E)</f>
        <v>35</v>
      </c>
      <c r="N6545">
        <v>0.106</v>
      </c>
    </row>
    <row r="6546" spans="1:14">
      <c r="A6546" t="s">
        <v>172</v>
      </c>
      <c r="B6546" t="str">
        <f>_xlfn.XLOOKUP(A6546,'[1]Tissue Data'!$A:$A,'[1]Tissue Data'!$C:$C)</f>
        <v>Spill</v>
      </c>
      <c r="C6546" s="2">
        <f>_xlfn.XLOOKUP(A6546,'[1]Tissue Data'!$A:$A,'[1]Tissue Data'!$D:$D)</f>
        <v>44393</v>
      </c>
      <c r="D6546" s="2" t="str">
        <f>_xlfn.XLOOKUP(A6546,'[1]Tissue Data'!$A:$A,'[1]Tissue Data'!$F:$F)</f>
        <v>Eastern Mudminnow</v>
      </c>
      <c r="E6546" t="str">
        <f>_xlfn.XLOOKUP(A6546,'[1]Tissue Data'!$A:$A,'[1]Tissue Data'!$H:$H)</f>
        <v>Umbra</v>
      </c>
      <c r="F6546" t="str">
        <f>_xlfn.XLOOKUP(A6546,'[1]Tissue Data'!$A:$A,'[1]Tissue Data'!$I:$I)</f>
        <v>pygmaea</v>
      </c>
      <c r="G6546" t="str">
        <f>_xlfn.XLOOKUP(A6546,'[1]Tissue Data'!$A:$A,'[1]Tissue Data'!J:J)</f>
        <v>U</v>
      </c>
      <c r="H6546" t="str">
        <f>_xlfn.XLOOKUP(A6546,'[1]Tissue Data'!$A:$A,'[1]Tissue Data'!K:K)</f>
        <v>Whole Body</v>
      </c>
      <c r="I6546">
        <f>_xlfn.XLOOKUP(A6546,'[1]Tissue Data'!$A:$A,'[1]Tissue Data'!L:L)</f>
        <v>6</v>
      </c>
      <c r="J6546">
        <f>_xlfn.XLOOKUP(A6546,'[1]Tissue Data'!$A:$A,'[1]Tissue Data'!M:M)</f>
        <v>2.62</v>
      </c>
      <c r="K6546" t="s">
        <v>56</v>
      </c>
      <c r="L6546" t="str">
        <f>_xlfn.XLOOKUP(K6546,[2]analyte_order!$B:$B,[2]analyte_order!$C:$C)</f>
        <v>756426-58-1</v>
      </c>
      <c r="M6546">
        <f>_xlfn.XLOOKUP(L6546,[2]analyte_order!$C:$C,[2]analyte_order!$E:$E)</f>
        <v>36</v>
      </c>
      <c r="N6546">
        <v>0.24</v>
      </c>
    </row>
    <row r="6547" spans="1:14">
      <c r="A6547" t="s">
        <v>172</v>
      </c>
      <c r="B6547" t="str">
        <f>_xlfn.XLOOKUP(A6547,'[1]Tissue Data'!$A:$A,'[1]Tissue Data'!$C:$C)</f>
        <v>Spill</v>
      </c>
      <c r="C6547" s="2">
        <f>_xlfn.XLOOKUP(A6547,'[1]Tissue Data'!$A:$A,'[1]Tissue Data'!$D:$D)</f>
        <v>44393</v>
      </c>
      <c r="D6547" s="2" t="str">
        <f>_xlfn.XLOOKUP(A6547,'[1]Tissue Data'!$A:$A,'[1]Tissue Data'!$F:$F)</f>
        <v>Eastern Mudminnow</v>
      </c>
      <c r="E6547" t="str">
        <f>_xlfn.XLOOKUP(A6547,'[1]Tissue Data'!$A:$A,'[1]Tissue Data'!$H:$H)</f>
        <v>Umbra</v>
      </c>
      <c r="F6547" t="str">
        <f>_xlfn.XLOOKUP(A6547,'[1]Tissue Data'!$A:$A,'[1]Tissue Data'!$I:$I)</f>
        <v>pygmaea</v>
      </c>
      <c r="G6547" t="str">
        <f>_xlfn.XLOOKUP(A6547,'[1]Tissue Data'!$A:$A,'[1]Tissue Data'!J:J)</f>
        <v>U</v>
      </c>
      <c r="H6547" t="str">
        <f>_xlfn.XLOOKUP(A6547,'[1]Tissue Data'!$A:$A,'[1]Tissue Data'!K:K)</f>
        <v>Whole Body</v>
      </c>
      <c r="I6547">
        <f>_xlfn.XLOOKUP(A6547,'[1]Tissue Data'!$A:$A,'[1]Tissue Data'!L:L)</f>
        <v>6</v>
      </c>
      <c r="J6547">
        <f>_xlfn.XLOOKUP(A6547,'[1]Tissue Data'!$A:$A,'[1]Tissue Data'!M:M)</f>
        <v>2.62</v>
      </c>
      <c r="K6547" t="s">
        <v>57</v>
      </c>
      <c r="L6547" t="str">
        <f>_xlfn.XLOOKUP(K6547,[2]analyte_order!$B:$B,[2]analyte_order!$C:$C)</f>
        <v>763051-92-9</v>
      </c>
      <c r="M6547">
        <f>_xlfn.XLOOKUP(L6547,[2]analyte_order!$C:$C,[2]analyte_order!$E:$E)</f>
        <v>37</v>
      </c>
      <c r="N6547">
        <v>0.24</v>
      </c>
    </row>
    <row r="6548" spans="1:14">
      <c r="A6548" t="s">
        <v>172</v>
      </c>
      <c r="B6548" t="str">
        <f>_xlfn.XLOOKUP(A6548,'[1]Tissue Data'!$A:$A,'[1]Tissue Data'!$C:$C)</f>
        <v>Spill</v>
      </c>
      <c r="C6548" s="2">
        <f>_xlfn.XLOOKUP(A6548,'[1]Tissue Data'!$A:$A,'[1]Tissue Data'!$D:$D)</f>
        <v>44393</v>
      </c>
      <c r="D6548" s="2" t="str">
        <f>_xlfn.XLOOKUP(A6548,'[1]Tissue Data'!$A:$A,'[1]Tissue Data'!$F:$F)</f>
        <v>Eastern Mudminnow</v>
      </c>
      <c r="E6548" t="str">
        <f>_xlfn.XLOOKUP(A6548,'[1]Tissue Data'!$A:$A,'[1]Tissue Data'!$H:$H)</f>
        <v>Umbra</v>
      </c>
      <c r="F6548" t="str">
        <f>_xlfn.XLOOKUP(A6548,'[1]Tissue Data'!$A:$A,'[1]Tissue Data'!$I:$I)</f>
        <v>pygmaea</v>
      </c>
      <c r="G6548" t="str">
        <f>_xlfn.XLOOKUP(A6548,'[1]Tissue Data'!$A:$A,'[1]Tissue Data'!J:J)</f>
        <v>U</v>
      </c>
      <c r="H6548" t="str">
        <f>_xlfn.XLOOKUP(A6548,'[1]Tissue Data'!$A:$A,'[1]Tissue Data'!K:K)</f>
        <v>Whole Body</v>
      </c>
      <c r="I6548">
        <f>_xlfn.XLOOKUP(A6548,'[1]Tissue Data'!$A:$A,'[1]Tissue Data'!L:L)</f>
        <v>6</v>
      </c>
      <c r="J6548">
        <f>_xlfn.XLOOKUP(A6548,'[1]Tissue Data'!$A:$A,'[1]Tissue Data'!M:M)</f>
        <v>2.62</v>
      </c>
      <c r="K6548" t="s">
        <v>58</v>
      </c>
      <c r="L6548" t="str">
        <f>_xlfn.XLOOKUP(K6548,[2]analyte_order!$B:$B,[2]analyte_order!$C:$C)</f>
        <v>13252-13-6</v>
      </c>
      <c r="M6548">
        <f>_xlfn.XLOOKUP(L6548,[2]analyte_order!$C:$C,[2]analyte_order!$E:$E)</f>
        <v>34</v>
      </c>
      <c r="N6548">
        <v>0.17199999999999999</v>
      </c>
    </row>
    <row r="6549" spans="1:14">
      <c r="A6549" t="s">
        <v>172</v>
      </c>
      <c r="B6549" t="str">
        <f>_xlfn.XLOOKUP(A6549,'[1]Tissue Data'!$A:$A,'[1]Tissue Data'!$C:$C)</f>
        <v>Spill</v>
      </c>
      <c r="C6549" s="2">
        <f>_xlfn.XLOOKUP(A6549,'[1]Tissue Data'!$A:$A,'[1]Tissue Data'!$D:$D)</f>
        <v>44393</v>
      </c>
      <c r="D6549" s="2" t="str">
        <f>_xlfn.XLOOKUP(A6549,'[1]Tissue Data'!$A:$A,'[1]Tissue Data'!$F:$F)</f>
        <v>Eastern Mudminnow</v>
      </c>
      <c r="E6549" t="str">
        <f>_xlfn.XLOOKUP(A6549,'[1]Tissue Data'!$A:$A,'[1]Tissue Data'!$H:$H)</f>
        <v>Umbra</v>
      </c>
      <c r="F6549" t="str">
        <f>_xlfn.XLOOKUP(A6549,'[1]Tissue Data'!$A:$A,'[1]Tissue Data'!$I:$I)</f>
        <v>pygmaea</v>
      </c>
      <c r="G6549" t="str">
        <f>_xlfn.XLOOKUP(A6549,'[1]Tissue Data'!$A:$A,'[1]Tissue Data'!J:J)</f>
        <v>U</v>
      </c>
      <c r="H6549" t="str">
        <f>_xlfn.XLOOKUP(A6549,'[1]Tissue Data'!$A:$A,'[1]Tissue Data'!K:K)</f>
        <v>Whole Body</v>
      </c>
      <c r="I6549">
        <f>_xlfn.XLOOKUP(A6549,'[1]Tissue Data'!$A:$A,'[1]Tissue Data'!L:L)</f>
        <v>6</v>
      </c>
      <c r="J6549">
        <f>_xlfn.XLOOKUP(A6549,'[1]Tissue Data'!$A:$A,'[1]Tissue Data'!M:M)</f>
        <v>2.62</v>
      </c>
      <c r="K6549" t="s">
        <v>59</v>
      </c>
      <c r="L6549" t="str">
        <f>_xlfn.XLOOKUP(K6549,[2]analyte_order!$B:$B,[2]analyte_order!$C:$C)</f>
        <v>57677-95-9</v>
      </c>
      <c r="M6549">
        <f>_xlfn.XLOOKUP(L6549,[2]analyte_order!$C:$C,[2]analyte_order!$E:$E)</f>
        <v>46</v>
      </c>
      <c r="N6549">
        <v>0.24</v>
      </c>
    </row>
    <row r="6550" spans="1:14">
      <c r="A6550" t="s">
        <v>172</v>
      </c>
      <c r="B6550" t="str">
        <f>_xlfn.XLOOKUP(A6550,'[1]Tissue Data'!$A:$A,'[1]Tissue Data'!$C:$C)</f>
        <v>Spill</v>
      </c>
      <c r="C6550" s="2">
        <f>_xlfn.XLOOKUP(A6550,'[1]Tissue Data'!$A:$A,'[1]Tissue Data'!$D:$D)</f>
        <v>44393</v>
      </c>
      <c r="D6550" s="2" t="str">
        <f>_xlfn.XLOOKUP(A6550,'[1]Tissue Data'!$A:$A,'[1]Tissue Data'!$F:$F)</f>
        <v>Eastern Mudminnow</v>
      </c>
      <c r="E6550" t="str">
        <f>_xlfn.XLOOKUP(A6550,'[1]Tissue Data'!$A:$A,'[1]Tissue Data'!$H:$H)</f>
        <v>Umbra</v>
      </c>
      <c r="F6550" t="str">
        <f>_xlfn.XLOOKUP(A6550,'[1]Tissue Data'!$A:$A,'[1]Tissue Data'!$I:$I)</f>
        <v>pygmaea</v>
      </c>
      <c r="G6550" t="str">
        <f>_xlfn.XLOOKUP(A6550,'[1]Tissue Data'!$A:$A,'[1]Tissue Data'!J:J)</f>
        <v>U</v>
      </c>
      <c r="H6550" t="str">
        <f>_xlfn.XLOOKUP(A6550,'[1]Tissue Data'!$A:$A,'[1]Tissue Data'!K:K)</f>
        <v>Whole Body</v>
      </c>
      <c r="I6550">
        <f>_xlfn.XLOOKUP(A6550,'[1]Tissue Data'!$A:$A,'[1]Tissue Data'!L:L)</f>
        <v>6</v>
      </c>
      <c r="J6550">
        <f>_xlfn.XLOOKUP(A6550,'[1]Tissue Data'!$A:$A,'[1]Tissue Data'!M:M)</f>
        <v>2.62</v>
      </c>
      <c r="K6550" t="s">
        <v>60</v>
      </c>
      <c r="L6550" t="str">
        <f>_xlfn.XLOOKUP(K6550,[2]analyte_order!$B:$B,[2]analyte_order!$C:$C)</f>
        <v>678-41-1</v>
      </c>
      <c r="M6550">
        <f>_xlfn.XLOOKUP(L6550,[2]analyte_order!$C:$C,[2]analyte_order!$E:$E)</f>
        <v>56</v>
      </c>
      <c r="N6550">
        <v>0.24</v>
      </c>
    </row>
    <row r="6551" spans="1:14">
      <c r="A6551" t="s">
        <v>172</v>
      </c>
      <c r="B6551" t="str">
        <f>_xlfn.XLOOKUP(A6551,'[1]Tissue Data'!$A:$A,'[1]Tissue Data'!$C:$C)</f>
        <v>Spill</v>
      </c>
      <c r="C6551" s="2">
        <f>_xlfn.XLOOKUP(A6551,'[1]Tissue Data'!$A:$A,'[1]Tissue Data'!$D:$D)</f>
        <v>44393</v>
      </c>
      <c r="D6551" s="2" t="str">
        <f>_xlfn.XLOOKUP(A6551,'[1]Tissue Data'!$A:$A,'[1]Tissue Data'!$F:$F)</f>
        <v>Eastern Mudminnow</v>
      </c>
      <c r="E6551" t="str">
        <f>_xlfn.XLOOKUP(A6551,'[1]Tissue Data'!$A:$A,'[1]Tissue Data'!$H:$H)</f>
        <v>Umbra</v>
      </c>
      <c r="F6551" t="str">
        <f>_xlfn.XLOOKUP(A6551,'[1]Tissue Data'!$A:$A,'[1]Tissue Data'!$I:$I)</f>
        <v>pygmaea</v>
      </c>
      <c r="G6551" t="str">
        <f>_xlfn.XLOOKUP(A6551,'[1]Tissue Data'!$A:$A,'[1]Tissue Data'!J:J)</f>
        <v>U</v>
      </c>
      <c r="H6551" t="str">
        <f>_xlfn.XLOOKUP(A6551,'[1]Tissue Data'!$A:$A,'[1]Tissue Data'!K:K)</f>
        <v>Whole Body</v>
      </c>
      <c r="I6551">
        <f>_xlfn.XLOOKUP(A6551,'[1]Tissue Data'!$A:$A,'[1]Tissue Data'!L:L)</f>
        <v>6</v>
      </c>
      <c r="J6551">
        <f>_xlfn.XLOOKUP(A6551,'[1]Tissue Data'!$A:$A,'[1]Tissue Data'!M:M)</f>
        <v>2.62</v>
      </c>
      <c r="K6551" t="s">
        <v>61</v>
      </c>
      <c r="L6551" t="str">
        <f>_xlfn.XLOOKUP(K6551,[2]analyte_order!$B:$B,[2]analyte_order!$C:$C)</f>
        <v>2965-52-8</v>
      </c>
      <c r="M6551">
        <f>_xlfn.XLOOKUP(L6551,[2]analyte_order!$C:$C,[2]analyte_order!$E:$E)</f>
        <v>57</v>
      </c>
      <c r="N6551">
        <v>0.24</v>
      </c>
    </row>
    <row r="6552" spans="1:14">
      <c r="A6552" t="s">
        <v>173</v>
      </c>
      <c r="B6552" t="str">
        <f>_xlfn.XLOOKUP(A6552,'[1]Tissue Data'!$A:$A,'[1]Tissue Data'!$C:$C)</f>
        <v>Spill</v>
      </c>
      <c r="C6552" s="2">
        <f>_xlfn.XLOOKUP(A6552,'[1]Tissue Data'!$A:$A,'[1]Tissue Data'!$D:$D)</f>
        <v>44393</v>
      </c>
      <c r="D6552" s="2" t="str">
        <f>_xlfn.XLOOKUP(A6552,'[1]Tissue Data'!$A:$A,'[1]Tissue Data'!$F:$F)</f>
        <v>Eastern Mudminnow</v>
      </c>
      <c r="E6552" t="str">
        <f>_xlfn.XLOOKUP(A6552,'[1]Tissue Data'!$A:$A,'[1]Tissue Data'!$H:$H)</f>
        <v>Umbra</v>
      </c>
      <c r="F6552" t="str">
        <f>_xlfn.XLOOKUP(A6552,'[1]Tissue Data'!$A:$A,'[1]Tissue Data'!$I:$I)</f>
        <v>pygmaea</v>
      </c>
      <c r="G6552" t="str">
        <f>_xlfn.XLOOKUP(A6552,'[1]Tissue Data'!$A:$A,'[1]Tissue Data'!J:J)</f>
        <v>U</v>
      </c>
      <c r="H6552" t="str">
        <f>_xlfn.XLOOKUP(A6552,'[1]Tissue Data'!$A:$A,'[1]Tissue Data'!K:K)</f>
        <v>Whole Body</v>
      </c>
      <c r="I6552">
        <f>_xlfn.XLOOKUP(A6552,'[1]Tissue Data'!$A:$A,'[1]Tissue Data'!L:L)</f>
        <v>5.5</v>
      </c>
      <c r="J6552">
        <f>_xlfn.XLOOKUP(A6552,'[1]Tissue Data'!$A:$A,'[1]Tissue Data'!M:M)</f>
        <v>1.95</v>
      </c>
      <c r="K6552" t="s">
        <v>12</v>
      </c>
      <c r="L6552" t="str">
        <f>_xlfn.XLOOKUP(K6552,[2]analyte_order!$B:$B,[2]analyte_order!$C:$C)</f>
        <v>375-22-4</v>
      </c>
      <c r="M6552">
        <f>_xlfn.XLOOKUP(L6552,[2]analyte_order!$C:$C,[2]analyte_order!$E:$E)</f>
        <v>1</v>
      </c>
      <c r="N6552">
        <v>0.224</v>
      </c>
    </row>
    <row r="6553" spans="1:14">
      <c r="A6553" t="s">
        <v>173</v>
      </c>
      <c r="B6553" t="str">
        <f>_xlfn.XLOOKUP(A6553,'[1]Tissue Data'!$A:$A,'[1]Tissue Data'!$C:$C)</f>
        <v>Spill</v>
      </c>
      <c r="C6553" s="2">
        <f>_xlfn.XLOOKUP(A6553,'[1]Tissue Data'!$A:$A,'[1]Tissue Data'!$D:$D)</f>
        <v>44393</v>
      </c>
      <c r="D6553" s="2" t="str">
        <f>_xlfn.XLOOKUP(A6553,'[1]Tissue Data'!$A:$A,'[1]Tissue Data'!$F:$F)</f>
        <v>Eastern Mudminnow</v>
      </c>
      <c r="E6553" t="str">
        <f>_xlfn.XLOOKUP(A6553,'[1]Tissue Data'!$A:$A,'[1]Tissue Data'!$H:$H)</f>
        <v>Umbra</v>
      </c>
      <c r="F6553" t="str">
        <f>_xlfn.XLOOKUP(A6553,'[1]Tissue Data'!$A:$A,'[1]Tissue Data'!$I:$I)</f>
        <v>pygmaea</v>
      </c>
      <c r="G6553" t="str">
        <f>_xlfn.XLOOKUP(A6553,'[1]Tissue Data'!$A:$A,'[1]Tissue Data'!J:J)</f>
        <v>U</v>
      </c>
      <c r="H6553" t="str">
        <f>_xlfn.XLOOKUP(A6553,'[1]Tissue Data'!$A:$A,'[1]Tissue Data'!K:K)</f>
        <v>Whole Body</v>
      </c>
      <c r="I6553">
        <f>_xlfn.XLOOKUP(A6553,'[1]Tissue Data'!$A:$A,'[1]Tissue Data'!L:L)</f>
        <v>5.5</v>
      </c>
      <c r="J6553">
        <f>_xlfn.XLOOKUP(A6553,'[1]Tissue Data'!$A:$A,'[1]Tissue Data'!M:M)</f>
        <v>1.95</v>
      </c>
      <c r="K6553" t="s">
        <v>13</v>
      </c>
      <c r="L6553" t="str">
        <f>_xlfn.XLOOKUP(K6553,[2]analyte_order!$B:$B,[2]analyte_order!$C:$C)</f>
        <v>2706-90-3</v>
      </c>
      <c r="M6553">
        <f>_xlfn.XLOOKUP(L6553,[2]analyte_order!$C:$C,[2]analyte_order!$E:$E)</f>
        <v>2</v>
      </c>
      <c r="N6553">
        <v>0.158</v>
      </c>
    </row>
    <row r="6554" spans="1:14">
      <c r="A6554" t="s">
        <v>173</v>
      </c>
      <c r="B6554" t="str">
        <f>_xlfn.XLOOKUP(A6554,'[1]Tissue Data'!$A:$A,'[1]Tissue Data'!$C:$C)</f>
        <v>Spill</v>
      </c>
      <c r="C6554" s="2">
        <f>_xlfn.XLOOKUP(A6554,'[1]Tissue Data'!$A:$A,'[1]Tissue Data'!$D:$D)</f>
        <v>44393</v>
      </c>
      <c r="D6554" s="2" t="str">
        <f>_xlfn.XLOOKUP(A6554,'[1]Tissue Data'!$A:$A,'[1]Tissue Data'!$F:$F)</f>
        <v>Eastern Mudminnow</v>
      </c>
      <c r="E6554" t="str">
        <f>_xlfn.XLOOKUP(A6554,'[1]Tissue Data'!$A:$A,'[1]Tissue Data'!$H:$H)</f>
        <v>Umbra</v>
      </c>
      <c r="F6554" t="str">
        <f>_xlfn.XLOOKUP(A6554,'[1]Tissue Data'!$A:$A,'[1]Tissue Data'!$I:$I)</f>
        <v>pygmaea</v>
      </c>
      <c r="G6554" t="str">
        <f>_xlfn.XLOOKUP(A6554,'[1]Tissue Data'!$A:$A,'[1]Tissue Data'!J:J)</f>
        <v>U</v>
      </c>
      <c r="H6554" t="str">
        <f>_xlfn.XLOOKUP(A6554,'[1]Tissue Data'!$A:$A,'[1]Tissue Data'!K:K)</f>
        <v>Whole Body</v>
      </c>
      <c r="I6554">
        <f>_xlfn.XLOOKUP(A6554,'[1]Tissue Data'!$A:$A,'[1]Tissue Data'!L:L)</f>
        <v>5.5</v>
      </c>
      <c r="J6554">
        <f>_xlfn.XLOOKUP(A6554,'[1]Tissue Data'!$A:$A,'[1]Tissue Data'!M:M)</f>
        <v>1.95</v>
      </c>
      <c r="K6554" t="s">
        <v>14</v>
      </c>
      <c r="L6554" t="str">
        <f>_xlfn.XLOOKUP(K6554,[2]analyte_order!$B:$B,[2]analyte_order!$C:$C)</f>
        <v>307-24-4</v>
      </c>
      <c r="M6554">
        <f>_xlfn.XLOOKUP(L6554,[2]analyte_order!$C:$C,[2]analyte_order!$E:$E)</f>
        <v>3</v>
      </c>
      <c r="N6554">
        <v>0.121</v>
      </c>
    </row>
    <row r="6555" spans="1:14">
      <c r="A6555" t="s">
        <v>173</v>
      </c>
      <c r="B6555" t="str">
        <f>_xlfn.XLOOKUP(A6555,'[1]Tissue Data'!$A:$A,'[1]Tissue Data'!$C:$C)</f>
        <v>Spill</v>
      </c>
      <c r="C6555" s="2">
        <f>_xlfn.XLOOKUP(A6555,'[1]Tissue Data'!$A:$A,'[1]Tissue Data'!$D:$D)</f>
        <v>44393</v>
      </c>
      <c r="D6555" s="2" t="str">
        <f>_xlfn.XLOOKUP(A6555,'[1]Tissue Data'!$A:$A,'[1]Tissue Data'!$F:$F)</f>
        <v>Eastern Mudminnow</v>
      </c>
      <c r="E6555" t="str">
        <f>_xlfn.XLOOKUP(A6555,'[1]Tissue Data'!$A:$A,'[1]Tissue Data'!$H:$H)</f>
        <v>Umbra</v>
      </c>
      <c r="F6555" t="str">
        <f>_xlfn.XLOOKUP(A6555,'[1]Tissue Data'!$A:$A,'[1]Tissue Data'!$I:$I)</f>
        <v>pygmaea</v>
      </c>
      <c r="G6555" t="str">
        <f>_xlfn.XLOOKUP(A6555,'[1]Tissue Data'!$A:$A,'[1]Tissue Data'!J:J)</f>
        <v>U</v>
      </c>
      <c r="H6555" t="str">
        <f>_xlfn.XLOOKUP(A6555,'[1]Tissue Data'!$A:$A,'[1]Tissue Data'!K:K)</f>
        <v>Whole Body</v>
      </c>
      <c r="I6555">
        <f>_xlfn.XLOOKUP(A6555,'[1]Tissue Data'!$A:$A,'[1]Tissue Data'!L:L)</f>
        <v>5.5</v>
      </c>
      <c r="J6555">
        <f>_xlfn.XLOOKUP(A6555,'[1]Tissue Data'!$A:$A,'[1]Tissue Data'!M:M)</f>
        <v>1.95</v>
      </c>
      <c r="K6555" t="s">
        <v>15</v>
      </c>
      <c r="L6555" t="str">
        <f>_xlfn.XLOOKUP(K6555,[2]analyte_order!$B:$B,[2]analyte_order!$C:$C)</f>
        <v>375-85-9</v>
      </c>
      <c r="M6555">
        <f>_xlfn.XLOOKUP(L6555,[2]analyte_order!$C:$C,[2]analyte_order!$E:$E)</f>
        <v>4</v>
      </c>
      <c r="N6555">
        <v>0.224</v>
      </c>
    </row>
    <row r="6556" spans="1:14">
      <c r="A6556" t="s">
        <v>173</v>
      </c>
      <c r="B6556" t="str">
        <f>_xlfn.XLOOKUP(A6556,'[1]Tissue Data'!$A:$A,'[1]Tissue Data'!$C:$C)</f>
        <v>Spill</v>
      </c>
      <c r="C6556" s="2">
        <f>_xlfn.XLOOKUP(A6556,'[1]Tissue Data'!$A:$A,'[1]Tissue Data'!$D:$D)</f>
        <v>44393</v>
      </c>
      <c r="D6556" s="2" t="str">
        <f>_xlfn.XLOOKUP(A6556,'[1]Tissue Data'!$A:$A,'[1]Tissue Data'!$F:$F)</f>
        <v>Eastern Mudminnow</v>
      </c>
      <c r="E6556" t="str">
        <f>_xlfn.XLOOKUP(A6556,'[1]Tissue Data'!$A:$A,'[1]Tissue Data'!$H:$H)</f>
        <v>Umbra</v>
      </c>
      <c r="F6556" t="str">
        <f>_xlfn.XLOOKUP(A6556,'[1]Tissue Data'!$A:$A,'[1]Tissue Data'!$I:$I)</f>
        <v>pygmaea</v>
      </c>
      <c r="G6556" t="str">
        <f>_xlfn.XLOOKUP(A6556,'[1]Tissue Data'!$A:$A,'[1]Tissue Data'!J:J)</f>
        <v>U</v>
      </c>
      <c r="H6556" t="str">
        <f>_xlfn.XLOOKUP(A6556,'[1]Tissue Data'!$A:$A,'[1]Tissue Data'!K:K)</f>
        <v>Whole Body</v>
      </c>
      <c r="I6556">
        <f>_xlfn.XLOOKUP(A6556,'[1]Tissue Data'!$A:$A,'[1]Tissue Data'!L:L)</f>
        <v>5.5</v>
      </c>
      <c r="J6556">
        <f>_xlfn.XLOOKUP(A6556,'[1]Tissue Data'!$A:$A,'[1]Tissue Data'!M:M)</f>
        <v>1.95</v>
      </c>
      <c r="K6556" t="s">
        <v>16</v>
      </c>
      <c r="L6556" t="str">
        <f>_xlfn.XLOOKUP(K6556,[2]analyte_order!$B:$B,[2]analyte_order!$C:$C)</f>
        <v>335-67-1</v>
      </c>
      <c r="M6556">
        <f>_xlfn.XLOOKUP(L6556,[2]analyte_order!$C:$C,[2]analyte_order!$E:$E)</f>
        <v>5</v>
      </c>
      <c r="N6556">
        <v>17.3</v>
      </c>
    </row>
    <row r="6557" spans="1:14">
      <c r="A6557" t="s">
        <v>173</v>
      </c>
      <c r="B6557" t="str">
        <f>_xlfn.XLOOKUP(A6557,'[1]Tissue Data'!$A:$A,'[1]Tissue Data'!$C:$C)</f>
        <v>Spill</v>
      </c>
      <c r="C6557" s="2">
        <f>_xlfn.XLOOKUP(A6557,'[1]Tissue Data'!$A:$A,'[1]Tissue Data'!$D:$D)</f>
        <v>44393</v>
      </c>
      <c r="D6557" s="2" t="str">
        <f>_xlfn.XLOOKUP(A6557,'[1]Tissue Data'!$A:$A,'[1]Tissue Data'!$F:$F)</f>
        <v>Eastern Mudminnow</v>
      </c>
      <c r="E6557" t="str">
        <f>_xlfn.XLOOKUP(A6557,'[1]Tissue Data'!$A:$A,'[1]Tissue Data'!$H:$H)</f>
        <v>Umbra</v>
      </c>
      <c r="F6557" t="str">
        <f>_xlfn.XLOOKUP(A6557,'[1]Tissue Data'!$A:$A,'[1]Tissue Data'!$I:$I)</f>
        <v>pygmaea</v>
      </c>
      <c r="G6557" t="str">
        <f>_xlfn.XLOOKUP(A6557,'[1]Tissue Data'!$A:$A,'[1]Tissue Data'!J:J)</f>
        <v>U</v>
      </c>
      <c r="H6557" t="str">
        <f>_xlfn.XLOOKUP(A6557,'[1]Tissue Data'!$A:$A,'[1]Tissue Data'!K:K)</f>
        <v>Whole Body</v>
      </c>
      <c r="I6557">
        <f>_xlfn.XLOOKUP(A6557,'[1]Tissue Data'!$A:$A,'[1]Tissue Data'!L:L)</f>
        <v>5.5</v>
      </c>
      <c r="J6557">
        <f>_xlfn.XLOOKUP(A6557,'[1]Tissue Data'!$A:$A,'[1]Tissue Data'!M:M)</f>
        <v>1.95</v>
      </c>
      <c r="K6557" t="s">
        <v>17</v>
      </c>
      <c r="L6557" t="str">
        <f>_xlfn.XLOOKUP(K6557,[2]analyte_order!$B:$B,[2]analyte_order!$C:$C)</f>
        <v>375-95-1</v>
      </c>
      <c r="M6557">
        <f>_xlfn.XLOOKUP(L6557,[2]analyte_order!$C:$C,[2]analyte_order!$E:$E)</f>
        <v>6</v>
      </c>
      <c r="N6557">
        <v>1.97</v>
      </c>
    </row>
    <row r="6558" spans="1:14">
      <c r="A6558" t="s">
        <v>173</v>
      </c>
      <c r="B6558" t="str">
        <f>_xlfn.XLOOKUP(A6558,'[1]Tissue Data'!$A:$A,'[1]Tissue Data'!$C:$C)</f>
        <v>Spill</v>
      </c>
      <c r="C6558" s="2">
        <f>_xlfn.XLOOKUP(A6558,'[1]Tissue Data'!$A:$A,'[1]Tissue Data'!$D:$D)</f>
        <v>44393</v>
      </c>
      <c r="D6558" s="2" t="str">
        <f>_xlfn.XLOOKUP(A6558,'[1]Tissue Data'!$A:$A,'[1]Tissue Data'!$F:$F)</f>
        <v>Eastern Mudminnow</v>
      </c>
      <c r="E6558" t="str">
        <f>_xlfn.XLOOKUP(A6558,'[1]Tissue Data'!$A:$A,'[1]Tissue Data'!$H:$H)</f>
        <v>Umbra</v>
      </c>
      <c r="F6558" t="str">
        <f>_xlfn.XLOOKUP(A6558,'[1]Tissue Data'!$A:$A,'[1]Tissue Data'!$I:$I)</f>
        <v>pygmaea</v>
      </c>
      <c r="G6558" t="str">
        <f>_xlfn.XLOOKUP(A6558,'[1]Tissue Data'!$A:$A,'[1]Tissue Data'!J:J)</f>
        <v>U</v>
      </c>
      <c r="H6558" t="str">
        <f>_xlfn.XLOOKUP(A6558,'[1]Tissue Data'!$A:$A,'[1]Tissue Data'!K:K)</f>
        <v>Whole Body</v>
      </c>
      <c r="I6558">
        <f>_xlfn.XLOOKUP(A6558,'[1]Tissue Data'!$A:$A,'[1]Tissue Data'!L:L)</f>
        <v>5.5</v>
      </c>
      <c r="J6558">
        <f>_xlfn.XLOOKUP(A6558,'[1]Tissue Data'!$A:$A,'[1]Tissue Data'!M:M)</f>
        <v>1.95</v>
      </c>
      <c r="K6558" t="s">
        <v>18</v>
      </c>
      <c r="L6558" t="str">
        <f>_xlfn.XLOOKUP(K6558,[2]analyte_order!$B:$B,[2]analyte_order!$C:$C)</f>
        <v>335-76-2</v>
      </c>
      <c r="M6558">
        <f>_xlfn.XLOOKUP(L6558,[2]analyte_order!$C:$C,[2]analyte_order!$E:$E)</f>
        <v>7</v>
      </c>
      <c r="N6558">
        <v>5.78</v>
      </c>
    </row>
    <row r="6559" spans="1:14">
      <c r="A6559" t="s">
        <v>173</v>
      </c>
      <c r="B6559" t="str">
        <f>_xlfn.XLOOKUP(A6559,'[1]Tissue Data'!$A:$A,'[1]Tissue Data'!$C:$C)</f>
        <v>Spill</v>
      </c>
      <c r="C6559" s="2">
        <f>_xlfn.XLOOKUP(A6559,'[1]Tissue Data'!$A:$A,'[1]Tissue Data'!$D:$D)</f>
        <v>44393</v>
      </c>
      <c r="D6559" s="2" t="str">
        <f>_xlfn.XLOOKUP(A6559,'[1]Tissue Data'!$A:$A,'[1]Tissue Data'!$F:$F)</f>
        <v>Eastern Mudminnow</v>
      </c>
      <c r="E6559" t="str">
        <f>_xlfn.XLOOKUP(A6559,'[1]Tissue Data'!$A:$A,'[1]Tissue Data'!$H:$H)</f>
        <v>Umbra</v>
      </c>
      <c r="F6559" t="str">
        <f>_xlfn.XLOOKUP(A6559,'[1]Tissue Data'!$A:$A,'[1]Tissue Data'!$I:$I)</f>
        <v>pygmaea</v>
      </c>
      <c r="G6559" t="str">
        <f>_xlfn.XLOOKUP(A6559,'[1]Tissue Data'!$A:$A,'[1]Tissue Data'!J:J)</f>
        <v>U</v>
      </c>
      <c r="H6559" t="str">
        <f>_xlfn.XLOOKUP(A6559,'[1]Tissue Data'!$A:$A,'[1]Tissue Data'!K:K)</f>
        <v>Whole Body</v>
      </c>
      <c r="I6559">
        <f>_xlfn.XLOOKUP(A6559,'[1]Tissue Data'!$A:$A,'[1]Tissue Data'!L:L)</f>
        <v>5.5</v>
      </c>
      <c r="J6559">
        <f>_xlfn.XLOOKUP(A6559,'[1]Tissue Data'!$A:$A,'[1]Tissue Data'!M:M)</f>
        <v>1.95</v>
      </c>
      <c r="K6559" t="s">
        <v>19</v>
      </c>
      <c r="L6559" t="str">
        <f>_xlfn.XLOOKUP(K6559,[2]analyte_order!$B:$B,[2]analyte_order!$C:$C)</f>
        <v>2058-94-8</v>
      </c>
      <c r="M6559">
        <f>_xlfn.XLOOKUP(L6559,[2]analyte_order!$C:$C,[2]analyte_order!$E:$E)</f>
        <v>8</v>
      </c>
      <c r="N6559">
        <v>45.7</v>
      </c>
    </row>
    <row r="6560" spans="1:14">
      <c r="A6560" t="s">
        <v>173</v>
      </c>
      <c r="B6560" t="str">
        <f>_xlfn.XLOOKUP(A6560,'[1]Tissue Data'!$A:$A,'[1]Tissue Data'!$C:$C)</f>
        <v>Spill</v>
      </c>
      <c r="C6560" s="2">
        <f>_xlfn.XLOOKUP(A6560,'[1]Tissue Data'!$A:$A,'[1]Tissue Data'!$D:$D)</f>
        <v>44393</v>
      </c>
      <c r="D6560" s="2" t="str">
        <f>_xlfn.XLOOKUP(A6560,'[1]Tissue Data'!$A:$A,'[1]Tissue Data'!$F:$F)</f>
        <v>Eastern Mudminnow</v>
      </c>
      <c r="E6560" t="str">
        <f>_xlfn.XLOOKUP(A6560,'[1]Tissue Data'!$A:$A,'[1]Tissue Data'!$H:$H)</f>
        <v>Umbra</v>
      </c>
      <c r="F6560" t="str">
        <f>_xlfn.XLOOKUP(A6560,'[1]Tissue Data'!$A:$A,'[1]Tissue Data'!$I:$I)</f>
        <v>pygmaea</v>
      </c>
      <c r="G6560" t="str">
        <f>_xlfn.XLOOKUP(A6560,'[1]Tissue Data'!$A:$A,'[1]Tissue Data'!J:J)</f>
        <v>U</v>
      </c>
      <c r="H6560" t="str">
        <f>_xlfn.XLOOKUP(A6560,'[1]Tissue Data'!$A:$A,'[1]Tissue Data'!K:K)</f>
        <v>Whole Body</v>
      </c>
      <c r="I6560">
        <f>_xlfn.XLOOKUP(A6560,'[1]Tissue Data'!$A:$A,'[1]Tissue Data'!L:L)</f>
        <v>5.5</v>
      </c>
      <c r="J6560">
        <f>_xlfn.XLOOKUP(A6560,'[1]Tissue Data'!$A:$A,'[1]Tissue Data'!M:M)</f>
        <v>1.95</v>
      </c>
      <c r="K6560" t="s">
        <v>20</v>
      </c>
      <c r="L6560" t="str">
        <f>_xlfn.XLOOKUP(K6560,[2]analyte_order!$B:$B,[2]analyte_order!$C:$C)</f>
        <v>307-55-1</v>
      </c>
      <c r="M6560">
        <f>_xlfn.XLOOKUP(L6560,[2]analyte_order!$C:$C,[2]analyte_order!$E:$E)</f>
        <v>9</v>
      </c>
      <c r="N6560">
        <v>4.34</v>
      </c>
    </row>
    <row r="6561" spans="1:14">
      <c r="A6561" t="s">
        <v>173</v>
      </c>
      <c r="B6561" t="str">
        <f>_xlfn.XLOOKUP(A6561,'[1]Tissue Data'!$A:$A,'[1]Tissue Data'!$C:$C)</f>
        <v>Spill</v>
      </c>
      <c r="C6561" s="2">
        <f>_xlfn.XLOOKUP(A6561,'[1]Tissue Data'!$A:$A,'[1]Tissue Data'!$D:$D)</f>
        <v>44393</v>
      </c>
      <c r="D6561" s="2" t="str">
        <f>_xlfn.XLOOKUP(A6561,'[1]Tissue Data'!$A:$A,'[1]Tissue Data'!$F:$F)</f>
        <v>Eastern Mudminnow</v>
      </c>
      <c r="E6561" t="str">
        <f>_xlfn.XLOOKUP(A6561,'[1]Tissue Data'!$A:$A,'[1]Tissue Data'!$H:$H)</f>
        <v>Umbra</v>
      </c>
      <c r="F6561" t="str">
        <f>_xlfn.XLOOKUP(A6561,'[1]Tissue Data'!$A:$A,'[1]Tissue Data'!$I:$I)</f>
        <v>pygmaea</v>
      </c>
      <c r="G6561" t="str">
        <f>_xlfn.XLOOKUP(A6561,'[1]Tissue Data'!$A:$A,'[1]Tissue Data'!J:J)</f>
        <v>U</v>
      </c>
      <c r="H6561" t="str">
        <f>_xlfn.XLOOKUP(A6561,'[1]Tissue Data'!$A:$A,'[1]Tissue Data'!K:K)</f>
        <v>Whole Body</v>
      </c>
      <c r="I6561">
        <f>_xlfn.XLOOKUP(A6561,'[1]Tissue Data'!$A:$A,'[1]Tissue Data'!L:L)</f>
        <v>5.5</v>
      </c>
      <c r="J6561">
        <f>_xlfn.XLOOKUP(A6561,'[1]Tissue Data'!$A:$A,'[1]Tissue Data'!M:M)</f>
        <v>1.95</v>
      </c>
      <c r="K6561" t="s">
        <v>21</v>
      </c>
      <c r="L6561" t="str">
        <f>_xlfn.XLOOKUP(K6561,[2]analyte_order!$B:$B,[2]analyte_order!$C:$C)</f>
        <v>72629-94-8</v>
      </c>
      <c r="M6561">
        <f>_xlfn.XLOOKUP(L6561,[2]analyte_order!$C:$C,[2]analyte_order!$E:$E)</f>
        <v>10</v>
      </c>
      <c r="N6561">
        <v>108</v>
      </c>
    </row>
    <row r="6562" spans="1:14">
      <c r="A6562" t="s">
        <v>173</v>
      </c>
      <c r="B6562" t="str">
        <f>_xlfn.XLOOKUP(A6562,'[1]Tissue Data'!$A:$A,'[1]Tissue Data'!$C:$C)</f>
        <v>Spill</v>
      </c>
      <c r="C6562" s="2">
        <f>_xlfn.XLOOKUP(A6562,'[1]Tissue Data'!$A:$A,'[1]Tissue Data'!$D:$D)</f>
        <v>44393</v>
      </c>
      <c r="D6562" s="2" t="str">
        <f>_xlfn.XLOOKUP(A6562,'[1]Tissue Data'!$A:$A,'[1]Tissue Data'!$F:$F)</f>
        <v>Eastern Mudminnow</v>
      </c>
      <c r="E6562" t="str">
        <f>_xlfn.XLOOKUP(A6562,'[1]Tissue Data'!$A:$A,'[1]Tissue Data'!$H:$H)</f>
        <v>Umbra</v>
      </c>
      <c r="F6562" t="str">
        <f>_xlfn.XLOOKUP(A6562,'[1]Tissue Data'!$A:$A,'[1]Tissue Data'!$I:$I)</f>
        <v>pygmaea</v>
      </c>
      <c r="G6562" t="str">
        <f>_xlfn.XLOOKUP(A6562,'[1]Tissue Data'!$A:$A,'[1]Tissue Data'!J:J)</f>
        <v>U</v>
      </c>
      <c r="H6562" t="str">
        <f>_xlfn.XLOOKUP(A6562,'[1]Tissue Data'!$A:$A,'[1]Tissue Data'!K:K)</f>
        <v>Whole Body</v>
      </c>
      <c r="I6562">
        <f>_xlfn.XLOOKUP(A6562,'[1]Tissue Data'!$A:$A,'[1]Tissue Data'!L:L)</f>
        <v>5.5</v>
      </c>
      <c r="J6562">
        <f>_xlfn.XLOOKUP(A6562,'[1]Tissue Data'!$A:$A,'[1]Tissue Data'!M:M)</f>
        <v>1.95</v>
      </c>
      <c r="K6562" t="s">
        <v>22</v>
      </c>
      <c r="L6562" t="str">
        <f>_xlfn.XLOOKUP(K6562,[2]analyte_order!$B:$B,[2]analyte_order!$C:$C)</f>
        <v>376-06-7</v>
      </c>
      <c r="M6562">
        <f>_xlfn.XLOOKUP(L6562,[2]analyte_order!$C:$C,[2]analyte_order!$E:$E)</f>
        <v>11</v>
      </c>
      <c r="N6562">
        <v>4.43</v>
      </c>
    </row>
    <row r="6563" spans="1:14">
      <c r="A6563" t="s">
        <v>173</v>
      </c>
      <c r="B6563" t="str">
        <f>_xlfn.XLOOKUP(A6563,'[1]Tissue Data'!$A:$A,'[1]Tissue Data'!$C:$C)</f>
        <v>Spill</v>
      </c>
      <c r="C6563" s="2">
        <f>_xlfn.XLOOKUP(A6563,'[1]Tissue Data'!$A:$A,'[1]Tissue Data'!$D:$D)</f>
        <v>44393</v>
      </c>
      <c r="D6563" s="2" t="str">
        <f>_xlfn.XLOOKUP(A6563,'[1]Tissue Data'!$A:$A,'[1]Tissue Data'!$F:$F)</f>
        <v>Eastern Mudminnow</v>
      </c>
      <c r="E6563" t="str">
        <f>_xlfn.XLOOKUP(A6563,'[1]Tissue Data'!$A:$A,'[1]Tissue Data'!$H:$H)</f>
        <v>Umbra</v>
      </c>
      <c r="F6563" t="str">
        <f>_xlfn.XLOOKUP(A6563,'[1]Tissue Data'!$A:$A,'[1]Tissue Data'!$I:$I)</f>
        <v>pygmaea</v>
      </c>
      <c r="G6563" t="str">
        <f>_xlfn.XLOOKUP(A6563,'[1]Tissue Data'!$A:$A,'[1]Tissue Data'!J:J)</f>
        <v>U</v>
      </c>
      <c r="H6563" t="str">
        <f>_xlfn.XLOOKUP(A6563,'[1]Tissue Data'!$A:$A,'[1]Tissue Data'!K:K)</f>
        <v>Whole Body</v>
      </c>
      <c r="I6563">
        <f>_xlfn.XLOOKUP(A6563,'[1]Tissue Data'!$A:$A,'[1]Tissue Data'!L:L)</f>
        <v>5.5</v>
      </c>
      <c r="J6563">
        <f>_xlfn.XLOOKUP(A6563,'[1]Tissue Data'!$A:$A,'[1]Tissue Data'!M:M)</f>
        <v>1.95</v>
      </c>
      <c r="K6563" t="s">
        <v>23</v>
      </c>
      <c r="L6563" t="str">
        <f>_xlfn.XLOOKUP(K6563,[2]analyte_order!$B:$B,[2]analyte_order!$C:$C)</f>
        <v>67905-19-5</v>
      </c>
      <c r="M6563">
        <f>_xlfn.XLOOKUP(L6563,[2]analyte_order!$C:$C,[2]analyte_order!$E:$E)</f>
        <v>12</v>
      </c>
      <c r="N6563">
        <v>0.13350000000000001</v>
      </c>
    </row>
    <row r="6564" spans="1:14">
      <c r="A6564" t="s">
        <v>173</v>
      </c>
      <c r="B6564" t="str">
        <f>_xlfn.XLOOKUP(A6564,'[1]Tissue Data'!$A:$A,'[1]Tissue Data'!$C:$C)</f>
        <v>Spill</v>
      </c>
      <c r="C6564" s="2">
        <f>_xlfn.XLOOKUP(A6564,'[1]Tissue Data'!$A:$A,'[1]Tissue Data'!$D:$D)</f>
        <v>44393</v>
      </c>
      <c r="D6564" s="2" t="str">
        <f>_xlfn.XLOOKUP(A6564,'[1]Tissue Data'!$A:$A,'[1]Tissue Data'!$F:$F)</f>
        <v>Eastern Mudminnow</v>
      </c>
      <c r="E6564" t="str">
        <f>_xlfn.XLOOKUP(A6564,'[1]Tissue Data'!$A:$A,'[1]Tissue Data'!$H:$H)</f>
        <v>Umbra</v>
      </c>
      <c r="F6564" t="str">
        <f>_xlfn.XLOOKUP(A6564,'[1]Tissue Data'!$A:$A,'[1]Tissue Data'!$I:$I)</f>
        <v>pygmaea</v>
      </c>
      <c r="G6564" t="str">
        <f>_xlfn.XLOOKUP(A6564,'[1]Tissue Data'!$A:$A,'[1]Tissue Data'!J:J)</f>
        <v>U</v>
      </c>
      <c r="H6564" t="str">
        <f>_xlfn.XLOOKUP(A6564,'[1]Tissue Data'!$A:$A,'[1]Tissue Data'!K:K)</f>
        <v>Whole Body</v>
      </c>
      <c r="I6564">
        <f>_xlfn.XLOOKUP(A6564,'[1]Tissue Data'!$A:$A,'[1]Tissue Data'!L:L)</f>
        <v>5.5</v>
      </c>
      <c r="J6564">
        <f>_xlfn.XLOOKUP(A6564,'[1]Tissue Data'!$A:$A,'[1]Tissue Data'!M:M)</f>
        <v>1.95</v>
      </c>
      <c r="K6564" t="s">
        <v>24</v>
      </c>
      <c r="L6564" t="str">
        <f>_xlfn.XLOOKUP(K6564,[2]analyte_order!$B:$B,[2]analyte_order!$C:$C)</f>
        <v>423-41-6</v>
      </c>
      <c r="M6564">
        <f>_xlfn.XLOOKUP(L6564,[2]analyte_order!$C:$C,[2]analyte_order!$E:$E)</f>
        <v>53</v>
      </c>
      <c r="N6564">
        <v>0.112</v>
      </c>
    </row>
    <row r="6565" spans="1:14">
      <c r="A6565" t="s">
        <v>173</v>
      </c>
      <c r="B6565" t="str">
        <f>_xlfn.XLOOKUP(A6565,'[1]Tissue Data'!$A:$A,'[1]Tissue Data'!$C:$C)</f>
        <v>Spill</v>
      </c>
      <c r="C6565" s="2">
        <f>_xlfn.XLOOKUP(A6565,'[1]Tissue Data'!$A:$A,'[1]Tissue Data'!$D:$D)</f>
        <v>44393</v>
      </c>
      <c r="D6565" s="2" t="str">
        <f>_xlfn.XLOOKUP(A6565,'[1]Tissue Data'!$A:$A,'[1]Tissue Data'!$F:$F)</f>
        <v>Eastern Mudminnow</v>
      </c>
      <c r="E6565" t="str">
        <f>_xlfn.XLOOKUP(A6565,'[1]Tissue Data'!$A:$A,'[1]Tissue Data'!$H:$H)</f>
        <v>Umbra</v>
      </c>
      <c r="F6565" t="str">
        <f>_xlfn.XLOOKUP(A6565,'[1]Tissue Data'!$A:$A,'[1]Tissue Data'!$I:$I)</f>
        <v>pygmaea</v>
      </c>
      <c r="G6565" t="str">
        <f>_xlfn.XLOOKUP(A6565,'[1]Tissue Data'!$A:$A,'[1]Tissue Data'!J:J)</f>
        <v>U</v>
      </c>
      <c r="H6565" t="str">
        <f>_xlfn.XLOOKUP(A6565,'[1]Tissue Data'!$A:$A,'[1]Tissue Data'!K:K)</f>
        <v>Whole Body</v>
      </c>
      <c r="I6565">
        <f>_xlfn.XLOOKUP(A6565,'[1]Tissue Data'!$A:$A,'[1]Tissue Data'!L:L)</f>
        <v>5.5</v>
      </c>
      <c r="J6565">
        <f>_xlfn.XLOOKUP(A6565,'[1]Tissue Data'!$A:$A,'[1]Tissue Data'!M:M)</f>
        <v>1.95</v>
      </c>
      <c r="K6565" t="s">
        <v>25</v>
      </c>
      <c r="L6565" t="str">
        <f>_xlfn.XLOOKUP(K6565,[2]analyte_order!$B:$B,[2]analyte_order!$C:$C)</f>
        <v>375-73-5</v>
      </c>
      <c r="M6565">
        <f>_xlfn.XLOOKUP(L6565,[2]analyte_order!$C:$C,[2]analyte_order!$E:$E)</f>
        <v>14</v>
      </c>
      <c r="N6565">
        <v>0.224</v>
      </c>
    </row>
    <row r="6566" spans="1:14">
      <c r="A6566" t="s">
        <v>173</v>
      </c>
      <c r="B6566" t="str">
        <f>_xlfn.XLOOKUP(A6566,'[1]Tissue Data'!$A:$A,'[1]Tissue Data'!$C:$C)</f>
        <v>Spill</v>
      </c>
      <c r="C6566" s="2">
        <f>_xlfn.XLOOKUP(A6566,'[1]Tissue Data'!$A:$A,'[1]Tissue Data'!$D:$D)</f>
        <v>44393</v>
      </c>
      <c r="D6566" s="2" t="str">
        <f>_xlfn.XLOOKUP(A6566,'[1]Tissue Data'!$A:$A,'[1]Tissue Data'!$F:$F)</f>
        <v>Eastern Mudminnow</v>
      </c>
      <c r="E6566" t="str">
        <f>_xlfn.XLOOKUP(A6566,'[1]Tissue Data'!$A:$A,'[1]Tissue Data'!$H:$H)</f>
        <v>Umbra</v>
      </c>
      <c r="F6566" t="str">
        <f>_xlfn.XLOOKUP(A6566,'[1]Tissue Data'!$A:$A,'[1]Tissue Data'!$I:$I)</f>
        <v>pygmaea</v>
      </c>
      <c r="G6566" t="str">
        <f>_xlfn.XLOOKUP(A6566,'[1]Tissue Data'!$A:$A,'[1]Tissue Data'!J:J)</f>
        <v>U</v>
      </c>
      <c r="H6566" t="str">
        <f>_xlfn.XLOOKUP(A6566,'[1]Tissue Data'!$A:$A,'[1]Tissue Data'!K:K)</f>
        <v>Whole Body</v>
      </c>
      <c r="I6566">
        <f>_xlfn.XLOOKUP(A6566,'[1]Tissue Data'!$A:$A,'[1]Tissue Data'!L:L)</f>
        <v>5.5</v>
      </c>
      <c r="J6566">
        <f>_xlfn.XLOOKUP(A6566,'[1]Tissue Data'!$A:$A,'[1]Tissue Data'!M:M)</f>
        <v>1.95</v>
      </c>
      <c r="K6566" t="s">
        <v>26</v>
      </c>
      <c r="L6566" t="str">
        <f>_xlfn.XLOOKUP(K6566,[2]analyte_order!$B:$B,[2]analyte_order!$C:$C)</f>
        <v>2706-91-4</v>
      </c>
      <c r="M6566">
        <f>_xlfn.XLOOKUP(L6566,[2]analyte_order!$C:$C,[2]analyte_order!$E:$E)</f>
        <v>15</v>
      </c>
      <c r="N6566">
        <v>0.67</v>
      </c>
    </row>
    <row r="6567" spans="1:14">
      <c r="A6567" t="s">
        <v>173</v>
      </c>
      <c r="B6567" t="str">
        <f>_xlfn.XLOOKUP(A6567,'[1]Tissue Data'!$A:$A,'[1]Tissue Data'!$C:$C)</f>
        <v>Spill</v>
      </c>
      <c r="C6567" s="2">
        <f>_xlfn.XLOOKUP(A6567,'[1]Tissue Data'!$A:$A,'[1]Tissue Data'!$D:$D)</f>
        <v>44393</v>
      </c>
      <c r="D6567" s="2" t="str">
        <f>_xlfn.XLOOKUP(A6567,'[1]Tissue Data'!$A:$A,'[1]Tissue Data'!$F:$F)</f>
        <v>Eastern Mudminnow</v>
      </c>
      <c r="E6567" t="str">
        <f>_xlfn.XLOOKUP(A6567,'[1]Tissue Data'!$A:$A,'[1]Tissue Data'!$H:$H)</f>
        <v>Umbra</v>
      </c>
      <c r="F6567" t="str">
        <f>_xlfn.XLOOKUP(A6567,'[1]Tissue Data'!$A:$A,'[1]Tissue Data'!$I:$I)</f>
        <v>pygmaea</v>
      </c>
      <c r="G6567" t="str">
        <f>_xlfn.XLOOKUP(A6567,'[1]Tissue Data'!$A:$A,'[1]Tissue Data'!J:J)</f>
        <v>U</v>
      </c>
      <c r="H6567" t="str">
        <f>_xlfn.XLOOKUP(A6567,'[1]Tissue Data'!$A:$A,'[1]Tissue Data'!K:K)</f>
        <v>Whole Body</v>
      </c>
      <c r="I6567">
        <f>_xlfn.XLOOKUP(A6567,'[1]Tissue Data'!$A:$A,'[1]Tissue Data'!L:L)</f>
        <v>5.5</v>
      </c>
      <c r="J6567">
        <f>_xlfn.XLOOKUP(A6567,'[1]Tissue Data'!$A:$A,'[1]Tissue Data'!M:M)</f>
        <v>1.95</v>
      </c>
      <c r="K6567" t="s">
        <v>27</v>
      </c>
      <c r="L6567" t="str">
        <f>_xlfn.XLOOKUP(K6567,[2]analyte_order!$B:$B,[2]analyte_order!$C:$C)</f>
        <v>355-46-4</v>
      </c>
      <c r="M6567">
        <f>_xlfn.XLOOKUP(L6567,[2]analyte_order!$C:$C,[2]analyte_order!$E:$E)</f>
        <v>16</v>
      </c>
      <c r="N6567">
        <v>298</v>
      </c>
    </row>
    <row r="6568" spans="1:14">
      <c r="A6568" t="s">
        <v>173</v>
      </c>
      <c r="B6568" t="str">
        <f>_xlfn.XLOOKUP(A6568,'[1]Tissue Data'!$A:$A,'[1]Tissue Data'!$C:$C)</f>
        <v>Spill</v>
      </c>
      <c r="C6568" s="2">
        <f>_xlfn.XLOOKUP(A6568,'[1]Tissue Data'!$A:$A,'[1]Tissue Data'!$D:$D)</f>
        <v>44393</v>
      </c>
      <c r="D6568" s="2" t="str">
        <f>_xlfn.XLOOKUP(A6568,'[1]Tissue Data'!$A:$A,'[1]Tissue Data'!$F:$F)</f>
        <v>Eastern Mudminnow</v>
      </c>
      <c r="E6568" t="str">
        <f>_xlfn.XLOOKUP(A6568,'[1]Tissue Data'!$A:$A,'[1]Tissue Data'!$H:$H)</f>
        <v>Umbra</v>
      </c>
      <c r="F6568" t="str">
        <f>_xlfn.XLOOKUP(A6568,'[1]Tissue Data'!$A:$A,'[1]Tissue Data'!$I:$I)</f>
        <v>pygmaea</v>
      </c>
      <c r="G6568" t="str">
        <f>_xlfn.XLOOKUP(A6568,'[1]Tissue Data'!$A:$A,'[1]Tissue Data'!J:J)</f>
        <v>U</v>
      </c>
      <c r="H6568" t="str">
        <f>_xlfn.XLOOKUP(A6568,'[1]Tissue Data'!$A:$A,'[1]Tissue Data'!K:K)</f>
        <v>Whole Body</v>
      </c>
      <c r="I6568">
        <f>_xlfn.XLOOKUP(A6568,'[1]Tissue Data'!$A:$A,'[1]Tissue Data'!L:L)</f>
        <v>5.5</v>
      </c>
      <c r="J6568">
        <f>_xlfn.XLOOKUP(A6568,'[1]Tissue Data'!$A:$A,'[1]Tissue Data'!M:M)</f>
        <v>1.95</v>
      </c>
      <c r="K6568" t="s">
        <v>28</v>
      </c>
      <c r="L6568" t="str">
        <f>_xlfn.XLOOKUP(K6568,[2]analyte_order!$B:$B,[2]analyte_order!$C:$C)</f>
        <v>375-92-8</v>
      </c>
      <c r="M6568">
        <f>_xlfn.XLOOKUP(L6568,[2]analyte_order!$C:$C,[2]analyte_order!$E:$E)</f>
        <v>17</v>
      </c>
      <c r="N6568">
        <v>11.3</v>
      </c>
    </row>
    <row r="6569" spans="1:14">
      <c r="A6569" t="s">
        <v>173</v>
      </c>
      <c r="B6569" t="str">
        <f>_xlfn.XLOOKUP(A6569,'[1]Tissue Data'!$A:$A,'[1]Tissue Data'!$C:$C)</f>
        <v>Spill</v>
      </c>
      <c r="C6569" s="2">
        <f>_xlfn.XLOOKUP(A6569,'[1]Tissue Data'!$A:$A,'[1]Tissue Data'!$D:$D)</f>
        <v>44393</v>
      </c>
      <c r="D6569" s="2" t="str">
        <f>_xlfn.XLOOKUP(A6569,'[1]Tissue Data'!$A:$A,'[1]Tissue Data'!$F:$F)</f>
        <v>Eastern Mudminnow</v>
      </c>
      <c r="E6569" t="str">
        <f>_xlfn.XLOOKUP(A6569,'[1]Tissue Data'!$A:$A,'[1]Tissue Data'!$H:$H)</f>
        <v>Umbra</v>
      </c>
      <c r="F6569" t="str">
        <f>_xlfn.XLOOKUP(A6569,'[1]Tissue Data'!$A:$A,'[1]Tissue Data'!$I:$I)</f>
        <v>pygmaea</v>
      </c>
      <c r="G6569" t="str">
        <f>_xlfn.XLOOKUP(A6569,'[1]Tissue Data'!$A:$A,'[1]Tissue Data'!J:J)</f>
        <v>U</v>
      </c>
      <c r="H6569" t="str">
        <f>_xlfn.XLOOKUP(A6569,'[1]Tissue Data'!$A:$A,'[1]Tissue Data'!K:K)</f>
        <v>Whole Body</v>
      </c>
      <c r="I6569">
        <f>_xlfn.XLOOKUP(A6569,'[1]Tissue Data'!$A:$A,'[1]Tissue Data'!L:L)</f>
        <v>5.5</v>
      </c>
      <c r="J6569">
        <f>_xlfn.XLOOKUP(A6569,'[1]Tissue Data'!$A:$A,'[1]Tissue Data'!M:M)</f>
        <v>1.95</v>
      </c>
      <c r="K6569" t="s">
        <v>29</v>
      </c>
      <c r="L6569" t="str">
        <f>_xlfn.XLOOKUP(K6569,[2]analyte_order!$B:$B,[2]analyte_order!$C:$C)</f>
        <v>1763-23-1</v>
      </c>
      <c r="M6569">
        <f>_xlfn.XLOOKUP(L6569,[2]analyte_order!$C:$C,[2]analyte_order!$E:$E)</f>
        <v>18</v>
      </c>
      <c r="N6569">
        <v>3680</v>
      </c>
    </row>
    <row r="6570" spans="1:14">
      <c r="A6570" t="s">
        <v>173</v>
      </c>
      <c r="B6570" t="str">
        <f>_xlfn.XLOOKUP(A6570,'[1]Tissue Data'!$A:$A,'[1]Tissue Data'!$C:$C)</f>
        <v>Spill</v>
      </c>
      <c r="C6570" s="2">
        <f>_xlfn.XLOOKUP(A6570,'[1]Tissue Data'!$A:$A,'[1]Tissue Data'!$D:$D)</f>
        <v>44393</v>
      </c>
      <c r="D6570" s="2" t="str">
        <f>_xlfn.XLOOKUP(A6570,'[1]Tissue Data'!$A:$A,'[1]Tissue Data'!$F:$F)</f>
        <v>Eastern Mudminnow</v>
      </c>
      <c r="E6570" t="str">
        <f>_xlfn.XLOOKUP(A6570,'[1]Tissue Data'!$A:$A,'[1]Tissue Data'!$H:$H)</f>
        <v>Umbra</v>
      </c>
      <c r="F6570" t="str">
        <f>_xlfn.XLOOKUP(A6570,'[1]Tissue Data'!$A:$A,'[1]Tissue Data'!$I:$I)</f>
        <v>pygmaea</v>
      </c>
      <c r="G6570" t="str">
        <f>_xlfn.XLOOKUP(A6570,'[1]Tissue Data'!$A:$A,'[1]Tissue Data'!J:J)</f>
        <v>U</v>
      </c>
      <c r="H6570" t="str">
        <f>_xlfn.XLOOKUP(A6570,'[1]Tissue Data'!$A:$A,'[1]Tissue Data'!K:K)</f>
        <v>Whole Body</v>
      </c>
      <c r="I6570">
        <f>_xlfn.XLOOKUP(A6570,'[1]Tissue Data'!$A:$A,'[1]Tissue Data'!L:L)</f>
        <v>5.5</v>
      </c>
      <c r="J6570">
        <f>_xlfn.XLOOKUP(A6570,'[1]Tissue Data'!$A:$A,'[1]Tissue Data'!M:M)</f>
        <v>1.95</v>
      </c>
      <c r="K6570" t="s">
        <v>30</v>
      </c>
      <c r="L6570" t="str">
        <f>_xlfn.XLOOKUP(K6570,[2]analyte_order!$B:$B,[2]analyte_order!$C:$C)</f>
        <v>68259-12-1</v>
      </c>
      <c r="M6570">
        <f>_xlfn.XLOOKUP(L6570,[2]analyte_order!$C:$C,[2]analyte_order!$E:$E)</f>
        <v>19</v>
      </c>
      <c r="N6570">
        <v>1.56</v>
      </c>
    </row>
    <row r="6571" spans="1:14">
      <c r="A6571" t="s">
        <v>173</v>
      </c>
      <c r="B6571" t="str">
        <f>_xlfn.XLOOKUP(A6571,'[1]Tissue Data'!$A:$A,'[1]Tissue Data'!$C:$C)</f>
        <v>Spill</v>
      </c>
      <c r="C6571" s="2">
        <f>_xlfn.XLOOKUP(A6571,'[1]Tissue Data'!$A:$A,'[1]Tissue Data'!$D:$D)</f>
        <v>44393</v>
      </c>
      <c r="D6571" s="2" t="str">
        <f>_xlfn.XLOOKUP(A6571,'[1]Tissue Data'!$A:$A,'[1]Tissue Data'!$F:$F)</f>
        <v>Eastern Mudminnow</v>
      </c>
      <c r="E6571" t="str">
        <f>_xlfn.XLOOKUP(A6571,'[1]Tissue Data'!$A:$A,'[1]Tissue Data'!$H:$H)</f>
        <v>Umbra</v>
      </c>
      <c r="F6571" t="str">
        <f>_xlfn.XLOOKUP(A6571,'[1]Tissue Data'!$A:$A,'[1]Tissue Data'!$I:$I)</f>
        <v>pygmaea</v>
      </c>
      <c r="G6571" t="str">
        <f>_xlfn.XLOOKUP(A6571,'[1]Tissue Data'!$A:$A,'[1]Tissue Data'!J:J)</f>
        <v>U</v>
      </c>
      <c r="H6571" t="str">
        <f>_xlfn.XLOOKUP(A6571,'[1]Tissue Data'!$A:$A,'[1]Tissue Data'!K:K)</f>
        <v>Whole Body</v>
      </c>
      <c r="I6571">
        <f>_xlfn.XLOOKUP(A6571,'[1]Tissue Data'!$A:$A,'[1]Tissue Data'!L:L)</f>
        <v>5.5</v>
      </c>
      <c r="J6571">
        <f>_xlfn.XLOOKUP(A6571,'[1]Tissue Data'!$A:$A,'[1]Tissue Data'!M:M)</f>
        <v>1.95</v>
      </c>
      <c r="K6571" t="s">
        <v>31</v>
      </c>
      <c r="L6571" t="str">
        <f>_xlfn.XLOOKUP(K6571,[2]analyte_order!$B:$B,[2]analyte_order!$C:$C)</f>
        <v>335-77-3</v>
      </c>
      <c r="M6571">
        <f>_xlfn.XLOOKUP(L6571,[2]analyte_order!$C:$C,[2]analyte_order!$E:$E)</f>
        <v>20</v>
      </c>
      <c r="N6571">
        <v>1.95</v>
      </c>
    </row>
    <row r="6572" spans="1:14">
      <c r="A6572" t="s">
        <v>173</v>
      </c>
      <c r="B6572" t="str">
        <f>_xlfn.XLOOKUP(A6572,'[1]Tissue Data'!$A:$A,'[1]Tissue Data'!$C:$C)</f>
        <v>Spill</v>
      </c>
      <c r="C6572" s="2">
        <f>_xlfn.XLOOKUP(A6572,'[1]Tissue Data'!$A:$A,'[1]Tissue Data'!$D:$D)</f>
        <v>44393</v>
      </c>
      <c r="D6572" s="2" t="str">
        <f>_xlfn.XLOOKUP(A6572,'[1]Tissue Data'!$A:$A,'[1]Tissue Data'!$F:$F)</f>
        <v>Eastern Mudminnow</v>
      </c>
      <c r="E6572" t="str">
        <f>_xlfn.XLOOKUP(A6572,'[1]Tissue Data'!$A:$A,'[1]Tissue Data'!$H:$H)</f>
        <v>Umbra</v>
      </c>
      <c r="F6572" t="str">
        <f>_xlfn.XLOOKUP(A6572,'[1]Tissue Data'!$A:$A,'[1]Tissue Data'!$I:$I)</f>
        <v>pygmaea</v>
      </c>
      <c r="G6572" t="str">
        <f>_xlfn.XLOOKUP(A6572,'[1]Tissue Data'!$A:$A,'[1]Tissue Data'!J:J)</f>
        <v>U</v>
      </c>
      <c r="H6572" t="str">
        <f>_xlfn.XLOOKUP(A6572,'[1]Tissue Data'!$A:$A,'[1]Tissue Data'!K:K)</f>
        <v>Whole Body</v>
      </c>
      <c r="I6572">
        <f>_xlfn.XLOOKUP(A6572,'[1]Tissue Data'!$A:$A,'[1]Tissue Data'!L:L)</f>
        <v>5.5</v>
      </c>
      <c r="J6572">
        <f>_xlfn.XLOOKUP(A6572,'[1]Tissue Data'!$A:$A,'[1]Tissue Data'!M:M)</f>
        <v>1.95</v>
      </c>
      <c r="K6572" t="s">
        <v>32</v>
      </c>
      <c r="L6572" t="str">
        <f>_xlfn.XLOOKUP(K6572,[2]analyte_order!$B:$B,[2]analyte_order!$C:$C)</f>
        <v>79780-39-5</v>
      </c>
      <c r="M6572">
        <f>_xlfn.XLOOKUP(L6572,[2]analyte_order!$C:$C,[2]analyte_order!$E:$E)</f>
        <v>21</v>
      </c>
      <c r="N6572">
        <v>0.23949999999999999</v>
      </c>
    </row>
    <row r="6573" spans="1:14">
      <c r="A6573" t="s">
        <v>173</v>
      </c>
      <c r="B6573" t="str">
        <f>_xlfn.XLOOKUP(A6573,'[1]Tissue Data'!$A:$A,'[1]Tissue Data'!$C:$C)</f>
        <v>Spill</v>
      </c>
      <c r="C6573" s="2">
        <f>_xlfn.XLOOKUP(A6573,'[1]Tissue Data'!$A:$A,'[1]Tissue Data'!$D:$D)</f>
        <v>44393</v>
      </c>
      <c r="D6573" s="2" t="str">
        <f>_xlfn.XLOOKUP(A6573,'[1]Tissue Data'!$A:$A,'[1]Tissue Data'!$F:$F)</f>
        <v>Eastern Mudminnow</v>
      </c>
      <c r="E6573" t="str">
        <f>_xlfn.XLOOKUP(A6573,'[1]Tissue Data'!$A:$A,'[1]Tissue Data'!$H:$H)</f>
        <v>Umbra</v>
      </c>
      <c r="F6573" t="str">
        <f>_xlfn.XLOOKUP(A6573,'[1]Tissue Data'!$A:$A,'[1]Tissue Data'!$I:$I)</f>
        <v>pygmaea</v>
      </c>
      <c r="G6573" t="str">
        <f>_xlfn.XLOOKUP(A6573,'[1]Tissue Data'!$A:$A,'[1]Tissue Data'!J:J)</f>
        <v>U</v>
      </c>
      <c r="H6573" t="str">
        <f>_xlfn.XLOOKUP(A6573,'[1]Tissue Data'!$A:$A,'[1]Tissue Data'!K:K)</f>
        <v>Whole Body</v>
      </c>
      <c r="I6573">
        <f>_xlfn.XLOOKUP(A6573,'[1]Tissue Data'!$A:$A,'[1]Tissue Data'!L:L)</f>
        <v>5.5</v>
      </c>
      <c r="J6573">
        <f>_xlfn.XLOOKUP(A6573,'[1]Tissue Data'!$A:$A,'[1]Tissue Data'!M:M)</f>
        <v>1.95</v>
      </c>
      <c r="K6573" t="s">
        <v>33</v>
      </c>
      <c r="L6573" t="str">
        <f>_xlfn.XLOOKUP(K6573,[2]analyte_order!$B:$B,[2]analyte_order!$C:$C)</f>
        <v>777011-38-8</v>
      </c>
      <c r="M6573">
        <f>_xlfn.XLOOKUP(L6573,[2]analyte_order!$C:$C,[2]analyte_order!$E:$E)</f>
        <v>54</v>
      </c>
      <c r="N6573">
        <v>0.13600000000000001</v>
      </c>
    </row>
    <row r="6574" spans="1:14">
      <c r="A6574" t="s">
        <v>173</v>
      </c>
      <c r="B6574" t="str">
        <f>_xlfn.XLOOKUP(A6574,'[1]Tissue Data'!$A:$A,'[1]Tissue Data'!$C:$C)</f>
        <v>Spill</v>
      </c>
      <c r="C6574" s="2">
        <f>_xlfn.XLOOKUP(A6574,'[1]Tissue Data'!$A:$A,'[1]Tissue Data'!$D:$D)</f>
        <v>44393</v>
      </c>
      <c r="D6574" s="2" t="str">
        <f>_xlfn.XLOOKUP(A6574,'[1]Tissue Data'!$A:$A,'[1]Tissue Data'!$F:$F)</f>
        <v>Eastern Mudminnow</v>
      </c>
      <c r="E6574" t="str">
        <f>_xlfn.XLOOKUP(A6574,'[1]Tissue Data'!$A:$A,'[1]Tissue Data'!$H:$H)</f>
        <v>Umbra</v>
      </c>
      <c r="F6574" t="str">
        <f>_xlfn.XLOOKUP(A6574,'[1]Tissue Data'!$A:$A,'[1]Tissue Data'!$I:$I)</f>
        <v>pygmaea</v>
      </c>
      <c r="G6574" t="str">
        <f>_xlfn.XLOOKUP(A6574,'[1]Tissue Data'!$A:$A,'[1]Tissue Data'!J:J)</f>
        <v>U</v>
      </c>
      <c r="H6574" t="str">
        <f>_xlfn.XLOOKUP(A6574,'[1]Tissue Data'!$A:$A,'[1]Tissue Data'!K:K)</f>
        <v>Whole Body</v>
      </c>
      <c r="I6574">
        <f>_xlfn.XLOOKUP(A6574,'[1]Tissue Data'!$A:$A,'[1]Tissue Data'!L:L)</f>
        <v>5.5</v>
      </c>
      <c r="J6574">
        <f>_xlfn.XLOOKUP(A6574,'[1]Tissue Data'!$A:$A,'[1]Tissue Data'!M:M)</f>
        <v>1.95</v>
      </c>
      <c r="K6574" t="s">
        <v>34</v>
      </c>
      <c r="L6574" t="str">
        <f>_xlfn.XLOOKUP(K6574,[2]analyte_order!$B:$B,[2]analyte_order!$C:$C)</f>
        <v>646-83-3</v>
      </c>
      <c r="M6574">
        <f>_xlfn.XLOOKUP(L6574,[2]analyte_order!$C:$C,[2]analyte_order!$E:$E)</f>
        <v>55</v>
      </c>
      <c r="N6574">
        <v>0.44700000000000001</v>
      </c>
    </row>
    <row r="6575" spans="1:14">
      <c r="A6575" t="s">
        <v>173</v>
      </c>
      <c r="B6575" t="str">
        <f>_xlfn.XLOOKUP(A6575,'[1]Tissue Data'!$A:$A,'[1]Tissue Data'!$C:$C)</f>
        <v>Spill</v>
      </c>
      <c r="C6575" s="2">
        <f>_xlfn.XLOOKUP(A6575,'[1]Tissue Data'!$A:$A,'[1]Tissue Data'!$D:$D)</f>
        <v>44393</v>
      </c>
      <c r="D6575" s="2" t="str">
        <f>_xlfn.XLOOKUP(A6575,'[1]Tissue Data'!$A:$A,'[1]Tissue Data'!$F:$F)</f>
        <v>Eastern Mudminnow</v>
      </c>
      <c r="E6575" t="str">
        <f>_xlfn.XLOOKUP(A6575,'[1]Tissue Data'!$A:$A,'[1]Tissue Data'!$H:$H)</f>
        <v>Umbra</v>
      </c>
      <c r="F6575" t="str">
        <f>_xlfn.XLOOKUP(A6575,'[1]Tissue Data'!$A:$A,'[1]Tissue Data'!$I:$I)</f>
        <v>pygmaea</v>
      </c>
      <c r="G6575" t="str">
        <f>_xlfn.XLOOKUP(A6575,'[1]Tissue Data'!$A:$A,'[1]Tissue Data'!J:J)</f>
        <v>U</v>
      </c>
      <c r="H6575" t="str">
        <f>_xlfn.XLOOKUP(A6575,'[1]Tissue Data'!$A:$A,'[1]Tissue Data'!K:K)</f>
        <v>Whole Body</v>
      </c>
      <c r="I6575">
        <f>_xlfn.XLOOKUP(A6575,'[1]Tissue Data'!$A:$A,'[1]Tissue Data'!L:L)</f>
        <v>5.5</v>
      </c>
      <c r="J6575">
        <f>_xlfn.XLOOKUP(A6575,'[1]Tissue Data'!$A:$A,'[1]Tissue Data'!M:M)</f>
        <v>1.95</v>
      </c>
      <c r="K6575" t="s">
        <v>35</v>
      </c>
      <c r="L6575" t="str">
        <f>_xlfn.XLOOKUP(K6575,[2]analyte_order!$B:$B,[2]analyte_order!$C:$C)</f>
        <v>30334-69-1</v>
      </c>
      <c r="M6575">
        <f>_xlfn.XLOOKUP(L6575,[2]analyte_order!$C:$C,[2]analyte_order!$E:$E)</f>
        <v>51</v>
      </c>
      <c r="N6575">
        <v>40.700000000000003</v>
      </c>
    </row>
    <row r="6576" spans="1:14">
      <c r="A6576" t="s">
        <v>173</v>
      </c>
      <c r="B6576" t="str">
        <f>_xlfn.XLOOKUP(A6576,'[1]Tissue Data'!$A:$A,'[1]Tissue Data'!$C:$C)</f>
        <v>Spill</v>
      </c>
      <c r="C6576" s="2">
        <f>_xlfn.XLOOKUP(A6576,'[1]Tissue Data'!$A:$A,'[1]Tissue Data'!$D:$D)</f>
        <v>44393</v>
      </c>
      <c r="D6576" s="2" t="str">
        <f>_xlfn.XLOOKUP(A6576,'[1]Tissue Data'!$A:$A,'[1]Tissue Data'!$F:$F)</f>
        <v>Eastern Mudminnow</v>
      </c>
      <c r="E6576" t="str">
        <f>_xlfn.XLOOKUP(A6576,'[1]Tissue Data'!$A:$A,'[1]Tissue Data'!$H:$H)</f>
        <v>Umbra</v>
      </c>
      <c r="F6576" t="str">
        <f>_xlfn.XLOOKUP(A6576,'[1]Tissue Data'!$A:$A,'[1]Tissue Data'!$I:$I)</f>
        <v>pygmaea</v>
      </c>
      <c r="G6576" t="str">
        <f>_xlfn.XLOOKUP(A6576,'[1]Tissue Data'!$A:$A,'[1]Tissue Data'!J:J)</f>
        <v>U</v>
      </c>
      <c r="H6576" t="str">
        <f>_xlfn.XLOOKUP(A6576,'[1]Tissue Data'!$A:$A,'[1]Tissue Data'!K:K)</f>
        <v>Whole Body</v>
      </c>
      <c r="I6576">
        <f>_xlfn.XLOOKUP(A6576,'[1]Tissue Data'!$A:$A,'[1]Tissue Data'!L:L)</f>
        <v>5.5</v>
      </c>
      <c r="J6576">
        <f>_xlfn.XLOOKUP(A6576,'[1]Tissue Data'!$A:$A,'[1]Tissue Data'!M:M)</f>
        <v>1.95</v>
      </c>
      <c r="K6576" t="s">
        <v>36</v>
      </c>
      <c r="L6576" t="str">
        <f>_xlfn.XLOOKUP(K6576,[2]analyte_order!$B:$B,[2]analyte_order!$C:$C)</f>
        <v>41997-13-1</v>
      </c>
      <c r="M6576">
        <f>_xlfn.XLOOKUP(L6576,[2]analyte_order!$C:$C,[2]analyte_order!$E:$E)</f>
        <v>52</v>
      </c>
      <c r="N6576">
        <v>555</v>
      </c>
    </row>
    <row r="6577" spans="1:14">
      <c r="A6577" t="s">
        <v>173</v>
      </c>
      <c r="B6577" t="str">
        <f>_xlfn.XLOOKUP(A6577,'[1]Tissue Data'!$A:$A,'[1]Tissue Data'!$C:$C)</f>
        <v>Spill</v>
      </c>
      <c r="C6577" s="2">
        <f>_xlfn.XLOOKUP(A6577,'[1]Tissue Data'!$A:$A,'[1]Tissue Data'!$D:$D)</f>
        <v>44393</v>
      </c>
      <c r="D6577" s="2" t="str">
        <f>_xlfn.XLOOKUP(A6577,'[1]Tissue Data'!$A:$A,'[1]Tissue Data'!$F:$F)</f>
        <v>Eastern Mudminnow</v>
      </c>
      <c r="E6577" t="str">
        <f>_xlfn.XLOOKUP(A6577,'[1]Tissue Data'!$A:$A,'[1]Tissue Data'!$H:$H)</f>
        <v>Umbra</v>
      </c>
      <c r="F6577" t="str">
        <f>_xlfn.XLOOKUP(A6577,'[1]Tissue Data'!$A:$A,'[1]Tissue Data'!$I:$I)</f>
        <v>pygmaea</v>
      </c>
      <c r="G6577" t="str">
        <f>_xlfn.XLOOKUP(A6577,'[1]Tissue Data'!$A:$A,'[1]Tissue Data'!J:J)</f>
        <v>U</v>
      </c>
      <c r="H6577" t="str">
        <f>_xlfn.XLOOKUP(A6577,'[1]Tissue Data'!$A:$A,'[1]Tissue Data'!K:K)</f>
        <v>Whole Body</v>
      </c>
      <c r="I6577">
        <f>_xlfn.XLOOKUP(A6577,'[1]Tissue Data'!$A:$A,'[1]Tissue Data'!L:L)</f>
        <v>5.5</v>
      </c>
      <c r="J6577">
        <f>_xlfn.XLOOKUP(A6577,'[1]Tissue Data'!$A:$A,'[1]Tissue Data'!M:M)</f>
        <v>1.95</v>
      </c>
      <c r="K6577" t="s">
        <v>37</v>
      </c>
      <c r="L6577" t="str">
        <f>_xlfn.XLOOKUP(K6577,[2]analyte_order!$B:$B,[2]analyte_order!$C:$C)</f>
        <v>754-91-6</v>
      </c>
      <c r="M6577">
        <f>_xlfn.XLOOKUP(L6577,[2]analyte_order!$C:$C,[2]analyte_order!$E:$E)</f>
        <v>28</v>
      </c>
      <c r="N6577">
        <v>83.5</v>
      </c>
    </row>
    <row r="6578" spans="1:14">
      <c r="A6578" t="s">
        <v>173</v>
      </c>
      <c r="B6578" t="str">
        <f>_xlfn.XLOOKUP(A6578,'[1]Tissue Data'!$A:$A,'[1]Tissue Data'!$C:$C)</f>
        <v>Spill</v>
      </c>
      <c r="C6578" s="2">
        <f>_xlfn.XLOOKUP(A6578,'[1]Tissue Data'!$A:$A,'[1]Tissue Data'!$D:$D)</f>
        <v>44393</v>
      </c>
      <c r="D6578" s="2" t="str">
        <f>_xlfn.XLOOKUP(A6578,'[1]Tissue Data'!$A:$A,'[1]Tissue Data'!$F:$F)</f>
        <v>Eastern Mudminnow</v>
      </c>
      <c r="E6578" t="str">
        <f>_xlfn.XLOOKUP(A6578,'[1]Tissue Data'!$A:$A,'[1]Tissue Data'!$H:$H)</f>
        <v>Umbra</v>
      </c>
      <c r="F6578" t="str">
        <f>_xlfn.XLOOKUP(A6578,'[1]Tissue Data'!$A:$A,'[1]Tissue Data'!$I:$I)</f>
        <v>pygmaea</v>
      </c>
      <c r="G6578" t="str">
        <f>_xlfn.XLOOKUP(A6578,'[1]Tissue Data'!$A:$A,'[1]Tissue Data'!J:J)</f>
        <v>U</v>
      </c>
      <c r="H6578" t="str">
        <f>_xlfn.XLOOKUP(A6578,'[1]Tissue Data'!$A:$A,'[1]Tissue Data'!K:K)</f>
        <v>Whole Body</v>
      </c>
      <c r="I6578">
        <f>_xlfn.XLOOKUP(A6578,'[1]Tissue Data'!$A:$A,'[1]Tissue Data'!L:L)</f>
        <v>5.5</v>
      </c>
      <c r="J6578">
        <f>_xlfn.XLOOKUP(A6578,'[1]Tissue Data'!$A:$A,'[1]Tissue Data'!M:M)</f>
        <v>1.95</v>
      </c>
      <c r="K6578" t="s">
        <v>38</v>
      </c>
      <c r="L6578" t="str">
        <f>_xlfn.XLOOKUP(K6578,[2]analyte_order!$B:$B,[2]analyte_order!$C:$C)</f>
        <v>31506-32-8</v>
      </c>
      <c r="M6578">
        <f>_xlfn.XLOOKUP(L6578,[2]analyte_order!$C:$C,[2]analyte_order!$E:$E)</f>
        <v>30</v>
      </c>
      <c r="N6578">
        <v>8.5999999999999993E-2</v>
      </c>
    </row>
    <row r="6579" spans="1:14">
      <c r="A6579" t="s">
        <v>173</v>
      </c>
      <c r="B6579" t="str">
        <f>_xlfn.XLOOKUP(A6579,'[1]Tissue Data'!$A:$A,'[1]Tissue Data'!$C:$C)</f>
        <v>Spill</v>
      </c>
      <c r="C6579" s="2">
        <f>_xlfn.XLOOKUP(A6579,'[1]Tissue Data'!$A:$A,'[1]Tissue Data'!$D:$D)</f>
        <v>44393</v>
      </c>
      <c r="D6579" s="2" t="str">
        <f>_xlfn.XLOOKUP(A6579,'[1]Tissue Data'!$A:$A,'[1]Tissue Data'!$F:$F)</f>
        <v>Eastern Mudminnow</v>
      </c>
      <c r="E6579" t="str">
        <f>_xlfn.XLOOKUP(A6579,'[1]Tissue Data'!$A:$A,'[1]Tissue Data'!$H:$H)</f>
        <v>Umbra</v>
      </c>
      <c r="F6579" t="str">
        <f>_xlfn.XLOOKUP(A6579,'[1]Tissue Data'!$A:$A,'[1]Tissue Data'!$I:$I)</f>
        <v>pygmaea</v>
      </c>
      <c r="G6579" t="str">
        <f>_xlfn.XLOOKUP(A6579,'[1]Tissue Data'!$A:$A,'[1]Tissue Data'!J:J)</f>
        <v>U</v>
      </c>
      <c r="H6579" t="str">
        <f>_xlfn.XLOOKUP(A6579,'[1]Tissue Data'!$A:$A,'[1]Tissue Data'!K:K)</f>
        <v>Whole Body</v>
      </c>
      <c r="I6579">
        <f>_xlfn.XLOOKUP(A6579,'[1]Tissue Data'!$A:$A,'[1]Tissue Data'!L:L)</f>
        <v>5.5</v>
      </c>
      <c r="J6579">
        <f>_xlfn.XLOOKUP(A6579,'[1]Tissue Data'!$A:$A,'[1]Tissue Data'!M:M)</f>
        <v>1.95</v>
      </c>
      <c r="K6579" t="s">
        <v>39</v>
      </c>
      <c r="L6579" t="str">
        <f>_xlfn.XLOOKUP(K6579,[2]analyte_order!$B:$B,[2]analyte_order!$C:$C)</f>
        <v>4151-50-2</v>
      </c>
      <c r="M6579">
        <f>_xlfn.XLOOKUP(L6579,[2]analyte_order!$C:$C,[2]analyte_order!$E:$E)</f>
        <v>31</v>
      </c>
      <c r="N6579">
        <v>0.224</v>
      </c>
    </row>
    <row r="6580" spans="1:14">
      <c r="A6580" t="s">
        <v>173</v>
      </c>
      <c r="B6580" t="str">
        <f>_xlfn.XLOOKUP(A6580,'[1]Tissue Data'!$A:$A,'[1]Tissue Data'!$C:$C)</f>
        <v>Spill</v>
      </c>
      <c r="C6580" s="2">
        <f>_xlfn.XLOOKUP(A6580,'[1]Tissue Data'!$A:$A,'[1]Tissue Data'!$D:$D)</f>
        <v>44393</v>
      </c>
      <c r="D6580" s="2" t="str">
        <f>_xlfn.XLOOKUP(A6580,'[1]Tissue Data'!$A:$A,'[1]Tissue Data'!$F:$F)</f>
        <v>Eastern Mudminnow</v>
      </c>
      <c r="E6580" t="str">
        <f>_xlfn.XLOOKUP(A6580,'[1]Tissue Data'!$A:$A,'[1]Tissue Data'!$H:$H)</f>
        <v>Umbra</v>
      </c>
      <c r="F6580" t="str">
        <f>_xlfn.XLOOKUP(A6580,'[1]Tissue Data'!$A:$A,'[1]Tissue Data'!$I:$I)</f>
        <v>pygmaea</v>
      </c>
      <c r="G6580" t="str">
        <f>_xlfn.XLOOKUP(A6580,'[1]Tissue Data'!$A:$A,'[1]Tissue Data'!J:J)</f>
        <v>U</v>
      </c>
      <c r="H6580" t="str">
        <f>_xlfn.XLOOKUP(A6580,'[1]Tissue Data'!$A:$A,'[1]Tissue Data'!K:K)</f>
        <v>Whole Body</v>
      </c>
      <c r="I6580">
        <f>_xlfn.XLOOKUP(A6580,'[1]Tissue Data'!$A:$A,'[1]Tissue Data'!L:L)</f>
        <v>5.5</v>
      </c>
      <c r="J6580">
        <f>_xlfn.XLOOKUP(A6580,'[1]Tissue Data'!$A:$A,'[1]Tissue Data'!M:M)</f>
        <v>1.95</v>
      </c>
      <c r="K6580" t="s">
        <v>40</v>
      </c>
      <c r="L6580" t="str">
        <f>_xlfn.XLOOKUP(K6580,[2]analyte_order!$B:$B,[2]analyte_order!$C:$C)</f>
        <v>2806-24-8</v>
      </c>
      <c r="M6580">
        <f>_xlfn.XLOOKUP(L6580,[2]analyte_order!$C:$C,[2]analyte_order!$E:$E)</f>
        <v>29</v>
      </c>
      <c r="N6580">
        <v>0.44800000000000001</v>
      </c>
    </row>
    <row r="6581" spans="1:14">
      <c r="A6581" t="s">
        <v>173</v>
      </c>
      <c r="B6581" t="str">
        <f>_xlfn.XLOOKUP(A6581,'[1]Tissue Data'!$A:$A,'[1]Tissue Data'!$C:$C)</f>
        <v>Spill</v>
      </c>
      <c r="C6581" s="2">
        <f>_xlfn.XLOOKUP(A6581,'[1]Tissue Data'!$A:$A,'[1]Tissue Data'!$D:$D)</f>
        <v>44393</v>
      </c>
      <c r="D6581" s="2" t="str">
        <f>_xlfn.XLOOKUP(A6581,'[1]Tissue Data'!$A:$A,'[1]Tissue Data'!$F:$F)</f>
        <v>Eastern Mudminnow</v>
      </c>
      <c r="E6581" t="str">
        <f>_xlfn.XLOOKUP(A6581,'[1]Tissue Data'!$A:$A,'[1]Tissue Data'!$H:$H)</f>
        <v>Umbra</v>
      </c>
      <c r="F6581" t="str">
        <f>_xlfn.XLOOKUP(A6581,'[1]Tissue Data'!$A:$A,'[1]Tissue Data'!$I:$I)</f>
        <v>pygmaea</v>
      </c>
      <c r="G6581" t="str">
        <f>_xlfn.XLOOKUP(A6581,'[1]Tissue Data'!$A:$A,'[1]Tissue Data'!J:J)</f>
        <v>U</v>
      </c>
      <c r="H6581" t="str">
        <f>_xlfn.XLOOKUP(A6581,'[1]Tissue Data'!$A:$A,'[1]Tissue Data'!K:K)</f>
        <v>Whole Body</v>
      </c>
      <c r="I6581">
        <f>_xlfn.XLOOKUP(A6581,'[1]Tissue Data'!$A:$A,'[1]Tissue Data'!L:L)</f>
        <v>5.5</v>
      </c>
      <c r="J6581">
        <f>_xlfn.XLOOKUP(A6581,'[1]Tissue Data'!$A:$A,'[1]Tissue Data'!M:M)</f>
        <v>1.95</v>
      </c>
      <c r="K6581" t="s">
        <v>41</v>
      </c>
      <c r="L6581" t="str">
        <f>_xlfn.XLOOKUP(K6581,[2]analyte_order!$B:$B,[2]analyte_order!$C:$C)</f>
        <v>2355-31-9</v>
      </c>
      <c r="M6581">
        <f>_xlfn.XLOOKUP(L6581,[2]analyte_order!$C:$C,[2]analyte_order!$E:$E)</f>
        <v>26</v>
      </c>
      <c r="N6581">
        <v>0.1125</v>
      </c>
    </row>
    <row r="6582" spans="1:14">
      <c r="A6582" t="s">
        <v>173</v>
      </c>
      <c r="B6582" t="str">
        <f>_xlfn.XLOOKUP(A6582,'[1]Tissue Data'!$A:$A,'[1]Tissue Data'!$C:$C)</f>
        <v>Spill</v>
      </c>
      <c r="C6582" s="2">
        <f>_xlfn.XLOOKUP(A6582,'[1]Tissue Data'!$A:$A,'[1]Tissue Data'!$D:$D)</f>
        <v>44393</v>
      </c>
      <c r="D6582" s="2" t="str">
        <f>_xlfn.XLOOKUP(A6582,'[1]Tissue Data'!$A:$A,'[1]Tissue Data'!$F:$F)</f>
        <v>Eastern Mudminnow</v>
      </c>
      <c r="E6582" t="str">
        <f>_xlfn.XLOOKUP(A6582,'[1]Tissue Data'!$A:$A,'[1]Tissue Data'!$H:$H)</f>
        <v>Umbra</v>
      </c>
      <c r="F6582" t="str">
        <f>_xlfn.XLOOKUP(A6582,'[1]Tissue Data'!$A:$A,'[1]Tissue Data'!$I:$I)</f>
        <v>pygmaea</v>
      </c>
      <c r="G6582" t="str">
        <f>_xlfn.XLOOKUP(A6582,'[1]Tissue Data'!$A:$A,'[1]Tissue Data'!J:J)</f>
        <v>U</v>
      </c>
      <c r="H6582" t="str">
        <f>_xlfn.XLOOKUP(A6582,'[1]Tissue Data'!$A:$A,'[1]Tissue Data'!K:K)</f>
        <v>Whole Body</v>
      </c>
      <c r="I6582">
        <f>_xlfn.XLOOKUP(A6582,'[1]Tissue Data'!$A:$A,'[1]Tissue Data'!L:L)</f>
        <v>5.5</v>
      </c>
      <c r="J6582">
        <f>_xlfn.XLOOKUP(A6582,'[1]Tissue Data'!$A:$A,'[1]Tissue Data'!M:M)</f>
        <v>1.95</v>
      </c>
      <c r="K6582" t="s">
        <v>42</v>
      </c>
      <c r="L6582" t="str">
        <f>_xlfn.XLOOKUP(K6582,[2]analyte_order!$B:$B,[2]analyte_order!$C:$C)</f>
        <v>2991-50-6</v>
      </c>
      <c r="M6582">
        <f>_xlfn.XLOOKUP(L6582,[2]analyte_order!$C:$C,[2]analyte_order!$E:$E)</f>
        <v>27</v>
      </c>
      <c r="N6582">
        <v>0.112</v>
      </c>
    </row>
    <row r="6583" spans="1:14">
      <c r="A6583" t="s">
        <v>173</v>
      </c>
      <c r="B6583" t="str">
        <f>_xlfn.XLOOKUP(A6583,'[1]Tissue Data'!$A:$A,'[1]Tissue Data'!$C:$C)</f>
        <v>Spill</v>
      </c>
      <c r="C6583" s="2">
        <f>_xlfn.XLOOKUP(A6583,'[1]Tissue Data'!$A:$A,'[1]Tissue Data'!$D:$D)</f>
        <v>44393</v>
      </c>
      <c r="D6583" s="2" t="str">
        <f>_xlfn.XLOOKUP(A6583,'[1]Tissue Data'!$A:$A,'[1]Tissue Data'!$F:$F)</f>
        <v>Eastern Mudminnow</v>
      </c>
      <c r="E6583" t="str">
        <f>_xlfn.XLOOKUP(A6583,'[1]Tissue Data'!$A:$A,'[1]Tissue Data'!$H:$H)</f>
        <v>Umbra</v>
      </c>
      <c r="F6583" t="str">
        <f>_xlfn.XLOOKUP(A6583,'[1]Tissue Data'!$A:$A,'[1]Tissue Data'!$I:$I)</f>
        <v>pygmaea</v>
      </c>
      <c r="G6583" t="str">
        <f>_xlfn.XLOOKUP(A6583,'[1]Tissue Data'!$A:$A,'[1]Tissue Data'!J:J)</f>
        <v>U</v>
      </c>
      <c r="H6583" t="str">
        <f>_xlfn.XLOOKUP(A6583,'[1]Tissue Data'!$A:$A,'[1]Tissue Data'!K:K)</f>
        <v>Whole Body</v>
      </c>
      <c r="I6583">
        <f>_xlfn.XLOOKUP(A6583,'[1]Tissue Data'!$A:$A,'[1]Tissue Data'!L:L)</f>
        <v>5.5</v>
      </c>
      <c r="J6583">
        <f>_xlfn.XLOOKUP(A6583,'[1]Tissue Data'!$A:$A,'[1]Tissue Data'!M:M)</f>
        <v>1.95</v>
      </c>
      <c r="K6583" t="s">
        <v>43</v>
      </c>
      <c r="L6583" t="str">
        <f>_xlfn.XLOOKUP(K6583,[2]analyte_order!$B:$B,[2]analyte_order!$C:$C)</f>
        <v>757124-72-4</v>
      </c>
      <c r="M6583">
        <f>_xlfn.XLOOKUP(L6583,[2]analyte_order!$C:$C,[2]analyte_order!$E:$E)</f>
        <v>22</v>
      </c>
      <c r="N6583">
        <v>0.112</v>
      </c>
    </row>
    <row r="6584" spans="1:14">
      <c r="A6584" t="s">
        <v>173</v>
      </c>
      <c r="B6584" t="str">
        <f>_xlfn.XLOOKUP(A6584,'[1]Tissue Data'!$A:$A,'[1]Tissue Data'!$C:$C)</f>
        <v>Spill</v>
      </c>
      <c r="C6584" s="2">
        <f>_xlfn.XLOOKUP(A6584,'[1]Tissue Data'!$A:$A,'[1]Tissue Data'!$D:$D)</f>
        <v>44393</v>
      </c>
      <c r="D6584" s="2" t="str">
        <f>_xlfn.XLOOKUP(A6584,'[1]Tissue Data'!$A:$A,'[1]Tissue Data'!$F:$F)</f>
        <v>Eastern Mudminnow</v>
      </c>
      <c r="E6584" t="str">
        <f>_xlfn.XLOOKUP(A6584,'[1]Tissue Data'!$A:$A,'[1]Tissue Data'!$H:$H)</f>
        <v>Umbra</v>
      </c>
      <c r="F6584" t="str">
        <f>_xlfn.XLOOKUP(A6584,'[1]Tissue Data'!$A:$A,'[1]Tissue Data'!$I:$I)</f>
        <v>pygmaea</v>
      </c>
      <c r="G6584" t="str">
        <f>_xlfn.XLOOKUP(A6584,'[1]Tissue Data'!$A:$A,'[1]Tissue Data'!J:J)</f>
        <v>U</v>
      </c>
      <c r="H6584" t="str">
        <f>_xlfn.XLOOKUP(A6584,'[1]Tissue Data'!$A:$A,'[1]Tissue Data'!K:K)</f>
        <v>Whole Body</v>
      </c>
      <c r="I6584">
        <f>_xlfn.XLOOKUP(A6584,'[1]Tissue Data'!$A:$A,'[1]Tissue Data'!L:L)</f>
        <v>5.5</v>
      </c>
      <c r="J6584">
        <f>_xlfn.XLOOKUP(A6584,'[1]Tissue Data'!$A:$A,'[1]Tissue Data'!M:M)</f>
        <v>1.95</v>
      </c>
      <c r="K6584" t="s">
        <v>44</v>
      </c>
      <c r="L6584" t="str">
        <f>_xlfn.XLOOKUP(K6584,[2]analyte_order!$B:$B,[2]analyte_order!$C:$C)</f>
        <v>27619-97-2</v>
      </c>
      <c r="M6584">
        <f>_xlfn.XLOOKUP(L6584,[2]analyte_order!$C:$C,[2]analyte_order!$E:$E)</f>
        <v>23</v>
      </c>
      <c r="N6584">
        <v>0.224</v>
      </c>
    </row>
    <row r="6585" spans="1:14">
      <c r="A6585" t="s">
        <v>173</v>
      </c>
      <c r="B6585" t="str">
        <f>_xlfn.XLOOKUP(A6585,'[1]Tissue Data'!$A:$A,'[1]Tissue Data'!$C:$C)</f>
        <v>Spill</v>
      </c>
      <c r="C6585" s="2">
        <f>_xlfn.XLOOKUP(A6585,'[1]Tissue Data'!$A:$A,'[1]Tissue Data'!$D:$D)</f>
        <v>44393</v>
      </c>
      <c r="D6585" s="2" t="str">
        <f>_xlfn.XLOOKUP(A6585,'[1]Tissue Data'!$A:$A,'[1]Tissue Data'!$F:$F)</f>
        <v>Eastern Mudminnow</v>
      </c>
      <c r="E6585" t="str">
        <f>_xlfn.XLOOKUP(A6585,'[1]Tissue Data'!$A:$A,'[1]Tissue Data'!$H:$H)</f>
        <v>Umbra</v>
      </c>
      <c r="F6585" t="str">
        <f>_xlfn.XLOOKUP(A6585,'[1]Tissue Data'!$A:$A,'[1]Tissue Data'!$I:$I)</f>
        <v>pygmaea</v>
      </c>
      <c r="G6585" t="str">
        <f>_xlfn.XLOOKUP(A6585,'[1]Tissue Data'!$A:$A,'[1]Tissue Data'!J:J)</f>
        <v>U</v>
      </c>
      <c r="H6585" t="str">
        <f>_xlfn.XLOOKUP(A6585,'[1]Tissue Data'!$A:$A,'[1]Tissue Data'!K:K)</f>
        <v>Whole Body</v>
      </c>
      <c r="I6585">
        <f>_xlfn.XLOOKUP(A6585,'[1]Tissue Data'!$A:$A,'[1]Tissue Data'!L:L)</f>
        <v>5.5</v>
      </c>
      <c r="J6585">
        <f>_xlfn.XLOOKUP(A6585,'[1]Tissue Data'!$A:$A,'[1]Tissue Data'!M:M)</f>
        <v>1.95</v>
      </c>
      <c r="K6585" t="s">
        <v>45</v>
      </c>
      <c r="L6585" t="str">
        <f>_xlfn.XLOOKUP(K6585,[2]analyte_order!$B:$B,[2]analyte_order!$C:$C)</f>
        <v>39108-34-4</v>
      </c>
      <c r="M6585">
        <f>_xlfn.XLOOKUP(L6585,[2]analyte_order!$C:$C,[2]analyte_order!$E:$E)</f>
        <v>24</v>
      </c>
      <c r="N6585">
        <v>0.66100000000000003</v>
      </c>
    </row>
    <row r="6586" spans="1:14">
      <c r="A6586" t="s">
        <v>173</v>
      </c>
      <c r="B6586" t="str">
        <f>_xlfn.XLOOKUP(A6586,'[1]Tissue Data'!$A:$A,'[1]Tissue Data'!$C:$C)</f>
        <v>Spill</v>
      </c>
      <c r="C6586" s="2">
        <f>_xlfn.XLOOKUP(A6586,'[1]Tissue Data'!$A:$A,'[1]Tissue Data'!$D:$D)</f>
        <v>44393</v>
      </c>
      <c r="D6586" s="2" t="str">
        <f>_xlfn.XLOOKUP(A6586,'[1]Tissue Data'!$A:$A,'[1]Tissue Data'!$F:$F)</f>
        <v>Eastern Mudminnow</v>
      </c>
      <c r="E6586" t="str">
        <f>_xlfn.XLOOKUP(A6586,'[1]Tissue Data'!$A:$A,'[1]Tissue Data'!$H:$H)</f>
        <v>Umbra</v>
      </c>
      <c r="F6586" t="str">
        <f>_xlfn.XLOOKUP(A6586,'[1]Tissue Data'!$A:$A,'[1]Tissue Data'!$I:$I)</f>
        <v>pygmaea</v>
      </c>
      <c r="G6586" t="str">
        <f>_xlfn.XLOOKUP(A6586,'[1]Tissue Data'!$A:$A,'[1]Tissue Data'!J:J)</f>
        <v>U</v>
      </c>
      <c r="H6586" t="str">
        <f>_xlfn.XLOOKUP(A6586,'[1]Tissue Data'!$A:$A,'[1]Tissue Data'!K:K)</f>
        <v>Whole Body</v>
      </c>
      <c r="I6586">
        <f>_xlfn.XLOOKUP(A6586,'[1]Tissue Data'!$A:$A,'[1]Tissue Data'!L:L)</f>
        <v>5.5</v>
      </c>
      <c r="J6586">
        <f>_xlfn.XLOOKUP(A6586,'[1]Tissue Data'!$A:$A,'[1]Tissue Data'!M:M)</f>
        <v>1.95</v>
      </c>
      <c r="K6586" t="s">
        <v>46</v>
      </c>
      <c r="L6586" t="str">
        <f>_xlfn.XLOOKUP(K6586,[2]analyte_order!$B:$B,[2]analyte_order!$C:$C)</f>
        <v>120226-60-0</v>
      </c>
      <c r="M6586">
        <f>_xlfn.XLOOKUP(L6586,[2]analyte_order!$C:$C,[2]analyte_order!$E:$E)</f>
        <v>25</v>
      </c>
      <c r="N6586">
        <v>0.224</v>
      </c>
    </row>
    <row r="6587" spans="1:14">
      <c r="A6587" t="s">
        <v>173</v>
      </c>
      <c r="B6587" t="str">
        <f>_xlfn.XLOOKUP(A6587,'[1]Tissue Data'!$A:$A,'[1]Tissue Data'!$C:$C)</f>
        <v>Spill</v>
      </c>
      <c r="C6587" s="2">
        <f>_xlfn.XLOOKUP(A6587,'[1]Tissue Data'!$A:$A,'[1]Tissue Data'!$D:$D)</f>
        <v>44393</v>
      </c>
      <c r="D6587" s="2" t="str">
        <f>_xlfn.XLOOKUP(A6587,'[1]Tissue Data'!$A:$A,'[1]Tissue Data'!$F:$F)</f>
        <v>Eastern Mudminnow</v>
      </c>
      <c r="E6587" t="str">
        <f>_xlfn.XLOOKUP(A6587,'[1]Tissue Data'!$A:$A,'[1]Tissue Data'!$H:$H)</f>
        <v>Umbra</v>
      </c>
      <c r="F6587" t="str">
        <f>_xlfn.XLOOKUP(A6587,'[1]Tissue Data'!$A:$A,'[1]Tissue Data'!$I:$I)</f>
        <v>pygmaea</v>
      </c>
      <c r="G6587" t="str">
        <f>_xlfn.XLOOKUP(A6587,'[1]Tissue Data'!$A:$A,'[1]Tissue Data'!J:J)</f>
        <v>U</v>
      </c>
      <c r="H6587" t="str">
        <f>_xlfn.XLOOKUP(A6587,'[1]Tissue Data'!$A:$A,'[1]Tissue Data'!K:K)</f>
        <v>Whole Body</v>
      </c>
      <c r="I6587">
        <f>_xlfn.XLOOKUP(A6587,'[1]Tissue Data'!$A:$A,'[1]Tissue Data'!L:L)</f>
        <v>5.5</v>
      </c>
      <c r="J6587">
        <f>_xlfn.XLOOKUP(A6587,'[1]Tissue Data'!$A:$A,'[1]Tissue Data'!M:M)</f>
        <v>1.95</v>
      </c>
      <c r="K6587" t="s">
        <v>47</v>
      </c>
      <c r="L6587" t="str">
        <f>_xlfn.XLOOKUP(K6587,[2]analyte_order!$B:$B,[2]analyte_order!$C:$C)</f>
        <v>356-02-5</v>
      </c>
      <c r="M6587">
        <f>_xlfn.XLOOKUP(L6587,[2]analyte_order!$C:$C,[2]analyte_order!$E:$E)</f>
        <v>38</v>
      </c>
      <c r="N6587">
        <v>0.224</v>
      </c>
    </row>
    <row r="6588" spans="1:14">
      <c r="A6588" t="s">
        <v>173</v>
      </c>
      <c r="B6588" t="str">
        <f>_xlfn.XLOOKUP(A6588,'[1]Tissue Data'!$A:$A,'[1]Tissue Data'!$C:$C)</f>
        <v>Spill</v>
      </c>
      <c r="C6588" s="2">
        <f>_xlfn.XLOOKUP(A6588,'[1]Tissue Data'!$A:$A,'[1]Tissue Data'!$D:$D)</f>
        <v>44393</v>
      </c>
      <c r="D6588" s="2" t="str">
        <f>_xlfn.XLOOKUP(A6588,'[1]Tissue Data'!$A:$A,'[1]Tissue Data'!$F:$F)</f>
        <v>Eastern Mudminnow</v>
      </c>
      <c r="E6588" t="str">
        <f>_xlfn.XLOOKUP(A6588,'[1]Tissue Data'!$A:$A,'[1]Tissue Data'!$H:$H)</f>
        <v>Umbra</v>
      </c>
      <c r="F6588" t="str">
        <f>_xlfn.XLOOKUP(A6588,'[1]Tissue Data'!$A:$A,'[1]Tissue Data'!$I:$I)</f>
        <v>pygmaea</v>
      </c>
      <c r="G6588" t="str">
        <f>_xlfn.XLOOKUP(A6588,'[1]Tissue Data'!$A:$A,'[1]Tissue Data'!J:J)</f>
        <v>U</v>
      </c>
      <c r="H6588" t="str">
        <f>_xlfn.XLOOKUP(A6588,'[1]Tissue Data'!$A:$A,'[1]Tissue Data'!K:K)</f>
        <v>Whole Body</v>
      </c>
      <c r="I6588">
        <f>_xlfn.XLOOKUP(A6588,'[1]Tissue Data'!$A:$A,'[1]Tissue Data'!L:L)</f>
        <v>5.5</v>
      </c>
      <c r="J6588">
        <f>_xlfn.XLOOKUP(A6588,'[1]Tissue Data'!$A:$A,'[1]Tissue Data'!M:M)</f>
        <v>1.95</v>
      </c>
      <c r="K6588" t="s">
        <v>48</v>
      </c>
      <c r="L6588" t="str">
        <f>_xlfn.XLOOKUP(K6588,[2]analyte_order!$B:$B,[2]analyte_order!$C:$C)</f>
        <v>914637-49-3</v>
      </c>
      <c r="M6588">
        <f>_xlfn.XLOOKUP(L6588,[2]analyte_order!$C:$C,[2]analyte_order!$E:$E)</f>
        <v>39</v>
      </c>
      <c r="N6588">
        <v>0.224</v>
      </c>
    </row>
    <row r="6589" spans="1:14">
      <c r="A6589" t="s">
        <v>173</v>
      </c>
      <c r="B6589" t="str">
        <f>_xlfn.XLOOKUP(A6589,'[1]Tissue Data'!$A:$A,'[1]Tissue Data'!$C:$C)</f>
        <v>Spill</v>
      </c>
      <c r="C6589" s="2">
        <f>_xlfn.XLOOKUP(A6589,'[1]Tissue Data'!$A:$A,'[1]Tissue Data'!$D:$D)</f>
        <v>44393</v>
      </c>
      <c r="D6589" s="2" t="str">
        <f>_xlfn.XLOOKUP(A6589,'[1]Tissue Data'!$A:$A,'[1]Tissue Data'!$F:$F)</f>
        <v>Eastern Mudminnow</v>
      </c>
      <c r="E6589" t="str">
        <f>_xlfn.XLOOKUP(A6589,'[1]Tissue Data'!$A:$A,'[1]Tissue Data'!$H:$H)</f>
        <v>Umbra</v>
      </c>
      <c r="F6589" t="str">
        <f>_xlfn.XLOOKUP(A6589,'[1]Tissue Data'!$A:$A,'[1]Tissue Data'!$I:$I)</f>
        <v>pygmaea</v>
      </c>
      <c r="G6589" t="str">
        <f>_xlfn.XLOOKUP(A6589,'[1]Tissue Data'!$A:$A,'[1]Tissue Data'!J:J)</f>
        <v>U</v>
      </c>
      <c r="H6589" t="str">
        <f>_xlfn.XLOOKUP(A6589,'[1]Tissue Data'!$A:$A,'[1]Tissue Data'!K:K)</f>
        <v>Whole Body</v>
      </c>
      <c r="I6589">
        <f>_xlfn.XLOOKUP(A6589,'[1]Tissue Data'!$A:$A,'[1]Tissue Data'!L:L)</f>
        <v>5.5</v>
      </c>
      <c r="J6589">
        <f>_xlfn.XLOOKUP(A6589,'[1]Tissue Data'!$A:$A,'[1]Tissue Data'!M:M)</f>
        <v>1.95</v>
      </c>
      <c r="K6589" t="s">
        <v>49</v>
      </c>
      <c r="L6589" t="str">
        <f>_xlfn.XLOOKUP(K6589,[2]analyte_order!$B:$B,[2]analyte_order!$C:$C)</f>
        <v>812-70-4</v>
      </c>
      <c r="M6589">
        <f>_xlfn.XLOOKUP(L6589,[2]analyte_order!$C:$C,[2]analyte_order!$E:$E)</f>
        <v>40</v>
      </c>
      <c r="N6589">
        <v>9.61</v>
      </c>
    </row>
    <row r="6590" spans="1:14">
      <c r="A6590" t="s">
        <v>173</v>
      </c>
      <c r="B6590" t="str">
        <f>_xlfn.XLOOKUP(A6590,'[1]Tissue Data'!$A:$A,'[1]Tissue Data'!$C:$C)</f>
        <v>Spill</v>
      </c>
      <c r="C6590" s="2">
        <f>_xlfn.XLOOKUP(A6590,'[1]Tissue Data'!$A:$A,'[1]Tissue Data'!$D:$D)</f>
        <v>44393</v>
      </c>
      <c r="D6590" s="2" t="str">
        <f>_xlfn.XLOOKUP(A6590,'[1]Tissue Data'!$A:$A,'[1]Tissue Data'!$F:$F)</f>
        <v>Eastern Mudminnow</v>
      </c>
      <c r="E6590" t="str">
        <f>_xlfn.XLOOKUP(A6590,'[1]Tissue Data'!$A:$A,'[1]Tissue Data'!$H:$H)</f>
        <v>Umbra</v>
      </c>
      <c r="F6590" t="str">
        <f>_xlfn.XLOOKUP(A6590,'[1]Tissue Data'!$A:$A,'[1]Tissue Data'!$I:$I)</f>
        <v>pygmaea</v>
      </c>
      <c r="G6590" t="str">
        <f>_xlfn.XLOOKUP(A6590,'[1]Tissue Data'!$A:$A,'[1]Tissue Data'!J:J)</f>
        <v>U</v>
      </c>
      <c r="H6590" t="str">
        <f>_xlfn.XLOOKUP(A6590,'[1]Tissue Data'!$A:$A,'[1]Tissue Data'!K:K)</f>
        <v>Whole Body</v>
      </c>
      <c r="I6590">
        <f>_xlfn.XLOOKUP(A6590,'[1]Tissue Data'!$A:$A,'[1]Tissue Data'!L:L)</f>
        <v>5.5</v>
      </c>
      <c r="J6590">
        <f>_xlfn.XLOOKUP(A6590,'[1]Tissue Data'!$A:$A,'[1]Tissue Data'!M:M)</f>
        <v>1.95</v>
      </c>
      <c r="K6590" t="s">
        <v>50</v>
      </c>
      <c r="L6590" t="str">
        <f>_xlfn.XLOOKUP(K6590,[2]analyte_order!$B:$B,[2]analyte_order!$C:$C)</f>
        <v>53826-12-3</v>
      </c>
      <c r="M6590">
        <f>_xlfn.XLOOKUP(L6590,[2]analyte_order!$C:$C,[2]analyte_order!$E:$E)</f>
        <v>41</v>
      </c>
      <c r="N6590">
        <v>0.224</v>
      </c>
    </row>
    <row r="6591" spans="1:14">
      <c r="A6591" t="s">
        <v>173</v>
      </c>
      <c r="B6591" t="str">
        <f>_xlfn.XLOOKUP(A6591,'[1]Tissue Data'!$A:$A,'[1]Tissue Data'!$C:$C)</f>
        <v>Spill</v>
      </c>
      <c r="C6591" s="2">
        <f>_xlfn.XLOOKUP(A6591,'[1]Tissue Data'!$A:$A,'[1]Tissue Data'!$D:$D)</f>
        <v>44393</v>
      </c>
      <c r="D6591" s="2" t="str">
        <f>_xlfn.XLOOKUP(A6591,'[1]Tissue Data'!$A:$A,'[1]Tissue Data'!$F:$F)</f>
        <v>Eastern Mudminnow</v>
      </c>
      <c r="E6591" t="str">
        <f>_xlfn.XLOOKUP(A6591,'[1]Tissue Data'!$A:$A,'[1]Tissue Data'!$H:$H)</f>
        <v>Umbra</v>
      </c>
      <c r="F6591" t="str">
        <f>_xlfn.XLOOKUP(A6591,'[1]Tissue Data'!$A:$A,'[1]Tissue Data'!$I:$I)</f>
        <v>pygmaea</v>
      </c>
      <c r="G6591" t="str">
        <f>_xlfn.XLOOKUP(A6591,'[1]Tissue Data'!$A:$A,'[1]Tissue Data'!J:J)</f>
        <v>U</v>
      </c>
      <c r="H6591" t="str">
        <f>_xlfn.XLOOKUP(A6591,'[1]Tissue Data'!$A:$A,'[1]Tissue Data'!K:K)</f>
        <v>Whole Body</v>
      </c>
      <c r="I6591">
        <f>_xlfn.XLOOKUP(A6591,'[1]Tissue Data'!$A:$A,'[1]Tissue Data'!L:L)</f>
        <v>5.5</v>
      </c>
      <c r="J6591">
        <f>_xlfn.XLOOKUP(A6591,'[1]Tissue Data'!$A:$A,'[1]Tissue Data'!M:M)</f>
        <v>1.95</v>
      </c>
      <c r="K6591" t="s">
        <v>51</v>
      </c>
      <c r="L6591" t="str">
        <f>_xlfn.XLOOKUP(K6591,[2]analyte_order!$B:$B,[2]analyte_order!$C:$C)</f>
        <v>27854-31-5</v>
      </c>
      <c r="M6591">
        <f>_xlfn.XLOOKUP(L6591,[2]analyte_order!$C:$C,[2]analyte_order!$E:$E)</f>
        <v>42</v>
      </c>
      <c r="N6591">
        <v>0.112</v>
      </c>
    </row>
    <row r="6592" spans="1:14">
      <c r="A6592" t="s">
        <v>173</v>
      </c>
      <c r="B6592" t="str">
        <f>_xlfn.XLOOKUP(A6592,'[1]Tissue Data'!$A:$A,'[1]Tissue Data'!$C:$C)</f>
        <v>Spill</v>
      </c>
      <c r="C6592" s="2">
        <f>_xlfn.XLOOKUP(A6592,'[1]Tissue Data'!$A:$A,'[1]Tissue Data'!$D:$D)</f>
        <v>44393</v>
      </c>
      <c r="D6592" s="2" t="str">
        <f>_xlfn.XLOOKUP(A6592,'[1]Tissue Data'!$A:$A,'[1]Tissue Data'!$F:$F)</f>
        <v>Eastern Mudminnow</v>
      </c>
      <c r="E6592" t="str">
        <f>_xlfn.XLOOKUP(A6592,'[1]Tissue Data'!$A:$A,'[1]Tissue Data'!$H:$H)</f>
        <v>Umbra</v>
      </c>
      <c r="F6592" t="str">
        <f>_xlfn.XLOOKUP(A6592,'[1]Tissue Data'!$A:$A,'[1]Tissue Data'!$I:$I)</f>
        <v>pygmaea</v>
      </c>
      <c r="G6592" t="str">
        <f>_xlfn.XLOOKUP(A6592,'[1]Tissue Data'!$A:$A,'[1]Tissue Data'!J:J)</f>
        <v>U</v>
      </c>
      <c r="H6592" t="str">
        <f>_xlfn.XLOOKUP(A6592,'[1]Tissue Data'!$A:$A,'[1]Tissue Data'!K:K)</f>
        <v>Whole Body</v>
      </c>
      <c r="I6592">
        <f>_xlfn.XLOOKUP(A6592,'[1]Tissue Data'!$A:$A,'[1]Tissue Data'!L:L)</f>
        <v>5.5</v>
      </c>
      <c r="J6592">
        <f>_xlfn.XLOOKUP(A6592,'[1]Tissue Data'!$A:$A,'[1]Tissue Data'!M:M)</f>
        <v>1.95</v>
      </c>
      <c r="K6592" t="s">
        <v>52</v>
      </c>
      <c r="L6592" t="str">
        <f>_xlfn.XLOOKUP(K6592,[2]analyte_order!$B:$B,[2]analyte_order!$C:$C)</f>
        <v>53826-13-4</v>
      </c>
      <c r="M6592">
        <f>_xlfn.XLOOKUP(L6592,[2]analyte_order!$C:$C,[2]analyte_order!$E:$E)</f>
        <v>43</v>
      </c>
      <c r="N6592">
        <v>0.224</v>
      </c>
    </row>
    <row r="6593" spans="1:14">
      <c r="A6593" t="s">
        <v>173</v>
      </c>
      <c r="B6593" t="str">
        <f>_xlfn.XLOOKUP(A6593,'[1]Tissue Data'!$A:$A,'[1]Tissue Data'!$C:$C)</f>
        <v>Spill</v>
      </c>
      <c r="C6593" s="2">
        <f>_xlfn.XLOOKUP(A6593,'[1]Tissue Data'!$A:$A,'[1]Tissue Data'!$D:$D)</f>
        <v>44393</v>
      </c>
      <c r="D6593" s="2" t="str">
        <f>_xlfn.XLOOKUP(A6593,'[1]Tissue Data'!$A:$A,'[1]Tissue Data'!$F:$F)</f>
        <v>Eastern Mudminnow</v>
      </c>
      <c r="E6593" t="str">
        <f>_xlfn.XLOOKUP(A6593,'[1]Tissue Data'!$A:$A,'[1]Tissue Data'!$H:$H)</f>
        <v>Umbra</v>
      </c>
      <c r="F6593" t="str">
        <f>_xlfn.XLOOKUP(A6593,'[1]Tissue Data'!$A:$A,'[1]Tissue Data'!$I:$I)</f>
        <v>pygmaea</v>
      </c>
      <c r="G6593" t="str">
        <f>_xlfn.XLOOKUP(A6593,'[1]Tissue Data'!$A:$A,'[1]Tissue Data'!J:J)</f>
        <v>U</v>
      </c>
      <c r="H6593" t="str">
        <f>_xlfn.XLOOKUP(A6593,'[1]Tissue Data'!$A:$A,'[1]Tissue Data'!K:K)</f>
        <v>Whole Body</v>
      </c>
      <c r="I6593">
        <f>_xlfn.XLOOKUP(A6593,'[1]Tissue Data'!$A:$A,'[1]Tissue Data'!L:L)</f>
        <v>5.5</v>
      </c>
      <c r="J6593">
        <f>_xlfn.XLOOKUP(A6593,'[1]Tissue Data'!$A:$A,'[1]Tissue Data'!M:M)</f>
        <v>1.95</v>
      </c>
      <c r="K6593" t="s">
        <v>53</v>
      </c>
      <c r="L6593" t="str">
        <f>_xlfn.XLOOKUP(K6593,[2]analyte_order!$B:$B,[2]analyte_order!$C:$C)</f>
        <v>161094-75-3</v>
      </c>
      <c r="M6593">
        <f>_xlfn.XLOOKUP(L6593,[2]analyte_order!$C:$C,[2]analyte_order!$E:$E)</f>
        <v>44</v>
      </c>
      <c r="N6593">
        <v>8.7999999999999995E-2</v>
      </c>
    </row>
    <row r="6594" spans="1:14">
      <c r="A6594" t="s">
        <v>173</v>
      </c>
      <c r="B6594" t="str">
        <f>_xlfn.XLOOKUP(A6594,'[1]Tissue Data'!$A:$A,'[1]Tissue Data'!$C:$C)</f>
        <v>Spill</v>
      </c>
      <c r="C6594" s="2">
        <f>_xlfn.XLOOKUP(A6594,'[1]Tissue Data'!$A:$A,'[1]Tissue Data'!$D:$D)</f>
        <v>44393</v>
      </c>
      <c r="D6594" s="2" t="str">
        <f>_xlfn.XLOOKUP(A6594,'[1]Tissue Data'!$A:$A,'[1]Tissue Data'!$F:$F)</f>
        <v>Eastern Mudminnow</v>
      </c>
      <c r="E6594" t="str">
        <f>_xlfn.XLOOKUP(A6594,'[1]Tissue Data'!$A:$A,'[1]Tissue Data'!$H:$H)</f>
        <v>Umbra</v>
      </c>
      <c r="F6594" t="str">
        <f>_xlfn.XLOOKUP(A6594,'[1]Tissue Data'!$A:$A,'[1]Tissue Data'!$I:$I)</f>
        <v>pygmaea</v>
      </c>
      <c r="G6594" t="str">
        <f>_xlfn.XLOOKUP(A6594,'[1]Tissue Data'!$A:$A,'[1]Tissue Data'!J:J)</f>
        <v>U</v>
      </c>
      <c r="H6594" t="str">
        <f>_xlfn.XLOOKUP(A6594,'[1]Tissue Data'!$A:$A,'[1]Tissue Data'!K:K)</f>
        <v>Whole Body</v>
      </c>
      <c r="I6594">
        <f>_xlfn.XLOOKUP(A6594,'[1]Tissue Data'!$A:$A,'[1]Tissue Data'!L:L)</f>
        <v>5.5</v>
      </c>
      <c r="J6594">
        <f>_xlfn.XLOOKUP(A6594,'[1]Tissue Data'!$A:$A,'[1]Tissue Data'!M:M)</f>
        <v>1.95</v>
      </c>
      <c r="K6594" t="s">
        <v>54</v>
      </c>
      <c r="L6594" t="str">
        <f>_xlfn.XLOOKUP(K6594,[2]analyte_order!$B:$B,[2]analyte_order!$C:$C)</f>
        <v>70887-84-2</v>
      </c>
      <c r="M6594">
        <f>_xlfn.XLOOKUP(L6594,[2]analyte_order!$C:$C,[2]analyte_order!$E:$E)</f>
        <v>45</v>
      </c>
      <c r="N6594">
        <v>6.7500000000000004E-2</v>
      </c>
    </row>
    <row r="6595" spans="1:14">
      <c r="A6595" t="s">
        <v>173</v>
      </c>
      <c r="B6595" t="str">
        <f>_xlfn.XLOOKUP(A6595,'[1]Tissue Data'!$A:$A,'[1]Tissue Data'!$C:$C)</f>
        <v>Spill</v>
      </c>
      <c r="C6595" s="2">
        <f>_xlfn.XLOOKUP(A6595,'[1]Tissue Data'!$A:$A,'[1]Tissue Data'!$D:$D)</f>
        <v>44393</v>
      </c>
      <c r="D6595" s="2" t="str">
        <f>_xlfn.XLOOKUP(A6595,'[1]Tissue Data'!$A:$A,'[1]Tissue Data'!$F:$F)</f>
        <v>Eastern Mudminnow</v>
      </c>
      <c r="E6595" t="str">
        <f>_xlfn.XLOOKUP(A6595,'[1]Tissue Data'!$A:$A,'[1]Tissue Data'!$H:$H)</f>
        <v>Umbra</v>
      </c>
      <c r="F6595" t="str">
        <f>_xlfn.XLOOKUP(A6595,'[1]Tissue Data'!$A:$A,'[1]Tissue Data'!$I:$I)</f>
        <v>pygmaea</v>
      </c>
      <c r="G6595" t="str">
        <f>_xlfn.XLOOKUP(A6595,'[1]Tissue Data'!$A:$A,'[1]Tissue Data'!J:J)</f>
        <v>U</v>
      </c>
      <c r="H6595" t="str">
        <f>_xlfn.XLOOKUP(A6595,'[1]Tissue Data'!$A:$A,'[1]Tissue Data'!K:K)</f>
        <v>Whole Body</v>
      </c>
      <c r="I6595">
        <f>_xlfn.XLOOKUP(A6595,'[1]Tissue Data'!$A:$A,'[1]Tissue Data'!L:L)</f>
        <v>5.5</v>
      </c>
      <c r="J6595">
        <f>_xlfn.XLOOKUP(A6595,'[1]Tissue Data'!$A:$A,'[1]Tissue Data'!M:M)</f>
        <v>1.95</v>
      </c>
      <c r="K6595" t="s">
        <v>55</v>
      </c>
      <c r="L6595" t="str">
        <f>_xlfn.XLOOKUP(K6595,[2]analyte_order!$B:$B,[2]analyte_order!$C:$C)</f>
        <v>919005-14-4</v>
      </c>
      <c r="M6595">
        <f>_xlfn.XLOOKUP(L6595,[2]analyte_order!$C:$C,[2]analyte_order!$E:$E)</f>
        <v>35</v>
      </c>
      <c r="N6595">
        <v>0.19750000000000001</v>
      </c>
    </row>
    <row r="6596" spans="1:14">
      <c r="A6596" t="s">
        <v>173</v>
      </c>
      <c r="B6596" t="str">
        <f>_xlfn.XLOOKUP(A6596,'[1]Tissue Data'!$A:$A,'[1]Tissue Data'!$C:$C)</f>
        <v>Spill</v>
      </c>
      <c r="C6596" s="2">
        <f>_xlfn.XLOOKUP(A6596,'[1]Tissue Data'!$A:$A,'[1]Tissue Data'!$D:$D)</f>
        <v>44393</v>
      </c>
      <c r="D6596" s="2" t="str">
        <f>_xlfn.XLOOKUP(A6596,'[1]Tissue Data'!$A:$A,'[1]Tissue Data'!$F:$F)</f>
        <v>Eastern Mudminnow</v>
      </c>
      <c r="E6596" t="str">
        <f>_xlfn.XLOOKUP(A6596,'[1]Tissue Data'!$A:$A,'[1]Tissue Data'!$H:$H)</f>
        <v>Umbra</v>
      </c>
      <c r="F6596" t="str">
        <f>_xlfn.XLOOKUP(A6596,'[1]Tissue Data'!$A:$A,'[1]Tissue Data'!$I:$I)</f>
        <v>pygmaea</v>
      </c>
      <c r="G6596" t="str">
        <f>_xlfn.XLOOKUP(A6596,'[1]Tissue Data'!$A:$A,'[1]Tissue Data'!J:J)</f>
        <v>U</v>
      </c>
      <c r="H6596" t="str">
        <f>_xlfn.XLOOKUP(A6596,'[1]Tissue Data'!$A:$A,'[1]Tissue Data'!K:K)</f>
        <v>Whole Body</v>
      </c>
      <c r="I6596">
        <f>_xlfn.XLOOKUP(A6596,'[1]Tissue Data'!$A:$A,'[1]Tissue Data'!L:L)</f>
        <v>5.5</v>
      </c>
      <c r="J6596">
        <f>_xlfn.XLOOKUP(A6596,'[1]Tissue Data'!$A:$A,'[1]Tissue Data'!M:M)</f>
        <v>1.95</v>
      </c>
      <c r="K6596" t="s">
        <v>56</v>
      </c>
      <c r="L6596" t="str">
        <f>_xlfn.XLOOKUP(K6596,[2]analyte_order!$B:$B,[2]analyte_order!$C:$C)</f>
        <v>756426-58-1</v>
      </c>
      <c r="M6596">
        <f>_xlfn.XLOOKUP(L6596,[2]analyte_order!$C:$C,[2]analyte_order!$E:$E)</f>
        <v>36</v>
      </c>
      <c r="N6596">
        <v>0.224</v>
      </c>
    </row>
    <row r="6597" spans="1:14">
      <c r="A6597" t="s">
        <v>173</v>
      </c>
      <c r="B6597" t="str">
        <f>_xlfn.XLOOKUP(A6597,'[1]Tissue Data'!$A:$A,'[1]Tissue Data'!$C:$C)</f>
        <v>Spill</v>
      </c>
      <c r="C6597" s="2">
        <f>_xlfn.XLOOKUP(A6597,'[1]Tissue Data'!$A:$A,'[1]Tissue Data'!$D:$D)</f>
        <v>44393</v>
      </c>
      <c r="D6597" s="2" t="str">
        <f>_xlfn.XLOOKUP(A6597,'[1]Tissue Data'!$A:$A,'[1]Tissue Data'!$F:$F)</f>
        <v>Eastern Mudminnow</v>
      </c>
      <c r="E6597" t="str">
        <f>_xlfn.XLOOKUP(A6597,'[1]Tissue Data'!$A:$A,'[1]Tissue Data'!$H:$H)</f>
        <v>Umbra</v>
      </c>
      <c r="F6597" t="str">
        <f>_xlfn.XLOOKUP(A6597,'[1]Tissue Data'!$A:$A,'[1]Tissue Data'!$I:$I)</f>
        <v>pygmaea</v>
      </c>
      <c r="G6597" t="str">
        <f>_xlfn.XLOOKUP(A6597,'[1]Tissue Data'!$A:$A,'[1]Tissue Data'!J:J)</f>
        <v>U</v>
      </c>
      <c r="H6597" t="str">
        <f>_xlfn.XLOOKUP(A6597,'[1]Tissue Data'!$A:$A,'[1]Tissue Data'!K:K)</f>
        <v>Whole Body</v>
      </c>
      <c r="I6597">
        <f>_xlfn.XLOOKUP(A6597,'[1]Tissue Data'!$A:$A,'[1]Tissue Data'!L:L)</f>
        <v>5.5</v>
      </c>
      <c r="J6597">
        <f>_xlfn.XLOOKUP(A6597,'[1]Tissue Data'!$A:$A,'[1]Tissue Data'!M:M)</f>
        <v>1.95</v>
      </c>
      <c r="K6597" t="s">
        <v>57</v>
      </c>
      <c r="L6597" t="str">
        <f>_xlfn.XLOOKUP(K6597,[2]analyte_order!$B:$B,[2]analyte_order!$C:$C)</f>
        <v>763051-92-9</v>
      </c>
      <c r="M6597">
        <f>_xlfn.XLOOKUP(L6597,[2]analyte_order!$C:$C,[2]analyte_order!$E:$E)</f>
        <v>37</v>
      </c>
      <c r="N6597">
        <v>0.224</v>
      </c>
    </row>
    <row r="6598" spans="1:14">
      <c r="A6598" t="s">
        <v>173</v>
      </c>
      <c r="B6598" t="str">
        <f>_xlfn.XLOOKUP(A6598,'[1]Tissue Data'!$A:$A,'[1]Tissue Data'!$C:$C)</f>
        <v>Spill</v>
      </c>
      <c r="C6598" s="2">
        <f>_xlfn.XLOOKUP(A6598,'[1]Tissue Data'!$A:$A,'[1]Tissue Data'!$D:$D)</f>
        <v>44393</v>
      </c>
      <c r="D6598" s="2" t="str">
        <f>_xlfn.XLOOKUP(A6598,'[1]Tissue Data'!$A:$A,'[1]Tissue Data'!$F:$F)</f>
        <v>Eastern Mudminnow</v>
      </c>
      <c r="E6598" t="str">
        <f>_xlfn.XLOOKUP(A6598,'[1]Tissue Data'!$A:$A,'[1]Tissue Data'!$H:$H)</f>
        <v>Umbra</v>
      </c>
      <c r="F6598" t="str">
        <f>_xlfn.XLOOKUP(A6598,'[1]Tissue Data'!$A:$A,'[1]Tissue Data'!$I:$I)</f>
        <v>pygmaea</v>
      </c>
      <c r="G6598" t="str">
        <f>_xlfn.XLOOKUP(A6598,'[1]Tissue Data'!$A:$A,'[1]Tissue Data'!J:J)</f>
        <v>U</v>
      </c>
      <c r="H6598" t="str">
        <f>_xlfn.XLOOKUP(A6598,'[1]Tissue Data'!$A:$A,'[1]Tissue Data'!K:K)</f>
        <v>Whole Body</v>
      </c>
      <c r="I6598">
        <f>_xlfn.XLOOKUP(A6598,'[1]Tissue Data'!$A:$A,'[1]Tissue Data'!L:L)</f>
        <v>5.5</v>
      </c>
      <c r="J6598">
        <f>_xlfn.XLOOKUP(A6598,'[1]Tissue Data'!$A:$A,'[1]Tissue Data'!M:M)</f>
        <v>1.95</v>
      </c>
      <c r="K6598" t="s">
        <v>58</v>
      </c>
      <c r="L6598" t="str">
        <f>_xlfn.XLOOKUP(K6598,[2]analyte_order!$B:$B,[2]analyte_order!$C:$C)</f>
        <v>13252-13-6</v>
      </c>
      <c r="M6598">
        <f>_xlfn.XLOOKUP(L6598,[2]analyte_order!$C:$C,[2]analyte_order!$E:$E)</f>
        <v>34</v>
      </c>
      <c r="N6598">
        <v>0.1605</v>
      </c>
    </row>
    <row r="6599" spans="1:14">
      <c r="A6599" t="s">
        <v>173</v>
      </c>
      <c r="B6599" t="str">
        <f>_xlfn.XLOOKUP(A6599,'[1]Tissue Data'!$A:$A,'[1]Tissue Data'!$C:$C)</f>
        <v>Spill</v>
      </c>
      <c r="C6599" s="2">
        <f>_xlfn.XLOOKUP(A6599,'[1]Tissue Data'!$A:$A,'[1]Tissue Data'!$D:$D)</f>
        <v>44393</v>
      </c>
      <c r="D6599" s="2" t="str">
        <f>_xlfn.XLOOKUP(A6599,'[1]Tissue Data'!$A:$A,'[1]Tissue Data'!$F:$F)</f>
        <v>Eastern Mudminnow</v>
      </c>
      <c r="E6599" t="str">
        <f>_xlfn.XLOOKUP(A6599,'[1]Tissue Data'!$A:$A,'[1]Tissue Data'!$H:$H)</f>
        <v>Umbra</v>
      </c>
      <c r="F6599" t="str">
        <f>_xlfn.XLOOKUP(A6599,'[1]Tissue Data'!$A:$A,'[1]Tissue Data'!$I:$I)</f>
        <v>pygmaea</v>
      </c>
      <c r="G6599" t="str">
        <f>_xlfn.XLOOKUP(A6599,'[1]Tissue Data'!$A:$A,'[1]Tissue Data'!J:J)</f>
        <v>U</v>
      </c>
      <c r="H6599" t="str">
        <f>_xlfn.XLOOKUP(A6599,'[1]Tissue Data'!$A:$A,'[1]Tissue Data'!K:K)</f>
        <v>Whole Body</v>
      </c>
      <c r="I6599">
        <f>_xlfn.XLOOKUP(A6599,'[1]Tissue Data'!$A:$A,'[1]Tissue Data'!L:L)</f>
        <v>5.5</v>
      </c>
      <c r="J6599">
        <f>_xlfn.XLOOKUP(A6599,'[1]Tissue Data'!$A:$A,'[1]Tissue Data'!M:M)</f>
        <v>1.95</v>
      </c>
      <c r="K6599" t="s">
        <v>59</v>
      </c>
      <c r="L6599" t="str">
        <f>_xlfn.XLOOKUP(K6599,[2]analyte_order!$B:$B,[2]analyte_order!$C:$C)</f>
        <v>57677-95-9</v>
      </c>
      <c r="M6599">
        <f>_xlfn.XLOOKUP(L6599,[2]analyte_order!$C:$C,[2]analyte_order!$E:$E)</f>
        <v>46</v>
      </c>
      <c r="N6599">
        <v>0.224</v>
      </c>
    </row>
    <row r="6600" spans="1:14">
      <c r="A6600" t="s">
        <v>173</v>
      </c>
      <c r="B6600" t="str">
        <f>_xlfn.XLOOKUP(A6600,'[1]Tissue Data'!$A:$A,'[1]Tissue Data'!$C:$C)</f>
        <v>Spill</v>
      </c>
      <c r="C6600" s="2">
        <f>_xlfn.XLOOKUP(A6600,'[1]Tissue Data'!$A:$A,'[1]Tissue Data'!$D:$D)</f>
        <v>44393</v>
      </c>
      <c r="D6600" s="2" t="str">
        <f>_xlfn.XLOOKUP(A6600,'[1]Tissue Data'!$A:$A,'[1]Tissue Data'!$F:$F)</f>
        <v>Eastern Mudminnow</v>
      </c>
      <c r="E6600" t="str">
        <f>_xlfn.XLOOKUP(A6600,'[1]Tissue Data'!$A:$A,'[1]Tissue Data'!$H:$H)</f>
        <v>Umbra</v>
      </c>
      <c r="F6600" t="str">
        <f>_xlfn.XLOOKUP(A6600,'[1]Tissue Data'!$A:$A,'[1]Tissue Data'!$I:$I)</f>
        <v>pygmaea</v>
      </c>
      <c r="G6600" t="str">
        <f>_xlfn.XLOOKUP(A6600,'[1]Tissue Data'!$A:$A,'[1]Tissue Data'!J:J)</f>
        <v>U</v>
      </c>
      <c r="H6600" t="str">
        <f>_xlfn.XLOOKUP(A6600,'[1]Tissue Data'!$A:$A,'[1]Tissue Data'!K:K)</f>
        <v>Whole Body</v>
      </c>
      <c r="I6600">
        <f>_xlfn.XLOOKUP(A6600,'[1]Tissue Data'!$A:$A,'[1]Tissue Data'!L:L)</f>
        <v>5.5</v>
      </c>
      <c r="J6600">
        <f>_xlfn.XLOOKUP(A6600,'[1]Tissue Data'!$A:$A,'[1]Tissue Data'!M:M)</f>
        <v>1.95</v>
      </c>
      <c r="K6600" t="s">
        <v>60</v>
      </c>
      <c r="L6600" t="str">
        <f>_xlfn.XLOOKUP(K6600,[2]analyte_order!$B:$B,[2]analyte_order!$C:$C)</f>
        <v>678-41-1</v>
      </c>
      <c r="M6600">
        <f>_xlfn.XLOOKUP(L6600,[2]analyte_order!$C:$C,[2]analyte_order!$E:$E)</f>
        <v>56</v>
      </c>
      <c r="N6600">
        <v>0.224</v>
      </c>
    </row>
    <row r="6601" spans="1:14">
      <c r="A6601" t="s">
        <v>173</v>
      </c>
      <c r="B6601" t="str">
        <f>_xlfn.XLOOKUP(A6601,'[1]Tissue Data'!$A:$A,'[1]Tissue Data'!$C:$C)</f>
        <v>Spill</v>
      </c>
      <c r="C6601" s="2">
        <f>_xlfn.XLOOKUP(A6601,'[1]Tissue Data'!$A:$A,'[1]Tissue Data'!$D:$D)</f>
        <v>44393</v>
      </c>
      <c r="D6601" s="2" t="str">
        <f>_xlfn.XLOOKUP(A6601,'[1]Tissue Data'!$A:$A,'[1]Tissue Data'!$F:$F)</f>
        <v>Eastern Mudminnow</v>
      </c>
      <c r="E6601" t="str">
        <f>_xlfn.XLOOKUP(A6601,'[1]Tissue Data'!$A:$A,'[1]Tissue Data'!$H:$H)</f>
        <v>Umbra</v>
      </c>
      <c r="F6601" t="str">
        <f>_xlfn.XLOOKUP(A6601,'[1]Tissue Data'!$A:$A,'[1]Tissue Data'!$I:$I)</f>
        <v>pygmaea</v>
      </c>
      <c r="G6601" t="str">
        <f>_xlfn.XLOOKUP(A6601,'[1]Tissue Data'!$A:$A,'[1]Tissue Data'!J:J)</f>
        <v>U</v>
      </c>
      <c r="H6601" t="str">
        <f>_xlfn.XLOOKUP(A6601,'[1]Tissue Data'!$A:$A,'[1]Tissue Data'!K:K)</f>
        <v>Whole Body</v>
      </c>
      <c r="I6601">
        <f>_xlfn.XLOOKUP(A6601,'[1]Tissue Data'!$A:$A,'[1]Tissue Data'!L:L)</f>
        <v>5.5</v>
      </c>
      <c r="J6601">
        <f>_xlfn.XLOOKUP(A6601,'[1]Tissue Data'!$A:$A,'[1]Tissue Data'!M:M)</f>
        <v>1.95</v>
      </c>
      <c r="K6601" t="s">
        <v>61</v>
      </c>
      <c r="L6601" t="str">
        <f>_xlfn.XLOOKUP(K6601,[2]analyte_order!$B:$B,[2]analyte_order!$C:$C)</f>
        <v>2965-52-8</v>
      </c>
      <c r="M6601">
        <f>_xlfn.XLOOKUP(L6601,[2]analyte_order!$C:$C,[2]analyte_order!$E:$E)</f>
        <v>57</v>
      </c>
      <c r="N6601">
        <v>0.224</v>
      </c>
    </row>
    <row r="6602" spans="1:14">
      <c r="A6602" t="s">
        <v>293</v>
      </c>
      <c r="B6602" t="str">
        <f>_xlfn.XLOOKUP(A6602,'[1]Tissue Data'!$A:$A,'[1]Tissue Data'!$C:$C)</f>
        <v>Down</v>
      </c>
      <c r="C6602" s="2">
        <f>_xlfn.XLOOKUP(A6602,'[1]Tissue Data'!$A:$A,'[1]Tissue Data'!$D:$D)</f>
        <v>44393</v>
      </c>
      <c r="D6602" s="2" t="str">
        <f>_xlfn.XLOOKUP(A6602,'[1]Tissue Data'!$A:$A,'[1]Tissue Data'!$F:$F)</f>
        <v>Pumpkinseed</v>
      </c>
      <c r="E6602" t="str">
        <f>_xlfn.XLOOKUP(A6602,'[1]Tissue Data'!$A:$A,'[1]Tissue Data'!$H:$H)</f>
        <v>Lepomis</v>
      </c>
      <c r="F6602" t="str">
        <f>_xlfn.XLOOKUP(A6602,'[1]Tissue Data'!$A:$A,'[1]Tissue Data'!$I:$I)</f>
        <v>gibbosus</v>
      </c>
      <c r="G6602" t="str">
        <f>_xlfn.XLOOKUP(A6602,'[1]Tissue Data'!$A:$A,'[1]Tissue Data'!J:J)</f>
        <v>M</v>
      </c>
      <c r="H6602" t="str">
        <f>_xlfn.XLOOKUP(A6602,'[1]Tissue Data'!$A:$A,'[1]Tissue Data'!K:K)</f>
        <v>Liver</v>
      </c>
      <c r="I6602">
        <f>_xlfn.XLOOKUP(A6602,'[1]Tissue Data'!$A:$A,'[1]Tissue Data'!L:L)</f>
        <v>11.5</v>
      </c>
      <c r="J6602">
        <f>_xlfn.XLOOKUP(A6602,'[1]Tissue Data'!$A:$A,'[1]Tissue Data'!M:M)</f>
        <v>34.450000000000003</v>
      </c>
      <c r="K6602" t="s">
        <v>12</v>
      </c>
      <c r="L6602" t="str">
        <f>_xlfn.XLOOKUP(K6602,[2]analyte_order!$B:$B,[2]analyte_order!$C:$C)</f>
        <v>375-22-4</v>
      </c>
      <c r="M6602">
        <f>_xlfn.XLOOKUP(L6602,[2]analyte_order!$C:$C,[2]analyte_order!$E:$E)</f>
        <v>1</v>
      </c>
      <c r="N6602">
        <v>1.34</v>
      </c>
    </row>
    <row r="6603" spans="1:14">
      <c r="A6603" t="s">
        <v>293</v>
      </c>
      <c r="B6603" t="str">
        <f>_xlfn.XLOOKUP(A6603,'[1]Tissue Data'!$A:$A,'[1]Tissue Data'!$C:$C)</f>
        <v>Down</v>
      </c>
      <c r="C6603" s="2">
        <f>_xlfn.XLOOKUP(A6603,'[1]Tissue Data'!$A:$A,'[1]Tissue Data'!$D:$D)</f>
        <v>44393</v>
      </c>
      <c r="D6603" s="2" t="str">
        <f>_xlfn.XLOOKUP(A6603,'[1]Tissue Data'!$A:$A,'[1]Tissue Data'!$F:$F)</f>
        <v>Pumpkinseed</v>
      </c>
      <c r="E6603" t="str">
        <f>_xlfn.XLOOKUP(A6603,'[1]Tissue Data'!$A:$A,'[1]Tissue Data'!$H:$H)</f>
        <v>Lepomis</v>
      </c>
      <c r="F6603" t="str">
        <f>_xlfn.XLOOKUP(A6603,'[1]Tissue Data'!$A:$A,'[1]Tissue Data'!$I:$I)</f>
        <v>gibbosus</v>
      </c>
      <c r="G6603" t="str">
        <f>_xlfn.XLOOKUP(A6603,'[1]Tissue Data'!$A:$A,'[1]Tissue Data'!J:J)</f>
        <v>M</v>
      </c>
      <c r="H6603" t="str">
        <f>_xlfn.XLOOKUP(A6603,'[1]Tissue Data'!$A:$A,'[1]Tissue Data'!K:K)</f>
        <v>Liver</v>
      </c>
      <c r="I6603">
        <f>_xlfn.XLOOKUP(A6603,'[1]Tissue Data'!$A:$A,'[1]Tissue Data'!L:L)</f>
        <v>11.5</v>
      </c>
      <c r="J6603">
        <f>_xlfn.XLOOKUP(A6603,'[1]Tissue Data'!$A:$A,'[1]Tissue Data'!M:M)</f>
        <v>34.450000000000003</v>
      </c>
      <c r="K6603" t="s">
        <v>13</v>
      </c>
      <c r="L6603" t="str">
        <f>_xlfn.XLOOKUP(K6603,[2]analyte_order!$B:$B,[2]analyte_order!$C:$C)</f>
        <v>2706-90-3</v>
      </c>
      <c r="M6603">
        <f>_xlfn.XLOOKUP(L6603,[2]analyte_order!$C:$C,[2]analyte_order!$E:$E)</f>
        <v>2</v>
      </c>
      <c r="N6603">
        <v>0.47199999999999998</v>
      </c>
    </row>
    <row r="6604" spans="1:14">
      <c r="A6604" t="s">
        <v>293</v>
      </c>
      <c r="B6604" t="str">
        <f>_xlfn.XLOOKUP(A6604,'[1]Tissue Data'!$A:$A,'[1]Tissue Data'!$C:$C)</f>
        <v>Down</v>
      </c>
      <c r="C6604" s="2">
        <f>_xlfn.XLOOKUP(A6604,'[1]Tissue Data'!$A:$A,'[1]Tissue Data'!$D:$D)</f>
        <v>44393</v>
      </c>
      <c r="D6604" s="2" t="str">
        <f>_xlfn.XLOOKUP(A6604,'[1]Tissue Data'!$A:$A,'[1]Tissue Data'!$F:$F)</f>
        <v>Pumpkinseed</v>
      </c>
      <c r="E6604" t="str">
        <f>_xlfn.XLOOKUP(A6604,'[1]Tissue Data'!$A:$A,'[1]Tissue Data'!$H:$H)</f>
        <v>Lepomis</v>
      </c>
      <c r="F6604" t="str">
        <f>_xlfn.XLOOKUP(A6604,'[1]Tissue Data'!$A:$A,'[1]Tissue Data'!$I:$I)</f>
        <v>gibbosus</v>
      </c>
      <c r="G6604" t="str">
        <f>_xlfn.XLOOKUP(A6604,'[1]Tissue Data'!$A:$A,'[1]Tissue Data'!J:J)</f>
        <v>M</v>
      </c>
      <c r="H6604" t="str">
        <f>_xlfn.XLOOKUP(A6604,'[1]Tissue Data'!$A:$A,'[1]Tissue Data'!K:K)</f>
        <v>Liver</v>
      </c>
      <c r="I6604">
        <f>_xlfn.XLOOKUP(A6604,'[1]Tissue Data'!$A:$A,'[1]Tissue Data'!L:L)</f>
        <v>11.5</v>
      </c>
      <c r="J6604">
        <f>_xlfn.XLOOKUP(A6604,'[1]Tissue Data'!$A:$A,'[1]Tissue Data'!M:M)</f>
        <v>34.450000000000003</v>
      </c>
      <c r="K6604" t="s">
        <v>14</v>
      </c>
      <c r="L6604" t="str">
        <f>_xlfn.XLOOKUP(K6604,[2]analyte_order!$B:$B,[2]analyte_order!$C:$C)</f>
        <v>307-24-4</v>
      </c>
      <c r="M6604">
        <f>_xlfn.XLOOKUP(L6604,[2]analyte_order!$C:$C,[2]analyte_order!$E:$E)</f>
        <v>3</v>
      </c>
      <c r="N6604">
        <v>0.36099999999999999</v>
      </c>
    </row>
    <row r="6605" spans="1:14">
      <c r="A6605" t="s">
        <v>293</v>
      </c>
      <c r="B6605" t="str">
        <f>_xlfn.XLOOKUP(A6605,'[1]Tissue Data'!$A:$A,'[1]Tissue Data'!$C:$C)</f>
        <v>Down</v>
      </c>
      <c r="C6605" s="2">
        <f>_xlfn.XLOOKUP(A6605,'[1]Tissue Data'!$A:$A,'[1]Tissue Data'!$D:$D)</f>
        <v>44393</v>
      </c>
      <c r="D6605" s="2" t="str">
        <f>_xlfn.XLOOKUP(A6605,'[1]Tissue Data'!$A:$A,'[1]Tissue Data'!$F:$F)</f>
        <v>Pumpkinseed</v>
      </c>
      <c r="E6605" t="str">
        <f>_xlfn.XLOOKUP(A6605,'[1]Tissue Data'!$A:$A,'[1]Tissue Data'!$H:$H)</f>
        <v>Lepomis</v>
      </c>
      <c r="F6605" t="str">
        <f>_xlfn.XLOOKUP(A6605,'[1]Tissue Data'!$A:$A,'[1]Tissue Data'!$I:$I)</f>
        <v>gibbosus</v>
      </c>
      <c r="G6605" t="str">
        <f>_xlfn.XLOOKUP(A6605,'[1]Tissue Data'!$A:$A,'[1]Tissue Data'!J:J)</f>
        <v>M</v>
      </c>
      <c r="H6605" t="str">
        <f>_xlfn.XLOOKUP(A6605,'[1]Tissue Data'!$A:$A,'[1]Tissue Data'!K:K)</f>
        <v>Liver</v>
      </c>
      <c r="I6605">
        <f>_xlfn.XLOOKUP(A6605,'[1]Tissue Data'!$A:$A,'[1]Tissue Data'!L:L)</f>
        <v>11.5</v>
      </c>
      <c r="J6605">
        <f>_xlfn.XLOOKUP(A6605,'[1]Tissue Data'!$A:$A,'[1]Tissue Data'!M:M)</f>
        <v>34.450000000000003</v>
      </c>
      <c r="K6605" t="s">
        <v>15</v>
      </c>
      <c r="L6605" t="str">
        <f>_xlfn.XLOOKUP(K6605,[2]analyte_order!$B:$B,[2]analyte_order!$C:$C)</f>
        <v>375-85-9</v>
      </c>
      <c r="M6605">
        <f>_xlfn.XLOOKUP(L6605,[2]analyte_order!$C:$C,[2]analyte_order!$E:$E)</f>
        <v>4</v>
      </c>
      <c r="N6605">
        <v>1.34</v>
      </c>
    </row>
    <row r="6606" spans="1:14">
      <c r="A6606" t="s">
        <v>293</v>
      </c>
      <c r="B6606" t="str">
        <f>_xlfn.XLOOKUP(A6606,'[1]Tissue Data'!$A:$A,'[1]Tissue Data'!$C:$C)</f>
        <v>Down</v>
      </c>
      <c r="C6606" s="2">
        <f>_xlfn.XLOOKUP(A6606,'[1]Tissue Data'!$A:$A,'[1]Tissue Data'!$D:$D)</f>
        <v>44393</v>
      </c>
      <c r="D6606" s="2" t="str">
        <f>_xlfn.XLOOKUP(A6606,'[1]Tissue Data'!$A:$A,'[1]Tissue Data'!$F:$F)</f>
        <v>Pumpkinseed</v>
      </c>
      <c r="E6606" t="str">
        <f>_xlfn.XLOOKUP(A6606,'[1]Tissue Data'!$A:$A,'[1]Tissue Data'!$H:$H)</f>
        <v>Lepomis</v>
      </c>
      <c r="F6606" t="str">
        <f>_xlfn.XLOOKUP(A6606,'[1]Tissue Data'!$A:$A,'[1]Tissue Data'!$I:$I)</f>
        <v>gibbosus</v>
      </c>
      <c r="G6606" t="str">
        <f>_xlfn.XLOOKUP(A6606,'[1]Tissue Data'!$A:$A,'[1]Tissue Data'!J:J)</f>
        <v>M</v>
      </c>
      <c r="H6606" t="str">
        <f>_xlfn.XLOOKUP(A6606,'[1]Tissue Data'!$A:$A,'[1]Tissue Data'!K:K)</f>
        <v>Liver</v>
      </c>
      <c r="I6606">
        <f>_xlfn.XLOOKUP(A6606,'[1]Tissue Data'!$A:$A,'[1]Tissue Data'!L:L)</f>
        <v>11.5</v>
      </c>
      <c r="J6606">
        <f>_xlfn.XLOOKUP(A6606,'[1]Tissue Data'!$A:$A,'[1]Tissue Data'!M:M)</f>
        <v>34.450000000000003</v>
      </c>
      <c r="K6606" t="s">
        <v>16</v>
      </c>
      <c r="L6606" t="str">
        <f>_xlfn.XLOOKUP(K6606,[2]analyte_order!$B:$B,[2]analyte_order!$C:$C)</f>
        <v>335-67-1</v>
      </c>
      <c r="M6606">
        <f>_xlfn.XLOOKUP(L6606,[2]analyte_order!$C:$C,[2]analyte_order!$E:$E)</f>
        <v>5</v>
      </c>
      <c r="N6606">
        <v>1.69</v>
      </c>
    </row>
    <row r="6607" spans="1:14">
      <c r="A6607" t="s">
        <v>293</v>
      </c>
      <c r="B6607" t="str">
        <f>_xlfn.XLOOKUP(A6607,'[1]Tissue Data'!$A:$A,'[1]Tissue Data'!$C:$C)</f>
        <v>Down</v>
      </c>
      <c r="C6607" s="2">
        <f>_xlfn.XLOOKUP(A6607,'[1]Tissue Data'!$A:$A,'[1]Tissue Data'!$D:$D)</f>
        <v>44393</v>
      </c>
      <c r="D6607" s="2" t="str">
        <f>_xlfn.XLOOKUP(A6607,'[1]Tissue Data'!$A:$A,'[1]Tissue Data'!$F:$F)</f>
        <v>Pumpkinseed</v>
      </c>
      <c r="E6607" t="str">
        <f>_xlfn.XLOOKUP(A6607,'[1]Tissue Data'!$A:$A,'[1]Tissue Data'!$H:$H)</f>
        <v>Lepomis</v>
      </c>
      <c r="F6607" t="str">
        <f>_xlfn.XLOOKUP(A6607,'[1]Tissue Data'!$A:$A,'[1]Tissue Data'!$I:$I)</f>
        <v>gibbosus</v>
      </c>
      <c r="G6607" t="str">
        <f>_xlfn.XLOOKUP(A6607,'[1]Tissue Data'!$A:$A,'[1]Tissue Data'!J:J)</f>
        <v>M</v>
      </c>
      <c r="H6607" t="str">
        <f>_xlfn.XLOOKUP(A6607,'[1]Tissue Data'!$A:$A,'[1]Tissue Data'!K:K)</f>
        <v>Liver</v>
      </c>
      <c r="I6607">
        <f>_xlfn.XLOOKUP(A6607,'[1]Tissue Data'!$A:$A,'[1]Tissue Data'!L:L)</f>
        <v>11.5</v>
      </c>
      <c r="J6607">
        <f>_xlfn.XLOOKUP(A6607,'[1]Tissue Data'!$A:$A,'[1]Tissue Data'!M:M)</f>
        <v>34.450000000000003</v>
      </c>
      <c r="K6607" t="s">
        <v>17</v>
      </c>
      <c r="L6607" t="str">
        <f>_xlfn.XLOOKUP(K6607,[2]analyte_order!$B:$B,[2]analyte_order!$C:$C)</f>
        <v>375-95-1</v>
      </c>
      <c r="M6607">
        <f>_xlfn.XLOOKUP(L6607,[2]analyte_order!$C:$C,[2]analyte_order!$E:$E)</f>
        <v>6</v>
      </c>
      <c r="N6607">
        <v>0.67</v>
      </c>
    </row>
    <row r="6608" spans="1:14">
      <c r="A6608" t="s">
        <v>293</v>
      </c>
      <c r="B6608" t="str">
        <f>_xlfn.XLOOKUP(A6608,'[1]Tissue Data'!$A:$A,'[1]Tissue Data'!$C:$C)</f>
        <v>Down</v>
      </c>
      <c r="C6608" s="2">
        <f>_xlfn.XLOOKUP(A6608,'[1]Tissue Data'!$A:$A,'[1]Tissue Data'!$D:$D)</f>
        <v>44393</v>
      </c>
      <c r="D6608" s="2" t="str">
        <f>_xlfn.XLOOKUP(A6608,'[1]Tissue Data'!$A:$A,'[1]Tissue Data'!$F:$F)</f>
        <v>Pumpkinseed</v>
      </c>
      <c r="E6608" t="str">
        <f>_xlfn.XLOOKUP(A6608,'[1]Tissue Data'!$A:$A,'[1]Tissue Data'!$H:$H)</f>
        <v>Lepomis</v>
      </c>
      <c r="F6608" t="str">
        <f>_xlfn.XLOOKUP(A6608,'[1]Tissue Data'!$A:$A,'[1]Tissue Data'!$I:$I)</f>
        <v>gibbosus</v>
      </c>
      <c r="G6608" t="str">
        <f>_xlfn.XLOOKUP(A6608,'[1]Tissue Data'!$A:$A,'[1]Tissue Data'!J:J)</f>
        <v>M</v>
      </c>
      <c r="H6608" t="str">
        <f>_xlfn.XLOOKUP(A6608,'[1]Tissue Data'!$A:$A,'[1]Tissue Data'!K:K)</f>
        <v>Liver</v>
      </c>
      <c r="I6608">
        <f>_xlfn.XLOOKUP(A6608,'[1]Tissue Data'!$A:$A,'[1]Tissue Data'!L:L)</f>
        <v>11.5</v>
      </c>
      <c r="J6608">
        <f>_xlfn.XLOOKUP(A6608,'[1]Tissue Data'!$A:$A,'[1]Tissue Data'!M:M)</f>
        <v>34.450000000000003</v>
      </c>
      <c r="K6608" t="s">
        <v>18</v>
      </c>
      <c r="L6608" t="str">
        <f>_xlfn.XLOOKUP(K6608,[2]analyte_order!$B:$B,[2]analyte_order!$C:$C)</f>
        <v>335-76-2</v>
      </c>
      <c r="M6608">
        <f>_xlfn.XLOOKUP(L6608,[2]analyte_order!$C:$C,[2]analyte_order!$E:$E)</f>
        <v>7</v>
      </c>
      <c r="N6608">
        <v>3.54</v>
      </c>
    </row>
    <row r="6609" spans="1:14">
      <c r="A6609" t="s">
        <v>293</v>
      </c>
      <c r="B6609" t="str">
        <f>_xlfn.XLOOKUP(A6609,'[1]Tissue Data'!$A:$A,'[1]Tissue Data'!$C:$C)</f>
        <v>Down</v>
      </c>
      <c r="C6609" s="2">
        <f>_xlfn.XLOOKUP(A6609,'[1]Tissue Data'!$A:$A,'[1]Tissue Data'!$D:$D)</f>
        <v>44393</v>
      </c>
      <c r="D6609" s="2" t="str">
        <f>_xlfn.XLOOKUP(A6609,'[1]Tissue Data'!$A:$A,'[1]Tissue Data'!$F:$F)</f>
        <v>Pumpkinseed</v>
      </c>
      <c r="E6609" t="str">
        <f>_xlfn.XLOOKUP(A6609,'[1]Tissue Data'!$A:$A,'[1]Tissue Data'!$H:$H)</f>
        <v>Lepomis</v>
      </c>
      <c r="F6609" t="str">
        <f>_xlfn.XLOOKUP(A6609,'[1]Tissue Data'!$A:$A,'[1]Tissue Data'!$I:$I)</f>
        <v>gibbosus</v>
      </c>
      <c r="G6609" t="str">
        <f>_xlfn.XLOOKUP(A6609,'[1]Tissue Data'!$A:$A,'[1]Tissue Data'!J:J)</f>
        <v>M</v>
      </c>
      <c r="H6609" t="str">
        <f>_xlfn.XLOOKUP(A6609,'[1]Tissue Data'!$A:$A,'[1]Tissue Data'!K:K)</f>
        <v>Liver</v>
      </c>
      <c r="I6609">
        <f>_xlfn.XLOOKUP(A6609,'[1]Tissue Data'!$A:$A,'[1]Tissue Data'!L:L)</f>
        <v>11.5</v>
      </c>
      <c r="J6609">
        <f>_xlfn.XLOOKUP(A6609,'[1]Tissue Data'!$A:$A,'[1]Tissue Data'!M:M)</f>
        <v>34.450000000000003</v>
      </c>
      <c r="K6609" t="s">
        <v>19</v>
      </c>
      <c r="L6609" t="str">
        <f>_xlfn.XLOOKUP(K6609,[2]analyte_order!$B:$B,[2]analyte_order!$C:$C)</f>
        <v>2058-94-8</v>
      </c>
      <c r="M6609">
        <f>_xlfn.XLOOKUP(L6609,[2]analyte_order!$C:$C,[2]analyte_order!$E:$E)</f>
        <v>8</v>
      </c>
      <c r="N6609">
        <v>5.6</v>
      </c>
    </row>
    <row r="6610" spans="1:14">
      <c r="A6610" t="s">
        <v>293</v>
      </c>
      <c r="B6610" t="str">
        <f>_xlfn.XLOOKUP(A6610,'[1]Tissue Data'!$A:$A,'[1]Tissue Data'!$C:$C)</f>
        <v>Down</v>
      </c>
      <c r="C6610" s="2">
        <f>_xlfn.XLOOKUP(A6610,'[1]Tissue Data'!$A:$A,'[1]Tissue Data'!$D:$D)</f>
        <v>44393</v>
      </c>
      <c r="D6610" s="2" t="str">
        <f>_xlfn.XLOOKUP(A6610,'[1]Tissue Data'!$A:$A,'[1]Tissue Data'!$F:$F)</f>
        <v>Pumpkinseed</v>
      </c>
      <c r="E6610" t="str">
        <f>_xlfn.XLOOKUP(A6610,'[1]Tissue Data'!$A:$A,'[1]Tissue Data'!$H:$H)</f>
        <v>Lepomis</v>
      </c>
      <c r="F6610" t="str">
        <f>_xlfn.XLOOKUP(A6610,'[1]Tissue Data'!$A:$A,'[1]Tissue Data'!$I:$I)</f>
        <v>gibbosus</v>
      </c>
      <c r="G6610" t="str">
        <f>_xlfn.XLOOKUP(A6610,'[1]Tissue Data'!$A:$A,'[1]Tissue Data'!J:J)</f>
        <v>M</v>
      </c>
      <c r="H6610" t="str">
        <f>_xlfn.XLOOKUP(A6610,'[1]Tissue Data'!$A:$A,'[1]Tissue Data'!K:K)</f>
        <v>Liver</v>
      </c>
      <c r="I6610">
        <f>_xlfn.XLOOKUP(A6610,'[1]Tissue Data'!$A:$A,'[1]Tissue Data'!L:L)</f>
        <v>11.5</v>
      </c>
      <c r="J6610">
        <f>_xlfn.XLOOKUP(A6610,'[1]Tissue Data'!$A:$A,'[1]Tissue Data'!M:M)</f>
        <v>34.450000000000003</v>
      </c>
      <c r="K6610" t="s">
        <v>20</v>
      </c>
      <c r="L6610" t="str">
        <f>_xlfn.XLOOKUP(K6610,[2]analyte_order!$B:$B,[2]analyte_order!$C:$C)</f>
        <v>307-55-1</v>
      </c>
      <c r="M6610">
        <f>_xlfn.XLOOKUP(L6610,[2]analyte_order!$C:$C,[2]analyte_order!$E:$E)</f>
        <v>9</v>
      </c>
      <c r="N6610">
        <v>13.8</v>
      </c>
    </row>
    <row r="6611" spans="1:14">
      <c r="A6611" t="s">
        <v>293</v>
      </c>
      <c r="B6611" t="str">
        <f>_xlfn.XLOOKUP(A6611,'[1]Tissue Data'!$A:$A,'[1]Tissue Data'!$C:$C)</f>
        <v>Down</v>
      </c>
      <c r="C6611" s="2">
        <f>_xlfn.XLOOKUP(A6611,'[1]Tissue Data'!$A:$A,'[1]Tissue Data'!$D:$D)</f>
        <v>44393</v>
      </c>
      <c r="D6611" s="2" t="str">
        <f>_xlfn.XLOOKUP(A6611,'[1]Tissue Data'!$A:$A,'[1]Tissue Data'!$F:$F)</f>
        <v>Pumpkinseed</v>
      </c>
      <c r="E6611" t="str">
        <f>_xlfn.XLOOKUP(A6611,'[1]Tissue Data'!$A:$A,'[1]Tissue Data'!$H:$H)</f>
        <v>Lepomis</v>
      </c>
      <c r="F6611" t="str">
        <f>_xlfn.XLOOKUP(A6611,'[1]Tissue Data'!$A:$A,'[1]Tissue Data'!$I:$I)</f>
        <v>gibbosus</v>
      </c>
      <c r="G6611" t="str">
        <f>_xlfn.XLOOKUP(A6611,'[1]Tissue Data'!$A:$A,'[1]Tissue Data'!J:J)</f>
        <v>M</v>
      </c>
      <c r="H6611" t="str">
        <f>_xlfn.XLOOKUP(A6611,'[1]Tissue Data'!$A:$A,'[1]Tissue Data'!K:K)</f>
        <v>Liver</v>
      </c>
      <c r="I6611">
        <f>_xlfn.XLOOKUP(A6611,'[1]Tissue Data'!$A:$A,'[1]Tissue Data'!L:L)</f>
        <v>11.5</v>
      </c>
      <c r="J6611">
        <f>_xlfn.XLOOKUP(A6611,'[1]Tissue Data'!$A:$A,'[1]Tissue Data'!M:M)</f>
        <v>34.450000000000003</v>
      </c>
      <c r="K6611" t="s">
        <v>21</v>
      </c>
      <c r="L6611" t="str">
        <f>_xlfn.XLOOKUP(K6611,[2]analyte_order!$B:$B,[2]analyte_order!$C:$C)</f>
        <v>72629-94-8</v>
      </c>
      <c r="M6611">
        <f>_xlfn.XLOOKUP(L6611,[2]analyte_order!$C:$C,[2]analyte_order!$E:$E)</f>
        <v>10</v>
      </c>
      <c r="N6611">
        <v>1.34</v>
      </c>
    </row>
    <row r="6612" spans="1:14">
      <c r="A6612" t="s">
        <v>293</v>
      </c>
      <c r="B6612" t="str">
        <f>_xlfn.XLOOKUP(A6612,'[1]Tissue Data'!$A:$A,'[1]Tissue Data'!$C:$C)</f>
        <v>Down</v>
      </c>
      <c r="C6612" s="2">
        <f>_xlfn.XLOOKUP(A6612,'[1]Tissue Data'!$A:$A,'[1]Tissue Data'!$D:$D)</f>
        <v>44393</v>
      </c>
      <c r="D6612" s="2" t="str">
        <f>_xlfn.XLOOKUP(A6612,'[1]Tissue Data'!$A:$A,'[1]Tissue Data'!$F:$F)</f>
        <v>Pumpkinseed</v>
      </c>
      <c r="E6612" t="str">
        <f>_xlfn.XLOOKUP(A6612,'[1]Tissue Data'!$A:$A,'[1]Tissue Data'!$H:$H)</f>
        <v>Lepomis</v>
      </c>
      <c r="F6612" t="str">
        <f>_xlfn.XLOOKUP(A6612,'[1]Tissue Data'!$A:$A,'[1]Tissue Data'!$I:$I)</f>
        <v>gibbosus</v>
      </c>
      <c r="G6612" t="str">
        <f>_xlfn.XLOOKUP(A6612,'[1]Tissue Data'!$A:$A,'[1]Tissue Data'!J:J)</f>
        <v>M</v>
      </c>
      <c r="H6612" t="str">
        <f>_xlfn.XLOOKUP(A6612,'[1]Tissue Data'!$A:$A,'[1]Tissue Data'!K:K)</f>
        <v>Liver</v>
      </c>
      <c r="I6612">
        <f>_xlfn.XLOOKUP(A6612,'[1]Tissue Data'!$A:$A,'[1]Tissue Data'!L:L)</f>
        <v>11.5</v>
      </c>
      <c r="J6612">
        <f>_xlfn.XLOOKUP(A6612,'[1]Tissue Data'!$A:$A,'[1]Tissue Data'!M:M)</f>
        <v>34.450000000000003</v>
      </c>
      <c r="K6612" t="s">
        <v>22</v>
      </c>
      <c r="L6612" t="str">
        <f>_xlfn.XLOOKUP(K6612,[2]analyte_order!$B:$B,[2]analyte_order!$C:$C)</f>
        <v>376-06-7</v>
      </c>
      <c r="M6612">
        <f>_xlfn.XLOOKUP(L6612,[2]analyte_order!$C:$C,[2]analyte_order!$E:$E)</f>
        <v>11</v>
      </c>
      <c r="N6612">
        <v>7.03</v>
      </c>
    </row>
    <row r="6613" spans="1:14">
      <c r="A6613" t="s">
        <v>293</v>
      </c>
      <c r="B6613" t="str">
        <f>_xlfn.XLOOKUP(A6613,'[1]Tissue Data'!$A:$A,'[1]Tissue Data'!$C:$C)</f>
        <v>Down</v>
      </c>
      <c r="C6613" s="2">
        <f>_xlfn.XLOOKUP(A6613,'[1]Tissue Data'!$A:$A,'[1]Tissue Data'!$D:$D)</f>
        <v>44393</v>
      </c>
      <c r="D6613" s="2" t="str">
        <f>_xlfn.XLOOKUP(A6613,'[1]Tissue Data'!$A:$A,'[1]Tissue Data'!$F:$F)</f>
        <v>Pumpkinseed</v>
      </c>
      <c r="E6613" t="str">
        <f>_xlfn.XLOOKUP(A6613,'[1]Tissue Data'!$A:$A,'[1]Tissue Data'!$H:$H)</f>
        <v>Lepomis</v>
      </c>
      <c r="F6613" t="str">
        <f>_xlfn.XLOOKUP(A6613,'[1]Tissue Data'!$A:$A,'[1]Tissue Data'!$I:$I)</f>
        <v>gibbosus</v>
      </c>
      <c r="G6613" t="str">
        <f>_xlfn.XLOOKUP(A6613,'[1]Tissue Data'!$A:$A,'[1]Tissue Data'!J:J)</f>
        <v>M</v>
      </c>
      <c r="H6613" t="str">
        <f>_xlfn.XLOOKUP(A6613,'[1]Tissue Data'!$A:$A,'[1]Tissue Data'!K:K)</f>
        <v>Liver</v>
      </c>
      <c r="I6613">
        <f>_xlfn.XLOOKUP(A6613,'[1]Tissue Data'!$A:$A,'[1]Tissue Data'!L:L)</f>
        <v>11.5</v>
      </c>
      <c r="J6613">
        <f>_xlfn.XLOOKUP(A6613,'[1]Tissue Data'!$A:$A,'[1]Tissue Data'!M:M)</f>
        <v>34.450000000000003</v>
      </c>
      <c r="K6613" t="s">
        <v>23</v>
      </c>
      <c r="L6613" t="str">
        <f>_xlfn.XLOOKUP(K6613,[2]analyte_order!$B:$B,[2]analyte_order!$C:$C)</f>
        <v>67905-19-5</v>
      </c>
      <c r="M6613">
        <f>_xlfn.XLOOKUP(L6613,[2]analyte_order!$C:$C,[2]analyte_order!$E:$E)</f>
        <v>12</v>
      </c>
      <c r="N6613">
        <v>0.79500000000000004</v>
      </c>
    </row>
    <row r="6614" spans="1:14">
      <c r="A6614" t="s">
        <v>293</v>
      </c>
      <c r="B6614" t="str">
        <f>_xlfn.XLOOKUP(A6614,'[1]Tissue Data'!$A:$A,'[1]Tissue Data'!$C:$C)</f>
        <v>Down</v>
      </c>
      <c r="C6614" s="2">
        <f>_xlfn.XLOOKUP(A6614,'[1]Tissue Data'!$A:$A,'[1]Tissue Data'!$D:$D)</f>
        <v>44393</v>
      </c>
      <c r="D6614" s="2" t="str">
        <f>_xlfn.XLOOKUP(A6614,'[1]Tissue Data'!$A:$A,'[1]Tissue Data'!$F:$F)</f>
        <v>Pumpkinseed</v>
      </c>
      <c r="E6614" t="str">
        <f>_xlfn.XLOOKUP(A6614,'[1]Tissue Data'!$A:$A,'[1]Tissue Data'!$H:$H)</f>
        <v>Lepomis</v>
      </c>
      <c r="F6614" t="str">
        <f>_xlfn.XLOOKUP(A6614,'[1]Tissue Data'!$A:$A,'[1]Tissue Data'!$I:$I)</f>
        <v>gibbosus</v>
      </c>
      <c r="G6614" t="str">
        <f>_xlfn.XLOOKUP(A6614,'[1]Tissue Data'!$A:$A,'[1]Tissue Data'!J:J)</f>
        <v>M</v>
      </c>
      <c r="H6614" t="str">
        <f>_xlfn.XLOOKUP(A6614,'[1]Tissue Data'!$A:$A,'[1]Tissue Data'!K:K)</f>
        <v>Liver</v>
      </c>
      <c r="I6614">
        <f>_xlfn.XLOOKUP(A6614,'[1]Tissue Data'!$A:$A,'[1]Tissue Data'!L:L)</f>
        <v>11.5</v>
      </c>
      <c r="J6614">
        <f>_xlfn.XLOOKUP(A6614,'[1]Tissue Data'!$A:$A,'[1]Tissue Data'!M:M)</f>
        <v>34.450000000000003</v>
      </c>
      <c r="K6614" t="s">
        <v>24</v>
      </c>
      <c r="L6614" t="str">
        <f>_xlfn.XLOOKUP(K6614,[2]analyte_order!$B:$B,[2]analyte_order!$C:$C)</f>
        <v>423-41-6</v>
      </c>
      <c r="M6614">
        <f>_xlfn.XLOOKUP(L6614,[2]analyte_order!$C:$C,[2]analyte_order!$E:$E)</f>
        <v>53</v>
      </c>
      <c r="N6614">
        <v>0.67</v>
      </c>
    </row>
    <row r="6615" spans="1:14">
      <c r="A6615" t="s">
        <v>293</v>
      </c>
      <c r="B6615" t="str">
        <f>_xlfn.XLOOKUP(A6615,'[1]Tissue Data'!$A:$A,'[1]Tissue Data'!$C:$C)</f>
        <v>Down</v>
      </c>
      <c r="C6615" s="2">
        <f>_xlfn.XLOOKUP(A6615,'[1]Tissue Data'!$A:$A,'[1]Tissue Data'!$D:$D)</f>
        <v>44393</v>
      </c>
      <c r="D6615" s="2" t="str">
        <f>_xlfn.XLOOKUP(A6615,'[1]Tissue Data'!$A:$A,'[1]Tissue Data'!$F:$F)</f>
        <v>Pumpkinseed</v>
      </c>
      <c r="E6615" t="str">
        <f>_xlfn.XLOOKUP(A6615,'[1]Tissue Data'!$A:$A,'[1]Tissue Data'!$H:$H)</f>
        <v>Lepomis</v>
      </c>
      <c r="F6615" t="str">
        <f>_xlfn.XLOOKUP(A6615,'[1]Tissue Data'!$A:$A,'[1]Tissue Data'!$I:$I)</f>
        <v>gibbosus</v>
      </c>
      <c r="G6615" t="str">
        <f>_xlfn.XLOOKUP(A6615,'[1]Tissue Data'!$A:$A,'[1]Tissue Data'!J:J)</f>
        <v>M</v>
      </c>
      <c r="H6615" t="str">
        <f>_xlfn.XLOOKUP(A6615,'[1]Tissue Data'!$A:$A,'[1]Tissue Data'!K:K)</f>
        <v>Liver</v>
      </c>
      <c r="I6615">
        <f>_xlfn.XLOOKUP(A6615,'[1]Tissue Data'!$A:$A,'[1]Tissue Data'!L:L)</f>
        <v>11.5</v>
      </c>
      <c r="J6615">
        <f>_xlfn.XLOOKUP(A6615,'[1]Tissue Data'!$A:$A,'[1]Tissue Data'!M:M)</f>
        <v>34.450000000000003</v>
      </c>
      <c r="K6615" t="s">
        <v>25</v>
      </c>
      <c r="L6615" t="str">
        <f>_xlfn.XLOOKUP(K6615,[2]analyte_order!$B:$B,[2]analyte_order!$C:$C)</f>
        <v>375-73-5</v>
      </c>
      <c r="M6615">
        <f>_xlfn.XLOOKUP(L6615,[2]analyte_order!$C:$C,[2]analyte_order!$E:$E)</f>
        <v>14</v>
      </c>
      <c r="N6615">
        <v>0.67</v>
      </c>
    </row>
    <row r="6616" spans="1:14">
      <c r="A6616" t="s">
        <v>293</v>
      </c>
      <c r="B6616" t="str">
        <f>_xlfn.XLOOKUP(A6616,'[1]Tissue Data'!$A:$A,'[1]Tissue Data'!$C:$C)</f>
        <v>Down</v>
      </c>
      <c r="C6616" s="2">
        <f>_xlfn.XLOOKUP(A6616,'[1]Tissue Data'!$A:$A,'[1]Tissue Data'!$D:$D)</f>
        <v>44393</v>
      </c>
      <c r="D6616" s="2" t="str">
        <f>_xlfn.XLOOKUP(A6616,'[1]Tissue Data'!$A:$A,'[1]Tissue Data'!$F:$F)</f>
        <v>Pumpkinseed</v>
      </c>
      <c r="E6616" t="str">
        <f>_xlfn.XLOOKUP(A6616,'[1]Tissue Data'!$A:$A,'[1]Tissue Data'!$H:$H)</f>
        <v>Lepomis</v>
      </c>
      <c r="F6616" t="str">
        <f>_xlfn.XLOOKUP(A6616,'[1]Tissue Data'!$A:$A,'[1]Tissue Data'!$I:$I)</f>
        <v>gibbosus</v>
      </c>
      <c r="G6616" t="str">
        <f>_xlfn.XLOOKUP(A6616,'[1]Tissue Data'!$A:$A,'[1]Tissue Data'!J:J)</f>
        <v>M</v>
      </c>
      <c r="H6616" t="str">
        <f>_xlfn.XLOOKUP(A6616,'[1]Tissue Data'!$A:$A,'[1]Tissue Data'!K:K)</f>
        <v>Liver</v>
      </c>
      <c r="I6616">
        <f>_xlfn.XLOOKUP(A6616,'[1]Tissue Data'!$A:$A,'[1]Tissue Data'!L:L)</f>
        <v>11.5</v>
      </c>
      <c r="J6616">
        <f>_xlfn.XLOOKUP(A6616,'[1]Tissue Data'!$A:$A,'[1]Tissue Data'!M:M)</f>
        <v>34.450000000000003</v>
      </c>
      <c r="K6616" t="s">
        <v>26</v>
      </c>
      <c r="L6616" t="str">
        <f>_xlfn.XLOOKUP(K6616,[2]analyte_order!$B:$B,[2]analyte_order!$C:$C)</f>
        <v>2706-91-4</v>
      </c>
      <c r="M6616">
        <f>_xlfn.XLOOKUP(L6616,[2]analyte_order!$C:$C,[2]analyte_order!$E:$E)</f>
        <v>15</v>
      </c>
      <c r="N6616">
        <v>0.71</v>
      </c>
    </row>
    <row r="6617" spans="1:14">
      <c r="A6617" t="s">
        <v>293</v>
      </c>
      <c r="B6617" t="str">
        <f>_xlfn.XLOOKUP(A6617,'[1]Tissue Data'!$A:$A,'[1]Tissue Data'!$C:$C)</f>
        <v>Down</v>
      </c>
      <c r="C6617" s="2">
        <f>_xlfn.XLOOKUP(A6617,'[1]Tissue Data'!$A:$A,'[1]Tissue Data'!$D:$D)</f>
        <v>44393</v>
      </c>
      <c r="D6617" s="2" t="str">
        <f>_xlfn.XLOOKUP(A6617,'[1]Tissue Data'!$A:$A,'[1]Tissue Data'!$F:$F)</f>
        <v>Pumpkinseed</v>
      </c>
      <c r="E6617" t="str">
        <f>_xlfn.XLOOKUP(A6617,'[1]Tissue Data'!$A:$A,'[1]Tissue Data'!$H:$H)</f>
        <v>Lepomis</v>
      </c>
      <c r="F6617" t="str">
        <f>_xlfn.XLOOKUP(A6617,'[1]Tissue Data'!$A:$A,'[1]Tissue Data'!$I:$I)</f>
        <v>gibbosus</v>
      </c>
      <c r="G6617" t="str">
        <f>_xlfn.XLOOKUP(A6617,'[1]Tissue Data'!$A:$A,'[1]Tissue Data'!J:J)</f>
        <v>M</v>
      </c>
      <c r="H6617" t="str">
        <f>_xlfn.XLOOKUP(A6617,'[1]Tissue Data'!$A:$A,'[1]Tissue Data'!K:K)</f>
        <v>Liver</v>
      </c>
      <c r="I6617">
        <f>_xlfn.XLOOKUP(A6617,'[1]Tissue Data'!$A:$A,'[1]Tissue Data'!L:L)</f>
        <v>11.5</v>
      </c>
      <c r="J6617">
        <f>_xlfn.XLOOKUP(A6617,'[1]Tissue Data'!$A:$A,'[1]Tissue Data'!M:M)</f>
        <v>34.450000000000003</v>
      </c>
      <c r="K6617" t="s">
        <v>27</v>
      </c>
      <c r="L6617" t="str">
        <f>_xlfn.XLOOKUP(K6617,[2]analyte_order!$B:$B,[2]analyte_order!$C:$C)</f>
        <v>355-46-4</v>
      </c>
      <c r="M6617">
        <f>_xlfn.XLOOKUP(L6617,[2]analyte_order!$C:$C,[2]analyte_order!$E:$E)</f>
        <v>16</v>
      </c>
      <c r="N6617">
        <v>21.7</v>
      </c>
    </row>
    <row r="6618" spans="1:14">
      <c r="A6618" t="s">
        <v>293</v>
      </c>
      <c r="B6618" t="str">
        <f>_xlfn.XLOOKUP(A6618,'[1]Tissue Data'!$A:$A,'[1]Tissue Data'!$C:$C)</f>
        <v>Down</v>
      </c>
      <c r="C6618" s="2">
        <f>_xlfn.XLOOKUP(A6618,'[1]Tissue Data'!$A:$A,'[1]Tissue Data'!$D:$D)</f>
        <v>44393</v>
      </c>
      <c r="D6618" s="2" t="str">
        <f>_xlfn.XLOOKUP(A6618,'[1]Tissue Data'!$A:$A,'[1]Tissue Data'!$F:$F)</f>
        <v>Pumpkinseed</v>
      </c>
      <c r="E6618" t="str">
        <f>_xlfn.XLOOKUP(A6618,'[1]Tissue Data'!$A:$A,'[1]Tissue Data'!$H:$H)</f>
        <v>Lepomis</v>
      </c>
      <c r="F6618" t="str">
        <f>_xlfn.XLOOKUP(A6618,'[1]Tissue Data'!$A:$A,'[1]Tissue Data'!$I:$I)</f>
        <v>gibbosus</v>
      </c>
      <c r="G6618" t="str">
        <f>_xlfn.XLOOKUP(A6618,'[1]Tissue Data'!$A:$A,'[1]Tissue Data'!J:J)</f>
        <v>M</v>
      </c>
      <c r="H6618" t="str">
        <f>_xlfn.XLOOKUP(A6618,'[1]Tissue Data'!$A:$A,'[1]Tissue Data'!K:K)</f>
        <v>Liver</v>
      </c>
      <c r="I6618">
        <f>_xlfn.XLOOKUP(A6618,'[1]Tissue Data'!$A:$A,'[1]Tissue Data'!L:L)</f>
        <v>11.5</v>
      </c>
      <c r="J6618">
        <f>_xlfn.XLOOKUP(A6618,'[1]Tissue Data'!$A:$A,'[1]Tissue Data'!M:M)</f>
        <v>34.450000000000003</v>
      </c>
      <c r="K6618" t="s">
        <v>28</v>
      </c>
      <c r="L6618" t="str">
        <f>_xlfn.XLOOKUP(K6618,[2]analyte_order!$B:$B,[2]analyte_order!$C:$C)</f>
        <v>375-92-8</v>
      </c>
      <c r="M6618">
        <f>_xlfn.XLOOKUP(L6618,[2]analyte_order!$C:$C,[2]analyte_order!$E:$E)</f>
        <v>17</v>
      </c>
      <c r="N6618">
        <v>3.49</v>
      </c>
    </row>
    <row r="6619" spans="1:14">
      <c r="A6619" t="s">
        <v>293</v>
      </c>
      <c r="B6619" t="str">
        <f>_xlfn.XLOOKUP(A6619,'[1]Tissue Data'!$A:$A,'[1]Tissue Data'!$C:$C)</f>
        <v>Down</v>
      </c>
      <c r="C6619" s="2">
        <f>_xlfn.XLOOKUP(A6619,'[1]Tissue Data'!$A:$A,'[1]Tissue Data'!$D:$D)</f>
        <v>44393</v>
      </c>
      <c r="D6619" s="2" t="str">
        <f>_xlfn.XLOOKUP(A6619,'[1]Tissue Data'!$A:$A,'[1]Tissue Data'!$F:$F)</f>
        <v>Pumpkinseed</v>
      </c>
      <c r="E6619" t="str">
        <f>_xlfn.XLOOKUP(A6619,'[1]Tissue Data'!$A:$A,'[1]Tissue Data'!$H:$H)</f>
        <v>Lepomis</v>
      </c>
      <c r="F6619" t="str">
        <f>_xlfn.XLOOKUP(A6619,'[1]Tissue Data'!$A:$A,'[1]Tissue Data'!$I:$I)</f>
        <v>gibbosus</v>
      </c>
      <c r="G6619" t="str">
        <f>_xlfn.XLOOKUP(A6619,'[1]Tissue Data'!$A:$A,'[1]Tissue Data'!J:J)</f>
        <v>M</v>
      </c>
      <c r="H6619" t="str">
        <f>_xlfn.XLOOKUP(A6619,'[1]Tissue Data'!$A:$A,'[1]Tissue Data'!K:K)</f>
        <v>Liver</v>
      </c>
      <c r="I6619">
        <f>_xlfn.XLOOKUP(A6619,'[1]Tissue Data'!$A:$A,'[1]Tissue Data'!L:L)</f>
        <v>11.5</v>
      </c>
      <c r="J6619">
        <f>_xlfn.XLOOKUP(A6619,'[1]Tissue Data'!$A:$A,'[1]Tissue Data'!M:M)</f>
        <v>34.450000000000003</v>
      </c>
      <c r="K6619" t="s">
        <v>29</v>
      </c>
      <c r="L6619" t="str">
        <f>_xlfn.XLOOKUP(K6619,[2]analyte_order!$B:$B,[2]analyte_order!$C:$C)</f>
        <v>1763-23-1</v>
      </c>
      <c r="M6619">
        <f>_xlfn.XLOOKUP(L6619,[2]analyte_order!$C:$C,[2]analyte_order!$E:$E)</f>
        <v>18</v>
      </c>
      <c r="N6619">
        <v>1140</v>
      </c>
    </row>
    <row r="6620" spans="1:14">
      <c r="A6620" t="s">
        <v>293</v>
      </c>
      <c r="B6620" t="str">
        <f>_xlfn.XLOOKUP(A6620,'[1]Tissue Data'!$A:$A,'[1]Tissue Data'!$C:$C)</f>
        <v>Down</v>
      </c>
      <c r="C6620" s="2">
        <f>_xlfn.XLOOKUP(A6620,'[1]Tissue Data'!$A:$A,'[1]Tissue Data'!$D:$D)</f>
        <v>44393</v>
      </c>
      <c r="D6620" s="2" t="str">
        <f>_xlfn.XLOOKUP(A6620,'[1]Tissue Data'!$A:$A,'[1]Tissue Data'!$F:$F)</f>
        <v>Pumpkinseed</v>
      </c>
      <c r="E6620" t="str">
        <f>_xlfn.XLOOKUP(A6620,'[1]Tissue Data'!$A:$A,'[1]Tissue Data'!$H:$H)</f>
        <v>Lepomis</v>
      </c>
      <c r="F6620" t="str">
        <f>_xlfn.XLOOKUP(A6620,'[1]Tissue Data'!$A:$A,'[1]Tissue Data'!$I:$I)</f>
        <v>gibbosus</v>
      </c>
      <c r="G6620" t="str">
        <f>_xlfn.XLOOKUP(A6620,'[1]Tissue Data'!$A:$A,'[1]Tissue Data'!J:J)</f>
        <v>M</v>
      </c>
      <c r="H6620" t="str">
        <f>_xlfn.XLOOKUP(A6620,'[1]Tissue Data'!$A:$A,'[1]Tissue Data'!K:K)</f>
        <v>Liver</v>
      </c>
      <c r="I6620">
        <f>_xlfn.XLOOKUP(A6620,'[1]Tissue Data'!$A:$A,'[1]Tissue Data'!L:L)</f>
        <v>11.5</v>
      </c>
      <c r="J6620">
        <f>_xlfn.XLOOKUP(A6620,'[1]Tissue Data'!$A:$A,'[1]Tissue Data'!M:M)</f>
        <v>34.450000000000003</v>
      </c>
      <c r="K6620" t="s">
        <v>30</v>
      </c>
      <c r="L6620" t="str">
        <f>_xlfn.XLOOKUP(K6620,[2]analyte_order!$B:$B,[2]analyte_order!$C:$C)</f>
        <v>68259-12-1</v>
      </c>
      <c r="M6620">
        <f>_xlfn.XLOOKUP(L6620,[2]analyte_order!$C:$C,[2]analyte_order!$E:$E)</f>
        <v>19</v>
      </c>
      <c r="N6620">
        <v>1.34</v>
      </c>
    </row>
    <row r="6621" spans="1:14">
      <c r="A6621" t="s">
        <v>293</v>
      </c>
      <c r="B6621" t="str">
        <f>_xlfn.XLOOKUP(A6621,'[1]Tissue Data'!$A:$A,'[1]Tissue Data'!$C:$C)</f>
        <v>Down</v>
      </c>
      <c r="C6621" s="2">
        <f>_xlfn.XLOOKUP(A6621,'[1]Tissue Data'!$A:$A,'[1]Tissue Data'!$D:$D)</f>
        <v>44393</v>
      </c>
      <c r="D6621" s="2" t="str">
        <f>_xlfn.XLOOKUP(A6621,'[1]Tissue Data'!$A:$A,'[1]Tissue Data'!$F:$F)</f>
        <v>Pumpkinseed</v>
      </c>
      <c r="E6621" t="str">
        <f>_xlfn.XLOOKUP(A6621,'[1]Tissue Data'!$A:$A,'[1]Tissue Data'!$H:$H)</f>
        <v>Lepomis</v>
      </c>
      <c r="F6621" t="str">
        <f>_xlfn.XLOOKUP(A6621,'[1]Tissue Data'!$A:$A,'[1]Tissue Data'!$I:$I)</f>
        <v>gibbosus</v>
      </c>
      <c r="G6621" t="str">
        <f>_xlfn.XLOOKUP(A6621,'[1]Tissue Data'!$A:$A,'[1]Tissue Data'!J:J)</f>
        <v>M</v>
      </c>
      <c r="H6621" t="str">
        <f>_xlfn.XLOOKUP(A6621,'[1]Tissue Data'!$A:$A,'[1]Tissue Data'!K:K)</f>
        <v>Liver</v>
      </c>
      <c r="I6621">
        <f>_xlfn.XLOOKUP(A6621,'[1]Tissue Data'!$A:$A,'[1]Tissue Data'!L:L)</f>
        <v>11.5</v>
      </c>
      <c r="J6621">
        <f>_xlfn.XLOOKUP(A6621,'[1]Tissue Data'!$A:$A,'[1]Tissue Data'!M:M)</f>
        <v>34.450000000000003</v>
      </c>
      <c r="K6621" t="s">
        <v>31</v>
      </c>
      <c r="L6621" t="str">
        <f>_xlfn.XLOOKUP(K6621,[2]analyte_order!$B:$B,[2]analyte_order!$C:$C)</f>
        <v>335-77-3</v>
      </c>
      <c r="M6621">
        <f>_xlfn.XLOOKUP(L6621,[2]analyte_order!$C:$C,[2]analyte_order!$E:$E)</f>
        <v>20</v>
      </c>
      <c r="N6621">
        <v>1.34</v>
      </c>
    </row>
    <row r="6622" spans="1:14">
      <c r="A6622" t="s">
        <v>293</v>
      </c>
      <c r="B6622" t="str">
        <f>_xlfn.XLOOKUP(A6622,'[1]Tissue Data'!$A:$A,'[1]Tissue Data'!$C:$C)</f>
        <v>Down</v>
      </c>
      <c r="C6622" s="2">
        <f>_xlfn.XLOOKUP(A6622,'[1]Tissue Data'!$A:$A,'[1]Tissue Data'!$D:$D)</f>
        <v>44393</v>
      </c>
      <c r="D6622" s="2" t="str">
        <f>_xlfn.XLOOKUP(A6622,'[1]Tissue Data'!$A:$A,'[1]Tissue Data'!$F:$F)</f>
        <v>Pumpkinseed</v>
      </c>
      <c r="E6622" t="str">
        <f>_xlfn.XLOOKUP(A6622,'[1]Tissue Data'!$A:$A,'[1]Tissue Data'!$H:$H)</f>
        <v>Lepomis</v>
      </c>
      <c r="F6622" t="str">
        <f>_xlfn.XLOOKUP(A6622,'[1]Tissue Data'!$A:$A,'[1]Tissue Data'!$I:$I)</f>
        <v>gibbosus</v>
      </c>
      <c r="G6622" t="str">
        <f>_xlfn.XLOOKUP(A6622,'[1]Tissue Data'!$A:$A,'[1]Tissue Data'!J:J)</f>
        <v>M</v>
      </c>
      <c r="H6622" t="str">
        <f>_xlfn.XLOOKUP(A6622,'[1]Tissue Data'!$A:$A,'[1]Tissue Data'!K:K)</f>
        <v>Liver</v>
      </c>
      <c r="I6622">
        <f>_xlfn.XLOOKUP(A6622,'[1]Tissue Data'!$A:$A,'[1]Tissue Data'!L:L)</f>
        <v>11.5</v>
      </c>
      <c r="J6622">
        <f>_xlfn.XLOOKUP(A6622,'[1]Tissue Data'!$A:$A,'[1]Tissue Data'!M:M)</f>
        <v>34.450000000000003</v>
      </c>
      <c r="K6622" t="s">
        <v>32</v>
      </c>
      <c r="L6622" t="str">
        <f>_xlfn.XLOOKUP(K6622,[2]analyte_order!$B:$B,[2]analyte_order!$C:$C)</f>
        <v>79780-39-5</v>
      </c>
      <c r="M6622">
        <f>_xlfn.XLOOKUP(L6622,[2]analyte_order!$C:$C,[2]analyte_order!$E:$E)</f>
        <v>21</v>
      </c>
      <c r="N6622">
        <v>1.43</v>
      </c>
    </row>
    <row r="6623" spans="1:14">
      <c r="A6623" t="s">
        <v>293</v>
      </c>
      <c r="B6623" t="str">
        <f>_xlfn.XLOOKUP(A6623,'[1]Tissue Data'!$A:$A,'[1]Tissue Data'!$C:$C)</f>
        <v>Down</v>
      </c>
      <c r="C6623" s="2">
        <f>_xlfn.XLOOKUP(A6623,'[1]Tissue Data'!$A:$A,'[1]Tissue Data'!$D:$D)</f>
        <v>44393</v>
      </c>
      <c r="D6623" s="2" t="str">
        <f>_xlfn.XLOOKUP(A6623,'[1]Tissue Data'!$A:$A,'[1]Tissue Data'!$F:$F)</f>
        <v>Pumpkinseed</v>
      </c>
      <c r="E6623" t="str">
        <f>_xlfn.XLOOKUP(A6623,'[1]Tissue Data'!$A:$A,'[1]Tissue Data'!$H:$H)</f>
        <v>Lepomis</v>
      </c>
      <c r="F6623" t="str">
        <f>_xlfn.XLOOKUP(A6623,'[1]Tissue Data'!$A:$A,'[1]Tissue Data'!$I:$I)</f>
        <v>gibbosus</v>
      </c>
      <c r="G6623" t="str">
        <f>_xlfn.XLOOKUP(A6623,'[1]Tissue Data'!$A:$A,'[1]Tissue Data'!J:J)</f>
        <v>M</v>
      </c>
      <c r="H6623" t="str">
        <f>_xlfn.XLOOKUP(A6623,'[1]Tissue Data'!$A:$A,'[1]Tissue Data'!K:K)</f>
        <v>Liver</v>
      </c>
      <c r="I6623">
        <f>_xlfn.XLOOKUP(A6623,'[1]Tissue Data'!$A:$A,'[1]Tissue Data'!L:L)</f>
        <v>11.5</v>
      </c>
      <c r="J6623">
        <f>_xlfn.XLOOKUP(A6623,'[1]Tissue Data'!$A:$A,'[1]Tissue Data'!M:M)</f>
        <v>34.450000000000003</v>
      </c>
      <c r="K6623" t="s">
        <v>33</v>
      </c>
      <c r="L6623" t="str">
        <f>_xlfn.XLOOKUP(K6623,[2]analyte_order!$B:$B,[2]analyte_order!$C:$C)</f>
        <v>777011-38-8</v>
      </c>
      <c r="M6623">
        <f>_xlfn.XLOOKUP(L6623,[2]analyte_order!$C:$C,[2]analyte_order!$E:$E)</f>
        <v>54</v>
      </c>
      <c r="N6623">
        <v>0.81499999999999995</v>
      </c>
    </row>
    <row r="6624" spans="1:14">
      <c r="A6624" t="s">
        <v>293</v>
      </c>
      <c r="B6624" t="str">
        <f>_xlfn.XLOOKUP(A6624,'[1]Tissue Data'!$A:$A,'[1]Tissue Data'!$C:$C)</f>
        <v>Down</v>
      </c>
      <c r="C6624" s="2">
        <f>_xlfn.XLOOKUP(A6624,'[1]Tissue Data'!$A:$A,'[1]Tissue Data'!$D:$D)</f>
        <v>44393</v>
      </c>
      <c r="D6624" s="2" t="str">
        <f>_xlfn.XLOOKUP(A6624,'[1]Tissue Data'!$A:$A,'[1]Tissue Data'!$F:$F)</f>
        <v>Pumpkinseed</v>
      </c>
      <c r="E6624" t="str">
        <f>_xlfn.XLOOKUP(A6624,'[1]Tissue Data'!$A:$A,'[1]Tissue Data'!$H:$H)</f>
        <v>Lepomis</v>
      </c>
      <c r="F6624" t="str">
        <f>_xlfn.XLOOKUP(A6624,'[1]Tissue Data'!$A:$A,'[1]Tissue Data'!$I:$I)</f>
        <v>gibbosus</v>
      </c>
      <c r="G6624" t="str">
        <f>_xlfn.XLOOKUP(A6624,'[1]Tissue Data'!$A:$A,'[1]Tissue Data'!J:J)</f>
        <v>M</v>
      </c>
      <c r="H6624" t="str">
        <f>_xlfn.XLOOKUP(A6624,'[1]Tissue Data'!$A:$A,'[1]Tissue Data'!K:K)</f>
        <v>Liver</v>
      </c>
      <c r="I6624">
        <f>_xlfn.XLOOKUP(A6624,'[1]Tissue Data'!$A:$A,'[1]Tissue Data'!L:L)</f>
        <v>11.5</v>
      </c>
      <c r="J6624">
        <f>_xlfn.XLOOKUP(A6624,'[1]Tissue Data'!$A:$A,'[1]Tissue Data'!M:M)</f>
        <v>34.450000000000003</v>
      </c>
      <c r="K6624" t="s">
        <v>34</v>
      </c>
      <c r="L6624" t="str">
        <f>_xlfn.XLOOKUP(K6624,[2]analyte_order!$B:$B,[2]analyte_order!$C:$C)</f>
        <v>646-83-3</v>
      </c>
      <c r="M6624">
        <f>_xlfn.XLOOKUP(L6624,[2]analyte_order!$C:$C,[2]analyte_order!$E:$E)</f>
        <v>55</v>
      </c>
      <c r="N6624">
        <v>0.53500000000000003</v>
      </c>
    </row>
    <row r="6625" spans="1:14">
      <c r="A6625" t="s">
        <v>293</v>
      </c>
      <c r="B6625" t="str">
        <f>_xlfn.XLOOKUP(A6625,'[1]Tissue Data'!$A:$A,'[1]Tissue Data'!$C:$C)</f>
        <v>Down</v>
      </c>
      <c r="C6625" s="2">
        <f>_xlfn.XLOOKUP(A6625,'[1]Tissue Data'!$A:$A,'[1]Tissue Data'!$D:$D)</f>
        <v>44393</v>
      </c>
      <c r="D6625" s="2" t="str">
        <f>_xlfn.XLOOKUP(A6625,'[1]Tissue Data'!$A:$A,'[1]Tissue Data'!$F:$F)</f>
        <v>Pumpkinseed</v>
      </c>
      <c r="E6625" t="str">
        <f>_xlfn.XLOOKUP(A6625,'[1]Tissue Data'!$A:$A,'[1]Tissue Data'!$H:$H)</f>
        <v>Lepomis</v>
      </c>
      <c r="F6625" t="str">
        <f>_xlfn.XLOOKUP(A6625,'[1]Tissue Data'!$A:$A,'[1]Tissue Data'!$I:$I)</f>
        <v>gibbosus</v>
      </c>
      <c r="G6625" t="str">
        <f>_xlfn.XLOOKUP(A6625,'[1]Tissue Data'!$A:$A,'[1]Tissue Data'!J:J)</f>
        <v>M</v>
      </c>
      <c r="H6625" t="str">
        <f>_xlfn.XLOOKUP(A6625,'[1]Tissue Data'!$A:$A,'[1]Tissue Data'!K:K)</f>
        <v>Liver</v>
      </c>
      <c r="I6625">
        <f>_xlfn.XLOOKUP(A6625,'[1]Tissue Data'!$A:$A,'[1]Tissue Data'!L:L)</f>
        <v>11.5</v>
      </c>
      <c r="J6625">
        <f>_xlfn.XLOOKUP(A6625,'[1]Tissue Data'!$A:$A,'[1]Tissue Data'!M:M)</f>
        <v>34.450000000000003</v>
      </c>
      <c r="K6625" t="s">
        <v>35</v>
      </c>
      <c r="L6625" t="str">
        <f>_xlfn.XLOOKUP(K6625,[2]analyte_order!$B:$B,[2]analyte_order!$C:$C)</f>
        <v>30334-69-1</v>
      </c>
      <c r="M6625">
        <f>_xlfn.XLOOKUP(L6625,[2]analyte_order!$C:$C,[2]analyte_order!$E:$E)</f>
        <v>51</v>
      </c>
      <c r="N6625">
        <v>15.7</v>
      </c>
    </row>
    <row r="6626" spans="1:14">
      <c r="A6626" t="s">
        <v>293</v>
      </c>
      <c r="B6626" t="str">
        <f>_xlfn.XLOOKUP(A6626,'[1]Tissue Data'!$A:$A,'[1]Tissue Data'!$C:$C)</f>
        <v>Down</v>
      </c>
      <c r="C6626" s="2">
        <f>_xlfn.XLOOKUP(A6626,'[1]Tissue Data'!$A:$A,'[1]Tissue Data'!$D:$D)</f>
        <v>44393</v>
      </c>
      <c r="D6626" s="2" t="str">
        <f>_xlfn.XLOOKUP(A6626,'[1]Tissue Data'!$A:$A,'[1]Tissue Data'!$F:$F)</f>
        <v>Pumpkinseed</v>
      </c>
      <c r="E6626" t="str">
        <f>_xlfn.XLOOKUP(A6626,'[1]Tissue Data'!$A:$A,'[1]Tissue Data'!$H:$H)</f>
        <v>Lepomis</v>
      </c>
      <c r="F6626" t="str">
        <f>_xlfn.XLOOKUP(A6626,'[1]Tissue Data'!$A:$A,'[1]Tissue Data'!$I:$I)</f>
        <v>gibbosus</v>
      </c>
      <c r="G6626" t="str">
        <f>_xlfn.XLOOKUP(A6626,'[1]Tissue Data'!$A:$A,'[1]Tissue Data'!J:J)</f>
        <v>M</v>
      </c>
      <c r="H6626" t="str">
        <f>_xlfn.XLOOKUP(A6626,'[1]Tissue Data'!$A:$A,'[1]Tissue Data'!K:K)</f>
        <v>Liver</v>
      </c>
      <c r="I6626">
        <f>_xlfn.XLOOKUP(A6626,'[1]Tissue Data'!$A:$A,'[1]Tissue Data'!L:L)</f>
        <v>11.5</v>
      </c>
      <c r="J6626">
        <f>_xlfn.XLOOKUP(A6626,'[1]Tissue Data'!$A:$A,'[1]Tissue Data'!M:M)</f>
        <v>34.450000000000003</v>
      </c>
      <c r="K6626" t="s">
        <v>36</v>
      </c>
      <c r="L6626" t="str">
        <f>_xlfn.XLOOKUP(K6626,[2]analyte_order!$B:$B,[2]analyte_order!$C:$C)</f>
        <v>41997-13-1</v>
      </c>
      <c r="M6626">
        <f>_xlfn.XLOOKUP(L6626,[2]analyte_order!$C:$C,[2]analyte_order!$E:$E)</f>
        <v>52</v>
      </c>
      <c r="N6626">
        <v>50.3</v>
      </c>
    </row>
    <row r="6627" spans="1:14">
      <c r="A6627" t="s">
        <v>293</v>
      </c>
      <c r="B6627" t="str">
        <f>_xlfn.XLOOKUP(A6627,'[1]Tissue Data'!$A:$A,'[1]Tissue Data'!$C:$C)</f>
        <v>Down</v>
      </c>
      <c r="C6627" s="2">
        <f>_xlfn.XLOOKUP(A6627,'[1]Tissue Data'!$A:$A,'[1]Tissue Data'!$D:$D)</f>
        <v>44393</v>
      </c>
      <c r="D6627" s="2" t="str">
        <f>_xlfn.XLOOKUP(A6627,'[1]Tissue Data'!$A:$A,'[1]Tissue Data'!$F:$F)</f>
        <v>Pumpkinseed</v>
      </c>
      <c r="E6627" t="str">
        <f>_xlfn.XLOOKUP(A6627,'[1]Tissue Data'!$A:$A,'[1]Tissue Data'!$H:$H)</f>
        <v>Lepomis</v>
      </c>
      <c r="F6627" t="str">
        <f>_xlfn.XLOOKUP(A6627,'[1]Tissue Data'!$A:$A,'[1]Tissue Data'!$I:$I)</f>
        <v>gibbosus</v>
      </c>
      <c r="G6627" t="str">
        <f>_xlfn.XLOOKUP(A6627,'[1]Tissue Data'!$A:$A,'[1]Tissue Data'!J:J)</f>
        <v>M</v>
      </c>
      <c r="H6627" t="str">
        <f>_xlfn.XLOOKUP(A6627,'[1]Tissue Data'!$A:$A,'[1]Tissue Data'!K:K)</f>
        <v>Liver</v>
      </c>
      <c r="I6627">
        <f>_xlfn.XLOOKUP(A6627,'[1]Tissue Data'!$A:$A,'[1]Tissue Data'!L:L)</f>
        <v>11.5</v>
      </c>
      <c r="J6627">
        <f>_xlfn.XLOOKUP(A6627,'[1]Tissue Data'!$A:$A,'[1]Tissue Data'!M:M)</f>
        <v>34.450000000000003</v>
      </c>
      <c r="K6627" t="s">
        <v>37</v>
      </c>
      <c r="L6627" t="str">
        <f>_xlfn.XLOOKUP(K6627,[2]analyte_order!$B:$B,[2]analyte_order!$C:$C)</f>
        <v>754-91-6</v>
      </c>
      <c r="M6627">
        <f>_xlfn.XLOOKUP(L6627,[2]analyte_order!$C:$C,[2]analyte_order!$E:$E)</f>
        <v>28</v>
      </c>
      <c r="N6627">
        <v>12.7</v>
      </c>
    </row>
    <row r="6628" spans="1:14">
      <c r="A6628" t="s">
        <v>293</v>
      </c>
      <c r="B6628" t="str">
        <f>_xlfn.XLOOKUP(A6628,'[1]Tissue Data'!$A:$A,'[1]Tissue Data'!$C:$C)</f>
        <v>Down</v>
      </c>
      <c r="C6628" s="2">
        <f>_xlfn.XLOOKUP(A6628,'[1]Tissue Data'!$A:$A,'[1]Tissue Data'!$D:$D)</f>
        <v>44393</v>
      </c>
      <c r="D6628" s="2" t="str">
        <f>_xlfn.XLOOKUP(A6628,'[1]Tissue Data'!$A:$A,'[1]Tissue Data'!$F:$F)</f>
        <v>Pumpkinseed</v>
      </c>
      <c r="E6628" t="str">
        <f>_xlfn.XLOOKUP(A6628,'[1]Tissue Data'!$A:$A,'[1]Tissue Data'!$H:$H)</f>
        <v>Lepomis</v>
      </c>
      <c r="F6628" t="str">
        <f>_xlfn.XLOOKUP(A6628,'[1]Tissue Data'!$A:$A,'[1]Tissue Data'!$I:$I)</f>
        <v>gibbosus</v>
      </c>
      <c r="G6628" t="str">
        <f>_xlfn.XLOOKUP(A6628,'[1]Tissue Data'!$A:$A,'[1]Tissue Data'!J:J)</f>
        <v>M</v>
      </c>
      <c r="H6628" t="str">
        <f>_xlfn.XLOOKUP(A6628,'[1]Tissue Data'!$A:$A,'[1]Tissue Data'!K:K)</f>
        <v>Liver</v>
      </c>
      <c r="I6628">
        <f>_xlfn.XLOOKUP(A6628,'[1]Tissue Data'!$A:$A,'[1]Tissue Data'!L:L)</f>
        <v>11.5</v>
      </c>
      <c r="J6628">
        <f>_xlfn.XLOOKUP(A6628,'[1]Tissue Data'!$A:$A,'[1]Tissue Data'!M:M)</f>
        <v>34.450000000000003</v>
      </c>
      <c r="K6628" t="s">
        <v>38</v>
      </c>
      <c r="L6628" t="str">
        <f>_xlfn.XLOOKUP(K6628,[2]analyte_order!$B:$B,[2]analyte_order!$C:$C)</f>
        <v>31506-32-8</v>
      </c>
      <c r="M6628">
        <f>_xlfn.XLOOKUP(L6628,[2]analyte_order!$C:$C,[2]analyte_order!$E:$E)</f>
        <v>30</v>
      </c>
      <c r="N6628">
        <v>0.51500000000000001</v>
      </c>
    </row>
    <row r="6629" spans="1:14">
      <c r="A6629" t="s">
        <v>293</v>
      </c>
      <c r="B6629" t="str">
        <f>_xlfn.XLOOKUP(A6629,'[1]Tissue Data'!$A:$A,'[1]Tissue Data'!$C:$C)</f>
        <v>Down</v>
      </c>
      <c r="C6629" s="2">
        <f>_xlfn.XLOOKUP(A6629,'[1]Tissue Data'!$A:$A,'[1]Tissue Data'!$D:$D)</f>
        <v>44393</v>
      </c>
      <c r="D6629" s="2" t="str">
        <f>_xlfn.XLOOKUP(A6629,'[1]Tissue Data'!$A:$A,'[1]Tissue Data'!$F:$F)</f>
        <v>Pumpkinseed</v>
      </c>
      <c r="E6629" t="str">
        <f>_xlfn.XLOOKUP(A6629,'[1]Tissue Data'!$A:$A,'[1]Tissue Data'!$H:$H)</f>
        <v>Lepomis</v>
      </c>
      <c r="F6629" t="str">
        <f>_xlfn.XLOOKUP(A6629,'[1]Tissue Data'!$A:$A,'[1]Tissue Data'!$I:$I)</f>
        <v>gibbosus</v>
      </c>
      <c r="G6629" t="str">
        <f>_xlfn.XLOOKUP(A6629,'[1]Tissue Data'!$A:$A,'[1]Tissue Data'!J:J)</f>
        <v>M</v>
      </c>
      <c r="H6629" t="str">
        <f>_xlfn.XLOOKUP(A6629,'[1]Tissue Data'!$A:$A,'[1]Tissue Data'!K:K)</f>
        <v>Liver</v>
      </c>
      <c r="I6629">
        <f>_xlfn.XLOOKUP(A6629,'[1]Tissue Data'!$A:$A,'[1]Tissue Data'!L:L)</f>
        <v>11.5</v>
      </c>
      <c r="J6629">
        <f>_xlfn.XLOOKUP(A6629,'[1]Tissue Data'!$A:$A,'[1]Tissue Data'!M:M)</f>
        <v>34.450000000000003</v>
      </c>
      <c r="K6629" t="s">
        <v>39</v>
      </c>
      <c r="L6629" t="str">
        <f>_xlfn.XLOOKUP(K6629,[2]analyte_order!$B:$B,[2]analyte_order!$C:$C)</f>
        <v>4151-50-2</v>
      </c>
      <c r="M6629">
        <f>_xlfn.XLOOKUP(L6629,[2]analyte_order!$C:$C,[2]analyte_order!$E:$E)</f>
        <v>31</v>
      </c>
      <c r="N6629">
        <v>1.34</v>
      </c>
    </row>
    <row r="6630" spans="1:14">
      <c r="A6630" t="s">
        <v>293</v>
      </c>
      <c r="B6630" t="str">
        <f>_xlfn.XLOOKUP(A6630,'[1]Tissue Data'!$A:$A,'[1]Tissue Data'!$C:$C)</f>
        <v>Down</v>
      </c>
      <c r="C6630" s="2">
        <f>_xlfn.XLOOKUP(A6630,'[1]Tissue Data'!$A:$A,'[1]Tissue Data'!$D:$D)</f>
        <v>44393</v>
      </c>
      <c r="D6630" s="2" t="str">
        <f>_xlfn.XLOOKUP(A6630,'[1]Tissue Data'!$A:$A,'[1]Tissue Data'!$F:$F)</f>
        <v>Pumpkinseed</v>
      </c>
      <c r="E6630" t="str">
        <f>_xlfn.XLOOKUP(A6630,'[1]Tissue Data'!$A:$A,'[1]Tissue Data'!$H:$H)</f>
        <v>Lepomis</v>
      </c>
      <c r="F6630" t="str">
        <f>_xlfn.XLOOKUP(A6630,'[1]Tissue Data'!$A:$A,'[1]Tissue Data'!$I:$I)</f>
        <v>gibbosus</v>
      </c>
      <c r="G6630" t="str">
        <f>_xlfn.XLOOKUP(A6630,'[1]Tissue Data'!$A:$A,'[1]Tissue Data'!J:J)</f>
        <v>M</v>
      </c>
      <c r="H6630" t="str">
        <f>_xlfn.XLOOKUP(A6630,'[1]Tissue Data'!$A:$A,'[1]Tissue Data'!K:K)</f>
        <v>Liver</v>
      </c>
      <c r="I6630">
        <f>_xlfn.XLOOKUP(A6630,'[1]Tissue Data'!$A:$A,'[1]Tissue Data'!L:L)</f>
        <v>11.5</v>
      </c>
      <c r="J6630">
        <f>_xlfn.XLOOKUP(A6630,'[1]Tissue Data'!$A:$A,'[1]Tissue Data'!M:M)</f>
        <v>34.450000000000003</v>
      </c>
      <c r="K6630" t="s">
        <v>40</v>
      </c>
      <c r="L6630" t="str">
        <f>_xlfn.XLOOKUP(K6630,[2]analyte_order!$B:$B,[2]analyte_order!$C:$C)</f>
        <v>2806-24-8</v>
      </c>
      <c r="M6630">
        <f>_xlfn.XLOOKUP(L6630,[2]analyte_order!$C:$C,[2]analyte_order!$E:$E)</f>
        <v>29</v>
      </c>
      <c r="N6630">
        <v>1.34</v>
      </c>
    </row>
    <row r="6631" spans="1:14">
      <c r="A6631" t="s">
        <v>293</v>
      </c>
      <c r="B6631" t="str">
        <f>_xlfn.XLOOKUP(A6631,'[1]Tissue Data'!$A:$A,'[1]Tissue Data'!$C:$C)</f>
        <v>Down</v>
      </c>
      <c r="C6631" s="2">
        <f>_xlfn.XLOOKUP(A6631,'[1]Tissue Data'!$A:$A,'[1]Tissue Data'!$D:$D)</f>
        <v>44393</v>
      </c>
      <c r="D6631" s="2" t="str">
        <f>_xlfn.XLOOKUP(A6631,'[1]Tissue Data'!$A:$A,'[1]Tissue Data'!$F:$F)</f>
        <v>Pumpkinseed</v>
      </c>
      <c r="E6631" t="str">
        <f>_xlfn.XLOOKUP(A6631,'[1]Tissue Data'!$A:$A,'[1]Tissue Data'!$H:$H)</f>
        <v>Lepomis</v>
      </c>
      <c r="F6631" t="str">
        <f>_xlfn.XLOOKUP(A6631,'[1]Tissue Data'!$A:$A,'[1]Tissue Data'!$I:$I)</f>
        <v>gibbosus</v>
      </c>
      <c r="G6631" t="str">
        <f>_xlfn.XLOOKUP(A6631,'[1]Tissue Data'!$A:$A,'[1]Tissue Data'!J:J)</f>
        <v>M</v>
      </c>
      <c r="H6631" t="str">
        <f>_xlfn.XLOOKUP(A6631,'[1]Tissue Data'!$A:$A,'[1]Tissue Data'!K:K)</f>
        <v>Liver</v>
      </c>
      <c r="I6631">
        <f>_xlfn.XLOOKUP(A6631,'[1]Tissue Data'!$A:$A,'[1]Tissue Data'!L:L)</f>
        <v>11.5</v>
      </c>
      <c r="J6631">
        <f>_xlfn.XLOOKUP(A6631,'[1]Tissue Data'!$A:$A,'[1]Tissue Data'!M:M)</f>
        <v>34.450000000000003</v>
      </c>
      <c r="K6631" t="s">
        <v>41</v>
      </c>
      <c r="L6631" t="str">
        <f>_xlfn.XLOOKUP(K6631,[2]analyte_order!$B:$B,[2]analyte_order!$C:$C)</f>
        <v>2355-31-9</v>
      </c>
      <c r="M6631">
        <f>_xlfn.XLOOKUP(L6631,[2]analyte_order!$C:$C,[2]analyte_order!$E:$E)</f>
        <v>26</v>
      </c>
      <c r="N6631">
        <v>0.67500000000000004</v>
      </c>
    </row>
    <row r="6632" spans="1:14">
      <c r="A6632" t="s">
        <v>293</v>
      </c>
      <c r="B6632" t="str">
        <f>_xlfn.XLOOKUP(A6632,'[1]Tissue Data'!$A:$A,'[1]Tissue Data'!$C:$C)</f>
        <v>Down</v>
      </c>
      <c r="C6632" s="2">
        <f>_xlfn.XLOOKUP(A6632,'[1]Tissue Data'!$A:$A,'[1]Tissue Data'!$D:$D)</f>
        <v>44393</v>
      </c>
      <c r="D6632" s="2" t="str">
        <f>_xlfn.XLOOKUP(A6632,'[1]Tissue Data'!$A:$A,'[1]Tissue Data'!$F:$F)</f>
        <v>Pumpkinseed</v>
      </c>
      <c r="E6632" t="str">
        <f>_xlfn.XLOOKUP(A6632,'[1]Tissue Data'!$A:$A,'[1]Tissue Data'!$H:$H)</f>
        <v>Lepomis</v>
      </c>
      <c r="F6632" t="str">
        <f>_xlfn.XLOOKUP(A6632,'[1]Tissue Data'!$A:$A,'[1]Tissue Data'!$I:$I)</f>
        <v>gibbosus</v>
      </c>
      <c r="G6632" t="str">
        <f>_xlfn.XLOOKUP(A6632,'[1]Tissue Data'!$A:$A,'[1]Tissue Data'!J:J)</f>
        <v>M</v>
      </c>
      <c r="H6632" t="str">
        <f>_xlfn.XLOOKUP(A6632,'[1]Tissue Data'!$A:$A,'[1]Tissue Data'!K:K)</f>
        <v>Liver</v>
      </c>
      <c r="I6632">
        <f>_xlfn.XLOOKUP(A6632,'[1]Tissue Data'!$A:$A,'[1]Tissue Data'!L:L)</f>
        <v>11.5</v>
      </c>
      <c r="J6632">
        <f>_xlfn.XLOOKUP(A6632,'[1]Tissue Data'!$A:$A,'[1]Tissue Data'!M:M)</f>
        <v>34.450000000000003</v>
      </c>
      <c r="K6632" t="s">
        <v>42</v>
      </c>
      <c r="L6632" t="str">
        <f>_xlfn.XLOOKUP(K6632,[2]analyte_order!$B:$B,[2]analyte_order!$C:$C)</f>
        <v>2991-50-6</v>
      </c>
      <c r="M6632">
        <f>_xlfn.XLOOKUP(L6632,[2]analyte_order!$C:$C,[2]analyte_order!$E:$E)</f>
        <v>27</v>
      </c>
      <c r="N6632">
        <v>0.67</v>
      </c>
    </row>
    <row r="6633" spans="1:14">
      <c r="A6633" t="s">
        <v>293</v>
      </c>
      <c r="B6633" t="str">
        <f>_xlfn.XLOOKUP(A6633,'[1]Tissue Data'!$A:$A,'[1]Tissue Data'!$C:$C)</f>
        <v>Down</v>
      </c>
      <c r="C6633" s="2">
        <f>_xlfn.XLOOKUP(A6633,'[1]Tissue Data'!$A:$A,'[1]Tissue Data'!$D:$D)</f>
        <v>44393</v>
      </c>
      <c r="D6633" s="2" t="str">
        <f>_xlfn.XLOOKUP(A6633,'[1]Tissue Data'!$A:$A,'[1]Tissue Data'!$F:$F)</f>
        <v>Pumpkinseed</v>
      </c>
      <c r="E6633" t="str">
        <f>_xlfn.XLOOKUP(A6633,'[1]Tissue Data'!$A:$A,'[1]Tissue Data'!$H:$H)</f>
        <v>Lepomis</v>
      </c>
      <c r="F6633" t="str">
        <f>_xlfn.XLOOKUP(A6633,'[1]Tissue Data'!$A:$A,'[1]Tissue Data'!$I:$I)</f>
        <v>gibbosus</v>
      </c>
      <c r="G6633" t="str">
        <f>_xlfn.XLOOKUP(A6633,'[1]Tissue Data'!$A:$A,'[1]Tissue Data'!J:J)</f>
        <v>M</v>
      </c>
      <c r="H6633" t="str">
        <f>_xlfn.XLOOKUP(A6633,'[1]Tissue Data'!$A:$A,'[1]Tissue Data'!K:K)</f>
        <v>Liver</v>
      </c>
      <c r="I6633">
        <f>_xlfn.XLOOKUP(A6633,'[1]Tissue Data'!$A:$A,'[1]Tissue Data'!L:L)</f>
        <v>11.5</v>
      </c>
      <c r="J6633">
        <f>_xlfn.XLOOKUP(A6633,'[1]Tissue Data'!$A:$A,'[1]Tissue Data'!M:M)</f>
        <v>34.450000000000003</v>
      </c>
      <c r="K6633" t="s">
        <v>43</v>
      </c>
      <c r="L6633" t="str">
        <f>_xlfn.XLOOKUP(K6633,[2]analyte_order!$B:$B,[2]analyte_order!$C:$C)</f>
        <v>757124-72-4</v>
      </c>
      <c r="M6633">
        <f>_xlfn.XLOOKUP(L6633,[2]analyte_order!$C:$C,[2]analyte_order!$E:$E)</f>
        <v>22</v>
      </c>
      <c r="N6633">
        <v>0.67</v>
      </c>
    </row>
    <row r="6634" spans="1:14">
      <c r="A6634" t="s">
        <v>293</v>
      </c>
      <c r="B6634" t="str">
        <f>_xlfn.XLOOKUP(A6634,'[1]Tissue Data'!$A:$A,'[1]Tissue Data'!$C:$C)</f>
        <v>Down</v>
      </c>
      <c r="C6634" s="2">
        <f>_xlfn.XLOOKUP(A6634,'[1]Tissue Data'!$A:$A,'[1]Tissue Data'!$D:$D)</f>
        <v>44393</v>
      </c>
      <c r="D6634" s="2" t="str">
        <f>_xlfn.XLOOKUP(A6634,'[1]Tissue Data'!$A:$A,'[1]Tissue Data'!$F:$F)</f>
        <v>Pumpkinseed</v>
      </c>
      <c r="E6634" t="str">
        <f>_xlfn.XLOOKUP(A6634,'[1]Tissue Data'!$A:$A,'[1]Tissue Data'!$H:$H)</f>
        <v>Lepomis</v>
      </c>
      <c r="F6634" t="str">
        <f>_xlfn.XLOOKUP(A6634,'[1]Tissue Data'!$A:$A,'[1]Tissue Data'!$I:$I)</f>
        <v>gibbosus</v>
      </c>
      <c r="G6634" t="str">
        <f>_xlfn.XLOOKUP(A6634,'[1]Tissue Data'!$A:$A,'[1]Tissue Data'!J:J)</f>
        <v>M</v>
      </c>
      <c r="H6634" t="str">
        <f>_xlfn.XLOOKUP(A6634,'[1]Tissue Data'!$A:$A,'[1]Tissue Data'!K:K)</f>
        <v>Liver</v>
      </c>
      <c r="I6634">
        <f>_xlfn.XLOOKUP(A6634,'[1]Tissue Data'!$A:$A,'[1]Tissue Data'!L:L)</f>
        <v>11.5</v>
      </c>
      <c r="J6634">
        <f>_xlfn.XLOOKUP(A6634,'[1]Tissue Data'!$A:$A,'[1]Tissue Data'!M:M)</f>
        <v>34.450000000000003</v>
      </c>
      <c r="K6634" t="s">
        <v>44</v>
      </c>
      <c r="L6634" t="str">
        <f>_xlfn.XLOOKUP(K6634,[2]analyte_order!$B:$B,[2]analyte_order!$C:$C)</f>
        <v>27619-97-2</v>
      </c>
      <c r="M6634">
        <f>_xlfn.XLOOKUP(L6634,[2]analyte_order!$C:$C,[2]analyte_order!$E:$E)</f>
        <v>23</v>
      </c>
      <c r="N6634">
        <v>0.67</v>
      </c>
    </row>
    <row r="6635" spans="1:14">
      <c r="A6635" t="s">
        <v>293</v>
      </c>
      <c r="B6635" t="str">
        <f>_xlfn.XLOOKUP(A6635,'[1]Tissue Data'!$A:$A,'[1]Tissue Data'!$C:$C)</f>
        <v>Down</v>
      </c>
      <c r="C6635" s="2">
        <f>_xlfn.XLOOKUP(A6635,'[1]Tissue Data'!$A:$A,'[1]Tissue Data'!$D:$D)</f>
        <v>44393</v>
      </c>
      <c r="D6635" s="2" t="str">
        <f>_xlfn.XLOOKUP(A6635,'[1]Tissue Data'!$A:$A,'[1]Tissue Data'!$F:$F)</f>
        <v>Pumpkinseed</v>
      </c>
      <c r="E6635" t="str">
        <f>_xlfn.XLOOKUP(A6635,'[1]Tissue Data'!$A:$A,'[1]Tissue Data'!$H:$H)</f>
        <v>Lepomis</v>
      </c>
      <c r="F6635" t="str">
        <f>_xlfn.XLOOKUP(A6635,'[1]Tissue Data'!$A:$A,'[1]Tissue Data'!$I:$I)</f>
        <v>gibbosus</v>
      </c>
      <c r="G6635" t="str">
        <f>_xlfn.XLOOKUP(A6635,'[1]Tissue Data'!$A:$A,'[1]Tissue Data'!J:J)</f>
        <v>M</v>
      </c>
      <c r="H6635" t="str">
        <f>_xlfn.XLOOKUP(A6635,'[1]Tissue Data'!$A:$A,'[1]Tissue Data'!K:K)</f>
        <v>Liver</v>
      </c>
      <c r="I6635">
        <f>_xlfn.XLOOKUP(A6635,'[1]Tissue Data'!$A:$A,'[1]Tissue Data'!L:L)</f>
        <v>11.5</v>
      </c>
      <c r="J6635">
        <f>_xlfn.XLOOKUP(A6635,'[1]Tissue Data'!$A:$A,'[1]Tissue Data'!M:M)</f>
        <v>34.450000000000003</v>
      </c>
      <c r="K6635" t="s">
        <v>45</v>
      </c>
      <c r="L6635" t="str">
        <f>_xlfn.XLOOKUP(K6635,[2]analyte_order!$B:$B,[2]analyte_order!$C:$C)</f>
        <v>39108-34-4</v>
      </c>
      <c r="M6635">
        <f>_xlfn.XLOOKUP(L6635,[2]analyte_order!$C:$C,[2]analyte_order!$E:$E)</f>
        <v>24</v>
      </c>
      <c r="N6635">
        <v>7.34</v>
      </c>
    </row>
    <row r="6636" spans="1:14">
      <c r="A6636" t="s">
        <v>293</v>
      </c>
      <c r="B6636" t="str">
        <f>_xlfn.XLOOKUP(A6636,'[1]Tissue Data'!$A:$A,'[1]Tissue Data'!$C:$C)</f>
        <v>Down</v>
      </c>
      <c r="C6636" s="2">
        <f>_xlfn.XLOOKUP(A6636,'[1]Tissue Data'!$A:$A,'[1]Tissue Data'!$D:$D)</f>
        <v>44393</v>
      </c>
      <c r="D6636" s="2" t="str">
        <f>_xlfn.XLOOKUP(A6636,'[1]Tissue Data'!$A:$A,'[1]Tissue Data'!$F:$F)</f>
        <v>Pumpkinseed</v>
      </c>
      <c r="E6636" t="str">
        <f>_xlfn.XLOOKUP(A6636,'[1]Tissue Data'!$A:$A,'[1]Tissue Data'!$H:$H)</f>
        <v>Lepomis</v>
      </c>
      <c r="F6636" t="str">
        <f>_xlfn.XLOOKUP(A6636,'[1]Tissue Data'!$A:$A,'[1]Tissue Data'!$I:$I)</f>
        <v>gibbosus</v>
      </c>
      <c r="G6636" t="str">
        <f>_xlfn.XLOOKUP(A6636,'[1]Tissue Data'!$A:$A,'[1]Tissue Data'!J:J)</f>
        <v>M</v>
      </c>
      <c r="H6636" t="str">
        <f>_xlfn.XLOOKUP(A6636,'[1]Tissue Data'!$A:$A,'[1]Tissue Data'!K:K)</f>
        <v>Liver</v>
      </c>
      <c r="I6636">
        <f>_xlfn.XLOOKUP(A6636,'[1]Tissue Data'!$A:$A,'[1]Tissue Data'!L:L)</f>
        <v>11.5</v>
      </c>
      <c r="J6636">
        <f>_xlfn.XLOOKUP(A6636,'[1]Tissue Data'!$A:$A,'[1]Tissue Data'!M:M)</f>
        <v>34.450000000000003</v>
      </c>
      <c r="K6636" t="s">
        <v>46</v>
      </c>
      <c r="L6636" t="str">
        <f>_xlfn.XLOOKUP(K6636,[2]analyte_order!$B:$B,[2]analyte_order!$C:$C)</f>
        <v>120226-60-0</v>
      </c>
      <c r="M6636">
        <f>_xlfn.XLOOKUP(L6636,[2]analyte_order!$C:$C,[2]analyte_order!$E:$E)</f>
        <v>25</v>
      </c>
      <c r="N6636">
        <v>2.6749999999999998</v>
      </c>
    </row>
    <row r="6637" spans="1:14">
      <c r="A6637" t="s">
        <v>293</v>
      </c>
      <c r="B6637" t="str">
        <f>_xlfn.XLOOKUP(A6637,'[1]Tissue Data'!$A:$A,'[1]Tissue Data'!$C:$C)</f>
        <v>Down</v>
      </c>
      <c r="C6637" s="2">
        <f>_xlfn.XLOOKUP(A6637,'[1]Tissue Data'!$A:$A,'[1]Tissue Data'!$D:$D)</f>
        <v>44393</v>
      </c>
      <c r="D6637" s="2" t="str">
        <f>_xlfn.XLOOKUP(A6637,'[1]Tissue Data'!$A:$A,'[1]Tissue Data'!$F:$F)</f>
        <v>Pumpkinseed</v>
      </c>
      <c r="E6637" t="str">
        <f>_xlfn.XLOOKUP(A6637,'[1]Tissue Data'!$A:$A,'[1]Tissue Data'!$H:$H)</f>
        <v>Lepomis</v>
      </c>
      <c r="F6637" t="str">
        <f>_xlfn.XLOOKUP(A6637,'[1]Tissue Data'!$A:$A,'[1]Tissue Data'!$I:$I)</f>
        <v>gibbosus</v>
      </c>
      <c r="G6637" t="str">
        <f>_xlfn.XLOOKUP(A6637,'[1]Tissue Data'!$A:$A,'[1]Tissue Data'!J:J)</f>
        <v>M</v>
      </c>
      <c r="H6637" t="str">
        <f>_xlfn.XLOOKUP(A6637,'[1]Tissue Data'!$A:$A,'[1]Tissue Data'!K:K)</f>
        <v>Liver</v>
      </c>
      <c r="I6637">
        <f>_xlfn.XLOOKUP(A6637,'[1]Tissue Data'!$A:$A,'[1]Tissue Data'!L:L)</f>
        <v>11.5</v>
      </c>
      <c r="J6637">
        <f>_xlfn.XLOOKUP(A6637,'[1]Tissue Data'!$A:$A,'[1]Tissue Data'!M:M)</f>
        <v>34.450000000000003</v>
      </c>
      <c r="K6637" t="s">
        <v>47</v>
      </c>
      <c r="L6637" t="str">
        <f>_xlfn.XLOOKUP(K6637,[2]analyte_order!$B:$B,[2]analyte_order!$C:$C)</f>
        <v>356-02-5</v>
      </c>
      <c r="M6637">
        <f>_xlfn.XLOOKUP(L6637,[2]analyte_order!$C:$C,[2]analyte_order!$E:$E)</f>
        <v>38</v>
      </c>
      <c r="N6637">
        <v>1.34</v>
      </c>
    </row>
    <row r="6638" spans="1:14">
      <c r="A6638" t="s">
        <v>293</v>
      </c>
      <c r="B6638" t="str">
        <f>_xlfn.XLOOKUP(A6638,'[1]Tissue Data'!$A:$A,'[1]Tissue Data'!$C:$C)</f>
        <v>Down</v>
      </c>
      <c r="C6638" s="2">
        <f>_xlfn.XLOOKUP(A6638,'[1]Tissue Data'!$A:$A,'[1]Tissue Data'!$D:$D)</f>
        <v>44393</v>
      </c>
      <c r="D6638" s="2" t="str">
        <f>_xlfn.XLOOKUP(A6638,'[1]Tissue Data'!$A:$A,'[1]Tissue Data'!$F:$F)</f>
        <v>Pumpkinseed</v>
      </c>
      <c r="E6638" t="str">
        <f>_xlfn.XLOOKUP(A6638,'[1]Tissue Data'!$A:$A,'[1]Tissue Data'!$H:$H)</f>
        <v>Lepomis</v>
      </c>
      <c r="F6638" t="str">
        <f>_xlfn.XLOOKUP(A6638,'[1]Tissue Data'!$A:$A,'[1]Tissue Data'!$I:$I)</f>
        <v>gibbosus</v>
      </c>
      <c r="G6638" t="str">
        <f>_xlfn.XLOOKUP(A6638,'[1]Tissue Data'!$A:$A,'[1]Tissue Data'!J:J)</f>
        <v>M</v>
      </c>
      <c r="H6638" t="str">
        <f>_xlfn.XLOOKUP(A6638,'[1]Tissue Data'!$A:$A,'[1]Tissue Data'!K:K)</f>
        <v>Liver</v>
      </c>
      <c r="I6638">
        <f>_xlfn.XLOOKUP(A6638,'[1]Tissue Data'!$A:$A,'[1]Tissue Data'!L:L)</f>
        <v>11.5</v>
      </c>
      <c r="J6638">
        <f>_xlfn.XLOOKUP(A6638,'[1]Tissue Data'!$A:$A,'[1]Tissue Data'!M:M)</f>
        <v>34.450000000000003</v>
      </c>
      <c r="K6638" t="s">
        <v>48</v>
      </c>
      <c r="L6638" t="str">
        <f>_xlfn.XLOOKUP(K6638,[2]analyte_order!$B:$B,[2]analyte_order!$C:$C)</f>
        <v>914637-49-3</v>
      </c>
      <c r="M6638">
        <f>_xlfn.XLOOKUP(L6638,[2]analyte_order!$C:$C,[2]analyte_order!$E:$E)</f>
        <v>39</v>
      </c>
      <c r="N6638">
        <v>0.67</v>
      </c>
    </row>
    <row r="6639" spans="1:14">
      <c r="A6639" t="s">
        <v>293</v>
      </c>
      <c r="B6639" t="str">
        <f>_xlfn.XLOOKUP(A6639,'[1]Tissue Data'!$A:$A,'[1]Tissue Data'!$C:$C)</f>
        <v>Down</v>
      </c>
      <c r="C6639" s="2">
        <f>_xlfn.XLOOKUP(A6639,'[1]Tissue Data'!$A:$A,'[1]Tissue Data'!$D:$D)</f>
        <v>44393</v>
      </c>
      <c r="D6639" s="2" t="str">
        <f>_xlfn.XLOOKUP(A6639,'[1]Tissue Data'!$A:$A,'[1]Tissue Data'!$F:$F)</f>
        <v>Pumpkinseed</v>
      </c>
      <c r="E6639" t="str">
        <f>_xlfn.XLOOKUP(A6639,'[1]Tissue Data'!$A:$A,'[1]Tissue Data'!$H:$H)</f>
        <v>Lepomis</v>
      </c>
      <c r="F6639" t="str">
        <f>_xlfn.XLOOKUP(A6639,'[1]Tissue Data'!$A:$A,'[1]Tissue Data'!$I:$I)</f>
        <v>gibbosus</v>
      </c>
      <c r="G6639" t="str">
        <f>_xlfn.XLOOKUP(A6639,'[1]Tissue Data'!$A:$A,'[1]Tissue Data'!J:J)</f>
        <v>M</v>
      </c>
      <c r="H6639" t="str">
        <f>_xlfn.XLOOKUP(A6639,'[1]Tissue Data'!$A:$A,'[1]Tissue Data'!K:K)</f>
        <v>Liver</v>
      </c>
      <c r="I6639">
        <f>_xlfn.XLOOKUP(A6639,'[1]Tissue Data'!$A:$A,'[1]Tissue Data'!L:L)</f>
        <v>11.5</v>
      </c>
      <c r="J6639">
        <f>_xlfn.XLOOKUP(A6639,'[1]Tissue Data'!$A:$A,'[1]Tissue Data'!M:M)</f>
        <v>34.450000000000003</v>
      </c>
      <c r="K6639" t="s">
        <v>49</v>
      </c>
      <c r="L6639" t="str">
        <f>_xlfn.XLOOKUP(K6639,[2]analyte_order!$B:$B,[2]analyte_order!$C:$C)</f>
        <v>812-70-4</v>
      </c>
      <c r="M6639">
        <f>_xlfn.XLOOKUP(L6639,[2]analyte_order!$C:$C,[2]analyte_order!$E:$E)</f>
        <v>40</v>
      </c>
      <c r="N6639">
        <v>1.34</v>
      </c>
    </row>
    <row r="6640" spans="1:14">
      <c r="A6640" t="s">
        <v>293</v>
      </c>
      <c r="B6640" t="str">
        <f>_xlfn.XLOOKUP(A6640,'[1]Tissue Data'!$A:$A,'[1]Tissue Data'!$C:$C)</f>
        <v>Down</v>
      </c>
      <c r="C6640" s="2">
        <f>_xlfn.XLOOKUP(A6640,'[1]Tissue Data'!$A:$A,'[1]Tissue Data'!$D:$D)</f>
        <v>44393</v>
      </c>
      <c r="D6640" s="2" t="str">
        <f>_xlfn.XLOOKUP(A6640,'[1]Tissue Data'!$A:$A,'[1]Tissue Data'!$F:$F)</f>
        <v>Pumpkinseed</v>
      </c>
      <c r="E6640" t="str">
        <f>_xlfn.XLOOKUP(A6640,'[1]Tissue Data'!$A:$A,'[1]Tissue Data'!$H:$H)</f>
        <v>Lepomis</v>
      </c>
      <c r="F6640" t="str">
        <f>_xlfn.XLOOKUP(A6640,'[1]Tissue Data'!$A:$A,'[1]Tissue Data'!$I:$I)</f>
        <v>gibbosus</v>
      </c>
      <c r="G6640" t="str">
        <f>_xlfn.XLOOKUP(A6640,'[1]Tissue Data'!$A:$A,'[1]Tissue Data'!J:J)</f>
        <v>M</v>
      </c>
      <c r="H6640" t="str">
        <f>_xlfn.XLOOKUP(A6640,'[1]Tissue Data'!$A:$A,'[1]Tissue Data'!K:K)</f>
        <v>Liver</v>
      </c>
      <c r="I6640">
        <f>_xlfn.XLOOKUP(A6640,'[1]Tissue Data'!$A:$A,'[1]Tissue Data'!L:L)</f>
        <v>11.5</v>
      </c>
      <c r="J6640">
        <f>_xlfn.XLOOKUP(A6640,'[1]Tissue Data'!$A:$A,'[1]Tissue Data'!M:M)</f>
        <v>34.450000000000003</v>
      </c>
      <c r="K6640" t="s">
        <v>50</v>
      </c>
      <c r="L6640" t="str">
        <f>_xlfn.XLOOKUP(K6640,[2]analyte_order!$B:$B,[2]analyte_order!$C:$C)</f>
        <v>53826-12-3</v>
      </c>
      <c r="M6640">
        <f>_xlfn.XLOOKUP(L6640,[2]analyte_order!$C:$C,[2]analyte_order!$E:$E)</f>
        <v>41</v>
      </c>
      <c r="N6640">
        <v>1.34</v>
      </c>
    </row>
    <row r="6641" spans="1:14">
      <c r="A6641" t="s">
        <v>293</v>
      </c>
      <c r="B6641" t="str">
        <f>_xlfn.XLOOKUP(A6641,'[1]Tissue Data'!$A:$A,'[1]Tissue Data'!$C:$C)</f>
        <v>Down</v>
      </c>
      <c r="C6641" s="2">
        <f>_xlfn.XLOOKUP(A6641,'[1]Tissue Data'!$A:$A,'[1]Tissue Data'!$D:$D)</f>
        <v>44393</v>
      </c>
      <c r="D6641" s="2" t="str">
        <f>_xlfn.XLOOKUP(A6641,'[1]Tissue Data'!$A:$A,'[1]Tissue Data'!$F:$F)</f>
        <v>Pumpkinseed</v>
      </c>
      <c r="E6641" t="str">
        <f>_xlfn.XLOOKUP(A6641,'[1]Tissue Data'!$A:$A,'[1]Tissue Data'!$H:$H)</f>
        <v>Lepomis</v>
      </c>
      <c r="F6641" t="str">
        <f>_xlfn.XLOOKUP(A6641,'[1]Tissue Data'!$A:$A,'[1]Tissue Data'!$I:$I)</f>
        <v>gibbosus</v>
      </c>
      <c r="G6641" t="str">
        <f>_xlfn.XLOOKUP(A6641,'[1]Tissue Data'!$A:$A,'[1]Tissue Data'!J:J)</f>
        <v>M</v>
      </c>
      <c r="H6641" t="str">
        <f>_xlfn.XLOOKUP(A6641,'[1]Tissue Data'!$A:$A,'[1]Tissue Data'!K:K)</f>
        <v>Liver</v>
      </c>
      <c r="I6641">
        <f>_xlfn.XLOOKUP(A6641,'[1]Tissue Data'!$A:$A,'[1]Tissue Data'!L:L)</f>
        <v>11.5</v>
      </c>
      <c r="J6641">
        <f>_xlfn.XLOOKUP(A6641,'[1]Tissue Data'!$A:$A,'[1]Tissue Data'!M:M)</f>
        <v>34.450000000000003</v>
      </c>
      <c r="K6641" t="s">
        <v>51</v>
      </c>
      <c r="L6641" t="str">
        <f>_xlfn.XLOOKUP(K6641,[2]analyte_order!$B:$B,[2]analyte_order!$C:$C)</f>
        <v>27854-31-5</v>
      </c>
      <c r="M6641">
        <f>_xlfn.XLOOKUP(L6641,[2]analyte_order!$C:$C,[2]analyte_order!$E:$E)</f>
        <v>42</v>
      </c>
      <c r="N6641">
        <v>0.67</v>
      </c>
    </row>
    <row r="6642" spans="1:14">
      <c r="A6642" t="s">
        <v>293</v>
      </c>
      <c r="B6642" t="str">
        <f>_xlfn.XLOOKUP(A6642,'[1]Tissue Data'!$A:$A,'[1]Tissue Data'!$C:$C)</f>
        <v>Down</v>
      </c>
      <c r="C6642" s="2">
        <f>_xlfn.XLOOKUP(A6642,'[1]Tissue Data'!$A:$A,'[1]Tissue Data'!$D:$D)</f>
        <v>44393</v>
      </c>
      <c r="D6642" s="2" t="str">
        <f>_xlfn.XLOOKUP(A6642,'[1]Tissue Data'!$A:$A,'[1]Tissue Data'!$F:$F)</f>
        <v>Pumpkinseed</v>
      </c>
      <c r="E6642" t="str">
        <f>_xlfn.XLOOKUP(A6642,'[1]Tissue Data'!$A:$A,'[1]Tissue Data'!$H:$H)</f>
        <v>Lepomis</v>
      </c>
      <c r="F6642" t="str">
        <f>_xlfn.XLOOKUP(A6642,'[1]Tissue Data'!$A:$A,'[1]Tissue Data'!$I:$I)</f>
        <v>gibbosus</v>
      </c>
      <c r="G6642" t="str">
        <f>_xlfn.XLOOKUP(A6642,'[1]Tissue Data'!$A:$A,'[1]Tissue Data'!J:J)</f>
        <v>M</v>
      </c>
      <c r="H6642" t="str">
        <f>_xlfn.XLOOKUP(A6642,'[1]Tissue Data'!$A:$A,'[1]Tissue Data'!K:K)</f>
        <v>Liver</v>
      </c>
      <c r="I6642">
        <f>_xlfn.XLOOKUP(A6642,'[1]Tissue Data'!$A:$A,'[1]Tissue Data'!L:L)</f>
        <v>11.5</v>
      </c>
      <c r="J6642">
        <f>_xlfn.XLOOKUP(A6642,'[1]Tissue Data'!$A:$A,'[1]Tissue Data'!M:M)</f>
        <v>34.450000000000003</v>
      </c>
      <c r="K6642" t="s">
        <v>52</v>
      </c>
      <c r="L6642" t="str">
        <f>_xlfn.XLOOKUP(K6642,[2]analyte_order!$B:$B,[2]analyte_order!$C:$C)</f>
        <v>53826-13-4</v>
      </c>
      <c r="M6642">
        <f>_xlfn.XLOOKUP(L6642,[2]analyte_order!$C:$C,[2]analyte_order!$E:$E)</f>
        <v>43</v>
      </c>
      <c r="N6642">
        <v>1.34</v>
      </c>
    </row>
    <row r="6643" spans="1:14">
      <c r="A6643" t="s">
        <v>293</v>
      </c>
      <c r="B6643" t="str">
        <f>_xlfn.XLOOKUP(A6643,'[1]Tissue Data'!$A:$A,'[1]Tissue Data'!$C:$C)</f>
        <v>Down</v>
      </c>
      <c r="C6643" s="2">
        <f>_xlfn.XLOOKUP(A6643,'[1]Tissue Data'!$A:$A,'[1]Tissue Data'!$D:$D)</f>
        <v>44393</v>
      </c>
      <c r="D6643" s="2" t="str">
        <f>_xlfn.XLOOKUP(A6643,'[1]Tissue Data'!$A:$A,'[1]Tissue Data'!$F:$F)</f>
        <v>Pumpkinseed</v>
      </c>
      <c r="E6643" t="str">
        <f>_xlfn.XLOOKUP(A6643,'[1]Tissue Data'!$A:$A,'[1]Tissue Data'!$H:$H)</f>
        <v>Lepomis</v>
      </c>
      <c r="F6643" t="str">
        <f>_xlfn.XLOOKUP(A6643,'[1]Tissue Data'!$A:$A,'[1]Tissue Data'!$I:$I)</f>
        <v>gibbosus</v>
      </c>
      <c r="G6643" t="str">
        <f>_xlfn.XLOOKUP(A6643,'[1]Tissue Data'!$A:$A,'[1]Tissue Data'!J:J)</f>
        <v>M</v>
      </c>
      <c r="H6643" t="str">
        <f>_xlfn.XLOOKUP(A6643,'[1]Tissue Data'!$A:$A,'[1]Tissue Data'!K:K)</f>
        <v>Liver</v>
      </c>
      <c r="I6643">
        <f>_xlfn.XLOOKUP(A6643,'[1]Tissue Data'!$A:$A,'[1]Tissue Data'!L:L)</f>
        <v>11.5</v>
      </c>
      <c r="J6643">
        <f>_xlfn.XLOOKUP(A6643,'[1]Tissue Data'!$A:$A,'[1]Tissue Data'!M:M)</f>
        <v>34.450000000000003</v>
      </c>
      <c r="K6643" t="s">
        <v>53</v>
      </c>
      <c r="L6643" t="str">
        <f>_xlfn.XLOOKUP(K6643,[2]analyte_order!$B:$B,[2]analyte_order!$C:$C)</f>
        <v>161094-75-3</v>
      </c>
      <c r="M6643">
        <f>_xlfn.XLOOKUP(L6643,[2]analyte_order!$C:$C,[2]analyte_order!$E:$E)</f>
        <v>44</v>
      </c>
      <c r="N6643">
        <v>0.52500000000000002</v>
      </c>
    </row>
    <row r="6644" spans="1:14">
      <c r="A6644" t="s">
        <v>293</v>
      </c>
      <c r="B6644" t="str">
        <f>_xlfn.XLOOKUP(A6644,'[1]Tissue Data'!$A:$A,'[1]Tissue Data'!$C:$C)</f>
        <v>Down</v>
      </c>
      <c r="C6644" s="2">
        <f>_xlfn.XLOOKUP(A6644,'[1]Tissue Data'!$A:$A,'[1]Tissue Data'!$D:$D)</f>
        <v>44393</v>
      </c>
      <c r="D6644" s="2" t="str">
        <f>_xlfn.XLOOKUP(A6644,'[1]Tissue Data'!$A:$A,'[1]Tissue Data'!$F:$F)</f>
        <v>Pumpkinseed</v>
      </c>
      <c r="E6644" t="str">
        <f>_xlfn.XLOOKUP(A6644,'[1]Tissue Data'!$A:$A,'[1]Tissue Data'!$H:$H)</f>
        <v>Lepomis</v>
      </c>
      <c r="F6644" t="str">
        <f>_xlfn.XLOOKUP(A6644,'[1]Tissue Data'!$A:$A,'[1]Tissue Data'!$I:$I)</f>
        <v>gibbosus</v>
      </c>
      <c r="G6644" t="str">
        <f>_xlfn.XLOOKUP(A6644,'[1]Tissue Data'!$A:$A,'[1]Tissue Data'!J:J)</f>
        <v>M</v>
      </c>
      <c r="H6644" t="str">
        <f>_xlfn.XLOOKUP(A6644,'[1]Tissue Data'!$A:$A,'[1]Tissue Data'!K:K)</f>
        <v>Liver</v>
      </c>
      <c r="I6644">
        <f>_xlfn.XLOOKUP(A6644,'[1]Tissue Data'!$A:$A,'[1]Tissue Data'!L:L)</f>
        <v>11.5</v>
      </c>
      <c r="J6644">
        <f>_xlfn.XLOOKUP(A6644,'[1]Tissue Data'!$A:$A,'[1]Tissue Data'!M:M)</f>
        <v>34.450000000000003</v>
      </c>
      <c r="K6644" t="s">
        <v>54</v>
      </c>
      <c r="L6644" t="str">
        <f>_xlfn.XLOOKUP(K6644,[2]analyte_order!$B:$B,[2]analyte_order!$C:$C)</f>
        <v>70887-84-2</v>
      </c>
      <c r="M6644">
        <f>_xlfn.XLOOKUP(L6644,[2]analyte_order!$C:$C,[2]analyte_order!$E:$E)</f>
        <v>45</v>
      </c>
      <c r="N6644">
        <v>0.40400000000000003</v>
      </c>
    </row>
    <row r="6645" spans="1:14">
      <c r="A6645" t="s">
        <v>293</v>
      </c>
      <c r="B6645" t="str">
        <f>_xlfn.XLOOKUP(A6645,'[1]Tissue Data'!$A:$A,'[1]Tissue Data'!$C:$C)</f>
        <v>Down</v>
      </c>
      <c r="C6645" s="2">
        <f>_xlfn.XLOOKUP(A6645,'[1]Tissue Data'!$A:$A,'[1]Tissue Data'!$D:$D)</f>
        <v>44393</v>
      </c>
      <c r="D6645" s="2" t="str">
        <f>_xlfn.XLOOKUP(A6645,'[1]Tissue Data'!$A:$A,'[1]Tissue Data'!$F:$F)</f>
        <v>Pumpkinseed</v>
      </c>
      <c r="E6645" t="str">
        <f>_xlfn.XLOOKUP(A6645,'[1]Tissue Data'!$A:$A,'[1]Tissue Data'!$H:$H)</f>
        <v>Lepomis</v>
      </c>
      <c r="F6645" t="str">
        <f>_xlfn.XLOOKUP(A6645,'[1]Tissue Data'!$A:$A,'[1]Tissue Data'!$I:$I)</f>
        <v>gibbosus</v>
      </c>
      <c r="G6645" t="str">
        <f>_xlfn.XLOOKUP(A6645,'[1]Tissue Data'!$A:$A,'[1]Tissue Data'!J:J)</f>
        <v>M</v>
      </c>
      <c r="H6645" t="str">
        <f>_xlfn.XLOOKUP(A6645,'[1]Tissue Data'!$A:$A,'[1]Tissue Data'!K:K)</f>
        <v>Liver</v>
      </c>
      <c r="I6645">
        <f>_xlfn.XLOOKUP(A6645,'[1]Tissue Data'!$A:$A,'[1]Tissue Data'!L:L)</f>
        <v>11.5</v>
      </c>
      <c r="J6645">
        <f>_xlfn.XLOOKUP(A6645,'[1]Tissue Data'!$A:$A,'[1]Tissue Data'!M:M)</f>
        <v>34.450000000000003</v>
      </c>
      <c r="K6645" t="s">
        <v>55</v>
      </c>
      <c r="L6645" t="str">
        <f>_xlfn.XLOOKUP(K6645,[2]analyte_order!$B:$B,[2]analyte_order!$C:$C)</f>
        <v>919005-14-4</v>
      </c>
      <c r="M6645">
        <f>_xlfn.XLOOKUP(L6645,[2]analyte_order!$C:$C,[2]analyte_order!$E:$E)</f>
        <v>35</v>
      </c>
      <c r="N6645">
        <v>0.59</v>
      </c>
    </row>
    <row r="6646" spans="1:14">
      <c r="A6646" t="s">
        <v>293</v>
      </c>
      <c r="B6646" t="str">
        <f>_xlfn.XLOOKUP(A6646,'[1]Tissue Data'!$A:$A,'[1]Tissue Data'!$C:$C)</f>
        <v>Down</v>
      </c>
      <c r="C6646" s="2">
        <f>_xlfn.XLOOKUP(A6646,'[1]Tissue Data'!$A:$A,'[1]Tissue Data'!$D:$D)</f>
        <v>44393</v>
      </c>
      <c r="D6646" s="2" t="str">
        <f>_xlfn.XLOOKUP(A6646,'[1]Tissue Data'!$A:$A,'[1]Tissue Data'!$F:$F)</f>
        <v>Pumpkinseed</v>
      </c>
      <c r="E6646" t="str">
        <f>_xlfn.XLOOKUP(A6646,'[1]Tissue Data'!$A:$A,'[1]Tissue Data'!$H:$H)</f>
        <v>Lepomis</v>
      </c>
      <c r="F6646" t="str">
        <f>_xlfn.XLOOKUP(A6646,'[1]Tissue Data'!$A:$A,'[1]Tissue Data'!$I:$I)</f>
        <v>gibbosus</v>
      </c>
      <c r="G6646" t="str">
        <f>_xlfn.XLOOKUP(A6646,'[1]Tissue Data'!$A:$A,'[1]Tissue Data'!J:J)</f>
        <v>M</v>
      </c>
      <c r="H6646" t="str">
        <f>_xlfn.XLOOKUP(A6646,'[1]Tissue Data'!$A:$A,'[1]Tissue Data'!K:K)</f>
        <v>Liver</v>
      </c>
      <c r="I6646">
        <f>_xlfn.XLOOKUP(A6646,'[1]Tissue Data'!$A:$A,'[1]Tissue Data'!L:L)</f>
        <v>11.5</v>
      </c>
      <c r="J6646">
        <f>_xlfn.XLOOKUP(A6646,'[1]Tissue Data'!$A:$A,'[1]Tissue Data'!M:M)</f>
        <v>34.450000000000003</v>
      </c>
      <c r="K6646" t="s">
        <v>56</v>
      </c>
      <c r="L6646" t="str">
        <f>_xlfn.XLOOKUP(K6646,[2]analyte_order!$B:$B,[2]analyte_order!$C:$C)</f>
        <v>756426-58-1</v>
      </c>
      <c r="M6646">
        <f>_xlfn.XLOOKUP(L6646,[2]analyte_order!$C:$C,[2]analyte_order!$E:$E)</f>
        <v>36</v>
      </c>
      <c r="N6646">
        <v>1.34</v>
      </c>
    </row>
    <row r="6647" spans="1:14">
      <c r="A6647" t="s">
        <v>293</v>
      </c>
      <c r="B6647" t="str">
        <f>_xlfn.XLOOKUP(A6647,'[1]Tissue Data'!$A:$A,'[1]Tissue Data'!$C:$C)</f>
        <v>Down</v>
      </c>
      <c r="C6647" s="2">
        <f>_xlfn.XLOOKUP(A6647,'[1]Tissue Data'!$A:$A,'[1]Tissue Data'!$D:$D)</f>
        <v>44393</v>
      </c>
      <c r="D6647" s="2" t="str">
        <f>_xlfn.XLOOKUP(A6647,'[1]Tissue Data'!$A:$A,'[1]Tissue Data'!$F:$F)</f>
        <v>Pumpkinseed</v>
      </c>
      <c r="E6647" t="str">
        <f>_xlfn.XLOOKUP(A6647,'[1]Tissue Data'!$A:$A,'[1]Tissue Data'!$H:$H)</f>
        <v>Lepomis</v>
      </c>
      <c r="F6647" t="str">
        <f>_xlfn.XLOOKUP(A6647,'[1]Tissue Data'!$A:$A,'[1]Tissue Data'!$I:$I)</f>
        <v>gibbosus</v>
      </c>
      <c r="G6647" t="str">
        <f>_xlfn.XLOOKUP(A6647,'[1]Tissue Data'!$A:$A,'[1]Tissue Data'!J:J)</f>
        <v>M</v>
      </c>
      <c r="H6647" t="str">
        <f>_xlfn.XLOOKUP(A6647,'[1]Tissue Data'!$A:$A,'[1]Tissue Data'!K:K)</f>
        <v>Liver</v>
      </c>
      <c r="I6647">
        <f>_xlfn.XLOOKUP(A6647,'[1]Tissue Data'!$A:$A,'[1]Tissue Data'!L:L)</f>
        <v>11.5</v>
      </c>
      <c r="J6647">
        <f>_xlfn.XLOOKUP(A6647,'[1]Tissue Data'!$A:$A,'[1]Tissue Data'!M:M)</f>
        <v>34.450000000000003</v>
      </c>
      <c r="K6647" t="s">
        <v>57</v>
      </c>
      <c r="L6647" t="str">
        <f>_xlfn.XLOOKUP(K6647,[2]analyte_order!$B:$B,[2]analyte_order!$C:$C)</f>
        <v>763051-92-9</v>
      </c>
      <c r="M6647">
        <f>_xlfn.XLOOKUP(L6647,[2]analyte_order!$C:$C,[2]analyte_order!$E:$E)</f>
        <v>37</v>
      </c>
      <c r="N6647">
        <v>1.34</v>
      </c>
    </row>
    <row r="6648" spans="1:14">
      <c r="A6648" t="s">
        <v>293</v>
      </c>
      <c r="B6648" t="str">
        <f>_xlfn.XLOOKUP(A6648,'[1]Tissue Data'!$A:$A,'[1]Tissue Data'!$C:$C)</f>
        <v>Down</v>
      </c>
      <c r="C6648" s="2">
        <f>_xlfn.XLOOKUP(A6648,'[1]Tissue Data'!$A:$A,'[1]Tissue Data'!$D:$D)</f>
        <v>44393</v>
      </c>
      <c r="D6648" s="2" t="str">
        <f>_xlfn.XLOOKUP(A6648,'[1]Tissue Data'!$A:$A,'[1]Tissue Data'!$F:$F)</f>
        <v>Pumpkinseed</v>
      </c>
      <c r="E6648" t="str">
        <f>_xlfn.XLOOKUP(A6648,'[1]Tissue Data'!$A:$A,'[1]Tissue Data'!$H:$H)</f>
        <v>Lepomis</v>
      </c>
      <c r="F6648" t="str">
        <f>_xlfn.XLOOKUP(A6648,'[1]Tissue Data'!$A:$A,'[1]Tissue Data'!$I:$I)</f>
        <v>gibbosus</v>
      </c>
      <c r="G6648" t="str">
        <f>_xlfn.XLOOKUP(A6648,'[1]Tissue Data'!$A:$A,'[1]Tissue Data'!J:J)</f>
        <v>M</v>
      </c>
      <c r="H6648" t="str">
        <f>_xlfn.XLOOKUP(A6648,'[1]Tissue Data'!$A:$A,'[1]Tissue Data'!K:K)</f>
        <v>Liver</v>
      </c>
      <c r="I6648">
        <f>_xlfn.XLOOKUP(A6648,'[1]Tissue Data'!$A:$A,'[1]Tissue Data'!L:L)</f>
        <v>11.5</v>
      </c>
      <c r="J6648">
        <f>_xlfn.XLOOKUP(A6648,'[1]Tissue Data'!$A:$A,'[1]Tissue Data'!M:M)</f>
        <v>34.450000000000003</v>
      </c>
      <c r="K6648" t="s">
        <v>58</v>
      </c>
      <c r="L6648" t="str">
        <f>_xlfn.XLOOKUP(K6648,[2]analyte_order!$B:$B,[2]analyte_order!$C:$C)</f>
        <v>13252-13-6</v>
      </c>
      <c r="M6648">
        <f>_xlfn.XLOOKUP(L6648,[2]analyte_order!$C:$C,[2]analyte_order!$E:$E)</f>
        <v>34</v>
      </c>
      <c r="N6648">
        <v>0.96</v>
      </c>
    </row>
    <row r="6649" spans="1:14">
      <c r="A6649" t="s">
        <v>293</v>
      </c>
      <c r="B6649" t="str">
        <f>_xlfn.XLOOKUP(A6649,'[1]Tissue Data'!$A:$A,'[1]Tissue Data'!$C:$C)</f>
        <v>Down</v>
      </c>
      <c r="C6649" s="2">
        <f>_xlfn.XLOOKUP(A6649,'[1]Tissue Data'!$A:$A,'[1]Tissue Data'!$D:$D)</f>
        <v>44393</v>
      </c>
      <c r="D6649" s="2" t="str">
        <f>_xlfn.XLOOKUP(A6649,'[1]Tissue Data'!$A:$A,'[1]Tissue Data'!$F:$F)</f>
        <v>Pumpkinseed</v>
      </c>
      <c r="E6649" t="str">
        <f>_xlfn.XLOOKUP(A6649,'[1]Tissue Data'!$A:$A,'[1]Tissue Data'!$H:$H)</f>
        <v>Lepomis</v>
      </c>
      <c r="F6649" t="str">
        <f>_xlfn.XLOOKUP(A6649,'[1]Tissue Data'!$A:$A,'[1]Tissue Data'!$I:$I)</f>
        <v>gibbosus</v>
      </c>
      <c r="G6649" t="str">
        <f>_xlfn.XLOOKUP(A6649,'[1]Tissue Data'!$A:$A,'[1]Tissue Data'!J:J)</f>
        <v>M</v>
      </c>
      <c r="H6649" t="str">
        <f>_xlfn.XLOOKUP(A6649,'[1]Tissue Data'!$A:$A,'[1]Tissue Data'!K:K)</f>
        <v>Liver</v>
      </c>
      <c r="I6649">
        <f>_xlfn.XLOOKUP(A6649,'[1]Tissue Data'!$A:$A,'[1]Tissue Data'!L:L)</f>
        <v>11.5</v>
      </c>
      <c r="J6649">
        <f>_xlfn.XLOOKUP(A6649,'[1]Tissue Data'!$A:$A,'[1]Tissue Data'!M:M)</f>
        <v>34.450000000000003</v>
      </c>
      <c r="K6649" t="s">
        <v>59</v>
      </c>
      <c r="L6649" t="str">
        <f>_xlfn.XLOOKUP(K6649,[2]analyte_order!$B:$B,[2]analyte_order!$C:$C)</f>
        <v>57677-95-9</v>
      </c>
      <c r="M6649">
        <f>_xlfn.XLOOKUP(L6649,[2]analyte_order!$C:$C,[2]analyte_order!$E:$E)</f>
        <v>46</v>
      </c>
      <c r="N6649">
        <v>1.34</v>
      </c>
    </row>
    <row r="6650" spans="1:14">
      <c r="A6650" t="s">
        <v>293</v>
      </c>
      <c r="B6650" t="str">
        <f>_xlfn.XLOOKUP(A6650,'[1]Tissue Data'!$A:$A,'[1]Tissue Data'!$C:$C)</f>
        <v>Down</v>
      </c>
      <c r="C6650" s="2">
        <f>_xlfn.XLOOKUP(A6650,'[1]Tissue Data'!$A:$A,'[1]Tissue Data'!$D:$D)</f>
        <v>44393</v>
      </c>
      <c r="D6650" s="2" t="str">
        <f>_xlfn.XLOOKUP(A6650,'[1]Tissue Data'!$A:$A,'[1]Tissue Data'!$F:$F)</f>
        <v>Pumpkinseed</v>
      </c>
      <c r="E6650" t="str">
        <f>_xlfn.XLOOKUP(A6650,'[1]Tissue Data'!$A:$A,'[1]Tissue Data'!$H:$H)</f>
        <v>Lepomis</v>
      </c>
      <c r="F6650" t="str">
        <f>_xlfn.XLOOKUP(A6650,'[1]Tissue Data'!$A:$A,'[1]Tissue Data'!$I:$I)</f>
        <v>gibbosus</v>
      </c>
      <c r="G6650" t="str">
        <f>_xlfn.XLOOKUP(A6650,'[1]Tissue Data'!$A:$A,'[1]Tissue Data'!J:J)</f>
        <v>M</v>
      </c>
      <c r="H6650" t="str">
        <f>_xlfn.XLOOKUP(A6650,'[1]Tissue Data'!$A:$A,'[1]Tissue Data'!K:K)</f>
        <v>Liver</v>
      </c>
      <c r="I6650">
        <f>_xlfn.XLOOKUP(A6650,'[1]Tissue Data'!$A:$A,'[1]Tissue Data'!L:L)</f>
        <v>11.5</v>
      </c>
      <c r="J6650">
        <f>_xlfn.XLOOKUP(A6650,'[1]Tissue Data'!$A:$A,'[1]Tissue Data'!M:M)</f>
        <v>34.450000000000003</v>
      </c>
      <c r="K6650" t="s">
        <v>60</v>
      </c>
      <c r="L6650" t="str">
        <f>_xlfn.XLOOKUP(K6650,[2]analyte_order!$B:$B,[2]analyte_order!$C:$C)</f>
        <v>678-41-1</v>
      </c>
      <c r="M6650">
        <f>_xlfn.XLOOKUP(L6650,[2]analyte_order!$C:$C,[2]analyte_order!$E:$E)</f>
        <v>56</v>
      </c>
      <c r="N6650">
        <v>1.34</v>
      </c>
    </row>
    <row r="6651" spans="1:14">
      <c r="A6651" t="s">
        <v>293</v>
      </c>
      <c r="B6651" t="str">
        <f>_xlfn.XLOOKUP(A6651,'[1]Tissue Data'!$A:$A,'[1]Tissue Data'!$C:$C)</f>
        <v>Down</v>
      </c>
      <c r="C6651" s="2">
        <f>_xlfn.XLOOKUP(A6651,'[1]Tissue Data'!$A:$A,'[1]Tissue Data'!$D:$D)</f>
        <v>44393</v>
      </c>
      <c r="D6651" s="2" t="str">
        <f>_xlfn.XLOOKUP(A6651,'[1]Tissue Data'!$A:$A,'[1]Tissue Data'!$F:$F)</f>
        <v>Pumpkinseed</v>
      </c>
      <c r="E6651" t="str">
        <f>_xlfn.XLOOKUP(A6651,'[1]Tissue Data'!$A:$A,'[1]Tissue Data'!$H:$H)</f>
        <v>Lepomis</v>
      </c>
      <c r="F6651" t="str">
        <f>_xlfn.XLOOKUP(A6651,'[1]Tissue Data'!$A:$A,'[1]Tissue Data'!$I:$I)</f>
        <v>gibbosus</v>
      </c>
      <c r="G6651" t="str">
        <f>_xlfn.XLOOKUP(A6651,'[1]Tissue Data'!$A:$A,'[1]Tissue Data'!J:J)</f>
        <v>M</v>
      </c>
      <c r="H6651" t="str">
        <f>_xlfn.XLOOKUP(A6651,'[1]Tissue Data'!$A:$A,'[1]Tissue Data'!K:K)</f>
        <v>Liver</v>
      </c>
      <c r="I6651">
        <f>_xlfn.XLOOKUP(A6651,'[1]Tissue Data'!$A:$A,'[1]Tissue Data'!L:L)</f>
        <v>11.5</v>
      </c>
      <c r="J6651">
        <f>_xlfn.XLOOKUP(A6651,'[1]Tissue Data'!$A:$A,'[1]Tissue Data'!M:M)</f>
        <v>34.450000000000003</v>
      </c>
      <c r="K6651" t="s">
        <v>61</v>
      </c>
      <c r="L6651" t="str">
        <f>_xlfn.XLOOKUP(K6651,[2]analyte_order!$B:$B,[2]analyte_order!$C:$C)</f>
        <v>2965-52-8</v>
      </c>
      <c r="M6651">
        <f>_xlfn.XLOOKUP(L6651,[2]analyte_order!$C:$C,[2]analyte_order!$E:$E)</f>
        <v>57</v>
      </c>
      <c r="N6651">
        <v>1.34</v>
      </c>
    </row>
    <row r="6652" spans="1:14">
      <c r="A6652" t="s">
        <v>294</v>
      </c>
      <c r="B6652" t="str">
        <f>_xlfn.XLOOKUP(A6652,'[1]Tissue Data'!$A:$A,'[1]Tissue Data'!$C:$C)</f>
        <v>Down</v>
      </c>
      <c r="C6652" s="2">
        <f>_xlfn.XLOOKUP(A6652,'[1]Tissue Data'!$A:$A,'[1]Tissue Data'!$D:$D)</f>
        <v>44393</v>
      </c>
      <c r="D6652" s="2" t="str">
        <f>_xlfn.XLOOKUP(A6652,'[1]Tissue Data'!$A:$A,'[1]Tissue Data'!$F:$F)</f>
        <v>Pumpkinseed</v>
      </c>
      <c r="E6652" t="str">
        <f>_xlfn.XLOOKUP(A6652,'[1]Tissue Data'!$A:$A,'[1]Tissue Data'!$H:$H)</f>
        <v>Lepomis</v>
      </c>
      <c r="F6652" t="str">
        <f>_xlfn.XLOOKUP(A6652,'[1]Tissue Data'!$A:$A,'[1]Tissue Data'!$I:$I)</f>
        <v>gibbosus</v>
      </c>
      <c r="G6652" t="str">
        <f>_xlfn.XLOOKUP(A6652,'[1]Tissue Data'!$A:$A,'[1]Tissue Data'!J:J)</f>
        <v>M</v>
      </c>
      <c r="H6652" t="str">
        <f>_xlfn.XLOOKUP(A6652,'[1]Tissue Data'!$A:$A,'[1]Tissue Data'!K:K)</f>
        <v>Muscle</v>
      </c>
      <c r="I6652">
        <f>_xlfn.XLOOKUP(A6652,'[1]Tissue Data'!$A:$A,'[1]Tissue Data'!L:L)</f>
        <v>11.5</v>
      </c>
      <c r="J6652">
        <f>_xlfn.XLOOKUP(A6652,'[1]Tissue Data'!$A:$A,'[1]Tissue Data'!M:M)</f>
        <v>34.450000000000003</v>
      </c>
      <c r="K6652" t="s">
        <v>12</v>
      </c>
      <c r="L6652" t="str">
        <f>_xlfn.XLOOKUP(K6652,[2]analyte_order!$B:$B,[2]analyte_order!$C:$C)</f>
        <v>375-22-4</v>
      </c>
      <c r="M6652">
        <f>_xlfn.XLOOKUP(L6652,[2]analyte_order!$C:$C,[2]analyte_order!$E:$E)</f>
        <v>1</v>
      </c>
      <c r="N6652">
        <v>0.24249999999999999</v>
      </c>
    </row>
    <row r="6653" spans="1:14">
      <c r="A6653" t="s">
        <v>294</v>
      </c>
      <c r="B6653" t="str">
        <f>_xlfn.XLOOKUP(A6653,'[1]Tissue Data'!$A:$A,'[1]Tissue Data'!$C:$C)</f>
        <v>Down</v>
      </c>
      <c r="C6653" s="2">
        <f>_xlfn.XLOOKUP(A6653,'[1]Tissue Data'!$A:$A,'[1]Tissue Data'!$D:$D)</f>
        <v>44393</v>
      </c>
      <c r="D6653" s="2" t="str">
        <f>_xlfn.XLOOKUP(A6653,'[1]Tissue Data'!$A:$A,'[1]Tissue Data'!$F:$F)</f>
        <v>Pumpkinseed</v>
      </c>
      <c r="E6653" t="str">
        <f>_xlfn.XLOOKUP(A6653,'[1]Tissue Data'!$A:$A,'[1]Tissue Data'!$H:$H)</f>
        <v>Lepomis</v>
      </c>
      <c r="F6653" t="str">
        <f>_xlfn.XLOOKUP(A6653,'[1]Tissue Data'!$A:$A,'[1]Tissue Data'!$I:$I)</f>
        <v>gibbosus</v>
      </c>
      <c r="G6653" t="str">
        <f>_xlfn.XLOOKUP(A6653,'[1]Tissue Data'!$A:$A,'[1]Tissue Data'!J:J)</f>
        <v>M</v>
      </c>
      <c r="H6653" t="str">
        <f>_xlfn.XLOOKUP(A6653,'[1]Tissue Data'!$A:$A,'[1]Tissue Data'!K:K)</f>
        <v>Muscle</v>
      </c>
      <c r="I6653">
        <f>_xlfn.XLOOKUP(A6653,'[1]Tissue Data'!$A:$A,'[1]Tissue Data'!L:L)</f>
        <v>11.5</v>
      </c>
      <c r="J6653">
        <f>_xlfn.XLOOKUP(A6653,'[1]Tissue Data'!$A:$A,'[1]Tissue Data'!M:M)</f>
        <v>34.450000000000003</v>
      </c>
      <c r="K6653" t="s">
        <v>13</v>
      </c>
      <c r="L6653" t="str">
        <f>_xlfn.XLOOKUP(K6653,[2]analyte_order!$B:$B,[2]analyte_order!$C:$C)</f>
        <v>2706-90-3</v>
      </c>
      <c r="M6653">
        <f>_xlfn.XLOOKUP(L6653,[2]analyte_order!$C:$C,[2]analyte_order!$E:$E)</f>
        <v>2</v>
      </c>
      <c r="N6653">
        <v>8.5500000000000007E-2</v>
      </c>
    </row>
    <row r="6654" spans="1:14">
      <c r="A6654" t="s">
        <v>294</v>
      </c>
      <c r="B6654" t="str">
        <f>_xlfn.XLOOKUP(A6654,'[1]Tissue Data'!$A:$A,'[1]Tissue Data'!$C:$C)</f>
        <v>Down</v>
      </c>
      <c r="C6654" s="2">
        <f>_xlfn.XLOOKUP(A6654,'[1]Tissue Data'!$A:$A,'[1]Tissue Data'!$D:$D)</f>
        <v>44393</v>
      </c>
      <c r="D6654" s="2" t="str">
        <f>_xlfn.XLOOKUP(A6654,'[1]Tissue Data'!$A:$A,'[1]Tissue Data'!$F:$F)</f>
        <v>Pumpkinseed</v>
      </c>
      <c r="E6654" t="str">
        <f>_xlfn.XLOOKUP(A6654,'[1]Tissue Data'!$A:$A,'[1]Tissue Data'!$H:$H)</f>
        <v>Lepomis</v>
      </c>
      <c r="F6654" t="str">
        <f>_xlfn.XLOOKUP(A6654,'[1]Tissue Data'!$A:$A,'[1]Tissue Data'!$I:$I)</f>
        <v>gibbosus</v>
      </c>
      <c r="G6654" t="str">
        <f>_xlfn.XLOOKUP(A6654,'[1]Tissue Data'!$A:$A,'[1]Tissue Data'!J:J)</f>
        <v>M</v>
      </c>
      <c r="H6654" t="str">
        <f>_xlfn.XLOOKUP(A6654,'[1]Tissue Data'!$A:$A,'[1]Tissue Data'!K:K)</f>
        <v>Muscle</v>
      </c>
      <c r="I6654">
        <f>_xlfn.XLOOKUP(A6654,'[1]Tissue Data'!$A:$A,'[1]Tissue Data'!L:L)</f>
        <v>11.5</v>
      </c>
      <c r="J6654">
        <f>_xlfn.XLOOKUP(A6654,'[1]Tissue Data'!$A:$A,'[1]Tissue Data'!M:M)</f>
        <v>34.450000000000003</v>
      </c>
      <c r="K6654" t="s">
        <v>14</v>
      </c>
      <c r="L6654" t="str">
        <f>_xlfn.XLOOKUP(K6654,[2]analyte_order!$B:$B,[2]analyte_order!$C:$C)</f>
        <v>307-24-4</v>
      </c>
      <c r="M6654">
        <f>_xlfn.XLOOKUP(L6654,[2]analyte_order!$C:$C,[2]analyte_order!$E:$E)</f>
        <v>3</v>
      </c>
      <c r="N6654">
        <v>0.13100000000000001</v>
      </c>
    </row>
    <row r="6655" spans="1:14">
      <c r="A6655" t="s">
        <v>294</v>
      </c>
      <c r="B6655" t="str">
        <f>_xlfn.XLOOKUP(A6655,'[1]Tissue Data'!$A:$A,'[1]Tissue Data'!$C:$C)</f>
        <v>Down</v>
      </c>
      <c r="C6655" s="2">
        <f>_xlfn.XLOOKUP(A6655,'[1]Tissue Data'!$A:$A,'[1]Tissue Data'!$D:$D)</f>
        <v>44393</v>
      </c>
      <c r="D6655" s="2" t="str">
        <f>_xlfn.XLOOKUP(A6655,'[1]Tissue Data'!$A:$A,'[1]Tissue Data'!$F:$F)</f>
        <v>Pumpkinseed</v>
      </c>
      <c r="E6655" t="str">
        <f>_xlfn.XLOOKUP(A6655,'[1]Tissue Data'!$A:$A,'[1]Tissue Data'!$H:$H)</f>
        <v>Lepomis</v>
      </c>
      <c r="F6655" t="str">
        <f>_xlfn.XLOOKUP(A6655,'[1]Tissue Data'!$A:$A,'[1]Tissue Data'!$I:$I)</f>
        <v>gibbosus</v>
      </c>
      <c r="G6655" t="str">
        <f>_xlfn.XLOOKUP(A6655,'[1]Tissue Data'!$A:$A,'[1]Tissue Data'!J:J)</f>
        <v>M</v>
      </c>
      <c r="H6655" t="str">
        <f>_xlfn.XLOOKUP(A6655,'[1]Tissue Data'!$A:$A,'[1]Tissue Data'!K:K)</f>
        <v>Muscle</v>
      </c>
      <c r="I6655">
        <f>_xlfn.XLOOKUP(A6655,'[1]Tissue Data'!$A:$A,'[1]Tissue Data'!L:L)</f>
        <v>11.5</v>
      </c>
      <c r="J6655">
        <f>_xlfn.XLOOKUP(A6655,'[1]Tissue Data'!$A:$A,'[1]Tissue Data'!M:M)</f>
        <v>34.450000000000003</v>
      </c>
      <c r="K6655" t="s">
        <v>15</v>
      </c>
      <c r="L6655" t="str">
        <f>_xlfn.XLOOKUP(K6655,[2]analyte_order!$B:$B,[2]analyte_order!$C:$C)</f>
        <v>375-85-9</v>
      </c>
      <c r="M6655">
        <f>_xlfn.XLOOKUP(L6655,[2]analyte_order!$C:$C,[2]analyte_order!$E:$E)</f>
        <v>4</v>
      </c>
      <c r="N6655">
        <v>0.24249999999999999</v>
      </c>
    </row>
    <row r="6656" spans="1:14">
      <c r="A6656" t="s">
        <v>294</v>
      </c>
      <c r="B6656" t="str">
        <f>_xlfn.XLOOKUP(A6656,'[1]Tissue Data'!$A:$A,'[1]Tissue Data'!$C:$C)</f>
        <v>Down</v>
      </c>
      <c r="C6656" s="2">
        <f>_xlfn.XLOOKUP(A6656,'[1]Tissue Data'!$A:$A,'[1]Tissue Data'!$D:$D)</f>
        <v>44393</v>
      </c>
      <c r="D6656" s="2" t="str">
        <f>_xlfn.XLOOKUP(A6656,'[1]Tissue Data'!$A:$A,'[1]Tissue Data'!$F:$F)</f>
        <v>Pumpkinseed</v>
      </c>
      <c r="E6656" t="str">
        <f>_xlfn.XLOOKUP(A6656,'[1]Tissue Data'!$A:$A,'[1]Tissue Data'!$H:$H)</f>
        <v>Lepomis</v>
      </c>
      <c r="F6656" t="str">
        <f>_xlfn.XLOOKUP(A6656,'[1]Tissue Data'!$A:$A,'[1]Tissue Data'!$I:$I)</f>
        <v>gibbosus</v>
      </c>
      <c r="G6656" t="str">
        <f>_xlfn.XLOOKUP(A6656,'[1]Tissue Data'!$A:$A,'[1]Tissue Data'!J:J)</f>
        <v>M</v>
      </c>
      <c r="H6656" t="str">
        <f>_xlfn.XLOOKUP(A6656,'[1]Tissue Data'!$A:$A,'[1]Tissue Data'!K:K)</f>
        <v>Muscle</v>
      </c>
      <c r="I6656">
        <f>_xlfn.XLOOKUP(A6656,'[1]Tissue Data'!$A:$A,'[1]Tissue Data'!L:L)</f>
        <v>11.5</v>
      </c>
      <c r="J6656">
        <f>_xlfn.XLOOKUP(A6656,'[1]Tissue Data'!$A:$A,'[1]Tissue Data'!M:M)</f>
        <v>34.450000000000003</v>
      </c>
      <c r="K6656" t="s">
        <v>16</v>
      </c>
      <c r="L6656" t="str">
        <f>_xlfn.XLOOKUP(K6656,[2]analyte_order!$B:$B,[2]analyte_order!$C:$C)</f>
        <v>335-67-1</v>
      </c>
      <c r="M6656">
        <f>_xlfn.XLOOKUP(L6656,[2]analyte_order!$C:$C,[2]analyte_order!$E:$E)</f>
        <v>5</v>
      </c>
      <c r="N6656">
        <v>0.51100000000000001</v>
      </c>
    </row>
    <row r="6657" spans="1:14">
      <c r="A6657" t="s">
        <v>294</v>
      </c>
      <c r="B6657" t="str">
        <f>_xlfn.XLOOKUP(A6657,'[1]Tissue Data'!$A:$A,'[1]Tissue Data'!$C:$C)</f>
        <v>Down</v>
      </c>
      <c r="C6657" s="2">
        <f>_xlfn.XLOOKUP(A6657,'[1]Tissue Data'!$A:$A,'[1]Tissue Data'!$D:$D)</f>
        <v>44393</v>
      </c>
      <c r="D6657" s="2" t="str">
        <f>_xlfn.XLOOKUP(A6657,'[1]Tissue Data'!$A:$A,'[1]Tissue Data'!$F:$F)</f>
        <v>Pumpkinseed</v>
      </c>
      <c r="E6657" t="str">
        <f>_xlfn.XLOOKUP(A6657,'[1]Tissue Data'!$A:$A,'[1]Tissue Data'!$H:$H)</f>
        <v>Lepomis</v>
      </c>
      <c r="F6657" t="str">
        <f>_xlfn.XLOOKUP(A6657,'[1]Tissue Data'!$A:$A,'[1]Tissue Data'!$I:$I)</f>
        <v>gibbosus</v>
      </c>
      <c r="G6657" t="str">
        <f>_xlfn.XLOOKUP(A6657,'[1]Tissue Data'!$A:$A,'[1]Tissue Data'!J:J)</f>
        <v>M</v>
      </c>
      <c r="H6657" t="str">
        <f>_xlfn.XLOOKUP(A6657,'[1]Tissue Data'!$A:$A,'[1]Tissue Data'!K:K)</f>
        <v>Muscle</v>
      </c>
      <c r="I6657">
        <f>_xlfn.XLOOKUP(A6657,'[1]Tissue Data'!$A:$A,'[1]Tissue Data'!L:L)</f>
        <v>11.5</v>
      </c>
      <c r="J6657">
        <f>_xlfn.XLOOKUP(A6657,'[1]Tissue Data'!$A:$A,'[1]Tissue Data'!M:M)</f>
        <v>34.450000000000003</v>
      </c>
      <c r="K6657" t="s">
        <v>17</v>
      </c>
      <c r="L6657" t="str">
        <f>_xlfn.XLOOKUP(K6657,[2]analyte_order!$B:$B,[2]analyte_order!$C:$C)</f>
        <v>375-95-1</v>
      </c>
      <c r="M6657">
        <f>_xlfn.XLOOKUP(L6657,[2]analyte_order!$C:$C,[2]analyte_order!$E:$E)</f>
        <v>6</v>
      </c>
      <c r="N6657">
        <v>0.24249999999999999</v>
      </c>
    </row>
    <row r="6658" spans="1:14">
      <c r="A6658" t="s">
        <v>294</v>
      </c>
      <c r="B6658" t="str">
        <f>_xlfn.XLOOKUP(A6658,'[1]Tissue Data'!$A:$A,'[1]Tissue Data'!$C:$C)</f>
        <v>Down</v>
      </c>
      <c r="C6658" s="2">
        <f>_xlfn.XLOOKUP(A6658,'[1]Tissue Data'!$A:$A,'[1]Tissue Data'!$D:$D)</f>
        <v>44393</v>
      </c>
      <c r="D6658" s="2" t="str">
        <f>_xlfn.XLOOKUP(A6658,'[1]Tissue Data'!$A:$A,'[1]Tissue Data'!$F:$F)</f>
        <v>Pumpkinseed</v>
      </c>
      <c r="E6658" t="str">
        <f>_xlfn.XLOOKUP(A6658,'[1]Tissue Data'!$A:$A,'[1]Tissue Data'!$H:$H)</f>
        <v>Lepomis</v>
      </c>
      <c r="F6658" t="str">
        <f>_xlfn.XLOOKUP(A6658,'[1]Tissue Data'!$A:$A,'[1]Tissue Data'!$I:$I)</f>
        <v>gibbosus</v>
      </c>
      <c r="G6658" t="str">
        <f>_xlfn.XLOOKUP(A6658,'[1]Tissue Data'!$A:$A,'[1]Tissue Data'!J:J)</f>
        <v>M</v>
      </c>
      <c r="H6658" t="str">
        <f>_xlfn.XLOOKUP(A6658,'[1]Tissue Data'!$A:$A,'[1]Tissue Data'!K:K)</f>
        <v>Muscle</v>
      </c>
      <c r="I6658">
        <f>_xlfn.XLOOKUP(A6658,'[1]Tissue Data'!$A:$A,'[1]Tissue Data'!L:L)</f>
        <v>11.5</v>
      </c>
      <c r="J6658">
        <f>_xlfn.XLOOKUP(A6658,'[1]Tissue Data'!$A:$A,'[1]Tissue Data'!M:M)</f>
        <v>34.450000000000003</v>
      </c>
      <c r="K6658" t="s">
        <v>18</v>
      </c>
      <c r="L6658" t="str">
        <f>_xlfn.XLOOKUP(K6658,[2]analyte_order!$B:$B,[2]analyte_order!$C:$C)</f>
        <v>335-76-2</v>
      </c>
      <c r="M6658">
        <f>_xlfn.XLOOKUP(L6658,[2]analyte_order!$C:$C,[2]analyte_order!$E:$E)</f>
        <v>7</v>
      </c>
      <c r="N6658">
        <v>0.56399999999999995</v>
      </c>
    </row>
    <row r="6659" spans="1:14">
      <c r="A6659" t="s">
        <v>294</v>
      </c>
      <c r="B6659" t="str">
        <f>_xlfn.XLOOKUP(A6659,'[1]Tissue Data'!$A:$A,'[1]Tissue Data'!$C:$C)</f>
        <v>Down</v>
      </c>
      <c r="C6659" s="2">
        <f>_xlfn.XLOOKUP(A6659,'[1]Tissue Data'!$A:$A,'[1]Tissue Data'!$D:$D)</f>
        <v>44393</v>
      </c>
      <c r="D6659" s="2" t="str">
        <f>_xlfn.XLOOKUP(A6659,'[1]Tissue Data'!$A:$A,'[1]Tissue Data'!$F:$F)</f>
        <v>Pumpkinseed</v>
      </c>
      <c r="E6659" t="str">
        <f>_xlfn.XLOOKUP(A6659,'[1]Tissue Data'!$A:$A,'[1]Tissue Data'!$H:$H)</f>
        <v>Lepomis</v>
      </c>
      <c r="F6659" t="str">
        <f>_xlfn.XLOOKUP(A6659,'[1]Tissue Data'!$A:$A,'[1]Tissue Data'!$I:$I)</f>
        <v>gibbosus</v>
      </c>
      <c r="G6659" t="str">
        <f>_xlfn.XLOOKUP(A6659,'[1]Tissue Data'!$A:$A,'[1]Tissue Data'!J:J)</f>
        <v>M</v>
      </c>
      <c r="H6659" t="str">
        <f>_xlfn.XLOOKUP(A6659,'[1]Tissue Data'!$A:$A,'[1]Tissue Data'!K:K)</f>
        <v>Muscle</v>
      </c>
      <c r="I6659">
        <f>_xlfn.XLOOKUP(A6659,'[1]Tissue Data'!$A:$A,'[1]Tissue Data'!L:L)</f>
        <v>11.5</v>
      </c>
      <c r="J6659">
        <f>_xlfn.XLOOKUP(A6659,'[1]Tissue Data'!$A:$A,'[1]Tissue Data'!M:M)</f>
        <v>34.450000000000003</v>
      </c>
      <c r="K6659" t="s">
        <v>19</v>
      </c>
      <c r="L6659" t="str">
        <f>_xlfn.XLOOKUP(K6659,[2]analyte_order!$B:$B,[2]analyte_order!$C:$C)</f>
        <v>2058-94-8</v>
      </c>
      <c r="M6659">
        <f>_xlfn.XLOOKUP(L6659,[2]analyte_order!$C:$C,[2]analyte_order!$E:$E)</f>
        <v>8</v>
      </c>
      <c r="N6659">
        <v>0.70799999999999996</v>
      </c>
    </row>
    <row r="6660" spans="1:14">
      <c r="A6660" t="s">
        <v>294</v>
      </c>
      <c r="B6660" t="str">
        <f>_xlfn.XLOOKUP(A6660,'[1]Tissue Data'!$A:$A,'[1]Tissue Data'!$C:$C)</f>
        <v>Down</v>
      </c>
      <c r="C6660" s="2">
        <f>_xlfn.XLOOKUP(A6660,'[1]Tissue Data'!$A:$A,'[1]Tissue Data'!$D:$D)</f>
        <v>44393</v>
      </c>
      <c r="D6660" s="2" t="str">
        <f>_xlfn.XLOOKUP(A6660,'[1]Tissue Data'!$A:$A,'[1]Tissue Data'!$F:$F)</f>
        <v>Pumpkinseed</v>
      </c>
      <c r="E6660" t="str">
        <f>_xlfn.XLOOKUP(A6660,'[1]Tissue Data'!$A:$A,'[1]Tissue Data'!$H:$H)</f>
        <v>Lepomis</v>
      </c>
      <c r="F6660" t="str">
        <f>_xlfn.XLOOKUP(A6660,'[1]Tissue Data'!$A:$A,'[1]Tissue Data'!$I:$I)</f>
        <v>gibbosus</v>
      </c>
      <c r="G6660" t="str">
        <f>_xlfn.XLOOKUP(A6660,'[1]Tissue Data'!$A:$A,'[1]Tissue Data'!J:J)</f>
        <v>M</v>
      </c>
      <c r="H6660" t="str">
        <f>_xlfn.XLOOKUP(A6660,'[1]Tissue Data'!$A:$A,'[1]Tissue Data'!K:K)</f>
        <v>Muscle</v>
      </c>
      <c r="I6660">
        <f>_xlfn.XLOOKUP(A6660,'[1]Tissue Data'!$A:$A,'[1]Tissue Data'!L:L)</f>
        <v>11.5</v>
      </c>
      <c r="J6660">
        <f>_xlfn.XLOOKUP(A6660,'[1]Tissue Data'!$A:$A,'[1]Tissue Data'!M:M)</f>
        <v>34.450000000000003</v>
      </c>
      <c r="K6660" t="s">
        <v>20</v>
      </c>
      <c r="L6660" t="str">
        <f>_xlfn.XLOOKUP(K6660,[2]analyte_order!$B:$B,[2]analyte_order!$C:$C)</f>
        <v>307-55-1</v>
      </c>
      <c r="M6660">
        <f>_xlfn.XLOOKUP(L6660,[2]analyte_order!$C:$C,[2]analyte_order!$E:$E)</f>
        <v>9</v>
      </c>
      <c r="N6660">
        <v>2.1</v>
      </c>
    </row>
    <row r="6661" spans="1:14">
      <c r="A6661" t="s">
        <v>294</v>
      </c>
      <c r="B6661" t="str">
        <f>_xlfn.XLOOKUP(A6661,'[1]Tissue Data'!$A:$A,'[1]Tissue Data'!$C:$C)</f>
        <v>Down</v>
      </c>
      <c r="C6661" s="2">
        <f>_xlfn.XLOOKUP(A6661,'[1]Tissue Data'!$A:$A,'[1]Tissue Data'!$D:$D)</f>
        <v>44393</v>
      </c>
      <c r="D6661" s="2" t="str">
        <f>_xlfn.XLOOKUP(A6661,'[1]Tissue Data'!$A:$A,'[1]Tissue Data'!$F:$F)</f>
        <v>Pumpkinseed</v>
      </c>
      <c r="E6661" t="str">
        <f>_xlfn.XLOOKUP(A6661,'[1]Tissue Data'!$A:$A,'[1]Tissue Data'!$H:$H)</f>
        <v>Lepomis</v>
      </c>
      <c r="F6661" t="str">
        <f>_xlfn.XLOOKUP(A6661,'[1]Tissue Data'!$A:$A,'[1]Tissue Data'!$I:$I)</f>
        <v>gibbosus</v>
      </c>
      <c r="G6661" t="str">
        <f>_xlfn.XLOOKUP(A6661,'[1]Tissue Data'!$A:$A,'[1]Tissue Data'!J:J)</f>
        <v>M</v>
      </c>
      <c r="H6661" t="str">
        <f>_xlfn.XLOOKUP(A6661,'[1]Tissue Data'!$A:$A,'[1]Tissue Data'!K:K)</f>
        <v>Muscle</v>
      </c>
      <c r="I6661">
        <f>_xlfn.XLOOKUP(A6661,'[1]Tissue Data'!$A:$A,'[1]Tissue Data'!L:L)</f>
        <v>11.5</v>
      </c>
      <c r="J6661">
        <f>_xlfn.XLOOKUP(A6661,'[1]Tissue Data'!$A:$A,'[1]Tissue Data'!M:M)</f>
        <v>34.450000000000003</v>
      </c>
      <c r="K6661" t="s">
        <v>21</v>
      </c>
      <c r="L6661" t="str">
        <f>_xlfn.XLOOKUP(K6661,[2]analyte_order!$B:$B,[2]analyte_order!$C:$C)</f>
        <v>72629-94-8</v>
      </c>
      <c r="M6661">
        <f>_xlfn.XLOOKUP(L6661,[2]analyte_order!$C:$C,[2]analyte_order!$E:$E)</f>
        <v>10</v>
      </c>
      <c r="N6661">
        <v>0.52700000000000002</v>
      </c>
    </row>
    <row r="6662" spans="1:14">
      <c r="A6662" t="s">
        <v>294</v>
      </c>
      <c r="B6662" t="str">
        <f>_xlfn.XLOOKUP(A6662,'[1]Tissue Data'!$A:$A,'[1]Tissue Data'!$C:$C)</f>
        <v>Down</v>
      </c>
      <c r="C6662" s="2">
        <f>_xlfn.XLOOKUP(A6662,'[1]Tissue Data'!$A:$A,'[1]Tissue Data'!$D:$D)</f>
        <v>44393</v>
      </c>
      <c r="D6662" s="2" t="str">
        <f>_xlfn.XLOOKUP(A6662,'[1]Tissue Data'!$A:$A,'[1]Tissue Data'!$F:$F)</f>
        <v>Pumpkinseed</v>
      </c>
      <c r="E6662" t="str">
        <f>_xlfn.XLOOKUP(A6662,'[1]Tissue Data'!$A:$A,'[1]Tissue Data'!$H:$H)</f>
        <v>Lepomis</v>
      </c>
      <c r="F6662" t="str">
        <f>_xlfn.XLOOKUP(A6662,'[1]Tissue Data'!$A:$A,'[1]Tissue Data'!$I:$I)</f>
        <v>gibbosus</v>
      </c>
      <c r="G6662" t="str">
        <f>_xlfn.XLOOKUP(A6662,'[1]Tissue Data'!$A:$A,'[1]Tissue Data'!J:J)</f>
        <v>M</v>
      </c>
      <c r="H6662" t="str">
        <f>_xlfn.XLOOKUP(A6662,'[1]Tissue Data'!$A:$A,'[1]Tissue Data'!K:K)</f>
        <v>Muscle</v>
      </c>
      <c r="I6662">
        <f>_xlfn.XLOOKUP(A6662,'[1]Tissue Data'!$A:$A,'[1]Tissue Data'!L:L)</f>
        <v>11.5</v>
      </c>
      <c r="J6662">
        <f>_xlfn.XLOOKUP(A6662,'[1]Tissue Data'!$A:$A,'[1]Tissue Data'!M:M)</f>
        <v>34.450000000000003</v>
      </c>
      <c r="K6662" t="s">
        <v>22</v>
      </c>
      <c r="L6662" t="str">
        <f>_xlfn.XLOOKUP(K6662,[2]analyte_order!$B:$B,[2]analyte_order!$C:$C)</f>
        <v>376-06-7</v>
      </c>
      <c r="M6662">
        <f>_xlfn.XLOOKUP(L6662,[2]analyte_order!$C:$C,[2]analyte_order!$E:$E)</f>
        <v>11</v>
      </c>
      <c r="N6662">
        <v>1.1599999999999999</v>
      </c>
    </row>
    <row r="6663" spans="1:14">
      <c r="A6663" t="s">
        <v>294</v>
      </c>
      <c r="B6663" t="str">
        <f>_xlfn.XLOOKUP(A6663,'[1]Tissue Data'!$A:$A,'[1]Tissue Data'!$C:$C)</f>
        <v>Down</v>
      </c>
      <c r="C6663" s="2">
        <f>_xlfn.XLOOKUP(A6663,'[1]Tissue Data'!$A:$A,'[1]Tissue Data'!$D:$D)</f>
        <v>44393</v>
      </c>
      <c r="D6663" s="2" t="str">
        <f>_xlfn.XLOOKUP(A6663,'[1]Tissue Data'!$A:$A,'[1]Tissue Data'!$F:$F)</f>
        <v>Pumpkinseed</v>
      </c>
      <c r="E6663" t="str">
        <f>_xlfn.XLOOKUP(A6663,'[1]Tissue Data'!$A:$A,'[1]Tissue Data'!$H:$H)</f>
        <v>Lepomis</v>
      </c>
      <c r="F6663" t="str">
        <f>_xlfn.XLOOKUP(A6663,'[1]Tissue Data'!$A:$A,'[1]Tissue Data'!$I:$I)</f>
        <v>gibbosus</v>
      </c>
      <c r="G6663" t="str">
        <f>_xlfn.XLOOKUP(A6663,'[1]Tissue Data'!$A:$A,'[1]Tissue Data'!J:J)</f>
        <v>M</v>
      </c>
      <c r="H6663" t="str">
        <f>_xlfn.XLOOKUP(A6663,'[1]Tissue Data'!$A:$A,'[1]Tissue Data'!K:K)</f>
        <v>Muscle</v>
      </c>
      <c r="I6663">
        <f>_xlfn.XLOOKUP(A6663,'[1]Tissue Data'!$A:$A,'[1]Tissue Data'!L:L)</f>
        <v>11.5</v>
      </c>
      <c r="J6663">
        <f>_xlfn.XLOOKUP(A6663,'[1]Tissue Data'!$A:$A,'[1]Tissue Data'!M:M)</f>
        <v>34.450000000000003</v>
      </c>
      <c r="K6663" t="s">
        <v>23</v>
      </c>
      <c r="L6663" t="str">
        <f>_xlfn.XLOOKUP(K6663,[2]analyte_order!$B:$B,[2]analyte_order!$C:$C)</f>
        <v>67905-19-5</v>
      </c>
      <c r="M6663">
        <f>_xlfn.XLOOKUP(L6663,[2]analyte_order!$C:$C,[2]analyte_order!$E:$E)</f>
        <v>12</v>
      </c>
      <c r="N6663">
        <v>0.14449999999999999</v>
      </c>
    </row>
    <row r="6664" spans="1:14">
      <c r="A6664" t="s">
        <v>294</v>
      </c>
      <c r="B6664" t="str">
        <f>_xlfn.XLOOKUP(A6664,'[1]Tissue Data'!$A:$A,'[1]Tissue Data'!$C:$C)</f>
        <v>Down</v>
      </c>
      <c r="C6664" s="2">
        <f>_xlfn.XLOOKUP(A6664,'[1]Tissue Data'!$A:$A,'[1]Tissue Data'!$D:$D)</f>
        <v>44393</v>
      </c>
      <c r="D6664" s="2" t="str">
        <f>_xlfn.XLOOKUP(A6664,'[1]Tissue Data'!$A:$A,'[1]Tissue Data'!$F:$F)</f>
        <v>Pumpkinseed</v>
      </c>
      <c r="E6664" t="str">
        <f>_xlfn.XLOOKUP(A6664,'[1]Tissue Data'!$A:$A,'[1]Tissue Data'!$H:$H)</f>
        <v>Lepomis</v>
      </c>
      <c r="F6664" t="str">
        <f>_xlfn.XLOOKUP(A6664,'[1]Tissue Data'!$A:$A,'[1]Tissue Data'!$I:$I)</f>
        <v>gibbosus</v>
      </c>
      <c r="G6664" t="str">
        <f>_xlfn.XLOOKUP(A6664,'[1]Tissue Data'!$A:$A,'[1]Tissue Data'!J:J)</f>
        <v>M</v>
      </c>
      <c r="H6664" t="str">
        <f>_xlfn.XLOOKUP(A6664,'[1]Tissue Data'!$A:$A,'[1]Tissue Data'!K:K)</f>
        <v>Muscle</v>
      </c>
      <c r="I6664">
        <f>_xlfn.XLOOKUP(A6664,'[1]Tissue Data'!$A:$A,'[1]Tissue Data'!L:L)</f>
        <v>11.5</v>
      </c>
      <c r="J6664">
        <f>_xlfn.XLOOKUP(A6664,'[1]Tissue Data'!$A:$A,'[1]Tissue Data'!M:M)</f>
        <v>34.450000000000003</v>
      </c>
      <c r="K6664" t="s">
        <v>24</v>
      </c>
      <c r="L6664" t="str">
        <f>_xlfn.XLOOKUP(K6664,[2]analyte_order!$B:$B,[2]analyte_order!$C:$C)</f>
        <v>423-41-6</v>
      </c>
      <c r="M6664">
        <f>_xlfn.XLOOKUP(L6664,[2]analyte_order!$C:$C,[2]analyte_order!$E:$E)</f>
        <v>53</v>
      </c>
      <c r="N6664">
        <v>0.121</v>
      </c>
    </row>
    <row r="6665" spans="1:14">
      <c r="A6665" t="s">
        <v>294</v>
      </c>
      <c r="B6665" t="str">
        <f>_xlfn.XLOOKUP(A6665,'[1]Tissue Data'!$A:$A,'[1]Tissue Data'!$C:$C)</f>
        <v>Down</v>
      </c>
      <c r="C6665" s="2">
        <f>_xlfn.XLOOKUP(A6665,'[1]Tissue Data'!$A:$A,'[1]Tissue Data'!$D:$D)</f>
        <v>44393</v>
      </c>
      <c r="D6665" s="2" t="str">
        <f>_xlfn.XLOOKUP(A6665,'[1]Tissue Data'!$A:$A,'[1]Tissue Data'!$F:$F)</f>
        <v>Pumpkinseed</v>
      </c>
      <c r="E6665" t="str">
        <f>_xlfn.XLOOKUP(A6665,'[1]Tissue Data'!$A:$A,'[1]Tissue Data'!$H:$H)</f>
        <v>Lepomis</v>
      </c>
      <c r="F6665" t="str">
        <f>_xlfn.XLOOKUP(A6665,'[1]Tissue Data'!$A:$A,'[1]Tissue Data'!$I:$I)</f>
        <v>gibbosus</v>
      </c>
      <c r="G6665" t="str">
        <f>_xlfn.XLOOKUP(A6665,'[1]Tissue Data'!$A:$A,'[1]Tissue Data'!J:J)</f>
        <v>M</v>
      </c>
      <c r="H6665" t="str">
        <f>_xlfn.XLOOKUP(A6665,'[1]Tissue Data'!$A:$A,'[1]Tissue Data'!K:K)</f>
        <v>Muscle</v>
      </c>
      <c r="I6665">
        <f>_xlfn.XLOOKUP(A6665,'[1]Tissue Data'!$A:$A,'[1]Tissue Data'!L:L)</f>
        <v>11.5</v>
      </c>
      <c r="J6665">
        <f>_xlfn.XLOOKUP(A6665,'[1]Tissue Data'!$A:$A,'[1]Tissue Data'!M:M)</f>
        <v>34.450000000000003</v>
      </c>
      <c r="K6665" t="s">
        <v>25</v>
      </c>
      <c r="L6665" t="str">
        <f>_xlfn.XLOOKUP(K6665,[2]analyte_order!$B:$B,[2]analyte_order!$C:$C)</f>
        <v>375-73-5</v>
      </c>
      <c r="M6665">
        <f>_xlfn.XLOOKUP(L6665,[2]analyte_order!$C:$C,[2]analyte_order!$E:$E)</f>
        <v>14</v>
      </c>
      <c r="N6665">
        <v>0.24249999999999999</v>
      </c>
    </row>
    <row r="6666" spans="1:14">
      <c r="A6666" t="s">
        <v>294</v>
      </c>
      <c r="B6666" t="str">
        <f>_xlfn.XLOOKUP(A6666,'[1]Tissue Data'!$A:$A,'[1]Tissue Data'!$C:$C)</f>
        <v>Down</v>
      </c>
      <c r="C6666" s="2">
        <f>_xlfn.XLOOKUP(A6666,'[1]Tissue Data'!$A:$A,'[1]Tissue Data'!$D:$D)</f>
        <v>44393</v>
      </c>
      <c r="D6666" s="2" t="str">
        <f>_xlfn.XLOOKUP(A6666,'[1]Tissue Data'!$A:$A,'[1]Tissue Data'!$F:$F)</f>
        <v>Pumpkinseed</v>
      </c>
      <c r="E6666" t="str">
        <f>_xlfn.XLOOKUP(A6666,'[1]Tissue Data'!$A:$A,'[1]Tissue Data'!$H:$H)</f>
        <v>Lepomis</v>
      </c>
      <c r="F6666" t="str">
        <f>_xlfn.XLOOKUP(A6666,'[1]Tissue Data'!$A:$A,'[1]Tissue Data'!$I:$I)</f>
        <v>gibbosus</v>
      </c>
      <c r="G6666" t="str">
        <f>_xlfn.XLOOKUP(A6666,'[1]Tissue Data'!$A:$A,'[1]Tissue Data'!J:J)</f>
        <v>M</v>
      </c>
      <c r="H6666" t="str">
        <f>_xlfn.XLOOKUP(A6666,'[1]Tissue Data'!$A:$A,'[1]Tissue Data'!K:K)</f>
        <v>Muscle</v>
      </c>
      <c r="I6666">
        <f>_xlfn.XLOOKUP(A6666,'[1]Tissue Data'!$A:$A,'[1]Tissue Data'!L:L)</f>
        <v>11.5</v>
      </c>
      <c r="J6666">
        <f>_xlfn.XLOOKUP(A6666,'[1]Tissue Data'!$A:$A,'[1]Tissue Data'!M:M)</f>
        <v>34.450000000000003</v>
      </c>
      <c r="K6666" t="s">
        <v>26</v>
      </c>
      <c r="L6666" t="str">
        <f>_xlfn.XLOOKUP(K6666,[2]analyte_order!$B:$B,[2]analyte_order!$C:$C)</f>
        <v>2706-91-4</v>
      </c>
      <c r="M6666">
        <f>_xlfn.XLOOKUP(L6666,[2]analyte_order!$C:$C,[2]analyte_order!$E:$E)</f>
        <v>15</v>
      </c>
      <c r="N6666">
        <v>0.1285</v>
      </c>
    </row>
    <row r="6667" spans="1:14">
      <c r="A6667" t="s">
        <v>294</v>
      </c>
      <c r="B6667" t="str">
        <f>_xlfn.XLOOKUP(A6667,'[1]Tissue Data'!$A:$A,'[1]Tissue Data'!$C:$C)</f>
        <v>Down</v>
      </c>
      <c r="C6667" s="2">
        <f>_xlfn.XLOOKUP(A6667,'[1]Tissue Data'!$A:$A,'[1]Tissue Data'!$D:$D)</f>
        <v>44393</v>
      </c>
      <c r="D6667" s="2" t="str">
        <f>_xlfn.XLOOKUP(A6667,'[1]Tissue Data'!$A:$A,'[1]Tissue Data'!$F:$F)</f>
        <v>Pumpkinseed</v>
      </c>
      <c r="E6667" t="str">
        <f>_xlfn.XLOOKUP(A6667,'[1]Tissue Data'!$A:$A,'[1]Tissue Data'!$H:$H)</f>
        <v>Lepomis</v>
      </c>
      <c r="F6667" t="str">
        <f>_xlfn.XLOOKUP(A6667,'[1]Tissue Data'!$A:$A,'[1]Tissue Data'!$I:$I)</f>
        <v>gibbosus</v>
      </c>
      <c r="G6667" t="str">
        <f>_xlfn.XLOOKUP(A6667,'[1]Tissue Data'!$A:$A,'[1]Tissue Data'!J:J)</f>
        <v>M</v>
      </c>
      <c r="H6667" t="str">
        <f>_xlfn.XLOOKUP(A6667,'[1]Tissue Data'!$A:$A,'[1]Tissue Data'!K:K)</f>
        <v>Muscle</v>
      </c>
      <c r="I6667">
        <f>_xlfn.XLOOKUP(A6667,'[1]Tissue Data'!$A:$A,'[1]Tissue Data'!L:L)</f>
        <v>11.5</v>
      </c>
      <c r="J6667">
        <f>_xlfn.XLOOKUP(A6667,'[1]Tissue Data'!$A:$A,'[1]Tissue Data'!M:M)</f>
        <v>34.450000000000003</v>
      </c>
      <c r="K6667" t="s">
        <v>27</v>
      </c>
      <c r="L6667" t="str">
        <f>_xlfn.XLOOKUP(K6667,[2]analyte_order!$B:$B,[2]analyte_order!$C:$C)</f>
        <v>355-46-4</v>
      </c>
      <c r="M6667">
        <f>_xlfn.XLOOKUP(L6667,[2]analyte_order!$C:$C,[2]analyte_order!$E:$E)</f>
        <v>16</v>
      </c>
      <c r="N6667">
        <v>7</v>
      </c>
    </row>
    <row r="6668" spans="1:14">
      <c r="A6668" t="s">
        <v>294</v>
      </c>
      <c r="B6668" t="str">
        <f>_xlfn.XLOOKUP(A6668,'[1]Tissue Data'!$A:$A,'[1]Tissue Data'!$C:$C)</f>
        <v>Down</v>
      </c>
      <c r="C6668" s="2">
        <f>_xlfn.XLOOKUP(A6668,'[1]Tissue Data'!$A:$A,'[1]Tissue Data'!$D:$D)</f>
        <v>44393</v>
      </c>
      <c r="D6668" s="2" t="str">
        <f>_xlfn.XLOOKUP(A6668,'[1]Tissue Data'!$A:$A,'[1]Tissue Data'!$F:$F)</f>
        <v>Pumpkinseed</v>
      </c>
      <c r="E6668" t="str">
        <f>_xlfn.XLOOKUP(A6668,'[1]Tissue Data'!$A:$A,'[1]Tissue Data'!$H:$H)</f>
        <v>Lepomis</v>
      </c>
      <c r="F6668" t="str">
        <f>_xlfn.XLOOKUP(A6668,'[1]Tissue Data'!$A:$A,'[1]Tissue Data'!$I:$I)</f>
        <v>gibbosus</v>
      </c>
      <c r="G6668" t="str">
        <f>_xlfn.XLOOKUP(A6668,'[1]Tissue Data'!$A:$A,'[1]Tissue Data'!J:J)</f>
        <v>M</v>
      </c>
      <c r="H6668" t="str">
        <f>_xlfn.XLOOKUP(A6668,'[1]Tissue Data'!$A:$A,'[1]Tissue Data'!K:K)</f>
        <v>Muscle</v>
      </c>
      <c r="I6668">
        <f>_xlfn.XLOOKUP(A6668,'[1]Tissue Data'!$A:$A,'[1]Tissue Data'!L:L)</f>
        <v>11.5</v>
      </c>
      <c r="J6668">
        <f>_xlfn.XLOOKUP(A6668,'[1]Tissue Data'!$A:$A,'[1]Tissue Data'!M:M)</f>
        <v>34.450000000000003</v>
      </c>
      <c r="K6668" t="s">
        <v>28</v>
      </c>
      <c r="L6668" t="str">
        <f>_xlfn.XLOOKUP(K6668,[2]analyte_order!$B:$B,[2]analyte_order!$C:$C)</f>
        <v>375-92-8</v>
      </c>
      <c r="M6668">
        <f>_xlfn.XLOOKUP(L6668,[2]analyte_order!$C:$C,[2]analyte_order!$E:$E)</f>
        <v>17</v>
      </c>
      <c r="N6668">
        <v>1.1299999999999999</v>
      </c>
    </row>
    <row r="6669" spans="1:14">
      <c r="A6669" t="s">
        <v>294</v>
      </c>
      <c r="B6669" t="str">
        <f>_xlfn.XLOOKUP(A6669,'[1]Tissue Data'!$A:$A,'[1]Tissue Data'!$C:$C)</f>
        <v>Down</v>
      </c>
      <c r="C6669" s="2">
        <f>_xlfn.XLOOKUP(A6669,'[1]Tissue Data'!$A:$A,'[1]Tissue Data'!$D:$D)</f>
        <v>44393</v>
      </c>
      <c r="D6669" s="2" t="str">
        <f>_xlfn.XLOOKUP(A6669,'[1]Tissue Data'!$A:$A,'[1]Tissue Data'!$F:$F)</f>
        <v>Pumpkinseed</v>
      </c>
      <c r="E6669" t="str">
        <f>_xlfn.XLOOKUP(A6669,'[1]Tissue Data'!$A:$A,'[1]Tissue Data'!$H:$H)</f>
        <v>Lepomis</v>
      </c>
      <c r="F6669" t="str">
        <f>_xlfn.XLOOKUP(A6669,'[1]Tissue Data'!$A:$A,'[1]Tissue Data'!$I:$I)</f>
        <v>gibbosus</v>
      </c>
      <c r="G6669" t="str">
        <f>_xlfn.XLOOKUP(A6669,'[1]Tissue Data'!$A:$A,'[1]Tissue Data'!J:J)</f>
        <v>M</v>
      </c>
      <c r="H6669" t="str">
        <f>_xlfn.XLOOKUP(A6669,'[1]Tissue Data'!$A:$A,'[1]Tissue Data'!K:K)</f>
        <v>Muscle</v>
      </c>
      <c r="I6669">
        <f>_xlfn.XLOOKUP(A6669,'[1]Tissue Data'!$A:$A,'[1]Tissue Data'!L:L)</f>
        <v>11.5</v>
      </c>
      <c r="J6669">
        <f>_xlfn.XLOOKUP(A6669,'[1]Tissue Data'!$A:$A,'[1]Tissue Data'!M:M)</f>
        <v>34.450000000000003</v>
      </c>
      <c r="K6669" t="s">
        <v>29</v>
      </c>
      <c r="L6669" t="str">
        <f>_xlfn.XLOOKUP(K6669,[2]analyte_order!$B:$B,[2]analyte_order!$C:$C)</f>
        <v>1763-23-1</v>
      </c>
      <c r="M6669">
        <f>_xlfn.XLOOKUP(L6669,[2]analyte_order!$C:$C,[2]analyte_order!$E:$E)</f>
        <v>18</v>
      </c>
      <c r="N6669">
        <v>159</v>
      </c>
    </row>
    <row r="6670" spans="1:14">
      <c r="A6670" t="s">
        <v>294</v>
      </c>
      <c r="B6670" t="str">
        <f>_xlfn.XLOOKUP(A6670,'[1]Tissue Data'!$A:$A,'[1]Tissue Data'!$C:$C)</f>
        <v>Down</v>
      </c>
      <c r="C6670" s="2">
        <f>_xlfn.XLOOKUP(A6670,'[1]Tissue Data'!$A:$A,'[1]Tissue Data'!$D:$D)</f>
        <v>44393</v>
      </c>
      <c r="D6670" s="2" t="str">
        <f>_xlfn.XLOOKUP(A6670,'[1]Tissue Data'!$A:$A,'[1]Tissue Data'!$F:$F)</f>
        <v>Pumpkinseed</v>
      </c>
      <c r="E6670" t="str">
        <f>_xlfn.XLOOKUP(A6670,'[1]Tissue Data'!$A:$A,'[1]Tissue Data'!$H:$H)</f>
        <v>Lepomis</v>
      </c>
      <c r="F6670" t="str">
        <f>_xlfn.XLOOKUP(A6670,'[1]Tissue Data'!$A:$A,'[1]Tissue Data'!$I:$I)</f>
        <v>gibbosus</v>
      </c>
      <c r="G6670" t="str">
        <f>_xlfn.XLOOKUP(A6670,'[1]Tissue Data'!$A:$A,'[1]Tissue Data'!J:J)</f>
        <v>M</v>
      </c>
      <c r="H6670" t="str">
        <f>_xlfn.XLOOKUP(A6670,'[1]Tissue Data'!$A:$A,'[1]Tissue Data'!K:K)</f>
        <v>Muscle</v>
      </c>
      <c r="I6670">
        <f>_xlfn.XLOOKUP(A6670,'[1]Tissue Data'!$A:$A,'[1]Tissue Data'!L:L)</f>
        <v>11.5</v>
      </c>
      <c r="J6670">
        <f>_xlfn.XLOOKUP(A6670,'[1]Tissue Data'!$A:$A,'[1]Tissue Data'!M:M)</f>
        <v>34.450000000000003</v>
      </c>
      <c r="K6670" t="s">
        <v>30</v>
      </c>
      <c r="L6670" t="str">
        <f>_xlfn.XLOOKUP(K6670,[2]analyte_order!$B:$B,[2]analyte_order!$C:$C)</f>
        <v>68259-12-1</v>
      </c>
      <c r="M6670">
        <f>_xlfn.XLOOKUP(L6670,[2]analyte_order!$C:$C,[2]analyte_order!$E:$E)</f>
        <v>19</v>
      </c>
      <c r="N6670">
        <v>0.24249999999999999</v>
      </c>
    </row>
    <row r="6671" spans="1:14">
      <c r="A6671" t="s">
        <v>294</v>
      </c>
      <c r="B6671" t="str">
        <f>_xlfn.XLOOKUP(A6671,'[1]Tissue Data'!$A:$A,'[1]Tissue Data'!$C:$C)</f>
        <v>Down</v>
      </c>
      <c r="C6671" s="2">
        <f>_xlfn.XLOOKUP(A6671,'[1]Tissue Data'!$A:$A,'[1]Tissue Data'!$D:$D)</f>
        <v>44393</v>
      </c>
      <c r="D6671" s="2" t="str">
        <f>_xlfn.XLOOKUP(A6671,'[1]Tissue Data'!$A:$A,'[1]Tissue Data'!$F:$F)</f>
        <v>Pumpkinseed</v>
      </c>
      <c r="E6671" t="str">
        <f>_xlfn.XLOOKUP(A6671,'[1]Tissue Data'!$A:$A,'[1]Tissue Data'!$H:$H)</f>
        <v>Lepomis</v>
      </c>
      <c r="F6671" t="str">
        <f>_xlfn.XLOOKUP(A6671,'[1]Tissue Data'!$A:$A,'[1]Tissue Data'!$I:$I)</f>
        <v>gibbosus</v>
      </c>
      <c r="G6671" t="str">
        <f>_xlfn.XLOOKUP(A6671,'[1]Tissue Data'!$A:$A,'[1]Tissue Data'!J:J)</f>
        <v>M</v>
      </c>
      <c r="H6671" t="str">
        <f>_xlfn.XLOOKUP(A6671,'[1]Tissue Data'!$A:$A,'[1]Tissue Data'!K:K)</f>
        <v>Muscle</v>
      </c>
      <c r="I6671">
        <f>_xlfn.XLOOKUP(A6671,'[1]Tissue Data'!$A:$A,'[1]Tissue Data'!L:L)</f>
        <v>11.5</v>
      </c>
      <c r="J6671">
        <f>_xlfn.XLOOKUP(A6671,'[1]Tissue Data'!$A:$A,'[1]Tissue Data'!M:M)</f>
        <v>34.450000000000003</v>
      </c>
      <c r="K6671" t="s">
        <v>31</v>
      </c>
      <c r="L6671" t="str">
        <f>_xlfn.XLOOKUP(K6671,[2]analyte_order!$B:$B,[2]analyte_order!$C:$C)</f>
        <v>335-77-3</v>
      </c>
      <c r="M6671">
        <f>_xlfn.XLOOKUP(L6671,[2]analyte_order!$C:$C,[2]analyte_order!$E:$E)</f>
        <v>20</v>
      </c>
      <c r="N6671">
        <v>0.24249999999999999</v>
      </c>
    </row>
    <row r="6672" spans="1:14">
      <c r="A6672" t="s">
        <v>294</v>
      </c>
      <c r="B6672" t="str">
        <f>_xlfn.XLOOKUP(A6672,'[1]Tissue Data'!$A:$A,'[1]Tissue Data'!$C:$C)</f>
        <v>Down</v>
      </c>
      <c r="C6672" s="2">
        <f>_xlfn.XLOOKUP(A6672,'[1]Tissue Data'!$A:$A,'[1]Tissue Data'!$D:$D)</f>
        <v>44393</v>
      </c>
      <c r="D6672" s="2" t="str">
        <f>_xlfn.XLOOKUP(A6672,'[1]Tissue Data'!$A:$A,'[1]Tissue Data'!$F:$F)</f>
        <v>Pumpkinseed</v>
      </c>
      <c r="E6672" t="str">
        <f>_xlfn.XLOOKUP(A6672,'[1]Tissue Data'!$A:$A,'[1]Tissue Data'!$H:$H)</f>
        <v>Lepomis</v>
      </c>
      <c r="F6672" t="str">
        <f>_xlfn.XLOOKUP(A6672,'[1]Tissue Data'!$A:$A,'[1]Tissue Data'!$I:$I)</f>
        <v>gibbosus</v>
      </c>
      <c r="G6672" t="str">
        <f>_xlfn.XLOOKUP(A6672,'[1]Tissue Data'!$A:$A,'[1]Tissue Data'!J:J)</f>
        <v>M</v>
      </c>
      <c r="H6672" t="str">
        <f>_xlfn.XLOOKUP(A6672,'[1]Tissue Data'!$A:$A,'[1]Tissue Data'!K:K)</f>
        <v>Muscle</v>
      </c>
      <c r="I6672">
        <f>_xlfn.XLOOKUP(A6672,'[1]Tissue Data'!$A:$A,'[1]Tissue Data'!L:L)</f>
        <v>11.5</v>
      </c>
      <c r="J6672">
        <f>_xlfn.XLOOKUP(A6672,'[1]Tissue Data'!$A:$A,'[1]Tissue Data'!M:M)</f>
        <v>34.450000000000003</v>
      </c>
      <c r="K6672" t="s">
        <v>32</v>
      </c>
      <c r="L6672" t="str">
        <f>_xlfn.XLOOKUP(K6672,[2]analyte_order!$B:$B,[2]analyte_order!$C:$C)</f>
        <v>79780-39-5</v>
      </c>
      <c r="M6672">
        <f>_xlfn.XLOOKUP(L6672,[2]analyte_order!$C:$C,[2]analyte_order!$E:$E)</f>
        <v>21</v>
      </c>
      <c r="N6672">
        <v>0.25950000000000001</v>
      </c>
    </row>
    <row r="6673" spans="1:14">
      <c r="A6673" t="s">
        <v>294</v>
      </c>
      <c r="B6673" t="str">
        <f>_xlfn.XLOOKUP(A6673,'[1]Tissue Data'!$A:$A,'[1]Tissue Data'!$C:$C)</f>
        <v>Down</v>
      </c>
      <c r="C6673" s="2">
        <f>_xlfn.XLOOKUP(A6673,'[1]Tissue Data'!$A:$A,'[1]Tissue Data'!$D:$D)</f>
        <v>44393</v>
      </c>
      <c r="D6673" s="2" t="str">
        <f>_xlfn.XLOOKUP(A6673,'[1]Tissue Data'!$A:$A,'[1]Tissue Data'!$F:$F)</f>
        <v>Pumpkinseed</v>
      </c>
      <c r="E6673" t="str">
        <f>_xlfn.XLOOKUP(A6673,'[1]Tissue Data'!$A:$A,'[1]Tissue Data'!$H:$H)</f>
        <v>Lepomis</v>
      </c>
      <c r="F6673" t="str">
        <f>_xlfn.XLOOKUP(A6673,'[1]Tissue Data'!$A:$A,'[1]Tissue Data'!$I:$I)</f>
        <v>gibbosus</v>
      </c>
      <c r="G6673" t="str">
        <f>_xlfn.XLOOKUP(A6673,'[1]Tissue Data'!$A:$A,'[1]Tissue Data'!J:J)</f>
        <v>M</v>
      </c>
      <c r="H6673" t="str">
        <f>_xlfn.XLOOKUP(A6673,'[1]Tissue Data'!$A:$A,'[1]Tissue Data'!K:K)</f>
        <v>Muscle</v>
      </c>
      <c r="I6673">
        <f>_xlfn.XLOOKUP(A6673,'[1]Tissue Data'!$A:$A,'[1]Tissue Data'!L:L)</f>
        <v>11.5</v>
      </c>
      <c r="J6673">
        <f>_xlfn.XLOOKUP(A6673,'[1]Tissue Data'!$A:$A,'[1]Tissue Data'!M:M)</f>
        <v>34.450000000000003</v>
      </c>
      <c r="K6673" t="s">
        <v>33</v>
      </c>
      <c r="L6673" t="str">
        <f>_xlfn.XLOOKUP(K6673,[2]analyte_order!$B:$B,[2]analyte_order!$C:$C)</f>
        <v>777011-38-8</v>
      </c>
      <c r="M6673">
        <f>_xlfn.XLOOKUP(L6673,[2]analyte_order!$C:$C,[2]analyte_order!$E:$E)</f>
        <v>54</v>
      </c>
      <c r="N6673">
        <v>0.14749999999999999</v>
      </c>
    </row>
    <row r="6674" spans="1:14">
      <c r="A6674" t="s">
        <v>294</v>
      </c>
      <c r="B6674" t="str">
        <f>_xlfn.XLOOKUP(A6674,'[1]Tissue Data'!$A:$A,'[1]Tissue Data'!$C:$C)</f>
        <v>Down</v>
      </c>
      <c r="C6674" s="2">
        <f>_xlfn.XLOOKUP(A6674,'[1]Tissue Data'!$A:$A,'[1]Tissue Data'!$D:$D)</f>
        <v>44393</v>
      </c>
      <c r="D6674" s="2" t="str">
        <f>_xlfn.XLOOKUP(A6674,'[1]Tissue Data'!$A:$A,'[1]Tissue Data'!$F:$F)</f>
        <v>Pumpkinseed</v>
      </c>
      <c r="E6674" t="str">
        <f>_xlfn.XLOOKUP(A6674,'[1]Tissue Data'!$A:$A,'[1]Tissue Data'!$H:$H)</f>
        <v>Lepomis</v>
      </c>
      <c r="F6674" t="str">
        <f>_xlfn.XLOOKUP(A6674,'[1]Tissue Data'!$A:$A,'[1]Tissue Data'!$I:$I)</f>
        <v>gibbosus</v>
      </c>
      <c r="G6674" t="str">
        <f>_xlfn.XLOOKUP(A6674,'[1]Tissue Data'!$A:$A,'[1]Tissue Data'!J:J)</f>
        <v>M</v>
      </c>
      <c r="H6674" t="str">
        <f>_xlfn.XLOOKUP(A6674,'[1]Tissue Data'!$A:$A,'[1]Tissue Data'!K:K)</f>
        <v>Muscle</v>
      </c>
      <c r="I6674">
        <f>_xlfn.XLOOKUP(A6674,'[1]Tissue Data'!$A:$A,'[1]Tissue Data'!L:L)</f>
        <v>11.5</v>
      </c>
      <c r="J6674">
        <f>_xlfn.XLOOKUP(A6674,'[1]Tissue Data'!$A:$A,'[1]Tissue Data'!M:M)</f>
        <v>34.450000000000003</v>
      </c>
      <c r="K6674" t="s">
        <v>34</v>
      </c>
      <c r="L6674" t="str">
        <f>_xlfn.XLOOKUP(K6674,[2]analyte_order!$B:$B,[2]analyte_order!$C:$C)</f>
        <v>646-83-3</v>
      </c>
      <c r="M6674">
        <f>_xlfn.XLOOKUP(L6674,[2]analyte_order!$C:$C,[2]analyte_order!$E:$E)</f>
        <v>55</v>
      </c>
      <c r="N6674">
        <v>9.7000000000000003E-2</v>
      </c>
    </row>
    <row r="6675" spans="1:14">
      <c r="A6675" t="s">
        <v>294</v>
      </c>
      <c r="B6675" t="str">
        <f>_xlfn.XLOOKUP(A6675,'[1]Tissue Data'!$A:$A,'[1]Tissue Data'!$C:$C)</f>
        <v>Down</v>
      </c>
      <c r="C6675" s="2">
        <f>_xlfn.XLOOKUP(A6675,'[1]Tissue Data'!$A:$A,'[1]Tissue Data'!$D:$D)</f>
        <v>44393</v>
      </c>
      <c r="D6675" s="2" t="str">
        <f>_xlfn.XLOOKUP(A6675,'[1]Tissue Data'!$A:$A,'[1]Tissue Data'!$F:$F)</f>
        <v>Pumpkinseed</v>
      </c>
      <c r="E6675" t="str">
        <f>_xlfn.XLOOKUP(A6675,'[1]Tissue Data'!$A:$A,'[1]Tissue Data'!$H:$H)</f>
        <v>Lepomis</v>
      </c>
      <c r="F6675" t="str">
        <f>_xlfn.XLOOKUP(A6675,'[1]Tissue Data'!$A:$A,'[1]Tissue Data'!$I:$I)</f>
        <v>gibbosus</v>
      </c>
      <c r="G6675" t="str">
        <f>_xlfn.XLOOKUP(A6675,'[1]Tissue Data'!$A:$A,'[1]Tissue Data'!J:J)</f>
        <v>M</v>
      </c>
      <c r="H6675" t="str">
        <f>_xlfn.XLOOKUP(A6675,'[1]Tissue Data'!$A:$A,'[1]Tissue Data'!K:K)</f>
        <v>Muscle</v>
      </c>
      <c r="I6675">
        <f>_xlfn.XLOOKUP(A6675,'[1]Tissue Data'!$A:$A,'[1]Tissue Data'!L:L)</f>
        <v>11.5</v>
      </c>
      <c r="J6675">
        <f>_xlfn.XLOOKUP(A6675,'[1]Tissue Data'!$A:$A,'[1]Tissue Data'!M:M)</f>
        <v>34.450000000000003</v>
      </c>
      <c r="K6675" t="s">
        <v>35</v>
      </c>
      <c r="L6675" t="str">
        <f>_xlfn.XLOOKUP(K6675,[2]analyte_order!$B:$B,[2]analyte_order!$C:$C)</f>
        <v>30334-69-1</v>
      </c>
      <c r="M6675">
        <f>_xlfn.XLOOKUP(L6675,[2]analyte_order!$C:$C,[2]analyte_order!$E:$E)</f>
        <v>51</v>
      </c>
      <c r="N6675">
        <v>4.4000000000000004</v>
      </c>
    </row>
    <row r="6676" spans="1:14">
      <c r="A6676" t="s">
        <v>294</v>
      </c>
      <c r="B6676" t="str">
        <f>_xlfn.XLOOKUP(A6676,'[1]Tissue Data'!$A:$A,'[1]Tissue Data'!$C:$C)</f>
        <v>Down</v>
      </c>
      <c r="C6676" s="2">
        <f>_xlfn.XLOOKUP(A6676,'[1]Tissue Data'!$A:$A,'[1]Tissue Data'!$D:$D)</f>
        <v>44393</v>
      </c>
      <c r="D6676" s="2" t="str">
        <f>_xlfn.XLOOKUP(A6676,'[1]Tissue Data'!$A:$A,'[1]Tissue Data'!$F:$F)</f>
        <v>Pumpkinseed</v>
      </c>
      <c r="E6676" t="str">
        <f>_xlfn.XLOOKUP(A6676,'[1]Tissue Data'!$A:$A,'[1]Tissue Data'!$H:$H)</f>
        <v>Lepomis</v>
      </c>
      <c r="F6676" t="str">
        <f>_xlfn.XLOOKUP(A6676,'[1]Tissue Data'!$A:$A,'[1]Tissue Data'!$I:$I)</f>
        <v>gibbosus</v>
      </c>
      <c r="G6676" t="str">
        <f>_xlfn.XLOOKUP(A6676,'[1]Tissue Data'!$A:$A,'[1]Tissue Data'!J:J)</f>
        <v>M</v>
      </c>
      <c r="H6676" t="str">
        <f>_xlfn.XLOOKUP(A6676,'[1]Tissue Data'!$A:$A,'[1]Tissue Data'!K:K)</f>
        <v>Muscle</v>
      </c>
      <c r="I6676">
        <f>_xlfn.XLOOKUP(A6676,'[1]Tissue Data'!$A:$A,'[1]Tissue Data'!L:L)</f>
        <v>11.5</v>
      </c>
      <c r="J6676">
        <f>_xlfn.XLOOKUP(A6676,'[1]Tissue Data'!$A:$A,'[1]Tissue Data'!M:M)</f>
        <v>34.450000000000003</v>
      </c>
      <c r="K6676" t="s">
        <v>36</v>
      </c>
      <c r="L6676" t="str">
        <f>_xlfn.XLOOKUP(K6676,[2]analyte_order!$B:$B,[2]analyte_order!$C:$C)</f>
        <v>41997-13-1</v>
      </c>
      <c r="M6676">
        <f>_xlfn.XLOOKUP(L6676,[2]analyte_order!$C:$C,[2]analyte_order!$E:$E)</f>
        <v>52</v>
      </c>
      <c r="N6676">
        <v>19.100000000000001</v>
      </c>
    </row>
    <row r="6677" spans="1:14">
      <c r="A6677" t="s">
        <v>294</v>
      </c>
      <c r="B6677" t="str">
        <f>_xlfn.XLOOKUP(A6677,'[1]Tissue Data'!$A:$A,'[1]Tissue Data'!$C:$C)</f>
        <v>Down</v>
      </c>
      <c r="C6677" s="2">
        <f>_xlfn.XLOOKUP(A6677,'[1]Tissue Data'!$A:$A,'[1]Tissue Data'!$D:$D)</f>
        <v>44393</v>
      </c>
      <c r="D6677" s="2" t="str">
        <f>_xlfn.XLOOKUP(A6677,'[1]Tissue Data'!$A:$A,'[1]Tissue Data'!$F:$F)</f>
        <v>Pumpkinseed</v>
      </c>
      <c r="E6677" t="str">
        <f>_xlfn.XLOOKUP(A6677,'[1]Tissue Data'!$A:$A,'[1]Tissue Data'!$H:$H)</f>
        <v>Lepomis</v>
      </c>
      <c r="F6677" t="str">
        <f>_xlfn.XLOOKUP(A6677,'[1]Tissue Data'!$A:$A,'[1]Tissue Data'!$I:$I)</f>
        <v>gibbosus</v>
      </c>
      <c r="G6677" t="str">
        <f>_xlfn.XLOOKUP(A6677,'[1]Tissue Data'!$A:$A,'[1]Tissue Data'!J:J)</f>
        <v>M</v>
      </c>
      <c r="H6677" t="str">
        <f>_xlfn.XLOOKUP(A6677,'[1]Tissue Data'!$A:$A,'[1]Tissue Data'!K:K)</f>
        <v>Muscle</v>
      </c>
      <c r="I6677">
        <f>_xlfn.XLOOKUP(A6677,'[1]Tissue Data'!$A:$A,'[1]Tissue Data'!L:L)</f>
        <v>11.5</v>
      </c>
      <c r="J6677">
        <f>_xlfn.XLOOKUP(A6677,'[1]Tissue Data'!$A:$A,'[1]Tissue Data'!M:M)</f>
        <v>34.450000000000003</v>
      </c>
      <c r="K6677" t="s">
        <v>37</v>
      </c>
      <c r="L6677" t="str">
        <f>_xlfn.XLOOKUP(K6677,[2]analyte_order!$B:$B,[2]analyte_order!$C:$C)</f>
        <v>754-91-6</v>
      </c>
      <c r="M6677">
        <f>_xlfn.XLOOKUP(L6677,[2]analyte_order!$C:$C,[2]analyte_order!$E:$E)</f>
        <v>28</v>
      </c>
      <c r="N6677">
        <v>3.07</v>
      </c>
    </row>
    <row r="6678" spans="1:14">
      <c r="A6678" t="s">
        <v>294</v>
      </c>
      <c r="B6678" t="str">
        <f>_xlfn.XLOOKUP(A6678,'[1]Tissue Data'!$A:$A,'[1]Tissue Data'!$C:$C)</f>
        <v>Down</v>
      </c>
      <c r="C6678" s="2">
        <f>_xlfn.XLOOKUP(A6678,'[1]Tissue Data'!$A:$A,'[1]Tissue Data'!$D:$D)</f>
        <v>44393</v>
      </c>
      <c r="D6678" s="2" t="str">
        <f>_xlfn.XLOOKUP(A6678,'[1]Tissue Data'!$A:$A,'[1]Tissue Data'!$F:$F)</f>
        <v>Pumpkinseed</v>
      </c>
      <c r="E6678" t="str">
        <f>_xlfn.XLOOKUP(A6678,'[1]Tissue Data'!$A:$A,'[1]Tissue Data'!$H:$H)</f>
        <v>Lepomis</v>
      </c>
      <c r="F6678" t="str">
        <f>_xlfn.XLOOKUP(A6678,'[1]Tissue Data'!$A:$A,'[1]Tissue Data'!$I:$I)</f>
        <v>gibbosus</v>
      </c>
      <c r="G6678" t="str">
        <f>_xlfn.XLOOKUP(A6678,'[1]Tissue Data'!$A:$A,'[1]Tissue Data'!J:J)</f>
        <v>M</v>
      </c>
      <c r="H6678" t="str">
        <f>_xlfn.XLOOKUP(A6678,'[1]Tissue Data'!$A:$A,'[1]Tissue Data'!K:K)</f>
        <v>Muscle</v>
      </c>
      <c r="I6678">
        <f>_xlfn.XLOOKUP(A6678,'[1]Tissue Data'!$A:$A,'[1]Tissue Data'!L:L)</f>
        <v>11.5</v>
      </c>
      <c r="J6678">
        <f>_xlfn.XLOOKUP(A6678,'[1]Tissue Data'!$A:$A,'[1]Tissue Data'!M:M)</f>
        <v>34.450000000000003</v>
      </c>
      <c r="K6678" t="s">
        <v>38</v>
      </c>
      <c r="L6678" t="str">
        <f>_xlfn.XLOOKUP(K6678,[2]analyte_order!$B:$B,[2]analyte_order!$C:$C)</f>
        <v>31506-32-8</v>
      </c>
      <c r="M6678">
        <f>_xlfn.XLOOKUP(L6678,[2]analyte_order!$C:$C,[2]analyte_order!$E:$E)</f>
        <v>30</v>
      </c>
      <c r="N6678">
        <v>9.35E-2</v>
      </c>
    </row>
    <row r="6679" spans="1:14">
      <c r="A6679" t="s">
        <v>294</v>
      </c>
      <c r="B6679" t="str">
        <f>_xlfn.XLOOKUP(A6679,'[1]Tissue Data'!$A:$A,'[1]Tissue Data'!$C:$C)</f>
        <v>Down</v>
      </c>
      <c r="C6679" s="2">
        <f>_xlfn.XLOOKUP(A6679,'[1]Tissue Data'!$A:$A,'[1]Tissue Data'!$D:$D)</f>
        <v>44393</v>
      </c>
      <c r="D6679" s="2" t="str">
        <f>_xlfn.XLOOKUP(A6679,'[1]Tissue Data'!$A:$A,'[1]Tissue Data'!$F:$F)</f>
        <v>Pumpkinseed</v>
      </c>
      <c r="E6679" t="str">
        <f>_xlfn.XLOOKUP(A6679,'[1]Tissue Data'!$A:$A,'[1]Tissue Data'!$H:$H)</f>
        <v>Lepomis</v>
      </c>
      <c r="F6679" t="str">
        <f>_xlfn.XLOOKUP(A6679,'[1]Tissue Data'!$A:$A,'[1]Tissue Data'!$I:$I)</f>
        <v>gibbosus</v>
      </c>
      <c r="G6679" t="str">
        <f>_xlfn.XLOOKUP(A6679,'[1]Tissue Data'!$A:$A,'[1]Tissue Data'!J:J)</f>
        <v>M</v>
      </c>
      <c r="H6679" t="str">
        <f>_xlfn.XLOOKUP(A6679,'[1]Tissue Data'!$A:$A,'[1]Tissue Data'!K:K)</f>
        <v>Muscle</v>
      </c>
      <c r="I6679">
        <f>_xlfn.XLOOKUP(A6679,'[1]Tissue Data'!$A:$A,'[1]Tissue Data'!L:L)</f>
        <v>11.5</v>
      </c>
      <c r="J6679">
        <f>_xlfn.XLOOKUP(A6679,'[1]Tissue Data'!$A:$A,'[1]Tissue Data'!M:M)</f>
        <v>34.450000000000003</v>
      </c>
      <c r="K6679" t="s">
        <v>39</v>
      </c>
      <c r="L6679" t="str">
        <f>_xlfn.XLOOKUP(K6679,[2]analyte_order!$B:$B,[2]analyte_order!$C:$C)</f>
        <v>4151-50-2</v>
      </c>
      <c r="M6679">
        <f>_xlfn.XLOOKUP(L6679,[2]analyte_order!$C:$C,[2]analyte_order!$E:$E)</f>
        <v>31</v>
      </c>
      <c r="N6679">
        <v>0.24249999999999999</v>
      </c>
    </row>
    <row r="6680" spans="1:14">
      <c r="A6680" t="s">
        <v>294</v>
      </c>
      <c r="B6680" t="str">
        <f>_xlfn.XLOOKUP(A6680,'[1]Tissue Data'!$A:$A,'[1]Tissue Data'!$C:$C)</f>
        <v>Down</v>
      </c>
      <c r="C6680" s="2">
        <f>_xlfn.XLOOKUP(A6680,'[1]Tissue Data'!$A:$A,'[1]Tissue Data'!$D:$D)</f>
        <v>44393</v>
      </c>
      <c r="D6680" s="2" t="str">
        <f>_xlfn.XLOOKUP(A6680,'[1]Tissue Data'!$A:$A,'[1]Tissue Data'!$F:$F)</f>
        <v>Pumpkinseed</v>
      </c>
      <c r="E6680" t="str">
        <f>_xlfn.XLOOKUP(A6680,'[1]Tissue Data'!$A:$A,'[1]Tissue Data'!$H:$H)</f>
        <v>Lepomis</v>
      </c>
      <c r="F6680" t="str">
        <f>_xlfn.XLOOKUP(A6680,'[1]Tissue Data'!$A:$A,'[1]Tissue Data'!$I:$I)</f>
        <v>gibbosus</v>
      </c>
      <c r="G6680" t="str">
        <f>_xlfn.XLOOKUP(A6680,'[1]Tissue Data'!$A:$A,'[1]Tissue Data'!J:J)</f>
        <v>M</v>
      </c>
      <c r="H6680" t="str">
        <f>_xlfn.XLOOKUP(A6680,'[1]Tissue Data'!$A:$A,'[1]Tissue Data'!K:K)</f>
        <v>Muscle</v>
      </c>
      <c r="I6680">
        <f>_xlfn.XLOOKUP(A6680,'[1]Tissue Data'!$A:$A,'[1]Tissue Data'!L:L)</f>
        <v>11.5</v>
      </c>
      <c r="J6680">
        <f>_xlfn.XLOOKUP(A6680,'[1]Tissue Data'!$A:$A,'[1]Tissue Data'!M:M)</f>
        <v>34.450000000000003</v>
      </c>
      <c r="K6680" t="s">
        <v>40</v>
      </c>
      <c r="L6680" t="str">
        <f>_xlfn.XLOOKUP(K6680,[2]analyte_order!$B:$B,[2]analyte_order!$C:$C)</f>
        <v>2806-24-8</v>
      </c>
      <c r="M6680">
        <f>_xlfn.XLOOKUP(L6680,[2]analyte_order!$C:$C,[2]analyte_order!$E:$E)</f>
        <v>29</v>
      </c>
      <c r="N6680">
        <v>0.24249999999999999</v>
      </c>
    </row>
    <row r="6681" spans="1:14">
      <c r="A6681" t="s">
        <v>294</v>
      </c>
      <c r="B6681" t="str">
        <f>_xlfn.XLOOKUP(A6681,'[1]Tissue Data'!$A:$A,'[1]Tissue Data'!$C:$C)</f>
        <v>Down</v>
      </c>
      <c r="C6681" s="2">
        <f>_xlfn.XLOOKUP(A6681,'[1]Tissue Data'!$A:$A,'[1]Tissue Data'!$D:$D)</f>
        <v>44393</v>
      </c>
      <c r="D6681" s="2" t="str">
        <f>_xlfn.XLOOKUP(A6681,'[1]Tissue Data'!$A:$A,'[1]Tissue Data'!$F:$F)</f>
        <v>Pumpkinseed</v>
      </c>
      <c r="E6681" t="str">
        <f>_xlfn.XLOOKUP(A6681,'[1]Tissue Data'!$A:$A,'[1]Tissue Data'!$H:$H)</f>
        <v>Lepomis</v>
      </c>
      <c r="F6681" t="str">
        <f>_xlfn.XLOOKUP(A6681,'[1]Tissue Data'!$A:$A,'[1]Tissue Data'!$I:$I)</f>
        <v>gibbosus</v>
      </c>
      <c r="G6681" t="str">
        <f>_xlfn.XLOOKUP(A6681,'[1]Tissue Data'!$A:$A,'[1]Tissue Data'!J:J)</f>
        <v>M</v>
      </c>
      <c r="H6681" t="str">
        <f>_xlfn.XLOOKUP(A6681,'[1]Tissue Data'!$A:$A,'[1]Tissue Data'!K:K)</f>
        <v>Muscle</v>
      </c>
      <c r="I6681">
        <f>_xlfn.XLOOKUP(A6681,'[1]Tissue Data'!$A:$A,'[1]Tissue Data'!L:L)</f>
        <v>11.5</v>
      </c>
      <c r="J6681">
        <f>_xlfn.XLOOKUP(A6681,'[1]Tissue Data'!$A:$A,'[1]Tissue Data'!M:M)</f>
        <v>34.450000000000003</v>
      </c>
      <c r="K6681" t="s">
        <v>41</v>
      </c>
      <c r="L6681" t="str">
        <f>_xlfn.XLOOKUP(K6681,[2]analyte_order!$B:$B,[2]analyte_order!$C:$C)</f>
        <v>2355-31-9</v>
      </c>
      <c r="M6681">
        <f>_xlfn.XLOOKUP(L6681,[2]analyte_order!$C:$C,[2]analyte_order!$E:$E)</f>
        <v>26</v>
      </c>
      <c r="N6681">
        <v>0.122</v>
      </c>
    </row>
    <row r="6682" spans="1:14">
      <c r="A6682" t="s">
        <v>294</v>
      </c>
      <c r="B6682" t="str">
        <f>_xlfn.XLOOKUP(A6682,'[1]Tissue Data'!$A:$A,'[1]Tissue Data'!$C:$C)</f>
        <v>Down</v>
      </c>
      <c r="C6682" s="2">
        <f>_xlfn.XLOOKUP(A6682,'[1]Tissue Data'!$A:$A,'[1]Tissue Data'!$D:$D)</f>
        <v>44393</v>
      </c>
      <c r="D6682" s="2" t="str">
        <f>_xlfn.XLOOKUP(A6682,'[1]Tissue Data'!$A:$A,'[1]Tissue Data'!$F:$F)</f>
        <v>Pumpkinseed</v>
      </c>
      <c r="E6682" t="str">
        <f>_xlfn.XLOOKUP(A6682,'[1]Tissue Data'!$A:$A,'[1]Tissue Data'!$H:$H)</f>
        <v>Lepomis</v>
      </c>
      <c r="F6682" t="str">
        <f>_xlfn.XLOOKUP(A6682,'[1]Tissue Data'!$A:$A,'[1]Tissue Data'!$I:$I)</f>
        <v>gibbosus</v>
      </c>
      <c r="G6682" t="str">
        <f>_xlfn.XLOOKUP(A6682,'[1]Tissue Data'!$A:$A,'[1]Tissue Data'!J:J)</f>
        <v>M</v>
      </c>
      <c r="H6682" t="str">
        <f>_xlfn.XLOOKUP(A6682,'[1]Tissue Data'!$A:$A,'[1]Tissue Data'!K:K)</f>
        <v>Muscle</v>
      </c>
      <c r="I6682">
        <f>_xlfn.XLOOKUP(A6682,'[1]Tissue Data'!$A:$A,'[1]Tissue Data'!L:L)</f>
        <v>11.5</v>
      </c>
      <c r="J6682">
        <f>_xlfn.XLOOKUP(A6682,'[1]Tissue Data'!$A:$A,'[1]Tissue Data'!M:M)</f>
        <v>34.450000000000003</v>
      </c>
      <c r="K6682" t="s">
        <v>42</v>
      </c>
      <c r="L6682" t="str">
        <f>_xlfn.XLOOKUP(K6682,[2]analyte_order!$B:$B,[2]analyte_order!$C:$C)</f>
        <v>2991-50-6</v>
      </c>
      <c r="M6682">
        <f>_xlfn.XLOOKUP(L6682,[2]analyte_order!$C:$C,[2]analyte_order!$E:$E)</f>
        <v>27</v>
      </c>
      <c r="N6682">
        <v>0.121</v>
      </c>
    </row>
    <row r="6683" spans="1:14">
      <c r="A6683" t="s">
        <v>294</v>
      </c>
      <c r="B6683" t="str">
        <f>_xlfn.XLOOKUP(A6683,'[1]Tissue Data'!$A:$A,'[1]Tissue Data'!$C:$C)</f>
        <v>Down</v>
      </c>
      <c r="C6683" s="2">
        <f>_xlfn.XLOOKUP(A6683,'[1]Tissue Data'!$A:$A,'[1]Tissue Data'!$D:$D)</f>
        <v>44393</v>
      </c>
      <c r="D6683" s="2" t="str">
        <f>_xlfn.XLOOKUP(A6683,'[1]Tissue Data'!$A:$A,'[1]Tissue Data'!$F:$F)</f>
        <v>Pumpkinseed</v>
      </c>
      <c r="E6683" t="str">
        <f>_xlfn.XLOOKUP(A6683,'[1]Tissue Data'!$A:$A,'[1]Tissue Data'!$H:$H)</f>
        <v>Lepomis</v>
      </c>
      <c r="F6683" t="str">
        <f>_xlfn.XLOOKUP(A6683,'[1]Tissue Data'!$A:$A,'[1]Tissue Data'!$I:$I)</f>
        <v>gibbosus</v>
      </c>
      <c r="G6683" t="str">
        <f>_xlfn.XLOOKUP(A6683,'[1]Tissue Data'!$A:$A,'[1]Tissue Data'!J:J)</f>
        <v>M</v>
      </c>
      <c r="H6683" t="str">
        <f>_xlfn.XLOOKUP(A6683,'[1]Tissue Data'!$A:$A,'[1]Tissue Data'!K:K)</f>
        <v>Muscle</v>
      </c>
      <c r="I6683">
        <f>_xlfn.XLOOKUP(A6683,'[1]Tissue Data'!$A:$A,'[1]Tissue Data'!L:L)</f>
        <v>11.5</v>
      </c>
      <c r="J6683">
        <f>_xlfn.XLOOKUP(A6683,'[1]Tissue Data'!$A:$A,'[1]Tissue Data'!M:M)</f>
        <v>34.450000000000003</v>
      </c>
      <c r="K6683" t="s">
        <v>43</v>
      </c>
      <c r="L6683" t="str">
        <f>_xlfn.XLOOKUP(K6683,[2]analyte_order!$B:$B,[2]analyte_order!$C:$C)</f>
        <v>757124-72-4</v>
      </c>
      <c r="M6683">
        <f>_xlfn.XLOOKUP(L6683,[2]analyte_order!$C:$C,[2]analyte_order!$E:$E)</f>
        <v>22</v>
      </c>
      <c r="N6683">
        <v>0.121</v>
      </c>
    </row>
    <row r="6684" spans="1:14">
      <c r="A6684" t="s">
        <v>294</v>
      </c>
      <c r="B6684" t="str">
        <f>_xlfn.XLOOKUP(A6684,'[1]Tissue Data'!$A:$A,'[1]Tissue Data'!$C:$C)</f>
        <v>Down</v>
      </c>
      <c r="C6684" s="2">
        <f>_xlfn.XLOOKUP(A6684,'[1]Tissue Data'!$A:$A,'[1]Tissue Data'!$D:$D)</f>
        <v>44393</v>
      </c>
      <c r="D6684" s="2" t="str">
        <f>_xlfn.XLOOKUP(A6684,'[1]Tissue Data'!$A:$A,'[1]Tissue Data'!$F:$F)</f>
        <v>Pumpkinseed</v>
      </c>
      <c r="E6684" t="str">
        <f>_xlfn.XLOOKUP(A6684,'[1]Tissue Data'!$A:$A,'[1]Tissue Data'!$H:$H)</f>
        <v>Lepomis</v>
      </c>
      <c r="F6684" t="str">
        <f>_xlfn.XLOOKUP(A6684,'[1]Tissue Data'!$A:$A,'[1]Tissue Data'!$I:$I)</f>
        <v>gibbosus</v>
      </c>
      <c r="G6684" t="str">
        <f>_xlfn.XLOOKUP(A6684,'[1]Tissue Data'!$A:$A,'[1]Tissue Data'!J:J)</f>
        <v>M</v>
      </c>
      <c r="H6684" t="str">
        <f>_xlfn.XLOOKUP(A6684,'[1]Tissue Data'!$A:$A,'[1]Tissue Data'!K:K)</f>
        <v>Muscle</v>
      </c>
      <c r="I6684">
        <f>_xlfn.XLOOKUP(A6684,'[1]Tissue Data'!$A:$A,'[1]Tissue Data'!L:L)</f>
        <v>11.5</v>
      </c>
      <c r="J6684">
        <f>_xlfn.XLOOKUP(A6684,'[1]Tissue Data'!$A:$A,'[1]Tissue Data'!M:M)</f>
        <v>34.450000000000003</v>
      </c>
      <c r="K6684" t="s">
        <v>44</v>
      </c>
      <c r="L6684" t="str">
        <f>_xlfn.XLOOKUP(K6684,[2]analyte_order!$B:$B,[2]analyte_order!$C:$C)</f>
        <v>27619-97-2</v>
      </c>
      <c r="M6684">
        <f>_xlfn.XLOOKUP(L6684,[2]analyte_order!$C:$C,[2]analyte_order!$E:$E)</f>
        <v>23</v>
      </c>
      <c r="N6684">
        <v>0.24249999999999999</v>
      </c>
    </row>
    <row r="6685" spans="1:14">
      <c r="A6685" t="s">
        <v>294</v>
      </c>
      <c r="B6685" t="str">
        <f>_xlfn.XLOOKUP(A6685,'[1]Tissue Data'!$A:$A,'[1]Tissue Data'!$C:$C)</f>
        <v>Down</v>
      </c>
      <c r="C6685" s="2">
        <f>_xlfn.XLOOKUP(A6685,'[1]Tissue Data'!$A:$A,'[1]Tissue Data'!$D:$D)</f>
        <v>44393</v>
      </c>
      <c r="D6685" s="2" t="str">
        <f>_xlfn.XLOOKUP(A6685,'[1]Tissue Data'!$A:$A,'[1]Tissue Data'!$F:$F)</f>
        <v>Pumpkinseed</v>
      </c>
      <c r="E6685" t="str">
        <f>_xlfn.XLOOKUP(A6685,'[1]Tissue Data'!$A:$A,'[1]Tissue Data'!$H:$H)</f>
        <v>Lepomis</v>
      </c>
      <c r="F6685" t="str">
        <f>_xlfn.XLOOKUP(A6685,'[1]Tissue Data'!$A:$A,'[1]Tissue Data'!$I:$I)</f>
        <v>gibbosus</v>
      </c>
      <c r="G6685" t="str">
        <f>_xlfn.XLOOKUP(A6685,'[1]Tissue Data'!$A:$A,'[1]Tissue Data'!J:J)</f>
        <v>M</v>
      </c>
      <c r="H6685" t="str">
        <f>_xlfn.XLOOKUP(A6685,'[1]Tissue Data'!$A:$A,'[1]Tissue Data'!K:K)</f>
        <v>Muscle</v>
      </c>
      <c r="I6685">
        <f>_xlfn.XLOOKUP(A6685,'[1]Tissue Data'!$A:$A,'[1]Tissue Data'!L:L)</f>
        <v>11.5</v>
      </c>
      <c r="J6685">
        <f>_xlfn.XLOOKUP(A6685,'[1]Tissue Data'!$A:$A,'[1]Tissue Data'!M:M)</f>
        <v>34.450000000000003</v>
      </c>
      <c r="K6685" t="s">
        <v>45</v>
      </c>
      <c r="L6685" t="str">
        <f>_xlfn.XLOOKUP(K6685,[2]analyte_order!$B:$B,[2]analyte_order!$C:$C)</f>
        <v>39108-34-4</v>
      </c>
      <c r="M6685">
        <f>_xlfn.XLOOKUP(L6685,[2]analyte_order!$C:$C,[2]analyte_order!$E:$E)</f>
        <v>24</v>
      </c>
      <c r="N6685">
        <v>0.64300000000000002</v>
      </c>
    </row>
    <row r="6686" spans="1:14">
      <c r="A6686" t="s">
        <v>294</v>
      </c>
      <c r="B6686" t="str">
        <f>_xlfn.XLOOKUP(A6686,'[1]Tissue Data'!$A:$A,'[1]Tissue Data'!$C:$C)</f>
        <v>Down</v>
      </c>
      <c r="C6686" s="2">
        <f>_xlfn.XLOOKUP(A6686,'[1]Tissue Data'!$A:$A,'[1]Tissue Data'!$D:$D)</f>
        <v>44393</v>
      </c>
      <c r="D6686" s="2" t="str">
        <f>_xlfn.XLOOKUP(A6686,'[1]Tissue Data'!$A:$A,'[1]Tissue Data'!$F:$F)</f>
        <v>Pumpkinseed</v>
      </c>
      <c r="E6686" t="str">
        <f>_xlfn.XLOOKUP(A6686,'[1]Tissue Data'!$A:$A,'[1]Tissue Data'!$H:$H)</f>
        <v>Lepomis</v>
      </c>
      <c r="F6686" t="str">
        <f>_xlfn.XLOOKUP(A6686,'[1]Tissue Data'!$A:$A,'[1]Tissue Data'!$I:$I)</f>
        <v>gibbosus</v>
      </c>
      <c r="G6686" t="str">
        <f>_xlfn.XLOOKUP(A6686,'[1]Tissue Data'!$A:$A,'[1]Tissue Data'!J:J)</f>
        <v>M</v>
      </c>
      <c r="H6686" t="str">
        <f>_xlfn.XLOOKUP(A6686,'[1]Tissue Data'!$A:$A,'[1]Tissue Data'!K:K)</f>
        <v>Muscle</v>
      </c>
      <c r="I6686">
        <f>_xlfn.XLOOKUP(A6686,'[1]Tissue Data'!$A:$A,'[1]Tissue Data'!L:L)</f>
        <v>11.5</v>
      </c>
      <c r="J6686">
        <f>_xlfn.XLOOKUP(A6686,'[1]Tissue Data'!$A:$A,'[1]Tissue Data'!M:M)</f>
        <v>34.450000000000003</v>
      </c>
      <c r="K6686" t="s">
        <v>46</v>
      </c>
      <c r="L6686" t="str">
        <f>_xlfn.XLOOKUP(K6686,[2]analyte_order!$B:$B,[2]analyte_order!$C:$C)</f>
        <v>120226-60-0</v>
      </c>
      <c r="M6686">
        <f>_xlfn.XLOOKUP(L6686,[2]analyte_order!$C:$C,[2]analyte_order!$E:$E)</f>
        <v>25</v>
      </c>
      <c r="N6686">
        <v>0.24249999999999999</v>
      </c>
    </row>
    <row r="6687" spans="1:14">
      <c r="A6687" t="s">
        <v>294</v>
      </c>
      <c r="B6687" t="str">
        <f>_xlfn.XLOOKUP(A6687,'[1]Tissue Data'!$A:$A,'[1]Tissue Data'!$C:$C)</f>
        <v>Down</v>
      </c>
      <c r="C6687" s="2">
        <f>_xlfn.XLOOKUP(A6687,'[1]Tissue Data'!$A:$A,'[1]Tissue Data'!$D:$D)</f>
        <v>44393</v>
      </c>
      <c r="D6687" s="2" t="str">
        <f>_xlfn.XLOOKUP(A6687,'[1]Tissue Data'!$A:$A,'[1]Tissue Data'!$F:$F)</f>
        <v>Pumpkinseed</v>
      </c>
      <c r="E6687" t="str">
        <f>_xlfn.XLOOKUP(A6687,'[1]Tissue Data'!$A:$A,'[1]Tissue Data'!$H:$H)</f>
        <v>Lepomis</v>
      </c>
      <c r="F6687" t="str">
        <f>_xlfn.XLOOKUP(A6687,'[1]Tissue Data'!$A:$A,'[1]Tissue Data'!$I:$I)</f>
        <v>gibbosus</v>
      </c>
      <c r="G6687" t="str">
        <f>_xlfn.XLOOKUP(A6687,'[1]Tissue Data'!$A:$A,'[1]Tissue Data'!J:J)</f>
        <v>M</v>
      </c>
      <c r="H6687" t="str">
        <f>_xlfn.XLOOKUP(A6687,'[1]Tissue Data'!$A:$A,'[1]Tissue Data'!K:K)</f>
        <v>Muscle</v>
      </c>
      <c r="I6687">
        <f>_xlfn.XLOOKUP(A6687,'[1]Tissue Data'!$A:$A,'[1]Tissue Data'!L:L)</f>
        <v>11.5</v>
      </c>
      <c r="J6687">
        <f>_xlfn.XLOOKUP(A6687,'[1]Tissue Data'!$A:$A,'[1]Tissue Data'!M:M)</f>
        <v>34.450000000000003</v>
      </c>
      <c r="K6687" t="s">
        <v>47</v>
      </c>
      <c r="L6687" t="str">
        <f>_xlfn.XLOOKUP(K6687,[2]analyte_order!$B:$B,[2]analyte_order!$C:$C)</f>
        <v>356-02-5</v>
      </c>
      <c r="M6687">
        <f>_xlfn.XLOOKUP(L6687,[2]analyte_order!$C:$C,[2]analyte_order!$E:$E)</f>
        <v>38</v>
      </c>
      <c r="N6687">
        <v>0.24249999999999999</v>
      </c>
    </row>
    <row r="6688" spans="1:14">
      <c r="A6688" t="s">
        <v>294</v>
      </c>
      <c r="B6688" t="str">
        <f>_xlfn.XLOOKUP(A6688,'[1]Tissue Data'!$A:$A,'[1]Tissue Data'!$C:$C)</f>
        <v>Down</v>
      </c>
      <c r="C6688" s="2">
        <f>_xlfn.XLOOKUP(A6688,'[1]Tissue Data'!$A:$A,'[1]Tissue Data'!$D:$D)</f>
        <v>44393</v>
      </c>
      <c r="D6688" s="2" t="str">
        <f>_xlfn.XLOOKUP(A6688,'[1]Tissue Data'!$A:$A,'[1]Tissue Data'!$F:$F)</f>
        <v>Pumpkinseed</v>
      </c>
      <c r="E6688" t="str">
        <f>_xlfn.XLOOKUP(A6688,'[1]Tissue Data'!$A:$A,'[1]Tissue Data'!$H:$H)</f>
        <v>Lepomis</v>
      </c>
      <c r="F6688" t="str">
        <f>_xlfn.XLOOKUP(A6688,'[1]Tissue Data'!$A:$A,'[1]Tissue Data'!$I:$I)</f>
        <v>gibbosus</v>
      </c>
      <c r="G6688" t="str">
        <f>_xlfn.XLOOKUP(A6688,'[1]Tissue Data'!$A:$A,'[1]Tissue Data'!J:J)</f>
        <v>M</v>
      </c>
      <c r="H6688" t="str">
        <f>_xlfn.XLOOKUP(A6688,'[1]Tissue Data'!$A:$A,'[1]Tissue Data'!K:K)</f>
        <v>Muscle</v>
      </c>
      <c r="I6688">
        <f>_xlfn.XLOOKUP(A6688,'[1]Tissue Data'!$A:$A,'[1]Tissue Data'!L:L)</f>
        <v>11.5</v>
      </c>
      <c r="J6688">
        <f>_xlfn.XLOOKUP(A6688,'[1]Tissue Data'!$A:$A,'[1]Tissue Data'!M:M)</f>
        <v>34.450000000000003</v>
      </c>
      <c r="K6688" t="s">
        <v>48</v>
      </c>
      <c r="L6688" t="str">
        <f>_xlfn.XLOOKUP(K6688,[2]analyte_order!$B:$B,[2]analyte_order!$C:$C)</f>
        <v>914637-49-3</v>
      </c>
      <c r="M6688">
        <f>_xlfn.XLOOKUP(L6688,[2]analyte_order!$C:$C,[2]analyte_order!$E:$E)</f>
        <v>39</v>
      </c>
      <c r="N6688">
        <v>0.121</v>
      </c>
    </row>
    <row r="6689" spans="1:14">
      <c r="A6689" t="s">
        <v>294</v>
      </c>
      <c r="B6689" t="str">
        <f>_xlfn.XLOOKUP(A6689,'[1]Tissue Data'!$A:$A,'[1]Tissue Data'!$C:$C)</f>
        <v>Down</v>
      </c>
      <c r="C6689" s="2">
        <f>_xlfn.XLOOKUP(A6689,'[1]Tissue Data'!$A:$A,'[1]Tissue Data'!$D:$D)</f>
        <v>44393</v>
      </c>
      <c r="D6689" s="2" t="str">
        <f>_xlfn.XLOOKUP(A6689,'[1]Tissue Data'!$A:$A,'[1]Tissue Data'!$F:$F)</f>
        <v>Pumpkinseed</v>
      </c>
      <c r="E6689" t="str">
        <f>_xlfn.XLOOKUP(A6689,'[1]Tissue Data'!$A:$A,'[1]Tissue Data'!$H:$H)</f>
        <v>Lepomis</v>
      </c>
      <c r="F6689" t="str">
        <f>_xlfn.XLOOKUP(A6689,'[1]Tissue Data'!$A:$A,'[1]Tissue Data'!$I:$I)</f>
        <v>gibbosus</v>
      </c>
      <c r="G6689" t="str">
        <f>_xlfn.XLOOKUP(A6689,'[1]Tissue Data'!$A:$A,'[1]Tissue Data'!J:J)</f>
        <v>M</v>
      </c>
      <c r="H6689" t="str">
        <f>_xlfn.XLOOKUP(A6689,'[1]Tissue Data'!$A:$A,'[1]Tissue Data'!K:K)</f>
        <v>Muscle</v>
      </c>
      <c r="I6689">
        <f>_xlfn.XLOOKUP(A6689,'[1]Tissue Data'!$A:$A,'[1]Tissue Data'!L:L)</f>
        <v>11.5</v>
      </c>
      <c r="J6689">
        <f>_xlfn.XLOOKUP(A6689,'[1]Tissue Data'!$A:$A,'[1]Tissue Data'!M:M)</f>
        <v>34.450000000000003</v>
      </c>
      <c r="K6689" t="s">
        <v>49</v>
      </c>
      <c r="L6689" t="str">
        <f>_xlfn.XLOOKUP(K6689,[2]analyte_order!$B:$B,[2]analyte_order!$C:$C)</f>
        <v>812-70-4</v>
      </c>
      <c r="M6689">
        <f>_xlfn.XLOOKUP(L6689,[2]analyte_order!$C:$C,[2]analyte_order!$E:$E)</f>
        <v>40</v>
      </c>
      <c r="N6689">
        <v>1.01</v>
      </c>
    </row>
    <row r="6690" spans="1:14">
      <c r="A6690" t="s">
        <v>294</v>
      </c>
      <c r="B6690" t="str">
        <f>_xlfn.XLOOKUP(A6690,'[1]Tissue Data'!$A:$A,'[1]Tissue Data'!$C:$C)</f>
        <v>Down</v>
      </c>
      <c r="C6690" s="2">
        <f>_xlfn.XLOOKUP(A6690,'[1]Tissue Data'!$A:$A,'[1]Tissue Data'!$D:$D)</f>
        <v>44393</v>
      </c>
      <c r="D6690" s="2" t="str">
        <f>_xlfn.XLOOKUP(A6690,'[1]Tissue Data'!$A:$A,'[1]Tissue Data'!$F:$F)</f>
        <v>Pumpkinseed</v>
      </c>
      <c r="E6690" t="str">
        <f>_xlfn.XLOOKUP(A6690,'[1]Tissue Data'!$A:$A,'[1]Tissue Data'!$H:$H)</f>
        <v>Lepomis</v>
      </c>
      <c r="F6690" t="str">
        <f>_xlfn.XLOOKUP(A6690,'[1]Tissue Data'!$A:$A,'[1]Tissue Data'!$I:$I)</f>
        <v>gibbosus</v>
      </c>
      <c r="G6690" t="str">
        <f>_xlfn.XLOOKUP(A6690,'[1]Tissue Data'!$A:$A,'[1]Tissue Data'!J:J)</f>
        <v>M</v>
      </c>
      <c r="H6690" t="str">
        <f>_xlfn.XLOOKUP(A6690,'[1]Tissue Data'!$A:$A,'[1]Tissue Data'!K:K)</f>
        <v>Muscle</v>
      </c>
      <c r="I6690">
        <f>_xlfn.XLOOKUP(A6690,'[1]Tissue Data'!$A:$A,'[1]Tissue Data'!L:L)</f>
        <v>11.5</v>
      </c>
      <c r="J6690">
        <f>_xlfn.XLOOKUP(A6690,'[1]Tissue Data'!$A:$A,'[1]Tissue Data'!M:M)</f>
        <v>34.450000000000003</v>
      </c>
      <c r="K6690" t="s">
        <v>50</v>
      </c>
      <c r="L6690" t="str">
        <f>_xlfn.XLOOKUP(K6690,[2]analyte_order!$B:$B,[2]analyte_order!$C:$C)</f>
        <v>53826-12-3</v>
      </c>
      <c r="M6690">
        <f>_xlfn.XLOOKUP(L6690,[2]analyte_order!$C:$C,[2]analyte_order!$E:$E)</f>
        <v>41</v>
      </c>
      <c r="N6690">
        <v>0.24249999999999999</v>
      </c>
    </row>
    <row r="6691" spans="1:14">
      <c r="A6691" t="s">
        <v>294</v>
      </c>
      <c r="B6691" t="str">
        <f>_xlfn.XLOOKUP(A6691,'[1]Tissue Data'!$A:$A,'[1]Tissue Data'!$C:$C)</f>
        <v>Down</v>
      </c>
      <c r="C6691" s="2">
        <f>_xlfn.XLOOKUP(A6691,'[1]Tissue Data'!$A:$A,'[1]Tissue Data'!$D:$D)</f>
        <v>44393</v>
      </c>
      <c r="D6691" s="2" t="str">
        <f>_xlfn.XLOOKUP(A6691,'[1]Tissue Data'!$A:$A,'[1]Tissue Data'!$F:$F)</f>
        <v>Pumpkinseed</v>
      </c>
      <c r="E6691" t="str">
        <f>_xlfn.XLOOKUP(A6691,'[1]Tissue Data'!$A:$A,'[1]Tissue Data'!$H:$H)</f>
        <v>Lepomis</v>
      </c>
      <c r="F6691" t="str">
        <f>_xlfn.XLOOKUP(A6691,'[1]Tissue Data'!$A:$A,'[1]Tissue Data'!$I:$I)</f>
        <v>gibbosus</v>
      </c>
      <c r="G6691" t="str">
        <f>_xlfn.XLOOKUP(A6691,'[1]Tissue Data'!$A:$A,'[1]Tissue Data'!J:J)</f>
        <v>M</v>
      </c>
      <c r="H6691" t="str">
        <f>_xlfn.XLOOKUP(A6691,'[1]Tissue Data'!$A:$A,'[1]Tissue Data'!K:K)</f>
        <v>Muscle</v>
      </c>
      <c r="I6691">
        <f>_xlfn.XLOOKUP(A6691,'[1]Tissue Data'!$A:$A,'[1]Tissue Data'!L:L)</f>
        <v>11.5</v>
      </c>
      <c r="J6691">
        <f>_xlfn.XLOOKUP(A6691,'[1]Tissue Data'!$A:$A,'[1]Tissue Data'!M:M)</f>
        <v>34.450000000000003</v>
      </c>
      <c r="K6691" t="s">
        <v>51</v>
      </c>
      <c r="L6691" t="str">
        <f>_xlfn.XLOOKUP(K6691,[2]analyte_order!$B:$B,[2]analyte_order!$C:$C)</f>
        <v>27854-31-5</v>
      </c>
      <c r="M6691">
        <f>_xlfn.XLOOKUP(L6691,[2]analyte_order!$C:$C,[2]analyte_order!$E:$E)</f>
        <v>42</v>
      </c>
      <c r="N6691">
        <v>0.121</v>
      </c>
    </row>
    <row r="6692" spans="1:14">
      <c r="A6692" t="s">
        <v>294</v>
      </c>
      <c r="B6692" t="str">
        <f>_xlfn.XLOOKUP(A6692,'[1]Tissue Data'!$A:$A,'[1]Tissue Data'!$C:$C)</f>
        <v>Down</v>
      </c>
      <c r="C6692" s="2">
        <f>_xlfn.XLOOKUP(A6692,'[1]Tissue Data'!$A:$A,'[1]Tissue Data'!$D:$D)</f>
        <v>44393</v>
      </c>
      <c r="D6692" s="2" t="str">
        <f>_xlfn.XLOOKUP(A6692,'[1]Tissue Data'!$A:$A,'[1]Tissue Data'!$F:$F)</f>
        <v>Pumpkinseed</v>
      </c>
      <c r="E6692" t="str">
        <f>_xlfn.XLOOKUP(A6692,'[1]Tissue Data'!$A:$A,'[1]Tissue Data'!$H:$H)</f>
        <v>Lepomis</v>
      </c>
      <c r="F6692" t="str">
        <f>_xlfn.XLOOKUP(A6692,'[1]Tissue Data'!$A:$A,'[1]Tissue Data'!$I:$I)</f>
        <v>gibbosus</v>
      </c>
      <c r="G6692" t="str">
        <f>_xlfn.XLOOKUP(A6692,'[1]Tissue Data'!$A:$A,'[1]Tissue Data'!J:J)</f>
        <v>M</v>
      </c>
      <c r="H6692" t="str">
        <f>_xlfn.XLOOKUP(A6692,'[1]Tissue Data'!$A:$A,'[1]Tissue Data'!K:K)</f>
        <v>Muscle</v>
      </c>
      <c r="I6692">
        <f>_xlfn.XLOOKUP(A6692,'[1]Tissue Data'!$A:$A,'[1]Tissue Data'!L:L)</f>
        <v>11.5</v>
      </c>
      <c r="J6692">
        <f>_xlfn.XLOOKUP(A6692,'[1]Tissue Data'!$A:$A,'[1]Tissue Data'!M:M)</f>
        <v>34.450000000000003</v>
      </c>
      <c r="K6692" t="s">
        <v>52</v>
      </c>
      <c r="L6692" t="str">
        <f>_xlfn.XLOOKUP(K6692,[2]analyte_order!$B:$B,[2]analyte_order!$C:$C)</f>
        <v>53826-13-4</v>
      </c>
      <c r="M6692">
        <f>_xlfn.XLOOKUP(L6692,[2]analyte_order!$C:$C,[2]analyte_order!$E:$E)</f>
        <v>43</v>
      </c>
      <c r="N6692">
        <v>0.24249999999999999</v>
      </c>
    </row>
    <row r="6693" spans="1:14">
      <c r="A6693" t="s">
        <v>294</v>
      </c>
      <c r="B6693" t="str">
        <f>_xlfn.XLOOKUP(A6693,'[1]Tissue Data'!$A:$A,'[1]Tissue Data'!$C:$C)</f>
        <v>Down</v>
      </c>
      <c r="C6693" s="2">
        <f>_xlfn.XLOOKUP(A6693,'[1]Tissue Data'!$A:$A,'[1]Tissue Data'!$D:$D)</f>
        <v>44393</v>
      </c>
      <c r="D6693" s="2" t="str">
        <f>_xlfn.XLOOKUP(A6693,'[1]Tissue Data'!$A:$A,'[1]Tissue Data'!$F:$F)</f>
        <v>Pumpkinseed</v>
      </c>
      <c r="E6693" t="str">
        <f>_xlfn.XLOOKUP(A6693,'[1]Tissue Data'!$A:$A,'[1]Tissue Data'!$H:$H)</f>
        <v>Lepomis</v>
      </c>
      <c r="F6693" t="str">
        <f>_xlfn.XLOOKUP(A6693,'[1]Tissue Data'!$A:$A,'[1]Tissue Data'!$I:$I)</f>
        <v>gibbosus</v>
      </c>
      <c r="G6693" t="str">
        <f>_xlfn.XLOOKUP(A6693,'[1]Tissue Data'!$A:$A,'[1]Tissue Data'!J:J)</f>
        <v>M</v>
      </c>
      <c r="H6693" t="str">
        <f>_xlfn.XLOOKUP(A6693,'[1]Tissue Data'!$A:$A,'[1]Tissue Data'!K:K)</f>
        <v>Muscle</v>
      </c>
      <c r="I6693">
        <f>_xlfn.XLOOKUP(A6693,'[1]Tissue Data'!$A:$A,'[1]Tissue Data'!L:L)</f>
        <v>11.5</v>
      </c>
      <c r="J6693">
        <f>_xlfn.XLOOKUP(A6693,'[1]Tissue Data'!$A:$A,'[1]Tissue Data'!M:M)</f>
        <v>34.450000000000003</v>
      </c>
      <c r="K6693" t="s">
        <v>53</v>
      </c>
      <c r="L6693" t="str">
        <f>_xlfn.XLOOKUP(K6693,[2]analyte_order!$B:$B,[2]analyte_order!$C:$C)</f>
        <v>161094-75-3</v>
      </c>
      <c r="M6693">
        <f>_xlfn.XLOOKUP(L6693,[2]analyte_order!$C:$C,[2]analyte_order!$E:$E)</f>
        <v>44</v>
      </c>
      <c r="N6693">
        <v>9.5000000000000001E-2</v>
      </c>
    </row>
    <row r="6694" spans="1:14">
      <c r="A6694" t="s">
        <v>294</v>
      </c>
      <c r="B6694" t="str">
        <f>_xlfn.XLOOKUP(A6694,'[1]Tissue Data'!$A:$A,'[1]Tissue Data'!$C:$C)</f>
        <v>Down</v>
      </c>
      <c r="C6694" s="2">
        <f>_xlfn.XLOOKUP(A6694,'[1]Tissue Data'!$A:$A,'[1]Tissue Data'!$D:$D)</f>
        <v>44393</v>
      </c>
      <c r="D6694" s="2" t="str">
        <f>_xlfn.XLOOKUP(A6694,'[1]Tissue Data'!$A:$A,'[1]Tissue Data'!$F:$F)</f>
        <v>Pumpkinseed</v>
      </c>
      <c r="E6694" t="str">
        <f>_xlfn.XLOOKUP(A6694,'[1]Tissue Data'!$A:$A,'[1]Tissue Data'!$H:$H)</f>
        <v>Lepomis</v>
      </c>
      <c r="F6694" t="str">
        <f>_xlfn.XLOOKUP(A6694,'[1]Tissue Data'!$A:$A,'[1]Tissue Data'!$I:$I)</f>
        <v>gibbosus</v>
      </c>
      <c r="G6694" t="str">
        <f>_xlfn.XLOOKUP(A6694,'[1]Tissue Data'!$A:$A,'[1]Tissue Data'!J:J)</f>
        <v>M</v>
      </c>
      <c r="H6694" t="str">
        <f>_xlfn.XLOOKUP(A6694,'[1]Tissue Data'!$A:$A,'[1]Tissue Data'!K:K)</f>
        <v>Muscle</v>
      </c>
      <c r="I6694">
        <f>_xlfn.XLOOKUP(A6694,'[1]Tissue Data'!$A:$A,'[1]Tissue Data'!L:L)</f>
        <v>11.5</v>
      </c>
      <c r="J6694">
        <f>_xlfn.XLOOKUP(A6694,'[1]Tissue Data'!$A:$A,'[1]Tissue Data'!M:M)</f>
        <v>34.450000000000003</v>
      </c>
      <c r="K6694" t="s">
        <v>54</v>
      </c>
      <c r="L6694" t="str">
        <f>_xlfn.XLOOKUP(K6694,[2]analyte_order!$B:$B,[2]analyte_order!$C:$C)</f>
        <v>70887-84-2</v>
      </c>
      <c r="M6694">
        <f>_xlfn.XLOOKUP(L6694,[2]analyte_order!$C:$C,[2]analyte_order!$E:$E)</f>
        <v>45</v>
      </c>
      <c r="N6694">
        <v>7.2999999999999995E-2</v>
      </c>
    </row>
    <row r="6695" spans="1:14">
      <c r="A6695" t="s">
        <v>294</v>
      </c>
      <c r="B6695" t="str">
        <f>_xlfn.XLOOKUP(A6695,'[1]Tissue Data'!$A:$A,'[1]Tissue Data'!$C:$C)</f>
        <v>Down</v>
      </c>
      <c r="C6695" s="2">
        <f>_xlfn.XLOOKUP(A6695,'[1]Tissue Data'!$A:$A,'[1]Tissue Data'!$D:$D)</f>
        <v>44393</v>
      </c>
      <c r="D6695" s="2" t="str">
        <f>_xlfn.XLOOKUP(A6695,'[1]Tissue Data'!$A:$A,'[1]Tissue Data'!$F:$F)</f>
        <v>Pumpkinseed</v>
      </c>
      <c r="E6695" t="str">
        <f>_xlfn.XLOOKUP(A6695,'[1]Tissue Data'!$A:$A,'[1]Tissue Data'!$H:$H)</f>
        <v>Lepomis</v>
      </c>
      <c r="F6695" t="str">
        <f>_xlfn.XLOOKUP(A6695,'[1]Tissue Data'!$A:$A,'[1]Tissue Data'!$I:$I)</f>
        <v>gibbosus</v>
      </c>
      <c r="G6695" t="str">
        <f>_xlfn.XLOOKUP(A6695,'[1]Tissue Data'!$A:$A,'[1]Tissue Data'!J:J)</f>
        <v>M</v>
      </c>
      <c r="H6695" t="str">
        <f>_xlfn.XLOOKUP(A6695,'[1]Tissue Data'!$A:$A,'[1]Tissue Data'!K:K)</f>
        <v>Muscle</v>
      </c>
      <c r="I6695">
        <f>_xlfn.XLOOKUP(A6695,'[1]Tissue Data'!$A:$A,'[1]Tissue Data'!L:L)</f>
        <v>11.5</v>
      </c>
      <c r="J6695">
        <f>_xlfn.XLOOKUP(A6695,'[1]Tissue Data'!$A:$A,'[1]Tissue Data'!M:M)</f>
        <v>34.450000000000003</v>
      </c>
      <c r="K6695" t="s">
        <v>55</v>
      </c>
      <c r="L6695" t="str">
        <f>_xlfn.XLOOKUP(K6695,[2]analyte_order!$B:$B,[2]analyte_order!$C:$C)</f>
        <v>919005-14-4</v>
      </c>
      <c r="M6695">
        <f>_xlfn.XLOOKUP(L6695,[2]analyte_order!$C:$C,[2]analyte_order!$E:$E)</f>
        <v>35</v>
      </c>
      <c r="N6695">
        <v>0.107</v>
      </c>
    </row>
    <row r="6696" spans="1:14">
      <c r="A6696" t="s">
        <v>294</v>
      </c>
      <c r="B6696" t="str">
        <f>_xlfn.XLOOKUP(A6696,'[1]Tissue Data'!$A:$A,'[1]Tissue Data'!$C:$C)</f>
        <v>Down</v>
      </c>
      <c r="C6696" s="2">
        <f>_xlfn.XLOOKUP(A6696,'[1]Tissue Data'!$A:$A,'[1]Tissue Data'!$D:$D)</f>
        <v>44393</v>
      </c>
      <c r="D6696" s="2" t="str">
        <f>_xlfn.XLOOKUP(A6696,'[1]Tissue Data'!$A:$A,'[1]Tissue Data'!$F:$F)</f>
        <v>Pumpkinseed</v>
      </c>
      <c r="E6696" t="str">
        <f>_xlfn.XLOOKUP(A6696,'[1]Tissue Data'!$A:$A,'[1]Tissue Data'!$H:$H)</f>
        <v>Lepomis</v>
      </c>
      <c r="F6696" t="str">
        <f>_xlfn.XLOOKUP(A6696,'[1]Tissue Data'!$A:$A,'[1]Tissue Data'!$I:$I)</f>
        <v>gibbosus</v>
      </c>
      <c r="G6696" t="str">
        <f>_xlfn.XLOOKUP(A6696,'[1]Tissue Data'!$A:$A,'[1]Tissue Data'!J:J)</f>
        <v>M</v>
      </c>
      <c r="H6696" t="str">
        <f>_xlfn.XLOOKUP(A6696,'[1]Tissue Data'!$A:$A,'[1]Tissue Data'!K:K)</f>
        <v>Muscle</v>
      </c>
      <c r="I6696">
        <f>_xlfn.XLOOKUP(A6696,'[1]Tissue Data'!$A:$A,'[1]Tissue Data'!L:L)</f>
        <v>11.5</v>
      </c>
      <c r="J6696">
        <f>_xlfn.XLOOKUP(A6696,'[1]Tissue Data'!$A:$A,'[1]Tissue Data'!M:M)</f>
        <v>34.450000000000003</v>
      </c>
      <c r="K6696" t="s">
        <v>56</v>
      </c>
      <c r="L6696" t="str">
        <f>_xlfn.XLOOKUP(K6696,[2]analyte_order!$B:$B,[2]analyte_order!$C:$C)</f>
        <v>756426-58-1</v>
      </c>
      <c r="M6696">
        <f>_xlfn.XLOOKUP(L6696,[2]analyte_order!$C:$C,[2]analyte_order!$E:$E)</f>
        <v>36</v>
      </c>
      <c r="N6696">
        <v>0.24249999999999999</v>
      </c>
    </row>
    <row r="6697" spans="1:14">
      <c r="A6697" t="s">
        <v>294</v>
      </c>
      <c r="B6697" t="str">
        <f>_xlfn.XLOOKUP(A6697,'[1]Tissue Data'!$A:$A,'[1]Tissue Data'!$C:$C)</f>
        <v>Down</v>
      </c>
      <c r="C6697" s="2">
        <f>_xlfn.XLOOKUP(A6697,'[1]Tissue Data'!$A:$A,'[1]Tissue Data'!$D:$D)</f>
        <v>44393</v>
      </c>
      <c r="D6697" s="2" t="str">
        <f>_xlfn.XLOOKUP(A6697,'[1]Tissue Data'!$A:$A,'[1]Tissue Data'!$F:$F)</f>
        <v>Pumpkinseed</v>
      </c>
      <c r="E6697" t="str">
        <f>_xlfn.XLOOKUP(A6697,'[1]Tissue Data'!$A:$A,'[1]Tissue Data'!$H:$H)</f>
        <v>Lepomis</v>
      </c>
      <c r="F6697" t="str">
        <f>_xlfn.XLOOKUP(A6697,'[1]Tissue Data'!$A:$A,'[1]Tissue Data'!$I:$I)</f>
        <v>gibbosus</v>
      </c>
      <c r="G6697" t="str">
        <f>_xlfn.XLOOKUP(A6697,'[1]Tissue Data'!$A:$A,'[1]Tissue Data'!J:J)</f>
        <v>M</v>
      </c>
      <c r="H6697" t="str">
        <f>_xlfn.XLOOKUP(A6697,'[1]Tissue Data'!$A:$A,'[1]Tissue Data'!K:K)</f>
        <v>Muscle</v>
      </c>
      <c r="I6697">
        <f>_xlfn.XLOOKUP(A6697,'[1]Tissue Data'!$A:$A,'[1]Tissue Data'!L:L)</f>
        <v>11.5</v>
      </c>
      <c r="J6697">
        <f>_xlfn.XLOOKUP(A6697,'[1]Tissue Data'!$A:$A,'[1]Tissue Data'!M:M)</f>
        <v>34.450000000000003</v>
      </c>
      <c r="K6697" t="s">
        <v>57</v>
      </c>
      <c r="L6697" t="str">
        <f>_xlfn.XLOOKUP(K6697,[2]analyte_order!$B:$B,[2]analyte_order!$C:$C)</f>
        <v>763051-92-9</v>
      </c>
      <c r="M6697">
        <f>_xlfn.XLOOKUP(L6697,[2]analyte_order!$C:$C,[2]analyte_order!$E:$E)</f>
        <v>37</v>
      </c>
      <c r="N6697">
        <v>0.24249999999999999</v>
      </c>
    </row>
    <row r="6698" spans="1:14">
      <c r="A6698" t="s">
        <v>294</v>
      </c>
      <c r="B6698" t="str">
        <f>_xlfn.XLOOKUP(A6698,'[1]Tissue Data'!$A:$A,'[1]Tissue Data'!$C:$C)</f>
        <v>Down</v>
      </c>
      <c r="C6698" s="2">
        <f>_xlfn.XLOOKUP(A6698,'[1]Tissue Data'!$A:$A,'[1]Tissue Data'!$D:$D)</f>
        <v>44393</v>
      </c>
      <c r="D6698" s="2" t="str">
        <f>_xlfn.XLOOKUP(A6698,'[1]Tissue Data'!$A:$A,'[1]Tissue Data'!$F:$F)</f>
        <v>Pumpkinseed</v>
      </c>
      <c r="E6698" t="str">
        <f>_xlfn.XLOOKUP(A6698,'[1]Tissue Data'!$A:$A,'[1]Tissue Data'!$H:$H)</f>
        <v>Lepomis</v>
      </c>
      <c r="F6698" t="str">
        <f>_xlfn.XLOOKUP(A6698,'[1]Tissue Data'!$A:$A,'[1]Tissue Data'!$I:$I)</f>
        <v>gibbosus</v>
      </c>
      <c r="G6698" t="str">
        <f>_xlfn.XLOOKUP(A6698,'[1]Tissue Data'!$A:$A,'[1]Tissue Data'!J:J)</f>
        <v>M</v>
      </c>
      <c r="H6698" t="str">
        <f>_xlfn.XLOOKUP(A6698,'[1]Tissue Data'!$A:$A,'[1]Tissue Data'!K:K)</f>
        <v>Muscle</v>
      </c>
      <c r="I6698">
        <f>_xlfn.XLOOKUP(A6698,'[1]Tissue Data'!$A:$A,'[1]Tissue Data'!L:L)</f>
        <v>11.5</v>
      </c>
      <c r="J6698">
        <f>_xlfn.XLOOKUP(A6698,'[1]Tissue Data'!$A:$A,'[1]Tissue Data'!M:M)</f>
        <v>34.450000000000003</v>
      </c>
      <c r="K6698" t="s">
        <v>58</v>
      </c>
      <c r="L6698" t="str">
        <f>_xlfn.XLOOKUP(K6698,[2]analyte_order!$B:$B,[2]analyte_order!$C:$C)</f>
        <v>13252-13-6</v>
      </c>
      <c r="M6698">
        <f>_xlfn.XLOOKUP(L6698,[2]analyte_order!$C:$C,[2]analyte_order!$E:$E)</f>
        <v>34</v>
      </c>
      <c r="N6698">
        <v>0.17399999999999999</v>
      </c>
    </row>
    <row r="6699" spans="1:14">
      <c r="A6699" t="s">
        <v>294</v>
      </c>
      <c r="B6699" t="str">
        <f>_xlfn.XLOOKUP(A6699,'[1]Tissue Data'!$A:$A,'[1]Tissue Data'!$C:$C)</f>
        <v>Down</v>
      </c>
      <c r="C6699" s="2">
        <f>_xlfn.XLOOKUP(A6699,'[1]Tissue Data'!$A:$A,'[1]Tissue Data'!$D:$D)</f>
        <v>44393</v>
      </c>
      <c r="D6699" s="2" t="str">
        <f>_xlfn.XLOOKUP(A6699,'[1]Tissue Data'!$A:$A,'[1]Tissue Data'!$F:$F)</f>
        <v>Pumpkinseed</v>
      </c>
      <c r="E6699" t="str">
        <f>_xlfn.XLOOKUP(A6699,'[1]Tissue Data'!$A:$A,'[1]Tissue Data'!$H:$H)</f>
        <v>Lepomis</v>
      </c>
      <c r="F6699" t="str">
        <f>_xlfn.XLOOKUP(A6699,'[1]Tissue Data'!$A:$A,'[1]Tissue Data'!$I:$I)</f>
        <v>gibbosus</v>
      </c>
      <c r="G6699" t="str">
        <f>_xlfn.XLOOKUP(A6699,'[1]Tissue Data'!$A:$A,'[1]Tissue Data'!J:J)</f>
        <v>M</v>
      </c>
      <c r="H6699" t="str">
        <f>_xlfn.XLOOKUP(A6699,'[1]Tissue Data'!$A:$A,'[1]Tissue Data'!K:K)</f>
        <v>Muscle</v>
      </c>
      <c r="I6699">
        <f>_xlfn.XLOOKUP(A6699,'[1]Tissue Data'!$A:$A,'[1]Tissue Data'!L:L)</f>
        <v>11.5</v>
      </c>
      <c r="J6699">
        <f>_xlfn.XLOOKUP(A6699,'[1]Tissue Data'!$A:$A,'[1]Tissue Data'!M:M)</f>
        <v>34.450000000000003</v>
      </c>
      <c r="K6699" t="s">
        <v>59</v>
      </c>
      <c r="L6699" t="str">
        <f>_xlfn.XLOOKUP(K6699,[2]analyte_order!$B:$B,[2]analyte_order!$C:$C)</f>
        <v>57677-95-9</v>
      </c>
      <c r="M6699">
        <f>_xlfn.XLOOKUP(L6699,[2]analyte_order!$C:$C,[2]analyte_order!$E:$E)</f>
        <v>46</v>
      </c>
      <c r="N6699">
        <v>0.24249999999999999</v>
      </c>
    </row>
    <row r="6700" spans="1:14">
      <c r="A6700" t="s">
        <v>294</v>
      </c>
      <c r="B6700" t="str">
        <f>_xlfn.XLOOKUP(A6700,'[1]Tissue Data'!$A:$A,'[1]Tissue Data'!$C:$C)</f>
        <v>Down</v>
      </c>
      <c r="C6700" s="2">
        <f>_xlfn.XLOOKUP(A6700,'[1]Tissue Data'!$A:$A,'[1]Tissue Data'!$D:$D)</f>
        <v>44393</v>
      </c>
      <c r="D6700" s="2" t="str">
        <f>_xlfn.XLOOKUP(A6700,'[1]Tissue Data'!$A:$A,'[1]Tissue Data'!$F:$F)</f>
        <v>Pumpkinseed</v>
      </c>
      <c r="E6700" t="str">
        <f>_xlfn.XLOOKUP(A6700,'[1]Tissue Data'!$A:$A,'[1]Tissue Data'!$H:$H)</f>
        <v>Lepomis</v>
      </c>
      <c r="F6700" t="str">
        <f>_xlfn.XLOOKUP(A6700,'[1]Tissue Data'!$A:$A,'[1]Tissue Data'!$I:$I)</f>
        <v>gibbosus</v>
      </c>
      <c r="G6700" t="str">
        <f>_xlfn.XLOOKUP(A6700,'[1]Tissue Data'!$A:$A,'[1]Tissue Data'!J:J)</f>
        <v>M</v>
      </c>
      <c r="H6700" t="str">
        <f>_xlfn.XLOOKUP(A6700,'[1]Tissue Data'!$A:$A,'[1]Tissue Data'!K:K)</f>
        <v>Muscle</v>
      </c>
      <c r="I6700">
        <f>_xlfn.XLOOKUP(A6700,'[1]Tissue Data'!$A:$A,'[1]Tissue Data'!L:L)</f>
        <v>11.5</v>
      </c>
      <c r="J6700">
        <f>_xlfn.XLOOKUP(A6700,'[1]Tissue Data'!$A:$A,'[1]Tissue Data'!M:M)</f>
        <v>34.450000000000003</v>
      </c>
      <c r="K6700" t="s">
        <v>60</v>
      </c>
      <c r="L6700" t="str">
        <f>_xlfn.XLOOKUP(K6700,[2]analyte_order!$B:$B,[2]analyte_order!$C:$C)</f>
        <v>678-41-1</v>
      </c>
      <c r="M6700">
        <f>_xlfn.XLOOKUP(L6700,[2]analyte_order!$C:$C,[2]analyte_order!$E:$E)</f>
        <v>56</v>
      </c>
      <c r="N6700">
        <v>0.24249999999999999</v>
      </c>
    </row>
    <row r="6701" spans="1:14">
      <c r="A6701" t="s">
        <v>294</v>
      </c>
      <c r="B6701" t="str">
        <f>_xlfn.XLOOKUP(A6701,'[1]Tissue Data'!$A:$A,'[1]Tissue Data'!$C:$C)</f>
        <v>Down</v>
      </c>
      <c r="C6701" s="2">
        <f>_xlfn.XLOOKUP(A6701,'[1]Tissue Data'!$A:$A,'[1]Tissue Data'!$D:$D)</f>
        <v>44393</v>
      </c>
      <c r="D6701" s="2" t="str">
        <f>_xlfn.XLOOKUP(A6701,'[1]Tissue Data'!$A:$A,'[1]Tissue Data'!$F:$F)</f>
        <v>Pumpkinseed</v>
      </c>
      <c r="E6701" t="str">
        <f>_xlfn.XLOOKUP(A6701,'[1]Tissue Data'!$A:$A,'[1]Tissue Data'!$H:$H)</f>
        <v>Lepomis</v>
      </c>
      <c r="F6701" t="str">
        <f>_xlfn.XLOOKUP(A6701,'[1]Tissue Data'!$A:$A,'[1]Tissue Data'!$I:$I)</f>
        <v>gibbosus</v>
      </c>
      <c r="G6701" t="str">
        <f>_xlfn.XLOOKUP(A6701,'[1]Tissue Data'!$A:$A,'[1]Tissue Data'!J:J)</f>
        <v>M</v>
      </c>
      <c r="H6701" t="str">
        <f>_xlfn.XLOOKUP(A6701,'[1]Tissue Data'!$A:$A,'[1]Tissue Data'!K:K)</f>
        <v>Muscle</v>
      </c>
      <c r="I6701">
        <f>_xlfn.XLOOKUP(A6701,'[1]Tissue Data'!$A:$A,'[1]Tissue Data'!L:L)</f>
        <v>11.5</v>
      </c>
      <c r="J6701">
        <f>_xlfn.XLOOKUP(A6701,'[1]Tissue Data'!$A:$A,'[1]Tissue Data'!M:M)</f>
        <v>34.450000000000003</v>
      </c>
      <c r="K6701" t="s">
        <v>61</v>
      </c>
      <c r="L6701" t="str">
        <f>_xlfn.XLOOKUP(K6701,[2]analyte_order!$B:$B,[2]analyte_order!$C:$C)</f>
        <v>2965-52-8</v>
      </c>
      <c r="M6701">
        <f>_xlfn.XLOOKUP(L6701,[2]analyte_order!$C:$C,[2]analyte_order!$E:$E)</f>
        <v>57</v>
      </c>
      <c r="N6701">
        <v>0.24249999999999999</v>
      </c>
    </row>
    <row r="6702" spans="1:14">
      <c r="A6702" t="s">
        <v>295</v>
      </c>
      <c r="B6702" t="str">
        <f>_xlfn.XLOOKUP(A6702,'[1]Tissue Data'!$A:$A,'[1]Tissue Data'!$C:$C)</f>
        <v>Down</v>
      </c>
      <c r="C6702" s="2">
        <f>_xlfn.XLOOKUP(A6702,'[1]Tissue Data'!$A:$A,'[1]Tissue Data'!$D:$D)</f>
        <v>44393</v>
      </c>
      <c r="D6702" s="2" t="str">
        <f>_xlfn.XLOOKUP(A6702,'[1]Tissue Data'!$A:$A,'[1]Tissue Data'!$F:$F)</f>
        <v>Pumpkinseed</v>
      </c>
      <c r="E6702" t="str">
        <f>_xlfn.XLOOKUP(A6702,'[1]Tissue Data'!$A:$A,'[1]Tissue Data'!$H:$H)</f>
        <v>Lepomis</v>
      </c>
      <c r="F6702" t="str">
        <f>_xlfn.XLOOKUP(A6702,'[1]Tissue Data'!$A:$A,'[1]Tissue Data'!$I:$I)</f>
        <v>gibbosus</v>
      </c>
      <c r="G6702" t="str">
        <f>_xlfn.XLOOKUP(A6702,'[1]Tissue Data'!$A:$A,'[1]Tissue Data'!J:J)</f>
        <v>M</v>
      </c>
      <c r="H6702" t="str">
        <f>_xlfn.XLOOKUP(A6702,'[1]Tissue Data'!$A:$A,'[1]Tissue Data'!K:K)</f>
        <v>Liver</v>
      </c>
      <c r="I6702">
        <f>_xlfn.XLOOKUP(A6702,'[1]Tissue Data'!$A:$A,'[1]Tissue Data'!L:L)</f>
        <v>12.5</v>
      </c>
      <c r="J6702">
        <f>_xlfn.XLOOKUP(A6702,'[1]Tissue Data'!$A:$A,'[1]Tissue Data'!M:M)</f>
        <v>36.32</v>
      </c>
      <c r="K6702" t="s">
        <v>12</v>
      </c>
      <c r="L6702" t="str">
        <f>_xlfn.XLOOKUP(K6702,[2]analyte_order!$B:$B,[2]analyte_order!$C:$C)</f>
        <v>375-22-4</v>
      </c>
      <c r="M6702">
        <f>_xlfn.XLOOKUP(L6702,[2]analyte_order!$C:$C,[2]analyte_order!$E:$E)</f>
        <v>1</v>
      </c>
      <c r="N6702">
        <v>1.2350000000000001</v>
      </c>
    </row>
    <row r="6703" spans="1:14">
      <c r="A6703" t="s">
        <v>295</v>
      </c>
      <c r="B6703" t="str">
        <f>_xlfn.XLOOKUP(A6703,'[1]Tissue Data'!$A:$A,'[1]Tissue Data'!$C:$C)</f>
        <v>Down</v>
      </c>
      <c r="C6703" s="2">
        <f>_xlfn.XLOOKUP(A6703,'[1]Tissue Data'!$A:$A,'[1]Tissue Data'!$D:$D)</f>
        <v>44393</v>
      </c>
      <c r="D6703" s="2" t="str">
        <f>_xlfn.XLOOKUP(A6703,'[1]Tissue Data'!$A:$A,'[1]Tissue Data'!$F:$F)</f>
        <v>Pumpkinseed</v>
      </c>
      <c r="E6703" t="str">
        <f>_xlfn.XLOOKUP(A6703,'[1]Tissue Data'!$A:$A,'[1]Tissue Data'!$H:$H)</f>
        <v>Lepomis</v>
      </c>
      <c r="F6703" t="str">
        <f>_xlfn.XLOOKUP(A6703,'[1]Tissue Data'!$A:$A,'[1]Tissue Data'!$I:$I)</f>
        <v>gibbosus</v>
      </c>
      <c r="G6703" t="str">
        <f>_xlfn.XLOOKUP(A6703,'[1]Tissue Data'!$A:$A,'[1]Tissue Data'!J:J)</f>
        <v>M</v>
      </c>
      <c r="H6703" t="str">
        <f>_xlfn.XLOOKUP(A6703,'[1]Tissue Data'!$A:$A,'[1]Tissue Data'!K:K)</f>
        <v>Liver</v>
      </c>
      <c r="I6703">
        <f>_xlfn.XLOOKUP(A6703,'[1]Tissue Data'!$A:$A,'[1]Tissue Data'!L:L)</f>
        <v>12.5</v>
      </c>
      <c r="J6703">
        <f>_xlfn.XLOOKUP(A6703,'[1]Tissue Data'!$A:$A,'[1]Tissue Data'!M:M)</f>
        <v>36.32</v>
      </c>
      <c r="K6703" t="s">
        <v>13</v>
      </c>
      <c r="L6703" t="str">
        <f>_xlfn.XLOOKUP(K6703,[2]analyte_order!$B:$B,[2]analyte_order!$C:$C)</f>
        <v>2706-90-3</v>
      </c>
      <c r="M6703">
        <f>_xlfn.XLOOKUP(L6703,[2]analyte_order!$C:$C,[2]analyte_order!$E:$E)</f>
        <v>2</v>
      </c>
      <c r="N6703">
        <v>0.4365</v>
      </c>
    </row>
    <row r="6704" spans="1:14">
      <c r="A6704" t="s">
        <v>295</v>
      </c>
      <c r="B6704" t="str">
        <f>_xlfn.XLOOKUP(A6704,'[1]Tissue Data'!$A:$A,'[1]Tissue Data'!$C:$C)</f>
        <v>Down</v>
      </c>
      <c r="C6704" s="2">
        <f>_xlfn.XLOOKUP(A6704,'[1]Tissue Data'!$A:$A,'[1]Tissue Data'!$D:$D)</f>
        <v>44393</v>
      </c>
      <c r="D6704" s="2" t="str">
        <f>_xlfn.XLOOKUP(A6704,'[1]Tissue Data'!$A:$A,'[1]Tissue Data'!$F:$F)</f>
        <v>Pumpkinseed</v>
      </c>
      <c r="E6704" t="str">
        <f>_xlfn.XLOOKUP(A6704,'[1]Tissue Data'!$A:$A,'[1]Tissue Data'!$H:$H)</f>
        <v>Lepomis</v>
      </c>
      <c r="F6704" t="str">
        <f>_xlfn.XLOOKUP(A6704,'[1]Tissue Data'!$A:$A,'[1]Tissue Data'!$I:$I)</f>
        <v>gibbosus</v>
      </c>
      <c r="G6704" t="str">
        <f>_xlfn.XLOOKUP(A6704,'[1]Tissue Data'!$A:$A,'[1]Tissue Data'!J:J)</f>
        <v>M</v>
      </c>
      <c r="H6704" t="str">
        <f>_xlfn.XLOOKUP(A6704,'[1]Tissue Data'!$A:$A,'[1]Tissue Data'!K:K)</f>
        <v>Liver</v>
      </c>
      <c r="I6704">
        <f>_xlfn.XLOOKUP(A6704,'[1]Tissue Data'!$A:$A,'[1]Tissue Data'!L:L)</f>
        <v>12.5</v>
      </c>
      <c r="J6704">
        <f>_xlfn.XLOOKUP(A6704,'[1]Tissue Data'!$A:$A,'[1]Tissue Data'!M:M)</f>
        <v>36.32</v>
      </c>
      <c r="K6704" t="s">
        <v>14</v>
      </c>
      <c r="L6704" t="str">
        <f>_xlfn.XLOOKUP(K6704,[2]analyte_order!$B:$B,[2]analyte_order!$C:$C)</f>
        <v>307-24-4</v>
      </c>
      <c r="M6704">
        <f>_xlfn.XLOOKUP(L6704,[2]analyte_order!$C:$C,[2]analyte_order!$E:$E)</f>
        <v>3</v>
      </c>
      <c r="N6704">
        <v>0.33400000000000002</v>
      </c>
    </row>
    <row r="6705" spans="1:14">
      <c r="A6705" t="s">
        <v>295</v>
      </c>
      <c r="B6705" t="str">
        <f>_xlfn.XLOOKUP(A6705,'[1]Tissue Data'!$A:$A,'[1]Tissue Data'!$C:$C)</f>
        <v>Down</v>
      </c>
      <c r="C6705" s="2">
        <f>_xlfn.XLOOKUP(A6705,'[1]Tissue Data'!$A:$A,'[1]Tissue Data'!$D:$D)</f>
        <v>44393</v>
      </c>
      <c r="D6705" s="2" t="str">
        <f>_xlfn.XLOOKUP(A6705,'[1]Tissue Data'!$A:$A,'[1]Tissue Data'!$F:$F)</f>
        <v>Pumpkinseed</v>
      </c>
      <c r="E6705" t="str">
        <f>_xlfn.XLOOKUP(A6705,'[1]Tissue Data'!$A:$A,'[1]Tissue Data'!$H:$H)</f>
        <v>Lepomis</v>
      </c>
      <c r="F6705" t="str">
        <f>_xlfn.XLOOKUP(A6705,'[1]Tissue Data'!$A:$A,'[1]Tissue Data'!$I:$I)</f>
        <v>gibbosus</v>
      </c>
      <c r="G6705" t="str">
        <f>_xlfn.XLOOKUP(A6705,'[1]Tissue Data'!$A:$A,'[1]Tissue Data'!J:J)</f>
        <v>M</v>
      </c>
      <c r="H6705" t="str">
        <f>_xlfn.XLOOKUP(A6705,'[1]Tissue Data'!$A:$A,'[1]Tissue Data'!K:K)</f>
        <v>Liver</v>
      </c>
      <c r="I6705">
        <f>_xlfn.XLOOKUP(A6705,'[1]Tissue Data'!$A:$A,'[1]Tissue Data'!L:L)</f>
        <v>12.5</v>
      </c>
      <c r="J6705">
        <f>_xlfn.XLOOKUP(A6705,'[1]Tissue Data'!$A:$A,'[1]Tissue Data'!M:M)</f>
        <v>36.32</v>
      </c>
      <c r="K6705" t="s">
        <v>15</v>
      </c>
      <c r="L6705" t="str">
        <f>_xlfn.XLOOKUP(K6705,[2]analyte_order!$B:$B,[2]analyte_order!$C:$C)</f>
        <v>375-85-9</v>
      </c>
      <c r="M6705">
        <f>_xlfn.XLOOKUP(L6705,[2]analyte_order!$C:$C,[2]analyte_order!$E:$E)</f>
        <v>4</v>
      </c>
      <c r="N6705">
        <v>0.62</v>
      </c>
    </row>
    <row r="6706" spans="1:14">
      <c r="A6706" t="s">
        <v>295</v>
      </c>
      <c r="B6706" t="str">
        <f>_xlfn.XLOOKUP(A6706,'[1]Tissue Data'!$A:$A,'[1]Tissue Data'!$C:$C)</f>
        <v>Down</v>
      </c>
      <c r="C6706" s="2">
        <f>_xlfn.XLOOKUP(A6706,'[1]Tissue Data'!$A:$A,'[1]Tissue Data'!$D:$D)</f>
        <v>44393</v>
      </c>
      <c r="D6706" s="2" t="str">
        <f>_xlfn.XLOOKUP(A6706,'[1]Tissue Data'!$A:$A,'[1]Tissue Data'!$F:$F)</f>
        <v>Pumpkinseed</v>
      </c>
      <c r="E6706" t="str">
        <f>_xlfn.XLOOKUP(A6706,'[1]Tissue Data'!$A:$A,'[1]Tissue Data'!$H:$H)</f>
        <v>Lepomis</v>
      </c>
      <c r="F6706" t="str">
        <f>_xlfn.XLOOKUP(A6706,'[1]Tissue Data'!$A:$A,'[1]Tissue Data'!$I:$I)</f>
        <v>gibbosus</v>
      </c>
      <c r="G6706" t="str">
        <f>_xlfn.XLOOKUP(A6706,'[1]Tissue Data'!$A:$A,'[1]Tissue Data'!J:J)</f>
        <v>M</v>
      </c>
      <c r="H6706" t="str">
        <f>_xlfn.XLOOKUP(A6706,'[1]Tissue Data'!$A:$A,'[1]Tissue Data'!K:K)</f>
        <v>Liver</v>
      </c>
      <c r="I6706">
        <f>_xlfn.XLOOKUP(A6706,'[1]Tissue Data'!$A:$A,'[1]Tissue Data'!L:L)</f>
        <v>12.5</v>
      </c>
      <c r="J6706">
        <f>_xlfn.XLOOKUP(A6706,'[1]Tissue Data'!$A:$A,'[1]Tissue Data'!M:M)</f>
        <v>36.32</v>
      </c>
      <c r="K6706" t="s">
        <v>16</v>
      </c>
      <c r="L6706" t="str">
        <f>_xlfn.XLOOKUP(K6706,[2]analyte_order!$B:$B,[2]analyte_order!$C:$C)</f>
        <v>335-67-1</v>
      </c>
      <c r="M6706">
        <f>_xlfn.XLOOKUP(L6706,[2]analyte_order!$C:$C,[2]analyte_order!$E:$E)</f>
        <v>5</v>
      </c>
      <c r="N6706">
        <v>0.2475</v>
      </c>
    </row>
    <row r="6707" spans="1:14">
      <c r="A6707" t="s">
        <v>295</v>
      </c>
      <c r="B6707" t="str">
        <f>_xlfn.XLOOKUP(A6707,'[1]Tissue Data'!$A:$A,'[1]Tissue Data'!$C:$C)</f>
        <v>Down</v>
      </c>
      <c r="C6707" s="2">
        <f>_xlfn.XLOOKUP(A6707,'[1]Tissue Data'!$A:$A,'[1]Tissue Data'!$D:$D)</f>
        <v>44393</v>
      </c>
      <c r="D6707" s="2" t="str">
        <f>_xlfn.XLOOKUP(A6707,'[1]Tissue Data'!$A:$A,'[1]Tissue Data'!$F:$F)</f>
        <v>Pumpkinseed</v>
      </c>
      <c r="E6707" t="str">
        <f>_xlfn.XLOOKUP(A6707,'[1]Tissue Data'!$A:$A,'[1]Tissue Data'!$H:$H)</f>
        <v>Lepomis</v>
      </c>
      <c r="F6707" t="str">
        <f>_xlfn.XLOOKUP(A6707,'[1]Tissue Data'!$A:$A,'[1]Tissue Data'!$I:$I)</f>
        <v>gibbosus</v>
      </c>
      <c r="G6707" t="str">
        <f>_xlfn.XLOOKUP(A6707,'[1]Tissue Data'!$A:$A,'[1]Tissue Data'!J:J)</f>
        <v>M</v>
      </c>
      <c r="H6707" t="str">
        <f>_xlfn.XLOOKUP(A6707,'[1]Tissue Data'!$A:$A,'[1]Tissue Data'!K:K)</f>
        <v>Liver</v>
      </c>
      <c r="I6707">
        <f>_xlfn.XLOOKUP(A6707,'[1]Tissue Data'!$A:$A,'[1]Tissue Data'!L:L)</f>
        <v>12.5</v>
      </c>
      <c r="J6707">
        <f>_xlfn.XLOOKUP(A6707,'[1]Tissue Data'!$A:$A,'[1]Tissue Data'!M:M)</f>
        <v>36.32</v>
      </c>
      <c r="K6707" t="s">
        <v>17</v>
      </c>
      <c r="L6707" t="str">
        <f>_xlfn.XLOOKUP(K6707,[2]analyte_order!$B:$B,[2]analyte_order!$C:$C)</f>
        <v>375-95-1</v>
      </c>
      <c r="M6707">
        <f>_xlfn.XLOOKUP(L6707,[2]analyte_order!$C:$C,[2]analyte_order!$E:$E)</f>
        <v>6</v>
      </c>
      <c r="N6707">
        <v>1.2350000000000001</v>
      </c>
    </row>
    <row r="6708" spans="1:14">
      <c r="A6708" t="s">
        <v>295</v>
      </c>
      <c r="B6708" t="str">
        <f>_xlfn.XLOOKUP(A6708,'[1]Tissue Data'!$A:$A,'[1]Tissue Data'!$C:$C)</f>
        <v>Down</v>
      </c>
      <c r="C6708" s="2">
        <f>_xlfn.XLOOKUP(A6708,'[1]Tissue Data'!$A:$A,'[1]Tissue Data'!$D:$D)</f>
        <v>44393</v>
      </c>
      <c r="D6708" s="2" t="str">
        <f>_xlfn.XLOOKUP(A6708,'[1]Tissue Data'!$A:$A,'[1]Tissue Data'!$F:$F)</f>
        <v>Pumpkinseed</v>
      </c>
      <c r="E6708" t="str">
        <f>_xlfn.XLOOKUP(A6708,'[1]Tissue Data'!$A:$A,'[1]Tissue Data'!$H:$H)</f>
        <v>Lepomis</v>
      </c>
      <c r="F6708" t="str">
        <f>_xlfn.XLOOKUP(A6708,'[1]Tissue Data'!$A:$A,'[1]Tissue Data'!$I:$I)</f>
        <v>gibbosus</v>
      </c>
      <c r="G6708" t="str">
        <f>_xlfn.XLOOKUP(A6708,'[1]Tissue Data'!$A:$A,'[1]Tissue Data'!J:J)</f>
        <v>M</v>
      </c>
      <c r="H6708" t="str">
        <f>_xlfn.XLOOKUP(A6708,'[1]Tissue Data'!$A:$A,'[1]Tissue Data'!K:K)</f>
        <v>Liver</v>
      </c>
      <c r="I6708">
        <f>_xlfn.XLOOKUP(A6708,'[1]Tissue Data'!$A:$A,'[1]Tissue Data'!L:L)</f>
        <v>12.5</v>
      </c>
      <c r="J6708">
        <f>_xlfn.XLOOKUP(A6708,'[1]Tissue Data'!$A:$A,'[1]Tissue Data'!M:M)</f>
        <v>36.32</v>
      </c>
      <c r="K6708" t="s">
        <v>18</v>
      </c>
      <c r="L6708" t="str">
        <f>_xlfn.XLOOKUP(K6708,[2]analyte_order!$B:$B,[2]analyte_order!$C:$C)</f>
        <v>335-76-2</v>
      </c>
      <c r="M6708">
        <f>_xlfn.XLOOKUP(L6708,[2]analyte_order!$C:$C,[2]analyte_order!$E:$E)</f>
        <v>7</v>
      </c>
      <c r="N6708">
        <v>12.1</v>
      </c>
    </row>
    <row r="6709" spans="1:14">
      <c r="A6709" t="s">
        <v>295</v>
      </c>
      <c r="B6709" t="str">
        <f>_xlfn.XLOOKUP(A6709,'[1]Tissue Data'!$A:$A,'[1]Tissue Data'!$C:$C)</f>
        <v>Down</v>
      </c>
      <c r="C6709" s="2">
        <f>_xlfn.XLOOKUP(A6709,'[1]Tissue Data'!$A:$A,'[1]Tissue Data'!$D:$D)</f>
        <v>44393</v>
      </c>
      <c r="D6709" s="2" t="str">
        <f>_xlfn.XLOOKUP(A6709,'[1]Tissue Data'!$A:$A,'[1]Tissue Data'!$F:$F)</f>
        <v>Pumpkinseed</v>
      </c>
      <c r="E6709" t="str">
        <f>_xlfn.XLOOKUP(A6709,'[1]Tissue Data'!$A:$A,'[1]Tissue Data'!$H:$H)</f>
        <v>Lepomis</v>
      </c>
      <c r="F6709" t="str">
        <f>_xlfn.XLOOKUP(A6709,'[1]Tissue Data'!$A:$A,'[1]Tissue Data'!$I:$I)</f>
        <v>gibbosus</v>
      </c>
      <c r="G6709" t="str">
        <f>_xlfn.XLOOKUP(A6709,'[1]Tissue Data'!$A:$A,'[1]Tissue Data'!J:J)</f>
        <v>M</v>
      </c>
      <c r="H6709" t="str">
        <f>_xlfn.XLOOKUP(A6709,'[1]Tissue Data'!$A:$A,'[1]Tissue Data'!K:K)</f>
        <v>Liver</v>
      </c>
      <c r="I6709">
        <f>_xlfn.XLOOKUP(A6709,'[1]Tissue Data'!$A:$A,'[1]Tissue Data'!L:L)</f>
        <v>12.5</v>
      </c>
      <c r="J6709">
        <f>_xlfn.XLOOKUP(A6709,'[1]Tissue Data'!$A:$A,'[1]Tissue Data'!M:M)</f>
        <v>36.32</v>
      </c>
      <c r="K6709" t="s">
        <v>19</v>
      </c>
      <c r="L6709" t="str">
        <f>_xlfn.XLOOKUP(K6709,[2]analyte_order!$B:$B,[2]analyte_order!$C:$C)</f>
        <v>2058-94-8</v>
      </c>
      <c r="M6709">
        <f>_xlfn.XLOOKUP(L6709,[2]analyte_order!$C:$C,[2]analyte_order!$E:$E)</f>
        <v>8</v>
      </c>
      <c r="N6709">
        <v>20.9</v>
      </c>
    </row>
    <row r="6710" spans="1:14">
      <c r="A6710" t="s">
        <v>295</v>
      </c>
      <c r="B6710" t="str">
        <f>_xlfn.XLOOKUP(A6710,'[1]Tissue Data'!$A:$A,'[1]Tissue Data'!$C:$C)</f>
        <v>Down</v>
      </c>
      <c r="C6710" s="2">
        <f>_xlfn.XLOOKUP(A6710,'[1]Tissue Data'!$A:$A,'[1]Tissue Data'!$D:$D)</f>
        <v>44393</v>
      </c>
      <c r="D6710" s="2" t="str">
        <f>_xlfn.XLOOKUP(A6710,'[1]Tissue Data'!$A:$A,'[1]Tissue Data'!$F:$F)</f>
        <v>Pumpkinseed</v>
      </c>
      <c r="E6710" t="str">
        <f>_xlfn.XLOOKUP(A6710,'[1]Tissue Data'!$A:$A,'[1]Tissue Data'!$H:$H)</f>
        <v>Lepomis</v>
      </c>
      <c r="F6710" t="str">
        <f>_xlfn.XLOOKUP(A6710,'[1]Tissue Data'!$A:$A,'[1]Tissue Data'!$I:$I)</f>
        <v>gibbosus</v>
      </c>
      <c r="G6710" t="str">
        <f>_xlfn.XLOOKUP(A6710,'[1]Tissue Data'!$A:$A,'[1]Tissue Data'!J:J)</f>
        <v>M</v>
      </c>
      <c r="H6710" t="str">
        <f>_xlfn.XLOOKUP(A6710,'[1]Tissue Data'!$A:$A,'[1]Tissue Data'!K:K)</f>
        <v>Liver</v>
      </c>
      <c r="I6710">
        <f>_xlfn.XLOOKUP(A6710,'[1]Tissue Data'!$A:$A,'[1]Tissue Data'!L:L)</f>
        <v>12.5</v>
      </c>
      <c r="J6710">
        <f>_xlfn.XLOOKUP(A6710,'[1]Tissue Data'!$A:$A,'[1]Tissue Data'!M:M)</f>
        <v>36.32</v>
      </c>
      <c r="K6710" t="s">
        <v>20</v>
      </c>
      <c r="L6710" t="str">
        <f>_xlfn.XLOOKUP(K6710,[2]analyte_order!$B:$B,[2]analyte_order!$C:$C)</f>
        <v>307-55-1</v>
      </c>
      <c r="M6710">
        <f>_xlfn.XLOOKUP(L6710,[2]analyte_order!$C:$C,[2]analyte_order!$E:$E)</f>
        <v>9</v>
      </c>
      <c r="N6710">
        <v>45.5</v>
      </c>
    </row>
    <row r="6711" spans="1:14">
      <c r="A6711" t="s">
        <v>295</v>
      </c>
      <c r="B6711" t="str">
        <f>_xlfn.XLOOKUP(A6711,'[1]Tissue Data'!$A:$A,'[1]Tissue Data'!$C:$C)</f>
        <v>Down</v>
      </c>
      <c r="C6711" s="2">
        <f>_xlfn.XLOOKUP(A6711,'[1]Tissue Data'!$A:$A,'[1]Tissue Data'!$D:$D)</f>
        <v>44393</v>
      </c>
      <c r="D6711" s="2" t="str">
        <f>_xlfn.XLOOKUP(A6711,'[1]Tissue Data'!$A:$A,'[1]Tissue Data'!$F:$F)</f>
        <v>Pumpkinseed</v>
      </c>
      <c r="E6711" t="str">
        <f>_xlfn.XLOOKUP(A6711,'[1]Tissue Data'!$A:$A,'[1]Tissue Data'!$H:$H)</f>
        <v>Lepomis</v>
      </c>
      <c r="F6711" t="str">
        <f>_xlfn.XLOOKUP(A6711,'[1]Tissue Data'!$A:$A,'[1]Tissue Data'!$I:$I)</f>
        <v>gibbosus</v>
      </c>
      <c r="G6711" t="str">
        <f>_xlfn.XLOOKUP(A6711,'[1]Tissue Data'!$A:$A,'[1]Tissue Data'!J:J)</f>
        <v>M</v>
      </c>
      <c r="H6711" t="str">
        <f>_xlfn.XLOOKUP(A6711,'[1]Tissue Data'!$A:$A,'[1]Tissue Data'!K:K)</f>
        <v>Liver</v>
      </c>
      <c r="I6711">
        <f>_xlfn.XLOOKUP(A6711,'[1]Tissue Data'!$A:$A,'[1]Tissue Data'!L:L)</f>
        <v>12.5</v>
      </c>
      <c r="J6711">
        <f>_xlfn.XLOOKUP(A6711,'[1]Tissue Data'!$A:$A,'[1]Tissue Data'!M:M)</f>
        <v>36.32</v>
      </c>
      <c r="K6711" t="s">
        <v>21</v>
      </c>
      <c r="L6711" t="str">
        <f>_xlfn.XLOOKUP(K6711,[2]analyte_order!$B:$B,[2]analyte_order!$C:$C)</f>
        <v>72629-94-8</v>
      </c>
      <c r="M6711">
        <f>_xlfn.XLOOKUP(L6711,[2]analyte_order!$C:$C,[2]analyte_order!$E:$E)</f>
        <v>10</v>
      </c>
      <c r="N6711">
        <v>15.4</v>
      </c>
    </row>
    <row r="6712" spans="1:14">
      <c r="A6712" t="s">
        <v>295</v>
      </c>
      <c r="B6712" t="str">
        <f>_xlfn.XLOOKUP(A6712,'[1]Tissue Data'!$A:$A,'[1]Tissue Data'!$C:$C)</f>
        <v>Down</v>
      </c>
      <c r="C6712" s="2">
        <f>_xlfn.XLOOKUP(A6712,'[1]Tissue Data'!$A:$A,'[1]Tissue Data'!$D:$D)</f>
        <v>44393</v>
      </c>
      <c r="D6712" s="2" t="str">
        <f>_xlfn.XLOOKUP(A6712,'[1]Tissue Data'!$A:$A,'[1]Tissue Data'!$F:$F)</f>
        <v>Pumpkinseed</v>
      </c>
      <c r="E6712" t="str">
        <f>_xlfn.XLOOKUP(A6712,'[1]Tissue Data'!$A:$A,'[1]Tissue Data'!$H:$H)</f>
        <v>Lepomis</v>
      </c>
      <c r="F6712" t="str">
        <f>_xlfn.XLOOKUP(A6712,'[1]Tissue Data'!$A:$A,'[1]Tissue Data'!$I:$I)</f>
        <v>gibbosus</v>
      </c>
      <c r="G6712" t="str">
        <f>_xlfn.XLOOKUP(A6712,'[1]Tissue Data'!$A:$A,'[1]Tissue Data'!J:J)</f>
        <v>M</v>
      </c>
      <c r="H6712" t="str">
        <f>_xlfn.XLOOKUP(A6712,'[1]Tissue Data'!$A:$A,'[1]Tissue Data'!K:K)</f>
        <v>Liver</v>
      </c>
      <c r="I6712">
        <f>_xlfn.XLOOKUP(A6712,'[1]Tissue Data'!$A:$A,'[1]Tissue Data'!L:L)</f>
        <v>12.5</v>
      </c>
      <c r="J6712">
        <f>_xlfn.XLOOKUP(A6712,'[1]Tissue Data'!$A:$A,'[1]Tissue Data'!M:M)</f>
        <v>36.32</v>
      </c>
      <c r="K6712" t="s">
        <v>22</v>
      </c>
      <c r="L6712" t="str">
        <f>_xlfn.XLOOKUP(K6712,[2]analyte_order!$B:$B,[2]analyte_order!$C:$C)</f>
        <v>376-06-7</v>
      </c>
      <c r="M6712">
        <f>_xlfn.XLOOKUP(L6712,[2]analyte_order!$C:$C,[2]analyte_order!$E:$E)</f>
        <v>11</v>
      </c>
      <c r="N6712">
        <v>35.6</v>
      </c>
    </row>
    <row r="6713" spans="1:14">
      <c r="A6713" t="s">
        <v>295</v>
      </c>
      <c r="B6713" t="str">
        <f>_xlfn.XLOOKUP(A6713,'[1]Tissue Data'!$A:$A,'[1]Tissue Data'!$C:$C)</f>
        <v>Down</v>
      </c>
      <c r="C6713" s="2">
        <f>_xlfn.XLOOKUP(A6713,'[1]Tissue Data'!$A:$A,'[1]Tissue Data'!$D:$D)</f>
        <v>44393</v>
      </c>
      <c r="D6713" s="2" t="str">
        <f>_xlfn.XLOOKUP(A6713,'[1]Tissue Data'!$A:$A,'[1]Tissue Data'!$F:$F)</f>
        <v>Pumpkinseed</v>
      </c>
      <c r="E6713" t="str">
        <f>_xlfn.XLOOKUP(A6713,'[1]Tissue Data'!$A:$A,'[1]Tissue Data'!$H:$H)</f>
        <v>Lepomis</v>
      </c>
      <c r="F6713" t="str">
        <f>_xlfn.XLOOKUP(A6713,'[1]Tissue Data'!$A:$A,'[1]Tissue Data'!$I:$I)</f>
        <v>gibbosus</v>
      </c>
      <c r="G6713" t="str">
        <f>_xlfn.XLOOKUP(A6713,'[1]Tissue Data'!$A:$A,'[1]Tissue Data'!J:J)</f>
        <v>M</v>
      </c>
      <c r="H6713" t="str">
        <f>_xlfn.XLOOKUP(A6713,'[1]Tissue Data'!$A:$A,'[1]Tissue Data'!K:K)</f>
        <v>Liver</v>
      </c>
      <c r="I6713">
        <f>_xlfn.XLOOKUP(A6713,'[1]Tissue Data'!$A:$A,'[1]Tissue Data'!L:L)</f>
        <v>12.5</v>
      </c>
      <c r="J6713">
        <f>_xlfn.XLOOKUP(A6713,'[1]Tissue Data'!$A:$A,'[1]Tissue Data'!M:M)</f>
        <v>36.32</v>
      </c>
      <c r="K6713" t="s">
        <v>23</v>
      </c>
      <c r="L6713" t="str">
        <f>_xlfn.XLOOKUP(K6713,[2]analyte_order!$B:$B,[2]analyte_order!$C:$C)</f>
        <v>67905-19-5</v>
      </c>
      <c r="M6713">
        <f>_xlfn.XLOOKUP(L6713,[2]analyte_order!$C:$C,[2]analyte_order!$E:$E)</f>
        <v>12</v>
      </c>
      <c r="N6713">
        <v>0.73499999999999999</v>
      </c>
    </row>
    <row r="6714" spans="1:14">
      <c r="A6714" t="s">
        <v>295</v>
      </c>
      <c r="B6714" t="str">
        <f>_xlfn.XLOOKUP(A6714,'[1]Tissue Data'!$A:$A,'[1]Tissue Data'!$C:$C)</f>
        <v>Down</v>
      </c>
      <c r="C6714" s="2">
        <f>_xlfn.XLOOKUP(A6714,'[1]Tissue Data'!$A:$A,'[1]Tissue Data'!$D:$D)</f>
        <v>44393</v>
      </c>
      <c r="D6714" s="2" t="str">
        <f>_xlfn.XLOOKUP(A6714,'[1]Tissue Data'!$A:$A,'[1]Tissue Data'!$F:$F)</f>
        <v>Pumpkinseed</v>
      </c>
      <c r="E6714" t="str">
        <f>_xlfn.XLOOKUP(A6714,'[1]Tissue Data'!$A:$A,'[1]Tissue Data'!$H:$H)</f>
        <v>Lepomis</v>
      </c>
      <c r="F6714" t="str">
        <f>_xlfn.XLOOKUP(A6714,'[1]Tissue Data'!$A:$A,'[1]Tissue Data'!$I:$I)</f>
        <v>gibbosus</v>
      </c>
      <c r="G6714" t="str">
        <f>_xlfn.XLOOKUP(A6714,'[1]Tissue Data'!$A:$A,'[1]Tissue Data'!J:J)</f>
        <v>M</v>
      </c>
      <c r="H6714" t="str">
        <f>_xlfn.XLOOKUP(A6714,'[1]Tissue Data'!$A:$A,'[1]Tissue Data'!K:K)</f>
        <v>Liver</v>
      </c>
      <c r="I6714">
        <f>_xlfn.XLOOKUP(A6714,'[1]Tissue Data'!$A:$A,'[1]Tissue Data'!L:L)</f>
        <v>12.5</v>
      </c>
      <c r="J6714">
        <f>_xlfn.XLOOKUP(A6714,'[1]Tissue Data'!$A:$A,'[1]Tissue Data'!M:M)</f>
        <v>36.32</v>
      </c>
      <c r="K6714" t="s">
        <v>24</v>
      </c>
      <c r="L6714" t="str">
        <f>_xlfn.XLOOKUP(K6714,[2]analyte_order!$B:$B,[2]analyte_order!$C:$C)</f>
        <v>423-41-6</v>
      </c>
      <c r="M6714">
        <f>_xlfn.XLOOKUP(L6714,[2]analyte_order!$C:$C,[2]analyte_order!$E:$E)</f>
        <v>53</v>
      </c>
      <c r="N6714">
        <v>0.62</v>
      </c>
    </row>
    <row r="6715" spans="1:14">
      <c r="A6715" t="s">
        <v>295</v>
      </c>
      <c r="B6715" t="str">
        <f>_xlfn.XLOOKUP(A6715,'[1]Tissue Data'!$A:$A,'[1]Tissue Data'!$C:$C)</f>
        <v>Down</v>
      </c>
      <c r="C6715" s="2">
        <f>_xlfn.XLOOKUP(A6715,'[1]Tissue Data'!$A:$A,'[1]Tissue Data'!$D:$D)</f>
        <v>44393</v>
      </c>
      <c r="D6715" s="2" t="str">
        <f>_xlfn.XLOOKUP(A6715,'[1]Tissue Data'!$A:$A,'[1]Tissue Data'!$F:$F)</f>
        <v>Pumpkinseed</v>
      </c>
      <c r="E6715" t="str">
        <f>_xlfn.XLOOKUP(A6715,'[1]Tissue Data'!$A:$A,'[1]Tissue Data'!$H:$H)</f>
        <v>Lepomis</v>
      </c>
      <c r="F6715" t="str">
        <f>_xlfn.XLOOKUP(A6715,'[1]Tissue Data'!$A:$A,'[1]Tissue Data'!$I:$I)</f>
        <v>gibbosus</v>
      </c>
      <c r="G6715" t="str">
        <f>_xlfn.XLOOKUP(A6715,'[1]Tissue Data'!$A:$A,'[1]Tissue Data'!J:J)</f>
        <v>M</v>
      </c>
      <c r="H6715" t="str">
        <f>_xlfn.XLOOKUP(A6715,'[1]Tissue Data'!$A:$A,'[1]Tissue Data'!K:K)</f>
        <v>Liver</v>
      </c>
      <c r="I6715">
        <f>_xlfn.XLOOKUP(A6715,'[1]Tissue Data'!$A:$A,'[1]Tissue Data'!L:L)</f>
        <v>12.5</v>
      </c>
      <c r="J6715">
        <f>_xlfn.XLOOKUP(A6715,'[1]Tissue Data'!$A:$A,'[1]Tissue Data'!M:M)</f>
        <v>36.32</v>
      </c>
      <c r="K6715" t="s">
        <v>25</v>
      </c>
      <c r="L6715" t="str">
        <f>_xlfn.XLOOKUP(K6715,[2]analyte_order!$B:$B,[2]analyte_order!$C:$C)</f>
        <v>375-73-5</v>
      </c>
      <c r="M6715">
        <f>_xlfn.XLOOKUP(L6715,[2]analyte_order!$C:$C,[2]analyte_order!$E:$E)</f>
        <v>14</v>
      </c>
      <c r="N6715">
        <v>1.2350000000000001</v>
      </c>
    </row>
    <row r="6716" spans="1:14">
      <c r="A6716" t="s">
        <v>295</v>
      </c>
      <c r="B6716" t="str">
        <f>_xlfn.XLOOKUP(A6716,'[1]Tissue Data'!$A:$A,'[1]Tissue Data'!$C:$C)</f>
        <v>Down</v>
      </c>
      <c r="C6716" s="2">
        <f>_xlfn.XLOOKUP(A6716,'[1]Tissue Data'!$A:$A,'[1]Tissue Data'!$D:$D)</f>
        <v>44393</v>
      </c>
      <c r="D6716" s="2" t="str">
        <f>_xlfn.XLOOKUP(A6716,'[1]Tissue Data'!$A:$A,'[1]Tissue Data'!$F:$F)</f>
        <v>Pumpkinseed</v>
      </c>
      <c r="E6716" t="str">
        <f>_xlfn.XLOOKUP(A6716,'[1]Tissue Data'!$A:$A,'[1]Tissue Data'!$H:$H)</f>
        <v>Lepomis</v>
      </c>
      <c r="F6716" t="str">
        <f>_xlfn.XLOOKUP(A6716,'[1]Tissue Data'!$A:$A,'[1]Tissue Data'!$I:$I)</f>
        <v>gibbosus</v>
      </c>
      <c r="G6716" t="str">
        <f>_xlfn.XLOOKUP(A6716,'[1]Tissue Data'!$A:$A,'[1]Tissue Data'!J:J)</f>
        <v>M</v>
      </c>
      <c r="H6716" t="str">
        <f>_xlfn.XLOOKUP(A6716,'[1]Tissue Data'!$A:$A,'[1]Tissue Data'!K:K)</f>
        <v>Liver</v>
      </c>
      <c r="I6716">
        <f>_xlfn.XLOOKUP(A6716,'[1]Tissue Data'!$A:$A,'[1]Tissue Data'!L:L)</f>
        <v>12.5</v>
      </c>
      <c r="J6716">
        <f>_xlfn.XLOOKUP(A6716,'[1]Tissue Data'!$A:$A,'[1]Tissue Data'!M:M)</f>
        <v>36.32</v>
      </c>
      <c r="K6716" t="s">
        <v>26</v>
      </c>
      <c r="L6716" t="str">
        <f>_xlfn.XLOOKUP(K6716,[2]analyte_order!$B:$B,[2]analyte_order!$C:$C)</f>
        <v>2706-91-4</v>
      </c>
      <c r="M6716">
        <f>_xlfn.XLOOKUP(L6716,[2]analyte_order!$C:$C,[2]analyte_order!$E:$E)</f>
        <v>15</v>
      </c>
      <c r="N6716">
        <v>0.65500000000000003</v>
      </c>
    </row>
    <row r="6717" spans="1:14">
      <c r="A6717" t="s">
        <v>295</v>
      </c>
      <c r="B6717" t="str">
        <f>_xlfn.XLOOKUP(A6717,'[1]Tissue Data'!$A:$A,'[1]Tissue Data'!$C:$C)</f>
        <v>Down</v>
      </c>
      <c r="C6717" s="2">
        <f>_xlfn.XLOOKUP(A6717,'[1]Tissue Data'!$A:$A,'[1]Tissue Data'!$D:$D)</f>
        <v>44393</v>
      </c>
      <c r="D6717" s="2" t="str">
        <f>_xlfn.XLOOKUP(A6717,'[1]Tissue Data'!$A:$A,'[1]Tissue Data'!$F:$F)</f>
        <v>Pumpkinseed</v>
      </c>
      <c r="E6717" t="str">
        <f>_xlfn.XLOOKUP(A6717,'[1]Tissue Data'!$A:$A,'[1]Tissue Data'!$H:$H)</f>
        <v>Lepomis</v>
      </c>
      <c r="F6717" t="str">
        <f>_xlfn.XLOOKUP(A6717,'[1]Tissue Data'!$A:$A,'[1]Tissue Data'!$I:$I)</f>
        <v>gibbosus</v>
      </c>
      <c r="G6717" t="str">
        <f>_xlfn.XLOOKUP(A6717,'[1]Tissue Data'!$A:$A,'[1]Tissue Data'!J:J)</f>
        <v>M</v>
      </c>
      <c r="H6717" t="str">
        <f>_xlfn.XLOOKUP(A6717,'[1]Tissue Data'!$A:$A,'[1]Tissue Data'!K:K)</f>
        <v>Liver</v>
      </c>
      <c r="I6717">
        <f>_xlfn.XLOOKUP(A6717,'[1]Tissue Data'!$A:$A,'[1]Tissue Data'!L:L)</f>
        <v>12.5</v>
      </c>
      <c r="J6717">
        <f>_xlfn.XLOOKUP(A6717,'[1]Tissue Data'!$A:$A,'[1]Tissue Data'!M:M)</f>
        <v>36.32</v>
      </c>
      <c r="K6717" t="s">
        <v>27</v>
      </c>
      <c r="L6717" t="str">
        <f>_xlfn.XLOOKUP(K6717,[2]analyte_order!$B:$B,[2]analyte_order!$C:$C)</f>
        <v>355-46-4</v>
      </c>
      <c r="M6717">
        <f>_xlfn.XLOOKUP(L6717,[2]analyte_order!$C:$C,[2]analyte_order!$E:$E)</f>
        <v>16</v>
      </c>
      <c r="N6717">
        <v>20.8</v>
      </c>
    </row>
    <row r="6718" spans="1:14">
      <c r="A6718" t="s">
        <v>295</v>
      </c>
      <c r="B6718" t="str">
        <f>_xlfn.XLOOKUP(A6718,'[1]Tissue Data'!$A:$A,'[1]Tissue Data'!$C:$C)</f>
        <v>Down</v>
      </c>
      <c r="C6718" s="2">
        <f>_xlfn.XLOOKUP(A6718,'[1]Tissue Data'!$A:$A,'[1]Tissue Data'!$D:$D)</f>
        <v>44393</v>
      </c>
      <c r="D6718" s="2" t="str">
        <f>_xlfn.XLOOKUP(A6718,'[1]Tissue Data'!$A:$A,'[1]Tissue Data'!$F:$F)</f>
        <v>Pumpkinseed</v>
      </c>
      <c r="E6718" t="str">
        <f>_xlfn.XLOOKUP(A6718,'[1]Tissue Data'!$A:$A,'[1]Tissue Data'!$H:$H)</f>
        <v>Lepomis</v>
      </c>
      <c r="F6718" t="str">
        <f>_xlfn.XLOOKUP(A6718,'[1]Tissue Data'!$A:$A,'[1]Tissue Data'!$I:$I)</f>
        <v>gibbosus</v>
      </c>
      <c r="G6718" t="str">
        <f>_xlfn.XLOOKUP(A6718,'[1]Tissue Data'!$A:$A,'[1]Tissue Data'!J:J)</f>
        <v>M</v>
      </c>
      <c r="H6718" t="str">
        <f>_xlfn.XLOOKUP(A6718,'[1]Tissue Data'!$A:$A,'[1]Tissue Data'!K:K)</f>
        <v>Liver</v>
      </c>
      <c r="I6718">
        <f>_xlfn.XLOOKUP(A6718,'[1]Tissue Data'!$A:$A,'[1]Tissue Data'!L:L)</f>
        <v>12.5</v>
      </c>
      <c r="J6718">
        <f>_xlfn.XLOOKUP(A6718,'[1]Tissue Data'!$A:$A,'[1]Tissue Data'!M:M)</f>
        <v>36.32</v>
      </c>
      <c r="K6718" t="s">
        <v>28</v>
      </c>
      <c r="L6718" t="str">
        <f>_xlfn.XLOOKUP(K6718,[2]analyte_order!$B:$B,[2]analyte_order!$C:$C)</f>
        <v>375-92-8</v>
      </c>
      <c r="M6718">
        <f>_xlfn.XLOOKUP(L6718,[2]analyte_order!$C:$C,[2]analyte_order!$E:$E)</f>
        <v>17</v>
      </c>
      <c r="N6718">
        <v>3.27</v>
      </c>
    </row>
    <row r="6719" spans="1:14">
      <c r="A6719" t="s">
        <v>295</v>
      </c>
      <c r="B6719" t="str">
        <f>_xlfn.XLOOKUP(A6719,'[1]Tissue Data'!$A:$A,'[1]Tissue Data'!$C:$C)</f>
        <v>Down</v>
      </c>
      <c r="C6719" s="2">
        <f>_xlfn.XLOOKUP(A6719,'[1]Tissue Data'!$A:$A,'[1]Tissue Data'!$D:$D)</f>
        <v>44393</v>
      </c>
      <c r="D6719" s="2" t="str">
        <f>_xlfn.XLOOKUP(A6719,'[1]Tissue Data'!$A:$A,'[1]Tissue Data'!$F:$F)</f>
        <v>Pumpkinseed</v>
      </c>
      <c r="E6719" t="str">
        <f>_xlfn.XLOOKUP(A6719,'[1]Tissue Data'!$A:$A,'[1]Tissue Data'!$H:$H)</f>
        <v>Lepomis</v>
      </c>
      <c r="F6719" t="str">
        <f>_xlfn.XLOOKUP(A6719,'[1]Tissue Data'!$A:$A,'[1]Tissue Data'!$I:$I)</f>
        <v>gibbosus</v>
      </c>
      <c r="G6719" t="str">
        <f>_xlfn.XLOOKUP(A6719,'[1]Tissue Data'!$A:$A,'[1]Tissue Data'!J:J)</f>
        <v>M</v>
      </c>
      <c r="H6719" t="str">
        <f>_xlfn.XLOOKUP(A6719,'[1]Tissue Data'!$A:$A,'[1]Tissue Data'!K:K)</f>
        <v>Liver</v>
      </c>
      <c r="I6719">
        <f>_xlfn.XLOOKUP(A6719,'[1]Tissue Data'!$A:$A,'[1]Tissue Data'!L:L)</f>
        <v>12.5</v>
      </c>
      <c r="J6719">
        <f>_xlfn.XLOOKUP(A6719,'[1]Tissue Data'!$A:$A,'[1]Tissue Data'!M:M)</f>
        <v>36.32</v>
      </c>
      <c r="K6719" t="s">
        <v>29</v>
      </c>
      <c r="L6719" t="str">
        <f>_xlfn.XLOOKUP(K6719,[2]analyte_order!$B:$B,[2]analyte_order!$C:$C)</f>
        <v>1763-23-1</v>
      </c>
      <c r="M6719">
        <f>_xlfn.XLOOKUP(L6719,[2]analyte_order!$C:$C,[2]analyte_order!$E:$E)</f>
        <v>18</v>
      </c>
      <c r="N6719">
        <v>3100</v>
      </c>
    </row>
    <row r="6720" spans="1:14">
      <c r="A6720" t="s">
        <v>295</v>
      </c>
      <c r="B6720" t="str">
        <f>_xlfn.XLOOKUP(A6720,'[1]Tissue Data'!$A:$A,'[1]Tissue Data'!$C:$C)</f>
        <v>Down</v>
      </c>
      <c r="C6720" s="2">
        <f>_xlfn.XLOOKUP(A6720,'[1]Tissue Data'!$A:$A,'[1]Tissue Data'!$D:$D)</f>
        <v>44393</v>
      </c>
      <c r="D6720" s="2" t="str">
        <f>_xlfn.XLOOKUP(A6720,'[1]Tissue Data'!$A:$A,'[1]Tissue Data'!$F:$F)</f>
        <v>Pumpkinseed</v>
      </c>
      <c r="E6720" t="str">
        <f>_xlfn.XLOOKUP(A6720,'[1]Tissue Data'!$A:$A,'[1]Tissue Data'!$H:$H)</f>
        <v>Lepomis</v>
      </c>
      <c r="F6720" t="str">
        <f>_xlfn.XLOOKUP(A6720,'[1]Tissue Data'!$A:$A,'[1]Tissue Data'!$I:$I)</f>
        <v>gibbosus</v>
      </c>
      <c r="G6720" t="str">
        <f>_xlfn.XLOOKUP(A6720,'[1]Tissue Data'!$A:$A,'[1]Tissue Data'!J:J)</f>
        <v>M</v>
      </c>
      <c r="H6720" t="str">
        <f>_xlfn.XLOOKUP(A6720,'[1]Tissue Data'!$A:$A,'[1]Tissue Data'!K:K)</f>
        <v>Liver</v>
      </c>
      <c r="I6720">
        <f>_xlfn.XLOOKUP(A6720,'[1]Tissue Data'!$A:$A,'[1]Tissue Data'!L:L)</f>
        <v>12.5</v>
      </c>
      <c r="J6720">
        <f>_xlfn.XLOOKUP(A6720,'[1]Tissue Data'!$A:$A,'[1]Tissue Data'!M:M)</f>
        <v>36.32</v>
      </c>
      <c r="K6720" t="s">
        <v>30</v>
      </c>
      <c r="L6720" t="str">
        <f>_xlfn.XLOOKUP(K6720,[2]analyte_order!$B:$B,[2]analyte_order!$C:$C)</f>
        <v>68259-12-1</v>
      </c>
      <c r="M6720">
        <f>_xlfn.XLOOKUP(L6720,[2]analyte_order!$C:$C,[2]analyte_order!$E:$E)</f>
        <v>19</v>
      </c>
      <c r="N6720">
        <v>3.18</v>
      </c>
    </row>
    <row r="6721" spans="1:14">
      <c r="A6721" t="s">
        <v>295</v>
      </c>
      <c r="B6721" t="str">
        <f>_xlfn.XLOOKUP(A6721,'[1]Tissue Data'!$A:$A,'[1]Tissue Data'!$C:$C)</f>
        <v>Down</v>
      </c>
      <c r="C6721" s="2">
        <f>_xlfn.XLOOKUP(A6721,'[1]Tissue Data'!$A:$A,'[1]Tissue Data'!$D:$D)</f>
        <v>44393</v>
      </c>
      <c r="D6721" s="2" t="str">
        <f>_xlfn.XLOOKUP(A6721,'[1]Tissue Data'!$A:$A,'[1]Tissue Data'!$F:$F)</f>
        <v>Pumpkinseed</v>
      </c>
      <c r="E6721" t="str">
        <f>_xlfn.XLOOKUP(A6721,'[1]Tissue Data'!$A:$A,'[1]Tissue Data'!$H:$H)</f>
        <v>Lepomis</v>
      </c>
      <c r="F6721" t="str">
        <f>_xlfn.XLOOKUP(A6721,'[1]Tissue Data'!$A:$A,'[1]Tissue Data'!$I:$I)</f>
        <v>gibbosus</v>
      </c>
      <c r="G6721" t="str">
        <f>_xlfn.XLOOKUP(A6721,'[1]Tissue Data'!$A:$A,'[1]Tissue Data'!J:J)</f>
        <v>M</v>
      </c>
      <c r="H6721" t="str">
        <f>_xlfn.XLOOKUP(A6721,'[1]Tissue Data'!$A:$A,'[1]Tissue Data'!K:K)</f>
        <v>Liver</v>
      </c>
      <c r="I6721">
        <f>_xlfn.XLOOKUP(A6721,'[1]Tissue Data'!$A:$A,'[1]Tissue Data'!L:L)</f>
        <v>12.5</v>
      </c>
      <c r="J6721">
        <f>_xlfn.XLOOKUP(A6721,'[1]Tissue Data'!$A:$A,'[1]Tissue Data'!M:M)</f>
        <v>36.32</v>
      </c>
      <c r="K6721" t="s">
        <v>31</v>
      </c>
      <c r="L6721" t="str">
        <f>_xlfn.XLOOKUP(K6721,[2]analyte_order!$B:$B,[2]analyte_order!$C:$C)</f>
        <v>335-77-3</v>
      </c>
      <c r="M6721">
        <f>_xlfn.XLOOKUP(L6721,[2]analyte_order!$C:$C,[2]analyte_order!$E:$E)</f>
        <v>20</v>
      </c>
      <c r="N6721">
        <v>2.65</v>
      </c>
    </row>
    <row r="6722" spans="1:14">
      <c r="A6722" t="s">
        <v>295</v>
      </c>
      <c r="B6722" t="str">
        <f>_xlfn.XLOOKUP(A6722,'[1]Tissue Data'!$A:$A,'[1]Tissue Data'!$C:$C)</f>
        <v>Down</v>
      </c>
      <c r="C6722" s="2">
        <f>_xlfn.XLOOKUP(A6722,'[1]Tissue Data'!$A:$A,'[1]Tissue Data'!$D:$D)</f>
        <v>44393</v>
      </c>
      <c r="D6722" s="2" t="str">
        <f>_xlfn.XLOOKUP(A6722,'[1]Tissue Data'!$A:$A,'[1]Tissue Data'!$F:$F)</f>
        <v>Pumpkinseed</v>
      </c>
      <c r="E6722" t="str">
        <f>_xlfn.XLOOKUP(A6722,'[1]Tissue Data'!$A:$A,'[1]Tissue Data'!$H:$H)</f>
        <v>Lepomis</v>
      </c>
      <c r="F6722" t="str">
        <f>_xlfn.XLOOKUP(A6722,'[1]Tissue Data'!$A:$A,'[1]Tissue Data'!$I:$I)</f>
        <v>gibbosus</v>
      </c>
      <c r="G6722" t="str">
        <f>_xlfn.XLOOKUP(A6722,'[1]Tissue Data'!$A:$A,'[1]Tissue Data'!J:J)</f>
        <v>M</v>
      </c>
      <c r="H6722" t="str">
        <f>_xlfn.XLOOKUP(A6722,'[1]Tissue Data'!$A:$A,'[1]Tissue Data'!K:K)</f>
        <v>Liver</v>
      </c>
      <c r="I6722">
        <f>_xlfn.XLOOKUP(A6722,'[1]Tissue Data'!$A:$A,'[1]Tissue Data'!L:L)</f>
        <v>12.5</v>
      </c>
      <c r="J6722">
        <f>_xlfn.XLOOKUP(A6722,'[1]Tissue Data'!$A:$A,'[1]Tissue Data'!M:M)</f>
        <v>36.32</v>
      </c>
      <c r="K6722" t="s">
        <v>32</v>
      </c>
      <c r="L6722" t="str">
        <f>_xlfn.XLOOKUP(K6722,[2]analyte_order!$B:$B,[2]analyte_order!$C:$C)</f>
        <v>79780-39-5</v>
      </c>
      <c r="M6722">
        <f>_xlfn.XLOOKUP(L6722,[2]analyte_order!$C:$C,[2]analyte_order!$E:$E)</f>
        <v>21</v>
      </c>
      <c r="N6722">
        <v>1.325</v>
      </c>
    </row>
    <row r="6723" spans="1:14">
      <c r="A6723" t="s">
        <v>295</v>
      </c>
      <c r="B6723" t="str">
        <f>_xlfn.XLOOKUP(A6723,'[1]Tissue Data'!$A:$A,'[1]Tissue Data'!$C:$C)</f>
        <v>Down</v>
      </c>
      <c r="C6723" s="2">
        <f>_xlfn.XLOOKUP(A6723,'[1]Tissue Data'!$A:$A,'[1]Tissue Data'!$D:$D)</f>
        <v>44393</v>
      </c>
      <c r="D6723" s="2" t="str">
        <f>_xlfn.XLOOKUP(A6723,'[1]Tissue Data'!$A:$A,'[1]Tissue Data'!$F:$F)</f>
        <v>Pumpkinseed</v>
      </c>
      <c r="E6723" t="str">
        <f>_xlfn.XLOOKUP(A6723,'[1]Tissue Data'!$A:$A,'[1]Tissue Data'!$H:$H)</f>
        <v>Lepomis</v>
      </c>
      <c r="F6723" t="str">
        <f>_xlfn.XLOOKUP(A6723,'[1]Tissue Data'!$A:$A,'[1]Tissue Data'!$I:$I)</f>
        <v>gibbosus</v>
      </c>
      <c r="G6723" t="str">
        <f>_xlfn.XLOOKUP(A6723,'[1]Tissue Data'!$A:$A,'[1]Tissue Data'!J:J)</f>
        <v>M</v>
      </c>
      <c r="H6723" t="str">
        <f>_xlfn.XLOOKUP(A6723,'[1]Tissue Data'!$A:$A,'[1]Tissue Data'!K:K)</f>
        <v>Liver</v>
      </c>
      <c r="I6723">
        <f>_xlfn.XLOOKUP(A6723,'[1]Tissue Data'!$A:$A,'[1]Tissue Data'!L:L)</f>
        <v>12.5</v>
      </c>
      <c r="J6723">
        <f>_xlfn.XLOOKUP(A6723,'[1]Tissue Data'!$A:$A,'[1]Tissue Data'!M:M)</f>
        <v>36.32</v>
      </c>
      <c r="K6723" t="s">
        <v>33</v>
      </c>
      <c r="L6723" t="str">
        <f>_xlfn.XLOOKUP(K6723,[2]analyte_order!$B:$B,[2]analyte_order!$C:$C)</f>
        <v>777011-38-8</v>
      </c>
      <c r="M6723">
        <f>_xlfn.XLOOKUP(L6723,[2]analyte_order!$C:$C,[2]analyte_order!$E:$E)</f>
        <v>54</v>
      </c>
      <c r="N6723">
        <v>0.75</v>
      </c>
    </row>
    <row r="6724" spans="1:14">
      <c r="A6724" t="s">
        <v>295</v>
      </c>
      <c r="B6724" t="str">
        <f>_xlfn.XLOOKUP(A6724,'[1]Tissue Data'!$A:$A,'[1]Tissue Data'!$C:$C)</f>
        <v>Down</v>
      </c>
      <c r="C6724" s="2">
        <f>_xlfn.XLOOKUP(A6724,'[1]Tissue Data'!$A:$A,'[1]Tissue Data'!$D:$D)</f>
        <v>44393</v>
      </c>
      <c r="D6724" s="2" t="str">
        <f>_xlfn.XLOOKUP(A6724,'[1]Tissue Data'!$A:$A,'[1]Tissue Data'!$F:$F)</f>
        <v>Pumpkinseed</v>
      </c>
      <c r="E6724" t="str">
        <f>_xlfn.XLOOKUP(A6724,'[1]Tissue Data'!$A:$A,'[1]Tissue Data'!$H:$H)</f>
        <v>Lepomis</v>
      </c>
      <c r="F6724" t="str">
        <f>_xlfn.XLOOKUP(A6724,'[1]Tissue Data'!$A:$A,'[1]Tissue Data'!$I:$I)</f>
        <v>gibbosus</v>
      </c>
      <c r="G6724" t="str">
        <f>_xlfn.XLOOKUP(A6724,'[1]Tissue Data'!$A:$A,'[1]Tissue Data'!J:J)</f>
        <v>M</v>
      </c>
      <c r="H6724" t="str">
        <f>_xlfn.XLOOKUP(A6724,'[1]Tissue Data'!$A:$A,'[1]Tissue Data'!K:K)</f>
        <v>Liver</v>
      </c>
      <c r="I6724">
        <f>_xlfn.XLOOKUP(A6724,'[1]Tissue Data'!$A:$A,'[1]Tissue Data'!L:L)</f>
        <v>12.5</v>
      </c>
      <c r="J6724">
        <f>_xlfn.XLOOKUP(A6724,'[1]Tissue Data'!$A:$A,'[1]Tissue Data'!M:M)</f>
        <v>36.32</v>
      </c>
      <c r="K6724" t="s">
        <v>34</v>
      </c>
      <c r="L6724" t="str">
        <f>_xlfn.XLOOKUP(K6724,[2]analyte_order!$B:$B,[2]analyte_order!$C:$C)</f>
        <v>646-83-3</v>
      </c>
      <c r="M6724">
        <f>_xlfn.XLOOKUP(L6724,[2]analyte_order!$C:$C,[2]analyte_order!$E:$E)</f>
        <v>55</v>
      </c>
      <c r="N6724">
        <v>0.4945</v>
      </c>
    </row>
    <row r="6725" spans="1:14">
      <c r="A6725" t="s">
        <v>295</v>
      </c>
      <c r="B6725" t="str">
        <f>_xlfn.XLOOKUP(A6725,'[1]Tissue Data'!$A:$A,'[1]Tissue Data'!$C:$C)</f>
        <v>Down</v>
      </c>
      <c r="C6725" s="2">
        <f>_xlfn.XLOOKUP(A6725,'[1]Tissue Data'!$A:$A,'[1]Tissue Data'!$D:$D)</f>
        <v>44393</v>
      </c>
      <c r="D6725" s="2" t="str">
        <f>_xlfn.XLOOKUP(A6725,'[1]Tissue Data'!$A:$A,'[1]Tissue Data'!$F:$F)</f>
        <v>Pumpkinseed</v>
      </c>
      <c r="E6725" t="str">
        <f>_xlfn.XLOOKUP(A6725,'[1]Tissue Data'!$A:$A,'[1]Tissue Data'!$H:$H)</f>
        <v>Lepomis</v>
      </c>
      <c r="F6725" t="str">
        <f>_xlfn.XLOOKUP(A6725,'[1]Tissue Data'!$A:$A,'[1]Tissue Data'!$I:$I)</f>
        <v>gibbosus</v>
      </c>
      <c r="G6725" t="str">
        <f>_xlfn.XLOOKUP(A6725,'[1]Tissue Data'!$A:$A,'[1]Tissue Data'!J:J)</f>
        <v>M</v>
      </c>
      <c r="H6725" t="str">
        <f>_xlfn.XLOOKUP(A6725,'[1]Tissue Data'!$A:$A,'[1]Tissue Data'!K:K)</f>
        <v>Liver</v>
      </c>
      <c r="I6725">
        <f>_xlfn.XLOOKUP(A6725,'[1]Tissue Data'!$A:$A,'[1]Tissue Data'!L:L)</f>
        <v>12.5</v>
      </c>
      <c r="J6725">
        <f>_xlfn.XLOOKUP(A6725,'[1]Tissue Data'!$A:$A,'[1]Tissue Data'!M:M)</f>
        <v>36.32</v>
      </c>
      <c r="K6725" t="s">
        <v>35</v>
      </c>
      <c r="L6725" t="str">
        <f>_xlfn.XLOOKUP(K6725,[2]analyte_order!$B:$B,[2]analyte_order!$C:$C)</f>
        <v>30334-69-1</v>
      </c>
      <c r="M6725">
        <f>_xlfn.XLOOKUP(L6725,[2]analyte_order!$C:$C,[2]analyte_order!$E:$E)</f>
        <v>51</v>
      </c>
      <c r="N6725">
        <v>134</v>
      </c>
    </row>
    <row r="6726" spans="1:14">
      <c r="A6726" t="s">
        <v>295</v>
      </c>
      <c r="B6726" t="str">
        <f>_xlfn.XLOOKUP(A6726,'[1]Tissue Data'!$A:$A,'[1]Tissue Data'!$C:$C)</f>
        <v>Down</v>
      </c>
      <c r="C6726" s="2">
        <f>_xlfn.XLOOKUP(A6726,'[1]Tissue Data'!$A:$A,'[1]Tissue Data'!$D:$D)</f>
        <v>44393</v>
      </c>
      <c r="D6726" s="2" t="str">
        <f>_xlfn.XLOOKUP(A6726,'[1]Tissue Data'!$A:$A,'[1]Tissue Data'!$F:$F)</f>
        <v>Pumpkinseed</v>
      </c>
      <c r="E6726" t="str">
        <f>_xlfn.XLOOKUP(A6726,'[1]Tissue Data'!$A:$A,'[1]Tissue Data'!$H:$H)</f>
        <v>Lepomis</v>
      </c>
      <c r="F6726" t="str">
        <f>_xlfn.XLOOKUP(A6726,'[1]Tissue Data'!$A:$A,'[1]Tissue Data'!$I:$I)</f>
        <v>gibbosus</v>
      </c>
      <c r="G6726" t="str">
        <f>_xlfn.XLOOKUP(A6726,'[1]Tissue Data'!$A:$A,'[1]Tissue Data'!J:J)</f>
        <v>M</v>
      </c>
      <c r="H6726" t="str">
        <f>_xlfn.XLOOKUP(A6726,'[1]Tissue Data'!$A:$A,'[1]Tissue Data'!K:K)</f>
        <v>Liver</v>
      </c>
      <c r="I6726">
        <f>_xlfn.XLOOKUP(A6726,'[1]Tissue Data'!$A:$A,'[1]Tissue Data'!L:L)</f>
        <v>12.5</v>
      </c>
      <c r="J6726">
        <f>_xlfn.XLOOKUP(A6726,'[1]Tissue Data'!$A:$A,'[1]Tissue Data'!M:M)</f>
        <v>36.32</v>
      </c>
      <c r="K6726" t="s">
        <v>36</v>
      </c>
      <c r="L6726" t="str">
        <f>_xlfn.XLOOKUP(K6726,[2]analyte_order!$B:$B,[2]analyte_order!$C:$C)</f>
        <v>41997-13-1</v>
      </c>
      <c r="M6726">
        <f>_xlfn.XLOOKUP(L6726,[2]analyte_order!$C:$C,[2]analyte_order!$E:$E)</f>
        <v>52</v>
      </c>
      <c r="N6726">
        <v>198</v>
      </c>
    </row>
    <row r="6727" spans="1:14">
      <c r="A6727" t="s">
        <v>295</v>
      </c>
      <c r="B6727" t="str">
        <f>_xlfn.XLOOKUP(A6727,'[1]Tissue Data'!$A:$A,'[1]Tissue Data'!$C:$C)</f>
        <v>Down</v>
      </c>
      <c r="C6727" s="2">
        <f>_xlfn.XLOOKUP(A6727,'[1]Tissue Data'!$A:$A,'[1]Tissue Data'!$D:$D)</f>
        <v>44393</v>
      </c>
      <c r="D6727" s="2" t="str">
        <f>_xlfn.XLOOKUP(A6727,'[1]Tissue Data'!$A:$A,'[1]Tissue Data'!$F:$F)</f>
        <v>Pumpkinseed</v>
      </c>
      <c r="E6727" t="str">
        <f>_xlfn.XLOOKUP(A6727,'[1]Tissue Data'!$A:$A,'[1]Tissue Data'!$H:$H)</f>
        <v>Lepomis</v>
      </c>
      <c r="F6727" t="str">
        <f>_xlfn.XLOOKUP(A6727,'[1]Tissue Data'!$A:$A,'[1]Tissue Data'!$I:$I)</f>
        <v>gibbosus</v>
      </c>
      <c r="G6727" t="str">
        <f>_xlfn.XLOOKUP(A6727,'[1]Tissue Data'!$A:$A,'[1]Tissue Data'!J:J)</f>
        <v>M</v>
      </c>
      <c r="H6727" t="str">
        <f>_xlfn.XLOOKUP(A6727,'[1]Tissue Data'!$A:$A,'[1]Tissue Data'!K:K)</f>
        <v>Liver</v>
      </c>
      <c r="I6727">
        <f>_xlfn.XLOOKUP(A6727,'[1]Tissue Data'!$A:$A,'[1]Tissue Data'!L:L)</f>
        <v>12.5</v>
      </c>
      <c r="J6727">
        <f>_xlfn.XLOOKUP(A6727,'[1]Tissue Data'!$A:$A,'[1]Tissue Data'!M:M)</f>
        <v>36.32</v>
      </c>
      <c r="K6727" t="s">
        <v>37</v>
      </c>
      <c r="L6727" t="str">
        <f>_xlfn.XLOOKUP(K6727,[2]analyte_order!$B:$B,[2]analyte_order!$C:$C)</f>
        <v>754-91-6</v>
      </c>
      <c r="M6727">
        <f>_xlfn.XLOOKUP(L6727,[2]analyte_order!$C:$C,[2]analyte_order!$E:$E)</f>
        <v>28</v>
      </c>
      <c r="N6727">
        <v>27</v>
      </c>
    </row>
    <row r="6728" spans="1:14">
      <c r="A6728" t="s">
        <v>295</v>
      </c>
      <c r="B6728" t="str">
        <f>_xlfn.XLOOKUP(A6728,'[1]Tissue Data'!$A:$A,'[1]Tissue Data'!$C:$C)</f>
        <v>Down</v>
      </c>
      <c r="C6728" s="2">
        <f>_xlfn.XLOOKUP(A6728,'[1]Tissue Data'!$A:$A,'[1]Tissue Data'!$D:$D)</f>
        <v>44393</v>
      </c>
      <c r="D6728" s="2" t="str">
        <f>_xlfn.XLOOKUP(A6728,'[1]Tissue Data'!$A:$A,'[1]Tissue Data'!$F:$F)</f>
        <v>Pumpkinseed</v>
      </c>
      <c r="E6728" t="str">
        <f>_xlfn.XLOOKUP(A6728,'[1]Tissue Data'!$A:$A,'[1]Tissue Data'!$H:$H)</f>
        <v>Lepomis</v>
      </c>
      <c r="F6728" t="str">
        <f>_xlfn.XLOOKUP(A6728,'[1]Tissue Data'!$A:$A,'[1]Tissue Data'!$I:$I)</f>
        <v>gibbosus</v>
      </c>
      <c r="G6728" t="str">
        <f>_xlfn.XLOOKUP(A6728,'[1]Tissue Data'!$A:$A,'[1]Tissue Data'!J:J)</f>
        <v>M</v>
      </c>
      <c r="H6728" t="str">
        <f>_xlfn.XLOOKUP(A6728,'[1]Tissue Data'!$A:$A,'[1]Tissue Data'!K:K)</f>
        <v>Liver</v>
      </c>
      <c r="I6728">
        <f>_xlfn.XLOOKUP(A6728,'[1]Tissue Data'!$A:$A,'[1]Tissue Data'!L:L)</f>
        <v>12.5</v>
      </c>
      <c r="J6728">
        <f>_xlfn.XLOOKUP(A6728,'[1]Tissue Data'!$A:$A,'[1]Tissue Data'!M:M)</f>
        <v>36.32</v>
      </c>
      <c r="K6728" t="s">
        <v>38</v>
      </c>
      <c r="L6728" t="str">
        <f>_xlfn.XLOOKUP(K6728,[2]analyte_order!$B:$B,[2]analyte_order!$C:$C)</f>
        <v>31506-32-8</v>
      </c>
      <c r="M6728">
        <f>_xlfn.XLOOKUP(L6728,[2]analyte_order!$C:$C,[2]analyte_order!$E:$E)</f>
        <v>30</v>
      </c>
      <c r="N6728">
        <v>0.47599999999999998</v>
      </c>
    </row>
    <row r="6729" spans="1:14">
      <c r="A6729" t="s">
        <v>295</v>
      </c>
      <c r="B6729" t="str">
        <f>_xlfn.XLOOKUP(A6729,'[1]Tissue Data'!$A:$A,'[1]Tissue Data'!$C:$C)</f>
        <v>Down</v>
      </c>
      <c r="C6729" s="2">
        <f>_xlfn.XLOOKUP(A6729,'[1]Tissue Data'!$A:$A,'[1]Tissue Data'!$D:$D)</f>
        <v>44393</v>
      </c>
      <c r="D6729" s="2" t="str">
        <f>_xlfn.XLOOKUP(A6729,'[1]Tissue Data'!$A:$A,'[1]Tissue Data'!$F:$F)</f>
        <v>Pumpkinseed</v>
      </c>
      <c r="E6729" t="str">
        <f>_xlfn.XLOOKUP(A6729,'[1]Tissue Data'!$A:$A,'[1]Tissue Data'!$H:$H)</f>
        <v>Lepomis</v>
      </c>
      <c r="F6729" t="str">
        <f>_xlfn.XLOOKUP(A6729,'[1]Tissue Data'!$A:$A,'[1]Tissue Data'!$I:$I)</f>
        <v>gibbosus</v>
      </c>
      <c r="G6729" t="str">
        <f>_xlfn.XLOOKUP(A6729,'[1]Tissue Data'!$A:$A,'[1]Tissue Data'!J:J)</f>
        <v>M</v>
      </c>
      <c r="H6729" t="str">
        <f>_xlfn.XLOOKUP(A6729,'[1]Tissue Data'!$A:$A,'[1]Tissue Data'!K:K)</f>
        <v>Liver</v>
      </c>
      <c r="I6729">
        <f>_xlfn.XLOOKUP(A6729,'[1]Tissue Data'!$A:$A,'[1]Tissue Data'!L:L)</f>
        <v>12.5</v>
      </c>
      <c r="J6729">
        <f>_xlfn.XLOOKUP(A6729,'[1]Tissue Data'!$A:$A,'[1]Tissue Data'!M:M)</f>
        <v>36.32</v>
      </c>
      <c r="K6729" t="s">
        <v>39</v>
      </c>
      <c r="L6729" t="str">
        <f>_xlfn.XLOOKUP(K6729,[2]analyte_order!$B:$B,[2]analyte_order!$C:$C)</f>
        <v>4151-50-2</v>
      </c>
      <c r="M6729">
        <f>_xlfn.XLOOKUP(L6729,[2]analyte_order!$C:$C,[2]analyte_order!$E:$E)</f>
        <v>31</v>
      </c>
      <c r="N6729">
        <v>1.2350000000000001</v>
      </c>
    </row>
    <row r="6730" spans="1:14">
      <c r="A6730" t="s">
        <v>295</v>
      </c>
      <c r="B6730" t="str">
        <f>_xlfn.XLOOKUP(A6730,'[1]Tissue Data'!$A:$A,'[1]Tissue Data'!$C:$C)</f>
        <v>Down</v>
      </c>
      <c r="C6730" s="2">
        <f>_xlfn.XLOOKUP(A6730,'[1]Tissue Data'!$A:$A,'[1]Tissue Data'!$D:$D)</f>
        <v>44393</v>
      </c>
      <c r="D6730" s="2" t="str">
        <f>_xlfn.XLOOKUP(A6730,'[1]Tissue Data'!$A:$A,'[1]Tissue Data'!$F:$F)</f>
        <v>Pumpkinseed</v>
      </c>
      <c r="E6730" t="str">
        <f>_xlfn.XLOOKUP(A6730,'[1]Tissue Data'!$A:$A,'[1]Tissue Data'!$H:$H)</f>
        <v>Lepomis</v>
      </c>
      <c r="F6730" t="str">
        <f>_xlfn.XLOOKUP(A6730,'[1]Tissue Data'!$A:$A,'[1]Tissue Data'!$I:$I)</f>
        <v>gibbosus</v>
      </c>
      <c r="G6730" t="str">
        <f>_xlfn.XLOOKUP(A6730,'[1]Tissue Data'!$A:$A,'[1]Tissue Data'!J:J)</f>
        <v>M</v>
      </c>
      <c r="H6730" t="str">
        <f>_xlfn.XLOOKUP(A6730,'[1]Tissue Data'!$A:$A,'[1]Tissue Data'!K:K)</f>
        <v>Liver</v>
      </c>
      <c r="I6730">
        <f>_xlfn.XLOOKUP(A6730,'[1]Tissue Data'!$A:$A,'[1]Tissue Data'!L:L)</f>
        <v>12.5</v>
      </c>
      <c r="J6730">
        <f>_xlfn.XLOOKUP(A6730,'[1]Tissue Data'!$A:$A,'[1]Tissue Data'!M:M)</f>
        <v>36.32</v>
      </c>
      <c r="K6730" t="s">
        <v>40</v>
      </c>
      <c r="L6730" t="str">
        <f>_xlfn.XLOOKUP(K6730,[2]analyte_order!$B:$B,[2]analyte_order!$C:$C)</f>
        <v>2806-24-8</v>
      </c>
      <c r="M6730">
        <f>_xlfn.XLOOKUP(L6730,[2]analyte_order!$C:$C,[2]analyte_order!$E:$E)</f>
        <v>29</v>
      </c>
      <c r="N6730">
        <v>1.2350000000000001</v>
      </c>
    </row>
    <row r="6731" spans="1:14">
      <c r="A6731" t="s">
        <v>295</v>
      </c>
      <c r="B6731" t="str">
        <f>_xlfn.XLOOKUP(A6731,'[1]Tissue Data'!$A:$A,'[1]Tissue Data'!$C:$C)</f>
        <v>Down</v>
      </c>
      <c r="C6731" s="2">
        <f>_xlfn.XLOOKUP(A6731,'[1]Tissue Data'!$A:$A,'[1]Tissue Data'!$D:$D)</f>
        <v>44393</v>
      </c>
      <c r="D6731" s="2" t="str">
        <f>_xlfn.XLOOKUP(A6731,'[1]Tissue Data'!$A:$A,'[1]Tissue Data'!$F:$F)</f>
        <v>Pumpkinseed</v>
      </c>
      <c r="E6731" t="str">
        <f>_xlfn.XLOOKUP(A6731,'[1]Tissue Data'!$A:$A,'[1]Tissue Data'!$H:$H)</f>
        <v>Lepomis</v>
      </c>
      <c r="F6731" t="str">
        <f>_xlfn.XLOOKUP(A6731,'[1]Tissue Data'!$A:$A,'[1]Tissue Data'!$I:$I)</f>
        <v>gibbosus</v>
      </c>
      <c r="G6731" t="str">
        <f>_xlfn.XLOOKUP(A6731,'[1]Tissue Data'!$A:$A,'[1]Tissue Data'!J:J)</f>
        <v>M</v>
      </c>
      <c r="H6731" t="str">
        <f>_xlfn.XLOOKUP(A6731,'[1]Tissue Data'!$A:$A,'[1]Tissue Data'!K:K)</f>
        <v>Liver</v>
      </c>
      <c r="I6731">
        <f>_xlfn.XLOOKUP(A6731,'[1]Tissue Data'!$A:$A,'[1]Tissue Data'!L:L)</f>
        <v>12.5</v>
      </c>
      <c r="J6731">
        <f>_xlfn.XLOOKUP(A6731,'[1]Tissue Data'!$A:$A,'[1]Tissue Data'!M:M)</f>
        <v>36.32</v>
      </c>
      <c r="K6731" t="s">
        <v>41</v>
      </c>
      <c r="L6731" t="str">
        <f>_xlfn.XLOOKUP(K6731,[2]analyte_order!$B:$B,[2]analyte_order!$C:$C)</f>
        <v>2355-31-9</v>
      </c>
      <c r="M6731">
        <f>_xlfn.XLOOKUP(L6731,[2]analyte_order!$C:$C,[2]analyte_order!$E:$E)</f>
        <v>26</v>
      </c>
      <c r="N6731">
        <v>0.62</v>
      </c>
    </row>
    <row r="6732" spans="1:14">
      <c r="A6732" t="s">
        <v>295</v>
      </c>
      <c r="B6732" t="str">
        <f>_xlfn.XLOOKUP(A6732,'[1]Tissue Data'!$A:$A,'[1]Tissue Data'!$C:$C)</f>
        <v>Down</v>
      </c>
      <c r="C6732" s="2">
        <f>_xlfn.XLOOKUP(A6732,'[1]Tissue Data'!$A:$A,'[1]Tissue Data'!$D:$D)</f>
        <v>44393</v>
      </c>
      <c r="D6732" s="2" t="str">
        <f>_xlfn.XLOOKUP(A6732,'[1]Tissue Data'!$A:$A,'[1]Tissue Data'!$F:$F)</f>
        <v>Pumpkinseed</v>
      </c>
      <c r="E6732" t="str">
        <f>_xlfn.XLOOKUP(A6732,'[1]Tissue Data'!$A:$A,'[1]Tissue Data'!$H:$H)</f>
        <v>Lepomis</v>
      </c>
      <c r="F6732" t="str">
        <f>_xlfn.XLOOKUP(A6732,'[1]Tissue Data'!$A:$A,'[1]Tissue Data'!$I:$I)</f>
        <v>gibbosus</v>
      </c>
      <c r="G6732" t="str">
        <f>_xlfn.XLOOKUP(A6732,'[1]Tissue Data'!$A:$A,'[1]Tissue Data'!J:J)</f>
        <v>M</v>
      </c>
      <c r="H6732" t="str">
        <f>_xlfn.XLOOKUP(A6732,'[1]Tissue Data'!$A:$A,'[1]Tissue Data'!K:K)</f>
        <v>Liver</v>
      </c>
      <c r="I6732">
        <f>_xlfn.XLOOKUP(A6732,'[1]Tissue Data'!$A:$A,'[1]Tissue Data'!L:L)</f>
        <v>12.5</v>
      </c>
      <c r="J6732">
        <f>_xlfn.XLOOKUP(A6732,'[1]Tissue Data'!$A:$A,'[1]Tissue Data'!M:M)</f>
        <v>36.32</v>
      </c>
      <c r="K6732" t="s">
        <v>42</v>
      </c>
      <c r="L6732" t="str">
        <f>_xlfn.XLOOKUP(K6732,[2]analyte_order!$B:$B,[2]analyte_order!$C:$C)</f>
        <v>2991-50-6</v>
      </c>
      <c r="M6732">
        <f>_xlfn.XLOOKUP(L6732,[2]analyte_order!$C:$C,[2]analyte_order!$E:$E)</f>
        <v>27</v>
      </c>
      <c r="N6732">
        <v>0.62</v>
      </c>
    </row>
    <row r="6733" spans="1:14">
      <c r="A6733" t="s">
        <v>295</v>
      </c>
      <c r="B6733" t="str">
        <f>_xlfn.XLOOKUP(A6733,'[1]Tissue Data'!$A:$A,'[1]Tissue Data'!$C:$C)</f>
        <v>Down</v>
      </c>
      <c r="C6733" s="2">
        <f>_xlfn.XLOOKUP(A6733,'[1]Tissue Data'!$A:$A,'[1]Tissue Data'!$D:$D)</f>
        <v>44393</v>
      </c>
      <c r="D6733" s="2" t="str">
        <f>_xlfn.XLOOKUP(A6733,'[1]Tissue Data'!$A:$A,'[1]Tissue Data'!$F:$F)</f>
        <v>Pumpkinseed</v>
      </c>
      <c r="E6733" t="str">
        <f>_xlfn.XLOOKUP(A6733,'[1]Tissue Data'!$A:$A,'[1]Tissue Data'!$H:$H)</f>
        <v>Lepomis</v>
      </c>
      <c r="F6733" t="str">
        <f>_xlfn.XLOOKUP(A6733,'[1]Tissue Data'!$A:$A,'[1]Tissue Data'!$I:$I)</f>
        <v>gibbosus</v>
      </c>
      <c r="G6733" t="str">
        <f>_xlfn.XLOOKUP(A6733,'[1]Tissue Data'!$A:$A,'[1]Tissue Data'!J:J)</f>
        <v>M</v>
      </c>
      <c r="H6733" t="str">
        <f>_xlfn.XLOOKUP(A6733,'[1]Tissue Data'!$A:$A,'[1]Tissue Data'!K:K)</f>
        <v>Liver</v>
      </c>
      <c r="I6733">
        <f>_xlfn.XLOOKUP(A6733,'[1]Tissue Data'!$A:$A,'[1]Tissue Data'!L:L)</f>
        <v>12.5</v>
      </c>
      <c r="J6733">
        <f>_xlfn.XLOOKUP(A6733,'[1]Tissue Data'!$A:$A,'[1]Tissue Data'!M:M)</f>
        <v>36.32</v>
      </c>
      <c r="K6733" t="s">
        <v>43</v>
      </c>
      <c r="L6733" t="str">
        <f>_xlfn.XLOOKUP(K6733,[2]analyte_order!$B:$B,[2]analyte_order!$C:$C)</f>
        <v>757124-72-4</v>
      </c>
      <c r="M6733">
        <f>_xlfn.XLOOKUP(L6733,[2]analyte_order!$C:$C,[2]analyte_order!$E:$E)</f>
        <v>22</v>
      </c>
      <c r="N6733">
        <v>0.62</v>
      </c>
    </row>
    <row r="6734" spans="1:14">
      <c r="A6734" t="s">
        <v>295</v>
      </c>
      <c r="B6734" t="str">
        <f>_xlfn.XLOOKUP(A6734,'[1]Tissue Data'!$A:$A,'[1]Tissue Data'!$C:$C)</f>
        <v>Down</v>
      </c>
      <c r="C6734" s="2">
        <f>_xlfn.XLOOKUP(A6734,'[1]Tissue Data'!$A:$A,'[1]Tissue Data'!$D:$D)</f>
        <v>44393</v>
      </c>
      <c r="D6734" s="2" t="str">
        <f>_xlfn.XLOOKUP(A6734,'[1]Tissue Data'!$A:$A,'[1]Tissue Data'!$F:$F)</f>
        <v>Pumpkinseed</v>
      </c>
      <c r="E6734" t="str">
        <f>_xlfn.XLOOKUP(A6734,'[1]Tissue Data'!$A:$A,'[1]Tissue Data'!$H:$H)</f>
        <v>Lepomis</v>
      </c>
      <c r="F6734" t="str">
        <f>_xlfn.XLOOKUP(A6734,'[1]Tissue Data'!$A:$A,'[1]Tissue Data'!$I:$I)</f>
        <v>gibbosus</v>
      </c>
      <c r="G6734" t="str">
        <f>_xlfn.XLOOKUP(A6734,'[1]Tissue Data'!$A:$A,'[1]Tissue Data'!J:J)</f>
        <v>M</v>
      </c>
      <c r="H6734" t="str">
        <f>_xlfn.XLOOKUP(A6734,'[1]Tissue Data'!$A:$A,'[1]Tissue Data'!K:K)</f>
        <v>Liver</v>
      </c>
      <c r="I6734">
        <f>_xlfn.XLOOKUP(A6734,'[1]Tissue Data'!$A:$A,'[1]Tissue Data'!L:L)</f>
        <v>12.5</v>
      </c>
      <c r="J6734">
        <f>_xlfn.XLOOKUP(A6734,'[1]Tissue Data'!$A:$A,'[1]Tissue Data'!M:M)</f>
        <v>36.32</v>
      </c>
      <c r="K6734" t="s">
        <v>44</v>
      </c>
      <c r="L6734" t="str">
        <f>_xlfn.XLOOKUP(K6734,[2]analyte_order!$B:$B,[2]analyte_order!$C:$C)</f>
        <v>27619-97-2</v>
      </c>
      <c r="M6734">
        <f>_xlfn.XLOOKUP(L6734,[2]analyte_order!$C:$C,[2]analyte_order!$E:$E)</f>
        <v>23</v>
      </c>
      <c r="N6734">
        <v>0.62</v>
      </c>
    </row>
    <row r="6735" spans="1:14">
      <c r="A6735" t="s">
        <v>295</v>
      </c>
      <c r="B6735" t="str">
        <f>_xlfn.XLOOKUP(A6735,'[1]Tissue Data'!$A:$A,'[1]Tissue Data'!$C:$C)</f>
        <v>Down</v>
      </c>
      <c r="C6735" s="2">
        <f>_xlfn.XLOOKUP(A6735,'[1]Tissue Data'!$A:$A,'[1]Tissue Data'!$D:$D)</f>
        <v>44393</v>
      </c>
      <c r="D6735" s="2" t="str">
        <f>_xlfn.XLOOKUP(A6735,'[1]Tissue Data'!$A:$A,'[1]Tissue Data'!$F:$F)</f>
        <v>Pumpkinseed</v>
      </c>
      <c r="E6735" t="str">
        <f>_xlfn.XLOOKUP(A6735,'[1]Tissue Data'!$A:$A,'[1]Tissue Data'!$H:$H)</f>
        <v>Lepomis</v>
      </c>
      <c r="F6735" t="str">
        <f>_xlfn.XLOOKUP(A6735,'[1]Tissue Data'!$A:$A,'[1]Tissue Data'!$I:$I)</f>
        <v>gibbosus</v>
      </c>
      <c r="G6735" t="str">
        <f>_xlfn.XLOOKUP(A6735,'[1]Tissue Data'!$A:$A,'[1]Tissue Data'!J:J)</f>
        <v>M</v>
      </c>
      <c r="H6735" t="str">
        <f>_xlfn.XLOOKUP(A6735,'[1]Tissue Data'!$A:$A,'[1]Tissue Data'!K:K)</f>
        <v>Liver</v>
      </c>
      <c r="I6735">
        <f>_xlfn.XLOOKUP(A6735,'[1]Tissue Data'!$A:$A,'[1]Tissue Data'!L:L)</f>
        <v>12.5</v>
      </c>
      <c r="J6735">
        <f>_xlfn.XLOOKUP(A6735,'[1]Tissue Data'!$A:$A,'[1]Tissue Data'!M:M)</f>
        <v>36.32</v>
      </c>
      <c r="K6735" t="s">
        <v>45</v>
      </c>
      <c r="L6735" t="str">
        <f>_xlfn.XLOOKUP(K6735,[2]analyte_order!$B:$B,[2]analyte_order!$C:$C)</f>
        <v>39108-34-4</v>
      </c>
      <c r="M6735">
        <f>_xlfn.XLOOKUP(L6735,[2]analyte_order!$C:$C,[2]analyte_order!$E:$E)</f>
        <v>24</v>
      </c>
      <c r="N6735">
        <v>7.15</v>
      </c>
    </row>
    <row r="6736" spans="1:14">
      <c r="A6736" t="s">
        <v>295</v>
      </c>
      <c r="B6736" t="str">
        <f>_xlfn.XLOOKUP(A6736,'[1]Tissue Data'!$A:$A,'[1]Tissue Data'!$C:$C)</f>
        <v>Down</v>
      </c>
      <c r="C6736" s="2">
        <f>_xlfn.XLOOKUP(A6736,'[1]Tissue Data'!$A:$A,'[1]Tissue Data'!$D:$D)</f>
        <v>44393</v>
      </c>
      <c r="D6736" s="2" t="str">
        <f>_xlfn.XLOOKUP(A6736,'[1]Tissue Data'!$A:$A,'[1]Tissue Data'!$F:$F)</f>
        <v>Pumpkinseed</v>
      </c>
      <c r="E6736" t="str">
        <f>_xlfn.XLOOKUP(A6736,'[1]Tissue Data'!$A:$A,'[1]Tissue Data'!$H:$H)</f>
        <v>Lepomis</v>
      </c>
      <c r="F6736" t="str">
        <f>_xlfn.XLOOKUP(A6736,'[1]Tissue Data'!$A:$A,'[1]Tissue Data'!$I:$I)</f>
        <v>gibbosus</v>
      </c>
      <c r="G6736" t="str">
        <f>_xlfn.XLOOKUP(A6736,'[1]Tissue Data'!$A:$A,'[1]Tissue Data'!J:J)</f>
        <v>M</v>
      </c>
      <c r="H6736" t="str">
        <f>_xlfn.XLOOKUP(A6736,'[1]Tissue Data'!$A:$A,'[1]Tissue Data'!K:K)</f>
        <v>Liver</v>
      </c>
      <c r="I6736">
        <f>_xlfn.XLOOKUP(A6736,'[1]Tissue Data'!$A:$A,'[1]Tissue Data'!L:L)</f>
        <v>12.5</v>
      </c>
      <c r="J6736">
        <f>_xlfn.XLOOKUP(A6736,'[1]Tissue Data'!$A:$A,'[1]Tissue Data'!M:M)</f>
        <v>36.32</v>
      </c>
      <c r="K6736" t="s">
        <v>46</v>
      </c>
      <c r="L6736" t="str">
        <f>_xlfn.XLOOKUP(K6736,[2]analyte_order!$B:$B,[2]analyte_order!$C:$C)</f>
        <v>120226-60-0</v>
      </c>
      <c r="M6736">
        <f>_xlfn.XLOOKUP(L6736,[2]analyte_order!$C:$C,[2]analyte_order!$E:$E)</f>
        <v>25</v>
      </c>
      <c r="N6736">
        <v>2.4750000000000001</v>
      </c>
    </row>
    <row r="6737" spans="1:14">
      <c r="A6737" t="s">
        <v>295</v>
      </c>
      <c r="B6737" t="str">
        <f>_xlfn.XLOOKUP(A6737,'[1]Tissue Data'!$A:$A,'[1]Tissue Data'!$C:$C)</f>
        <v>Down</v>
      </c>
      <c r="C6737" s="2">
        <f>_xlfn.XLOOKUP(A6737,'[1]Tissue Data'!$A:$A,'[1]Tissue Data'!$D:$D)</f>
        <v>44393</v>
      </c>
      <c r="D6737" s="2" t="str">
        <f>_xlfn.XLOOKUP(A6737,'[1]Tissue Data'!$A:$A,'[1]Tissue Data'!$F:$F)</f>
        <v>Pumpkinseed</v>
      </c>
      <c r="E6737" t="str">
        <f>_xlfn.XLOOKUP(A6737,'[1]Tissue Data'!$A:$A,'[1]Tissue Data'!$H:$H)</f>
        <v>Lepomis</v>
      </c>
      <c r="F6737" t="str">
        <f>_xlfn.XLOOKUP(A6737,'[1]Tissue Data'!$A:$A,'[1]Tissue Data'!$I:$I)</f>
        <v>gibbosus</v>
      </c>
      <c r="G6737" t="str">
        <f>_xlfn.XLOOKUP(A6737,'[1]Tissue Data'!$A:$A,'[1]Tissue Data'!J:J)</f>
        <v>M</v>
      </c>
      <c r="H6737" t="str">
        <f>_xlfn.XLOOKUP(A6737,'[1]Tissue Data'!$A:$A,'[1]Tissue Data'!K:K)</f>
        <v>Liver</v>
      </c>
      <c r="I6737">
        <f>_xlfn.XLOOKUP(A6737,'[1]Tissue Data'!$A:$A,'[1]Tissue Data'!L:L)</f>
        <v>12.5</v>
      </c>
      <c r="J6737">
        <f>_xlfn.XLOOKUP(A6737,'[1]Tissue Data'!$A:$A,'[1]Tissue Data'!M:M)</f>
        <v>36.32</v>
      </c>
      <c r="K6737" t="s">
        <v>47</v>
      </c>
      <c r="L6737" t="str">
        <f>_xlfn.XLOOKUP(K6737,[2]analyte_order!$B:$B,[2]analyte_order!$C:$C)</f>
        <v>356-02-5</v>
      </c>
      <c r="M6737">
        <f>_xlfn.XLOOKUP(L6737,[2]analyte_order!$C:$C,[2]analyte_order!$E:$E)</f>
        <v>38</v>
      </c>
      <c r="N6737">
        <v>1.2350000000000001</v>
      </c>
    </row>
    <row r="6738" spans="1:14">
      <c r="A6738" t="s">
        <v>295</v>
      </c>
      <c r="B6738" t="str">
        <f>_xlfn.XLOOKUP(A6738,'[1]Tissue Data'!$A:$A,'[1]Tissue Data'!$C:$C)</f>
        <v>Down</v>
      </c>
      <c r="C6738" s="2">
        <f>_xlfn.XLOOKUP(A6738,'[1]Tissue Data'!$A:$A,'[1]Tissue Data'!$D:$D)</f>
        <v>44393</v>
      </c>
      <c r="D6738" s="2" t="str">
        <f>_xlfn.XLOOKUP(A6738,'[1]Tissue Data'!$A:$A,'[1]Tissue Data'!$F:$F)</f>
        <v>Pumpkinseed</v>
      </c>
      <c r="E6738" t="str">
        <f>_xlfn.XLOOKUP(A6738,'[1]Tissue Data'!$A:$A,'[1]Tissue Data'!$H:$H)</f>
        <v>Lepomis</v>
      </c>
      <c r="F6738" t="str">
        <f>_xlfn.XLOOKUP(A6738,'[1]Tissue Data'!$A:$A,'[1]Tissue Data'!$I:$I)</f>
        <v>gibbosus</v>
      </c>
      <c r="G6738" t="str">
        <f>_xlfn.XLOOKUP(A6738,'[1]Tissue Data'!$A:$A,'[1]Tissue Data'!J:J)</f>
        <v>M</v>
      </c>
      <c r="H6738" t="str">
        <f>_xlfn.XLOOKUP(A6738,'[1]Tissue Data'!$A:$A,'[1]Tissue Data'!K:K)</f>
        <v>Liver</v>
      </c>
      <c r="I6738">
        <f>_xlfn.XLOOKUP(A6738,'[1]Tissue Data'!$A:$A,'[1]Tissue Data'!L:L)</f>
        <v>12.5</v>
      </c>
      <c r="J6738">
        <f>_xlfn.XLOOKUP(A6738,'[1]Tissue Data'!$A:$A,'[1]Tissue Data'!M:M)</f>
        <v>36.32</v>
      </c>
      <c r="K6738" t="s">
        <v>48</v>
      </c>
      <c r="L6738" t="str">
        <f>_xlfn.XLOOKUP(K6738,[2]analyte_order!$B:$B,[2]analyte_order!$C:$C)</f>
        <v>914637-49-3</v>
      </c>
      <c r="M6738">
        <f>_xlfn.XLOOKUP(L6738,[2]analyte_order!$C:$C,[2]analyte_order!$E:$E)</f>
        <v>39</v>
      </c>
      <c r="N6738">
        <v>0.62</v>
      </c>
    </row>
    <row r="6739" spans="1:14">
      <c r="A6739" t="s">
        <v>295</v>
      </c>
      <c r="B6739" t="str">
        <f>_xlfn.XLOOKUP(A6739,'[1]Tissue Data'!$A:$A,'[1]Tissue Data'!$C:$C)</f>
        <v>Down</v>
      </c>
      <c r="C6739" s="2">
        <f>_xlfn.XLOOKUP(A6739,'[1]Tissue Data'!$A:$A,'[1]Tissue Data'!$D:$D)</f>
        <v>44393</v>
      </c>
      <c r="D6739" s="2" t="str">
        <f>_xlfn.XLOOKUP(A6739,'[1]Tissue Data'!$A:$A,'[1]Tissue Data'!$F:$F)</f>
        <v>Pumpkinseed</v>
      </c>
      <c r="E6739" t="str">
        <f>_xlfn.XLOOKUP(A6739,'[1]Tissue Data'!$A:$A,'[1]Tissue Data'!$H:$H)</f>
        <v>Lepomis</v>
      </c>
      <c r="F6739" t="str">
        <f>_xlfn.XLOOKUP(A6739,'[1]Tissue Data'!$A:$A,'[1]Tissue Data'!$I:$I)</f>
        <v>gibbosus</v>
      </c>
      <c r="G6739" t="str">
        <f>_xlfn.XLOOKUP(A6739,'[1]Tissue Data'!$A:$A,'[1]Tissue Data'!J:J)</f>
        <v>M</v>
      </c>
      <c r="H6739" t="str">
        <f>_xlfn.XLOOKUP(A6739,'[1]Tissue Data'!$A:$A,'[1]Tissue Data'!K:K)</f>
        <v>Liver</v>
      </c>
      <c r="I6739">
        <f>_xlfn.XLOOKUP(A6739,'[1]Tissue Data'!$A:$A,'[1]Tissue Data'!L:L)</f>
        <v>12.5</v>
      </c>
      <c r="J6739">
        <f>_xlfn.XLOOKUP(A6739,'[1]Tissue Data'!$A:$A,'[1]Tissue Data'!M:M)</f>
        <v>36.32</v>
      </c>
      <c r="K6739" t="s">
        <v>49</v>
      </c>
      <c r="L6739" t="str">
        <f>_xlfn.XLOOKUP(K6739,[2]analyte_order!$B:$B,[2]analyte_order!$C:$C)</f>
        <v>812-70-4</v>
      </c>
      <c r="M6739">
        <f>_xlfn.XLOOKUP(L6739,[2]analyte_order!$C:$C,[2]analyte_order!$E:$E)</f>
        <v>40</v>
      </c>
      <c r="N6739">
        <v>1.2350000000000001</v>
      </c>
    </row>
    <row r="6740" spans="1:14">
      <c r="A6740" t="s">
        <v>295</v>
      </c>
      <c r="B6740" t="str">
        <f>_xlfn.XLOOKUP(A6740,'[1]Tissue Data'!$A:$A,'[1]Tissue Data'!$C:$C)</f>
        <v>Down</v>
      </c>
      <c r="C6740" s="2">
        <f>_xlfn.XLOOKUP(A6740,'[1]Tissue Data'!$A:$A,'[1]Tissue Data'!$D:$D)</f>
        <v>44393</v>
      </c>
      <c r="D6740" s="2" t="str">
        <f>_xlfn.XLOOKUP(A6740,'[1]Tissue Data'!$A:$A,'[1]Tissue Data'!$F:$F)</f>
        <v>Pumpkinseed</v>
      </c>
      <c r="E6740" t="str">
        <f>_xlfn.XLOOKUP(A6740,'[1]Tissue Data'!$A:$A,'[1]Tissue Data'!$H:$H)</f>
        <v>Lepomis</v>
      </c>
      <c r="F6740" t="str">
        <f>_xlfn.XLOOKUP(A6740,'[1]Tissue Data'!$A:$A,'[1]Tissue Data'!$I:$I)</f>
        <v>gibbosus</v>
      </c>
      <c r="G6740" t="str">
        <f>_xlfn.XLOOKUP(A6740,'[1]Tissue Data'!$A:$A,'[1]Tissue Data'!J:J)</f>
        <v>M</v>
      </c>
      <c r="H6740" t="str">
        <f>_xlfn.XLOOKUP(A6740,'[1]Tissue Data'!$A:$A,'[1]Tissue Data'!K:K)</f>
        <v>Liver</v>
      </c>
      <c r="I6740">
        <f>_xlfn.XLOOKUP(A6740,'[1]Tissue Data'!$A:$A,'[1]Tissue Data'!L:L)</f>
        <v>12.5</v>
      </c>
      <c r="J6740">
        <f>_xlfn.XLOOKUP(A6740,'[1]Tissue Data'!$A:$A,'[1]Tissue Data'!M:M)</f>
        <v>36.32</v>
      </c>
      <c r="K6740" t="s">
        <v>50</v>
      </c>
      <c r="L6740" t="str">
        <f>_xlfn.XLOOKUP(K6740,[2]analyte_order!$B:$B,[2]analyte_order!$C:$C)</f>
        <v>53826-12-3</v>
      </c>
      <c r="M6740">
        <f>_xlfn.XLOOKUP(L6740,[2]analyte_order!$C:$C,[2]analyte_order!$E:$E)</f>
        <v>41</v>
      </c>
      <c r="N6740">
        <v>1.2350000000000001</v>
      </c>
    </row>
    <row r="6741" spans="1:14">
      <c r="A6741" t="s">
        <v>295</v>
      </c>
      <c r="B6741" t="str">
        <f>_xlfn.XLOOKUP(A6741,'[1]Tissue Data'!$A:$A,'[1]Tissue Data'!$C:$C)</f>
        <v>Down</v>
      </c>
      <c r="C6741" s="2">
        <f>_xlfn.XLOOKUP(A6741,'[1]Tissue Data'!$A:$A,'[1]Tissue Data'!$D:$D)</f>
        <v>44393</v>
      </c>
      <c r="D6741" s="2" t="str">
        <f>_xlfn.XLOOKUP(A6741,'[1]Tissue Data'!$A:$A,'[1]Tissue Data'!$F:$F)</f>
        <v>Pumpkinseed</v>
      </c>
      <c r="E6741" t="str">
        <f>_xlfn.XLOOKUP(A6741,'[1]Tissue Data'!$A:$A,'[1]Tissue Data'!$H:$H)</f>
        <v>Lepomis</v>
      </c>
      <c r="F6741" t="str">
        <f>_xlfn.XLOOKUP(A6741,'[1]Tissue Data'!$A:$A,'[1]Tissue Data'!$I:$I)</f>
        <v>gibbosus</v>
      </c>
      <c r="G6741" t="str">
        <f>_xlfn.XLOOKUP(A6741,'[1]Tissue Data'!$A:$A,'[1]Tissue Data'!J:J)</f>
        <v>M</v>
      </c>
      <c r="H6741" t="str">
        <f>_xlfn.XLOOKUP(A6741,'[1]Tissue Data'!$A:$A,'[1]Tissue Data'!K:K)</f>
        <v>Liver</v>
      </c>
      <c r="I6741">
        <f>_xlfn.XLOOKUP(A6741,'[1]Tissue Data'!$A:$A,'[1]Tissue Data'!L:L)</f>
        <v>12.5</v>
      </c>
      <c r="J6741">
        <f>_xlfn.XLOOKUP(A6741,'[1]Tissue Data'!$A:$A,'[1]Tissue Data'!M:M)</f>
        <v>36.32</v>
      </c>
      <c r="K6741" t="s">
        <v>51</v>
      </c>
      <c r="L6741" t="str">
        <f>_xlfn.XLOOKUP(K6741,[2]analyte_order!$B:$B,[2]analyte_order!$C:$C)</f>
        <v>27854-31-5</v>
      </c>
      <c r="M6741">
        <f>_xlfn.XLOOKUP(L6741,[2]analyte_order!$C:$C,[2]analyte_order!$E:$E)</f>
        <v>42</v>
      </c>
      <c r="N6741">
        <v>0.62</v>
      </c>
    </row>
    <row r="6742" spans="1:14">
      <c r="A6742" t="s">
        <v>295</v>
      </c>
      <c r="B6742" t="str">
        <f>_xlfn.XLOOKUP(A6742,'[1]Tissue Data'!$A:$A,'[1]Tissue Data'!$C:$C)</f>
        <v>Down</v>
      </c>
      <c r="C6742" s="2">
        <f>_xlfn.XLOOKUP(A6742,'[1]Tissue Data'!$A:$A,'[1]Tissue Data'!$D:$D)</f>
        <v>44393</v>
      </c>
      <c r="D6742" s="2" t="str">
        <f>_xlfn.XLOOKUP(A6742,'[1]Tissue Data'!$A:$A,'[1]Tissue Data'!$F:$F)</f>
        <v>Pumpkinseed</v>
      </c>
      <c r="E6742" t="str">
        <f>_xlfn.XLOOKUP(A6742,'[1]Tissue Data'!$A:$A,'[1]Tissue Data'!$H:$H)</f>
        <v>Lepomis</v>
      </c>
      <c r="F6742" t="str">
        <f>_xlfn.XLOOKUP(A6742,'[1]Tissue Data'!$A:$A,'[1]Tissue Data'!$I:$I)</f>
        <v>gibbosus</v>
      </c>
      <c r="G6742" t="str">
        <f>_xlfn.XLOOKUP(A6742,'[1]Tissue Data'!$A:$A,'[1]Tissue Data'!J:J)</f>
        <v>M</v>
      </c>
      <c r="H6742" t="str">
        <f>_xlfn.XLOOKUP(A6742,'[1]Tissue Data'!$A:$A,'[1]Tissue Data'!K:K)</f>
        <v>Liver</v>
      </c>
      <c r="I6742">
        <f>_xlfn.XLOOKUP(A6742,'[1]Tissue Data'!$A:$A,'[1]Tissue Data'!L:L)</f>
        <v>12.5</v>
      </c>
      <c r="J6742">
        <f>_xlfn.XLOOKUP(A6742,'[1]Tissue Data'!$A:$A,'[1]Tissue Data'!M:M)</f>
        <v>36.32</v>
      </c>
      <c r="K6742" t="s">
        <v>52</v>
      </c>
      <c r="L6742" t="str">
        <f>_xlfn.XLOOKUP(K6742,[2]analyte_order!$B:$B,[2]analyte_order!$C:$C)</f>
        <v>53826-13-4</v>
      </c>
      <c r="M6742">
        <f>_xlfn.XLOOKUP(L6742,[2]analyte_order!$C:$C,[2]analyte_order!$E:$E)</f>
        <v>43</v>
      </c>
      <c r="N6742">
        <v>1.2350000000000001</v>
      </c>
    </row>
    <row r="6743" spans="1:14">
      <c r="A6743" t="s">
        <v>295</v>
      </c>
      <c r="B6743" t="str">
        <f>_xlfn.XLOOKUP(A6743,'[1]Tissue Data'!$A:$A,'[1]Tissue Data'!$C:$C)</f>
        <v>Down</v>
      </c>
      <c r="C6743" s="2">
        <f>_xlfn.XLOOKUP(A6743,'[1]Tissue Data'!$A:$A,'[1]Tissue Data'!$D:$D)</f>
        <v>44393</v>
      </c>
      <c r="D6743" s="2" t="str">
        <f>_xlfn.XLOOKUP(A6743,'[1]Tissue Data'!$A:$A,'[1]Tissue Data'!$F:$F)</f>
        <v>Pumpkinseed</v>
      </c>
      <c r="E6743" t="str">
        <f>_xlfn.XLOOKUP(A6743,'[1]Tissue Data'!$A:$A,'[1]Tissue Data'!$H:$H)</f>
        <v>Lepomis</v>
      </c>
      <c r="F6743" t="str">
        <f>_xlfn.XLOOKUP(A6743,'[1]Tissue Data'!$A:$A,'[1]Tissue Data'!$I:$I)</f>
        <v>gibbosus</v>
      </c>
      <c r="G6743" t="str">
        <f>_xlfn.XLOOKUP(A6743,'[1]Tissue Data'!$A:$A,'[1]Tissue Data'!J:J)</f>
        <v>M</v>
      </c>
      <c r="H6743" t="str">
        <f>_xlfn.XLOOKUP(A6743,'[1]Tissue Data'!$A:$A,'[1]Tissue Data'!K:K)</f>
        <v>Liver</v>
      </c>
      <c r="I6743">
        <f>_xlfn.XLOOKUP(A6743,'[1]Tissue Data'!$A:$A,'[1]Tissue Data'!L:L)</f>
        <v>12.5</v>
      </c>
      <c r="J6743">
        <f>_xlfn.XLOOKUP(A6743,'[1]Tissue Data'!$A:$A,'[1]Tissue Data'!M:M)</f>
        <v>36.32</v>
      </c>
      <c r="K6743" t="s">
        <v>53</v>
      </c>
      <c r="L6743" t="str">
        <f>_xlfn.XLOOKUP(K6743,[2]analyte_order!$B:$B,[2]analyte_order!$C:$C)</f>
        <v>161094-75-3</v>
      </c>
      <c r="M6743">
        <f>_xlfn.XLOOKUP(L6743,[2]analyte_order!$C:$C,[2]analyte_order!$E:$E)</f>
        <v>44</v>
      </c>
      <c r="N6743">
        <v>0.48549999999999999</v>
      </c>
    </row>
    <row r="6744" spans="1:14">
      <c r="A6744" t="s">
        <v>295</v>
      </c>
      <c r="B6744" t="str">
        <f>_xlfn.XLOOKUP(A6744,'[1]Tissue Data'!$A:$A,'[1]Tissue Data'!$C:$C)</f>
        <v>Down</v>
      </c>
      <c r="C6744" s="2">
        <f>_xlfn.XLOOKUP(A6744,'[1]Tissue Data'!$A:$A,'[1]Tissue Data'!$D:$D)</f>
        <v>44393</v>
      </c>
      <c r="D6744" s="2" t="str">
        <f>_xlfn.XLOOKUP(A6744,'[1]Tissue Data'!$A:$A,'[1]Tissue Data'!$F:$F)</f>
        <v>Pumpkinseed</v>
      </c>
      <c r="E6744" t="str">
        <f>_xlfn.XLOOKUP(A6744,'[1]Tissue Data'!$A:$A,'[1]Tissue Data'!$H:$H)</f>
        <v>Lepomis</v>
      </c>
      <c r="F6744" t="str">
        <f>_xlfn.XLOOKUP(A6744,'[1]Tissue Data'!$A:$A,'[1]Tissue Data'!$I:$I)</f>
        <v>gibbosus</v>
      </c>
      <c r="G6744" t="str">
        <f>_xlfn.XLOOKUP(A6744,'[1]Tissue Data'!$A:$A,'[1]Tissue Data'!J:J)</f>
        <v>M</v>
      </c>
      <c r="H6744" t="str">
        <f>_xlfn.XLOOKUP(A6744,'[1]Tissue Data'!$A:$A,'[1]Tissue Data'!K:K)</f>
        <v>Liver</v>
      </c>
      <c r="I6744">
        <f>_xlfn.XLOOKUP(A6744,'[1]Tissue Data'!$A:$A,'[1]Tissue Data'!L:L)</f>
        <v>12.5</v>
      </c>
      <c r="J6744">
        <f>_xlfn.XLOOKUP(A6744,'[1]Tissue Data'!$A:$A,'[1]Tissue Data'!M:M)</f>
        <v>36.32</v>
      </c>
      <c r="K6744" t="s">
        <v>54</v>
      </c>
      <c r="L6744" t="str">
        <f>_xlfn.XLOOKUP(K6744,[2]analyte_order!$B:$B,[2]analyte_order!$C:$C)</f>
        <v>70887-84-2</v>
      </c>
      <c r="M6744">
        <f>_xlfn.XLOOKUP(L6744,[2]analyte_order!$C:$C,[2]analyte_order!$E:$E)</f>
        <v>45</v>
      </c>
      <c r="N6744">
        <v>0.3735</v>
      </c>
    </row>
    <row r="6745" spans="1:14">
      <c r="A6745" t="s">
        <v>295</v>
      </c>
      <c r="B6745" t="str">
        <f>_xlfn.XLOOKUP(A6745,'[1]Tissue Data'!$A:$A,'[1]Tissue Data'!$C:$C)</f>
        <v>Down</v>
      </c>
      <c r="C6745" s="2">
        <f>_xlfn.XLOOKUP(A6745,'[1]Tissue Data'!$A:$A,'[1]Tissue Data'!$D:$D)</f>
        <v>44393</v>
      </c>
      <c r="D6745" s="2" t="str">
        <f>_xlfn.XLOOKUP(A6745,'[1]Tissue Data'!$A:$A,'[1]Tissue Data'!$F:$F)</f>
        <v>Pumpkinseed</v>
      </c>
      <c r="E6745" t="str">
        <f>_xlfn.XLOOKUP(A6745,'[1]Tissue Data'!$A:$A,'[1]Tissue Data'!$H:$H)</f>
        <v>Lepomis</v>
      </c>
      <c r="F6745" t="str">
        <f>_xlfn.XLOOKUP(A6745,'[1]Tissue Data'!$A:$A,'[1]Tissue Data'!$I:$I)</f>
        <v>gibbosus</v>
      </c>
      <c r="G6745" t="str">
        <f>_xlfn.XLOOKUP(A6745,'[1]Tissue Data'!$A:$A,'[1]Tissue Data'!J:J)</f>
        <v>M</v>
      </c>
      <c r="H6745" t="str">
        <f>_xlfn.XLOOKUP(A6745,'[1]Tissue Data'!$A:$A,'[1]Tissue Data'!K:K)</f>
        <v>Liver</v>
      </c>
      <c r="I6745">
        <f>_xlfn.XLOOKUP(A6745,'[1]Tissue Data'!$A:$A,'[1]Tissue Data'!L:L)</f>
        <v>12.5</v>
      </c>
      <c r="J6745">
        <f>_xlfn.XLOOKUP(A6745,'[1]Tissue Data'!$A:$A,'[1]Tissue Data'!M:M)</f>
        <v>36.32</v>
      </c>
      <c r="K6745" t="s">
        <v>55</v>
      </c>
      <c r="L6745" t="str">
        <f>_xlfn.XLOOKUP(K6745,[2]analyte_order!$B:$B,[2]analyte_order!$C:$C)</f>
        <v>919005-14-4</v>
      </c>
      <c r="M6745">
        <f>_xlfn.XLOOKUP(L6745,[2]analyte_order!$C:$C,[2]analyte_order!$E:$E)</f>
        <v>35</v>
      </c>
      <c r="N6745">
        <v>0.54500000000000004</v>
      </c>
    </row>
    <row r="6746" spans="1:14">
      <c r="A6746" t="s">
        <v>295</v>
      </c>
      <c r="B6746" t="str">
        <f>_xlfn.XLOOKUP(A6746,'[1]Tissue Data'!$A:$A,'[1]Tissue Data'!$C:$C)</f>
        <v>Down</v>
      </c>
      <c r="C6746" s="2">
        <f>_xlfn.XLOOKUP(A6746,'[1]Tissue Data'!$A:$A,'[1]Tissue Data'!$D:$D)</f>
        <v>44393</v>
      </c>
      <c r="D6746" s="2" t="str">
        <f>_xlfn.XLOOKUP(A6746,'[1]Tissue Data'!$A:$A,'[1]Tissue Data'!$F:$F)</f>
        <v>Pumpkinseed</v>
      </c>
      <c r="E6746" t="str">
        <f>_xlfn.XLOOKUP(A6746,'[1]Tissue Data'!$A:$A,'[1]Tissue Data'!$H:$H)</f>
        <v>Lepomis</v>
      </c>
      <c r="F6746" t="str">
        <f>_xlfn.XLOOKUP(A6746,'[1]Tissue Data'!$A:$A,'[1]Tissue Data'!$I:$I)</f>
        <v>gibbosus</v>
      </c>
      <c r="G6746" t="str">
        <f>_xlfn.XLOOKUP(A6746,'[1]Tissue Data'!$A:$A,'[1]Tissue Data'!J:J)</f>
        <v>M</v>
      </c>
      <c r="H6746" t="str">
        <f>_xlfn.XLOOKUP(A6746,'[1]Tissue Data'!$A:$A,'[1]Tissue Data'!K:K)</f>
        <v>Liver</v>
      </c>
      <c r="I6746">
        <f>_xlfn.XLOOKUP(A6746,'[1]Tissue Data'!$A:$A,'[1]Tissue Data'!L:L)</f>
        <v>12.5</v>
      </c>
      <c r="J6746">
        <f>_xlfn.XLOOKUP(A6746,'[1]Tissue Data'!$A:$A,'[1]Tissue Data'!M:M)</f>
        <v>36.32</v>
      </c>
      <c r="K6746" t="s">
        <v>56</v>
      </c>
      <c r="L6746" t="str">
        <f>_xlfn.XLOOKUP(K6746,[2]analyte_order!$B:$B,[2]analyte_order!$C:$C)</f>
        <v>756426-58-1</v>
      </c>
      <c r="M6746">
        <f>_xlfn.XLOOKUP(L6746,[2]analyte_order!$C:$C,[2]analyte_order!$E:$E)</f>
        <v>36</v>
      </c>
      <c r="N6746">
        <v>1.2350000000000001</v>
      </c>
    </row>
    <row r="6747" spans="1:14">
      <c r="A6747" t="s">
        <v>295</v>
      </c>
      <c r="B6747" t="str">
        <f>_xlfn.XLOOKUP(A6747,'[1]Tissue Data'!$A:$A,'[1]Tissue Data'!$C:$C)</f>
        <v>Down</v>
      </c>
      <c r="C6747" s="2">
        <f>_xlfn.XLOOKUP(A6747,'[1]Tissue Data'!$A:$A,'[1]Tissue Data'!$D:$D)</f>
        <v>44393</v>
      </c>
      <c r="D6747" s="2" t="str">
        <f>_xlfn.XLOOKUP(A6747,'[1]Tissue Data'!$A:$A,'[1]Tissue Data'!$F:$F)</f>
        <v>Pumpkinseed</v>
      </c>
      <c r="E6747" t="str">
        <f>_xlfn.XLOOKUP(A6747,'[1]Tissue Data'!$A:$A,'[1]Tissue Data'!$H:$H)</f>
        <v>Lepomis</v>
      </c>
      <c r="F6747" t="str">
        <f>_xlfn.XLOOKUP(A6747,'[1]Tissue Data'!$A:$A,'[1]Tissue Data'!$I:$I)</f>
        <v>gibbosus</v>
      </c>
      <c r="G6747" t="str">
        <f>_xlfn.XLOOKUP(A6747,'[1]Tissue Data'!$A:$A,'[1]Tissue Data'!J:J)</f>
        <v>M</v>
      </c>
      <c r="H6747" t="str">
        <f>_xlfn.XLOOKUP(A6747,'[1]Tissue Data'!$A:$A,'[1]Tissue Data'!K:K)</f>
        <v>Liver</v>
      </c>
      <c r="I6747">
        <f>_xlfn.XLOOKUP(A6747,'[1]Tissue Data'!$A:$A,'[1]Tissue Data'!L:L)</f>
        <v>12.5</v>
      </c>
      <c r="J6747">
        <f>_xlfn.XLOOKUP(A6747,'[1]Tissue Data'!$A:$A,'[1]Tissue Data'!M:M)</f>
        <v>36.32</v>
      </c>
      <c r="K6747" t="s">
        <v>57</v>
      </c>
      <c r="L6747" t="str">
        <f>_xlfn.XLOOKUP(K6747,[2]analyte_order!$B:$B,[2]analyte_order!$C:$C)</f>
        <v>763051-92-9</v>
      </c>
      <c r="M6747">
        <f>_xlfn.XLOOKUP(L6747,[2]analyte_order!$C:$C,[2]analyte_order!$E:$E)</f>
        <v>37</v>
      </c>
      <c r="N6747">
        <v>1.2350000000000001</v>
      </c>
    </row>
    <row r="6748" spans="1:14">
      <c r="A6748" t="s">
        <v>295</v>
      </c>
      <c r="B6748" t="str">
        <f>_xlfn.XLOOKUP(A6748,'[1]Tissue Data'!$A:$A,'[1]Tissue Data'!$C:$C)</f>
        <v>Down</v>
      </c>
      <c r="C6748" s="2">
        <f>_xlfn.XLOOKUP(A6748,'[1]Tissue Data'!$A:$A,'[1]Tissue Data'!$D:$D)</f>
        <v>44393</v>
      </c>
      <c r="D6748" s="2" t="str">
        <f>_xlfn.XLOOKUP(A6748,'[1]Tissue Data'!$A:$A,'[1]Tissue Data'!$F:$F)</f>
        <v>Pumpkinseed</v>
      </c>
      <c r="E6748" t="str">
        <f>_xlfn.XLOOKUP(A6748,'[1]Tissue Data'!$A:$A,'[1]Tissue Data'!$H:$H)</f>
        <v>Lepomis</v>
      </c>
      <c r="F6748" t="str">
        <f>_xlfn.XLOOKUP(A6748,'[1]Tissue Data'!$A:$A,'[1]Tissue Data'!$I:$I)</f>
        <v>gibbosus</v>
      </c>
      <c r="G6748" t="str">
        <f>_xlfn.XLOOKUP(A6748,'[1]Tissue Data'!$A:$A,'[1]Tissue Data'!J:J)</f>
        <v>M</v>
      </c>
      <c r="H6748" t="str">
        <f>_xlfn.XLOOKUP(A6748,'[1]Tissue Data'!$A:$A,'[1]Tissue Data'!K:K)</f>
        <v>Liver</v>
      </c>
      <c r="I6748">
        <f>_xlfn.XLOOKUP(A6748,'[1]Tissue Data'!$A:$A,'[1]Tissue Data'!L:L)</f>
        <v>12.5</v>
      </c>
      <c r="J6748">
        <f>_xlfn.XLOOKUP(A6748,'[1]Tissue Data'!$A:$A,'[1]Tissue Data'!M:M)</f>
        <v>36.32</v>
      </c>
      <c r="K6748" t="s">
        <v>58</v>
      </c>
      <c r="L6748" t="str">
        <f>_xlfn.XLOOKUP(K6748,[2]analyte_order!$B:$B,[2]analyte_order!$C:$C)</f>
        <v>13252-13-6</v>
      </c>
      <c r="M6748">
        <f>_xlfn.XLOOKUP(L6748,[2]analyte_order!$C:$C,[2]analyte_order!$E:$E)</f>
        <v>34</v>
      </c>
      <c r="N6748">
        <v>0.88500000000000001</v>
      </c>
    </row>
    <row r="6749" spans="1:14">
      <c r="A6749" t="s">
        <v>295</v>
      </c>
      <c r="B6749" t="str">
        <f>_xlfn.XLOOKUP(A6749,'[1]Tissue Data'!$A:$A,'[1]Tissue Data'!$C:$C)</f>
        <v>Down</v>
      </c>
      <c r="C6749" s="2">
        <f>_xlfn.XLOOKUP(A6749,'[1]Tissue Data'!$A:$A,'[1]Tissue Data'!$D:$D)</f>
        <v>44393</v>
      </c>
      <c r="D6749" s="2" t="str">
        <f>_xlfn.XLOOKUP(A6749,'[1]Tissue Data'!$A:$A,'[1]Tissue Data'!$F:$F)</f>
        <v>Pumpkinseed</v>
      </c>
      <c r="E6749" t="str">
        <f>_xlfn.XLOOKUP(A6749,'[1]Tissue Data'!$A:$A,'[1]Tissue Data'!$H:$H)</f>
        <v>Lepomis</v>
      </c>
      <c r="F6749" t="str">
        <f>_xlfn.XLOOKUP(A6749,'[1]Tissue Data'!$A:$A,'[1]Tissue Data'!$I:$I)</f>
        <v>gibbosus</v>
      </c>
      <c r="G6749" t="str">
        <f>_xlfn.XLOOKUP(A6749,'[1]Tissue Data'!$A:$A,'[1]Tissue Data'!J:J)</f>
        <v>M</v>
      </c>
      <c r="H6749" t="str">
        <f>_xlfn.XLOOKUP(A6749,'[1]Tissue Data'!$A:$A,'[1]Tissue Data'!K:K)</f>
        <v>Liver</v>
      </c>
      <c r="I6749">
        <f>_xlfn.XLOOKUP(A6749,'[1]Tissue Data'!$A:$A,'[1]Tissue Data'!L:L)</f>
        <v>12.5</v>
      </c>
      <c r="J6749">
        <f>_xlfn.XLOOKUP(A6749,'[1]Tissue Data'!$A:$A,'[1]Tissue Data'!M:M)</f>
        <v>36.32</v>
      </c>
      <c r="K6749" t="s">
        <v>59</v>
      </c>
      <c r="L6749" t="str">
        <f>_xlfn.XLOOKUP(K6749,[2]analyte_order!$B:$B,[2]analyte_order!$C:$C)</f>
        <v>57677-95-9</v>
      </c>
      <c r="M6749">
        <f>_xlfn.XLOOKUP(L6749,[2]analyte_order!$C:$C,[2]analyte_order!$E:$E)</f>
        <v>46</v>
      </c>
      <c r="N6749">
        <v>1.2350000000000001</v>
      </c>
    </row>
    <row r="6750" spans="1:14">
      <c r="A6750" t="s">
        <v>295</v>
      </c>
      <c r="B6750" t="str">
        <f>_xlfn.XLOOKUP(A6750,'[1]Tissue Data'!$A:$A,'[1]Tissue Data'!$C:$C)</f>
        <v>Down</v>
      </c>
      <c r="C6750" s="2">
        <f>_xlfn.XLOOKUP(A6750,'[1]Tissue Data'!$A:$A,'[1]Tissue Data'!$D:$D)</f>
        <v>44393</v>
      </c>
      <c r="D6750" s="2" t="str">
        <f>_xlfn.XLOOKUP(A6750,'[1]Tissue Data'!$A:$A,'[1]Tissue Data'!$F:$F)</f>
        <v>Pumpkinseed</v>
      </c>
      <c r="E6750" t="str">
        <f>_xlfn.XLOOKUP(A6750,'[1]Tissue Data'!$A:$A,'[1]Tissue Data'!$H:$H)</f>
        <v>Lepomis</v>
      </c>
      <c r="F6750" t="str">
        <f>_xlfn.XLOOKUP(A6750,'[1]Tissue Data'!$A:$A,'[1]Tissue Data'!$I:$I)</f>
        <v>gibbosus</v>
      </c>
      <c r="G6750" t="str">
        <f>_xlfn.XLOOKUP(A6750,'[1]Tissue Data'!$A:$A,'[1]Tissue Data'!J:J)</f>
        <v>M</v>
      </c>
      <c r="H6750" t="str">
        <f>_xlfn.XLOOKUP(A6750,'[1]Tissue Data'!$A:$A,'[1]Tissue Data'!K:K)</f>
        <v>Liver</v>
      </c>
      <c r="I6750">
        <f>_xlfn.XLOOKUP(A6750,'[1]Tissue Data'!$A:$A,'[1]Tissue Data'!L:L)</f>
        <v>12.5</v>
      </c>
      <c r="J6750">
        <f>_xlfn.XLOOKUP(A6750,'[1]Tissue Data'!$A:$A,'[1]Tissue Data'!M:M)</f>
        <v>36.32</v>
      </c>
      <c r="K6750" t="s">
        <v>60</v>
      </c>
      <c r="L6750" t="str">
        <f>_xlfn.XLOOKUP(K6750,[2]analyte_order!$B:$B,[2]analyte_order!$C:$C)</f>
        <v>678-41-1</v>
      </c>
      <c r="M6750">
        <f>_xlfn.XLOOKUP(L6750,[2]analyte_order!$C:$C,[2]analyte_order!$E:$E)</f>
        <v>56</v>
      </c>
      <c r="N6750">
        <v>1.2350000000000001</v>
      </c>
    </row>
    <row r="6751" spans="1:14">
      <c r="A6751" t="s">
        <v>295</v>
      </c>
      <c r="B6751" t="str">
        <f>_xlfn.XLOOKUP(A6751,'[1]Tissue Data'!$A:$A,'[1]Tissue Data'!$C:$C)</f>
        <v>Down</v>
      </c>
      <c r="C6751" s="2">
        <f>_xlfn.XLOOKUP(A6751,'[1]Tissue Data'!$A:$A,'[1]Tissue Data'!$D:$D)</f>
        <v>44393</v>
      </c>
      <c r="D6751" s="2" t="str">
        <f>_xlfn.XLOOKUP(A6751,'[1]Tissue Data'!$A:$A,'[1]Tissue Data'!$F:$F)</f>
        <v>Pumpkinseed</v>
      </c>
      <c r="E6751" t="str">
        <f>_xlfn.XLOOKUP(A6751,'[1]Tissue Data'!$A:$A,'[1]Tissue Data'!$H:$H)</f>
        <v>Lepomis</v>
      </c>
      <c r="F6751" t="str">
        <f>_xlfn.XLOOKUP(A6751,'[1]Tissue Data'!$A:$A,'[1]Tissue Data'!$I:$I)</f>
        <v>gibbosus</v>
      </c>
      <c r="G6751" t="str">
        <f>_xlfn.XLOOKUP(A6751,'[1]Tissue Data'!$A:$A,'[1]Tissue Data'!J:J)</f>
        <v>M</v>
      </c>
      <c r="H6751" t="str">
        <f>_xlfn.XLOOKUP(A6751,'[1]Tissue Data'!$A:$A,'[1]Tissue Data'!K:K)</f>
        <v>Liver</v>
      </c>
      <c r="I6751">
        <f>_xlfn.XLOOKUP(A6751,'[1]Tissue Data'!$A:$A,'[1]Tissue Data'!L:L)</f>
        <v>12.5</v>
      </c>
      <c r="J6751">
        <f>_xlfn.XLOOKUP(A6751,'[1]Tissue Data'!$A:$A,'[1]Tissue Data'!M:M)</f>
        <v>36.32</v>
      </c>
      <c r="K6751" t="s">
        <v>61</v>
      </c>
      <c r="L6751" t="str">
        <f>_xlfn.XLOOKUP(K6751,[2]analyte_order!$B:$B,[2]analyte_order!$C:$C)</f>
        <v>2965-52-8</v>
      </c>
      <c r="M6751">
        <f>_xlfn.XLOOKUP(L6751,[2]analyte_order!$C:$C,[2]analyte_order!$E:$E)</f>
        <v>57</v>
      </c>
      <c r="N6751">
        <v>1.2350000000000001</v>
      </c>
    </row>
    <row r="6752" spans="1:14">
      <c r="A6752" t="s">
        <v>296</v>
      </c>
      <c r="B6752" t="str">
        <f>_xlfn.XLOOKUP(A6752,'[1]Tissue Data'!$A:$A,'[1]Tissue Data'!$C:$C)</f>
        <v>Down</v>
      </c>
      <c r="C6752" s="2">
        <f>_xlfn.XLOOKUP(A6752,'[1]Tissue Data'!$A:$A,'[1]Tissue Data'!$D:$D)</f>
        <v>44393</v>
      </c>
      <c r="D6752" s="2" t="str">
        <f>_xlfn.XLOOKUP(A6752,'[1]Tissue Data'!$A:$A,'[1]Tissue Data'!$F:$F)</f>
        <v>Pumpkinseed</v>
      </c>
      <c r="E6752" t="str">
        <f>_xlfn.XLOOKUP(A6752,'[1]Tissue Data'!$A:$A,'[1]Tissue Data'!$H:$H)</f>
        <v>Lepomis</v>
      </c>
      <c r="F6752" t="str">
        <f>_xlfn.XLOOKUP(A6752,'[1]Tissue Data'!$A:$A,'[1]Tissue Data'!$I:$I)</f>
        <v>gibbosus</v>
      </c>
      <c r="G6752" t="str">
        <f>_xlfn.XLOOKUP(A6752,'[1]Tissue Data'!$A:$A,'[1]Tissue Data'!J:J)</f>
        <v>M</v>
      </c>
      <c r="H6752" t="str">
        <f>_xlfn.XLOOKUP(A6752,'[1]Tissue Data'!$A:$A,'[1]Tissue Data'!K:K)</f>
        <v>Muscle</v>
      </c>
      <c r="I6752">
        <f>_xlfn.XLOOKUP(A6752,'[1]Tissue Data'!$A:$A,'[1]Tissue Data'!L:L)</f>
        <v>12.5</v>
      </c>
      <c r="J6752">
        <f>_xlfn.XLOOKUP(A6752,'[1]Tissue Data'!$A:$A,'[1]Tissue Data'!M:M)</f>
        <v>36.32</v>
      </c>
      <c r="K6752" t="s">
        <v>12</v>
      </c>
      <c r="L6752" t="str">
        <f>_xlfn.XLOOKUP(K6752,[2]analyte_order!$B:$B,[2]analyte_order!$C:$C)</f>
        <v>375-22-4</v>
      </c>
      <c r="M6752">
        <f>_xlfn.XLOOKUP(L6752,[2]analyte_order!$C:$C,[2]analyte_order!$E:$E)</f>
        <v>1</v>
      </c>
      <c r="N6752">
        <v>0.23400000000000001</v>
      </c>
    </row>
    <row r="6753" spans="1:14">
      <c r="A6753" t="s">
        <v>296</v>
      </c>
      <c r="B6753" t="str">
        <f>_xlfn.XLOOKUP(A6753,'[1]Tissue Data'!$A:$A,'[1]Tissue Data'!$C:$C)</f>
        <v>Down</v>
      </c>
      <c r="C6753" s="2">
        <f>_xlfn.XLOOKUP(A6753,'[1]Tissue Data'!$A:$A,'[1]Tissue Data'!$D:$D)</f>
        <v>44393</v>
      </c>
      <c r="D6753" s="2" t="str">
        <f>_xlfn.XLOOKUP(A6753,'[1]Tissue Data'!$A:$A,'[1]Tissue Data'!$F:$F)</f>
        <v>Pumpkinseed</v>
      </c>
      <c r="E6753" t="str">
        <f>_xlfn.XLOOKUP(A6753,'[1]Tissue Data'!$A:$A,'[1]Tissue Data'!$H:$H)</f>
        <v>Lepomis</v>
      </c>
      <c r="F6753" t="str">
        <f>_xlfn.XLOOKUP(A6753,'[1]Tissue Data'!$A:$A,'[1]Tissue Data'!$I:$I)</f>
        <v>gibbosus</v>
      </c>
      <c r="G6753" t="str">
        <f>_xlfn.XLOOKUP(A6753,'[1]Tissue Data'!$A:$A,'[1]Tissue Data'!J:J)</f>
        <v>M</v>
      </c>
      <c r="H6753" t="str">
        <f>_xlfn.XLOOKUP(A6753,'[1]Tissue Data'!$A:$A,'[1]Tissue Data'!K:K)</f>
        <v>Muscle</v>
      </c>
      <c r="I6753">
        <f>_xlfn.XLOOKUP(A6753,'[1]Tissue Data'!$A:$A,'[1]Tissue Data'!L:L)</f>
        <v>12.5</v>
      </c>
      <c r="J6753">
        <f>_xlfn.XLOOKUP(A6753,'[1]Tissue Data'!$A:$A,'[1]Tissue Data'!M:M)</f>
        <v>36.32</v>
      </c>
      <c r="K6753" t="s">
        <v>13</v>
      </c>
      <c r="L6753" t="str">
        <f>_xlfn.XLOOKUP(K6753,[2]analyte_order!$B:$B,[2]analyte_order!$C:$C)</f>
        <v>2706-90-3</v>
      </c>
      <c r="M6753">
        <f>_xlfn.XLOOKUP(L6753,[2]analyte_order!$C:$C,[2]analyte_order!$E:$E)</f>
        <v>2</v>
      </c>
      <c r="N6753">
        <v>8.2500000000000004E-2</v>
      </c>
    </row>
    <row r="6754" spans="1:14">
      <c r="A6754" t="s">
        <v>296</v>
      </c>
      <c r="B6754" t="str">
        <f>_xlfn.XLOOKUP(A6754,'[1]Tissue Data'!$A:$A,'[1]Tissue Data'!$C:$C)</f>
        <v>Down</v>
      </c>
      <c r="C6754" s="2">
        <f>_xlfn.XLOOKUP(A6754,'[1]Tissue Data'!$A:$A,'[1]Tissue Data'!$D:$D)</f>
        <v>44393</v>
      </c>
      <c r="D6754" s="2" t="str">
        <f>_xlfn.XLOOKUP(A6754,'[1]Tissue Data'!$A:$A,'[1]Tissue Data'!$F:$F)</f>
        <v>Pumpkinseed</v>
      </c>
      <c r="E6754" t="str">
        <f>_xlfn.XLOOKUP(A6754,'[1]Tissue Data'!$A:$A,'[1]Tissue Data'!$H:$H)</f>
        <v>Lepomis</v>
      </c>
      <c r="F6754" t="str">
        <f>_xlfn.XLOOKUP(A6754,'[1]Tissue Data'!$A:$A,'[1]Tissue Data'!$I:$I)</f>
        <v>gibbosus</v>
      </c>
      <c r="G6754" t="str">
        <f>_xlfn.XLOOKUP(A6754,'[1]Tissue Data'!$A:$A,'[1]Tissue Data'!J:J)</f>
        <v>M</v>
      </c>
      <c r="H6754" t="str">
        <f>_xlfn.XLOOKUP(A6754,'[1]Tissue Data'!$A:$A,'[1]Tissue Data'!K:K)</f>
        <v>Muscle</v>
      </c>
      <c r="I6754">
        <f>_xlfn.XLOOKUP(A6754,'[1]Tissue Data'!$A:$A,'[1]Tissue Data'!L:L)</f>
        <v>12.5</v>
      </c>
      <c r="J6754">
        <f>_xlfn.XLOOKUP(A6754,'[1]Tissue Data'!$A:$A,'[1]Tissue Data'!M:M)</f>
        <v>36.32</v>
      </c>
      <c r="K6754" t="s">
        <v>14</v>
      </c>
      <c r="L6754" t="str">
        <f>_xlfn.XLOOKUP(K6754,[2]analyte_order!$B:$B,[2]analyte_order!$C:$C)</f>
        <v>307-24-4</v>
      </c>
      <c r="M6754">
        <f>_xlfn.XLOOKUP(L6754,[2]analyte_order!$C:$C,[2]analyte_order!$E:$E)</f>
        <v>3</v>
      </c>
      <c r="N6754">
        <v>0.1265</v>
      </c>
    </row>
    <row r="6755" spans="1:14">
      <c r="A6755" t="s">
        <v>296</v>
      </c>
      <c r="B6755" t="str">
        <f>_xlfn.XLOOKUP(A6755,'[1]Tissue Data'!$A:$A,'[1]Tissue Data'!$C:$C)</f>
        <v>Down</v>
      </c>
      <c r="C6755" s="2">
        <f>_xlfn.XLOOKUP(A6755,'[1]Tissue Data'!$A:$A,'[1]Tissue Data'!$D:$D)</f>
        <v>44393</v>
      </c>
      <c r="D6755" s="2" t="str">
        <f>_xlfn.XLOOKUP(A6755,'[1]Tissue Data'!$A:$A,'[1]Tissue Data'!$F:$F)</f>
        <v>Pumpkinseed</v>
      </c>
      <c r="E6755" t="str">
        <f>_xlfn.XLOOKUP(A6755,'[1]Tissue Data'!$A:$A,'[1]Tissue Data'!$H:$H)</f>
        <v>Lepomis</v>
      </c>
      <c r="F6755" t="str">
        <f>_xlfn.XLOOKUP(A6755,'[1]Tissue Data'!$A:$A,'[1]Tissue Data'!$I:$I)</f>
        <v>gibbosus</v>
      </c>
      <c r="G6755" t="str">
        <f>_xlfn.XLOOKUP(A6755,'[1]Tissue Data'!$A:$A,'[1]Tissue Data'!J:J)</f>
        <v>M</v>
      </c>
      <c r="H6755" t="str">
        <f>_xlfn.XLOOKUP(A6755,'[1]Tissue Data'!$A:$A,'[1]Tissue Data'!K:K)</f>
        <v>Muscle</v>
      </c>
      <c r="I6755">
        <f>_xlfn.XLOOKUP(A6755,'[1]Tissue Data'!$A:$A,'[1]Tissue Data'!L:L)</f>
        <v>12.5</v>
      </c>
      <c r="J6755">
        <f>_xlfn.XLOOKUP(A6755,'[1]Tissue Data'!$A:$A,'[1]Tissue Data'!M:M)</f>
        <v>36.32</v>
      </c>
      <c r="K6755" t="s">
        <v>15</v>
      </c>
      <c r="L6755" t="str">
        <f>_xlfn.XLOOKUP(K6755,[2]analyte_order!$B:$B,[2]analyte_order!$C:$C)</f>
        <v>375-85-9</v>
      </c>
      <c r="M6755">
        <f>_xlfn.XLOOKUP(L6755,[2]analyte_order!$C:$C,[2]analyte_order!$E:$E)</f>
        <v>4</v>
      </c>
      <c r="N6755">
        <v>0.23400000000000001</v>
      </c>
    </row>
    <row r="6756" spans="1:14">
      <c r="A6756" t="s">
        <v>296</v>
      </c>
      <c r="B6756" t="str">
        <f>_xlfn.XLOOKUP(A6756,'[1]Tissue Data'!$A:$A,'[1]Tissue Data'!$C:$C)</f>
        <v>Down</v>
      </c>
      <c r="C6756" s="2">
        <f>_xlfn.XLOOKUP(A6756,'[1]Tissue Data'!$A:$A,'[1]Tissue Data'!$D:$D)</f>
        <v>44393</v>
      </c>
      <c r="D6756" s="2" t="str">
        <f>_xlfn.XLOOKUP(A6756,'[1]Tissue Data'!$A:$A,'[1]Tissue Data'!$F:$F)</f>
        <v>Pumpkinseed</v>
      </c>
      <c r="E6756" t="str">
        <f>_xlfn.XLOOKUP(A6756,'[1]Tissue Data'!$A:$A,'[1]Tissue Data'!$H:$H)</f>
        <v>Lepomis</v>
      </c>
      <c r="F6756" t="str">
        <f>_xlfn.XLOOKUP(A6756,'[1]Tissue Data'!$A:$A,'[1]Tissue Data'!$I:$I)</f>
        <v>gibbosus</v>
      </c>
      <c r="G6756" t="str">
        <f>_xlfn.XLOOKUP(A6756,'[1]Tissue Data'!$A:$A,'[1]Tissue Data'!J:J)</f>
        <v>M</v>
      </c>
      <c r="H6756" t="str">
        <f>_xlfn.XLOOKUP(A6756,'[1]Tissue Data'!$A:$A,'[1]Tissue Data'!K:K)</f>
        <v>Muscle</v>
      </c>
      <c r="I6756">
        <f>_xlfn.XLOOKUP(A6756,'[1]Tissue Data'!$A:$A,'[1]Tissue Data'!L:L)</f>
        <v>12.5</v>
      </c>
      <c r="J6756">
        <f>_xlfn.XLOOKUP(A6756,'[1]Tissue Data'!$A:$A,'[1]Tissue Data'!M:M)</f>
        <v>36.32</v>
      </c>
      <c r="K6756" t="s">
        <v>16</v>
      </c>
      <c r="L6756" t="str">
        <f>_xlfn.XLOOKUP(K6756,[2]analyte_order!$B:$B,[2]analyte_order!$C:$C)</f>
        <v>335-67-1</v>
      </c>
      <c r="M6756">
        <f>_xlfn.XLOOKUP(L6756,[2]analyte_order!$C:$C,[2]analyte_order!$E:$E)</f>
        <v>5</v>
      </c>
      <c r="N6756">
        <v>0.20499999999999999</v>
      </c>
    </row>
    <row r="6757" spans="1:14">
      <c r="A6757" t="s">
        <v>296</v>
      </c>
      <c r="B6757" t="str">
        <f>_xlfn.XLOOKUP(A6757,'[1]Tissue Data'!$A:$A,'[1]Tissue Data'!$C:$C)</f>
        <v>Down</v>
      </c>
      <c r="C6757" s="2">
        <f>_xlfn.XLOOKUP(A6757,'[1]Tissue Data'!$A:$A,'[1]Tissue Data'!$D:$D)</f>
        <v>44393</v>
      </c>
      <c r="D6757" s="2" t="str">
        <f>_xlfn.XLOOKUP(A6757,'[1]Tissue Data'!$A:$A,'[1]Tissue Data'!$F:$F)</f>
        <v>Pumpkinseed</v>
      </c>
      <c r="E6757" t="str">
        <f>_xlfn.XLOOKUP(A6757,'[1]Tissue Data'!$A:$A,'[1]Tissue Data'!$H:$H)</f>
        <v>Lepomis</v>
      </c>
      <c r="F6757" t="str">
        <f>_xlfn.XLOOKUP(A6757,'[1]Tissue Data'!$A:$A,'[1]Tissue Data'!$I:$I)</f>
        <v>gibbosus</v>
      </c>
      <c r="G6757" t="str">
        <f>_xlfn.XLOOKUP(A6757,'[1]Tissue Data'!$A:$A,'[1]Tissue Data'!J:J)</f>
        <v>M</v>
      </c>
      <c r="H6757" t="str">
        <f>_xlfn.XLOOKUP(A6757,'[1]Tissue Data'!$A:$A,'[1]Tissue Data'!K:K)</f>
        <v>Muscle</v>
      </c>
      <c r="I6757">
        <f>_xlfn.XLOOKUP(A6757,'[1]Tissue Data'!$A:$A,'[1]Tissue Data'!L:L)</f>
        <v>12.5</v>
      </c>
      <c r="J6757">
        <f>_xlfn.XLOOKUP(A6757,'[1]Tissue Data'!$A:$A,'[1]Tissue Data'!M:M)</f>
        <v>36.32</v>
      </c>
      <c r="K6757" t="s">
        <v>17</v>
      </c>
      <c r="L6757" t="str">
        <f>_xlfn.XLOOKUP(K6757,[2]analyte_order!$B:$B,[2]analyte_order!$C:$C)</f>
        <v>375-95-1</v>
      </c>
      <c r="M6757">
        <f>_xlfn.XLOOKUP(L6757,[2]analyte_order!$C:$C,[2]analyte_order!$E:$E)</f>
        <v>6</v>
      </c>
      <c r="N6757">
        <v>0.23400000000000001</v>
      </c>
    </row>
    <row r="6758" spans="1:14">
      <c r="A6758" t="s">
        <v>296</v>
      </c>
      <c r="B6758" t="str">
        <f>_xlfn.XLOOKUP(A6758,'[1]Tissue Data'!$A:$A,'[1]Tissue Data'!$C:$C)</f>
        <v>Down</v>
      </c>
      <c r="C6758" s="2">
        <f>_xlfn.XLOOKUP(A6758,'[1]Tissue Data'!$A:$A,'[1]Tissue Data'!$D:$D)</f>
        <v>44393</v>
      </c>
      <c r="D6758" s="2" t="str">
        <f>_xlfn.XLOOKUP(A6758,'[1]Tissue Data'!$A:$A,'[1]Tissue Data'!$F:$F)</f>
        <v>Pumpkinseed</v>
      </c>
      <c r="E6758" t="str">
        <f>_xlfn.XLOOKUP(A6758,'[1]Tissue Data'!$A:$A,'[1]Tissue Data'!$H:$H)</f>
        <v>Lepomis</v>
      </c>
      <c r="F6758" t="str">
        <f>_xlfn.XLOOKUP(A6758,'[1]Tissue Data'!$A:$A,'[1]Tissue Data'!$I:$I)</f>
        <v>gibbosus</v>
      </c>
      <c r="G6758" t="str">
        <f>_xlfn.XLOOKUP(A6758,'[1]Tissue Data'!$A:$A,'[1]Tissue Data'!J:J)</f>
        <v>M</v>
      </c>
      <c r="H6758" t="str">
        <f>_xlfn.XLOOKUP(A6758,'[1]Tissue Data'!$A:$A,'[1]Tissue Data'!K:K)</f>
        <v>Muscle</v>
      </c>
      <c r="I6758">
        <f>_xlfn.XLOOKUP(A6758,'[1]Tissue Data'!$A:$A,'[1]Tissue Data'!L:L)</f>
        <v>12.5</v>
      </c>
      <c r="J6758">
        <f>_xlfn.XLOOKUP(A6758,'[1]Tissue Data'!$A:$A,'[1]Tissue Data'!M:M)</f>
        <v>36.32</v>
      </c>
      <c r="K6758" t="s">
        <v>18</v>
      </c>
      <c r="L6758" t="str">
        <f>_xlfn.XLOOKUP(K6758,[2]analyte_order!$B:$B,[2]analyte_order!$C:$C)</f>
        <v>335-76-2</v>
      </c>
      <c r="M6758">
        <f>_xlfn.XLOOKUP(L6758,[2]analyte_order!$C:$C,[2]analyte_order!$E:$E)</f>
        <v>7</v>
      </c>
      <c r="N6758">
        <v>1.88</v>
      </c>
    </row>
    <row r="6759" spans="1:14">
      <c r="A6759" t="s">
        <v>296</v>
      </c>
      <c r="B6759" t="str">
        <f>_xlfn.XLOOKUP(A6759,'[1]Tissue Data'!$A:$A,'[1]Tissue Data'!$C:$C)</f>
        <v>Down</v>
      </c>
      <c r="C6759" s="2">
        <f>_xlfn.XLOOKUP(A6759,'[1]Tissue Data'!$A:$A,'[1]Tissue Data'!$D:$D)</f>
        <v>44393</v>
      </c>
      <c r="D6759" s="2" t="str">
        <f>_xlfn.XLOOKUP(A6759,'[1]Tissue Data'!$A:$A,'[1]Tissue Data'!$F:$F)</f>
        <v>Pumpkinseed</v>
      </c>
      <c r="E6759" t="str">
        <f>_xlfn.XLOOKUP(A6759,'[1]Tissue Data'!$A:$A,'[1]Tissue Data'!$H:$H)</f>
        <v>Lepomis</v>
      </c>
      <c r="F6759" t="str">
        <f>_xlfn.XLOOKUP(A6759,'[1]Tissue Data'!$A:$A,'[1]Tissue Data'!$I:$I)</f>
        <v>gibbosus</v>
      </c>
      <c r="G6759" t="str">
        <f>_xlfn.XLOOKUP(A6759,'[1]Tissue Data'!$A:$A,'[1]Tissue Data'!J:J)</f>
        <v>M</v>
      </c>
      <c r="H6759" t="str">
        <f>_xlfn.XLOOKUP(A6759,'[1]Tissue Data'!$A:$A,'[1]Tissue Data'!K:K)</f>
        <v>Muscle</v>
      </c>
      <c r="I6759">
        <f>_xlfn.XLOOKUP(A6759,'[1]Tissue Data'!$A:$A,'[1]Tissue Data'!L:L)</f>
        <v>12.5</v>
      </c>
      <c r="J6759">
        <f>_xlfn.XLOOKUP(A6759,'[1]Tissue Data'!$A:$A,'[1]Tissue Data'!M:M)</f>
        <v>36.32</v>
      </c>
      <c r="K6759" t="s">
        <v>19</v>
      </c>
      <c r="L6759" t="str">
        <f>_xlfn.XLOOKUP(K6759,[2]analyte_order!$B:$B,[2]analyte_order!$C:$C)</f>
        <v>2058-94-8</v>
      </c>
      <c r="M6759">
        <f>_xlfn.XLOOKUP(L6759,[2]analyte_order!$C:$C,[2]analyte_order!$E:$E)</f>
        <v>8</v>
      </c>
      <c r="N6759">
        <v>3.02</v>
      </c>
    </row>
    <row r="6760" spans="1:14">
      <c r="A6760" t="s">
        <v>296</v>
      </c>
      <c r="B6760" t="str">
        <f>_xlfn.XLOOKUP(A6760,'[1]Tissue Data'!$A:$A,'[1]Tissue Data'!$C:$C)</f>
        <v>Down</v>
      </c>
      <c r="C6760" s="2">
        <f>_xlfn.XLOOKUP(A6760,'[1]Tissue Data'!$A:$A,'[1]Tissue Data'!$D:$D)</f>
        <v>44393</v>
      </c>
      <c r="D6760" s="2" t="str">
        <f>_xlfn.XLOOKUP(A6760,'[1]Tissue Data'!$A:$A,'[1]Tissue Data'!$F:$F)</f>
        <v>Pumpkinseed</v>
      </c>
      <c r="E6760" t="str">
        <f>_xlfn.XLOOKUP(A6760,'[1]Tissue Data'!$A:$A,'[1]Tissue Data'!$H:$H)</f>
        <v>Lepomis</v>
      </c>
      <c r="F6760" t="str">
        <f>_xlfn.XLOOKUP(A6760,'[1]Tissue Data'!$A:$A,'[1]Tissue Data'!$I:$I)</f>
        <v>gibbosus</v>
      </c>
      <c r="G6760" t="str">
        <f>_xlfn.XLOOKUP(A6760,'[1]Tissue Data'!$A:$A,'[1]Tissue Data'!J:J)</f>
        <v>M</v>
      </c>
      <c r="H6760" t="str">
        <f>_xlfn.XLOOKUP(A6760,'[1]Tissue Data'!$A:$A,'[1]Tissue Data'!K:K)</f>
        <v>Muscle</v>
      </c>
      <c r="I6760">
        <f>_xlfn.XLOOKUP(A6760,'[1]Tissue Data'!$A:$A,'[1]Tissue Data'!L:L)</f>
        <v>12.5</v>
      </c>
      <c r="J6760">
        <f>_xlfn.XLOOKUP(A6760,'[1]Tissue Data'!$A:$A,'[1]Tissue Data'!M:M)</f>
        <v>36.32</v>
      </c>
      <c r="K6760" t="s">
        <v>20</v>
      </c>
      <c r="L6760" t="str">
        <f>_xlfn.XLOOKUP(K6760,[2]analyte_order!$B:$B,[2]analyte_order!$C:$C)</f>
        <v>307-55-1</v>
      </c>
      <c r="M6760">
        <f>_xlfn.XLOOKUP(L6760,[2]analyte_order!$C:$C,[2]analyte_order!$E:$E)</f>
        <v>9</v>
      </c>
      <c r="N6760">
        <v>6.83</v>
      </c>
    </row>
    <row r="6761" spans="1:14">
      <c r="A6761" t="s">
        <v>296</v>
      </c>
      <c r="B6761" t="str">
        <f>_xlfn.XLOOKUP(A6761,'[1]Tissue Data'!$A:$A,'[1]Tissue Data'!$C:$C)</f>
        <v>Down</v>
      </c>
      <c r="C6761" s="2">
        <f>_xlfn.XLOOKUP(A6761,'[1]Tissue Data'!$A:$A,'[1]Tissue Data'!$D:$D)</f>
        <v>44393</v>
      </c>
      <c r="D6761" s="2" t="str">
        <f>_xlfn.XLOOKUP(A6761,'[1]Tissue Data'!$A:$A,'[1]Tissue Data'!$F:$F)</f>
        <v>Pumpkinseed</v>
      </c>
      <c r="E6761" t="str">
        <f>_xlfn.XLOOKUP(A6761,'[1]Tissue Data'!$A:$A,'[1]Tissue Data'!$H:$H)</f>
        <v>Lepomis</v>
      </c>
      <c r="F6761" t="str">
        <f>_xlfn.XLOOKUP(A6761,'[1]Tissue Data'!$A:$A,'[1]Tissue Data'!$I:$I)</f>
        <v>gibbosus</v>
      </c>
      <c r="G6761" t="str">
        <f>_xlfn.XLOOKUP(A6761,'[1]Tissue Data'!$A:$A,'[1]Tissue Data'!J:J)</f>
        <v>M</v>
      </c>
      <c r="H6761" t="str">
        <f>_xlfn.XLOOKUP(A6761,'[1]Tissue Data'!$A:$A,'[1]Tissue Data'!K:K)</f>
        <v>Muscle</v>
      </c>
      <c r="I6761">
        <f>_xlfn.XLOOKUP(A6761,'[1]Tissue Data'!$A:$A,'[1]Tissue Data'!L:L)</f>
        <v>12.5</v>
      </c>
      <c r="J6761">
        <f>_xlfn.XLOOKUP(A6761,'[1]Tissue Data'!$A:$A,'[1]Tissue Data'!M:M)</f>
        <v>36.32</v>
      </c>
      <c r="K6761" t="s">
        <v>21</v>
      </c>
      <c r="L6761" t="str">
        <f>_xlfn.XLOOKUP(K6761,[2]analyte_order!$B:$B,[2]analyte_order!$C:$C)</f>
        <v>72629-94-8</v>
      </c>
      <c r="M6761">
        <f>_xlfn.XLOOKUP(L6761,[2]analyte_order!$C:$C,[2]analyte_order!$E:$E)</f>
        <v>10</v>
      </c>
      <c r="N6761">
        <v>3.09</v>
      </c>
    </row>
    <row r="6762" spans="1:14">
      <c r="A6762" t="s">
        <v>296</v>
      </c>
      <c r="B6762" t="str">
        <f>_xlfn.XLOOKUP(A6762,'[1]Tissue Data'!$A:$A,'[1]Tissue Data'!$C:$C)</f>
        <v>Down</v>
      </c>
      <c r="C6762" s="2">
        <f>_xlfn.XLOOKUP(A6762,'[1]Tissue Data'!$A:$A,'[1]Tissue Data'!$D:$D)</f>
        <v>44393</v>
      </c>
      <c r="D6762" s="2" t="str">
        <f>_xlfn.XLOOKUP(A6762,'[1]Tissue Data'!$A:$A,'[1]Tissue Data'!$F:$F)</f>
        <v>Pumpkinseed</v>
      </c>
      <c r="E6762" t="str">
        <f>_xlfn.XLOOKUP(A6762,'[1]Tissue Data'!$A:$A,'[1]Tissue Data'!$H:$H)</f>
        <v>Lepomis</v>
      </c>
      <c r="F6762" t="str">
        <f>_xlfn.XLOOKUP(A6762,'[1]Tissue Data'!$A:$A,'[1]Tissue Data'!$I:$I)</f>
        <v>gibbosus</v>
      </c>
      <c r="G6762" t="str">
        <f>_xlfn.XLOOKUP(A6762,'[1]Tissue Data'!$A:$A,'[1]Tissue Data'!J:J)</f>
        <v>M</v>
      </c>
      <c r="H6762" t="str">
        <f>_xlfn.XLOOKUP(A6762,'[1]Tissue Data'!$A:$A,'[1]Tissue Data'!K:K)</f>
        <v>Muscle</v>
      </c>
      <c r="I6762">
        <f>_xlfn.XLOOKUP(A6762,'[1]Tissue Data'!$A:$A,'[1]Tissue Data'!L:L)</f>
        <v>12.5</v>
      </c>
      <c r="J6762">
        <f>_xlfn.XLOOKUP(A6762,'[1]Tissue Data'!$A:$A,'[1]Tissue Data'!M:M)</f>
        <v>36.32</v>
      </c>
      <c r="K6762" t="s">
        <v>22</v>
      </c>
      <c r="L6762" t="str">
        <f>_xlfn.XLOOKUP(K6762,[2]analyte_order!$B:$B,[2]analyte_order!$C:$C)</f>
        <v>376-06-7</v>
      </c>
      <c r="M6762">
        <f>_xlfn.XLOOKUP(L6762,[2]analyte_order!$C:$C,[2]analyte_order!$E:$E)</f>
        <v>11</v>
      </c>
      <c r="N6762">
        <v>4.41</v>
      </c>
    </row>
    <row r="6763" spans="1:14">
      <c r="A6763" t="s">
        <v>296</v>
      </c>
      <c r="B6763" t="str">
        <f>_xlfn.XLOOKUP(A6763,'[1]Tissue Data'!$A:$A,'[1]Tissue Data'!$C:$C)</f>
        <v>Down</v>
      </c>
      <c r="C6763" s="2">
        <f>_xlfn.XLOOKUP(A6763,'[1]Tissue Data'!$A:$A,'[1]Tissue Data'!$D:$D)</f>
        <v>44393</v>
      </c>
      <c r="D6763" s="2" t="str">
        <f>_xlfn.XLOOKUP(A6763,'[1]Tissue Data'!$A:$A,'[1]Tissue Data'!$F:$F)</f>
        <v>Pumpkinseed</v>
      </c>
      <c r="E6763" t="str">
        <f>_xlfn.XLOOKUP(A6763,'[1]Tissue Data'!$A:$A,'[1]Tissue Data'!$H:$H)</f>
        <v>Lepomis</v>
      </c>
      <c r="F6763" t="str">
        <f>_xlfn.XLOOKUP(A6763,'[1]Tissue Data'!$A:$A,'[1]Tissue Data'!$I:$I)</f>
        <v>gibbosus</v>
      </c>
      <c r="G6763" t="str">
        <f>_xlfn.XLOOKUP(A6763,'[1]Tissue Data'!$A:$A,'[1]Tissue Data'!J:J)</f>
        <v>M</v>
      </c>
      <c r="H6763" t="str">
        <f>_xlfn.XLOOKUP(A6763,'[1]Tissue Data'!$A:$A,'[1]Tissue Data'!K:K)</f>
        <v>Muscle</v>
      </c>
      <c r="I6763">
        <f>_xlfn.XLOOKUP(A6763,'[1]Tissue Data'!$A:$A,'[1]Tissue Data'!L:L)</f>
        <v>12.5</v>
      </c>
      <c r="J6763">
        <f>_xlfn.XLOOKUP(A6763,'[1]Tissue Data'!$A:$A,'[1]Tissue Data'!M:M)</f>
        <v>36.32</v>
      </c>
      <c r="K6763" t="s">
        <v>23</v>
      </c>
      <c r="L6763" t="str">
        <f>_xlfn.XLOOKUP(K6763,[2]analyte_order!$B:$B,[2]analyte_order!$C:$C)</f>
        <v>67905-19-5</v>
      </c>
      <c r="M6763">
        <f>_xlfn.XLOOKUP(L6763,[2]analyte_order!$C:$C,[2]analyte_order!$E:$E)</f>
        <v>12</v>
      </c>
      <c r="N6763">
        <v>0.13950000000000001</v>
      </c>
    </row>
    <row r="6764" spans="1:14">
      <c r="A6764" t="s">
        <v>296</v>
      </c>
      <c r="B6764" t="str">
        <f>_xlfn.XLOOKUP(A6764,'[1]Tissue Data'!$A:$A,'[1]Tissue Data'!$C:$C)</f>
        <v>Down</v>
      </c>
      <c r="C6764" s="2">
        <f>_xlfn.XLOOKUP(A6764,'[1]Tissue Data'!$A:$A,'[1]Tissue Data'!$D:$D)</f>
        <v>44393</v>
      </c>
      <c r="D6764" s="2" t="str">
        <f>_xlfn.XLOOKUP(A6764,'[1]Tissue Data'!$A:$A,'[1]Tissue Data'!$F:$F)</f>
        <v>Pumpkinseed</v>
      </c>
      <c r="E6764" t="str">
        <f>_xlfn.XLOOKUP(A6764,'[1]Tissue Data'!$A:$A,'[1]Tissue Data'!$H:$H)</f>
        <v>Lepomis</v>
      </c>
      <c r="F6764" t="str">
        <f>_xlfn.XLOOKUP(A6764,'[1]Tissue Data'!$A:$A,'[1]Tissue Data'!$I:$I)</f>
        <v>gibbosus</v>
      </c>
      <c r="G6764" t="str">
        <f>_xlfn.XLOOKUP(A6764,'[1]Tissue Data'!$A:$A,'[1]Tissue Data'!J:J)</f>
        <v>M</v>
      </c>
      <c r="H6764" t="str">
        <f>_xlfn.XLOOKUP(A6764,'[1]Tissue Data'!$A:$A,'[1]Tissue Data'!K:K)</f>
        <v>Muscle</v>
      </c>
      <c r="I6764">
        <f>_xlfn.XLOOKUP(A6764,'[1]Tissue Data'!$A:$A,'[1]Tissue Data'!L:L)</f>
        <v>12.5</v>
      </c>
      <c r="J6764">
        <f>_xlfn.XLOOKUP(A6764,'[1]Tissue Data'!$A:$A,'[1]Tissue Data'!M:M)</f>
        <v>36.32</v>
      </c>
      <c r="K6764" t="s">
        <v>24</v>
      </c>
      <c r="L6764" t="str">
        <f>_xlfn.XLOOKUP(K6764,[2]analyte_order!$B:$B,[2]analyte_order!$C:$C)</f>
        <v>423-41-6</v>
      </c>
      <c r="M6764">
        <f>_xlfn.XLOOKUP(L6764,[2]analyte_order!$C:$C,[2]analyte_order!$E:$E)</f>
        <v>53</v>
      </c>
      <c r="N6764">
        <v>0.11700000000000001</v>
      </c>
    </row>
    <row r="6765" spans="1:14">
      <c r="A6765" t="s">
        <v>296</v>
      </c>
      <c r="B6765" t="str">
        <f>_xlfn.XLOOKUP(A6765,'[1]Tissue Data'!$A:$A,'[1]Tissue Data'!$C:$C)</f>
        <v>Down</v>
      </c>
      <c r="C6765" s="2">
        <f>_xlfn.XLOOKUP(A6765,'[1]Tissue Data'!$A:$A,'[1]Tissue Data'!$D:$D)</f>
        <v>44393</v>
      </c>
      <c r="D6765" s="2" t="str">
        <f>_xlfn.XLOOKUP(A6765,'[1]Tissue Data'!$A:$A,'[1]Tissue Data'!$F:$F)</f>
        <v>Pumpkinseed</v>
      </c>
      <c r="E6765" t="str">
        <f>_xlfn.XLOOKUP(A6765,'[1]Tissue Data'!$A:$A,'[1]Tissue Data'!$H:$H)</f>
        <v>Lepomis</v>
      </c>
      <c r="F6765" t="str">
        <f>_xlfn.XLOOKUP(A6765,'[1]Tissue Data'!$A:$A,'[1]Tissue Data'!$I:$I)</f>
        <v>gibbosus</v>
      </c>
      <c r="G6765" t="str">
        <f>_xlfn.XLOOKUP(A6765,'[1]Tissue Data'!$A:$A,'[1]Tissue Data'!J:J)</f>
        <v>M</v>
      </c>
      <c r="H6765" t="str">
        <f>_xlfn.XLOOKUP(A6765,'[1]Tissue Data'!$A:$A,'[1]Tissue Data'!K:K)</f>
        <v>Muscle</v>
      </c>
      <c r="I6765">
        <f>_xlfn.XLOOKUP(A6765,'[1]Tissue Data'!$A:$A,'[1]Tissue Data'!L:L)</f>
        <v>12.5</v>
      </c>
      <c r="J6765">
        <f>_xlfn.XLOOKUP(A6765,'[1]Tissue Data'!$A:$A,'[1]Tissue Data'!M:M)</f>
        <v>36.32</v>
      </c>
      <c r="K6765" t="s">
        <v>25</v>
      </c>
      <c r="L6765" t="str">
        <f>_xlfn.XLOOKUP(K6765,[2]analyte_order!$B:$B,[2]analyte_order!$C:$C)</f>
        <v>375-73-5</v>
      </c>
      <c r="M6765">
        <f>_xlfn.XLOOKUP(L6765,[2]analyte_order!$C:$C,[2]analyte_order!$E:$E)</f>
        <v>14</v>
      </c>
      <c r="N6765">
        <v>0.23400000000000001</v>
      </c>
    </row>
    <row r="6766" spans="1:14">
      <c r="A6766" t="s">
        <v>296</v>
      </c>
      <c r="B6766" t="str">
        <f>_xlfn.XLOOKUP(A6766,'[1]Tissue Data'!$A:$A,'[1]Tissue Data'!$C:$C)</f>
        <v>Down</v>
      </c>
      <c r="C6766" s="2">
        <f>_xlfn.XLOOKUP(A6766,'[1]Tissue Data'!$A:$A,'[1]Tissue Data'!$D:$D)</f>
        <v>44393</v>
      </c>
      <c r="D6766" s="2" t="str">
        <f>_xlfn.XLOOKUP(A6766,'[1]Tissue Data'!$A:$A,'[1]Tissue Data'!$F:$F)</f>
        <v>Pumpkinseed</v>
      </c>
      <c r="E6766" t="str">
        <f>_xlfn.XLOOKUP(A6766,'[1]Tissue Data'!$A:$A,'[1]Tissue Data'!$H:$H)</f>
        <v>Lepomis</v>
      </c>
      <c r="F6766" t="str">
        <f>_xlfn.XLOOKUP(A6766,'[1]Tissue Data'!$A:$A,'[1]Tissue Data'!$I:$I)</f>
        <v>gibbosus</v>
      </c>
      <c r="G6766" t="str">
        <f>_xlfn.XLOOKUP(A6766,'[1]Tissue Data'!$A:$A,'[1]Tissue Data'!J:J)</f>
        <v>M</v>
      </c>
      <c r="H6766" t="str">
        <f>_xlfn.XLOOKUP(A6766,'[1]Tissue Data'!$A:$A,'[1]Tissue Data'!K:K)</f>
        <v>Muscle</v>
      </c>
      <c r="I6766">
        <f>_xlfn.XLOOKUP(A6766,'[1]Tissue Data'!$A:$A,'[1]Tissue Data'!L:L)</f>
        <v>12.5</v>
      </c>
      <c r="J6766">
        <f>_xlfn.XLOOKUP(A6766,'[1]Tissue Data'!$A:$A,'[1]Tissue Data'!M:M)</f>
        <v>36.32</v>
      </c>
      <c r="K6766" t="s">
        <v>26</v>
      </c>
      <c r="L6766" t="str">
        <f>_xlfn.XLOOKUP(K6766,[2]analyte_order!$B:$B,[2]analyte_order!$C:$C)</f>
        <v>2706-91-4</v>
      </c>
      <c r="M6766">
        <f>_xlfn.XLOOKUP(L6766,[2]analyte_order!$C:$C,[2]analyte_order!$E:$E)</f>
        <v>15</v>
      </c>
      <c r="N6766">
        <v>0.124</v>
      </c>
    </row>
    <row r="6767" spans="1:14">
      <c r="A6767" t="s">
        <v>296</v>
      </c>
      <c r="B6767" t="str">
        <f>_xlfn.XLOOKUP(A6767,'[1]Tissue Data'!$A:$A,'[1]Tissue Data'!$C:$C)</f>
        <v>Down</v>
      </c>
      <c r="C6767" s="2">
        <f>_xlfn.XLOOKUP(A6767,'[1]Tissue Data'!$A:$A,'[1]Tissue Data'!$D:$D)</f>
        <v>44393</v>
      </c>
      <c r="D6767" s="2" t="str">
        <f>_xlfn.XLOOKUP(A6767,'[1]Tissue Data'!$A:$A,'[1]Tissue Data'!$F:$F)</f>
        <v>Pumpkinseed</v>
      </c>
      <c r="E6767" t="str">
        <f>_xlfn.XLOOKUP(A6767,'[1]Tissue Data'!$A:$A,'[1]Tissue Data'!$H:$H)</f>
        <v>Lepomis</v>
      </c>
      <c r="F6767" t="str">
        <f>_xlfn.XLOOKUP(A6767,'[1]Tissue Data'!$A:$A,'[1]Tissue Data'!$I:$I)</f>
        <v>gibbosus</v>
      </c>
      <c r="G6767" t="str">
        <f>_xlfn.XLOOKUP(A6767,'[1]Tissue Data'!$A:$A,'[1]Tissue Data'!J:J)</f>
        <v>M</v>
      </c>
      <c r="H6767" t="str">
        <f>_xlfn.XLOOKUP(A6767,'[1]Tissue Data'!$A:$A,'[1]Tissue Data'!K:K)</f>
        <v>Muscle</v>
      </c>
      <c r="I6767">
        <f>_xlfn.XLOOKUP(A6767,'[1]Tissue Data'!$A:$A,'[1]Tissue Data'!L:L)</f>
        <v>12.5</v>
      </c>
      <c r="J6767">
        <f>_xlfn.XLOOKUP(A6767,'[1]Tissue Data'!$A:$A,'[1]Tissue Data'!M:M)</f>
        <v>36.32</v>
      </c>
      <c r="K6767" t="s">
        <v>27</v>
      </c>
      <c r="L6767" t="str">
        <f>_xlfn.XLOOKUP(K6767,[2]analyte_order!$B:$B,[2]analyte_order!$C:$C)</f>
        <v>355-46-4</v>
      </c>
      <c r="M6767">
        <f>_xlfn.XLOOKUP(L6767,[2]analyte_order!$C:$C,[2]analyte_order!$E:$E)</f>
        <v>16</v>
      </c>
      <c r="N6767">
        <v>4.38</v>
      </c>
    </row>
    <row r="6768" spans="1:14">
      <c r="A6768" t="s">
        <v>296</v>
      </c>
      <c r="B6768" t="str">
        <f>_xlfn.XLOOKUP(A6768,'[1]Tissue Data'!$A:$A,'[1]Tissue Data'!$C:$C)</f>
        <v>Down</v>
      </c>
      <c r="C6768" s="2">
        <f>_xlfn.XLOOKUP(A6768,'[1]Tissue Data'!$A:$A,'[1]Tissue Data'!$D:$D)</f>
        <v>44393</v>
      </c>
      <c r="D6768" s="2" t="str">
        <f>_xlfn.XLOOKUP(A6768,'[1]Tissue Data'!$A:$A,'[1]Tissue Data'!$F:$F)</f>
        <v>Pumpkinseed</v>
      </c>
      <c r="E6768" t="str">
        <f>_xlfn.XLOOKUP(A6768,'[1]Tissue Data'!$A:$A,'[1]Tissue Data'!$H:$H)</f>
        <v>Lepomis</v>
      </c>
      <c r="F6768" t="str">
        <f>_xlfn.XLOOKUP(A6768,'[1]Tissue Data'!$A:$A,'[1]Tissue Data'!$I:$I)</f>
        <v>gibbosus</v>
      </c>
      <c r="G6768" t="str">
        <f>_xlfn.XLOOKUP(A6768,'[1]Tissue Data'!$A:$A,'[1]Tissue Data'!J:J)</f>
        <v>M</v>
      </c>
      <c r="H6768" t="str">
        <f>_xlfn.XLOOKUP(A6768,'[1]Tissue Data'!$A:$A,'[1]Tissue Data'!K:K)</f>
        <v>Muscle</v>
      </c>
      <c r="I6768">
        <f>_xlfn.XLOOKUP(A6768,'[1]Tissue Data'!$A:$A,'[1]Tissue Data'!L:L)</f>
        <v>12.5</v>
      </c>
      <c r="J6768">
        <f>_xlfn.XLOOKUP(A6768,'[1]Tissue Data'!$A:$A,'[1]Tissue Data'!M:M)</f>
        <v>36.32</v>
      </c>
      <c r="K6768" t="s">
        <v>28</v>
      </c>
      <c r="L6768" t="str">
        <f>_xlfn.XLOOKUP(K6768,[2]analyte_order!$B:$B,[2]analyte_order!$C:$C)</f>
        <v>375-92-8</v>
      </c>
      <c r="M6768">
        <f>_xlfn.XLOOKUP(L6768,[2]analyte_order!$C:$C,[2]analyte_order!$E:$E)</f>
        <v>17</v>
      </c>
      <c r="N6768">
        <v>1.26</v>
      </c>
    </row>
    <row r="6769" spans="1:14">
      <c r="A6769" t="s">
        <v>296</v>
      </c>
      <c r="B6769" t="str">
        <f>_xlfn.XLOOKUP(A6769,'[1]Tissue Data'!$A:$A,'[1]Tissue Data'!$C:$C)</f>
        <v>Down</v>
      </c>
      <c r="C6769" s="2">
        <f>_xlfn.XLOOKUP(A6769,'[1]Tissue Data'!$A:$A,'[1]Tissue Data'!$D:$D)</f>
        <v>44393</v>
      </c>
      <c r="D6769" s="2" t="str">
        <f>_xlfn.XLOOKUP(A6769,'[1]Tissue Data'!$A:$A,'[1]Tissue Data'!$F:$F)</f>
        <v>Pumpkinseed</v>
      </c>
      <c r="E6769" t="str">
        <f>_xlfn.XLOOKUP(A6769,'[1]Tissue Data'!$A:$A,'[1]Tissue Data'!$H:$H)</f>
        <v>Lepomis</v>
      </c>
      <c r="F6769" t="str">
        <f>_xlfn.XLOOKUP(A6769,'[1]Tissue Data'!$A:$A,'[1]Tissue Data'!$I:$I)</f>
        <v>gibbosus</v>
      </c>
      <c r="G6769" t="str">
        <f>_xlfn.XLOOKUP(A6769,'[1]Tissue Data'!$A:$A,'[1]Tissue Data'!J:J)</f>
        <v>M</v>
      </c>
      <c r="H6769" t="str">
        <f>_xlfn.XLOOKUP(A6769,'[1]Tissue Data'!$A:$A,'[1]Tissue Data'!K:K)</f>
        <v>Muscle</v>
      </c>
      <c r="I6769">
        <f>_xlfn.XLOOKUP(A6769,'[1]Tissue Data'!$A:$A,'[1]Tissue Data'!L:L)</f>
        <v>12.5</v>
      </c>
      <c r="J6769">
        <f>_xlfn.XLOOKUP(A6769,'[1]Tissue Data'!$A:$A,'[1]Tissue Data'!M:M)</f>
        <v>36.32</v>
      </c>
      <c r="K6769" t="s">
        <v>29</v>
      </c>
      <c r="L6769" t="str">
        <f>_xlfn.XLOOKUP(K6769,[2]analyte_order!$B:$B,[2]analyte_order!$C:$C)</f>
        <v>1763-23-1</v>
      </c>
      <c r="M6769">
        <f>_xlfn.XLOOKUP(L6769,[2]analyte_order!$C:$C,[2]analyte_order!$E:$E)</f>
        <v>18</v>
      </c>
      <c r="N6769">
        <v>433</v>
      </c>
    </row>
    <row r="6770" spans="1:14">
      <c r="A6770" t="s">
        <v>296</v>
      </c>
      <c r="B6770" t="str">
        <f>_xlfn.XLOOKUP(A6770,'[1]Tissue Data'!$A:$A,'[1]Tissue Data'!$C:$C)</f>
        <v>Down</v>
      </c>
      <c r="C6770" s="2">
        <f>_xlfn.XLOOKUP(A6770,'[1]Tissue Data'!$A:$A,'[1]Tissue Data'!$D:$D)</f>
        <v>44393</v>
      </c>
      <c r="D6770" s="2" t="str">
        <f>_xlfn.XLOOKUP(A6770,'[1]Tissue Data'!$A:$A,'[1]Tissue Data'!$F:$F)</f>
        <v>Pumpkinseed</v>
      </c>
      <c r="E6770" t="str">
        <f>_xlfn.XLOOKUP(A6770,'[1]Tissue Data'!$A:$A,'[1]Tissue Data'!$H:$H)</f>
        <v>Lepomis</v>
      </c>
      <c r="F6770" t="str">
        <f>_xlfn.XLOOKUP(A6770,'[1]Tissue Data'!$A:$A,'[1]Tissue Data'!$I:$I)</f>
        <v>gibbosus</v>
      </c>
      <c r="G6770" t="str">
        <f>_xlfn.XLOOKUP(A6770,'[1]Tissue Data'!$A:$A,'[1]Tissue Data'!J:J)</f>
        <v>M</v>
      </c>
      <c r="H6770" t="str">
        <f>_xlfn.XLOOKUP(A6770,'[1]Tissue Data'!$A:$A,'[1]Tissue Data'!K:K)</f>
        <v>Muscle</v>
      </c>
      <c r="I6770">
        <f>_xlfn.XLOOKUP(A6770,'[1]Tissue Data'!$A:$A,'[1]Tissue Data'!L:L)</f>
        <v>12.5</v>
      </c>
      <c r="J6770">
        <f>_xlfn.XLOOKUP(A6770,'[1]Tissue Data'!$A:$A,'[1]Tissue Data'!M:M)</f>
        <v>36.32</v>
      </c>
      <c r="K6770" t="s">
        <v>30</v>
      </c>
      <c r="L6770" t="str">
        <f>_xlfn.XLOOKUP(K6770,[2]analyte_order!$B:$B,[2]analyte_order!$C:$C)</f>
        <v>68259-12-1</v>
      </c>
      <c r="M6770">
        <f>_xlfn.XLOOKUP(L6770,[2]analyte_order!$C:$C,[2]analyte_order!$E:$E)</f>
        <v>19</v>
      </c>
      <c r="N6770">
        <v>1.1599999999999999</v>
      </c>
    </row>
    <row r="6771" spans="1:14">
      <c r="A6771" t="s">
        <v>296</v>
      </c>
      <c r="B6771" t="str">
        <f>_xlfn.XLOOKUP(A6771,'[1]Tissue Data'!$A:$A,'[1]Tissue Data'!$C:$C)</f>
        <v>Down</v>
      </c>
      <c r="C6771" s="2">
        <f>_xlfn.XLOOKUP(A6771,'[1]Tissue Data'!$A:$A,'[1]Tissue Data'!$D:$D)</f>
        <v>44393</v>
      </c>
      <c r="D6771" s="2" t="str">
        <f>_xlfn.XLOOKUP(A6771,'[1]Tissue Data'!$A:$A,'[1]Tissue Data'!$F:$F)</f>
        <v>Pumpkinseed</v>
      </c>
      <c r="E6771" t="str">
        <f>_xlfn.XLOOKUP(A6771,'[1]Tissue Data'!$A:$A,'[1]Tissue Data'!$H:$H)</f>
        <v>Lepomis</v>
      </c>
      <c r="F6771" t="str">
        <f>_xlfn.XLOOKUP(A6771,'[1]Tissue Data'!$A:$A,'[1]Tissue Data'!$I:$I)</f>
        <v>gibbosus</v>
      </c>
      <c r="G6771" t="str">
        <f>_xlfn.XLOOKUP(A6771,'[1]Tissue Data'!$A:$A,'[1]Tissue Data'!J:J)</f>
        <v>M</v>
      </c>
      <c r="H6771" t="str">
        <f>_xlfn.XLOOKUP(A6771,'[1]Tissue Data'!$A:$A,'[1]Tissue Data'!K:K)</f>
        <v>Muscle</v>
      </c>
      <c r="I6771">
        <f>_xlfn.XLOOKUP(A6771,'[1]Tissue Data'!$A:$A,'[1]Tissue Data'!L:L)</f>
        <v>12.5</v>
      </c>
      <c r="J6771">
        <f>_xlfn.XLOOKUP(A6771,'[1]Tissue Data'!$A:$A,'[1]Tissue Data'!M:M)</f>
        <v>36.32</v>
      </c>
      <c r="K6771" t="s">
        <v>31</v>
      </c>
      <c r="L6771" t="str">
        <f>_xlfn.XLOOKUP(K6771,[2]analyte_order!$B:$B,[2]analyte_order!$C:$C)</f>
        <v>335-77-3</v>
      </c>
      <c r="M6771">
        <f>_xlfn.XLOOKUP(L6771,[2]analyte_order!$C:$C,[2]analyte_order!$E:$E)</f>
        <v>20</v>
      </c>
      <c r="N6771">
        <v>1.02</v>
      </c>
    </row>
    <row r="6772" spans="1:14">
      <c r="A6772" t="s">
        <v>296</v>
      </c>
      <c r="B6772" t="str">
        <f>_xlfn.XLOOKUP(A6772,'[1]Tissue Data'!$A:$A,'[1]Tissue Data'!$C:$C)</f>
        <v>Down</v>
      </c>
      <c r="C6772" s="2">
        <f>_xlfn.XLOOKUP(A6772,'[1]Tissue Data'!$A:$A,'[1]Tissue Data'!$D:$D)</f>
        <v>44393</v>
      </c>
      <c r="D6772" s="2" t="str">
        <f>_xlfn.XLOOKUP(A6772,'[1]Tissue Data'!$A:$A,'[1]Tissue Data'!$F:$F)</f>
        <v>Pumpkinseed</v>
      </c>
      <c r="E6772" t="str">
        <f>_xlfn.XLOOKUP(A6772,'[1]Tissue Data'!$A:$A,'[1]Tissue Data'!$H:$H)</f>
        <v>Lepomis</v>
      </c>
      <c r="F6772" t="str">
        <f>_xlfn.XLOOKUP(A6772,'[1]Tissue Data'!$A:$A,'[1]Tissue Data'!$I:$I)</f>
        <v>gibbosus</v>
      </c>
      <c r="G6772" t="str">
        <f>_xlfn.XLOOKUP(A6772,'[1]Tissue Data'!$A:$A,'[1]Tissue Data'!J:J)</f>
        <v>M</v>
      </c>
      <c r="H6772" t="str">
        <f>_xlfn.XLOOKUP(A6772,'[1]Tissue Data'!$A:$A,'[1]Tissue Data'!K:K)</f>
        <v>Muscle</v>
      </c>
      <c r="I6772">
        <f>_xlfn.XLOOKUP(A6772,'[1]Tissue Data'!$A:$A,'[1]Tissue Data'!L:L)</f>
        <v>12.5</v>
      </c>
      <c r="J6772">
        <f>_xlfn.XLOOKUP(A6772,'[1]Tissue Data'!$A:$A,'[1]Tissue Data'!M:M)</f>
        <v>36.32</v>
      </c>
      <c r="K6772" t="s">
        <v>32</v>
      </c>
      <c r="L6772" t="str">
        <f>_xlfn.XLOOKUP(K6772,[2]analyte_order!$B:$B,[2]analyte_order!$C:$C)</f>
        <v>79780-39-5</v>
      </c>
      <c r="M6772">
        <f>_xlfn.XLOOKUP(L6772,[2]analyte_order!$C:$C,[2]analyte_order!$E:$E)</f>
        <v>21</v>
      </c>
      <c r="N6772">
        <v>0.2505</v>
      </c>
    </row>
    <row r="6773" spans="1:14">
      <c r="A6773" t="s">
        <v>296</v>
      </c>
      <c r="B6773" t="str">
        <f>_xlfn.XLOOKUP(A6773,'[1]Tissue Data'!$A:$A,'[1]Tissue Data'!$C:$C)</f>
        <v>Down</v>
      </c>
      <c r="C6773" s="2">
        <f>_xlfn.XLOOKUP(A6773,'[1]Tissue Data'!$A:$A,'[1]Tissue Data'!$D:$D)</f>
        <v>44393</v>
      </c>
      <c r="D6773" s="2" t="str">
        <f>_xlfn.XLOOKUP(A6773,'[1]Tissue Data'!$A:$A,'[1]Tissue Data'!$F:$F)</f>
        <v>Pumpkinseed</v>
      </c>
      <c r="E6773" t="str">
        <f>_xlfn.XLOOKUP(A6773,'[1]Tissue Data'!$A:$A,'[1]Tissue Data'!$H:$H)</f>
        <v>Lepomis</v>
      </c>
      <c r="F6773" t="str">
        <f>_xlfn.XLOOKUP(A6773,'[1]Tissue Data'!$A:$A,'[1]Tissue Data'!$I:$I)</f>
        <v>gibbosus</v>
      </c>
      <c r="G6773" t="str">
        <f>_xlfn.XLOOKUP(A6773,'[1]Tissue Data'!$A:$A,'[1]Tissue Data'!J:J)</f>
        <v>M</v>
      </c>
      <c r="H6773" t="str">
        <f>_xlfn.XLOOKUP(A6773,'[1]Tissue Data'!$A:$A,'[1]Tissue Data'!K:K)</f>
        <v>Muscle</v>
      </c>
      <c r="I6773">
        <f>_xlfn.XLOOKUP(A6773,'[1]Tissue Data'!$A:$A,'[1]Tissue Data'!L:L)</f>
        <v>12.5</v>
      </c>
      <c r="J6773">
        <f>_xlfn.XLOOKUP(A6773,'[1]Tissue Data'!$A:$A,'[1]Tissue Data'!M:M)</f>
        <v>36.32</v>
      </c>
      <c r="K6773" t="s">
        <v>33</v>
      </c>
      <c r="L6773" t="str">
        <f>_xlfn.XLOOKUP(K6773,[2]analyte_order!$B:$B,[2]analyte_order!$C:$C)</f>
        <v>777011-38-8</v>
      </c>
      <c r="M6773">
        <f>_xlfn.XLOOKUP(L6773,[2]analyte_order!$C:$C,[2]analyte_order!$E:$E)</f>
        <v>54</v>
      </c>
      <c r="N6773">
        <v>0.14249999999999999</v>
      </c>
    </row>
    <row r="6774" spans="1:14">
      <c r="A6774" t="s">
        <v>296</v>
      </c>
      <c r="B6774" t="str">
        <f>_xlfn.XLOOKUP(A6774,'[1]Tissue Data'!$A:$A,'[1]Tissue Data'!$C:$C)</f>
        <v>Down</v>
      </c>
      <c r="C6774" s="2">
        <f>_xlfn.XLOOKUP(A6774,'[1]Tissue Data'!$A:$A,'[1]Tissue Data'!$D:$D)</f>
        <v>44393</v>
      </c>
      <c r="D6774" s="2" t="str">
        <f>_xlfn.XLOOKUP(A6774,'[1]Tissue Data'!$A:$A,'[1]Tissue Data'!$F:$F)</f>
        <v>Pumpkinseed</v>
      </c>
      <c r="E6774" t="str">
        <f>_xlfn.XLOOKUP(A6774,'[1]Tissue Data'!$A:$A,'[1]Tissue Data'!$H:$H)</f>
        <v>Lepomis</v>
      </c>
      <c r="F6774" t="str">
        <f>_xlfn.XLOOKUP(A6774,'[1]Tissue Data'!$A:$A,'[1]Tissue Data'!$I:$I)</f>
        <v>gibbosus</v>
      </c>
      <c r="G6774" t="str">
        <f>_xlfn.XLOOKUP(A6774,'[1]Tissue Data'!$A:$A,'[1]Tissue Data'!J:J)</f>
        <v>M</v>
      </c>
      <c r="H6774" t="str">
        <f>_xlfn.XLOOKUP(A6774,'[1]Tissue Data'!$A:$A,'[1]Tissue Data'!K:K)</f>
        <v>Muscle</v>
      </c>
      <c r="I6774">
        <f>_xlfn.XLOOKUP(A6774,'[1]Tissue Data'!$A:$A,'[1]Tissue Data'!L:L)</f>
        <v>12.5</v>
      </c>
      <c r="J6774">
        <f>_xlfn.XLOOKUP(A6774,'[1]Tissue Data'!$A:$A,'[1]Tissue Data'!M:M)</f>
        <v>36.32</v>
      </c>
      <c r="K6774" t="s">
        <v>34</v>
      </c>
      <c r="L6774" t="str">
        <f>_xlfn.XLOOKUP(K6774,[2]analyte_order!$B:$B,[2]analyte_order!$C:$C)</f>
        <v>646-83-3</v>
      </c>
      <c r="M6774">
        <f>_xlfn.XLOOKUP(L6774,[2]analyte_order!$C:$C,[2]analyte_order!$E:$E)</f>
        <v>55</v>
      </c>
      <c r="N6774">
        <v>9.35E-2</v>
      </c>
    </row>
    <row r="6775" spans="1:14">
      <c r="A6775" t="s">
        <v>296</v>
      </c>
      <c r="B6775" t="str">
        <f>_xlfn.XLOOKUP(A6775,'[1]Tissue Data'!$A:$A,'[1]Tissue Data'!$C:$C)</f>
        <v>Down</v>
      </c>
      <c r="C6775" s="2">
        <f>_xlfn.XLOOKUP(A6775,'[1]Tissue Data'!$A:$A,'[1]Tissue Data'!$D:$D)</f>
        <v>44393</v>
      </c>
      <c r="D6775" s="2" t="str">
        <f>_xlfn.XLOOKUP(A6775,'[1]Tissue Data'!$A:$A,'[1]Tissue Data'!$F:$F)</f>
        <v>Pumpkinseed</v>
      </c>
      <c r="E6775" t="str">
        <f>_xlfn.XLOOKUP(A6775,'[1]Tissue Data'!$A:$A,'[1]Tissue Data'!$H:$H)</f>
        <v>Lepomis</v>
      </c>
      <c r="F6775" t="str">
        <f>_xlfn.XLOOKUP(A6775,'[1]Tissue Data'!$A:$A,'[1]Tissue Data'!$I:$I)</f>
        <v>gibbosus</v>
      </c>
      <c r="G6775" t="str">
        <f>_xlfn.XLOOKUP(A6775,'[1]Tissue Data'!$A:$A,'[1]Tissue Data'!J:J)</f>
        <v>M</v>
      </c>
      <c r="H6775" t="str">
        <f>_xlfn.XLOOKUP(A6775,'[1]Tissue Data'!$A:$A,'[1]Tissue Data'!K:K)</f>
        <v>Muscle</v>
      </c>
      <c r="I6775">
        <f>_xlfn.XLOOKUP(A6775,'[1]Tissue Data'!$A:$A,'[1]Tissue Data'!L:L)</f>
        <v>12.5</v>
      </c>
      <c r="J6775">
        <f>_xlfn.XLOOKUP(A6775,'[1]Tissue Data'!$A:$A,'[1]Tissue Data'!M:M)</f>
        <v>36.32</v>
      </c>
      <c r="K6775" t="s">
        <v>35</v>
      </c>
      <c r="L6775" t="str">
        <f>_xlfn.XLOOKUP(K6775,[2]analyte_order!$B:$B,[2]analyte_order!$C:$C)</f>
        <v>30334-69-1</v>
      </c>
      <c r="M6775">
        <f>_xlfn.XLOOKUP(L6775,[2]analyte_order!$C:$C,[2]analyte_order!$E:$E)</f>
        <v>51</v>
      </c>
      <c r="N6775">
        <v>22.7</v>
      </c>
    </row>
    <row r="6776" spans="1:14">
      <c r="A6776" t="s">
        <v>296</v>
      </c>
      <c r="B6776" t="str">
        <f>_xlfn.XLOOKUP(A6776,'[1]Tissue Data'!$A:$A,'[1]Tissue Data'!$C:$C)</f>
        <v>Down</v>
      </c>
      <c r="C6776" s="2">
        <f>_xlfn.XLOOKUP(A6776,'[1]Tissue Data'!$A:$A,'[1]Tissue Data'!$D:$D)</f>
        <v>44393</v>
      </c>
      <c r="D6776" s="2" t="str">
        <f>_xlfn.XLOOKUP(A6776,'[1]Tissue Data'!$A:$A,'[1]Tissue Data'!$F:$F)</f>
        <v>Pumpkinseed</v>
      </c>
      <c r="E6776" t="str">
        <f>_xlfn.XLOOKUP(A6776,'[1]Tissue Data'!$A:$A,'[1]Tissue Data'!$H:$H)</f>
        <v>Lepomis</v>
      </c>
      <c r="F6776" t="str">
        <f>_xlfn.XLOOKUP(A6776,'[1]Tissue Data'!$A:$A,'[1]Tissue Data'!$I:$I)</f>
        <v>gibbosus</v>
      </c>
      <c r="G6776" t="str">
        <f>_xlfn.XLOOKUP(A6776,'[1]Tissue Data'!$A:$A,'[1]Tissue Data'!J:J)</f>
        <v>M</v>
      </c>
      <c r="H6776" t="str">
        <f>_xlfn.XLOOKUP(A6776,'[1]Tissue Data'!$A:$A,'[1]Tissue Data'!K:K)</f>
        <v>Muscle</v>
      </c>
      <c r="I6776">
        <f>_xlfn.XLOOKUP(A6776,'[1]Tissue Data'!$A:$A,'[1]Tissue Data'!L:L)</f>
        <v>12.5</v>
      </c>
      <c r="J6776">
        <f>_xlfn.XLOOKUP(A6776,'[1]Tissue Data'!$A:$A,'[1]Tissue Data'!M:M)</f>
        <v>36.32</v>
      </c>
      <c r="K6776" t="s">
        <v>36</v>
      </c>
      <c r="L6776" t="str">
        <f>_xlfn.XLOOKUP(K6776,[2]analyte_order!$B:$B,[2]analyte_order!$C:$C)</f>
        <v>41997-13-1</v>
      </c>
      <c r="M6776">
        <f>_xlfn.XLOOKUP(L6776,[2]analyte_order!$C:$C,[2]analyte_order!$E:$E)</f>
        <v>52</v>
      </c>
      <c r="N6776">
        <v>63.7</v>
      </c>
    </row>
    <row r="6777" spans="1:14">
      <c r="A6777" t="s">
        <v>296</v>
      </c>
      <c r="B6777" t="str">
        <f>_xlfn.XLOOKUP(A6777,'[1]Tissue Data'!$A:$A,'[1]Tissue Data'!$C:$C)</f>
        <v>Down</v>
      </c>
      <c r="C6777" s="2">
        <f>_xlfn.XLOOKUP(A6777,'[1]Tissue Data'!$A:$A,'[1]Tissue Data'!$D:$D)</f>
        <v>44393</v>
      </c>
      <c r="D6777" s="2" t="str">
        <f>_xlfn.XLOOKUP(A6777,'[1]Tissue Data'!$A:$A,'[1]Tissue Data'!$F:$F)</f>
        <v>Pumpkinseed</v>
      </c>
      <c r="E6777" t="str">
        <f>_xlfn.XLOOKUP(A6777,'[1]Tissue Data'!$A:$A,'[1]Tissue Data'!$H:$H)</f>
        <v>Lepomis</v>
      </c>
      <c r="F6777" t="str">
        <f>_xlfn.XLOOKUP(A6777,'[1]Tissue Data'!$A:$A,'[1]Tissue Data'!$I:$I)</f>
        <v>gibbosus</v>
      </c>
      <c r="G6777" t="str">
        <f>_xlfn.XLOOKUP(A6777,'[1]Tissue Data'!$A:$A,'[1]Tissue Data'!J:J)</f>
        <v>M</v>
      </c>
      <c r="H6777" t="str">
        <f>_xlfn.XLOOKUP(A6777,'[1]Tissue Data'!$A:$A,'[1]Tissue Data'!K:K)</f>
        <v>Muscle</v>
      </c>
      <c r="I6777">
        <f>_xlfn.XLOOKUP(A6777,'[1]Tissue Data'!$A:$A,'[1]Tissue Data'!L:L)</f>
        <v>12.5</v>
      </c>
      <c r="J6777">
        <f>_xlfn.XLOOKUP(A6777,'[1]Tissue Data'!$A:$A,'[1]Tissue Data'!M:M)</f>
        <v>36.32</v>
      </c>
      <c r="K6777" t="s">
        <v>37</v>
      </c>
      <c r="L6777" t="str">
        <f>_xlfn.XLOOKUP(K6777,[2]analyte_order!$B:$B,[2]analyte_order!$C:$C)</f>
        <v>754-91-6</v>
      </c>
      <c r="M6777">
        <f>_xlfn.XLOOKUP(L6777,[2]analyte_order!$C:$C,[2]analyte_order!$E:$E)</f>
        <v>28</v>
      </c>
      <c r="N6777">
        <v>8.08</v>
      </c>
    </row>
    <row r="6778" spans="1:14">
      <c r="A6778" t="s">
        <v>296</v>
      </c>
      <c r="B6778" t="str">
        <f>_xlfn.XLOOKUP(A6778,'[1]Tissue Data'!$A:$A,'[1]Tissue Data'!$C:$C)</f>
        <v>Down</v>
      </c>
      <c r="C6778" s="2">
        <f>_xlfn.XLOOKUP(A6778,'[1]Tissue Data'!$A:$A,'[1]Tissue Data'!$D:$D)</f>
        <v>44393</v>
      </c>
      <c r="D6778" s="2" t="str">
        <f>_xlfn.XLOOKUP(A6778,'[1]Tissue Data'!$A:$A,'[1]Tissue Data'!$F:$F)</f>
        <v>Pumpkinseed</v>
      </c>
      <c r="E6778" t="str">
        <f>_xlfn.XLOOKUP(A6778,'[1]Tissue Data'!$A:$A,'[1]Tissue Data'!$H:$H)</f>
        <v>Lepomis</v>
      </c>
      <c r="F6778" t="str">
        <f>_xlfn.XLOOKUP(A6778,'[1]Tissue Data'!$A:$A,'[1]Tissue Data'!$I:$I)</f>
        <v>gibbosus</v>
      </c>
      <c r="G6778" t="str">
        <f>_xlfn.XLOOKUP(A6778,'[1]Tissue Data'!$A:$A,'[1]Tissue Data'!J:J)</f>
        <v>M</v>
      </c>
      <c r="H6778" t="str">
        <f>_xlfn.XLOOKUP(A6778,'[1]Tissue Data'!$A:$A,'[1]Tissue Data'!K:K)</f>
        <v>Muscle</v>
      </c>
      <c r="I6778">
        <f>_xlfn.XLOOKUP(A6778,'[1]Tissue Data'!$A:$A,'[1]Tissue Data'!L:L)</f>
        <v>12.5</v>
      </c>
      <c r="J6778">
        <f>_xlfn.XLOOKUP(A6778,'[1]Tissue Data'!$A:$A,'[1]Tissue Data'!M:M)</f>
        <v>36.32</v>
      </c>
      <c r="K6778" t="s">
        <v>38</v>
      </c>
      <c r="L6778" t="str">
        <f>_xlfn.XLOOKUP(K6778,[2]analyte_order!$B:$B,[2]analyte_order!$C:$C)</f>
        <v>31506-32-8</v>
      </c>
      <c r="M6778">
        <f>_xlfn.XLOOKUP(L6778,[2]analyte_order!$C:$C,[2]analyte_order!$E:$E)</f>
        <v>30</v>
      </c>
      <c r="N6778">
        <v>0.09</v>
      </c>
    </row>
    <row r="6779" spans="1:14">
      <c r="A6779" t="s">
        <v>296</v>
      </c>
      <c r="B6779" t="str">
        <f>_xlfn.XLOOKUP(A6779,'[1]Tissue Data'!$A:$A,'[1]Tissue Data'!$C:$C)</f>
        <v>Down</v>
      </c>
      <c r="C6779" s="2">
        <f>_xlfn.XLOOKUP(A6779,'[1]Tissue Data'!$A:$A,'[1]Tissue Data'!$D:$D)</f>
        <v>44393</v>
      </c>
      <c r="D6779" s="2" t="str">
        <f>_xlfn.XLOOKUP(A6779,'[1]Tissue Data'!$A:$A,'[1]Tissue Data'!$F:$F)</f>
        <v>Pumpkinseed</v>
      </c>
      <c r="E6779" t="str">
        <f>_xlfn.XLOOKUP(A6779,'[1]Tissue Data'!$A:$A,'[1]Tissue Data'!$H:$H)</f>
        <v>Lepomis</v>
      </c>
      <c r="F6779" t="str">
        <f>_xlfn.XLOOKUP(A6779,'[1]Tissue Data'!$A:$A,'[1]Tissue Data'!$I:$I)</f>
        <v>gibbosus</v>
      </c>
      <c r="G6779" t="str">
        <f>_xlfn.XLOOKUP(A6779,'[1]Tissue Data'!$A:$A,'[1]Tissue Data'!J:J)</f>
        <v>M</v>
      </c>
      <c r="H6779" t="str">
        <f>_xlfn.XLOOKUP(A6779,'[1]Tissue Data'!$A:$A,'[1]Tissue Data'!K:K)</f>
        <v>Muscle</v>
      </c>
      <c r="I6779">
        <f>_xlfn.XLOOKUP(A6779,'[1]Tissue Data'!$A:$A,'[1]Tissue Data'!L:L)</f>
        <v>12.5</v>
      </c>
      <c r="J6779">
        <f>_xlfn.XLOOKUP(A6779,'[1]Tissue Data'!$A:$A,'[1]Tissue Data'!M:M)</f>
        <v>36.32</v>
      </c>
      <c r="K6779" t="s">
        <v>39</v>
      </c>
      <c r="L6779" t="str">
        <f>_xlfn.XLOOKUP(K6779,[2]analyte_order!$B:$B,[2]analyte_order!$C:$C)</f>
        <v>4151-50-2</v>
      </c>
      <c r="M6779">
        <f>_xlfn.XLOOKUP(L6779,[2]analyte_order!$C:$C,[2]analyte_order!$E:$E)</f>
        <v>31</v>
      </c>
      <c r="N6779">
        <v>0.23400000000000001</v>
      </c>
    </row>
    <row r="6780" spans="1:14">
      <c r="A6780" t="s">
        <v>296</v>
      </c>
      <c r="B6780" t="str">
        <f>_xlfn.XLOOKUP(A6780,'[1]Tissue Data'!$A:$A,'[1]Tissue Data'!$C:$C)</f>
        <v>Down</v>
      </c>
      <c r="C6780" s="2">
        <f>_xlfn.XLOOKUP(A6780,'[1]Tissue Data'!$A:$A,'[1]Tissue Data'!$D:$D)</f>
        <v>44393</v>
      </c>
      <c r="D6780" s="2" t="str">
        <f>_xlfn.XLOOKUP(A6780,'[1]Tissue Data'!$A:$A,'[1]Tissue Data'!$F:$F)</f>
        <v>Pumpkinseed</v>
      </c>
      <c r="E6780" t="str">
        <f>_xlfn.XLOOKUP(A6780,'[1]Tissue Data'!$A:$A,'[1]Tissue Data'!$H:$H)</f>
        <v>Lepomis</v>
      </c>
      <c r="F6780" t="str">
        <f>_xlfn.XLOOKUP(A6780,'[1]Tissue Data'!$A:$A,'[1]Tissue Data'!$I:$I)</f>
        <v>gibbosus</v>
      </c>
      <c r="G6780" t="str">
        <f>_xlfn.XLOOKUP(A6780,'[1]Tissue Data'!$A:$A,'[1]Tissue Data'!J:J)</f>
        <v>M</v>
      </c>
      <c r="H6780" t="str">
        <f>_xlfn.XLOOKUP(A6780,'[1]Tissue Data'!$A:$A,'[1]Tissue Data'!K:K)</f>
        <v>Muscle</v>
      </c>
      <c r="I6780">
        <f>_xlfn.XLOOKUP(A6780,'[1]Tissue Data'!$A:$A,'[1]Tissue Data'!L:L)</f>
        <v>12.5</v>
      </c>
      <c r="J6780">
        <f>_xlfn.XLOOKUP(A6780,'[1]Tissue Data'!$A:$A,'[1]Tissue Data'!M:M)</f>
        <v>36.32</v>
      </c>
      <c r="K6780" t="s">
        <v>40</v>
      </c>
      <c r="L6780" t="str">
        <f>_xlfn.XLOOKUP(K6780,[2]analyte_order!$B:$B,[2]analyte_order!$C:$C)</f>
        <v>2806-24-8</v>
      </c>
      <c r="M6780">
        <f>_xlfn.XLOOKUP(L6780,[2]analyte_order!$C:$C,[2]analyte_order!$E:$E)</f>
        <v>29</v>
      </c>
      <c r="N6780">
        <v>0.23400000000000001</v>
      </c>
    </row>
    <row r="6781" spans="1:14">
      <c r="A6781" t="s">
        <v>296</v>
      </c>
      <c r="B6781" t="str">
        <f>_xlfn.XLOOKUP(A6781,'[1]Tissue Data'!$A:$A,'[1]Tissue Data'!$C:$C)</f>
        <v>Down</v>
      </c>
      <c r="C6781" s="2">
        <f>_xlfn.XLOOKUP(A6781,'[1]Tissue Data'!$A:$A,'[1]Tissue Data'!$D:$D)</f>
        <v>44393</v>
      </c>
      <c r="D6781" s="2" t="str">
        <f>_xlfn.XLOOKUP(A6781,'[1]Tissue Data'!$A:$A,'[1]Tissue Data'!$F:$F)</f>
        <v>Pumpkinseed</v>
      </c>
      <c r="E6781" t="str">
        <f>_xlfn.XLOOKUP(A6781,'[1]Tissue Data'!$A:$A,'[1]Tissue Data'!$H:$H)</f>
        <v>Lepomis</v>
      </c>
      <c r="F6781" t="str">
        <f>_xlfn.XLOOKUP(A6781,'[1]Tissue Data'!$A:$A,'[1]Tissue Data'!$I:$I)</f>
        <v>gibbosus</v>
      </c>
      <c r="G6781" t="str">
        <f>_xlfn.XLOOKUP(A6781,'[1]Tissue Data'!$A:$A,'[1]Tissue Data'!J:J)</f>
        <v>M</v>
      </c>
      <c r="H6781" t="str">
        <f>_xlfn.XLOOKUP(A6781,'[1]Tissue Data'!$A:$A,'[1]Tissue Data'!K:K)</f>
        <v>Muscle</v>
      </c>
      <c r="I6781">
        <f>_xlfn.XLOOKUP(A6781,'[1]Tissue Data'!$A:$A,'[1]Tissue Data'!L:L)</f>
        <v>12.5</v>
      </c>
      <c r="J6781">
        <f>_xlfn.XLOOKUP(A6781,'[1]Tissue Data'!$A:$A,'[1]Tissue Data'!M:M)</f>
        <v>36.32</v>
      </c>
      <c r="K6781" t="s">
        <v>41</v>
      </c>
      <c r="L6781" t="str">
        <f>_xlfn.XLOOKUP(K6781,[2]analyte_order!$B:$B,[2]analyte_order!$C:$C)</f>
        <v>2355-31-9</v>
      </c>
      <c r="M6781">
        <f>_xlfn.XLOOKUP(L6781,[2]analyte_order!$C:$C,[2]analyte_order!$E:$E)</f>
        <v>26</v>
      </c>
      <c r="N6781">
        <v>0.11799999999999999</v>
      </c>
    </row>
    <row r="6782" spans="1:14">
      <c r="A6782" t="s">
        <v>296</v>
      </c>
      <c r="B6782" t="str">
        <f>_xlfn.XLOOKUP(A6782,'[1]Tissue Data'!$A:$A,'[1]Tissue Data'!$C:$C)</f>
        <v>Down</v>
      </c>
      <c r="C6782" s="2">
        <f>_xlfn.XLOOKUP(A6782,'[1]Tissue Data'!$A:$A,'[1]Tissue Data'!$D:$D)</f>
        <v>44393</v>
      </c>
      <c r="D6782" s="2" t="str">
        <f>_xlfn.XLOOKUP(A6782,'[1]Tissue Data'!$A:$A,'[1]Tissue Data'!$F:$F)</f>
        <v>Pumpkinseed</v>
      </c>
      <c r="E6782" t="str">
        <f>_xlfn.XLOOKUP(A6782,'[1]Tissue Data'!$A:$A,'[1]Tissue Data'!$H:$H)</f>
        <v>Lepomis</v>
      </c>
      <c r="F6782" t="str">
        <f>_xlfn.XLOOKUP(A6782,'[1]Tissue Data'!$A:$A,'[1]Tissue Data'!$I:$I)</f>
        <v>gibbosus</v>
      </c>
      <c r="G6782" t="str">
        <f>_xlfn.XLOOKUP(A6782,'[1]Tissue Data'!$A:$A,'[1]Tissue Data'!J:J)</f>
        <v>M</v>
      </c>
      <c r="H6782" t="str">
        <f>_xlfn.XLOOKUP(A6782,'[1]Tissue Data'!$A:$A,'[1]Tissue Data'!K:K)</f>
        <v>Muscle</v>
      </c>
      <c r="I6782">
        <f>_xlfn.XLOOKUP(A6782,'[1]Tissue Data'!$A:$A,'[1]Tissue Data'!L:L)</f>
        <v>12.5</v>
      </c>
      <c r="J6782">
        <f>_xlfn.XLOOKUP(A6782,'[1]Tissue Data'!$A:$A,'[1]Tissue Data'!M:M)</f>
        <v>36.32</v>
      </c>
      <c r="K6782" t="s">
        <v>42</v>
      </c>
      <c r="L6782" t="str">
        <f>_xlfn.XLOOKUP(K6782,[2]analyte_order!$B:$B,[2]analyte_order!$C:$C)</f>
        <v>2991-50-6</v>
      </c>
      <c r="M6782">
        <f>_xlfn.XLOOKUP(L6782,[2]analyte_order!$C:$C,[2]analyte_order!$E:$E)</f>
        <v>27</v>
      </c>
      <c r="N6782">
        <v>0.11700000000000001</v>
      </c>
    </row>
    <row r="6783" spans="1:14">
      <c r="A6783" t="s">
        <v>296</v>
      </c>
      <c r="B6783" t="str">
        <f>_xlfn.XLOOKUP(A6783,'[1]Tissue Data'!$A:$A,'[1]Tissue Data'!$C:$C)</f>
        <v>Down</v>
      </c>
      <c r="C6783" s="2">
        <f>_xlfn.XLOOKUP(A6783,'[1]Tissue Data'!$A:$A,'[1]Tissue Data'!$D:$D)</f>
        <v>44393</v>
      </c>
      <c r="D6783" s="2" t="str">
        <f>_xlfn.XLOOKUP(A6783,'[1]Tissue Data'!$A:$A,'[1]Tissue Data'!$F:$F)</f>
        <v>Pumpkinseed</v>
      </c>
      <c r="E6783" t="str">
        <f>_xlfn.XLOOKUP(A6783,'[1]Tissue Data'!$A:$A,'[1]Tissue Data'!$H:$H)</f>
        <v>Lepomis</v>
      </c>
      <c r="F6783" t="str">
        <f>_xlfn.XLOOKUP(A6783,'[1]Tissue Data'!$A:$A,'[1]Tissue Data'!$I:$I)</f>
        <v>gibbosus</v>
      </c>
      <c r="G6783" t="str">
        <f>_xlfn.XLOOKUP(A6783,'[1]Tissue Data'!$A:$A,'[1]Tissue Data'!J:J)</f>
        <v>M</v>
      </c>
      <c r="H6783" t="str">
        <f>_xlfn.XLOOKUP(A6783,'[1]Tissue Data'!$A:$A,'[1]Tissue Data'!K:K)</f>
        <v>Muscle</v>
      </c>
      <c r="I6783">
        <f>_xlfn.XLOOKUP(A6783,'[1]Tissue Data'!$A:$A,'[1]Tissue Data'!L:L)</f>
        <v>12.5</v>
      </c>
      <c r="J6783">
        <f>_xlfn.XLOOKUP(A6783,'[1]Tissue Data'!$A:$A,'[1]Tissue Data'!M:M)</f>
        <v>36.32</v>
      </c>
      <c r="K6783" t="s">
        <v>43</v>
      </c>
      <c r="L6783" t="str">
        <f>_xlfn.XLOOKUP(K6783,[2]analyte_order!$B:$B,[2]analyte_order!$C:$C)</f>
        <v>757124-72-4</v>
      </c>
      <c r="M6783">
        <f>_xlfn.XLOOKUP(L6783,[2]analyte_order!$C:$C,[2]analyte_order!$E:$E)</f>
        <v>22</v>
      </c>
      <c r="N6783">
        <v>0.11700000000000001</v>
      </c>
    </row>
    <row r="6784" spans="1:14">
      <c r="A6784" t="s">
        <v>296</v>
      </c>
      <c r="B6784" t="str">
        <f>_xlfn.XLOOKUP(A6784,'[1]Tissue Data'!$A:$A,'[1]Tissue Data'!$C:$C)</f>
        <v>Down</v>
      </c>
      <c r="C6784" s="2">
        <f>_xlfn.XLOOKUP(A6784,'[1]Tissue Data'!$A:$A,'[1]Tissue Data'!$D:$D)</f>
        <v>44393</v>
      </c>
      <c r="D6784" s="2" t="str">
        <f>_xlfn.XLOOKUP(A6784,'[1]Tissue Data'!$A:$A,'[1]Tissue Data'!$F:$F)</f>
        <v>Pumpkinseed</v>
      </c>
      <c r="E6784" t="str">
        <f>_xlfn.XLOOKUP(A6784,'[1]Tissue Data'!$A:$A,'[1]Tissue Data'!$H:$H)</f>
        <v>Lepomis</v>
      </c>
      <c r="F6784" t="str">
        <f>_xlfn.XLOOKUP(A6784,'[1]Tissue Data'!$A:$A,'[1]Tissue Data'!$I:$I)</f>
        <v>gibbosus</v>
      </c>
      <c r="G6784" t="str">
        <f>_xlfn.XLOOKUP(A6784,'[1]Tissue Data'!$A:$A,'[1]Tissue Data'!J:J)</f>
        <v>M</v>
      </c>
      <c r="H6784" t="str">
        <f>_xlfn.XLOOKUP(A6784,'[1]Tissue Data'!$A:$A,'[1]Tissue Data'!K:K)</f>
        <v>Muscle</v>
      </c>
      <c r="I6784">
        <f>_xlfn.XLOOKUP(A6784,'[1]Tissue Data'!$A:$A,'[1]Tissue Data'!L:L)</f>
        <v>12.5</v>
      </c>
      <c r="J6784">
        <f>_xlfn.XLOOKUP(A6784,'[1]Tissue Data'!$A:$A,'[1]Tissue Data'!M:M)</f>
        <v>36.32</v>
      </c>
      <c r="K6784" t="s">
        <v>44</v>
      </c>
      <c r="L6784" t="str">
        <f>_xlfn.XLOOKUP(K6784,[2]analyte_order!$B:$B,[2]analyte_order!$C:$C)</f>
        <v>27619-97-2</v>
      </c>
      <c r="M6784">
        <f>_xlfn.XLOOKUP(L6784,[2]analyte_order!$C:$C,[2]analyte_order!$E:$E)</f>
        <v>23</v>
      </c>
      <c r="N6784">
        <v>0.11700000000000001</v>
      </c>
    </row>
    <row r="6785" spans="1:14">
      <c r="A6785" t="s">
        <v>296</v>
      </c>
      <c r="B6785" t="str">
        <f>_xlfn.XLOOKUP(A6785,'[1]Tissue Data'!$A:$A,'[1]Tissue Data'!$C:$C)</f>
        <v>Down</v>
      </c>
      <c r="C6785" s="2">
        <f>_xlfn.XLOOKUP(A6785,'[1]Tissue Data'!$A:$A,'[1]Tissue Data'!$D:$D)</f>
        <v>44393</v>
      </c>
      <c r="D6785" s="2" t="str">
        <f>_xlfn.XLOOKUP(A6785,'[1]Tissue Data'!$A:$A,'[1]Tissue Data'!$F:$F)</f>
        <v>Pumpkinseed</v>
      </c>
      <c r="E6785" t="str">
        <f>_xlfn.XLOOKUP(A6785,'[1]Tissue Data'!$A:$A,'[1]Tissue Data'!$H:$H)</f>
        <v>Lepomis</v>
      </c>
      <c r="F6785" t="str">
        <f>_xlfn.XLOOKUP(A6785,'[1]Tissue Data'!$A:$A,'[1]Tissue Data'!$I:$I)</f>
        <v>gibbosus</v>
      </c>
      <c r="G6785" t="str">
        <f>_xlfn.XLOOKUP(A6785,'[1]Tissue Data'!$A:$A,'[1]Tissue Data'!J:J)</f>
        <v>M</v>
      </c>
      <c r="H6785" t="str">
        <f>_xlfn.XLOOKUP(A6785,'[1]Tissue Data'!$A:$A,'[1]Tissue Data'!K:K)</f>
        <v>Muscle</v>
      </c>
      <c r="I6785">
        <f>_xlfn.XLOOKUP(A6785,'[1]Tissue Data'!$A:$A,'[1]Tissue Data'!L:L)</f>
        <v>12.5</v>
      </c>
      <c r="J6785">
        <f>_xlfn.XLOOKUP(A6785,'[1]Tissue Data'!$A:$A,'[1]Tissue Data'!M:M)</f>
        <v>36.32</v>
      </c>
      <c r="K6785" t="s">
        <v>45</v>
      </c>
      <c r="L6785" t="str">
        <f>_xlfn.XLOOKUP(K6785,[2]analyte_order!$B:$B,[2]analyte_order!$C:$C)</f>
        <v>39108-34-4</v>
      </c>
      <c r="M6785">
        <f>_xlfn.XLOOKUP(L6785,[2]analyte_order!$C:$C,[2]analyte_order!$E:$E)</f>
        <v>24</v>
      </c>
      <c r="N6785">
        <v>0.72299999999999998</v>
      </c>
    </row>
    <row r="6786" spans="1:14">
      <c r="A6786" t="s">
        <v>296</v>
      </c>
      <c r="B6786" t="str">
        <f>_xlfn.XLOOKUP(A6786,'[1]Tissue Data'!$A:$A,'[1]Tissue Data'!$C:$C)</f>
        <v>Down</v>
      </c>
      <c r="C6786" s="2">
        <f>_xlfn.XLOOKUP(A6786,'[1]Tissue Data'!$A:$A,'[1]Tissue Data'!$D:$D)</f>
        <v>44393</v>
      </c>
      <c r="D6786" s="2" t="str">
        <f>_xlfn.XLOOKUP(A6786,'[1]Tissue Data'!$A:$A,'[1]Tissue Data'!$F:$F)</f>
        <v>Pumpkinseed</v>
      </c>
      <c r="E6786" t="str">
        <f>_xlfn.XLOOKUP(A6786,'[1]Tissue Data'!$A:$A,'[1]Tissue Data'!$H:$H)</f>
        <v>Lepomis</v>
      </c>
      <c r="F6786" t="str">
        <f>_xlfn.XLOOKUP(A6786,'[1]Tissue Data'!$A:$A,'[1]Tissue Data'!$I:$I)</f>
        <v>gibbosus</v>
      </c>
      <c r="G6786" t="str">
        <f>_xlfn.XLOOKUP(A6786,'[1]Tissue Data'!$A:$A,'[1]Tissue Data'!J:J)</f>
        <v>M</v>
      </c>
      <c r="H6786" t="str">
        <f>_xlfn.XLOOKUP(A6786,'[1]Tissue Data'!$A:$A,'[1]Tissue Data'!K:K)</f>
        <v>Muscle</v>
      </c>
      <c r="I6786">
        <f>_xlfn.XLOOKUP(A6786,'[1]Tissue Data'!$A:$A,'[1]Tissue Data'!L:L)</f>
        <v>12.5</v>
      </c>
      <c r="J6786">
        <f>_xlfn.XLOOKUP(A6786,'[1]Tissue Data'!$A:$A,'[1]Tissue Data'!M:M)</f>
        <v>36.32</v>
      </c>
      <c r="K6786" t="s">
        <v>46</v>
      </c>
      <c r="L6786" t="str">
        <f>_xlfn.XLOOKUP(K6786,[2]analyte_order!$B:$B,[2]analyte_order!$C:$C)</f>
        <v>120226-60-0</v>
      </c>
      <c r="M6786">
        <f>_xlfn.XLOOKUP(L6786,[2]analyte_order!$C:$C,[2]analyte_order!$E:$E)</f>
        <v>25</v>
      </c>
      <c r="N6786">
        <v>0.23400000000000001</v>
      </c>
    </row>
    <row r="6787" spans="1:14">
      <c r="A6787" t="s">
        <v>296</v>
      </c>
      <c r="B6787" t="str">
        <f>_xlfn.XLOOKUP(A6787,'[1]Tissue Data'!$A:$A,'[1]Tissue Data'!$C:$C)</f>
        <v>Down</v>
      </c>
      <c r="C6787" s="2">
        <f>_xlfn.XLOOKUP(A6787,'[1]Tissue Data'!$A:$A,'[1]Tissue Data'!$D:$D)</f>
        <v>44393</v>
      </c>
      <c r="D6787" s="2" t="str">
        <f>_xlfn.XLOOKUP(A6787,'[1]Tissue Data'!$A:$A,'[1]Tissue Data'!$F:$F)</f>
        <v>Pumpkinseed</v>
      </c>
      <c r="E6787" t="str">
        <f>_xlfn.XLOOKUP(A6787,'[1]Tissue Data'!$A:$A,'[1]Tissue Data'!$H:$H)</f>
        <v>Lepomis</v>
      </c>
      <c r="F6787" t="str">
        <f>_xlfn.XLOOKUP(A6787,'[1]Tissue Data'!$A:$A,'[1]Tissue Data'!$I:$I)</f>
        <v>gibbosus</v>
      </c>
      <c r="G6787" t="str">
        <f>_xlfn.XLOOKUP(A6787,'[1]Tissue Data'!$A:$A,'[1]Tissue Data'!J:J)</f>
        <v>M</v>
      </c>
      <c r="H6787" t="str">
        <f>_xlfn.XLOOKUP(A6787,'[1]Tissue Data'!$A:$A,'[1]Tissue Data'!K:K)</f>
        <v>Muscle</v>
      </c>
      <c r="I6787">
        <f>_xlfn.XLOOKUP(A6787,'[1]Tissue Data'!$A:$A,'[1]Tissue Data'!L:L)</f>
        <v>12.5</v>
      </c>
      <c r="J6787">
        <f>_xlfn.XLOOKUP(A6787,'[1]Tissue Data'!$A:$A,'[1]Tissue Data'!M:M)</f>
        <v>36.32</v>
      </c>
      <c r="K6787" t="s">
        <v>47</v>
      </c>
      <c r="L6787" t="str">
        <f>_xlfn.XLOOKUP(K6787,[2]analyte_order!$B:$B,[2]analyte_order!$C:$C)</f>
        <v>356-02-5</v>
      </c>
      <c r="M6787">
        <f>_xlfn.XLOOKUP(L6787,[2]analyte_order!$C:$C,[2]analyte_order!$E:$E)</f>
        <v>38</v>
      </c>
      <c r="N6787">
        <v>0.23400000000000001</v>
      </c>
    </row>
    <row r="6788" spans="1:14">
      <c r="A6788" t="s">
        <v>296</v>
      </c>
      <c r="B6788" t="str">
        <f>_xlfn.XLOOKUP(A6788,'[1]Tissue Data'!$A:$A,'[1]Tissue Data'!$C:$C)</f>
        <v>Down</v>
      </c>
      <c r="C6788" s="2">
        <f>_xlfn.XLOOKUP(A6788,'[1]Tissue Data'!$A:$A,'[1]Tissue Data'!$D:$D)</f>
        <v>44393</v>
      </c>
      <c r="D6788" s="2" t="str">
        <f>_xlfn.XLOOKUP(A6788,'[1]Tissue Data'!$A:$A,'[1]Tissue Data'!$F:$F)</f>
        <v>Pumpkinseed</v>
      </c>
      <c r="E6788" t="str">
        <f>_xlfn.XLOOKUP(A6788,'[1]Tissue Data'!$A:$A,'[1]Tissue Data'!$H:$H)</f>
        <v>Lepomis</v>
      </c>
      <c r="F6788" t="str">
        <f>_xlfn.XLOOKUP(A6788,'[1]Tissue Data'!$A:$A,'[1]Tissue Data'!$I:$I)</f>
        <v>gibbosus</v>
      </c>
      <c r="G6788" t="str">
        <f>_xlfn.XLOOKUP(A6788,'[1]Tissue Data'!$A:$A,'[1]Tissue Data'!J:J)</f>
        <v>M</v>
      </c>
      <c r="H6788" t="str">
        <f>_xlfn.XLOOKUP(A6788,'[1]Tissue Data'!$A:$A,'[1]Tissue Data'!K:K)</f>
        <v>Muscle</v>
      </c>
      <c r="I6788">
        <f>_xlfn.XLOOKUP(A6788,'[1]Tissue Data'!$A:$A,'[1]Tissue Data'!L:L)</f>
        <v>12.5</v>
      </c>
      <c r="J6788">
        <f>_xlfn.XLOOKUP(A6788,'[1]Tissue Data'!$A:$A,'[1]Tissue Data'!M:M)</f>
        <v>36.32</v>
      </c>
      <c r="K6788" t="s">
        <v>48</v>
      </c>
      <c r="L6788" t="str">
        <f>_xlfn.XLOOKUP(K6788,[2]analyte_order!$B:$B,[2]analyte_order!$C:$C)</f>
        <v>914637-49-3</v>
      </c>
      <c r="M6788">
        <f>_xlfn.XLOOKUP(L6788,[2]analyte_order!$C:$C,[2]analyte_order!$E:$E)</f>
        <v>39</v>
      </c>
      <c r="N6788">
        <v>0.23400000000000001</v>
      </c>
    </row>
    <row r="6789" spans="1:14">
      <c r="A6789" t="s">
        <v>296</v>
      </c>
      <c r="B6789" t="str">
        <f>_xlfn.XLOOKUP(A6789,'[1]Tissue Data'!$A:$A,'[1]Tissue Data'!$C:$C)</f>
        <v>Down</v>
      </c>
      <c r="C6789" s="2">
        <f>_xlfn.XLOOKUP(A6789,'[1]Tissue Data'!$A:$A,'[1]Tissue Data'!$D:$D)</f>
        <v>44393</v>
      </c>
      <c r="D6789" s="2" t="str">
        <f>_xlfn.XLOOKUP(A6789,'[1]Tissue Data'!$A:$A,'[1]Tissue Data'!$F:$F)</f>
        <v>Pumpkinseed</v>
      </c>
      <c r="E6789" t="str">
        <f>_xlfn.XLOOKUP(A6789,'[1]Tissue Data'!$A:$A,'[1]Tissue Data'!$H:$H)</f>
        <v>Lepomis</v>
      </c>
      <c r="F6789" t="str">
        <f>_xlfn.XLOOKUP(A6789,'[1]Tissue Data'!$A:$A,'[1]Tissue Data'!$I:$I)</f>
        <v>gibbosus</v>
      </c>
      <c r="G6789" t="str">
        <f>_xlfn.XLOOKUP(A6789,'[1]Tissue Data'!$A:$A,'[1]Tissue Data'!J:J)</f>
        <v>M</v>
      </c>
      <c r="H6789" t="str">
        <f>_xlfn.XLOOKUP(A6789,'[1]Tissue Data'!$A:$A,'[1]Tissue Data'!K:K)</f>
        <v>Muscle</v>
      </c>
      <c r="I6789">
        <f>_xlfn.XLOOKUP(A6789,'[1]Tissue Data'!$A:$A,'[1]Tissue Data'!L:L)</f>
        <v>12.5</v>
      </c>
      <c r="J6789">
        <f>_xlfn.XLOOKUP(A6789,'[1]Tissue Data'!$A:$A,'[1]Tissue Data'!M:M)</f>
        <v>36.32</v>
      </c>
      <c r="K6789" t="s">
        <v>49</v>
      </c>
      <c r="L6789" t="str">
        <f>_xlfn.XLOOKUP(K6789,[2]analyte_order!$B:$B,[2]analyte_order!$C:$C)</f>
        <v>812-70-4</v>
      </c>
      <c r="M6789">
        <f>_xlfn.XLOOKUP(L6789,[2]analyte_order!$C:$C,[2]analyte_order!$E:$E)</f>
        <v>40</v>
      </c>
      <c r="N6789">
        <v>2.13</v>
      </c>
    </row>
    <row r="6790" spans="1:14">
      <c r="A6790" t="s">
        <v>296</v>
      </c>
      <c r="B6790" t="str">
        <f>_xlfn.XLOOKUP(A6790,'[1]Tissue Data'!$A:$A,'[1]Tissue Data'!$C:$C)</f>
        <v>Down</v>
      </c>
      <c r="C6790" s="2">
        <f>_xlfn.XLOOKUP(A6790,'[1]Tissue Data'!$A:$A,'[1]Tissue Data'!$D:$D)</f>
        <v>44393</v>
      </c>
      <c r="D6790" s="2" t="str">
        <f>_xlfn.XLOOKUP(A6790,'[1]Tissue Data'!$A:$A,'[1]Tissue Data'!$F:$F)</f>
        <v>Pumpkinseed</v>
      </c>
      <c r="E6790" t="str">
        <f>_xlfn.XLOOKUP(A6790,'[1]Tissue Data'!$A:$A,'[1]Tissue Data'!$H:$H)</f>
        <v>Lepomis</v>
      </c>
      <c r="F6790" t="str">
        <f>_xlfn.XLOOKUP(A6790,'[1]Tissue Data'!$A:$A,'[1]Tissue Data'!$I:$I)</f>
        <v>gibbosus</v>
      </c>
      <c r="G6790" t="str">
        <f>_xlfn.XLOOKUP(A6790,'[1]Tissue Data'!$A:$A,'[1]Tissue Data'!J:J)</f>
        <v>M</v>
      </c>
      <c r="H6790" t="str">
        <f>_xlfn.XLOOKUP(A6790,'[1]Tissue Data'!$A:$A,'[1]Tissue Data'!K:K)</f>
        <v>Muscle</v>
      </c>
      <c r="I6790">
        <f>_xlfn.XLOOKUP(A6790,'[1]Tissue Data'!$A:$A,'[1]Tissue Data'!L:L)</f>
        <v>12.5</v>
      </c>
      <c r="J6790">
        <f>_xlfn.XLOOKUP(A6790,'[1]Tissue Data'!$A:$A,'[1]Tissue Data'!M:M)</f>
        <v>36.32</v>
      </c>
      <c r="K6790" t="s">
        <v>50</v>
      </c>
      <c r="L6790" t="str">
        <f>_xlfn.XLOOKUP(K6790,[2]analyte_order!$B:$B,[2]analyte_order!$C:$C)</f>
        <v>53826-12-3</v>
      </c>
      <c r="M6790">
        <f>_xlfn.XLOOKUP(L6790,[2]analyte_order!$C:$C,[2]analyte_order!$E:$E)</f>
        <v>41</v>
      </c>
      <c r="N6790">
        <v>0.23400000000000001</v>
      </c>
    </row>
    <row r="6791" spans="1:14">
      <c r="A6791" t="s">
        <v>296</v>
      </c>
      <c r="B6791" t="str">
        <f>_xlfn.XLOOKUP(A6791,'[1]Tissue Data'!$A:$A,'[1]Tissue Data'!$C:$C)</f>
        <v>Down</v>
      </c>
      <c r="C6791" s="2">
        <f>_xlfn.XLOOKUP(A6791,'[1]Tissue Data'!$A:$A,'[1]Tissue Data'!$D:$D)</f>
        <v>44393</v>
      </c>
      <c r="D6791" s="2" t="str">
        <f>_xlfn.XLOOKUP(A6791,'[1]Tissue Data'!$A:$A,'[1]Tissue Data'!$F:$F)</f>
        <v>Pumpkinseed</v>
      </c>
      <c r="E6791" t="str">
        <f>_xlfn.XLOOKUP(A6791,'[1]Tissue Data'!$A:$A,'[1]Tissue Data'!$H:$H)</f>
        <v>Lepomis</v>
      </c>
      <c r="F6791" t="str">
        <f>_xlfn.XLOOKUP(A6791,'[1]Tissue Data'!$A:$A,'[1]Tissue Data'!$I:$I)</f>
        <v>gibbosus</v>
      </c>
      <c r="G6791" t="str">
        <f>_xlfn.XLOOKUP(A6791,'[1]Tissue Data'!$A:$A,'[1]Tissue Data'!J:J)</f>
        <v>M</v>
      </c>
      <c r="H6791" t="str">
        <f>_xlfn.XLOOKUP(A6791,'[1]Tissue Data'!$A:$A,'[1]Tissue Data'!K:K)</f>
        <v>Muscle</v>
      </c>
      <c r="I6791">
        <f>_xlfn.XLOOKUP(A6791,'[1]Tissue Data'!$A:$A,'[1]Tissue Data'!L:L)</f>
        <v>12.5</v>
      </c>
      <c r="J6791">
        <f>_xlfn.XLOOKUP(A6791,'[1]Tissue Data'!$A:$A,'[1]Tissue Data'!M:M)</f>
        <v>36.32</v>
      </c>
      <c r="K6791" t="s">
        <v>51</v>
      </c>
      <c r="L6791" t="str">
        <f>_xlfn.XLOOKUP(K6791,[2]analyte_order!$B:$B,[2]analyte_order!$C:$C)</f>
        <v>27854-31-5</v>
      </c>
      <c r="M6791">
        <f>_xlfn.XLOOKUP(L6791,[2]analyte_order!$C:$C,[2]analyte_order!$E:$E)</f>
        <v>42</v>
      </c>
      <c r="N6791">
        <v>0.11700000000000001</v>
      </c>
    </row>
    <row r="6792" spans="1:14">
      <c r="A6792" t="s">
        <v>296</v>
      </c>
      <c r="B6792" t="str">
        <f>_xlfn.XLOOKUP(A6792,'[1]Tissue Data'!$A:$A,'[1]Tissue Data'!$C:$C)</f>
        <v>Down</v>
      </c>
      <c r="C6792" s="2">
        <f>_xlfn.XLOOKUP(A6792,'[1]Tissue Data'!$A:$A,'[1]Tissue Data'!$D:$D)</f>
        <v>44393</v>
      </c>
      <c r="D6792" s="2" t="str">
        <f>_xlfn.XLOOKUP(A6792,'[1]Tissue Data'!$A:$A,'[1]Tissue Data'!$F:$F)</f>
        <v>Pumpkinseed</v>
      </c>
      <c r="E6792" t="str">
        <f>_xlfn.XLOOKUP(A6792,'[1]Tissue Data'!$A:$A,'[1]Tissue Data'!$H:$H)</f>
        <v>Lepomis</v>
      </c>
      <c r="F6792" t="str">
        <f>_xlfn.XLOOKUP(A6792,'[1]Tissue Data'!$A:$A,'[1]Tissue Data'!$I:$I)</f>
        <v>gibbosus</v>
      </c>
      <c r="G6792" t="str">
        <f>_xlfn.XLOOKUP(A6792,'[1]Tissue Data'!$A:$A,'[1]Tissue Data'!J:J)</f>
        <v>M</v>
      </c>
      <c r="H6792" t="str">
        <f>_xlfn.XLOOKUP(A6792,'[1]Tissue Data'!$A:$A,'[1]Tissue Data'!K:K)</f>
        <v>Muscle</v>
      </c>
      <c r="I6792">
        <f>_xlfn.XLOOKUP(A6792,'[1]Tissue Data'!$A:$A,'[1]Tissue Data'!L:L)</f>
        <v>12.5</v>
      </c>
      <c r="J6792">
        <f>_xlfn.XLOOKUP(A6792,'[1]Tissue Data'!$A:$A,'[1]Tissue Data'!M:M)</f>
        <v>36.32</v>
      </c>
      <c r="K6792" t="s">
        <v>52</v>
      </c>
      <c r="L6792" t="str">
        <f>_xlfn.XLOOKUP(K6792,[2]analyte_order!$B:$B,[2]analyte_order!$C:$C)</f>
        <v>53826-13-4</v>
      </c>
      <c r="M6792">
        <f>_xlfn.XLOOKUP(L6792,[2]analyte_order!$C:$C,[2]analyte_order!$E:$E)</f>
        <v>43</v>
      </c>
      <c r="N6792">
        <v>0.23400000000000001</v>
      </c>
    </row>
    <row r="6793" spans="1:14">
      <c r="A6793" t="s">
        <v>296</v>
      </c>
      <c r="B6793" t="str">
        <f>_xlfn.XLOOKUP(A6793,'[1]Tissue Data'!$A:$A,'[1]Tissue Data'!$C:$C)</f>
        <v>Down</v>
      </c>
      <c r="C6793" s="2">
        <f>_xlfn.XLOOKUP(A6793,'[1]Tissue Data'!$A:$A,'[1]Tissue Data'!$D:$D)</f>
        <v>44393</v>
      </c>
      <c r="D6793" s="2" t="str">
        <f>_xlfn.XLOOKUP(A6793,'[1]Tissue Data'!$A:$A,'[1]Tissue Data'!$F:$F)</f>
        <v>Pumpkinseed</v>
      </c>
      <c r="E6793" t="str">
        <f>_xlfn.XLOOKUP(A6793,'[1]Tissue Data'!$A:$A,'[1]Tissue Data'!$H:$H)</f>
        <v>Lepomis</v>
      </c>
      <c r="F6793" t="str">
        <f>_xlfn.XLOOKUP(A6793,'[1]Tissue Data'!$A:$A,'[1]Tissue Data'!$I:$I)</f>
        <v>gibbosus</v>
      </c>
      <c r="G6793" t="str">
        <f>_xlfn.XLOOKUP(A6793,'[1]Tissue Data'!$A:$A,'[1]Tissue Data'!J:J)</f>
        <v>M</v>
      </c>
      <c r="H6793" t="str">
        <f>_xlfn.XLOOKUP(A6793,'[1]Tissue Data'!$A:$A,'[1]Tissue Data'!K:K)</f>
        <v>Muscle</v>
      </c>
      <c r="I6793">
        <f>_xlfn.XLOOKUP(A6793,'[1]Tissue Data'!$A:$A,'[1]Tissue Data'!L:L)</f>
        <v>12.5</v>
      </c>
      <c r="J6793">
        <f>_xlfn.XLOOKUP(A6793,'[1]Tissue Data'!$A:$A,'[1]Tissue Data'!M:M)</f>
        <v>36.32</v>
      </c>
      <c r="K6793" t="s">
        <v>53</v>
      </c>
      <c r="L6793" t="str">
        <f>_xlfn.XLOOKUP(K6793,[2]analyte_order!$B:$B,[2]analyte_order!$C:$C)</f>
        <v>161094-75-3</v>
      </c>
      <c r="M6793">
        <f>_xlfn.XLOOKUP(L6793,[2]analyte_order!$C:$C,[2]analyte_order!$E:$E)</f>
        <v>44</v>
      </c>
      <c r="N6793">
        <v>9.1999999999999998E-2</v>
      </c>
    </row>
    <row r="6794" spans="1:14">
      <c r="A6794" t="s">
        <v>296</v>
      </c>
      <c r="B6794" t="str">
        <f>_xlfn.XLOOKUP(A6794,'[1]Tissue Data'!$A:$A,'[1]Tissue Data'!$C:$C)</f>
        <v>Down</v>
      </c>
      <c r="C6794" s="2">
        <f>_xlfn.XLOOKUP(A6794,'[1]Tissue Data'!$A:$A,'[1]Tissue Data'!$D:$D)</f>
        <v>44393</v>
      </c>
      <c r="D6794" s="2" t="str">
        <f>_xlfn.XLOOKUP(A6794,'[1]Tissue Data'!$A:$A,'[1]Tissue Data'!$F:$F)</f>
        <v>Pumpkinseed</v>
      </c>
      <c r="E6794" t="str">
        <f>_xlfn.XLOOKUP(A6794,'[1]Tissue Data'!$A:$A,'[1]Tissue Data'!$H:$H)</f>
        <v>Lepomis</v>
      </c>
      <c r="F6794" t="str">
        <f>_xlfn.XLOOKUP(A6794,'[1]Tissue Data'!$A:$A,'[1]Tissue Data'!$I:$I)</f>
        <v>gibbosus</v>
      </c>
      <c r="G6794" t="str">
        <f>_xlfn.XLOOKUP(A6794,'[1]Tissue Data'!$A:$A,'[1]Tissue Data'!J:J)</f>
        <v>M</v>
      </c>
      <c r="H6794" t="str">
        <f>_xlfn.XLOOKUP(A6794,'[1]Tissue Data'!$A:$A,'[1]Tissue Data'!K:K)</f>
        <v>Muscle</v>
      </c>
      <c r="I6794">
        <f>_xlfn.XLOOKUP(A6794,'[1]Tissue Data'!$A:$A,'[1]Tissue Data'!L:L)</f>
        <v>12.5</v>
      </c>
      <c r="J6794">
        <f>_xlfn.XLOOKUP(A6794,'[1]Tissue Data'!$A:$A,'[1]Tissue Data'!M:M)</f>
        <v>36.32</v>
      </c>
      <c r="K6794" t="s">
        <v>54</v>
      </c>
      <c r="L6794" t="str">
        <f>_xlfn.XLOOKUP(K6794,[2]analyte_order!$B:$B,[2]analyte_order!$C:$C)</f>
        <v>70887-84-2</v>
      </c>
      <c r="M6794">
        <f>_xlfn.XLOOKUP(L6794,[2]analyte_order!$C:$C,[2]analyte_order!$E:$E)</f>
        <v>45</v>
      </c>
      <c r="N6794">
        <v>7.0499999999999993E-2</v>
      </c>
    </row>
    <row r="6795" spans="1:14">
      <c r="A6795" t="s">
        <v>296</v>
      </c>
      <c r="B6795" t="str">
        <f>_xlfn.XLOOKUP(A6795,'[1]Tissue Data'!$A:$A,'[1]Tissue Data'!$C:$C)</f>
        <v>Down</v>
      </c>
      <c r="C6795" s="2">
        <f>_xlfn.XLOOKUP(A6795,'[1]Tissue Data'!$A:$A,'[1]Tissue Data'!$D:$D)</f>
        <v>44393</v>
      </c>
      <c r="D6795" s="2" t="str">
        <f>_xlfn.XLOOKUP(A6795,'[1]Tissue Data'!$A:$A,'[1]Tissue Data'!$F:$F)</f>
        <v>Pumpkinseed</v>
      </c>
      <c r="E6795" t="str">
        <f>_xlfn.XLOOKUP(A6795,'[1]Tissue Data'!$A:$A,'[1]Tissue Data'!$H:$H)</f>
        <v>Lepomis</v>
      </c>
      <c r="F6795" t="str">
        <f>_xlfn.XLOOKUP(A6795,'[1]Tissue Data'!$A:$A,'[1]Tissue Data'!$I:$I)</f>
        <v>gibbosus</v>
      </c>
      <c r="G6795" t="str">
        <f>_xlfn.XLOOKUP(A6795,'[1]Tissue Data'!$A:$A,'[1]Tissue Data'!J:J)</f>
        <v>M</v>
      </c>
      <c r="H6795" t="str">
        <f>_xlfn.XLOOKUP(A6795,'[1]Tissue Data'!$A:$A,'[1]Tissue Data'!K:K)</f>
        <v>Muscle</v>
      </c>
      <c r="I6795">
        <f>_xlfn.XLOOKUP(A6795,'[1]Tissue Data'!$A:$A,'[1]Tissue Data'!L:L)</f>
        <v>12.5</v>
      </c>
      <c r="J6795">
        <f>_xlfn.XLOOKUP(A6795,'[1]Tissue Data'!$A:$A,'[1]Tissue Data'!M:M)</f>
        <v>36.32</v>
      </c>
      <c r="K6795" t="s">
        <v>55</v>
      </c>
      <c r="L6795" t="str">
        <f>_xlfn.XLOOKUP(K6795,[2]analyte_order!$B:$B,[2]analyte_order!$C:$C)</f>
        <v>919005-14-4</v>
      </c>
      <c r="M6795">
        <f>_xlfn.XLOOKUP(L6795,[2]analyte_order!$C:$C,[2]analyte_order!$E:$E)</f>
        <v>35</v>
      </c>
      <c r="N6795">
        <v>0.10349999999999999</v>
      </c>
    </row>
    <row r="6796" spans="1:14">
      <c r="A6796" t="s">
        <v>296</v>
      </c>
      <c r="B6796" t="str">
        <f>_xlfn.XLOOKUP(A6796,'[1]Tissue Data'!$A:$A,'[1]Tissue Data'!$C:$C)</f>
        <v>Down</v>
      </c>
      <c r="C6796" s="2">
        <f>_xlfn.XLOOKUP(A6796,'[1]Tissue Data'!$A:$A,'[1]Tissue Data'!$D:$D)</f>
        <v>44393</v>
      </c>
      <c r="D6796" s="2" t="str">
        <f>_xlfn.XLOOKUP(A6796,'[1]Tissue Data'!$A:$A,'[1]Tissue Data'!$F:$F)</f>
        <v>Pumpkinseed</v>
      </c>
      <c r="E6796" t="str">
        <f>_xlfn.XLOOKUP(A6796,'[1]Tissue Data'!$A:$A,'[1]Tissue Data'!$H:$H)</f>
        <v>Lepomis</v>
      </c>
      <c r="F6796" t="str">
        <f>_xlfn.XLOOKUP(A6796,'[1]Tissue Data'!$A:$A,'[1]Tissue Data'!$I:$I)</f>
        <v>gibbosus</v>
      </c>
      <c r="G6796" t="str">
        <f>_xlfn.XLOOKUP(A6796,'[1]Tissue Data'!$A:$A,'[1]Tissue Data'!J:J)</f>
        <v>M</v>
      </c>
      <c r="H6796" t="str">
        <f>_xlfn.XLOOKUP(A6796,'[1]Tissue Data'!$A:$A,'[1]Tissue Data'!K:K)</f>
        <v>Muscle</v>
      </c>
      <c r="I6796">
        <f>_xlfn.XLOOKUP(A6796,'[1]Tissue Data'!$A:$A,'[1]Tissue Data'!L:L)</f>
        <v>12.5</v>
      </c>
      <c r="J6796">
        <f>_xlfn.XLOOKUP(A6796,'[1]Tissue Data'!$A:$A,'[1]Tissue Data'!M:M)</f>
        <v>36.32</v>
      </c>
      <c r="K6796" t="s">
        <v>56</v>
      </c>
      <c r="L6796" t="str">
        <f>_xlfn.XLOOKUP(K6796,[2]analyte_order!$B:$B,[2]analyte_order!$C:$C)</f>
        <v>756426-58-1</v>
      </c>
      <c r="M6796">
        <f>_xlfn.XLOOKUP(L6796,[2]analyte_order!$C:$C,[2]analyte_order!$E:$E)</f>
        <v>36</v>
      </c>
      <c r="N6796">
        <v>0.23400000000000001</v>
      </c>
    </row>
    <row r="6797" spans="1:14">
      <c r="A6797" t="s">
        <v>296</v>
      </c>
      <c r="B6797" t="str">
        <f>_xlfn.XLOOKUP(A6797,'[1]Tissue Data'!$A:$A,'[1]Tissue Data'!$C:$C)</f>
        <v>Down</v>
      </c>
      <c r="C6797" s="2">
        <f>_xlfn.XLOOKUP(A6797,'[1]Tissue Data'!$A:$A,'[1]Tissue Data'!$D:$D)</f>
        <v>44393</v>
      </c>
      <c r="D6797" s="2" t="str">
        <f>_xlfn.XLOOKUP(A6797,'[1]Tissue Data'!$A:$A,'[1]Tissue Data'!$F:$F)</f>
        <v>Pumpkinseed</v>
      </c>
      <c r="E6797" t="str">
        <f>_xlfn.XLOOKUP(A6797,'[1]Tissue Data'!$A:$A,'[1]Tissue Data'!$H:$H)</f>
        <v>Lepomis</v>
      </c>
      <c r="F6797" t="str">
        <f>_xlfn.XLOOKUP(A6797,'[1]Tissue Data'!$A:$A,'[1]Tissue Data'!$I:$I)</f>
        <v>gibbosus</v>
      </c>
      <c r="G6797" t="str">
        <f>_xlfn.XLOOKUP(A6797,'[1]Tissue Data'!$A:$A,'[1]Tissue Data'!J:J)</f>
        <v>M</v>
      </c>
      <c r="H6797" t="str">
        <f>_xlfn.XLOOKUP(A6797,'[1]Tissue Data'!$A:$A,'[1]Tissue Data'!K:K)</f>
        <v>Muscle</v>
      </c>
      <c r="I6797">
        <f>_xlfn.XLOOKUP(A6797,'[1]Tissue Data'!$A:$A,'[1]Tissue Data'!L:L)</f>
        <v>12.5</v>
      </c>
      <c r="J6797">
        <f>_xlfn.XLOOKUP(A6797,'[1]Tissue Data'!$A:$A,'[1]Tissue Data'!M:M)</f>
        <v>36.32</v>
      </c>
      <c r="K6797" t="s">
        <v>57</v>
      </c>
      <c r="L6797" t="str">
        <f>_xlfn.XLOOKUP(K6797,[2]analyte_order!$B:$B,[2]analyte_order!$C:$C)</f>
        <v>763051-92-9</v>
      </c>
      <c r="M6797">
        <f>_xlfn.XLOOKUP(L6797,[2]analyte_order!$C:$C,[2]analyte_order!$E:$E)</f>
        <v>37</v>
      </c>
      <c r="N6797">
        <v>0.23400000000000001</v>
      </c>
    </row>
    <row r="6798" spans="1:14">
      <c r="A6798" t="s">
        <v>296</v>
      </c>
      <c r="B6798" t="str">
        <f>_xlfn.XLOOKUP(A6798,'[1]Tissue Data'!$A:$A,'[1]Tissue Data'!$C:$C)</f>
        <v>Down</v>
      </c>
      <c r="C6798" s="2">
        <f>_xlfn.XLOOKUP(A6798,'[1]Tissue Data'!$A:$A,'[1]Tissue Data'!$D:$D)</f>
        <v>44393</v>
      </c>
      <c r="D6798" s="2" t="str">
        <f>_xlfn.XLOOKUP(A6798,'[1]Tissue Data'!$A:$A,'[1]Tissue Data'!$F:$F)</f>
        <v>Pumpkinseed</v>
      </c>
      <c r="E6798" t="str">
        <f>_xlfn.XLOOKUP(A6798,'[1]Tissue Data'!$A:$A,'[1]Tissue Data'!$H:$H)</f>
        <v>Lepomis</v>
      </c>
      <c r="F6798" t="str">
        <f>_xlfn.XLOOKUP(A6798,'[1]Tissue Data'!$A:$A,'[1]Tissue Data'!$I:$I)</f>
        <v>gibbosus</v>
      </c>
      <c r="G6798" t="str">
        <f>_xlfn.XLOOKUP(A6798,'[1]Tissue Data'!$A:$A,'[1]Tissue Data'!J:J)</f>
        <v>M</v>
      </c>
      <c r="H6798" t="str">
        <f>_xlfn.XLOOKUP(A6798,'[1]Tissue Data'!$A:$A,'[1]Tissue Data'!K:K)</f>
        <v>Muscle</v>
      </c>
      <c r="I6798">
        <f>_xlfn.XLOOKUP(A6798,'[1]Tissue Data'!$A:$A,'[1]Tissue Data'!L:L)</f>
        <v>12.5</v>
      </c>
      <c r="J6798">
        <f>_xlfn.XLOOKUP(A6798,'[1]Tissue Data'!$A:$A,'[1]Tissue Data'!M:M)</f>
        <v>36.32</v>
      </c>
      <c r="K6798" t="s">
        <v>58</v>
      </c>
      <c r="L6798" t="str">
        <f>_xlfn.XLOOKUP(K6798,[2]analyte_order!$B:$B,[2]analyte_order!$C:$C)</f>
        <v>13252-13-6</v>
      </c>
      <c r="M6798">
        <f>_xlfn.XLOOKUP(L6798,[2]analyte_order!$C:$C,[2]analyte_order!$E:$E)</f>
        <v>34</v>
      </c>
      <c r="N6798">
        <v>0.16800000000000001</v>
      </c>
    </row>
    <row r="6799" spans="1:14">
      <c r="A6799" t="s">
        <v>296</v>
      </c>
      <c r="B6799" t="str">
        <f>_xlfn.XLOOKUP(A6799,'[1]Tissue Data'!$A:$A,'[1]Tissue Data'!$C:$C)</f>
        <v>Down</v>
      </c>
      <c r="C6799" s="2">
        <f>_xlfn.XLOOKUP(A6799,'[1]Tissue Data'!$A:$A,'[1]Tissue Data'!$D:$D)</f>
        <v>44393</v>
      </c>
      <c r="D6799" s="2" t="str">
        <f>_xlfn.XLOOKUP(A6799,'[1]Tissue Data'!$A:$A,'[1]Tissue Data'!$F:$F)</f>
        <v>Pumpkinseed</v>
      </c>
      <c r="E6799" t="str">
        <f>_xlfn.XLOOKUP(A6799,'[1]Tissue Data'!$A:$A,'[1]Tissue Data'!$H:$H)</f>
        <v>Lepomis</v>
      </c>
      <c r="F6799" t="str">
        <f>_xlfn.XLOOKUP(A6799,'[1]Tissue Data'!$A:$A,'[1]Tissue Data'!$I:$I)</f>
        <v>gibbosus</v>
      </c>
      <c r="G6799" t="str">
        <f>_xlfn.XLOOKUP(A6799,'[1]Tissue Data'!$A:$A,'[1]Tissue Data'!J:J)</f>
        <v>M</v>
      </c>
      <c r="H6799" t="str">
        <f>_xlfn.XLOOKUP(A6799,'[1]Tissue Data'!$A:$A,'[1]Tissue Data'!K:K)</f>
        <v>Muscle</v>
      </c>
      <c r="I6799">
        <f>_xlfn.XLOOKUP(A6799,'[1]Tissue Data'!$A:$A,'[1]Tissue Data'!L:L)</f>
        <v>12.5</v>
      </c>
      <c r="J6799">
        <f>_xlfn.XLOOKUP(A6799,'[1]Tissue Data'!$A:$A,'[1]Tissue Data'!M:M)</f>
        <v>36.32</v>
      </c>
      <c r="K6799" t="s">
        <v>59</v>
      </c>
      <c r="L6799" t="str">
        <f>_xlfn.XLOOKUP(K6799,[2]analyte_order!$B:$B,[2]analyte_order!$C:$C)</f>
        <v>57677-95-9</v>
      </c>
      <c r="M6799">
        <f>_xlfn.XLOOKUP(L6799,[2]analyte_order!$C:$C,[2]analyte_order!$E:$E)</f>
        <v>46</v>
      </c>
      <c r="N6799">
        <v>0.23400000000000001</v>
      </c>
    </row>
    <row r="6800" spans="1:14">
      <c r="A6800" t="s">
        <v>296</v>
      </c>
      <c r="B6800" t="str">
        <f>_xlfn.XLOOKUP(A6800,'[1]Tissue Data'!$A:$A,'[1]Tissue Data'!$C:$C)</f>
        <v>Down</v>
      </c>
      <c r="C6800" s="2">
        <f>_xlfn.XLOOKUP(A6800,'[1]Tissue Data'!$A:$A,'[1]Tissue Data'!$D:$D)</f>
        <v>44393</v>
      </c>
      <c r="D6800" s="2" t="str">
        <f>_xlfn.XLOOKUP(A6800,'[1]Tissue Data'!$A:$A,'[1]Tissue Data'!$F:$F)</f>
        <v>Pumpkinseed</v>
      </c>
      <c r="E6800" t="str">
        <f>_xlfn.XLOOKUP(A6800,'[1]Tissue Data'!$A:$A,'[1]Tissue Data'!$H:$H)</f>
        <v>Lepomis</v>
      </c>
      <c r="F6800" t="str">
        <f>_xlfn.XLOOKUP(A6800,'[1]Tissue Data'!$A:$A,'[1]Tissue Data'!$I:$I)</f>
        <v>gibbosus</v>
      </c>
      <c r="G6800" t="str">
        <f>_xlfn.XLOOKUP(A6800,'[1]Tissue Data'!$A:$A,'[1]Tissue Data'!J:J)</f>
        <v>M</v>
      </c>
      <c r="H6800" t="str">
        <f>_xlfn.XLOOKUP(A6800,'[1]Tissue Data'!$A:$A,'[1]Tissue Data'!K:K)</f>
        <v>Muscle</v>
      </c>
      <c r="I6800">
        <f>_xlfn.XLOOKUP(A6800,'[1]Tissue Data'!$A:$A,'[1]Tissue Data'!L:L)</f>
        <v>12.5</v>
      </c>
      <c r="J6800">
        <f>_xlfn.XLOOKUP(A6800,'[1]Tissue Data'!$A:$A,'[1]Tissue Data'!M:M)</f>
        <v>36.32</v>
      </c>
      <c r="K6800" t="s">
        <v>60</v>
      </c>
      <c r="L6800" t="str">
        <f>_xlfn.XLOOKUP(K6800,[2]analyte_order!$B:$B,[2]analyte_order!$C:$C)</f>
        <v>678-41-1</v>
      </c>
      <c r="M6800">
        <f>_xlfn.XLOOKUP(L6800,[2]analyte_order!$C:$C,[2]analyte_order!$E:$E)</f>
        <v>56</v>
      </c>
      <c r="N6800">
        <v>0.23400000000000001</v>
      </c>
    </row>
    <row r="6801" spans="1:14">
      <c r="A6801" t="s">
        <v>296</v>
      </c>
      <c r="B6801" t="str">
        <f>_xlfn.XLOOKUP(A6801,'[1]Tissue Data'!$A:$A,'[1]Tissue Data'!$C:$C)</f>
        <v>Down</v>
      </c>
      <c r="C6801" s="2">
        <f>_xlfn.XLOOKUP(A6801,'[1]Tissue Data'!$A:$A,'[1]Tissue Data'!$D:$D)</f>
        <v>44393</v>
      </c>
      <c r="D6801" s="2" t="str">
        <f>_xlfn.XLOOKUP(A6801,'[1]Tissue Data'!$A:$A,'[1]Tissue Data'!$F:$F)</f>
        <v>Pumpkinseed</v>
      </c>
      <c r="E6801" t="str">
        <f>_xlfn.XLOOKUP(A6801,'[1]Tissue Data'!$A:$A,'[1]Tissue Data'!$H:$H)</f>
        <v>Lepomis</v>
      </c>
      <c r="F6801" t="str">
        <f>_xlfn.XLOOKUP(A6801,'[1]Tissue Data'!$A:$A,'[1]Tissue Data'!$I:$I)</f>
        <v>gibbosus</v>
      </c>
      <c r="G6801" t="str">
        <f>_xlfn.XLOOKUP(A6801,'[1]Tissue Data'!$A:$A,'[1]Tissue Data'!J:J)</f>
        <v>M</v>
      </c>
      <c r="H6801" t="str">
        <f>_xlfn.XLOOKUP(A6801,'[1]Tissue Data'!$A:$A,'[1]Tissue Data'!K:K)</f>
        <v>Muscle</v>
      </c>
      <c r="I6801">
        <f>_xlfn.XLOOKUP(A6801,'[1]Tissue Data'!$A:$A,'[1]Tissue Data'!L:L)</f>
        <v>12.5</v>
      </c>
      <c r="J6801">
        <f>_xlfn.XLOOKUP(A6801,'[1]Tissue Data'!$A:$A,'[1]Tissue Data'!M:M)</f>
        <v>36.32</v>
      </c>
      <c r="K6801" t="s">
        <v>61</v>
      </c>
      <c r="L6801" t="str">
        <f>_xlfn.XLOOKUP(K6801,[2]analyte_order!$B:$B,[2]analyte_order!$C:$C)</f>
        <v>2965-52-8</v>
      </c>
      <c r="M6801">
        <f>_xlfn.XLOOKUP(L6801,[2]analyte_order!$C:$C,[2]analyte_order!$E:$E)</f>
        <v>57</v>
      </c>
      <c r="N6801">
        <v>0.23400000000000001</v>
      </c>
    </row>
    <row r="6802" spans="1:14">
      <c r="A6802" t="s">
        <v>297</v>
      </c>
      <c r="B6802" t="str">
        <f>_xlfn.XLOOKUP(A6802,'[1]Tissue Data'!$A:$A,'[1]Tissue Data'!$C:$C)</f>
        <v>Down</v>
      </c>
      <c r="C6802" s="2">
        <f>_xlfn.XLOOKUP(A6802,'[1]Tissue Data'!$A:$A,'[1]Tissue Data'!$D:$D)</f>
        <v>44393</v>
      </c>
      <c r="D6802" s="2" t="str">
        <f>_xlfn.XLOOKUP(A6802,'[1]Tissue Data'!$A:$A,'[1]Tissue Data'!$F:$F)</f>
        <v>Pumpkinseed</v>
      </c>
      <c r="E6802" t="str">
        <f>_xlfn.XLOOKUP(A6802,'[1]Tissue Data'!$A:$A,'[1]Tissue Data'!$H:$H)</f>
        <v>Lepomis</v>
      </c>
      <c r="F6802" t="str">
        <f>_xlfn.XLOOKUP(A6802,'[1]Tissue Data'!$A:$A,'[1]Tissue Data'!$I:$I)</f>
        <v>gibbosus</v>
      </c>
      <c r="G6802" t="str">
        <f>_xlfn.XLOOKUP(A6802,'[1]Tissue Data'!$A:$A,'[1]Tissue Data'!J:J)</f>
        <v>U</v>
      </c>
      <c r="H6802" t="str">
        <f>_xlfn.XLOOKUP(A6802,'[1]Tissue Data'!$A:$A,'[1]Tissue Data'!K:K)</f>
        <v>Whole Body</v>
      </c>
      <c r="I6802">
        <f>_xlfn.XLOOKUP(A6802,'[1]Tissue Data'!$A:$A,'[1]Tissue Data'!L:L)</f>
        <v>8</v>
      </c>
      <c r="J6802">
        <f>_xlfn.XLOOKUP(A6802,'[1]Tissue Data'!$A:$A,'[1]Tissue Data'!M:M)</f>
        <v>11.56</v>
      </c>
      <c r="K6802" t="s">
        <v>12</v>
      </c>
      <c r="L6802" t="str">
        <f>_xlfn.XLOOKUP(K6802,[2]analyte_order!$B:$B,[2]analyte_order!$C:$C)</f>
        <v>375-22-4</v>
      </c>
      <c r="M6802">
        <f>_xlfn.XLOOKUP(L6802,[2]analyte_order!$C:$C,[2]analyte_order!$E:$E)</f>
        <v>1</v>
      </c>
      <c r="N6802">
        <v>0.21149999999999999</v>
      </c>
    </row>
    <row r="6803" spans="1:14">
      <c r="A6803" t="s">
        <v>297</v>
      </c>
      <c r="B6803" t="str">
        <f>_xlfn.XLOOKUP(A6803,'[1]Tissue Data'!$A:$A,'[1]Tissue Data'!$C:$C)</f>
        <v>Down</v>
      </c>
      <c r="C6803" s="2">
        <f>_xlfn.XLOOKUP(A6803,'[1]Tissue Data'!$A:$A,'[1]Tissue Data'!$D:$D)</f>
        <v>44393</v>
      </c>
      <c r="D6803" s="2" t="str">
        <f>_xlfn.XLOOKUP(A6803,'[1]Tissue Data'!$A:$A,'[1]Tissue Data'!$F:$F)</f>
        <v>Pumpkinseed</v>
      </c>
      <c r="E6803" t="str">
        <f>_xlfn.XLOOKUP(A6803,'[1]Tissue Data'!$A:$A,'[1]Tissue Data'!$H:$H)</f>
        <v>Lepomis</v>
      </c>
      <c r="F6803" t="str">
        <f>_xlfn.XLOOKUP(A6803,'[1]Tissue Data'!$A:$A,'[1]Tissue Data'!$I:$I)</f>
        <v>gibbosus</v>
      </c>
      <c r="G6803" t="str">
        <f>_xlfn.XLOOKUP(A6803,'[1]Tissue Data'!$A:$A,'[1]Tissue Data'!J:J)</f>
        <v>U</v>
      </c>
      <c r="H6803" t="str">
        <f>_xlfn.XLOOKUP(A6803,'[1]Tissue Data'!$A:$A,'[1]Tissue Data'!K:K)</f>
        <v>Whole Body</v>
      </c>
      <c r="I6803">
        <f>_xlfn.XLOOKUP(A6803,'[1]Tissue Data'!$A:$A,'[1]Tissue Data'!L:L)</f>
        <v>8</v>
      </c>
      <c r="J6803">
        <f>_xlfn.XLOOKUP(A6803,'[1]Tissue Data'!$A:$A,'[1]Tissue Data'!M:M)</f>
        <v>11.56</v>
      </c>
      <c r="K6803" t="s">
        <v>13</v>
      </c>
      <c r="L6803" t="str">
        <f>_xlfn.XLOOKUP(K6803,[2]analyte_order!$B:$B,[2]analyte_order!$C:$C)</f>
        <v>2706-90-3</v>
      </c>
      <c r="M6803">
        <f>_xlfn.XLOOKUP(L6803,[2]analyte_order!$C:$C,[2]analyte_order!$E:$E)</f>
        <v>2</v>
      </c>
      <c r="N6803">
        <v>7.4499999999999997E-2</v>
      </c>
    </row>
    <row r="6804" spans="1:14">
      <c r="A6804" t="s">
        <v>297</v>
      </c>
      <c r="B6804" t="str">
        <f>_xlfn.XLOOKUP(A6804,'[1]Tissue Data'!$A:$A,'[1]Tissue Data'!$C:$C)</f>
        <v>Down</v>
      </c>
      <c r="C6804" s="2">
        <f>_xlfn.XLOOKUP(A6804,'[1]Tissue Data'!$A:$A,'[1]Tissue Data'!$D:$D)</f>
        <v>44393</v>
      </c>
      <c r="D6804" s="2" t="str">
        <f>_xlfn.XLOOKUP(A6804,'[1]Tissue Data'!$A:$A,'[1]Tissue Data'!$F:$F)</f>
        <v>Pumpkinseed</v>
      </c>
      <c r="E6804" t="str">
        <f>_xlfn.XLOOKUP(A6804,'[1]Tissue Data'!$A:$A,'[1]Tissue Data'!$H:$H)</f>
        <v>Lepomis</v>
      </c>
      <c r="F6804" t="str">
        <f>_xlfn.XLOOKUP(A6804,'[1]Tissue Data'!$A:$A,'[1]Tissue Data'!$I:$I)</f>
        <v>gibbosus</v>
      </c>
      <c r="G6804" t="str">
        <f>_xlfn.XLOOKUP(A6804,'[1]Tissue Data'!$A:$A,'[1]Tissue Data'!J:J)</f>
        <v>U</v>
      </c>
      <c r="H6804" t="str">
        <f>_xlfn.XLOOKUP(A6804,'[1]Tissue Data'!$A:$A,'[1]Tissue Data'!K:K)</f>
        <v>Whole Body</v>
      </c>
      <c r="I6804">
        <f>_xlfn.XLOOKUP(A6804,'[1]Tissue Data'!$A:$A,'[1]Tissue Data'!L:L)</f>
        <v>8</v>
      </c>
      <c r="J6804">
        <f>_xlfn.XLOOKUP(A6804,'[1]Tissue Data'!$A:$A,'[1]Tissue Data'!M:M)</f>
        <v>11.56</v>
      </c>
      <c r="K6804" t="s">
        <v>14</v>
      </c>
      <c r="L6804" t="str">
        <f>_xlfn.XLOOKUP(K6804,[2]analyte_order!$B:$B,[2]analyte_order!$C:$C)</f>
        <v>307-24-4</v>
      </c>
      <c r="M6804">
        <f>_xlfn.XLOOKUP(L6804,[2]analyte_order!$C:$C,[2]analyte_order!$E:$E)</f>
        <v>3</v>
      </c>
      <c r="N6804">
        <v>0.26700000000000002</v>
      </c>
    </row>
    <row r="6805" spans="1:14">
      <c r="A6805" t="s">
        <v>297</v>
      </c>
      <c r="B6805" t="str">
        <f>_xlfn.XLOOKUP(A6805,'[1]Tissue Data'!$A:$A,'[1]Tissue Data'!$C:$C)</f>
        <v>Down</v>
      </c>
      <c r="C6805" s="2">
        <f>_xlfn.XLOOKUP(A6805,'[1]Tissue Data'!$A:$A,'[1]Tissue Data'!$D:$D)</f>
        <v>44393</v>
      </c>
      <c r="D6805" s="2" t="str">
        <f>_xlfn.XLOOKUP(A6805,'[1]Tissue Data'!$A:$A,'[1]Tissue Data'!$F:$F)</f>
        <v>Pumpkinseed</v>
      </c>
      <c r="E6805" t="str">
        <f>_xlfn.XLOOKUP(A6805,'[1]Tissue Data'!$A:$A,'[1]Tissue Data'!$H:$H)</f>
        <v>Lepomis</v>
      </c>
      <c r="F6805" t="str">
        <f>_xlfn.XLOOKUP(A6805,'[1]Tissue Data'!$A:$A,'[1]Tissue Data'!$I:$I)</f>
        <v>gibbosus</v>
      </c>
      <c r="G6805" t="str">
        <f>_xlfn.XLOOKUP(A6805,'[1]Tissue Data'!$A:$A,'[1]Tissue Data'!J:J)</f>
        <v>U</v>
      </c>
      <c r="H6805" t="str">
        <f>_xlfn.XLOOKUP(A6805,'[1]Tissue Data'!$A:$A,'[1]Tissue Data'!K:K)</f>
        <v>Whole Body</v>
      </c>
      <c r="I6805">
        <f>_xlfn.XLOOKUP(A6805,'[1]Tissue Data'!$A:$A,'[1]Tissue Data'!L:L)</f>
        <v>8</v>
      </c>
      <c r="J6805">
        <f>_xlfn.XLOOKUP(A6805,'[1]Tissue Data'!$A:$A,'[1]Tissue Data'!M:M)</f>
        <v>11.56</v>
      </c>
      <c r="K6805" t="s">
        <v>15</v>
      </c>
      <c r="L6805" t="str">
        <f>_xlfn.XLOOKUP(K6805,[2]analyte_order!$B:$B,[2]analyte_order!$C:$C)</f>
        <v>375-85-9</v>
      </c>
      <c r="M6805">
        <f>_xlfn.XLOOKUP(L6805,[2]analyte_order!$C:$C,[2]analyte_order!$E:$E)</f>
        <v>4</v>
      </c>
      <c r="N6805">
        <v>0.106</v>
      </c>
    </row>
    <row r="6806" spans="1:14">
      <c r="A6806" t="s">
        <v>297</v>
      </c>
      <c r="B6806" t="str">
        <f>_xlfn.XLOOKUP(A6806,'[1]Tissue Data'!$A:$A,'[1]Tissue Data'!$C:$C)</f>
        <v>Down</v>
      </c>
      <c r="C6806" s="2">
        <f>_xlfn.XLOOKUP(A6806,'[1]Tissue Data'!$A:$A,'[1]Tissue Data'!$D:$D)</f>
        <v>44393</v>
      </c>
      <c r="D6806" s="2" t="str">
        <f>_xlfn.XLOOKUP(A6806,'[1]Tissue Data'!$A:$A,'[1]Tissue Data'!$F:$F)</f>
        <v>Pumpkinseed</v>
      </c>
      <c r="E6806" t="str">
        <f>_xlfn.XLOOKUP(A6806,'[1]Tissue Data'!$A:$A,'[1]Tissue Data'!$H:$H)</f>
        <v>Lepomis</v>
      </c>
      <c r="F6806" t="str">
        <f>_xlfn.XLOOKUP(A6806,'[1]Tissue Data'!$A:$A,'[1]Tissue Data'!$I:$I)</f>
        <v>gibbosus</v>
      </c>
      <c r="G6806" t="str">
        <f>_xlfn.XLOOKUP(A6806,'[1]Tissue Data'!$A:$A,'[1]Tissue Data'!J:J)</f>
        <v>U</v>
      </c>
      <c r="H6806" t="str">
        <f>_xlfn.XLOOKUP(A6806,'[1]Tissue Data'!$A:$A,'[1]Tissue Data'!K:K)</f>
        <v>Whole Body</v>
      </c>
      <c r="I6806">
        <f>_xlfn.XLOOKUP(A6806,'[1]Tissue Data'!$A:$A,'[1]Tissue Data'!L:L)</f>
        <v>8</v>
      </c>
      <c r="J6806">
        <f>_xlfn.XLOOKUP(A6806,'[1]Tissue Data'!$A:$A,'[1]Tissue Data'!M:M)</f>
        <v>11.56</v>
      </c>
      <c r="K6806" t="s">
        <v>16</v>
      </c>
      <c r="L6806" t="str">
        <f>_xlfn.XLOOKUP(K6806,[2]analyte_order!$B:$B,[2]analyte_order!$C:$C)</f>
        <v>335-67-1</v>
      </c>
      <c r="M6806">
        <f>_xlfn.XLOOKUP(L6806,[2]analyte_order!$C:$C,[2]analyte_order!$E:$E)</f>
        <v>5</v>
      </c>
      <c r="N6806">
        <v>0.316</v>
      </c>
    </row>
    <row r="6807" spans="1:14">
      <c r="A6807" t="s">
        <v>297</v>
      </c>
      <c r="B6807" t="str">
        <f>_xlfn.XLOOKUP(A6807,'[1]Tissue Data'!$A:$A,'[1]Tissue Data'!$C:$C)</f>
        <v>Down</v>
      </c>
      <c r="C6807" s="2">
        <f>_xlfn.XLOOKUP(A6807,'[1]Tissue Data'!$A:$A,'[1]Tissue Data'!$D:$D)</f>
        <v>44393</v>
      </c>
      <c r="D6807" s="2" t="str">
        <f>_xlfn.XLOOKUP(A6807,'[1]Tissue Data'!$A:$A,'[1]Tissue Data'!$F:$F)</f>
        <v>Pumpkinseed</v>
      </c>
      <c r="E6807" t="str">
        <f>_xlfn.XLOOKUP(A6807,'[1]Tissue Data'!$A:$A,'[1]Tissue Data'!$H:$H)</f>
        <v>Lepomis</v>
      </c>
      <c r="F6807" t="str">
        <f>_xlfn.XLOOKUP(A6807,'[1]Tissue Data'!$A:$A,'[1]Tissue Data'!$I:$I)</f>
        <v>gibbosus</v>
      </c>
      <c r="G6807" t="str">
        <f>_xlfn.XLOOKUP(A6807,'[1]Tissue Data'!$A:$A,'[1]Tissue Data'!J:J)</f>
        <v>U</v>
      </c>
      <c r="H6807" t="str">
        <f>_xlfn.XLOOKUP(A6807,'[1]Tissue Data'!$A:$A,'[1]Tissue Data'!K:K)</f>
        <v>Whole Body</v>
      </c>
      <c r="I6807">
        <f>_xlfn.XLOOKUP(A6807,'[1]Tissue Data'!$A:$A,'[1]Tissue Data'!L:L)</f>
        <v>8</v>
      </c>
      <c r="J6807">
        <f>_xlfn.XLOOKUP(A6807,'[1]Tissue Data'!$A:$A,'[1]Tissue Data'!M:M)</f>
        <v>11.56</v>
      </c>
      <c r="K6807" t="s">
        <v>17</v>
      </c>
      <c r="L6807" t="str">
        <f>_xlfn.XLOOKUP(K6807,[2]analyte_order!$B:$B,[2]analyte_order!$C:$C)</f>
        <v>375-95-1</v>
      </c>
      <c r="M6807">
        <f>_xlfn.XLOOKUP(L6807,[2]analyte_order!$C:$C,[2]analyte_order!$E:$E)</f>
        <v>6</v>
      </c>
      <c r="N6807">
        <v>0.106</v>
      </c>
    </row>
    <row r="6808" spans="1:14">
      <c r="A6808" t="s">
        <v>297</v>
      </c>
      <c r="B6808" t="str">
        <f>_xlfn.XLOOKUP(A6808,'[1]Tissue Data'!$A:$A,'[1]Tissue Data'!$C:$C)</f>
        <v>Down</v>
      </c>
      <c r="C6808" s="2">
        <f>_xlfn.XLOOKUP(A6808,'[1]Tissue Data'!$A:$A,'[1]Tissue Data'!$D:$D)</f>
        <v>44393</v>
      </c>
      <c r="D6808" s="2" t="str">
        <f>_xlfn.XLOOKUP(A6808,'[1]Tissue Data'!$A:$A,'[1]Tissue Data'!$F:$F)</f>
        <v>Pumpkinseed</v>
      </c>
      <c r="E6808" t="str">
        <f>_xlfn.XLOOKUP(A6808,'[1]Tissue Data'!$A:$A,'[1]Tissue Data'!$H:$H)</f>
        <v>Lepomis</v>
      </c>
      <c r="F6808" t="str">
        <f>_xlfn.XLOOKUP(A6808,'[1]Tissue Data'!$A:$A,'[1]Tissue Data'!$I:$I)</f>
        <v>gibbosus</v>
      </c>
      <c r="G6808" t="str">
        <f>_xlfn.XLOOKUP(A6808,'[1]Tissue Data'!$A:$A,'[1]Tissue Data'!J:J)</f>
        <v>U</v>
      </c>
      <c r="H6808" t="str">
        <f>_xlfn.XLOOKUP(A6808,'[1]Tissue Data'!$A:$A,'[1]Tissue Data'!K:K)</f>
        <v>Whole Body</v>
      </c>
      <c r="I6808">
        <f>_xlfn.XLOOKUP(A6808,'[1]Tissue Data'!$A:$A,'[1]Tissue Data'!L:L)</f>
        <v>8</v>
      </c>
      <c r="J6808">
        <f>_xlfn.XLOOKUP(A6808,'[1]Tissue Data'!$A:$A,'[1]Tissue Data'!M:M)</f>
        <v>11.56</v>
      </c>
      <c r="K6808" t="s">
        <v>18</v>
      </c>
      <c r="L6808" t="str">
        <f>_xlfn.XLOOKUP(K6808,[2]analyte_order!$B:$B,[2]analyte_order!$C:$C)</f>
        <v>335-76-2</v>
      </c>
      <c r="M6808">
        <f>_xlfn.XLOOKUP(L6808,[2]analyte_order!$C:$C,[2]analyte_order!$E:$E)</f>
        <v>7</v>
      </c>
      <c r="N6808">
        <v>5.98</v>
      </c>
    </row>
    <row r="6809" spans="1:14">
      <c r="A6809" t="s">
        <v>297</v>
      </c>
      <c r="B6809" t="str">
        <f>_xlfn.XLOOKUP(A6809,'[1]Tissue Data'!$A:$A,'[1]Tissue Data'!$C:$C)</f>
        <v>Down</v>
      </c>
      <c r="C6809" s="2">
        <f>_xlfn.XLOOKUP(A6809,'[1]Tissue Data'!$A:$A,'[1]Tissue Data'!$D:$D)</f>
        <v>44393</v>
      </c>
      <c r="D6809" s="2" t="str">
        <f>_xlfn.XLOOKUP(A6809,'[1]Tissue Data'!$A:$A,'[1]Tissue Data'!$F:$F)</f>
        <v>Pumpkinseed</v>
      </c>
      <c r="E6809" t="str">
        <f>_xlfn.XLOOKUP(A6809,'[1]Tissue Data'!$A:$A,'[1]Tissue Data'!$H:$H)</f>
        <v>Lepomis</v>
      </c>
      <c r="F6809" t="str">
        <f>_xlfn.XLOOKUP(A6809,'[1]Tissue Data'!$A:$A,'[1]Tissue Data'!$I:$I)</f>
        <v>gibbosus</v>
      </c>
      <c r="G6809" t="str">
        <f>_xlfn.XLOOKUP(A6809,'[1]Tissue Data'!$A:$A,'[1]Tissue Data'!J:J)</f>
        <v>U</v>
      </c>
      <c r="H6809" t="str">
        <f>_xlfn.XLOOKUP(A6809,'[1]Tissue Data'!$A:$A,'[1]Tissue Data'!K:K)</f>
        <v>Whole Body</v>
      </c>
      <c r="I6809">
        <f>_xlfn.XLOOKUP(A6809,'[1]Tissue Data'!$A:$A,'[1]Tissue Data'!L:L)</f>
        <v>8</v>
      </c>
      <c r="J6809">
        <f>_xlfn.XLOOKUP(A6809,'[1]Tissue Data'!$A:$A,'[1]Tissue Data'!M:M)</f>
        <v>11.56</v>
      </c>
      <c r="K6809" t="s">
        <v>19</v>
      </c>
      <c r="L6809" t="str">
        <f>_xlfn.XLOOKUP(K6809,[2]analyte_order!$B:$B,[2]analyte_order!$C:$C)</f>
        <v>2058-94-8</v>
      </c>
      <c r="M6809">
        <f>_xlfn.XLOOKUP(L6809,[2]analyte_order!$C:$C,[2]analyte_order!$E:$E)</f>
        <v>8</v>
      </c>
      <c r="N6809">
        <v>7.18</v>
      </c>
    </row>
    <row r="6810" spans="1:14">
      <c r="A6810" t="s">
        <v>297</v>
      </c>
      <c r="B6810" t="str">
        <f>_xlfn.XLOOKUP(A6810,'[1]Tissue Data'!$A:$A,'[1]Tissue Data'!$C:$C)</f>
        <v>Down</v>
      </c>
      <c r="C6810" s="2">
        <f>_xlfn.XLOOKUP(A6810,'[1]Tissue Data'!$A:$A,'[1]Tissue Data'!$D:$D)</f>
        <v>44393</v>
      </c>
      <c r="D6810" s="2" t="str">
        <f>_xlfn.XLOOKUP(A6810,'[1]Tissue Data'!$A:$A,'[1]Tissue Data'!$F:$F)</f>
        <v>Pumpkinseed</v>
      </c>
      <c r="E6810" t="str">
        <f>_xlfn.XLOOKUP(A6810,'[1]Tissue Data'!$A:$A,'[1]Tissue Data'!$H:$H)</f>
        <v>Lepomis</v>
      </c>
      <c r="F6810" t="str">
        <f>_xlfn.XLOOKUP(A6810,'[1]Tissue Data'!$A:$A,'[1]Tissue Data'!$I:$I)</f>
        <v>gibbosus</v>
      </c>
      <c r="G6810" t="str">
        <f>_xlfn.XLOOKUP(A6810,'[1]Tissue Data'!$A:$A,'[1]Tissue Data'!J:J)</f>
        <v>U</v>
      </c>
      <c r="H6810" t="str">
        <f>_xlfn.XLOOKUP(A6810,'[1]Tissue Data'!$A:$A,'[1]Tissue Data'!K:K)</f>
        <v>Whole Body</v>
      </c>
      <c r="I6810">
        <f>_xlfn.XLOOKUP(A6810,'[1]Tissue Data'!$A:$A,'[1]Tissue Data'!L:L)</f>
        <v>8</v>
      </c>
      <c r="J6810">
        <f>_xlfn.XLOOKUP(A6810,'[1]Tissue Data'!$A:$A,'[1]Tissue Data'!M:M)</f>
        <v>11.56</v>
      </c>
      <c r="K6810" t="s">
        <v>20</v>
      </c>
      <c r="L6810" t="str">
        <f>_xlfn.XLOOKUP(K6810,[2]analyte_order!$B:$B,[2]analyte_order!$C:$C)</f>
        <v>307-55-1</v>
      </c>
      <c r="M6810">
        <f>_xlfn.XLOOKUP(L6810,[2]analyte_order!$C:$C,[2]analyte_order!$E:$E)</f>
        <v>9</v>
      </c>
      <c r="N6810">
        <v>23</v>
      </c>
    </row>
    <row r="6811" spans="1:14">
      <c r="A6811" t="s">
        <v>297</v>
      </c>
      <c r="B6811" t="str">
        <f>_xlfn.XLOOKUP(A6811,'[1]Tissue Data'!$A:$A,'[1]Tissue Data'!$C:$C)</f>
        <v>Down</v>
      </c>
      <c r="C6811" s="2">
        <f>_xlfn.XLOOKUP(A6811,'[1]Tissue Data'!$A:$A,'[1]Tissue Data'!$D:$D)</f>
        <v>44393</v>
      </c>
      <c r="D6811" s="2" t="str">
        <f>_xlfn.XLOOKUP(A6811,'[1]Tissue Data'!$A:$A,'[1]Tissue Data'!$F:$F)</f>
        <v>Pumpkinseed</v>
      </c>
      <c r="E6811" t="str">
        <f>_xlfn.XLOOKUP(A6811,'[1]Tissue Data'!$A:$A,'[1]Tissue Data'!$H:$H)</f>
        <v>Lepomis</v>
      </c>
      <c r="F6811" t="str">
        <f>_xlfn.XLOOKUP(A6811,'[1]Tissue Data'!$A:$A,'[1]Tissue Data'!$I:$I)</f>
        <v>gibbosus</v>
      </c>
      <c r="G6811" t="str">
        <f>_xlfn.XLOOKUP(A6811,'[1]Tissue Data'!$A:$A,'[1]Tissue Data'!J:J)</f>
        <v>U</v>
      </c>
      <c r="H6811" t="str">
        <f>_xlfn.XLOOKUP(A6811,'[1]Tissue Data'!$A:$A,'[1]Tissue Data'!K:K)</f>
        <v>Whole Body</v>
      </c>
      <c r="I6811">
        <f>_xlfn.XLOOKUP(A6811,'[1]Tissue Data'!$A:$A,'[1]Tissue Data'!L:L)</f>
        <v>8</v>
      </c>
      <c r="J6811">
        <f>_xlfn.XLOOKUP(A6811,'[1]Tissue Data'!$A:$A,'[1]Tissue Data'!M:M)</f>
        <v>11.56</v>
      </c>
      <c r="K6811" t="s">
        <v>21</v>
      </c>
      <c r="L6811" t="str">
        <f>_xlfn.XLOOKUP(K6811,[2]analyte_order!$B:$B,[2]analyte_order!$C:$C)</f>
        <v>72629-94-8</v>
      </c>
      <c r="M6811">
        <f>_xlfn.XLOOKUP(L6811,[2]analyte_order!$C:$C,[2]analyte_order!$E:$E)</f>
        <v>10</v>
      </c>
      <c r="N6811">
        <v>3.74</v>
      </c>
    </row>
    <row r="6812" spans="1:14">
      <c r="A6812" t="s">
        <v>297</v>
      </c>
      <c r="B6812" t="str">
        <f>_xlfn.XLOOKUP(A6812,'[1]Tissue Data'!$A:$A,'[1]Tissue Data'!$C:$C)</f>
        <v>Down</v>
      </c>
      <c r="C6812" s="2">
        <f>_xlfn.XLOOKUP(A6812,'[1]Tissue Data'!$A:$A,'[1]Tissue Data'!$D:$D)</f>
        <v>44393</v>
      </c>
      <c r="D6812" s="2" t="str">
        <f>_xlfn.XLOOKUP(A6812,'[1]Tissue Data'!$A:$A,'[1]Tissue Data'!$F:$F)</f>
        <v>Pumpkinseed</v>
      </c>
      <c r="E6812" t="str">
        <f>_xlfn.XLOOKUP(A6812,'[1]Tissue Data'!$A:$A,'[1]Tissue Data'!$H:$H)</f>
        <v>Lepomis</v>
      </c>
      <c r="F6812" t="str">
        <f>_xlfn.XLOOKUP(A6812,'[1]Tissue Data'!$A:$A,'[1]Tissue Data'!$I:$I)</f>
        <v>gibbosus</v>
      </c>
      <c r="G6812" t="str">
        <f>_xlfn.XLOOKUP(A6812,'[1]Tissue Data'!$A:$A,'[1]Tissue Data'!J:J)</f>
        <v>U</v>
      </c>
      <c r="H6812" t="str">
        <f>_xlfn.XLOOKUP(A6812,'[1]Tissue Data'!$A:$A,'[1]Tissue Data'!K:K)</f>
        <v>Whole Body</v>
      </c>
      <c r="I6812">
        <f>_xlfn.XLOOKUP(A6812,'[1]Tissue Data'!$A:$A,'[1]Tissue Data'!L:L)</f>
        <v>8</v>
      </c>
      <c r="J6812">
        <f>_xlfn.XLOOKUP(A6812,'[1]Tissue Data'!$A:$A,'[1]Tissue Data'!M:M)</f>
        <v>11.56</v>
      </c>
      <c r="K6812" t="s">
        <v>22</v>
      </c>
      <c r="L6812" t="str">
        <f>_xlfn.XLOOKUP(K6812,[2]analyte_order!$B:$B,[2]analyte_order!$C:$C)</f>
        <v>376-06-7</v>
      </c>
      <c r="M6812">
        <f>_xlfn.XLOOKUP(L6812,[2]analyte_order!$C:$C,[2]analyte_order!$E:$E)</f>
        <v>11</v>
      </c>
      <c r="N6812">
        <v>16.600000000000001</v>
      </c>
    </row>
    <row r="6813" spans="1:14">
      <c r="A6813" t="s">
        <v>297</v>
      </c>
      <c r="B6813" t="str">
        <f>_xlfn.XLOOKUP(A6813,'[1]Tissue Data'!$A:$A,'[1]Tissue Data'!$C:$C)</f>
        <v>Down</v>
      </c>
      <c r="C6813" s="2">
        <f>_xlfn.XLOOKUP(A6813,'[1]Tissue Data'!$A:$A,'[1]Tissue Data'!$D:$D)</f>
        <v>44393</v>
      </c>
      <c r="D6813" s="2" t="str">
        <f>_xlfn.XLOOKUP(A6813,'[1]Tissue Data'!$A:$A,'[1]Tissue Data'!$F:$F)</f>
        <v>Pumpkinseed</v>
      </c>
      <c r="E6813" t="str">
        <f>_xlfn.XLOOKUP(A6813,'[1]Tissue Data'!$A:$A,'[1]Tissue Data'!$H:$H)</f>
        <v>Lepomis</v>
      </c>
      <c r="F6813" t="str">
        <f>_xlfn.XLOOKUP(A6813,'[1]Tissue Data'!$A:$A,'[1]Tissue Data'!$I:$I)</f>
        <v>gibbosus</v>
      </c>
      <c r="G6813" t="str">
        <f>_xlfn.XLOOKUP(A6813,'[1]Tissue Data'!$A:$A,'[1]Tissue Data'!J:J)</f>
        <v>U</v>
      </c>
      <c r="H6813" t="str">
        <f>_xlfn.XLOOKUP(A6813,'[1]Tissue Data'!$A:$A,'[1]Tissue Data'!K:K)</f>
        <v>Whole Body</v>
      </c>
      <c r="I6813">
        <f>_xlfn.XLOOKUP(A6813,'[1]Tissue Data'!$A:$A,'[1]Tissue Data'!L:L)</f>
        <v>8</v>
      </c>
      <c r="J6813">
        <f>_xlfn.XLOOKUP(A6813,'[1]Tissue Data'!$A:$A,'[1]Tissue Data'!M:M)</f>
        <v>11.56</v>
      </c>
      <c r="K6813" t="s">
        <v>23</v>
      </c>
      <c r="L6813" t="str">
        <f>_xlfn.XLOOKUP(K6813,[2]analyte_order!$B:$B,[2]analyte_order!$C:$C)</f>
        <v>67905-19-5</v>
      </c>
      <c r="M6813">
        <f>_xlfn.XLOOKUP(L6813,[2]analyte_order!$C:$C,[2]analyte_order!$E:$E)</f>
        <v>12</v>
      </c>
      <c r="N6813">
        <v>0.126</v>
      </c>
    </row>
    <row r="6814" spans="1:14">
      <c r="A6814" t="s">
        <v>297</v>
      </c>
      <c r="B6814" t="str">
        <f>_xlfn.XLOOKUP(A6814,'[1]Tissue Data'!$A:$A,'[1]Tissue Data'!$C:$C)</f>
        <v>Down</v>
      </c>
      <c r="C6814" s="2">
        <f>_xlfn.XLOOKUP(A6814,'[1]Tissue Data'!$A:$A,'[1]Tissue Data'!$D:$D)</f>
        <v>44393</v>
      </c>
      <c r="D6814" s="2" t="str">
        <f>_xlfn.XLOOKUP(A6814,'[1]Tissue Data'!$A:$A,'[1]Tissue Data'!$F:$F)</f>
        <v>Pumpkinseed</v>
      </c>
      <c r="E6814" t="str">
        <f>_xlfn.XLOOKUP(A6814,'[1]Tissue Data'!$A:$A,'[1]Tissue Data'!$H:$H)</f>
        <v>Lepomis</v>
      </c>
      <c r="F6814" t="str">
        <f>_xlfn.XLOOKUP(A6814,'[1]Tissue Data'!$A:$A,'[1]Tissue Data'!$I:$I)</f>
        <v>gibbosus</v>
      </c>
      <c r="G6814" t="str">
        <f>_xlfn.XLOOKUP(A6814,'[1]Tissue Data'!$A:$A,'[1]Tissue Data'!J:J)</f>
        <v>U</v>
      </c>
      <c r="H6814" t="str">
        <f>_xlfn.XLOOKUP(A6814,'[1]Tissue Data'!$A:$A,'[1]Tissue Data'!K:K)</f>
        <v>Whole Body</v>
      </c>
      <c r="I6814">
        <f>_xlfn.XLOOKUP(A6814,'[1]Tissue Data'!$A:$A,'[1]Tissue Data'!L:L)</f>
        <v>8</v>
      </c>
      <c r="J6814">
        <f>_xlfn.XLOOKUP(A6814,'[1]Tissue Data'!$A:$A,'[1]Tissue Data'!M:M)</f>
        <v>11.56</v>
      </c>
      <c r="K6814" t="s">
        <v>24</v>
      </c>
      <c r="L6814" t="str">
        <f>_xlfn.XLOOKUP(K6814,[2]analyte_order!$B:$B,[2]analyte_order!$C:$C)</f>
        <v>423-41-6</v>
      </c>
      <c r="M6814">
        <f>_xlfn.XLOOKUP(L6814,[2]analyte_order!$C:$C,[2]analyte_order!$E:$E)</f>
        <v>53</v>
      </c>
      <c r="N6814">
        <v>0.106</v>
      </c>
    </row>
    <row r="6815" spans="1:14">
      <c r="A6815" t="s">
        <v>297</v>
      </c>
      <c r="B6815" t="str">
        <f>_xlfn.XLOOKUP(A6815,'[1]Tissue Data'!$A:$A,'[1]Tissue Data'!$C:$C)</f>
        <v>Down</v>
      </c>
      <c r="C6815" s="2">
        <f>_xlfn.XLOOKUP(A6815,'[1]Tissue Data'!$A:$A,'[1]Tissue Data'!$D:$D)</f>
        <v>44393</v>
      </c>
      <c r="D6815" s="2" t="str">
        <f>_xlfn.XLOOKUP(A6815,'[1]Tissue Data'!$A:$A,'[1]Tissue Data'!$F:$F)</f>
        <v>Pumpkinseed</v>
      </c>
      <c r="E6815" t="str">
        <f>_xlfn.XLOOKUP(A6815,'[1]Tissue Data'!$A:$A,'[1]Tissue Data'!$H:$H)</f>
        <v>Lepomis</v>
      </c>
      <c r="F6815" t="str">
        <f>_xlfn.XLOOKUP(A6815,'[1]Tissue Data'!$A:$A,'[1]Tissue Data'!$I:$I)</f>
        <v>gibbosus</v>
      </c>
      <c r="G6815" t="str">
        <f>_xlfn.XLOOKUP(A6815,'[1]Tissue Data'!$A:$A,'[1]Tissue Data'!J:J)</f>
        <v>U</v>
      </c>
      <c r="H6815" t="str">
        <f>_xlfn.XLOOKUP(A6815,'[1]Tissue Data'!$A:$A,'[1]Tissue Data'!K:K)</f>
        <v>Whole Body</v>
      </c>
      <c r="I6815">
        <f>_xlfn.XLOOKUP(A6815,'[1]Tissue Data'!$A:$A,'[1]Tissue Data'!L:L)</f>
        <v>8</v>
      </c>
      <c r="J6815">
        <f>_xlfn.XLOOKUP(A6815,'[1]Tissue Data'!$A:$A,'[1]Tissue Data'!M:M)</f>
        <v>11.56</v>
      </c>
      <c r="K6815" t="s">
        <v>25</v>
      </c>
      <c r="L6815" t="str">
        <f>_xlfn.XLOOKUP(K6815,[2]analyte_order!$B:$B,[2]analyte_order!$C:$C)</f>
        <v>375-73-5</v>
      </c>
      <c r="M6815">
        <f>_xlfn.XLOOKUP(L6815,[2]analyte_order!$C:$C,[2]analyte_order!$E:$E)</f>
        <v>14</v>
      </c>
      <c r="N6815">
        <v>0.106</v>
      </c>
    </row>
    <row r="6816" spans="1:14">
      <c r="A6816" t="s">
        <v>297</v>
      </c>
      <c r="B6816" t="str">
        <f>_xlfn.XLOOKUP(A6816,'[1]Tissue Data'!$A:$A,'[1]Tissue Data'!$C:$C)</f>
        <v>Down</v>
      </c>
      <c r="C6816" s="2">
        <f>_xlfn.XLOOKUP(A6816,'[1]Tissue Data'!$A:$A,'[1]Tissue Data'!$D:$D)</f>
        <v>44393</v>
      </c>
      <c r="D6816" s="2" t="str">
        <f>_xlfn.XLOOKUP(A6816,'[1]Tissue Data'!$A:$A,'[1]Tissue Data'!$F:$F)</f>
        <v>Pumpkinseed</v>
      </c>
      <c r="E6816" t="str">
        <f>_xlfn.XLOOKUP(A6816,'[1]Tissue Data'!$A:$A,'[1]Tissue Data'!$H:$H)</f>
        <v>Lepomis</v>
      </c>
      <c r="F6816" t="str">
        <f>_xlfn.XLOOKUP(A6816,'[1]Tissue Data'!$A:$A,'[1]Tissue Data'!$I:$I)</f>
        <v>gibbosus</v>
      </c>
      <c r="G6816" t="str">
        <f>_xlfn.XLOOKUP(A6816,'[1]Tissue Data'!$A:$A,'[1]Tissue Data'!J:J)</f>
        <v>U</v>
      </c>
      <c r="H6816" t="str">
        <f>_xlfn.XLOOKUP(A6816,'[1]Tissue Data'!$A:$A,'[1]Tissue Data'!K:K)</f>
        <v>Whole Body</v>
      </c>
      <c r="I6816">
        <f>_xlfn.XLOOKUP(A6816,'[1]Tissue Data'!$A:$A,'[1]Tissue Data'!L:L)</f>
        <v>8</v>
      </c>
      <c r="J6816">
        <f>_xlfn.XLOOKUP(A6816,'[1]Tissue Data'!$A:$A,'[1]Tissue Data'!M:M)</f>
        <v>11.56</v>
      </c>
      <c r="K6816" t="s">
        <v>26</v>
      </c>
      <c r="L6816" t="str">
        <f>_xlfn.XLOOKUP(K6816,[2]analyte_order!$B:$B,[2]analyte_order!$C:$C)</f>
        <v>2706-91-4</v>
      </c>
      <c r="M6816">
        <f>_xlfn.XLOOKUP(L6816,[2]analyte_order!$C:$C,[2]analyte_order!$E:$E)</f>
        <v>15</v>
      </c>
      <c r="N6816">
        <v>0.112</v>
      </c>
    </row>
    <row r="6817" spans="1:14">
      <c r="A6817" t="s">
        <v>297</v>
      </c>
      <c r="B6817" t="str">
        <f>_xlfn.XLOOKUP(A6817,'[1]Tissue Data'!$A:$A,'[1]Tissue Data'!$C:$C)</f>
        <v>Down</v>
      </c>
      <c r="C6817" s="2">
        <f>_xlfn.XLOOKUP(A6817,'[1]Tissue Data'!$A:$A,'[1]Tissue Data'!$D:$D)</f>
        <v>44393</v>
      </c>
      <c r="D6817" s="2" t="str">
        <f>_xlfn.XLOOKUP(A6817,'[1]Tissue Data'!$A:$A,'[1]Tissue Data'!$F:$F)</f>
        <v>Pumpkinseed</v>
      </c>
      <c r="E6817" t="str">
        <f>_xlfn.XLOOKUP(A6817,'[1]Tissue Data'!$A:$A,'[1]Tissue Data'!$H:$H)</f>
        <v>Lepomis</v>
      </c>
      <c r="F6817" t="str">
        <f>_xlfn.XLOOKUP(A6817,'[1]Tissue Data'!$A:$A,'[1]Tissue Data'!$I:$I)</f>
        <v>gibbosus</v>
      </c>
      <c r="G6817" t="str">
        <f>_xlfn.XLOOKUP(A6817,'[1]Tissue Data'!$A:$A,'[1]Tissue Data'!J:J)</f>
        <v>U</v>
      </c>
      <c r="H6817" t="str">
        <f>_xlfn.XLOOKUP(A6817,'[1]Tissue Data'!$A:$A,'[1]Tissue Data'!K:K)</f>
        <v>Whole Body</v>
      </c>
      <c r="I6817">
        <f>_xlfn.XLOOKUP(A6817,'[1]Tissue Data'!$A:$A,'[1]Tissue Data'!L:L)</f>
        <v>8</v>
      </c>
      <c r="J6817">
        <f>_xlfn.XLOOKUP(A6817,'[1]Tissue Data'!$A:$A,'[1]Tissue Data'!M:M)</f>
        <v>11.56</v>
      </c>
      <c r="K6817" t="s">
        <v>27</v>
      </c>
      <c r="L6817" t="str">
        <f>_xlfn.XLOOKUP(K6817,[2]analyte_order!$B:$B,[2]analyte_order!$C:$C)</f>
        <v>355-46-4</v>
      </c>
      <c r="M6817">
        <f>_xlfn.XLOOKUP(L6817,[2]analyte_order!$C:$C,[2]analyte_order!$E:$E)</f>
        <v>16</v>
      </c>
      <c r="N6817">
        <v>6.09</v>
      </c>
    </row>
    <row r="6818" spans="1:14">
      <c r="A6818" t="s">
        <v>297</v>
      </c>
      <c r="B6818" t="str">
        <f>_xlfn.XLOOKUP(A6818,'[1]Tissue Data'!$A:$A,'[1]Tissue Data'!$C:$C)</f>
        <v>Down</v>
      </c>
      <c r="C6818" s="2">
        <f>_xlfn.XLOOKUP(A6818,'[1]Tissue Data'!$A:$A,'[1]Tissue Data'!$D:$D)</f>
        <v>44393</v>
      </c>
      <c r="D6818" s="2" t="str">
        <f>_xlfn.XLOOKUP(A6818,'[1]Tissue Data'!$A:$A,'[1]Tissue Data'!$F:$F)</f>
        <v>Pumpkinseed</v>
      </c>
      <c r="E6818" t="str">
        <f>_xlfn.XLOOKUP(A6818,'[1]Tissue Data'!$A:$A,'[1]Tissue Data'!$H:$H)</f>
        <v>Lepomis</v>
      </c>
      <c r="F6818" t="str">
        <f>_xlfn.XLOOKUP(A6818,'[1]Tissue Data'!$A:$A,'[1]Tissue Data'!$I:$I)</f>
        <v>gibbosus</v>
      </c>
      <c r="G6818" t="str">
        <f>_xlfn.XLOOKUP(A6818,'[1]Tissue Data'!$A:$A,'[1]Tissue Data'!J:J)</f>
        <v>U</v>
      </c>
      <c r="H6818" t="str">
        <f>_xlfn.XLOOKUP(A6818,'[1]Tissue Data'!$A:$A,'[1]Tissue Data'!K:K)</f>
        <v>Whole Body</v>
      </c>
      <c r="I6818">
        <f>_xlfn.XLOOKUP(A6818,'[1]Tissue Data'!$A:$A,'[1]Tissue Data'!L:L)</f>
        <v>8</v>
      </c>
      <c r="J6818">
        <f>_xlfn.XLOOKUP(A6818,'[1]Tissue Data'!$A:$A,'[1]Tissue Data'!M:M)</f>
        <v>11.56</v>
      </c>
      <c r="K6818" t="s">
        <v>28</v>
      </c>
      <c r="L6818" t="str">
        <f>_xlfn.XLOOKUP(K6818,[2]analyte_order!$B:$B,[2]analyte_order!$C:$C)</f>
        <v>375-92-8</v>
      </c>
      <c r="M6818">
        <f>_xlfn.XLOOKUP(L6818,[2]analyte_order!$C:$C,[2]analyte_order!$E:$E)</f>
        <v>17</v>
      </c>
      <c r="N6818">
        <v>1.02</v>
      </c>
    </row>
    <row r="6819" spans="1:14">
      <c r="A6819" t="s">
        <v>297</v>
      </c>
      <c r="B6819" t="str">
        <f>_xlfn.XLOOKUP(A6819,'[1]Tissue Data'!$A:$A,'[1]Tissue Data'!$C:$C)</f>
        <v>Down</v>
      </c>
      <c r="C6819" s="2">
        <f>_xlfn.XLOOKUP(A6819,'[1]Tissue Data'!$A:$A,'[1]Tissue Data'!$D:$D)</f>
        <v>44393</v>
      </c>
      <c r="D6819" s="2" t="str">
        <f>_xlfn.XLOOKUP(A6819,'[1]Tissue Data'!$A:$A,'[1]Tissue Data'!$F:$F)</f>
        <v>Pumpkinseed</v>
      </c>
      <c r="E6819" t="str">
        <f>_xlfn.XLOOKUP(A6819,'[1]Tissue Data'!$A:$A,'[1]Tissue Data'!$H:$H)</f>
        <v>Lepomis</v>
      </c>
      <c r="F6819" t="str">
        <f>_xlfn.XLOOKUP(A6819,'[1]Tissue Data'!$A:$A,'[1]Tissue Data'!$I:$I)</f>
        <v>gibbosus</v>
      </c>
      <c r="G6819" t="str">
        <f>_xlfn.XLOOKUP(A6819,'[1]Tissue Data'!$A:$A,'[1]Tissue Data'!J:J)</f>
        <v>U</v>
      </c>
      <c r="H6819" t="str">
        <f>_xlfn.XLOOKUP(A6819,'[1]Tissue Data'!$A:$A,'[1]Tissue Data'!K:K)</f>
        <v>Whole Body</v>
      </c>
      <c r="I6819">
        <f>_xlfn.XLOOKUP(A6819,'[1]Tissue Data'!$A:$A,'[1]Tissue Data'!L:L)</f>
        <v>8</v>
      </c>
      <c r="J6819">
        <f>_xlfn.XLOOKUP(A6819,'[1]Tissue Data'!$A:$A,'[1]Tissue Data'!M:M)</f>
        <v>11.56</v>
      </c>
      <c r="K6819" t="s">
        <v>29</v>
      </c>
      <c r="L6819" t="str">
        <f>_xlfn.XLOOKUP(K6819,[2]analyte_order!$B:$B,[2]analyte_order!$C:$C)</f>
        <v>1763-23-1</v>
      </c>
      <c r="M6819">
        <f>_xlfn.XLOOKUP(L6819,[2]analyte_order!$C:$C,[2]analyte_order!$E:$E)</f>
        <v>18</v>
      </c>
      <c r="N6819">
        <v>674</v>
      </c>
    </row>
    <row r="6820" spans="1:14">
      <c r="A6820" t="s">
        <v>297</v>
      </c>
      <c r="B6820" t="str">
        <f>_xlfn.XLOOKUP(A6820,'[1]Tissue Data'!$A:$A,'[1]Tissue Data'!$C:$C)</f>
        <v>Down</v>
      </c>
      <c r="C6820" s="2">
        <f>_xlfn.XLOOKUP(A6820,'[1]Tissue Data'!$A:$A,'[1]Tissue Data'!$D:$D)</f>
        <v>44393</v>
      </c>
      <c r="D6820" s="2" t="str">
        <f>_xlfn.XLOOKUP(A6820,'[1]Tissue Data'!$A:$A,'[1]Tissue Data'!$F:$F)</f>
        <v>Pumpkinseed</v>
      </c>
      <c r="E6820" t="str">
        <f>_xlfn.XLOOKUP(A6820,'[1]Tissue Data'!$A:$A,'[1]Tissue Data'!$H:$H)</f>
        <v>Lepomis</v>
      </c>
      <c r="F6820" t="str">
        <f>_xlfn.XLOOKUP(A6820,'[1]Tissue Data'!$A:$A,'[1]Tissue Data'!$I:$I)</f>
        <v>gibbosus</v>
      </c>
      <c r="G6820" t="str">
        <f>_xlfn.XLOOKUP(A6820,'[1]Tissue Data'!$A:$A,'[1]Tissue Data'!J:J)</f>
        <v>U</v>
      </c>
      <c r="H6820" t="str">
        <f>_xlfn.XLOOKUP(A6820,'[1]Tissue Data'!$A:$A,'[1]Tissue Data'!K:K)</f>
        <v>Whole Body</v>
      </c>
      <c r="I6820">
        <f>_xlfn.XLOOKUP(A6820,'[1]Tissue Data'!$A:$A,'[1]Tissue Data'!L:L)</f>
        <v>8</v>
      </c>
      <c r="J6820">
        <f>_xlfn.XLOOKUP(A6820,'[1]Tissue Data'!$A:$A,'[1]Tissue Data'!M:M)</f>
        <v>11.56</v>
      </c>
      <c r="K6820" t="s">
        <v>30</v>
      </c>
      <c r="L6820" t="str">
        <f>_xlfn.XLOOKUP(K6820,[2]analyte_order!$B:$B,[2]analyte_order!$C:$C)</f>
        <v>68259-12-1</v>
      </c>
      <c r="M6820">
        <f>_xlfn.XLOOKUP(L6820,[2]analyte_order!$C:$C,[2]analyte_order!$E:$E)</f>
        <v>19</v>
      </c>
      <c r="N6820">
        <v>1.44</v>
      </c>
    </row>
    <row r="6821" spans="1:14">
      <c r="A6821" t="s">
        <v>297</v>
      </c>
      <c r="B6821" t="str">
        <f>_xlfn.XLOOKUP(A6821,'[1]Tissue Data'!$A:$A,'[1]Tissue Data'!$C:$C)</f>
        <v>Down</v>
      </c>
      <c r="C6821" s="2">
        <f>_xlfn.XLOOKUP(A6821,'[1]Tissue Data'!$A:$A,'[1]Tissue Data'!$D:$D)</f>
        <v>44393</v>
      </c>
      <c r="D6821" s="2" t="str">
        <f>_xlfn.XLOOKUP(A6821,'[1]Tissue Data'!$A:$A,'[1]Tissue Data'!$F:$F)</f>
        <v>Pumpkinseed</v>
      </c>
      <c r="E6821" t="str">
        <f>_xlfn.XLOOKUP(A6821,'[1]Tissue Data'!$A:$A,'[1]Tissue Data'!$H:$H)</f>
        <v>Lepomis</v>
      </c>
      <c r="F6821" t="str">
        <f>_xlfn.XLOOKUP(A6821,'[1]Tissue Data'!$A:$A,'[1]Tissue Data'!$I:$I)</f>
        <v>gibbosus</v>
      </c>
      <c r="G6821" t="str">
        <f>_xlfn.XLOOKUP(A6821,'[1]Tissue Data'!$A:$A,'[1]Tissue Data'!J:J)</f>
        <v>U</v>
      </c>
      <c r="H6821" t="str">
        <f>_xlfn.XLOOKUP(A6821,'[1]Tissue Data'!$A:$A,'[1]Tissue Data'!K:K)</f>
        <v>Whole Body</v>
      </c>
      <c r="I6821">
        <f>_xlfn.XLOOKUP(A6821,'[1]Tissue Data'!$A:$A,'[1]Tissue Data'!L:L)</f>
        <v>8</v>
      </c>
      <c r="J6821">
        <f>_xlfn.XLOOKUP(A6821,'[1]Tissue Data'!$A:$A,'[1]Tissue Data'!M:M)</f>
        <v>11.56</v>
      </c>
      <c r="K6821" t="s">
        <v>31</v>
      </c>
      <c r="L6821" t="str">
        <f>_xlfn.XLOOKUP(K6821,[2]analyte_order!$B:$B,[2]analyte_order!$C:$C)</f>
        <v>335-77-3</v>
      </c>
      <c r="M6821">
        <f>_xlfn.XLOOKUP(L6821,[2]analyte_order!$C:$C,[2]analyte_order!$E:$E)</f>
        <v>20</v>
      </c>
      <c r="N6821">
        <v>1.22</v>
      </c>
    </row>
    <row r="6822" spans="1:14">
      <c r="A6822" t="s">
        <v>297</v>
      </c>
      <c r="B6822" t="str">
        <f>_xlfn.XLOOKUP(A6822,'[1]Tissue Data'!$A:$A,'[1]Tissue Data'!$C:$C)</f>
        <v>Down</v>
      </c>
      <c r="C6822" s="2">
        <f>_xlfn.XLOOKUP(A6822,'[1]Tissue Data'!$A:$A,'[1]Tissue Data'!$D:$D)</f>
        <v>44393</v>
      </c>
      <c r="D6822" s="2" t="str">
        <f>_xlfn.XLOOKUP(A6822,'[1]Tissue Data'!$A:$A,'[1]Tissue Data'!$F:$F)</f>
        <v>Pumpkinseed</v>
      </c>
      <c r="E6822" t="str">
        <f>_xlfn.XLOOKUP(A6822,'[1]Tissue Data'!$A:$A,'[1]Tissue Data'!$H:$H)</f>
        <v>Lepomis</v>
      </c>
      <c r="F6822" t="str">
        <f>_xlfn.XLOOKUP(A6822,'[1]Tissue Data'!$A:$A,'[1]Tissue Data'!$I:$I)</f>
        <v>gibbosus</v>
      </c>
      <c r="G6822" t="str">
        <f>_xlfn.XLOOKUP(A6822,'[1]Tissue Data'!$A:$A,'[1]Tissue Data'!J:J)</f>
        <v>U</v>
      </c>
      <c r="H6822" t="str">
        <f>_xlfn.XLOOKUP(A6822,'[1]Tissue Data'!$A:$A,'[1]Tissue Data'!K:K)</f>
        <v>Whole Body</v>
      </c>
      <c r="I6822">
        <f>_xlfn.XLOOKUP(A6822,'[1]Tissue Data'!$A:$A,'[1]Tissue Data'!L:L)</f>
        <v>8</v>
      </c>
      <c r="J6822">
        <f>_xlfn.XLOOKUP(A6822,'[1]Tissue Data'!$A:$A,'[1]Tissue Data'!M:M)</f>
        <v>11.56</v>
      </c>
      <c r="K6822" t="s">
        <v>32</v>
      </c>
      <c r="L6822" t="str">
        <f>_xlfn.XLOOKUP(K6822,[2]analyte_order!$B:$B,[2]analyte_order!$C:$C)</f>
        <v>79780-39-5</v>
      </c>
      <c r="M6822">
        <f>_xlfn.XLOOKUP(L6822,[2]analyte_order!$C:$C,[2]analyte_order!$E:$E)</f>
        <v>21</v>
      </c>
      <c r="N6822">
        <v>0.22650000000000001</v>
      </c>
    </row>
    <row r="6823" spans="1:14">
      <c r="A6823" t="s">
        <v>297</v>
      </c>
      <c r="B6823" t="str">
        <f>_xlfn.XLOOKUP(A6823,'[1]Tissue Data'!$A:$A,'[1]Tissue Data'!$C:$C)</f>
        <v>Down</v>
      </c>
      <c r="C6823" s="2">
        <f>_xlfn.XLOOKUP(A6823,'[1]Tissue Data'!$A:$A,'[1]Tissue Data'!$D:$D)</f>
        <v>44393</v>
      </c>
      <c r="D6823" s="2" t="str">
        <f>_xlfn.XLOOKUP(A6823,'[1]Tissue Data'!$A:$A,'[1]Tissue Data'!$F:$F)</f>
        <v>Pumpkinseed</v>
      </c>
      <c r="E6823" t="str">
        <f>_xlfn.XLOOKUP(A6823,'[1]Tissue Data'!$A:$A,'[1]Tissue Data'!$H:$H)</f>
        <v>Lepomis</v>
      </c>
      <c r="F6823" t="str">
        <f>_xlfn.XLOOKUP(A6823,'[1]Tissue Data'!$A:$A,'[1]Tissue Data'!$I:$I)</f>
        <v>gibbosus</v>
      </c>
      <c r="G6823" t="str">
        <f>_xlfn.XLOOKUP(A6823,'[1]Tissue Data'!$A:$A,'[1]Tissue Data'!J:J)</f>
        <v>U</v>
      </c>
      <c r="H6823" t="str">
        <f>_xlfn.XLOOKUP(A6823,'[1]Tissue Data'!$A:$A,'[1]Tissue Data'!K:K)</f>
        <v>Whole Body</v>
      </c>
      <c r="I6823">
        <f>_xlfn.XLOOKUP(A6823,'[1]Tissue Data'!$A:$A,'[1]Tissue Data'!L:L)</f>
        <v>8</v>
      </c>
      <c r="J6823">
        <f>_xlfn.XLOOKUP(A6823,'[1]Tissue Data'!$A:$A,'[1]Tissue Data'!M:M)</f>
        <v>11.56</v>
      </c>
      <c r="K6823" t="s">
        <v>33</v>
      </c>
      <c r="L6823" t="str">
        <f>_xlfn.XLOOKUP(K6823,[2]analyte_order!$B:$B,[2]analyte_order!$C:$C)</f>
        <v>777011-38-8</v>
      </c>
      <c r="M6823">
        <f>_xlfn.XLOOKUP(L6823,[2]analyte_order!$C:$C,[2]analyte_order!$E:$E)</f>
        <v>54</v>
      </c>
      <c r="N6823">
        <v>0.1285</v>
      </c>
    </row>
    <row r="6824" spans="1:14">
      <c r="A6824" t="s">
        <v>297</v>
      </c>
      <c r="B6824" t="str">
        <f>_xlfn.XLOOKUP(A6824,'[1]Tissue Data'!$A:$A,'[1]Tissue Data'!$C:$C)</f>
        <v>Down</v>
      </c>
      <c r="C6824" s="2">
        <f>_xlfn.XLOOKUP(A6824,'[1]Tissue Data'!$A:$A,'[1]Tissue Data'!$D:$D)</f>
        <v>44393</v>
      </c>
      <c r="D6824" s="2" t="str">
        <f>_xlfn.XLOOKUP(A6824,'[1]Tissue Data'!$A:$A,'[1]Tissue Data'!$F:$F)</f>
        <v>Pumpkinseed</v>
      </c>
      <c r="E6824" t="str">
        <f>_xlfn.XLOOKUP(A6824,'[1]Tissue Data'!$A:$A,'[1]Tissue Data'!$H:$H)</f>
        <v>Lepomis</v>
      </c>
      <c r="F6824" t="str">
        <f>_xlfn.XLOOKUP(A6824,'[1]Tissue Data'!$A:$A,'[1]Tissue Data'!$I:$I)</f>
        <v>gibbosus</v>
      </c>
      <c r="G6824" t="str">
        <f>_xlfn.XLOOKUP(A6824,'[1]Tissue Data'!$A:$A,'[1]Tissue Data'!J:J)</f>
        <v>U</v>
      </c>
      <c r="H6824" t="str">
        <f>_xlfn.XLOOKUP(A6824,'[1]Tissue Data'!$A:$A,'[1]Tissue Data'!K:K)</f>
        <v>Whole Body</v>
      </c>
      <c r="I6824">
        <f>_xlfn.XLOOKUP(A6824,'[1]Tissue Data'!$A:$A,'[1]Tissue Data'!L:L)</f>
        <v>8</v>
      </c>
      <c r="J6824">
        <f>_xlfn.XLOOKUP(A6824,'[1]Tissue Data'!$A:$A,'[1]Tissue Data'!M:M)</f>
        <v>11.56</v>
      </c>
      <c r="K6824" t="s">
        <v>34</v>
      </c>
      <c r="L6824" t="str">
        <f>_xlfn.XLOOKUP(K6824,[2]analyte_order!$B:$B,[2]analyte_order!$C:$C)</f>
        <v>646-83-3</v>
      </c>
      <c r="M6824">
        <f>_xlfn.XLOOKUP(L6824,[2]analyte_order!$C:$C,[2]analyte_order!$E:$E)</f>
        <v>55</v>
      </c>
      <c r="N6824">
        <v>8.4500000000000006E-2</v>
      </c>
    </row>
    <row r="6825" spans="1:14">
      <c r="A6825" t="s">
        <v>297</v>
      </c>
      <c r="B6825" t="str">
        <f>_xlfn.XLOOKUP(A6825,'[1]Tissue Data'!$A:$A,'[1]Tissue Data'!$C:$C)</f>
        <v>Down</v>
      </c>
      <c r="C6825" s="2">
        <f>_xlfn.XLOOKUP(A6825,'[1]Tissue Data'!$A:$A,'[1]Tissue Data'!$D:$D)</f>
        <v>44393</v>
      </c>
      <c r="D6825" s="2" t="str">
        <f>_xlfn.XLOOKUP(A6825,'[1]Tissue Data'!$A:$A,'[1]Tissue Data'!$F:$F)</f>
        <v>Pumpkinseed</v>
      </c>
      <c r="E6825" t="str">
        <f>_xlfn.XLOOKUP(A6825,'[1]Tissue Data'!$A:$A,'[1]Tissue Data'!$H:$H)</f>
        <v>Lepomis</v>
      </c>
      <c r="F6825" t="str">
        <f>_xlfn.XLOOKUP(A6825,'[1]Tissue Data'!$A:$A,'[1]Tissue Data'!$I:$I)</f>
        <v>gibbosus</v>
      </c>
      <c r="G6825" t="str">
        <f>_xlfn.XLOOKUP(A6825,'[1]Tissue Data'!$A:$A,'[1]Tissue Data'!J:J)</f>
        <v>U</v>
      </c>
      <c r="H6825" t="str">
        <f>_xlfn.XLOOKUP(A6825,'[1]Tissue Data'!$A:$A,'[1]Tissue Data'!K:K)</f>
        <v>Whole Body</v>
      </c>
      <c r="I6825">
        <f>_xlfn.XLOOKUP(A6825,'[1]Tissue Data'!$A:$A,'[1]Tissue Data'!L:L)</f>
        <v>8</v>
      </c>
      <c r="J6825">
        <f>_xlfn.XLOOKUP(A6825,'[1]Tissue Data'!$A:$A,'[1]Tissue Data'!M:M)</f>
        <v>11.56</v>
      </c>
      <c r="K6825" t="s">
        <v>35</v>
      </c>
      <c r="L6825" t="str">
        <f>_xlfn.XLOOKUP(K6825,[2]analyte_order!$B:$B,[2]analyte_order!$C:$C)</f>
        <v>30334-69-1</v>
      </c>
      <c r="M6825">
        <f>_xlfn.XLOOKUP(L6825,[2]analyte_order!$C:$C,[2]analyte_order!$E:$E)</f>
        <v>51</v>
      </c>
      <c r="N6825">
        <v>57.5</v>
      </c>
    </row>
    <row r="6826" spans="1:14">
      <c r="A6826" t="s">
        <v>297</v>
      </c>
      <c r="B6826" t="str">
        <f>_xlfn.XLOOKUP(A6826,'[1]Tissue Data'!$A:$A,'[1]Tissue Data'!$C:$C)</f>
        <v>Down</v>
      </c>
      <c r="C6826" s="2">
        <f>_xlfn.XLOOKUP(A6826,'[1]Tissue Data'!$A:$A,'[1]Tissue Data'!$D:$D)</f>
        <v>44393</v>
      </c>
      <c r="D6826" s="2" t="str">
        <f>_xlfn.XLOOKUP(A6826,'[1]Tissue Data'!$A:$A,'[1]Tissue Data'!$F:$F)</f>
        <v>Pumpkinseed</v>
      </c>
      <c r="E6826" t="str">
        <f>_xlfn.XLOOKUP(A6826,'[1]Tissue Data'!$A:$A,'[1]Tissue Data'!$H:$H)</f>
        <v>Lepomis</v>
      </c>
      <c r="F6826" t="str">
        <f>_xlfn.XLOOKUP(A6826,'[1]Tissue Data'!$A:$A,'[1]Tissue Data'!$I:$I)</f>
        <v>gibbosus</v>
      </c>
      <c r="G6826" t="str">
        <f>_xlfn.XLOOKUP(A6826,'[1]Tissue Data'!$A:$A,'[1]Tissue Data'!J:J)</f>
        <v>U</v>
      </c>
      <c r="H6826" t="str">
        <f>_xlfn.XLOOKUP(A6826,'[1]Tissue Data'!$A:$A,'[1]Tissue Data'!K:K)</f>
        <v>Whole Body</v>
      </c>
      <c r="I6826">
        <f>_xlfn.XLOOKUP(A6826,'[1]Tissue Data'!$A:$A,'[1]Tissue Data'!L:L)</f>
        <v>8</v>
      </c>
      <c r="J6826">
        <f>_xlfn.XLOOKUP(A6826,'[1]Tissue Data'!$A:$A,'[1]Tissue Data'!M:M)</f>
        <v>11.56</v>
      </c>
      <c r="K6826" t="s">
        <v>36</v>
      </c>
      <c r="L6826" t="str">
        <f>_xlfn.XLOOKUP(K6826,[2]analyte_order!$B:$B,[2]analyte_order!$C:$C)</f>
        <v>41997-13-1</v>
      </c>
      <c r="M6826">
        <f>_xlfn.XLOOKUP(L6826,[2]analyte_order!$C:$C,[2]analyte_order!$E:$E)</f>
        <v>52</v>
      </c>
      <c r="N6826">
        <v>70.5</v>
      </c>
    </row>
    <row r="6827" spans="1:14">
      <c r="A6827" t="s">
        <v>297</v>
      </c>
      <c r="B6827" t="str">
        <f>_xlfn.XLOOKUP(A6827,'[1]Tissue Data'!$A:$A,'[1]Tissue Data'!$C:$C)</f>
        <v>Down</v>
      </c>
      <c r="C6827" s="2">
        <f>_xlfn.XLOOKUP(A6827,'[1]Tissue Data'!$A:$A,'[1]Tissue Data'!$D:$D)</f>
        <v>44393</v>
      </c>
      <c r="D6827" s="2" t="str">
        <f>_xlfn.XLOOKUP(A6827,'[1]Tissue Data'!$A:$A,'[1]Tissue Data'!$F:$F)</f>
        <v>Pumpkinseed</v>
      </c>
      <c r="E6827" t="str">
        <f>_xlfn.XLOOKUP(A6827,'[1]Tissue Data'!$A:$A,'[1]Tissue Data'!$H:$H)</f>
        <v>Lepomis</v>
      </c>
      <c r="F6827" t="str">
        <f>_xlfn.XLOOKUP(A6827,'[1]Tissue Data'!$A:$A,'[1]Tissue Data'!$I:$I)</f>
        <v>gibbosus</v>
      </c>
      <c r="G6827" t="str">
        <f>_xlfn.XLOOKUP(A6827,'[1]Tissue Data'!$A:$A,'[1]Tissue Data'!J:J)</f>
        <v>U</v>
      </c>
      <c r="H6827" t="str">
        <f>_xlfn.XLOOKUP(A6827,'[1]Tissue Data'!$A:$A,'[1]Tissue Data'!K:K)</f>
        <v>Whole Body</v>
      </c>
      <c r="I6827">
        <f>_xlfn.XLOOKUP(A6827,'[1]Tissue Data'!$A:$A,'[1]Tissue Data'!L:L)</f>
        <v>8</v>
      </c>
      <c r="J6827">
        <f>_xlfn.XLOOKUP(A6827,'[1]Tissue Data'!$A:$A,'[1]Tissue Data'!M:M)</f>
        <v>11.56</v>
      </c>
      <c r="K6827" t="s">
        <v>37</v>
      </c>
      <c r="L6827" t="str">
        <f>_xlfn.XLOOKUP(K6827,[2]analyte_order!$B:$B,[2]analyte_order!$C:$C)</f>
        <v>754-91-6</v>
      </c>
      <c r="M6827">
        <f>_xlfn.XLOOKUP(L6827,[2]analyte_order!$C:$C,[2]analyte_order!$E:$E)</f>
        <v>28</v>
      </c>
      <c r="N6827">
        <v>9.8000000000000007</v>
      </c>
    </row>
    <row r="6828" spans="1:14">
      <c r="A6828" t="s">
        <v>297</v>
      </c>
      <c r="B6828" t="str">
        <f>_xlfn.XLOOKUP(A6828,'[1]Tissue Data'!$A:$A,'[1]Tissue Data'!$C:$C)</f>
        <v>Down</v>
      </c>
      <c r="C6828" s="2">
        <f>_xlfn.XLOOKUP(A6828,'[1]Tissue Data'!$A:$A,'[1]Tissue Data'!$D:$D)</f>
        <v>44393</v>
      </c>
      <c r="D6828" s="2" t="str">
        <f>_xlfn.XLOOKUP(A6828,'[1]Tissue Data'!$A:$A,'[1]Tissue Data'!$F:$F)</f>
        <v>Pumpkinseed</v>
      </c>
      <c r="E6828" t="str">
        <f>_xlfn.XLOOKUP(A6828,'[1]Tissue Data'!$A:$A,'[1]Tissue Data'!$H:$H)</f>
        <v>Lepomis</v>
      </c>
      <c r="F6828" t="str">
        <f>_xlfn.XLOOKUP(A6828,'[1]Tissue Data'!$A:$A,'[1]Tissue Data'!$I:$I)</f>
        <v>gibbosus</v>
      </c>
      <c r="G6828" t="str">
        <f>_xlfn.XLOOKUP(A6828,'[1]Tissue Data'!$A:$A,'[1]Tissue Data'!J:J)</f>
        <v>U</v>
      </c>
      <c r="H6828" t="str">
        <f>_xlfn.XLOOKUP(A6828,'[1]Tissue Data'!$A:$A,'[1]Tissue Data'!K:K)</f>
        <v>Whole Body</v>
      </c>
      <c r="I6828">
        <f>_xlfn.XLOOKUP(A6828,'[1]Tissue Data'!$A:$A,'[1]Tissue Data'!L:L)</f>
        <v>8</v>
      </c>
      <c r="J6828">
        <f>_xlfn.XLOOKUP(A6828,'[1]Tissue Data'!$A:$A,'[1]Tissue Data'!M:M)</f>
        <v>11.56</v>
      </c>
      <c r="K6828" t="s">
        <v>38</v>
      </c>
      <c r="L6828" t="str">
        <f>_xlfn.XLOOKUP(K6828,[2]analyte_order!$B:$B,[2]analyte_order!$C:$C)</f>
        <v>31506-32-8</v>
      </c>
      <c r="M6828">
        <f>_xlfn.XLOOKUP(L6828,[2]analyte_order!$C:$C,[2]analyte_order!$E:$E)</f>
        <v>30</v>
      </c>
      <c r="N6828">
        <v>8.1500000000000003E-2</v>
      </c>
    </row>
    <row r="6829" spans="1:14">
      <c r="A6829" t="s">
        <v>297</v>
      </c>
      <c r="B6829" t="str">
        <f>_xlfn.XLOOKUP(A6829,'[1]Tissue Data'!$A:$A,'[1]Tissue Data'!$C:$C)</f>
        <v>Down</v>
      </c>
      <c r="C6829" s="2">
        <f>_xlfn.XLOOKUP(A6829,'[1]Tissue Data'!$A:$A,'[1]Tissue Data'!$D:$D)</f>
        <v>44393</v>
      </c>
      <c r="D6829" s="2" t="str">
        <f>_xlfn.XLOOKUP(A6829,'[1]Tissue Data'!$A:$A,'[1]Tissue Data'!$F:$F)</f>
        <v>Pumpkinseed</v>
      </c>
      <c r="E6829" t="str">
        <f>_xlfn.XLOOKUP(A6829,'[1]Tissue Data'!$A:$A,'[1]Tissue Data'!$H:$H)</f>
        <v>Lepomis</v>
      </c>
      <c r="F6829" t="str">
        <f>_xlfn.XLOOKUP(A6829,'[1]Tissue Data'!$A:$A,'[1]Tissue Data'!$I:$I)</f>
        <v>gibbosus</v>
      </c>
      <c r="G6829" t="str">
        <f>_xlfn.XLOOKUP(A6829,'[1]Tissue Data'!$A:$A,'[1]Tissue Data'!J:J)</f>
        <v>U</v>
      </c>
      <c r="H6829" t="str">
        <f>_xlfn.XLOOKUP(A6829,'[1]Tissue Data'!$A:$A,'[1]Tissue Data'!K:K)</f>
        <v>Whole Body</v>
      </c>
      <c r="I6829">
        <f>_xlfn.XLOOKUP(A6829,'[1]Tissue Data'!$A:$A,'[1]Tissue Data'!L:L)</f>
        <v>8</v>
      </c>
      <c r="J6829">
        <f>_xlfn.XLOOKUP(A6829,'[1]Tissue Data'!$A:$A,'[1]Tissue Data'!M:M)</f>
        <v>11.56</v>
      </c>
      <c r="K6829" t="s">
        <v>39</v>
      </c>
      <c r="L6829" t="str">
        <f>_xlfn.XLOOKUP(K6829,[2]analyte_order!$B:$B,[2]analyte_order!$C:$C)</f>
        <v>4151-50-2</v>
      </c>
      <c r="M6829">
        <f>_xlfn.XLOOKUP(L6829,[2]analyte_order!$C:$C,[2]analyte_order!$E:$E)</f>
        <v>31</v>
      </c>
      <c r="N6829">
        <v>0.21149999999999999</v>
      </c>
    </row>
    <row r="6830" spans="1:14">
      <c r="A6830" t="s">
        <v>297</v>
      </c>
      <c r="B6830" t="str">
        <f>_xlfn.XLOOKUP(A6830,'[1]Tissue Data'!$A:$A,'[1]Tissue Data'!$C:$C)</f>
        <v>Down</v>
      </c>
      <c r="C6830" s="2">
        <f>_xlfn.XLOOKUP(A6830,'[1]Tissue Data'!$A:$A,'[1]Tissue Data'!$D:$D)</f>
        <v>44393</v>
      </c>
      <c r="D6830" s="2" t="str">
        <f>_xlfn.XLOOKUP(A6830,'[1]Tissue Data'!$A:$A,'[1]Tissue Data'!$F:$F)</f>
        <v>Pumpkinseed</v>
      </c>
      <c r="E6830" t="str">
        <f>_xlfn.XLOOKUP(A6830,'[1]Tissue Data'!$A:$A,'[1]Tissue Data'!$H:$H)</f>
        <v>Lepomis</v>
      </c>
      <c r="F6830" t="str">
        <f>_xlfn.XLOOKUP(A6830,'[1]Tissue Data'!$A:$A,'[1]Tissue Data'!$I:$I)</f>
        <v>gibbosus</v>
      </c>
      <c r="G6830" t="str">
        <f>_xlfn.XLOOKUP(A6830,'[1]Tissue Data'!$A:$A,'[1]Tissue Data'!J:J)</f>
        <v>U</v>
      </c>
      <c r="H6830" t="str">
        <f>_xlfn.XLOOKUP(A6830,'[1]Tissue Data'!$A:$A,'[1]Tissue Data'!K:K)</f>
        <v>Whole Body</v>
      </c>
      <c r="I6830">
        <f>_xlfn.XLOOKUP(A6830,'[1]Tissue Data'!$A:$A,'[1]Tissue Data'!L:L)</f>
        <v>8</v>
      </c>
      <c r="J6830">
        <f>_xlfn.XLOOKUP(A6830,'[1]Tissue Data'!$A:$A,'[1]Tissue Data'!M:M)</f>
        <v>11.56</v>
      </c>
      <c r="K6830" t="s">
        <v>40</v>
      </c>
      <c r="L6830" t="str">
        <f>_xlfn.XLOOKUP(K6830,[2]analyte_order!$B:$B,[2]analyte_order!$C:$C)</f>
        <v>2806-24-8</v>
      </c>
      <c r="M6830">
        <f>_xlfn.XLOOKUP(L6830,[2]analyte_order!$C:$C,[2]analyte_order!$E:$E)</f>
        <v>29</v>
      </c>
      <c r="N6830">
        <v>0.21149999999999999</v>
      </c>
    </row>
    <row r="6831" spans="1:14">
      <c r="A6831" t="s">
        <v>297</v>
      </c>
      <c r="B6831" t="str">
        <f>_xlfn.XLOOKUP(A6831,'[1]Tissue Data'!$A:$A,'[1]Tissue Data'!$C:$C)</f>
        <v>Down</v>
      </c>
      <c r="C6831" s="2">
        <f>_xlfn.XLOOKUP(A6831,'[1]Tissue Data'!$A:$A,'[1]Tissue Data'!$D:$D)</f>
        <v>44393</v>
      </c>
      <c r="D6831" s="2" t="str">
        <f>_xlfn.XLOOKUP(A6831,'[1]Tissue Data'!$A:$A,'[1]Tissue Data'!$F:$F)</f>
        <v>Pumpkinseed</v>
      </c>
      <c r="E6831" t="str">
        <f>_xlfn.XLOOKUP(A6831,'[1]Tissue Data'!$A:$A,'[1]Tissue Data'!$H:$H)</f>
        <v>Lepomis</v>
      </c>
      <c r="F6831" t="str">
        <f>_xlfn.XLOOKUP(A6831,'[1]Tissue Data'!$A:$A,'[1]Tissue Data'!$I:$I)</f>
        <v>gibbosus</v>
      </c>
      <c r="G6831" t="str">
        <f>_xlfn.XLOOKUP(A6831,'[1]Tissue Data'!$A:$A,'[1]Tissue Data'!J:J)</f>
        <v>U</v>
      </c>
      <c r="H6831" t="str">
        <f>_xlfn.XLOOKUP(A6831,'[1]Tissue Data'!$A:$A,'[1]Tissue Data'!K:K)</f>
        <v>Whole Body</v>
      </c>
      <c r="I6831">
        <f>_xlfn.XLOOKUP(A6831,'[1]Tissue Data'!$A:$A,'[1]Tissue Data'!L:L)</f>
        <v>8</v>
      </c>
      <c r="J6831">
        <f>_xlfn.XLOOKUP(A6831,'[1]Tissue Data'!$A:$A,'[1]Tissue Data'!M:M)</f>
        <v>11.56</v>
      </c>
      <c r="K6831" t="s">
        <v>41</v>
      </c>
      <c r="L6831" t="str">
        <f>_xlfn.XLOOKUP(K6831,[2]analyte_order!$B:$B,[2]analyte_order!$C:$C)</f>
        <v>2355-31-9</v>
      </c>
      <c r="M6831">
        <f>_xlfn.XLOOKUP(L6831,[2]analyte_order!$C:$C,[2]analyte_order!$E:$E)</f>
        <v>26</v>
      </c>
      <c r="N6831">
        <v>0.1065</v>
      </c>
    </row>
    <row r="6832" spans="1:14">
      <c r="A6832" t="s">
        <v>297</v>
      </c>
      <c r="B6832" t="str">
        <f>_xlfn.XLOOKUP(A6832,'[1]Tissue Data'!$A:$A,'[1]Tissue Data'!$C:$C)</f>
        <v>Down</v>
      </c>
      <c r="C6832" s="2">
        <f>_xlfn.XLOOKUP(A6832,'[1]Tissue Data'!$A:$A,'[1]Tissue Data'!$D:$D)</f>
        <v>44393</v>
      </c>
      <c r="D6832" s="2" t="str">
        <f>_xlfn.XLOOKUP(A6832,'[1]Tissue Data'!$A:$A,'[1]Tissue Data'!$F:$F)</f>
        <v>Pumpkinseed</v>
      </c>
      <c r="E6832" t="str">
        <f>_xlfn.XLOOKUP(A6832,'[1]Tissue Data'!$A:$A,'[1]Tissue Data'!$H:$H)</f>
        <v>Lepomis</v>
      </c>
      <c r="F6832" t="str">
        <f>_xlfn.XLOOKUP(A6832,'[1]Tissue Data'!$A:$A,'[1]Tissue Data'!$I:$I)</f>
        <v>gibbosus</v>
      </c>
      <c r="G6832" t="str">
        <f>_xlfn.XLOOKUP(A6832,'[1]Tissue Data'!$A:$A,'[1]Tissue Data'!J:J)</f>
        <v>U</v>
      </c>
      <c r="H6832" t="str">
        <f>_xlfn.XLOOKUP(A6832,'[1]Tissue Data'!$A:$A,'[1]Tissue Data'!K:K)</f>
        <v>Whole Body</v>
      </c>
      <c r="I6832">
        <f>_xlfn.XLOOKUP(A6832,'[1]Tissue Data'!$A:$A,'[1]Tissue Data'!L:L)</f>
        <v>8</v>
      </c>
      <c r="J6832">
        <f>_xlfn.XLOOKUP(A6832,'[1]Tissue Data'!$A:$A,'[1]Tissue Data'!M:M)</f>
        <v>11.56</v>
      </c>
      <c r="K6832" t="s">
        <v>42</v>
      </c>
      <c r="L6832" t="str">
        <f>_xlfn.XLOOKUP(K6832,[2]analyte_order!$B:$B,[2]analyte_order!$C:$C)</f>
        <v>2991-50-6</v>
      </c>
      <c r="M6832">
        <f>_xlfn.XLOOKUP(L6832,[2]analyte_order!$C:$C,[2]analyte_order!$E:$E)</f>
        <v>27</v>
      </c>
      <c r="N6832">
        <v>0.106</v>
      </c>
    </row>
    <row r="6833" spans="1:14">
      <c r="A6833" t="s">
        <v>297</v>
      </c>
      <c r="B6833" t="str">
        <f>_xlfn.XLOOKUP(A6833,'[1]Tissue Data'!$A:$A,'[1]Tissue Data'!$C:$C)</f>
        <v>Down</v>
      </c>
      <c r="C6833" s="2">
        <f>_xlfn.XLOOKUP(A6833,'[1]Tissue Data'!$A:$A,'[1]Tissue Data'!$D:$D)</f>
        <v>44393</v>
      </c>
      <c r="D6833" s="2" t="str">
        <f>_xlfn.XLOOKUP(A6833,'[1]Tissue Data'!$A:$A,'[1]Tissue Data'!$F:$F)</f>
        <v>Pumpkinseed</v>
      </c>
      <c r="E6833" t="str">
        <f>_xlfn.XLOOKUP(A6833,'[1]Tissue Data'!$A:$A,'[1]Tissue Data'!$H:$H)</f>
        <v>Lepomis</v>
      </c>
      <c r="F6833" t="str">
        <f>_xlfn.XLOOKUP(A6833,'[1]Tissue Data'!$A:$A,'[1]Tissue Data'!$I:$I)</f>
        <v>gibbosus</v>
      </c>
      <c r="G6833" t="str">
        <f>_xlfn.XLOOKUP(A6833,'[1]Tissue Data'!$A:$A,'[1]Tissue Data'!J:J)</f>
        <v>U</v>
      </c>
      <c r="H6833" t="str">
        <f>_xlfn.XLOOKUP(A6833,'[1]Tissue Data'!$A:$A,'[1]Tissue Data'!K:K)</f>
        <v>Whole Body</v>
      </c>
      <c r="I6833">
        <f>_xlfn.XLOOKUP(A6833,'[1]Tissue Data'!$A:$A,'[1]Tissue Data'!L:L)</f>
        <v>8</v>
      </c>
      <c r="J6833">
        <f>_xlfn.XLOOKUP(A6833,'[1]Tissue Data'!$A:$A,'[1]Tissue Data'!M:M)</f>
        <v>11.56</v>
      </c>
      <c r="K6833" t="s">
        <v>43</v>
      </c>
      <c r="L6833" t="str">
        <f>_xlfn.XLOOKUP(K6833,[2]analyte_order!$B:$B,[2]analyte_order!$C:$C)</f>
        <v>757124-72-4</v>
      </c>
      <c r="M6833">
        <f>_xlfn.XLOOKUP(L6833,[2]analyte_order!$C:$C,[2]analyte_order!$E:$E)</f>
        <v>22</v>
      </c>
      <c r="N6833">
        <v>0.106</v>
      </c>
    </row>
    <row r="6834" spans="1:14">
      <c r="A6834" t="s">
        <v>297</v>
      </c>
      <c r="B6834" t="str">
        <f>_xlfn.XLOOKUP(A6834,'[1]Tissue Data'!$A:$A,'[1]Tissue Data'!$C:$C)</f>
        <v>Down</v>
      </c>
      <c r="C6834" s="2">
        <f>_xlfn.XLOOKUP(A6834,'[1]Tissue Data'!$A:$A,'[1]Tissue Data'!$D:$D)</f>
        <v>44393</v>
      </c>
      <c r="D6834" s="2" t="str">
        <f>_xlfn.XLOOKUP(A6834,'[1]Tissue Data'!$A:$A,'[1]Tissue Data'!$F:$F)</f>
        <v>Pumpkinseed</v>
      </c>
      <c r="E6834" t="str">
        <f>_xlfn.XLOOKUP(A6834,'[1]Tissue Data'!$A:$A,'[1]Tissue Data'!$H:$H)</f>
        <v>Lepomis</v>
      </c>
      <c r="F6834" t="str">
        <f>_xlfn.XLOOKUP(A6834,'[1]Tissue Data'!$A:$A,'[1]Tissue Data'!$I:$I)</f>
        <v>gibbosus</v>
      </c>
      <c r="G6834" t="str">
        <f>_xlfn.XLOOKUP(A6834,'[1]Tissue Data'!$A:$A,'[1]Tissue Data'!J:J)</f>
        <v>U</v>
      </c>
      <c r="H6834" t="str">
        <f>_xlfn.XLOOKUP(A6834,'[1]Tissue Data'!$A:$A,'[1]Tissue Data'!K:K)</f>
        <v>Whole Body</v>
      </c>
      <c r="I6834">
        <f>_xlfn.XLOOKUP(A6834,'[1]Tissue Data'!$A:$A,'[1]Tissue Data'!L:L)</f>
        <v>8</v>
      </c>
      <c r="J6834">
        <f>_xlfn.XLOOKUP(A6834,'[1]Tissue Data'!$A:$A,'[1]Tissue Data'!M:M)</f>
        <v>11.56</v>
      </c>
      <c r="K6834" t="s">
        <v>44</v>
      </c>
      <c r="L6834" t="str">
        <f>_xlfn.XLOOKUP(K6834,[2]analyte_order!$B:$B,[2]analyte_order!$C:$C)</f>
        <v>27619-97-2</v>
      </c>
      <c r="M6834">
        <f>_xlfn.XLOOKUP(L6834,[2]analyte_order!$C:$C,[2]analyte_order!$E:$E)</f>
        <v>23</v>
      </c>
      <c r="N6834">
        <v>0.21149999999999999</v>
      </c>
    </row>
    <row r="6835" spans="1:14">
      <c r="A6835" t="s">
        <v>297</v>
      </c>
      <c r="B6835" t="str">
        <f>_xlfn.XLOOKUP(A6835,'[1]Tissue Data'!$A:$A,'[1]Tissue Data'!$C:$C)</f>
        <v>Down</v>
      </c>
      <c r="C6835" s="2">
        <f>_xlfn.XLOOKUP(A6835,'[1]Tissue Data'!$A:$A,'[1]Tissue Data'!$D:$D)</f>
        <v>44393</v>
      </c>
      <c r="D6835" s="2" t="str">
        <f>_xlfn.XLOOKUP(A6835,'[1]Tissue Data'!$A:$A,'[1]Tissue Data'!$F:$F)</f>
        <v>Pumpkinseed</v>
      </c>
      <c r="E6835" t="str">
        <f>_xlfn.XLOOKUP(A6835,'[1]Tissue Data'!$A:$A,'[1]Tissue Data'!$H:$H)</f>
        <v>Lepomis</v>
      </c>
      <c r="F6835" t="str">
        <f>_xlfn.XLOOKUP(A6835,'[1]Tissue Data'!$A:$A,'[1]Tissue Data'!$I:$I)</f>
        <v>gibbosus</v>
      </c>
      <c r="G6835" t="str">
        <f>_xlfn.XLOOKUP(A6835,'[1]Tissue Data'!$A:$A,'[1]Tissue Data'!J:J)</f>
        <v>U</v>
      </c>
      <c r="H6835" t="str">
        <f>_xlfn.XLOOKUP(A6835,'[1]Tissue Data'!$A:$A,'[1]Tissue Data'!K:K)</f>
        <v>Whole Body</v>
      </c>
      <c r="I6835">
        <f>_xlfn.XLOOKUP(A6835,'[1]Tissue Data'!$A:$A,'[1]Tissue Data'!L:L)</f>
        <v>8</v>
      </c>
      <c r="J6835">
        <f>_xlfn.XLOOKUP(A6835,'[1]Tissue Data'!$A:$A,'[1]Tissue Data'!M:M)</f>
        <v>11.56</v>
      </c>
      <c r="K6835" t="s">
        <v>45</v>
      </c>
      <c r="L6835" t="str">
        <f>_xlfn.XLOOKUP(K6835,[2]analyte_order!$B:$B,[2]analyte_order!$C:$C)</f>
        <v>39108-34-4</v>
      </c>
      <c r="M6835">
        <f>_xlfn.XLOOKUP(L6835,[2]analyte_order!$C:$C,[2]analyte_order!$E:$E)</f>
        <v>24</v>
      </c>
      <c r="N6835">
        <v>2.76</v>
      </c>
    </row>
    <row r="6836" spans="1:14">
      <c r="A6836" t="s">
        <v>297</v>
      </c>
      <c r="B6836" t="str">
        <f>_xlfn.XLOOKUP(A6836,'[1]Tissue Data'!$A:$A,'[1]Tissue Data'!$C:$C)</f>
        <v>Down</v>
      </c>
      <c r="C6836" s="2">
        <f>_xlfn.XLOOKUP(A6836,'[1]Tissue Data'!$A:$A,'[1]Tissue Data'!$D:$D)</f>
        <v>44393</v>
      </c>
      <c r="D6836" s="2" t="str">
        <f>_xlfn.XLOOKUP(A6836,'[1]Tissue Data'!$A:$A,'[1]Tissue Data'!$F:$F)</f>
        <v>Pumpkinseed</v>
      </c>
      <c r="E6836" t="str">
        <f>_xlfn.XLOOKUP(A6836,'[1]Tissue Data'!$A:$A,'[1]Tissue Data'!$H:$H)</f>
        <v>Lepomis</v>
      </c>
      <c r="F6836" t="str">
        <f>_xlfn.XLOOKUP(A6836,'[1]Tissue Data'!$A:$A,'[1]Tissue Data'!$I:$I)</f>
        <v>gibbosus</v>
      </c>
      <c r="G6836" t="str">
        <f>_xlfn.XLOOKUP(A6836,'[1]Tissue Data'!$A:$A,'[1]Tissue Data'!J:J)</f>
        <v>U</v>
      </c>
      <c r="H6836" t="str">
        <f>_xlfn.XLOOKUP(A6836,'[1]Tissue Data'!$A:$A,'[1]Tissue Data'!K:K)</f>
        <v>Whole Body</v>
      </c>
      <c r="I6836">
        <f>_xlfn.XLOOKUP(A6836,'[1]Tissue Data'!$A:$A,'[1]Tissue Data'!L:L)</f>
        <v>8</v>
      </c>
      <c r="J6836">
        <f>_xlfn.XLOOKUP(A6836,'[1]Tissue Data'!$A:$A,'[1]Tissue Data'!M:M)</f>
        <v>11.56</v>
      </c>
      <c r="K6836" t="s">
        <v>46</v>
      </c>
      <c r="L6836" t="str">
        <f>_xlfn.XLOOKUP(K6836,[2]analyte_order!$B:$B,[2]analyte_order!$C:$C)</f>
        <v>120226-60-0</v>
      </c>
      <c r="M6836">
        <f>_xlfn.XLOOKUP(L6836,[2]analyte_order!$C:$C,[2]analyte_order!$E:$E)</f>
        <v>25</v>
      </c>
      <c r="N6836">
        <v>0.21149999999999999</v>
      </c>
    </row>
    <row r="6837" spans="1:14">
      <c r="A6837" t="s">
        <v>297</v>
      </c>
      <c r="B6837" t="str">
        <f>_xlfn.XLOOKUP(A6837,'[1]Tissue Data'!$A:$A,'[1]Tissue Data'!$C:$C)</f>
        <v>Down</v>
      </c>
      <c r="C6837" s="2">
        <f>_xlfn.XLOOKUP(A6837,'[1]Tissue Data'!$A:$A,'[1]Tissue Data'!$D:$D)</f>
        <v>44393</v>
      </c>
      <c r="D6837" s="2" t="str">
        <f>_xlfn.XLOOKUP(A6837,'[1]Tissue Data'!$A:$A,'[1]Tissue Data'!$F:$F)</f>
        <v>Pumpkinseed</v>
      </c>
      <c r="E6837" t="str">
        <f>_xlfn.XLOOKUP(A6837,'[1]Tissue Data'!$A:$A,'[1]Tissue Data'!$H:$H)</f>
        <v>Lepomis</v>
      </c>
      <c r="F6837" t="str">
        <f>_xlfn.XLOOKUP(A6837,'[1]Tissue Data'!$A:$A,'[1]Tissue Data'!$I:$I)</f>
        <v>gibbosus</v>
      </c>
      <c r="G6837" t="str">
        <f>_xlfn.XLOOKUP(A6837,'[1]Tissue Data'!$A:$A,'[1]Tissue Data'!J:J)</f>
        <v>U</v>
      </c>
      <c r="H6837" t="str">
        <f>_xlfn.XLOOKUP(A6837,'[1]Tissue Data'!$A:$A,'[1]Tissue Data'!K:K)</f>
        <v>Whole Body</v>
      </c>
      <c r="I6837">
        <f>_xlfn.XLOOKUP(A6837,'[1]Tissue Data'!$A:$A,'[1]Tissue Data'!L:L)</f>
        <v>8</v>
      </c>
      <c r="J6837">
        <f>_xlfn.XLOOKUP(A6837,'[1]Tissue Data'!$A:$A,'[1]Tissue Data'!M:M)</f>
        <v>11.56</v>
      </c>
      <c r="K6837" t="s">
        <v>47</v>
      </c>
      <c r="L6837" t="str">
        <f>_xlfn.XLOOKUP(K6837,[2]analyte_order!$B:$B,[2]analyte_order!$C:$C)</f>
        <v>356-02-5</v>
      </c>
      <c r="M6837">
        <f>_xlfn.XLOOKUP(L6837,[2]analyte_order!$C:$C,[2]analyte_order!$E:$E)</f>
        <v>38</v>
      </c>
      <c r="N6837">
        <v>0.21149999999999999</v>
      </c>
    </row>
    <row r="6838" spans="1:14">
      <c r="A6838" t="s">
        <v>297</v>
      </c>
      <c r="B6838" t="str">
        <f>_xlfn.XLOOKUP(A6838,'[1]Tissue Data'!$A:$A,'[1]Tissue Data'!$C:$C)</f>
        <v>Down</v>
      </c>
      <c r="C6838" s="2">
        <f>_xlfn.XLOOKUP(A6838,'[1]Tissue Data'!$A:$A,'[1]Tissue Data'!$D:$D)</f>
        <v>44393</v>
      </c>
      <c r="D6838" s="2" t="str">
        <f>_xlfn.XLOOKUP(A6838,'[1]Tissue Data'!$A:$A,'[1]Tissue Data'!$F:$F)</f>
        <v>Pumpkinseed</v>
      </c>
      <c r="E6838" t="str">
        <f>_xlfn.XLOOKUP(A6838,'[1]Tissue Data'!$A:$A,'[1]Tissue Data'!$H:$H)</f>
        <v>Lepomis</v>
      </c>
      <c r="F6838" t="str">
        <f>_xlfn.XLOOKUP(A6838,'[1]Tissue Data'!$A:$A,'[1]Tissue Data'!$I:$I)</f>
        <v>gibbosus</v>
      </c>
      <c r="G6838" t="str">
        <f>_xlfn.XLOOKUP(A6838,'[1]Tissue Data'!$A:$A,'[1]Tissue Data'!J:J)</f>
        <v>U</v>
      </c>
      <c r="H6838" t="str">
        <f>_xlfn.XLOOKUP(A6838,'[1]Tissue Data'!$A:$A,'[1]Tissue Data'!K:K)</f>
        <v>Whole Body</v>
      </c>
      <c r="I6838">
        <f>_xlfn.XLOOKUP(A6838,'[1]Tissue Data'!$A:$A,'[1]Tissue Data'!L:L)</f>
        <v>8</v>
      </c>
      <c r="J6838">
        <f>_xlfn.XLOOKUP(A6838,'[1]Tissue Data'!$A:$A,'[1]Tissue Data'!M:M)</f>
        <v>11.56</v>
      </c>
      <c r="K6838" t="s">
        <v>48</v>
      </c>
      <c r="L6838" t="str">
        <f>_xlfn.XLOOKUP(K6838,[2]analyte_order!$B:$B,[2]analyte_order!$C:$C)</f>
        <v>914637-49-3</v>
      </c>
      <c r="M6838">
        <f>_xlfn.XLOOKUP(L6838,[2]analyte_order!$C:$C,[2]analyte_order!$E:$E)</f>
        <v>39</v>
      </c>
      <c r="N6838">
        <v>0.106</v>
      </c>
    </row>
    <row r="6839" spans="1:14">
      <c r="A6839" t="s">
        <v>297</v>
      </c>
      <c r="B6839" t="str">
        <f>_xlfn.XLOOKUP(A6839,'[1]Tissue Data'!$A:$A,'[1]Tissue Data'!$C:$C)</f>
        <v>Down</v>
      </c>
      <c r="C6839" s="2">
        <f>_xlfn.XLOOKUP(A6839,'[1]Tissue Data'!$A:$A,'[1]Tissue Data'!$D:$D)</f>
        <v>44393</v>
      </c>
      <c r="D6839" s="2" t="str">
        <f>_xlfn.XLOOKUP(A6839,'[1]Tissue Data'!$A:$A,'[1]Tissue Data'!$F:$F)</f>
        <v>Pumpkinseed</v>
      </c>
      <c r="E6839" t="str">
        <f>_xlfn.XLOOKUP(A6839,'[1]Tissue Data'!$A:$A,'[1]Tissue Data'!$H:$H)</f>
        <v>Lepomis</v>
      </c>
      <c r="F6839" t="str">
        <f>_xlfn.XLOOKUP(A6839,'[1]Tissue Data'!$A:$A,'[1]Tissue Data'!$I:$I)</f>
        <v>gibbosus</v>
      </c>
      <c r="G6839" t="str">
        <f>_xlfn.XLOOKUP(A6839,'[1]Tissue Data'!$A:$A,'[1]Tissue Data'!J:J)</f>
        <v>U</v>
      </c>
      <c r="H6839" t="str">
        <f>_xlfn.XLOOKUP(A6839,'[1]Tissue Data'!$A:$A,'[1]Tissue Data'!K:K)</f>
        <v>Whole Body</v>
      </c>
      <c r="I6839">
        <f>_xlfn.XLOOKUP(A6839,'[1]Tissue Data'!$A:$A,'[1]Tissue Data'!L:L)</f>
        <v>8</v>
      </c>
      <c r="J6839">
        <f>_xlfn.XLOOKUP(A6839,'[1]Tissue Data'!$A:$A,'[1]Tissue Data'!M:M)</f>
        <v>11.56</v>
      </c>
      <c r="K6839" t="s">
        <v>49</v>
      </c>
      <c r="L6839" t="str">
        <f>_xlfn.XLOOKUP(K6839,[2]analyte_order!$B:$B,[2]analyte_order!$C:$C)</f>
        <v>812-70-4</v>
      </c>
      <c r="M6839">
        <f>_xlfn.XLOOKUP(L6839,[2]analyte_order!$C:$C,[2]analyte_order!$E:$E)</f>
        <v>40</v>
      </c>
      <c r="N6839">
        <v>2.38</v>
      </c>
    </row>
    <row r="6840" spans="1:14">
      <c r="A6840" t="s">
        <v>297</v>
      </c>
      <c r="B6840" t="str">
        <f>_xlfn.XLOOKUP(A6840,'[1]Tissue Data'!$A:$A,'[1]Tissue Data'!$C:$C)</f>
        <v>Down</v>
      </c>
      <c r="C6840" s="2">
        <f>_xlfn.XLOOKUP(A6840,'[1]Tissue Data'!$A:$A,'[1]Tissue Data'!$D:$D)</f>
        <v>44393</v>
      </c>
      <c r="D6840" s="2" t="str">
        <f>_xlfn.XLOOKUP(A6840,'[1]Tissue Data'!$A:$A,'[1]Tissue Data'!$F:$F)</f>
        <v>Pumpkinseed</v>
      </c>
      <c r="E6840" t="str">
        <f>_xlfn.XLOOKUP(A6840,'[1]Tissue Data'!$A:$A,'[1]Tissue Data'!$H:$H)</f>
        <v>Lepomis</v>
      </c>
      <c r="F6840" t="str">
        <f>_xlfn.XLOOKUP(A6840,'[1]Tissue Data'!$A:$A,'[1]Tissue Data'!$I:$I)</f>
        <v>gibbosus</v>
      </c>
      <c r="G6840" t="str">
        <f>_xlfn.XLOOKUP(A6840,'[1]Tissue Data'!$A:$A,'[1]Tissue Data'!J:J)</f>
        <v>U</v>
      </c>
      <c r="H6840" t="str">
        <f>_xlfn.XLOOKUP(A6840,'[1]Tissue Data'!$A:$A,'[1]Tissue Data'!K:K)</f>
        <v>Whole Body</v>
      </c>
      <c r="I6840">
        <f>_xlfn.XLOOKUP(A6840,'[1]Tissue Data'!$A:$A,'[1]Tissue Data'!L:L)</f>
        <v>8</v>
      </c>
      <c r="J6840">
        <f>_xlfn.XLOOKUP(A6840,'[1]Tissue Data'!$A:$A,'[1]Tissue Data'!M:M)</f>
        <v>11.56</v>
      </c>
      <c r="K6840" t="s">
        <v>50</v>
      </c>
      <c r="L6840" t="str">
        <f>_xlfn.XLOOKUP(K6840,[2]analyte_order!$B:$B,[2]analyte_order!$C:$C)</f>
        <v>53826-12-3</v>
      </c>
      <c r="M6840">
        <f>_xlfn.XLOOKUP(L6840,[2]analyte_order!$C:$C,[2]analyte_order!$E:$E)</f>
        <v>41</v>
      </c>
      <c r="N6840">
        <v>0.21149999999999999</v>
      </c>
    </row>
    <row r="6841" spans="1:14">
      <c r="A6841" t="s">
        <v>297</v>
      </c>
      <c r="B6841" t="str">
        <f>_xlfn.XLOOKUP(A6841,'[1]Tissue Data'!$A:$A,'[1]Tissue Data'!$C:$C)</f>
        <v>Down</v>
      </c>
      <c r="C6841" s="2">
        <f>_xlfn.XLOOKUP(A6841,'[1]Tissue Data'!$A:$A,'[1]Tissue Data'!$D:$D)</f>
        <v>44393</v>
      </c>
      <c r="D6841" s="2" t="str">
        <f>_xlfn.XLOOKUP(A6841,'[1]Tissue Data'!$A:$A,'[1]Tissue Data'!$F:$F)</f>
        <v>Pumpkinseed</v>
      </c>
      <c r="E6841" t="str">
        <f>_xlfn.XLOOKUP(A6841,'[1]Tissue Data'!$A:$A,'[1]Tissue Data'!$H:$H)</f>
        <v>Lepomis</v>
      </c>
      <c r="F6841" t="str">
        <f>_xlfn.XLOOKUP(A6841,'[1]Tissue Data'!$A:$A,'[1]Tissue Data'!$I:$I)</f>
        <v>gibbosus</v>
      </c>
      <c r="G6841" t="str">
        <f>_xlfn.XLOOKUP(A6841,'[1]Tissue Data'!$A:$A,'[1]Tissue Data'!J:J)</f>
        <v>U</v>
      </c>
      <c r="H6841" t="str">
        <f>_xlfn.XLOOKUP(A6841,'[1]Tissue Data'!$A:$A,'[1]Tissue Data'!K:K)</f>
        <v>Whole Body</v>
      </c>
      <c r="I6841">
        <f>_xlfn.XLOOKUP(A6841,'[1]Tissue Data'!$A:$A,'[1]Tissue Data'!L:L)</f>
        <v>8</v>
      </c>
      <c r="J6841">
        <f>_xlfn.XLOOKUP(A6841,'[1]Tissue Data'!$A:$A,'[1]Tissue Data'!M:M)</f>
        <v>11.56</v>
      </c>
      <c r="K6841" t="s">
        <v>51</v>
      </c>
      <c r="L6841" t="str">
        <f>_xlfn.XLOOKUP(K6841,[2]analyte_order!$B:$B,[2]analyte_order!$C:$C)</f>
        <v>27854-31-5</v>
      </c>
      <c r="M6841">
        <f>_xlfn.XLOOKUP(L6841,[2]analyte_order!$C:$C,[2]analyte_order!$E:$E)</f>
        <v>42</v>
      </c>
      <c r="N6841">
        <v>0.106</v>
      </c>
    </row>
    <row r="6842" spans="1:14">
      <c r="A6842" t="s">
        <v>297</v>
      </c>
      <c r="B6842" t="str">
        <f>_xlfn.XLOOKUP(A6842,'[1]Tissue Data'!$A:$A,'[1]Tissue Data'!$C:$C)</f>
        <v>Down</v>
      </c>
      <c r="C6842" s="2">
        <f>_xlfn.XLOOKUP(A6842,'[1]Tissue Data'!$A:$A,'[1]Tissue Data'!$D:$D)</f>
        <v>44393</v>
      </c>
      <c r="D6842" s="2" t="str">
        <f>_xlfn.XLOOKUP(A6842,'[1]Tissue Data'!$A:$A,'[1]Tissue Data'!$F:$F)</f>
        <v>Pumpkinseed</v>
      </c>
      <c r="E6842" t="str">
        <f>_xlfn.XLOOKUP(A6842,'[1]Tissue Data'!$A:$A,'[1]Tissue Data'!$H:$H)</f>
        <v>Lepomis</v>
      </c>
      <c r="F6842" t="str">
        <f>_xlfn.XLOOKUP(A6842,'[1]Tissue Data'!$A:$A,'[1]Tissue Data'!$I:$I)</f>
        <v>gibbosus</v>
      </c>
      <c r="G6842" t="str">
        <f>_xlfn.XLOOKUP(A6842,'[1]Tissue Data'!$A:$A,'[1]Tissue Data'!J:J)</f>
        <v>U</v>
      </c>
      <c r="H6842" t="str">
        <f>_xlfn.XLOOKUP(A6842,'[1]Tissue Data'!$A:$A,'[1]Tissue Data'!K:K)</f>
        <v>Whole Body</v>
      </c>
      <c r="I6842">
        <f>_xlfn.XLOOKUP(A6842,'[1]Tissue Data'!$A:$A,'[1]Tissue Data'!L:L)</f>
        <v>8</v>
      </c>
      <c r="J6842">
        <f>_xlfn.XLOOKUP(A6842,'[1]Tissue Data'!$A:$A,'[1]Tissue Data'!M:M)</f>
        <v>11.56</v>
      </c>
      <c r="K6842" t="s">
        <v>52</v>
      </c>
      <c r="L6842" t="str">
        <f>_xlfn.XLOOKUP(K6842,[2]analyte_order!$B:$B,[2]analyte_order!$C:$C)</f>
        <v>53826-13-4</v>
      </c>
      <c r="M6842">
        <f>_xlfn.XLOOKUP(L6842,[2]analyte_order!$C:$C,[2]analyte_order!$E:$E)</f>
        <v>43</v>
      </c>
      <c r="N6842">
        <v>0.21149999999999999</v>
      </c>
    </row>
    <row r="6843" spans="1:14">
      <c r="A6843" t="s">
        <v>297</v>
      </c>
      <c r="B6843" t="str">
        <f>_xlfn.XLOOKUP(A6843,'[1]Tissue Data'!$A:$A,'[1]Tissue Data'!$C:$C)</f>
        <v>Down</v>
      </c>
      <c r="C6843" s="2">
        <f>_xlfn.XLOOKUP(A6843,'[1]Tissue Data'!$A:$A,'[1]Tissue Data'!$D:$D)</f>
        <v>44393</v>
      </c>
      <c r="D6843" s="2" t="str">
        <f>_xlfn.XLOOKUP(A6843,'[1]Tissue Data'!$A:$A,'[1]Tissue Data'!$F:$F)</f>
        <v>Pumpkinseed</v>
      </c>
      <c r="E6843" t="str">
        <f>_xlfn.XLOOKUP(A6843,'[1]Tissue Data'!$A:$A,'[1]Tissue Data'!$H:$H)</f>
        <v>Lepomis</v>
      </c>
      <c r="F6843" t="str">
        <f>_xlfn.XLOOKUP(A6843,'[1]Tissue Data'!$A:$A,'[1]Tissue Data'!$I:$I)</f>
        <v>gibbosus</v>
      </c>
      <c r="G6843" t="str">
        <f>_xlfn.XLOOKUP(A6843,'[1]Tissue Data'!$A:$A,'[1]Tissue Data'!J:J)</f>
        <v>U</v>
      </c>
      <c r="H6843" t="str">
        <f>_xlfn.XLOOKUP(A6843,'[1]Tissue Data'!$A:$A,'[1]Tissue Data'!K:K)</f>
        <v>Whole Body</v>
      </c>
      <c r="I6843">
        <f>_xlfn.XLOOKUP(A6843,'[1]Tissue Data'!$A:$A,'[1]Tissue Data'!L:L)</f>
        <v>8</v>
      </c>
      <c r="J6843">
        <f>_xlfn.XLOOKUP(A6843,'[1]Tissue Data'!$A:$A,'[1]Tissue Data'!M:M)</f>
        <v>11.56</v>
      </c>
      <c r="K6843" t="s">
        <v>53</v>
      </c>
      <c r="L6843" t="str">
        <f>_xlfn.XLOOKUP(K6843,[2]analyte_order!$B:$B,[2]analyte_order!$C:$C)</f>
        <v>161094-75-3</v>
      </c>
      <c r="M6843">
        <f>_xlfn.XLOOKUP(L6843,[2]analyte_order!$C:$C,[2]analyte_order!$E:$E)</f>
        <v>44</v>
      </c>
      <c r="N6843">
        <v>8.3000000000000004E-2</v>
      </c>
    </row>
    <row r="6844" spans="1:14">
      <c r="A6844" t="s">
        <v>297</v>
      </c>
      <c r="B6844" t="str">
        <f>_xlfn.XLOOKUP(A6844,'[1]Tissue Data'!$A:$A,'[1]Tissue Data'!$C:$C)</f>
        <v>Down</v>
      </c>
      <c r="C6844" s="2">
        <f>_xlfn.XLOOKUP(A6844,'[1]Tissue Data'!$A:$A,'[1]Tissue Data'!$D:$D)</f>
        <v>44393</v>
      </c>
      <c r="D6844" s="2" t="str">
        <f>_xlfn.XLOOKUP(A6844,'[1]Tissue Data'!$A:$A,'[1]Tissue Data'!$F:$F)</f>
        <v>Pumpkinseed</v>
      </c>
      <c r="E6844" t="str">
        <f>_xlfn.XLOOKUP(A6844,'[1]Tissue Data'!$A:$A,'[1]Tissue Data'!$H:$H)</f>
        <v>Lepomis</v>
      </c>
      <c r="F6844" t="str">
        <f>_xlfn.XLOOKUP(A6844,'[1]Tissue Data'!$A:$A,'[1]Tissue Data'!$I:$I)</f>
        <v>gibbosus</v>
      </c>
      <c r="G6844" t="str">
        <f>_xlfn.XLOOKUP(A6844,'[1]Tissue Data'!$A:$A,'[1]Tissue Data'!J:J)</f>
        <v>U</v>
      </c>
      <c r="H6844" t="str">
        <f>_xlfn.XLOOKUP(A6844,'[1]Tissue Data'!$A:$A,'[1]Tissue Data'!K:K)</f>
        <v>Whole Body</v>
      </c>
      <c r="I6844">
        <f>_xlfn.XLOOKUP(A6844,'[1]Tissue Data'!$A:$A,'[1]Tissue Data'!L:L)</f>
        <v>8</v>
      </c>
      <c r="J6844">
        <f>_xlfn.XLOOKUP(A6844,'[1]Tissue Data'!$A:$A,'[1]Tissue Data'!M:M)</f>
        <v>11.56</v>
      </c>
      <c r="K6844" t="s">
        <v>54</v>
      </c>
      <c r="L6844" t="str">
        <f>_xlfn.XLOOKUP(K6844,[2]analyte_order!$B:$B,[2]analyte_order!$C:$C)</f>
        <v>70887-84-2</v>
      </c>
      <c r="M6844">
        <f>_xlfn.XLOOKUP(L6844,[2]analyte_order!$C:$C,[2]analyte_order!$E:$E)</f>
        <v>45</v>
      </c>
      <c r="N6844">
        <v>6.4000000000000001E-2</v>
      </c>
    </row>
    <row r="6845" spans="1:14">
      <c r="A6845" t="s">
        <v>297</v>
      </c>
      <c r="B6845" t="str">
        <f>_xlfn.XLOOKUP(A6845,'[1]Tissue Data'!$A:$A,'[1]Tissue Data'!$C:$C)</f>
        <v>Down</v>
      </c>
      <c r="C6845" s="2">
        <f>_xlfn.XLOOKUP(A6845,'[1]Tissue Data'!$A:$A,'[1]Tissue Data'!$D:$D)</f>
        <v>44393</v>
      </c>
      <c r="D6845" s="2" t="str">
        <f>_xlfn.XLOOKUP(A6845,'[1]Tissue Data'!$A:$A,'[1]Tissue Data'!$F:$F)</f>
        <v>Pumpkinseed</v>
      </c>
      <c r="E6845" t="str">
        <f>_xlfn.XLOOKUP(A6845,'[1]Tissue Data'!$A:$A,'[1]Tissue Data'!$H:$H)</f>
        <v>Lepomis</v>
      </c>
      <c r="F6845" t="str">
        <f>_xlfn.XLOOKUP(A6845,'[1]Tissue Data'!$A:$A,'[1]Tissue Data'!$I:$I)</f>
        <v>gibbosus</v>
      </c>
      <c r="G6845" t="str">
        <f>_xlfn.XLOOKUP(A6845,'[1]Tissue Data'!$A:$A,'[1]Tissue Data'!J:J)</f>
        <v>U</v>
      </c>
      <c r="H6845" t="str">
        <f>_xlfn.XLOOKUP(A6845,'[1]Tissue Data'!$A:$A,'[1]Tissue Data'!K:K)</f>
        <v>Whole Body</v>
      </c>
      <c r="I6845">
        <f>_xlfn.XLOOKUP(A6845,'[1]Tissue Data'!$A:$A,'[1]Tissue Data'!L:L)</f>
        <v>8</v>
      </c>
      <c r="J6845">
        <f>_xlfn.XLOOKUP(A6845,'[1]Tissue Data'!$A:$A,'[1]Tissue Data'!M:M)</f>
        <v>11.56</v>
      </c>
      <c r="K6845" t="s">
        <v>55</v>
      </c>
      <c r="L6845" t="str">
        <f>_xlfn.XLOOKUP(K6845,[2]analyte_order!$B:$B,[2]analyte_order!$C:$C)</f>
        <v>919005-14-4</v>
      </c>
      <c r="M6845">
        <f>_xlfn.XLOOKUP(L6845,[2]analyte_order!$C:$C,[2]analyte_order!$E:$E)</f>
        <v>35</v>
      </c>
      <c r="N6845">
        <v>9.35E-2</v>
      </c>
    </row>
    <row r="6846" spans="1:14">
      <c r="A6846" t="s">
        <v>297</v>
      </c>
      <c r="B6846" t="str">
        <f>_xlfn.XLOOKUP(A6846,'[1]Tissue Data'!$A:$A,'[1]Tissue Data'!$C:$C)</f>
        <v>Down</v>
      </c>
      <c r="C6846" s="2">
        <f>_xlfn.XLOOKUP(A6846,'[1]Tissue Data'!$A:$A,'[1]Tissue Data'!$D:$D)</f>
        <v>44393</v>
      </c>
      <c r="D6846" s="2" t="str">
        <f>_xlfn.XLOOKUP(A6846,'[1]Tissue Data'!$A:$A,'[1]Tissue Data'!$F:$F)</f>
        <v>Pumpkinseed</v>
      </c>
      <c r="E6846" t="str">
        <f>_xlfn.XLOOKUP(A6846,'[1]Tissue Data'!$A:$A,'[1]Tissue Data'!$H:$H)</f>
        <v>Lepomis</v>
      </c>
      <c r="F6846" t="str">
        <f>_xlfn.XLOOKUP(A6846,'[1]Tissue Data'!$A:$A,'[1]Tissue Data'!$I:$I)</f>
        <v>gibbosus</v>
      </c>
      <c r="G6846" t="str">
        <f>_xlfn.XLOOKUP(A6846,'[1]Tissue Data'!$A:$A,'[1]Tissue Data'!J:J)</f>
        <v>U</v>
      </c>
      <c r="H6846" t="str">
        <f>_xlfn.XLOOKUP(A6846,'[1]Tissue Data'!$A:$A,'[1]Tissue Data'!K:K)</f>
        <v>Whole Body</v>
      </c>
      <c r="I6846">
        <f>_xlfn.XLOOKUP(A6846,'[1]Tissue Data'!$A:$A,'[1]Tissue Data'!L:L)</f>
        <v>8</v>
      </c>
      <c r="J6846">
        <f>_xlfn.XLOOKUP(A6846,'[1]Tissue Data'!$A:$A,'[1]Tissue Data'!M:M)</f>
        <v>11.56</v>
      </c>
      <c r="K6846" t="s">
        <v>56</v>
      </c>
      <c r="L6846" t="str">
        <f>_xlfn.XLOOKUP(K6846,[2]analyte_order!$B:$B,[2]analyte_order!$C:$C)</f>
        <v>756426-58-1</v>
      </c>
      <c r="M6846">
        <f>_xlfn.XLOOKUP(L6846,[2]analyte_order!$C:$C,[2]analyte_order!$E:$E)</f>
        <v>36</v>
      </c>
      <c r="N6846">
        <v>0.21149999999999999</v>
      </c>
    </row>
    <row r="6847" spans="1:14">
      <c r="A6847" t="s">
        <v>297</v>
      </c>
      <c r="B6847" t="str">
        <f>_xlfn.XLOOKUP(A6847,'[1]Tissue Data'!$A:$A,'[1]Tissue Data'!$C:$C)</f>
        <v>Down</v>
      </c>
      <c r="C6847" s="2">
        <f>_xlfn.XLOOKUP(A6847,'[1]Tissue Data'!$A:$A,'[1]Tissue Data'!$D:$D)</f>
        <v>44393</v>
      </c>
      <c r="D6847" s="2" t="str">
        <f>_xlfn.XLOOKUP(A6847,'[1]Tissue Data'!$A:$A,'[1]Tissue Data'!$F:$F)</f>
        <v>Pumpkinseed</v>
      </c>
      <c r="E6847" t="str">
        <f>_xlfn.XLOOKUP(A6847,'[1]Tissue Data'!$A:$A,'[1]Tissue Data'!$H:$H)</f>
        <v>Lepomis</v>
      </c>
      <c r="F6847" t="str">
        <f>_xlfn.XLOOKUP(A6847,'[1]Tissue Data'!$A:$A,'[1]Tissue Data'!$I:$I)</f>
        <v>gibbosus</v>
      </c>
      <c r="G6847" t="str">
        <f>_xlfn.XLOOKUP(A6847,'[1]Tissue Data'!$A:$A,'[1]Tissue Data'!J:J)</f>
        <v>U</v>
      </c>
      <c r="H6847" t="str">
        <f>_xlfn.XLOOKUP(A6847,'[1]Tissue Data'!$A:$A,'[1]Tissue Data'!K:K)</f>
        <v>Whole Body</v>
      </c>
      <c r="I6847">
        <f>_xlfn.XLOOKUP(A6847,'[1]Tissue Data'!$A:$A,'[1]Tissue Data'!L:L)</f>
        <v>8</v>
      </c>
      <c r="J6847">
        <f>_xlfn.XLOOKUP(A6847,'[1]Tissue Data'!$A:$A,'[1]Tissue Data'!M:M)</f>
        <v>11.56</v>
      </c>
      <c r="K6847" t="s">
        <v>57</v>
      </c>
      <c r="L6847" t="str">
        <f>_xlfn.XLOOKUP(K6847,[2]analyte_order!$B:$B,[2]analyte_order!$C:$C)</f>
        <v>763051-92-9</v>
      </c>
      <c r="M6847">
        <f>_xlfn.XLOOKUP(L6847,[2]analyte_order!$C:$C,[2]analyte_order!$E:$E)</f>
        <v>37</v>
      </c>
      <c r="N6847">
        <v>0.21149999999999999</v>
      </c>
    </row>
    <row r="6848" spans="1:14">
      <c r="A6848" t="s">
        <v>297</v>
      </c>
      <c r="B6848" t="str">
        <f>_xlfn.XLOOKUP(A6848,'[1]Tissue Data'!$A:$A,'[1]Tissue Data'!$C:$C)</f>
        <v>Down</v>
      </c>
      <c r="C6848" s="2">
        <f>_xlfn.XLOOKUP(A6848,'[1]Tissue Data'!$A:$A,'[1]Tissue Data'!$D:$D)</f>
        <v>44393</v>
      </c>
      <c r="D6848" s="2" t="str">
        <f>_xlfn.XLOOKUP(A6848,'[1]Tissue Data'!$A:$A,'[1]Tissue Data'!$F:$F)</f>
        <v>Pumpkinseed</v>
      </c>
      <c r="E6848" t="str">
        <f>_xlfn.XLOOKUP(A6848,'[1]Tissue Data'!$A:$A,'[1]Tissue Data'!$H:$H)</f>
        <v>Lepomis</v>
      </c>
      <c r="F6848" t="str">
        <f>_xlfn.XLOOKUP(A6848,'[1]Tissue Data'!$A:$A,'[1]Tissue Data'!$I:$I)</f>
        <v>gibbosus</v>
      </c>
      <c r="G6848" t="str">
        <f>_xlfn.XLOOKUP(A6848,'[1]Tissue Data'!$A:$A,'[1]Tissue Data'!J:J)</f>
        <v>U</v>
      </c>
      <c r="H6848" t="str">
        <f>_xlfn.XLOOKUP(A6848,'[1]Tissue Data'!$A:$A,'[1]Tissue Data'!K:K)</f>
        <v>Whole Body</v>
      </c>
      <c r="I6848">
        <f>_xlfn.XLOOKUP(A6848,'[1]Tissue Data'!$A:$A,'[1]Tissue Data'!L:L)</f>
        <v>8</v>
      </c>
      <c r="J6848">
        <f>_xlfn.XLOOKUP(A6848,'[1]Tissue Data'!$A:$A,'[1]Tissue Data'!M:M)</f>
        <v>11.56</v>
      </c>
      <c r="K6848" t="s">
        <v>58</v>
      </c>
      <c r="L6848" t="str">
        <f>_xlfn.XLOOKUP(K6848,[2]analyte_order!$B:$B,[2]analyte_order!$C:$C)</f>
        <v>13252-13-6</v>
      </c>
      <c r="M6848">
        <f>_xlfn.XLOOKUP(L6848,[2]analyte_order!$C:$C,[2]analyte_order!$E:$E)</f>
        <v>34</v>
      </c>
      <c r="N6848">
        <v>0.152</v>
      </c>
    </row>
    <row r="6849" spans="1:14">
      <c r="A6849" t="s">
        <v>297</v>
      </c>
      <c r="B6849" t="str">
        <f>_xlfn.XLOOKUP(A6849,'[1]Tissue Data'!$A:$A,'[1]Tissue Data'!$C:$C)</f>
        <v>Down</v>
      </c>
      <c r="C6849" s="2">
        <f>_xlfn.XLOOKUP(A6849,'[1]Tissue Data'!$A:$A,'[1]Tissue Data'!$D:$D)</f>
        <v>44393</v>
      </c>
      <c r="D6849" s="2" t="str">
        <f>_xlfn.XLOOKUP(A6849,'[1]Tissue Data'!$A:$A,'[1]Tissue Data'!$F:$F)</f>
        <v>Pumpkinseed</v>
      </c>
      <c r="E6849" t="str">
        <f>_xlfn.XLOOKUP(A6849,'[1]Tissue Data'!$A:$A,'[1]Tissue Data'!$H:$H)</f>
        <v>Lepomis</v>
      </c>
      <c r="F6849" t="str">
        <f>_xlfn.XLOOKUP(A6849,'[1]Tissue Data'!$A:$A,'[1]Tissue Data'!$I:$I)</f>
        <v>gibbosus</v>
      </c>
      <c r="G6849" t="str">
        <f>_xlfn.XLOOKUP(A6849,'[1]Tissue Data'!$A:$A,'[1]Tissue Data'!J:J)</f>
        <v>U</v>
      </c>
      <c r="H6849" t="str">
        <f>_xlfn.XLOOKUP(A6849,'[1]Tissue Data'!$A:$A,'[1]Tissue Data'!K:K)</f>
        <v>Whole Body</v>
      </c>
      <c r="I6849">
        <f>_xlfn.XLOOKUP(A6849,'[1]Tissue Data'!$A:$A,'[1]Tissue Data'!L:L)</f>
        <v>8</v>
      </c>
      <c r="J6849">
        <f>_xlfn.XLOOKUP(A6849,'[1]Tissue Data'!$A:$A,'[1]Tissue Data'!M:M)</f>
        <v>11.56</v>
      </c>
      <c r="K6849" t="s">
        <v>59</v>
      </c>
      <c r="L6849" t="str">
        <f>_xlfn.XLOOKUP(K6849,[2]analyte_order!$B:$B,[2]analyte_order!$C:$C)</f>
        <v>57677-95-9</v>
      </c>
      <c r="M6849">
        <f>_xlfn.XLOOKUP(L6849,[2]analyte_order!$C:$C,[2]analyte_order!$E:$E)</f>
        <v>46</v>
      </c>
      <c r="N6849">
        <v>0.21149999999999999</v>
      </c>
    </row>
    <row r="6850" spans="1:14">
      <c r="A6850" t="s">
        <v>297</v>
      </c>
      <c r="B6850" t="str">
        <f>_xlfn.XLOOKUP(A6850,'[1]Tissue Data'!$A:$A,'[1]Tissue Data'!$C:$C)</f>
        <v>Down</v>
      </c>
      <c r="C6850" s="2">
        <f>_xlfn.XLOOKUP(A6850,'[1]Tissue Data'!$A:$A,'[1]Tissue Data'!$D:$D)</f>
        <v>44393</v>
      </c>
      <c r="D6850" s="2" t="str">
        <f>_xlfn.XLOOKUP(A6850,'[1]Tissue Data'!$A:$A,'[1]Tissue Data'!$F:$F)</f>
        <v>Pumpkinseed</v>
      </c>
      <c r="E6850" t="str">
        <f>_xlfn.XLOOKUP(A6850,'[1]Tissue Data'!$A:$A,'[1]Tissue Data'!$H:$H)</f>
        <v>Lepomis</v>
      </c>
      <c r="F6850" t="str">
        <f>_xlfn.XLOOKUP(A6850,'[1]Tissue Data'!$A:$A,'[1]Tissue Data'!$I:$I)</f>
        <v>gibbosus</v>
      </c>
      <c r="G6850" t="str">
        <f>_xlfn.XLOOKUP(A6850,'[1]Tissue Data'!$A:$A,'[1]Tissue Data'!J:J)</f>
        <v>U</v>
      </c>
      <c r="H6850" t="str">
        <f>_xlfn.XLOOKUP(A6850,'[1]Tissue Data'!$A:$A,'[1]Tissue Data'!K:K)</f>
        <v>Whole Body</v>
      </c>
      <c r="I6850">
        <f>_xlfn.XLOOKUP(A6850,'[1]Tissue Data'!$A:$A,'[1]Tissue Data'!L:L)</f>
        <v>8</v>
      </c>
      <c r="J6850">
        <f>_xlfn.XLOOKUP(A6850,'[1]Tissue Data'!$A:$A,'[1]Tissue Data'!M:M)</f>
        <v>11.56</v>
      </c>
      <c r="K6850" t="s">
        <v>60</v>
      </c>
      <c r="L6850" t="str">
        <f>_xlfn.XLOOKUP(K6850,[2]analyte_order!$B:$B,[2]analyte_order!$C:$C)</f>
        <v>678-41-1</v>
      </c>
      <c r="M6850">
        <f>_xlfn.XLOOKUP(L6850,[2]analyte_order!$C:$C,[2]analyte_order!$E:$E)</f>
        <v>56</v>
      </c>
      <c r="N6850">
        <v>0.21149999999999999</v>
      </c>
    </row>
    <row r="6851" spans="1:14">
      <c r="A6851" t="s">
        <v>297</v>
      </c>
      <c r="B6851" t="str">
        <f>_xlfn.XLOOKUP(A6851,'[1]Tissue Data'!$A:$A,'[1]Tissue Data'!$C:$C)</f>
        <v>Down</v>
      </c>
      <c r="C6851" s="2">
        <f>_xlfn.XLOOKUP(A6851,'[1]Tissue Data'!$A:$A,'[1]Tissue Data'!$D:$D)</f>
        <v>44393</v>
      </c>
      <c r="D6851" s="2" t="str">
        <f>_xlfn.XLOOKUP(A6851,'[1]Tissue Data'!$A:$A,'[1]Tissue Data'!$F:$F)</f>
        <v>Pumpkinseed</v>
      </c>
      <c r="E6851" t="str">
        <f>_xlfn.XLOOKUP(A6851,'[1]Tissue Data'!$A:$A,'[1]Tissue Data'!$H:$H)</f>
        <v>Lepomis</v>
      </c>
      <c r="F6851" t="str">
        <f>_xlfn.XLOOKUP(A6851,'[1]Tissue Data'!$A:$A,'[1]Tissue Data'!$I:$I)</f>
        <v>gibbosus</v>
      </c>
      <c r="G6851" t="str">
        <f>_xlfn.XLOOKUP(A6851,'[1]Tissue Data'!$A:$A,'[1]Tissue Data'!J:J)</f>
        <v>U</v>
      </c>
      <c r="H6851" t="str">
        <f>_xlfn.XLOOKUP(A6851,'[1]Tissue Data'!$A:$A,'[1]Tissue Data'!K:K)</f>
        <v>Whole Body</v>
      </c>
      <c r="I6851">
        <f>_xlfn.XLOOKUP(A6851,'[1]Tissue Data'!$A:$A,'[1]Tissue Data'!L:L)</f>
        <v>8</v>
      </c>
      <c r="J6851">
        <f>_xlfn.XLOOKUP(A6851,'[1]Tissue Data'!$A:$A,'[1]Tissue Data'!M:M)</f>
        <v>11.56</v>
      </c>
      <c r="K6851" t="s">
        <v>61</v>
      </c>
      <c r="L6851" t="str">
        <f>_xlfn.XLOOKUP(K6851,[2]analyte_order!$B:$B,[2]analyte_order!$C:$C)</f>
        <v>2965-52-8</v>
      </c>
      <c r="M6851">
        <f>_xlfn.XLOOKUP(L6851,[2]analyte_order!$C:$C,[2]analyte_order!$E:$E)</f>
        <v>57</v>
      </c>
      <c r="N6851">
        <v>0.21149999999999999</v>
      </c>
    </row>
    <row r="6852" spans="1:14">
      <c r="A6852" t="s">
        <v>298</v>
      </c>
      <c r="B6852" t="str">
        <f>_xlfn.XLOOKUP(A6852,'[1]Tissue Data'!$A:$A,'[1]Tissue Data'!$C:$C)</f>
        <v>Down</v>
      </c>
      <c r="C6852" s="2">
        <f>_xlfn.XLOOKUP(A6852,'[1]Tissue Data'!$A:$A,'[1]Tissue Data'!$D:$D)</f>
        <v>44393</v>
      </c>
      <c r="D6852" s="2" t="str">
        <f>_xlfn.XLOOKUP(A6852,'[1]Tissue Data'!$A:$A,'[1]Tissue Data'!$F:$F)</f>
        <v>Pumpkinseed</v>
      </c>
      <c r="E6852" t="str">
        <f>_xlfn.XLOOKUP(A6852,'[1]Tissue Data'!$A:$A,'[1]Tissue Data'!$H:$H)</f>
        <v>Lepomis</v>
      </c>
      <c r="F6852" t="str">
        <f>_xlfn.XLOOKUP(A6852,'[1]Tissue Data'!$A:$A,'[1]Tissue Data'!$I:$I)</f>
        <v>gibbosus</v>
      </c>
      <c r="G6852" t="str">
        <f>_xlfn.XLOOKUP(A6852,'[1]Tissue Data'!$A:$A,'[1]Tissue Data'!J:J)</f>
        <v>U</v>
      </c>
      <c r="H6852" t="str">
        <f>_xlfn.XLOOKUP(A6852,'[1]Tissue Data'!$A:$A,'[1]Tissue Data'!K:K)</f>
        <v>Whole Body</v>
      </c>
      <c r="I6852">
        <f>_xlfn.XLOOKUP(A6852,'[1]Tissue Data'!$A:$A,'[1]Tissue Data'!L:L)</f>
        <v>8.5</v>
      </c>
      <c r="J6852">
        <f>_xlfn.XLOOKUP(A6852,'[1]Tissue Data'!$A:$A,'[1]Tissue Data'!M:M)</f>
        <v>16.59</v>
      </c>
      <c r="K6852" t="s">
        <v>12</v>
      </c>
      <c r="L6852" t="str">
        <f>_xlfn.XLOOKUP(K6852,[2]analyte_order!$B:$B,[2]analyte_order!$C:$C)</f>
        <v>375-22-4</v>
      </c>
      <c r="M6852">
        <f>_xlfn.XLOOKUP(L6852,[2]analyte_order!$C:$C,[2]analyte_order!$E:$E)</f>
        <v>1</v>
      </c>
      <c r="N6852">
        <v>0.2215</v>
      </c>
    </row>
    <row r="6853" spans="1:14">
      <c r="A6853" t="s">
        <v>298</v>
      </c>
      <c r="B6853" t="str">
        <f>_xlfn.XLOOKUP(A6853,'[1]Tissue Data'!$A:$A,'[1]Tissue Data'!$C:$C)</f>
        <v>Down</v>
      </c>
      <c r="C6853" s="2">
        <f>_xlfn.XLOOKUP(A6853,'[1]Tissue Data'!$A:$A,'[1]Tissue Data'!$D:$D)</f>
        <v>44393</v>
      </c>
      <c r="D6853" s="2" t="str">
        <f>_xlfn.XLOOKUP(A6853,'[1]Tissue Data'!$A:$A,'[1]Tissue Data'!$F:$F)</f>
        <v>Pumpkinseed</v>
      </c>
      <c r="E6853" t="str">
        <f>_xlfn.XLOOKUP(A6853,'[1]Tissue Data'!$A:$A,'[1]Tissue Data'!$H:$H)</f>
        <v>Lepomis</v>
      </c>
      <c r="F6853" t="str">
        <f>_xlfn.XLOOKUP(A6853,'[1]Tissue Data'!$A:$A,'[1]Tissue Data'!$I:$I)</f>
        <v>gibbosus</v>
      </c>
      <c r="G6853" t="str">
        <f>_xlfn.XLOOKUP(A6853,'[1]Tissue Data'!$A:$A,'[1]Tissue Data'!J:J)</f>
        <v>U</v>
      </c>
      <c r="H6853" t="str">
        <f>_xlfn.XLOOKUP(A6853,'[1]Tissue Data'!$A:$A,'[1]Tissue Data'!K:K)</f>
        <v>Whole Body</v>
      </c>
      <c r="I6853">
        <f>_xlfn.XLOOKUP(A6853,'[1]Tissue Data'!$A:$A,'[1]Tissue Data'!L:L)</f>
        <v>8.5</v>
      </c>
      <c r="J6853">
        <f>_xlfn.XLOOKUP(A6853,'[1]Tissue Data'!$A:$A,'[1]Tissue Data'!M:M)</f>
        <v>16.59</v>
      </c>
      <c r="K6853" t="s">
        <v>13</v>
      </c>
      <c r="L6853" t="str">
        <f>_xlfn.XLOOKUP(K6853,[2]analyte_order!$B:$B,[2]analyte_order!$C:$C)</f>
        <v>2706-90-3</v>
      </c>
      <c r="M6853">
        <f>_xlfn.XLOOKUP(L6853,[2]analyte_order!$C:$C,[2]analyte_order!$E:$E)</f>
        <v>2</v>
      </c>
      <c r="N6853">
        <v>7.8E-2</v>
      </c>
    </row>
    <row r="6854" spans="1:14">
      <c r="A6854" t="s">
        <v>298</v>
      </c>
      <c r="B6854" t="str">
        <f>_xlfn.XLOOKUP(A6854,'[1]Tissue Data'!$A:$A,'[1]Tissue Data'!$C:$C)</f>
        <v>Down</v>
      </c>
      <c r="C6854" s="2">
        <f>_xlfn.XLOOKUP(A6854,'[1]Tissue Data'!$A:$A,'[1]Tissue Data'!$D:$D)</f>
        <v>44393</v>
      </c>
      <c r="D6854" s="2" t="str">
        <f>_xlfn.XLOOKUP(A6854,'[1]Tissue Data'!$A:$A,'[1]Tissue Data'!$F:$F)</f>
        <v>Pumpkinseed</v>
      </c>
      <c r="E6854" t="str">
        <f>_xlfn.XLOOKUP(A6854,'[1]Tissue Data'!$A:$A,'[1]Tissue Data'!$H:$H)</f>
        <v>Lepomis</v>
      </c>
      <c r="F6854" t="str">
        <f>_xlfn.XLOOKUP(A6854,'[1]Tissue Data'!$A:$A,'[1]Tissue Data'!$I:$I)</f>
        <v>gibbosus</v>
      </c>
      <c r="G6854" t="str">
        <f>_xlfn.XLOOKUP(A6854,'[1]Tissue Data'!$A:$A,'[1]Tissue Data'!J:J)</f>
        <v>U</v>
      </c>
      <c r="H6854" t="str">
        <f>_xlfn.XLOOKUP(A6854,'[1]Tissue Data'!$A:$A,'[1]Tissue Data'!K:K)</f>
        <v>Whole Body</v>
      </c>
      <c r="I6854">
        <f>_xlfn.XLOOKUP(A6854,'[1]Tissue Data'!$A:$A,'[1]Tissue Data'!L:L)</f>
        <v>8.5</v>
      </c>
      <c r="J6854">
        <f>_xlfn.XLOOKUP(A6854,'[1]Tissue Data'!$A:$A,'[1]Tissue Data'!M:M)</f>
        <v>16.59</v>
      </c>
      <c r="K6854" t="s">
        <v>14</v>
      </c>
      <c r="L6854" t="str">
        <f>_xlfn.XLOOKUP(K6854,[2]analyte_order!$B:$B,[2]analyte_order!$C:$C)</f>
        <v>307-24-4</v>
      </c>
      <c r="M6854">
        <f>_xlfn.XLOOKUP(L6854,[2]analyte_order!$C:$C,[2]analyte_order!$E:$E)</f>
        <v>3</v>
      </c>
      <c r="N6854">
        <v>0.1195</v>
      </c>
    </row>
    <row r="6855" spans="1:14">
      <c r="A6855" t="s">
        <v>298</v>
      </c>
      <c r="B6855" t="str">
        <f>_xlfn.XLOOKUP(A6855,'[1]Tissue Data'!$A:$A,'[1]Tissue Data'!$C:$C)</f>
        <v>Down</v>
      </c>
      <c r="C6855" s="2">
        <f>_xlfn.XLOOKUP(A6855,'[1]Tissue Data'!$A:$A,'[1]Tissue Data'!$D:$D)</f>
        <v>44393</v>
      </c>
      <c r="D6855" s="2" t="str">
        <f>_xlfn.XLOOKUP(A6855,'[1]Tissue Data'!$A:$A,'[1]Tissue Data'!$F:$F)</f>
        <v>Pumpkinseed</v>
      </c>
      <c r="E6855" t="str">
        <f>_xlfn.XLOOKUP(A6855,'[1]Tissue Data'!$A:$A,'[1]Tissue Data'!$H:$H)</f>
        <v>Lepomis</v>
      </c>
      <c r="F6855" t="str">
        <f>_xlfn.XLOOKUP(A6855,'[1]Tissue Data'!$A:$A,'[1]Tissue Data'!$I:$I)</f>
        <v>gibbosus</v>
      </c>
      <c r="G6855" t="str">
        <f>_xlfn.XLOOKUP(A6855,'[1]Tissue Data'!$A:$A,'[1]Tissue Data'!J:J)</f>
        <v>U</v>
      </c>
      <c r="H6855" t="str">
        <f>_xlfn.XLOOKUP(A6855,'[1]Tissue Data'!$A:$A,'[1]Tissue Data'!K:K)</f>
        <v>Whole Body</v>
      </c>
      <c r="I6855">
        <f>_xlfn.XLOOKUP(A6855,'[1]Tissue Data'!$A:$A,'[1]Tissue Data'!L:L)</f>
        <v>8.5</v>
      </c>
      <c r="J6855">
        <f>_xlfn.XLOOKUP(A6855,'[1]Tissue Data'!$A:$A,'[1]Tissue Data'!M:M)</f>
        <v>16.59</v>
      </c>
      <c r="K6855" t="s">
        <v>15</v>
      </c>
      <c r="L6855" t="str">
        <f>_xlfn.XLOOKUP(K6855,[2]analyte_order!$B:$B,[2]analyte_order!$C:$C)</f>
        <v>375-85-9</v>
      </c>
      <c r="M6855">
        <f>_xlfn.XLOOKUP(L6855,[2]analyte_order!$C:$C,[2]analyte_order!$E:$E)</f>
        <v>4</v>
      </c>
      <c r="N6855">
        <v>0.1105</v>
      </c>
    </row>
    <row r="6856" spans="1:14">
      <c r="A6856" t="s">
        <v>298</v>
      </c>
      <c r="B6856" t="str">
        <f>_xlfn.XLOOKUP(A6856,'[1]Tissue Data'!$A:$A,'[1]Tissue Data'!$C:$C)</f>
        <v>Down</v>
      </c>
      <c r="C6856" s="2">
        <f>_xlfn.XLOOKUP(A6856,'[1]Tissue Data'!$A:$A,'[1]Tissue Data'!$D:$D)</f>
        <v>44393</v>
      </c>
      <c r="D6856" s="2" t="str">
        <f>_xlfn.XLOOKUP(A6856,'[1]Tissue Data'!$A:$A,'[1]Tissue Data'!$F:$F)</f>
        <v>Pumpkinseed</v>
      </c>
      <c r="E6856" t="str">
        <f>_xlfn.XLOOKUP(A6856,'[1]Tissue Data'!$A:$A,'[1]Tissue Data'!$H:$H)</f>
        <v>Lepomis</v>
      </c>
      <c r="F6856" t="str">
        <f>_xlfn.XLOOKUP(A6856,'[1]Tissue Data'!$A:$A,'[1]Tissue Data'!$I:$I)</f>
        <v>gibbosus</v>
      </c>
      <c r="G6856" t="str">
        <f>_xlfn.XLOOKUP(A6856,'[1]Tissue Data'!$A:$A,'[1]Tissue Data'!J:J)</f>
        <v>U</v>
      </c>
      <c r="H6856" t="str">
        <f>_xlfn.XLOOKUP(A6856,'[1]Tissue Data'!$A:$A,'[1]Tissue Data'!K:K)</f>
        <v>Whole Body</v>
      </c>
      <c r="I6856">
        <f>_xlfn.XLOOKUP(A6856,'[1]Tissue Data'!$A:$A,'[1]Tissue Data'!L:L)</f>
        <v>8.5</v>
      </c>
      <c r="J6856">
        <f>_xlfn.XLOOKUP(A6856,'[1]Tissue Data'!$A:$A,'[1]Tissue Data'!M:M)</f>
        <v>16.59</v>
      </c>
      <c r="K6856" t="s">
        <v>16</v>
      </c>
      <c r="L6856" t="str">
        <f>_xlfn.XLOOKUP(K6856,[2]analyte_order!$B:$B,[2]analyte_order!$C:$C)</f>
        <v>335-67-1</v>
      </c>
      <c r="M6856">
        <f>_xlfn.XLOOKUP(L6856,[2]analyte_order!$C:$C,[2]analyte_order!$E:$E)</f>
        <v>5</v>
      </c>
      <c r="N6856">
        <v>4.4249999999999998E-2</v>
      </c>
    </row>
    <row r="6857" spans="1:14">
      <c r="A6857" t="s">
        <v>298</v>
      </c>
      <c r="B6857" t="str">
        <f>_xlfn.XLOOKUP(A6857,'[1]Tissue Data'!$A:$A,'[1]Tissue Data'!$C:$C)</f>
        <v>Down</v>
      </c>
      <c r="C6857" s="2">
        <f>_xlfn.XLOOKUP(A6857,'[1]Tissue Data'!$A:$A,'[1]Tissue Data'!$D:$D)</f>
        <v>44393</v>
      </c>
      <c r="D6857" s="2" t="str">
        <f>_xlfn.XLOOKUP(A6857,'[1]Tissue Data'!$A:$A,'[1]Tissue Data'!$F:$F)</f>
        <v>Pumpkinseed</v>
      </c>
      <c r="E6857" t="str">
        <f>_xlfn.XLOOKUP(A6857,'[1]Tissue Data'!$A:$A,'[1]Tissue Data'!$H:$H)</f>
        <v>Lepomis</v>
      </c>
      <c r="F6857" t="str">
        <f>_xlfn.XLOOKUP(A6857,'[1]Tissue Data'!$A:$A,'[1]Tissue Data'!$I:$I)</f>
        <v>gibbosus</v>
      </c>
      <c r="G6857" t="str">
        <f>_xlfn.XLOOKUP(A6857,'[1]Tissue Data'!$A:$A,'[1]Tissue Data'!J:J)</f>
        <v>U</v>
      </c>
      <c r="H6857" t="str">
        <f>_xlfn.XLOOKUP(A6857,'[1]Tissue Data'!$A:$A,'[1]Tissue Data'!K:K)</f>
        <v>Whole Body</v>
      </c>
      <c r="I6857">
        <f>_xlfn.XLOOKUP(A6857,'[1]Tissue Data'!$A:$A,'[1]Tissue Data'!L:L)</f>
        <v>8.5</v>
      </c>
      <c r="J6857">
        <f>_xlfn.XLOOKUP(A6857,'[1]Tissue Data'!$A:$A,'[1]Tissue Data'!M:M)</f>
        <v>16.59</v>
      </c>
      <c r="K6857" t="s">
        <v>17</v>
      </c>
      <c r="L6857" t="str">
        <f>_xlfn.XLOOKUP(K6857,[2]analyte_order!$B:$B,[2]analyte_order!$C:$C)</f>
        <v>375-95-1</v>
      </c>
      <c r="M6857">
        <f>_xlfn.XLOOKUP(L6857,[2]analyte_order!$C:$C,[2]analyte_order!$E:$E)</f>
        <v>6</v>
      </c>
      <c r="N6857">
        <v>0.78200000000000003</v>
      </c>
    </row>
    <row r="6858" spans="1:14">
      <c r="A6858" t="s">
        <v>298</v>
      </c>
      <c r="B6858" t="str">
        <f>_xlfn.XLOOKUP(A6858,'[1]Tissue Data'!$A:$A,'[1]Tissue Data'!$C:$C)</f>
        <v>Down</v>
      </c>
      <c r="C6858" s="2">
        <f>_xlfn.XLOOKUP(A6858,'[1]Tissue Data'!$A:$A,'[1]Tissue Data'!$D:$D)</f>
        <v>44393</v>
      </c>
      <c r="D6858" s="2" t="str">
        <f>_xlfn.XLOOKUP(A6858,'[1]Tissue Data'!$A:$A,'[1]Tissue Data'!$F:$F)</f>
        <v>Pumpkinseed</v>
      </c>
      <c r="E6858" t="str">
        <f>_xlfn.XLOOKUP(A6858,'[1]Tissue Data'!$A:$A,'[1]Tissue Data'!$H:$H)</f>
        <v>Lepomis</v>
      </c>
      <c r="F6858" t="str">
        <f>_xlfn.XLOOKUP(A6858,'[1]Tissue Data'!$A:$A,'[1]Tissue Data'!$I:$I)</f>
        <v>gibbosus</v>
      </c>
      <c r="G6858" t="str">
        <f>_xlfn.XLOOKUP(A6858,'[1]Tissue Data'!$A:$A,'[1]Tissue Data'!J:J)</f>
        <v>U</v>
      </c>
      <c r="H6858" t="str">
        <f>_xlfn.XLOOKUP(A6858,'[1]Tissue Data'!$A:$A,'[1]Tissue Data'!K:K)</f>
        <v>Whole Body</v>
      </c>
      <c r="I6858">
        <f>_xlfn.XLOOKUP(A6858,'[1]Tissue Data'!$A:$A,'[1]Tissue Data'!L:L)</f>
        <v>8.5</v>
      </c>
      <c r="J6858">
        <f>_xlfn.XLOOKUP(A6858,'[1]Tissue Data'!$A:$A,'[1]Tissue Data'!M:M)</f>
        <v>16.59</v>
      </c>
      <c r="K6858" t="s">
        <v>18</v>
      </c>
      <c r="L6858" t="str">
        <f>_xlfn.XLOOKUP(K6858,[2]analyte_order!$B:$B,[2]analyte_order!$C:$C)</f>
        <v>335-76-2</v>
      </c>
      <c r="M6858">
        <f>_xlfn.XLOOKUP(L6858,[2]analyte_order!$C:$C,[2]analyte_order!$E:$E)</f>
        <v>7</v>
      </c>
      <c r="N6858">
        <v>8.01</v>
      </c>
    </row>
    <row r="6859" spans="1:14">
      <c r="A6859" t="s">
        <v>298</v>
      </c>
      <c r="B6859" t="str">
        <f>_xlfn.XLOOKUP(A6859,'[1]Tissue Data'!$A:$A,'[1]Tissue Data'!$C:$C)</f>
        <v>Down</v>
      </c>
      <c r="C6859" s="2">
        <f>_xlfn.XLOOKUP(A6859,'[1]Tissue Data'!$A:$A,'[1]Tissue Data'!$D:$D)</f>
        <v>44393</v>
      </c>
      <c r="D6859" s="2" t="str">
        <f>_xlfn.XLOOKUP(A6859,'[1]Tissue Data'!$A:$A,'[1]Tissue Data'!$F:$F)</f>
        <v>Pumpkinseed</v>
      </c>
      <c r="E6859" t="str">
        <f>_xlfn.XLOOKUP(A6859,'[1]Tissue Data'!$A:$A,'[1]Tissue Data'!$H:$H)</f>
        <v>Lepomis</v>
      </c>
      <c r="F6859" t="str">
        <f>_xlfn.XLOOKUP(A6859,'[1]Tissue Data'!$A:$A,'[1]Tissue Data'!$I:$I)</f>
        <v>gibbosus</v>
      </c>
      <c r="G6859" t="str">
        <f>_xlfn.XLOOKUP(A6859,'[1]Tissue Data'!$A:$A,'[1]Tissue Data'!J:J)</f>
        <v>U</v>
      </c>
      <c r="H6859" t="str">
        <f>_xlfn.XLOOKUP(A6859,'[1]Tissue Data'!$A:$A,'[1]Tissue Data'!K:K)</f>
        <v>Whole Body</v>
      </c>
      <c r="I6859">
        <f>_xlfn.XLOOKUP(A6859,'[1]Tissue Data'!$A:$A,'[1]Tissue Data'!L:L)</f>
        <v>8.5</v>
      </c>
      <c r="J6859">
        <f>_xlfn.XLOOKUP(A6859,'[1]Tissue Data'!$A:$A,'[1]Tissue Data'!M:M)</f>
        <v>16.59</v>
      </c>
      <c r="K6859" t="s">
        <v>19</v>
      </c>
      <c r="L6859" t="str">
        <f>_xlfn.XLOOKUP(K6859,[2]analyte_order!$B:$B,[2]analyte_order!$C:$C)</f>
        <v>2058-94-8</v>
      </c>
      <c r="M6859">
        <f>_xlfn.XLOOKUP(L6859,[2]analyte_order!$C:$C,[2]analyte_order!$E:$E)</f>
        <v>8</v>
      </c>
      <c r="N6859">
        <v>14.3</v>
      </c>
    </row>
    <row r="6860" spans="1:14">
      <c r="A6860" t="s">
        <v>298</v>
      </c>
      <c r="B6860" t="str">
        <f>_xlfn.XLOOKUP(A6860,'[1]Tissue Data'!$A:$A,'[1]Tissue Data'!$C:$C)</f>
        <v>Down</v>
      </c>
      <c r="C6860" s="2">
        <f>_xlfn.XLOOKUP(A6860,'[1]Tissue Data'!$A:$A,'[1]Tissue Data'!$D:$D)</f>
        <v>44393</v>
      </c>
      <c r="D6860" s="2" t="str">
        <f>_xlfn.XLOOKUP(A6860,'[1]Tissue Data'!$A:$A,'[1]Tissue Data'!$F:$F)</f>
        <v>Pumpkinseed</v>
      </c>
      <c r="E6860" t="str">
        <f>_xlfn.XLOOKUP(A6860,'[1]Tissue Data'!$A:$A,'[1]Tissue Data'!$H:$H)</f>
        <v>Lepomis</v>
      </c>
      <c r="F6860" t="str">
        <f>_xlfn.XLOOKUP(A6860,'[1]Tissue Data'!$A:$A,'[1]Tissue Data'!$I:$I)</f>
        <v>gibbosus</v>
      </c>
      <c r="G6860" t="str">
        <f>_xlfn.XLOOKUP(A6860,'[1]Tissue Data'!$A:$A,'[1]Tissue Data'!J:J)</f>
        <v>U</v>
      </c>
      <c r="H6860" t="str">
        <f>_xlfn.XLOOKUP(A6860,'[1]Tissue Data'!$A:$A,'[1]Tissue Data'!K:K)</f>
        <v>Whole Body</v>
      </c>
      <c r="I6860">
        <f>_xlfn.XLOOKUP(A6860,'[1]Tissue Data'!$A:$A,'[1]Tissue Data'!L:L)</f>
        <v>8.5</v>
      </c>
      <c r="J6860">
        <f>_xlfn.XLOOKUP(A6860,'[1]Tissue Data'!$A:$A,'[1]Tissue Data'!M:M)</f>
        <v>16.59</v>
      </c>
      <c r="K6860" t="s">
        <v>20</v>
      </c>
      <c r="L6860" t="str">
        <f>_xlfn.XLOOKUP(K6860,[2]analyte_order!$B:$B,[2]analyte_order!$C:$C)</f>
        <v>307-55-1</v>
      </c>
      <c r="M6860">
        <f>_xlfn.XLOOKUP(L6860,[2]analyte_order!$C:$C,[2]analyte_order!$E:$E)</f>
        <v>9</v>
      </c>
      <c r="N6860">
        <v>52.5</v>
      </c>
    </row>
    <row r="6861" spans="1:14">
      <c r="A6861" t="s">
        <v>298</v>
      </c>
      <c r="B6861" t="str">
        <f>_xlfn.XLOOKUP(A6861,'[1]Tissue Data'!$A:$A,'[1]Tissue Data'!$C:$C)</f>
        <v>Down</v>
      </c>
      <c r="C6861" s="2">
        <f>_xlfn.XLOOKUP(A6861,'[1]Tissue Data'!$A:$A,'[1]Tissue Data'!$D:$D)</f>
        <v>44393</v>
      </c>
      <c r="D6861" s="2" t="str">
        <f>_xlfn.XLOOKUP(A6861,'[1]Tissue Data'!$A:$A,'[1]Tissue Data'!$F:$F)</f>
        <v>Pumpkinseed</v>
      </c>
      <c r="E6861" t="str">
        <f>_xlfn.XLOOKUP(A6861,'[1]Tissue Data'!$A:$A,'[1]Tissue Data'!$H:$H)</f>
        <v>Lepomis</v>
      </c>
      <c r="F6861" t="str">
        <f>_xlfn.XLOOKUP(A6861,'[1]Tissue Data'!$A:$A,'[1]Tissue Data'!$I:$I)</f>
        <v>gibbosus</v>
      </c>
      <c r="G6861" t="str">
        <f>_xlfn.XLOOKUP(A6861,'[1]Tissue Data'!$A:$A,'[1]Tissue Data'!J:J)</f>
        <v>U</v>
      </c>
      <c r="H6861" t="str">
        <f>_xlfn.XLOOKUP(A6861,'[1]Tissue Data'!$A:$A,'[1]Tissue Data'!K:K)</f>
        <v>Whole Body</v>
      </c>
      <c r="I6861">
        <f>_xlfn.XLOOKUP(A6861,'[1]Tissue Data'!$A:$A,'[1]Tissue Data'!L:L)</f>
        <v>8.5</v>
      </c>
      <c r="J6861">
        <f>_xlfn.XLOOKUP(A6861,'[1]Tissue Data'!$A:$A,'[1]Tissue Data'!M:M)</f>
        <v>16.59</v>
      </c>
      <c r="K6861" t="s">
        <v>21</v>
      </c>
      <c r="L6861" t="str">
        <f>_xlfn.XLOOKUP(K6861,[2]analyte_order!$B:$B,[2]analyte_order!$C:$C)</f>
        <v>72629-94-8</v>
      </c>
      <c r="M6861">
        <f>_xlfn.XLOOKUP(L6861,[2]analyte_order!$C:$C,[2]analyte_order!$E:$E)</f>
        <v>10</v>
      </c>
      <c r="N6861">
        <v>11.6</v>
      </c>
    </row>
    <row r="6862" spans="1:14">
      <c r="A6862" t="s">
        <v>298</v>
      </c>
      <c r="B6862" t="str">
        <f>_xlfn.XLOOKUP(A6862,'[1]Tissue Data'!$A:$A,'[1]Tissue Data'!$C:$C)</f>
        <v>Down</v>
      </c>
      <c r="C6862" s="2">
        <f>_xlfn.XLOOKUP(A6862,'[1]Tissue Data'!$A:$A,'[1]Tissue Data'!$D:$D)</f>
        <v>44393</v>
      </c>
      <c r="D6862" s="2" t="str">
        <f>_xlfn.XLOOKUP(A6862,'[1]Tissue Data'!$A:$A,'[1]Tissue Data'!$F:$F)</f>
        <v>Pumpkinseed</v>
      </c>
      <c r="E6862" t="str">
        <f>_xlfn.XLOOKUP(A6862,'[1]Tissue Data'!$A:$A,'[1]Tissue Data'!$H:$H)</f>
        <v>Lepomis</v>
      </c>
      <c r="F6862" t="str">
        <f>_xlfn.XLOOKUP(A6862,'[1]Tissue Data'!$A:$A,'[1]Tissue Data'!$I:$I)</f>
        <v>gibbosus</v>
      </c>
      <c r="G6862" t="str">
        <f>_xlfn.XLOOKUP(A6862,'[1]Tissue Data'!$A:$A,'[1]Tissue Data'!J:J)</f>
        <v>U</v>
      </c>
      <c r="H6862" t="str">
        <f>_xlfn.XLOOKUP(A6862,'[1]Tissue Data'!$A:$A,'[1]Tissue Data'!K:K)</f>
        <v>Whole Body</v>
      </c>
      <c r="I6862">
        <f>_xlfn.XLOOKUP(A6862,'[1]Tissue Data'!$A:$A,'[1]Tissue Data'!L:L)</f>
        <v>8.5</v>
      </c>
      <c r="J6862">
        <f>_xlfn.XLOOKUP(A6862,'[1]Tissue Data'!$A:$A,'[1]Tissue Data'!M:M)</f>
        <v>16.59</v>
      </c>
      <c r="K6862" t="s">
        <v>22</v>
      </c>
      <c r="L6862" t="str">
        <f>_xlfn.XLOOKUP(K6862,[2]analyte_order!$B:$B,[2]analyte_order!$C:$C)</f>
        <v>376-06-7</v>
      </c>
      <c r="M6862">
        <f>_xlfn.XLOOKUP(L6862,[2]analyte_order!$C:$C,[2]analyte_order!$E:$E)</f>
        <v>11</v>
      </c>
      <c r="N6862">
        <v>23.2</v>
      </c>
    </row>
    <row r="6863" spans="1:14">
      <c r="A6863" t="s">
        <v>298</v>
      </c>
      <c r="B6863" t="str">
        <f>_xlfn.XLOOKUP(A6863,'[1]Tissue Data'!$A:$A,'[1]Tissue Data'!$C:$C)</f>
        <v>Down</v>
      </c>
      <c r="C6863" s="2">
        <f>_xlfn.XLOOKUP(A6863,'[1]Tissue Data'!$A:$A,'[1]Tissue Data'!$D:$D)</f>
        <v>44393</v>
      </c>
      <c r="D6863" s="2" t="str">
        <f>_xlfn.XLOOKUP(A6863,'[1]Tissue Data'!$A:$A,'[1]Tissue Data'!$F:$F)</f>
        <v>Pumpkinseed</v>
      </c>
      <c r="E6863" t="str">
        <f>_xlfn.XLOOKUP(A6863,'[1]Tissue Data'!$A:$A,'[1]Tissue Data'!$H:$H)</f>
        <v>Lepomis</v>
      </c>
      <c r="F6863" t="str">
        <f>_xlfn.XLOOKUP(A6863,'[1]Tissue Data'!$A:$A,'[1]Tissue Data'!$I:$I)</f>
        <v>gibbosus</v>
      </c>
      <c r="G6863" t="str">
        <f>_xlfn.XLOOKUP(A6863,'[1]Tissue Data'!$A:$A,'[1]Tissue Data'!J:J)</f>
        <v>U</v>
      </c>
      <c r="H6863" t="str">
        <f>_xlfn.XLOOKUP(A6863,'[1]Tissue Data'!$A:$A,'[1]Tissue Data'!K:K)</f>
        <v>Whole Body</v>
      </c>
      <c r="I6863">
        <f>_xlfn.XLOOKUP(A6863,'[1]Tissue Data'!$A:$A,'[1]Tissue Data'!L:L)</f>
        <v>8.5</v>
      </c>
      <c r="J6863">
        <f>_xlfn.XLOOKUP(A6863,'[1]Tissue Data'!$A:$A,'[1]Tissue Data'!M:M)</f>
        <v>16.59</v>
      </c>
      <c r="K6863" t="s">
        <v>23</v>
      </c>
      <c r="L6863" t="str">
        <f>_xlfn.XLOOKUP(K6863,[2]analyte_order!$B:$B,[2]analyte_order!$C:$C)</f>
        <v>67905-19-5</v>
      </c>
      <c r="M6863">
        <f>_xlfn.XLOOKUP(L6863,[2]analyte_order!$C:$C,[2]analyte_order!$E:$E)</f>
        <v>12</v>
      </c>
      <c r="N6863">
        <v>0.98099999999999998</v>
      </c>
    </row>
    <row r="6864" spans="1:14">
      <c r="A6864" t="s">
        <v>298</v>
      </c>
      <c r="B6864" t="str">
        <f>_xlfn.XLOOKUP(A6864,'[1]Tissue Data'!$A:$A,'[1]Tissue Data'!$C:$C)</f>
        <v>Down</v>
      </c>
      <c r="C6864" s="2">
        <f>_xlfn.XLOOKUP(A6864,'[1]Tissue Data'!$A:$A,'[1]Tissue Data'!$D:$D)</f>
        <v>44393</v>
      </c>
      <c r="D6864" s="2" t="str">
        <f>_xlfn.XLOOKUP(A6864,'[1]Tissue Data'!$A:$A,'[1]Tissue Data'!$F:$F)</f>
        <v>Pumpkinseed</v>
      </c>
      <c r="E6864" t="str">
        <f>_xlfn.XLOOKUP(A6864,'[1]Tissue Data'!$A:$A,'[1]Tissue Data'!$H:$H)</f>
        <v>Lepomis</v>
      </c>
      <c r="F6864" t="str">
        <f>_xlfn.XLOOKUP(A6864,'[1]Tissue Data'!$A:$A,'[1]Tissue Data'!$I:$I)</f>
        <v>gibbosus</v>
      </c>
      <c r="G6864" t="str">
        <f>_xlfn.XLOOKUP(A6864,'[1]Tissue Data'!$A:$A,'[1]Tissue Data'!J:J)</f>
        <v>U</v>
      </c>
      <c r="H6864" t="str">
        <f>_xlfn.XLOOKUP(A6864,'[1]Tissue Data'!$A:$A,'[1]Tissue Data'!K:K)</f>
        <v>Whole Body</v>
      </c>
      <c r="I6864">
        <f>_xlfn.XLOOKUP(A6864,'[1]Tissue Data'!$A:$A,'[1]Tissue Data'!L:L)</f>
        <v>8.5</v>
      </c>
      <c r="J6864">
        <f>_xlfn.XLOOKUP(A6864,'[1]Tissue Data'!$A:$A,'[1]Tissue Data'!M:M)</f>
        <v>16.59</v>
      </c>
      <c r="K6864" t="s">
        <v>24</v>
      </c>
      <c r="L6864" t="str">
        <f>_xlfn.XLOOKUP(K6864,[2]analyte_order!$B:$B,[2]analyte_order!$C:$C)</f>
        <v>423-41-6</v>
      </c>
      <c r="M6864">
        <f>_xlfn.XLOOKUP(L6864,[2]analyte_order!$C:$C,[2]analyte_order!$E:$E)</f>
        <v>53</v>
      </c>
      <c r="N6864">
        <v>0.1105</v>
      </c>
    </row>
    <row r="6865" spans="1:14">
      <c r="A6865" t="s">
        <v>298</v>
      </c>
      <c r="B6865" t="str">
        <f>_xlfn.XLOOKUP(A6865,'[1]Tissue Data'!$A:$A,'[1]Tissue Data'!$C:$C)</f>
        <v>Down</v>
      </c>
      <c r="C6865" s="2">
        <f>_xlfn.XLOOKUP(A6865,'[1]Tissue Data'!$A:$A,'[1]Tissue Data'!$D:$D)</f>
        <v>44393</v>
      </c>
      <c r="D6865" s="2" t="str">
        <f>_xlfn.XLOOKUP(A6865,'[1]Tissue Data'!$A:$A,'[1]Tissue Data'!$F:$F)</f>
        <v>Pumpkinseed</v>
      </c>
      <c r="E6865" t="str">
        <f>_xlfn.XLOOKUP(A6865,'[1]Tissue Data'!$A:$A,'[1]Tissue Data'!$H:$H)</f>
        <v>Lepomis</v>
      </c>
      <c r="F6865" t="str">
        <f>_xlfn.XLOOKUP(A6865,'[1]Tissue Data'!$A:$A,'[1]Tissue Data'!$I:$I)</f>
        <v>gibbosus</v>
      </c>
      <c r="G6865" t="str">
        <f>_xlfn.XLOOKUP(A6865,'[1]Tissue Data'!$A:$A,'[1]Tissue Data'!J:J)</f>
        <v>U</v>
      </c>
      <c r="H6865" t="str">
        <f>_xlfn.XLOOKUP(A6865,'[1]Tissue Data'!$A:$A,'[1]Tissue Data'!K:K)</f>
        <v>Whole Body</v>
      </c>
      <c r="I6865">
        <f>_xlfn.XLOOKUP(A6865,'[1]Tissue Data'!$A:$A,'[1]Tissue Data'!L:L)</f>
        <v>8.5</v>
      </c>
      <c r="J6865">
        <f>_xlfn.XLOOKUP(A6865,'[1]Tissue Data'!$A:$A,'[1]Tissue Data'!M:M)</f>
        <v>16.59</v>
      </c>
      <c r="K6865" t="s">
        <v>25</v>
      </c>
      <c r="L6865" t="str">
        <f>_xlfn.XLOOKUP(K6865,[2]analyte_order!$B:$B,[2]analyte_order!$C:$C)</f>
        <v>375-73-5</v>
      </c>
      <c r="M6865">
        <f>_xlfn.XLOOKUP(L6865,[2]analyte_order!$C:$C,[2]analyte_order!$E:$E)</f>
        <v>14</v>
      </c>
      <c r="N6865">
        <v>0.2215</v>
      </c>
    </row>
    <row r="6866" spans="1:14">
      <c r="A6866" t="s">
        <v>298</v>
      </c>
      <c r="B6866" t="str">
        <f>_xlfn.XLOOKUP(A6866,'[1]Tissue Data'!$A:$A,'[1]Tissue Data'!$C:$C)</f>
        <v>Down</v>
      </c>
      <c r="C6866" s="2">
        <f>_xlfn.XLOOKUP(A6866,'[1]Tissue Data'!$A:$A,'[1]Tissue Data'!$D:$D)</f>
        <v>44393</v>
      </c>
      <c r="D6866" s="2" t="str">
        <f>_xlfn.XLOOKUP(A6866,'[1]Tissue Data'!$A:$A,'[1]Tissue Data'!$F:$F)</f>
        <v>Pumpkinseed</v>
      </c>
      <c r="E6866" t="str">
        <f>_xlfn.XLOOKUP(A6866,'[1]Tissue Data'!$A:$A,'[1]Tissue Data'!$H:$H)</f>
        <v>Lepomis</v>
      </c>
      <c r="F6866" t="str">
        <f>_xlfn.XLOOKUP(A6866,'[1]Tissue Data'!$A:$A,'[1]Tissue Data'!$I:$I)</f>
        <v>gibbosus</v>
      </c>
      <c r="G6866" t="str">
        <f>_xlfn.XLOOKUP(A6866,'[1]Tissue Data'!$A:$A,'[1]Tissue Data'!J:J)</f>
        <v>U</v>
      </c>
      <c r="H6866" t="str">
        <f>_xlfn.XLOOKUP(A6866,'[1]Tissue Data'!$A:$A,'[1]Tissue Data'!K:K)</f>
        <v>Whole Body</v>
      </c>
      <c r="I6866">
        <f>_xlfn.XLOOKUP(A6866,'[1]Tissue Data'!$A:$A,'[1]Tissue Data'!L:L)</f>
        <v>8.5</v>
      </c>
      <c r="J6866">
        <f>_xlfn.XLOOKUP(A6866,'[1]Tissue Data'!$A:$A,'[1]Tissue Data'!M:M)</f>
        <v>16.59</v>
      </c>
      <c r="K6866" t="s">
        <v>26</v>
      </c>
      <c r="L6866" t="str">
        <f>_xlfn.XLOOKUP(K6866,[2]analyte_order!$B:$B,[2]analyte_order!$C:$C)</f>
        <v>2706-91-4</v>
      </c>
      <c r="M6866">
        <f>_xlfn.XLOOKUP(L6866,[2]analyte_order!$C:$C,[2]analyte_order!$E:$E)</f>
        <v>15</v>
      </c>
      <c r="N6866">
        <v>0.11749999999999999</v>
      </c>
    </row>
    <row r="6867" spans="1:14">
      <c r="A6867" t="s">
        <v>298</v>
      </c>
      <c r="B6867" t="str">
        <f>_xlfn.XLOOKUP(A6867,'[1]Tissue Data'!$A:$A,'[1]Tissue Data'!$C:$C)</f>
        <v>Down</v>
      </c>
      <c r="C6867" s="2">
        <f>_xlfn.XLOOKUP(A6867,'[1]Tissue Data'!$A:$A,'[1]Tissue Data'!$D:$D)</f>
        <v>44393</v>
      </c>
      <c r="D6867" s="2" t="str">
        <f>_xlfn.XLOOKUP(A6867,'[1]Tissue Data'!$A:$A,'[1]Tissue Data'!$F:$F)</f>
        <v>Pumpkinseed</v>
      </c>
      <c r="E6867" t="str">
        <f>_xlfn.XLOOKUP(A6867,'[1]Tissue Data'!$A:$A,'[1]Tissue Data'!$H:$H)</f>
        <v>Lepomis</v>
      </c>
      <c r="F6867" t="str">
        <f>_xlfn.XLOOKUP(A6867,'[1]Tissue Data'!$A:$A,'[1]Tissue Data'!$I:$I)</f>
        <v>gibbosus</v>
      </c>
      <c r="G6867" t="str">
        <f>_xlfn.XLOOKUP(A6867,'[1]Tissue Data'!$A:$A,'[1]Tissue Data'!J:J)</f>
        <v>U</v>
      </c>
      <c r="H6867" t="str">
        <f>_xlfn.XLOOKUP(A6867,'[1]Tissue Data'!$A:$A,'[1]Tissue Data'!K:K)</f>
        <v>Whole Body</v>
      </c>
      <c r="I6867">
        <f>_xlfn.XLOOKUP(A6867,'[1]Tissue Data'!$A:$A,'[1]Tissue Data'!L:L)</f>
        <v>8.5</v>
      </c>
      <c r="J6867">
        <f>_xlfn.XLOOKUP(A6867,'[1]Tissue Data'!$A:$A,'[1]Tissue Data'!M:M)</f>
        <v>16.59</v>
      </c>
      <c r="K6867" t="s">
        <v>27</v>
      </c>
      <c r="L6867" t="str">
        <f>_xlfn.XLOOKUP(K6867,[2]analyte_order!$B:$B,[2]analyte_order!$C:$C)</f>
        <v>355-46-4</v>
      </c>
      <c r="M6867">
        <f>_xlfn.XLOOKUP(L6867,[2]analyte_order!$C:$C,[2]analyte_order!$E:$E)</f>
        <v>16</v>
      </c>
      <c r="N6867">
        <v>13</v>
      </c>
    </row>
    <row r="6868" spans="1:14">
      <c r="A6868" t="s">
        <v>298</v>
      </c>
      <c r="B6868" t="str">
        <f>_xlfn.XLOOKUP(A6868,'[1]Tissue Data'!$A:$A,'[1]Tissue Data'!$C:$C)</f>
        <v>Down</v>
      </c>
      <c r="C6868" s="2">
        <f>_xlfn.XLOOKUP(A6868,'[1]Tissue Data'!$A:$A,'[1]Tissue Data'!$D:$D)</f>
        <v>44393</v>
      </c>
      <c r="D6868" s="2" t="str">
        <f>_xlfn.XLOOKUP(A6868,'[1]Tissue Data'!$A:$A,'[1]Tissue Data'!$F:$F)</f>
        <v>Pumpkinseed</v>
      </c>
      <c r="E6868" t="str">
        <f>_xlfn.XLOOKUP(A6868,'[1]Tissue Data'!$A:$A,'[1]Tissue Data'!$H:$H)</f>
        <v>Lepomis</v>
      </c>
      <c r="F6868" t="str">
        <f>_xlfn.XLOOKUP(A6868,'[1]Tissue Data'!$A:$A,'[1]Tissue Data'!$I:$I)</f>
        <v>gibbosus</v>
      </c>
      <c r="G6868" t="str">
        <f>_xlfn.XLOOKUP(A6868,'[1]Tissue Data'!$A:$A,'[1]Tissue Data'!J:J)</f>
        <v>U</v>
      </c>
      <c r="H6868" t="str">
        <f>_xlfn.XLOOKUP(A6868,'[1]Tissue Data'!$A:$A,'[1]Tissue Data'!K:K)</f>
        <v>Whole Body</v>
      </c>
      <c r="I6868">
        <f>_xlfn.XLOOKUP(A6868,'[1]Tissue Data'!$A:$A,'[1]Tissue Data'!L:L)</f>
        <v>8.5</v>
      </c>
      <c r="J6868">
        <f>_xlfn.XLOOKUP(A6868,'[1]Tissue Data'!$A:$A,'[1]Tissue Data'!M:M)</f>
        <v>16.59</v>
      </c>
      <c r="K6868" t="s">
        <v>28</v>
      </c>
      <c r="L6868" t="str">
        <f>_xlfn.XLOOKUP(K6868,[2]analyte_order!$B:$B,[2]analyte_order!$C:$C)</f>
        <v>375-92-8</v>
      </c>
      <c r="M6868">
        <f>_xlfn.XLOOKUP(L6868,[2]analyte_order!$C:$C,[2]analyte_order!$E:$E)</f>
        <v>17</v>
      </c>
      <c r="N6868">
        <v>0.63500000000000001</v>
      </c>
    </row>
    <row r="6869" spans="1:14">
      <c r="A6869" t="s">
        <v>298</v>
      </c>
      <c r="B6869" t="str">
        <f>_xlfn.XLOOKUP(A6869,'[1]Tissue Data'!$A:$A,'[1]Tissue Data'!$C:$C)</f>
        <v>Down</v>
      </c>
      <c r="C6869" s="2">
        <f>_xlfn.XLOOKUP(A6869,'[1]Tissue Data'!$A:$A,'[1]Tissue Data'!$D:$D)</f>
        <v>44393</v>
      </c>
      <c r="D6869" s="2" t="str">
        <f>_xlfn.XLOOKUP(A6869,'[1]Tissue Data'!$A:$A,'[1]Tissue Data'!$F:$F)</f>
        <v>Pumpkinseed</v>
      </c>
      <c r="E6869" t="str">
        <f>_xlfn.XLOOKUP(A6869,'[1]Tissue Data'!$A:$A,'[1]Tissue Data'!$H:$H)</f>
        <v>Lepomis</v>
      </c>
      <c r="F6869" t="str">
        <f>_xlfn.XLOOKUP(A6869,'[1]Tissue Data'!$A:$A,'[1]Tissue Data'!$I:$I)</f>
        <v>gibbosus</v>
      </c>
      <c r="G6869" t="str">
        <f>_xlfn.XLOOKUP(A6869,'[1]Tissue Data'!$A:$A,'[1]Tissue Data'!J:J)</f>
        <v>U</v>
      </c>
      <c r="H6869" t="str">
        <f>_xlfn.XLOOKUP(A6869,'[1]Tissue Data'!$A:$A,'[1]Tissue Data'!K:K)</f>
        <v>Whole Body</v>
      </c>
      <c r="I6869">
        <f>_xlfn.XLOOKUP(A6869,'[1]Tissue Data'!$A:$A,'[1]Tissue Data'!L:L)</f>
        <v>8.5</v>
      </c>
      <c r="J6869">
        <f>_xlfn.XLOOKUP(A6869,'[1]Tissue Data'!$A:$A,'[1]Tissue Data'!M:M)</f>
        <v>16.59</v>
      </c>
      <c r="K6869" t="s">
        <v>29</v>
      </c>
      <c r="L6869" t="str">
        <f>_xlfn.XLOOKUP(K6869,[2]analyte_order!$B:$B,[2]analyte_order!$C:$C)</f>
        <v>1763-23-1</v>
      </c>
      <c r="M6869">
        <f>_xlfn.XLOOKUP(L6869,[2]analyte_order!$C:$C,[2]analyte_order!$E:$E)</f>
        <v>18</v>
      </c>
      <c r="N6869">
        <v>671</v>
      </c>
    </row>
    <row r="6870" spans="1:14">
      <c r="A6870" t="s">
        <v>298</v>
      </c>
      <c r="B6870" t="str">
        <f>_xlfn.XLOOKUP(A6870,'[1]Tissue Data'!$A:$A,'[1]Tissue Data'!$C:$C)</f>
        <v>Down</v>
      </c>
      <c r="C6870" s="2">
        <f>_xlfn.XLOOKUP(A6870,'[1]Tissue Data'!$A:$A,'[1]Tissue Data'!$D:$D)</f>
        <v>44393</v>
      </c>
      <c r="D6870" s="2" t="str">
        <f>_xlfn.XLOOKUP(A6870,'[1]Tissue Data'!$A:$A,'[1]Tissue Data'!$F:$F)</f>
        <v>Pumpkinseed</v>
      </c>
      <c r="E6870" t="str">
        <f>_xlfn.XLOOKUP(A6870,'[1]Tissue Data'!$A:$A,'[1]Tissue Data'!$H:$H)</f>
        <v>Lepomis</v>
      </c>
      <c r="F6870" t="str">
        <f>_xlfn.XLOOKUP(A6870,'[1]Tissue Data'!$A:$A,'[1]Tissue Data'!$I:$I)</f>
        <v>gibbosus</v>
      </c>
      <c r="G6870" t="str">
        <f>_xlfn.XLOOKUP(A6870,'[1]Tissue Data'!$A:$A,'[1]Tissue Data'!J:J)</f>
        <v>U</v>
      </c>
      <c r="H6870" t="str">
        <f>_xlfn.XLOOKUP(A6870,'[1]Tissue Data'!$A:$A,'[1]Tissue Data'!K:K)</f>
        <v>Whole Body</v>
      </c>
      <c r="I6870">
        <f>_xlfn.XLOOKUP(A6870,'[1]Tissue Data'!$A:$A,'[1]Tissue Data'!L:L)</f>
        <v>8.5</v>
      </c>
      <c r="J6870">
        <f>_xlfn.XLOOKUP(A6870,'[1]Tissue Data'!$A:$A,'[1]Tissue Data'!M:M)</f>
        <v>16.59</v>
      </c>
      <c r="K6870" t="s">
        <v>30</v>
      </c>
      <c r="L6870" t="str">
        <f>_xlfn.XLOOKUP(K6870,[2]analyte_order!$B:$B,[2]analyte_order!$C:$C)</f>
        <v>68259-12-1</v>
      </c>
      <c r="M6870">
        <f>_xlfn.XLOOKUP(L6870,[2]analyte_order!$C:$C,[2]analyte_order!$E:$E)</f>
        <v>19</v>
      </c>
      <c r="N6870">
        <v>0.76900000000000002</v>
      </c>
    </row>
    <row r="6871" spans="1:14">
      <c r="A6871" t="s">
        <v>298</v>
      </c>
      <c r="B6871" t="str">
        <f>_xlfn.XLOOKUP(A6871,'[1]Tissue Data'!$A:$A,'[1]Tissue Data'!$C:$C)</f>
        <v>Down</v>
      </c>
      <c r="C6871" s="2">
        <f>_xlfn.XLOOKUP(A6871,'[1]Tissue Data'!$A:$A,'[1]Tissue Data'!$D:$D)</f>
        <v>44393</v>
      </c>
      <c r="D6871" s="2" t="str">
        <f>_xlfn.XLOOKUP(A6871,'[1]Tissue Data'!$A:$A,'[1]Tissue Data'!$F:$F)</f>
        <v>Pumpkinseed</v>
      </c>
      <c r="E6871" t="str">
        <f>_xlfn.XLOOKUP(A6871,'[1]Tissue Data'!$A:$A,'[1]Tissue Data'!$H:$H)</f>
        <v>Lepomis</v>
      </c>
      <c r="F6871" t="str">
        <f>_xlfn.XLOOKUP(A6871,'[1]Tissue Data'!$A:$A,'[1]Tissue Data'!$I:$I)</f>
        <v>gibbosus</v>
      </c>
      <c r="G6871" t="str">
        <f>_xlfn.XLOOKUP(A6871,'[1]Tissue Data'!$A:$A,'[1]Tissue Data'!J:J)</f>
        <v>U</v>
      </c>
      <c r="H6871" t="str">
        <f>_xlfn.XLOOKUP(A6871,'[1]Tissue Data'!$A:$A,'[1]Tissue Data'!K:K)</f>
        <v>Whole Body</v>
      </c>
      <c r="I6871">
        <f>_xlfn.XLOOKUP(A6871,'[1]Tissue Data'!$A:$A,'[1]Tissue Data'!L:L)</f>
        <v>8.5</v>
      </c>
      <c r="J6871">
        <f>_xlfn.XLOOKUP(A6871,'[1]Tissue Data'!$A:$A,'[1]Tissue Data'!M:M)</f>
        <v>16.59</v>
      </c>
      <c r="K6871" t="s">
        <v>31</v>
      </c>
      <c r="L6871" t="str">
        <f>_xlfn.XLOOKUP(K6871,[2]analyte_order!$B:$B,[2]analyte_order!$C:$C)</f>
        <v>335-77-3</v>
      </c>
      <c r="M6871">
        <f>_xlfn.XLOOKUP(L6871,[2]analyte_order!$C:$C,[2]analyte_order!$E:$E)</f>
        <v>20</v>
      </c>
      <c r="N6871">
        <v>0.99299999999999999</v>
      </c>
    </row>
    <row r="6872" spans="1:14">
      <c r="A6872" t="s">
        <v>298</v>
      </c>
      <c r="B6872" t="str">
        <f>_xlfn.XLOOKUP(A6872,'[1]Tissue Data'!$A:$A,'[1]Tissue Data'!$C:$C)</f>
        <v>Down</v>
      </c>
      <c r="C6872" s="2">
        <f>_xlfn.XLOOKUP(A6872,'[1]Tissue Data'!$A:$A,'[1]Tissue Data'!$D:$D)</f>
        <v>44393</v>
      </c>
      <c r="D6872" s="2" t="str">
        <f>_xlfn.XLOOKUP(A6872,'[1]Tissue Data'!$A:$A,'[1]Tissue Data'!$F:$F)</f>
        <v>Pumpkinseed</v>
      </c>
      <c r="E6872" t="str">
        <f>_xlfn.XLOOKUP(A6872,'[1]Tissue Data'!$A:$A,'[1]Tissue Data'!$H:$H)</f>
        <v>Lepomis</v>
      </c>
      <c r="F6872" t="str">
        <f>_xlfn.XLOOKUP(A6872,'[1]Tissue Data'!$A:$A,'[1]Tissue Data'!$I:$I)</f>
        <v>gibbosus</v>
      </c>
      <c r="G6872" t="str">
        <f>_xlfn.XLOOKUP(A6872,'[1]Tissue Data'!$A:$A,'[1]Tissue Data'!J:J)</f>
        <v>U</v>
      </c>
      <c r="H6872" t="str">
        <f>_xlfn.XLOOKUP(A6872,'[1]Tissue Data'!$A:$A,'[1]Tissue Data'!K:K)</f>
        <v>Whole Body</v>
      </c>
      <c r="I6872">
        <f>_xlfn.XLOOKUP(A6872,'[1]Tissue Data'!$A:$A,'[1]Tissue Data'!L:L)</f>
        <v>8.5</v>
      </c>
      <c r="J6872">
        <f>_xlfn.XLOOKUP(A6872,'[1]Tissue Data'!$A:$A,'[1]Tissue Data'!M:M)</f>
        <v>16.59</v>
      </c>
      <c r="K6872" t="s">
        <v>32</v>
      </c>
      <c r="L6872" t="str">
        <f>_xlfn.XLOOKUP(K6872,[2]analyte_order!$B:$B,[2]analyte_order!$C:$C)</f>
        <v>79780-39-5</v>
      </c>
      <c r="M6872">
        <f>_xlfn.XLOOKUP(L6872,[2]analyte_order!$C:$C,[2]analyte_order!$E:$E)</f>
        <v>21</v>
      </c>
      <c r="N6872">
        <v>0.23699999999999999</v>
      </c>
    </row>
    <row r="6873" spans="1:14">
      <c r="A6873" t="s">
        <v>298</v>
      </c>
      <c r="B6873" t="str">
        <f>_xlfn.XLOOKUP(A6873,'[1]Tissue Data'!$A:$A,'[1]Tissue Data'!$C:$C)</f>
        <v>Down</v>
      </c>
      <c r="C6873" s="2">
        <f>_xlfn.XLOOKUP(A6873,'[1]Tissue Data'!$A:$A,'[1]Tissue Data'!$D:$D)</f>
        <v>44393</v>
      </c>
      <c r="D6873" s="2" t="str">
        <f>_xlfn.XLOOKUP(A6873,'[1]Tissue Data'!$A:$A,'[1]Tissue Data'!$F:$F)</f>
        <v>Pumpkinseed</v>
      </c>
      <c r="E6873" t="str">
        <f>_xlfn.XLOOKUP(A6873,'[1]Tissue Data'!$A:$A,'[1]Tissue Data'!$H:$H)</f>
        <v>Lepomis</v>
      </c>
      <c r="F6873" t="str">
        <f>_xlfn.XLOOKUP(A6873,'[1]Tissue Data'!$A:$A,'[1]Tissue Data'!$I:$I)</f>
        <v>gibbosus</v>
      </c>
      <c r="G6873" t="str">
        <f>_xlfn.XLOOKUP(A6873,'[1]Tissue Data'!$A:$A,'[1]Tissue Data'!J:J)</f>
        <v>U</v>
      </c>
      <c r="H6873" t="str">
        <f>_xlfn.XLOOKUP(A6873,'[1]Tissue Data'!$A:$A,'[1]Tissue Data'!K:K)</f>
        <v>Whole Body</v>
      </c>
      <c r="I6873">
        <f>_xlfn.XLOOKUP(A6873,'[1]Tissue Data'!$A:$A,'[1]Tissue Data'!L:L)</f>
        <v>8.5</v>
      </c>
      <c r="J6873">
        <f>_xlfn.XLOOKUP(A6873,'[1]Tissue Data'!$A:$A,'[1]Tissue Data'!M:M)</f>
        <v>16.59</v>
      </c>
      <c r="K6873" t="s">
        <v>33</v>
      </c>
      <c r="L6873" t="str">
        <f>_xlfn.XLOOKUP(K6873,[2]analyte_order!$B:$B,[2]analyte_order!$C:$C)</f>
        <v>777011-38-8</v>
      </c>
      <c r="M6873">
        <f>_xlfn.XLOOKUP(L6873,[2]analyte_order!$C:$C,[2]analyte_order!$E:$E)</f>
        <v>54</v>
      </c>
      <c r="N6873">
        <v>0.13450000000000001</v>
      </c>
    </row>
    <row r="6874" spans="1:14">
      <c r="A6874" t="s">
        <v>298</v>
      </c>
      <c r="B6874" t="str">
        <f>_xlfn.XLOOKUP(A6874,'[1]Tissue Data'!$A:$A,'[1]Tissue Data'!$C:$C)</f>
        <v>Down</v>
      </c>
      <c r="C6874" s="2">
        <f>_xlfn.XLOOKUP(A6874,'[1]Tissue Data'!$A:$A,'[1]Tissue Data'!$D:$D)</f>
        <v>44393</v>
      </c>
      <c r="D6874" s="2" t="str">
        <f>_xlfn.XLOOKUP(A6874,'[1]Tissue Data'!$A:$A,'[1]Tissue Data'!$F:$F)</f>
        <v>Pumpkinseed</v>
      </c>
      <c r="E6874" t="str">
        <f>_xlfn.XLOOKUP(A6874,'[1]Tissue Data'!$A:$A,'[1]Tissue Data'!$H:$H)</f>
        <v>Lepomis</v>
      </c>
      <c r="F6874" t="str">
        <f>_xlfn.XLOOKUP(A6874,'[1]Tissue Data'!$A:$A,'[1]Tissue Data'!$I:$I)</f>
        <v>gibbosus</v>
      </c>
      <c r="G6874" t="str">
        <f>_xlfn.XLOOKUP(A6874,'[1]Tissue Data'!$A:$A,'[1]Tissue Data'!J:J)</f>
        <v>U</v>
      </c>
      <c r="H6874" t="str">
        <f>_xlfn.XLOOKUP(A6874,'[1]Tissue Data'!$A:$A,'[1]Tissue Data'!K:K)</f>
        <v>Whole Body</v>
      </c>
      <c r="I6874">
        <f>_xlfn.XLOOKUP(A6874,'[1]Tissue Data'!$A:$A,'[1]Tissue Data'!L:L)</f>
        <v>8.5</v>
      </c>
      <c r="J6874">
        <f>_xlfn.XLOOKUP(A6874,'[1]Tissue Data'!$A:$A,'[1]Tissue Data'!M:M)</f>
        <v>16.59</v>
      </c>
      <c r="K6874" t="s">
        <v>34</v>
      </c>
      <c r="L6874" t="str">
        <f>_xlfn.XLOOKUP(K6874,[2]analyte_order!$B:$B,[2]analyte_order!$C:$C)</f>
        <v>646-83-3</v>
      </c>
      <c r="M6874">
        <f>_xlfn.XLOOKUP(L6874,[2]analyte_order!$C:$C,[2]analyte_order!$E:$E)</f>
        <v>55</v>
      </c>
      <c r="N6874">
        <v>8.8499999999999995E-2</v>
      </c>
    </row>
    <row r="6875" spans="1:14">
      <c r="A6875" t="s">
        <v>298</v>
      </c>
      <c r="B6875" t="str">
        <f>_xlfn.XLOOKUP(A6875,'[1]Tissue Data'!$A:$A,'[1]Tissue Data'!$C:$C)</f>
        <v>Down</v>
      </c>
      <c r="C6875" s="2">
        <f>_xlfn.XLOOKUP(A6875,'[1]Tissue Data'!$A:$A,'[1]Tissue Data'!$D:$D)</f>
        <v>44393</v>
      </c>
      <c r="D6875" s="2" t="str">
        <f>_xlfn.XLOOKUP(A6875,'[1]Tissue Data'!$A:$A,'[1]Tissue Data'!$F:$F)</f>
        <v>Pumpkinseed</v>
      </c>
      <c r="E6875" t="str">
        <f>_xlfn.XLOOKUP(A6875,'[1]Tissue Data'!$A:$A,'[1]Tissue Data'!$H:$H)</f>
        <v>Lepomis</v>
      </c>
      <c r="F6875" t="str">
        <f>_xlfn.XLOOKUP(A6875,'[1]Tissue Data'!$A:$A,'[1]Tissue Data'!$I:$I)</f>
        <v>gibbosus</v>
      </c>
      <c r="G6875" t="str">
        <f>_xlfn.XLOOKUP(A6875,'[1]Tissue Data'!$A:$A,'[1]Tissue Data'!J:J)</f>
        <v>U</v>
      </c>
      <c r="H6875" t="str">
        <f>_xlfn.XLOOKUP(A6875,'[1]Tissue Data'!$A:$A,'[1]Tissue Data'!K:K)</f>
        <v>Whole Body</v>
      </c>
      <c r="I6875">
        <f>_xlfn.XLOOKUP(A6875,'[1]Tissue Data'!$A:$A,'[1]Tissue Data'!L:L)</f>
        <v>8.5</v>
      </c>
      <c r="J6875">
        <f>_xlfn.XLOOKUP(A6875,'[1]Tissue Data'!$A:$A,'[1]Tissue Data'!M:M)</f>
        <v>16.59</v>
      </c>
      <c r="K6875" t="s">
        <v>35</v>
      </c>
      <c r="L6875" t="str">
        <f>_xlfn.XLOOKUP(K6875,[2]analyte_order!$B:$B,[2]analyte_order!$C:$C)</f>
        <v>30334-69-1</v>
      </c>
      <c r="M6875">
        <f>_xlfn.XLOOKUP(L6875,[2]analyte_order!$C:$C,[2]analyte_order!$E:$E)</f>
        <v>51</v>
      </c>
      <c r="N6875">
        <v>29.7</v>
      </c>
    </row>
    <row r="6876" spans="1:14">
      <c r="A6876" t="s">
        <v>298</v>
      </c>
      <c r="B6876" t="str">
        <f>_xlfn.XLOOKUP(A6876,'[1]Tissue Data'!$A:$A,'[1]Tissue Data'!$C:$C)</f>
        <v>Down</v>
      </c>
      <c r="C6876" s="2">
        <f>_xlfn.XLOOKUP(A6876,'[1]Tissue Data'!$A:$A,'[1]Tissue Data'!$D:$D)</f>
        <v>44393</v>
      </c>
      <c r="D6876" s="2" t="str">
        <f>_xlfn.XLOOKUP(A6876,'[1]Tissue Data'!$A:$A,'[1]Tissue Data'!$F:$F)</f>
        <v>Pumpkinseed</v>
      </c>
      <c r="E6876" t="str">
        <f>_xlfn.XLOOKUP(A6876,'[1]Tissue Data'!$A:$A,'[1]Tissue Data'!$H:$H)</f>
        <v>Lepomis</v>
      </c>
      <c r="F6876" t="str">
        <f>_xlfn.XLOOKUP(A6876,'[1]Tissue Data'!$A:$A,'[1]Tissue Data'!$I:$I)</f>
        <v>gibbosus</v>
      </c>
      <c r="G6876" t="str">
        <f>_xlfn.XLOOKUP(A6876,'[1]Tissue Data'!$A:$A,'[1]Tissue Data'!J:J)</f>
        <v>U</v>
      </c>
      <c r="H6876" t="str">
        <f>_xlfn.XLOOKUP(A6876,'[1]Tissue Data'!$A:$A,'[1]Tissue Data'!K:K)</f>
        <v>Whole Body</v>
      </c>
      <c r="I6876">
        <f>_xlfn.XLOOKUP(A6876,'[1]Tissue Data'!$A:$A,'[1]Tissue Data'!L:L)</f>
        <v>8.5</v>
      </c>
      <c r="J6876">
        <f>_xlfn.XLOOKUP(A6876,'[1]Tissue Data'!$A:$A,'[1]Tissue Data'!M:M)</f>
        <v>16.59</v>
      </c>
      <c r="K6876" t="s">
        <v>36</v>
      </c>
      <c r="L6876" t="str">
        <f>_xlfn.XLOOKUP(K6876,[2]analyte_order!$B:$B,[2]analyte_order!$C:$C)</f>
        <v>41997-13-1</v>
      </c>
      <c r="M6876">
        <f>_xlfn.XLOOKUP(L6876,[2]analyte_order!$C:$C,[2]analyte_order!$E:$E)</f>
        <v>52</v>
      </c>
      <c r="N6876">
        <v>32.1</v>
      </c>
    </row>
    <row r="6877" spans="1:14">
      <c r="A6877" t="s">
        <v>298</v>
      </c>
      <c r="B6877" t="str">
        <f>_xlfn.XLOOKUP(A6877,'[1]Tissue Data'!$A:$A,'[1]Tissue Data'!$C:$C)</f>
        <v>Down</v>
      </c>
      <c r="C6877" s="2">
        <f>_xlfn.XLOOKUP(A6877,'[1]Tissue Data'!$A:$A,'[1]Tissue Data'!$D:$D)</f>
        <v>44393</v>
      </c>
      <c r="D6877" s="2" t="str">
        <f>_xlfn.XLOOKUP(A6877,'[1]Tissue Data'!$A:$A,'[1]Tissue Data'!$F:$F)</f>
        <v>Pumpkinseed</v>
      </c>
      <c r="E6877" t="str">
        <f>_xlfn.XLOOKUP(A6877,'[1]Tissue Data'!$A:$A,'[1]Tissue Data'!$H:$H)</f>
        <v>Lepomis</v>
      </c>
      <c r="F6877" t="str">
        <f>_xlfn.XLOOKUP(A6877,'[1]Tissue Data'!$A:$A,'[1]Tissue Data'!$I:$I)</f>
        <v>gibbosus</v>
      </c>
      <c r="G6877" t="str">
        <f>_xlfn.XLOOKUP(A6877,'[1]Tissue Data'!$A:$A,'[1]Tissue Data'!J:J)</f>
        <v>U</v>
      </c>
      <c r="H6877" t="str">
        <f>_xlfn.XLOOKUP(A6877,'[1]Tissue Data'!$A:$A,'[1]Tissue Data'!K:K)</f>
        <v>Whole Body</v>
      </c>
      <c r="I6877">
        <f>_xlfn.XLOOKUP(A6877,'[1]Tissue Data'!$A:$A,'[1]Tissue Data'!L:L)</f>
        <v>8.5</v>
      </c>
      <c r="J6877">
        <f>_xlfn.XLOOKUP(A6877,'[1]Tissue Data'!$A:$A,'[1]Tissue Data'!M:M)</f>
        <v>16.59</v>
      </c>
      <c r="K6877" t="s">
        <v>37</v>
      </c>
      <c r="L6877" t="str">
        <f>_xlfn.XLOOKUP(K6877,[2]analyte_order!$B:$B,[2]analyte_order!$C:$C)</f>
        <v>754-91-6</v>
      </c>
      <c r="M6877">
        <f>_xlfn.XLOOKUP(L6877,[2]analyte_order!$C:$C,[2]analyte_order!$E:$E)</f>
        <v>28</v>
      </c>
      <c r="N6877">
        <v>12.3</v>
      </c>
    </row>
    <row r="6878" spans="1:14">
      <c r="A6878" t="s">
        <v>298</v>
      </c>
      <c r="B6878" t="str">
        <f>_xlfn.XLOOKUP(A6878,'[1]Tissue Data'!$A:$A,'[1]Tissue Data'!$C:$C)</f>
        <v>Down</v>
      </c>
      <c r="C6878" s="2">
        <f>_xlfn.XLOOKUP(A6878,'[1]Tissue Data'!$A:$A,'[1]Tissue Data'!$D:$D)</f>
        <v>44393</v>
      </c>
      <c r="D6878" s="2" t="str">
        <f>_xlfn.XLOOKUP(A6878,'[1]Tissue Data'!$A:$A,'[1]Tissue Data'!$F:$F)</f>
        <v>Pumpkinseed</v>
      </c>
      <c r="E6878" t="str">
        <f>_xlfn.XLOOKUP(A6878,'[1]Tissue Data'!$A:$A,'[1]Tissue Data'!$H:$H)</f>
        <v>Lepomis</v>
      </c>
      <c r="F6878" t="str">
        <f>_xlfn.XLOOKUP(A6878,'[1]Tissue Data'!$A:$A,'[1]Tissue Data'!$I:$I)</f>
        <v>gibbosus</v>
      </c>
      <c r="G6878" t="str">
        <f>_xlfn.XLOOKUP(A6878,'[1]Tissue Data'!$A:$A,'[1]Tissue Data'!J:J)</f>
        <v>U</v>
      </c>
      <c r="H6878" t="str">
        <f>_xlfn.XLOOKUP(A6878,'[1]Tissue Data'!$A:$A,'[1]Tissue Data'!K:K)</f>
        <v>Whole Body</v>
      </c>
      <c r="I6878">
        <f>_xlfn.XLOOKUP(A6878,'[1]Tissue Data'!$A:$A,'[1]Tissue Data'!L:L)</f>
        <v>8.5</v>
      </c>
      <c r="J6878">
        <f>_xlfn.XLOOKUP(A6878,'[1]Tissue Data'!$A:$A,'[1]Tissue Data'!M:M)</f>
        <v>16.59</v>
      </c>
      <c r="K6878" t="s">
        <v>38</v>
      </c>
      <c r="L6878" t="str">
        <f>_xlfn.XLOOKUP(K6878,[2]analyte_order!$B:$B,[2]analyte_order!$C:$C)</f>
        <v>31506-32-8</v>
      </c>
      <c r="M6878">
        <f>_xlfn.XLOOKUP(L6878,[2]analyte_order!$C:$C,[2]analyte_order!$E:$E)</f>
        <v>30</v>
      </c>
      <c r="N6878">
        <v>8.5000000000000006E-2</v>
      </c>
    </row>
    <row r="6879" spans="1:14">
      <c r="A6879" t="s">
        <v>298</v>
      </c>
      <c r="B6879" t="str">
        <f>_xlfn.XLOOKUP(A6879,'[1]Tissue Data'!$A:$A,'[1]Tissue Data'!$C:$C)</f>
        <v>Down</v>
      </c>
      <c r="C6879" s="2">
        <f>_xlfn.XLOOKUP(A6879,'[1]Tissue Data'!$A:$A,'[1]Tissue Data'!$D:$D)</f>
        <v>44393</v>
      </c>
      <c r="D6879" s="2" t="str">
        <f>_xlfn.XLOOKUP(A6879,'[1]Tissue Data'!$A:$A,'[1]Tissue Data'!$F:$F)</f>
        <v>Pumpkinseed</v>
      </c>
      <c r="E6879" t="str">
        <f>_xlfn.XLOOKUP(A6879,'[1]Tissue Data'!$A:$A,'[1]Tissue Data'!$H:$H)</f>
        <v>Lepomis</v>
      </c>
      <c r="F6879" t="str">
        <f>_xlfn.XLOOKUP(A6879,'[1]Tissue Data'!$A:$A,'[1]Tissue Data'!$I:$I)</f>
        <v>gibbosus</v>
      </c>
      <c r="G6879" t="str">
        <f>_xlfn.XLOOKUP(A6879,'[1]Tissue Data'!$A:$A,'[1]Tissue Data'!J:J)</f>
        <v>U</v>
      </c>
      <c r="H6879" t="str">
        <f>_xlfn.XLOOKUP(A6879,'[1]Tissue Data'!$A:$A,'[1]Tissue Data'!K:K)</f>
        <v>Whole Body</v>
      </c>
      <c r="I6879">
        <f>_xlfn.XLOOKUP(A6879,'[1]Tissue Data'!$A:$A,'[1]Tissue Data'!L:L)</f>
        <v>8.5</v>
      </c>
      <c r="J6879">
        <f>_xlfn.XLOOKUP(A6879,'[1]Tissue Data'!$A:$A,'[1]Tissue Data'!M:M)</f>
        <v>16.59</v>
      </c>
      <c r="K6879" t="s">
        <v>39</v>
      </c>
      <c r="L6879" t="str">
        <f>_xlfn.XLOOKUP(K6879,[2]analyte_order!$B:$B,[2]analyte_order!$C:$C)</f>
        <v>4151-50-2</v>
      </c>
      <c r="M6879">
        <f>_xlfn.XLOOKUP(L6879,[2]analyte_order!$C:$C,[2]analyte_order!$E:$E)</f>
        <v>31</v>
      </c>
      <c r="N6879">
        <v>0.2215</v>
      </c>
    </row>
    <row r="6880" spans="1:14">
      <c r="A6880" t="s">
        <v>298</v>
      </c>
      <c r="B6880" t="str">
        <f>_xlfn.XLOOKUP(A6880,'[1]Tissue Data'!$A:$A,'[1]Tissue Data'!$C:$C)</f>
        <v>Down</v>
      </c>
      <c r="C6880" s="2">
        <f>_xlfn.XLOOKUP(A6880,'[1]Tissue Data'!$A:$A,'[1]Tissue Data'!$D:$D)</f>
        <v>44393</v>
      </c>
      <c r="D6880" s="2" t="str">
        <f>_xlfn.XLOOKUP(A6880,'[1]Tissue Data'!$A:$A,'[1]Tissue Data'!$F:$F)</f>
        <v>Pumpkinseed</v>
      </c>
      <c r="E6880" t="str">
        <f>_xlfn.XLOOKUP(A6880,'[1]Tissue Data'!$A:$A,'[1]Tissue Data'!$H:$H)</f>
        <v>Lepomis</v>
      </c>
      <c r="F6880" t="str">
        <f>_xlfn.XLOOKUP(A6880,'[1]Tissue Data'!$A:$A,'[1]Tissue Data'!$I:$I)</f>
        <v>gibbosus</v>
      </c>
      <c r="G6880" t="str">
        <f>_xlfn.XLOOKUP(A6880,'[1]Tissue Data'!$A:$A,'[1]Tissue Data'!J:J)</f>
        <v>U</v>
      </c>
      <c r="H6880" t="str">
        <f>_xlfn.XLOOKUP(A6880,'[1]Tissue Data'!$A:$A,'[1]Tissue Data'!K:K)</f>
        <v>Whole Body</v>
      </c>
      <c r="I6880">
        <f>_xlfn.XLOOKUP(A6880,'[1]Tissue Data'!$A:$A,'[1]Tissue Data'!L:L)</f>
        <v>8.5</v>
      </c>
      <c r="J6880">
        <f>_xlfn.XLOOKUP(A6880,'[1]Tissue Data'!$A:$A,'[1]Tissue Data'!M:M)</f>
        <v>16.59</v>
      </c>
      <c r="K6880" t="s">
        <v>40</v>
      </c>
      <c r="L6880" t="str">
        <f>_xlfn.XLOOKUP(K6880,[2]analyte_order!$B:$B,[2]analyte_order!$C:$C)</f>
        <v>2806-24-8</v>
      </c>
      <c r="M6880">
        <f>_xlfn.XLOOKUP(L6880,[2]analyte_order!$C:$C,[2]analyte_order!$E:$E)</f>
        <v>29</v>
      </c>
      <c r="N6880">
        <v>0.2215</v>
      </c>
    </row>
    <row r="6881" spans="1:14">
      <c r="A6881" t="s">
        <v>298</v>
      </c>
      <c r="B6881" t="str">
        <f>_xlfn.XLOOKUP(A6881,'[1]Tissue Data'!$A:$A,'[1]Tissue Data'!$C:$C)</f>
        <v>Down</v>
      </c>
      <c r="C6881" s="2">
        <f>_xlfn.XLOOKUP(A6881,'[1]Tissue Data'!$A:$A,'[1]Tissue Data'!$D:$D)</f>
        <v>44393</v>
      </c>
      <c r="D6881" s="2" t="str">
        <f>_xlfn.XLOOKUP(A6881,'[1]Tissue Data'!$A:$A,'[1]Tissue Data'!$F:$F)</f>
        <v>Pumpkinseed</v>
      </c>
      <c r="E6881" t="str">
        <f>_xlfn.XLOOKUP(A6881,'[1]Tissue Data'!$A:$A,'[1]Tissue Data'!$H:$H)</f>
        <v>Lepomis</v>
      </c>
      <c r="F6881" t="str">
        <f>_xlfn.XLOOKUP(A6881,'[1]Tissue Data'!$A:$A,'[1]Tissue Data'!$I:$I)</f>
        <v>gibbosus</v>
      </c>
      <c r="G6881" t="str">
        <f>_xlfn.XLOOKUP(A6881,'[1]Tissue Data'!$A:$A,'[1]Tissue Data'!J:J)</f>
        <v>U</v>
      </c>
      <c r="H6881" t="str">
        <f>_xlfn.XLOOKUP(A6881,'[1]Tissue Data'!$A:$A,'[1]Tissue Data'!K:K)</f>
        <v>Whole Body</v>
      </c>
      <c r="I6881">
        <f>_xlfn.XLOOKUP(A6881,'[1]Tissue Data'!$A:$A,'[1]Tissue Data'!L:L)</f>
        <v>8.5</v>
      </c>
      <c r="J6881">
        <f>_xlfn.XLOOKUP(A6881,'[1]Tissue Data'!$A:$A,'[1]Tissue Data'!M:M)</f>
        <v>16.59</v>
      </c>
      <c r="K6881" t="s">
        <v>41</v>
      </c>
      <c r="L6881" t="str">
        <f>_xlfn.XLOOKUP(K6881,[2]analyte_order!$B:$B,[2]analyte_order!$C:$C)</f>
        <v>2355-31-9</v>
      </c>
      <c r="M6881">
        <f>_xlfn.XLOOKUP(L6881,[2]analyte_order!$C:$C,[2]analyte_order!$E:$E)</f>
        <v>26</v>
      </c>
      <c r="N6881">
        <v>0.1115</v>
      </c>
    </row>
    <row r="6882" spans="1:14">
      <c r="A6882" t="s">
        <v>298</v>
      </c>
      <c r="B6882" t="str">
        <f>_xlfn.XLOOKUP(A6882,'[1]Tissue Data'!$A:$A,'[1]Tissue Data'!$C:$C)</f>
        <v>Down</v>
      </c>
      <c r="C6882" s="2">
        <f>_xlfn.XLOOKUP(A6882,'[1]Tissue Data'!$A:$A,'[1]Tissue Data'!$D:$D)</f>
        <v>44393</v>
      </c>
      <c r="D6882" s="2" t="str">
        <f>_xlfn.XLOOKUP(A6882,'[1]Tissue Data'!$A:$A,'[1]Tissue Data'!$F:$F)</f>
        <v>Pumpkinseed</v>
      </c>
      <c r="E6882" t="str">
        <f>_xlfn.XLOOKUP(A6882,'[1]Tissue Data'!$A:$A,'[1]Tissue Data'!$H:$H)</f>
        <v>Lepomis</v>
      </c>
      <c r="F6882" t="str">
        <f>_xlfn.XLOOKUP(A6882,'[1]Tissue Data'!$A:$A,'[1]Tissue Data'!$I:$I)</f>
        <v>gibbosus</v>
      </c>
      <c r="G6882" t="str">
        <f>_xlfn.XLOOKUP(A6882,'[1]Tissue Data'!$A:$A,'[1]Tissue Data'!J:J)</f>
        <v>U</v>
      </c>
      <c r="H6882" t="str">
        <f>_xlfn.XLOOKUP(A6882,'[1]Tissue Data'!$A:$A,'[1]Tissue Data'!K:K)</f>
        <v>Whole Body</v>
      </c>
      <c r="I6882">
        <f>_xlfn.XLOOKUP(A6882,'[1]Tissue Data'!$A:$A,'[1]Tissue Data'!L:L)</f>
        <v>8.5</v>
      </c>
      <c r="J6882">
        <f>_xlfn.XLOOKUP(A6882,'[1]Tissue Data'!$A:$A,'[1]Tissue Data'!M:M)</f>
        <v>16.59</v>
      </c>
      <c r="K6882" t="s">
        <v>42</v>
      </c>
      <c r="L6882" t="str">
        <f>_xlfn.XLOOKUP(K6882,[2]analyte_order!$B:$B,[2]analyte_order!$C:$C)</f>
        <v>2991-50-6</v>
      </c>
      <c r="M6882">
        <f>_xlfn.XLOOKUP(L6882,[2]analyte_order!$C:$C,[2]analyte_order!$E:$E)</f>
        <v>27</v>
      </c>
      <c r="N6882">
        <v>0.1105</v>
      </c>
    </row>
    <row r="6883" spans="1:14">
      <c r="A6883" t="s">
        <v>298</v>
      </c>
      <c r="B6883" t="str">
        <f>_xlfn.XLOOKUP(A6883,'[1]Tissue Data'!$A:$A,'[1]Tissue Data'!$C:$C)</f>
        <v>Down</v>
      </c>
      <c r="C6883" s="2">
        <f>_xlfn.XLOOKUP(A6883,'[1]Tissue Data'!$A:$A,'[1]Tissue Data'!$D:$D)</f>
        <v>44393</v>
      </c>
      <c r="D6883" s="2" t="str">
        <f>_xlfn.XLOOKUP(A6883,'[1]Tissue Data'!$A:$A,'[1]Tissue Data'!$F:$F)</f>
        <v>Pumpkinseed</v>
      </c>
      <c r="E6883" t="str">
        <f>_xlfn.XLOOKUP(A6883,'[1]Tissue Data'!$A:$A,'[1]Tissue Data'!$H:$H)</f>
        <v>Lepomis</v>
      </c>
      <c r="F6883" t="str">
        <f>_xlfn.XLOOKUP(A6883,'[1]Tissue Data'!$A:$A,'[1]Tissue Data'!$I:$I)</f>
        <v>gibbosus</v>
      </c>
      <c r="G6883" t="str">
        <f>_xlfn.XLOOKUP(A6883,'[1]Tissue Data'!$A:$A,'[1]Tissue Data'!J:J)</f>
        <v>U</v>
      </c>
      <c r="H6883" t="str">
        <f>_xlfn.XLOOKUP(A6883,'[1]Tissue Data'!$A:$A,'[1]Tissue Data'!K:K)</f>
        <v>Whole Body</v>
      </c>
      <c r="I6883">
        <f>_xlfn.XLOOKUP(A6883,'[1]Tissue Data'!$A:$A,'[1]Tissue Data'!L:L)</f>
        <v>8.5</v>
      </c>
      <c r="J6883">
        <f>_xlfn.XLOOKUP(A6883,'[1]Tissue Data'!$A:$A,'[1]Tissue Data'!M:M)</f>
        <v>16.59</v>
      </c>
      <c r="K6883" t="s">
        <v>43</v>
      </c>
      <c r="L6883" t="str">
        <f>_xlfn.XLOOKUP(K6883,[2]analyte_order!$B:$B,[2]analyte_order!$C:$C)</f>
        <v>757124-72-4</v>
      </c>
      <c r="M6883">
        <f>_xlfn.XLOOKUP(L6883,[2]analyte_order!$C:$C,[2]analyte_order!$E:$E)</f>
        <v>22</v>
      </c>
      <c r="N6883">
        <v>0.1105</v>
      </c>
    </row>
    <row r="6884" spans="1:14">
      <c r="A6884" t="s">
        <v>298</v>
      </c>
      <c r="B6884" t="str">
        <f>_xlfn.XLOOKUP(A6884,'[1]Tissue Data'!$A:$A,'[1]Tissue Data'!$C:$C)</f>
        <v>Down</v>
      </c>
      <c r="C6884" s="2">
        <f>_xlfn.XLOOKUP(A6884,'[1]Tissue Data'!$A:$A,'[1]Tissue Data'!$D:$D)</f>
        <v>44393</v>
      </c>
      <c r="D6884" s="2" t="str">
        <f>_xlfn.XLOOKUP(A6884,'[1]Tissue Data'!$A:$A,'[1]Tissue Data'!$F:$F)</f>
        <v>Pumpkinseed</v>
      </c>
      <c r="E6884" t="str">
        <f>_xlfn.XLOOKUP(A6884,'[1]Tissue Data'!$A:$A,'[1]Tissue Data'!$H:$H)</f>
        <v>Lepomis</v>
      </c>
      <c r="F6884" t="str">
        <f>_xlfn.XLOOKUP(A6884,'[1]Tissue Data'!$A:$A,'[1]Tissue Data'!$I:$I)</f>
        <v>gibbosus</v>
      </c>
      <c r="G6884" t="str">
        <f>_xlfn.XLOOKUP(A6884,'[1]Tissue Data'!$A:$A,'[1]Tissue Data'!J:J)</f>
        <v>U</v>
      </c>
      <c r="H6884" t="str">
        <f>_xlfn.XLOOKUP(A6884,'[1]Tissue Data'!$A:$A,'[1]Tissue Data'!K:K)</f>
        <v>Whole Body</v>
      </c>
      <c r="I6884">
        <f>_xlfn.XLOOKUP(A6884,'[1]Tissue Data'!$A:$A,'[1]Tissue Data'!L:L)</f>
        <v>8.5</v>
      </c>
      <c r="J6884">
        <f>_xlfn.XLOOKUP(A6884,'[1]Tissue Data'!$A:$A,'[1]Tissue Data'!M:M)</f>
        <v>16.59</v>
      </c>
      <c r="K6884" t="s">
        <v>44</v>
      </c>
      <c r="L6884" t="str">
        <f>_xlfn.XLOOKUP(K6884,[2]analyte_order!$B:$B,[2]analyte_order!$C:$C)</f>
        <v>27619-97-2</v>
      </c>
      <c r="M6884">
        <f>_xlfn.XLOOKUP(L6884,[2]analyte_order!$C:$C,[2]analyte_order!$E:$E)</f>
        <v>23</v>
      </c>
      <c r="N6884">
        <v>0.1105</v>
      </c>
    </row>
    <row r="6885" spans="1:14">
      <c r="A6885" t="s">
        <v>298</v>
      </c>
      <c r="B6885" t="str">
        <f>_xlfn.XLOOKUP(A6885,'[1]Tissue Data'!$A:$A,'[1]Tissue Data'!$C:$C)</f>
        <v>Down</v>
      </c>
      <c r="C6885" s="2">
        <f>_xlfn.XLOOKUP(A6885,'[1]Tissue Data'!$A:$A,'[1]Tissue Data'!$D:$D)</f>
        <v>44393</v>
      </c>
      <c r="D6885" s="2" t="str">
        <f>_xlfn.XLOOKUP(A6885,'[1]Tissue Data'!$A:$A,'[1]Tissue Data'!$F:$F)</f>
        <v>Pumpkinseed</v>
      </c>
      <c r="E6885" t="str">
        <f>_xlfn.XLOOKUP(A6885,'[1]Tissue Data'!$A:$A,'[1]Tissue Data'!$H:$H)</f>
        <v>Lepomis</v>
      </c>
      <c r="F6885" t="str">
        <f>_xlfn.XLOOKUP(A6885,'[1]Tissue Data'!$A:$A,'[1]Tissue Data'!$I:$I)</f>
        <v>gibbosus</v>
      </c>
      <c r="G6885" t="str">
        <f>_xlfn.XLOOKUP(A6885,'[1]Tissue Data'!$A:$A,'[1]Tissue Data'!J:J)</f>
        <v>U</v>
      </c>
      <c r="H6885" t="str">
        <f>_xlfn.XLOOKUP(A6885,'[1]Tissue Data'!$A:$A,'[1]Tissue Data'!K:K)</f>
        <v>Whole Body</v>
      </c>
      <c r="I6885">
        <f>_xlfn.XLOOKUP(A6885,'[1]Tissue Data'!$A:$A,'[1]Tissue Data'!L:L)</f>
        <v>8.5</v>
      </c>
      <c r="J6885">
        <f>_xlfn.XLOOKUP(A6885,'[1]Tissue Data'!$A:$A,'[1]Tissue Data'!M:M)</f>
        <v>16.59</v>
      </c>
      <c r="K6885" t="s">
        <v>45</v>
      </c>
      <c r="L6885" t="str">
        <f>_xlfn.XLOOKUP(K6885,[2]analyte_order!$B:$B,[2]analyte_order!$C:$C)</f>
        <v>39108-34-4</v>
      </c>
      <c r="M6885">
        <f>_xlfn.XLOOKUP(L6885,[2]analyte_order!$C:$C,[2]analyte_order!$E:$E)</f>
        <v>24</v>
      </c>
      <c r="N6885">
        <v>3.54</v>
      </c>
    </row>
    <row r="6886" spans="1:14">
      <c r="A6886" t="s">
        <v>298</v>
      </c>
      <c r="B6886" t="str">
        <f>_xlfn.XLOOKUP(A6886,'[1]Tissue Data'!$A:$A,'[1]Tissue Data'!$C:$C)</f>
        <v>Down</v>
      </c>
      <c r="C6886" s="2">
        <f>_xlfn.XLOOKUP(A6886,'[1]Tissue Data'!$A:$A,'[1]Tissue Data'!$D:$D)</f>
        <v>44393</v>
      </c>
      <c r="D6886" s="2" t="str">
        <f>_xlfn.XLOOKUP(A6886,'[1]Tissue Data'!$A:$A,'[1]Tissue Data'!$F:$F)</f>
        <v>Pumpkinseed</v>
      </c>
      <c r="E6886" t="str">
        <f>_xlfn.XLOOKUP(A6886,'[1]Tissue Data'!$A:$A,'[1]Tissue Data'!$H:$H)</f>
        <v>Lepomis</v>
      </c>
      <c r="F6886" t="str">
        <f>_xlfn.XLOOKUP(A6886,'[1]Tissue Data'!$A:$A,'[1]Tissue Data'!$I:$I)</f>
        <v>gibbosus</v>
      </c>
      <c r="G6886" t="str">
        <f>_xlfn.XLOOKUP(A6886,'[1]Tissue Data'!$A:$A,'[1]Tissue Data'!J:J)</f>
        <v>U</v>
      </c>
      <c r="H6886" t="str">
        <f>_xlfn.XLOOKUP(A6886,'[1]Tissue Data'!$A:$A,'[1]Tissue Data'!K:K)</f>
        <v>Whole Body</v>
      </c>
      <c r="I6886">
        <f>_xlfn.XLOOKUP(A6886,'[1]Tissue Data'!$A:$A,'[1]Tissue Data'!L:L)</f>
        <v>8.5</v>
      </c>
      <c r="J6886">
        <f>_xlfn.XLOOKUP(A6886,'[1]Tissue Data'!$A:$A,'[1]Tissue Data'!M:M)</f>
        <v>16.59</v>
      </c>
      <c r="K6886" t="s">
        <v>46</v>
      </c>
      <c r="L6886" t="str">
        <f>_xlfn.XLOOKUP(K6886,[2]analyte_order!$B:$B,[2]analyte_order!$C:$C)</f>
        <v>120226-60-0</v>
      </c>
      <c r="M6886">
        <f>_xlfn.XLOOKUP(L6886,[2]analyte_order!$C:$C,[2]analyte_order!$E:$E)</f>
        <v>25</v>
      </c>
      <c r="N6886">
        <v>0.2215</v>
      </c>
    </row>
    <row r="6887" spans="1:14">
      <c r="A6887" t="s">
        <v>298</v>
      </c>
      <c r="B6887" t="str">
        <f>_xlfn.XLOOKUP(A6887,'[1]Tissue Data'!$A:$A,'[1]Tissue Data'!$C:$C)</f>
        <v>Down</v>
      </c>
      <c r="C6887" s="2">
        <f>_xlfn.XLOOKUP(A6887,'[1]Tissue Data'!$A:$A,'[1]Tissue Data'!$D:$D)</f>
        <v>44393</v>
      </c>
      <c r="D6887" s="2" t="str">
        <f>_xlfn.XLOOKUP(A6887,'[1]Tissue Data'!$A:$A,'[1]Tissue Data'!$F:$F)</f>
        <v>Pumpkinseed</v>
      </c>
      <c r="E6887" t="str">
        <f>_xlfn.XLOOKUP(A6887,'[1]Tissue Data'!$A:$A,'[1]Tissue Data'!$H:$H)</f>
        <v>Lepomis</v>
      </c>
      <c r="F6887" t="str">
        <f>_xlfn.XLOOKUP(A6887,'[1]Tissue Data'!$A:$A,'[1]Tissue Data'!$I:$I)</f>
        <v>gibbosus</v>
      </c>
      <c r="G6887" t="str">
        <f>_xlfn.XLOOKUP(A6887,'[1]Tissue Data'!$A:$A,'[1]Tissue Data'!J:J)</f>
        <v>U</v>
      </c>
      <c r="H6887" t="str">
        <f>_xlfn.XLOOKUP(A6887,'[1]Tissue Data'!$A:$A,'[1]Tissue Data'!K:K)</f>
        <v>Whole Body</v>
      </c>
      <c r="I6887">
        <f>_xlfn.XLOOKUP(A6887,'[1]Tissue Data'!$A:$A,'[1]Tissue Data'!L:L)</f>
        <v>8.5</v>
      </c>
      <c r="J6887">
        <f>_xlfn.XLOOKUP(A6887,'[1]Tissue Data'!$A:$A,'[1]Tissue Data'!M:M)</f>
        <v>16.59</v>
      </c>
      <c r="K6887" t="s">
        <v>47</v>
      </c>
      <c r="L6887" t="str">
        <f>_xlfn.XLOOKUP(K6887,[2]analyte_order!$B:$B,[2]analyte_order!$C:$C)</f>
        <v>356-02-5</v>
      </c>
      <c r="M6887">
        <f>_xlfn.XLOOKUP(L6887,[2]analyte_order!$C:$C,[2]analyte_order!$E:$E)</f>
        <v>38</v>
      </c>
      <c r="N6887">
        <v>0.2215</v>
      </c>
    </row>
    <row r="6888" spans="1:14">
      <c r="A6888" t="s">
        <v>298</v>
      </c>
      <c r="B6888" t="str">
        <f>_xlfn.XLOOKUP(A6888,'[1]Tissue Data'!$A:$A,'[1]Tissue Data'!$C:$C)</f>
        <v>Down</v>
      </c>
      <c r="C6888" s="2">
        <f>_xlfn.XLOOKUP(A6888,'[1]Tissue Data'!$A:$A,'[1]Tissue Data'!$D:$D)</f>
        <v>44393</v>
      </c>
      <c r="D6888" s="2" t="str">
        <f>_xlfn.XLOOKUP(A6888,'[1]Tissue Data'!$A:$A,'[1]Tissue Data'!$F:$F)</f>
        <v>Pumpkinseed</v>
      </c>
      <c r="E6888" t="str">
        <f>_xlfn.XLOOKUP(A6888,'[1]Tissue Data'!$A:$A,'[1]Tissue Data'!$H:$H)</f>
        <v>Lepomis</v>
      </c>
      <c r="F6888" t="str">
        <f>_xlfn.XLOOKUP(A6888,'[1]Tissue Data'!$A:$A,'[1]Tissue Data'!$I:$I)</f>
        <v>gibbosus</v>
      </c>
      <c r="G6888" t="str">
        <f>_xlfn.XLOOKUP(A6888,'[1]Tissue Data'!$A:$A,'[1]Tissue Data'!J:J)</f>
        <v>U</v>
      </c>
      <c r="H6888" t="str">
        <f>_xlfn.XLOOKUP(A6888,'[1]Tissue Data'!$A:$A,'[1]Tissue Data'!K:K)</f>
        <v>Whole Body</v>
      </c>
      <c r="I6888">
        <f>_xlfn.XLOOKUP(A6888,'[1]Tissue Data'!$A:$A,'[1]Tissue Data'!L:L)</f>
        <v>8.5</v>
      </c>
      <c r="J6888">
        <f>_xlfn.XLOOKUP(A6888,'[1]Tissue Data'!$A:$A,'[1]Tissue Data'!M:M)</f>
        <v>16.59</v>
      </c>
      <c r="K6888" t="s">
        <v>48</v>
      </c>
      <c r="L6888" t="str">
        <f>_xlfn.XLOOKUP(K6888,[2]analyte_order!$B:$B,[2]analyte_order!$C:$C)</f>
        <v>914637-49-3</v>
      </c>
      <c r="M6888">
        <f>_xlfn.XLOOKUP(L6888,[2]analyte_order!$C:$C,[2]analyte_order!$E:$E)</f>
        <v>39</v>
      </c>
      <c r="N6888">
        <v>0.2215</v>
      </c>
    </row>
    <row r="6889" spans="1:14">
      <c r="A6889" t="s">
        <v>298</v>
      </c>
      <c r="B6889" t="str">
        <f>_xlfn.XLOOKUP(A6889,'[1]Tissue Data'!$A:$A,'[1]Tissue Data'!$C:$C)</f>
        <v>Down</v>
      </c>
      <c r="C6889" s="2">
        <f>_xlfn.XLOOKUP(A6889,'[1]Tissue Data'!$A:$A,'[1]Tissue Data'!$D:$D)</f>
        <v>44393</v>
      </c>
      <c r="D6889" s="2" t="str">
        <f>_xlfn.XLOOKUP(A6889,'[1]Tissue Data'!$A:$A,'[1]Tissue Data'!$F:$F)</f>
        <v>Pumpkinseed</v>
      </c>
      <c r="E6889" t="str">
        <f>_xlfn.XLOOKUP(A6889,'[1]Tissue Data'!$A:$A,'[1]Tissue Data'!$H:$H)</f>
        <v>Lepomis</v>
      </c>
      <c r="F6889" t="str">
        <f>_xlfn.XLOOKUP(A6889,'[1]Tissue Data'!$A:$A,'[1]Tissue Data'!$I:$I)</f>
        <v>gibbosus</v>
      </c>
      <c r="G6889" t="str">
        <f>_xlfn.XLOOKUP(A6889,'[1]Tissue Data'!$A:$A,'[1]Tissue Data'!J:J)</f>
        <v>U</v>
      </c>
      <c r="H6889" t="str">
        <f>_xlfn.XLOOKUP(A6889,'[1]Tissue Data'!$A:$A,'[1]Tissue Data'!K:K)</f>
        <v>Whole Body</v>
      </c>
      <c r="I6889">
        <f>_xlfn.XLOOKUP(A6889,'[1]Tissue Data'!$A:$A,'[1]Tissue Data'!L:L)</f>
        <v>8.5</v>
      </c>
      <c r="J6889">
        <f>_xlfn.XLOOKUP(A6889,'[1]Tissue Data'!$A:$A,'[1]Tissue Data'!M:M)</f>
        <v>16.59</v>
      </c>
      <c r="K6889" t="s">
        <v>49</v>
      </c>
      <c r="L6889" t="str">
        <f>_xlfn.XLOOKUP(K6889,[2]analyte_order!$B:$B,[2]analyte_order!$C:$C)</f>
        <v>812-70-4</v>
      </c>
      <c r="M6889">
        <f>_xlfn.XLOOKUP(L6889,[2]analyte_order!$C:$C,[2]analyte_order!$E:$E)</f>
        <v>40</v>
      </c>
      <c r="N6889">
        <v>0.2215</v>
      </c>
    </row>
    <row r="6890" spans="1:14">
      <c r="A6890" t="s">
        <v>298</v>
      </c>
      <c r="B6890" t="str">
        <f>_xlfn.XLOOKUP(A6890,'[1]Tissue Data'!$A:$A,'[1]Tissue Data'!$C:$C)</f>
        <v>Down</v>
      </c>
      <c r="C6890" s="2">
        <f>_xlfn.XLOOKUP(A6890,'[1]Tissue Data'!$A:$A,'[1]Tissue Data'!$D:$D)</f>
        <v>44393</v>
      </c>
      <c r="D6890" s="2" t="str">
        <f>_xlfn.XLOOKUP(A6890,'[1]Tissue Data'!$A:$A,'[1]Tissue Data'!$F:$F)</f>
        <v>Pumpkinseed</v>
      </c>
      <c r="E6890" t="str">
        <f>_xlfn.XLOOKUP(A6890,'[1]Tissue Data'!$A:$A,'[1]Tissue Data'!$H:$H)</f>
        <v>Lepomis</v>
      </c>
      <c r="F6890" t="str">
        <f>_xlfn.XLOOKUP(A6890,'[1]Tissue Data'!$A:$A,'[1]Tissue Data'!$I:$I)</f>
        <v>gibbosus</v>
      </c>
      <c r="G6890" t="str">
        <f>_xlfn.XLOOKUP(A6890,'[1]Tissue Data'!$A:$A,'[1]Tissue Data'!J:J)</f>
        <v>U</v>
      </c>
      <c r="H6890" t="str">
        <f>_xlfn.XLOOKUP(A6890,'[1]Tissue Data'!$A:$A,'[1]Tissue Data'!K:K)</f>
        <v>Whole Body</v>
      </c>
      <c r="I6890">
        <f>_xlfn.XLOOKUP(A6890,'[1]Tissue Data'!$A:$A,'[1]Tissue Data'!L:L)</f>
        <v>8.5</v>
      </c>
      <c r="J6890">
        <f>_xlfn.XLOOKUP(A6890,'[1]Tissue Data'!$A:$A,'[1]Tissue Data'!M:M)</f>
        <v>16.59</v>
      </c>
      <c r="K6890" t="s">
        <v>50</v>
      </c>
      <c r="L6890" t="str">
        <f>_xlfn.XLOOKUP(K6890,[2]analyte_order!$B:$B,[2]analyte_order!$C:$C)</f>
        <v>53826-12-3</v>
      </c>
      <c r="M6890">
        <f>_xlfn.XLOOKUP(L6890,[2]analyte_order!$C:$C,[2]analyte_order!$E:$E)</f>
        <v>41</v>
      </c>
      <c r="N6890">
        <v>0.2215</v>
      </c>
    </row>
    <row r="6891" spans="1:14">
      <c r="A6891" t="s">
        <v>298</v>
      </c>
      <c r="B6891" t="str">
        <f>_xlfn.XLOOKUP(A6891,'[1]Tissue Data'!$A:$A,'[1]Tissue Data'!$C:$C)</f>
        <v>Down</v>
      </c>
      <c r="C6891" s="2">
        <f>_xlfn.XLOOKUP(A6891,'[1]Tissue Data'!$A:$A,'[1]Tissue Data'!$D:$D)</f>
        <v>44393</v>
      </c>
      <c r="D6891" s="2" t="str">
        <f>_xlfn.XLOOKUP(A6891,'[1]Tissue Data'!$A:$A,'[1]Tissue Data'!$F:$F)</f>
        <v>Pumpkinseed</v>
      </c>
      <c r="E6891" t="str">
        <f>_xlfn.XLOOKUP(A6891,'[1]Tissue Data'!$A:$A,'[1]Tissue Data'!$H:$H)</f>
        <v>Lepomis</v>
      </c>
      <c r="F6891" t="str">
        <f>_xlfn.XLOOKUP(A6891,'[1]Tissue Data'!$A:$A,'[1]Tissue Data'!$I:$I)</f>
        <v>gibbosus</v>
      </c>
      <c r="G6891" t="str">
        <f>_xlfn.XLOOKUP(A6891,'[1]Tissue Data'!$A:$A,'[1]Tissue Data'!J:J)</f>
        <v>U</v>
      </c>
      <c r="H6891" t="str">
        <f>_xlfn.XLOOKUP(A6891,'[1]Tissue Data'!$A:$A,'[1]Tissue Data'!K:K)</f>
        <v>Whole Body</v>
      </c>
      <c r="I6891">
        <f>_xlfn.XLOOKUP(A6891,'[1]Tissue Data'!$A:$A,'[1]Tissue Data'!L:L)</f>
        <v>8.5</v>
      </c>
      <c r="J6891">
        <f>_xlfn.XLOOKUP(A6891,'[1]Tissue Data'!$A:$A,'[1]Tissue Data'!M:M)</f>
        <v>16.59</v>
      </c>
      <c r="K6891" t="s">
        <v>51</v>
      </c>
      <c r="L6891" t="str">
        <f>_xlfn.XLOOKUP(K6891,[2]analyte_order!$B:$B,[2]analyte_order!$C:$C)</f>
        <v>27854-31-5</v>
      </c>
      <c r="M6891">
        <f>_xlfn.XLOOKUP(L6891,[2]analyte_order!$C:$C,[2]analyte_order!$E:$E)</f>
        <v>42</v>
      </c>
      <c r="N6891">
        <v>0.1105</v>
      </c>
    </row>
    <row r="6892" spans="1:14">
      <c r="A6892" t="s">
        <v>298</v>
      </c>
      <c r="B6892" t="str">
        <f>_xlfn.XLOOKUP(A6892,'[1]Tissue Data'!$A:$A,'[1]Tissue Data'!$C:$C)</f>
        <v>Down</v>
      </c>
      <c r="C6892" s="2">
        <f>_xlfn.XLOOKUP(A6892,'[1]Tissue Data'!$A:$A,'[1]Tissue Data'!$D:$D)</f>
        <v>44393</v>
      </c>
      <c r="D6892" s="2" t="str">
        <f>_xlfn.XLOOKUP(A6892,'[1]Tissue Data'!$A:$A,'[1]Tissue Data'!$F:$F)</f>
        <v>Pumpkinseed</v>
      </c>
      <c r="E6892" t="str">
        <f>_xlfn.XLOOKUP(A6892,'[1]Tissue Data'!$A:$A,'[1]Tissue Data'!$H:$H)</f>
        <v>Lepomis</v>
      </c>
      <c r="F6892" t="str">
        <f>_xlfn.XLOOKUP(A6892,'[1]Tissue Data'!$A:$A,'[1]Tissue Data'!$I:$I)</f>
        <v>gibbosus</v>
      </c>
      <c r="G6892" t="str">
        <f>_xlfn.XLOOKUP(A6892,'[1]Tissue Data'!$A:$A,'[1]Tissue Data'!J:J)</f>
        <v>U</v>
      </c>
      <c r="H6892" t="str">
        <f>_xlfn.XLOOKUP(A6892,'[1]Tissue Data'!$A:$A,'[1]Tissue Data'!K:K)</f>
        <v>Whole Body</v>
      </c>
      <c r="I6892">
        <f>_xlfn.XLOOKUP(A6892,'[1]Tissue Data'!$A:$A,'[1]Tissue Data'!L:L)</f>
        <v>8.5</v>
      </c>
      <c r="J6892">
        <f>_xlfn.XLOOKUP(A6892,'[1]Tissue Data'!$A:$A,'[1]Tissue Data'!M:M)</f>
        <v>16.59</v>
      </c>
      <c r="K6892" t="s">
        <v>52</v>
      </c>
      <c r="L6892" t="str">
        <f>_xlfn.XLOOKUP(K6892,[2]analyte_order!$B:$B,[2]analyte_order!$C:$C)</f>
        <v>53826-13-4</v>
      </c>
      <c r="M6892">
        <f>_xlfn.XLOOKUP(L6892,[2]analyte_order!$C:$C,[2]analyte_order!$E:$E)</f>
        <v>43</v>
      </c>
      <c r="N6892">
        <v>0.2215</v>
      </c>
    </row>
    <row r="6893" spans="1:14">
      <c r="A6893" t="s">
        <v>298</v>
      </c>
      <c r="B6893" t="str">
        <f>_xlfn.XLOOKUP(A6893,'[1]Tissue Data'!$A:$A,'[1]Tissue Data'!$C:$C)</f>
        <v>Down</v>
      </c>
      <c r="C6893" s="2">
        <f>_xlfn.XLOOKUP(A6893,'[1]Tissue Data'!$A:$A,'[1]Tissue Data'!$D:$D)</f>
        <v>44393</v>
      </c>
      <c r="D6893" s="2" t="str">
        <f>_xlfn.XLOOKUP(A6893,'[1]Tissue Data'!$A:$A,'[1]Tissue Data'!$F:$F)</f>
        <v>Pumpkinseed</v>
      </c>
      <c r="E6893" t="str">
        <f>_xlfn.XLOOKUP(A6893,'[1]Tissue Data'!$A:$A,'[1]Tissue Data'!$H:$H)</f>
        <v>Lepomis</v>
      </c>
      <c r="F6893" t="str">
        <f>_xlfn.XLOOKUP(A6893,'[1]Tissue Data'!$A:$A,'[1]Tissue Data'!$I:$I)</f>
        <v>gibbosus</v>
      </c>
      <c r="G6893" t="str">
        <f>_xlfn.XLOOKUP(A6893,'[1]Tissue Data'!$A:$A,'[1]Tissue Data'!J:J)</f>
        <v>U</v>
      </c>
      <c r="H6893" t="str">
        <f>_xlfn.XLOOKUP(A6893,'[1]Tissue Data'!$A:$A,'[1]Tissue Data'!K:K)</f>
        <v>Whole Body</v>
      </c>
      <c r="I6893">
        <f>_xlfn.XLOOKUP(A6893,'[1]Tissue Data'!$A:$A,'[1]Tissue Data'!L:L)</f>
        <v>8.5</v>
      </c>
      <c r="J6893">
        <f>_xlfn.XLOOKUP(A6893,'[1]Tissue Data'!$A:$A,'[1]Tissue Data'!M:M)</f>
        <v>16.59</v>
      </c>
      <c r="K6893" t="s">
        <v>53</v>
      </c>
      <c r="L6893" t="str">
        <f>_xlfn.XLOOKUP(K6893,[2]analyte_order!$B:$B,[2]analyte_order!$C:$C)</f>
        <v>161094-75-3</v>
      </c>
      <c r="M6893">
        <f>_xlfn.XLOOKUP(L6893,[2]analyte_order!$C:$C,[2]analyte_order!$E:$E)</f>
        <v>44</v>
      </c>
      <c r="N6893">
        <v>8.6999999999999994E-2</v>
      </c>
    </row>
    <row r="6894" spans="1:14">
      <c r="A6894" t="s">
        <v>298</v>
      </c>
      <c r="B6894" t="str">
        <f>_xlfn.XLOOKUP(A6894,'[1]Tissue Data'!$A:$A,'[1]Tissue Data'!$C:$C)</f>
        <v>Down</v>
      </c>
      <c r="C6894" s="2">
        <f>_xlfn.XLOOKUP(A6894,'[1]Tissue Data'!$A:$A,'[1]Tissue Data'!$D:$D)</f>
        <v>44393</v>
      </c>
      <c r="D6894" s="2" t="str">
        <f>_xlfn.XLOOKUP(A6894,'[1]Tissue Data'!$A:$A,'[1]Tissue Data'!$F:$F)</f>
        <v>Pumpkinseed</v>
      </c>
      <c r="E6894" t="str">
        <f>_xlfn.XLOOKUP(A6894,'[1]Tissue Data'!$A:$A,'[1]Tissue Data'!$H:$H)</f>
        <v>Lepomis</v>
      </c>
      <c r="F6894" t="str">
        <f>_xlfn.XLOOKUP(A6894,'[1]Tissue Data'!$A:$A,'[1]Tissue Data'!$I:$I)</f>
        <v>gibbosus</v>
      </c>
      <c r="G6894" t="str">
        <f>_xlfn.XLOOKUP(A6894,'[1]Tissue Data'!$A:$A,'[1]Tissue Data'!J:J)</f>
        <v>U</v>
      </c>
      <c r="H6894" t="str">
        <f>_xlfn.XLOOKUP(A6894,'[1]Tissue Data'!$A:$A,'[1]Tissue Data'!K:K)</f>
        <v>Whole Body</v>
      </c>
      <c r="I6894">
        <f>_xlfn.XLOOKUP(A6894,'[1]Tissue Data'!$A:$A,'[1]Tissue Data'!L:L)</f>
        <v>8.5</v>
      </c>
      <c r="J6894">
        <f>_xlfn.XLOOKUP(A6894,'[1]Tissue Data'!$A:$A,'[1]Tissue Data'!M:M)</f>
        <v>16.59</v>
      </c>
      <c r="K6894" t="s">
        <v>54</v>
      </c>
      <c r="L6894" t="str">
        <f>_xlfn.XLOOKUP(K6894,[2]analyte_order!$B:$B,[2]analyte_order!$C:$C)</f>
        <v>70887-84-2</v>
      </c>
      <c r="M6894">
        <f>_xlfn.XLOOKUP(L6894,[2]analyte_order!$C:$C,[2]analyte_order!$E:$E)</f>
        <v>45</v>
      </c>
      <c r="N6894">
        <v>6.7000000000000004E-2</v>
      </c>
    </row>
    <row r="6895" spans="1:14">
      <c r="A6895" t="s">
        <v>298</v>
      </c>
      <c r="B6895" t="str">
        <f>_xlfn.XLOOKUP(A6895,'[1]Tissue Data'!$A:$A,'[1]Tissue Data'!$C:$C)</f>
        <v>Down</v>
      </c>
      <c r="C6895" s="2">
        <f>_xlfn.XLOOKUP(A6895,'[1]Tissue Data'!$A:$A,'[1]Tissue Data'!$D:$D)</f>
        <v>44393</v>
      </c>
      <c r="D6895" s="2" t="str">
        <f>_xlfn.XLOOKUP(A6895,'[1]Tissue Data'!$A:$A,'[1]Tissue Data'!$F:$F)</f>
        <v>Pumpkinseed</v>
      </c>
      <c r="E6895" t="str">
        <f>_xlfn.XLOOKUP(A6895,'[1]Tissue Data'!$A:$A,'[1]Tissue Data'!$H:$H)</f>
        <v>Lepomis</v>
      </c>
      <c r="F6895" t="str">
        <f>_xlfn.XLOOKUP(A6895,'[1]Tissue Data'!$A:$A,'[1]Tissue Data'!$I:$I)</f>
        <v>gibbosus</v>
      </c>
      <c r="G6895" t="str">
        <f>_xlfn.XLOOKUP(A6895,'[1]Tissue Data'!$A:$A,'[1]Tissue Data'!J:J)</f>
        <v>U</v>
      </c>
      <c r="H6895" t="str">
        <f>_xlfn.XLOOKUP(A6895,'[1]Tissue Data'!$A:$A,'[1]Tissue Data'!K:K)</f>
        <v>Whole Body</v>
      </c>
      <c r="I6895">
        <f>_xlfn.XLOOKUP(A6895,'[1]Tissue Data'!$A:$A,'[1]Tissue Data'!L:L)</f>
        <v>8.5</v>
      </c>
      <c r="J6895">
        <f>_xlfn.XLOOKUP(A6895,'[1]Tissue Data'!$A:$A,'[1]Tissue Data'!M:M)</f>
        <v>16.59</v>
      </c>
      <c r="K6895" t="s">
        <v>55</v>
      </c>
      <c r="L6895" t="str">
        <f>_xlfn.XLOOKUP(K6895,[2]analyte_order!$B:$B,[2]analyte_order!$C:$C)</f>
        <v>919005-14-4</v>
      </c>
      <c r="M6895">
        <f>_xlfn.XLOOKUP(L6895,[2]analyte_order!$C:$C,[2]analyte_order!$E:$E)</f>
        <v>35</v>
      </c>
      <c r="N6895">
        <v>9.7500000000000003E-2</v>
      </c>
    </row>
    <row r="6896" spans="1:14">
      <c r="A6896" t="s">
        <v>298</v>
      </c>
      <c r="B6896" t="str">
        <f>_xlfn.XLOOKUP(A6896,'[1]Tissue Data'!$A:$A,'[1]Tissue Data'!$C:$C)</f>
        <v>Down</v>
      </c>
      <c r="C6896" s="2">
        <f>_xlfn.XLOOKUP(A6896,'[1]Tissue Data'!$A:$A,'[1]Tissue Data'!$D:$D)</f>
        <v>44393</v>
      </c>
      <c r="D6896" s="2" t="str">
        <f>_xlfn.XLOOKUP(A6896,'[1]Tissue Data'!$A:$A,'[1]Tissue Data'!$F:$F)</f>
        <v>Pumpkinseed</v>
      </c>
      <c r="E6896" t="str">
        <f>_xlfn.XLOOKUP(A6896,'[1]Tissue Data'!$A:$A,'[1]Tissue Data'!$H:$H)</f>
        <v>Lepomis</v>
      </c>
      <c r="F6896" t="str">
        <f>_xlfn.XLOOKUP(A6896,'[1]Tissue Data'!$A:$A,'[1]Tissue Data'!$I:$I)</f>
        <v>gibbosus</v>
      </c>
      <c r="G6896" t="str">
        <f>_xlfn.XLOOKUP(A6896,'[1]Tissue Data'!$A:$A,'[1]Tissue Data'!J:J)</f>
        <v>U</v>
      </c>
      <c r="H6896" t="str">
        <f>_xlfn.XLOOKUP(A6896,'[1]Tissue Data'!$A:$A,'[1]Tissue Data'!K:K)</f>
        <v>Whole Body</v>
      </c>
      <c r="I6896">
        <f>_xlfn.XLOOKUP(A6896,'[1]Tissue Data'!$A:$A,'[1]Tissue Data'!L:L)</f>
        <v>8.5</v>
      </c>
      <c r="J6896">
        <f>_xlfn.XLOOKUP(A6896,'[1]Tissue Data'!$A:$A,'[1]Tissue Data'!M:M)</f>
        <v>16.59</v>
      </c>
      <c r="K6896" t="s">
        <v>56</v>
      </c>
      <c r="L6896" t="str">
        <f>_xlfn.XLOOKUP(K6896,[2]analyte_order!$B:$B,[2]analyte_order!$C:$C)</f>
        <v>756426-58-1</v>
      </c>
      <c r="M6896">
        <f>_xlfn.XLOOKUP(L6896,[2]analyte_order!$C:$C,[2]analyte_order!$E:$E)</f>
        <v>36</v>
      </c>
      <c r="N6896">
        <v>0.2215</v>
      </c>
    </row>
    <row r="6897" spans="1:14">
      <c r="A6897" t="s">
        <v>298</v>
      </c>
      <c r="B6897" t="str">
        <f>_xlfn.XLOOKUP(A6897,'[1]Tissue Data'!$A:$A,'[1]Tissue Data'!$C:$C)</f>
        <v>Down</v>
      </c>
      <c r="C6897" s="2">
        <f>_xlfn.XLOOKUP(A6897,'[1]Tissue Data'!$A:$A,'[1]Tissue Data'!$D:$D)</f>
        <v>44393</v>
      </c>
      <c r="D6897" s="2" t="str">
        <f>_xlfn.XLOOKUP(A6897,'[1]Tissue Data'!$A:$A,'[1]Tissue Data'!$F:$F)</f>
        <v>Pumpkinseed</v>
      </c>
      <c r="E6897" t="str">
        <f>_xlfn.XLOOKUP(A6897,'[1]Tissue Data'!$A:$A,'[1]Tissue Data'!$H:$H)</f>
        <v>Lepomis</v>
      </c>
      <c r="F6897" t="str">
        <f>_xlfn.XLOOKUP(A6897,'[1]Tissue Data'!$A:$A,'[1]Tissue Data'!$I:$I)</f>
        <v>gibbosus</v>
      </c>
      <c r="G6897" t="str">
        <f>_xlfn.XLOOKUP(A6897,'[1]Tissue Data'!$A:$A,'[1]Tissue Data'!J:J)</f>
        <v>U</v>
      </c>
      <c r="H6897" t="str">
        <f>_xlfn.XLOOKUP(A6897,'[1]Tissue Data'!$A:$A,'[1]Tissue Data'!K:K)</f>
        <v>Whole Body</v>
      </c>
      <c r="I6897">
        <f>_xlfn.XLOOKUP(A6897,'[1]Tissue Data'!$A:$A,'[1]Tissue Data'!L:L)</f>
        <v>8.5</v>
      </c>
      <c r="J6897">
        <f>_xlfn.XLOOKUP(A6897,'[1]Tissue Data'!$A:$A,'[1]Tissue Data'!M:M)</f>
        <v>16.59</v>
      </c>
      <c r="K6897" t="s">
        <v>57</v>
      </c>
      <c r="L6897" t="str">
        <f>_xlfn.XLOOKUP(K6897,[2]analyte_order!$B:$B,[2]analyte_order!$C:$C)</f>
        <v>763051-92-9</v>
      </c>
      <c r="M6897">
        <f>_xlfn.XLOOKUP(L6897,[2]analyte_order!$C:$C,[2]analyte_order!$E:$E)</f>
        <v>37</v>
      </c>
      <c r="N6897">
        <v>0.2215</v>
      </c>
    </row>
    <row r="6898" spans="1:14">
      <c r="A6898" t="s">
        <v>298</v>
      </c>
      <c r="B6898" t="str">
        <f>_xlfn.XLOOKUP(A6898,'[1]Tissue Data'!$A:$A,'[1]Tissue Data'!$C:$C)</f>
        <v>Down</v>
      </c>
      <c r="C6898" s="2">
        <f>_xlfn.XLOOKUP(A6898,'[1]Tissue Data'!$A:$A,'[1]Tissue Data'!$D:$D)</f>
        <v>44393</v>
      </c>
      <c r="D6898" s="2" t="str">
        <f>_xlfn.XLOOKUP(A6898,'[1]Tissue Data'!$A:$A,'[1]Tissue Data'!$F:$F)</f>
        <v>Pumpkinseed</v>
      </c>
      <c r="E6898" t="str">
        <f>_xlfn.XLOOKUP(A6898,'[1]Tissue Data'!$A:$A,'[1]Tissue Data'!$H:$H)</f>
        <v>Lepomis</v>
      </c>
      <c r="F6898" t="str">
        <f>_xlfn.XLOOKUP(A6898,'[1]Tissue Data'!$A:$A,'[1]Tissue Data'!$I:$I)</f>
        <v>gibbosus</v>
      </c>
      <c r="G6898" t="str">
        <f>_xlfn.XLOOKUP(A6898,'[1]Tissue Data'!$A:$A,'[1]Tissue Data'!J:J)</f>
        <v>U</v>
      </c>
      <c r="H6898" t="str">
        <f>_xlfn.XLOOKUP(A6898,'[1]Tissue Data'!$A:$A,'[1]Tissue Data'!K:K)</f>
        <v>Whole Body</v>
      </c>
      <c r="I6898">
        <f>_xlfn.XLOOKUP(A6898,'[1]Tissue Data'!$A:$A,'[1]Tissue Data'!L:L)</f>
        <v>8.5</v>
      </c>
      <c r="J6898">
        <f>_xlfn.XLOOKUP(A6898,'[1]Tissue Data'!$A:$A,'[1]Tissue Data'!M:M)</f>
        <v>16.59</v>
      </c>
      <c r="K6898" t="s">
        <v>58</v>
      </c>
      <c r="L6898" t="str">
        <f>_xlfn.XLOOKUP(K6898,[2]analyte_order!$B:$B,[2]analyte_order!$C:$C)</f>
        <v>13252-13-6</v>
      </c>
      <c r="M6898">
        <f>_xlfn.XLOOKUP(L6898,[2]analyte_order!$C:$C,[2]analyte_order!$E:$E)</f>
        <v>34</v>
      </c>
      <c r="N6898">
        <v>0.159</v>
      </c>
    </row>
    <row r="6899" spans="1:14">
      <c r="A6899" t="s">
        <v>298</v>
      </c>
      <c r="B6899" t="str">
        <f>_xlfn.XLOOKUP(A6899,'[1]Tissue Data'!$A:$A,'[1]Tissue Data'!$C:$C)</f>
        <v>Down</v>
      </c>
      <c r="C6899" s="2">
        <f>_xlfn.XLOOKUP(A6899,'[1]Tissue Data'!$A:$A,'[1]Tissue Data'!$D:$D)</f>
        <v>44393</v>
      </c>
      <c r="D6899" s="2" t="str">
        <f>_xlfn.XLOOKUP(A6899,'[1]Tissue Data'!$A:$A,'[1]Tissue Data'!$F:$F)</f>
        <v>Pumpkinseed</v>
      </c>
      <c r="E6899" t="str">
        <f>_xlfn.XLOOKUP(A6899,'[1]Tissue Data'!$A:$A,'[1]Tissue Data'!$H:$H)</f>
        <v>Lepomis</v>
      </c>
      <c r="F6899" t="str">
        <f>_xlfn.XLOOKUP(A6899,'[1]Tissue Data'!$A:$A,'[1]Tissue Data'!$I:$I)</f>
        <v>gibbosus</v>
      </c>
      <c r="G6899" t="str">
        <f>_xlfn.XLOOKUP(A6899,'[1]Tissue Data'!$A:$A,'[1]Tissue Data'!J:J)</f>
        <v>U</v>
      </c>
      <c r="H6899" t="str">
        <f>_xlfn.XLOOKUP(A6899,'[1]Tissue Data'!$A:$A,'[1]Tissue Data'!K:K)</f>
        <v>Whole Body</v>
      </c>
      <c r="I6899">
        <f>_xlfn.XLOOKUP(A6899,'[1]Tissue Data'!$A:$A,'[1]Tissue Data'!L:L)</f>
        <v>8.5</v>
      </c>
      <c r="J6899">
        <f>_xlfn.XLOOKUP(A6899,'[1]Tissue Data'!$A:$A,'[1]Tissue Data'!M:M)</f>
        <v>16.59</v>
      </c>
      <c r="K6899" t="s">
        <v>59</v>
      </c>
      <c r="L6899" t="str">
        <f>_xlfn.XLOOKUP(K6899,[2]analyte_order!$B:$B,[2]analyte_order!$C:$C)</f>
        <v>57677-95-9</v>
      </c>
      <c r="M6899">
        <f>_xlfn.XLOOKUP(L6899,[2]analyte_order!$C:$C,[2]analyte_order!$E:$E)</f>
        <v>46</v>
      </c>
      <c r="N6899">
        <v>0.2215</v>
      </c>
    </row>
    <row r="6900" spans="1:14">
      <c r="A6900" t="s">
        <v>298</v>
      </c>
      <c r="B6900" t="str">
        <f>_xlfn.XLOOKUP(A6900,'[1]Tissue Data'!$A:$A,'[1]Tissue Data'!$C:$C)</f>
        <v>Down</v>
      </c>
      <c r="C6900" s="2">
        <f>_xlfn.XLOOKUP(A6900,'[1]Tissue Data'!$A:$A,'[1]Tissue Data'!$D:$D)</f>
        <v>44393</v>
      </c>
      <c r="D6900" s="2" t="str">
        <f>_xlfn.XLOOKUP(A6900,'[1]Tissue Data'!$A:$A,'[1]Tissue Data'!$F:$F)</f>
        <v>Pumpkinseed</v>
      </c>
      <c r="E6900" t="str">
        <f>_xlfn.XLOOKUP(A6900,'[1]Tissue Data'!$A:$A,'[1]Tissue Data'!$H:$H)</f>
        <v>Lepomis</v>
      </c>
      <c r="F6900" t="str">
        <f>_xlfn.XLOOKUP(A6900,'[1]Tissue Data'!$A:$A,'[1]Tissue Data'!$I:$I)</f>
        <v>gibbosus</v>
      </c>
      <c r="G6900" t="str">
        <f>_xlfn.XLOOKUP(A6900,'[1]Tissue Data'!$A:$A,'[1]Tissue Data'!J:J)</f>
        <v>U</v>
      </c>
      <c r="H6900" t="str">
        <f>_xlfn.XLOOKUP(A6900,'[1]Tissue Data'!$A:$A,'[1]Tissue Data'!K:K)</f>
        <v>Whole Body</v>
      </c>
      <c r="I6900">
        <f>_xlfn.XLOOKUP(A6900,'[1]Tissue Data'!$A:$A,'[1]Tissue Data'!L:L)</f>
        <v>8.5</v>
      </c>
      <c r="J6900">
        <f>_xlfn.XLOOKUP(A6900,'[1]Tissue Data'!$A:$A,'[1]Tissue Data'!M:M)</f>
        <v>16.59</v>
      </c>
      <c r="K6900" t="s">
        <v>60</v>
      </c>
      <c r="L6900" t="str">
        <f>_xlfn.XLOOKUP(K6900,[2]analyte_order!$B:$B,[2]analyte_order!$C:$C)</f>
        <v>678-41-1</v>
      </c>
      <c r="M6900">
        <f>_xlfn.XLOOKUP(L6900,[2]analyte_order!$C:$C,[2]analyte_order!$E:$E)</f>
        <v>56</v>
      </c>
      <c r="N6900">
        <v>0.2215</v>
      </c>
    </row>
    <row r="6901" spans="1:14">
      <c r="A6901" t="s">
        <v>298</v>
      </c>
      <c r="B6901" t="str">
        <f>_xlfn.XLOOKUP(A6901,'[1]Tissue Data'!$A:$A,'[1]Tissue Data'!$C:$C)</f>
        <v>Down</v>
      </c>
      <c r="C6901" s="2">
        <f>_xlfn.XLOOKUP(A6901,'[1]Tissue Data'!$A:$A,'[1]Tissue Data'!$D:$D)</f>
        <v>44393</v>
      </c>
      <c r="D6901" s="2" t="str">
        <f>_xlfn.XLOOKUP(A6901,'[1]Tissue Data'!$A:$A,'[1]Tissue Data'!$F:$F)</f>
        <v>Pumpkinseed</v>
      </c>
      <c r="E6901" t="str">
        <f>_xlfn.XLOOKUP(A6901,'[1]Tissue Data'!$A:$A,'[1]Tissue Data'!$H:$H)</f>
        <v>Lepomis</v>
      </c>
      <c r="F6901" t="str">
        <f>_xlfn.XLOOKUP(A6901,'[1]Tissue Data'!$A:$A,'[1]Tissue Data'!$I:$I)</f>
        <v>gibbosus</v>
      </c>
      <c r="G6901" t="str">
        <f>_xlfn.XLOOKUP(A6901,'[1]Tissue Data'!$A:$A,'[1]Tissue Data'!J:J)</f>
        <v>U</v>
      </c>
      <c r="H6901" t="str">
        <f>_xlfn.XLOOKUP(A6901,'[1]Tissue Data'!$A:$A,'[1]Tissue Data'!K:K)</f>
        <v>Whole Body</v>
      </c>
      <c r="I6901">
        <f>_xlfn.XLOOKUP(A6901,'[1]Tissue Data'!$A:$A,'[1]Tissue Data'!L:L)</f>
        <v>8.5</v>
      </c>
      <c r="J6901">
        <f>_xlfn.XLOOKUP(A6901,'[1]Tissue Data'!$A:$A,'[1]Tissue Data'!M:M)</f>
        <v>16.59</v>
      </c>
      <c r="K6901" t="s">
        <v>61</v>
      </c>
      <c r="L6901" t="str">
        <f>_xlfn.XLOOKUP(K6901,[2]analyte_order!$B:$B,[2]analyte_order!$C:$C)</f>
        <v>2965-52-8</v>
      </c>
      <c r="M6901">
        <f>_xlfn.XLOOKUP(L6901,[2]analyte_order!$C:$C,[2]analyte_order!$E:$E)</f>
        <v>57</v>
      </c>
      <c r="N6901">
        <v>0.2215</v>
      </c>
    </row>
    <row r="6902" spans="1:14">
      <c r="A6902" t="s">
        <v>299</v>
      </c>
      <c r="B6902" t="str">
        <f>_xlfn.XLOOKUP(A6902,'[1]Tissue Data'!$A:$A,'[1]Tissue Data'!$C:$C)</f>
        <v>Down</v>
      </c>
      <c r="C6902" s="2">
        <f>_xlfn.XLOOKUP(A6902,'[1]Tissue Data'!$A:$A,'[1]Tissue Data'!$D:$D)</f>
        <v>44393</v>
      </c>
      <c r="D6902" s="2" t="str">
        <f>_xlfn.XLOOKUP(A6902,'[1]Tissue Data'!$A:$A,'[1]Tissue Data'!$F:$F)</f>
        <v>Pumpkinseed</v>
      </c>
      <c r="E6902" t="str">
        <f>_xlfn.XLOOKUP(A6902,'[1]Tissue Data'!$A:$A,'[1]Tissue Data'!$H:$H)</f>
        <v>Lepomis</v>
      </c>
      <c r="F6902" t="str">
        <f>_xlfn.XLOOKUP(A6902,'[1]Tissue Data'!$A:$A,'[1]Tissue Data'!$I:$I)</f>
        <v>gibbosus</v>
      </c>
      <c r="G6902" t="str">
        <f>_xlfn.XLOOKUP(A6902,'[1]Tissue Data'!$A:$A,'[1]Tissue Data'!J:J)</f>
        <v>M</v>
      </c>
      <c r="H6902" t="str">
        <f>_xlfn.XLOOKUP(A6902,'[1]Tissue Data'!$A:$A,'[1]Tissue Data'!K:K)</f>
        <v>Liver</v>
      </c>
      <c r="I6902">
        <f>_xlfn.XLOOKUP(A6902,'[1]Tissue Data'!$A:$A,'[1]Tissue Data'!L:L)</f>
        <v>12.5</v>
      </c>
      <c r="J6902">
        <f>_xlfn.XLOOKUP(A6902,'[1]Tissue Data'!$A:$A,'[1]Tissue Data'!M:M)</f>
        <v>55</v>
      </c>
      <c r="K6902" t="s">
        <v>12</v>
      </c>
      <c r="L6902" t="str">
        <f>_xlfn.XLOOKUP(K6902,[2]analyte_order!$B:$B,[2]analyte_order!$C:$C)</f>
        <v>375-22-4</v>
      </c>
      <c r="M6902">
        <f>_xlfn.XLOOKUP(L6902,[2]analyte_order!$C:$C,[2]analyte_order!$E:$E)</f>
        <v>1</v>
      </c>
      <c r="N6902">
        <v>0.32100000000000001</v>
      </c>
    </row>
    <row r="6903" spans="1:14">
      <c r="A6903" t="s">
        <v>299</v>
      </c>
      <c r="B6903" t="str">
        <f>_xlfn.XLOOKUP(A6903,'[1]Tissue Data'!$A:$A,'[1]Tissue Data'!$C:$C)</f>
        <v>Down</v>
      </c>
      <c r="C6903" s="2">
        <f>_xlfn.XLOOKUP(A6903,'[1]Tissue Data'!$A:$A,'[1]Tissue Data'!$D:$D)</f>
        <v>44393</v>
      </c>
      <c r="D6903" s="2" t="str">
        <f>_xlfn.XLOOKUP(A6903,'[1]Tissue Data'!$A:$A,'[1]Tissue Data'!$F:$F)</f>
        <v>Pumpkinseed</v>
      </c>
      <c r="E6903" t="str">
        <f>_xlfn.XLOOKUP(A6903,'[1]Tissue Data'!$A:$A,'[1]Tissue Data'!$H:$H)</f>
        <v>Lepomis</v>
      </c>
      <c r="F6903" t="str">
        <f>_xlfn.XLOOKUP(A6903,'[1]Tissue Data'!$A:$A,'[1]Tissue Data'!$I:$I)</f>
        <v>gibbosus</v>
      </c>
      <c r="G6903" t="str">
        <f>_xlfn.XLOOKUP(A6903,'[1]Tissue Data'!$A:$A,'[1]Tissue Data'!J:J)</f>
        <v>M</v>
      </c>
      <c r="H6903" t="str">
        <f>_xlfn.XLOOKUP(A6903,'[1]Tissue Data'!$A:$A,'[1]Tissue Data'!K:K)</f>
        <v>Liver</v>
      </c>
      <c r="I6903">
        <f>_xlfn.XLOOKUP(A6903,'[1]Tissue Data'!$A:$A,'[1]Tissue Data'!L:L)</f>
        <v>12.5</v>
      </c>
      <c r="J6903">
        <f>_xlfn.XLOOKUP(A6903,'[1]Tissue Data'!$A:$A,'[1]Tissue Data'!M:M)</f>
        <v>55</v>
      </c>
      <c r="K6903" t="s">
        <v>13</v>
      </c>
      <c r="L6903" t="str">
        <f>_xlfn.XLOOKUP(K6903,[2]analyte_order!$B:$B,[2]analyte_order!$C:$C)</f>
        <v>2706-90-3</v>
      </c>
      <c r="M6903">
        <f>_xlfn.XLOOKUP(L6903,[2]analyte_order!$C:$C,[2]analyte_order!$E:$E)</f>
        <v>2</v>
      </c>
      <c r="N6903">
        <v>0.1135</v>
      </c>
    </row>
    <row r="6904" spans="1:14">
      <c r="A6904" t="s">
        <v>299</v>
      </c>
      <c r="B6904" t="str">
        <f>_xlfn.XLOOKUP(A6904,'[1]Tissue Data'!$A:$A,'[1]Tissue Data'!$C:$C)</f>
        <v>Down</v>
      </c>
      <c r="C6904" s="2">
        <f>_xlfn.XLOOKUP(A6904,'[1]Tissue Data'!$A:$A,'[1]Tissue Data'!$D:$D)</f>
        <v>44393</v>
      </c>
      <c r="D6904" s="2" t="str">
        <f>_xlfn.XLOOKUP(A6904,'[1]Tissue Data'!$A:$A,'[1]Tissue Data'!$F:$F)</f>
        <v>Pumpkinseed</v>
      </c>
      <c r="E6904" t="str">
        <f>_xlfn.XLOOKUP(A6904,'[1]Tissue Data'!$A:$A,'[1]Tissue Data'!$H:$H)</f>
        <v>Lepomis</v>
      </c>
      <c r="F6904" t="str">
        <f>_xlfn.XLOOKUP(A6904,'[1]Tissue Data'!$A:$A,'[1]Tissue Data'!$I:$I)</f>
        <v>gibbosus</v>
      </c>
      <c r="G6904" t="str">
        <f>_xlfn.XLOOKUP(A6904,'[1]Tissue Data'!$A:$A,'[1]Tissue Data'!J:J)</f>
        <v>M</v>
      </c>
      <c r="H6904" t="str">
        <f>_xlfn.XLOOKUP(A6904,'[1]Tissue Data'!$A:$A,'[1]Tissue Data'!K:K)</f>
        <v>Liver</v>
      </c>
      <c r="I6904">
        <f>_xlfn.XLOOKUP(A6904,'[1]Tissue Data'!$A:$A,'[1]Tissue Data'!L:L)</f>
        <v>12.5</v>
      </c>
      <c r="J6904">
        <f>_xlfn.XLOOKUP(A6904,'[1]Tissue Data'!$A:$A,'[1]Tissue Data'!M:M)</f>
        <v>55</v>
      </c>
      <c r="K6904" t="s">
        <v>14</v>
      </c>
      <c r="L6904" t="str">
        <f>_xlfn.XLOOKUP(K6904,[2]analyte_order!$B:$B,[2]analyte_order!$C:$C)</f>
        <v>307-24-4</v>
      </c>
      <c r="M6904">
        <f>_xlfn.XLOOKUP(L6904,[2]analyte_order!$C:$C,[2]analyte_order!$E:$E)</f>
        <v>3</v>
      </c>
      <c r="N6904">
        <v>0.17349999999999999</v>
      </c>
    </row>
    <row r="6905" spans="1:14">
      <c r="A6905" t="s">
        <v>299</v>
      </c>
      <c r="B6905" t="str">
        <f>_xlfn.XLOOKUP(A6905,'[1]Tissue Data'!$A:$A,'[1]Tissue Data'!$C:$C)</f>
        <v>Down</v>
      </c>
      <c r="C6905" s="2">
        <f>_xlfn.XLOOKUP(A6905,'[1]Tissue Data'!$A:$A,'[1]Tissue Data'!$D:$D)</f>
        <v>44393</v>
      </c>
      <c r="D6905" s="2" t="str">
        <f>_xlfn.XLOOKUP(A6905,'[1]Tissue Data'!$A:$A,'[1]Tissue Data'!$F:$F)</f>
        <v>Pumpkinseed</v>
      </c>
      <c r="E6905" t="str">
        <f>_xlfn.XLOOKUP(A6905,'[1]Tissue Data'!$A:$A,'[1]Tissue Data'!$H:$H)</f>
        <v>Lepomis</v>
      </c>
      <c r="F6905" t="str">
        <f>_xlfn.XLOOKUP(A6905,'[1]Tissue Data'!$A:$A,'[1]Tissue Data'!$I:$I)</f>
        <v>gibbosus</v>
      </c>
      <c r="G6905" t="str">
        <f>_xlfn.XLOOKUP(A6905,'[1]Tissue Data'!$A:$A,'[1]Tissue Data'!J:J)</f>
        <v>M</v>
      </c>
      <c r="H6905" t="str">
        <f>_xlfn.XLOOKUP(A6905,'[1]Tissue Data'!$A:$A,'[1]Tissue Data'!K:K)</f>
        <v>Liver</v>
      </c>
      <c r="I6905">
        <f>_xlfn.XLOOKUP(A6905,'[1]Tissue Data'!$A:$A,'[1]Tissue Data'!L:L)</f>
        <v>12.5</v>
      </c>
      <c r="J6905">
        <f>_xlfn.XLOOKUP(A6905,'[1]Tissue Data'!$A:$A,'[1]Tissue Data'!M:M)</f>
        <v>55</v>
      </c>
      <c r="K6905" t="s">
        <v>15</v>
      </c>
      <c r="L6905" t="str">
        <f>_xlfn.XLOOKUP(K6905,[2]analyte_order!$B:$B,[2]analyte_order!$C:$C)</f>
        <v>375-85-9</v>
      </c>
      <c r="M6905">
        <f>_xlfn.XLOOKUP(L6905,[2]analyte_order!$C:$C,[2]analyte_order!$E:$E)</f>
        <v>4</v>
      </c>
      <c r="N6905">
        <v>0.1605</v>
      </c>
    </row>
    <row r="6906" spans="1:14">
      <c r="A6906" t="s">
        <v>299</v>
      </c>
      <c r="B6906" t="str">
        <f>_xlfn.XLOOKUP(A6906,'[1]Tissue Data'!$A:$A,'[1]Tissue Data'!$C:$C)</f>
        <v>Down</v>
      </c>
      <c r="C6906" s="2">
        <f>_xlfn.XLOOKUP(A6906,'[1]Tissue Data'!$A:$A,'[1]Tissue Data'!$D:$D)</f>
        <v>44393</v>
      </c>
      <c r="D6906" s="2" t="str">
        <f>_xlfn.XLOOKUP(A6906,'[1]Tissue Data'!$A:$A,'[1]Tissue Data'!$F:$F)</f>
        <v>Pumpkinseed</v>
      </c>
      <c r="E6906" t="str">
        <f>_xlfn.XLOOKUP(A6906,'[1]Tissue Data'!$A:$A,'[1]Tissue Data'!$H:$H)</f>
        <v>Lepomis</v>
      </c>
      <c r="F6906" t="str">
        <f>_xlfn.XLOOKUP(A6906,'[1]Tissue Data'!$A:$A,'[1]Tissue Data'!$I:$I)</f>
        <v>gibbosus</v>
      </c>
      <c r="G6906" t="str">
        <f>_xlfn.XLOOKUP(A6906,'[1]Tissue Data'!$A:$A,'[1]Tissue Data'!J:J)</f>
        <v>M</v>
      </c>
      <c r="H6906" t="str">
        <f>_xlfn.XLOOKUP(A6906,'[1]Tissue Data'!$A:$A,'[1]Tissue Data'!K:K)</f>
        <v>Liver</v>
      </c>
      <c r="I6906">
        <f>_xlfn.XLOOKUP(A6906,'[1]Tissue Data'!$A:$A,'[1]Tissue Data'!L:L)</f>
        <v>12.5</v>
      </c>
      <c r="J6906">
        <f>_xlfn.XLOOKUP(A6906,'[1]Tissue Data'!$A:$A,'[1]Tissue Data'!M:M)</f>
        <v>55</v>
      </c>
      <c r="K6906" t="s">
        <v>16</v>
      </c>
      <c r="L6906" t="str">
        <f>_xlfn.XLOOKUP(K6906,[2]analyte_order!$B:$B,[2]analyte_order!$C:$C)</f>
        <v>335-67-1</v>
      </c>
      <c r="M6906">
        <f>_xlfn.XLOOKUP(L6906,[2]analyte_order!$C:$C,[2]analyte_order!$E:$E)</f>
        <v>5</v>
      </c>
      <c r="N6906">
        <v>6.4000000000000001E-2</v>
      </c>
    </row>
    <row r="6907" spans="1:14">
      <c r="A6907" t="s">
        <v>299</v>
      </c>
      <c r="B6907" t="str">
        <f>_xlfn.XLOOKUP(A6907,'[1]Tissue Data'!$A:$A,'[1]Tissue Data'!$C:$C)</f>
        <v>Down</v>
      </c>
      <c r="C6907" s="2">
        <f>_xlfn.XLOOKUP(A6907,'[1]Tissue Data'!$A:$A,'[1]Tissue Data'!$D:$D)</f>
        <v>44393</v>
      </c>
      <c r="D6907" s="2" t="str">
        <f>_xlfn.XLOOKUP(A6907,'[1]Tissue Data'!$A:$A,'[1]Tissue Data'!$F:$F)</f>
        <v>Pumpkinseed</v>
      </c>
      <c r="E6907" t="str">
        <f>_xlfn.XLOOKUP(A6907,'[1]Tissue Data'!$A:$A,'[1]Tissue Data'!$H:$H)</f>
        <v>Lepomis</v>
      </c>
      <c r="F6907" t="str">
        <f>_xlfn.XLOOKUP(A6907,'[1]Tissue Data'!$A:$A,'[1]Tissue Data'!$I:$I)</f>
        <v>gibbosus</v>
      </c>
      <c r="G6907" t="str">
        <f>_xlfn.XLOOKUP(A6907,'[1]Tissue Data'!$A:$A,'[1]Tissue Data'!J:J)</f>
        <v>M</v>
      </c>
      <c r="H6907" t="str">
        <f>_xlfn.XLOOKUP(A6907,'[1]Tissue Data'!$A:$A,'[1]Tissue Data'!K:K)</f>
        <v>Liver</v>
      </c>
      <c r="I6907">
        <f>_xlfn.XLOOKUP(A6907,'[1]Tissue Data'!$A:$A,'[1]Tissue Data'!L:L)</f>
        <v>12.5</v>
      </c>
      <c r="J6907">
        <f>_xlfn.XLOOKUP(A6907,'[1]Tissue Data'!$A:$A,'[1]Tissue Data'!M:M)</f>
        <v>55</v>
      </c>
      <c r="K6907" t="s">
        <v>17</v>
      </c>
      <c r="L6907" t="str">
        <f>_xlfn.XLOOKUP(K6907,[2]analyte_order!$B:$B,[2]analyte_order!$C:$C)</f>
        <v>375-95-1</v>
      </c>
      <c r="M6907">
        <f>_xlfn.XLOOKUP(L6907,[2]analyte_order!$C:$C,[2]analyte_order!$E:$E)</f>
        <v>6</v>
      </c>
      <c r="N6907">
        <v>0.1605</v>
      </c>
    </row>
    <row r="6908" spans="1:14">
      <c r="A6908" t="s">
        <v>299</v>
      </c>
      <c r="B6908" t="str">
        <f>_xlfn.XLOOKUP(A6908,'[1]Tissue Data'!$A:$A,'[1]Tissue Data'!$C:$C)</f>
        <v>Down</v>
      </c>
      <c r="C6908" s="2">
        <f>_xlfn.XLOOKUP(A6908,'[1]Tissue Data'!$A:$A,'[1]Tissue Data'!$D:$D)</f>
        <v>44393</v>
      </c>
      <c r="D6908" s="2" t="str">
        <f>_xlfn.XLOOKUP(A6908,'[1]Tissue Data'!$A:$A,'[1]Tissue Data'!$F:$F)</f>
        <v>Pumpkinseed</v>
      </c>
      <c r="E6908" t="str">
        <f>_xlfn.XLOOKUP(A6908,'[1]Tissue Data'!$A:$A,'[1]Tissue Data'!$H:$H)</f>
        <v>Lepomis</v>
      </c>
      <c r="F6908" t="str">
        <f>_xlfn.XLOOKUP(A6908,'[1]Tissue Data'!$A:$A,'[1]Tissue Data'!$I:$I)</f>
        <v>gibbosus</v>
      </c>
      <c r="G6908" t="str">
        <f>_xlfn.XLOOKUP(A6908,'[1]Tissue Data'!$A:$A,'[1]Tissue Data'!J:J)</f>
        <v>M</v>
      </c>
      <c r="H6908" t="str">
        <f>_xlfn.XLOOKUP(A6908,'[1]Tissue Data'!$A:$A,'[1]Tissue Data'!K:K)</f>
        <v>Liver</v>
      </c>
      <c r="I6908">
        <f>_xlfn.XLOOKUP(A6908,'[1]Tissue Data'!$A:$A,'[1]Tissue Data'!L:L)</f>
        <v>12.5</v>
      </c>
      <c r="J6908">
        <f>_xlfn.XLOOKUP(A6908,'[1]Tissue Data'!$A:$A,'[1]Tissue Data'!M:M)</f>
        <v>55</v>
      </c>
      <c r="K6908" t="s">
        <v>18</v>
      </c>
      <c r="L6908" t="str">
        <f>_xlfn.XLOOKUP(K6908,[2]analyte_order!$B:$B,[2]analyte_order!$C:$C)</f>
        <v>335-76-2</v>
      </c>
      <c r="M6908">
        <f>_xlfn.XLOOKUP(L6908,[2]analyte_order!$C:$C,[2]analyte_order!$E:$E)</f>
        <v>7</v>
      </c>
      <c r="N6908">
        <v>35.299999999999997</v>
      </c>
    </row>
    <row r="6909" spans="1:14">
      <c r="A6909" t="s">
        <v>299</v>
      </c>
      <c r="B6909" t="str">
        <f>_xlfn.XLOOKUP(A6909,'[1]Tissue Data'!$A:$A,'[1]Tissue Data'!$C:$C)</f>
        <v>Down</v>
      </c>
      <c r="C6909" s="2">
        <f>_xlfn.XLOOKUP(A6909,'[1]Tissue Data'!$A:$A,'[1]Tissue Data'!$D:$D)</f>
        <v>44393</v>
      </c>
      <c r="D6909" s="2" t="str">
        <f>_xlfn.XLOOKUP(A6909,'[1]Tissue Data'!$A:$A,'[1]Tissue Data'!$F:$F)</f>
        <v>Pumpkinseed</v>
      </c>
      <c r="E6909" t="str">
        <f>_xlfn.XLOOKUP(A6909,'[1]Tissue Data'!$A:$A,'[1]Tissue Data'!$H:$H)</f>
        <v>Lepomis</v>
      </c>
      <c r="F6909" t="str">
        <f>_xlfn.XLOOKUP(A6909,'[1]Tissue Data'!$A:$A,'[1]Tissue Data'!$I:$I)</f>
        <v>gibbosus</v>
      </c>
      <c r="G6909" t="str">
        <f>_xlfn.XLOOKUP(A6909,'[1]Tissue Data'!$A:$A,'[1]Tissue Data'!J:J)</f>
        <v>M</v>
      </c>
      <c r="H6909" t="str">
        <f>_xlfn.XLOOKUP(A6909,'[1]Tissue Data'!$A:$A,'[1]Tissue Data'!K:K)</f>
        <v>Liver</v>
      </c>
      <c r="I6909">
        <f>_xlfn.XLOOKUP(A6909,'[1]Tissue Data'!$A:$A,'[1]Tissue Data'!L:L)</f>
        <v>12.5</v>
      </c>
      <c r="J6909">
        <f>_xlfn.XLOOKUP(A6909,'[1]Tissue Data'!$A:$A,'[1]Tissue Data'!M:M)</f>
        <v>55</v>
      </c>
      <c r="K6909" t="s">
        <v>19</v>
      </c>
      <c r="L6909" t="str">
        <f>_xlfn.XLOOKUP(K6909,[2]analyte_order!$B:$B,[2]analyte_order!$C:$C)</f>
        <v>2058-94-8</v>
      </c>
      <c r="M6909">
        <f>_xlfn.XLOOKUP(L6909,[2]analyte_order!$C:$C,[2]analyte_order!$E:$E)</f>
        <v>8</v>
      </c>
      <c r="N6909">
        <v>39.9</v>
      </c>
    </row>
    <row r="6910" spans="1:14">
      <c r="A6910" t="s">
        <v>299</v>
      </c>
      <c r="B6910" t="str">
        <f>_xlfn.XLOOKUP(A6910,'[1]Tissue Data'!$A:$A,'[1]Tissue Data'!$C:$C)</f>
        <v>Down</v>
      </c>
      <c r="C6910" s="2">
        <f>_xlfn.XLOOKUP(A6910,'[1]Tissue Data'!$A:$A,'[1]Tissue Data'!$D:$D)</f>
        <v>44393</v>
      </c>
      <c r="D6910" s="2" t="str">
        <f>_xlfn.XLOOKUP(A6910,'[1]Tissue Data'!$A:$A,'[1]Tissue Data'!$F:$F)</f>
        <v>Pumpkinseed</v>
      </c>
      <c r="E6910" t="str">
        <f>_xlfn.XLOOKUP(A6910,'[1]Tissue Data'!$A:$A,'[1]Tissue Data'!$H:$H)</f>
        <v>Lepomis</v>
      </c>
      <c r="F6910" t="str">
        <f>_xlfn.XLOOKUP(A6910,'[1]Tissue Data'!$A:$A,'[1]Tissue Data'!$I:$I)</f>
        <v>gibbosus</v>
      </c>
      <c r="G6910" t="str">
        <f>_xlfn.XLOOKUP(A6910,'[1]Tissue Data'!$A:$A,'[1]Tissue Data'!J:J)</f>
        <v>M</v>
      </c>
      <c r="H6910" t="str">
        <f>_xlfn.XLOOKUP(A6910,'[1]Tissue Data'!$A:$A,'[1]Tissue Data'!K:K)</f>
        <v>Liver</v>
      </c>
      <c r="I6910">
        <f>_xlfn.XLOOKUP(A6910,'[1]Tissue Data'!$A:$A,'[1]Tissue Data'!L:L)</f>
        <v>12.5</v>
      </c>
      <c r="J6910">
        <f>_xlfn.XLOOKUP(A6910,'[1]Tissue Data'!$A:$A,'[1]Tissue Data'!M:M)</f>
        <v>55</v>
      </c>
      <c r="K6910" t="s">
        <v>20</v>
      </c>
      <c r="L6910" t="str">
        <f>_xlfn.XLOOKUP(K6910,[2]analyte_order!$B:$B,[2]analyte_order!$C:$C)</f>
        <v>307-55-1</v>
      </c>
      <c r="M6910">
        <f>_xlfn.XLOOKUP(L6910,[2]analyte_order!$C:$C,[2]analyte_order!$E:$E)</f>
        <v>9</v>
      </c>
      <c r="N6910">
        <v>43.3</v>
      </c>
    </row>
    <row r="6911" spans="1:14">
      <c r="A6911" t="s">
        <v>299</v>
      </c>
      <c r="B6911" t="str">
        <f>_xlfn.XLOOKUP(A6911,'[1]Tissue Data'!$A:$A,'[1]Tissue Data'!$C:$C)</f>
        <v>Down</v>
      </c>
      <c r="C6911" s="2">
        <f>_xlfn.XLOOKUP(A6911,'[1]Tissue Data'!$A:$A,'[1]Tissue Data'!$D:$D)</f>
        <v>44393</v>
      </c>
      <c r="D6911" s="2" t="str">
        <f>_xlfn.XLOOKUP(A6911,'[1]Tissue Data'!$A:$A,'[1]Tissue Data'!$F:$F)</f>
        <v>Pumpkinseed</v>
      </c>
      <c r="E6911" t="str">
        <f>_xlfn.XLOOKUP(A6911,'[1]Tissue Data'!$A:$A,'[1]Tissue Data'!$H:$H)</f>
        <v>Lepomis</v>
      </c>
      <c r="F6911" t="str">
        <f>_xlfn.XLOOKUP(A6911,'[1]Tissue Data'!$A:$A,'[1]Tissue Data'!$I:$I)</f>
        <v>gibbosus</v>
      </c>
      <c r="G6911" t="str">
        <f>_xlfn.XLOOKUP(A6911,'[1]Tissue Data'!$A:$A,'[1]Tissue Data'!J:J)</f>
        <v>M</v>
      </c>
      <c r="H6911" t="str">
        <f>_xlfn.XLOOKUP(A6911,'[1]Tissue Data'!$A:$A,'[1]Tissue Data'!K:K)</f>
        <v>Liver</v>
      </c>
      <c r="I6911">
        <f>_xlfn.XLOOKUP(A6911,'[1]Tissue Data'!$A:$A,'[1]Tissue Data'!L:L)</f>
        <v>12.5</v>
      </c>
      <c r="J6911">
        <f>_xlfn.XLOOKUP(A6911,'[1]Tissue Data'!$A:$A,'[1]Tissue Data'!M:M)</f>
        <v>55</v>
      </c>
      <c r="K6911" t="s">
        <v>21</v>
      </c>
      <c r="L6911" t="str">
        <f>_xlfn.XLOOKUP(K6911,[2]analyte_order!$B:$B,[2]analyte_order!$C:$C)</f>
        <v>72629-94-8</v>
      </c>
      <c r="M6911">
        <f>_xlfn.XLOOKUP(L6911,[2]analyte_order!$C:$C,[2]analyte_order!$E:$E)</f>
        <v>10</v>
      </c>
      <c r="N6911">
        <v>35.6</v>
      </c>
    </row>
    <row r="6912" spans="1:14">
      <c r="A6912" t="s">
        <v>299</v>
      </c>
      <c r="B6912" t="str">
        <f>_xlfn.XLOOKUP(A6912,'[1]Tissue Data'!$A:$A,'[1]Tissue Data'!$C:$C)</f>
        <v>Down</v>
      </c>
      <c r="C6912" s="2">
        <f>_xlfn.XLOOKUP(A6912,'[1]Tissue Data'!$A:$A,'[1]Tissue Data'!$D:$D)</f>
        <v>44393</v>
      </c>
      <c r="D6912" s="2" t="str">
        <f>_xlfn.XLOOKUP(A6912,'[1]Tissue Data'!$A:$A,'[1]Tissue Data'!$F:$F)</f>
        <v>Pumpkinseed</v>
      </c>
      <c r="E6912" t="str">
        <f>_xlfn.XLOOKUP(A6912,'[1]Tissue Data'!$A:$A,'[1]Tissue Data'!$H:$H)</f>
        <v>Lepomis</v>
      </c>
      <c r="F6912" t="str">
        <f>_xlfn.XLOOKUP(A6912,'[1]Tissue Data'!$A:$A,'[1]Tissue Data'!$I:$I)</f>
        <v>gibbosus</v>
      </c>
      <c r="G6912" t="str">
        <f>_xlfn.XLOOKUP(A6912,'[1]Tissue Data'!$A:$A,'[1]Tissue Data'!J:J)</f>
        <v>M</v>
      </c>
      <c r="H6912" t="str">
        <f>_xlfn.XLOOKUP(A6912,'[1]Tissue Data'!$A:$A,'[1]Tissue Data'!K:K)</f>
        <v>Liver</v>
      </c>
      <c r="I6912">
        <f>_xlfn.XLOOKUP(A6912,'[1]Tissue Data'!$A:$A,'[1]Tissue Data'!L:L)</f>
        <v>12.5</v>
      </c>
      <c r="J6912">
        <f>_xlfn.XLOOKUP(A6912,'[1]Tissue Data'!$A:$A,'[1]Tissue Data'!M:M)</f>
        <v>55</v>
      </c>
      <c r="K6912" t="s">
        <v>22</v>
      </c>
      <c r="L6912" t="str">
        <f>_xlfn.XLOOKUP(K6912,[2]analyte_order!$B:$B,[2]analyte_order!$C:$C)</f>
        <v>376-06-7</v>
      </c>
      <c r="M6912">
        <f>_xlfn.XLOOKUP(L6912,[2]analyte_order!$C:$C,[2]analyte_order!$E:$E)</f>
        <v>11</v>
      </c>
      <c r="N6912">
        <v>38.1</v>
      </c>
    </row>
    <row r="6913" spans="1:14">
      <c r="A6913" t="s">
        <v>299</v>
      </c>
      <c r="B6913" t="str">
        <f>_xlfn.XLOOKUP(A6913,'[1]Tissue Data'!$A:$A,'[1]Tissue Data'!$C:$C)</f>
        <v>Down</v>
      </c>
      <c r="C6913" s="2">
        <f>_xlfn.XLOOKUP(A6913,'[1]Tissue Data'!$A:$A,'[1]Tissue Data'!$D:$D)</f>
        <v>44393</v>
      </c>
      <c r="D6913" s="2" t="str">
        <f>_xlfn.XLOOKUP(A6913,'[1]Tissue Data'!$A:$A,'[1]Tissue Data'!$F:$F)</f>
        <v>Pumpkinseed</v>
      </c>
      <c r="E6913" t="str">
        <f>_xlfn.XLOOKUP(A6913,'[1]Tissue Data'!$A:$A,'[1]Tissue Data'!$H:$H)</f>
        <v>Lepomis</v>
      </c>
      <c r="F6913" t="str">
        <f>_xlfn.XLOOKUP(A6913,'[1]Tissue Data'!$A:$A,'[1]Tissue Data'!$I:$I)</f>
        <v>gibbosus</v>
      </c>
      <c r="G6913" t="str">
        <f>_xlfn.XLOOKUP(A6913,'[1]Tissue Data'!$A:$A,'[1]Tissue Data'!J:J)</f>
        <v>M</v>
      </c>
      <c r="H6913" t="str">
        <f>_xlfn.XLOOKUP(A6913,'[1]Tissue Data'!$A:$A,'[1]Tissue Data'!K:K)</f>
        <v>Liver</v>
      </c>
      <c r="I6913">
        <f>_xlfn.XLOOKUP(A6913,'[1]Tissue Data'!$A:$A,'[1]Tissue Data'!L:L)</f>
        <v>12.5</v>
      </c>
      <c r="J6913">
        <f>_xlfn.XLOOKUP(A6913,'[1]Tissue Data'!$A:$A,'[1]Tissue Data'!M:M)</f>
        <v>55</v>
      </c>
      <c r="K6913" t="s">
        <v>23</v>
      </c>
      <c r="L6913" t="str">
        <f>_xlfn.XLOOKUP(K6913,[2]analyte_order!$B:$B,[2]analyte_order!$C:$C)</f>
        <v>67905-19-5</v>
      </c>
      <c r="M6913">
        <f>_xlfn.XLOOKUP(L6913,[2]analyte_order!$C:$C,[2]analyte_order!$E:$E)</f>
        <v>12</v>
      </c>
      <c r="N6913">
        <v>0.1915</v>
      </c>
    </row>
    <row r="6914" spans="1:14">
      <c r="A6914" t="s">
        <v>299</v>
      </c>
      <c r="B6914" t="str">
        <f>_xlfn.XLOOKUP(A6914,'[1]Tissue Data'!$A:$A,'[1]Tissue Data'!$C:$C)</f>
        <v>Down</v>
      </c>
      <c r="C6914" s="2">
        <f>_xlfn.XLOOKUP(A6914,'[1]Tissue Data'!$A:$A,'[1]Tissue Data'!$D:$D)</f>
        <v>44393</v>
      </c>
      <c r="D6914" s="2" t="str">
        <f>_xlfn.XLOOKUP(A6914,'[1]Tissue Data'!$A:$A,'[1]Tissue Data'!$F:$F)</f>
        <v>Pumpkinseed</v>
      </c>
      <c r="E6914" t="str">
        <f>_xlfn.XLOOKUP(A6914,'[1]Tissue Data'!$A:$A,'[1]Tissue Data'!$H:$H)</f>
        <v>Lepomis</v>
      </c>
      <c r="F6914" t="str">
        <f>_xlfn.XLOOKUP(A6914,'[1]Tissue Data'!$A:$A,'[1]Tissue Data'!$I:$I)</f>
        <v>gibbosus</v>
      </c>
      <c r="G6914" t="str">
        <f>_xlfn.XLOOKUP(A6914,'[1]Tissue Data'!$A:$A,'[1]Tissue Data'!J:J)</f>
        <v>M</v>
      </c>
      <c r="H6914" t="str">
        <f>_xlfn.XLOOKUP(A6914,'[1]Tissue Data'!$A:$A,'[1]Tissue Data'!K:K)</f>
        <v>Liver</v>
      </c>
      <c r="I6914">
        <f>_xlfn.XLOOKUP(A6914,'[1]Tissue Data'!$A:$A,'[1]Tissue Data'!L:L)</f>
        <v>12.5</v>
      </c>
      <c r="J6914">
        <f>_xlfn.XLOOKUP(A6914,'[1]Tissue Data'!$A:$A,'[1]Tissue Data'!M:M)</f>
        <v>55</v>
      </c>
      <c r="K6914" t="s">
        <v>24</v>
      </c>
      <c r="L6914" t="str">
        <f>_xlfn.XLOOKUP(K6914,[2]analyte_order!$B:$B,[2]analyte_order!$C:$C)</f>
        <v>423-41-6</v>
      </c>
      <c r="M6914">
        <f>_xlfn.XLOOKUP(L6914,[2]analyte_order!$C:$C,[2]analyte_order!$E:$E)</f>
        <v>53</v>
      </c>
      <c r="N6914">
        <v>0.1605</v>
      </c>
    </row>
    <row r="6915" spans="1:14">
      <c r="A6915" t="s">
        <v>299</v>
      </c>
      <c r="B6915" t="str">
        <f>_xlfn.XLOOKUP(A6915,'[1]Tissue Data'!$A:$A,'[1]Tissue Data'!$C:$C)</f>
        <v>Down</v>
      </c>
      <c r="C6915" s="2">
        <f>_xlfn.XLOOKUP(A6915,'[1]Tissue Data'!$A:$A,'[1]Tissue Data'!$D:$D)</f>
        <v>44393</v>
      </c>
      <c r="D6915" s="2" t="str">
        <f>_xlfn.XLOOKUP(A6915,'[1]Tissue Data'!$A:$A,'[1]Tissue Data'!$F:$F)</f>
        <v>Pumpkinseed</v>
      </c>
      <c r="E6915" t="str">
        <f>_xlfn.XLOOKUP(A6915,'[1]Tissue Data'!$A:$A,'[1]Tissue Data'!$H:$H)</f>
        <v>Lepomis</v>
      </c>
      <c r="F6915" t="str">
        <f>_xlfn.XLOOKUP(A6915,'[1]Tissue Data'!$A:$A,'[1]Tissue Data'!$I:$I)</f>
        <v>gibbosus</v>
      </c>
      <c r="G6915" t="str">
        <f>_xlfn.XLOOKUP(A6915,'[1]Tissue Data'!$A:$A,'[1]Tissue Data'!J:J)</f>
        <v>M</v>
      </c>
      <c r="H6915" t="str">
        <f>_xlfn.XLOOKUP(A6915,'[1]Tissue Data'!$A:$A,'[1]Tissue Data'!K:K)</f>
        <v>Liver</v>
      </c>
      <c r="I6915">
        <f>_xlfn.XLOOKUP(A6915,'[1]Tissue Data'!$A:$A,'[1]Tissue Data'!L:L)</f>
        <v>12.5</v>
      </c>
      <c r="J6915">
        <f>_xlfn.XLOOKUP(A6915,'[1]Tissue Data'!$A:$A,'[1]Tissue Data'!M:M)</f>
        <v>55</v>
      </c>
      <c r="K6915" t="s">
        <v>25</v>
      </c>
      <c r="L6915" t="str">
        <f>_xlfn.XLOOKUP(K6915,[2]analyte_order!$B:$B,[2]analyte_order!$C:$C)</f>
        <v>375-73-5</v>
      </c>
      <c r="M6915">
        <f>_xlfn.XLOOKUP(L6915,[2]analyte_order!$C:$C,[2]analyte_order!$E:$E)</f>
        <v>14</v>
      </c>
      <c r="N6915">
        <v>0.32100000000000001</v>
      </c>
    </row>
    <row r="6916" spans="1:14">
      <c r="A6916" t="s">
        <v>299</v>
      </c>
      <c r="B6916" t="str">
        <f>_xlfn.XLOOKUP(A6916,'[1]Tissue Data'!$A:$A,'[1]Tissue Data'!$C:$C)</f>
        <v>Down</v>
      </c>
      <c r="C6916" s="2">
        <f>_xlfn.XLOOKUP(A6916,'[1]Tissue Data'!$A:$A,'[1]Tissue Data'!$D:$D)</f>
        <v>44393</v>
      </c>
      <c r="D6916" s="2" t="str">
        <f>_xlfn.XLOOKUP(A6916,'[1]Tissue Data'!$A:$A,'[1]Tissue Data'!$F:$F)</f>
        <v>Pumpkinseed</v>
      </c>
      <c r="E6916" t="str">
        <f>_xlfn.XLOOKUP(A6916,'[1]Tissue Data'!$A:$A,'[1]Tissue Data'!$H:$H)</f>
        <v>Lepomis</v>
      </c>
      <c r="F6916" t="str">
        <f>_xlfn.XLOOKUP(A6916,'[1]Tissue Data'!$A:$A,'[1]Tissue Data'!$I:$I)</f>
        <v>gibbosus</v>
      </c>
      <c r="G6916" t="str">
        <f>_xlfn.XLOOKUP(A6916,'[1]Tissue Data'!$A:$A,'[1]Tissue Data'!J:J)</f>
        <v>M</v>
      </c>
      <c r="H6916" t="str">
        <f>_xlfn.XLOOKUP(A6916,'[1]Tissue Data'!$A:$A,'[1]Tissue Data'!K:K)</f>
        <v>Liver</v>
      </c>
      <c r="I6916">
        <f>_xlfn.XLOOKUP(A6916,'[1]Tissue Data'!$A:$A,'[1]Tissue Data'!L:L)</f>
        <v>12.5</v>
      </c>
      <c r="J6916">
        <f>_xlfn.XLOOKUP(A6916,'[1]Tissue Data'!$A:$A,'[1]Tissue Data'!M:M)</f>
        <v>55</v>
      </c>
      <c r="K6916" t="s">
        <v>26</v>
      </c>
      <c r="L6916" t="str">
        <f>_xlfn.XLOOKUP(K6916,[2]analyte_order!$B:$B,[2]analyte_order!$C:$C)</f>
        <v>2706-91-4</v>
      </c>
      <c r="M6916">
        <f>_xlfn.XLOOKUP(L6916,[2]analyte_order!$C:$C,[2]analyte_order!$E:$E)</f>
        <v>15</v>
      </c>
      <c r="N6916">
        <v>0.36199999999999999</v>
      </c>
    </row>
    <row r="6917" spans="1:14">
      <c r="A6917" t="s">
        <v>299</v>
      </c>
      <c r="B6917" t="str">
        <f>_xlfn.XLOOKUP(A6917,'[1]Tissue Data'!$A:$A,'[1]Tissue Data'!$C:$C)</f>
        <v>Down</v>
      </c>
      <c r="C6917" s="2">
        <f>_xlfn.XLOOKUP(A6917,'[1]Tissue Data'!$A:$A,'[1]Tissue Data'!$D:$D)</f>
        <v>44393</v>
      </c>
      <c r="D6917" s="2" t="str">
        <f>_xlfn.XLOOKUP(A6917,'[1]Tissue Data'!$A:$A,'[1]Tissue Data'!$F:$F)</f>
        <v>Pumpkinseed</v>
      </c>
      <c r="E6917" t="str">
        <f>_xlfn.XLOOKUP(A6917,'[1]Tissue Data'!$A:$A,'[1]Tissue Data'!$H:$H)</f>
        <v>Lepomis</v>
      </c>
      <c r="F6917" t="str">
        <f>_xlfn.XLOOKUP(A6917,'[1]Tissue Data'!$A:$A,'[1]Tissue Data'!$I:$I)</f>
        <v>gibbosus</v>
      </c>
      <c r="G6917" t="str">
        <f>_xlfn.XLOOKUP(A6917,'[1]Tissue Data'!$A:$A,'[1]Tissue Data'!J:J)</f>
        <v>M</v>
      </c>
      <c r="H6917" t="str">
        <f>_xlfn.XLOOKUP(A6917,'[1]Tissue Data'!$A:$A,'[1]Tissue Data'!K:K)</f>
        <v>Liver</v>
      </c>
      <c r="I6917">
        <f>_xlfn.XLOOKUP(A6917,'[1]Tissue Data'!$A:$A,'[1]Tissue Data'!L:L)</f>
        <v>12.5</v>
      </c>
      <c r="J6917">
        <f>_xlfn.XLOOKUP(A6917,'[1]Tissue Data'!$A:$A,'[1]Tissue Data'!M:M)</f>
        <v>55</v>
      </c>
      <c r="K6917" t="s">
        <v>27</v>
      </c>
      <c r="L6917" t="str">
        <f>_xlfn.XLOOKUP(K6917,[2]analyte_order!$B:$B,[2]analyte_order!$C:$C)</f>
        <v>355-46-4</v>
      </c>
      <c r="M6917">
        <f>_xlfn.XLOOKUP(L6917,[2]analyte_order!$C:$C,[2]analyte_order!$E:$E)</f>
        <v>16</v>
      </c>
      <c r="N6917">
        <v>8.5500000000000007E-2</v>
      </c>
    </row>
    <row r="6918" spans="1:14">
      <c r="A6918" t="s">
        <v>299</v>
      </c>
      <c r="B6918" t="str">
        <f>_xlfn.XLOOKUP(A6918,'[1]Tissue Data'!$A:$A,'[1]Tissue Data'!$C:$C)</f>
        <v>Down</v>
      </c>
      <c r="C6918" s="2">
        <f>_xlfn.XLOOKUP(A6918,'[1]Tissue Data'!$A:$A,'[1]Tissue Data'!$D:$D)</f>
        <v>44393</v>
      </c>
      <c r="D6918" s="2" t="str">
        <f>_xlfn.XLOOKUP(A6918,'[1]Tissue Data'!$A:$A,'[1]Tissue Data'!$F:$F)</f>
        <v>Pumpkinseed</v>
      </c>
      <c r="E6918" t="str">
        <f>_xlfn.XLOOKUP(A6918,'[1]Tissue Data'!$A:$A,'[1]Tissue Data'!$H:$H)</f>
        <v>Lepomis</v>
      </c>
      <c r="F6918" t="str">
        <f>_xlfn.XLOOKUP(A6918,'[1]Tissue Data'!$A:$A,'[1]Tissue Data'!$I:$I)</f>
        <v>gibbosus</v>
      </c>
      <c r="G6918" t="str">
        <f>_xlfn.XLOOKUP(A6918,'[1]Tissue Data'!$A:$A,'[1]Tissue Data'!J:J)</f>
        <v>M</v>
      </c>
      <c r="H6918" t="str">
        <f>_xlfn.XLOOKUP(A6918,'[1]Tissue Data'!$A:$A,'[1]Tissue Data'!K:K)</f>
        <v>Liver</v>
      </c>
      <c r="I6918">
        <f>_xlfn.XLOOKUP(A6918,'[1]Tissue Data'!$A:$A,'[1]Tissue Data'!L:L)</f>
        <v>12.5</v>
      </c>
      <c r="J6918">
        <f>_xlfn.XLOOKUP(A6918,'[1]Tissue Data'!$A:$A,'[1]Tissue Data'!M:M)</f>
        <v>55</v>
      </c>
      <c r="K6918" t="s">
        <v>28</v>
      </c>
      <c r="L6918" t="str">
        <f>_xlfn.XLOOKUP(K6918,[2]analyte_order!$B:$B,[2]analyte_order!$C:$C)</f>
        <v>375-92-8</v>
      </c>
      <c r="M6918">
        <f>_xlfn.XLOOKUP(L6918,[2]analyte_order!$C:$C,[2]analyte_order!$E:$E)</f>
        <v>17</v>
      </c>
      <c r="N6918">
        <v>9.4500000000000001E-2</v>
      </c>
    </row>
    <row r="6919" spans="1:14">
      <c r="A6919" t="s">
        <v>299</v>
      </c>
      <c r="B6919" t="str">
        <f>_xlfn.XLOOKUP(A6919,'[1]Tissue Data'!$A:$A,'[1]Tissue Data'!$C:$C)</f>
        <v>Down</v>
      </c>
      <c r="C6919" s="2">
        <f>_xlfn.XLOOKUP(A6919,'[1]Tissue Data'!$A:$A,'[1]Tissue Data'!$D:$D)</f>
        <v>44393</v>
      </c>
      <c r="D6919" s="2" t="str">
        <f>_xlfn.XLOOKUP(A6919,'[1]Tissue Data'!$A:$A,'[1]Tissue Data'!$F:$F)</f>
        <v>Pumpkinseed</v>
      </c>
      <c r="E6919" t="str">
        <f>_xlfn.XLOOKUP(A6919,'[1]Tissue Data'!$A:$A,'[1]Tissue Data'!$H:$H)</f>
        <v>Lepomis</v>
      </c>
      <c r="F6919" t="str">
        <f>_xlfn.XLOOKUP(A6919,'[1]Tissue Data'!$A:$A,'[1]Tissue Data'!$I:$I)</f>
        <v>gibbosus</v>
      </c>
      <c r="G6919" t="str">
        <f>_xlfn.XLOOKUP(A6919,'[1]Tissue Data'!$A:$A,'[1]Tissue Data'!J:J)</f>
        <v>M</v>
      </c>
      <c r="H6919" t="str">
        <f>_xlfn.XLOOKUP(A6919,'[1]Tissue Data'!$A:$A,'[1]Tissue Data'!K:K)</f>
        <v>Liver</v>
      </c>
      <c r="I6919">
        <f>_xlfn.XLOOKUP(A6919,'[1]Tissue Data'!$A:$A,'[1]Tissue Data'!L:L)</f>
        <v>12.5</v>
      </c>
      <c r="J6919">
        <f>_xlfn.XLOOKUP(A6919,'[1]Tissue Data'!$A:$A,'[1]Tissue Data'!M:M)</f>
        <v>55</v>
      </c>
      <c r="K6919" t="s">
        <v>29</v>
      </c>
      <c r="L6919" t="str">
        <f>_xlfn.XLOOKUP(K6919,[2]analyte_order!$B:$B,[2]analyte_order!$C:$C)</f>
        <v>1763-23-1</v>
      </c>
      <c r="M6919">
        <f>_xlfn.XLOOKUP(L6919,[2]analyte_order!$C:$C,[2]analyte_order!$E:$E)</f>
        <v>18</v>
      </c>
      <c r="N6919">
        <v>4870</v>
      </c>
    </row>
    <row r="6920" spans="1:14">
      <c r="A6920" t="s">
        <v>299</v>
      </c>
      <c r="B6920" t="str">
        <f>_xlfn.XLOOKUP(A6920,'[1]Tissue Data'!$A:$A,'[1]Tissue Data'!$C:$C)</f>
        <v>Down</v>
      </c>
      <c r="C6920" s="2">
        <f>_xlfn.XLOOKUP(A6920,'[1]Tissue Data'!$A:$A,'[1]Tissue Data'!$D:$D)</f>
        <v>44393</v>
      </c>
      <c r="D6920" s="2" t="str">
        <f>_xlfn.XLOOKUP(A6920,'[1]Tissue Data'!$A:$A,'[1]Tissue Data'!$F:$F)</f>
        <v>Pumpkinseed</v>
      </c>
      <c r="E6920" t="str">
        <f>_xlfn.XLOOKUP(A6920,'[1]Tissue Data'!$A:$A,'[1]Tissue Data'!$H:$H)</f>
        <v>Lepomis</v>
      </c>
      <c r="F6920" t="str">
        <f>_xlfn.XLOOKUP(A6920,'[1]Tissue Data'!$A:$A,'[1]Tissue Data'!$I:$I)</f>
        <v>gibbosus</v>
      </c>
      <c r="G6920" t="str">
        <f>_xlfn.XLOOKUP(A6920,'[1]Tissue Data'!$A:$A,'[1]Tissue Data'!J:J)</f>
        <v>M</v>
      </c>
      <c r="H6920" t="str">
        <f>_xlfn.XLOOKUP(A6920,'[1]Tissue Data'!$A:$A,'[1]Tissue Data'!K:K)</f>
        <v>Liver</v>
      </c>
      <c r="I6920">
        <f>_xlfn.XLOOKUP(A6920,'[1]Tissue Data'!$A:$A,'[1]Tissue Data'!L:L)</f>
        <v>12.5</v>
      </c>
      <c r="J6920">
        <f>_xlfn.XLOOKUP(A6920,'[1]Tissue Data'!$A:$A,'[1]Tissue Data'!M:M)</f>
        <v>55</v>
      </c>
      <c r="K6920" t="s">
        <v>30</v>
      </c>
      <c r="L6920" t="str">
        <f>_xlfn.XLOOKUP(K6920,[2]analyte_order!$B:$B,[2]analyte_order!$C:$C)</f>
        <v>68259-12-1</v>
      </c>
      <c r="M6920">
        <f>_xlfn.XLOOKUP(L6920,[2]analyte_order!$C:$C,[2]analyte_order!$E:$E)</f>
        <v>19</v>
      </c>
      <c r="N6920">
        <v>1.55</v>
      </c>
    </row>
    <row r="6921" spans="1:14">
      <c r="A6921" t="s">
        <v>299</v>
      </c>
      <c r="B6921" t="str">
        <f>_xlfn.XLOOKUP(A6921,'[1]Tissue Data'!$A:$A,'[1]Tissue Data'!$C:$C)</f>
        <v>Down</v>
      </c>
      <c r="C6921" s="2">
        <f>_xlfn.XLOOKUP(A6921,'[1]Tissue Data'!$A:$A,'[1]Tissue Data'!$D:$D)</f>
        <v>44393</v>
      </c>
      <c r="D6921" s="2" t="str">
        <f>_xlfn.XLOOKUP(A6921,'[1]Tissue Data'!$A:$A,'[1]Tissue Data'!$F:$F)</f>
        <v>Pumpkinseed</v>
      </c>
      <c r="E6921" t="str">
        <f>_xlfn.XLOOKUP(A6921,'[1]Tissue Data'!$A:$A,'[1]Tissue Data'!$H:$H)</f>
        <v>Lepomis</v>
      </c>
      <c r="F6921" t="str">
        <f>_xlfn.XLOOKUP(A6921,'[1]Tissue Data'!$A:$A,'[1]Tissue Data'!$I:$I)</f>
        <v>gibbosus</v>
      </c>
      <c r="G6921" t="str">
        <f>_xlfn.XLOOKUP(A6921,'[1]Tissue Data'!$A:$A,'[1]Tissue Data'!J:J)</f>
        <v>M</v>
      </c>
      <c r="H6921" t="str">
        <f>_xlfn.XLOOKUP(A6921,'[1]Tissue Data'!$A:$A,'[1]Tissue Data'!K:K)</f>
        <v>Liver</v>
      </c>
      <c r="I6921">
        <f>_xlfn.XLOOKUP(A6921,'[1]Tissue Data'!$A:$A,'[1]Tissue Data'!L:L)</f>
        <v>12.5</v>
      </c>
      <c r="J6921">
        <f>_xlfn.XLOOKUP(A6921,'[1]Tissue Data'!$A:$A,'[1]Tissue Data'!M:M)</f>
        <v>55</v>
      </c>
      <c r="K6921" t="s">
        <v>31</v>
      </c>
      <c r="L6921" t="str">
        <f>_xlfn.XLOOKUP(K6921,[2]analyte_order!$B:$B,[2]analyte_order!$C:$C)</f>
        <v>335-77-3</v>
      </c>
      <c r="M6921">
        <f>_xlfn.XLOOKUP(L6921,[2]analyte_order!$C:$C,[2]analyte_order!$E:$E)</f>
        <v>20</v>
      </c>
      <c r="N6921">
        <v>1.1499999999999999</v>
      </c>
    </row>
    <row r="6922" spans="1:14">
      <c r="A6922" t="s">
        <v>299</v>
      </c>
      <c r="B6922" t="str">
        <f>_xlfn.XLOOKUP(A6922,'[1]Tissue Data'!$A:$A,'[1]Tissue Data'!$C:$C)</f>
        <v>Down</v>
      </c>
      <c r="C6922" s="2">
        <f>_xlfn.XLOOKUP(A6922,'[1]Tissue Data'!$A:$A,'[1]Tissue Data'!$D:$D)</f>
        <v>44393</v>
      </c>
      <c r="D6922" s="2" t="str">
        <f>_xlfn.XLOOKUP(A6922,'[1]Tissue Data'!$A:$A,'[1]Tissue Data'!$F:$F)</f>
        <v>Pumpkinseed</v>
      </c>
      <c r="E6922" t="str">
        <f>_xlfn.XLOOKUP(A6922,'[1]Tissue Data'!$A:$A,'[1]Tissue Data'!$H:$H)</f>
        <v>Lepomis</v>
      </c>
      <c r="F6922" t="str">
        <f>_xlfn.XLOOKUP(A6922,'[1]Tissue Data'!$A:$A,'[1]Tissue Data'!$I:$I)</f>
        <v>gibbosus</v>
      </c>
      <c r="G6922" t="str">
        <f>_xlfn.XLOOKUP(A6922,'[1]Tissue Data'!$A:$A,'[1]Tissue Data'!J:J)</f>
        <v>M</v>
      </c>
      <c r="H6922" t="str">
        <f>_xlfn.XLOOKUP(A6922,'[1]Tissue Data'!$A:$A,'[1]Tissue Data'!K:K)</f>
        <v>Liver</v>
      </c>
      <c r="I6922">
        <f>_xlfn.XLOOKUP(A6922,'[1]Tissue Data'!$A:$A,'[1]Tissue Data'!L:L)</f>
        <v>12.5</v>
      </c>
      <c r="J6922">
        <f>_xlfn.XLOOKUP(A6922,'[1]Tissue Data'!$A:$A,'[1]Tissue Data'!M:M)</f>
        <v>55</v>
      </c>
      <c r="K6922" t="s">
        <v>32</v>
      </c>
      <c r="L6922" t="str">
        <f>_xlfn.XLOOKUP(K6922,[2]analyte_order!$B:$B,[2]analyte_order!$C:$C)</f>
        <v>79780-39-5</v>
      </c>
      <c r="M6922">
        <f>_xlfn.XLOOKUP(L6922,[2]analyte_order!$C:$C,[2]analyte_order!$E:$E)</f>
        <v>21</v>
      </c>
      <c r="N6922">
        <v>1.2</v>
      </c>
    </row>
    <row r="6923" spans="1:14">
      <c r="A6923" t="s">
        <v>299</v>
      </c>
      <c r="B6923" t="str">
        <f>_xlfn.XLOOKUP(A6923,'[1]Tissue Data'!$A:$A,'[1]Tissue Data'!$C:$C)</f>
        <v>Down</v>
      </c>
      <c r="C6923" s="2">
        <f>_xlfn.XLOOKUP(A6923,'[1]Tissue Data'!$A:$A,'[1]Tissue Data'!$D:$D)</f>
        <v>44393</v>
      </c>
      <c r="D6923" s="2" t="str">
        <f>_xlfn.XLOOKUP(A6923,'[1]Tissue Data'!$A:$A,'[1]Tissue Data'!$F:$F)</f>
        <v>Pumpkinseed</v>
      </c>
      <c r="E6923" t="str">
        <f>_xlfn.XLOOKUP(A6923,'[1]Tissue Data'!$A:$A,'[1]Tissue Data'!$H:$H)</f>
        <v>Lepomis</v>
      </c>
      <c r="F6923" t="str">
        <f>_xlfn.XLOOKUP(A6923,'[1]Tissue Data'!$A:$A,'[1]Tissue Data'!$I:$I)</f>
        <v>gibbosus</v>
      </c>
      <c r="G6923" t="str">
        <f>_xlfn.XLOOKUP(A6923,'[1]Tissue Data'!$A:$A,'[1]Tissue Data'!J:J)</f>
        <v>M</v>
      </c>
      <c r="H6923" t="str">
        <f>_xlfn.XLOOKUP(A6923,'[1]Tissue Data'!$A:$A,'[1]Tissue Data'!K:K)</f>
        <v>Liver</v>
      </c>
      <c r="I6923">
        <f>_xlfn.XLOOKUP(A6923,'[1]Tissue Data'!$A:$A,'[1]Tissue Data'!L:L)</f>
        <v>12.5</v>
      </c>
      <c r="J6923">
        <f>_xlfn.XLOOKUP(A6923,'[1]Tissue Data'!$A:$A,'[1]Tissue Data'!M:M)</f>
        <v>55</v>
      </c>
      <c r="K6923" t="s">
        <v>33</v>
      </c>
      <c r="L6923" t="str">
        <f>_xlfn.XLOOKUP(K6923,[2]analyte_order!$B:$B,[2]analyte_order!$C:$C)</f>
        <v>777011-38-8</v>
      </c>
      <c r="M6923">
        <f>_xlfn.XLOOKUP(L6923,[2]analyte_order!$C:$C,[2]analyte_order!$E:$E)</f>
        <v>54</v>
      </c>
      <c r="N6923">
        <v>0.19500000000000001</v>
      </c>
    </row>
    <row r="6924" spans="1:14">
      <c r="A6924" t="s">
        <v>299</v>
      </c>
      <c r="B6924" t="str">
        <f>_xlfn.XLOOKUP(A6924,'[1]Tissue Data'!$A:$A,'[1]Tissue Data'!$C:$C)</f>
        <v>Down</v>
      </c>
      <c r="C6924" s="2">
        <f>_xlfn.XLOOKUP(A6924,'[1]Tissue Data'!$A:$A,'[1]Tissue Data'!$D:$D)</f>
        <v>44393</v>
      </c>
      <c r="D6924" s="2" t="str">
        <f>_xlfn.XLOOKUP(A6924,'[1]Tissue Data'!$A:$A,'[1]Tissue Data'!$F:$F)</f>
        <v>Pumpkinseed</v>
      </c>
      <c r="E6924" t="str">
        <f>_xlfn.XLOOKUP(A6924,'[1]Tissue Data'!$A:$A,'[1]Tissue Data'!$H:$H)</f>
        <v>Lepomis</v>
      </c>
      <c r="F6924" t="str">
        <f>_xlfn.XLOOKUP(A6924,'[1]Tissue Data'!$A:$A,'[1]Tissue Data'!$I:$I)</f>
        <v>gibbosus</v>
      </c>
      <c r="G6924" t="str">
        <f>_xlfn.XLOOKUP(A6924,'[1]Tissue Data'!$A:$A,'[1]Tissue Data'!J:J)</f>
        <v>M</v>
      </c>
      <c r="H6924" t="str">
        <f>_xlfn.XLOOKUP(A6924,'[1]Tissue Data'!$A:$A,'[1]Tissue Data'!K:K)</f>
        <v>Liver</v>
      </c>
      <c r="I6924">
        <f>_xlfn.XLOOKUP(A6924,'[1]Tissue Data'!$A:$A,'[1]Tissue Data'!L:L)</f>
        <v>12.5</v>
      </c>
      <c r="J6924">
        <f>_xlfn.XLOOKUP(A6924,'[1]Tissue Data'!$A:$A,'[1]Tissue Data'!M:M)</f>
        <v>55</v>
      </c>
      <c r="K6924" t="s">
        <v>34</v>
      </c>
      <c r="L6924" t="str">
        <f>_xlfn.XLOOKUP(K6924,[2]analyte_order!$B:$B,[2]analyte_order!$C:$C)</f>
        <v>646-83-3</v>
      </c>
      <c r="M6924">
        <f>_xlfn.XLOOKUP(L6924,[2]analyte_order!$C:$C,[2]analyte_order!$E:$E)</f>
        <v>55</v>
      </c>
      <c r="N6924">
        <v>6.4000000000000001E-2</v>
      </c>
    </row>
    <row r="6925" spans="1:14">
      <c r="A6925" t="s">
        <v>299</v>
      </c>
      <c r="B6925" t="str">
        <f>_xlfn.XLOOKUP(A6925,'[1]Tissue Data'!$A:$A,'[1]Tissue Data'!$C:$C)</f>
        <v>Down</v>
      </c>
      <c r="C6925" s="2">
        <f>_xlfn.XLOOKUP(A6925,'[1]Tissue Data'!$A:$A,'[1]Tissue Data'!$D:$D)</f>
        <v>44393</v>
      </c>
      <c r="D6925" s="2" t="str">
        <f>_xlfn.XLOOKUP(A6925,'[1]Tissue Data'!$A:$A,'[1]Tissue Data'!$F:$F)</f>
        <v>Pumpkinseed</v>
      </c>
      <c r="E6925" t="str">
        <f>_xlfn.XLOOKUP(A6925,'[1]Tissue Data'!$A:$A,'[1]Tissue Data'!$H:$H)</f>
        <v>Lepomis</v>
      </c>
      <c r="F6925" t="str">
        <f>_xlfn.XLOOKUP(A6925,'[1]Tissue Data'!$A:$A,'[1]Tissue Data'!$I:$I)</f>
        <v>gibbosus</v>
      </c>
      <c r="G6925" t="str">
        <f>_xlfn.XLOOKUP(A6925,'[1]Tissue Data'!$A:$A,'[1]Tissue Data'!J:J)</f>
        <v>M</v>
      </c>
      <c r="H6925" t="str">
        <f>_xlfn.XLOOKUP(A6925,'[1]Tissue Data'!$A:$A,'[1]Tissue Data'!K:K)</f>
        <v>Liver</v>
      </c>
      <c r="I6925">
        <f>_xlfn.XLOOKUP(A6925,'[1]Tissue Data'!$A:$A,'[1]Tissue Data'!L:L)</f>
        <v>12.5</v>
      </c>
      <c r="J6925">
        <f>_xlfn.XLOOKUP(A6925,'[1]Tissue Data'!$A:$A,'[1]Tissue Data'!M:M)</f>
        <v>55</v>
      </c>
      <c r="K6925" t="s">
        <v>35</v>
      </c>
      <c r="L6925" t="str">
        <f>_xlfn.XLOOKUP(K6925,[2]analyte_order!$B:$B,[2]analyte_order!$C:$C)</f>
        <v>30334-69-1</v>
      </c>
      <c r="M6925">
        <f>_xlfn.XLOOKUP(L6925,[2]analyte_order!$C:$C,[2]analyte_order!$E:$E)</f>
        <v>51</v>
      </c>
      <c r="N6925">
        <v>741</v>
      </c>
    </row>
    <row r="6926" spans="1:14">
      <c r="A6926" t="s">
        <v>299</v>
      </c>
      <c r="B6926" t="str">
        <f>_xlfn.XLOOKUP(A6926,'[1]Tissue Data'!$A:$A,'[1]Tissue Data'!$C:$C)</f>
        <v>Down</v>
      </c>
      <c r="C6926" s="2">
        <f>_xlfn.XLOOKUP(A6926,'[1]Tissue Data'!$A:$A,'[1]Tissue Data'!$D:$D)</f>
        <v>44393</v>
      </c>
      <c r="D6926" s="2" t="str">
        <f>_xlfn.XLOOKUP(A6926,'[1]Tissue Data'!$A:$A,'[1]Tissue Data'!$F:$F)</f>
        <v>Pumpkinseed</v>
      </c>
      <c r="E6926" t="str">
        <f>_xlfn.XLOOKUP(A6926,'[1]Tissue Data'!$A:$A,'[1]Tissue Data'!$H:$H)</f>
        <v>Lepomis</v>
      </c>
      <c r="F6926" t="str">
        <f>_xlfn.XLOOKUP(A6926,'[1]Tissue Data'!$A:$A,'[1]Tissue Data'!$I:$I)</f>
        <v>gibbosus</v>
      </c>
      <c r="G6926" t="str">
        <f>_xlfn.XLOOKUP(A6926,'[1]Tissue Data'!$A:$A,'[1]Tissue Data'!J:J)</f>
        <v>M</v>
      </c>
      <c r="H6926" t="str">
        <f>_xlfn.XLOOKUP(A6926,'[1]Tissue Data'!$A:$A,'[1]Tissue Data'!K:K)</f>
        <v>Liver</v>
      </c>
      <c r="I6926">
        <f>_xlfn.XLOOKUP(A6926,'[1]Tissue Data'!$A:$A,'[1]Tissue Data'!L:L)</f>
        <v>12.5</v>
      </c>
      <c r="J6926">
        <f>_xlfn.XLOOKUP(A6926,'[1]Tissue Data'!$A:$A,'[1]Tissue Data'!M:M)</f>
        <v>55</v>
      </c>
      <c r="K6926" t="s">
        <v>36</v>
      </c>
      <c r="L6926" t="str">
        <f>_xlfn.XLOOKUP(K6926,[2]analyte_order!$B:$B,[2]analyte_order!$C:$C)</f>
        <v>41997-13-1</v>
      </c>
      <c r="M6926">
        <f>_xlfn.XLOOKUP(L6926,[2]analyte_order!$C:$C,[2]analyte_order!$E:$E)</f>
        <v>52</v>
      </c>
      <c r="N6926">
        <v>75.8</v>
      </c>
    </row>
    <row r="6927" spans="1:14">
      <c r="A6927" t="s">
        <v>299</v>
      </c>
      <c r="B6927" t="str">
        <f>_xlfn.XLOOKUP(A6927,'[1]Tissue Data'!$A:$A,'[1]Tissue Data'!$C:$C)</f>
        <v>Down</v>
      </c>
      <c r="C6927" s="2">
        <f>_xlfn.XLOOKUP(A6927,'[1]Tissue Data'!$A:$A,'[1]Tissue Data'!$D:$D)</f>
        <v>44393</v>
      </c>
      <c r="D6927" s="2" t="str">
        <f>_xlfn.XLOOKUP(A6927,'[1]Tissue Data'!$A:$A,'[1]Tissue Data'!$F:$F)</f>
        <v>Pumpkinseed</v>
      </c>
      <c r="E6927" t="str">
        <f>_xlfn.XLOOKUP(A6927,'[1]Tissue Data'!$A:$A,'[1]Tissue Data'!$H:$H)</f>
        <v>Lepomis</v>
      </c>
      <c r="F6927" t="str">
        <f>_xlfn.XLOOKUP(A6927,'[1]Tissue Data'!$A:$A,'[1]Tissue Data'!$I:$I)</f>
        <v>gibbosus</v>
      </c>
      <c r="G6927" t="str">
        <f>_xlfn.XLOOKUP(A6927,'[1]Tissue Data'!$A:$A,'[1]Tissue Data'!J:J)</f>
        <v>M</v>
      </c>
      <c r="H6927" t="str">
        <f>_xlfn.XLOOKUP(A6927,'[1]Tissue Data'!$A:$A,'[1]Tissue Data'!K:K)</f>
        <v>Liver</v>
      </c>
      <c r="I6927">
        <f>_xlfn.XLOOKUP(A6927,'[1]Tissue Data'!$A:$A,'[1]Tissue Data'!L:L)</f>
        <v>12.5</v>
      </c>
      <c r="J6927">
        <f>_xlfn.XLOOKUP(A6927,'[1]Tissue Data'!$A:$A,'[1]Tissue Data'!M:M)</f>
        <v>55</v>
      </c>
      <c r="K6927" t="s">
        <v>37</v>
      </c>
      <c r="L6927" t="str">
        <f>_xlfn.XLOOKUP(K6927,[2]analyte_order!$B:$B,[2]analyte_order!$C:$C)</f>
        <v>754-91-6</v>
      </c>
      <c r="M6927">
        <f>_xlfn.XLOOKUP(L6927,[2]analyte_order!$C:$C,[2]analyte_order!$E:$E)</f>
        <v>28</v>
      </c>
      <c r="N6927">
        <v>68.900000000000006</v>
      </c>
    </row>
    <row r="6928" spans="1:14">
      <c r="A6928" t="s">
        <v>299</v>
      </c>
      <c r="B6928" t="str">
        <f>_xlfn.XLOOKUP(A6928,'[1]Tissue Data'!$A:$A,'[1]Tissue Data'!$C:$C)</f>
        <v>Down</v>
      </c>
      <c r="C6928" s="2">
        <f>_xlfn.XLOOKUP(A6928,'[1]Tissue Data'!$A:$A,'[1]Tissue Data'!$D:$D)</f>
        <v>44393</v>
      </c>
      <c r="D6928" s="2" t="str">
        <f>_xlfn.XLOOKUP(A6928,'[1]Tissue Data'!$A:$A,'[1]Tissue Data'!$F:$F)</f>
        <v>Pumpkinseed</v>
      </c>
      <c r="E6928" t="str">
        <f>_xlfn.XLOOKUP(A6928,'[1]Tissue Data'!$A:$A,'[1]Tissue Data'!$H:$H)</f>
        <v>Lepomis</v>
      </c>
      <c r="F6928" t="str">
        <f>_xlfn.XLOOKUP(A6928,'[1]Tissue Data'!$A:$A,'[1]Tissue Data'!$I:$I)</f>
        <v>gibbosus</v>
      </c>
      <c r="G6928" t="str">
        <f>_xlfn.XLOOKUP(A6928,'[1]Tissue Data'!$A:$A,'[1]Tissue Data'!J:J)</f>
        <v>M</v>
      </c>
      <c r="H6928" t="str">
        <f>_xlfn.XLOOKUP(A6928,'[1]Tissue Data'!$A:$A,'[1]Tissue Data'!K:K)</f>
        <v>Liver</v>
      </c>
      <c r="I6928">
        <f>_xlfn.XLOOKUP(A6928,'[1]Tissue Data'!$A:$A,'[1]Tissue Data'!L:L)</f>
        <v>12.5</v>
      </c>
      <c r="J6928">
        <f>_xlfn.XLOOKUP(A6928,'[1]Tissue Data'!$A:$A,'[1]Tissue Data'!M:M)</f>
        <v>55</v>
      </c>
      <c r="K6928" t="s">
        <v>38</v>
      </c>
      <c r="L6928" t="str">
        <f>_xlfn.XLOOKUP(K6928,[2]analyte_order!$B:$B,[2]analyte_order!$C:$C)</f>
        <v>31506-32-8</v>
      </c>
      <c r="M6928">
        <f>_xlfn.XLOOKUP(L6928,[2]analyte_order!$C:$C,[2]analyte_order!$E:$E)</f>
        <v>30</v>
      </c>
      <c r="N6928">
        <v>0.1235</v>
      </c>
    </row>
    <row r="6929" spans="1:14">
      <c r="A6929" t="s">
        <v>299</v>
      </c>
      <c r="B6929" t="str">
        <f>_xlfn.XLOOKUP(A6929,'[1]Tissue Data'!$A:$A,'[1]Tissue Data'!$C:$C)</f>
        <v>Down</v>
      </c>
      <c r="C6929" s="2">
        <f>_xlfn.XLOOKUP(A6929,'[1]Tissue Data'!$A:$A,'[1]Tissue Data'!$D:$D)</f>
        <v>44393</v>
      </c>
      <c r="D6929" s="2" t="str">
        <f>_xlfn.XLOOKUP(A6929,'[1]Tissue Data'!$A:$A,'[1]Tissue Data'!$F:$F)</f>
        <v>Pumpkinseed</v>
      </c>
      <c r="E6929" t="str">
        <f>_xlfn.XLOOKUP(A6929,'[1]Tissue Data'!$A:$A,'[1]Tissue Data'!$H:$H)</f>
        <v>Lepomis</v>
      </c>
      <c r="F6929" t="str">
        <f>_xlfn.XLOOKUP(A6929,'[1]Tissue Data'!$A:$A,'[1]Tissue Data'!$I:$I)</f>
        <v>gibbosus</v>
      </c>
      <c r="G6929" t="str">
        <f>_xlfn.XLOOKUP(A6929,'[1]Tissue Data'!$A:$A,'[1]Tissue Data'!J:J)</f>
        <v>M</v>
      </c>
      <c r="H6929" t="str">
        <f>_xlfn.XLOOKUP(A6929,'[1]Tissue Data'!$A:$A,'[1]Tissue Data'!K:K)</f>
        <v>Liver</v>
      </c>
      <c r="I6929">
        <f>_xlfn.XLOOKUP(A6929,'[1]Tissue Data'!$A:$A,'[1]Tissue Data'!L:L)</f>
        <v>12.5</v>
      </c>
      <c r="J6929">
        <f>_xlfn.XLOOKUP(A6929,'[1]Tissue Data'!$A:$A,'[1]Tissue Data'!M:M)</f>
        <v>55</v>
      </c>
      <c r="K6929" t="s">
        <v>39</v>
      </c>
      <c r="L6929" t="str">
        <f>_xlfn.XLOOKUP(K6929,[2]analyte_order!$B:$B,[2]analyte_order!$C:$C)</f>
        <v>4151-50-2</v>
      </c>
      <c r="M6929">
        <f>_xlfn.XLOOKUP(L6929,[2]analyte_order!$C:$C,[2]analyte_order!$E:$E)</f>
        <v>31</v>
      </c>
      <c r="N6929">
        <v>0.32100000000000001</v>
      </c>
    </row>
    <row r="6930" spans="1:14">
      <c r="A6930" t="s">
        <v>299</v>
      </c>
      <c r="B6930" t="str">
        <f>_xlfn.XLOOKUP(A6930,'[1]Tissue Data'!$A:$A,'[1]Tissue Data'!$C:$C)</f>
        <v>Down</v>
      </c>
      <c r="C6930" s="2">
        <f>_xlfn.XLOOKUP(A6930,'[1]Tissue Data'!$A:$A,'[1]Tissue Data'!$D:$D)</f>
        <v>44393</v>
      </c>
      <c r="D6930" s="2" t="str">
        <f>_xlfn.XLOOKUP(A6930,'[1]Tissue Data'!$A:$A,'[1]Tissue Data'!$F:$F)</f>
        <v>Pumpkinseed</v>
      </c>
      <c r="E6930" t="str">
        <f>_xlfn.XLOOKUP(A6930,'[1]Tissue Data'!$A:$A,'[1]Tissue Data'!$H:$H)</f>
        <v>Lepomis</v>
      </c>
      <c r="F6930" t="str">
        <f>_xlfn.XLOOKUP(A6930,'[1]Tissue Data'!$A:$A,'[1]Tissue Data'!$I:$I)</f>
        <v>gibbosus</v>
      </c>
      <c r="G6930" t="str">
        <f>_xlfn.XLOOKUP(A6930,'[1]Tissue Data'!$A:$A,'[1]Tissue Data'!J:J)</f>
        <v>M</v>
      </c>
      <c r="H6930" t="str">
        <f>_xlfn.XLOOKUP(A6930,'[1]Tissue Data'!$A:$A,'[1]Tissue Data'!K:K)</f>
        <v>Liver</v>
      </c>
      <c r="I6930">
        <f>_xlfn.XLOOKUP(A6930,'[1]Tissue Data'!$A:$A,'[1]Tissue Data'!L:L)</f>
        <v>12.5</v>
      </c>
      <c r="J6930">
        <f>_xlfn.XLOOKUP(A6930,'[1]Tissue Data'!$A:$A,'[1]Tissue Data'!M:M)</f>
        <v>55</v>
      </c>
      <c r="K6930" t="s">
        <v>40</v>
      </c>
      <c r="L6930" t="str">
        <f>_xlfn.XLOOKUP(K6930,[2]analyte_order!$B:$B,[2]analyte_order!$C:$C)</f>
        <v>2806-24-8</v>
      </c>
      <c r="M6930">
        <f>_xlfn.XLOOKUP(L6930,[2]analyte_order!$C:$C,[2]analyte_order!$E:$E)</f>
        <v>29</v>
      </c>
      <c r="N6930">
        <v>0.32100000000000001</v>
      </c>
    </row>
    <row r="6931" spans="1:14">
      <c r="A6931" t="s">
        <v>299</v>
      </c>
      <c r="B6931" t="str">
        <f>_xlfn.XLOOKUP(A6931,'[1]Tissue Data'!$A:$A,'[1]Tissue Data'!$C:$C)</f>
        <v>Down</v>
      </c>
      <c r="C6931" s="2">
        <f>_xlfn.XLOOKUP(A6931,'[1]Tissue Data'!$A:$A,'[1]Tissue Data'!$D:$D)</f>
        <v>44393</v>
      </c>
      <c r="D6931" s="2" t="str">
        <f>_xlfn.XLOOKUP(A6931,'[1]Tissue Data'!$A:$A,'[1]Tissue Data'!$F:$F)</f>
        <v>Pumpkinseed</v>
      </c>
      <c r="E6931" t="str">
        <f>_xlfn.XLOOKUP(A6931,'[1]Tissue Data'!$A:$A,'[1]Tissue Data'!$H:$H)</f>
        <v>Lepomis</v>
      </c>
      <c r="F6931" t="str">
        <f>_xlfn.XLOOKUP(A6931,'[1]Tissue Data'!$A:$A,'[1]Tissue Data'!$I:$I)</f>
        <v>gibbosus</v>
      </c>
      <c r="G6931" t="str">
        <f>_xlfn.XLOOKUP(A6931,'[1]Tissue Data'!$A:$A,'[1]Tissue Data'!J:J)</f>
        <v>M</v>
      </c>
      <c r="H6931" t="str">
        <f>_xlfn.XLOOKUP(A6931,'[1]Tissue Data'!$A:$A,'[1]Tissue Data'!K:K)</f>
        <v>Liver</v>
      </c>
      <c r="I6931">
        <f>_xlfn.XLOOKUP(A6931,'[1]Tissue Data'!$A:$A,'[1]Tissue Data'!L:L)</f>
        <v>12.5</v>
      </c>
      <c r="J6931">
        <f>_xlfn.XLOOKUP(A6931,'[1]Tissue Data'!$A:$A,'[1]Tissue Data'!M:M)</f>
        <v>55</v>
      </c>
      <c r="K6931" t="s">
        <v>41</v>
      </c>
      <c r="L6931" t="str">
        <f>_xlfn.XLOOKUP(K6931,[2]analyte_order!$B:$B,[2]analyte_order!$C:$C)</f>
        <v>2355-31-9</v>
      </c>
      <c r="M6931">
        <f>_xlfn.XLOOKUP(L6931,[2]analyte_order!$C:$C,[2]analyte_order!$E:$E)</f>
        <v>26</v>
      </c>
      <c r="N6931">
        <v>0.1615</v>
      </c>
    </row>
    <row r="6932" spans="1:14">
      <c r="A6932" t="s">
        <v>299</v>
      </c>
      <c r="B6932" t="str">
        <f>_xlfn.XLOOKUP(A6932,'[1]Tissue Data'!$A:$A,'[1]Tissue Data'!$C:$C)</f>
        <v>Down</v>
      </c>
      <c r="C6932" s="2">
        <f>_xlfn.XLOOKUP(A6932,'[1]Tissue Data'!$A:$A,'[1]Tissue Data'!$D:$D)</f>
        <v>44393</v>
      </c>
      <c r="D6932" s="2" t="str">
        <f>_xlfn.XLOOKUP(A6932,'[1]Tissue Data'!$A:$A,'[1]Tissue Data'!$F:$F)</f>
        <v>Pumpkinseed</v>
      </c>
      <c r="E6932" t="str">
        <f>_xlfn.XLOOKUP(A6932,'[1]Tissue Data'!$A:$A,'[1]Tissue Data'!$H:$H)</f>
        <v>Lepomis</v>
      </c>
      <c r="F6932" t="str">
        <f>_xlfn.XLOOKUP(A6932,'[1]Tissue Data'!$A:$A,'[1]Tissue Data'!$I:$I)</f>
        <v>gibbosus</v>
      </c>
      <c r="G6932" t="str">
        <f>_xlfn.XLOOKUP(A6932,'[1]Tissue Data'!$A:$A,'[1]Tissue Data'!J:J)</f>
        <v>M</v>
      </c>
      <c r="H6932" t="str">
        <f>_xlfn.XLOOKUP(A6932,'[1]Tissue Data'!$A:$A,'[1]Tissue Data'!K:K)</f>
        <v>Liver</v>
      </c>
      <c r="I6932">
        <f>_xlfn.XLOOKUP(A6932,'[1]Tissue Data'!$A:$A,'[1]Tissue Data'!L:L)</f>
        <v>12.5</v>
      </c>
      <c r="J6932">
        <f>_xlfn.XLOOKUP(A6932,'[1]Tissue Data'!$A:$A,'[1]Tissue Data'!M:M)</f>
        <v>55</v>
      </c>
      <c r="K6932" t="s">
        <v>42</v>
      </c>
      <c r="L6932" t="str">
        <f>_xlfn.XLOOKUP(K6932,[2]analyte_order!$B:$B,[2]analyte_order!$C:$C)</f>
        <v>2991-50-6</v>
      </c>
      <c r="M6932">
        <f>_xlfn.XLOOKUP(L6932,[2]analyte_order!$C:$C,[2]analyte_order!$E:$E)</f>
        <v>27</v>
      </c>
      <c r="N6932">
        <v>0.1605</v>
      </c>
    </row>
    <row r="6933" spans="1:14">
      <c r="A6933" t="s">
        <v>299</v>
      </c>
      <c r="B6933" t="str">
        <f>_xlfn.XLOOKUP(A6933,'[1]Tissue Data'!$A:$A,'[1]Tissue Data'!$C:$C)</f>
        <v>Down</v>
      </c>
      <c r="C6933" s="2">
        <f>_xlfn.XLOOKUP(A6933,'[1]Tissue Data'!$A:$A,'[1]Tissue Data'!$D:$D)</f>
        <v>44393</v>
      </c>
      <c r="D6933" s="2" t="str">
        <f>_xlfn.XLOOKUP(A6933,'[1]Tissue Data'!$A:$A,'[1]Tissue Data'!$F:$F)</f>
        <v>Pumpkinseed</v>
      </c>
      <c r="E6933" t="str">
        <f>_xlfn.XLOOKUP(A6933,'[1]Tissue Data'!$A:$A,'[1]Tissue Data'!$H:$H)</f>
        <v>Lepomis</v>
      </c>
      <c r="F6933" t="str">
        <f>_xlfn.XLOOKUP(A6933,'[1]Tissue Data'!$A:$A,'[1]Tissue Data'!$I:$I)</f>
        <v>gibbosus</v>
      </c>
      <c r="G6933" t="str">
        <f>_xlfn.XLOOKUP(A6933,'[1]Tissue Data'!$A:$A,'[1]Tissue Data'!J:J)</f>
        <v>M</v>
      </c>
      <c r="H6933" t="str">
        <f>_xlfn.XLOOKUP(A6933,'[1]Tissue Data'!$A:$A,'[1]Tissue Data'!K:K)</f>
        <v>Liver</v>
      </c>
      <c r="I6933">
        <f>_xlfn.XLOOKUP(A6933,'[1]Tissue Data'!$A:$A,'[1]Tissue Data'!L:L)</f>
        <v>12.5</v>
      </c>
      <c r="J6933">
        <f>_xlfn.XLOOKUP(A6933,'[1]Tissue Data'!$A:$A,'[1]Tissue Data'!M:M)</f>
        <v>55</v>
      </c>
      <c r="K6933" t="s">
        <v>43</v>
      </c>
      <c r="L6933" t="str">
        <f>_xlfn.XLOOKUP(K6933,[2]analyte_order!$B:$B,[2]analyte_order!$C:$C)</f>
        <v>757124-72-4</v>
      </c>
      <c r="M6933">
        <f>_xlfn.XLOOKUP(L6933,[2]analyte_order!$C:$C,[2]analyte_order!$E:$E)</f>
        <v>22</v>
      </c>
      <c r="N6933">
        <v>0.1605</v>
      </c>
    </row>
    <row r="6934" spans="1:14">
      <c r="A6934" t="s">
        <v>299</v>
      </c>
      <c r="B6934" t="str">
        <f>_xlfn.XLOOKUP(A6934,'[1]Tissue Data'!$A:$A,'[1]Tissue Data'!$C:$C)</f>
        <v>Down</v>
      </c>
      <c r="C6934" s="2">
        <f>_xlfn.XLOOKUP(A6934,'[1]Tissue Data'!$A:$A,'[1]Tissue Data'!$D:$D)</f>
        <v>44393</v>
      </c>
      <c r="D6934" s="2" t="str">
        <f>_xlfn.XLOOKUP(A6934,'[1]Tissue Data'!$A:$A,'[1]Tissue Data'!$F:$F)</f>
        <v>Pumpkinseed</v>
      </c>
      <c r="E6934" t="str">
        <f>_xlfn.XLOOKUP(A6934,'[1]Tissue Data'!$A:$A,'[1]Tissue Data'!$H:$H)</f>
        <v>Lepomis</v>
      </c>
      <c r="F6934" t="str">
        <f>_xlfn.XLOOKUP(A6934,'[1]Tissue Data'!$A:$A,'[1]Tissue Data'!$I:$I)</f>
        <v>gibbosus</v>
      </c>
      <c r="G6934" t="str">
        <f>_xlfn.XLOOKUP(A6934,'[1]Tissue Data'!$A:$A,'[1]Tissue Data'!J:J)</f>
        <v>M</v>
      </c>
      <c r="H6934" t="str">
        <f>_xlfn.XLOOKUP(A6934,'[1]Tissue Data'!$A:$A,'[1]Tissue Data'!K:K)</f>
        <v>Liver</v>
      </c>
      <c r="I6934">
        <f>_xlfn.XLOOKUP(A6934,'[1]Tissue Data'!$A:$A,'[1]Tissue Data'!L:L)</f>
        <v>12.5</v>
      </c>
      <c r="J6934">
        <f>_xlfn.XLOOKUP(A6934,'[1]Tissue Data'!$A:$A,'[1]Tissue Data'!M:M)</f>
        <v>55</v>
      </c>
      <c r="K6934" t="s">
        <v>44</v>
      </c>
      <c r="L6934" t="str">
        <f>_xlfn.XLOOKUP(K6934,[2]analyte_order!$B:$B,[2]analyte_order!$C:$C)</f>
        <v>27619-97-2</v>
      </c>
      <c r="M6934">
        <f>_xlfn.XLOOKUP(L6934,[2]analyte_order!$C:$C,[2]analyte_order!$E:$E)</f>
        <v>23</v>
      </c>
      <c r="N6934">
        <v>0.1605</v>
      </c>
    </row>
    <row r="6935" spans="1:14">
      <c r="A6935" t="s">
        <v>299</v>
      </c>
      <c r="B6935" t="str">
        <f>_xlfn.XLOOKUP(A6935,'[1]Tissue Data'!$A:$A,'[1]Tissue Data'!$C:$C)</f>
        <v>Down</v>
      </c>
      <c r="C6935" s="2">
        <f>_xlfn.XLOOKUP(A6935,'[1]Tissue Data'!$A:$A,'[1]Tissue Data'!$D:$D)</f>
        <v>44393</v>
      </c>
      <c r="D6935" s="2" t="str">
        <f>_xlfn.XLOOKUP(A6935,'[1]Tissue Data'!$A:$A,'[1]Tissue Data'!$F:$F)</f>
        <v>Pumpkinseed</v>
      </c>
      <c r="E6935" t="str">
        <f>_xlfn.XLOOKUP(A6935,'[1]Tissue Data'!$A:$A,'[1]Tissue Data'!$H:$H)</f>
        <v>Lepomis</v>
      </c>
      <c r="F6935" t="str">
        <f>_xlfn.XLOOKUP(A6935,'[1]Tissue Data'!$A:$A,'[1]Tissue Data'!$I:$I)</f>
        <v>gibbosus</v>
      </c>
      <c r="G6935" t="str">
        <f>_xlfn.XLOOKUP(A6935,'[1]Tissue Data'!$A:$A,'[1]Tissue Data'!J:J)</f>
        <v>M</v>
      </c>
      <c r="H6935" t="str">
        <f>_xlfn.XLOOKUP(A6935,'[1]Tissue Data'!$A:$A,'[1]Tissue Data'!K:K)</f>
        <v>Liver</v>
      </c>
      <c r="I6935">
        <f>_xlfn.XLOOKUP(A6935,'[1]Tissue Data'!$A:$A,'[1]Tissue Data'!L:L)</f>
        <v>12.5</v>
      </c>
      <c r="J6935">
        <f>_xlfn.XLOOKUP(A6935,'[1]Tissue Data'!$A:$A,'[1]Tissue Data'!M:M)</f>
        <v>55</v>
      </c>
      <c r="K6935" t="s">
        <v>45</v>
      </c>
      <c r="L6935" t="str">
        <f>_xlfn.XLOOKUP(K6935,[2]analyte_order!$B:$B,[2]analyte_order!$C:$C)</f>
        <v>39108-34-4</v>
      </c>
      <c r="M6935">
        <f>_xlfn.XLOOKUP(L6935,[2]analyte_order!$C:$C,[2]analyte_order!$E:$E)</f>
        <v>24</v>
      </c>
      <c r="N6935">
        <v>15.6</v>
      </c>
    </row>
    <row r="6936" spans="1:14">
      <c r="A6936" t="s">
        <v>299</v>
      </c>
      <c r="B6936" t="str">
        <f>_xlfn.XLOOKUP(A6936,'[1]Tissue Data'!$A:$A,'[1]Tissue Data'!$C:$C)</f>
        <v>Down</v>
      </c>
      <c r="C6936" s="2">
        <f>_xlfn.XLOOKUP(A6936,'[1]Tissue Data'!$A:$A,'[1]Tissue Data'!$D:$D)</f>
        <v>44393</v>
      </c>
      <c r="D6936" s="2" t="str">
        <f>_xlfn.XLOOKUP(A6936,'[1]Tissue Data'!$A:$A,'[1]Tissue Data'!$F:$F)</f>
        <v>Pumpkinseed</v>
      </c>
      <c r="E6936" t="str">
        <f>_xlfn.XLOOKUP(A6936,'[1]Tissue Data'!$A:$A,'[1]Tissue Data'!$H:$H)</f>
        <v>Lepomis</v>
      </c>
      <c r="F6936" t="str">
        <f>_xlfn.XLOOKUP(A6936,'[1]Tissue Data'!$A:$A,'[1]Tissue Data'!$I:$I)</f>
        <v>gibbosus</v>
      </c>
      <c r="G6936" t="str">
        <f>_xlfn.XLOOKUP(A6936,'[1]Tissue Data'!$A:$A,'[1]Tissue Data'!J:J)</f>
        <v>M</v>
      </c>
      <c r="H6936" t="str">
        <f>_xlfn.XLOOKUP(A6936,'[1]Tissue Data'!$A:$A,'[1]Tissue Data'!K:K)</f>
        <v>Liver</v>
      </c>
      <c r="I6936">
        <f>_xlfn.XLOOKUP(A6936,'[1]Tissue Data'!$A:$A,'[1]Tissue Data'!L:L)</f>
        <v>12.5</v>
      </c>
      <c r="J6936">
        <f>_xlfn.XLOOKUP(A6936,'[1]Tissue Data'!$A:$A,'[1]Tissue Data'!M:M)</f>
        <v>55</v>
      </c>
      <c r="K6936" t="s">
        <v>46</v>
      </c>
      <c r="L6936" t="str">
        <f>_xlfn.XLOOKUP(K6936,[2]analyte_order!$B:$B,[2]analyte_order!$C:$C)</f>
        <v>120226-60-0</v>
      </c>
      <c r="M6936">
        <f>_xlfn.XLOOKUP(L6936,[2]analyte_order!$C:$C,[2]analyte_order!$E:$E)</f>
        <v>25</v>
      </c>
      <c r="N6936">
        <v>1.38</v>
      </c>
    </row>
    <row r="6937" spans="1:14">
      <c r="A6937" t="s">
        <v>299</v>
      </c>
      <c r="B6937" t="str">
        <f>_xlfn.XLOOKUP(A6937,'[1]Tissue Data'!$A:$A,'[1]Tissue Data'!$C:$C)</f>
        <v>Down</v>
      </c>
      <c r="C6937" s="2">
        <f>_xlfn.XLOOKUP(A6937,'[1]Tissue Data'!$A:$A,'[1]Tissue Data'!$D:$D)</f>
        <v>44393</v>
      </c>
      <c r="D6937" s="2" t="str">
        <f>_xlfn.XLOOKUP(A6937,'[1]Tissue Data'!$A:$A,'[1]Tissue Data'!$F:$F)</f>
        <v>Pumpkinseed</v>
      </c>
      <c r="E6937" t="str">
        <f>_xlfn.XLOOKUP(A6937,'[1]Tissue Data'!$A:$A,'[1]Tissue Data'!$H:$H)</f>
        <v>Lepomis</v>
      </c>
      <c r="F6937" t="str">
        <f>_xlfn.XLOOKUP(A6937,'[1]Tissue Data'!$A:$A,'[1]Tissue Data'!$I:$I)</f>
        <v>gibbosus</v>
      </c>
      <c r="G6937" t="str">
        <f>_xlfn.XLOOKUP(A6937,'[1]Tissue Data'!$A:$A,'[1]Tissue Data'!J:J)</f>
        <v>M</v>
      </c>
      <c r="H6937" t="str">
        <f>_xlfn.XLOOKUP(A6937,'[1]Tissue Data'!$A:$A,'[1]Tissue Data'!K:K)</f>
        <v>Liver</v>
      </c>
      <c r="I6937">
        <f>_xlfn.XLOOKUP(A6937,'[1]Tissue Data'!$A:$A,'[1]Tissue Data'!L:L)</f>
        <v>12.5</v>
      </c>
      <c r="J6937">
        <f>_xlfn.XLOOKUP(A6937,'[1]Tissue Data'!$A:$A,'[1]Tissue Data'!M:M)</f>
        <v>55</v>
      </c>
      <c r="K6937" t="s">
        <v>47</v>
      </c>
      <c r="L6937" t="str">
        <f>_xlfn.XLOOKUP(K6937,[2]analyte_order!$B:$B,[2]analyte_order!$C:$C)</f>
        <v>356-02-5</v>
      </c>
      <c r="M6937">
        <f>_xlfn.XLOOKUP(L6937,[2]analyte_order!$C:$C,[2]analyte_order!$E:$E)</f>
        <v>38</v>
      </c>
      <c r="N6937">
        <v>0.32100000000000001</v>
      </c>
    </row>
    <row r="6938" spans="1:14">
      <c r="A6938" t="s">
        <v>299</v>
      </c>
      <c r="B6938" t="str">
        <f>_xlfn.XLOOKUP(A6938,'[1]Tissue Data'!$A:$A,'[1]Tissue Data'!$C:$C)</f>
        <v>Down</v>
      </c>
      <c r="C6938" s="2">
        <f>_xlfn.XLOOKUP(A6938,'[1]Tissue Data'!$A:$A,'[1]Tissue Data'!$D:$D)</f>
        <v>44393</v>
      </c>
      <c r="D6938" s="2" t="str">
        <f>_xlfn.XLOOKUP(A6938,'[1]Tissue Data'!$A:$A,'[1]Tissue Data'!$F:$F)</f>
        <v>Pumpkinseed</v>
      </c>
      <c r="E6938" t="str">
        <f>_xlfn.XLOOKUP(A6938,'[1]Tissue Data'!$A:$A,'[1]Tissue Data'!$H:$H)</f>
        <v>Lepomis</v>
      </c>
      <c r="F6938" t="str">
        <f>_xlfn.XLOOKUP(A6938,'[1]Tissue Data'!$A:$A,'[1]Tissue Data'!$I:$I)</f>
        <v>gibbosus</v>
      </c>
      <c r="G6938" t="str">
        <f>_xlfn.XLOOKUP(A6938,'[1]Tissue Data'!$A:$A,'[1]Tissue Data'!J:J)</f>
        <v>M</v>
      </c>
      <c r="H6938" t="str">
        <f>_xlfn.XLOOKUP(A6938,'[1]Tissue Data'!$A:$A,'[1]Tissue Data'!K:K)</f>
        <v>Liver</v>
      </c>
      <c r="I6938">
        <f>_xlfn.XLOOKUP(A6938,'[1]Tissue Data'!$A:$A,'[1]Tissue Data'!L:L)</f>
        <v>12.5</v>
      </c>
      <c r="J6938">
        <f>_xlfn.XLOOKUP(A6938,'[1]Tissue Data'!$A:$A,'[1]Tissue Data'!M:M)</f>
        <v>55</v>
      </c>
      <c r="K6938" t="s">
        <v>48</v>
      </c>
      <c r="L6938" t="str">
        <f>_xlfn.XLOOKUP(K6938,[2]analyte_order!$B:$B,[2]analyte_order!$C:$C)</f>
        <v>914637-49-3</v>
      </c>
      <c r="M6938">
        <f>_xlfn.XLOOKUP(L6938,[2]analyte_order!$C:$C,[2]analyte_order!$E:$E)</f>
        <v>39</v>
      </c>
      <c r="N6938">
        <v>3.96</v>
      </c>
    </row>
    <row r="6939" spans="1:14">
      <c r="A6939" t="s">
        <v>299</v>
      </c>
      <c r="B6939" t="str">
        <f>_xlfn.XLOOKUP(A6939,'[1]Tissue Data'!$A:$A,'[1]Tissue Data'!$C:$C)</f>
        <v>Down</v>
      </c>
      <c r="C6939" s="2">
        <f>_xlfn.XLOOKUP(A6939,'[1]Tissue Data'!$A:$A,'[1]Tissue Data'!$D:$D)</f>
        <v>44393</v>
      </c>
      <c r="D6939" s="2" t="str">
        <f>_xlfn.XLOOKUP(A6939,'[1]Tissue Data'!$A:$A,'[1]Tissue Data'!$F:$F)</f>
        <v>Pumpkinseed</v>
      </c>
      <c r="E6939" t="str">
        <f>_xlfn.XLOOKUP(A6939,'[1]Tissue Data'!$A:$A,'[1]Tissue Data'!$H:$H)</f>
        <v>Lepomis</v>
      </c>
      <c r="F6939" t="str">
        <f>_xlfn.XLOOKUP(A6939,'[1]Tissue Data'!$A:$A,'[1]Tissue Data'!$I:$I)</f>
        <v>gibbosus</v>
      </c>
      <c r="G6939" t="str">
        <f>_xlfn.XLOOKUP(A6939,'[1]Tissue Data'!$A:$A,'[1]Tissue Data'!J:J)</f>
        <v>M</v>
      </c>
      <c r="H6939" t="str">
        <f>_xlfn.XLOOKUP(A6939,'[1]Tissue Data'!$A:$A,'[1]Tissue Data'!K:K)</f>
        <v>Liver</v>
      </c>
      <c r="I6939">
        <f>_xlfn.XLOOKUP(A6939,'[1]Tissue Data'!$A:$A,'[1]Tissue Data'!L:L)</f>
        <v>12.5</v>
      </c>
      <c r="J6939">
        <f>_xlfn.XLOOKUP(A6939,'[1]Tissue Data'!$A:$A,'[1]Tissue Data'!M:M)</f>
        <v>55</v>
      </c>
      <c r="K6939" t="s">
        <v>49</v>
      </c>
      <c r="L6939" t="str">
        <f>_xlfn.XLOOKUP(K6939,[2]analyte_order!$B:$B,[2]analyte_order!$C:$C)</f>
        <v>812-70-4</v>
      </c>
      <c r="M6939">
        <f>_xlfn.XLOOKUP(L6939,[2]analyte_order!$C:$C,[2]analyte_order!$E:$E)</f>
        <v>40</v>
      </c>
      <c r="N6939">
        <v>0.32100000000000001</v>
      </c>
    </row>
    <row r="6940" spans="1:14">
      <c r="A6940" t="s">
        <v>299</v>
      </c>
      <c r="B6940" t="str">
        <f>_xlfn.XLOOKUP(A6940,'[1]Tissue Data'!$A:$A,'[1]Tissue Data'!$C:$C)</f>
        <v>Down</v>
      </c>
      <c r="C6940" s="2">
        <f>_xlfn.XLOOKUP(A6940,'[1]Tissue Data'!$A:$A,'[1]Tissue Data'!$D:$D)</f>
        <v>44393</v>
      </c>
      <c r="D6940" s="2" t="str">
        <f>_xlfn.XLOOKUP(A6940,'[1]Tissue Data'!$A:$A,'[1]Tissue Data'!$F:$F)</f>
        <v>Pumpkinseed</v>
      </c>
      <c r="E6940" t="str">
        <f>_xlfn.XLOOKUP(A6940,'[1]Tissue Data'!$A:$A,'[1]Tissue Data'!$H:$H)</f>
        <v>Lepomis</v>
      </c>
      <c r="F6940" t="str">
        <f>_xlfn.XLOOKUP(A6940,'[1]Tissue Data'!$A:$A,'[1]Tissue Data'!$I:$I)</f>
        <v>gibbosus</v>
      </c>
      <c r="G6940" t="str">
        <f>_xlfn.XLOOKUP(A6940,'[1]Tissue Data'!$A:$A,'[1]Tissue Data'!J:J)</f>
        <v>M</v>
      </c>
      <c r="H6940" t="str">
        <f>_xlfn.XLOOKUP(A6940,'[1]Tissue Data'!$A:$A,'[1]Tissue Data'!K:K)</f>
        <v>Liver</v>
      </c>
      <c r="I6940">
        <f>_xlfn.XLOOKUP(A6940,'[1]Tissue Data'!$A:$A,'[1]Tissue Data'!L:L)</f>
        <v>12.5</v>
      </c>
      <c r="J6940">
        <f>_xlfn.XLOOKUP(A6940,'[1]Tissue Data'!$A:$A,'[1]Tissue Data'!M:M)</f>
        <v>55</v>
      </c>
      <c r="K6940" t="s">
        <v>50</v>
      </c>
      <c r="L6940" t="str">
        <f>_xlfn.XLOOKUP(K6940,[2]analyte_order!$B:$B,[2]analyte_order!$C:$C)</f>
        <v>53826-12-3</v>
      </c>
      <c r="M6940">
        <f>_xlfn.XLOOKUP(L6940,[2]analyte_order!$C:$C,[2]analyte_order!$E:$E)</f>
        <v>41</v>
      </c>
      <c r="N6940">
        <v>0.32100000000000001</v>
      </c>
    </row>
    <row r="6941" spans="1:14">
      <c r="A6941" t="s">
        <v>299</v>
      </c>
      <c r="B6941" t="str">
        <f>_xlfn.XLOOKUP(A6941,'[1]Tissue Data'!$A:$A,'[1]Tissue Data'!$C:$C)</f>
        <v>Down</v>
      </c>
      <c r="C6941" s="2">
        <f>_xlfn.XLOOKUP(A6941,'[1]Tissue Data'!$A:$A,'[1]Tissue Data'!$D:$D)</f>
        <v>44393</v>
      </c>
      <c r="D6941" s="2" t="str">
        <f>_xlfn.XLOOKUP(A6941,'[1]Tissue Data'!$A:$A,'[1]Tissue Data'!$F:$F)</f>
        <v>Pumpkinseed</v>
      </c>
      <c r="E6941" t="str">
        <f>_xlfn.XLOOKUP(A6941,'[1]Tissue Data'!$A:$A,'[1]Tissue Data'!$H:$H)</f>
        <v>Lepomis</v>
      </c>
      <c r="F6941" t="str">
        <f>_xlfn.XLOOKUP(A6941,'[1]Tissue Data'!$A:$A,'[1]Tissue Data'!$I:$I)</f>
        <v>gibbosus</v>
      </c>
      <c r="G6941" t="str">
        <f>_xlfn.XLOOKUP(A6941,'[1]Tissue Data'!$A:$A,'[1]Tissue Data'!J:J)</f>
        <v>M</v>
      </c>
      <c r="H6941" t="str">
        <f>_xlfn.XLOOKUP(A6941,'[1]Tissue Data'!$A:$A,'[1]Tissue Data'!K:K)</f>
        <v>Liver</v>
      </c>
      <c r="I6941">
        <f>_xlfn.XLOOKUP(A6941,'[1]Tissue Data'!$A:$A,'[1]Tissue Data'!L:L)</f>
        <v>12.5</v>
      </c>
      <c r="J6941">
        <f>_xlfn.XLOOKUP(A6941,'[1]Tissue Data'!$A:$A,'[1]Tissue Data'!M:M)</f>
        <v>55</v>
      </c>
      <c r="K6941" t="s">
        <v>51</v>
      </c>
      <c r="L6941" t="str">
        <f>_xlfn.XLOOKUP(K6941,[2]analyte_order!$B:$B,[2]analyte_order!$C:$C)</f>
        <v>27854-31-5</v>
      </c>
      <c r="M6941">
        <f>_xlfn.XLOOKUP(L6941,[2]analyte_order!$C:$C,[2]analyte_order!$E:$E)</f>
        <v>42</v>
      </c>
      <c r="N6941">
        <v>0.1605</v>
      </c>
    </row>
    <row r="6942" spans="1:14">
      <c r="A6942" t="s">
        <v>299</v>
      </c>
      <c r="B6942" t="str">
        <f>_xlfn.XLOOKUP(A6942,'[1]Tissue Data'!$A:$A,'[1]Tissue Data'!$C:$C)</f>
        <v>Down</v>
      </c>
      <c r="C6942" s="2">
        <f>_xlfn.XLOOKUP(A6942,'[1]Tissue Data'!$A:$A,'[1]Tissue Data'!$D:$D)</f>
        <v>44393</v>
      </c>
      <c r="D6942" s="2" t="str">
        <f>_xlfn.XLOOKUP(A6942,'[1]Tissue Data'!$A:$A,'[1]Tissue Data'!$F:$F)</f>
        <v>Pumpkinseed</v>
      </c>
      <c r="E6942" t="str">
        <f>_xlfn.XLOOKUP(A6942,'[1]Tissue Data'!$A:$A,'[1]Tissue Data'!$H:$H)</f>
        <v>Lepomis</v>
      </c>
      <c r="F6942" t="str">
        <f>_xlfn.XLOOKUP(A6942,'[1]Tissue Data'!$A:$A,'[1]Tissue Data'!$I:$I)</f>
        <v>gibbosus</v>
      </c>
      <c r="G6942" t="str">
        <f>_xlfn.XLOOKUP(A6942,'[1]Tissue Data'!$A:$A,'[1]Tissue Data'!J:J)</f>
        <v>M</v>
      </c>
      <c r="H6942" t="str">
        <f>_xlfn.XLOOKUP(A6942,'[1]Tissue Data'!$A:$A,'[1]Tissue Data'!K:K)</f>
        <v>Liver</v>
      </c>
      <c r="I6942">
        <f>_xlfn.XLOOKUP(A6942,'[1]Tissue Data'!$A:$A,'[1]Tissue Data'!L:L)</f>
        <v>12.5</v>
      </c>
      <c r="J6942">
        <f>_xlfn.XLOOKUP(A6942,'[1]Tissue Data'!$A:$A,'[1]Tissue Data'!M:M)</f>
        <v>55</v>
      </c>
      <c r="K6942" t="s">
        <v>52</v>
      </c>
      <c r="L6942" t="str">
        <f>_xlfn.XLOOKUP(K6942,[2]analyte_order!$B:$B,[2]analyte_order!$C:$C)</f>
        <v>53826-13-4</v>
      </c>
      <c r="M6942">
        <f>_xlfn.XLOOKUP(L6942,[2]analyte_order!$C:$C,[2]analyte_order!$E:$E)</f>
        <v>43</v>
      </c>
      <c r="N6942">
        <v>0.32100000000000001</v>
      </c>
    </row>
    <row r="6943" spans="1:14">
      <c r="A6943" t="s">
        <v>299</v>
      </c>
      <c r="B6943" t="str">
        <f>_xlfn.XLOOKUP(A6943,'[1]Tissue Data'!$A:$A,'[1]Tissue Data'!$C:$C)</f>
        <v>Down</v>
      </c>
      <c r="C6943" s="2">
        <f>_xlfn.XLOOKUP(A6943,'[1]Tissue Data'!$A:$A,'[1]Tissue Data'!$D:$D)</f>
        <v>44393</v>
      </c>
      <c r="D6943" s="2" t="str">
        <f>_xlfn.XLOOKUP(A6943,'[1]Tissue Data'!$A:$A,'[1]Tissue Data'!$F:$F)</f>
        <v>Pumpkinseed</v>
      </c>
      <c r="E6943" t="str">
        <f>_xlfn.XLOOKUP(A6943,'[1]Tissue Data'!$A:$A,'[1]Tissue Data'!$H:$H)</f>
        <v>Lepomis</v>
      </c>
      <c r="F6943" t="str">
        <f>_xlfn.XLOOKUP(A6943,'[1]Tissue Data'!$A:$A,'[1]Tissue Data'!$I:$I)</f>
        <v>gibbosus</v>
      </c>
      <c r="G6943" t="str">
        <f>_xlfn.XLOOKUP(A6943,'[1]Tissue Data'!$A:$A,'[1]Tissue Data'!J:J)</f>
        <v>M</v>
      </c>
      <c r="H6943" t="str">
        <f>_xlfn.XLOOKUP(A6943,'[1]Tissue Data'!$A:$A,'[1]Tissue Data'!K:K)</f>
        <v>Liver</v>
      </c>
      <c r="I6943">
        <f>_xlfn.XLOOKUP(A6943,'[1]Tissue Data'!$A:$A,'[1]Tissue Data'!L:L)</f>
        <v>12.5</v>
      </c>
      <c r="J6943">
        <f>_xlfn.XLOOKUP(A6943,'[1]Tissue Data'!$A:$A,'[1]Tissue Data'!M:M)</f>
        <v>55</v>
      </c>
      <c r="K6943" t="s">
        <v>53</v>
      </c>
      <c r="L6943" t="str">
        <f>_xlfn.XLOOKUP(K6943,[2]analyte_order!$B:$B,[2]analyte_order!$C:$C)</f>
        <v>161094-75-3</v>
      </c>
      <c r="M6943">
        <f>_xlfn.XLOOKUP(L6943,[2]analyte_order!$C:$C,[2]analyte_order!$E:$E)</f>
        <v>44</v>
      </c>
      <c r="N6943">
        <v>0.126</v>
      </c>
    </row>
    <row r="6944" spans="1:14">
      <c r="A6944" t="s">
        <v>299</v>
      </c>
      <c r="B6944" t="str">
        <f>_xlfn.XLOOKUP(A6944,'[1]Tissue Data'!$A:$A,'[1]Tissue Data'!$C:$C)</f>
        <v>Down</v>
      </c>
      <c r="C6944" s="2">
        <f>_xlfn.XLOOKUP(A6944,'[1]Tissue Data'!$A:$A,'[1]Tissue Data'!$D:$D)</f>
        <v>44393</v>
      </c>
      <c r="D6944" s="2" t="str">
        <f>_xlfn.XLOOKUP(A6944,'[1]Tissue Data'!$A:$A,'[1]Tissue Data'!$F:$F)</f>
        <v>Pumpkinseed</v>
      </c>
      <c r="E6944" t="str">
        <f>_xlfn.XLOOKUP(A6944,'[1]Tissue Data'!$A:$A,'[1]Tissue Data'!$H:$H)</f>
        <v>Lepomis</v>
      </c>
      <c r="F6944" t="str">
        <f>_xlfn.XLOOKUP(A6944,'[1]Tissue Data'!$A:$A,'[1]Tissue Data'!$I:$I)</f>
        <v>gibbosus</v>
      </c>
      <c r="G6944" t="str">
        <f>_xlfn.XLOOKUP(A6944,'[1]Tissue Data'!$A:$A,'[1]Tissue Data'!J:J)</f>
        <v>M</v>
      </c>
      <c r="H6944" t="str">
        <f>_xlfn.XLOOKUP(A6944,'[1]Tissue Data'!$A:$A,'[1]Tissue Data'!K:K)</f>
        <v>Liver</v>
      </c>
      <c r="I6944">
        <f>_xlfn.XLOOKUP(A6944,'[1]Tissue Data'!$A:$A,'[1]Tissue Data'!L:L)</f>
        <v>12.5</v>
      </c>
      <c r="J6944">
        <f>_xlfn.XLOOKUP(A6944,'[1]Tissue Data'!$A:$A,'[1]Tissue Data'!M:M)</f>
        <v>55</v>
      </c>
      <c r="K6944" t="s">
        <v>54</v>
      </c>
      <c r="L6944" t="str">
        <f>_xlfn.XLOOKUP(K6944,[2]analyte_order!$B:$B,[2]analyte_order!$C:$C)</f>
        <v>70887-84-2</v>
      </c>
      <c r="M6944">
        <f>_xlfn.XLOOKUP(L6944,[2]analyte_order!$C:$C,[2]analyte_order!$E:$E)</f>
        <v>45</v>
      </c>
      <c r="N6944">
        <v>9.7000000000000003E-2</v>
      </c>
    </row>
    <row r="6945" spans="1:14">
      <c r="A6945" t="s">
        <v>299</v>
      </c>
      <c r="B6945" t="str">
        <f>_xlfn.XLOOKUP(A6945,'[1]Tissue Data'!$A:$A,'[1]Tissue Data'!$C:$C)</f>
        <v>Down</v>
      </c>
      <c r="C6945" s="2">
        <f>_xlfn.XLOOKUP(A6945,'[1]Tissue Data'!$A:$A,'[1]Tissue Data'!$D:$D)</f>
        <v>44393</v>
      </c>
      <c r="D6945" s="2" t="str">
        <f>_xlfn.XLOOKUP(A6945,'[1]Tissue Data'!$A:$A,'[1]Tissue Data'!$F:$F)</f>
        <v>Pumpkinseed</v>
      </c>
      <c r="E6945" t="str">
        <f>_xlfn.XLOOKUP(A6945,'[1]Tissue Data'!$A:$A,'[1]Tissue Data'!$H:$H)</f>
        <v>Lepomis</v>
      </c>
      <c r="F6945" t="str">
        <f>_xlfn.XLOOKUP(A6945,'[1]Tissue Data'!$A:$A,'[1]Tissue Data'!$I:$I)</f>
        <v>gibbosus</v>
      </c>
      <c r="G6945" t="str">
        <f>_xlfn.XLOOKUP(A6945,'[1]Tissue Data'!$A:$A,'[1]Tissue Data'!J:J)</f>
        <v>M</v>
      </c>
      <c r="H6945" t="str">
        <f>_xlfn.XLOOKUP(A6945,'[1]Tissue Data'!$A:$A,'[1]Tissue Data'!K:K)</f>
        <v>Liver</v>
      </c>
      <c r="I6945">
        <f>_xlfn.XLOOKUP(A6945,'[1]Tissue Data'!$A:$A,'[1]Tissue Data'!L:L)</f>
        <v>12.5</v>
      </c>
      <c r="J6945">
        <f>_xlfn.XLOOKUP(A6945,'[1]Tissue Data'!$A:$A,'[1]Tissue Data'!M:M)</f>
        <v>55</v>
      </c>
      <c r="K6945" t="s">
        <v>55</v>
      </c>
      <c r="L6945" t="str">
        <f>_xlfn.XLOOKUP(K6945,[2]analyte_order!$B:$B,[2]analyte_order!$C:$C)</f>
        <v>919005-14-4</v>
      </c>
      <c r="M6945">
        <f>_xlfn.XLOOKUP(L6945,[2]analyte_order!$C:$C,[2]analyte_order!$E:$E)</f>
        <v>35</v>
      </c>
      <c r="N6945">
        <v>0.14149999999999999</v>
      </c>
    </row>
    <row r="6946" spans="1:14">
      <c r="A6946" t="s">
        <v>299</v>
      </c>
      <c r="B6946" t="str">
        <f>_xlfn.XLOOKUP(A6946,'[1]Tissue Data'!$A:$A,'[1]Tissue Data'!$C:$C)</f>
        <v>Down</v>
      </c>
      <c r="C6946" s="2">
        <f>_xlfn.XLOOKUP(A6946,'[1]Tissue Data'!$A:$A,'[1]Tissue Data'!$D:$D)</f>
        <v>44393</v>
      </c>
      <c r="D6946" s="2" t="str">
        <f>_xlfn.XLOOKUP(A6946,'[1]Tissue Data'!$A:$A,'[1]Tissue Data'!$F:$F)</f>
        <v>Pumpkinseed</v>
      </c>
      <c r="E6946" t="str">
        <f>_xlfn.XLOOKUP(A6946,'[1]Tissue Data'!$A:$A,'[1]Tissue Data'!$H:$H)</f>
        <v>Lepomis</v>
      </c>
      <c r="F6946" t="str">
        <f>_xlfn.XLOOKUP(A6946,'[1]Tissue Data'!$A:$A,'[1]Tissue Data'!$I:$I)</f>
        <v>gibbosus</v>
      </c>
      <c r="G6946" t="str">
        <f>_xlfn.XLOOKUP(A6946,'[1]Tissue Data'!$A:$A,'[1]Tissue Data'!J:J)</f>
        <v>M</v>
      </c>
      <c r="H6946" t="str">
        <f>_xlfn.XLOOKUP(A6946,'[1]Tissue Data'!$A:$A,'[1]Tissue Data'!K:K)</f>
        <v>Liver</v>
      </c>
      <c r="I6946">
        <f>_xlfn.XLOOKUP(A6946,'[1]Tissue Data'!$A:$A,'[1]Tissue Data'!L:L)</f>
        <v>12.5</v>
      </c>
      <c r="J6946">
        <f>_xlfn.XLOOKUP(A6946,'[1]Tissue Data'!$A:$A,'[1]Tissue Data'!M:M)</f>
        <v>55</v>
      </c>
      <c r="K6946" t="s">
        <v>56</v>
      </c>
      <c r="L6946" t="str">
        <f>_xlfn.XLOOKUP(K6946,[2]analyte_order!$B:$B,[2]analyte_order!$C:$C)</f>
        <v>756426-58-1</v>
      </c>
      <c r="M6946">
        <f>_xlfn.XLOOKUP(L6946,[2]analyte_order!$C:$C,[2]analyte_order!$E:$E)</f>
        <v>36</v>
      </c>
      <c r="N6946">
        <v>0.32100000000000001</v>
      </c>
    </row>
    <row r="6947" spans="1:14">
      <c r="A6947" t="s">
        <v>299</v>
      </c>
      <c r="B6947" t="str">
        <f>_xlfn.XLOOKUP(A6947,'[1]Tissue Data'!$A:$A,'[1]Tissue Data'!$C:$C)</f>
        <v>Down</v>
      </c>
      <c r="C6947" s="2">
        <f>_xlfn.XLOOKUP(A6947,'[1]Tissue Data'!$A:$A,'[1]Tissue Data'!$D:$D)</f>
        <v>44393</v>
      </c>
      <c r="D6947" s="2" t="str">
        <f>_xlfn.XLOOKUP(A6947,'[1]Tissue Data'!$A:$A,'[1]Tissue Data'!$F:$F)</f>
        <v>Pumpkinseed</v>
      </c>
      <c r="E6947" t="str">
        <f>_xlfn.XLOOKUP(A6947,'[1]Tissue Data'!$A:$A,'[1]Tissue Data'!$H:$H)</f>
        <v>Lepomis</v>
      </c>
      <c r="F6947" t="str">
        <f>_xlfn.XLOOKUP(A6947,'[1]Tissue Data'!$A:$A,'[1]Tissue Data'!$I:$I)</f>
        <v>gibbosus</v>
      </c>
      <c r="G6947" t="str">
        <f>_xlfn.XLOOKUP(A6947,'[1]Tissue Data'!$A:$A,'[1]Tissue Data'!J:J)</f>
        <v>M</v>
      </c>
      <c r="H6947" t="str">
        <f>_xlfn.XLOOKUP(A6947,'[1]Tissue Data'!$A:$A,'[1]Tissue Data'!K:K)</f>
        <v>Liver</v>
      </c>
      <c r="I6947">
        <f>_xlfn.XLOOKUP(A6947,'[1]Tissue Data'!$A:$A,'[1]Tissue Data'!L:L)</f>
        <v>12.5</v>
      </c>
      <c r="J6947">
        <f>_xlfn.XLOOKUP(A6947,'[1]Tissue Data'!$A:$A,'[1]Tissue Data'!M:M)</f>
        <v>55</v>
      </c>
      <c r="K6947" t="s">
        <v>57</v>
      </c>
      <c r="L6947" t="str">
        <f>_xlfn.XLOOKUP(K6947,[2]analyte_order!$B:$B,[2]analyte_order!$C:$C)</f>
        <v>763051-92-9</v>
      </c>
      <c r="M6947">
        <f>_xlfn.XLOOKUP(L6947,[2]analyte_order!$C:$C,[2]analyte_order!$E:$E)</f>
        <v>37</v>
      </c>
      <c r="N6947">
        <v>0.32100000000000001</v>
      </c>
    </row>
    <row r="6948" spans="1:14">
      <c r="A6948" t="s">
        <v>299</v>
      </c>
      <c r="B6948" t="str">
        <f>_xlfn.XLOOKUP(A6948,'[1]Tissue Data'!$A:$A,'[1]Tissue Data'!$C:$C)</f>
        <v>Down</v>
      </c>
      <c r="C6948" s="2">
        <f>_xlfn.XLOOKUP(A6948,'[1]Tissue Data'!$A:$A,'[1]Tissue Data'!$D:$D)</f>
        <v>44393</v>
      </c>
      <c r="D6948" s="2" t="str">
        <f>_xlfn.XLOOKUP(A6948,'[1]Tissue Data'!$A:$A,'[1]Tissue Data'!$F:$F)</f>
        <v>Pumpkinseed</v>
      </c>
      <c r="E6948" t="str">
        <f>_xlfn.XLOOKUP(A6948,'[1]Tissue Data'!$A:$A,'[1]Tissue Data'!$H:$H)</f>
        <v>Lepomis</v>
      </c>
      <c r="F6948" t="str">
        <f>_xlfn.XLOOKUP(A6948,'[1]Tissue Data'!$A:$A,'[1]Tissue Data'!$I:$I)</f>
        <v>gibbosus</v>
      </c>
      <c r="G6948" t="str">
        <f>_xlfn.XLOOKUP(A6948,'[1]Tissue Data'!$A:$A,'[1]Tissue Data'!J:J)</f>
        <v>M</v>
      </c>
      <c r="H6948" t="str">
        <f>_xlfn.XLOOKUP(A6948,'[1]Tissue Data'!$A:$A,'[1]Tissue Data'!K:K)</f>
        <v>Liver</v>
      </c>
      <c r="I6948">
        <f>_xlfn.XLOOKUP(A6948,'[1]Tissue Data'!$A:$A,'[1]Tissue Data'!L:L)</f>
        <v>12.5</v>
      </c>
      <c r="J6948">
        <f>_xlfn.XLOOKUP(A6948,'[1]Tissue Data'!$A:$A,'[1]Tissue Data'!M:M)</f>
        <v>55</v>
      </c>
      <c r="K6948" t="s">
        <v>58</v>
      </c>
      <c r="L6948" t="str">
        <f>_xlfn.XLOOKUP(K6948,[2]analyte_order!$B:$B,[2]analyte_order!$C:$C)</f>
        <v>13252-13-6</v>
      </c>
      <c r="M6948">
        <f>_xlfn.XLOOKUP(L6948,[2]analyte_order!$C:$C,[2]analyte_order!$E:$E)</f>
        <v>34</v>
      </c>
      <c r="N6948">
        <v>0.23050000000000001</v>
      </c>
    </row>
    <row r="6949" spans="1:14">
      <c r="A6949" t="s">
        <v>299</v>
      </c>
      <c r="B6949" t="str">
        <f>_xlfn.XLOOKUP(A6949,'[1]Tissue Data'!$A:$A,'[1]Tissue Data'!$C:$C)</f>
        <v>Down</v>
      </c>
      <c r="C6949" s="2">
        <f>_xlfn.XLOOKUP(A6949,'[1]Tissue Data'!$A:$A,'[1]Tissue Data'!$D:$D)</f>
        <v>44393</v>
      </c>
      <c r="D6949" s="2" t="str">
        <f>_xlfn.XLOOKUP(A6949,'[1]Tissue Data'!$A:$A,'[1]Tissue Data'!$F:$F)</f>
        <v>Pumpkinseed</v>
      </c>
      <c r="E6949" t="str">
        <f>_xlfn.XLOOKUP(A6949,'[1]Tissue Data'!$A:$A,'[1]Tissue Data'!$H:$H)</f>
        <v>Lepomis</v>
      </c>
      <c r="F6949" t="str">
        <f>_xlfn.XLOOKUP(A6949,'[1]Tissue Data'!$A:$A,'[1]Tissue Data'!$I:$I)</f>
        <v>gibbosus</v>
      </c>
      <c r="G6949" t="str">
        <f>_xlfn.XLOOKUP(A6949,'[1]Tissue Data'!$A:$A,'[1]Tissue Data'!J:J)</f>
        <v>M</v>
      </c>
      <c r="H6949" t="str">
        <f>_xlfn.XLOOKUP(A6949,'[1]Tissue Data'!$A:$A,'[1]Tissue Data'!K:K)</f>
        <v>Liver</v>
      </c>
      <c r="I6949">
        <f>_xlfn.XLOOKUP(A6949,'[1]Tissue Data'!$A:$A,'[1]Tissue Data'!L:L)</f>
        <v>12.5</v>
      </c>
      <c r="J6949">
        <f>_xlfn.XLOOKUP(A6949,'[1]Tissue Data'!$A:$A,'[1]Tissue Data'!M:M)</f>
        <v>55</v>
      </c>
      <c r="K6949" t="s">
        <v>59</v>
      </c>
      <c r="L6949" t="str">
        <f>_xlfn.XLOOKUP(K6949,[2]analyte_order!$B:$B,[2]analyte_order!$C:$C)</f>
        <v>57677-95-9</v>
      </c>
      <c r="M6949">
        <f>_xlfn.XLOOKUP(L6949,[2]analyte_order!$C:$C,[2]analyte_order!$E:$E)</f>
        <v>46</v>
      </c>
      <c r="N6949">
        <v>0.32100000000000001</v>
      </c>
    </row>
    <row r="6950" spans="1:14">
      <c r="A6950" t="s">
        <v>299</v>
      </c>
      <c r="B6950" t="str">
        <f>_xlfn.XLOOKUP(A6950,'[1]Tissue Data'!$A:$A,'[1]Tissue Data'!$C:$C)</f>
        <v>Down</v>
      </c>
      <c r="C6950" s="2">
        <f>_xlfn.XLOOKUP(A6950,'[1]Tissue Data'!$A:$A,'[1]Tissue Data'!$D:$D)</f>
        <v>44393</v>
      </c>
      <c r="D6950" s="2" t="str">
        <f>_xlfn.XLOOKUP(A6950,'[1]Tissue Data'!$A:$A,'[1]Tissue Data'!$F:$F)</f>
        <v>Pumpkinseed</v>
      </c>
      <c r="E6950" t="str">
        <f>_xlfn.XLOOKUP(A6950,'[1]Tissue Data'!$A:$A,'[1]Tissue Data'!$H:$H)</f>
        <v>Lepomis</v>
      </c>
      <c r="F6950" t="str">
        <f>_xlfn.XLOOKUP(A6950,'[1]Tissue Data'!$A:$A,'[1]Tissue Data'!$I:$I)</f>
        <v>gibbosus</v>
      </c>
      <c r="G6950" t="str">
        <f>_xlfn.XLOOKUP(A6950,'[1]Tissue Data'!$A:$A,'[1]Tissue Data'!J:J)</f>
        <v>M</v>
      </c>
      <c r="H6950" t="str">
        <f>_xlfn.XLOOKUP(A6950,'[1]Tissue Data'!$A:$A,'[1]Tissue Data'!K:K)</f>
        <v>Liver</v>
      </c>
      <c r="I6950">
        <f>_xlfn.XLOOKUP(A6950,'[1]Tissue Data'!$A:$A,'[1]Tissue Data'!L:L)</f>
        <v>12.5</v>
      </c>
      <c r="J6950">
        <f>_xlfn.XLOOKUP(A6950,'[1]Tissue Data'!$A:$A,'[1]Tissue Data'!M:M)</f>
        <v>55</v>
      </c>
      <c r="K6950" t="s">
        <v>60</v>
      </c>
      <c r="L6950" t="str">
        <f>_xlfn.XLOOKUP(K6950,[2]analyte_order!$B:$B,[2]analyte_order!$C:$C)</f>
        <v>678-41-1</v>
      </c>
      <c r="M6950">
        <f>_xlfn.XLOOKUP(L6950,[2]analyte_order!$C:$C,[2]analyte_order!$E:$E)</f>
        <v>56</v>
      </c>
      <c r="N6950">
        <v>0.32100000000000001</v>
      </c>
    </row>
    <row r="6951" spans="1:14">
      <c r="A6951" t="s">
        <v>299</v>
      </c>
      <c r="B6951" t="str">
        <f>_xlfn.XLOOKUP(A6951,'[1]Tissue Data'!$A:$A,'[1]Tissue Data'!$C:$C)</f>
        <v>Down</v>
      </c>
      <c r="C6951" s="2">
        <f>_xlfn.XLOOKUP(A6951,'[1]Tissue Data'!$A:$A,'[1]Tissue Data'!$D:$D)</f>
        <v>44393</v>
      </c>
      <c r="D6951" s="2" t="str">
        <f>_xlfn.XLOOKUP(A6951,'[1]Tissue Data'!$A:$A,'[1]Tissue Data'!$F:$F)</f>
        <v>Pumpkinseed</v>
      </c>
      <c r="E6951" t="str">
        <f>_xlfn.XLOOKUP(A6951,'[1]Tissue Data'!$A:$A,'[1]Tissue Data'!$H:$H)</f>
        <v>Lepomis</v>
      </c>
      <c r="F6951" t="str">
        <f>_xlfn.XLOOKUP(A6951,'[1]Tissue Data'!$A:$A,'[1]Tissue Data'!$I:$I)</f>
        <v>gibbosus</v>
      </c>
      <c r="G6951" t="str">
        <f>_xlfn.XLOOKUP(A6951,'[1]Tissue Data'!$A:$A,'[1]Tissue Data'!J:J)</f>
        <v>M</v>
      </c>
      <c r="H6951" t="str">
        <f>_xlfn.XLOOKUP(A6951,'[1]Tissue Data'!$A:$A,'[1]Tissue Data'!K:K)</f>
        <v>Liver</v>
      </c>
      <c r="I6951">
        <f>_xlfn.XLOOKUP(A6951,'[1]Tissue Data'!$A:$A,'[1]Tissue Data'!L:L)</f>
        <v>12.5</v>
      </c>
      <c r="J6951">
        <f>_xlfn.XLOOKUP(A6951,'[1]Tissue Data'!$A:$A,'[1]Tissue Data'!M:M)</f>
        <v>55</v>
      </c>
      <c r="K6951" t="s">
        <v>61</v>
      </c>
      <c r="L6951" t="str">
        <f>_xlfn.XLOOKUP(K6951,[2]analyte_order!$B:$B,[2]analyte_order!$C:$C)</f>
        <v>2965-52-8</v>
      </c>
      <c r="M6951">
        <f>_xlfn.XLOOKUP(L6951,[2]analyte_order!$C:$C,[2]analyte_order!$E:$E)</f>
        <v>57</v>
      </c>
      <c r="N6951">
        <v>0.32100000000000001</v>
      </c>
    </row>
    <row r="6952" spans="1:14">
      <c r="A6952" t="s">
        <v>300</v>
      </c>
      <c r="B6952" t="str">
        <f>_xlfn.XLOOKUP(A6952,'[1]Tissue Data'!$A:$A,'[1]Tissue Data'!$C:$C)</f>
        <v>Down</v>
      </c>
      <c r="C6952" s="2">
        <f>_xlfn.XLOOKUP(A6952,'[1]Tissue Data'!$A:$A,'[1]Tissue Data'!$D:$D)</f>
        <v>44393</v>
      </c>
      <c r="D6952" s="2" t="str">
        <f>_xlfn.XLOOKUP(A6952,'[1]Tissue Data'!$A:$A,'[1]Tissue Data'!$F:$F)</f>
        <v>Pumpkinseed</v>
      </c>
      <c r="E6952" t="str">
        <f>_xlfn.XLOOKUP(A6952,'[1]Tissue Data'!$A:$A,'[1]Tissue Data'!$H:$H)</f>
        <v>Lepomis</v>
      </c>
      <c r="F6952" t="str">
        <f>_xlfn.XLOOKUP(A6952,'[1]Tissue Data'!$A:$A,'[1]Tissue Data'!$I:$I)</f>
        <v>gibbosus</v>
      </c>
      <c r="G6952" t="str">
        <f>_xlfn.XLOOKUP(A6952,'[1]Tissue Data'!$A:$A,'[1]Tissue Data'!J:J)</f>
        <v>M</v>
      </c>
      <c r="H6952" t="str">
        <f>_xlfn.XLOOKUP(A6952,'[1]Tissue Data'!$A:$A,'[1]Tissue Data'!K:K)</f>
        <v>Muscle</v>
      </c>
      <c r="I6952">
        <f>_xlfn.XLOOKUP(A6952,'[1]Tissue Data'!$A:$A,'[1]Tissue Data'!L:L)</f>
        <v>12.5</v>
      </c>
      <c r="J6952">
        <f>_xlfn.XLOOKUP(A6952,'[1]Tissue Data'!$A:$A,'[1]Tissue Data'!M:M)</f>
        <v>55</v>
      </c>
      <c r="K6952" t="s">
        <v>12</v>
      </c>
      <c r="L6952" t="str">
        <f>_xlfn.XLOOKUP(K6952,[2]analyte_order!$B:$B,[2]analyte_order!$C:$C)</f>
        <v>375-22-4</v>
      </c>
      <c r="M6952">
        <f>_xlfn.XLOOKUP(L6952,[2]analyte_order!$C:$C,[2]analyte_order!$E:$E)</f>
        <v>1</v>
      </c>
      <c r="N6952">
        <v>0.22</v>
      </c>
    </row>
    <row r="6953" spans="1:14">
      <c r="A6953" t="s">
        <v>300</v>
      </c>
      <c r="B6953" t="str">
        <f>_xlfn.XLOOKUP(A6953,'[1]Tissue Data'!$A:$A,'[1]Tissue Data'!$C:$C)</f>
        <v>Down</v>
      </c>
      <c r="C6953" s="2">
        <f>_xlfn.XLOOKUP(A6953,'[1]Tissue Data'!$A:$A,'[1]Tissue Data'!$D:$D)</f>
        <v>44393</v>
      </c>
      <c r="D6953" s="2" t="str">
        <f>_xlfn.XLOOKUP(A6953,'[1]Tissue Data'!$A:$A,'[1]Tissue Data'!$F:$F)</f>
        <v>Pumpkinseed</v>
      </c>
      <c r="E6953" t="str">
        <f>_xlfn.XLOOKUP(A6953,'[1]Tissue Data'!$A:$A,'[1]Tissue Data'!$H:$H)</f>
        <v>Lepomis</v>
      </c>
      <c r="F6953" t="str">
        <f>_xlfn.XLOOKUP(A6953,'[1]Tissue Data'!$A:$A,'[1]Tissue Data'!$I:$I)</f>
        <v>gibbosus</v>
      </c>
      <c r="G6953" t="str">
        <f>_xlfn.XLOOKUP(A6953,'[1]Tissue Data'!$A:$A,'[1]Tissue Data'!J:J)</f>
        <v>M</v>
      </c>
      <c r="H6953" t="str">
        <f>_xlfn.XLOOKUP(A6953,'[1]Tissue Data'!$A:$A,'[1]Tissue Data'!K:K)</f>
        <v>Muscle</v>
      </c>
      <c r="I6953">
        <f>_xlfn.XLOOKUP(A6953,'[1]Tissue Data'!$A:$A,'[1]Tissue Data'!L:L)</f>
        <v>12.5</v>
      </c>
      <c r="J6953">
        <f>_xlfn.XLOOKUP(A6953,'[1]Tissue Data'!$A:$A,'[1]Tissue Data'!M:M)</f>
        <v>55</v>
      </c>
      <c r="K6953" t="s">
        <v>13</v>
      </c>
      <c r="L6953" t="str">
        <f>_xlfn.XLOOKUP(K6953,[2]analyte_order!$B:$B,[2]analyte_order!$C:$C)</f>
        <v>2706-90-3</v>
      </c>
      <c r="M6953">
        <f>_xlfn.XLOOKUP(L6953,[2]analyte_order!$C:$C,[2]analyte_order!$E:$E)</f>
        <v>2</v>
      </c>
      <c r="N6953">
        <v>7.7499999999999999E-2</v>
      </c>
    </row>
    <row r="6954" spans="1:14">
      <c r="A6954" t="s">
        <v>300</v>
      </c>
      <c r="B6954" t="str">
        <f>_xlfn.XLOOKUP(A6954,'[1]Tissue Data'!$A:$A,'[1]Tissue Data'!$C:$C)</f>
        <v>Down</v>
      </c>
      <c r="C6954" s="2">
        <f>_xlfn.XLOOKUP(A6954,'[1]Tissue Data'!$A:$A,'[1]Tissue Data'!$D:$D)</f>
        <v>44393</v>
      </c>
      <c r="D6954" s="2" t="str">
        <f>_xlfn.XLOOKUP(A6954,'[1]Tissue Data'!$A:$A,'[1]Tissue Data'!$F:$F)</f>
        <v>Pumpkinseed</v>
      </c>
      <c r="E6954" t="str">
        <f>_xlfn.XLOOKUP(A6954,'[1]Tissue Data'!$A:$A,'[1]Tissue Data'!$H:$H)</f>
        <v>Lepomis</v>
      </c>
      <c r="F6954" t="str">
        <f>_xlfn.XLOOKUP(A6954,'[1]Tissue Data'!$A:$A,'[1]Tissue Data'!$I:$I)</f>
        <v>gibbosus</v>
      </c>
      <c r="G6954" t="str">
        <f>_xlfn.XLOOKUP(A6954,'[1]Tissue Data'!$A:$A,'[1]Tissue Data'!J:J)</f>
        <v>M</v>
      </c>
      <c r="H6954" t="str">
        <f>_xlfn.XLOOKUP(A6954,'[1]Tissue Data'!$A:$A,'[1]Tissue Data'!K:K)</f>
        <v>Muscle</v>
      </c>
      <c r="I6954">
        <f>_xlfn.XLOOKUP(A6954,'[1]Tissue Data'!$A:$A,'[1]Tissue Data'!L:L)</f>
        <v>12.5</v>
      </c>
      <c r="J6954">
        <f>_xlfn.XLOOKUP(A6954,'[1]Tissue Data'!$A:$A,'[1]Tissue Data'!M:M)</f>
        <v>55</v>
      </c>
      <c r="K6954" t="s">
        <v>14</v>
      </c>
      <c r="L6954" t="str">
        <f>_xlfn.XLOOKUP(K6954,[2]analyte_order!$B:$B,[2]analyte_order!$C:$C)</f>
        <v>307-24-4</v>
      </c>
      <c r="M6954">
        <f>_xlfn.XLOOKUP(L6954,[2]analyte_order!$C:$C,[2]analyte_order!$E:$E)</f>
        <v>3</v>
      </c>
      <c r="N6954">
        <v>0.11899999999999999</v>
      </c>
    </row>
    <row r="6955" spans="1:14">
      <c r="A6955" t="s">
        <v>300</v>
      </c>
      <c r="B6955" t="str">
        <f>_xlfn.XLOOKUP(A6955,'[1]Tissue Data'!$A:$A,'[1]Tissue Data'!$C:$C)</f>
        <v>Down</v>
      </c>
      <c r="C6955" s="2">
        <f>_xlfn.XLOOKUP(A6955,'[1]Tissue Data'!$A:$A,'[1]Tissue Data'!$D:$D)</f>
        <v>44393</v>
      </c>
      <c r="D6955" s="2" t="str">
        <f>_xlfn.XLOOKUP(A6955,'[1]Tissue Data'!$A:$A,'[1]Tissue Data'!$F:$F)</f>
        <v>Pumpkinseed</v>
      </c>
      <c r="E6955" t="str">
        <f>_xlfn.XLOOKUP(A6955,'[1]Tissue Data'!$A:$A,'[1]Tissue Data'!$H:$H)</f>
        <v>Lepomis</v>
      </c>
      <c r="F6955" t="str">
        <f>_xlfn.XLOOKUP(A6955,'[1]Tissue Data'!$A:$A,'[1]Tissue Data'!$I:$I)</f>
        <v>gibbosus</v>
      </c>
      <c r="G6955" t="str">
        <f>_xlfn.XLOOKUP(A6955,'[1]Tissue Data'!$A:$A,'[1]Tissue Data'!J:J)</f>
        <v>M</v>
      </c>
      <c r="H6955" t="str">
        <f>_xlfn.XLOOKUP(A6955,'[1]Tissue Data'!$A:$A,'[1]Tissue Data'!K:K)</f>
        <v>Muscle</v>
      </c>
      <c r="I6955">
        <f>_xlfn.XLOOKUP(A6955,'[1]Tissue Data'!$A:$A,'[1]Tissue Data'!L:L)</f>
        <v>12.5</v>
      </c>
      <c r="J6955">
        <f>_xlfn.XLOOKUP(A6955,'[1]Tissue Data'!$A:$A,'[1]Tissue Data'!M:M)</f>
        <v>55</v>
      </c>
      <c r="K6955" t="s">
        <v>15</v>
      </c>
      <c r="L6955" t="str">
        <f>_xlfn.XLOOKUP(K6955,[2]analyte_order!$B:$B,[2]analyte_order!$C:$C)</f>
        <v>375-85-9</v>
      </c>
      <c r="M6955">
        <f>_xlfn.XLOOKUP(L6955,[2]analyte_order!$C:$C,[2]analyte_order!$E:$E)</f>
        <v>4</v>
      </c>
      <c r="N6955">
        <v>0.22</v>
      </c>
    </row>
    <row r="6956" spans="1:14">
      <c r="A6956" t="s">
        <v>300</v>
      </c>
      <c r="B6956" t="str">
        <f>_xlfn.XLOOKUP(A6956,'[1]Tissue Data'!$A:$A,'[1]Tissue Data'!$C:$C)</f>
        <v>Down</v>
      </c>
      <c r="C6956" s="2">
        <f>_xlfn.XLOOKUP(A6956,'[1]Tissue Data'!$A:$A,'[1]Tissue Data'!$D:$D)</f>
        <v>44393</v>
      </c>
      <c r="D6956" s="2" t="str">
        <f>_xlfn.XLOOKUP(A6956,'[1]Tissue Data'!$A:$A,'[1]Tissue Data'!$F:$F)</f>
        <v>Pumpkinseed</v>
      </c>
      <c r="E6956" t="str">
        <f>_xlfn.XLOOKUP(A6956,'[1]Tissue Data'!$A:$A,'[1]Tissue Data'!$H:$H)</f>
        <v>Lepomis</v>
      </c>
      <c r="F6956" t="str">
        <f>_xlfn.XLOOKUP(A6956,'[1]Tissue Data'!$A:$A,'[1]Tissue Data'!$I:$I)</f>
        <v>gibbosus</v>
      </c>
      <c r="G6956" t="str">
        <f>_xlfn.XLOOKUP(A6956,'[1]Tissue Data'!$A:$A,'[1]Tissue Data'!J:J)</f>
        <v>M</v>
      </c>
      <c r="H6956" t="str">
        <f>_xlfn.XLOOKUP(A6956,'[1]Tissue Data'!$A:$A,'[1]Tissue Data'!K:K)</f>
        <v>Muscle</v>
      </c>
      <c r="I6956">
        <f>_xlfn.XLOOKUP(A6956,'[1]Tissue Data'!$A:$A,'[1]Tissue Data'!L:L)</f>
        <v>12.5</v>
      </c>
      <c r="J6956">
        <f>_xlfn.XLOOKUP(A6956,'[1]Tissue Data'!$A:$A,'[1]Tissue Data'!M:M)</f>
        <v>55</v>
      </c>
      <c r="K6956" t="s">
        <v>16</v>
      </c>
      <c r="L6956" t="str">
        <f>_xlfn.XLOOKUP(K6956,[2]analyte_order!$B:$B,[2]analyte_order!$C:$C)</f>
        <v>335-67-1</v>
      </c>
      <c r="M6956">
        <f>_xlfn.XLOOKUP(L6956,[2]analyte_order!$C:$C,[2]analyte_order!$E:$E)</f>
        <v>5</v>
      </c>
      <c r="N6956">
        <v>0.51700000000000002</v>
      </c>
    </row>
    <row r="6957" spans="1:14">
      <c r="A6957" t="s">
        <v>300</v>
      </c>
      <c r="B6957" t="str">
        <f>_xlfn.XLOOKUP(A6957,'[1]Tissue Data'!$A:$A,'[1]Tissue Data'!$C:$C)</f>
        <v>Down</v>
      </c>
      <c r="C6957" s="2">
        <f>_xlfn.XLOOKUP(A6957,'[1]Tissue Data'!$A:$A,'[1]Tissue Data'!$D:$D)</f>
        <v>44393</v>
      </c>
      <c r="D6957" s="2" t="str">
        <f>_xlfn.XLOOKUP(A6957,'[1]Tissue Data'!$A:$A,'[1]Tissue Data'!$F:$F)</f>
        <v>Pumpkinseed</v>
      </c>
      <c r="E6957" t="str">
        <f>_xlfn.XLOOKUP(A6957,'[1]Tissue Data'!$A:$A,'[1]Tissue Data'!$H:$H)</f>
        <v>Lepomis</v>
      </c>
      <c r="F6957" t="str">
        <f>_xlfn.XLOOKUP(A6957,'[1]Tissue Data'!$A:$A,'[1]Tissue Data'!$I:$I)</f>
        <v>gibbosus</v>
      </c>
      <c r="G6957" t="str">
        <f>_xlfn.XLOOKUP(A6957,'[1]Tissue Data'!$A:$A,'[1]Tissue Data'!J:J)</f>
        <v>M</v>
      </c>
      <c r="H6957" t="str">
        <f>_xlfn.XLOOKUP(A6957,'[1]Tissue Data'!$A:$A,'[1]Tissue Data'!K:K)</f>
        <v>Muscle</v>
      </c>
      <c r="I6957">
        <f>_xlfn.XLOOKUP(A6957,'[1]Tissue Data'!$A:$A,'[1]Tissue Data'!L:L)</f>
        <v>12.5</v>
      </c>
      <c r="J6957">
        <f>_xlfn.XLOOKUP(A6957,'[1]Tissue Data'!$A:$A,'[1]Tissue Data'!M:M)</f>
        <v>55</v>
      </c>
      <c r="K6957" t="s">
        <v>17</v>
      </c>
      <c r="L6957" t="str">
        <f>_xlfn.XLOOKUP(K6957,[2]analyte_order!$B:$B,[2]analyte_order!$C:$C)</f>
        <v>375-95-1</v>
      </c>
      <c r="M6957">
        <f>_xlfn.XLOOKUP(L6957,[2]analyte_order!$C:$C,[2]analyte_order!$E:$E)</f>
        <v>6</v>
      </c>
      <c r="N6957">
        <v>0.11</v>
      </c>
    </row>
    <row r="6958" spans="1:14">
      <c r="A6958" t="s">
        <v>300</v>
      </c>
      <c r="B6958" t="str">
        <f>_xlfn.XLOOKUP(A6958,'[1]Tissue Data'!$A:$A,'[1]Tissue Data'!$C:$C)</f>
        <v>Down</v>
      </c>
      <c r="C6958" s="2">
        <f>_xlfn.XLOOKUP(A6958,'[1]Tissue Data'!$A:$A,'[1]Tissue Data'!$D:$D)</f>
        <v>44393</v>
      </c>
      <c r="D6958" s="2" t="str">
        <f>_xlfn.XLOOKUP(A6958,'[1]Tissue Data'!$A:$A,'[1]Tissue Data'!$F:$F)</f>
        <v>Pumpkinseed</v>
      </c>
      <c r="E6958" t="str">
        <f>_xlfn.XLOOKUP(A6958,'[1]Tissue Data'!$A:$A,'[1]Tissue Data'!$H:$H)</f>
        <v>Lepomis</v>
      </c>
      <c r="F6958" t="str">
        <f>_xlfn.XLOOKUP(A6958,'[1]Tissue Data'!$A:$A,'[1]Tissue Data'!$I:$I)</f>
        <v>gibbosus</v>
      </c>
      <c r="G6958" t="str">
        <f>_xlfn.XLOOKUP(A6958,'[1]Tissue Data'!$A:$A,'[1]Tissue Data'!J:J)</f>
        <v>M</v>
      </c>
      <c r="H6958" t="str">
        <f>_xlfn.XLOOKUP(A6958,'[1]Tissue Data'!$A:$A,'[1]Tissue Data'!K:K)</f>
        <v>Muscle</v>
      </c>
      <c r="I6958">
        <f>_xlfn.XLOOKUP(A6958,'[1]Tissue Data'!$A:$A,'[1]Tissue Data'!L:L)</f>
        <v>12.5</v>
      </c>
      <c r="J6958">
        <f>_xlfn.XLOOKUP(A6958,'[1]Tissue Data'!$A:$A,'[1]Tissue Data'!M:M)</f>
        <v>55</v>
      </c>
      <c r="K6958" t="s">
        <v>18</v>
      </c>
      <c r="L6958" t="str">
        <f>_xlfn.XLOOKUP(K6958,[2]analyte_order!$B:$B,[2]analyte_order!$C:$C)</f>
        <v>335-76-2</v>
      </c>
      <c r="M6958">
        <f>_xlfn.XLOOKUP(L6958,[2]analyte_order!$C:$C,[2]analyte_order!$E:$E)</f>
        <v>7</v>
      </c>
      <c r="N6958">
        <v>1.81</v>
      </c>
    </row>
    <row r="6959" spans="1:14">
      <c r="A6959" t="s">
        <v>300</v>
      </c>
      <c r="B6959" t="str">
        <f>_xlfn.XLOOKUP(A6959,'[1]Tissue Data'!$A:$A,'[1]Tissue Data'!$C:$C)</f>
        <v>Down</v>
      </c>
      <c r="C6959" s="2">
        <f>_xlfn.XLOOKUP(A6959,'[1]Tissue Data'!$A:$A,'[1]Tissue Data'!$D:$D)</f>
        <v>44393</v>
      </c>
      <c r="D6959" s="2" t="str">
        <f>_xlfn.XLOOKUP(A6959,'[1]Tissue Data'!$A:$A,'[1]Tissue Data'!$F:$F)</f>
        <v>Pumpkinseed</v>
      </c>
      <c r="E6959" t="str">
        <f>_xlfn.XLOOKUP(A6959,'[1]Tissue Data'!$A:$A,'[1]Tissue Data'!$H:$H)</f>
        <v>Lepomis</v>
      </c>
      <c r="F6959" t="str">
        <f>_xlfn.XLOOKUP(A6959,'[1]Tissue Data'!$A:$A,'[1]Tissue Data'!$I:$I)</f>
        <v>gibbosus</v>
      </c>
      <c r="G6959" t="str">
        <f>_xlfn.XLOOKUP(A6959,'[1]Tissue Data'!$A:$A,'[1]Tissue Data'!J:J)</f>
        <v>M</v>
      </c>
      <c r="H6959" t="str">
        <f>_xlfn.XLOOKUP(A6959,'[1]Tissue Data'!$A:$A,'[1]Tissue Data'!K:K)</f>
        <v>Muscle</v>
      </c>
      <c r="I6959">
        <f>_xlfn.XLOOKUP(A6959,'[1]Tissue Data'!$A:$A,'[1]Tissue Data'!L:L)</f>
        <v>12.5</v>
      </c>
      <c r="J6959">
        <f>_xlfn.XLOOKUP(A6959,'[1]Tissue Data'!$A:$A,'[1]Tissue Data'!M:M)</f>
        <v>55</v>
      </c>
      <c r="K6959" t="s">
        <v>19</v>
      </c>
      <c r="L6959" t="str">
        <f>_xlfn.XLOOKUP(K6959,[2]analyte_order!$B:$B,[2]analyte_order!$C:$C)</f>
        <v>2058-94-8</v>
      </c>
      <c r="M6959">
        <f>_xlfn.XLOOKUP(L6959,[2]analyte_order!$C:$C,[2]analyte_order!$E:$E)</f>
        <v>8</v>
      </c>
      <c r="N6959">
        <v>3.1</v>
      </c>
    </row>
    <row r="6960" spans="1:14">
      <c r="A6960" t="s">
        <v>300</v>
      </c>
      <c r="B6960" t="str">
        <f>_xlfn.XLOOKUP(A6960,'[1]Tissue Data'!$A:$A,'[1]Tissue Data'!$C:$C)</f>
        <v>Down</v>
      </c>
      <c r="C6960" s="2">
        <f>_xlfn.XLOOKUP(A6960,'[1]Tissue Data'!$A:$A,'[1]Tissue Data'!$D:$D)</f>
        <v>44393</v>
      </c>
      <c r="D6960" s="2" t="str">
        <f>_xlfn.XLOOKUP(A6960,'[1]Tissue Data'!$A:$A,'[1]Tissue Data'!$F:$F)</f>
        <v>Pumpkinseed</v>
      </c>
      <c r="E6960" t="str">
        <f>_xlfn.XLOOKUP(A6960,'[1]Tissue Data'!$A:$A,'[1]Tissue Data'!$H:$H)</f>
        <v>Lepomis</v>
      </c>
      <c r="F6960" t="str">
        <f>_xlfn.XLOOKUP(A6960,'[1]Tissue Data'!$A:$A,'[1]Tissue Data'!$I:$I)</f>
        <v>gibbosus</v>
      </c>
      <c r="G6960" t="str">
        <f>_xlfn.XLOOKUP(A6960,'[1]Tissue Data'!$A:$A,'[1]Tissue Data'!J:J)</f>
        <v>M</v>
      </c>
      <c r="H6960" t="str">
        <f>_xlfn.XLOOKUP(A6960,'[1]Tissue Data'!$A:$A,'[1]Tissue Data'!K:K)</f>
        <v>Muscle</v>
      </c>
      <c r="I6960">
        <f>_xlfn.XLOOKUP(A6960,'[1]Tissue Data'!$A:$A,'[1]Tissue Data'!L:L)</f>
        <v>12.5</v>
      </c>
      <c r="J6960">
        <f>_xlfn.XLOOKUP(A6960,'[1]Tissue Data'!$A:$A,'[1]Tissue Data'!M:M)</f>
        <v>55</v>
      </c>
      <c r="K6960" t="s">
        <v>20</v>
      </c>
      <c r="L6960" t="str">
        <f>_xlfn.XLOOKUP(K6960,[2]analyte_order!$B:$B,[2]analyte_order!$C:$C)</f>
        <v>307-55-1</v>
      </c>
      <c r="M6960">
        <f>_xlfn.XLOOKUP(L6960,[2]analyte_order!$C:$C,[2]analyte_order!$E:$E)</f>
        <v>9</v>
      </c>
      <c r="N6960">
        <v>6.18</v>
      </c>
    </row>
    <row r="6961" spans="1:14">
      <c r="A6961" t="s">
        <v>300</v>
      </c>
      <c r="B6961" t="str">
        <f>_xlfn.XLOOKUP(A6961,'[1]Tissue Data'!$A:$A,'[1]Tissue Data'!$C:$C)</f>
        <v>Down</v>
      </c>
      <c r="C6961" s="2">
        <f>_xlfn.XLOOKUP(A6961,'[1]Tissue Data'!$A:$A,'[1]Tissue Data'!$D:$D)</f>
        <v>44393</v>
      </c>
      <c r="D6961" s="2" t="str">
        <f>_xlfn.XLOOKUP(A6961,'[1]Tissue Data'!$A:$A,'[1]Tissue Data'!$F:$F)</f>
        <v>Pumpkinseed</v>
      </c>
      <c r="E6961" t="str">
        <f>_xlfn.XLOOKUP(A6961,'[1]Tissue Data'!$A:$A,'[1]Tissue Data'!$H:$H)</f>
        <v>Lepomis</v>
      </c>
      <c r="F6961" t="str">
        <f>_xlfn.XLOOKUP(A6961,'[1]Tissue Data'!$A:$A,'[1]Tissue Data'!$I:$I)</f>
        <v>gibbosus</v>
      </c>
      <c r="G6961" t="str">
        <f>_xlfn.XLOOKUP(A6961,'[1]Tissue Data'!$A:$A,'[1]Tissue Data'!J:J)</f>
        <v>M</v>
      </c>
      <c r="H6961" t="str">
        <f>_xlfn.XLOOKUP(A6961,'[1]Tissue Data'!$A:$A,'[1]Tissue Data'!K:K)</f>
        <v>Muscle</v>
      </c>
      <c r="I6961">
        <f>_xlfn.XLOOKUP(A6961,'[1]Tissue Data'!$A:$A,'[1]Tissue Data'!L:L)</f>
        <v>12.5</v>
      </c>
      <c r="J6961">
        <f>_xlfn.XLOOKUP(A6961,'[1]Tissue Data'!$A:$A,'[1]Tissue Data'!M:M)</f>
        <v>55</v>
      </c>
      <c r="K6961" t="s">
        <v>21</v>
      </c>
      <c r="L6961" t="str">
        <f>_xlfn.XLOOKUP(K6961,[2]analyte_order!$B:$B,[2]analyte_order!$C:$C)</f>
        <v>72629-94-8</v>
      </c>
      <c r="M6961">
        <f>_xlfn.XLOOKUP(L6961,[2]analyte_order!$C:$C,[2]analyte_order!$E:$E)</f>
        <v>10</v>
      </c>
      <c r="N6961">
        <v>3.76</v>
      </c>
    </row>
    <row r="6962" spans="1:14">
      <c r="A6962" t="s">
        <v>300</v>
      </c>
      <c r="B6962" t="str">
        <f>_xlfn.XLOOKUP(A6962,'[1]Tissue Data'!$A:$A,'[1]Tissue Data'!$C:$C)</f>
        <v>Down</v>
      </c>
      <c r="C6962" s="2">
        <f>_xlfn.XLOOKUP(A6962,'[1]Tissue Data'!$A:$A,'[1]Tissue Data'!$D:$D)</f>
        <v>44393</v>
      </c>
      <c r="D6962" s="2" t="str">
        <f>_xlfn.XLOOKUP(A6962,'[1]Tissue Data'!$A:$A,'[1]Tissue Data'!$F:$F)</f>
        <v>Pumpkinseed</v>
      </c>
      <c r="E6962" t="str">
        <f>_xlfn.XLOOKUP(A6962,'[1]Tissue Data'!$A:$A,'[1]Tissue Data'!$H:$H)</f>
        <v>Lepomis</v>
      </c>
      <c r="F6962" t="str">
        <f>_xlfn.XLOOKUP(A6962,'[1]Tissue Data'!$A:$A,'[1]Tissue Data'!$I:$I)</f>
        <v>gibbosus</v>
      </c>
      <c r="G6962" t="str">
        <f>_xlfn.XLOOKUP(A6962,'[1]Tissue Data'!$A:$A,'[1]Tissue Data'!J:J)</f>
        <v>M</v>
      </c>
      <c r="H6962" t="str">
        <f>_xlfn.XLOOKUP(A6962,'[1]Tissue Data'!$A:$A,'[1]Tissue Data'!K:K)</f>
        <v>Muscle</v>
      </c>
      <c r="I6962">
        <f>_xlfn.XLOOKUP(A6962,'[1]Tissue Data'!$A:$A,'[1]Tissue Data'!L:L)</f>
        <v>12.5</v>
      </c>
      <c r="J6962">
        <f>_xlfn.XLOOKUP(A6962,'[1]Tissue Data'!$A:$A,'[1]Tissue Data'!M:M)</f>
        <v>55</v>
      </c>
      <c r="K6962" t="s">
        <v>22</v>
      </c>
      <c r="L6962" t="str">
        <f>_xlfn.XLOOKUP(K6962,[2]analyte_order!$B:$B,[2]analyte_order!$C:$C)</f>
        <v>376-06-7</v>
      </c>
      <c r="M6962">
        <f>_xlfn.XLOOKUP(L6962,[2]analyte_order!$C:$C,[2]analyte_order!$E:$E)</f>
        <v>11</v>
      </c>
      <c r="N6962">
        <v>2.99</v>
      </c>
    </row>
    <row r="6963" spans="1:14">
      <c r="A6963" t="s">
        <v>300</v>
      </c>
      <c r="B6963" t="str">
        <f>_xlfn.XLOOKUP(A6963,'[1]Tissue Data'!$A:$A,'[1]Tissue Data'!$C:$C)</f>
        <v>Down</v>
      </c>
      <c r="C6963" s="2">
        <f>_xlfn.XLOOKUP(A6963,'[1]Tissue Data'!$A:$A,'[1]Tissue Data'!$D:$D)</f>
        <v>44393</v>
      </c>
      <c r="D6963" s="2" t="str">
        <f>_xlfn.XLOOKUP(A6963,'[1]Tissue Data'!$A:$A,'[1]Tissue Data'!$F:$F)</f>
        <v>Pumpkinseed</v>
      </c>
      <c r="E6963" t="str">
        <f>_xlfn.XLOOKUP(A6963,'[1]Tissue Data'!$A:$A,'[1]Tissue Data'!$H:$H)</f>
        <v>Lepomis</v>
      </c>
      <c r="F6963" t="str">
        <f>_xlfn.XLOOKUP(A6963,'[1]Tissue Data'!$A:$A,'[1]Tissue Data'!$I:$I)</f>
        <v>gibbosus</v>
      </c>
      <c r="G6963" t="str">
        <f>_xlfn.XLOOKUP(A6963,'[1]Tissue Data'!$A:$A,'[1]Tissue Data'!J:J)</f>
        <v>M</v>
      </c>
      <c r="H6963" t="str">
        <f>_xlfn.XLOOKUP(A6963,'[1]Tissue Data'!$A:$A,'[1]Tissue Data'!K:K)</f>
        <v>Muscle</v>
      </c>
      <c r="I6963">
        <f>_xlfn.XLOOKUP(A6963,'[1]Tissue Data'!$A:$A,'[1]Tissue Data'!L:L)</f>
        <v>12.5</v>
      </c>
      <c r="J6963">
        <f>_xlfn.XLOOKUP(A6963,'[1]Tissue Data'!$A:$A,'[1]Tissue Data'!M:M)</f>
        <v>55</v>
      </c>
      <c r="K6963" t="s">
        <v>23</v>
      </c>
      <c r="L6963" t="str">
        <f>_xlfn.XLOOKUP(K6963,[2]analyte_order!$B:$B,[2]analyte_order!$C:$C)</f>
        <v>67905-19-5</v>
      </c>
      <c r="M6963">
        <f>_xlfn.XLOOKUP(L6963,[2]analyte_order!$C:$C,[2]analyte_order!$E:$E)</f>
        <v>12</v>
      </c>
      <c r="N6963">
        <v>0.13100000000000001</v>
      </c>
    </row>
    <row r="6964" spans="1:14">
      <c r="A6964" t="s">
        <v>300</v>
      </c>
      <c r="B6964" t="str">
        <f>_xlfn.XLOOKUP(A6964,'[1]Tissue Data'!$A:$A,'[1]Tissue Data'!$C:$C)</f>
        <v>Down</v>
      </c>
      <c r="C6964" s="2">
        <f>_xlfn.XLOOKUP(A6964,'[1]Tissue Data'!$A:$A,'[1]Tissue Data'!$D:$D)</f>
        <v>44393</v>
      </c>
      <c r="D6964" s="2" t="str">
        <f>_xlfn.XLOOKUP(A6964,'[1]Tissue Data'!$A:$A,'[1]Tissue Data'!$F:$F)</f>
        <v>Pumpkinseed</v>
      </c>
      <c r="E6964" t="str">
        <f>_xlfn.XLOOKUP(A6964,'[1]Tissue Data'!$A:$A,'[1]Tissue Data'!$H:$H)</f>
        <v>Lepomis</v>
      </c>
      <c r="F6964" t="str">
        <f>_xlfn.XLOOKUP(A6964,'[1]Tissue Data'!$A:$A,'[1]Tissue Data'!$I:$I)</f>
        <v>gibbosus</v>
      </c>
      <c r="G6964" t="str">
        <f>_xlfn.XLOOKUP(A6964,'[1]Tissue Data'!$A:$A,'[1]Tissue Data'!J:J)</f>
        <v>M</v>
      </c>
      <c r="H6964" t="str">
        <f>_xlfn.XLOOKUP(A6964,'[1]Tissue Data'!$A:$A,'[1]Tissue Data'!K:K)</f>
        <v>Muscle</v>
      </c>
      <c r="I6964">
        <f>_xlfn.XLOOKUP(A6964,'[1]Tissue Data'!$A:$A,'[1]Tissue Data'!L:L)</f>
        <v>12.5</v>
      </c>
      <c r="J6964">
        <f>_xlfn.XLOOKUP(A6964,'[1]Tissue Data'!$A:$A,'[1]Tissue Data'!M:M)</f>
        <v>55</v>
      </c>
      <c r="K6964" t="s">
        <v>24</v>
      </c>
      <c r="L6964" t="str">
        <f>_xlfn.XLOOKUP(K6964,[2]analyte_order!$B:$B,[2]analyte_order!$C:$C)</f>
        <v>423-41-6</v>
      </c>
      <c r="M6964">
        <f>_xlfn.XLOOKUP(L6964,[2]analyte_order!$C:$C,[2]analyte_order!$E:$E)</f>
        <v>53</v>
      </c>
      <c r="N6964">
        <v>0.11</v>
      </c>
    </row>
    <row r="6965" spans="1:14">
      <c r="A6965" t="s">
        <v>300</v>
      </c>
      <c r="B6965" t="str">
        <f>_xlfn.XLOOKUP(A6965,'[1]Tissue Data'!$A:$A,'[1]Tissue Data'!$C:$C)</f>
        <v>Down</v>
      </c>
      <c r="C6965" s="2">
        <f>_xlfn.XLOOKUP(A6965,'[1]Tissue Data'!$A:$A,'[1]Tissue Data'!$D:$D)</f>
        <v>44393</v>
      </c>
      <c r="D6965" s="2" t="str">
        <f>_xlfn.XLOOKUP(A6965,'[1]Tissue Data'!$A:$A,'[1]Tissue Data'!$F:$F)</f>
        <v>Pumpkinseed</v>
      </c>
      <c r="E6965" t="str">
        <f>_xlfn.XLOOKUP(A6965,'[1]Tissue Data'!$A:$A,'[1]Tissue Data'!$H:$H)</f>
        <v>Lepomis</v>
      </c>
      <c r="F6965" t="str">
        <f>_xlfn.XLOOKUP(A6965,'[1]Tissue Data'!$A:$A,'[1]Tissue Data'!$I:$I)</f>
        <v>gibbosus</v>
      </c>
      <c r="G6965" t="str">
        <f>_xlfn.XLOOKUP(A6965,'[1]Tissue Data'!$A:$A,'[1]Tissue Data'!J:J)</f>
        <v>M</v>
      </c>
      <c r="H6965" t="str">
        <f>_xlfn.XLOOKUP(A6965,'[1]Tissue Data'!$A:$A,'[1]Tissue Data'!K:K)</f>
        <v>Muscle</v>
      </c>
      <c r="I6965">
        <f>_xlfn.XLOOKUP(A6965,'[1]Tissue Data'!$A:$A,'[1]Tissue Data'!L:L)</f>
        <v>12.5</v>
      </c>
      <c r="J6965">
        <f>_xlfn.XLOOKUP(A6965,'[1]Tissue Data'!$A:$A,'[1]Tissue Data'!M:M)</f>
        <v>55</v>
      </c>
      <c r="K6965" t="s">
        <v>25</v>
      </c>
      <c r="L6965" t="str">
        <f>_xlfn.XLOOKUP(K6965,[2]analyte_order!$B:$B,[2]analyte_order!$C:$C)</f>
        <v>375-73-5</v>
      </c>
      <c r="M6965">
        <f>_xlfn.XLOOKUP(L6965,[2]analyte_order!$C:$C,[2]analyte_order!$E:$E)</f>
        <v>14</v>
      </c>
      <c r="N6965">
        <v>0.22</v>
      </c>
    </row>
    <row r="6966" spans="1:14">
      <c r="A6966" t="s">
        <v>300</v>
      </c>
      <c r="B6966" t="str">
        <f>_xlfn.XLOOKUP(A6966,'[1]Tissue Data'!$A:$A,'[1]Tissue Data'!$C:$C)</f>
        <v>Down</v>
      </c>
      <c r="C6966" s="2">
        <f>_xlfn.XLOOKUP(A6966,'[1]Tissue Data'!$A:$A,'[1]Tissue Data'!$D:$D)</f>
        <v>44393</v>
      </c>
      <c r="D6966" s="2" t="str">
        <f>_xlfn.XLOOKUP(A6966,'[1]Tissue Data'!$A:$A,'[1]Tissue Data'!$F:$F)</f>
        <v>Pumpkinseed</v>
      </c>
      <c r="E6966" t="str">
        <f>_xlfn.XLOOKUP(A6966,'[1]Tissue Data'!$A:$A,'[1]Tissue Data'!$H:$H)</f>
        <v>Lepomis</v>
      </c>
      <c r="F6966" t="str">
        <f>_xlfn.XLOOKUP(A6966,'[1]Tissue Data'!$A:$A,'[1]Tissue Data'!$I:$I)</f>
        <v>gibbosus</v>
      </c>
      <c r="G6966" t="str">
        <f>_xlfn.XLOOKUP(A6966,'[1]Tissue Data'!$A:$A,'[1]Tissue Data'!J:J)</f>
        <v>M</v>
      </c>
      <c r="H6966" t="str">
        <f>_xlfn.XLOOKUP(A6966,'[1]Tissue Data'!$A:$A,'[1]Tissue Data'!K:K)</f>
        <v>Muscle</v>
      </c>
      <c r="I6966">
        <f>_xlfn.XLOOKUP(A6966,'[1]Tissue Data'!$A:$A,'[1]Tissue Data'!L:L)</f>
        <v>12.5</v>
      </c>
      <c r="J6966">
        <f>_xlfn.XLOOKUP(A6966,'[1]Tissue Data'!$A:$A,'[1]Tissue Data'!M:M)</f>
        <v>55</v>
      </c>
      <c r="K6966" t="s">
        <v>26</v>
      </c>
      <c r="L6966" t="str">
        <f>_xlfn.XLOOKUP(K6966,[2]analyte_order!$B:$B,[2]analyte_order!$C:$C)</f>
        <v>2706-91-4</v>
      </c>
      <c r="M6966">
        <f>_xlfn.XLOOKUP(L6966,[2]analyte_order!$C:$C,[2]analyte_order!$E:$E)</f>
        <v>15</v>
      </c>
      <c r="N6966">
        <v>0.11650000000000001</v>
      </c>
    </row>
    <row r="6967" spans="1:14">
      <c r="A6967" t="s">
        <v>300</v>
      </c>
      <c r="B6967" t="str">
        <f>_xlfn.XLOOKUP(A6967,'[1]Tissue Data'!$A:$A,'[1]Tissue Data'!$C:$C)</f>
        <v>Down</v>
      </c>
      <c r="C6967" s="2">
        <f>_xlfn.XLOOKUP(A6967,'[1]Tissue Data'!$A:$A,'[1]Tissue Data'!$D:$D)</f>
        <v>44393</v>
      </c>
      <c r="D6967" s="2" t="str">
        <f>_xlfn.XLOOKUP(A6967,'[1]Tissue Data'!$A:$A,'[1]Tissue Data'!$F:$F)</f>
        <v>Pumpkinseed</v>
      </c>
      <c r="E6967" t="str">
        <f>_xlfn.XLOOKUP(A6967,'[1]Tissue Data'!$A:$A,'[1]Tissue Data'!$H:$H)</f>
        <v>Lepomis</v>
      </c>
      <c r="F6967" t="str">
        <f>_xlfn.XLOOKUP(A6967,'[1]Tissue Data'!$A:$A,'[1]Tissue Data'!$I:$I)</f>
        <v>gibbosus</v>
      </c>
      <c r="G6967" t="str">
        <f>_xlfn.XLOOKUP(A6967,'[1]Tissue Data'!$A:$A,'[1]Tissue Data'!J:J)</f>
        <v>M</v>
      </c>
      <c r="H6967" t="str">
        <f>_xlfn.XLOOKUP(A6967,'[1]Tissue Data'!$A:$A,'[1]Tissue Data'!K:K)</f>
        <v>Muscle</v>
      </c>
      <c r="I6967">
        <f>_xlfn.XLOOKUP(A6967,'[1]Tissue Data'!$A:$A,'[1]Tissue Data'!L:L)</f>
        <v>12.5</v>
      </c>
      <c r="J6967">
        <f>_xlfn.XLOOKUP(A6967,'[1]Tissue Data'!$A:$A,'[1]Tissue Data'!M:M)</f>
        <v>55</v>
      </c>
      <c r="K6967" t="s">
        <v>27</v>
      </c>
      <c r="L6967" t="str">
        <f>_xlfn.XLOOKUP(K6967,[2]analyte_order!$B:$B,[2]analyte_order!$C:$C)</f>
        <v>355-46-4</v>
      </c>
      <c r="M6967">
        <f>_xlfn.XLOOKUP(L6967,[2]analyte_order!$C:$C,[2]analyte_order!$E:$E)</f>
        <v>16</v>
      </c>
      <c r="N6967">
        <v>4.3600000000000003</v>
      </c>
    </row>
    <row r="6968" spans="1:14">
      <c r="A6968" t="s">
        <v>300</v>
      </c>
      <c r="B6968" t="str">
        <f>_xlfn.XLOOKUP(A6968,'[1]Tissue Data'!$A:$A,'[1]Tissue Data'!$C:$C)</f>
        <v>Down</v>
      </c>
      <c r="C6968" s="2">
        <f>_xlfn.XLOOKUP(A6968,'[1]Tissue Data'!$A:$A,'[1]Tissue Data'!$D:$D)</f>
        <v>44393</v>
      </c>
      <c r="D6968" s="2" t="str">
        <f>_xlfn.XLOOKUP(A6968,'[1]Tissue Data'!$A:$A,'[1]Tissue Data'!$F:$F)</f>
        <v>Pumpkinseed</v>
      </c>
      <c r="E6968" t="str">
        <f>_xlfn.XLOOKUP(A6968,'[1]Tissue Data'!$A:$A,'[1]Tissue Data'!$H:$H)</f>
        <v>Lepomis</v>
      </c>
      <c r="F6968" t="str">
        <f>_xlfn.XLOOKUP(A6968,'[1]Tissue Data'!$A:$A,'[1]Tissue Data'!$I:$I)</f>
        <v>gibbosus</v>
      </c>
      <c r="G6968" t="str">
        <f>_xlfn.XLOOKUP(A6968,'[1]Tissue Data'!$A:$A,'[1]Tissue Data'!J:J)</f>
        <v>M</v>
      </c>
      <c r="H6968" t="str">
        <f>_xlfn.XLOOKUP(A6968,'[1]Tissue Data'!$A:$A,'[1]Tissue Data'!K:K)</f>
        <v>Muscle</v>
      </c>
      <c r="I6968">
        <f>_xlfn.XLOOKUP(A6968,'[1]Tissue Data'!$A:$A,'[1]Tissue Data'!L:L)</f>
        <v>12.5</v>
      </c>
      <c r="J6968">
        <f>_xlfn.XLOOKUP(A6968,'[1]Tissue Data'!$A:$A,'[1]Tissue Data'!M:M)</f>
        <v>55</v>
      </c>
      <c r="K6968" t="s">
        <v>28</v>
      </c>
      <c r="L6968" t="str">
        <f>_xlfn.XLOOKUP(K6968,[2]analyte_order!$B:$B,[2]analyte_order!$C:$C)</f>
        <v>375-92-8</v>
      </c>
      <c r="M6968">
        <f>_xlfn.XLOOKUP(L6968,[2]analyte_order!$C:$C,[2]analyte_order!$E:$E)</f>
        <v>17</v>
      </c>
      <c r="N6968">
        <v>1.08</v>
      </c>
    </row>
    <row r="6969" spans="1:14">
      <c r="A6969" t="s">
        <v>300</v>
      </c>
      <c r="B6969" t="str">
        <f>_xlfn.XLOOKUP(A6969,'[1]Tissue Data'!$A:$A,'[1]Tissue Data'!$C:$C)</f>
        <v>Down</v>
      </c>
      <c r="C6969" s="2">
        <f>_xlfn.XLOOKUP(A6969,'[1]Tissue Data'!$A:$A,'[1]Tissue Data'!$D:$D)</f>
        <v>44393</v>
      </c>
      <c r="D6969" s="2" t="str">
        <f>_xlfn.XLOOKUP(A6969,'[1]Tissue Data'!$A:$A,'[1]Tissue Data'!$F:$F)</f>
        <v>Pumpkinseed</v>
      </c>
      <c r="E6969" t="str">
        <f>_xlfn.XLOOKUP(A6969,'[1]Tissue Data'!$A:$A,'[1]Tissue Data'!$H:$H)</f>
        <v>Lepomis</v>
      </c>
      <c r="F6969" t="str">
        <f>_xlfn.XLOOKUP(A6969,'[1]Tissue Data'!$A:$A,'[1]Tissue Data'!$I:$I)</f>
        <v>gibbosus</v>
      </c>
      <c r="G6969" t="str">
        <f>_xlfn.XLOOKUP(A6969,'[1]Tissue Data'!$A:$A,'[1]Tissue Data'!J:J)</f>
        <v>M</v>
      </c>
      <c r="H6969" t="str">
        <f>_xlfn.XLOOKUP(A6969,'[1]Tissue Data'!$A:$A,'[1]Tissue Data'!K:K)</f>
        <v>Muscle</v>
      </c>
      <c r="I6969">
        <f>_xlfn.XLOOKUP(A6969,'[1]Tissue Data'!$A:$A,'[1]Tissue Data'!L:L)</f>
        <v>12.5</v>
      </c>
      <c r="J6969">
        <f>_xlfn.XLOOKUP(A6969,'[1]Tissue Data'!$A:$A,'[1]Tissue Data'!M:M)</f>
        <v>55</v>
      </c>
      <c r="K6969" t="s">
        <v>29</v>
      </c>
      <c r="L6969" t="str">
        <f>_xlfn.XLOOKUP(K6969,[2]analyte_order!$B:$B,[2]analyte_order!$C:$C)</f>
        <v>1763-23-1</v>
      </c>
      <c r="M6969">
        <f>_xlfn.XLOOKUP(L6969,[2]analyte_order!$C:$C,[2]analyte_order!$E:$E)</f>
        <v>18</v>
      </c>
      <c r="N6969">
        <v>364</v>
      </c>
    </row>
    <row r="6970" spans="1:14">
      <c r="A6970" t="s">
        <v>300</v>
      </c>
      <c r="B6970" t="str">
        <f>_xlfn.XLOOKUP(A6970,'[1]Tissue Data'!$A:$A,'[1]Tissue Data'!$C:$C)</f>
        <v>Down</v>
      </c>
      <c r="C6970" s="2">
        <f>_xlfn.XLOOKUP(A6970,'[1]Tissue Data'!$A:$A,'[1]Tissue Data'!$D:$D)</f>
        <v>44393</v>
      </c>
      <c r="D6970" s="2" t="str">
        <f>_xlfn.XLOOKUP(A6970,'[1]Tissue Data'!$A:$A,'[1]Tissue Data'!$F:$F)</f>
        <v>Pumpkinseed</v>
      </c>
      <c r="E6970" t="str">
        <f>_xlfn.XLOOKUP(A6970,'[1]Tissue Data'!$A:$A,'[1]Tissue Data'!$H:$H)</f>
        <v>Lepomis</v>
      </c>
      <c r="F6970" t="str">
        <f>_xlfn.XLOOKUP(A6970,'[1]Tissue Data'!$A:$A,'[1]Tissue Data'!$I:$I)</f>
        <v>gibbosus</v>
      </c>
      <c r="G6970" t="str">
        <f>_xlfn.XLOOKUP(A6970,'[1]Tissue Data'!$A:$A,'[1]Tissue Data'!J:J)</f>
        <v>M</v>
      </c>
      <c r="H6970" t="str">
        <f>_xlfn.XLOOKUP(A6970,'[1]Tissue Data'!$A:$A,'[1]Tissue Data'!K:K)</f>
        <v>Muscle</v>
      </c>
      <c r="I6970">
        <f>_xlfn.XLOOKUP(A6970,'[1]Tissue Data'!$A:$A,'[1]Tissue Data'!L:L)</f>
        <v>12.5</v>
      </c>
      <c r="J6970">
        <f>_xlfn.XLOOKUP(A6970,'[1]Tissue Data'!$A:$A,'[1]Tissue Data'!M:M)</f>
        <v>55</v>
      </c>
      <c r="K6970" t="s">
        <v>30</v>
      </c>
      <c r="L6970" t="str">
        <f>_xlfn.XLOOKUP(K6970,[2]analyte_order!$B:$B,[2]analyte_order!$C:$C)</f>
        <v>68259-12-1</v>
      </c>
      <c r="M6970">
        <f>_xlfn.XLOOKUP(L6970,[2]analyte_order!$C:$C,[2]analyte_order!$E:$E)</f>
        <v>19</v>
      </c>
      <c r="N6970">
        <v>1.49</v>
      </c>
    </row>
    <row r="6971" spans="1:14">
      <c r="A6971" t="s">
        <v>300</v>
      </c>
      <c r="B6971" t="str">
        <f>_xlfn.XLOOKUP(A6971,'[1]Tissue Data'!$A:$A,'[1]Tissue Data'!$C:$C)</f>
        <v>Down</v>
      </c>
      <c r="C6971" s="2">
        <f>_xlfn.XLOOKUP(A6971,'[1]Tissue Data'!$A:$A,'[1]Tissue Data'!$D:$D)</f>
        <v>44393</v>
      </c>
      <c r="D6971" s="2" t="str">
        <f>_xlfn.XLOOKUP(A6971,'[1]Tissue Data'!$A:$A,'[1]Tissue Data'!$F:$F)</f>
        <v>Pumpkinseed</v>
      </c>
      <c r="E6971" t="str">
        <f>_xlfn.XLOOKUP(A6971,'[1]Tissue Data'!$A:$A,'[1]Tissue Data'!$H:$H)</f>
        <v>Lepomis</v>
      </c>
      <c r="F6971" t="str">
        <f>_xlfn.XLOOKUP(A6971,'[1]Tissue Data'!$A:$A,'[1]Tissue Data'!$I:$I)</f>
        <v>gibbosus</v>
      </c>
      <c r="G6971" t="str">
        <f>_xlfn.XLOOKUP(A6971,'[1]Tissue Data'!$A:$A,'[1]Tissue Data'!J:J)</f>
        <v>M</v>
      </c>
      <c r="H6971" t="str">
        <f>_xlfn.XLOOKUP(A6971,'[1]Tissue Data'!$A:$A,'[1]Tissue Data'!K:K)</f>
        <v>Muscle</v>
      </c>
      <c r="I6971">
        <f>_xlfn.XLOOKUP(A6971,'[1]Tissue Data'!$A:$A,'[1]Tissue Data'!L:L)</f>
        <v>12.5</v>
      </c>
      <c r="J6971">
        <f>_xlfn.XLOOKUP(A6971,'[1]Tissue Data'!$A:$A,'[1]Tissue Data'!M:M)</f>
        <v>55</v>
      </c>
      <c r="K6971" t="s">
        <v>31</v>
      </c>
      <c r="L6971" t="str">
        <f>_xlfn.XLOOKUP(K6971,[2]analyte_order!$B:$B,[2]analyte_order!$C:$C)</f>
        <v>335-77-3</v>
      </c>
      <c r="M6971">
        <f>_xlfn.XLOOKUP(L6971,[2]analyte_order!$C:$C,[2]analyte_order!$E:$E)</f>
        <v>20</v>
      </c>
      <c r="N6971">
        <v>1.08</v>
      </c>
    </row>
    <row r="6972" spans="1:14">
      <c r="A6972" t="s">
        <v>300</v>
      </c>
      <c r="B6972" t="str">
        <f>_xlfn.XLOOKUP(A6972,'[1]Tissue Data'!$A:$A,'[1]Tissue Data'!$C:$C)</f>
        <v>Down</v>
      </c>
      <c r="C6972" s="2">
        <f>_xlfn.XLOOKUP(A6972,'[1]Tissue Data'!$A:$A,'[1]Tissue Data'!$D:$D)</f>
        <v>44393</v>
      </c>
      <c r="D6972" s="2" t="str">
        <f>_xlfn.XLOOKUP(A6972,'[1]Tissue Data'!$A:$A,'[1]Tissue Data'!$F:$F)</f>
        <v>Pumpkinseed</v>
      </c>
      <c r="E6972" t="str">
        <f>_xlfn.XLOOKUP(A6972,'[1]Tissue Data'!$A:$A,'[1]Tissue Data'!$H:$H)</f>
        <v>Lepomis</v>
      </c>
      <c r="F6972" t="str">
        <f>_xlfn.XLOOKUP(A6972,'[1]Tissue Data'!$A:$A,'[1]Tissue Data'!$I:$I)</f>
        <v>gibbosus</v>
      </c>
      <c r="G6972" t="str">
        <f>_xlfn.XLOOKUP(A6972,'[1]Tissue Data'!$A:$A,'[1]Tissue Data'!J:J)</f>
        <v>M</v>
      </c>
      <c r="H6972" t="str">
        <f>_xlfn.XLOOKUP(A6972,'[1]Tissue Data'!$A:$A,'[1]Tissue Data'!K:K)</f>
        <v>Muscle</v>
      </c>
      <c r="I6972">
        <f>_xlfn.XLOOKUP(A6972,'[1]Tissue Data'!$A:$A,'[1]Tissue Data'!L:L)</f>
        <v>12.5</v>
      </c>
      <c r="J6972">
        <f>_xlfn.XLOOKUP(A6972,'[1]Tissue Data'!$A:$A,'[1]Tissue Data'!M:M)</f>
        <v>55</v>
      </c>
      <c r="K6972" t="s">
        <v>32</v>
      </c>
      <c r="L6972" t="str">
        <f>_xlfn.XLOOKUP(K6972,[2]analyte_order!$B:$B,[2]analyte_order!$C:$C)</f>
        <v>79780-39-5</v>
      </c>
      <c r="M6972">
        <f>_xlfn.XLOOKUP(L6972,[2]analyte_order!$C:$C,[2]analyte_order!$E:$E)</f>
        <v>21</v>
      </c>
      <c r="N6972">
        <v>0.51200000000000001</v>
      </c>
    </row>
    <row r="6973" spans="1:14">
      <c r="A6973" t="s">
        <v>300</v>
      </c>
      <c r="B6973" t="str">
        <f>_xlfn.XLOOKUP(A6973,'[1]Tissue Data'!$A:$A,'[1]Tissue Data'!$C:$C)</f>
        <v>Down</v>
      </c>
      <c r="C6973" s="2">
        <f>_xlfn.XLOOKUP(A6973,'[1]Tissue Data'!$A:$A,'[1]Tissue Data'!$D:$D)</f>
        <v>44393</v>
      </c>
      <c r="D6973" s="2" t="str">
        <f>_xlfn.XLOOKUP(A6973,'[1]Tissue Data'!$A:$A,'[1]Tissue Data'!$F:$F)</f>
        <v>Pumpkinseed</v>
      </c>
      <c r="E6973" t="str">
        <f>_xlfn.XLOOKUP(A6973,'[1]Tissue Data'!$A:$A,'[1]Tissue Data'!$H:$H)</f>
        <v>Lepomis</v>
      </c>
      <c r="F6973" t="str">
        <f>_xlfn.XLOOKUP(A6973,'[1]Tissue Data'!$A:$A,'[1]Tissue Data'!$I:$I)</f>
        <v>gibbosus</v>
      </c>
      <c r="G6973" t="str">
        <f>_xlfn.XLOOKUP(A6973,'[1]Tissue Data'!$A:$A,'[1]Tissue Data'!J:J)</f>
        <v>M</v>
      </c>
      <c r="H6973" t="str">
        <f>_xlfn.XLOOKUP(A6973,'[1]Tissue Data'!$A:$A,'[1]Tissue Data'!K:K)</f>
        <v>Muscle</v>
      </c>
      <c r="I6973">
        <f>_xlfn.XLOOKUP(A6973,'[1]Tissue Data'!$A:$A,'[1]Tissue Data'!L:L)</f>
        <v>12.5</v>
      </c>
      <c r="J6973">
        <f>_xlfn.XLOOKUP(A6973,'[1]Tissue Data'!$A:$A,'[1]Tissue Data'!M:M)</f>
        <v>55</v>
      </c>
      <c r="K6973" t="s">
        <v>33</v>
      </c>
      <c r="L6973" t="str">
        <f>_xlfn.XLOOKUP(K6973,[2]analyte_order!$B:$B,[2]analyte_order!$C:$C)</f>
        <v>777011-38-8</v>
      </c>
      <c r="M6973">
        <f>_xlfn.XLOOKUP(L6973,[2]analyte_order!$C:$C,[2]analyte_order!$E:$E)</f>
        <v>54</v>
      </c>
      <c r="N6973">
        <v>0.13350000000000001</v>
      </c>
    </row>
    <row r="6974" spans="1:14">
      <c r="A6974" t="s">
        <v>300</v>
      </c>
      <c r="B6974" t="str">
        <f>_xlfn.XLOOKUP(A6974,'[1]Tissue Data'!$A:$A,'[1]Tissue Data'!$C:$C)</f>
        <v>Down</v>
      </c>
      <c r="C6974" s="2">
        <f>_xlfn.XLOOKUP(A6974,'[1]Tissue Data'!$A:$A,'[1]Tissue Data'!$D:$D)</f>
        <v>44393</v>
      </c>
      <c r="D6974" s="2" t="str">
        <f>_xlfn.XLOOKUP(A6974,'[1]Tissue Data'!$A:$A,'[1]Tissue Data'!$F:$F)</f>
        <v>Pumpkinseed</v>
      </c>
      <c r="E6974" t="str">
        <f>_xlfn.XLOOKUP(A6974,'[1]Tissue Data'!$A:$A,'[1]Tissue Data'!$H:$H)</f>
        <v>Lepomis</v>
      </c>
      <c r="F6974" t="str">
        <f>_xlfn.XLOOKUP(A6974,'[1]Tissue Data'!$A:$A,'[1]Tissue Data'!$I:$I)</f>
        <v>gibbosus</v>
      </c>
      <c r="G6974" t="str">
        <f>_xlfn.XLOOKUP(A6974,'[1]Tissue Data'!$A:$A,'[1]Tissue Data'!J:J)</f>
        <v>M</v>
      </c>
      <c r="H6974" t="str">
        <f>_xlfn.XLOOKUP(A6974,'[1]Tissue Data'!$A:$A,'[1]Tissue Data'!K:K)</f>
        <v>Muscle</v>
      </c>
      <c r="I6974">
        <f>_xlfn.XLOOKUP(A6974,'[1]Tissue Data'!$A:$A,'[1]Tissue Data'!L:L)</f>
        <v>12.5</v>
      </c>
      <c r="J6974">
        <f>_xlfn.XLOOKUP(A6974,'[1]Tissue Data'!$A:$A,'[1]Tissue Data'!M:M)</f>
        <v>55</v>
      </c>
      <c r="K6974" t="s">
        <v>34</v>
      </c>
      <c r="L6974" t="str">
        <f>_xlfn.XLOOKUP(K6974,[2]analyte_order!$B:$B,[2]analyte_order!$C:$C)</f>
        <v>646-83-3</v>
      </c>
      <c r="M6974">
        <f>_xlfn.XLOOKUP(L6974,[2]analyte_order!$C:$C,[2]analyte_order!$E:$E)</f>
        <v>55</v>
      </c>
      <c r="N6974">
        <v>8.7999999999999995E-2</v>
      </c>
    </row>
    <row r="6975" spans="1:14">
      <c r="A6975" t="s">
        <v>300</v>
      </c>
      <c r="B6975" t="str">
        <f>_xlfn.XLOOKUP(A6975,'[1]Tissue Data'!$A:$A,'[1]Tissue Data'!$C:$C)</f>
        <v>Down</v>
      </c>
      <c r="C6975" s="2">
        <f>_xlfn.XLOOKUP(A6975,'[1]Tissue Data'!$A:$A,'[1]Tissue Data'!$D:$D)</f>
        <v>44393</v>
      </c>
      <c r="D6975" s="2" t="str">
        <f>_xlfn.XLOOKUP(A6975,'[1]Tissue Data'!$A:$A,'[1]Tissue Data'!$F:$F)</f>
        <v>Pumpkinseed</v>
      </c>
      <c r="E6975" t="str">
        <f>_xlfn.XLOOKUP(A6975,'[1]Tissue Data'!$A:$A,'[1]Tissue Data'!$H:$H)</f>
        <v>Lepomis</v>
      </c>
      <c r="F6975" t="str">
        <f>_xlfn.XLOOKUP(A6975,'[1]Tissue Data'!$A:$A,'[1]Tissue Data'!$I:$I)</f>
        <v>gibbosus</v>
      </c>
      <c r="G6975" t="str">
        <f>_xlfn.XLOOKUP(A6975,'[1]Tissue Data'!$A:$A,'[1]Tissue Data'!J:J)</f>
        <v>M</v>
      </c>
      <c r="H6975" t="str">
        <f>_xlfn.XLOOKUP(A6975,'[1]Tissue Data'!$A:$A,'[1]Tissue Data'!K:K)</f>
        <v>Muscle</v>
      </c>
      <c r="I6975">
        <f>_xlfn.XLOOKUP(A6975,'[1]Tissue Data'!$A:$A,'[1]Tissue Data'!L:L)</f>
        <v>12.5</v>
      </c>
      <c r="J6975">
        <f>_xlfn.XLOOKUP(A6975,'[1]Tissue Data'!$A:$A,'[1]Tissue Data'!M:M)</f>
        <v>55</v>
      </c>
      <c r="K6975" t="s">
        <v>35</v>
      </c>
      <c r="L6975" t="str">
        <f>_xlfn.XLOOKUP(K6975,[2]analyte_order!$B:$B,[2]analyte_order!$C:$C)</f>
        <v>30334-69-1</v>
      </c>
      <c r="M6975">
        <f>_xlfn.XLOOKUP(L6975,[2]analyte_order!$C:$C,[2]analyte_order!$E:$E)</f>
        <v>51</v>
      </c>
      <c r="N6975">
        <v>16.600000000000001</v>
      </c>
    </row>
    <row r="6976" spans="1:14">
      <c r="A6976" t="s">
        <v>300</v>
      </c>
      <c r="B6976" t="str">
        <f>_xlfn.XLOOKUP(A6976,'[1]Tissue Data'!$A:$A,'[1]Tissue Data'!$C:$C)</f>
        <v>Down</v>
      </c>
      <c r="C6976" s="2">
        <f>_xlfn.XLOOKUP(A6976,'[1]Tissue Data'!$A:$A,'[1]Tissue Data'!$D:$D)</f>
        <v>44393</v>
      </c>
      <c r="D6976" s="2" t="str">
        <f>_xlfn.XLOOKUP(A6976,'[1]Tissue Data'!$A:$A,'[1]Tissue Data'!$F:$F)</f>
        <v>Pumpkinseed</v>
      </c>
      <c r="E6976" t="str">
        <f>_xlfn.XLOOKUP(A6976,'[1]Tissue Data'!$A:$A,'[1]Tissue Data'!$H:$H)</f>
        <v>Lepomis</v>
      </c>
      <c r="F6976" t="str">
        <f>_xlfn.XLOOKUP(A6976,'[1]Tissue Data'!$A:$A,'[1]Tissue Data'!$I:$I)</f>
        <v>gibbosus</v>
      </c>
      <c r="G6976" t="str">
        <f>_xlfn.XLOOKUP(A6976,'[1]Tissue Data'!$A:$A,'[1]Tissue Data'!J:J)</f>
        <v>M</v>
      </c>
      <c r="H6976" t="str">
        <f>_xlfn.XLOOKUP(A6976,'[1]Tissue Data'!$A:$A,'[1]Tissue Data'!K:K)</f>
        <v>Muscle</v>
      </c>
      <c r="I6976">
        <f>_xlfn.XLOOKUP(A6976,'[1]Tissue Data'!$A:$A,'[1]Tissue Data'!L:L)</f>
        <v>12.5</v>
      </c>
      <c r="J6976">
        <f>_xlfn.XLOOKUP(A6976,'[1]Tissue Data'!$A:$A,'[1]Tissue Data'!M:M)</f>
        <v>55</v>
      </c>
      <c r="K6976" t="s">
        <v>36</v>
      </c>
      <c r="L6976" t="str">
        <f>_xlfn.XLOOKUP(K6976,[2]analyte_order!$B:$B,[2]analyte_order!$C:$C)</f>
        <v>41997-13-1</v>
      </c>
      <c r="M6976">
        <f>_xlfn.XLOOKUP(L6976,[2]analyte_order!$C:$C,[2]analyte_order!$E:$E)</f>
        <v>52</v>
      </c>
      <c r="N6976">
        <v>27.3</v>
      </c>
    </row>
    <row r="6977" spans="1:14">
      <c r="A6977" t="s">
        <v>300</v>
      </c>
      <c r="B6977" t="str">
        <f>_xlfn.XLOOKUP(A6977,'[1]Tissue Data'!$A:$A,'[1]Tissue Data'!$C:$C)</f>
        <v>Down</v>
      </c>
      <c r="C6977" s="2">
        <f>_xlfn.XLOOKUP(A6977,'[1]Tissue Data'!$A:$A,'[1]Tissue Data'!$D:$D)</f>
        <v>44393</v>
      </c>
      <c r="D6977" s="2" t="str">
        <f>_xlfn.XLOOKUP(A6977,'[1]Tissue Data'!$A:$A,'[1]Tissue Data'!$F:$F)</f>
        <v>Pumpkinseed</v>
      </c>
      <c r="E6977" t="str">
        <f>_xlfn.XLOOKUP(A6977,'[1]Tissue Data'!$A:$A,'[1]Tissue Data'!$H:$H)</f>
        <v>Lepomis</v>
      </c>
      <c r="F6977" t="str">
        <f>_xlfn.XLOOKUP(A6977,'[1]Tissue Data'!$A:$A,'[1]Tissue Data'!$I:$I)</f>
        <v>gibbosus</v>
      </c>
      <c r="G6977" t="str">
        <f>_xlfn.XLOOKUP(A6977,'[1]Tissue Data'!$A:$A,'[1]Tissue Data'!J:J)</f>
        <v>M</v>
      </c>
      <c r="H6977" t="str">
        <f>_xlfn.XLOOKUP(A6977,'[1]Tissue Data'!$A:$A,'[1]Tissue Data'!K:K)</f>
        <v>Muscle</v>
      </c>
      <c r="I6977">
        <f>_xlfn.XLOOKUP(A6977,'[1]Tissue Data'!$A:$A,'[1]Tissue Data'!L:L)</f>
        <v>12.5</v>
      </c>
      <c r="J6977">
        <f>_xlfn.XLOOKUP(A6977,'[1]Tissue Data'!$A:$A,'[1]Tissue Data'!M:M)</f>
        <v>55</v>
      </c>
      <c r="K6977" t="s">
        <v>37</v>
      </c>
      <c r="L6977" t="str">
        <f>_xlfn.XLOOKUP(K6977,[2]analyte_order!$B:$B,[2]analyte_order!$C:$C)</f>
        <v>754-91-6</v>
      </c>
      <c r="M6977">
        <f>_xlfn.XLOOKUP(L6977,[2]analyte_order!$C:$C,[2]analyte_order!$E:$E)</f>
        <v>28</v>
      </c>
      <c r="N6977">
        <v>5.44</v>
      </c>
    </row>
    <row r="6978" spans="1:14">
      <c r="A6978" t="s">
        <v>300</v>
      </c>
      <c r="B6978" t="str">
        <f>_xlfn.XLOOKUP(A6978,'[1]Tissue Data'!$A:$A,'[1]Tissue Data'!$C:$C)</f>
        <v>Down</v>
      </c>
      <c r="C6978" s="2">
        <f>_xlfn.XLOOKUP(A6978,'[1]Tissue Data'!$A:$A,'[1]Tissue Data'!$D:$D)</f>
        <v>44393</v>
      </c>
      <c r="D6978" s="2" t="str">
        <f>_xlfn.XLOOKUP(A6978,'[1]Tissue Data'!$A:$A,'[1]Tissue Data'!$F:$F)</f>
        <v>Pumpkinseed</v>
      </c>
      <c r="E6978" t="str">
        <f>_xlfn.XLOOKUP(A6978,'[1]Tissue Data'!$A:$A,'[1]Tissue Data'!$H:$H)</f>
        <v>Lepomis</v>
      </c>
      <c r="F6978" t="str">
        <f>_xlfn.XLOOKUP(A6978,'[1]Tissue Data'!$A:$A,'[1]Tissue Data'!$I:$I)</f>
        <v>gibbosus</v>
      </c>
      <c r="G6978" t="str">
        <f>_xlfn.XLOOKUP(A6978,'[1]Tissue Data'!$A:$A,'[1]Tissue Data'!J:J)</f>
        <v>M</v>
      </c>
      <c r="H6978" t="str">
        <f>_xlfn.XLOOKUP(A6978,'[1]Tissue Data'!$A:$A,'[1]Tissue Data'!K:K)</f>
        <v>Muscle</v>
      </c>
      <c r="I6978">
        <f>_xlfn.XLOOKUP(A6978,'[1]Tissue Data'!$A:$A,'[1]Tissue Data'!L:L)</f>
        <v>12.5</v>
      </c>
      <c r="J6978">
        <f>_xlfn.XLOOKUP(A6978,'[1]Tissue Data'!$A:$A,'[1]Tissue Data'!M:M)</f>
        <v>55</v>
      </c>
      <c r="K6978" t="s">
        <v>38</v>
      </c>
      <c r="L6978" t="str">
        <f>_xlfn.XLOOKUP(K6978,[2]analyte_order!$B:$B,[2]analyte_order!$C:$C)</f>
        <v>31506-32-8</v>
      </c>
      <c r="M6978">
        <f>_xlfn.XLOOKUP(L6978,[2]analyte_order!$C:$C,[2]analyte_order!$E:$E)</f>
        <v>30</v>
      </c>
      <c r="N6978">
        <v>8.4500000000000006E-2</v>
      </c>
    </row>
    <row r="6979" spans="1:14">
      <c r="A6979" t="s">
        <v>300</v>
      </c>
      <c r="B6979" t="str">
        <f>_xlfn.XLOOKUP(A6979,'[1]Tissue Data'!$A:$A,'[1]Tissue Data'!$C:$C)</f>
        <v>Down</v>
      </c>
      <c r="C6979" s="2">
        <f>_xlfn.XLOOKUP(A6979,'[1]Tissue Data'!$A:$A,'[1]Tissue Data'!$D:$D)</f>
        <v>44393</v>
      </c>
      <c r="D6979" s="2" t="str">
        <f>_xlfn.XLOOKUP(A6979,'[1]Tissue Data'!$A:$A,'[1]Tissue Data'!$F:$F)</f>
        <v>Pumpkinseed</v>
      </c>
      <c r="E6979" t="str">
        <f>_xlfn.XLOOKUP(A6979,'[1]Tissue Data'!$A:$A,'[1]Tissue Data'!$H:$H)</f>
        <v>Lepomis</v>
      </c>
      <c r="F6979" t="str">
        <f>_xlfn.XLOOKUP(A6979,'[1]Tissue Data'!$A:$A,'[1]Tissue Data'!$I:$I)</f>
        <v>gibbosus</v>
      </c>
      <c r="G6979" t="str">
        <f>_xlfn.XLOOKUP(A6979,'[1]Tissue Data'!$A:$A,'[1]Tissue Data'!J:J)</f>
        <v>M</v>
      </c>
      <c r="H6979" t="str">
        <f>_xlfn.XLOOKUP(A6979,'[1]Tissue Data'!$A:$A,'[1]Tissue Data'!K:K)</f>
        <v>Muscle</v>
      </c>
      <c r="I6979">
        <f>_xlfn.XLOOKUP(A6979,'[1]Tissue Data'!$A:$A,'[1]Tissue Data'!L:L)</f>
        <v>12.5</v>
      </c>
      <c r="J6979">
        <f>_xlfn.XLOOKUP(A6979,'[1]Tissue Data'!$A:$A,'[1]Tissue Data'!M:M)</f>
        <v>55</v>
      </c>
      <c r="K6979" t="s">
        <v>39</v>
      </c>
      <c r="L6979" t="str">
        <f>_xlfn.XLOOKUP(K6979,[2]analyte_order!$B:$B,[2]analyte_order!$C:$C)</f>
        <v>4151-50-2</v>
      </c>
      <c r="M6979">
        <f>_xlfn.XLOOKUP(L6979,[2]analyte_order!$C:$C,[2]analyte_order!$E:$E)</f>
        <v>31</v>
      </c>
      <c r="N6979">
        <v>0.22</v>
      </c>
    </row>
    <row r="6980" spans="1:14">
      <c r="A6980" t="s">
        <v>300</v>
      </c>
      <c r="B6980" t="str">
        <f>_xlfn.XLOOKUP(A6980,'[1]Tissue Data'!$A:$A,'[1]Tissue Data'!$C:$C)</f>
        <v>Down</v>
      </c>
      <c r="C6980" s="2">
        <f>_xlfn.XLOOKUP(A6980,'[1]Tissue Data'!$A:$A,'[1]Tissue Data'!$D:$D)</f>
        <v>44393</v>
      </c>
      <c r="D6980" s="2" t="str">
        <f>_xlfn.XLOOKUP(A6980,'[1]Tissue Data'!$A:$A,'[1]Tissue Data'!$F:$F)</f>
        <v>Pumpkinseed</v>
      </c>
      <c r="E6980" t="str">
        <f>_xlfn.XLOOKUP(A6980,'[1]Tissue Data'!$A:$A,'[1]Tissue Data'!$H:$H)</f>
        <v>Lepomis</v>
      </c>
      <c r="F6980" t="str">
        <f>_xlfn.XLOOKUP(A6980,'[1]Tissue Data'!$A:$A,'[1]Tissue Data'!$I:$I)</f>
        <v>gibbosus</v>
      </c>
      <c r="G6980" t="str">
        <f>_xlfn.XLOOKUP(A6980,'[1]Tissue Data'!$A:$A,'[1]Tissue Data'!J:J)</f>
        <v>M</v>
      </c>
      <c r="H6980" t="str">
        <f>_xlfn.XLOOKUP(A6980,'[1]Tissue Data'!$A:$A,'[1]Tissue Data'!K:K)</f>
        <v>Muscle</v>
      </c>
      <c r="I6980">
        <f>_xlfn.XLOOKUP(A6980,'[1]Tissue Data'!$A:$A,'[1]Tissue Data'!L:L)</f>
        <v>12.5</v>
      </c>
      <c r="J6980">
        <f>_xlfn.XLOOKUP(A6980,'[1]Tissue Data'!$A:$A,'[1]Tissue Data'!M:M)</f>
        <v>55</v>
      </c>
      <c r="K6980" t="s">
        <v>40</v>
      </c>
      <c r="L6980" t="str">
        <f>_xlfn.XLOOKUP(K6980,[2]analyte_order!$B:$B,[2]analyte_order!$C:$C)</f>
        <v>2806-24-8</v>
      </c>
      <c r="M6980">
        <f>_xlfn.XLOOKUP(L6980,[2]analyte_order!$C:$C,[2]analyte_order!$E:$E)</f>
        <v>29</v>
      </c>
      <c r="N6980">
        <v>0.22</v>
      </c>
    </row>
    <row r="6981" spans="1:14">
      <c r="A6981" t="s">
        <v>300</v>
      </c>
      <c r="B6981" t="str">
        <f>_xlfn.XLOOKUP(A6981,'[1]Tissue Data'!$A:$A,'[1]Tissue Data'!$C:$C)</f>
        <v>Down</v>
      </c>
      <c r="C6981" s="2">
        <f>_xlfn.XLOOKUP(A6981,'[1]Tissue Data'!$A:$A,'[1]Tissue Data'!$D:$D)</f>
        <v>44393</v>
      </c>
      <c r="D6981" s="2" t="str">
        <f>_xlfn.XLOOKUP(A6981,'[1]Tissue Data'!$A:$A,'[1]Tissue Data'!$F:$F)</f>
        <v>Pumpkinseed</v>
      </c>
      <c r="E6981" t="str">
        <f>_xlfn.XLOOKUP(A6981,'[1]Tissue Data'!$A:$A,'[1]Tissue Data'!$H:$H)</f>
        <v>Lepomis</v>
      </c>
      <c r="F6981" t="str">
        <f>_xlfn.XLOOKUP(A6981,'[1]Tissue Data'!$A:$A,'[1]Tissue Data'!$I:$I)</f>
        <v>gibbosus</v>
      </c>
      <c r="G6981" t="str">
        <f>_xlfn.XLOOKUP(A6981,'[1]Tissue Data'!$A:$A,'[1]Tissue Data'!J:J)</f>
        <v>M</v>
      </c>
      <c r="H6981" t="str">
        <f>_xlfn.XLOOKUP(A6981,'[1]Tissue Data'!$A:$A,'[1]Tissue Data'!K:K)</f>
        <v>Muscle</v>
      </c>
      <c r="I6981">
        <f>_xlfn.XLOOKUP(A6981,'[1]Tissue Data'!$A:$A,'[1]Tissue Data'!L:L)</f>
        <v>12.5</v>
      </c>
      <c r="J6981">
        <f>_xlfn.XLOOKUP(A6981,'[1]Tissue Data'!$A:$A,'[1]Tissue Data'!M:M)</f>
        <v>55</v>
      </c>
      <c r="K6981" t="s">
        <v>41</v>
      </c>
      <c r="L6981" t="str">
        <f>_xlfn.XLOOKUP(K6981,[2]analyte_order!$B:$B,[2]analyte_order!$C:$C)</f>
        <v>2355-31-9</v>
      </c>
      <c r="M6981">
        <f>_xlfn.XLOOKUP(L6981,[2]analyte_order!$C:$C,[2]analyte_order!$E:$E)</f>
        <v>26</v>
      </c>
      <c r="N6981">
        <v>0.1105</v>
      </c>
    </row>
    <row r="6982" spans="1:14">
      <c r="A6982" t="s">
        <v>300</v>
      </c>
      <c r="B6982" t="str">
        <f>_xlfn.XLOOKUP(A6982,'[1]Tissue Data'!$A:$A,'[1]Tissue Data'!$C:$C)</f>
        <v>Down</v>
      </c>
      <c r="C6982" s="2">
        <f>_xlfn.XLOOKUP(A6982,'[1]Tissue Data'!$A:$A,'[1]Tissue Data'!$D:$D)</f>
        <v>44393</v>
      </c>
      <c r="D6982" s="2" t="str">
        <f>_xlfn.XLOOKUP(A6982,'[1]Tissue Data'!$A:$A,'[1]Tissue Data'!$F:$F)</f>
        <v>Pumpkinseed</v>
      </c>
      <c r="E6982" t="str">
        <f>_xlfn.XLOOKUP(A6982,'[1]Tissue Data'!$A:$A,'[1]Tissue Data'!$H:$H)</f>
        <v>Lepomis</v>
      </c>
      <c r="F6982" t="str">
        <f>_xlfn.XLOOKUP(A6982,'[1]Tissue Data'!$A:$A,'[1]Tissue Data'!$I:$I)</f>
        <v>gibbosus</v>
      </c>
      <c r="G6982" t="str">
        <f>_xlfn.XLOOKUP(A6982,'[1]Tissue Data'!$A:$A,'[1]Tissue Data'!J:J)</f>
        <v>M</v>
      </c>
      <c r="H6982" t="str">
        <f>_xlfn.XLOOKUP(A6982,'[1]Tissue Data'!$A:$A,'[1]Tissue Data'!K:K)</f>
        <v>Muscle</v>
      </c>
      <c r="I6982">
        <f>_xlfn.XLOOKUP(A6982,'[1]Tissue Data'!$A:$A,'[1]Tissue Data'!L:L)</f>
        <v>12.5</v>
      </c>
      <c r="J6982">
        <f>_xlfn.XLOOKUP(A6982,'[1]Tissue Data'!$A:$A,'[1]Tissue Data'!M:M)</f>
        <v>55</v>
      </c>
      <c r="K6982" t="s">
        <v>42</v>
      </c>
      <c r="L6982" t="str">
        <f>_xlfn.XLOOKUP(K6982,[2]analyte_order!$B:$B,[2]analyte_order!$C:$C)</f>
        <v>2991-50-6</v>
      </c>
      <c r="M6982">
        <f>_xlfn.XLOOKUP(L6982,[2]analyte_order!$C:$C,[2]analyte_order!$E:$E)</f>
        <v>27</v>
      </c>
      <c r="N6982">
        <v>0.11</v>
      </c>
    </row>
    <row r="6983" spans="1:14">
      <c r="A6983" t="s">
        <v>300</v>
      </c>
      <c r="B6983" t="str">
        <f>_xlfn.XLOOKUP(A6983,'[1]Tissue Data'!$A:$A,'[1]Tissue Data'!$C:$C)</f>
        <v>Down</v>
      </c>
      <c r="C6983" s="2">
        <f>_xlfn.XLOOKUP(A6983,'[1]Tissue Data'!$A:$A,'[1]Tissue Data'!$D:$D)</f>
        <v>44393</v>
      </c>
      <c r="D6983" s="2" t="str">
        <f>_xlfn.XLOOKUP(A6983,'[1]Tissue Data'!$A:$A,'[1]Tissue Data'!$F:$F)</f>
        <v>Pumpkinseed</v>
      </c>
      <c r="E6983" t="str">
        <f>_xlfn.XLOOKUP(A6983,'[1]Tissue Data'!$A:$A,'[1]Tissue Data'!$H:$H)</f>
        <v>Lepomis</v>
      </c>
      <c r="F6983" t="str">
        <f>_xlfn.XLOOKUP(A6983,'[1]Tissue Data'!$A:$A,'[1]Tissue Data'!$I:$I)</f>
        <v>gibbosus</v>
      </c>
      <c r="G6983" t="str">
        <f>_xlfn.XLOOKUP(A6983,'[1]Tissue Data'!$A:$A,'[1]Tissue Data'!J:J)</f>
        <v>M</v>
      </c>
      <c r="H6983" t="str">
        <f>_xlfn.XLOOKUP(A6983,'[1]Tissue Data'!$A:$A,'[1]Tissue Data'!K:K)</f>
        <v>Muscle</v>
      </c>
      <c r="I6983">
        <f>_xlfn.XLOOKUP(A6983,'[1]Tissue Data'!$A:$A,'[1]Tissue Data'!L:L)</f>
        <v>12.5</v>
      </c>
      <c r="J6983">
        <f>_xlfn.XLOOKUP(A6983,'[1]Tissue Data'!$A:$A,'[1]Tissue Data'!M:M)</f>
        <v>55</v>
      </c>
      <c r="K6983" t="s">
        <v>43</v>
      </c>
      <c r="L6983" t="str">
        <f>_xlfn.XLOOKUP(K6983,[2]analyte_order!$B:$B,[2]analyte_order!$C:$C)</f>
        <v>757124-72-4</v>
      </c>
      <c r="M6983">
        <f>_xlfn.XLOOKUP(L6983,[2]analyte_order!$C:$C,[2]analyte_order!$E:$E)</f>
        <v>22</v>
      </c>
      <c r="N6983">
        <v>0.11</v>
      </c>
    </row>
    <row r="6984" spans="1:14">
      <c r="A6984" t="s">
        <v>300</v>
      </c>
      <c r="B6984" t="str">
        <f>_xlfn.XLOOKUP(A6984,'[1]Tissue Data'!$A:$A,'[1]Tissue Data'!$C:$C)</f>
        <v>Down</v>
      </c>
      <c r="C6984" s="2">
        <f>_xlfn.XLOOKUP(A6984,'[1]Tissue Data'!$A:$A,'[1]Tissue Data'!$D:$D)</f>
        <v>44393</v>
      </c>
      <c r="D6984" s="2" t="str">
        <f>_xlfn.XLOOKUP(A6984,'[1]Tissue Data'!$A:$A,'[1]Tissue Data'!$F:$F)</f>
        <v>Pumpkinseed</v>
      </c>
      <c r="E6984" t="str">
        <f>_xlfn.XLOOKUP(A6984,'[1]Tissue Data'!$A:$A,'[1]Tissue Data'!$H:$H)</f>
        <v>Lepomis</v>
      </c>
      <c r="F6984" t="str">
        <f>_xlfn.XLOOKUP(A6984,'[1]Tissue Data'!$A:$A,'[1]Tissue Data'!$I:$I)</f>
        <v>gibbosus</v>
      </c>
      <c r="G6984" t="str">
        <f>_xlfn.XLOOKUP(A6984,'[1]Tissue Data'!$A:$A,'[1]Tissue Data'!J:J)</f>
        <v>M</v>
      </c>
      <c r="H6984" t="str">
        <f>_xlfn.XLOOKUP(A6984,'[1]Tissue Data'!$A:$A,'[1]Tissue Data'!K:K)</f>
        <v>Muscle</v>
      </c>
      <c r="I6984">
        <f>_xlfn.XLOOKUP(A6984,'[1]Tissue Data'!$A:$A,'[1]Tissue Data'!L:L)</f>
        <v>12.5</v>
      </c>
      <c r="J6984">
        <f>_xlfn.XLOOKUP(A6984,'[1]Tissue Data'!$A:$A,'[1]Tissue Data'!M:M)</f>
        <v>55</v>
      </c>
      <c r="K6984" t="s">
        <v>44</v>
      </c>
      <c r="L6984" t="str">
        <f>_xlfn.XLOOKUP(K6984,[2]analyte_order!$B:$B,[2]analyte_order!$C:$C)</f>
        <v>27619-97-2</v>
      </c>
      <c r="M6984">
        <f>_xlfn.XLOOKUP(L6984,[2]analyte_order!$C:$C,[2]analyte_order!$E:$E)</f>
        <v>23</v>
      </c>
      <c r="N6984">
        <v>0.11</v>
      </c>
    </row>
    <row r="6985" spans="1:14">
      <c r="A6985" t="s">
        <v>300</v>
      </c>
      <c r="B6985" t="str">
        <f>_xlfn.XLOOKUP(A6985,'[1]Tissue Data'!$A:$A,'[1]Tissue Data'!$C:$C)</f>
        <v>Down</v>
      </c>
      <c r="C6985" s="2">
        <f>_xlfn.XLOOKUP(A6985,'[1]Tissue Data'!$A:$A,'[1]Tissue Data'!$D:$D)</f>
        <v>44393</v>
      </c>
      <c r="D6985" s="2" t="str">
        <f>_xlfn.XLOOKUP(A6985,'[1]Tissue Data'!$A:$A,'[1]Tissue Data'!$F:$F)</f>
        <v>Pumpkinseed</v>
      </c>
      <c r="E6985" t="str">
        <f>_xlfn.XLOOKUP(A6985,'[1]Tissue Data'!$A:$A,'[1]Tissue Data'!$H:$H)</f>
        <v>Lepomis</v>
      </c>
      <c r="F6985" t="str">
        <f>_xlfn.XLOOKUP(A6985,'[1]Tissue Data'!$A:$A,'[1]Tissue Data'!$I:$I)</f>
        <v>gibbosus</v>
      </c>
      <c r="G6985" t="str">
        <f>_xlfn.XLOOKUP(A6985,'[1]Tissue Data'!$A:$A,'[1]Tissue Data'!J:J)</f>
        <v>M</v>
      </c>
      <c r="H6985" t="str">
        <f>_xlfn.XLOOKUP(A6985,'[1]Tissue Data'!$A:$A,'[1]Tissue Data'!K:K)</f>
        <v>Muscle</v>
      </c>
      <c r="I6985">
        <f>_xlfn.XLOOKUP(A6985,'[1]Tissue Data'!$A:$A,'[1]Tissue Data'!L:L)</f>
        <v>12.5</v>
      </c>
      <c r="J6985">
        <f>_xlfn.XLOOKUP(A6985,'[1]Tissue Data'!$A:$A,'[1]Tissue Data'!M:M)</f>
        <v>55</v>
      </c>
      <c r="K6985" t="s">
        <v>45</v>
      </c>
      <c r="L6985" t="str">
        <f>_xlfn.XLOOKUP(K6985,[2]analyte_order!$B:$B,[2]analyte_order!$C:$C)</f>
        <v>39108-34-4</v>
      </c>
      <c r="M6985">
        <f>_xlfn.XLOOKUP(L6985,[2]analyte_order!$C:$C,[2]analyte_order!$E:$E)</f>
        <v>24</v>
      </c>
      <c r="N6985">
        <v>0.72499999999999998</v>
      </c>
    </row>
    <row r="6986" spans="1:14">
      <c r="A6986" t="s">
        <v>300</v>
      </c>
      <c r="B6986" t="str">
        <f>_xlfn.XLOOKUP(A6986,'[1]Tissue Data'!$A:$A,'[1]Tissue Data'!$C:$C)</f>
        <v>Down</v>
      </c>
      <c r="C6986" s="2">
        <f>_xlfn.XLOOKUP(A6986,'[1]Tissue Data'!$A:$A,'[1]Tissue Data'!$D:$D)</f>
        <v>44393</v>
      </c>
      <c r="D6986" s="2" t="str">
        <f>_xlfn.XLOOKUP(A6986,'[1]Tissue Data'!$A:$A,'[1]Tissue Data'!$F:$F)</f>
        <v>Pumpkinseed</v>
      </c>
      <c r="E6986" t="str">
        <f>_xlfn.XLOOKUP(A6986,'[1]Tissue Data'!$A:$A,'[1]Tissue Data'!$H:$H)</f>
        <v>Lepomis</v>
      </c>
      <c r="F6986" t="str">
        <f>_xlfn.XLOOKUP(A6986,'[1]Tissue Data'!$A:$A,'[1]Tissue Data'!$I:$I)</f>
        <v>gibbosus</v>
      </c>
      <c r="G6986" t="str">
        <f>_xlfn.XLOOKUP(A6986,'[1]Tissue Data'!$A:$A,'[1]Tissue Data'!J:J)</f>
        <v>M</v>
      </c>
      <c r="H6986" t="str">
        <f>_xlfn.XLOOKUP(A6986,'[1]Tissue Data'!$A:$A,'[1]Tissue Data'!K:K)</f>
        <v>Muscle</v>
      </c>
      <c r="I6986">
        <f>_xlfn.XLOOKUP(A6986,'[1]Tissue Data'!$A:$A,'[1]Tissue Data'!L:L)</f>
        <v>12.5</v>
      </c>
      <c r="J6986">
        <f>_xlfn.XLOOKUP(A6986,'[1]Tissue Data'!$A:$A,'[1]Tissue Data'!M:M)</f>
        <v>55</v>
      </c>
      <c r="K6986" t="s">
        <v>46</v>
      </c>
      <c r="L6986" t="str">
        <f>_xlfn.XLOOKUP(K6986,[2]analyte_order!$B:$B,[2]analyte_order!$C:$C)</f>
        <v>120226-60-0</v>
      </c>
      <c r="M6986">
        <f>_xlfn.XLOOKUP(L6986,[2]analyte_order!$C:$C,[2]analyte_order!$E:$E)</f>
        <v>25</v>
      </c>
      <c r="N6986">
        <v>0.44</v>
      </c>
    </row>
    <row r="6987" spans="1:14">
      <c r="A6987" t="s">
        <v>300</v>
      </c>
      <c r="B6987" t="str">
        <f>_xlfn.XLOOKUP(A6987,'[1]Tissue Data'!$A:$A,'[1]Tissue Data'!$C:$C)</f>
        <v>Down</v>
      </c>
      <c r="C6987" s="2">
        <f>_xlfn.XLOOKUP(A6987,'[1]Tissue Data'!$A:$A,'[1]Tissue Data'!$D:$D)</f>
        <v>44393</v>
      </c>
      <c r="D6987" s="2" t="str">
        <f>_xlfn.XLOOKUP(A6987,'[1]Tissue Data'!$A:$A,'[1]Tissue Data'!$F:$F)</f>
        <v>Pumpkinseed</v>
      </c>
      <c r="E6987" t="str">
        <f>_xlfn.XLOOKUP(A6987,'[1]Tissue Data'!$A:$A,'[1]Tissue Data'!$H:$H)</f>
        <v>Lepomis</v>
      </c>
      <c r="F6987" t="str">
        <f>_xlfn.XLOOKUP(A6987,'[1]Tissue Data'!$A:$A,'[1]Tissue Data'!$I:$I)</f>
        <v>gibbosus</v>
      </c>
      <c r="G6987" t="str">
        <f>_xlfn.XLOOKUP(A6987,'[1]Tissue Data'!$A:$A,'[1]Tissue Data'!J:J)</f>
        <v>M</v>
      </c>
      <c r="H6987" t="str">
        <f>_xlfn.XLOOKUP(A6987,'[1]Tissue Data'!$A:$A,'[1]Tissue Data'!K:K)</f>
        <v>Muscle</v>
      </c>
      <c r="I6987">
        <f>_xlfn.XLOOKUP(A6987,'[1]Tissue Data'!$A:$A,'[1]Tissue Data'!L:L)</f>
        <v>12.5</v>
      </c>
      <c r="J6987">
        <f>_xlfn.XLOOKUP(A6987,'[1]Tissue Data'!$A:$A,'[1]Tissue Data'!M:M)</f>
        <v>55</v>
      </c>
      <c r="K6987" t="s">
        <v>47</v>
      </c>
      <c r="L6987" t="str">
        <f>_xlfn.XLOOKUP(K6987,[2]analyte_order!$B:$B,[2]analyte_order!$C:$C)</f>
        <v>356-02-5</v>
      </c>
      <c r="M6987">
        <f>_xlfn.XLOOKUP(L6987,[2]analyte_order!$C:$C,[2]analyte_order!$E:$E)</f>
        <v>38</v>
      </c>
      <c r="N6987">
        <v>0.22</v>
      </c>
    </row>
    <row r="6988" spans="1:14">
      <c r="A6988" t="s">
        <v>300</v>
      </c>
      <c r="B6988" t="str">
        <f>_xlfn.XLOOKUP(A6988,'[1]Tissue Data'!$A:$A,'[1]Tissue Data'!$C:$C)</f>
        <v>Down</v>
      </c>
      <c r="C6988" s="2">
        <f>_xlfn.XLOOKUP(A6988,'[1]Tissue Data'!$A:$A,'[1]Tissue Data'!$D:$D)</f>
        <v>44393</v>
      </c>
      <c r="D6988" s="2" t="str">
        <f>_xlfn.XLOOKUP(A6988,'[1]Tissue Data'!$A:$A,'[1]Tissue Data'!$F:$F)</f>
        <v>Pumpkinseed</v>
      </c>
      <c r="E6988" t="str">
        <f>_xlfn.XLOOKUP(A6988,'[1]Tissue Data'!$A:$A,'[1]Tissue Data'!$H:$H)</f>
        <v>Lepomis</v>
      </c>
      <c r="F6988" t="str">
        <f>_xlfn.XLOOKUP(A6988,'[1]Tissue Data'!$A:$A,'[1]Tissue Data'!$I:$I)</f>
        <v>gibbosus</v>
      </c>
      <c r="G6988" t="str">
        <f>_xlfn.XLOOKUP(A6988,'[1]Tissue Data'!$A:$A,'[1]Tissue Data'!J:J)</f>
        <v>M</v>
      </c>
      <c r="H6988" t="str">
        <f>_xlfn.XLOOKUP(A6988,'[1]Tissue Data'!$A:$A,'[1]Tissue Data'!K:K)</f>
        <v>Muscle</v>
      </c>
      <c r="I6988">
        <f>_xlfn.XLOOKUP(A6988,'[1]Tissue Data'!$A:$A,'[1]Tissue Data'!L:L)</f>
        <v>12.5</v>
      </c>
      <c r="J6988">
        <f>_xlfn.XLOOKUP(A6988,'[1]Tissue Data'!$A:$A,'[1]Tissue Data'!M:M)</f>
        <v>55</v>
      </c>
      <c r="K6988" t="s">
        <v>48</v>
      </c>
      <c r="L6988" t="str">
        <f>_xlfn.XLOOKUP(K6988,[2]analyte_order!$B:$B,[2]analyte_order!$C:$C)</f>
        <v>914637-49-3</v>
      </c>
      <c r="M6988">
        <f>_xlfn.XLOOKUP(L6988,[2]analyte_order!$C:$C,[2]analyte_order!$E:$E)</f>
        <v>39</v>
      </c>
      <c r="N6988">
        <v>0.22</v>
      </c>
    </row>
    <row r="6989" spans="1:14">
      <c r="A6989" t="s">
        <v>300</v>
      </c>
      <c r="B6989" t="str">
        <f>_xlfn.XLOOKUP(A6989,'[1]Tissue Data'!$A:$A,'[1]Tissue Data'!$C:$C)</f>
        <v>Down</v>
      </c>
      <c r="C6989" s="2">
        <f>_xlfn.XLOOKUP(A6989,'[1]Tissue Data'!$A:$A,'[1]Tissue Data'!$D:$D)</f>
        <v>44393</v>
      </c>
      <c r="D6989" s="2" t="str">
        <f>_xlfn.XLOOKUP(A6989,'[1]Tissue Data'!$A:$A,'[1]Tissue Data'!$F:$F)</f>
        <v>Pumpkinseed</v>
      </c>
      <c r="E6989" t="str">
        <f>_xlfn.XLOOKUP(A6989,'[1]Tissue Data'!$A:$A,'[1]Tissue Data'!$H:$H)</f>
        <v>Lepomis</v>
      </c>
      <c r="F6989" t="str">
        <f>_xlfn.XLOOKUP(A6989,'[1]Tissue Data'!$A:$A,'[1]Tissue Data'!$I:$I)</f>
        <v>gibbosus</v>
      </c>
      <c r="G6989" t="str">
        <f>_xlfn.XLOOKUP(A6989,'[1]Tissue Data'!$A:$A,'[1]Tissue Data'!J:J)</f>
        <v>M</v>
      </c>
      <c r="H6989" t="str">
        <f>_xlfn.XLOOKUP(A6989,'[1]Tissue Data'!$A:$A,'[1]Tissue Data'!K:K)</f>
        <v>Muscle</v>
      </c>
      <c r="I6989">
        <f>_xlfn.XLOOKUP(A6989,'[1]Tissue Data'!$A:$A,'[1]Tissue Data'!L:L)</f>
        <v>12.5</v>
      </c>
      <c r="J6989">
        <f>_xlfn.XLOOKUP(A6989,'[1]Tissue Data'!$A:$A,'[1]Tissue Data'!M:M)</f>
        <v>55</v>
      </c>
      <c r="K6989" t="s">
        <v>49</v>
      </c>
      <c r="L6989" t="str">
        <f>_xlfn.XLOOKUP(K6989,[2]analyte_order!$B:$B,[2]analyte_order!$C:$C)</f>
        <v>812-70-4</v>
      </c>
      <c r="M6989">
        <f>_xlfn.XLOOKUP(L6989,[2]analyte_order!$C:$C,[2]analyte_order!$E:$E)</f>
        <v>40</v>
      </c>
      <c r="N6989">
        <v>1.74</v>
      </c>
    </row>
    <row r="6990" spans="1:14">
      <c r="A6990" t="s">
        <v>300</v>
      </c>
      <c r="B6990" t="str">
        <f>_xlfn.XLOOKUP(A6990,'[1]Tissue Data'!$A:$A,'[1]Tissue Data'!$C:$C)</f>
        <v>Down</v>
      </c>
      <c r="C6990" s="2">
        <f>_xlfn.XLOOKUP(A6990,'[1]Tissue Data'!$A:$A,'[1]Tissue Data'!$D:$D)</f>
        <v>44393</v>
      </c>
      <c r="D6990" s="2" t="str">
        <f>_xlfn.XLOOKUP(A6990,'[1]Tissue Data'!$A:$A,'[1]Tissue Data'!$F:$F)</f>
        <v>Pumpkinseed</v>
      </c>
      <c r="E6990" t="str">
        <f>_xlfn.XLOOKUP(A6990,'[1]Tissue Data'!$A:$A,'[1]Tissue Data'!$H:$H)</f>
        <v>Lepomis</v>
      </c>
      <c r="F6990" t="str">
        <f>_xlfn.XLOOKUP(A6990,'[1]Tissue Data'!$A:$A,'[1]Tissue Data'!$I:$I)</f>
        <v>gibbosus</v>
      </c>
      <c r="G6990" t="str">
        <f>_xlfn.XLOOKUP(A6990,'[1]Tissue Data'!$A:$A,'[1]Tissue Data'!J:J)</f>
        <v>M</v>
      </c>
      <c r="H6990" t="str">
        <f>_xlfn.XLOOKUP(A6990,'[1]Tissue Data'!$A:$A,'[1]Tissue Data'!K:K)</f>
        <v>Muscle</v>
      </c>
      <c r="I6990">
        <f>_xlfn.XLOOKUP(A6990,'[1]Tissue Data'!$A:$A,'[1]Tissue Data'!L:L)</f>
        <v>12.5</v>
      </c>
      <c r="J6990">
        <f>_xlfn.XLOOKUP(A6990,'[1]Tissue Data'!$A:$A,'[1]Tissue Data'!M:M)</f>
        <v>55</v>
      </c>
      <c r="K6990" t="s">
        <v>50</v>
      </c>
      <c r="L6990" t="str">
        <f>_xlfn.XLOOKUP(K6990,[2]analyte_order!$B:$B,[2]analyte_order!$C:$C)</f>
        <v>53826-12-3</v>
      </c>
      <c r="M6990">
        <f>_xlfn.XLOOKUP(L6990,[2]analyte_order!$C:$C,[2]analyte_order!$E:$E)</f>
        <v>41</v>
      </c>
      <c r="N6990">
        <v>0.22</v>
      </c>
    </row>
    <row r="6991" spans="1:14">
      <c r="A6991" t="s">
        <v>300</v>
      </c>
      <c r="B6991" t="str">
        <f>_xlfn.XLOOKUP(A6991,'[1]Tissue Data'!$A:$A,'[1]Tissue Data'!$C:$C)</f>
        <v>Down</v>
      </c>
      <c r="C6991" s="2">
        <f>_xlfn.XLOOKUP(A6991,'[1]Tissue Data'!$A:$A,'[1]Tissue Data'!$D:$D)</f>
        <v>44393</v>
      </c>
      <c r="D6991" s="2" t="str">
        <f>_xlfn.XLOOKUP(A6991,'[1]Tissue Data'!$A:$A,'[1]Tissue Data'!$F:$F)</f>
        <v>Pumpkinseed</v>
      </c>
      <c r="E6991" t="str">
        <f>_xlfn.XLOOKUP(A6991,'[1]Tissue Data'!$A:$A,'[1]Tissue Data'!$H:$H)</f>
        <v>Lepomis</v>
      </c>
      <c r="F6991" t="str">
        <f>_xlfn.XLOOKUP(A6991,'[1]Tissue Data'!$A:$A,'[1]Tissue Data'!$I:$I)</f>
        <v>gibbosus</v>
      </c>
      <c r="G6991" t="str">
        <f>_xlfn.XLOOKUP(A6991,'[1]Tissue Data'!$A:$A,'[1]Tissue Data'!J:J)</f>
        <v>M</v>
      </c>
      <c r="H6991" t="str">
        <f>_xlfn.XLOOKUP(A6991,'[1]Tissue Data'!$A:$A,'[1]Tissue Data'!K:K)</f>
        <v>Muscle</v>
      </c>
      <c r="I6991">
        <f>_xlfn.XLOOKUP(A6991,'[1]Tissue Data'!$A:$A,'[1]Tissue Data'!L:L)</f>
        <v>12.5</v>
      </c>
      <c r="J6991">
        <f>_xlfn.XLOOKUP(A6991,'[1]Tissue Data'!$A:$A,'[1]Tissue Data'!M:M)</f>
        <v>55</v>
      </c>
      <c r="K6991" t="s">
        <v>51</v>
      </c>
      <c r="L6991" t="str">
        <f>_xlfn.XLOOKUP(K6991,[2]analyte_order!$B:$B,[2]analyte_order!$C:$C)</f>
        <v>27854-31-5</v>
      </c>
      <c r="M6991">
        <f>_xlfn.XLOOKUP(L6991,[2]analyte_order!$C:$C,[2]analyte_order!$E:$E)</f>
        <v>42</v>
      </c>
      <c r="N6991">
        <v>0.11</v>
      </c>
    </row>
    <row r="6992" spans="1:14">
      <c r="A6992" t="s">
        <v>300</v>
      </c>
      <c r="B6992" t="str">
        <f>_xlfn.XLOOKUP(A6992,'[1]Tissue Data'!$A:$A,'[1]Tissue Data'!$C:$C)</f>
        <v>Down</v>
      </c>
      <c r="C6992" s="2">
        <f>_xlfn.XLOOKUP(A6992,'[1]Tissue Data'!$A:$A,'[1]Tissue Data'!$D:$D)</f>
        <v>44393</v>
      </c>
      <c r="D6992" s="2" t="str">
        <f>_xlfn.XLOOKUP(A6992,'[1]Tissue Data'!$A:$A,'[1]Tissue Data'!$F:$F)</f>
        <v>Pumpkinseed</v>
      </c>
      <c r="E6992" t="str">
        <f>_xlfn.XLOOKUP(A6992,'[1]Tissue Data'!$A:$A,'[1]Tissue Data'!$H:$H)</f>
        <v>Lepomis</v>
      </c>
      <c r="F6992" t="str">
        <f>_xlfn.XLOOKUP(A6992,'[1]Tissue Data'!$A:$A,'[1]Tissue Data'!$I:$I)</f>
        <v>gibbosus</v>
      </c>
      <c r="G6992" t="str">
        <f>_xlfn.XLOOKUP(A6992,'[1]Tissue Data'!$A:$A,'[1]Tissue Data'!J:J)</f>
        <v>M</v>
      </c>
      <c r="H6992" t="str">
        <f>_xlfn.XLOOKUP(A6992,'[1]Tissue Data'!$A:$A,'[1]Tissue Data'!K:K)</f>
        <v>Muscle</v>
      </c>
      <c r="I6992">
        <f>_xlfn.XLOOKUP(A6992,'[1]Tissue Data'!$A:$A,'[1]Tissue Data'!L:L)</f>
        <v>12.5</v>
      </c>
      <c r="J6992">
        <f>_xlfn.XLOOKUP(A6992,'[1]Tissue Data'!$A:$A,'[1]Tissue Data'!M:M)</f>
        <v>55</v>
      </c>
      <c r="K6992" t="s">
        <v>52</v>
      </c>
      <c r="L6992" t="str">
        <f>_xlfn.XLOOKUP(K6992,[2]analyte_order!$B:$B,[2]analyte_order!$C:$C)</f>
        <v>53826-13-4</v>
      </c>
      <c r="M6992">
        <f>_xlfn.XLOOKUP(L6992,[2]analyte_order!$C:$C,[2]analyte_order!$E:$E)</f>
        <v>43</v>
      </c>
      <c r="N6992">
        <v>0.22</v>
      </c>
    </row>
    <row r="6993" spans="1:14">
      <c r="A6993" t="s">
        <v>300</v>
      </c>
      <c r="B6993" t="str">
        <f>_xlfn.XLOOKUP(A6993,'[1]Tissue Data'!$A:$A,'[1]Tissue Data'!$C:$C)</f>
        <v>Down</v>
      </c>
      <c r="C6993" s="2">
        <f>_xlfn.XLOOKUP(A6993,'[1]Tissue Data'!$A:$A,'[1]Tissue Data'!$D:$D)</f>
        <v>44393</v>
      </c>
      <c r="D6993" s="2" t="str">
        <f>_xlfn.XLOOKUP(A6993,'[1]Tissue Data'!$A:$A,'[1]Tissue Data'!$F:$F)</f>
        <v>Pumpkinseed</v>
      </c>
      <c r="E6993" t="str">
        <f>_xlfn.XLOOKUP(A6993,'[1]Tissue Data'!$A:$A,'[1]Tissue Data'!$H:$H)</f>
        <v>Lepomis</v>
      </c>
      <c r="F6993" t="str">
        <f>_xlfn.XLOOKUP(A6993,'[1]Tissue Data'!$A:$A,'[1]Tissue Data'!$I:$I)</f>
        <v>gibbosus</v>
      </c>
      <c r="G6993" t="str">
        <f>_xlfn.XLOOKUP(A6993,'[1]Tissue Data'!$A:$A,'[1]Tissue Data'!J:J)</f>
        <v>M</v>
      </c>
      <c r="H6993" t="str">
        <f>_xlfn.XLOOKUP(A6993,'[1]Tissue Data'!$A:$A,'[1]Tissue Data'!K:K)</f>
        <v>Muscle</v>
      </c>
      <c r="I6993">
        <f>_xlfn.XLOOKUP(A6993,'[1]Tissue Data'!$A:$A,'[1]Tissue Data'!L:L)</f>
        <v>12.5</v>
      </c>
      <c r="J6993">
        <f>_xlfn.XLOOKUP(A6993,'[1]Tissue Data'!$A:$A,'[1]Tissue Data'!M:M)</f>
        <v>55</v>
      </c>
      <c r="K6993" t="s">
        <v>53</v>
      </c>
      <c r="L6993" t="str">
        <f>_xlfn.XLOOKUP(K6993,[2]analyte_order!$B:$B,[2]analyte_order!$C:$C)</f>
        <v>161094-75-3</v>
      </c>
      <c r="M6993">
        <f>_xlfn.XLOOKUP(L6993,[2]analyte_order!$C:$C,[2]analyte_order!$E:$E)</f>
        <v>44</v>
      </c>
      <c r="N6993">
        <v>8.6499999999999994E-2</v>
      </c>
    </row>
    <row r="6994" spans="1:14">
      <c r="A6994" t="s">
        <v>300</v>
      </c>
      <c r="B6994" t="str">
        <f>_xlfn.XLOOKUP(A6994,'[1]Tissue Data'!$A:$A,'[1]Tissue Data'!$C:$C)</f>
        <v>Down</v>
      </c>
      <c r="C6994" s="2">
        <f>_xlfn.XLOOKUP(A6994,'[1]Tissue Data'!$A:$A,'[1]Tissue Data'!$D:$D)</f>
        <v>44393</v>
      </c>
      <c r="D6994" s="2" t="str">
        <f>_xlfn.XLOOKUP(A6994,'[1]Tissue Data'!$A:$A,'[1]Tissue Data'!$F:$F)</f>
        <v>Pumpkinseed</v>
      </c>
      <c r="E6994" t="str">
        <f>_xlfn.XLOOKUP(A6994,'[1]Tissue Data'!$A:$A,'[1]Tissue Data'!$H:$H)</f>
        <v>Lepomis</v>
      </c>
      <c r="F6994" t="str">
        <f>_xlfn.XLOOKUP(A6994,'[1]Tissue Data'!$A:$A,'[1]Tissue Data'!$I:$I)</f>
        <v>gibbosus</v>
      </c>
      <c r="G6994" t="str">
        <f>_xlfn.XLOOKUP(A6994,'[1]Tissue Data'!$A:$A,'[1]Tissue Data'!J:J)</f>
        <v>M</v>
      </c>
      <c r="H6994" t="str">
        <f>_xlfn.XLOOKUP(A6994,'[1]Tissue Data'!$A:$A,'[1]Tissue Data'!K:K)</f>
        <v>Muscle</v>
      </c>
      <c r="I6994">
        <f>_xlfn.XLOOKUP(A6994,'[1]Tissue Data'!$A:$A,'[1]Tissue Data'!L:L)</f>
        <v>12.5</v>
      </c>
      <c r="J6994">
        <f>_xlfn.XLOOKUP(A6994,'[1]Tissue Data'!$A:$A,'[1]Tissue Data'!M:M)</f>
        <v>55</v>
      </c>
      <c r="K6994" t="s">
        <v>54</v>
      </c>
      <c r="L6994" t="str">
        <f>_xlfn.XLOOKUP(K6994,[2]analyte_order!$B:$B,[2]analyte_order!$C:$C)</f>
        <v>70887-84-2</v>
      </c>
      <c r="M6994">
        <f>_xlfn.XLOOKUP(L6994,[2]analyte_order!$C:$C,[2]analyte_order!$E:$E)</f>
        <v>45</v>
      </c>
      <c r="N6994">
        <v>6.6500000000000004E-2</v>
      </c>
    </row>
    <row r="6995" spans="1:14">
      <c r="A6995" t="s">
        <v>300</v>
      </c>
      <c r="B6995" t="str">
        <f>_xlfn.XLOOKUP(A6995,'[1]Tissue Data'!$A:$A,'[1]Tissue Data'!$C:$C)</f>
        <v>Down</v>
      </c>
      <c r="C6995" s="2">
        <f>_xlfn.XLOOKUP(A6995,'[1]Tissue Data'!$A:$A,'[1]Tissue Data'!$D:$D)</f>
        <v>44393</v>
      </c>
      <c r="D6995" s="2" t="str">
        <f>_xlfn.XLOOKUP(A6995,'[1]Tissue Data'!$A:$A,'[1]Tissue Data'!$F:$F)</f>
        <v>Pumpkinseed</v>
      </c>
      <c r="E6995" t="str">
        <f>_xlfn.XLOOKUP(A6995,'[1]Tissue Data'!$A:$A,'[1]Tissue Data'!$H:$H)</f>
        <v>Lepomis</v>
      </c>
      <c r="F6995" t="str">
        <f>_xlfn.XLOOKUP(A6995,'[1]Tissue Data'!$A:$A,'[1]Tissue Data'!$I:$I)</f>
        <v>gibbosus</v>
      </c>
      <c r="G6995" t="str">
        <f>_xlfn.XLOOKUP(A6995,'[1]Tissue Data'!$A:$A,'[1]Tissue Data'!J:J)</f>
        <v>M</v>
      </c>
      <c r="H6995" t="str">
        <f>_xlfn.XLOOKUP(A6995,'[1]Tissue Data'!$A:$A,'[1]Tissue Data'!K:K)</f>
        <v>Muscle</v>
      </c>
      <c r="I6995">
        <f>_xlfn.XLOOKUP(A6995,'[1]Tissue Data'!$A:$A,'[1]Tissue Data'!L:L)</f>
        <v>12.5</v>
      </c>
      <c r="J6995">
        <f>_xlfn.XLOOKUP(A6995,'[1]Tissue Data'!$A:$A,'[1]Tissue Data'!M:M)</f>
        <v>55</v>
      </c>
      <c r="K6995" t="s">
        <v>55</v>
      </c>
      <c r="L6995" t="str">
        <f>_xlfn.XLOOKUP(K6995,[2]analyte_order!$B:$B,[2]analyte_order!$C:$C)</f>
        <v>919005-14-4</v>
      </c>
      <c r="M6995">
        <f>_xlfn.XLOOKUP(L6995,[2]analyte_order!$C:$C,[2]analyte_order!$E:$E)</f>
        <v>35</v>
      </c>
      <c r="N6995">
        <v>9.7000000000000003E-2</v>
      </c>
    </row>
    <row r="6996" spans="1:14">
      <c r="A6996" t="s">
        <v>300</v>
      </c>
      <c r="B6996" t="str">
        <f>_xlfn.XLOOKUP(A6996,'[1]Tissue Data'!$A:$A,'[1]Tissue Data'!$C:$C)</f>
        <v>Down</v>
      </c>
      <c r="C6996" s="2">
        <f>_xlfn.XLOOKUP(A6996,'[1]Tissue Data'!$A:$A,'[1]Tissue Data'!$D:$D)</f>
        <v>44393</v>
      </c>
      <c r="D6996" s="2" t="str">
        <f>_xlfn.XLOOKUP(A6996,'[1]Tissue Data'!$A:$A,'[1]Tissue Data'!$F:$F)</f>
        <v>Pumpkinseed</v>
      </c>
      <c r="E6996" t="str">
        <f>_xlfn.XLOOKUP(A6996,'[1]Tissue Data'!$A:$A,'[1]Tissue Data'!$H:$H)</f>
        <v>Lepomis</v>
      </c>
      <c r="F6996" t="str">
        <f>_xlfn.XLOOKUP(A6996,'[1]Tissue Data'!$A:$A,'[1]Tissue Data'!$I:$I)</f>
        <v>gibbosus</v>
      </c>
      <c r="G6996" t="str">
        <f>_xlfn.XLOOKUP(A6996,'[1]Tissue Data'!$A:$A,'[1]Tissue Data'!J:J)</f>
        <v>M</v>
      </c>
      <c r="H6996" t="str">
        <f>_xlfn.XLOOKUP(A6996,'[1]Tissue Data'!$A:$A,'[1]Tissue Data'!K:K)</f>
        <v>Muscle</v>
      </c>
      <c r="I6996">
        <f>_xlfn.XLOOKUP(A6996,'[1]Tissue Data'!$A:$A,'[1]Tissue Data'!L:L)</f>
        <v>12.5</v>
      </c>
      <c r="J6996">
        <f>_xlfn.XLOOKUP(A6996,'[1]Tissue Data'!$A:$A,'[1]Tissue Data'!M:M)</f>
        <v>55</v>
      </c>
      <c r="K6996" t="s">
        <v>56</v>
      </c>
      <c r="L6996" t="str">
        <f>_xlfn.XLOOKUP(K6996,[2]analyte_order!$B:$B,[2]analyte_order!$C:$C)</f>
        <v>756426-58-1</v>
      </c>
      <c r="M6996">
        <f>_xlfn.XLOOKUP(L6996,[2]analyte_order!$C:$C,[2]analyte_order!$E:$E)</f>
        <v>36</v>
      </c>
      <c r="N6996">
        <v>0.22</v>
      </c>
    </row>
    <row r="6997" spans="1:14">
      <c r="A6997" t="s">
        <v>300</v>
      </c>
      <c r="B6997" t="str">
        <f>_xlfn.XLOOKUP(A6997,'[1]Tissue Data'!$A:$A,'[1]Tissue Data'!$C:$C)</f>
        <v>Down</v>
      </c>
      <c r="C6997" s="2">
        <f>_xlfn.XLOOKUP(A6997,'[1]Tissue Data'!$A:$A,'[1]Tissue Data'!$D:$D)</f>
        <v>44393</v>
      </c>
      <c r="D6997" s="2" t="str">
        <f>_xlfn.XLOOKUP(A6997,'[1]Tissue Data'!$A:$A,'[1]Tissue Data'!$F:$F)</f>
        <v>Pumpkinseed</v>
      </c>
      <c r="E6997" t="str">
        <f>_xlfn.XLOOKUP(A6997,'[1]Tissue Data'!$A:$A,'[1]Tissue Data'!$H:$H)</f>
        <v>Lepomis</v>
      </c>
      <c r="F6997" t="str">
        <f>_xlfn.XLOOKUP(A6997,'[1]Tissue Data'!$A:$A,'[1]Tissue Data'!$I:$I)</f>
        <v>gibbosus</v>
      </c>
      <c r="G6997" t="str">
        <f>_xlfn.XLOOKUP(A6997,'[1]Tissue Data'!$A:$A,'[1]Tissue Data'!J:J)</f>
        <v>M</v>
      </c>
      <c r="H6997" t="str">
        <f>_xlfn.XLOOKUP(A6997,'[1]Tissue Data'!$A:$A,'[1]Tissue Data'!K:K)</f>
        <v>Muscle</v>
      </c>
      <c r="I6997">
        <f>_xlfn.XLOOKUP(A6997,'[1]Tissue Data'!$A:$A,'[1]Tissue Data'!L:L)</f>
        <v>12.5</v>
      </c>
      <c r="J6997">
        <f>_xlfn.XLOOKUP(A6997,'[1]Tissue Data'!$A:$A,'[1]Tissue Data'!M:M)</f>
        <v>55</v>
      </c>
      <c r="K6997" t="s">
        <v>57</v>
      </c>
      <c r="L6997" t="str">
        <f>_xlfn.XLOOKUP(K6997,[2]analyte_order!$B:$B,[2]analyte_order!$C:$C)</f>
        <v>763051-92-9</v>
      </c>
      <c r="M6997">
        <f>_xlfn.XLOOKUP(L6997,[2]analyte_order!$C:$C,[2]analyte_order!$E:$E)</f>
        <v>37</v>
      </c>
      <c r="N6997">
        <v>0.22</v>
      </c>
    </row>
    <row r="6998" spans="1:14">
      <c r="A6998" t="s">
        <v>300</v>
      </c>
      <c r="B6998" t="str">
        <f>_xlfn.XLOOKUP(A6998,'[1]Tissue Data'!$A:$A,'[1]Tissue Data'!$C:$C)</f>
        <v>Down</v>
      </c>
      <c r="C6998" s="2">
        <f>_xlfn.XLOOKUP(A6998,'[1]Tissue Data'!$A:$A,'[1]Tissue Data'!$D:$D)</f>
        <v>44393</v>
      </c>
      <c r="D6998" s="2" t="str">
        <f>_xlfn.XLOOKUP(A6998,'[1]Tissue Data'!$A:$A,'[1]Tissue Data'!$F:$F)</f>
        <v>Pumpkinseed</v>
      </c>
      <c r="E6998" t="str">
        <f>_xlfn.XLOOKUP(A6998,'[1]Tissue Data'!$A:$A,'[1]Tissue Data'!$H:$H)</f>
        <v>Lepomis</v>
      </c>
      <c r="F6998" t="str">
        <f>_xlfn.XLOOKUP(A6998,'[1]Tissue Data'!$A:$A,'[1]Tissue Data'!$I:$I)</f>
        <v>gibbosus</v>
      </c>
      <c r="G6998" t="str">
        <f>_xlfn.XLOOKUP(A6998,'[1]Tissue Data'!$A:$A,'[1]Tissue Data'!J:J)</f>
        <v>M</v>
      </c>
      <c r="H6998" t="str">
        <f>_xlfn.XLOOKUP(A6998,'[1]Tissue Data'!$A:$A,'[1]Tissue Data'!K:K)</f>
        <v>Muscle</v>
      </c>
      <c r="I6998">
        <f>_xlfn.XLOOKUP(A6998,'[1]Tissue Data'!$A:$A,'[1]Tissue Data'!L:L)</f>
        <v>12.5</v>
      </c>
      <c r="J6998">
        <f>_xlfn.XLOOKUP(A6998,'[1]Tissue Data'!$A:$A,'[1]Tissue Data'!M:M)</f>
        <v>55</v>
      </c>
      <c r="K6998" t="s">
        <v>58</v>
      </c>
      <c r="L6998" t="str">
        <f>_xlfn.XLOOKUP(K6998,[2]analyte_order!$B:$B,[2]analyte_order!$C:$C)</f>
        <v>13252-13-6</v>
      </c>
      <c r="M6998">
        <f>_xlfn.XLOOKUP(L6998,[2]analyte_order!$C:$C,[2]analyte_order!$E:$E)</f>
        <v>34</v>
      </c>
      <c r="N6998">
        <v>0.158</v>
      </c>
    </row>
    <row r="6999" spans="1:14">
      <c r="A6999" t="s">
        <v>300</v>
      </c>
      <c r="B6999" t="str">
        <f>_xlfn.XLOOKUP(A6999,'[1]Tissue Data'!$A:$A,'[1]Tissue Data'!$C:$C)</f>
        <v>Down</v>
      </c>
      <c r="C6999" s="2">
        <f>_xlfn.XLOOKUP(A6999,'[1]Tissue Data'!$A:$A,'[1]Tissue Data'!$D:$D)</f>
        <v>44393</v>
      </c>
      <c r="D6999" s="2" t="str">
        <f>_xlfn.XLOOKUP(A6999,'[1]Tissue Data'!$A:$A,'[1]Tissue Data'!$F:$F)</f>
        <v>Pumpkinseed</v>
      </c>
      <c r="E6999" t="str">
        <f>_xlfn.XLOOKUP(A6999,'[1]Tissue Data'!$A:$A,'[1]Tissue Data'!$H:$H)</f>
        <v>Lepomis</v>
      </c>
      <c r="F6999" t="str">
        <f>_xlfn.XLOOKUP(A6999,'[1]Tissue Data'!$A:$A,'[1]Tissue Data'!$I:$I)</f>
        <v>gibbosus</v>
      </c>
      <c r="G6999" t="str">
        <f>_xlfn.XLOOKUP(A6999,'[1]Tissue Data'!$A:$A,'[1]Tissue Data'!J:J)</f>
        <v>M</v>
      </c>
      <c r="H6999" t="str">
        <f>_xlfn.XLOOKUP(A6999,'[1]Tissue Data'!$A:$A,'[1]Tissue Data'!K:K)</f>
        <v>Muscle</v>
      </c>
      <c r="I6999">
        <f>_xlfn.XLOOKUP(A6999,'[1]Tissue Data'!$A:$A,'[1]Tissue Data'!L:L)</f>
        <v>12.5</v>
      </c>
      <c r="J6999">
        <f>_xlfn.XLOOKUP(A6999,'[1]Tissue Data'!$A:$A,'[1]Tissue Data'!M:M)</f>
        <v>55</v>
      </c>
      <c r="K6999" t="s">
        <v>59</v>
      </c>
      <c r="L6999" t="str">
        <f>_xlfn.XLOOKUP(K6999,[2]analyte_order!$B:$B,[2]analyte_order!$C:$C)</f>
        <v>57677-95-9</v>
      </c>
      <c r="M6999">
        <f>_xlfn.XLOOKUP(L6999,[2]analyte_order!$C:$C,[2]analyte_order!$E:$E)</f>
        <v>46</v>
      </c>
      <c r="N6999">
        <v>0.22</v>
      </c>
    </row>
    <row r="7000" spans="1:14">
      <c r="A7000" t="s">
        <v>300</v>
      </c>
      <c r="B7000" t="str">
        <f>_xlfn.XLOOKUP(A7000,'[1]Tissue Data'!$A:$A,'[1]Tissue Data'!$C:$C)</f>
        <v>Down</v>
      </c>
      <c r="C7000" s="2">
        <f>_xlfn.XLOOKUP(A7000,'[1]Tissue Data'!$A:$A,'[1]Tissue Data'!$D:$D)</f>
        <v>44393</v>
      </c>
      <c r="D7000" s="2" t="str">
        <f>_xlfn.XLOOKUP(A7000,'[1]Tissue Data'!$A:$A,'[1]Tissue Data'!$F:$F)</f>
        <v>Pumpkinseed</v>
      </c>
      <c r="E7000" t="str">
        <f>_xlfn.XLOOKUP(A7000,'[1]Tissue Data'!$A:$A,'[1]Tissue Data'!$H:$H)</f>
        <v>Lepomis</v>
      </c>
      <c r="F7000" t="str">
        <f>_xlfn.XLOOKUP(A7000,'[1]Tissue Data'!$A:$A,'[1]Tissue Data'!$I:$I)</f>
        <v>gibbosus</v>
      </c>
      <c r="G7000" t="str">
        <f>_xlfn.XLOOKUP(A7000,'[1]Tissue Data'!$A:$A,'[1]Tissue Data'!J:J)</f>
        <v>M</v>
      </c>
      <c r="H7000" t="str">
        <f>_xlfn.XLOOKUP(A7000,'[1]Tissue Data'!$A:$A,'[1]Tissue Data'!K:K)</f>
        <v>Muscle</v>
      </c>
      <c r="I7000">
        <f>_xlfn.XLOOKUP(A7000,'[1]Tissue Data'!$A:$A,'[1]Tissue Data'!L:L)</f>
        <v>12.5</v>
      </c>
      <c r="J7000">
        <f>_xlfn.XLOOKUP(A7000,'[1]Tissue Data'!$A:$A,'[1]Tissue Data'!M:M)</f>
        <v>55</v>
      </c>
      <c r="K7000" t="s">
        <v>60</v>
      </c>
      <c r="L7000" t="str">
        <f>_xlfn.XLOOKUP(K7000,[2]analyte_order!$B:$B,[2]analyte_order!$C:$C)</f>
        <v>678-41-1</v>
      </c>
      <c r="M7000">
        <f>_xlfn.XLOOKUP(L7000,[2]analyte_order!$C:$C,[2]analyte_order!$E:$E)</f>
        <v>56</v>
      </c>
      <c r="N7000">
        <v>0.22</v>
      </c>
    </row>
    <row r="7001" spans="1:14">
      <c r="A7001" t="s">
        <v>300</v>
      </c>
      <c r="B7001" t="str">
        <f>_xlfn.XLOOKUP(A7001,'[1]Tissue Data'!$A:$A,'[1]Tissue Data'!$C:$C)</f>
        <v>Down</v>
      </c>
      <c r="C7001" s="2">
        <f>_xlfn.XLOOKUP(A7001,'[1]Tissue Data'!$A:$A,'[1]Tissue Data'!$D:$D)</f>
        <v>44393</v>
      </c>
      <c r="D7001" s="2" t="str">
        <f>_xlfn.XLOOKUP(A7001,'[1]Tissue Data'!$A:$A,'[1]Tissue Data'!$F:$F)</f>
        <v>Pumpkinseed</v>
      </c>
      <c r="E7001" t="str">
        <f>_xlfn.XLOOKUP(A7001,'[1]Tissue Data'!$A:$A,'[1]Tissue Data'!$H:$H)</f>
        <v>Lepomis</v>
      </c>
      <c r="F7001" t="str">
        <f>_xlfn.XLOOKUP(A7001,'[1]Tissue Data'!$A:$A,'[1]Tissue Data'!$I:$I)</f>
        <v>gibbosus</v>
      </c>
      <c r="G7001" t="str">
        <f>_xlfn.XLOOKUP(A7001,'[1]Tissue Data'!$A:$A,'[1]Tissue Data'!J:J)</f>
        <v>M</v>
      </c>
      <c r="H7001" t="str">
        <f>_xlfn.XLOOKUP(A7001,'[1]Tissue Data'!$A:$A,'[1]Tissue Data'!K:K)</f>
        <v>Muscle</v>
      </c>
      <c r="I7001">
        <f>_xlfn.XLOOKUP(A7001,'[1]Tissue Data'!$A:$A,'[1]Tissue Data'!L:L)</f>
        <v>12.5</v>
      </c>
      <c r="J7001">
        <f>_xlfn.XLOOKUP(A7001,'[1]Tissue Data'!$A:$A,'[1]Tissue Data'!M:M)</f>
        <v>55</v>
      </c>
      <c r="K7001" t="s">
        <v>61</v>
      </c>
      <c r="L7001" t="str">
        <f>_xlfn.XLOOKUP(K7001,[2]analyte_order!$B:$B,[2]analyte_order!$C:$C)</f>
        <v>2965-52-8</v>
      </c>
      <c r="M7001">
        <f>_xlfn.XLOOKUP(L7001,[2]analyte_order!$C:$C,[2]analyte_order!$E:$E)</f>
        <v>57</v>
      </c>
      <c r="N7001">
        <v>0.22</v>
      </c>
    </row>
    <row r="7002" spans="1:14">
      <c r="A7002" t="s">
        <v>301</v>
      </c>
      <c r="B7002" t="str">
        <f>_xlfn.XLOOKUP(A7002,'[1]Tissue Data'!$A:$A,'[1]Tissue Data'!$C:$C)</f>
        <v>Down</v>
      </c>
      <c r="C7002" s="2">
        <f>_xlfn.XLOOKUP(A7002,'[1]Tissue Data'!$A:$A,'[1]Tissue Data'!$D:$D)</f>
        <v>44393</v>
      </c>
      <c r="D7002" s="2" t="str">
        <f>_xlfn.XLOOKUP(A7002,'[1]Tissue Data'!$A:$A,'[1]Tissue Data'!$F:$F)</f>
        <v>Pumpkinseed</v>
      </c>
      <c r="E7002" t="str">
        <f>_xlfn.XLOOKUP(A7002,'[1]Tissue Data'!$A:$A,'[1]Tissue Data'!$H:$H)</f>
        <v>Lepomis</v>
      </c>
      <c r="F7002" t="str">
        <f>_xlfn.XLOOKUP(A7002,'[1]Tissue Data'!$A:$A,'[1]Tissue Data'!$I:$I)</f>
        <v>gibbosus</v>
      </c>
      <c r="G7002" t="str">
        <f>_xlfn.XLOOKUP(A7002,'[1]Tissue Data'!$A:$A,'[1]Tissue Data'!J:J)</f>
        <v>U</v>
      </c>
      <c r="H7002" t="str">
        <f>_xlfn.XLOOKUP(A7002,'[1]Tissue Data'!$A:$A,'[1]Tissue Data'!K:K)</f>
        <v>Whole Body</v>
      </c>
      <c r="I7002">
        <f>_xlfn.XLOOKUP(A7002,'[1]Tissue Data'!$A:$A,'[1]Tissue Data'!L:L)</f>
        <v>7</v>
      </c>
      <c r="J7002">
        <f>_xlfn.XLOOKUP(A7002,'[1]Tissue Data'!$A:$A,'[1]Tissue Data'!M:M)</f>
        <v>6.27</v>
      </c>
      <c r="K7002" t="s">
        <v>12</v>
      </c>
      <c r="L7002" t="str">
        <f>_xlfn.XLOOKUP(K7002,[2]analyte_order!$B:$B,[2]analyte_order!$C:$C)</f>
        <v>375-22-4</v>
      </c>
      <c r="M7002">
        <f>_xlfn.XLOOKUP(L7002,[2]analyte_order!$C:$C,[2]analyte_order!$E:$E)</f>
        <v>1</v>
      </c>
      <c r="N7002">
        <v>0.109</v>
      </c>
    </row>
    <row r="7003" spans="1:14">
      <c r="A7003" t="s">
        <v>301</v>
      </c>
      <c r="B7003" t="str">
        <f>_xlfn.XLOOKUP(A7003,'[1]Tissue Data'!$A:$A,'[1]Tissue Data'!$C:$C)</f>
        <v>Down</v>
      </c>
      <c r="C7003" s="2">
        <f>_xlfn.XLOOKUP(A7003,'[1]Tissue Data'!$A:$A,'[1]Tissue Data'!$D:$D)</f>
        <v>44393</v>
      </c>
      <c r="D7003" s="2" t="str">
        <f>_xlfn.XLOOKUP(A7003,'[1]Tissue Data'!$A:$A,'[1]Tissue Data'!$F:$F)</f>
        <v>Pumpkinseed</v>
      </c>
      <c r="E7003" t="str">
        <f>_xlfn.XLOOKUP(A7003,'[1]Tissue Data'!$A:$A,'[1]Tissue Data'!$H:$H)</f>
        <v>Lepomis</v>
      </c>
      <c r="F7003" t="str">
        <f>_xlfn.XLOOKUP(A7003,'[1]Tissue Data'!$A:$A,'[1]Tissue Data'!$I:$I)</f>
        <v>gibbosus</v>
      </c>
      <c r="G7003" t="str">
        <f>_xlfn.XLOOKUP(A7003,'[1]Tissue Data'!$A:$A,'[1]Tissue Data'!J:J)</f>
        <v>U</v>
      </c>
      <c r="H7003" t="str">
        <f>_xlfn.XLOOKUP(A7003,'[1]Tissue Data'!$A:$A,'[1]Tissue Data'!K:K)</f>
        <v>Whole Body</v>
      </c>
      <c r="I7003">
        <f>_xlfn.XLOOKUP(A7003,'[1]Tissue Data'!$A:$A,'[1]Tissue Data'!L:L)</f>
        <v>7</v>
      </c>
      <c r="J7003">
        <f>_xlfn.XLOOKUP(A7003,'[1]Tissue Data'!$A:$A,'[1]Tissue Data'!M:M)</f>
        <v>6.27</v>
      </c>
      <c r="K7003" t="s">
        <v>13</v>
      </c>
      <c r="L7003" t="str">
        <f>_xlfn.XLOOKUP(K7003,[2]analyte_order!$B:$B,[2]analyte_order!$C:$C)</f>
        <v>2706-90-3</v>
      </c>
      <c r="M7003">
        <f>_xlfn.XLOOKUP(L7003,[2]analyte_order!$C:$C,[2]analyte_order!$E:$E)</f>
        <v>2</v>
      </c>
      <c r="N7003">
        <v>7.6999999999999999E-2</v>
      </c>
    </row>
    <row r="7004" spans="1:14">
      <c r="A7004" t="s">
        <v>301</v>
      </c>
      <c r="B7004" t="str">
        <f>_xlfn.XLOOKUP(A7004,'[1]Tissue Data'!$A:$A,'[1]Tissue Data'!$C:$C)</f>
        <v>Down</v>
      </c>
      <c r="C7004" s="2">
        <f>_xlfn.XLOOKUP(A7004,'[1]Tissue Data'!$A:$A,'[1]Tissue Data'!$D:$D)</f>
        <v>44393</v>
      </c>
      <c r="D7004" s="2" t="str">
        <f>_xlfn.XLOOKUP(A7004,'[1]Tissue Data'!$A:$A,'[1]Tissue Data'!$F:$F)</f>
        <v>Pumpkinseed</v>
      </c>
      <c r="E7004" t="str">
        <f>_xlfn.XLOOKUP(A7004,'[1]Tissue Data'!$A:$A,'[1]Tissue Data'!$H:$H)</f>
        <v>Lepomis</v>
      </c>
      <c r="F7004" t="str">
        <f>_xlfn.XLOOKUP(A7004,'[1]Tissue Data'!$A:$A,'[1]Tissue Data'!$I:$I)</f>
        <v>gibbosus</v>
      </c>
      <c r="G7004" t="str">
        <f>_xlfn.XLOOKUP(A7004,'[1]Tissue Data'!$A:$A,'[1]Tissue Data'!J:J)</f>
        <v>U</v>
      </c>
      <c r="H7004" t="str">
        <f>_xlfn.XLOOKUP(A7004,'[1]Tissue Data'!$A:$A,'[1]Tissue Data'!K:K)</f>
        <v>Whole Body</v>
      </c>
      <c r="I7004">
        <f>_xlfn.XLOOKUP(A7004,'[1]Tissue Data'!$A:$A,'[1]Tissue Data'!L:L)</f>
        <v>7</v>
      </c>
      <c r="J7004">
        <f>_xlfn.XLOOKUP(A7004,'[1]Tissue Data'!$A:$A,'[1]Tissue Data'!M:M)</f>
        <v>6.27</v>
      </c>
      <c r="K7004" t="s">
        <v>14</v>
      </c>
      <c r="L7004" t="str">
        <f>_xlfn.XLOOKUP(K7004,[2]analyte_order!$B:$B,[2]analyte_order!$C:$C)</f>
        <v>307-24-4</v>
      </c>
      <c r="M7004">
        <f>_xlfn.XLOOKUP(L7004,[2]analyte_order!$C:$C,[2]analyte_order!$E:$E)</f>
        <v>3</v>
      </c>
      <c r="N7004">
        <v>5.8999999999999997E-2</v>
      </c>
    </row>
    <row r="7005" spans="1:14">
      <c r="A7005" t="s">
        <v>301</v>
      </c>
      <c r="B7005" t="str">
        <f>_xlfn.XLOOKUP(A7005,'[1]Tissue Data'!$A:$A,'[1]Tissue Data'!$C:$C)</f>
        <v>Down</v>
      </c>
      <c r="C7005" s="2">
        <f>_xlfn.XLOOKUP(A7005,'[1]Tissue Data'!$A:$A,'[1]Tissue Data'!$D:$D)</f>
        <v>44393</v>
      </c>
      <c r="D7005" s="2" t="str">
        <f>_xlfn.XLOOKUP(A7005,'[1]Tissue Data'!$A:$A,'[1]Tissue Data'!$F:$F)</f>
        <v>Pumpkinseed</v>
      </c>
      <c r="E7005" t="str">
        <f>_xlfn.XLOOKUP(A7005,'[1]Tissue Data'!$A:$A,'[1]Tissue Data'!$H:$H)</f>
        <v>Lepomis</v>
      </c>
      <c r="F7005" t="str">
        <f>_xlfn.XLOOKUP(A7005,'[1]Tissue Data'!$A:$A,'[1]Tissue Data'!$I:$I)</f>
        <v>gibbosus</v>
      </c>
      <c r="G7005" t="str">
        <f>_xlfn.XLOOKUP(A7005,'[1]Tissue Data'!$A:$A,'[1]Tissue Data'!J:J)</f>
        <v>U</v>
      </c>
      <c r="H7005" t="str">
        <f>_xlfn.XLOOKUP(A7005,'[1]Tissue Data'!$A:$A,'[1]Tissue Data'!K:K)</f>
        <v>Whole Body</v>
      </c>
      <c r="I7005">
        <f>_xlfn.XLOOKUP(A7005,'[1]Tissue Data'!$A:$A,'[1]Tissue Data'!L:L)</f>
        <v>7</v>
      </c>
      <c r="J7005">
        <f>_xlfn.XLOOKUP(A7005,'[1]Tissue Data'!$A:$A,'[1]Tissue Data'!M:M)</f>
        <v>6.27</v>
      </c>
      <c r="K7005" t="s">
        <v>15</v>
      </c>
      <c r="L7005" t="str">
        <f>_xlfn.XLOOKUP(K7005,[2]analyte_order!$B:$B,[2]analyte_order!$C:$C)</f>
        <v>375-85-9</v>
      </c>
      <c r="M7005">
        <f>_xlfn.XLOOKUP(L7005,[2]analyte_order!$C:$C,[2]analyte_order!$E:$E)</f>
        <v>4</v>
      </c>
      <c r="N7005">
        <v>0.218</v>
      </c>
    </row>
    <row r="7006" spans="1:14">
      <c r="A7006" t="s">
        <v>301</v>
      </c>
      <c r="B7006" t="str">
        <f>_xlfn.XLOOKUP(A7006,'[1]Tissue Data'!$A:$A,'[1]Tissue Data'!$C:$C)</f>
        <v>Down</v>
      </c>
      <c r="C7006" s="2">
        <f>_xlfn.XLOOKUP(A7006,'[1]Tissue Data'!$A:$A,'[1]Tissue Data'!$D:$D)</f>
        <v>44393</v>
      </c>
      <c r="D7006" s="2" t="str">
        <f>_xlfn.XLOOKUP(A7006,'[1]Tissue Data'!$A:$A,'[1]Tissue Data'!$F:$F)</f>
        <v>Pumpkinseed</v>
      </c>
      <c r="E7006" t="str">
        <f>_xlfn.XLOOKUP(A7006,'[1]Tissue Data'!$A:$A,'[1]Tissue Data'!$H:$H)</f>
        <v>Lepomis</v>
      </c>
      <c r="F7006" t="str">
        <f>_xlfn.XLOOKUP(A7006,'[1]Tissue Data'!$A:$A,'[1]Tissue Data'!$I:$I)</f>
        <v>gibbosus</v>
      </c>
      <c r="G7006" t="str">
        <f>_xlfn.XLOOKUP(A7006,'[1]Tissue Data'!$A:$A,'[1]Tissue Data'!J:J)</f>
        <v>U</v>
      </c>
      <c r="H7006" t="str">
        <f>_xlfn.XLOOKUP(A7006,'[1]Tissue Data'!$A:$A,'[1]Tissue Data'!K:K)</f>
        <v>Whole Body</v>
      </c>
      <c r="I7006">
        <f>_xlfn.XLOOKUP(A7006,'[1]Tissue Data'!$A:$A,'[1]Tissue Data'!L:L)</f>
        <v>7</v>
      </c>
      <c r="J7006">
        <f>_xlfn.XLOOKUP(A7006,'[1]Tissue Data'!$A:$A,'[1]Tissue Data'!M:M)</f>
        <v>6.27</v>
      </c>
      <c r="K7006" t="s">
        <v>16</v>
      </c>
      <c r="L7006" t="str">
        <f>_xlfn.XLOOKUP(K7006,[2]analyte_order!$B:$B,[2]analyte_order!$C:$C)</f>
        <v>335-67-1</v>
      </c>
      <c r="M7006">
        <f>_xlfn.XLOOKUP(L7006,[2]analyte_order!$C:$C,[2]analyte_order!$E:$E)</f>
        <v>5</v>
      </c>
      <c r="N7006">
        <v>0.53900000000000003</v>
      </c>
    </row>
    <row r="7007" spans="1:14">
      <c r="A7007" t="s">
        <v>301</v>
      </c>
      <c r="B7007" t="str">
        <f>_xlfn.XLOOKUP(A7007,'[1]Tissue Data'!$A:$A,'[1]Tissue Data'!$C:$C)</f>
        <v>Down</v>
      </c>
      <c r="C7007" s="2">
        <f>_xlfn.XLOOKUP(A7007,'[1]Tissue Data'!$A:$A,'[1]Tissue Data'!$D:$D)</f>
        <v>44393</v>
      </c>
      <c r="D7007" s="2" t="str">
        <f>_xlfn.XLOOKUP(A7007,'[1]Tissue Data'!$A:$A,'[1]Tissue Data'!$F:$F)</f>
        <v>Pumpkinseed</v>
      </c>
      <c r="E7007" t="str">
        <f>_xlfn.XLOOKUP(A7007,'[1]Tissue Data'!$A:$A,'[1]Tissue Data'!$H:$H)</f>
        <v>Lepomis</v>
      </c>
      <c r="F7007" t="str">
        <f>_xlfn.XLOOKUP(A7007,'[1]Tissue Data'!$A:$A,'[1]Tissue Data'!$I:$I)</f>
        <v>gibbosus</v>
      </c>
      <c r="G7007" t="str">
        <f>_xlfn.XLOOKUP(A7007,'[1]Tissue Data'!$A:$A,'[1]Tissue Data'!J:J)</f>
        <v>U</v>
      </c>
      <c r="H7007" t="str">
        <f>_xlfn.XLOOKUP(A7007,'[1]Tissue Data'!$A:$A,'[1]Tissue Data'!K:K)</f>
        <v>Whole Body</v>
      </c>
      <c r="I7007">
        <f>_xlfn.XLOOKUP(A7007,'[1]Tissue Data'!$A:$A,'[1]Tissue Data'!L:L)</f>
        <v>7</v>
      </c>
      <c r="J7007">
        <f>_xlfn.XLOOKUP(A7007,'[1]Tissue Data'!$A:$A,'[1]Tissue Data'!M:M)</f>
        <v>6.27</v>
      </c>
      <c r="K7007" t="s">
        <v>17</v>
      </c>
      <c r="L7007" t="str">
        <f>_xlfn.XLOOKUP(K7007,[2]analyte_order!$B:$B,[2]analyte_order!$C:$C)</f>
        <v>375-95-1</v>
      </c>
      <c r="M7007">
        <f>_xlfn.XLOOKUP(L7007,[2]analyte_order!$C:$C,[2]analyte_order!$E:$E)</f>
        <v>6</v>
      </c>
      <c r="N7007">
        <v>0.109</v>
      </c>
    </row>
    <row r="7008" spans="1:14">
      <c r="A7008" t="s">
        <v>301</v>
      </c>
      <c r="B7008" t="str">
        <f>_xlfn.XLOOKUP(A7008,'[1]Tissue Data'!$A:$A,'[1]Tissue Data'!$C:$C)</f>
        <v>Down</v>
      </c>
      <c r="C7008" s="2">
        <f>_xlfn.XLOOKUP(A7008,'[1]Tissue Data'!$A:$A,'[1]Tissue Data'!$D:$D)</f>
        <v>44393</v>
      </c>
      <c r="D7008" s="2" t="str">
        <f>_xlfn.XLOOKUP(A7008,'[1]Tissue Data'!$A:$A,'[1]Tissue Data'!$F:$F)</f>
        <v>Pumpkinseed</v>
      </c>
      <c r="E7008" t="str">
        <f>_xlfn.XLOOKUP(A7008,'[1]Tissue Data'!$A:$A,'[1]Tissue Data'!$H:$H)</f>
        <v>Lepomis</v>
      </c>
      <c r="F7008" t="str">
        <f>_xlfn.XLOOKUP(A7008,'[1]Tissue Data'!$A:$A,'[1]Tissue Data'!$I:$I)</f>
        <v>gibbosus</v>
      </c>
      <c r="G7008" t="str">
        <f>_xlfn.XLOOKUP(A7008,'[1]Tissue Data'!$A:$A,'[1]Tissue Data'!J:J)</f>
        <v>U</v>
      </c>
      <c r="H7008" t="str">
        <f>_xlfn.XLOOKUP(A7008,'[1]Tissue Data'!$A:$A,'[1]Tissue Data'!K:K)</f>
        <v>Whole Body</v>
      </c>
      <c r="I7008">
        <f>_xlfn.XLOOKUP(A7008,'[1]Tissue Data'!$A:$A,'[1]Tissue Data'!L:L)</f>
        <v>7</v>
      </c>
      <c r="J7008">
        <f>_xlfn.XLOOKUP(A7008,'[1]Tissue Data'!$A:$A,'[1]Tissue Data'!M:M)</f>
        <v>6.27</v>
      </c>
      <c r="K7008" t="s">
        <v>18</v>
      </c>
      <c r="L7008" t="str">
        <f>_xlfn.XLOOKUP(K7008,[2]analyte_order!$B:$B,[2]analyte_order!$C:$C)</f>
        <v>335-76-2</v>
      </c>
      <c r="M7008">
        <f>_xlfn.XLOOKUP(L7008,[2]analyte_order!$C:$C,[2]analyte_order!$E:$E)</f>
        <v>7</v>
      </c>
      <c r="N7008">
        <v>2.11</v>
      </c>
    </row>
    <row r="7009" spans="1:14">
      <c r="A7009" t="s">
        <v>301</v>
      </c>
      <c r="B7009" t="str">
        <f>_xlfn.XLOOKUP(A7009,'[1]Tissue Data'!$A:$A,'[1]Tissue Data'!$C:$C)</f>
        <v>Down</v>
      </c>
      <c r="C7009" s="2">
        <f>_xlfn.XLOOKUP(A7009,'[1]Tissue Data'!$A:$A,'[1]Tissue Data'!$D:$D)</f>
        <v>44393</v>
      </c>
      <c r="D7009" s="2" t="str">
        <f>_xlfn.XLOOKUP(A7009,'[1]Tissue Data'!$A:$A,'[1]Tissue Data'!$F:$F)</f>
        <v>Pumpkinseed</v>
      </c>
      <c r="E7009" t="str">
        <f>_xlfn.XLOOKUP(A7009,'[1]Tissue Data'!$A:$A,'[1]Tissue Data'!$H:$H)</f>
        <v>Lepomis</v>
      </c>
      <c r="F7009" t="str">
        <f>_xlfn.XLOOKUP(A7009,'[1]Tissue Data'!$A:$A,'[1]Tissue Data'!$I:$I)</f>
        <v>gibbosus</v>
      </c>
      <c r="G7009" t="str">
        <f>_xlfn.XLOOKUP(A7009,'[1]Tissue Data'!$A:$A,'[1]Tissue Data'!J:J)</f>
        <v>U</v>
      </c>
      <c r="H7009" t="str">
        <f>_xlfn.XLOOKUP(A7009,'[1]Tissue Data'!$A:$A,'[1]Tissue Data'!K:K)</f>
        <v>Whole Body</v>
      </c>
      <c r="I7009">
        <f>_xlfn.XLOOKUP(A7009,'[1]Tissue Data'!$A:$A,'[1]Tissue Data'!L:L)</f>
        <v>7</v>
      </c>
      <c r="J7009">
        <f>_xlfn.XLOOKUP(A7009,'[1]Tissue Data'!$A:$A,'[1]Tissue Data'!M:M)</f>
        <v>6.27</v>
      </c>
      <c r="K7009" t="s">
        <v>19</v>
      </c>
      <c r="L7009" t="str">
        <f>_xlfn.XLOOKUP(K7009,[2]analyte_order!$B:$B,[2]analyte_order!$C:$C)</f>
        <v>2058-94-8</v>
      </c>
      <c r="M7009">
        <f>_xlfn.XLOOKUP(L7009,[2]analyte_order!$C:$C,[2]analyte_order!$E:$E)</f>
        <v>8</v>
      </c>
      <c r="N7009">
        <v>4.5999999999999996</v>
      </c>
    </row>
    <row r="7010" spans="1:14">
      <c r="A7010" t="s">
        <v>301</v>
      </c>
      <c r="B7010" t="str">
        <f>_xlfn.XLOOKUP(A7010,'[1]Tissue Data'!$A:$A,'[1]Tissue Data'!$C:$C)</f>
        <v>Down</v>
      </c>
      <c r="C7010" s="2">
        <f>_xlfn.XLOOKUP(A7010,'[1]Tissue Data'!$A:$A,'[1]Tissue Data'!$D:$D)</f>
        <v>44393</v>
      </c>
      <c r="D7010" s="2" t="str">
        <f>_xlfn.XLOOKUP(A7010,'[1]Tissue Data'!$A:$A,'[1]Tissue Data'!$F:$F)</f>
        <v>Pumpkinseed</v>
      </c>
      <c r="E7010" t="str">
        <f>_xlfn.XLOOKUP(A7010,'[1]Tissue Data'!$A:$A,'[1]Tissue Data'!$H:$H)</f>
        <v>Lepomis</v>
      </c>
      <c r="F7010" t="str">
        <f>_xlfn.XLOOKUP(A7010,'[1]Tissue Data'!$A:$A,'[1]Tissue Data'!$I:$I)</f>
        <v>gibbosus</v>
      </c>
      <c r="G7010" t="str">
        <f>_xlfn.XLOOKUP(A7010,'[1]Tissue Data'!$A:$A,'[1]Tissue Data'!J:J)</f>
        <v>U</v>
      </c>
      <c r="H7010" t="str">
        <f>_xlfn.XLOOKUP(A7010,'[1]Tissue Data'!$A:$A,'[1]Tissue Data'!K:K)</f>
        <v>Whole Body</v>
      </c>
      <c r="I7010">
        <f>_xlfn.XLOOKUP(A7010,'[1]Tissue Data'!$A:$A,'[1]Tissue Data'!L:L)</f>
        <v>7</v>
      </c>
      <c r="J7010">
        <f>_xlfn.XLOOKUP(A7010,'[1]Tissue Data'!$A:$A,'[1]Tissue Data'!M:M)</f>
        <v>6.27</v>
      </c>
      <c r="K7010" t="s">
        <v>20</v>
      </c>
      <c r="L7010" t="str">
        <f>_xlfn.XLOOKUP(K7010,[2]analyte_order!$B:$B,[2]analyte_order!$C:$C)</f>
        <v>307-55-1</v>
      </c>
      <c r="M7010">
        <f>_xlfn.XLOOKUP(L7010,[2]analyte_order!$C:$C,[2]analyte_order!$E:$E)</f>
        <v>9</v>
      </c>
      <c r="N7010">
        <v>8.48</v>
      </c>
    </row>
    <row r="7011" spans="1:14">
      <c r="A7011" t="s">
        <v>301</v>
      </c>
      <c r="B7011" t="str">
        <f>_xlfn.XLOOKUP(A7011,'[1]Tissue Data'!$A:$A,'[1]Tissue Data'!$C:$C)</f>
        <v>Down</v>
      </c>
      <c r="C7011" s="2">
        <f>_xlfn.XLOOKUP(A7011,'[1]Tissue Data'!$A:$A,'[1]Tissue Data'!$D:$D)</f>
        <v>44393</v>
      </c>
      <c r="D7011" s="2" t="str">
        <f>_xlfn.XLOOKUP(A7011,'[1]Tissue Data'!$A:$A,'[1]Tissue Data'!$F:$F)</f>
        <v>Pumpkinseed</v>
      </c>
      <c r="E7011" t="str">
        <f>_xlfn.XLOOKUP(A7011,'[1]Tissue Data'!$A:$A,'[1]Tissue Data'!$H:$H)</f>
        <v>Lepomis</v>
      </c>
      <c r="F7011" t="str">
        <f>_xlfn.XLOOKUP(A7011,'[1]Tissue Data'!$A:$A,'[1]Tissue Data'!$I:$I)</f>
        <v>gibbosus</v>
      </c>
      <c r="G7011" t="str">
        <f>_xlfn.XLOOKUP(A7011,'[1]Tissue Data'!$A:$A,'[1]Tissue Data'!J:J)</f>
        <v>U</v>
      </c>
      <c r="H7011" t="str">
        <f>_xlfn.XLOOKUP(A7011,'[1]Tissue Data'!$A:$A,'[1]Tissue Data'!K:K)</f>
        <v>Whole Body</v>
      </c>
      <c r="I7011">
        <f>_xlfn.XLOOKUP(A7011,'[1]Tissue Data'!$A:$A,'[1]Tissue Data'!L:L)</f>
        <v>7</v>
      </c>
      <c r="J7011">
        <f>_xlfn.XLOOKUP(A7011,'[1]Tissue Data'!$A:$A,'[1]Tissue Data'!M:M)</f>
        <v>6.27</v>
      </c>
      <c r="K7011" t="s">
        <v>21</v>
      </c>
      <c r="L7011" t="str">
        <f>_xlfn.XLOOKUP(K7011,[2]analyte_order!$B:$B,[2]analyte_order!$C:$C)</f>
        <v>72629-94-8</v>
      </c>
      <c r="M7011">
        <f>_xlfn.XLOOKUP(L7011,[2]analyte_order!$C:$C,[2]analyte_order!$E:$E)</f>
        <v>10</v>
      </c>
      <c r="N7011">
        <v>2.58</v>
      </c>
    </row>
    <row r="7012" spans="1:14">
      <c r="A7012" t="s">
        <v>301</v>
      </c>
      <c r="B7012" t="str">
        <f>_xlfn.XLOOKUP(A7012,'[1]Tissue Data'!$A:$A,'[1]Tissue Data'!$C:$C)</f>
        <v>Down</v>
      </c>
      <c r="C7012" s="2">
        <f>_xlfn.XLOOKUP(A7012,'[1]Tissue Data'!$A:$A,'[1]Tissue Data'!$D:$D)</f>
        <v>44393</v>
      </c>
      <c r="D7012" s="2" t="str">
        <f>_xlfn.XLOOKUP(A7012,'[1]Tissue Data'!$A:$A,'[1]Tissue Data'!$F:$F)</f>
        <v>Pumpkinseed</v>
      </c>
      <c r="E7012" t="str">
        <f>_xlfn.XLOOKUP(A7012,'[1]Tissue Data'!$A:$A,'[1]Tissue Data'!$H:$H)</f>
        <v>Lepomis</v>
      </c>
      <c r="F7012" t="str">
        <f>_xlfn.XLOOKUP(A7012,'[1]Tissue Data'!$A:$A,'[1]Tissue Data'!$I:$I)</f>
        <v>gibbosus</v>
      </c>
      <c r="G7012" t="str">
        <f>_xlfn.XLOOKUP(A7012,'[1]Tissue Data'!$A:$A,'[1]Tissue Data'!J:J)</f>
        <v>U</v>
      </c>
      <c r="H7012" t="str">
        <f>_xlfn.XLOOKUP(A7012,'[1]Tissue Data'!$A:$A,'[1]Tissue Data'!K:K)</f>
        <v>Whole Body</v>
      </c>
      <c r="I7012">
        <f>_xlfn.XLOOKUP(A7012,'[1]Tissue Data'!$A:$A,'[1]Tissue Data'!L:L)</f>
        <v>7</v>
      </c>
      <c r="J7012">
        <f>_xlfn.XLOOKUP(A7012,'[1]Tissue Data'!$A:$A,'[1]Tissue Data'!M:M)</f>
        <v>6.27</v>
      </c>
      <c r="K7012" t="s">
        <v>22</v>
      </c>
      <c r="L7012" t="str">
        <f>_xlfn.XLOOKUP(K7012,[2]analyte_order!$B:$B,[2]analyte_order!$C:$C)</f>
        <v>376-06-7</v>
      </c>
      <c r="M7012">
        <f>_xlfn.XLOOKUP(L7012,[2]analyte_order!$C:$C,[2]analyte_order!$E:$E)</f>
        <v>11</v>
      </c>
      <c r="N7012">
        <v>9.73</v>
      </c>
    </row>
    <row r="7013" spans="1:14">
      <c r="A7013" t="s">
        <v>301</v>
      </c>
      <c r="B7013" t="str">
        <f>_xlfn.XLOOKUP(A7013,'[1]Tissue Data'!$A:$A,'[1]Tissue Data'!$C:$C)</f>
        <v>Down</v>
      </c>
      <c r="C7013" s="2">
        <f>_xlfn.XLOOKUP(A7013,'[1]Tissue Data'!$A:$A,'[1]Tissue Data'!$D:$D)</f>
        <v>44393</v>
      </c>
      <c r="D7013" s="2" t="str">
        <f>_xlfn.XLOOKUP(A7013,'[1]Tissue Data'!$A:$A,'[1]Tissue Data'!$F:$F)</f>
        <v>Pumpkinseed</v>
      </c>
      <c r="E7013" t="str">
        <f>_xlfn.XLOOKUP(A7013,'[1]Tissue Data'!$A:$A,'[1]Tissue Data'!$H:$H)</f>
        <v>Lepomis</v>
      </c>
      <c r="F7013" t="str">
        <f>_xlfn.XLOOKUP(A7013,'[1]Tissue Data'!$A:$A,'[1]Tissue Data'!$I:$I)</f>
        <v>gibbosus</v>
      </c>
      <c r="G7013" t="str">
        <f>_xlfn.XLOOKUP(A7013,'[1]Tissue Data'!$A:$A,'[1]Tissue Data'!J:J)</f>
        <v>U</v>
      </c>
      <c r="H7013" t="str">
        <f>_xlfn.XLOOKUP(A7013,'[1]Tissue Data'!$A:$A,'[1]Tissue Data'!K:K)</f>
        <v>Whole Body</v>
      </c>
      <c r="I7013">
        <f>_xlfn.XLOOKUP(A7013,'[1]Tissue Data'!$A:$A,'[1]Tissue Data'!L:L)</f>
        <v>7</v>
      </c>
      <c r="J7013">
        <f>_xlfn.XLOOKUP(A7013,'[1]Tissue Data'!$A:$A,'[1]Tissue Data'!M:M)</f>
        <v>6.27</v>
      </c>
      <c r="K7013" t="s">
        <v>23</v>
      </c>
      <c r="L7013" t="str">
        <f>_xlfn.XLOOKUP(K7013,[2]analyte_order!$B:$B,[2]analyte_order!$C:$C)</f>
        <v>67905-19-5</v>
      </c>
      <c r="M7013">
        <f>_xlfn.XLOOKUP(L7013,[2]analyte_order!$C:$C,[2]analyte_order!$E:$E)</f>
        <v>12</v>
      </c>
      <c r="N7013">
        <v>0.13</v>
      </c>
    </row>
    <row r="7014" spans="1:14">
      <c r="A7014" t="s">
        <v>301</v>
      </c>
      <c r="B7014" t="str">
        <f>_xlfn.XLOOKUP(A7014,'[1]Tissue Data'!$A:$A,'[1]Tissue Data'!$C:$C)</f>
        <v>Down</v>
      </c>
      <c r="C7014" s="2">
        <f>_xlfn.XLOOKUP(A7014,'[1]Tissue Data'!$A:$A,'[1]Tissue Data'!$D:$D)</f>
        <v>44393</v>
      </c>
      <c r="D7014" s="2" t="str">
        <f>_xlfn.XLOOKUP(A7014,'[1]Tissue Data'!$A:$A,'[1]Tissue Data'!$F:$F)</f>
        <v>Pumpkinseed</v>
      </c>
      <c r="E7014" t="str">
        <f>_xlfn.XLOOKUP(A7014,'[1]Tissue Data'!$A:$A,'[1]Tissue Data'!$H:$H)</f>
        <v>Lepomis</v>
      </c>
      <c r="F7014" t="str">
        <f>_xlfn.XLOOKUP(A7014,'[1]Tissue Data'!$A:$A,'[1]Tissue Data'!$I:$I)</f>
        <v>gibbosus</v>
      </c>
      <c r="G7014" t="str">
        <f>_xlfn.XLOOKUP(A7014,'[1]Tissue Data'!$A:$A,'[1]Tissue Data'!J:J)</f>
        <v>U</v>
      </c>
      <c r="H7014" t="str">
        <f>_xlfn.XLOOKUP(A7014,'[1]Tissue Data'!$A:$A,'[1]Tissue Data'!K:K)</f>
        <v>Whole Body</v>
      </c>
      <c r="I7014">
        <f>_xlfn.XLOOKUP(A7014,'[1]Tissue Data'!$A:$A,'[1]Tissue Data'!L:L)</f>
        <v>7</v>
      </c>
      <c r="J7014">
        <f>_xlfn.XLOOKUP(A7014,'[1]Tissue Data'!$A:$A,'[1]Tissue Data'!M:M)</f>
        <v>6.27</v>
      </c>
      <c r="K7014" t="s">
        <v>24</v>
      </c>
      <c r="L7014" t="str">
        <f>_xlfn.XLOOKUP(K7014,[2]analyte_order!$B:$B,[2]analyte_order!$C:$C)</f>
        <v>423-41-6</v>
      </c>
      <c r="M7014">
        <f>_xlfn.XLOOKUP(L7014,[2]analyte_order!$C:$C,[2]analyte_order!$E:$E)</f>
        <v>53</v>
      </c>
      <c r="N7014">
        <v>0.109</v>
      </c>
    </row>
    <row r="7015" spans="1:14">
      <c r="A7015" t="s">
        <v>301</v>
      </c>
      <c r="B7015" t="str">
        <f>_xlfn.XLOOKUP(A7015,'[1]Tissue Data'!$A:$A,'[1]Tissue Data'!$C:$C)</f>
        <v>Down</v>
      </c>
      <c r="C7015" s="2">
        <f>_xlfn.XLOOKUP(A7015,'[1]Tissue Data'!$A:$A,'[1]Tissue Data'!$D:$D)</f>
        <v>44393</v>
      </c>
      <c r="D7015" s="2" t="str">
        <f>_xlfn.XLOOKUP(A7015,'[1]Tissue Data'!$A:$A,'[1]Tissue Data'!$F:$F)</f>
        <v>Pumpkinseed</v>
      </c>
      <c r="E7015" t="str">
        <f>_xlfn.XLOOKUP(A7015,'[1]Tissue Data'!$A:$A,'[1]Tissue Data'!$H:$H)</f>
        <v>Lepomis</v>
      </c>
      <c r="F7015" t="str">
        <f>_xlfn.XLOOKUP(A7015,'[1]Tissue Data'!$A:$A,'[1]Tissue Data'!$I:$I)</f>
        <v>gibbosus</v>
      </c>
      <c r="G7015" t="str">
        <f>_xlfn.XLOOKUP(A7015,'[1]Tissue Data'!$A:$A,'[1]Tissue Data'!J:J)</f>
        <v>U</v>
      </c>
      <c r="H7015" t="str">
        <f>_xlfn.XLOOKUP(A7015,'[1]Tissue Data'!$A:$A,'[1]Tissue Data'!K:K)</f>
        <v>Whole Body</v>
      </c>
      <c r="I7015">
        <f>_xlfn.XLOOKUP(A7015,'[1]Tissue Data'!$A:$A,'[1]Tissue Data'!L:L)</f>
        <v>7</v>
      </c>
      <c r="J7015">
        <f>_xlfn.XLOOKUP(A7015,'[1]Tissue Data'!$A:$A,'[1]Tissue Data'!M:M)</f>
        <v>6.27</v>
      </c>
      <c r="K7015" t="s">
        <v>25</v>
      </c>
      <c r="L7015" t="str">
        <f>_xlfn.XLOOKUP(K7015,[2]analyte_order!$B:$B,[2]analyte_order!$C:$C)</f>
        <v>375-73-5</v>
      </c>
      <c r="M7015">
        <f>_xlfn.XLOOKUP(L7015,[2]analyte_order!$C:$C,[2]analyte_order!$E:$E)</f>
        <v>14</v>
      </c>
      <c r="N7015">
        <v>0.109</v>
      </c>
    </row>
    <row r="7016" spans="1:14">
      <c r="A7016" t="s">
        <v>301</v>
      </c>
      <c r="B7016" t="str">
        <f>_xlfn.XLOOKUP(A7016,'[1]Tissue Data'!$A:$A,'[1]Tissue Data'!$C:$C)</f>
        <v>Down</v>
      </c>
      <c r="C7016" s="2">
        <f>_xlfn.XLOOKUP(A7016,'[1]Tissue Data'!$A:$A,'[1]Tissue Data'!$D:$D)</f>
        <v>44393</v>
      </c>
      <c r="D7016" s="2" t="str">
        <f>_xlfn.XLOOKUP(A7016,'[1]Tissue Data'!$A:$A,'[1]Tissue Data'!$F:$F)</f>
        <v>Pumpkinseed</v>
      </c>
      <c r="E7016" t="str">
        <f>_xlfn.XLOOKUP(A7016,'[1]Tissue Data'!$A:$A,'[1]Tissue Data'!$H:$H)</f>
        <v>Lepomis</v>
      </c>
      <c r="F7016" t="str">
        <f>_xlfn.XLOOKUP(A7016,'[1]Tissue Data'!$A:$A,'[1]Tissue Data'!$I:$I)</f>
        <v>gibbosus</v>
      </c>
      <c r="G7016" t="str">
        <f>_xlfn.XLOOKUP(A7016,'[1]Tissue Data'!$A:$A,'[1]Tissue Data'!J:J)</f>
        <v>U</v>
      </c>
      <c r="H7016" t="str">
        <f>_xlfn.XLOOKUP(A7016,'[1]Tissue Data'!$A:$A,'[1]Tissue Data'!K:K)</f>
        <v>Whole Body</v>
      </c>
      <c r="I7016">
        <f>_xlfn.XLOOKUP(A7016,'[1]Tissue Data'!$A:$A,'[1]Tissue Data'!L:L)</f>
        <v>7</v>
      </c>
      <c r="J7016">
        <f>_xlfn.XLOOKUP(A7016,'[1]Tissue Data'!$A:$A,'[1]Tissue Data'!M:M)</f>
        <v>6.27</v>
      </c>
      <c r="K7016" t="s">
        <v>26</v>
      </c>
      <c r="L7016" t="str">
        <f>_xlfn.XLOOKUP(K7016,[2]analyte_order!$B:$B,[2]analyte_order!$C:$C)</f>
        <v>2706-91-4</v>
      </c>
      <c r="M7016">
        <f>_xlfn.XLOOKUP(L7016,[2]analyte_order!$C:$C,[2]analyte_order!$E:$E)</f>
        <v>15</v>
      </c>
      <c r="N7016">
        <v>0.11550000000000001</v>
      </c>
    </row>
    <row r="7017" spans="1:14">
      <c r="A7017" t="s">
        <v>301</v>
      </c>
      <c r="B7017" t="str">
        <f>_xlfn.XLOOKUP(A7017,'[1]Tissue Data'!$A:$A,'[1]Tissue Data'!$C:$C)</f>
        <v>Down</v>
      </c>
      <c r="C7017" s="2">
        <f>_xlfn.XLOOKUP(A7017,'[1]Tissue Data'!$A:$A,'[1]Tissue Data'!$D:$D)</f>
        <v>44393</v>
      </c>
      <c r="D7017" s="2" t="str">
        <f>_xlfn.XLOOKUP(A7017,'[1]Tissue Data'!$A:$A,'[1]Tissue Data'!$F:$F)</f>
        <v>Pumpkinseed</v>
      </c>
      <c r="E7017" t="str">
        <f>_xlfn.XLOOKUP(A7017,'[1]Tissue Data'!$A:$A,'[1]Tissue Data'!$H:$H)</f>
        <v>Lepomis</v>
      </c>
      <c r="F7017" t="str">
        <f>_xlfn.XLOOKUP(A7017,'[1]Tissue Data'!$A:$A,'[1]Tissue Data'!$I:$I)</f>
        <v>gibbosus</v>
      </c>
      <c r="G7017" t="str">
        <f>_xlfn.XLOOKUP(A7017,'[1]Tissue Data'!$A:$A,'[1]Tissue Data'!J:J)</f>
        <v>U</v>
      </c>
      <c r="H7017" t="str">
        <f>_xlfn.XLOOKUP(A7017,'[1]Tissue Data'!$A:$A,'[1]Tissue Data'!K:K)</f>
        <v>Whole Body</v>
      </c>
      <c r="I7017">
        <f>_xlfn.XLOOKUP(A7017,'[1]Tissue Data'!$A:$A,'[1]Tissue Data'!L:L)</f>
        <v>7</v>
      </c>
      <c r="J7017">
        <f>_xlfn.XLOOKUP(A7017,'[1]Tissue Data'!$A:$A,'[1]Tissue Data'!M:M)</f>
        <v>6.27</v>
      </c>
      <c r="K7017" t="s">
        <v>27</v>
      </c>
      <c r="L7017" t="str">
        <f>_xlfn.XLOOKUP(K7017,[2]analyte_order!$B:$B,[2]analyte_order!$C:$C)</f>
        <v>355-46-4</v>
      </c>
      <c r="M7017">
        <f>_xlfn.XLOOKUP(L7017,[2]analyte_order!$C:$C,[2]analyte_order!$E:$E)</f>
        <v>16</v>
      </c>
      <c r="N7017">
        <v>14.1</v>
      </c>
    </row>
    <row r="7018" spans="1:14">
      <c r="A7018" t="s">
        <v>301</v>
      </c>
      <c r="B7018" t="str">
        <f>_xlfn.XLOOKUP(A7018,'[1]Tissue Data'!$A:$A,'[1]Tissue Data'!$C:$C)</f>
        <v>Down</v>
      </c>
      <c r="C7018" s="2">
        <f>_xlfn.XLOOKUP(A7018,'[1]Tissue Data'!$A:$A,'[1]Tissue Data'!$D:$D)</f>
        <v>44393</v>
      </c>
      <c r="D7018" s="2" t="str">
        <f>_xlfn.XLOOKUP(A7018,'[1]Tissue Data'!$A:$A,'[1]Tissue Data'!$F:$F)</f>
        <v>Pumpkinseed</v>
      </c>
      <c r="E7018" t="str">
        <f>_xlfn.XLOOKUP(A7018,'[1]Tissue Data'!$A:$A,'[1]Tissue Data'!$H:$H)</f>
        <v>Lepomis</v>
      </c>
      <c r="F7018" t="str">
        <f>_xlfn.XLOOKUP(A7018,'[1]Tissue Data'!$A:$A,'[1]Tissue Data'!$I:$I)</f>
        <v>gibbosus</v>
      </c>
      <c r="G7018" t="str">
        <f>_xlfn.XLOOKUP(A7018,'[1]Tissue Data'!$A:$A,'[1]Tissue Data'!J:J)</f>
        <v>U</v>
      </c>
      <c r="H7018" t="str">
        <f>_xlfn.XLOOKUP(A7018,'[1]Tissue Data'!$A:$A,'[1]Tissue Data'!K:K)</f>
        <v>Whole Body</v>
      </c>
      <c r="I7018">
        <f>_xlfn.XLOOKUP(A7018,'[1]Tissue Data'!$A:$A,'[1]Tissue Data'!L:L)</f>
        <v>7</v>
      </c>
      <c r="J7018">
        <f>_xlfn.XLOOKUP(A7018,'[1]Tissue Data'!$A:$A,'[1]Tissue Data'!M:M)</f>
        <v>6.27</v>
      </c>
      <c r="K7018" t="s">
        <v>28</v>
      </c>
      <c r="L7018" t="str">
        <f>_xlfn.XLOOKUP(K7018,[2]analyte_order!$B:$B,[2]analyte_order!$C:$C)</f>
        <v>375-92-8</v>
      </c>
      <c r="M7018">
        <f>_xlfn.XLOOKUP(L7018,[2]analyte_order!$C:$C,[2]analyte_order!$E:$E)</f>
        <v>17</v>
      </c>
      <c r="N7018">
        <v>1.07</v>
      </c>
    </row>
    <row r="7019" spans="1:14">
      <c r="A7019" t="s">
        <v>301</v>
      </c>
      <c r="B7019" t="str">
        <f>_xlfn.XLOOKUP(A7019,'[1]Tissue Data'!$A:$A,'[1]Tissue Data'!$C:$C)</f>
        <v>Down</v>
      </c>
      <c r="C7019" s="2">
        <f>_xlfn.XLOOKUP(A7019,'[1]Tissue Data'!$A:$A,'[1]Tissue Data'!$D:$D)</f>
        <v>44393</v>
      </c>
      <c r="D7019" s="2" t="str">
        <f>_xlfn.XLOOKUP(A7019,'[1]Tissue Data'!$A:$A,'[1]Tissue Data'!$F:$F)</f>
        <v>Pumpkinseed</v>
      </c>
      <c r="E7019" t="str">
        <f>_xlfn.XLOOKUP(A7019,'[1]Tissue Data'!$A:$A,'[1]Tissue Data'!$H:$H)</f>
        <v>Lepomis</v>
      </c>
      <c r="F7019" t="str">
        <f>_xlfn.XLOOKUP(A7019,'[1]Tissue Data'!$A:$A,'[1]Tissue Data'!$I:$I)</f>
        <v>gibbosus</v>
      </c>
      <c r="G7019" t="str">
        <f>_xlfn.XLOOKUP(A7019,'[1]Tissue Data'!$A:$A,'[1]Tissue Data'!J:J)</f>
        <v>U</v>
      </c>
      <c r="H7019" t="str">
        <f>_xlfn.XLOOKUP(A7019,'[1]Tissue Data'!$A:$A,'[1]Tissue Data'!K:K)</f>
        <v>Whole Body</v>
      </c>
      <c r="I7019">
        <f>_xlfn.XLOOKUP(A7019,'[1]Tissue Data'!$A:$A,'[1]Tissue Data'!L:L)</f>
        <v>7</v>
      </c>
      <c r="J7019">
        <f>_xlfn.XLOOKUP(A7019,'[1]Tissue Data'!$A:$A,'[1]Tissue Data'!M:M)</f>
        <v>6.27</v>
      </c>
      <c r="K7019" t="s">
        <v>29</v>
      </c>
      <c r="L7019" t="str">
        <f>_xlfn.XLOOKUP(K7019,[2]analyte_order!$B:$B,[2]analyte_order!$C:$C)</f>
        <v>1763-23-1</v>
      </c>
      <c r="M7019">
        <f>_xlfn.XLOOKUP(L7019,[2]analyte_order!$C:$C,[2]analyte_order!$E:$E)</f>
        <v>18</v>
      </c>
      <c r="N7019">
        <v>503</v>
      </c>
    </row>
    <row r="7020" spans="1:14">
      <c r="A7020" t="s">
        <v>301</v>
      </c>
      <c r="B7020" t="str">
        <f>_xlfn.XLOOKUP(A7020,'[1]Tissue Data'!$A:$A,'[1]Tissue Data'!$C:$C)</f>
        <v>Down</v>
      </c>
      <c r="C7020" s="2">
        <f>_xlfn.XLOOKUP(A7020,'[1]Tissue Data'!$A:$A,'[1]Tissue Data'!$D:$D)</f>
        <v>44393</v>
      </c>
      <c r="D7020" s="2" t="str">
        <f>_xlfn.XLOOKUP(A7020,'[1]Tissue Data'!$A:$A,'[1]Tissue Data'!$F:$F)</f>
        <v>Pumpkinseed</v>
      </c>
      <c r="E7020" t="str">
        <f>_xlfn.XLOOKUP(A7020,'[1]Tissue Data'!$A:$A,'[1]Tissue Data'!$H:$H)</f>
        <v>Lepomis</v>
      </c>
      <c r="F7020" t="str">
        <f>_xlfn.XLOOKUP(A7020,'[1]Tissue Data'!$A:$A,'[1]Tissue Data'!$I:$I)</f>
        <v>gibbosus</v>
      </c>
      <c r="G7020" t="str">
        <f>_xlfn.XLOOKUP(A7020,'[1]Tissue Data'!$A:$A,'[1]Tissue Data'!J:J)</f>
        <v>U</v>
      </c>
      <c r="H7020" t="str">
        <f>_xlfn.XLOOKUP(A7020,'[1]Tissue Data'!$A:$A,'[1]Tissue Data'!K:K)</f>
        <v>Whole Body</v>
      </c>
      <c r="I7020">
        <f>_xlfn.XLOOKUP(A7020,'[1]Tissue Data'!$A:$A,'[1]Tissue Data'!L:L)</f>
        <v>7</v>
      </c>
      <c r="J7020">
        <f>_xlfn.XLOOKUP(A7020,'[1]Tissue Data'!$A:$A,'[1]Tissue Data'!M:M)</f>
        <v>6.27</v>
      </c>
      <c r="K7020" t="s">
        <v>30</v>
      </c>
      <c r="L7020" t="str">
        <f>_xlfn.XLOOKUP(K7020,[2]analyte_order!$B:$B,[2]analyte_order!$C:$C)</f>
        <v>68259-12-1</v>
      </c>
      <c r="M7020">
        <f>_xlfn.XLOOKUP(L7020,[2]analyte_order!$C:$C,[2]analyte_order!$E:$E)</f>
        <v>19</v>
      </c>
      <c r="N7020">
        <v>2.36</v>
      </c>
    </row>
    <row r="7021" spans="1:14">
      <c r="A7021" t="s">
        <v>301</v>
      </c>
      <c r="B7021" t="str">
        <f>_xlfn.XLOOKUP(A7021,'[1]Tissue Data'!$A:$A,'[1]Tissue Data'!$C:$C)</f>
        <v>Down</v>
      </c>
      <c r="C7021" s="2">
        <f>_xlfn.XLOOKUP(A7021,'[1]Tissue Data'!$A:$A,'[1]Tissue Data'!$D:$D)</f>
        <v>44393</v>
      </c>
      <c r="D7021" s="2" t="str">
        <f>_xlfn.XLOOKUP(A7021,'[1]Tissue Data'!$A:$A,'[1]Tissue Data'!$F:$F)</f>
        <v>Pumpkinseed</v>
      </c>
      <c r="E7021" t="str">
        <f>_xlfn.XLOOKUP(A7021,'[1]Tissue Data'!$A:$A,'[1]Tissue Data'!$H:$H)</f>
        <v>Lepomis</v>
      </c>
      <c r="F7021" t="str">
        <f>_xlfn.XLOOKUP(A7021,'[1]Tissue Data'!$A:$A,'[1]Tissue Data'!$I:$I)</f>
        <v>gibbosus</v>
      </c>
      <c r="G7021" t="str">
        <f>_xlfn.XLOOKUP(A7021,'[1]Tissue Data'!$A:$A,'[1]Tissue Data'!J:J)</f>
        <v>U</v>
      </c>
      <c r="H7021" t="str">
        <f>_xlfn.XLOOKUP(A7021,'[1]Tissue Data'!$A:$A,'[1]Tissue Data'!K:K)</f>
        <v>Whole Body</v>
      </c>
      <c r="I7021">
        <f>_xlfn.XLOOKUP(A7021,'[1]Tissue Data'!$A:$A,'[1]Tissue Data'!L:L)</f>
        <v>7</v>
      </c>
      <c r="J7021">
        <f>_xlfn.XLOOKUP(A7021,'[1]Tissue Data'!$A:$A,'[1]Tissue Data'!M:M)</f>
        <v>6.27</v>
      </c>
      <c r="K7021" t="s">
        <v>31</v>
      </c>
      <c r="L7021" t="str">
        <f>_xlfn.XLOOKUP(K7021,[2]analyte_order!$B:$B,[2]analyte_order!$C:$C)</f>
        <v>335-77-3</v>
      </c>
      <c r="M7021">
        <f>_xlfn.XLOOKUP(L7021,[2]analyte_order!$C:$C,[2]analyte_order!$E:$E)</f>
        <v>20</v>
      </c>
      <c r="N7021">
        <v>2.0499999999999998</v>
      </c>
    </row>
    <row r="7022" spans="1:14">
      <c r="A7022" t="s">
        <v>301</v>
      </c>
      <c r="B7022" t="str">
        <f>_xlfn.XLOOKUP(A7022,'[1]Tissue Data'!$A:$A,'[1]Tissue Data'!$C:$C)</f>
        <v>Down</v>
      </c>
      <c r="C7022" s="2">
        <f>_xlfn.XLOOKUP(A7022,'[1]Tissue Data'!$A:$A,'[1]Tissue Data'!$D:$D)</f>
        <v>44393</v>
      </c>
      <c r="D7022" s="2" t="str">
        <f>_xlfn.XLOOKUP(A7022,'[1]Tissue Data'!$A:$A,'[1]Tissue Data'!$F:$F)</f>
        <v>Pumpkinseed</v>
      </c>
      <c r="E7022" t="str">
        <f>_xlfn.XLOOKUP(A7022,'[1]Tissue Data'!$A:$A,'[1]Tissue Data'!$H:$H)</f>
        <v>Lepomis</v>
      </c>
      <c r="F7022" t="str">
        <f>_xlfn.XLOOKUP(A7022,'[1]Tissue Data'!$A:$A,'[1]Tissue Data'!$I:$I)</f>
        <v>gibbosus</v>
      </c>
      <c r="G7022" t="str">
        <f>_xlfn.XLOOKUP(A7022,'[1]Tissue Data'!$A:$A,'[1]Tissue Data'!J:J)</f>
        <v>U</v>
      </c>
      <c r="H7022" t="str">
        <f>_xlfn.XLOOKUP(A7022,'[1]Tissue Data'!$A:$A,'[1]Tissue Data'!K:K)</f>
        <v>Whole Body</v>
      </c>
      <c r="I7022">
        <f>_xlfn.XLOOKUP(A7022,'[1]Tissue Data'!$A:$A,'[1]Tissue Data'!L:L)</f>
        <v>7</v>
      </c>
      <c r="J7022">
        <f>_xlfn.XLOOKUP(A7022,'[1]Tissue Data'!$A:$A,'[1]Tissue Data'!M:M)</f>
        <v>6.27</v>
      </c>
      <c r="K7022" t="s">
        <v>32</v>
      </c>
      <c r="L7022" t="str">
        <f>_xlfn.XLOOKUP(K7022,[2]analyte_order!$B:$B,[2]analyte_order!$C:$C)</f>
        <v>79780-39-5</v>
      </c>
      <c r="M7022">
        <f>_xlfn.XLOOKUP(L7022,[2]analyte_order!$C:$C,[2]analyte_order!$E:$E)</f>
        <v>21</v>
      </c>
      <c r="N7022">
        <v>0.79300000000000004</v>
      </c>
    </row>
    <row r="7023" spans="1:14">
      <c r="A7023" t="s">
        <v>301</v>
      </c>
      <c r="B7023" t="str">
        <f>_xlfn.XLOOKUP(A7023,'[1]Tissue Data'!$A:$A,'[1]Tissue Data'!$C:$C)</f>
        <v>Down</v>
      </c>
      <c r="C7023" s="2">
        <f>_xlfn.XLOOKUP(A7023,'[1]Tissue Data'!$A:$A,'[1]Tissue Data'!$D:$D)</f>
        <v>44393</v>
      </c>
      <c r="D7023" s="2" t="str">
        <f>_xlfn.XLOOKUP(A7023,'[1]Tissue Data'!$A:$A,'[1]Tissue Data'!$F:$F)</f>
        <v>Pumpkinseed</v>
      </c>
      <c r="E7023" t="str">
        <f>_xlfn.XLOOKUP(A7023,'[1]Tissue Data'!$A:$A,'[1]Tissue Data'!$H:$H)</f>
        <v>Lepomis</v>
      </c>
      <c r="F7023" t="str">
        <f>_xlfn.XLOOKUP(A7023,'[1]Tissue Data'!$A:$A,'[1]Tissue Data'!$I:$I)</f>
        <v>gibbosus</v>
      </c>
      <c r="G7023" t="str">
        <f>_xlfn.XLOOKUP(A7023,'[1]Tissue Data'!$A:$A,'[1]Tissue Data'!J:J)</f>
        <v>U</v>
      </c>
      <c r="H7023" t="str">
        <f>_xlfn.XLOOKUP(A7023,'[1]Tissue Data'!$A:$A,'[1]Tissue Data'!K:K)</f>
        <v>Whole Body</v>
      </c>
      <c r="I7023">
        <f>_xlfn.XLOOKUP(A7023,'[1]Tissue Data'!$A:$A,'[1]Tissue Data'!L:L)</f>
        <v>7</v>
      </c>
      <c r="J7023">
        <f>_xlfn.XLOOKUP(A7023,'[1]Tissue Data'!$A:$A,'[1]Tissue Data'!M:M)</f>
        <v>6.27</v>
      </c>
      <c r="K7023" t="s">
        <v>33</v>
      </c>
      <c r="L7023" t="str">
        <f>_xlfn.XLOOKUP(K7023,[2]analyte_order!$B:$B,[2]analyte_order!$C:$C)</f>
        <v>777011-38-8</v>
      </c>
      <c r="M7023">
        <f>_xlfn.XLOOKUP(L7023,[2]analyte_order!$C:$C,[2]analyte_order!$E:$E)</f>
        <v>54</v>
      </c>
      <c r="N7023">
        <v>0.28199999999999997</v>
      </c>
    </row>
    <row r="7024" spans="1:14">
      <c r="A7024" t="s">
        <v>301</v>
      </c>
      <c r="B7024" t="str">
        <f>_xlfn.XLOOKUP(A7024,'[1]Tissue Data'!$A:$A,'[1]Tissue Data'!$C:$C)</f>
        <v>Down</v>
      </c>
      <c r="C7024" s="2">
        <f>_xlfn.XLOOKUP(A7024,'[1]Tissue Data'!$A:$A,'[1]Tissue Data'!$D:$D)</f>
        <v>44393</v>
      </c>
      <c r="D7024" s="2" t="str">
        <f>_xlfn.XLOOKUP(A7024,'[1]Tissue Data'!$A:$A,'[1]Tissue Data'!$F:$F)</f>
        <v>Pumpkinseed</v>
      </c>
      <c r="E7024" t="str">
        <f>_xlfn.XLOOKUP(A7024,'[1]Tissue Data'!$A:$A,'[1]Tissue Data'!$H:$H)</f>
        <v>Lepomis</v>
      </c>
      <c r="F7024" t="str">
        <f>_xlfn.XLOOKUP(A7024,'[1]Tissue Data'!$A:$A,'[1]Tissue Data'!$I:$I)</f>
        <v>gibbosus</v>
      </c>
      <c r="G7024" t="str">
        <f>_xlfn.XLOOKUP(A7024,'[1]Tissue Data'!$A:$A,'[1]Tissue Data'!J:J)</f>
        <v>U</v>
      </c>
      <c r="H7024" t="str">
        <f>_xlfn.XLOOKUP(A7024,'[1]Tissue Data'!$A:$A,'[1]Tissue Data'!K:K)</f>
        <v>Whole Body</v>
      </c>
      <c r="I7024">
        <f>_xlfn.XLOOKUP(A7024,'[1]Tissue Data'!$A:$A,'[1]Tissue Data'!L:L)</f>
        <v>7</v>
      </c>
      <c r="J7024">
        <f>_xlfn.XLOOKUP(A7024,'[1]Tissue Data'!$A:$A,'[1]Tissue Data'!M:M)</f>
        <v>6.27</v>
      </c>
      <c r="K7024" t="s">
        <v>34</v>
      </c>
      <c r="L7024" t="str">
        <f>_xlfn.XLOOKUP(K7024,[2]analyte_order!$B:$B,[2]analyte_order!$C:$C)</f>
        <v>646-83-3</v>
      </c>
      <c r="M7024">
        <f>_xlfn.XLOOKUP(L7024,[2]analyte_order!$C:$C,[2]analyte_order!$E:$E)</f>
        <v>55</v>
      </c>
      <c r="N7024">
        <v>8.6999999999999994E-2</v>
      </c>
    </row>
    <row r="7025" spans="1:14">
      <c r="A7025" t="s">
        <v>301</v>
      </c>
      <c r="B7025" t="str">
        <f>_xlfn.XLOOKUP(A7025,'[1]Tissue Data'!$A:$A,'[1]Tissue Data'!$C:$C)</f>
        <v>Down</v>
      </c>
      <c r="C7025" s="2">
        <f>_xlfn.XLOOKUP(A7025,'[1]Tissue Data'!$A:$A,'[1]Tissue Data'!$D:$D)</f>
        <v>44393</v>
      </c>
      <c r="D7025" s="2" t="str">
        <f>_xlfn.XLOOKUP(A7025,'[1]Tissue Data'!$A:$A,'[1]Tissue Data'!$F:$F)</f>
        <v>Pumpkinseed</v>
      </c>
      <c r="E7025" t="str">
        <f>_xlfn.XLOOKUP(A7025,'[1]Tissue Data'!$A:$A,'[1]Tissue Data'!$H:$H)</f>
        <v>Lepomis</v>
      </c>
      <c r="F7025" t="str">
        <f>_xlfn.XLOOKUP(A7025,'[1]Tissue Data'!$A:$A,'[1]Tissue Data'!$I:$I)</f>
        <v>gibbosus</v>
      </c>
      <c r="G7025" t="str">
        <f>_xlfn.XLOOKUP(A7025,'[1]Tissue Data'!$A:$A,'[1]Tissue Data'!J:J)</f>
        <v>U</v>
      </c>
      <c r="H7025" t="str">
        <f>_xlfn.XLOOKUP(A7025,'[1]Tissue Data'!$A:$A,'[1]Tissue Data'!K:K)</f>
        <v>Whole Body</v>
      </c>
      <c r="I7025">
        <f>_xlfn.XLOOKUP(A7025,'[1]Tissue Data'!$A:$A,'[1]Tissue Data'!L:L)</f>
        <v>7</v>
      </c>
      <c r="J7025">
        <f>_xlfn.XLOOKUP(A7025,'[1]Tissue Data'!$A:$A,'[1]Tissue Data'!M:M)</f>
        <v>6.27</v>
      </c>
      <c r="K7025" t="s">
        <v>35</v>
      </c>
      <c r="L7025" t="str">
        <f>_xlfn.XLOOKUP(K7025,[2]analyte_order!$B:$B,[2]analyte_order!$C:$C)</f>
        <v>30334-69-1</v>
      </c>
      <c r="M7025">
        <f>_xlfn.XLOOKUP(L7025,[2]analyte_order!$C:$C,[2]analyte_order!$E:$E)</f>
        <v>51</v>
      </c>
      <c r="N7025">
        <v>28.3</v>
      </c>
    </row>
    <row r="7026" spans="1:14">
      <c r="A7026" t="s">
        <v>301</v>
      </c>
      <c r="B7026" t="str">
        <f>_xlfn.XLOOKUP(A7026,'[1]Tissue Data'!$A:$A,'[1]Tissue Data'!$C:$C)</f>
        <v>Down</v>
      </c>
      <c r="C7026" s="2">
        <f>_xlfn.XLOOKUP(A7026,'[1]Tissue Data'!$A:$A,'[1]Tissue Data'!$D:$D)</f>
        <v>44393</v>
      </c>
      <c r="D7026" s="2" t="str">
        <f>_xlfn.XLOOKUP(A7026,'[1]Tissue Data'!$A:$A,'[1]Tissue Data'!$F:$F)</f>
        <v>Pumpkinseed</v>
      </c>
      <c r="E7026" t="str">
        <f>_xlfn.XLOOKUP(A7026,'[1]Tissue Data'!$A:$A,'[1]Tissue Data'!$H:$H)</f>
        <v>Lepomis</v>
      </c>
      <c r="F7026" t="str">
        <f>_xlfn.XLOOKUP(A7026,'[1]Tissue Data'!$A:$A,'[1]Tissue Data'!$I:$I)</f>
        <v>gibbosus</v>
      </c>
      <c r="G7026" t="str">
        <f>_xlfn.XLOOKUP(A7026,'[1]Tissue Data'!$A:$A,'[1]Tissue Data'!J:J)</f>
        <v>U</v>
      </c>
      <c r="H7026" t="str">
        <f>_xlfn.XLOOKUP(A7026,'[1]Tissue Data'!$A:$A,'[1]Tissue Data'!K:K)</f>
        <v>Whole Body</v>
      </c>
      <c r="I7026">
        <f>_xlfn.XLOOKUP(A7026,'[1]Tissue Data'!$A:$A,'[1]Tissue Data'!L:L)</f>
        <v>7</v>
      </c>
      <c r="J7026">
        <f>_xlfn.XLOOKUP(A7026,'[1]Tissue Data'!$A:$A,'[1]Tissue Data'!M:M)</f>
        <v>6.27</v>
      </c>
      <c r="K7026" t="s">
        <v>36</v>
      </c>
      <c r="L7026" t="str">
        <f>_xlfn.XLOOKUP(K7026,[2]analyte_order!$B:$B,[2]analyte_order!$C:$C)</f>
        <v>41997-13-1</v>
      </c>
      <c r="M7026">
        <f>_xlfn.XLOOKUP(L7026,[2]analyte_order!$C:$C,[2]analyte_order!$E:$E)</f>
        <v>52</v>
      </c>
      <c r="N7026">
        <v>64.8</v>
      </c>
    </row>
    <row r="7027" spans="1:14">
      <c r="A7027" t="s">
        <v>301</v>
      </c>
      <c r="B7027" t="str">
        <f>_xlfn.XLOOKUP(A7027,'[1]Tissue Data'!$A:$A,'[1]Tissue Data'!$C:$C)</f>
        <v>Down</v>
      </c>
      <c r="C7027" s="2">
        <f>_xlfn.XLOOKUP(A7027,'[1]Tissue Data'!$A:$A,'[1]Tissue Data'!$D:$D)</f>
        <v>44393</v>
      </c>
      <c r="D7027" s="2" t="str">
        <f>_xlfn.XLOOKUP(A7027,'[1]Tissue Data'!$A:$A,'[1]Tissue Data'!$F:$F)</f>
        <v>Pumpkinseed</v>
      </c>
      <c r="E7027" t="str">
        <f>_xlfn.XLOOKUP(A7027,'[1]Tissue Data'!$A:$A,'[1]Tissue Data'!$H:$H)</f>
        <v>Lepomis</v>
      </c>
      <c r="F7027" t="str">
        <f>_xlfn.XLOOKUP(A7027,'[1]Tissue Data'!$A:$A,'[1]Tissue Data'!$I:$I)</f>
        <v>gibbosus</v>
      </c>
      <c r="G7027" t="str">
        <f>_xlfn.XLOOKUP(A7027,'[1]Tissue Data'!$A:$A,'[1]Tissue Data'!J:J)</f>
        <v>U</v>
      </c>
      <c r="H7027" t="str">
        <f>_xlfn.XLOOKUP(A7027,'[1]Tissue Data'!$A:$A,'[1]Tissue Data'!K:K)</f>
        <v>Whole Body</v>
      </c>
      <c r="I7027">
        <f>_xlfn.XLOOKUP(A7027,'[1]Tissue Data'!$A:$A,'[1]Tissue Data'!L:L)</f>
        <v>7</v>
      </c>
      <c r="J7027">
        <f>_xlfn.XLOOKUP(A7027,'[1]Tissue Data'!$A:$A,'[1]Tissue Data'!M:M)</f>
        <v>6.27</v>
      </c>
      <c r="K7027" t="s">
        <v>37</v>
      </c>
      <c r="L7027" t="str">
        <f>_xlfn.XLOOKUP(K7027,[2]analyte_order!$B:$B,[2]analyte_order!$C:$C)</f>
        <v>754-91-6</v>
      </c>
      <c r="M7027">
        <f>_xlfn.XLOOKUP(L7027,[2]analyte_order!$C:$C,[2]analyte_order!$E:$E)</f>
        <v>28</v>
      </c>
      <c r="N7027">
        <v>9.56</v>
      </c>
    </row>
    <row r="7028" spans="1:14">
      <c r="A7028" t="s">
        <v>301</v>
      </c>
      <c r="B7028" t="str">
        <f>_xlfn.XLOOKUP(A7028,'[1]Tissue Data'!$A:$A,'[1]Tissue Data'!$C:$C)</f>
        <v>Down</v>
      </c>
      <c r="C7028" s="2">
        <f>_xlfn.XLOOKUP(A7028,'[1]Tissue Data'!$A:$A,'[1]Tissue Data'!$D:$D)</f>
        <v>44393</v>
      </c>
      <c r="D7028" s="2" t="str">
        <f>_xlfn.XLOOKUP(A7028,'[1]Tissue Data'!$A:$A,'[1]Tissue Data'!$F:$F)</f>
        <v>Pumpkinseed</v>
      </c>
      <c r="E7028" t="str">
        <f>_xlfn.XLOOKUP(A7028,'[1]Tissue Data'!$A:$A,'[1]Tissue Data'!$H:$H)</f>
        <v>Lepomis</v>
      </c>
      <c r="F7028" t="str">
        <f>_xlfn.XLOOKUP(A7028,'[1]Tissue Data'!$A:$A,'[1]Tissue Data'!$I:$I)</f>
        <v>gibbosus</v>
      </c>
      <c r="G7028" t="str">
        <f>_xlfn.XLOOKUP(A7028,'[1]Tissue Data'!$A:$A,'[1]Tissue Data'!J:J)</f>
        <v>U</v>
      </c>
      <c r="H7028" t="str">
        <f>_xlfn.XLOOKUP(A7028,'[1]Tissue Data'!$A:$A,'[1]Tissue Data'!K:K)</f>
        <v>Whole Body</v>
      </c>
      <c r="I7028">
        <f>_xlfn.XLOOKUP(A7028,'[1]Tissue Data'!$A:$A,'[1]Tissue Data'!L:L)</f>
        <v>7</v>
      </c>
      <c r="J7028">
        <f>_xlfn.XLOOKUP(A7028,'[1]Tissue Data'!$A:$A,'[1]Tissue Data'!M:M)</f>
        <v>6.27</v>
      </c>
      <c r="K7028" t="s">
        <v>38</v>
      </c>
      <c r="L7028" t="str">
        <f>_xlfn.XLOOKUP(K7028,[2]analyte_order!$B:$B,[2]analyte_order!$C:$C)</f>
        <v>31506-32-8</v>
      </c>
      <c r="M7028">
        <f>_xlfn.XLOOKUP(L7028,[2]analyte_order!$C:$C,[2]analyte_order!$E:$E)</f>
        <v>30</v>
      </c>
      <c r="N7028">
        <v>8.4000000000000005E-2</v>
      </c>
    </row>
    <row r="7029" spans="1:14">
      <c r="A7029" t="s">
        <v>301</v>
      </c>
      <c r="B7029" t="str">
        <f>_xlfn.XLOOKUP(A7029,'[1]Tissue Data'!$A:$A,'[1]Tissue Data'!$C:$C)</f>
        <v>Down</v>
      </c>
      <c r="C7029" s="2">
        <f>_xlfn.XLOOKUP(A7029,'[1]Tissue Data'!$A:$A,'[1]Tissue Data'!$D:$D)</f>
        <v>44393</v>
      </c>
      <c r="D7029" s="2" t="str">
        <f>_xlfn.XLOOKUP(A7029,'[1]Tissue Data'!$A:$A,'[1]Tissue Data'!$F:$F)</f>
        <v>Pumpkinseed</v>
      </c>
      <c r="E7029" t="str">
        <f>_xlfn.XLOOKUP(A7029,'[1]Tissue Data'!$A:$A,'[1]Tissue Data'!$H:$H)</f>
        <v>Lepomis</v>
      </c>
      <c r="F7029" t="str">
        <f>_xlfn.XLOOKUP(A7029,'[1]Tissue Data'!$A:$A,'[1]Tissue Data'!$I:$I)</f>
        <v>gibbosus</v>
      </c>
      <c r="G7029" t="str">
        <f>_xlfn.XLOOKUP(A7029,'[1]Tissue Data'!$A:$A,'[1]Tissue Data'!J:J)</f>
        <v>U</v>
      </c>
      <c r="H7029" t="str">
        <f>_xlfn.XLOOKUP(A7029,'[1]Tissue Data'!$A:$A,'[1]Tissue Data'!K:K)</f>
        <v>Whole Body</v>
      </c>
      <c r="I7029">
        <f>_xlfn.XLOOKUP(A7029,'[1]Tissue Data'!$A:$A,'[1]Tissue Data'!L:L)</f>
        <v>7</v>
      </c>
      <c r="J7029">
        <f>_xlfn.XLOOKUP(A7029,'[1]Tissue Data'!$A:$A,'[1]Tissue Data'!M:M)</f>
        <v>6.27</v>
      </c>
      <c r="K7029" t="s">
        <v>39</v>
      </c>
      <c r="L7029" t="str">
        <f>_xlfn.XLOOKUP(K7029,[2]analyte_order!$B:$B,[2]analyte_order!$C:$C)</f>
        <v>4151-50-2</v>
      </c>
      <c r="M7029">
        <f>_xlfn.XLOOKUP(L7029,[2]analyte_order!$C:$C,[2]analyte_order!$E:$E)</f>
        <v>31</v>
      </c>
      <c r="N7029">
        <v>0.218</v>
      </c>
    </row>
    <row r="7030" spans="1:14">
      <c r="A7030" t="s">
        <v>301</v>
      </c>
      <c r="B7030" t="str">
        <f>_xlfn.XLOOKUP(A7030,'[1]Tissue Data'!$A:$A,'[1]Tissue Data'!$C:$C)</f>
        <v>Down</v>
      </c>
      <c r="C7030" s="2">
        <f>_xlfn.XLOOKUP(A7030,'[1]Tissue Data'!$A:$A,'[1]Tissue Data'!$D:$D)</f>
        <v>44393</v>
      </c>
      <c r="D7030" s="2" t="str">
        <f>_xlfn.XLOOKUP(A7030,'[1]Tissue Data'!$A:$A,'[1]Tissue Data'!$F:$F)</f>
        <v>Pumpkinseed</v>
      </c>
      <c r="E7030" t="str">
        <f>_xlfn.XLOOKUP(A7030,'[1]Tissue Data'!$A:$A,'[1]Tissue Data'!$H:$H)</f>
        <v>Lepomis</v>
      </c>
      <c r="F7030" t="str">
        <f>_xlfn.XLOOKUP(A7030,'[1]Tissue Data'!$A:$A,'[1]Tissue Data'!$I:$I)</f>
        <v>gibbosus</v>
      </c>
      <c r="G7030" t="str">
        <f>_xlfn.XLOOKUP(A7030,'[1]Tissue Data'!$A:$A,'[1]Tissue Data'!J:J)</f>
        <v>U</v>
      </c>
      <c r="H7030" t="str">
        <f>_xlfn.XLOOKUP(A7030,'[1]Tissue Data'!$A:$A,'[1]Tissue Data'!K:K)</f>
        <v>Whole Body</v>
      </c>
      <c r="I7030">
        <f>_xlfn.XLOOKUP(A7030,'[1]Tissue Data'!$A:$A,'[1]Tissue Data'!L:L)</f>
        <v>7</v>
      </c>
      <c r="J7030">
        <f>_xlfn.XLOOKUP(A7030,'[1]Tissue Data'!$A:$A,'[1]Tissue Data'!M:M)</f>
        <v>6.27</v>
      </c>
      <c r="K7030" t="s">
        <v>40</v>
      </c>
      <c r="L7030" t="str">
        <f>_xlfn.XLOOKUP(K7030,[2]analyte_order!$B:$B,[2]analyte_order!$C:$C)</f>
        <v>2806-24-8</v>
      </c>
      <c r="M7030">
        <f>_xlfn.XLOOKUP(L7030,[2]analyte_order!$C:$C,[2]analyte_order!$E:$E)</f>
        <v>29</v>
      </c>
      <c r="N7030">
        <v>0.218</v>
      </c>
    </row>
    <row r="7031" spans="1:14">
      <c r="A7031" t="s">
        <v>301</v>
      </c>
      <c r="B7031" t="str">
        <f>_xlfn.XLOOKUP(A7031,'[1]Tissue Data'!$A:$A,'[1]Tissue Data'!$C:$C)</f>
        <v>Down</v>
      </c>
      <c r="C7031" s="2">
        <f>_xlfn.XLOOKUP(A7031,'[1]Tissue Data'!$A:$A,'[1]Tissue Data'!$D:$D)</f>
        <v>44393</v>
      </c>
      <c r="D7031" s="2" t="str">
        <f>_xlfn.XLOOKUP(A7031,'[1]Tissue Data'!$A:$A,'[1]Tissue Data'!$F:$F)</f>
        <v>Pumpkinseed</v>
      </c>
      <c r="E7031" t="str">
        <f>_xlfn.XLOOKUP(A7031,'[1]Tissue Data'!$A:$A,'[1]Tissue Data'!$H:$H)</f>
        <v>Lepomis</v>
      </c>
      <c r="F7031" t="str">
        <f>_xlfn.XLOOKUP(A7031,'[1]Tissue Data'!$A:$A,'[1]Tissue Data'!$I:$I)</f>
        <v>gibbosus</v>
      </c>
      <c r="G7031" t="str">
        <f>_xlfn.XLOOKUP(A7031,'[1]Tissue Data'!$A:$A,'[1]Tissue Data'!J:J)</f>
        <v>U</v>
      </c>
      <c r="H7031" t="str">
        <f>_xlfn.XLOOKUP(A7031,'[1]Tissue Data'!$A:$A,'[1]Tissue Data'!K:K)</f>
        <v>Whole Body</v>
      </c>
      <c r="I7031">
        <f>_xlfn.XLOOKUP(A7031,'[1]Tissue Data'!$A:$A,'[1]Tissue Data'!L:L)</f>
        <v>7</v>
      </c>
      <c r="J7031">
        <f>_xlfn.XLOOKUP(A7031,'[1]Tissue Data'!$A:$A,'[1]Tissue Data'!M:M)</f>
        <v>6.27</v>
      </c>
      <c r="K7031" t="s">
        <v>41</v>
      </c>
      <c r="L7031" t="str">
        <f>_xlfn.XLOOKUP(K7031,[2]analyte_order!$B:$B,[2]analyte_order!$C:$C)</f>
        <v>2355-31-9</v>
      </c>
      <c r="M7031">
        <f>_xlfn.XLOOKUP(L7031,[2]analyte_order!$C:$C,[2]analyte_order!$E:$E)</f>
        <v>26</v>
      </c>
      <c r="N7031">
        <v>0.1095</v>
      </c>
    </row>
    <row r="7032" spans="1:14">
      <c r="A7032" t="s">
        <v>301</v>
      </c>
      <c r="B7032" t="str">
        <f>_xlfn.XLOOKUP(A7032,'[1]Tissue Data'!$A:$A,'[1]Tissue Data'!$C:$C)</f>
        <v>Down</v>
      </c>
      <c r="C7032" s="2">
        <f>_xlfn.XLOOKUP(A7032,'[1]Tissue Data'!$A:$A,'[1]Tissue Data'!$D:$D)</f>
        <v>44393</v>
      </c>
      <c r="D7032" s="2" t="str">
        <f>_xlfn.XLOOKUP(A7032,'[1]Tissue Data'!$A:$A,'[1]Tissue Data'!$F:$F)</f>
        <v>Pumpkinseed</v>
      </c>
      <c r="E7032" t="str">
        <f>_xlfn.XLOOKUP(A7032,'[1]Tissue Data'!$A:$A,'[1]Tissue Data'!$H:$H)</f>
        <v>Lepomis</v>
      </c>
      <c r="F7032" t="str">
        <f>_xlfn.XLOOKUP(A7032,'[1]Tissue Data'!$A:$A,'[1]Tissue Data'!$I:$I)</f>
        <v>gibbosus</v>
      </c>
      <c r="G7032" t="str">
        <f>_xlfn.XLOOKUP(A7032,'[1]Tissue Data'!$A:$A,'[1]Tissue Data'!J:J)</f>
        <v>U</v>
      </c>
      <c r="H7032" t="str">
        <f>_xlfn.XLOOKUP(A7032,'[1]Tissue Data'!$A:$A,'[1]Tissue Data'!K:K)</f>
        <v>Whole Body</v>
      </c>
      <c r="I7032">
        <f>_xlfn.XLOOKUP(A7032,'[1]Tissue Data'!$A:$A,'[1]Tissue Data'!L:L)</f>
        <v>7</v>
      </c>
      <c r="J7032">
        <f>_xlfn.XLOOKUP(A7032,'[1]Tissue Data'!$A:$A,'[1]Tissue Data'!M:M)</f>
        <v>6.27</v>
      </c>
      <c r="K7032" t="s">
        <v>42</v>
      </c>
      <c r="L7032" t="str">
        <f>_xlfn.XLOOKUP(K7032,[2]analyte_order!$B:$B,[2]analyte_order!$C:$C)</f>
        <v>2991-50-6</v>
      </c>
      <c r="M7032">
        <f>_xlfn.XLOOKUP(L7032,[2]analyte_order!$C:$C,[2]analyte_order!$E:$E)</f>
        <v>27</v>
      </c>
      <c r="N7032">
        <v>0.109</v>
      </c>
    </row>
    <row r="7033" spans="1:14">
      <c r="A7033" t="s">
        <v>301</v>
      </c>
      <c r="B7033" t="str">
        <f>_xlfn.XLOOKUP(A7033,'[1]Tissue Data'!$A:$A,'[1]Tissue Data'!$C:$C)</f>
        <v>Down</v>
      </c>
      <c r="C7033" s="2">
        <f>_xlfn.XLOOKUP(A7033,'[1]Tissue Data'!$A:$A,'[1]Tissue Data'!$D:$D)</f>
        <v>44393</v>
      </c>
      <c r="D7033" s="2" t="str">
        <f>_xlfn.XLOOKUP(A7033,'[1]Tissue Data'!$A:$A,'[1]Tissue Data'!$F:$F)</f>
        <v>Pumpkinseed</v>
      </c>
      <c r="E7033" t="str">
        <f>_xlfn.XLOOKUP(A7033,'[1]Tissue Data'!$A:$A,'[1]Tissue Data'!$H:$H)</f>
        <v>Lepomis</v>
      </c>
      <c r="F7033" t="str">
        <f>_xlfn.XLOOKUP(A7033,'[1]Tissue Data'!$A:$A,'[1]Tissue Data'!$I:$I)</f>
        <v>gibbosus</v>
      </c>
      <c r="G7033" t="str">
        <f>_xlfn.XLOOKUP(A7033,'[1]Tissue Data'!$A:$A,'[1]Tissue Data'!J:J)</f>
        <v>U</v>
      </c>
      <c r="H7033" t="str">
        <f>_xlfn.XLOOKUP(A7033,'[1]Tissue Data'!$A:$A,'[1]Tissue Data'!K:K)</f>
        <v>Whole Body</v>
      </c>
      <c r="I7033">
        <f>_xlfn.XLOOKUP(A7033,'[1]Tissue Data'!$A:$A,'[1]Tissue Data'!L:L)</f>
        <v>7</v>
      </c>
      <c r="J7033">
        <f>_xlfn.XLOOKUP(A7033,'[1]Tissue Data'!$A:$A,'[1]Tissue Data'!M:M)</f>
        <v>6.27</v>
      </c>
      <c r="K7033" t="s">
        <v>43</v>
      </c>
      <c r="L7033" t="str">
        <f>_xlfn.XLOOKUP(K7033,[2]analyte_order!$B:$B,[2]analyte_order!$C:$C)</f>
        <v>757124-72-4</v>
      </c>
      <c r="M7033">
        <f>_xlfn.XLOOKUP(L7033,[2]analyte_order!$C:$C,[2]analyte_order!$E:$E)</f>
        <v>22</v>
      </c>
      <c r="N7033">
        <v>0.109</v>
      </c>
    </row>
    <row r="7034" spans="1:14">
      <c r="A7034" t="s">
        <v>301</v>
      </c>
      <c r="B7034" t="str">
        <f>_xlfn.XLOOKUP(A7034,'[1]Tissue Data'!$A:$A,'[1]Tissue Data'!$C:$C)</f>
        <v>Down</v>
      </c>
      <c r="C7034" s="2">
        <f>_xlfn.XLOOKUP(A7034,'[1]Tissue Data'!$A:$A,'[1]Tissue Data'!$D:$D)</f>
        <v>44393</v>
      </c>
      <c r="D7034" s="2" t="str">
        <f>_xlfn.XLOOKUP(A7034,'[1]Tissue Data'!$A:$A,'[1]Tissue Data'!$F:$F)</f>
        <v>Pumpkinseed</v>
      </c>
      <c r="E7034" t="str">
        <f>_xlfn.XLOOKUP(A7034,'[1]Tissue Data'!$A:$A,'[1]Tissue Data'!$H:$H)</f>
        <v>Lepomis</v>
      </c>
      <c r="F7034" t="str">
        <f>_xlfn.XLOOKUP(A7034,'[1]Tissue Data'!$A:$A,'[1]Tissue Data'!$I:$I)</f>
        <v>gibbosus</v>
      </c>
      <c r="G7034" t="str">
        <f>_xlfn.XLOOKUP(A7034,'[1]Tissue Data'!$A:$A,'[1]Tissue Data'!J:J)</f>
        <v>U</v>
      </c>
      <c r="H7034" t="str">
        <f>_xlfn.XLOOKUP(A7034,'[1]Tissue Data'!$A:$A,'[1]Tissue Data'!K:K)</f>
        <v>Whole Body</v>
      </c>
      <c r="I7034">
        <f>_xlfn.XLOOKUP(A7034,'[1]Tissue Data'!$A:$A,'[1]Tissue Data'!L:L)</f>
        <v>7</v>
      </c>
      <c r="J7034">
        <f>_xlfn.XLOOKUP(A7034,'[1]Tissue Data'!$A:$A,'[1]Tissue Data'!M:M)</f>
        <v>6.27</v>
      </c>
      <c r="K7034" t="s">
        <v>44</v>
      </c>
      <c r="L7034" t="str">
        <f>_xlfn.XLOOKUP(K7034,[2]analyte_order!$B:$B,[2]analyte_order!$C:$C)</f>
        <v>27619-97-2</v>
      </c>
      <c r="M7034">
        <f>_xlfn.XLOOKUP(L7034,[2]analyte_order!$C:$C,[2]analyte_order!$E:$E)</f>
        <v>23</v>
      </c>
      <c r="N7034">
        <v>0.504</v>
      </c>
    </row>
    <row r="7035" spans="1:14">
      <c r="A7035" t="s">
        <v>301</v>
      </c>
      <c r="B7035" t="str">
        <f>_xlfn.XLOOKUP(A7035,'[1]Tissue Data'!$A:$A,'[1]Tissue Data'!$C:$C)</f>
        <v>Down</v>
      </c>
      <c r="C7035" s="2">
        <f>_xlfn.XLOOKUP(A7035,'[1]Tissue Data'!$A:$A,'[1]Tissue Data'!$D:$D)</f>
        <v>44393</v>
      </c>
      <c r="D7035" s="2" t="str">
        <f>_xlfn.XLOOKUP(A7035,'[1]Tissue Data'!$A:$A,'[1]Tissue Data'!$F:$F)</f>
        <v>Pumpkinseed</v>
      </c>
      <c r="E7035" t="str">
        <f>_xlfn.XLOOKUP(A7035,'[1]Tissue Data'!$A:$A,'[1]Tissue Data'!$H:$H)</f>
        <v>Lepomis</v>
      </c>
      <c r="F7035" t="str">
        <f>_xlfn.XLOOKUP(A7035,'[1]Tissue Data'!$A:$A,'[1]Tissue Data'!$I:$I)</f>
        <v>gibbosus</v>
      </c>
      <c r="G7035" t="str">
        <f>_xlfn.XLOOKUP(A7035,'[1]Tissue Data'!$A:$A,'[1]Tissue Data'!J:J)</f>
        <v>U</v>
      </c>
      <c r="H7035" t="str">
        <f>_xlfn.XLOOKUP(A7035,'[1]Tissue Data'!$A:$A,'[1]Tissue Data'!K:K)</f>
        <v>Whole Body</v>
      </c>
      <c r="I7035">
        <f>_xlfn.XLOOKUP(A7035,'[1]Tissue Data'!$A:$A,'[1]Tissue Data'!L:L)</f>
        <v>7</v>
      </c>
      <c r="J7035">
        <f>_xlfn.XLOOKUP(A7035,'[1]Tissue Data'!$A:$A,'[1]Tissue Data'!M:M)</f>
        <v>6.27</v>
      </c>
      <c r="K7035" t="s">
        <v>45</v>
      </c>
      <c r="L7035" t="str">
        <f>_xlfn.XLOOKUP(K7035,[2]analyte_order!$B:$B,[2]analyte_order!$C:$C)</f>
        <v>39108-34-4</v>
      </c>
      <c r="M7035">
        <f>_xlfn.XLOOKUP(L7035,[2]analyte_order!$C:$C,[2]analyte_order!$E:$E)</f>
        <v>24</v>
      </c>
      <c r="N7035">
        <v>2.7</v>
      </c>
    </row>
    <row r="7036" spans="1:14">
      <c r="A7036" t="s">
        <v>301</v>
      </c>
      <c r="B7036" t="str">
        <f>_xlfn.XLOOKUP(A7036,'[1]Tissue Data'!$A:$A,'[1]Tissue Data'!$C:$C)</f>
        <v>Down</v>
      </c>
      <c r="C7036" s="2">
        <f>_xlfn.XLOOKUP(A7036,'[1]Tissue Data'!$A:$A,'[1]Tissue Data'!$D:$D)</f>
        <v>44393</v>
      </c>
      <c r="D7036" s="2" t="str">
        <f>_xlfn.XLOOKUP(A7036,'[1]Tissue Data'!$A:$A,'[1]Tissue Data'!$F:$F)</f>
        <v>Pumpkinseed</v>
      </c>
      <c r="E7036" t="str">
        <f>_xlfn.XLOOKUP(A7036,'[1]Tissue Data'!$A:$A,'[1]Tissue Data'!$H:$H)</f>
        <v>Lepomis</v>
      </c>
      <c r="F7036" t="str">
        <f>_xlfn.XLOOKUP(A7036,'[1]Tissue Data'!$A:$A,'[1]Tissue Data'!$I:$I)</f>
        <v>gibbosus</v>
      </c>
      <c r="G7036" t="str">
        <f>_xlfn.XLOOKUP(A7036,'[1]Tissue Data'!$A:$A,'[1]Tissue Data'!J:J)</f>
        <v>U</v>
      </c>
      <c r="H7036" t="str">
        <f>_xlfn.XLOOKUP(A7036,'[1]Tissue Data'!$A:$A,'[1]Tissue Data'!K:K)</f>
        <v>Whole Body</v>
      </c>
      <c r="I7036">
        <f>_xlfn.XLOOKUP(A7036,'[1]Tissue Data'!$A:$A,'[1]Tissue Data'!L:L)</f>
        <v>7</v>
      </c>
      <c r="J7036">
        <f>_xlfn.XLOOKUP(A7036,'[1]Tissue Data'!$A:$A,'[1]Tissue Data'!M:M)</f>
        <v>6.27</v>
      </c>
      <c r="K7036" t="s">
        <v>46</v>
      </c>
      <c r="L7036" t="str">
        <f>_xlfn.XLOOKUP(K7036,[2]analyte_order!$B:$B,[2]analyte_order!$C:$C)</f>
        <v>120226-60-0</v>
      </c>
      <c r="M7036">
        <f>_xlfn.XLOOKUP(L7036,[2]analyte_order!$C:$C,[2]analyte_order!$E:$E)</f>
        <v>25</v>
      </c>
      <c r="N7036">
        <v>0.436</v>
      </c>
    </row>
    <row r="7037" spans="1:14">
      <c r="A7037" t="s">
        <v>301</v>
      </c>
      <c r="B7037" t="str">
        <f>_xlfn.XLOOKUP(A7037,'[1]Tissue Data'!$A:$A,'[1]Tissue Data'!$C:$C)</f>
        <v>Down</v>
      </c>
      <c r="C7037" s="2">
        <f>_xlfn.XLOOKUP(A7037,'[1]Tissue Data'!$A:$A,'[1]Tissue Data'!$D:$D)</f>
        <v>44393</v>
      </c>
      <c r="D7037" s="2" t="str">
        <f>_xlfn.XLOOKUP(A7037,'[1]Tissue Data'!$A:$A,'[1]Tissue Data'!$F:$F)</f>
        <v>Pumpkinseed</v>
      </c>
      <c r="E7037" t="str">
        <f>_xlfn.XLOOKUP(A7037,'[1]Tissue Data'!$A:$A,'[1]Tissue Data'!$H:$H)</f>
        <v>Lepomis</v>
      </c>
      <c r="F7037" t="str">
        <f>_xlfn.XLOOKUP(A7037,'[1]Tissue Data'!$A:$A,'[1]Tissue Data'!$I:$I)</f>
        <v>gibbosus</v>
      </c>
      <c r="G7037" t="str">
        <f>_xlfn.XLOOKUP(A7037,'[1]Tissue Data'!$A:$A,'[1]Tissue Data'!J:J)</f>
        <v>U</v>
      </c>
      <c r="H7037" t="str">
        <f>_xlfn.XLOOKUP(A7037,'[1]Tissue Data'!$A:$A,'[1]Tissue Data'!K:K)</f>
        <v>Whole Body</v>
      </c>
      <c r="I7037">
        <f>_xlfn.XLOOKUP(A7037,'[1]Tissue Data'!$A:$A,'[1]Tissue Data'!L:L)</f>
        <v>7</v>
      </c>
      <c r="J7037">
        <f>_xlfn.XLOOKUP(A7037,'[1]Tissue Data'!$A:$A,'[1]Tissue Data'!M:M)</f>
        <v>6.27</v>
      </c>
      <c r="K7037" t="s">
        <v>47</v>
      </c>
      <c r="L7037" t="str">
        <f>_xlfn.XLOOKUP(K7037,[2]analyte_order!$B:$B,[2]analyte_order!$C:$C)</f>
        <v>356-02-5</v>
      </c>
      <c r="M7037">
        <f>_xlfn.XLOOKUP(L7037,[2]analyte_order!$C:$C,[2]analyte_order!$E:$E)</f>
        <v>38</v>
      </c>
      <c r="N7037">
        <v>0.218</v>
      </c>
    </row>
    <row r="7038" spans="1:14">
      <c r="A7038" t="s">
        <v>301</v>
      </c>
      <c r="B7038" t="str">
        <f>_xlfn.XLOOKUP(A7038,'[1]Tissue Data'!$A:$A,'[1]Tissue Data'!$C:$C)</f>
        <v>Down</v>
      </c>
      <c r="C7038" s="2">
        <f>_xlfn.XLOOKUP(A7038,'[1]Tissue Data'!$A:$A,'[1]Tissue Data'!$D:$D)</f>
        <v>44393</v>
      </c>
      <c r="D7038" s="2" t="str">
        <f>_xlfn.XLOOKUP(A7038,'[1]Tissue Data'!$A:$A,'[1]Tissue Data'!$F:$F)</f>
        <v>Pumpkinseed</v>
      </c>
      <c r="E7038" t="str">
        <f>_xlfn.XLOOKUP(A7038,'[1]Tissue Data'!$A:$A,'[1]Tissue Data'!$H:$H)</f>
        <v>Lepomis</v>
      </c>
      <c r="F7038" t="str">
        <f>_xlfn.XLOOKUP(A7038,'[1]Tissue Data'!$A:$A,'[1]Tissue Data'!$I:$I)</f>
        <v>gibbosus</v>
      </c>
      <c r="G7038" t="str">
        <f>_xlfn.XLOOKUP(A7038,'[1]Tissue Data'!$A:$A,'[1]Tissue Data'!J:J)</f>
        <v>U</v>
      </c>
      <c r="H7038" t="str">
        <f>_xlfn.XLOOKUP(A7038,'[1]Tissue Data'!$A:$A,'[1]Tissue Data'!K:K)</f>
        <v>Whole Body</v>
      </c>
      <c r="I7038">
        <f>_xlfn.XLOOKUP(A7038,'[1]Tissue Data'!$A:$A,'[1]Tissue Data'!L:L)</f>
        <v>7</v>
      </c>
      <c r="J7038">
        <f>_xlfn.XLOOKUP(A7038,'[1]Tissue Data'!$A:$A,'[1]Tissue Data'!M:M)</f>
        <v>6.27</v>
      </c>
      <c r="K7038" t="s">
        <v>48</v>
      </c>
      <c r="L7038" t="str">
        <f>_xlfn.XLOOKUP(K7038,[2]analyte_order!$B:$B,[2]analyte_order!$C:$C)</f>
        <v>914637-49-3</v>
      </c>
      <c r="M7038">
        <f>_xlfn.XLOOKUP(L7038,[2]analyte_order!$C:$C,[2]analyte_order!$E:$E)</f>
        <v>39</v>
      </c>
      <c r="N7038">
        <v>0.109</v>
      </c>
    </row>
    <row r="7039" spans="1:14">
      <c r="A7039" t="s">
        <v>301</v>
      </c>
      <c r="B7039" t="str">
        <f>_xlfn.XLOOKUP(A7039,'[1]Tissue Data'!$A:$A,'[1]Tissue Data'!$C:$C)</f>
        <v>Down</v>
      </c>
      <c r="C7039" s="2">
        <f>_xlfn.XLOOKUP(A7039,'[1]Tissue Data'!$A:$A,'[1]Tissue Data'!$D:$D)</f>
        <v>44393</v>
      </c>
      <c r="D7039" s="2" t="str">
        <f>_xlfn.XLOOKUP(A7039,'[1]Tissue Data'!$A:$A,'[1]Tissue Data'!$F:$F)</f>
        <v>Pumpkinseed</v>
      </c>
      <c r="E7039" t="str">
        <f>_xlfn.XLOOKUP(A7039,'[1]Tissue Data'!$A:$A,'[1]Tissue Data'!$H:$H)</f>
        <v>Lepomis</v>
      </c>
      <c r="F7039" t="str">
        <f>_xlfn.XLOOKUP(A7039,'[1]Tissue Data'!$A:$A,'[1]Tissue Data'!$I:$I)</f>
        <v>gibbosus</v>
      </c>
      <c r="G7039" t="str">
        <f>_xlfn.XLOOKUP(A7039,'[1]Tissue Data'!$A:$A,'[1]Tissue Data'!J:J)</f>
        <v>U</v>
      </c>
      <c r="H7039" t="str">
        <f>_xlfn.XLOOKUP(A7039,'[1]Tissue Data'!$A:$A,'[1]Tissue Data'!K:K)</f>
        <v>Whole Body</v>
      </c>
      <c r="I7039">
        <f>_xlfn.XLOOKUP(A7039,'[1]Tissue Data'!$A:$A,'[1]Tissue Data'!L:L)</f>
        <v>7</v>
      </c>
      <c r="J7039">
        <f>_xlfn.XLOOKUP(A7039,'[1]Tissue Data'!$A:$A,'[1]Tissue Data'!M:M)</f>
        <v>6.27</v>
      </c>
      <c r="K7039" t="s">
        <v>49</v>
      </c>
      <c r="L7039" t="str">
        <f>_xlfn.XLOOKUP(K7039,[2]analyte_order!$B:$B,[2]analyte_order!$C:$C)</f>
        <v>812-70-4</v>
      </c>
      <c r="M7039">
        <f>_xlfn.XLOOKUP(L7039,[2]analyte_order!$C:$C,[2]analyte_order!$E:$E)</f>
        <v>40</v>
      </c>
      <c r="N7039">
        <v>2.25</v>
      </c>
    </row>
    <row r="7040" spans="1:14">
      <c r="A7040" t="s">
        <v>301</v>
      </c>
      <c r="B7040" t="str">
        <f>_xlfn.XLOOKUP(A7040,'[1]Tissue Data'!$A:$A,'[1]Tissue Data'!$C:$C)</f>
        <v>Down</v>
      </c>
      <c r="C7040" s="2">
        <f>_xlfn.XLOOKUP(A7040,'[1]Tissue Data'!$A:$A,'[1]Tissue Data'!$D:$D)</f>
        <v>44393</v>
      </c>
      <c r="D7040" s="2" t="str">
        <f>_xlfn.XLOOKUP(A7040,'[1]Tissue Data'!$A:$A,'[1]Tissue Data'!$F:$F)</f>
        <v>Pumpkinseed</v>
      </c>
      <c r="E7040" t="str">
        <f>_xlfn.XLOOKUP(A7040,'[1]Tissue Data'!$A:$A,'[1]Tissue Data'!$H:$H)</f>
        <v>Lepomis</v>
      </c>
      <c r="F7040" t="str">
        <f>_xlfn.XLOOKUP(A7040,'[1]Tissue Data'!$A:$A,'[1]Tissue Data'!$I:$I)</f>
        <v>gibbosus</v>
      </c>
      <c r="G7040" t="str">
        <f>_xlfn.XLOOKUP(A7040,'[1]Tissue Data'!$A:$A,'[1]Tissue Data'!J:J)</f>
        <v>U</v>
      </c>
      <c r="H7040" t="str">
        <f>_xlfn.XLOOKUP(A7040,'[1]Tissue Data'!$A:$A,'[1]Tissue Data'!K:K)</f>
        <v>Whole Body</v>
      </c>
      <c r="I7040">
        <f>_xlfn.XLOOKUP(A7040,'[1]Tissue Data'!$A:$A,'[1]Tissue Data'!L:L)</f>
        <v>7</v>
      </c>
      <c r="J7040">
        <f>_xlfn.XLOOKUP(A7040,'[1]Tissue Data'!$A:$A,'[1]Tissue Data'!M:M)</f>
        <v>6.27</v>
      </c>
      <c r="K7040" t="s">
        <v>50</v>
      </c>
      <c r="L7040" t="str">
        <f>_xlfn.XLOOKUP(K7040,[2]analyte_order!$B:$B,[2]analyte_order!$C:$C)</f>
        <v>53826-12-3</v>
      </c>
      <c r="M7040">
        <f>_xlfn.XLOOKUP(L7040,[2]analyte_order!$C:$C,[2]analyte_order!$E:$E)</f>
        <v>41</v>
      </c>
      <c r="N7040">
        <v>0.218</v>
      </c>
    </row>
    <row r="7041" spans="1:14">
      <c r="A7041" t="s">
        <v>301</v>
      </c>
      <c r="B7041" t="str">
        <f>_xlfn.XLOOKUP(A7041,'[1]Tissue Data'!$A:$A,'[1]Tissue Data'!$C:$C)</f>
        <v>Down</v>
      </c>
      <c r="C7041" s="2">
        <f>_xlfn.XLOOKUP(A7041,'[1]Tissue Data'!$A:$A,'[1]Tissue Data'!$D:$D)</f>
        <v>44393</v>
      </c>
      <c r="D7041" s="2" t="str">
        <f>_xlfn.XLOOKUP(A7041,'[1]Tissue Data'!$A:$A,'[1]Tissue Data'!$F:$F)</f>
        <v>Pumpkinseed</v>
      </c>
      <c r="E7041" t="str">
        <f>_xlfn.XLOOKUP(A7041,'[1]Tissue Data'!$A:$A,'[1]Tissue Data'!$H:$H)</f>
        <v>Lepomis</v>
      </c>
      <c r="F7041" t="str">
        <f>_xlfn.XLOOKUP(A7041,'[1]Tissue Data'!$A:$A,'[1]Tissue Data'!$I:$I)</f>
        <v>gibbosus</v>
      </c>
      <c r="G7041" t="str">
        <f>_xlfn.XLOOKUP(A7041,'[1]Tissue Data'!$A:$A,'[1]Tissue Data'!J:J)</f>
        <v>U</v>
      </c>
      <c r="H7041" t="str">
        <f>_xlfn.XLOOKUP(A7041,'[1]Tissue Data'!$A:$A,'[1]Tissue Data'!K:K)</f>
        <v>Whole Body</v>
      </c>
      <c r="I7041">
        <f>_xlfn.XLOOKUP(A7041,'[1]Tissue Data'!$A:$A,'[1]Tissue Data'!L:L)</f>
        <v>7</v>
      </c>
      <c r="J7041">
        <f>_xlfn.XLOOKUP(A7041,'[1]Tissue Data'!$A:$A,'[1]Tissue Data'!M:M)</f>
        <v>6.27</v>
      </c>
      <c r="K7041" t="s">
        <v>51</v>
      </c>
      <c r="L7041" t="str">
        <f>_xlfn.XLOOKUP(K7041,[2]analyte_order!$B:$B,[2]analyte_order!$C:$C)</f>
        <v>27854-31-5</v>
      </c>
      <c r="M7041">
        <f>_xlfn.XLOOKUP(L7041,[2]analyte_order!$C:$C,[2]analyte_order!$E:$E)</f>
        <v>42</v>
      </c>
      <c r="N7041">
        <v>0.109</v>
      </c>
    </row>
    <row r="7042" spans="1:14">
      <c r="A7042" t="s">
        <v>301</v>
      </c>
      <c r="B7042" t="str">
        <f>_xlfn.XLOOKUP(A7042,'[1]Tissue Data'!$A:$A,'[1]Tissue Data'!$C:$C)</f>
        <v>Down</v>
      </c>
      <c r="C7042" s="2">
        <f>_xlfn.XLOOKUP(A7042,'[1]Tissue Data'!$A:$A,'[1]Tissue Data'!$D:$D)</f>
        <v>44393</v>
      </c>
      <c r="D7042" s="2" t="str">
        <f>_xlfn.XLOOKUP(A7042,'[1]Tissue Data'!$A:$A,'[1]Tissue Data'!$F:$F)</f>
        <v>Pumpkinseed</v>
      </c>
      <c r="E7042" t="str">
        <f>_xlfn.XLOOKUP(A7042,'[1]Tissue Data'!$A:$A,'[1]Tissue Data'!$H:$H)</f>
        <v>Lepomis</v>
      </c>
      <c r="F7042" t="str">
        <f>_xlfn.XLOOKUP(A7042,'[1]Tissue Data'!$A:$A,'[1]Tissue Data'!$I:$I)</f>
        <v>gibbosus</v>
      </c>
      <c r="G7042" t="str">
        <f>_xlfn.XLOOKUP(A7042,'[1]Tissue Data'!$A:$A,'[1]Tissue Data'!J:J)</f>
        <v>U</v>
      </c>
      <c r="H7042" t="str">
        <f>_xlfn.XLOOKUP(A7042,'[1]Tissue Data'!$A:$A,'[1]Tissue Data'!K:K)</f>
        <v>Whole Body</v>
      </c>
      <c r="I7042">
        <f>_xlfn.XLOOKUP(A7042,'[1]Tissue Data'!$A:$A,'[1]Tissue Data'!L:L)</f>
        <v>7</v>
      </c>
      <c r="J7042">
        <f>_xlfn.XLOOKUP(A7042,'[1]Tissue Data'!$A:$A,'[1]Tissue Data'!M:M)</f>
        <v>6.27</v>
      </c>
      <c r="K7042" t="s">
        <v>52</v>
      </c>
      <c r="L7042" t="str">
        <f>_xlfn.XLOOKUP(K7042,[2]analyte_order!$B:$B,[2]analyte_order!$C:$C)</f>
        <v>53826-13-4</v>
      </c>
      <c r="M7042">
        <f>_xlfn.XLOOKUP(L7042,[2]analyte_order!$C:$C,[2]analyte_order!$E:$E)</f>
        <v>43</v>
      </c>
      <c r="N7042">
        <v>0.218</v>
      </c>
    </row>
    <row r="7043" spans="1:14">
      <c r="A7043" t="s">
        <v>301</v>
      </c>
      <c r="B7043" t="str">
        <f>_xlfn.XLOOKUP(A7043,'[1]Tissue Data'!$A:$A,'[1]Tissue Data'!$C:$C)</f>
        <v>Down</v>
      </c>
      <c r="C7043" s="2">
        <f>_xlfn.XLOOKUP(A7043,'[1]Tissue Data'!$A:$A,'[1]Tissue Data'!$D:$D)</f>
        <v>44393</v>
      </c>
      <c r="D7043" s="2" t="str">
        <f>_xlfn.XLOOKUP(A7043,'[1]Tissue Data'!$A:$A,'[1]Tissue Data'!$F:$F)</f>
        <v>Pumpkinseed</v>
      </c>
      <c r="E7043" t="str">
        <f>_xlfn.XLOOKUP(A7043,'[1]Tissue Data'!$A:$A,'[1]Tissue Data'!$H:$H)</f>
        <v>Lepomis</v>
      </c>
      <c r="F7043" t="str">
        <f>_xlfn.XLOOKUP(A7043,'[1]Tissue Data'!$A:$A,'[1]Tissue Data'!$I:$I)</f>
        <v>gibbosus</v>
      </c>
      <c r="G7043" t="str">
        <f>_xlfn.XLOOKUP(A7043,'[1]Tissue Data'!$A:$A,'[1]Tissue Data'!J:J)</f>
        <v>U</v>
      </c>
      <c r="H7043" t="str">
        <f>_xlfn.XLOOKUP(A7043,'[1]Tissue Data'!$A:$A,'[1]Tissue Data'!K:K)</f>
        <v>Whole Body</v>
      </c>
      <c r="I7043">
        <f>_xlfn.XLOOKUP(A7043,'[1]Tissue Data'!$A:$A,'[1]Tissue Data'!L:L)</f>
        <v>7</v>
      </c>
      <c r="J7043">
        <f>_xlfn.XLOOKUP(A7043,'[1]Tissue Data'!$A:$A,'[1]Tissue Data'!M:M)</f>
        <v>6.27</v>
      </c>
      <c r="K7043" t="s">
        <v>53</v>
      </c>
      <c r="L7043" t="str">
        <f>_xlfn.XLOOKUP(K7043,[2]analyte_order!$B:$B,[2]analyte_order!$C:$C)</f>
        <v>161094-75-3</v>
      </c>
      <c r="M7043">
        <f>_xlfn.XLOOKUP(L7043,[2]analyte_order!$C:$C,[2]analyte_order!$E:$E)</f>
        <v>44</v>
      </c>
      <c r="N7043">
        <v>8.5500000000000007E-2</v>
      </c>
    </row>
    <row r="7044" spans="1:14">
      <c r="A7044" t="s">
        <v>301</v>
      </c>
      <c r="B7044" t="str">
        <f>_xlfn.XLOOKUP(A7044,'[1]Tissue Data'!$A:$A,'[1]Tissue Data'!$C:$C)</f>
        <v>Down</v>
      </c>
      <c r="C7044" s="2">
        <f>_xlfn.XLOOKUP(A7044,'[1]Tissue Data'!$A:$A,'[1]Tissue Data'!$D:$D)</f>
        <v>44393</v>
      </c>
      <c r="D7044" s="2" t="str">
        <f>_xlfn.XLOOKUP(A7044,'[1]Tissue Data'!$A:$A,'[1]Tissue Data'!$F:$F)</f>
        <v>Pumpkinseed</v>
      </c>
      <c r="E7044" t="str">
        <f>_xlfn.XLOOKUP(A7044,'[1]Tissue Data'!$A:$A,'[1]Tissue Data'!$H:$H)</f>
        <v>Lepomis</v>
      </c>
      <c r="F7044" t="str">
        <f>_xlfn.XLOOKUP(A7044,'[1]Tissue Data'!$A:$A,'[1]Tissue Data'!$I:$I)</f>
        <v>gibbosus</v>
      </c>
      <c r="G7044" t="str">
        <f>_xlfn.XLOOKUP(A7044,'[1]Tissue Data'!$A:$A,'[1]Tissue Data'!J:J)</f>
        <v>U</v>
      </c>
      <c r="H7044" t="str">
        <f>_xlfn.XLOOKUP(A7044,'[1]Tissue Data'!$A:$A,'[1]Tissue Data'!K:K)</f>
        <v>Whole Body</v>
      </c>
      <c r="I7044">
        <f>_xlfn.XLOOKUP(A7044,'[1]Tissue Data'!$A:$A,'[1]Tissue Data'!L:L)</f>
        <v>7</v>
      </c>
      <c r="J7044">
        <f>_xlfn.XLOOKUP(A7044,'[1]Tissue Data'!$A:$A,'[1]Tissue Data'!M:M)</f>
        <v>6.27</v>
      </c>
      <c r="K7044" t="s">
        <v>54</v>
      </c>
      <c r="L7044" t="str">
        <f>_xlfn.XLOOKUP(K7044,[2]analyte_order!$B:$B,[2]analyte_order!$C:$C)</f>
        <v>70887-84-2</v>
      </c>
      <c r="M7044">
        <f>_xlfn.XLOOKUP(L7044,[2]analyte_order!$C:$C,[2]analyte_order!$E:$E)</f>
        <v>45</v>
      </c>
      <c r="N7044">
        <v>6.6000000000000003E-2</v>
      </c>
    </row>
    <row r="7045" spans="1:14">
      <c r="A7045" t="s">
        <v>301</v>
      </c>
      <c r="B7045" t="str">
        <f>_xlfn.XLOOKUP(A7045,'[1]Tissue Data'!$A:$A,'[1]Tissue Data'!$C:$C)</f>
        <v>Down</v>
      </c>
      <c r="C7045" s="2">
        <f>_xlfn.XLOOKUP(A7045,'[1]Tissue Data'!$A:$A,'[1]Tissue Data'!$D:$D)</f>
        <v>44393</v>
      </c>
      <c r="D7045" s="2" t="str">
        <f>_xlfn.XLOOKUP(A7045,'[1]Tissue Data'!$A:$A,'[1]Tissue Data'!$F:$F)</f>
        <v>Pumpkinseed</v>
      </c>
      <c r="E7045" t="str">
        <f>_xlfn.XLOOKUP(A7045,'[1]Tissue Data'!$A:$A,'[1]Tissue Data'!$H:$H)</f>
        <v>Lepomis</v>
      </c>
      <c r="F7045" t="str">
        <f>_xlfn.XLOOKUP(A7045,'[1]Tissue Data'!$A:$A,'[1]Tissue Data'!$I:$I)</f>
        <v>gibbosus</v>
      </c>
      <c r="G7045" t="str">
        <f>_xlfn.XLOOKUP(A7045,'[1]Tissue Data'!$A:$A,'[1]Tissue Data'!J:J)</f>
        <v>U</v>
      </c>
      <c r="H7045" t="str">
        <f>_xlfn.XLOOKUP(A7045,'[1]Tissue Data'!$A:$A,'[1]Tissue Data'!K:K)</f>
        <v>Whole Body</v>
      </c>
      <c r="I7045">
        <f>_xlfn.XLOOKUP(A7045,'[1]Tissue Data'!$A:$A,'[1]Tissue Data'!L:L)</f>
        <v>7</v>
      </c>
      <c r="J7045">
        <f>_xlfn.XLOOKUP(A7045,'[1]Tissue Data'!$A:$A,'[1]Tissue Data'!M:M)</f>
        <v>6.27</v>
      </c>
      <c r="K7045" t="s">
        <v>55</v>
      </c>
      <c r="L7045" t="str">
        <f>_xlfn.XLOOKUP(K7045,[2]analyte_order!$B:$B,[2]analyte_order!$C:$C)</f>
        <v>919005-14-4</v>
      </c>
      <c r="M7045">
        <f>_xlfn.XLOOKUP(L7045,[2]analyte_order!$C:$C,[2]analyte_order!$E:$E)</f>
        <v>35</v>
      </c>
      <c r="N7045">
        <v>9.6000000000000002E-2</v>
      </c>
    </row>
    <row r="7046" spans="1:14">
      <c r="A7046" t="s">
        <v>301</v>
      </c>
      <c r="B7046" t="str">
        <f>_xlfn.XLOOKUP(A7046,'[1]Tissue Data'!$A:$A,'[1]Tissue Data'!$C:$C)</f>
        <v>Down</v>
      </c>
      <c r="C7046" s="2">
        <f>_xlfn.XLOOKUP(A7046,'[1]Tissue Data'!$A:$A,'[1]Tissue Data'!$D:$D)</f>
        <v>44393</v>
      </c>
      <c r="D7046" s="2" t="str">
        <f>_xlfn.XLOOKUP(A7046,'[1]Tissue Data'!$A:$A,'[1]Tissue Data'!$F:$F)</f>
        <v>Pumpkinseed</v>
      </c>
      <c r="E7046" t="str">
        <f>_xlfn.XLOOKUP(A7046,'[1]Tissue Data'!$A:$A,'[1]Tissue Data'!$H:$H)</f>
        <v>Lepomis</v>
      </c>
      <c r="F7046" t="str">
        <f>_xlfn.XLOOKUP(A7046,'[1]Tissue Data'!$A:$A,'[1]Tissue Data'!$I:$I)</f>
        <v>gibbosus</v>
      </c>
      <c r="G7046" t="str">
        <f>_xlfn.XLOOKUP(A7046,'[1]Tissue Data'!$A:$A,'[1]Tissue Data'!J:J)</f>
        <v>U</v>
      </c>
      <c r="H7046" t="str">
        <f>_xlfn.XLOOKUP(A7046,'[1]Tissue Data'!$A:$A,'[1]Tissue Data'!K:K)</f>
        <v>Whole Body</v>
      </c>
      <c r="I7046">
        <f>_xlfn.XLOOKUP(A7046,'[1]Tissue Data'!$A:$A,'[1]Tissue Data'!L:L)</f>
        <v>7</v>
      </c>
      <c r="J7046">
        <f>_xlfn.XLOOKUP(A7046,'[1]Tissue Data'!$A:$A,'[1]Tissue Data'!M:M)</f>
        <v>6.27</v>
      </c>
      <c r="K7046" t="s">
        <v>56</v>
      </c>
      <c r="L7046" t="str">
        <f>_xlfn.XLOOKUP(K7046,[2]analyte_order!$B:$B,[2]analyte_order!$C:$C)</f>
        <v>756426-58-1</v>
      </c>
      <c r="M7046">
        <f>_xlfn.XLOOKUP(L7046,[2]analyte_order!$C:$C,[2]analyte_order!$E:$E)</f>
        <v>36</v>
      </c>
      <c r="N7046">
        <v>0.218</v>
      </c>
    </row>
    <row r="7047" spans="1:14">
      <c r="A7047" t="s">
        <v>301</v>
      </c>
      <c r="B7047" t="str">
        <f>_xlfn.XLOOKUP(A7047,'[1]Tissue Data'!$A:$A,'[1]Tissue Data'!$C:$C)</f>
        <v>Down</v>
      </c>
      <c r="C7047" s="2">
        <f>_xlfn.XLOOKUP(A7047,'[1]Tissue Data'!$A:$A,'[1]Tissue Data'!$D:$D)</f>
        <v>44393</v>
      </c>
      <c r="D7047" s="2" t="str">
        <f>_xlfn.XLOOKUP(A7047,'[1]Tissue Data'!$A:$A,'[1]Tissue Data'!$F:$F)</f>
        <v>Pumpkinseed</v>
      </c>
      <c r="E7047" t="str">
        <f>_xlfn.XLOOKUP(A7047,'[1]Tissue Data'!$A:$A,'[1]Tissue Data'!$H:$H)</f>
        <v>Lepomis</v>
      </c>
      <c r="F7047" t="str">
        <f>_xlfn.XLOOKUP(A7047,'[1]Tissue Data'!$A:$A,'[1]Tissue Data'!$I:$I)</f>
        <v>gibbosus</v>
      </c>
      <c r="G7047" t="str">
        <f>_xlfn.XLOOKUP(A7047,'[1]Tissue Data'!$A:$A,'[1]Tissue Data'!J:J)</f>
        <v>U</v>
      </c>
      <c r="H7047" t="str">
        <f>_xlfn.XLOOKUP(A7047,'[1]Tissue Data'!$A:$A,'[1]Tissue Data'!K:K)</f>
        <v>Whole Body</v>
      </c>
      <c r="I7047">
        <f>_xlfn.XLOOKUP(A7047,'[1]Tissue Data'!$A:$A,'[1]Tissue Data'!L:L)</f>
        <v>7</v>
      </c>
      <c r="J7047">
        <f>_xlfn.XLOOKUP(A7047,'[1]Tissue Data'!$A:$A,'[1]Tissue Data'!M:M)</f>
        <v>6.27</v>
      </c>
      <c r="K7047" t="s">
        <v>57</v>
      </c>
      <c r="L7047" t="str">
        <f>_xlfn.XLOOKUP(K7047,[2]analyte_order!$B:$B,[2]analyte_order!$C:$C)</f>
        <v>763051-92-9</v>
      </c>
      <c r="M7047">
        <f>_xlfn.XLOOKUP(L7047,[2]analyte_order!$C:$C,[2]analyte_order!$E:$E)</f>
        <v>37</v>
      </c>
      <c r="N7047">
        <v>0.218</v>
      </c>
    </row>
    <row r="7048" spans="1:14">
      <c r="A7048" t="s">
        <v>301</v>
      </c>
      <c r="B7048" t="str">
        <f>_xlfn.XLOOKUP(A7048,'[1]Tissue Data'!$A:$A,'[1]Tissue Data'!$C:$C)</f>
        <v>Down</v>
      </c>
      <c r="C7048" s="2">
        <f>_xlfn.XLOOKUP(A7048,'[1]Tissue Data'!$A:$A,'[1]Tissue Data'!$D:$D)</f>
        <v>44393</v>
      </c>
      <c r="D7048" s="2" t="str">
        <f>_xlfn.XLOOKUP(A7048,'[1]Tissue Data'!$A:$A,'[1]Tissue Data'!$F:$F)</f>
        <v>Pumpkinseed</v>
      </c>
      <c r="E7048" t="str">
        <f>_xlfn.XLOOKUP(A7048,'[1]Tissue Data'!$A:$A,'[1]Tissue Data'!$H:$H)</f>
        <v>Lepomis</v>
      </c>
      <c r="F7048" t="str">
        <f>_xlfn.XLOOKUP(A7048,'[1]Tissue Data'!$A:$A,'[1]Tissue Data'!$I:$I)</f>
        <v>gibbosus</v>
      </c>
      <c r="G7048" t="str">
        <f>_xlfn.XLOOKUP(A7048,'[1]Tissue Data'!$A:$A,'[1]Tissue Data'!J:J)</f>
        <v>U</v>
      </c>
      <c r="H7048" t="str">
        <f>_xlfn.XLOOKUP(A7048,'[1]Tissue Data'!$A:$A,'[1]Tissue Data'!K:K)</f>
        <v>Whole Body</v>
      </c>
      <c r="I7048">
        <f>_xlfn.XLOOKUP(A7048,'[1]Tissue Data'!$A:$A,'[1]Tissue Data'!L:L)</f>
        <v>7</v>
      </c>
      <c r="J7048">
        <f>_xlfn.XLOOKUP(A7048,'[1]Tissue Data'!$A:$A,'[1]Tissue Data'!M:M)</f>
        <v>6.27</v>
      </c>
      <c r="K7048" t="s">
        <v>58</v>
      </c>
      <c r="L7048" t="str">
        <f>_xlfn.XLOOKUP(K7048,[2]analyte_order!$B:$B,[2]analyte_order!$C:$C)</f>
        <v>13252-13-6</v>
      </c>
      <c r="M7048">
        <f>_xlfn.XLOOKUP(L7048,[2]analyte_order!$C:$C,[2]analyte_order!$E:$E)</f>
        <v>34</v>
      </c>
      <c r="N7048">
        <v>0.1565</v>
      </c>
    </row>
    <row r="7049" spans="1:14">
      <c r="A7049" t="s">
        <v>301</v>
      </c>
      <c r="B7049" t="str">
        <f>_xlfn.XLOOKUP(A7049,'[1]Tissue Data'!$A:$A,'[1]Tissue Data'!$C:$C)</f>
        <v>Down</v>
      </c>
      <c r="C7049" s="2">
        <f>_xlfn.XLOOKUP(A7049,'[1]Tissue Data'!$A:$A,'[1]Tissue Data'!$D:$D)</f>
        <v>44393</v>
      </c>
      <c r="D7049" s="2" t="str">
        <f>_xlfn.XLOOKUP(A7049,'[1]Tissue Data'!$A:$A,'[1]Tissue Data'!$F:$F)</f>
        <v>Pumpkinseed</v>
      </c>
      <c r="E7049" t="str">
        <f>_xlfn.XLOOKUP(A7049,'[1]Tissue Data'!$A:$A,'[1]Tissue Data'!$H:$H)</f>
        <v>Lepomis</v>
      </c>
      <c r="F7049" t="str">
        <f>_xlfn.XLOOKUP(A7049,'[1]Tissue Data'!$A:$A,'[1]Tissue Data'!$I:$I)</f>
        <v>gibbosus</v>
      </c>
      <c r="G7049" t="str">
        <f>_xlfn.XLOOKUP(A7049,'[1]Tissue Data'!$A:$A,'[1]Tissue Data'!J:J)</f>
        <v>U</v>
      </c>
      <c r="H7049" t="str">
        <f>_xlfn.XLOOKUP(A7049,'[1]Tissue Data'!$A:$A,'[1]Tissue Data'!K:K)</f>
        <v>Whole Body</v>
      </c>
      <c r="I7049">
        <f>_xlfn.XLOOKUP(A7049,'[1]Tissue Data'!$A:$A,'[1]Tissue Data'!L:L)</f>
        <v>7</v>
      </c>
      <c r="J7049">
        <f>_xlfn.XLOOKUP(A7049,'[1]Tissue Data'!$A:$A,'[1]Tissue Data'!M:M)</f>
        <v>6.27</v>
      </c>
      <c r="K7049" t="s">
        <v>59</v>
      </c>
      <c r="L7049" t="str">
        <f>_xlfn.XLOOKUP(K7049,[2]analyte_order!$B:$B,[2]analyte_order!$C:$C)</f>
        <v>57677-95-9</v>
      </c>
      <c r="M7049">
        <f>_xlfn.XLOOKUP(L7049,[2]analyte_order!$C:$C,[2]analyte_order!$E:$E)</f>
        <v>46</v>
      </c>
      <c r="N7049">
        <v>0.218</v>
      </c>
    </row>
    <row r="7050" spans="1:14">
      <c r="A7050" t="s">
        <v>301</v>
      </c>
      <c r="B7050" t="str">
        <f>_xlfn.XLOOKUP(A7050,'[1]Tissue Data'!$A:$A,'[1]Tissue Data'!$C:$C)</f>
        <v>Down</v>
      </c>
      <c r="C7050" s="2">
        <f>_xlfn.XLOOKUP(A7050,'[1]Tissue Data'!$A:$A,'[1]Tissue Data'!$D:$D)</f>
        <v>44393</v>
      </c>
      <c r="D7050" s="2" t="str">
        <f>_xlfn.XLOOKUP(A7050,'[1]Tissue Data'!$A:$A,'[1]Tissue Data'!$F:$F)</f>
        <v>Pumpkinseed</v>
      </c>
      <c r="E7050" t="str">
        <f>_xlfn.XLOOKUP(A7050,'[1]Tissue Data'!$A:$A,'[1]Tissue Data'!$H:$H)</f>
        <v>Lepomis</v>
      </c>
      <c r="F7050" t="str">
        <f>_xlfn.XLOOKUP(A7050,'[1]Tissue Data'!$A:$A,'[1]Tissue Data'!$I:$I)</f>
        <v>gibbosus</v>
      </c>
      <c r="G7050" t="str">
        <f>_xlfn.XLOOKUP(A7050,'[1]Tissue Data'!$A:$A,'[1]Tissue Data'!J:J)</f>
        <v>U</v>
      </c>
      <c r="H7050" t="str">
        <f>_xlfn.XLOOKUP(A7050,'[1]Tissue Data'!$A:$A,'[1]Tissue Data'!K:K)</f>
        <v>Whole Body</v>
      </c>
      <c r="I7050">
        <f>_xlfn.XLOOKUP(A7050,'[1]Tissue Data'!$A:$A,'[1]Tissue Data'!L:L)</f>
        <v>7</v>
      </c>
      <c r="J7050">
        <f>_xlfn.XLOOKUP(A7050,'[1]Tissue Data'!$A:$A,'[1]Tissue Data'!M:M)</f>
        <v>6.27</v>
      </c>
      <c r="K7050" t="s">
        <v>60</v>
      </c>
      <c r="L7050" t="str">
        <f>_xlfn.XLOOKUP(K7050,[2]analyte_order!$B:$B,[2]analyte_order!$C:$C)</f>
        <v>678-41-1</v>
      </c>
      <c r="M7050">
        <f>_xlfn.XLOOKUP(L7050,[2]analyte_order!$C:$C,[2]analyte_order!$E:$E)</f>
        <v>56</v>
      </c>
      <c r="N7050">
        <v>0.218</v>
      </c>
    </row>
    <row r="7051" spans="1:14">
      <c r="A7051" t="s">
        <v>301</v>
      </c>
      <c r="B7051" t="str">
        <f>_xlfn.XLOOKUP(A7051,'[1]Tissue Data'!$A:$A,'[1]Tissue Data'!$C:$C)</f>
        <v>Down</v>
      </c>
      <c r="C7051" s="2">
        <f>_xlfn.XLOOKUP(A7051,'[1]Tissue Data'!$A:$A,'[1]Tissue Data'!$D:$D)</f>
        <v>44393</v>
      </c>
      <c r="D7051" s="2" t="str">
        <f>_xlfn.XLOOKUP(A7051,'[1]Tissue Data'!$A:$A,'[1]Tissue Data'!$F:$F)</f>
        <v>Pumpkinseed</v>
      </c>
      <c r="E7051" t="str">
        <f>_xlfn.XLOOKUP(A7051,'[1]Tissue Data'!$A:$A,'[1]Tissue Data'!$H:$H)</f>
        <v>Lepomis</v>
      </c>
      <c r="F7051" t="str">
        <f>_xlfn.XLOOKUP(A7051,'[1]Tissue Data'!$A:$A,'[1]Tissue Data'!$I:$I)</f>
        <v>gibbosus</v>
      </c>
      <c r="G7051" t="str">
        <f>_xlfn.XLOOKUP(A7051,'[1]Tissue Data'!$A:$A,'[1]Tissue Data'!J:J)</f>
        <v>U</v>
      </c>
      <c r="H7051" t="str">
        <f>_xlfn.XLOOKUP(A7051,'[1]Tissue Data'!$A:$A,'[1]Tissue Data'!K:K)</f>
        <v>Whole Body</v>
      </c>
      <c r="I7051">
        <f>_xlfn.XLOOKUP(A7051,'[1]Tissue Data'!$A:$A,'[1]Tissue Data'!L:L)</f>
        <v>7</v>
      </c>
      <c r="J7051">
        <f>_xlfn.XLOOKUP(A7051,'[1]Tissue Data'!$A:$A,'[1]Tissue Data'!M:M)</f>
        <v>6.27</v>
      </c>
      <c r="K7051" t="s">
        <v>61</v>
      </c>
      <c r="L7051" t="str">
        <f>_xlfn.XLOOKUP(K7051,[2]analyte_order!$B:$B,[2]analyte_order!$C:$C)</f>
        <v>2965-52-8</v>
      </c>
      <c r="M7051">
        <f>_xlfn.XLOOKUP(L7051,[2]analyte_order!$C:$C,[2]analyte_order!$E:$E)</f>
        <v>57</v>
      </c>
      <c r="N7051">
        <v>0.218</v>
      </c>
    </row>
    <row r="7052" spans="1:14">
      <c r="A7052" t="s">
        <v>302</v>
      </c>
      <c r="B7052" t="str">
        <f>_xlfn.XLOOKUP(A7052,'[1]Tissue Data'!$A:$A,'[1]Tissue Data'!$C:$C)</f>
        <v>Down</v>
      </c>
      <c r="C7052" s="2">
        <f>_xlfn.XLOOKUP(A7052,'[1]Tissue Data'!$A:$A,'[1]Tissue Data'!$D:$D)</f>
        <v>44393</v>
      </c>
      <c r="D7052" s="2" t="str">
        <f>_xlfn.XLOOKUP(A7052,'[1]Tissue Data'!$A:$A,'[1]Tissue Data'!$F:$F)</f>
        <v>Pumpkinseed</v>
      </c>
      <c r="E7052" t="str">
        <f>_xlfn.XLOOKUP(A7052,'[1]Tissue Data'!$A:$A,'[1]Tissue Data'!$H:$H)</f>
        <v>Lepomis</v>
      </c>
      <c r="F7052" t="str">
        <f>_xlfn.XLOOKUP(A7052,'[1]Tissue Data'!$A:$A,'[1]Tissue Data'!$I:$I)</f>
        <v>gibbosus</v>
      </c>
      <c r="G7052" t="str">
        <f>_xlfn.XLOOKUP(A7052,'[1]Tissue Data'!$A:$A,'[1]Tissue Data'!J:J)</f>
        <v>U</v>
      </c>
      <c r="H7052" t="str">
        <f>_xlfn.XLOOKUP(A7052,'[1]Tissue Data'!$A:$A,'[1]Tissue Data'!K:K)</f>
        <v>Whole Body</v>
      </c>
      <c r="I7052">
        <f>_xlfn.XLOOKUP(A7052,'[1]Tissue Data'!$A:$A,'[1]Tissue Data'!L:L)</f>
        <v>7.5</v>
      </c>
      <c r="J7052">
        <f>_xlfn.XLOOKUP(A7052,'[1]Tissue Data'!$A:$A,'[1]Tissue Data'!M:M)</f>
        <v>10.210000000000001</v>
      </c>
      <c r="K7052" t="s">
        <v>12</v>
      </c>
      <c r="L7052" t="str">
        <f>_xlfn.XLOOKUP(K7052,[2]analyte_order!$B:$B,[2]analyte_order!$C:$C)</f>
        <v>375-22-4</v>
      </c>
      <c r="M7052">
        <f>_xlfn.XLOOKUP(L7052,[2]analyte_order!$C:$C,[2]analyte_order!$E:$E)</f>
        <v>1</v>
      </c>
      <c r="N7052">
        <v>0.2135</v>
      </c>
    </row>
    <row r="7053" spans="1:14">
      <c r="A7053" t="s">
        <v>302</v>
      </c>
      <c r="B7053" t="str">
        <f>_xlfn.XLOOKUP(A7053,'[1]Tissue Data'!$A:$A,'[1]Tissue Data'!$C:$C)</f>
        <v>Down</v>
      </c>
      <c r="C7053" s="2">
        <f>_xlfn.XLOOKUP(A7053,'[1]Tissue Data'!$A:$A,'[1]Tissue Data'!$D:$D)</f>
        <v>44393</v>
      </c>
      <c r="D7053" s="2" t="str">
        <f>_xlfn.XLOOKUP(A7053,'[1]Tissue Data'!$A:$A,'[1]Tissue Data'!$F:$F)</f>
        <v>Pumpkinseed</v>
      </c>
      <c r="E7053" t="str">
        <f>_xlfn.XLOOKUP(A7053,'[1]Tissue Data'!$A:$A,'[1]Tissue Data'!$H:$H)</f>
        <v>Lepomis</v>
      </c>
      <c r="F7053" t="str">
        <f>_xlfn.XLOOKUP(A7053,'[1]Tissue Data'!$A:$A,'[1]Tissue Data'!$I:$I)</f>
        <v>gibbosus</v>
      </c>
      <c r="G7053" t="str">
        <f>_xlfn.XLOOKUP(A7053,'[1]Tissue Data'!$A:$A,'[1]Tissue Data'!J:J)</f>
        <v>U</v>
      </c>
      <c r="H7053" t="str">
        <f>_xlfn.XLOOKUP(A7053,'[1]Tissue Data'!$A:$A,'[1]Tissue Data'!K:K)</f>
        <v>Whole Body</v>
      </c>
      <c r="I7053">
        <f>_xlfn.XLOOKUP(A7053,'[1]Tissue Data'!$A:$A,'[1]Tissue Data'!L:L)</f>
        <v>7.5</v>
      </c>
      <c r="J7053">
        <f>_xlfn.XLOOKUP(A7053,'[1]Tissue Data'!$A:$A,'[1]Tissue Data'!M:M)</f>
        <v>10.210000000000001</v>
      </c>
      <c r="K7053" t="s">
        <v>13</v>
      </c>
      <c r="L7053" t="str">
        <f>_xlfn.XLOOKUP(K7053,[2]analyte_order!$B:$B,[2]analyte_order!$C:$C)</f>
        <v>2706-90-3</v>
      </c>
      <c r="M7053">
        <f>_xlfn.XLOOKUP(L7053,[2]analyte_order!$C:$C,[2]analyte_order!$E:$E)</f>
        <v>2</v>
      </c>
      <c r="N7053">
        <v>0.2135</v>
      </c>
    </row>
    <row r="7054" spans="1:14">
      <c r="A7054" t="s">
        <v>302</v>
      </c>
      <c r="B7054" t="str">
        <f>_xlfn.XLOOKUP(A7054,'[1]Tissue Data'!$A:$A,'[1]Tissue Data'!$C:$C)</f>
        <v>Down</v>
      </c>
      <c r="C7054" s="2">
        <f>_xlfn.XLOOKUP(A7054,'[1]Tissue Data'!$A:$A,'[1]Tissue Data'!$D:$D)</f>
        <v>44393</v>
      </c>
      <c r="D7054" s="2" t="str">
        <f>_xlfn.XLOOKUP(A7054,'[1]Tissue Data'!$A:$A,'[1]Tissue Data'!$F:$F)</f>
        <v>Pumpkinseed</v>
      </c>
      <c r="E7054" t="str">
        <f>_xlfn.XLOOKUP(A7054,'[1]Tissue Data'!$A:$A,'[1]Tissue Data'!$H:$H)</f>
        <v>Lepomis</v>
      </c>
      <c r="F7054" t="str">
        <f>_xlfn.XLOOKUP(A7054,'[1]Tissue Data'!$A:$A,'[1]Tissue Data'!$I:$I)</f>
        <v>gibbosus</v>
      </c>
      <c r="G7054" t="str">
        <f>_xlfn.XLOOKUP(A7054,'[1]Tissue Data'!$A:$A,'[1]Tissue Data'!J:J)</f>
        <v>U</v>
      </c>
      <c r="H7054" t="str">
        <f>_xlfn.XLOOKUP(A7054,'[1]Tissue Data'!$A:$A,'[1]Tissue Data'!K:K)</f>
        <v>Whole Body</v>
      </c>
      <c r="I7054">
        <f>_xlfn.XLOOKUP(A7054,'[1]Tissue Data'!$A:$A,'[1]Tissue Data'!L:L)</f>
        <v>7.5</v>
      </c>
      <c r="J7054">
        <f>_xlfn.XLOOKUP(A7054,'[1]Tissue Data'!$A:$A,'[1]Tissue Data'!M:M)</f>
        <v>10.210000000000001</v>
      </c>
      <c r="K7054" t="s">
        <v>14</v>
      </c>
      <c r="L7054" t="str">
        <f>_xlfn.XLOOKUP(K7054,[2]analyte_order!$B:$B,[2]analyte_order!$C:$C)</f>
        <v>307-24-4</v>
      </c>
      <c r="M7054">
        <f>_xlfn.XLOOKUP(L7054,[2]analyte_order!$C:$C,[2]analyte_order!$E:$E)</f>
        <v>3</v>
      </c>
      <c r="N7054">
        <v>0.11550000000000001</v>
      </c>
    </row>
    <row r="7055" spans="1:14">
      <c r="A7055" t="s">
        <v>302</v>
      </c>
      <c r="B7055" t="str">
        <f>_xlfn.XLOOKUP(A7055,'[1]Tissue Data'!$A:$A,'[1]Tissue Data'!$C:$C)</f>
        <v>Down</v>
      </c>
      <c r="C7055" s="2">
        <f>_xlfn.XLOOKUP(A7055,'[1]Tissue Data'!$A:$A,'[1]Tissue Data'!$D:$D)</f>
        <v>44393</v>
      </c>
      <c r="D7055" s="2" t="str">
        <f>_xlfn.XLOOKUP(A7055,'[1]Tissue Data'!$A:$A,'[1]Tissue Data'!$F:$F)</f>
        <v>Pumpkinseed</v>
      </c>
      <c r="E7055" t="str">
        <f>_xlfn.XLOOKUP(A7055,'[1]Tissue Data'!$A:$A,'[1]Tissue Data'!$H:$H)</f>
        <v>Lepomis</v>
      </c>
      <c r="F7055" t="str">
        <f>_xlfn.XLOOKUP(A7055,'[1]Tissue Data'!$A:$A,'[1]Tissue Data'!$I:$I)</f>
        <v>gibbosus</v>
      </c>
      <c r="G7055" t="str">
        <f>_xlfn.XLOOKUP(A7055,'[1]Tissue Data'!$A:$A,'[1]Tissue Data'!J:J)</f>
        <v>U</v>
      </c>
      <c r="H7055" t="str">
        <f>_xlfn.XLOOKUP(A7055,'[1]Tissue Data'!$A:$A,'[1]Tissue Data'!K:K)</f>
        <v>Whole Body</v>
      </c>
      <c r="I7055">
        <f>_xlfn.XLOOKUP(A7055,'[1]Tissue Data'!$A:$A,'[1]Tissue Data'!L:L)</f>
        <v>7.5</v>
      </c>
      <c r="J7055">
        <f>_xlfn.XLOOKUP(A7055,'[1]Tissue Data'!$A:$A,'[1]Tissue Data'!M:M)</f>
        <v>10.210000000000001</v>
      </c>
      <c r="K7055" t="s">
        <v>15</v>
      </c>
      <c r="L7055" t="str">
        <f>_xlfn.XLOOKUP(K7055,[2]analyte_order!$B:$B,[2]analyte_order!$C:$C)</f>
        <v>375-85-9</v>
      </c>
      <c r="M7055">
        <f>_xlfn.XLOOKUP(L7055,[2]analyte_order!$C:$C,[2]analyte_order!$E:$E)</f>
        <v>4</v>
      </c>
      <c r="N7055">
        <v>0.2135</v>
      </c>
    </row>
    <row r="7056" spans="1:14">
      <c r="A7056" t="s">
        <v>302</v>
      </c>
      <c r="B7056" t="str">
        <f>_xlfn.XLOOKUP(A7056,'[1]Tissue Data'!$A:$A,'[1]Tissue Data'!$C:$C)</f>
        <v>Down</v>
      </c>
      <c r="C7056" s="2">
        <f>_xlfn.XLOOKUP(A7056,'[1]Tissue Data'!$A:$A,'[1]Tissue Data'!$D:$D)</f>
        <v>44393</v>
      </c>
      <c r="D7056" s="2" t="str">
        <f>_xlfn.XLOOKUP(A7056,'[1]Tissue Data'!$A:$A,'[1]Tissue Data'!$F:$F)</f>
        <v>Pumpkinseed</v>
      </c>
      <c r="E7056" t="str">
        <f>_xlfn.XLOOKUP(A7056,'[1]Tissue Data'!$A:$A,'[1]Tissue Data'!$H:$H)</f>
        <v>Lepomis</v>
      </c>
      <c r="F7056" t="str">
        <f>_xlfn.XLOOKUP(A7056,'[1]Tissue Data'!$A:$A,'[1]Tissue Data'!$I:$I)</f>
        <v>gibbosus</v>
      </c>
      <c r="G7056" t="str">
        <f>_xlfn.XLOOKUP(A7056,'[1]Tissue Data'!$A:$A,'[1]Tissue Data'!J:J)</f>
        <v>U</v>
      </c>
      <c r="H7056" t="str">
        <f>_xlfn.XLOOKUP(A7056,'[1]Tissue Data'!$A:$A,'[1]Tissue Data'!K:K)</f>
        <v>Whole Body</v>
      </c>
      <c r="I7056">
        <f>_xlfn.XLOOKUP(A7056,'[1]Tissue Data'!$A:$A,'[1]Tissue Data'!L:L)</f>
        <v>7.5</v>
      </c>
      <c r="J7056">
        <f>_xlfn.XLOOKUP(A7056,'[1]Tissue Data'!$A:$A,'[1]Tissue Data'!M:M)</f>
        <v>10.210000000000001</v>
      </c>
      <c r="K7056" t="s">
        <v>16</v>
      </c>
      <c r="L7056" t="str">
        <f>_xlfn.XLOOKUP(K7056,[2]analyte_order!$B:$B,[2]analyte_order!$C:$C)</f>
        <v>335-67-1</v>
      </c>
      <c r="M7056">
        <f>_xlfn.XLOOKUP(L7056,[2]analyte_order!$C:$C,[2]analyte_order!$E:$E)</f>
        <v>5</v>
      </c>
      <c r="N7056">
        <v>0.29699999999999999</v>
      </c>
    </row>
    <row r="7057" spans="1:14">
      <c r="A7057" t="s">
        <v>302</v>
      </c>
      <c r="B7057" t="str">
        <f>_xlfn.XLOOKUP(A7057,'[1]Tissue Data'!$A:$A,'[1]Tissue Data'!$C:$C)</f>
        <v>Down</v>
      </c>
      <c r="C7057" s="2">
        <f>_xlfn.XLOOKUP(A7057,'[1]Tissue Data'!$A:$A,'[1]Tissue Data'!$D:$D)</f>
        <v>44393</v>
      </c>
      <c r="D7057" s="2" t="str">
        <f>_xlfn.XLOOKUP(A7057,'[1]Tissue Data'!$A:$A,'[1]Tissue Data'!$F:$F)</f>
        <v>Pumpkinseed</v>
      </c>
      <c r="E7057" t="str">
        <f>_xlfn.XLOOKUP(A7057,'[1]Tissue Data'!$A:$A,'[1]Tissue Data'!$H:$H)</f>
        <v>Lepomis</v>
      </c>
      <c r="F7057" t="str">
        <f>_xlfn.XLOOKUP(A7057,'[1]Tissue Data'!$A:$A,'[1]Tissue Data'!$I:$I)</f>
        <v>gibbosus</v>
      </c>
      <c r="G7057" t="str">
        <f>_xlfn.XLOOKUP(A7057,'[1]Tissue Data'!$A:$A,'[1]Tissue Data'!J:J)</f>
        <v>U</v>
      </c>
      <c r="H7057" t="str">
        <f>_xlfn.XLOOKUP(A7057,'[1]Tissue Data'!$A:$A,'[1]Tissue Data'!K:K)</f>
        <v>Whole Body</v>
      </c>
      <c r="I7057">
        <f>_xlfn.XLOOKUP(A7057,'[1]Tissue Data'!$A:$A,'[1]Tissue Data'!L:L)</f>
        <v>7.5</v>
      </c>
      <c r="J7057">
        <f>_xlfn.XLOOKUP(A7057,'[1]Tissue Data'!$A:$A,'[1]Tissue Data'!M:M)</f>
        <v>10.210000000000001</v>
      </c>
      <c r="K7057" t="s">
        <v>17</v>
      </c>
      <c r="L7057" t="str">
        <f>_xlfn.XLOOKUP(K7057,[2]analyte_order!$B:$B,[2]analyte_order!$C:$C)</f>
        <v>375-95-1</v>
      </c>
      <c r="M7057">
        <f>_xlfn.XLOOKUP(L7057,[2]analyte_order!$C:$C,[2]analyte_order!$E:$E)</f>
        <v>6</v>
      </c>
      <c r="N7057">
        <v>0.14799999999999999</v>
      </c>
    </row>
    <row r="7058" spans="1:14">
      <c r="A7058" t="s">
        <v>302</v>
      </c>
      <c r="B7058" t="str">
        <f>_xlfn.XLOOKUP(A7058,'[1]Tissue Data'!$A:$A,'[1]Tissue Data'!$C:$C)</f>
        <v>Down</v>
      </c>
      <c r="C7058" s="2">
        <f>_xlfn.XLOOKUP(A7058,'[1]Tissue Data'!$A:$A,'[1]Tissue Data'!$D:$D)</f>
        <v>44393</v>
      </c>
      <c r="D7058" s="2" t="str">
        <f>_xlfn.XLOOKUP(A7058,'[1]Tissue Data'!$A:$A,'[1]Tissue Data'!$F:$F)</f>
        <v>Pumpkinseed</v>
      </c>
      <c r="E7058" t="str">
        <f>_xlfn.XLOOKUP(A7058,'[1]Tissue Data'!$A:$A,'[1]Tissue Data'!$H:$H)</f>
        <v>Lepomis</v>
      </c>
      <c r="F7058" t="str">
        <f>_xlfn.XLOOKUP(A7058,'[1]Tissue Data'!$A:$A,'[1]Tissue Data'!$I:$I)</f>
        <v>gibbosus</v>
      </c>
      <c r="G7058" t="str">
        <f>_xlfn.XLOOKUP(A7058,'[1]Tissue Data'!$A:$A,'[1]Tissue Data'!J:J)</f>
        <v>U</v>
      </c>
      <c r="H7058" t="str">
        <f>_xlfn.XLOOKUP(A7058,'[1]Tissue Data'!$A:$A,'[1]Tissue Data'!K:K)</f>
        <v>Whole Body</v>
      </c>
      <c r="I7058">
        <f>_xlfn.XLOOKUP(A7058,'[1]Tissue Data'!$A:$A,'[1]Tissue Data'!L:L)</f>
        <v>7.5</v>
      </c>
      <c r="J7058">
        <f>_xlfn.XLOOKUP(A7058,'[1]Tissue Data'!$A:$A,'[1]Tissue Data'!M:M)</f>
        <v>10.210000000000001</v>
      </c>
      <c r="K7058" t="s">
        <v>18</v>
      </c>
      <c r="L7058" t="str">
        <f>_xlfn.XLOOKUP(K7058,[2]analyte_order!$B:$B,[2]analyte_order!$C:$C)</f>
        <v>335-76-2</v>
      </c>
      <c r="M7058">
        <f>_xlfn.XLOOKUP(L7058,[2]analyte_order!$C:$C,[2]analyte_order!$E:$E)</f>
        <v>7</v>
      </c>
      <c r="N7058">
        <v>3.35</v>
      </c>
    </row>
    <row r="7059" spans="1:14">
      <c r="A7059" t="s">
        <v>302</v>
      </c>
      <c r="B7059" t="str">
        <f>_xlfn.XLOOKUP(A7059,'[1]Tissue Data'!$A:$A,'[1]Tissue Data'!$C:$C)</f>
        <v>Down</v>
      </c>
      <c r="C7059" s="2">
        <f>_xlfn.XLOOKUP(A7059,'[1]Tissue Data'!$A:$A,'[1]Tissue Data'!$D:$D)</f>
        <v>44393</v>
      </c>
      <c r="D7059" s="2" t="str">
        <f>_xlfn.XLOOKUP(A7059,'[1]Tissue Data'!$A:$A,'[1]Tissue Data'!$F:$F)</f>
        <v>Pumpkinseed</v>
      </c>
      <c r="E7059" t="str">
        <f>_xlfn.XLOOKUP(A7059,'[1]Tissue Data'!$A:$A,'[1]Tissue Data'!$H:$H)</f>
        <v>Lepomis</v>
      </c>
      <c r="F7059" t="str">
        <f>_xlfn.XLOOKUP(A7059,'[1]Tissue Data'!$A:$A,'[1]Tissue Data'!$I:$I)</f>
        <v>gibbosus</v>
      </c>
      <c r="G7059" t="str">
        <f>_xlfn.XLOOKUP(A7059,'[1]Tissue Data'!$A:$A,'[1]Tissue Data'!J:J)</f>
        <v>U</v>
      </c>
      <c r="H7059" t="str">
        <f>_xlfn.XLOOKUP(A7059,'[1]Tissue Data'!$A:$A,'[1]Tissue Data'!K:K)</f>
        <v>Whole Body</v>
      </c>
      <c r="I7059">
        <f>_xlfn.XLOOKUP(A7059,'[1]Tissue Data'!$A:$A,'[1]Tissue Data'!L:L)</f>
        <v>7.5</v>
      </c>
      <c r="J7059">
        <f>_xlfn.XLOOKUP(A7059,'[1]Tissue Data'!$A:$A,'[1]Tissue Data'!M:M)</f>
        <v>10.210000000000001</v>
      </c>
      <c r="K7059" t="s">
        <v>19</v>
      </c>
      <c r="L7059" t="str">
        <f>_xlfn.XLOOKUP(K7059,[2]analyte_order!$B:$B,[2]analyte_order!$C:$C)</f>
        <v>2058-94-8</v>
      </c>
      <c r="M7059">
        <f>_xlfn.XLOOKUP(L7059,[2]analyte_order!$C:$C,[2]analyte_order!$E:$E)</f>
        <v>8</v>
      </c>
      <c r="N7059">
        <v>5.5</v>
      </c>
    </row>
    <row r="7060" spans="1:14">
      <c r="A7060" t="s">
        <v>302</v>
      </c>
      <c r="B7060" t="str">
        <f>_xlfn.XLOOKUP(A7060,'[1]Tissue Data'!$A:$A,'[1]Tissue Data'!$C:$C)</f>
        <v>Down</v>
      </c>
      <c r="C7060" s="2">
        <f>_xlfn.XLOOKUP(A7060,'[1]Tissue Data'!$A:$A,'[1]Tissue Data'!$D:$D)</f>
        <v>44393</v>
      </c>
      <c r="D7060" s="2" t="str">
        <f>_xlfn.XLOOKUP(A7060,'[1]Tissue Data'!$A:$A,'[1]Tissue Data'!$F:$F)</f>
        <v>Pumpkinseed</v>
      </c>
      <c r="E7060" t="str">
        <f>_xlfn.XLOOKUP(A7060,'[1]Tissue Data'!$A:$A,'[1]Tissue Data'!$H:$H)</f>
        <v>Lepomis</v>
      </c>
      <c r="F7060" t="str">
        <f>_xlfn.XLOOKUP(A7060,'[1]Tissue Data'!$A:$A,'[1]Tissue Data'!$I:$I)</f>
        <v>gibbosus</v>
      </c>
      <c r="G7060" t="str">
        <f>_xlfn.XLOOKUP(A7060,'[1]Tissue Data'!$A:$A,'[1]Tissue Data'!J:J)</f>
        <v>U</v>
      </c>
      <c r="H7060" t="str">
        <f>_xlfn.XLOOKUP(A7060,'[1]Tissue Data'!$A:$A,'[1]Tissue Data'!K:K)</f>
        <v>Whole Body</v>
      </c>
      <c r="I7060">
        <f>_xlfn.XLOOKUP(A7060,'[1]Tissue Data'!$A:$A,'[1]Tissue Data'!L:L)</f>
        <v>7.5</v>
      </c>
      <c r="J7060">
        <f>_xlfn.XLOOKUP(A7060,'[1]Tissue Data'!$A:$A,'[1]Tissue Data'!M:M)</f>
        <v>10.210000000000001</v>
      </c>
      <c r="K7060" t="s">
        <v>20</v>
      </c>
      <c r="L7060" t="str">
        <f>_xlfn.XLOOKUP(K7060,[2]analyte_order!$B:$B,[2]analyte_order!$C:$C)</f>
        <v>307-55-1</v>
      </c>
      <c r="M7060">
        <f>_xlfn.XLOOKUP(L7060,[2]analyte_order!$C:$C,[2]analyte_order!$E:$E)</f>
        <v>9</v>
      </c>
      <c r="N7060">
        <v>21.5</v>
      </c>
    </row>
    <row r="7061" spans="1:14">
      <c r="A7061" t="s">
        <v>302</v>
      </c>
      <c r="B7061" t="str">
        <f>_xlfn.XLOOKUP(A7061,'[1]Tissue Data'!$A:$A,'[1]Tissue Data'!$C:$C)</f>
        <v>Down</v>
      </c>
      <c r="C7061" s="2">
        <f>_xlfn.XLOOKUP(A7061,'[1]Tissue Data'!$A:$A,'[1]Tissue Data'!$D:$D)</f>
        <v>44393</v>
      </c>
      <c r="D7061" s="2" t="str">
        <f>_xlfn.XLOOKUP(A7061,'[1]Tissue Data'!$A:$A,'[1]Tissue Data'!$F:$F)</f>
        <v>Pumpkinseed</v>
      </c>
      <c r="E7061" t="str">
        <f>_xlfn.XLOOKUP(A7061,'[1]Tissue Data'!$A:$A,'[1]Tissue Data'!$H:$H)</f>
        <v>Lepomis</v>
      </c>
      <c r="F7061" t="str">
        <f>_xlfn.XLOOKUP(A7061,'[1]Tissue Data'!$A:$A,'[1]Tissue Data'!$I:$I)</f>
        <v>gibbosus</v>
      </c>
      <c r="G7061" t="str">
        <f>_xlfn.XLOOKUP(A7061,'[1]Tissue Data'!$A:$A,'[1]Tissue Data'!J:J)</f>
        <v>U</v>
      </c>
      <c r="H7061" t="str">
        <f>_xlfn.XLOOKUP(A7061,'[1]Tissue Data'!$A:$A,'[1]Tissue Data'!K:K)</f>
        <v>Whole Body</v>
      </c>
      <c r="I7061">
        <f>_xlfn.XLOOKUP(A7061,'[1]Tissue Data'!$A:$A,'[1]Tissue Data'!L:L)</f>
        <v>7.5</v>
      </c>
      <c r="J7061">
        <f>_xlfn.XLOOKUP(A7061,'[1]Tissue Data'!$A:$A,'[1]Tissue Data'!M:M)</f>
        <v>10.210000000000001</v>
      </c>
      <c r="K7061" t="s">
        <v>21</v>
      </c>
      <c r="L7061" t="str">
        <f>_xlfn.XLOOKUP(K7061,[2]analyte_order!$B:$B,[2]analyte_order!$C:$C)</f>
        <v>72629-94-8</v>
      </c>
      <c r="M7061">
        <f>_xlfn.XLOOKUP(L7061,[2]analyte_order!$C:$C,[2]analyte_order!$E:$E)</f>
        <v>10</v>
      </c>
      <c r="N7061">
        <v>5.17</v>
      </c>
    </row>
    <row r="7062" spans="1:14">
      <c r="A7062" t="s">
        <v>302</v>
      </c>
      <c r="B7062" t="str">
        <f>_xlfn.XLOOKUP(A7062,'[1]Tissue Data'!$A:$A,'[1]Tissue Data'!$C:$C)</f>
        <v>Down</v>
      </c>
      <c r="C7062" s="2">
        <f>_xlfn.XLOOKUP(A7062,'[1]Tissue Data'!$A:$A,'[1]Tissue Data'!$D:$D)</f>
        <v>44393</v>
      </c>
      <c r="D7062" s="2" t="str">
        <f>_xlfn.XLOOKUP(A7062,'[1]Tissue Data'!$A:$A,'[1]Tissue Data'!$F:$F)</f>
        <v>Pumpkinseed</v>
      </c>
      <c r="E7062" t="str">
        <f>_xlfn.XLOOKUP(A7062,'[1]Tissue Data'!$A:$A,'[1]Tissue Data'!$H:$H)</f>
        <v>Lepomis</v>
      </c>
      <c r="F7062" t="str">
        <f>_xlfn.XLOOKUP(A7062,'[1]Tissue Data'!$A:$A,'[1]Tissue Data'!$I:$I)</f>
        <v>gibbosus</v>
      </c>
      <c r="G7062" t="str">
        <f>_xlfn.XLOOKUP(A7062,'[1]Tissue Data'!$A:$A,'[1]Tissue Data'!J:J)</f>
        <v>U</v>
      </c>
      <c r="H7062" t="str">
        <f>_xlfn.XLOOKUP(A7062,'[1]Tissue Data'!$A:$A,'[1]Tissue Data'!K:K)</f>
        <v>Whole Body</v>
      </c>
      <c r="I7062">
        <f>_xlfn.XLOOKUP(A7062,'[1]Tissue Data'!$A:$A,'[1]Tissue Data'!L:L)</f>
        <v>7.5</v>
      </c>
      <c r="J7062">
        <f>_xlfn.XLOOKUP(A7062,'[1]Tissue Data'!$A:$A,'[1]Tissue Data'!M:M)</f>
        <v>10.210000000000001</v>
      </c>
      <c r="K7062" t="s">
        <v>22</v>
      </c>
      <c r="L7062" t="str">
        <f>_xlfn.XLOOKUP(K7062,[2]analyte_order!$B:$B,[2]analyte_order!$C:$C)</f>
        <v>376-06-7</v>
      </c>
      <c r="M7062">
        <f>_xlfn.XLOOKUP(L7062,[2]analyte_order!$C:$C,[2]analyte_order!$E:$E)</f>
        <v>11</v>
      </c>
      <c r="N7062">
        <v>20.8</v>
      </c>
    </row>
    <row r="7063" spans="1:14">
      <c r="A7063" t="s">
        <v>302</v>
      </c>
      <c r="B7063" t="str">
        <f>_xlfn.XLOOKUP(A7063,'[1]Tissue Data'!$A:$A,'[1]Tissue Data'!$C:$C)</f>
        <v>Down</v>
      </c>
      <c r="C7063" s="2">
        <f>_xlfn.XLOOKUP(A7063,'[1]Tissue Data'!$A:$A,'[1]Tissue Data'!$D:$D)</f>
        <v>44393</v>
      </c>
      <c r="D7063" s="2" t="str">
        <f>_xlfn.XLOOKUP(A7063,'[1]Tissue Data'!$A:$A,'[1]Tissue Data'!$F:$F)</f>
        <v>Pumpkinseed</v>
      </c>
      <c r="E7063" t="str">
        <f>_xlfn.XLOOKUP(A7063,'[1]Tissue Data'!$A:$A,'[1]Tissue Data'!$H:$H)</f>
        <v>Lepomis</v>
      </c>
      <c r="F7063" t="str">
        <f>_xlfn.XLOOKUP(A7063,'[1]Tissue Data'!$A:$A,'[1]Tissue Data'!$I:$I)</f>
        <v>gibbosus</v>
      </c>
      <c r="G7063" t="str">
        <f>_xlfn.XLOOKUP(A7063,'[1]Tissue Data'!$A:$A,'[1]Tissue Data'!J:J)</f>
        <v>U</v>
      </c>
      <c r="H7063" t="str">
        <f>_xlfn.XLOOKUP(A7063,'[1]Tissue Data'!$A:$A,'[1]Tissue Data'!K:K)</f>
        <v>Whole Body</v>
      </c>
      <c r="I7063">
        <f>_xlfn.XLOOKUP(A7063,'[1]Tissue Data'!$A:$A,'[1]Tissue Data'!L:L)</f>
        <v>7.5</v>
      </c>
      <c r="J7063">
        <f>_xlfn.XLOOKUP(A7063,'[1]Tissue Data'!$A:$A,'[1]Tissue Data'!M:M)</f>
        <v>10.210000000000001</v>
      </c>
      <c r="K7063" t="s">
        <v>23</v>
      </c>
      <c r="L7063" t="str">
        <f>_xlfn.XLOOKUP(K7063,[2]analyte_order!$B:$B,[2]analyte_order!$C:$C)</f>
        <v>67905-19-5</v>
      </c>
      <c r="M7063">
        <f>_xlfn.XLOOKUP(L7063,[2]analyte_order!$C:$C,[2]analyte_order!$E:$E)</f>
        <v>12</v>
      </c>
      <c r="N7063">
        <v>0.2545</v>
      </c>
    </row>
    <row r="7064" spans="1:14">
      <c r="A7064" t="s">
        <v>302</v>
      </c>
      <c r="B7064" t="str">
        <f>_xlfn.XLOOKUP(A7064,'[1]Tissue Data'!$A:$A,'[1]Tissue Data'!$C:$C)</f>
        <v>Down</v>
      </c>
      <c r="C7064" s="2">
        <f>_xlfn.XLOOKUP(A7064,'[1]Tissue Data'!$A:$A,'[1]Tissue Data'!$D:$D)</f>
        <v>44393</v>
      </c>
      <c r="D7064" s="2" t="str">
        <f>_xlfn.XLOOKUP(A7064,'[1]Tissue Data'!$A:$A,'[1]Tissue Data'!$F:$F)</f>
        <v>Pumpkinseed</v>
      </c>
      <c r="E7064" t="str">
        <f>_xlfn.XLOOKUP(A7064,'[1]Tissue Data'!$A:$A,'[1]Tissue Data'!$H:$H)</f>
        <v>Lepomis</v>
      </c>
      <c r="F7064" t="str">
        <f>_xlfn.XLOOKUP(A7064,'[1]Tissue Data'!$A:$A,'[1]Tissue Data'!$I:$I)</f>
        <v>gibbosus</v>
      </c>
      <c r="G7064" t="str">
        <f>_xlfn.XLOOKUP(A7064,'[1]Tissue Data'!$A:$A,'[1]Tissue Data'!J:J)</f>
        <v>U</v>
      </c>
      <c r="H7064" t="str">
        <f>_xlfn.XLOOKUP(A7064,'[1]Tissue Data'!$A:$A,'[1]Tissue Data'!K:K)</f>
        <v>Whole Body</v>
      </c>
      <c r="I7064">
        <f>_xlfn.XLOOKUP(A7064,'[1]Tissue Data'!$A:$A,'[1]Tissue Data'!L:L)</f>
        <v>7.5</v>
      </c>
      <c r="J7064">
        <f>_xlfn.XLOOKUP(A7064,'[1]Tissue Data'!$A:$A,'[1]Tissue Data'!M:M)</f>
        <v>10.210000000000001</v>
      </c>
      <c r="K7064" t="s">
        <v>24</v>
      </c>
      <c r="L7064" t="str">
        <f>_xlfn.XLOOKUP(K7064,[2]analyte_order!$B:$B,[2]analyte_order!$C:$C)</f>
        <v>423-41-6</v>
      </c>
      <c r="M7064">
        <f>_xlfn.XLOOKUP(L7064,[2]analyte_order!$C:$C,[2]analyte_order!$E:$E)</f>
        <v>53</v>
      </c>
      <c r="N7064">
        <v>0.42699999999999999</v>
      </c>
    </row>
    <row r="7065" spans="1:14">
      <c r="A7065" t="s">
        <v>302</v>
      </c>
      <c r="B7065" t="str">
        <f>_xlfn.XLOOKUP(A7065,'[1]Tissue Data'!$A:$A,'[1]Tissue Data'!$C:$C)</f>
        <v>Down</v>
      </c>
      <c r="C7065" s="2">
        <f>_xlfn.XLOOKUP(A7065,'[1]Tissue Data'!$A:$A,'[1]Tissue Data'!$D:$D)</f>
        <v>44393</v>
      </c>
      <c r="D7065" s="2" t="str">
        <f>_xlfn.XLOOKUP(A7065,'[1]Tissue Data'!$A:$A,'[1]Tissue Data'!$F:$F)</f>
        <v>Pumpkinseed</v>
      </c>
      <c r="E7065" t="str">
        <f>_xlfn.XLOOKUP(A7065,'[1]Tissue Data'!$A:$A,'[1]Tissue Data'!$H:$H)</f>
        <v>Lepomis</v>
      </c>
      <c r="F7065" t="str">
        <f>_xlfn.XLOOKUP(A7065,'[1]Tissue Data'!$A:$A,'[1]Tissue Data'!$I:$I)</f>
        <v>gibbosus</v>
      </c>
      <c r="G7065" t="str">
        <f>_xlfn.XLOOKUP(A7065,'[1]Tissue Data'!$A:$A,'[1]Tissue Data'!J:J)</f>
        <v>U</v>
      </c>
      <c r="H7065" t="str">
        <f>_xlfn.XLOOKUP(A7065,'[1]Tissue Data'!$A:$A,'[1]Tissue Data'!K:K)</f>
        <v>Whole Body</v>
      </c>
      <c r="I7065">
        <f>_xlfn.XLOOKUP(A7065,'[1]Tissue Data'!$A:$A,'[1]Tissue Data'!L:L)</f>
        <v>7.5</v>
      </c>
      <c r="J7065">
        <f>_xlfn.XLOOKUP(A7065,'[1]Tissue Data'!$A:$A,'[1]Tissue Data'!M:M)</f>
        <v>10.210000000000001</v>
      </c>
      <c r="K7065" t="s">
        <v>25</v>
      </c>
      <c r="L7065" t="str">
        <f>_xlfn.XLOOKUP(K7065,[2]analyte_order!$B:$B,[2]analyte_order!$C:$C)</f>
        <v>375-73-5</v>
      </c>
      <c r="M7065">
        <f>_xlfn.XLOOKUP(L7065,[2]analyte_order!$C:$C,[2]analyte_order!$E:$E)</f>
        <v>14</v>
      </c>
      <c r="N7065">
        <v>0.14549999999999999</v>
      </c>
    </row>
    <row r="7066" spans="1:14">
      <c r="A7066" t="s">
        <v>302</v>
      </c>
      <c r="B7066" t="str">
        <f>_xlfn.XLOOKUP(A7066,'[1]Tissue Data'!$A:$A,'[1]Tissue Data'!$C:$C)</f>
        <v>Down</v>
      </c>
      <c r="C7066" s="2">
        <f>_xlfn.XLOOKUP(A7066,'[1]Tissue Data'!$A:$A,'[1]Tissue Data'!$D:$D)</f>
        <v>44393</v>
      </c>
      <c r="D7066" s="2" t="str">
        <f>_xlfn.XLOOKUP(A7066,'[1]Tissue Data'!$A:$A,'[1]Tissue Data'!$F:$F)</f>
        <v>Pumpkinseed</v>
      </c>
      <c r="E7066" t="str">
        <f>_xlfn.XLOOKUP(A7066,'[1]Tissue Data'!$A:$A,'[1]Tissue Data'!$H:$H)</f>
        <v>Lepomis</v>
      </c>
      <c r="F7066" t="str">
        <f>_xlfn.XLOOKUP(A7066,'[1]Tissue Data'!$A:$A,'[1]Tissue Data'!$I:$I)</f>
        <v>gibbosus</v>
      </c>
      <c r="G7066" t="str">
        <f>_xlfn.XLOOKUP(A7066,'[1]Tissue Data'!$A:$A,'[1]Tissue Data'!J:J)</f>
        <v>U</v>
      </c>
      <c r="H7066" t="str">
        <f>_xlfn.XLOOKUP(A7066,'[1]Tissue Data'!$A:$A,'[1]Tissue Data'!K:K)</f>
        <v>Whole Body</v>
      </c>
      <c r="I7066">
        <f>_xlfn.XLOOKUP(A7066,'[1]Tissue Data'!$A:$A,'[1]Tissue Data'!L:L)</f>
        <v>7.5</v>
      </c>
      <c r="J7066">
        <f>_xlfn.XLOOKUP(A7066,'[1]Tissue Data'!$A:$A,'[1]Tissue Data'!M:M)</f>
        <v>10.210000000000001</v>
      </c>
      <c r="K7066" t="s">
        <v>26</v>
      </c>
      <c r="L7066" t="str">
        <f>_xlfn.XLOOKUP(K7066,[2]analyte_order!$B:$B,[2]analyte_order!$C:$C)</f>
        <v>2706-91-4</v>
      </c>
      <c r="M7066">
        <f>_xlfn.XLOOKUP(L7066,[2]analyte_order!$C:$C,[2]analyte_order!$E:$E)</f>
        <v>15</v>
      </c>
      <c r="N7066">
        <v>0.113</v>
      </c>
    </row>
    <row r="7067" spans="1:14">
      <c r="A7067" t="s">
        <v>302</v>
      </c>
      <c r="B7067" t="str">
        <f>_xlfn.XLOOKUP(A7067,'[1]Tissue Data'!$A:$A,'[1]Tissue Data'!$C:$C)</f>
        <v>Down</v>
      </c>
      <c r="C7067" s="2">
        <f>_xlfn.XLOOKUP(A7067,'[1]Tissue Data'!$A:$A,'[1]Tissue Data'!$D:$D)</f>
        <v>44393</v>
      </c>
      <c r="D7067" s="2" t="str">
        <f>_xlfn.XLOOKUP(A7067,'[1]Tissue Data'!$A:$A,'[1]Tissue Data'!$F:$F)</f>
        <v>Pumpkinseed</v>
      </c>
      <c r="E7067" t="str">
        <f>_xlfn.XLOOKUP(A7067,'[1]Tissue Data'!$A:$A,'[1]Tissue Data'!$H:$H)</f>
        <v>Lepomis</v>
      </c>
      <c r="F7067" t="str">
        <f>_xlfn.XLOOKUP(A7067,'[1]Tissue Data'!$A:$A,'[1]Tissue Data'!$I:$I)</f>
        <v>gibbosus</v>
      </c>
      <c r="G7067" t="str">
        <f>_xlfn.XLOOKUP(A7067,'[1]Tissue Data'!$A:$A,'[1]Tissue Data'!J:J)</f>
        <v>U</v>
      </c>
      <c r="H7067" t="str">
        <f>_xlfn.XLOOKUP(A7067,'[1]Tissue Data'!$A:$A,'[1]Tissue Data'!K:K)</f>
        <v>Whole Body</v>
      </c>
      <c r="I7067">
        <f>_xlfn.XLOOKUP(A7067,'[1]Tissue Data'!$A:$A,'[1]Tissue Data'!L:L)</f>
        <v>7.5</v>
      </c>
      <c r="J7067">
        <f>_xlfn.XLOOKUP(A7067,'[1]Tissue Data'!$A:$A,'[1]Tissue Data'!M:M)</f>
        <v>10.210000000000001</v>
      </c>
      <c r="K7067" t="s">
        <v>27</v>
      </c>
      <c r="L7067" t="str">
        <f>_xlfn.XLOOKUP(K7067,[2]analyte_order!$B:$B,[2]analyte_order!$C:$C)</f>
        <v>355-46-4</v>
      </c>
      <c r="M7067">
        <f>_xlfn.XLOOKUP(L7067,[2]analyte_order!$C:$C,[2]analyte_order!$E:$E)</f>
        <v>16</v>
      </c>
      <c r="N7067">
        <v>8.3800000000000008</v>
      </c>
    </row>
    <row r="7068" spans="1:14">
      <c r="A7068" t="s">
        <v>302</v>
      </c>
      <c r="B7068" t="str">
        <f>_xlfn.XLOOKUP(A7068,'[1]Tissue Data'!$A:$A,'[1]Tissue Data'!$C:$C)</f>
        <v>Down</v>
      </c>
      <c r="C7068" s="2">
        <f>_xlfn.XLOOKUP(A7068,'[1]Tissue Data'!$A:$A,'[1]Tissue Data'!$D:$D)</f>
        <v>44393</v>
      </c>
      <c r="D7068" s="2" t="str">
        <f>_xlfn.XLOOKUP(A7068,'[1]Tissue Data'!$A:$A,'[1]Tissue Data'!$F:$F)</f>
        <v>Pumpkinseed</v>
      </c>
      <c r="E7068" t="str">
        <f>_xlfn.XLOOKUP(A7068,'[1]Tissue Data'!$A:$A,'[1]Tissue Data'!$H:$H)</f>
        <v>Lepomis</v>
      </c>
      <c r="F7068" t="str">
        <f>_xlfn.XLOOKUP(A7068,'[1]Tissue Data'!$A:$A,'[1]Tissue Data'!$I:$I)</f>
        <v>gibbosus</v>
      </c>
      <c r="G7068" t="str">
        <f>_xlfn.XLOOKUP(A7068,'[1]Tissue Data'!$A:$A,'[1]Tissue Data'!J:J)</f>
        <v>U</v>
      </c>
      <c r="H7068" t="str">
        <f>_xlfn.XLOOKUP(A7068,'[1]Tissue Data'!$A:$A,'[1]Tissue Data'!K:K)</f>
        <v>Whole Body</v>
      </c>
      <c r="I7068">
        <f>_xlfn.XLOOKUP(A7068,'[1]Tissue Data'!$A:$A,'[1]Tissue Data'!L:L)</f>
        <v>7.5</v>
      </c>
      <c r="J7068">
        <f>_xlfn.XLOOKUP(A7068,'[1]Tissue Data'!$A:$A,'[1]Tissue Data'!M:M)</f>
        <v>10.210000000000001</v>
      </c>
      <c r="K7068" t="s">
        <v>28</v>
      </c>
      <c r="L7068" t="str">
        <f>_xlfn.XLOOKUP(K7068,[2]analyte_order!$B:$B,[2]analyte_order!$C:$C)</f>
        <v>375-92-8</v>
      </c>
      <c r="M7068">
        <f>_xlfn.XLOOKUP(L7068,[2]analyte_order!$C:$C,[2]analyte_order!$E:$E)</f>
        <v>17</v>
      </c>
      <c r="N7068">
        <v>1.58</v>
      </c>
    </row>
    <row r="7069" spans="1:14">
      <c r="A7069" t="s">
        <v>302</v>
      </c>
      <c r="B7069" t="str">
        <f>_xlfn.XLOOKUP(A7069,'[1]Tissue Data'!$A:$A,'[1]Tissue Data'!$C:$C)</f>
        <v>Down</v>
      </c>
      <c r="C7069" s="2">
        <f>_xlfn.XLOOKUP(A7069,'[1]Tissue Data'!$A:$A,'[1]Tissue Data'!$D:$D)</f>
        <v>44393</v>
      </c>
      <c r="D7069" s="2" t="str">
        <f>_xlfn.XLOOKUP(A7069,'[1]Tissue Data'!$A:$A,'[1]Tissue Data'!$F:$F)</f>
        <v>Pumpkinseed</v>
      </c>
      <c r="E7069" t="str">
        <f>_xlfn.XLOOKUP(A7069,'[1]Tissue Data'!$A:$A,'[1]Tissue Data'!$H:$H)</f>
        <v>Lepomis</v>
      </c>
      <c r="F7069" t="str">
        <f>_xlfn.XLOOKUP(A7069,'[1]Tissue Data'!$A:$A,'[1]Tissue Data'!$I:$I)</f>
        <v>gibbosus</v>
      </c>
      <c r="G7069" t="str">
        <f>_xlfn.XLOOKUP(A7069,'[1]Tissue Data'!$A:$A,'[1]Tissue Data'!J:J)</f>
        <v>U</v>
      </c>
      <c r="H7069" t="str">
        <f>_xlfn.XLOOKUP(A7069,'[1]Tissue Data'!$A:$A,'[1]Tissue Data'!K:K)</f>
        <v>Whole Body</v>
      </c>
      <c r="I7069">
        <f>_xlfn.XLOOKUP(A7069,'[1]Tissue Data'!$A:$A,'[1]Tissue Data'!L:L)</f>
        <v>7.5</v>
      </c>
      <c r="J7069">
        <f>_xlfn.XLOOKUP(A7069,'[1]Tissue Data'!$A:$A,'[1]Tissue Data'!M:M)</f>
        <v>10.210000000000001</v>
      </c>
      <c r="K7069" t="s">
        <v>29</v>
      </c>
      <c r="L7069" t="str">
        <f>_xlfn.XLOOKUP(K7069,[2]analyte_order!$B:$B,[2]analyte_order!$C:$C)</f>
        <v>1763-23-1</v>
      </c>
      <c r="M7069">
        <f>_xlfn.XLOOKUP(L7069,[2]analyte_order!$C:$C,[2]analyte_order!$E:$E)</f>
        <v>18</v>
      </c>
      <c r="N7069">
        <v>511</v>
      </c>
    </row>
    <row r="7070" spans="1:14">
      <c r="A7070" t="s">
        <v>302</v>
      </c>
      <c r="B7070" t="str">
        <f>_xlfn.XLOOKUP(A7070,'[1]Tissue Data'!$A:$A,'[1]Tissue Data'!$C:$C)</f>
        <v>Down</v>
      </c>
      <c r="C7070" s="2">
        <f>_xlfn.XLOOKUP(A7070,'[1]Tissue Data'!$A:$A,'[1]Tissue Data'!$D:$D)</f>
        <v>44393</v>
      </c>
      <c r="D7070" s="2" t="str">
        <f>_xlfn.XLOOKUP(A7070,'[1]Tissue Data'!$A:$A,'[1]Tissue Data'!$F:$F)</f>
        <v>Pumpkinseed</v>
      </c>
      <c r="E7070" t="str">
        <f>_xlfn.XLOOKUP(A7070,'[1]Tissue Data'!$A:$A,'[1]Tissue Data'!$H:$H)</f>
        <v>Lepomis</v>
      </c>
      <c r="F7070" t="str">
        <f>_xlfn.XLOOKUP(A7070,'[1]Tissue Data'!$A:$A,'[1]Tissue Data'!$I:$I)</f>
        <v>gibbosus</v>
      </c>
      <c r="G7070" t="str">
        <f>_xlfn.XLOOKUP(A7070,'[1]Tissue Data'!$A:$A,'[1]Tissue Data'!J:J)</f>
        <v>U</v>
      </c>
      <c r="H7070" t="str">
        <f>_xlfn.XLOOKUP(A7070,'[1]Tissue Data'!$A:$A,'[1]Tissue Data'!K:K)</f>
        <v>Whole Body</v>
      </c>
      <c r="I7070">
        <f>_xlfn.XLOOKUP(A7070,'[1]Tissue Data'!$A:$A,'[1]Tissue Data'!L:L)</f>
        <v>7.5</v>
      </c>
      <c r="J7070">
        <f>_xlfn.XLOOKUP(A7070,'[1]Tissue Data'!$A:$A,'[1]Tissue Data'!M:M)</f>
        <v>10.210000000000001</v>
      </c>
      <c r="K7070" t="s">
        <v>30</v>
      </c>
      <c r="L7070" t="str">
        <f>_xlfn.XLOOKUP(K7070,[2]analyte_order!$B:$B,[2]analyte_order!$C:$C)</f>
        <v>68259-12-1</v>
      </c>
      <c r="M7070">
        <f>_xlfn.XLOOKUP(L7070,[2]analyte_order!$C:$C,[2]analyte_order!$E:$E)</f>
        <v>19</v>
      </c>
      <c r="N7070">
        <v>1.1100000000000001</v>
      </c>
    </row>
    <row r="7071" spans="1:14">
      <c r="A7071" t="s">
        <v>302</v>
      </c>
      <c r="B7071" t="str">
        <f>_xlfn.XLOOKUP(A7071,'[1]Tissue Data'!$A:$A,'[1]Tissue Data'!$C:$C)</f>
        <v>Down</v>
      </c>
      <c r="C7071" s="2">
        <f>_xlfn.XLOOKUP(A7071,'[1]Tissue Data'!$A:$A,'[1]Tissue Data'!$D:$D)</f>
        <v>44393</v>
      </c>
      <c r="D7071" s="2" t="str">
        <f>_xlfn.XLOOKUP(A7071,'[1]Tissue Data'!$A:$A,'[1]Tissue Data'!$F:$F)</f>
        <v>Pumpkinseed</v>
      </c>
      <c r="E7071" t="str">
        <f>_xlfn.XLOOKUP(A7071,'[1]Tissue Data'!$A:$A,'[1]Tissue Data'!$H:$H)</f>
        <v>Lepomis</v>
      </c>
      <c r="F7071" t="str">
        <f>_xlfn.XLOOKUP(A7071,'[1]Tissue Data'!$A:$A,'[1]Tissue Data'!$I:$I)</f>
        <v>gibbosus</v>
      </c>
      <c r="G7071" t="str">
        <f>_xlfn.XLOOKUP(A7071,'[1]Tissue Data'!$A:$A,'[1]Tissue Data'!J:J)</f>
        <v>U</v>
      </c>
      <c r="H7071" t="str">
        <f>_xlfn.XLOOKUP(A7071,'[1]Tissue Data'!$A:$A,'[1]Tissue Data'!K:K)</f>
        <v>Whole Body</v>
      </c>
      <c r="I7071">
        <f>_xlfn.XLOOKUP(A7071,'[1]Tissue Data'!$A:$A,'[1]Tissue Data'!L:L)</f>
        <v>7.5</v>
      </c>
      <c r="J7071">
        <f>_xlfn.XLOOKUP(A7071,'[1]Tissue Data'!$A:$A,'[1]Tissue Data'!M:M)</f>
        <v>10.210000000000001</v>
      </c>
      <c r="K7071" t="s">
        <v>31</v>
      </c>
      <c r="L7071" t="str">
        <f>_xlfn.XLOOKUP(K7071,[2]analyte_order!$B:$B,[2]analyte_order!$C:$C)</f>
        <v>335-77-3</v>
      </c>
      <c r="M7071">
        <f>_xlfn.XLOOKUP(L7071,[2]analyte_order!$C:$C,[2]analyte_order!$E:$E)</f>
        <v>20</v>
      </c>
      <c r="N7071">
        <v>1.37</v>
      </c>
    </row>
    <row r="7072" spans="1:14">
      <c r="A7072" t="s">
        <v>302</v>
      </c>
      <c r="B7072" t="str">
        <f>_xlfn.XLOOKUP(A7072,'[1]Tissue Data'!$A:$A,'[1]Tissue Data'!$C:$C)</f>
        <v>Down</v>
      </c>
      <c r="C7072" s="2">
        <f>_xlfn.XLOOKUP(A7072,'[1]Tissue Data'!$A:$A,'[1]Tissue Data'!$D:$D)</f>
        <v>44393</v>
      </c>
      <c r="D7072" s="2" t="str">
        <f>_xlfn.XLOOKUP(A7072,'[1]Tissue Data'!$A:$A,'[1]Tissue Data'!$F:$F)</f>
        <v>Pumpkinseed</v>
      </c>
      <c r="E7072" t="str">
        <f>_xlfn.XLOOKUP(A7072,'[1]Tissue Data'!$A:$A,'[1]Tissue Data'!$H:$H)</f>
        <v>Lepomis</v>
      </c>
      <c r="F7072" t="str">
        <f>_xlfn.XLOOKUP(A7072,'[1]Tissue Data'!$A:$A,'[1]Tissue Data'!$I:$I)</f>
        <v>gibbosus</v>
      </c>
      <c r="G7072" t="str">
        <f>_xlfn.XLOOKUP(A7072,'[1]Tissue Data'!$A:$A,'[1]Tissue Data'!J:J)</f>
        <v>U</v>
      </c>
      <c r="H7072" t="str">
        <f>_xlfn.XLOOKUP(A7072,'[1]Tissue Data'!$A:$A,'[1]Tissue Data'!K:K)</f>
        <v>Whole Body</v>
      </c>
      <c r="I7072">
        <f>_xlfn.XLOOKUP(A7072,'[1]Tissue Data'!$A:$A,'[1]Tissue Data'!L:L)</f>
        <v>7.5</v>
      </c>
      <c r="J7072">
        <f>_xlfn.XLOOKUP(A7072,'[1]Tissue Data'!$A:$A,'[1]Tissue Data'!M:M)</f>
        <v>10.210000000000001</v>
      </c>
      <c r="K7072" t="s">
        <v>32</v>
      </c>
      <c r="L7072" t="str">
        <f>_xlfn.XLOOKUP(K7072,[2]analyte_order!$B:$B,[2]analyte_order!$C:$C)</f>
        <v>79780-39-5</v>
      </c>
      <c r="M7072">
        <f>_xlfn.XLOOKUP(L7072,[2]analyte_order!$C:$C,[2]analyte_order!$E:$E)</f>
        <v>21</v>
      </c>
      <c r="N7072">
        <v>0.22850000000000001</v>
      </c>
    </row>
    <row r="7073" spans="1:14">
      <c r="A7073" t="s">
        <v>302</v>
      </c>
      <c r="B7073" t="str">
        <f>_xlfn.XLOOKUP(A7073,'[1]Tissue Data'!$A:$A,'[1]Tissue Data'!$C:$C)</f>
        <v>Down</v>
      </c>
      <c r="C7073" s="2">
        <f>_xlfn.XLOOKUP(A7073,'[1]Tissue Data'!$A:$A,'[1]Tissue Data'!$D:$D)</f>
        <v>44393</v>
      </c>
      <c r="D7073" s="2" t="str">
        <f>_xlfn.XLOOKUP(A7073,'[1]Tissue Data'!$A:$A,'[1]Tissue Data'!$F:$F)</f>
        <v>Pumpkinseed</v>
      </c>
      <c r="E7073" t="str">
        <f>_xlfn.XLOOKUP(A7073,'[1]Tissue Data'!$A:$A,'[1]Tissue Data'!$H:$H)</f>
        <v>Lepomis</v>
      </c>
      <c r="F7073" t="str">
        <f>_xlfn.XLOOKUP(A7073,'[1]Tissue Data'!$A:$A,'[1]Tissue Data'!$I:$I)</f>
        <v>gibbosus</v>
      </c>
      <c r="G7073" t="str">
        <f>_xlfn.XLOOKUP(A7073,'[1]Tissue Data'!$A:$A,'[1]Tissue Data'!J:J)</f>
        <v>U</v>
      </c>
      <c r="H7073" t="str">
        <f>_xlfn.XLOOKUP(A7073,'[1]Tissue Data'!$A:$A,'[1]Tissue Data'!K:K)</f>
        <v>Whole Body</v>
      </c>
      <c r="I7073">
        <f>_xlfn.XLOOKUP(A7073,'[1]Tissue Data'!$A:$A,'[1]Tissue Data'!L:L)</f>
        <v>7.5</v>
      </c>
      <c r="J7073">
        <f>_xlfn.XLOOKUP(A7073,'[1]Tissue Data'!$A:$A,'[1]Tissue Data'!M:M)</f>
        <v>10.210000000000001</v>
      </c>
      <c r="K7073" t="s">
        <v>33</v>
      </c>
      <c r="L7073" t="str">
        <f>_xlfn.XLOOKUP(K7073,[2]analyte_order!$B:$B,[2]analyte_order!$C:$C)</f>
        <v>777011-38-8</v>
      </c>
      <c r="M7073">
        <f>_xlfn.XLOOKUP(L7073,[2]analyte_order!$C:$C,[2]analyte_order!$E:$E)</f>
        <v>54</v>
      </c>
      <c r="N7073">
        <v>0.13</v>
      </c>
    </row>
    <row r="7074" spans="1:14">
      <c r="A7074" t="s">
        <v>302</v>
      </c>
      <c r="B7074" t="str">
        <f>_xlfn.XLOOKUP(A7074,'[1]Tissue Data'!$A:$A,'[1]Tissue Data'!$C:$C)</f>
        <v>Down</v>
      </c>
      <c r="C7074" s="2">
        <f>_xlfn.XLOOKUP(A7074,'[1]Tissue Data'!$A:$A,'[1]Tissue Data'!$D:$D)</f>
        <v>44393</v>
      </c>
      <c r="D7074" s="2" t="str">
        <f>_xlfn.XLOOKUP(A7074,'[1]Tissue Data'!$A:$A,'[1]Tissue Data'!$F:$F)</f>
        <v>Pumpkinseed</v>
      </c>
      <c r="E7074" t="str">
        <f>_xlfn.XLOOKUP(A7074,'[1]Tissue Data'!$A:$A,'[1]Tissue Data'!$H:$H)</f>
        <v>Lepomis</v>
      </c>
      <c r="F7074" t="str">
        <f>_xlfn.XLOOKUP(A7074,'[1]Tissue Data'!$A:$A,'[1]Tissue Data'!$I:$I)</f>
        <v>gibbosus</v>
      </c>
      <c r="G7074" t="str">
        <f>_xlfn.XLOOKUP(A7074,'[1]Tissue Data'!$A:$A,'[1]Tissue Data'!J:J)</f>
        <v>U</v>
      </c>
      <c r="H7074" t="str">
        <f>_xlfn.XLOOKUP(A7074,'[1]Tissue Data'!$A:$A,'[1]Tissue Data'!K:K)</f>
        <v>Whole Body</v>
      </c>
      <c r="I7074">
        <f>_xlfn.XLOOKUP(A7074,'[1]Tissue Data'!$A:$A,'[1]Tissue Data'!L:L)</f>
        <v>7.5</v>
      </c>
      <c r="J7074">
        <f>_xlfn.XLOOKUP(A7074,'[1]Tissue Data'!$A:$A,'[1]Tissue Data'!M:M)</f>
        <v>10.210000000000001</v>
      </c>
      <c r="K7074" t="s">
        <v>34</v>
      </c>
      <c r="L7074" t="str">
        <f>_xlfn.XLOOKUP(K7074,[2]analyte_order!$B:$B,[2]analyte_order!$C:$C)</f>
        <v>646-83-3</v>
      </c>
      <c r="M7074">
        <f>_xlfn.XLOOKUP(L7074,[2]analyte_order!$C:$C,[2]analyte_order!$E:$E)</f>
        <v>55</v>
      </c>
      <c r="N7074">
        <v>8.5500000000000007E-2</v>
      </c>
    </row>
    <row r="7075" spans="1:14">
      <c r="A7075" t="s">
        <v>302</v>
      </c>
      <c r="B7075" t="str">
        <f>_xlfn.XLOOKUP(A7075,'[1]Tissue Data'!$A:$A,'[1]Tissue Data'!$C:$C)</f>
        <v>Down</v>
      </c>
      <c r="C7075" s="2">
        <f>_xlfn.XLOOKUP(A7075,'[1]Tissue Data'!$A:$A,'[1]Tissue Data'!$D:$D)</f>
        <v>44393</v>
      </c>
      <c r="D7075" s="2" t="str">
        <f>_xlfn.XLOOKUP(A7075,'[1]Tissue Data'!$A:$A,'[1]Tissue Data'!$F:$F)</f>
        <v>Pumpkinseed</v>
      </c>
      <c r="E7075" t="str">
        <f>_xlfn.XLOOKUP(A7075,'[1]Tissue Data'!$A:$A,'[1]Tissue Data'!$H:$H)</f>
        <v>Lepomis</v>
      </c>
      <c r="F7075" t="str">
        <f>_xlfn.XLOOKUP(A7075,'[1]Tissue Data'!$A:$A,'[1]Tissue Data'!$I:$I)</f>
        <v>gibbosus</v>
      </c>
      <c r="G7075" t="str">
        <f>_xlfn.XLOOKUP(A7075,'[1]Tissue Data'!$A:$A,'[1]Tissue Data'!J:J)</f>
        <v>U</v>
      </c>
      <c r="H7075" t="str">
        <f>_xlfn.XLOOKUP(A7075,'[1]Tissue Data'!$A:$A,'[1]Tissue Data'!K:K)</f>
        <v>Whole Body</v>
      </c>
      <c r="I7075">
        <f>_xlfn.XLOOKUP(A7075,'[1]Tissue Data'!$A:$A,'[1]Tissue Data'!L:L)</f>
        <v>7.5</v>
      </c>
      <c r="J7075">
        <f>_xlfn.XLOOKUP(A7075,'[1]Tissue Data'!$A:$A,'[1]Tissue Data'!M:M)</f>
        <v>10.210000000000001</v>
      </c>
      <c r="K7075" t="s">
        <v>35</v>
      </c>
      <c r="L7075" t="str">
        <f>_xlfn.XLOOKUP(K7075,[2]analyte_order!$B:$B,[2]analyte_order!$C:$C)</f>
        <v>30334-69-1</v>
      </c>
      <c r="M7075">
        <f>_xlfn.XLOOKUP(L7075,[2]analyte_order!$C:$C,[2]analyte_order!$E:$E)</f>
        <v>51</v>
      </c>
      <c r="N7075">
        <v>34.6</v>
      </c>
    </row>
    <row r="7076" spans="1:14">
      <c r="A7076" t="s">
        <v>302</v>
      </c>
      <c r="B7076" t="str">
        <f>_xlfn.XLOOKUP(A7076,'[1]Tissue Data'!$A:$A,'[1]Tissue Data'!$C:$C)</f>
        <v>Down</v>
      </c>
      <c r="C7076" s="2">
        <f>_xlfn.XLOOKUP(A7076,'[1]Tissue Data'!$A:$A,'[1]Tissue Data'!$D:$D)</f>
        <v>44393</v>
      </c>
      <c r="D7076" s="2" t="str">
        <f>_xlfn.XLOOKUP(A7076,'[1]Tissue Data'!$A:$A,'[1]Tissue Data'!$F:$F)</f>
        <v>Pumpkinseed</v>
      </c>
      <c r="E7076" t="str">
        <f>_xlfn.XLOOKUP(A7076,'[1]Tissue Data'!$A:$A,'[1]Tissue Data'!$H:$H)</f>
        <v>Lepomis</v>
      </c>
      <c r="F7076" t="str">
        <f>_xlfn.XLOOKUP(A7076,'[1]Tissue Data'!$A:$A,'[1]Tissue Data'!$I:$I)</f>
        <v>gibbosus</v>
      </c>
      <c r="G7076" t="str">
        <f>_xlfn.XLOOKUP(A7076,'[1]Tissue Data'!$A:$A,'[1]Tissue Data'!J:J)</f>
        <v>U</v>
      </c>
      <c r="H7076" t="str">
        <f>_xlfn.XLOOKUP(A7076,'[1]Tissue Data'!$A:$A,'[1]Tissue Data'!K:K)</f>
        <v>Whole Body</v>
      </c>
      <c r="I7076">
        <f>_xlfn.XLOOKUP(A7076,'[1]Tissue Data'!$A:$A,'[1]Tissue Data'!L:L)</f>
        <v>7.5</v>
      </c>
      <c r="J7076">
        <f>_xlfn.XLOOKUP(A7076,'[1]Tissue Data'!$A:$A,'[1]Tissue Data'!M:M)</f>
        <v>10.210000000000001</v>
      </c>
      <c r="K7076" t="s">
        <v>36</v>
      </c>
      <c r="L7076" t="str">
        <f>_xlfn.XLOOKUP(K7076,[2]analyte_order!$B:$B,[2]analyte_order!$C:$C)</f>
        <v>41997-13-1</v>
      </c>
      <c r="M7076">
        <f>_xlfn.XLOOKUP(L7076,[2]analyte_order!$C:$C,[2]analyte_order!$E:$E)</f>
        <v>52</v>
      </c>
      <c r="N7076">
        <v>66.3</v>
      </c>
    </row>
    <row r="7077" spans="1:14">
      <c r="A7077" t="s">
        <v>302</v>
      </c>
      <c r="B7077" t="str">
        <f>_xlfn.XLOOKUP(A7077,'[1]Tissue Data'!$A:$A,'[1]Tissue Data'!$C:$C)</f>
        <v>Down</v>
      </c>
      <c r="C7077" s="2">
        <f>_xlfn.XLOOKUP(A7077,'[1]Tissue Data'!$A:$A,'[1]Tissue Data'!$D:$D)</f>
        <v>44393</v>
      </c>
      <c r="D7077" s="2" t="str">
        <f>_xlfn.XLOOKUP(A7077,'[1]Tissue Data'!$A:$A,'[1]Tissue Data'!$F:$F)</f>
        <v>Pumpkinseed</v>
      </c>
      <c r="E7077" t="str">
        <f>_xlfn.XLOOKUP(A7077,'[1]Tissue Data'!$A:$A,'[1]Tissue Data'!$H:$H)</f>
        <v>Lepomis</v>
      </c>
      <c r="F7077" t="str">
        <f>_xlfn.XLOOKUP(A7077,'[1]Tissue Data'!$A:$A,'[1]Tissue Data'!$I:$I)</f>
        <v>gibbosus</v>
      </c>
      <c r="G7077" t="str">
        <f>_xlfn.XLOOKUP(A7077,'[1]Tissue Data'!$A:$A,'[1]Tissue Data'!J:J)</f>
        <v>U</v>
      </c>
      <c r="H7077" t="str">
        <f>_xlfn.XLOOKUP(A7077,'[1]Tissue Data'!$A:$A,'[1]Tissue Data'!K:K)</f>
        <v>Whole Body</v>
      </c>
      <c r="I7077">
        <f>_xlfn.XLOOKUP(A7077,'[1]Tissue Data'!$A:$A,'[1]Tissue Data'!L:L)</f>
        <v>7.5</v>
      </c>
      <c r="J7077">
        <f>_xlfn.XLOOKUP(A7077,'[1]Tissue Data'!$A:$A,'[1]Tissue Data'!M:M)</f>
        <v>10.210000000000001</v>
      </c>
      <c r="K7077" t="s">
        <v>37</v>
      </c>
      <c r="L7077" t="str">
        <f>_xlfn.XLOOKUP(K7077,[2]analyte_order!$B:$B,[2]analyte_order!$C:$C)</f>
        <v>754-91-6</v>
      </c>
      <c r="M7077">
        <f>_xlfn.XLOOKUP(L7077,[2]analyte_order!$C:$C,[2]analyte_order!$E:$E)</f>
        <v>28</v>
      </c>
      <c r="N7077">
        <v>6.82</v>
      </c>
    </row>
    <row r="7078" spans="1:14">
      <c r="A7078" t="s">
        <v>302</v>
      </c>
      <c r="B7078" t="str">
        <f>_xlfn.XLOOKUP(A7078,'[1]Tissue Data'!$A:$A,'[1]Tissue Data'!$C:$C)</f>
        <v>Down</v>
      </c>
      <c r="C7078" s="2">
        <f>_xlfn.XLOOKUP(A7078,'[1]Tissue Data'!$A:$A,'[1]Tissue Data'!$D:$D)</f>
        <v>44393</v>
      </c>
      <c r="D7078" s="2" t="str">
        <f>_xlfn.XLOOKUP(A7078,'[1]Tissue Data'!$A:$A,'[1]Tissue Data'!$F:$F)</f>
        <v>Pumpkinseed</v>
      </c>
      <c r="E7078" t="str">
        <f>_xlfn.XLOOKUP(A7078,'[1]Tissue Data'!$A:$A,'[1]Tissue Data'!$H:$H)</f>
        <v>Lepomis</v>
      </c>
      <c r="F7078" t="str">
        <f>_xlfn.XLOOKUP(A7078,'[1]Tissue Data'!$A:$A,'[1]Tissue Data'!$I:$I)</f>
        <v>gibbosus</v>
      </c>
      <c r="G7078" t="str">
        <f>_xlfn.XLOOKUP(A7078,'[1]Tissue Data'!$A:$A,'[1]Tissue Data'!J:J)</f>
        <v>U</v>
      </c>
      <c r="H7078" t="str">
        <f>_xlfn.XLOOKUP(A7078,'[1]Tissue Data'!$A:$A,'[1]Tissue Data'!K:K)</f>
        <v>Whole Body</v>
      </c>
      <c r="I7078">
        <f>_xlfn.XLOOKUP(A7078,'[1]Tissue Data'!$A:$A,'[1]Tissue Data'!L:L)</f>
        <v>7.5</v>
      </c>
      <c r="J7078">
        <f>_xlfn.XLOOKUP(A7078,'[1]Tissue Data'!$A:$A,'[1]Tissue Data'!M:M)</f>
        <v>10.210000000000001</v>
      </c>
      <c r="K7078" t="s">
        <v>38</v>
      </c>
      <c r="L7078" t="str">
        <f>_xlfn.XLOOKUP(K7078,[2]analyte_order!$B:$B,[2]analyte_order!$C:$C)</f>
        <v>31506-32-8</v>
      </c>
      <c r="M7078">
        <f>_xlfn.XLOOKUP(L7078,[2]analyte_order!$C:$C,[2]analyte_order!$E:$E)</f>
        <v>30</v>
      </c>
      <c r="N7078">
        <v>0.16450000000000001</v>
      </c>
    </row>
    <row r="7079" spans="1:14">
      <c r="A7079" t="s">
        <v>302</v>
      </c>
      <c r="B7079" t="str">
        <f>_xlfn.XLOOKUP(A7079,'[1]Tissue Data'!$A:$A,'[1]Tissue Data'!$C:$C)</f>
        <v>Down</v>
      </c>
      <c r="C7079" s="2">
        <f>_xlfn.XLOOKUP(A7079,'[1]Tissue Data'!$A:$A,'[1]Tissue Data'!$D:$D)</f>
        <v>44393</v>
      </c>
      <c r="D7079" s="2" t="str">
        <f>_xlfn.XLOOKUP(A7079,'[1]Tissue Data'!$A:$A,'[1]Tissue Data'!$F:$F)</f>
        <v>Pumpkinseed</v>
      </c>
      <c r="E7079" t="str">
        <f>_xlfn.XLOOKUP(A7079,'[1]Tissue Data'!$A:$A,'[1]Tissue Data'!$H:$H)</f>
        <v>Lepomis</v>
      </c>
      <c r="F7079" t="str">
        <f>_xlfn.XLOOKUP(A7079,'[1]Tissue Data'!$A:$A,'[1]Tissue Data'!$I:$I)</f>
        <v>gibbosus</v>
      </c>
      <c r="G7079" t="str">
        <f>_xlfn.XLOOKUP(A7079,'[1]Tissue Data'!$A:$A,'[1]Tissue Data'!J:J)</f>
        <v>U</v>
      </c>
      <c r="H7079" t="str">
        <f>_xlfn.XLOOKUP(A7079,'[1]Tissue Data'!$A:$A,'[1]Tissue Data'!K:K)</f>
        <v>Whole Body</v>
      </c>
      <c r="I7079">
        <f>_xlfn.XLOOKUP(A7079,'[1]Tissue Data'!$A:$A,'[1]Tissue Data'!L:L)</f>
        <v>7.5</v>
      </c>
      <c r="J7079">
        <f>_xlfn.XLOOKUP(A7079,'[1]Tissue Data'!$A:$A,'[1]Tissue Data'!M:M)</f>
        <v>10.210000000000001</v>
      </c>
      <c r="K7079" t="s">
        <v>39</v>
      </c>
      <c r="L7079" t="str">
        <f>_xlfn.XLOOKUP(K7079,[2]analyte_order!$B:$B,[2]analyte_order!$C:$C)</f>
        <v>4151-50-2</v>
      </c>
      <c r="M7079">
        <f>_xlfn.XLOOKUP(L7079,[2]analyte_order!$C:$C,[2]analyte_order!$E:$E)</f>
        <v>31</v>
      </c>
      <c r="N7079">
        <v>0.42699999999999999</v>
      </c>
    </row>
    <row r="7080" spans="1:14">
      <c r="A7080" t="s">
        <v>302</v>
      </c>
      <c r="B7080" t="str">
        <f>_xlfn.XLOOKUP(A7080,'[1]Tissue Data'!$A:$A,'[1]Tissue Data'!$C:$C)</f>
        <v>Down</v>
      </c>
      <c r="C7080" s="2">
        <f>_xlfn.XLOOKUP(A7080,'[1]Tissue Data'!$A:$A,'[1]Tissue Data'!$D:$D)</f>
        <v>44393</v>
      </c>
      <c r="D7080" s="2" t="str">
        <f>_xlfn.XLOOKUP(A7080,'[1]Tissue Data'!$A:$A,'[1]Tissue Data'!$F:$F)</f>
        <v>Pumpkinseed</v>
      </c>
      <c r="E7080" t="str">
        <f>_xlfn.XLOOKUP(A7080,'[1]Tissue Data'!$A:$A,'[1]Tissue Data'!$H:$H)</f>
        <v>Lepomis</v>
      </c>
      <c r="F7080" t="str">
        <f>_xlfn.XLOOKUP(A7080,'[1]Tissue Data'!$A:$A,'[1]Tissue Data'!$I:$I)</f>
        <v>gibbosus</v>
      </c>
      <c r="G7080" t="str">
        <f>_xlfn.XLOOKUP(A7080,'[1]Tissue Data'!$A:$A,'[1]Tissue Data'!J:J)</f>
        <v>U</v>
      </c>
      <c r="H7080" t="str">
        <f>_xlfn.XLOOKUP(A7080,'[1]Tissue Data'!$A:$A,'[1]Tissue Data'!K:K)</f>
        <v>Whole Body</v>
      </c>
      <c r="I7080">
        <f>_xlfn.XLOOKUP(A7080,'[1]Tissue Data'!$A:$A,'[1]Tissue Data'!L:L)</f>
        <v>7.5</v>
      </c>
      <c r="J7080">
        <f>_xlfn.XLOOKUP(A7080,'[1]Tissue Data'!$A:$A,'[1]Tissue Data'!M:M)</f>
        <v>10.210000000000001</v>
      </c>
      <c r="K7080" t="s">
        <v>40</v>
      </c>
      <c r="L7080" t="str">
        <f>_xlfn.XLOOKUP(K7080,[2]analyte_order!$B:$B,[2]analyte_order!$C:$C)</f>
        <v>2806-24-8</v>
      </c>
      <c r="M7080">
        <f>_xlfn.XLOOKUP(L7080,[2]analyte_order!$C:$C,[2]analyte_order!$E:$E)</f>
        <v>29</v>
      </c>
      <c r="N7080">
        <v>0.42699999999999999</v>
      </c>
    </row>
    <row r="7081" spans="1:14">
      <c r="A7081" t="s">
        <v>302</v>
      </c>
      <c r="B7081" t="str">
        <f>_xlfn.XLOOKUP(A7081,'[1]Tissue Data'!$A:$A,'[1]Tissue Data'!$C:$C)</f>
        <v>Down</v>
      </c>
      <c r="C7081" s="2">
        <f>_xlfn.XLOOKUP(A7081,'[1]Tissue Data'!$A:$A,'[1]Tissue Data'!$D:$D)</f>
        <v>44393</v>
      </c>
      <c r="D7081" s="2" t="str">
        <f>_xlfn.XLOOKUP(A7081,'[1]Tissue Data'!$A:$A,'[1]Tissue Data'!$F:$F)</f>
        <v>Pumpkinseed</v>
      </c>
      <c r="E7081" t="str">
        <f>_xlfn.XLOOKUP(A7081,'[1]Tissue Data'!$A:$A,'[1]Tissue Data'!$H:$H)</f>
        <v>Lepomis</v>
      </c>
      <c r="F7081" t="str">
        <f>_xlfn.XLOOKUP(A7081,'[1]Tissue Data'!$A:$A,'[1]Tissue Data'!$I:$I)</f>
        <v>gibbosus</v>
      </c>
      <c r="G7081" t="str">
        <f>_xlfn.XLOOKUP(A7081,'[1]Tissue Data'!$A:$A,'[1]Tissue Data'!J:J)</f>
        <v>U</v>
      </c>
      <c r="H7081" t="str">
        <f>_xlfn.XLOOKUP(A7081,'[1]Tissue Data'!$A:$A,'[1]Tissue Data'!K:K)</f>
        <v>Whole Body</v>
      </c>
      <c r="I7081">
        <f>_xlfn.XLOOKUP(A7081,'[1]Tissue Data'!$A:$A,'[1]Tissue Data'!L:L)</f>
        <v>7.5</v>
      </c>
      <c r="J7081">
        <f>_xlfn.XLOOKUP(A7081,'[1]Tissue Data'!$A:$A,'[1]Tissue Data'!M:M)</f>
        <v>10.210000000000001</v>
      </c>
      <c r="K7081" t="s">
        <v>41</v>
      </c>
      <c r="L7081" t="str">
        <f>_xlfn.XLOOKUP(K7081,[2]analyte_order!$B:$B,[2]analyte_order!$C:$C)</f>
        <v>2355-31-9</v>
      </c>
      <c r="M7081">
        <f>_xlfn.XLOOKUP(L7081,[2]analyte_order!$C:$C,[2]analyte_order!$E:$E)</f>
        <v>26</v>
      </c>
      <c r="N7081">
        <v>0.215</v>
      </c>
    </row>
    <row r="7082" spans="1:14">
      <c r="A7082" t="s">
        <v>302</v>
      </c>
      <c r="B7082" t="str">
        <f>_xlfn.XLOOKUP(A7082,'[1]Tissue Data'!$A:$A,'[1]Tissue Data'!$C:$C)</f>
        <v>Down</v>
      </c>
      <c r="C7082" s="2">
        <f>_xlfn.XLOOKUP(A7082,'[1]Tissue Data'!$A:$A,'[1]Tissue Data'!$D:$D)</f>
        <v>44393</v>
      </c>
      <c r="D7082" s="2" t="str">
        <f>_xlfn.XLOOKUP(A7082,'[1]Tissue Data'!$A:$A,'[1]Tissue Data'!$F:$F)</f>
        <v>Pumpkinseed</v>
      </c>
      <c r="E7082" t="str">
        <f>_xlfn.XLOOKUP(A7082,'[1]Tissue Data'!$A:$A,'[1]Tissue Data'!$H:$H)</f>
        <v>Lepomis</v>
      </c>
      <c r="F7082" t="str">
        <f>_xlfn.XLOOKUP(A7082,'[1]Tissue Data'!$A:$A,'[1]Tissue Data'!$I:$I)</f>
        <v>gibbosus</v>
      </c>
      <c r="G7082" t="str">
        <f>_xlfn.XLOOKUP(A7082,'[1]Tissue Data'!$A:$A,'[1]Tissue Data'!J:J)</f>
        <v>U</v>
      </c>
      <c r="H7082" t="str">
        <f>_xlfn.XLOOKUP(A7082,'[1]Tissue Data'!$A:$A,'[1]Tissue Data'!K:K)</f>
        <v>Whole Body</v>
      </c>
      <c r="I7082">
        <f>_xlfn.XLOOKUP(A7082,'[1]Tissue Data'!$A:$A,'[1]Tissue Data'!L:L)</f>
        <v>7.5</v>
      </c>
      <c r="J7082">
        <f>_xlfn.XLOOKUP(A7082,'[1]Tissue Data'!$A:$A,'[1]Tissue Data'!M:M)</f>
        <v>10.210000000000001</v>
      </c>
      <c r="K7082" t="s">
        <v>42</v>
      </c>
      <c r="L7082" t="str">
        <f>_xlfn.XLOOKUP(K7082,[2]analyte_order!$B:$B,[2]analyte_order!$C:$C)</f>
        <v>2991-50-6</v>
      </c>
      <c r="M7082">
        <f>_xlfn.XLOOKUP(L7082,[2]analyte_order!$C:$C,[2]analyte_order!$E:$E)</f>
        <v>27</v>
      </c>
      <c r="N7082">
        <v>0.2135</v>
      </c>
    </row>
    <row r="7083" spans="1:14">
      <c r="A7083" t="s">
        <v>302</v>
      </c>
      <c r="B7083" t="str">
        <f>_xlfn.XLOOKUP(A7083,'[1]Tissue Data'!$A:$A,'[1]Tissue Data'!$C:$C)</f>
        <v>Down</v>
      </c>
      <c r="C7083" s="2">
        <f>_xlfn.XLOOKUP(A7083,'[1]Tissue Data'!$A:$A,'[1]Tissue Data'!$D:$D)</f>
        <v>44393</v>
      </c>
      <c r="D7083" s="2" t="str">
        <f>_xlfn.XLOOKUP(A7083,'[1]Tissue Data'!$A:$A,'[1]Tissue Data'!$F:$F)</f>
        <v>Pumpkinseed</v>
      </c>
      <c r="E7083" t="str">
        <f>_xlfn.XLOOKUP(A7083,'[1]Tissue Data'!$A:$A,'[1]Tissue Data'!$H:$H)</f>
        <v>Lepomis</v>
      </c>
      <c r="F7083" t="str">
        <f>_xlfn.XLOOKUP(A7083,'[1]Tissue Data'!$A:$A,'[1]Tissue Data'!$I:$I)</f>
        <v>gibbosus</v>
      </c>
      <c r="G7083" t="str">
        <f>_xlfn.XLOOKUP(A7083,'[1]Tissue Data'!$A:$A,'[1]Tissue Data'!J:J)</f>
        <v>U</v>
      </c>
      <c r="H7083" t="str">
        <f>_xlfn.XLOOKUP(A7083,'[1]Tissue Data'!$A:$A,'[1]Tissue Data'!K:K)</f>
        <v>Whole Body</v>
      </c>
      <c r="I7083">
        <f>_xlfn.XLOOKUP(A7083,'[1]Tissue Data'!$A:$A,'[1]Tissue Data'!L:L)</f>
        <v>7.5</v>
      </c>
      <c r="J7083">
        <f>_xlfn.XLOOKUP(A7083,'[1]Tissue Data'!$A:$A,'[1]Tissue Data'!M:M)</f>
        <v>10.210000000000001</v>
      </c>
      <c r="K7083" t="s">
        <v>43</v>
      </c>
      <c r="L7083" t="str">
        <f>_xlfn.XLOOKUP(K7083,[2]analyte_order!$B:$B,[2]analyte_order!$C:$C)</f>
        <v>757124-72-4</v>
      </c>
      <c r="M7083">
        <f>_xlfn.XLOOKUP(L7083,[2]analyte_order!$C:$C,[2]analyte_order!$E:$E)</f>
        <v>22</v>
      </c>
      <c r="N7083">
        <v>0.2135</v>
      </c>
    </row>
    <row r="7084" spans="1:14">
      <c r="A7084" t="s">
        <v>302</v>
      </c>
      <c r="B7084" t="str">
        <f>_xlfn.XLOOKUP(A7084,'[1]Tissue Data'!$A:$A,'[1]Tissue Data'!$C:$C)</f>
        <v>Down</v>
      </c>
      <c r="C7084" s="2">
        <f>_xlfn.XLOOKUP(A7084,'[1]Tissue Data'!$A:$A,'[1]Tissue Data'!$D:$D)</f>
        <v>44393</v>
      </c>
      <c r="D7084" s="2" t="str">
        <f>_xlfn.XLOOKUP(A7084,'[1]Tissue Data'!$A:$A,'[1]Tissue Data'!$F:$F)</f>
        <v>Pumpkinseed</v>
      </c>
      <c r="E7084" t="str">
        <f>_xlfn.XLOOKUP(A7084,'[1]Tissue Data'!$A:$A,'[1]Tissue Data'!$H:$H)</f>
        <v>Lepomis</v>
      </c>
      <c r="F7084" t="str">
        <f>_xlfn.XLOOKUP(A7084,'[1]Tissue Data'!$A:$A,'[1]Tissue Data'!$I:$I)</f>
        <v>gibbosus</v>
      </c>
      <c r="G7084" t="str">
        <f>_xlfn.XLOOKUP(A7084,'[1]Tissue Data'!$A:$A,'[1]Tissue Data'!J:J)</f>
        <v>U</v>
      </c>
      <c r="H7084" t="str">
        <f>_xlfn.XLOOKUP(A7084,'[1]Tissue Data'!$A:$A,'[1]Tissue Data'!K:K)</f>
        <v>Whole Body</v>
      </c>
      <c r="I7084">
        <f>_xlfn.XLOOKUP(A7084,'[1]Tissue Data'!$A:$A,'[1]Tissue Data'!L:L)</f>
        <v>7.5</v>
      </c>
      <c r="J7084">
        <f>_xlfn.XLOOKUP(A7084,'[1]Tissue Data'!$A:$A,'[1]Tissue Data'!M:M)</f>
        <v>10.210000000000001</v>
      </c>
      <c r="K7084" t="s">
        <v>44</v>
      </c>
      <c r="L7084" t="str">
        <f>_xlfn.XLOOKUP(K7084,[2]analyte_order!$B:$B,[2]analyte_order!$C:$C)</f>
        <v>27619-97-2</v>
      </c>
      <c r="M7084">
        <f>_xlfn.XLOOKUP(L7084,[2]analyte_order!$C:$C,[2]analyte_order!$E:$E)</f>
        <v>23</v>
      </c>
      <c r="N7084">
        <v>0.2135</v>
      </c>
    </row>
    <row r="7085" spans="1:14">
      <c r="A7085" t="s">
        <v>302</v>
      </c>
      <c r="B7085" t="str">
        <f>_xlfn.XLOOKUP(A7085,'[1]Tissue Data'!$A:$A,'[1]Tissue Data'!$C:$C)</f>
        <v>Down</v>
      </c>
      <c r="C7085" s="2">
        <f>_xlfn.XLOOKUP(A7085,'[1]Tissue Data'!$A:$A,'[1]Tissue Data'!$D:$D)</f>
        <v>44393</v>
      </c>
      <c r="D7085" s="2" t="str">
        <f>_xlfn.XLOOKUP(A7085,'[1]Tissue Data'!$A:$A,'[1]Tissue Data'!$F:$F)</f>
        <v>Pumpkinseed</v>
      </c>
      <c r="E7085" t="str">
        <f>_xlfn.XLOOKUP(A7085,'[1]Tissue Data'!$A:$A,'[1]Tissue Data'!$H:$H)</f>
        <v>Lepomis</v>
      </c>
      <c r="F7085" t="str">
        <f>_xlfn.XLOOKUP(A7085,'[1]Tissue Data'!$A:$A,'[1]Tissue Data'!$I:$I)</f>
        <v>gibbosus</v>
      </c>
      <c r="G7085" t="str">
        <f>_xlfn.XLOOKUP(A7085,'[1]Tissue Data'!$A:$A,'[1]Tissue Data'!J:J)</f>
        <v>U</v>
      </c>
      <c r="H7085" t="str">
        <f>_xlfn.XLOOKUP(A7085,'[1]Tissue Data'!$A:$A,'[1]Tissue Data'!K:K)</f>
        <v>Whole Body</v>
      </c>
      <c r="I7085">
        <f>_xlfn.XLOOKUP(A7085,'[1]Tissue Data'!$A:$A,'[1]Tissue Data'!L:L)</f>
        <v>7.5</v>
      </c>
      <c r="J7085">
        <f>_xlfn.XLOOKUP(A7085,'[1]Tissue Data'!$A:$A,'[1]Tissue Data'!M:M)</f>
        <v>10.210000000000001</v>
      </c>
      <c r="K7085" t="s">
        <v>45</v>
      </c>
      <c r="L7085" t="str">
        <f>_xlfn.XLOOKUP(K7085,[2]analyte_order!$B:$B,[2]analyte_order!$C:$C)</f>
        <v>39108-34-4</v>
      </c>
      <c r="M7085">
        <f>_xlfn.XLOOKUP(L7085,[2]analyte_order!$C:$C,[2]analyte_order!$E:$E)</f>
        <v>24</v>
      </c>
      <c r="N7085">
        <v>1.45</v>
      </c>
    </row>
    <row r="7086" spans="1:14">
      <c r="A7086" t="s">
        <v>302</v>
      </c>
      <c r="B7086" t="str">
        <f>_xlfn.XLOOKUP(A7086,'[1]Tissue Data'!$A:$A,'[1]Tissue Data'!$C:$C)</f>
        <v>Down</v>
      </c>
      <c r="C7086" s="2">
        <f>_xlfn.XLOOKUP(A7086,'[1]Tissue Data'!$A:$A,'[1]Tissue Data'!$D:$D)</f>
        <v>44393</v>
      </c>
      <c r="D7086" s="2" t="str">
        <f>_xlfn.XLOOKUP(A7086,'[1]Tissue Data'!$A:$A,'[1]Tissue Data'!$F:$F)</f>
        <v>Pumpkinseed</v>
      </c>
      <c r="E7086" t="str">
        <f>_xlfn.XLOOKUP(A7086,'[1]Tissue Data'!$A:$A,'[1]Tissue Data'!$H:$H)</f>
        <v>Lepomis</v>
      </c>
      <c r="F7086" t="str">
        <f>_xlfn.XLOOKUP(A7086,'[1]Tissue Data'!$A:$A,'[1]Tissue Data'!$I:$I)</f>
        <v>gibbosus</v>
      </c>
      <c r="G7086" t="str">
        <f>_xlfn.XLOOKUP(A7086,'[1]Tissue Data'!$A:$A,'[1]Tissue Data'!J:J)</f>
        <v>U</v>
      </c>
      <c r="H7086" t="str">
        <f>_xlfn.XLOOKUP(A7086,'[1]Tissue Data'!$A:$A,'[1]Tissue Data'!K:K)</f>
        <v>Whole Body</v>
      </c>
      <c r="I7086">
        <f>_xlfn.XLOOKUP(A7086,'[1]Tissue Data'!$A:$A,'[1]Tissue Data'!L:L)</f>
        <v>7.5</v>
      </c>
      <c r="J7086">
        <f>_xlfn.XLOOKUP(A7086,'[1]Tissue Data'!$A:$A,'[1]Tissue Data'!M:M)</f>
        <v>10.210000000000001</v>
      </c>
      <c r="K7086" t="s">
        <v>46</v>
      </c>
      <c r="L7086" t="str">
        <f>_xlfn.XLOOKUP(K7086,[2]analyte_order!$B:$B,[2]analyte_order!$C:$C)</f>
        <v>120226-60-0</v>
      </c>
      <c r="M7086">
        <f>_xlfn.XLOOKUP(L7086,[2]analyte_order!$C:$C,[2]analyte_order!$E:$E)</f>
        <v>25</v>
      </c>
      <c r="N7086">
        <v>0.42699999999999999</v>
      </c>
    </row>
    <row r="7087" spans="1:14">
      <c r="A7087" t="s">
        <v>302</v>
      </c>
      <c r="B7087" t="str">
        <f>_xlfn.XLOOKUP(A7087,'[1]Tissue Data'!$A:$A,'[1]Tissue Data'!$C:$C)</f>
        <v>Down</v>
      </c>
      <c r="C7087" s="2">
        <f>_xlfn.XLOOKUP(A7087,'[1]Tissue Data'!$A:$A,'[1]Tissue Data'!$D:$D)</f>
        <v>44393</v>
      </c>
      <c r="D7087" s="2" t="str">
        <f>_xlfn.XLOOKUP(A7087,'[1]Tissue Data'!$A:$A,'[1]Tissue Data'!$F:$F)</f>
        <v>Pumpkinseed</v>
      </c>
      <c r="E7087" t="str">
        <f>_xlfn.XLOOKUP(A7087,'[1]Tissue Data'!$A:$A,'[1]Tissue Data'!$H:$H)</f>
        <v>Lepomis</v>
      </c>
      <c r="F7087" t="str">
        <f>_xlfn.XLOOKUP(A7087,'[1]Tissue Data'!$A:$A,'[1]Tissue Data'!$I:$I)</f>
        <v>gibbosus</v>
      </c>
      <c r="G7087" t="str">
        <f>_xlfn.XLOOKUP(A7087,'[1]Tissue Data'!$A:$A,'[1]Tissue Data'!J:J)</f>
        <v>U</v>
      </c>
      <c r="H7087" t="str">
        <f>_xlfn.XLOOKUP(A7087,'[1]Tissue Data'!$A:$A,'[1]Tissue Data'!K:K)</f>
        <v>Whole Body</v>
      </c>
      <c r="I7087">
        <f>_xlfn.XLOOKUP(A7087,'[1]Tissue Data'!$A:$A,'[1]Tissue Data'!L:L)</f>
        <v>7.5</v>
      </c>
      <c r="J7087">
        <f>_xlfn.XLOOKUP(A7087,'[1]Tissue Data'!$A:$A,'[1]Tissue Data'!M:M)</f>
        <v>10.210000000000001</v>
      </c>
      <c r="K7087" t="s">
        <v>47</v>
      </c>
      <c r="L7087" t="str">
        <f>_xlfn.XLOOKUP(K7087,[2]analyte_order!$B:$B,[2]analyte_order!$C:$C)</f>
        <v>356-02-5</v>
      </c>
      <c r="M7087">
        <f>_xlfn.XLOOKUP(L7087,[2]analyte_order!$C:$C,[2]analyte_order!$E:$E)</f>
        <v>38</v>
      </c>
      <c r="N7087">
        <v>0.2465</v>
      </c>
    </row>
    <row r="7088" spans="1:14">
      <c r="A7088" t="s">
        <v>302</v>
      </c>
      <c r="B7088" t="str">
        <f>_xlfn.XLOOKUP(A7088,'[1]Tissue Data'!$A:$A,'[1]Tissue Data'!$C:$C)</f>
        <v>Down</v>
      </c>
      <c r="C7088" s="2">
        <f>_xlfn.XLOOKUP(A7088,'[1]Tissue Data'!$A:$A,'[1]Tissue Data'!$D:$D)</f>
        <v>44393</v>
      </c>
      <c r="D7088" s="2" t="str">
        <f>_xlfn.XLOOKUP(A7088,'[1]Tissue Data'!$A:$A,'[1]Tissue Data'!$F:$F)</f>
        <v>Pumpkinseed</v>
      </c>
      <c r="E7088" t="str">
        <f>_xlfn.XLOOKUP(A7088,'[1]Tissue Data'!$A:$A,'[1]Tissue Data'!$H:$H)</f>
        <v>Lepomis</v>
      </c>
      <c r="F7088" t="str">
        <f>_xlfn.XLOOKUP(A7088,'[1]Tissue Data'!$A:$A,'[1]Tissue Data'!$I:$I)</f>
        <v>gibbosus</v>
      </c>
      <c r="G7088" t="str">
        <f>_xlfn.XLOOKUP(A7088,'[1]Tissue Data'!$A:$A,'[1]Tissue Data'!J:J)</f>
        <v>U</v>
      </c>
      <c r="H7088" t="str">
        <f>_xlfn.XLOOKUP(A7088,'[1]Tissue Data'!$A:$A,'[1]Tissue Data'!K:K)</f>
        <v>Whole Body</v>
      </c>
      <c r="I7088">
        <f>_xlfn.XLOOKUP(A7088,'[1]Tissue Data'!$A:$A,'[1]Tissue Data'!L:L)</f>
        <v>7.5</v>
      </c>
      <c r="J7088">
        <f>_xlfn.XLOOKUP(A7088,'[1]Tissue Data'!$A:$A,'[1]Tissue Data'!M:M)</f>
        <v>10.210000000000001</v>
      </c>
      <c r="K7088" t="s">
        <v>48</v>
      </c>
      <c r="L7088" t="str">
        <f>_xlfn.XLOOKUP(K7088,[2]analyte_order!$B:$B,[2]analyte_order!$C:$C)</f>
        <v>914637-49-3</v>
      </c>
      <c r="M7088">
        <f>_xlfn.XLOOKUP(L7088,[2]analyte_order!$C:$C,[2]analyte_order!$E:$E)</f>
        <v>39</v>
      </c>
      <c r="N7088">
        <v>3.52</v>
      </c>
    </row>
    <row r="7089" spans="1:14">
      <c r="A7089" t="s">
        <v>302</v>
      </c>
      <c r="B7089" t="str">
        <f>_xlfn.XLOOKUP(A7089,'[1]Tissue Data'!$A:$A,'[1]Tissue Data'!$C:$C)</f>
        <v>Down</v>
      </c>
      <c r="C7089" s="2">
        <f>_xlfn.XLOOKUP(A7089,'[1]Tissue Data'!$A:$A,'[1]Tissue Data'!$D:$D)</f>
        <v>44393</v>
      </c>
      <c r="D7089" s="2" t="str">
        <f>_xlfn.XLOOKUP(A7089,'[1]Tissue Data'!$A:$A,'[1]Tissue Data'!$F:$F)</f>
        <v>Pumpkinseed</v>
      </c>
      <c r="E7089" t="str">
        <f>_xlfn.XLOOKUP(A7089,'[1]Tissue Data'!$A:$A,'[1]Tissue Data'!$H:$H)</f>
        <v>Lepomis</v>
      </c>
      <c r="F7089" t="str">
        <f>_xlfn.XLOOKUP(A7089,'[1]Tissue Data'!$A:$A,'[1]Tissue Data'!$I:$I)</f>
        <v>gibbosus</v>
      </c>
      <c r="G7089" t="str">
        <f>_xlfn.XLOOKUP(A7089,'[1]Tissue Data'!$A:$A,'[1]Tissue Data'!J:J)</f>
        <v>U</v>
      </c>
      <c r="H7089" t="str">
        <f>_xlfn.XLOOKUP(A7089,'[1]Tissue Data'!$A:$A,'[1]Tissue Data'!K:K)</f>
        <v>Whole Body</v>
      </c>
      <c r="I7089">
        <f>_xlfn.XLOOKUP(A7089,'[1]Tissue Data'!$A:$A,'[1]Tissue Data'!L:L)</f>
        <v>7.5</v>
      </c>
      <c r="J7089">
        <f>_xlfn.XLOOKUP(A7089,'[1]Tissue Data'!$A:$A,'[1]Tissue Data'!M:M)</f>
        <v>10.210000000000001</v>
      </c>
      <c r="K7089" t="s">
        <v>49</v>
      </c>
      <c r="L7089" t="str">
        <f>_xlfn.XLOOKUP(K7089,[2]analyte_order!$B:$B,[2]analyte_order!$C:$C)</f>
        <v>812-70-4</v>
      </c>
      <c r="M7089">
        <f>_xlfn.XLOOKUP(L7089,[2]analyte_order!$C:$C,[2]analyte_order!$E:$E)</f>
        <v>40</v>
      </c>
      <c r="N7089">
        <v>6.91</v>
      </c>
    </row>
    <row r="7090" spans="1:14">
      <c r="A7090" t="s">
        <v>302</v>
      </c>
      <c r="B7090" t="str">
        <f>_xlfn.XLOOKUP(A7090,'[1]Tissue Data'!$A:$A,'[1]Tissue Data'!$C:$C)</f>
        <v>Down</v>
      </c>
      <c r="C7090" s="2">
        <f>_xlfn.XLOOKUP(A7090,'[1]Tissue Data'!$A:$A,'[1]Tissue Data'!$D:$D)</f>
        <v>44393</v>
      </c>
      <c r="D7090" s="2" t="str">
        <f>_xlfn.XLOOKUP(A7090,'[1]Tissue Data'!$A:$A,'[1]Tissue Data'!$F:$F)</f>
        <v>Pumpkinseed</v>
      </c>
      <c r="E7090" t="str">
        <f>_xlfn.XLOOKUP(A7090,'[1]Tissue Data'!$A:$A,'[1]Tissue Data'!$H:$H)</f>
        <v>Lepomis</v>
      </c>
      <c r="F7090" t="str">
        <f>_xlfn.XLOOKUP(A7090,'[1]Tissue Data'!$A:$A,'[1]Tissue Data'!$I:$I)</f>
        <v>gibbosus</v>
      </c>
      <c r="G7090" t="str">
        <f>_xlfn.XLOOKUP(A7090,'[1]Tissue Data'!$A:$A,'[1]Tissue Data'!J:J)</f>
        <v>U</v>
      </c>
      <c r="H7090" t="str">
        <f>_xlfn.XLOOKUP(A7090,'[1]Tissue Data'!$A:$A,'[1]Tissue Data'!K:K)</f>
        <v>Whole Body</v>
      </c>
      <c r="I7090">
        <f>_xlfn.XLOOKUP(A7090,'[1]Tissue Data'!$A:$A,'[1]Tissue Data'!L:L)</f>
        <v>7.5</v>
      </c>
      <c r="J7090">
        <f>_xlfn.XLOOKUP(A7090,'[1]Tissue Data'!$A:$A,'[1]Tissue Data'!M:M)</f>
        <v>10.210000000000001</v>
      </c>
      <c r="K7090" t="s">
        <v>50</v>
      </c>
      <c r="L7090" t="str">
        <f>_xlfn.XLOOKUP(K7090,[2]analyte_order!$B:$B,[2]analyte_order!$C:$C)</f>
        <v>53826-12-3</v>
      </c>
      <c r="M7090">
        <f>_xlfn.XLOOKUP(L7090,[2]analyte_order!$C:$C,[2]analyte_order!$E:$E)</f>
        <v>41</v>
      </c>
      <c r="N7090">
        <v>0.42699999999999999</v>
      </c>
    </row>
    <row r="7091" spans="1:14">
      <c r="A7091" t="s">
        <v>302</v>
      </c>
      <c r="B7091" t="str">
        <f>_xlfn.XLOOKUP(A7091,'[1]Tissue Data'!$A:$A,'[1]Tissue Data'!$C:$C)</f>
        <v>Down</v>
      </c>
      <c r="C7091" s="2">
        <f>_xlfn.XLOOKUP(A7091,'[1]Tissue Data'!$A:$A,'[1]Tissue Data'!$D:$D)</f>
        <v>44393</v>
      </c>
      <c r="D7091" s="2" t="str">
        <f>_xlfn.XLOOKUP(A7091,'[1]Tissue Data'!$A:$A,'[1]Tissue Data'!$F:$F)</f>
        <v>Pumpkinseed</v>
      </c>
      <c r="E7091" t="str">
        <f>_xlfn.XLOOKUP(A7091,'[1]Tissue Data'!$A:$A,'[1]Tissue Data'!$H:$H)</f>
        <v>Lepomis</v>
      </c>
      <c r="F7091" t="str">
        <f>_xlfn.XLOOKUP(A7091,'[1]Tissue Data'!$A:$A,'[1]Tissue Data'!$I:$I)</f>
        <v>gibbosus</v>
      </c>
      <c r="G7091" t="str">
        <f>_xlfn.XLOOKUP(A7091,'[1]Tissue Data'!$A:$A,'[1]Tissue Data'!J:J)</f>
        <v>U</v>
      </c>
      <c r="H7091" t="str">
        <f>_xlfn.XLOOKUP(A7091,'[1]Tissue Data'!$A:$A,'[1]Tissue Data'!K:K)</f>
        <v>Whole Body</v>
      </c>
      <c r="I7091">
        <f>_xlfn.XLOOKUP(A7091,'[1]Tissue Data'!$A:$A,'[1]Tissue Data'!L:L)</f>
        <v>7.5</v>
      </c>
      <c r="J7091">
        <f>_xlfn.XLOOKUP(A7091,'[1]Tissue Data'!$A:$A,'[1]Tissue Data'!M:M)</f>
        <v>10.210000000000001</v>
      </c>
      <c r="K7091" t="s">
        <v>51</v>
      </c>
      <c r="L7091" t="str">
        <f>_xlfn.XLOOKUP(K7091,[2]analyte_order!$B:$B,[2]analyte_order!$C:$C)</f>
        <v>27854-31-5</v>
      </c>
      <c r="M7091">
        <f>_xlfn.XLOOKUP(L7091,[2]analyte_order!$C:$C,[2]analyte_order!$E:$E)</f>
        <v>42</v>
      </c>
      <c r="N7091">
        <v>0.42699999999999999</v>
      </c>
    </row>
    <row r="7092" spans="1:14">
      <c r="A7092" t="s">
        <v>302</v>
      </c>
      <c r="B7092" t="str">
        <f>_xlfn.XLOOKUP(A7092,'[1]Tissue Data'!$A:$A,'[1]Tissue Data'!$C:$C)</f>
        <v>Down</v>
      </c>
      <c r="C7092" s="2">
        <f>_xlfn.XLOOKUP(A7092,'[1]Tissue Data'!$A:$A,'[1]Tissue Data'!$D:$D)</f>
        <v>44393</v>
      </c>
      <c r="D7092" s="2" t="str">
        <f>_xlfn.XLOOKUP(A7092,'[1]Tissue Data'!$A:$A,'[1]Tissue Data'!$F:$F)</f>
        <v>Pumpkinseed</v>
      </c>
      <c r="E7092" t="str">
        <f>_xlfn.XLOOKUP(A7092,'[1]Tissue Data'!$A:$A,'[1]Tissue Data'!$H:$H)</f>
        <v>Lepomis</v>
      </c>
      <c r="F7092" t="str">
        <f>_xlfn.XLOOKUP(A7092,'[1]Tissue Data'!$A:$A,'[1]Tissue Data'!$I:$I)</f>
        <v>gibbosus</v>
      </c>
      <c r="G7092" t="str">
        <f>_xlfn.XLOOKUP(A7092,'[1]Tissue Data'!$A:$A,'[1]Tissue Data'!J:J)</f>
        <v>U</v>
      </c>
      <c r="H7092" t="str">
        <f>_xlfn.XLOOKUP(A7092,'[1]Tissue Data'!$A:$A,'[1]Tissue Data'!K:K)</f>
        <v>Whole Body</v>
      </c>
      <c r="I7092">
        <f>_xlfn.XLOOKUP(A7092,'[1]Tissue Data'!$A:$A,'[1]Tissue Data'!L:L)</f>
        <v>7.5</v>
      </c>
      <c r="J7092">
        <f>_xlfn.XLOOKUP(A7092,'[1]Tissue Data'!$A:$A,'[1]Tissue Data'!M:M)</f>
        <v>10.210000000000001</v>
      </c>
      <c r="K7092" t="s">
        <v>52</v>
      </c>
      <c r="L7092" t="str">
        <f>_xlfn.XLOOKUP(K7092,[2]analyte_order!$B:$B,[2]analyte_order!$C:$C)</f>
        <v>53826-13-4</v>
      </c>
      <c r="M7092">
        <f>_xlfn.XLOOKUP(L7092,[2]analyte_order!$C:$C,[2]analyte_order!$E:$E)</f>
        <v>43</v>
      </c>
      <c r="N7092">
        <v>0.42699999999999999</v>
      </c>
    </row>
    <row r="7093" spans="1:14">
      <c r="A7093" t="s">
        <v>302</v>
      </c>
      <c r="B7093" t="str">
        <f>_xlfn.XLOOKUP(A7093,'[1]Tissue Data'!$A:$A,'[1]Tissue Data'!$C:$C)</f>
        <v>Down</v>
      </c>
      <c r="C7093" s="2">
        <f>_xlfn.XLOOKUP(A7093,'[1]Tissue Data'!$A:$A,'[1]Tissue Data'!$D:$D)</f>
        <v>44393</v>
      </c>
      <c r="D7093" s="2" t="str">
        <f>_xlfn.XLOOKUP(A7093,'[1]Tissue Data'!$A:$A,'[1]Tissue Data'!$F:$F)</f>
        <v>Pumpkinseed</v>
      </c>
      <c r="E7093" t="str">
        <f>_xlfn.XLOOKUP(A7093,'[1]Tissue Data'!$A:$A,'[1]Tissue Data'!$H:$H)</f>
        <v>Lepomis</v>
      </c>
      <c r="F7093" t="str">
        <f>_xlfn.XLOOKUP(A7093,'[1]Tissue Data'!$A:$A,'[1]Tissue Data'!$I:$I)</f>
        <v>gibbosus</v>
      </c>
      <c r="G7093" t="str">
        <f>_xlfn.XLOOKUP(A7093,'[1]Tissue Data'!$A:$A,'[1]Tissue Data'!J:J)</f>
        <v>U</v>
      </c>
      <c r="H7093" t="str">
        <f>_xlfn.XLOOKUP(A7093,'[1]Tissue Data'!$A:$A,'[1]Tissue Data'!K:K)</f>
        <v>Whole Body</v>
      </c>
      <c r="I7093">
        <f>_xlfn.XLOOKUP(A7093,'[1]Tissue Data'!$A:$A,'[1]Tissue Data'!L:L)</f>
        <v>7.5</v>
      </c>
      <c r="J7093">
        <f>_xlfn.XLOOKUP(A7093,'[1]Tissue Data'!$A:$A,'[1]Tissue Data'!M:M)</f>
        <v>10.210000000000001</v>
      </c>
      <c r="K7093" t="s">
        <v>53</v>
      </c>
      <c r="L7093" t="str">
        <f>_xlfn.XLOOKUP(K7093,[2]analyte_order!$B:$B,[2]analyte_order!$C:$C)</f>
        <v>161094-75-3</v>
      </c>
      <c r="M7093">
        <f>_xlfn.XLOOKUP(L7093,[2]analyte_order!$C:$C,[2]analyte_order!$E:$E)</f>
        <v>44</v>
      </c>
      <c r="N7093">
        <v>0.42699999999999999</v>
      </c>
    </row>
    <row r="7094" spans="1:14">
      <c r="A7094" t="s">
        <v>302</v>
      </c>
      <c r="B7094" t="str">
        <f>_xlfn.XLOOKUP(A7094,'[1]Tissue Data'!$A:$A,'[1]Tissue Data'!$C:$C)</f>
        <v>Down</v>
      </c>
      <c r="C7094" s="2">
        <f>_xlfn.XLOOKUP(A7094,'[1]Tissue Data'!$A:$A,'[1]Tissue Data'!$D:$D)</f>
        <v>44393</v>
      </c>
      <c r="D7094" s="2" t="str">
        <f>_xlfn.XLOOKUP(A7094,'[1]Tissue Data'!$A:$A,'[1]Tissue Data'!$F:$F)</f>
        <v>Pumpkinseed</v>
      </c>
      <c r="E7094" t="str">
        <f>_xlfn.XLOOKUP(A7094,'[1]Tissue Data'!$A:$A,'[1]Tissue Data'!$H:$H)</f>
        <v>Lepomis</v>
      </c>
      <c r="F7094" t="str">
        <f>_xlfn.XLOOKUP(A7094,'[1]Tissue Data'!$A:$A,'[1]Tissue Data'!$I:$I)</f>
        <v>gibbosus</v>
      </c>
      <c r="G7094" t="str">
        <f>_xlfn.XLOOKUP(A7094,'[1]Tissue Data'!$A:$A,'[1]Tissue Data'!J:J)</f>
        <v>U</v>
      </c>
      <c r="H7094" t="str">
        <f>_xlfn.XLOOKUP(A7094,'[1]Tissue Data'!$A:$A,'[1]Tissue Data'!K:K)</f>
        <v>Whole Body</v>
      </c>
      <c r="I7094">
        <f>_xlfn.XLOOKUP(A7094,'[1]Tissue Data'!$A:$A,'[1]Tissue Data'!L:L)</f>
        <v>7.5</v>
      </c>
      <c r="J7094">
        <f>_xlfn.XLOOKUP(A7094,'[1]Tissue Data'!$A:$A,'[1]Tissue Data'!M:M)</f>
        <v>10.210000000000001</v>
      </c>
      <c r="K7094" t="s">
        <v>54</v>
      </c>
      <c r="L7094" t="str">
        <f>_xlfn.XLOOKUP(K7094,[2]analyte_order!$B:$B,[2]analyte_order!$C:$C)</f>
        <v>70887-84-2</v>
      </c>
      <c r="M7094">
        <f>_xlfn.XLOOKUP(L7094,[2]analyte_order!$C:$C,[2]analyte_order!$E:$E)</f>
        <v>45</v>
      </c>
      <c r="N7094">
        <v>0.42699999999999999</v>
      </c>
    </row>
    <row r="7095" spans="1:14">
      <c r="A7095" t="s">
        <v>302</v>
      </c>
      <c r="B7095" t="str">
        <f>_xlfn.XLOOKUP(A7095,'[1]Tissue Data'!$A:$A,'[1]Tissue Data'!$C:$C)</f>
        <v>Down</v>
      </c>
      <c r="C7095" s="2">
        <f>_xlfn.XLOOKUP(A7095,'[1]Tissue Data'!$A:$A,'[1]Tissue Data'!$D:$D)</f>
        <v>44393</v>
      </c>
      <c r="D7095" s="2" t="str">
        <f>_xlfn.XLOOKUP(A7095,'[1]Tissue Data'!$A:$A,'[1]Tissue Data'!$F:$F)</f>
        <v>Pumpkinseed</v>
      </c>
      <c r="E7095" t="str">
        <f>_xlfn.XLOOKUP(A7095,'[1]Tissue Data'!$A:$A,'[1]Tissue Data'!$H:$H)</f>
        <v>Lepomis</v>
      </c>
      <c r="F7095" t="str">
        <f>_xlfn.XLOOKUP(A7095,'[1]Tissue Data'!$A:$A,'[1]Tissue Data'!$I:$I)</f>
        <v>gibbosus</v>
      </c>
      <c r="G7095" t="str">
        <f>_xlfn.XLOOKUP(A7095,'[1]Tissue Data'!$A:$A,'[1]Tissue Data'!J:J)</f>
        <v>U</v>
      </c>
      <c r="H7095" t="str">
        <f>_xlfn.XLOOKUP(A7095,'[1]Tissue Data'!$A:$A,'[1]Tissue Data'!K:K)</f>
        <v>Whole Body</v>
      </c>
      <c r="I7095">
        <f>_xlfn.XLOOKUP(A7095,'[1]Tissue Data'!$A:$A,'[1]Tissue Data'!L:L)</f>
        <v>7.5</v>
      </c>
      <c r="J7095">
        <f>_xlfn.XLOOKUP(A7095,'[1]Tissue Data'!$A:$A,'[1]Tissue Data'!M:M)</f>
        <v>10.210000000000001</v>
      </c>
      <c r="K7095" t="s">
        <v>55</v>
      </c>
      <c r="L7095" t="str">
        <f>_xlfn.XLOOKUP(K7095,[2]analyte_order!$B:$B,[2]analyte_order!$C:$C)</f>
        <v>919005-14-4</v>
      </c>
      <c r="M7095">
        <f>_xlfn.XLOOKUP(L7095,[2]analyte_order!$C:$C,[2]analyte_order!$E:$E)</f>
        <v>35</v>
      </c>
      <c r="N7095">
        <v>0.2135</v>
      </c>
    </row>
    <row r="7096" spans="1:14">
      <c r="A7096" t="s">
        <v>302</v>
      </c>
      <c r="B7096" t="str">
        <f>_xlfn.XLOOKUP(A7096,'[1]Tissue Data'!$A:$A,'[1]Tissue Data'!$C:$C)</f>
        <v>Down</v>
      </c>
      <c r="C7096" s="2">
        <f>_xlfn.XLOOKUP(A7096,'[1]Tissue Data'!$A:$A,'[1]Tissue Data'!$D:$D)</f>
        <v>44393</v>
      </c>
      <c r="D7096" s="2" t="str">
        <f>_xlfn.XLOOKUP(A7096,'[1]Tissue Data'!$A:$A,'[1]Tissue Data'!$F:$F)</f>
        <v>Pumpkinseed</v>
      </c>
      <c r="E7096" t="str">
        <f>_xlfn.XLOOKUP(A7096,'[1]Tissue Data'!$A:$A,'[1]Tissue Data'!$H:$H)</f>
        <v>Lepomis</v>
      </c>
      <c r="F7096" t="str">
        <f>_xlfn.XLOOKUP(A7096,'[1]Tissue Data'!$A:$A,'[1]Tissue Data'!$I:$I)</f>
        <v>gibbosus</v>
      </c>
      <c r="G7096" t="str">
        <f>_xlfn.XLOOKUP(A7096,'[1]Tissue Data'!$A:$A,'[1]Tissue Data'!J:J)</f>
        <v>U</v>
      </c>
      <c r="H7096" t="str">
        <f>_xlfn.XLOOKUP(A7096,'[1]Tissue Data'!$A:$A,'[1]Tissue Data'!K:K)</f>
        <v>Whole Body</v>
      </c>
      <c r="I7096">
        <f>_xlfn.XLOOKUP(A7096,'[1]Tissue Data'!$A:$A,'[1]Tissue Data'!L:L)</f>
        <v>7.5</v>
      </c>
      <c r="J7096">
        <f>_xlfn.XLOOKUP(A7096,'[1]Tissue Data'!$A:$A,'[1]Tissue Data'!M:M)</f>
        <v>10.210000000000001</v>
      </c>
      <c r="K7096" t="s">
        <v>56</v>
      </c>
      <c r="L7096" t="str">
        <f>_xlfn.XLOOKUP(K7096,[2]analyte_order!$B:$B,[2]analyte_order!$C:$C)</f>
        <v>756426-58-1</v>
      </c>
      <c r="M7096">
        <f>_xlfn.XLOOKUP(L7096,[2]analyte_order!$C:$C,[2]analyte_order!$E:$E)</f>
        <v>36</v>
      </c>
      <c r="N7096">
        <v>0.42699999999999999</v>
      </c>
    </row>
    <row r="7097" spans="1:14">
      <c r="A7097" t="s">
        <v>302</v>
      </c>
      <c r="B7097" t="str">
        <f>_xlfn.XLOOKUP(A7097,'[1]Tissue Data'!$A:$A,'[1]Tissue Data'!$C:$C)</f>
        <v>Down</v>
      </c>
      <c r="C7097" s="2">
        <f>_xlfn.XLOOKUP(A7097,'[1]Tissue Data'!$A:$A,'[1]Tissue Data'!$D:$D)</f>
        <v>44393</v>
      </c>
      <c r="D7097" s="2" t="str">
        <f>_xlfn.XLOOKUP(A7097,'[1]Tissue Data'!$A:$A,'[1]Tissue Data'!$F:$F)</f>
        <v>Pumpkinseed</v>
      </c>
      <c r="E7097" t="str">
        <f>_xlfn.XLOOKUP(A7097,'[1]Tissue Data'!$A:$A,'[1]Tissue Data'!$H:$H)</f>
        <v>Lepomis</v>
      </c>
      <c r="F7097" t="str">
        <f>_xlfn.XLOOKUP(A7097,'[1]Tissue Data'!$A:$A,'[1]Tissue Data'!$I:$I)</f>
        <v>gibbosus</v>
      </c>
      <c r="G7097" t="str">
        <f>_xlfn.XLOOKUP(A7097,'[1]Tissue Data'!$A:$A,'[1]Tissue Data'!J:J)</f>
        <v>U</v>
      </c>
      <c r="H7097" t="str">
        <f>_xlfn.XLOOKUP(A7097,'[1]Tissue Data'!$A:$A,'[1]Tissue Data'!K:K)</f>
        <v>Whole Body</v>
      </c>
      <c r="I7097">
        <f>_xlfn.XLOOKUP(A7097,'[1]Tissue Data'!$A:$A,'[1]Tissue Data'!L:L)</f>
        <v>7.5</v>
      </c>
      <c r="J7097">
        <f>_xlfn.XLOOKUP(A7097,'[1]Tissue Data'!$A:$A,'[1]Tissue Data'!M:M)</f>
        <v>10.210000000000001</v>
      </c>
      <c r="K7097" t="s">
        <v>57</v>
      </c>
      <c r="L7097" t="str">
        <f>_xlfn.XLOOKUP(K7097,[2]analyte_order!$B:$B,[2]analyte_order!$C:$C)</f>
        <v>763051-92-9</v>
      </c>
      <c r="M7097">
        <f>_xlfn.XLOOKUP(L7097,[2]analyte_order!$C:$C,[2]analyte_order!$E:$E)</f>
        <v>37</v>
      </c>
      <c r="N7097">
        <v>0.42699999999999999</v>
      </c>
    </row>
    <row r="7098" spans="1:14">
      <c r="A7098" t="s">
        <v>302</v>
      </c>
      <c r="B7098" t="str">
        <f>_xlfn.XLOOKUP(A7098,'[1]Tissue Data'!$A:$A,'[1]Tissue Data'!$C:$C)</f>
        <v>Down</v>
      </c>
      <c r="C7098" s="2">
        <f>_xlfn.XLOOKUP(A7098,'[1]Tissue Data'!$A:$A,'[1]Tissue Data'!$D:$D)</f>
        <v>44393</v>
      </c>
      <c r="D7098" s="2" t="str">
        <f>_xlfn.XLOOKUP(A7098,'[1]Tissue Data'!$A:$A,'[1]Tissue Data'!$F:$F)</f>
        <v>Pumpkinseed</v>
      </c>
      <c r="E7098" t="str">
        <f>_xlfn.XLOOKUP(A7098,'[1]Tissue Data'!$A:$A,'[1]Tissue Data'!$H:$H)</f>
        <v>Lepomis</v>
      </c>
      <c r="F7098" t="str">
        <f>_xlfn.XLOOKUP(A7098,'[1]Tissue Data'!$A:$A,'[1]Tissue Data'!$I:$I)</f>
        <v>gibbosus</v>
      </c>
      <c r="G7098" t="str">
        <f>_xlfn.XLOOKUP(A7098,'[1]Tissue Data'!$A:$A,'[1]Tissue Data'!J:J)</f>
        <v>U</v>
      </c>
      <c r="H7098" t="str">
        <f>_xlfn.XLOOKUP(A7098,'[1]Tissue Data'!$A:$A,'[1]Tissue Data'!K:K)</f>
        <v>Whole Body</v>
      </c>
      <c r="I7098">
        <f>_xlfn.XLOOKUP(A7098,'[1]Tissue Data'!$A:$A,'[1]Tissue Data'!L:L)</f>
        <v>7.5</v>
      </c>
      <c r="J7098">
        <f>_xlfn.XLOOKUP(A7098,'[1]Tissue Data'!$A:$A,'[1]Tissue Data'!M:M)</f>
        <v>10.210000000000001</v>
      </c>
      <c r="K7098" t="s">
        <v>58</v>
      </c>
      <c r="L7098" t="str">
        <f>_xlfn.XLOOKUP(K7098,[2]analyte_order!$B:$B,[2]analyte_order!$C:$C)</f>
        <v>13252-13-6</v>
      </c>
      <c r="M7098">
        <f>_xlfn.XLOOKUP(L7098,[2]analyte_order!$C:$C,[2]analyte_order!$E:$E)</f>
        <v>34</v>
      </c>
      <c r="N7098">
        <v>0.30649999999999999</v>
      </c>
    </row>
    <row r="7099" spans="1:14">
      <c r="A7099" t="s">
        <v>302</v>
      </c>
      <c r="B7099" t="str">
        <f>_xlfn.XLOOKUP(A7099,'[1]Tissue Data'!$A:$A,'[1]Tissue Data'!$C:$C)</f>
        <v>Down</v>
      </c>
      <c r="C7099" s="2">
        <f>_xlfn.XLOOKUP(A7099,'[1]Tissue Data'!$A:$A,'[1]Tissue Data'!$D:$D)</f>
        <v>44393</v>
      </c>
      <c r="D7099" s="2" t="str">
        <f>_xlfn.XLOOKUP(A7099,'[1]Tissue Data'!$A:$A,'[1]Tissue Data'!$F:$F)</f>
        <v>Pumpkinseed</v>
      </c>
      <c r="E7099" t="str">
        <f>_xlfn.XLOOKUP(A7099,'[1]Tissue Data'!$A:$A,'[1]Tissue Data'!$H:$H)</f>
        <v>Lepomis</v>
      </c>
      <c r="F7099" t="str">
        <f>_xlfn.XLOOKUP(A7099,'[1]Tissue Data'!$A:$A,'[1]Tissue Data'!$I:$I)</f>
        <v>gibbosus</v>
      </c>
      <c r="G7099" t="str">
        <f>_xlfn.XLOOKUP(A7099,'[1]Tissue Data'!$A:$A,'[1]Tissue Data'!J:J)</f>
        <v>U</v>
      </c>
      <c r="H7099" t="str">
        <f>_xlfn.XLOOKUP(A7099,'[1]Tissue Data'!$A:$A,'[1]Tissue Data'!K:K)</f>
        <v>Whole Body</v>
      </c>
      <c r="I7099">
        <f>_xlfn.XLOOKUP(A7099,'[1]Tissue Data'!$A:$A,'[1]Tissue Data'!L:L)</f>
        <v>7.5</v>
      </c>
      <c r="J7099">
        <f>_xlfn.XLOOKUP(A7099,'[1]Tissue Data'!$A:$A,'[1]Tissue Data'!M:M)</f>
        <v>10.210000000000001</v>
      </c>
      <c r="K7099" t="s">
        <v>59</v>
      </c>
      <c r="L7099" t="str">
        <f>_xlfn.XLOOKUP(K7099,[2]analyte_order!$B:$B,[2]analyte_order!$C:$C)</f>
        <v>57677-95-9</v>
      </c>
      <c r="M7099">
        <f>_xlfn.XLOOKUP(L7099,[2]analyte_order!$C:$C,[2]analyte_order!$E:$E)</f>
        <v>46</v>
      </c>
      <c r="N7099">
        <v>0.42699999999999999</v>
      </c>
    </row>
    <row r="7100" spans="1:14">
      <c r="A7100" t="s">
        <v>302</v>
      </c>
      <c r="B7100" t="str">
        <f>_xlfn.XLOOKUP(A7100,'[1]Tissue Data'!$A:$A,'[1]Tissue Data'!$C:$C)</f>
        <v>Down</v>
      </c>
      <c r="C7100" s="2">
        <f>_xlfn.XLOOKUP(A7100,'[1]Tissue Data'!$A:$A,'[1]Tissue Data'!$D:$D)</f>
        <v>44393</v>
      </c>
      <c r="D7100" s="2" t="str">
        <f>_xlfn.XLOOKUP(A7100,'[1]Tissue Data'!$A:$A,'[1]Tissue Data'!$F:$F)</f>
        <v>Pumpkinseed</v>
      </c>
      <c r="E7100" t="str">
        <f>_xlfn.XLOOKUP(A7100,'[1]Tissue Data'!$A:$A,'[1]Tissue Data'!$H:$H)</f>
        <v>Lepomis</v>
      </c>
      <c r="F7100" t="str">
        <f>_xlfn.XLOOKUP(A7100,'[1]Tissue Data'!$A:$A,'[1]Tissue Data'!$I:$I)</f>
        <v>gibbosus</v>
      </c>
      <c r="G7100" t="str">
        <f>_xlfn.XLOOKUP(A7100,'[1]Tissue Data'!$A:$A,'[1]Tissue Data'!J:J)</f>
        <v>U</v>
      </c>
      <c r="H7100" t="str">
        <f>_xlfn.XLOOKUP(A7100,'[1]Tissue Data'!$A:$A,'[1]Tissue Data'!K:K)</f>
        <v>Whole Body</v>
      </c>
      <c r="I7100">
        <f>_xlfn.XLOOKUP(A7100,'[1]Tissue Data'!$A:$A,'[1]Tissue Data'!L:L)</f>
        <v>7.5</v>
      </c>
      <c r="J7100">
        <f>_xlfn.XLOOKUP(A7100,'[1]Tissue Data'!$A:$A,'[1]Tissue Data'!M:M)</f>
        <v>10.210000000000001</v>
      </c>
      <c r="K7100" t="s">
        <v>60</v>
      </c>
      <c r="L7100" t="str">
        <f>_xlfn.XLOOKUP(K7100,[2]analyte_order!$B:$B,[2]analyte_order!$C:$C)</f>
        <v>678-41-1</v>
      </c>
      <c r="M7100">
        <f>_xlfn.XLOOKUP(L7100,[2]analyte_order!$C:$C,[2]analyte_order!$E:$E)</f>
        <v>56</v>
      </c>
      <c r="N7100">
        <v>0.42699999999999999</v>
      </c>
    </row>
    <row r="7101" spans="1:14">
      <c r="A7101" t="s">
        <v>302</v>
      </c>
      <c r="B7101" t="str">
        <f>_xlfn.XLOOKUP(A7101,'[1]Tissue Data'!$A:$A,'[1]Tissue Data'!$C:$C)</f>
        <v>Down</v>
      </c>
      <c r="C7101" s="2">
        <f>_xlfn.XLOOKUP(A7101,'[1]Tissue Data'!$A:$A,'[1]Tissue Data'!$D:$D)</f>
        <v>44393</v>
      </c>
      <c r="D7101" s="2" t="str">
        <f>_xlfn.XLOOKUP(A7101,'[1]Tissue Data'!$A:$A,'[1]Tissue Data'!$F:$F)</f>
        <v>Pumpkinseed</v>
      </c>
      <c r="E7101" t="str">
        <f>_xlfn.XLOOKUP(A7101,'[1]Tissue Data'!$A:$A,'[1]Tissue Data'!$H:$H)</f>
        <v>Lepomis</v>
      </c>
      <c r="F7101" t="str">
        <f>_xlfn.XLOOKUP(A7101,'[1]Tissue Data'!$A:$A,'[1]Tissue Data'!$I:$I)</f>
        <v>gibbosus</v>
      </c>
      <c r="G7101" t="str">
        <f>_xlfn.XLOOKUP(A7101,'[1]Tissue Data'!$A:$A,'[1]Tissue Data'!J:J)</f>
        <v>U</v>
      </c>
      <c r="H7101" t="str">
        <f>_xlfn.XLOOKUP(A7101,'[1]Tissue Data'!$A:$A,'[1]Tissue Data'!K:K)</f>
        <v>Whole Body</v>
      </c>
      <c r="I7101">
        <f>_xlfn.XLOOKUP(A7101,'[1]Tissue Data'!$A:$A,'[1]Tissue Data'!L:L)</f>
        <v>7.5</v>
      </c>
      <c r="J7101">
        <f>_xlfn.XLOOKUP(A7101,'[1]Tissue Data'!$A:$A,'[1]Tissue Data'!M:M)</f>
        <v>10.210000000000001</v>
      </c>
      <c r="K7101" t="s">
        <v>61</v>
      </c>
      <c r="L7101" t="str">
        <f>_xlfn.XLOOKUP(K7101,[2]analyte_order!$B:$B,[2]analyte_order!$C:$C)</f>
        <v>2965-52-8</v>
      </c>
      <c r="M7101">
        <f>_xlfn.XLOOKUP(L7101,[2]analyte_order!$C:$C,[2]analyte_order!$E:$E)</f>
        <v>57</v>
      </c>
      <c r="N7101">
        <v>0.42699999999999999</v>
      </c>
    </row>
    <row r="7102" spans="1:14">
      <c r="A7102" t="s">
        <v>303</v>
      </c>
      <c r="B7102" t="str">
        <f>_xlfn.XLOOKUP(A7102,'[1]Tissue Data'!$A:$A,'[1]Tissue Data'!$C:$C)</f>
        <v>Down</v>
      </c>
      <c r="C7102" s="2">
        <f>_xlfn.XLOOKUP(A7102,'[1]Tissue Data'!$A:$A,'[1]Tissue Data'!$D:$D)</f>
        <v>44393</v>
      </c>
      <c r="D7102" s="2" t="str">
        <f>_xlfn.XLOOKUP(A7102,'[1]Tissue Data'!$A:$A,'[1]Tissue Data'!$F:$F)</f>
        <v>Pumpkinseed</v>
      </c>
      <c r="E7102" t="str">
        <f>_xlfn.XLOOKUP(A7102,'[1]Tissue Data'!$A:$A,'[1]Tissue Data'!$H:$H)</f>
        <v>Lepomis</v>
      </c>
      <c r="F7102" t="str">
        <f>_xlfn.XLOOKUP(A7102,'[1]Tissue Data'!$A:$A,'[1]Tissue Data'!$I:$I)</f>
        <v>gibbosus</v>
      </c>
      <c r="G7102" t="str">
        <f>_xlfn.XLOOKUP(A7102,'[1]Tissue Data'!$A:$A,'[1]Tissue Data'!J:J)</f>
        <v>U</v>
      </c>
      <c r="H7102" t="str">
        <f>_xlfn.XLOOKUP(A7102,'[1]Tissue Data'!$A:$A,'[1]Tissue Data'!K:K)</f>
        <v>Whole Body</v>
      </c>
      <c r="I7102">
        <f>_xlfn.XLOOKUP(A7102,'[1]Tissue Data'!$A:$A,'[1]Tissue Data'!L:L)</f>
        <v>11</v>
      </c>
      <c r="J7102">
        <f>_xlfn.XLOOKUP(A7102,'[1]Tissue Data'!$A:$A,'[1]Tissue Data'!M:M)</f>
        <v>22.29</v>
      </c>
      <c r="K7102" t="s">
        <v>12</v>
      </c>
      <c r="L7102" t="str">
        <f>_xlfn.XLOOKUP(K7102,[2]analyte_order!$B:$B,[2]analyte_order!$C:$C)</f>
        <v>375-22-4</v>
      </c>
      <c r="M7102">
        <f>_xlfn.XLOOKUP(L7102,[2]analyte_order!$C:$C,[2]analyte_order!$E:$E)</f>
        <v>1</v>
      </c>
      <c r="N7102">
        <v>0.2165</v>
      </c>
    </row>
    <row r="7103" spans="1:14">
      <c r="A7103" t="s">
        <v>303</v>
      </c>
      <c r="B7103" t="str">
        <f>_xlfn.XLOOKUP(A7103,'[1]Tissue Data'!$A:$A,'[1]Tissue Data'!$C:$C)</f>
        <v>Down</v>
      </c>
      <c r="C7103" s="2">
        <f>_xlfn.XLOOKUP(A7103,'[1]Tissue Data'!$A:$A,'[1]Tissue Data'!$D:$D)</f>
        <v>44393</v>
      </c>
      <c r="D7103" s="2" t="str">
        <f>_xlfn.XLOOKUP(A7103,'[1]Tissue Data'!$A:$A,'[1]Tissue Data'!$F:$F)</f>
        <v>Pumpkinseed</v>
      </c>
      <c r="E7103" t="str">
        <f>_xlfn.XLOOKUP(A7103,'[1]Tissue Data'!$A:$A,'[1]Tissue Data'!$H:$H)</f>
        <v>Lepomis</v>
      </c>
      <c r="F7103" t="str">
        <f>_xlfn.XLOOKUP(A7103,'[1]Tissue Data'!$A:$A,'[1]Tissue Data'!$I:$I)</f>
        <v>gibbosus</v>
      </c>
      <c r="G7103" t="str">
        <f>_xlfn.XLOOKUP(A7103,'[1]Tissue Data'!$A:$A,'[1]Tissue Data'!J:J)</f>
        <v>U</v>
      </c>
      <c r="H7103" t="str">
        <f>_xlfn.XLOOKUP(A7103,'[1]Tissue Data'!$A:$A,'[1]Tissue Data'!K:K)</f>
        <v>Whole Body</v>
      </c>
      <c r="I7103">
        <f>_xlfn.XLOOKUP(A7103,'[1]Tissue Data'!$A:$A,'[1]Tissue Data'!L:L)</f>
        <v>11</v>
      </c>
      <c r="J7103">
        <f>_xlfn.XLOOKUP(A7103,'[1]Tissue Data'!$A:$A,'[1]Tissue Data'!M:M)</f>
        <v>22.29</v>
      </c>
      <c r="K7103" t="s">
        <v>13</v>
      </c>
      <c r="L7103" t="str">
        <f>_xlfn.XLOOKUP(K7103,[2]analyte_order!$B:$B,[2]analyte_order!$C:$C)</f>
        <v>2706-90-3</v>
      </c>
      <c r="M7103">
        <f>_xlfn.XLOOKUP(L7103,[2]analyte_order!$C:$C,[2]analyte_order!$E:$E)</f>
        <v>2</v>
      </c>
      <c r="N7103">
        <v>0.2165</v>
      </c>
    </row>
    <row r="7104" spans="1:14">
      <c r="A7104" t="s">
        <v>303</v>
      </c>
      <c r="B7104" t="str">
        <f>_xlfn.XLOOKUP(A7104,'[1]Tissue Data'!$A:$A,'[1]Tissue Data'!$C:$C)</f>
        <v>Down</v>
      </c>
      <c r="C7104" s="2">
        <f>_xlfn.XLOOKUP(A7104,'[1]Tissue Data'!$A:$A,'[1]Tissue Data'!$D:$D)</f>
        <v>44393</v>
      </c>
      <c r="D7104" s="2" t="str">
        <f>_xlfn.XLOOKUP(A7104,'[1]Tissue Data'!$A:$A,'[1]Tissue Data'!$F:$F)</f>
        <v>Pumpkinseed</v>
      </c>
      <c r="E7104" t="str">
        <f>_xlfn.XLOOKUP(A7104,'[1]Tissue Data'!$A:$A,'[1]Tissue Data'!$H:$H)</f>
        <v>Lepomis</v>
      </c>
      <c r="F7104" t="str">
        <f>_xlfn.XLOOKUP(A7104,'[1]Tissue Data'!$A:$A,'[1]Tissue Data'!$I:$I)</f>
        <v>gibbosus</v>
      </c>
      <c r="G7104" t="str">
        <f>_xlfn.XLOOKUP(A7104,'[1]Tissue Data'!$A:$A,'[1]Tissue Data'!J:J)</f>
        <v>U</v>
      </c>
      <c r="H7104" t="str">
        <f>_xlfn.XLOOKUP(A7104,'[1]Tissue Data'!$A:$A,'[1]Tissue Data'!K:K)</f>
        <v>Whole Body</v>
      </c>
      <c r="I7104">
        <f>_xlfn.XLOOKUP(A7104,'[1]Tissue Data'!$A:$A,'[1]Tissue Data'!L:L)</f>
        <v>11</v>
      </c>
      <c r="J7104">
        <f>_xlfn.XLOOKUP(A7104,'[1]Tissue Data'!$A:$A,'[1]Tissue Data'!M:M)</f>
        <v>22.29</v>
      </c>
      <c r="K7104" t="s">
        <v>14</v>
      </c>
      <c r="L7104" t="str">
        <f>_xlfn.XLOOKUP(K7104,[2]analyte_order!$B:$B,[2]analyte_order!$C:$C)</f>
        <v>307-24-4</v>
      </c>
      <c r="M7104">
        <f>_xlfn.XLOOKUP(L7104,[2]analyte_order!$C:$C,[2]analyte_order!$E:$E)</f>
        <v>3</v>
      </c>
      <c r="N7104">
        <v>0.11700000000000001</v>
      </c>
    </row>
    <row r="7105" spans="1:14">
      <c r="A7105" t="s">
        <v>303</v>
      </c>
      <c r="B7105" t="str">
        <f>_xlfn.XLOOKUP(A7105,'[1]Tissue Data'!$A:$A,'[1]Tissue Data'!$C:$C)</f>
        <v>Down</v>
      </c>
      <c r="C7105" s="2">
        <f>_xlfn.XLOOKUP(A7105,'[1]Tissue Data'!$A:$A,'[1]Tissue Data'!$D:$D)</f>
        <v>44393</v>
      </c>
      <c r="D7105" s="2" t="str">
        <f>_xlfn.XLOOKUP(A7105,'[1]Tissue Data'!$A:$A,'[1]Tissue Data'!$F:$F)</f>
        <v>Pumpkinseed</v>
      </c>
      <c r="E7105" t="str">
        <f>_xlfn.XLOOKUP(A7105,'[1]Tissue Data'!$A:$A,'[1]Tissue Data'!$H:$H)</f>
        <v>Lepomis</v>
      </c>
      <c r="F7105" t="str">
        <f>_xlfn.XLOOKUP(A7105,'[1]Tissue Data'!$A:$A,'[1]Tissue Data'!$I:$I)</f>
        <v>gibbosus</v>
      </c>
      <c r="G7105" t="str">
        <f>_xlfn.XLOOKUP(A7105,'[1]Tissue Data'!$A:$A,'[1]Tissue Data'!J:J)</f>
        <v>U</v>
      </c>
      <c r="H7105" t="str">
        <f>_xlfn.XLOOKUP(A7105,'[1]Tissue Data'!$A:$A,'[1]Tissue Data'!K:K)</f>
        <v>Whole Body</v>
      </c>
      <c r="I7105">
        <f>_xlfn.XLOOKUP(A7105,'[1]Tissue Data'!$A:$A,'[1]Tissue Data'!L:L)</f>
        <v>11</v>
      </c>
      <c r="J7105">
        <f>_xlfn.XLOOKUP(A7105,'[1]Tissue Data'!$A:$A,'[1]Tissue Data'!M:M)</f>
        <v>22.29</v>
      </c>
      <c r="K7105" t="s">
        <v>15</v>
      </c>
      <c r="L7105" t="str">
        <f>_xlfn.XLOOKUP(K7105,[2]analyte_order!$B:$B,[2]analyte_order!$C:$C)</f>
        <v>375-85-9</v>
      </c>
      <c r="M7105">
        <f>_xlfn.XLOOKUP(L7105,[2]analyte_order!$C:$C,[2]analyte_order!$E:$E)</f>
        <v>4</v>
      </c>
      <c r="N7105">
        <v>0.79800000000000004</v>
      </c>
    </row>
    <row r="7106" spans="1:14">
      <c r="A7106" t="s">
        <v>303</v>
      </c>
      <c r="B7106" t="str">
        <f>_xlfn.XLOOKUP(A7106,'[1]Tissue Data'!$A:$A,'[1]Tissue Data'!$C:$C)</f>
        <v>Down</v>
      </c>
      <c r="C7106" s="2">
        <f>_xlfn.XLOOKUP(A7106,'[1]Tissue Data'!$A:$A,'[1]Tissue Data'!$D:$D)</f>
        <v>44393</v>
      </c>
      <c r="D7106" s="2" t="str">
        <f>_xlfn.XLOOKUP(A7106,'[1]Tissue Data'!$A:$A,'[1]Tissue Data'!$F:$F)</f>
        <v>Pumpkinseed</v>
      </c>
      <c r="E7106" t="str">
        <f>_xlfn.XLOOKUP(A7106,'[1]Tissue Data'!$A:$A,'[1]Tissue Data'!$H:$H)</f>
        <v>Lepomis</v>
      </c>
      <c r="F7106" t="str">
        <f>_xlfn.XLOOKUP(A7106,'[1]Tissue Data'!$A:$A,'[1]Tissue Data'!$I:$I)</f>
        <v>gibbosus</v>
      </c>
      <c r="G7106" t="str">
        <f>_xlfn.XLOOKUP(A7106,'[1]Tissue Data'!$A:$A,'[1]Tissue Data'!J:J)</f>
        <v>U</v>
      </c>
      <c r="H7106" t="str">
        <f>_xlfn.XLOOKUP(A7106,'[1]Tissue Data'!$A:$A,'[1]Tissue Data'!K:K)</f>
        <v>Whole Body</v>
      </c>
      <c r="I7106">
        <f>_xlfn.XLOOKUP(A7106,'[1]Tissue Data'!$A:$A,'[1]Tissue Data'!L:L)</f>
        <v>11</v>
      </c>
      <c r="J7106">
        <f>_xlfn.XLOOKUP(A7106,'[1]Tissue Data'!$A:$A,'[1]Tissue Data'!M:M)</f>
        <v>22.29</v>
      </c>
      <c r="K7106" t="s">
        <v>16</v>
      </c>
      <c r="L7106" t="str">
        <f>_xlfn.XLOOKUP(K7106,[2]analyte_order!$B:$B,[2]analyte_order!$C:$C)</f>
        <v>335-67-1</v>
      </c>
      <c r="M7106">
        <f>_xlfn.XLOOKUP(L7106,[2]analyte_order!$C:$C,[2]analyte_order!$E:$E)</f>
        <v>5</v>
      </c>
      <c r="N7106">
        <v>0.93799999999999994</v>
      </c>
    </row>
    <row r="7107" spans="1:14">
      <c r="A7107" t="s">
        <v>303</v>
      </c>
      <c r="B7107" t="str">
        <f>_xlfn.XLOOKUP(A7107,'[1]Tissue Data'!$A:$A,'[1]Tissue Data'!$C:$C)</f>
        <v>Down</v>
      </c>
      <c r="C7107" s="2">
        <f>_xlfn.XLOOKUP(A7107,'[1]Tissue Data'!$A:$A,'[1]Tissue Data'!$D:$D)</f>
        <v>44393</v>
      </c>
      <c r="D7107" s="2" t="str">
        <f>_xlfn.XLOOKUP(A7107,'[1]Tissue Data'!$A:$A,'[1]Tissue Data'!$F:$F)</f>
        <v>Pumpkinseed</v>
      </c>
      <c r="E7107" t="str">
        <f>_xlfn.XLOOKUP(A7107,'[1]Tissue Data'!$A:$A,'[1]Tissue Data'!$H:$H)</f>
        <v>Lepomis</v>
      </c>
      <c r="F7107" t="str">
        <f>_xlfn.XLOOKUP(A7107,'[1]Tissue Data'!$A:$A,'[1]Tissue Data'!$I:$I)</f>
        <v>gibbosus</v>
      </c>
      <c r="G7107" t="str">
        <f>_xlfn.XLOOKUP(A7107,'[1]Tissue Data'!$A:$A,'[1]Tissue Data'!J:J)</f>
        <v>U</v>
      </c>
      <c r="H7107" t="str">
        <f>_xlfn.XLOOKUP(A7107,'[1]Tissue Data'!$A:$A,'[1]Tissue Data'!K:K)</f>
        <v>Whole Body</v>
      </c>
      <c r="I7107">
        <f>_xlfn.XLOOKUP(A7107,'[1]Tissue Data'!$A:$A,'[1]Tissue Data'!L:L)</f>
        <v>11</v>
      </c>
      <c r="J7107">
        <f>_xlfn.XLOOKUP(A7107,'[1]Tissue Data'!$A:$A,'[1]Tissue Data'!M:M)</f>
        <v>22.29</v>
      </c>
      <c r="K7107" t="s">
        <v>17</v>
      </c>
      <c r="L7107" t="str">
        <f>_xlfn.XLOOKUP(K7107,[2]analyte_order!$B:$B,[2]analyte_order!$C:$C)</f>
        <v>375-95-1</v>
      </c>
      <c r="M7107">
        <f>_xlfn.XLOOKUP(L7107,[2]analyte_order!$C:$C,[2]analyte_order!$E:$E)</f>
        <v>6</v>
      </c>
      <c r="N7107">
        <v>0.15</v>
      </c>
    </row>
    <row r="7108" spans="1:14">
      <c r="A7108" t="s">
        <v>303</v>
      </c>
      <c r="B7108" t="str">
        <f>_xlfn.XLOOKUP(A7108,'[1]Tissue Data'!$A:$A,'[1]Tissue Data'!$C:$C)</f>
        <v>Down</v>
      </c>
      <c r="C7108" s="2">
        <f>_xlfn.XLOOKUP(A7108,'[1]Tissue Data'!$A:$A,'[1]Tissue Data'!$D:$D)</f>
        <v>44393</v>
      </c>
      <c r="D7108" s="2" t="str">
        <f>_xlfn.XLOOKUP(A7108,'[1]Tissue Data'!$A:$A,'[1]Tissue Data'!$F:$F)</f>
        <v>Pumpkinseed</v>
      </c>
      <c r="E7108" t="str">
        <f>_xlfn.XLOOKUP(A7108,'[1]Tissue Data'!$A:$A,'[1]Tissue Data'!$H:$H)</f>
        <v>Lepomis</v>
      </c>
      <c r="F7108" t="str">
        <f>_xlfn.XLOOKUP(A7108,'[1]Tissue Data'!$A:$A,'[1]Tissue Data'!$I:$I)</f>
        <v>gibbosus</v>
      </c>
      <c r="G7108" t="str">
        <f>_xlfn.XLOOKUP(A7108,'[1]Tissue Data'!$A:$A,'[1]Tissue Data'!J:J)</f>
        <v>U</v>
      </c>
      <c r="H7108" t="str">
        <f>_xlfn.XLOOKUP(A7108,'[1]Tissue Data'!$A:$A,'[1]Tissue Data'!K:K)</f>
        <v>Whole Body</v>
      </c>
      <c r="I7108">
        <f>_xlfn.XLOOKUP(A7108,'[1]Tissue Data'!$A:$A,'[1]Tissue Data'!L:L)</f>
        <v>11</v>
      </c>
      <c r="J7108">
        <f>_xlfn.XLOOKUP(A7108,'[1]Tissue Data'!$A:$A,'[1]Tissue Data'!M:M)</f>
        <v>22.29</v>
      </c>
      <c r="K7108" t="s">
        <v>18</v>
      </c>
      <c r="L7108" t="str">
        <f>_xlfn.XLOOKUP(K7108,[2]analyte_order!$B:$B,[2]analyte_order!$C:$C)</f>
        <v>335-76-2</v>
      </c>
      <c r="M7108">
        <f>_xlfn.XLOOKUP(L7108,[2]analyte_order!$C:$C,[2]analyte_order!$E:$E)</f>
        <v>7</v>
      </c>
      <c r="N7108">
        <v>4.6500000000000004</v>
      </c>
    </row>
    <row r="7109" spans="1:14">
      <c r="A7109" t="s">
        <v>303</v>
      </c>
      <c r="B7109" t="str">
        <f>_xlfn.XLOOKUP(A7109,'[1]Tissue Data'!$A:$A,'[1]Tissue Data'!$C:$C)</f>
        <v>Down</v>
      </c>
      <c r="C7109" s="2">
        <f>_xlfn.XLOOKUP(A7109,'[1]Tissue Data'!$A:$A,'[1]Tissue Data'!$D:$D)</f>
        <v>44393</v>
      </c>
      <c r="D7109" s="2" t="str">
        <f>_xlfn.XLOOKUP(A7109,'[1]Tissue Data'!$A:$A,'[1]Tissue Data'!$F:$F)</f>
        <v>Pumpkinseed</v>
      </c>
      <c r="E7109" t="str">
        <f>_xlfn.XLOOKUP(A7109,'[1]Tissue Data'!$A:$A,'[1]Tissue Data'!$H:$H)</f>
        <v>Lepomis</v>
      </c>
      <c r="F7109" t="str">
        <f>_xlfn.XLOOKUP(A7109,'[1]Tissue Data'!$A:$A,'[1]Tissue Data'!$I:$I)</f>
        <v>gibbosus</v>
      </c>
      <c r="G7109" t="str">
        <f>_xlfn.XLOOKUP(A7109,'[1]Tissue Data'!$A:$A,'[1]Tissue Data'!J:J)</f>
        <v>U</v>
      </c>
      <c r="H7109" t="str">
        <f>_xlfn.XLOOKUP(A7109,'[1]Tissue Data'!$A:$A,'[1]Tissue Data'!K:K)</f>
        <v>Whole Body</v>
      </c>
      <c r="I7109">
        <f>_xlfn.XLOOKUP(A7109,'[1]Tissue Data'!$A:$A,'[1]Tissue Data'!L:L)</f>
        <v>11</v>
      </c>
      <c r="J7109">
        <f>_xlfn.XLOOKUP(A7109,'[1]Tissue Data'!$A:$A,'[1]Tissue Data'!M:M)</f>
        <v>22.29</v>
      </c>
      <c r="K7109" t="s">
        <v>19</v>
      </c>
      <c r="L7109" t="str">
        <f>_xlfn.XLOOKUP(K7109,[2]analyte_order!$B:$B,[2]analyte_order!$C:$C)</f>
        <v>2058-94-8</v>
      </c>
      <c r="M7109">
        <f>_xlfn.XLOOKUP(L7109,[2]analyte_order!$C:$C,[2]analyte_order!$E:$E)</f>
        <v>8</v>
      </c>
      <c r="N7109">
        <v>7.11</v>
      </c>
    </row>
    <row r="7110" spans="1:14">
      <c r="A7110" t="s">
        <v>303</v>
      </c>
      <c r="B7110" t="str">
        <f>_xlfn.XLOOKUP(A7110,'[1]Tissue Data'!$A:$A,'[1]Tissue Data'!$C:$C)</f>
        <v>Down</v>
      </c>
      <c r="C7110" s="2">
        <f>_xlfn.XLOOKUP(A7110,'[1]Tissue Data'!$A:$A,'[1]Tissue Data'!$D:$D)</f>
        <v>44393</v>
      </c>
      <c r="D7110" s="2" t="str">
        <f>_xlfn.XLOOKUP(A7110,'[1]Tissue Data'!$A:$A,'[1]Tissue Data'!$F:$F)</f>
        <v>Pumpkinseed</v>
      </c>
      <c r="E7110" t="str">
        <f>_xlfn.XLOOKUP(A7110,'[1]Tissue Data'!$A:$A,'[1]Tissue Data'!$H:$H)</f>
        <v>Lepomis</v>
      </c>
      <c r="F7110" t="str">
        <f>_xlfn.XLOOKUP(A7110,'[1]Tissue Data'!$A:$A,'[1]Tissue Data'!$I:$I)</f>
        <v>gibbosus</v>
      </c>
      <c r="G7110" t="str">
        <f>_xlfn.XLOOKUP(A7110,'[1]Tissue Data'!$A:$A,'[1]Tissue Data'!J:J)</f>
        <v>U</v>
      </c>
      <c r="H7110" t="str">
        <f>_xlfn.XLOOKUP(A7110,'[1]Tissue Data'!$A:$A,'[1]Tissue Data'!K:K)</f>
        <v>Whole Body</v>
      </c>
      <c r="I7110">
        <f>_xlfn.XLOOKUP(A7110,'[1]Tissue Data'!$A:$A,'[1]Tissue Data'!L:L)</f>
        <v>11</v>
      </c>
      <c r="J7110">
        <f>_xlfn.XLOOKUP(A7110,'[1]Tissue Data'!$A:$A,'[1]Tissue Data'!M:M)</f>
        <v>22.29</v>
      </c>
      <c r="K7110" t="s">
        <v>20</v>
      </c>
      <c r="L7110" t="str">
        <f>_xlfn.XLOOKUP(K7110,[2]analyte_order!$B:$B,[2]analyte_order!$C:$C)</f>
        <v>307-55-1</v>
      </c>
      <c r="M7110">
        <f>_xlfn.XLOOKUP(L7110,[2]analyte_order!$C:$C,[2]analyte_order!$E:$E)</f>
        <v>9</v>
      </c>
      <c r="N7110">
        <v>7.12</v>
      </c>
    </row>
    <row r="7111" spans="1:14">
      <c r="A7111" t="s">
        <v>303</v>
      </c>
      <c r="B7111" t="str">
        <f>_xlfn.XLOOKUP(A7111,'[1]Tissue Data'!$A:$A,'[1]Tissue Data'!$C:$C)</f>
        <v>Down</v>
      </c>
      <c r="C7111" s="2">
        <f>_xlfn.XLOOKUP(A7111,'[1]Tissue Data'!$A:$A,'[1]Tissue Data'!$D:$D)</f>
        <v>44393</v>
      </c>
      <c r="D7111" s="2" t="str">
        <f>_xlfn.XLOOKUP(A7111,'[1]Tissue Data'!$A:$A,'[1]Tissue Data'!$F:$F)</f>
        <v>Pumpkinseed</v>
      </c>
      <c r="E7111" t="str">
        <f>_xlfn.XLOOKUP(A7111,'[1]Tissue Data'!$A:$A,'[1]Tissue Data'!$H:$H)</f>
        <v>Lepomis</v>
      </c>
      <c r="F7111" t="str">
        <f>_xlfn.XLOOKUP(A7111,'[1]Tissue Data'!$A:$A,'[1]Tissue Data'!$I:$I)</f>
        <v>gibbosus</v>
      </c>
      <c r="G7111" t="str">
        <f>_xlfn.XLOOKUP(A7111,'[1]Tissue Data'!$A:$A,'[1]Tissue Data'!J:J)</f>
        <v>U</v>
      </c>
      <c r="H7111" t="str">
        <f>_xlfn.XLOOKUP(A7111,'[1]Tissue Data'!$A:$A,'[1]Tissue Data'!K:K)</f>
        <v>Whole Body</v>
      </c>
      <c r="I7111">
        <f>_xlfn.XLOOKUP(A7111,'[1]Tissue Data'!$A:$A,'[1]Tissue Data'!L:L)</f>
        <v>11</v>
      </c>
      <c r="J7111">
        <f>_xlfn.XLOOKUP(A7111,'[1]Tissue Data'!$A:$A,'[1]Tissue Data'!M:M)</f>
        <v>22.29</v>
      </c>
      <c r="K7111" t="s">
        <v>21</v>
      </c>
      <c r="L7111" t="str">
        <f>_xlfn.XLOOKUP(K7111,[2]analyte_order!$B:$B,[2]analyte_order!$C:$C)</f>
        <v>72629-94-8</v>
      </c>
      <c r="M7111">
        <f>_xlfn.XLOOKUP(L7111,[2]analyte_order!$C:$C,[2]analyte_order!$E:$E)</f>
        <v>10</v>
      </c>
      <c r="N7111">
        <v>1.28</v>
      </c>
    </row>
    <row r="7112" spans="1:14">
      <c r="A7112" t="s">
        <v>303</v>
      </c>
      <c r="B7112" t="str">
        <f>_xlfn.XLOOKUP(A7112,'[1]Tissue Data'!$A:$A,'[1]Tissue Data'!$C:$C)</f>
        <v>Down</v>
      </c>
      <c r="C7112" s="2">
        <f>_xlfn.XLOOKUP(A7112,'[1]Tissue Data'!$A:$A,'[1]Tissue Data'!$D:$D)</f>
        <v>44393</v>
      </c>
      <c r="D7112" s="2" t="str">
        <f>_xlfn.XLOOKUP(A7112,'[1]Tissue Data'!$A:$A,'[1]Tissue Data'!$F:$F)</f>
        <v>Pumpkinseed</v>
      </c>
      <c r="E7112" t="str">
        <f>_xlfn.XLOOKUP(A7112,'[1]Tissue Data'!$A:$A,'[1]Tissue Data'!$H:$H)</f>
        <v>Lepomis</v>
      </c>
      <c r="F7112" t="str">
        <f>_xlfn.XLOOKUP(A7112,'[1]Tissue Data'!$A:$A,'[1]Tissue Data'!$I:$I)</f>
        <v>gibbosus</v>
      </c>
      <c r="G7112" t="str">
        <f>_xlfn.XLOOKUP(A7112,'[1]Tissue Data'!$A:$A,'[1]Tissue Data'!J:J)</f>
        <v>U</v>
      </c>
      <c r="H7112" t="str">
        <f>_xlfn.XLOOKUP(A7112,'[1]Tissue Data'!$A:$A,'[1]Tissue Data'!K:K)</f>
        <v>Whole Body</v>
      </c>
      <c r="I7112">
        <f>_xlfn.XLOOKUP(A7112,'[1]Tissue Data'!$A:$A,'[1]Tissue Data'!L:L)</f>
        <v>11</v>
      </c>
      <c r="J7112">
        <f>_xlfn.XLOOKUP(A7112,'[1]Tissue Data'!$A:$A,'[1]Tissue Data'!M:M)</f>
        <v>22.29</v>
      </c>
      <c r="K7112" t="s">
        <v>22</v>
      </c>
      <c r="L7112" t="str">
        <f>_xlfn.XLOOKUP(K7112,[2]analyte_order!$B:$B,[2]analyte_order!$C:$C)</f>
        <v>376-06-7</v>
      </c>
      <c r="M7112">
        <f>_xlfn.XLOOKUP(L7112,[2]analyte_order!$C:$C,[2]analyte_order!$E:$E)</f>
        <v>11</v>
      </c>
      <c r="N7112">
        <v>4.12</v>
      </c>
    </row>
    <row r="7113" spans="1:14">
      <c r="A7113" t="s">
        <v>303</v>
      </c>
      <c r="B7113" t="str">
        <f>_xlfn.XLOOKUP(A7113,'[1]Tissue Data'!$A:$A,'[1]Tissue Data'!$C:$C)</f>
        <v>Down</v>
      </c>
      <c r="C7113" s="2">
        <f>_xlfn.XLOOKUP(A7113,'[1]Tissue Data'!$A:$A,'[1]Tissue Data'!$D:$D)</f>
        <v>44393</v>
      </c>
      <c r="D7113" s="2" t="str">
        <f>_xlfn.XLOOKUP(A7113,'[1]Tissue Data'!$A:$A,'[1]Tissue Data'!$F:$F)</f>
        <v>Pumpkinseed</v>
      </c>
      <c r="E7113" t="str">
        <f>_xlfn.XLOOKUP(A7113,'[1]Tissue Data'!$A:$A,'[1]Tissue Data'!$H:$H)</f>
        <v>Lepomis</v>
      </c>
      <c r="F7113" t="str">
        <f>_xlfn.XLOOKUP(A7113,'[1]Tissue Data'!$A:$A,'[1]Tissue Data'!$I:$I)</f>
        <v>gibbosus</v>
      </c>
      <c r="G7113" t="str">
        <f>_xlfn.XLOOKUP(A7113,'[1]Tissue Data'!$A:$A,'[1]Tissue Data'!J:J)</f>
        <v>U</v>
      </c>
      <c r="H7113" t="str">
        <f>_xlfn.XLOOKUP(A7113,'[1]Tissue Data'!$A:$A,'[1]Tissue Data'!K:K)</f>
        <v>Whole Body</v>
      </c>
      <c r="I7113">
        <f>_xlfn.XLOOKUP(A7113,'[1]Tissue Data'!$A:$A,'[1]Tissue Data'!L:L)</f>
        <v>11</v>
      </c>
      <c r="J7113">
        <f>_xlfn.XLOOKUP(A7113,'[1]Tissue Data'!$A:$A,'[1]Tissue Data'!M:M)</f>
        <v>22.29</v>
      </c>
      <c r="K7113" t="s">
        <v>23</v>
      </c>
      <c r="L7113" t="str">
        <f>_xlfn.XLOOKUP(K7113,[2]analyte_order!$B:$B,[2]analyte_order!$C:$C)</f>
        <v>67905-19-5</v>
      </c>
      <c r="M7113">
        <f>_xlfn.XLOOKUP(L7113,[2]analyte_order!$C:$C,[2]analyte_order!$E:$E)</f>
        <v>12</v>
      </c>
      <c r="N7113">
        <v>0.25800000000000001</v>
      </c>
    </row>
    <row r="7114" spans="1:14">
      <c r="A7114" t="s">
        <v>303</v>
      </c>
      <c r="B7114" t="str">
        <f>_xlfn.XLOOKUP(A7114,'[1]Tissue Data'!$A:$A,'[1]Tissue Data'!$C:$C)</f>
        <v>Down</v>
      </c>
      <c r="C7114" s="2">
        <f>_xlfn.XLOOKUP(A7114,'[1]Tissue Data'!$A:$A,'[1]Tissue Data'!$D:$D)</f>
        <v>44393</v>
      </c>
      <c r="D7114" s="2" t="str">
        <f>_xlfn.XLOOKUP(A7114,'[1]Tissue Data'!$A:$A,'[1]Tissue Data'!$F:$F)</f>
        <v>Pumpkinseed</v>
      </c>
      <c r="E7114" t="str">
        <f>_xlfn.XLOOKUP(A7114,'[1]Tissue Data'!$A:$A,'[1]Tissue Data'!$H:$H)</f>
        <v>Lepomis</v>
      </c>
      <c r="F7114" t="str">
        <f>_xlfn.XLOOKUP(A7114,'[1]Tissue Data'!$A:$A,'[1]Tissue Data'!$I:$I)</f>
        <v>gibbosus</v>
      </c>
      <c r="G7114" t="str">
        <f>_xlfn.XLOOKUP(A7114,'[1]Tissue Data'!$A:$A,'[1]Tissue Data'!J:J)</f>
        <v>U</v>
      </c>
      <c r="H7114" t="str">
        <f>_xlfn.XLOOKUP(A7114,'[1]Tissue Data'!$A:$A,'[1]Tissue Data'!K:K)</f>
        <v>Whole Body</v>
      </c>
      <c r="I7114">
        <f>_xlfn.XLOOKUP(A7114,'[1]Tissue Data'!$A:$A,'[1]Tissue Data'!L:L)</f>
        <v>11</v>
      </c>
      <c r="J7114">
        <f>_xlfn.XLOOKUP(A7114,'[1]Tissue Data'!$A:$A,'[1]Tissue Data'!M:M)</f>
        <v>22.29</v>
      </c>
      <c r="K7114" t="s">
        <v>24</v>
      </c>
      <c r="L7114" t="str">
        <f>_xlfn.XLOOKUP(K7114,[2]analyte_order!$B:$B,[2]analyte_order!$C:$C)</f>
        <v>423-41-6</v>
      </c>
      <c r="M7114">
        <f>_xlfn.XLOOKUP(L7114,[2]analyte_order!$C:$C,[2]analyte_order!$E:$E)</f>
        <v>53</v>
      </c>
      <c r="N7114">
        <v>0.433</v>
      </c>
    </row>
    <row r="7115" spans="1:14">
      <c r="A7115" t="s">
        <v>303</v>
      </c>
      <c r="B7115" t="str">
        <f>_xlfn.XLOOKUP(A7115,'[1]Tissue Data'!$A:$A,'[1]Tissue Data'!$C:$C)</f>
        <v>Down</v>
      </c>
      <c r="C7115" s="2">
        <f>_xlfn.XLOOKUP(A7115,'[1]Tissue Data'!$A:$A,'[1]Tissue Data'!$D:$D)</f>
        <v>44393</v>
      </c>
      <c r="D7115" s="2" t="str">
        <f>_xlfn.XLOOKUP(A7115,'[1]Tissue Data'!$A:$A,'[1]Tissue Data'!$F:$F)</f>
        <v>Pumpkinseed</v>
      </c>
      <c r="E7115" t="str">
        <f>_xlfn.XLOOKUP(A7115,'[1]Tissue Data'!$A:$A,'[1]Tissue Data'!$H:$H)</f>
        <v>Lepomis</v>
      </c>
      <c r="F7115" t="str">
        <f>_xlfn.XLOOKUP(A7115,'[1]Tissue Data'!$A:$A,'[1]Tissue Data'!$I:$I)</f>
        <v>gibbosus</v>
      </c>
      <c r="G7115" t="str">
        <f>_xlfn.XLOOKUP(A7115,'[1]Tissue Data'!$A:$A,'[1]Tissue Data'!J:J)</f>
        <v>U</v>
      </c>
      <c r="H7115" t="str">
        <f>_xlfn.XLOOKUP(A7115,'[1]Tissue Data'!$A:$A,'[1]Tissue Data'!K:K)</f>
        <v>Whole Body</v>
      </c>
      <c r="I7115">
        <f>_xlfn.XLOOKUP(A7115,'[1]Tissue Data'!$A:$A,'[1]Tissue Data'!L:L)</f>
        <v>11</v>
      </c>
      <c r="J7115">
        <f>_xlfn.XLOOKUP(A7115,'[1]Tissue Data'!$A:$A,'[1]Tissue Data'!M:M)</f>
        <v>22.29</v>
      </c>
      <c r="K7115" t="s">
        <v>25</v>
      </c>
      <c r="L7115" t="str">
        <f>_xlfn.XLOOKUP(K7115,[2]analyte_order!$B:$B,[2]analyte_order!$C:$C)</f>
        <v>375-73-5</v>
      </c>
      <c r="M7115">
        <f>_xlfn.XLOOKUP(L7115,[2]analyte_order!$C:$C,[2]analyte_order!$E:$E)</f>
        <v>14</v>
      </c>
      <c r="N7115">
        <v>0.14749999999999999</v>
      </c>
    </row>
    <row r="7116" spans="1:14">
      <c r="A7116" t="s">
        <v>303</v>
      </c>
      <c r="B7116" t="str">
        <f>_xlfn.XLOOKUP(A7116,'[1]Tissue Data'!$A:$A,'[1]Tissue Data'!$C:$C)</f>
        <v>Down</v>
      </c>
      <c r="C7116" s="2">
        <f>_xlfn.XLOOKUP(A7116,'[1]Tissue Data'!$A:$A,'[1]Tissue Data'!$D:$D)</f>
        <v>44393</v>
      </c>
      <c r="D7116" s="2" t="str">
        <f>_xlfn.XLOOKUP(A7116,'[1]Tissue Data'!$A:$A,'[1]Tissue Data'!$F:$F)</f>
        <v>Pumpkinseed</v>
      </c>
      <c r="E7116" t="str">
        <f>_xlfn.XLOOKUP(A7116,'[1]Tissue Data'!$A:$A,'[1]Tissue Data'!$H:$H)</f>
        <v>Lepomis</v>
      </c>
      <c r="F7116" t="str">
        <f>_xlfn.XLOOKUP(A7116,'[1]Tissue Data'!$A:$A,'[1]Tissue Data'!$I:$I)</f>
        <v>gibbosus</v>
      </c>
      <c r="G7116" t="str">
        <f>_xlfn.XLOOKUP(A7116,'[1]Tissue Data'!$A:$A,'[1]Tissue Data'!J:J)</f>
        <v>U</v>
      </c>
      <c r="H7116" t="str">
        <f>_xlfn.XLOOKUP(A7116,'[1]Tissue Data'!$A:$A,'[1]Tissue Data'!K:K)</f>
        <v>Whole Body</v>
      </c>
      <c r="I7116">
        <f>_xlfn.XLOOKUP(A7116,'[1]Tissue Data'!$A:$A,'[1]Tissue Data'!L:L)</f>
        <v>11</v>
      </c>
      <c r="J7116">
        <f>_xlfn.XLOOKUP(A7116,'[1]Tissue Data'!$A:$A,'[1]Tissue Data'!M:M)</f>
        <v>22.29</v>
      </c>
      <c r="K7116" t="s">
        <v>26</v>
      </c>
      <c r="L7116" t="str">
        <f>_xlfn.XLOOKUP(K7116,[2]analyte_order!$B:$B,[2]analyte_order!$C:$C)</f>
        <v>2706-91-4</v>
      </c>
      <c r="M7116">
        <f>_xlfn.XLOOKUP(L7116,[2]analyte_order!$C:$C,[2]analyte_order!$E:$E)</f>
        <v>15</v>
      </c>
      <c r="N7116">
        <v>0.1145</v>
      </c>
    </row>
    <row r="7117" spans="1:14">
      <c r="A7117" t="s">
        <v>303</v>
      </c>
      <c r="B7117" t="str">
        <f>_xlfn.XLOOKUP(A7117,'[1]Tissue Data'!$A:$A,'[1]Tissue Data'!$C:$C)</f>
        <v>Down</v>
      </c>
      <c r="C7117" s="2">
        <f>_xlfn.XLOOKUP(A7117,'[1]Tissue Data'!$A:$A,'[1]Tissue Data'!$D:$D)</f>
        <v>44393</v>
      </c>
      <c r="D7117" s="2" t="str">
        <f>_xlfn.XLOOKUP(A7117,'[1]Tissue Data'!$A:$A,'[1]Tissue Data'!$F:$F)</f>
        <v>Pumpkinseed</v>
      </c>
      <c r="E7117" t="str">
        <f>_xlfn.XLOOKUP(A7117,'[1]Tissue Data'!$A:$A,'[1]Tissue Data'!$H:$H)</f>
        <v>Lepomis</v>
      </c>
      <c r="F7117" t="str">
        <f>_xlfn.XLOOKUP(A7117,'[1]Tissue Data'!$A:$A,'[1]Tissue Data'!$I:$I)</f>
        <v>gibbosus</v>
      </c>
      <c r="G7117" t="str">
        <f>_xlfn.XLOOKUP(A7117,'[1]Tissue Data'!$A:$A,'[1]Tissue Data'!J:J)</f>
        <v>U</v>
      </c>
      <c r="H7117" t="str">
        <f>_xlfn.XLOOKUP(A7117,'[1]Tissue Data'!$A:$A,'[1]Tissue Data'!K:K)</f>
        <v>Whole Body</v>
      </c>
      <c r="I7117">
        <f>_xlfn.XLOOKUP(A7117,'[1]Tissue Data'!$A:$A,'[1]Tissue Data'!L:L)</f>
        <v>11</v>
      </c>
      <c r="J7117">
        <f>_xlfn.XLOOKUP(A7117,'[1]Tissue Data'!$A:$A,'[1]Tissue Data'!M:M)</f>
        <v>22.29</v>
      </c>
      <c r="K7117" t="s">
        <v>27</v>
      </c>
      <c r="L7117" t="str">
        <f>_xlfn.XLOOKUP(K7117,[2]analyte_order!$B:$B,[2]analyte_order!$C:$C)</f>
        <v>355-46-4</v>
      </c>
      <c r="M7117">
        <f>_xlfn.XLOOKUP(L7117,[2]analyte_order!$C:$C,[2]analyte_order!$E:$E)</f>
        <v>16</v>
      </c>
      <c r="N7117">
        <v>11.1</v>
      </c>
    </row>
    <row r="7118" spans="1:14">
      <c r="A7118" t="s">
        <v>303</v>
      </c>
      <c r="B7118" t="str">
        <f>_xlfn.XLOOKUP(A7118,'[1]Tissue Data'!$A:$A,'[1]Tissue Data'!$C:$C)</f>
        <v>Down</v>
      </c>
      <c r="C7118" s="2">
        <f>_xlfn.XLOOKUP(A7118,'[1]Tissue Data'!$A:$A,'[1]Tissue Data'!$D:$D)</f>
        <v>44393</v>
      </c>
      <c r="D7118" s="2" t="str">
        <f>_xlfn.XLOOKUP(A7118,'[1]Tissue Data'!$A:$A,'[1]Tissue Data'!$F:$F)</f>
        <v>Pumpkinseed</v>
      </c>
      <c r="E7118" t="str">
        <f>_xlfn.XLOOKUP(A7118,'[1]Tissue Data'!$A:$A,'[1]Tissue Data'!$H:$H)</f>
        <v>Lepomis</v>
      </c>
      <c r="F7118" t="str">
        <f>_xlfn.XLOOKUP(A7118,'[1]Tissue Data'!$A:$A,'[1]Tissue Data'!$I:$I)</f>
        <v>gibbosus</v>
      </c>
      <c r="G7118" t="str">
        <f>_xlfn.XLOOKUP(A7118,'[1]Tissue Data'!$A:$A,'[1]Tissue Data'!J:J)</f>
        <v>U</v>
      </c>
      <c r="H7118" t="str">
        <f>_xlfn.XLOOKUP(A7118,'[1]Tissue Data'!$A:$A,'[1]Tissue Data'!K:K)</f>
        <v>Whole Body</v>
      </c>
      <c r="I7118">
        <f>_xlfn.XLOOKUP(A7118,'[1]Tissue Data'!$A:$A,'[1]Tissue Data'!L:L)</f>
        <v>11</v>
      </c>
      <c r="J7118">
        <f>_xlfn.XLOOKUP(A7118,'[1]Tissue Data'!$A:$A,'[1]Tissue Data'!M:M)</f>
        <v>22.29</v>
      </c>
      <c r="K7118" t="s">
        <v>28</v>
      </c>
      <c r="L7118" t="str">
        <f>_xlfn.XLOOKUP(K7118,[2]analyte_order!$B:$B,[2]analyte_order!$C:$C)</f>
        <v>375-92-8</v>
      </c>
      <c r="M7118">
        <f>_xlfn.XLOOKUP(L7118,[2]analyte_order!$C:$C,[2]analyte_order!$E:$E)</f>
        <v>17</v>
      </c>
      <c r="N7118">
        <v>2.74</v>
      </c>
    </row>
    <row r="7119" spans="1:14">
      <c r="A7119" t="s">
        <v>303</v>
      </c>
      <c r="B7119" t="str">
        <f>_xlfn.XLOOKUP(A7119,'[1]Tissue Data'!$A:$A,'[1]Tissue Data'!$C:$C)</f>
        <v>Down</v>
      </c>
      <c r="C7119" s="2">
        <f>_xlfn.XLOOKUP(A7119,'[1]Tissue Data'!$A:$A,'[1]Tissue Data'!$D:$D)</f>
        <v>44393</v>
      </c>
      <c r="D7119" s="2" t="str">
        <f>_xlfn.XLOOKUP(A7119,'[1]Tissue Data'!$A:$A,'[1]Tissue Data'!$F:$F)</f>
        <v>Pumpkinseed</v>
      </c>
      <c r="E7119" t="str">
        <f>_xlfn.XLOOKUP(A7119,'[1]Tissue Data'!$A:$A,'[1]Tissue Data'!$H:$H)</f>
        <v>Lepomis</v>
      </c>
      <c r="F7119" t="str">
        <f>_xlfn.XLOOKUP(A7119,'[1]Tissue Data'!$A:$A,'[1]Tissue Data'!$I:$I)</f>
        <v>gibbosus</v>
      </c>
      <c r="G7119" t="str">
        <f>_xlfn.XLOOKUP(A7119,'[1]Tissue Data'!$A:$A,'[1]Tissue Data'!J:J)</f>
        <v>U</v>
      </c>
      <c r="H7119" t="str">
        <f>_xlfn.XLOOKUP(A7119,'[1]Tissue Data'!$A:$A,'[1]Tissue Data'!K:K)</f>
        <v>Whole Body</v>
      </c>
      <c r="I7119">
        <f>_xlfn.XLOOKUP(A7119,'[1]Tissue Data'!$A:$A,'[1]Tissue Data'!L:L)</f>
        <v>11</v>
      </c>
      <c r="J7119">
        <f>_xlfn.XLOOKUP(A7119,'[1]Tissue Data'!$A:$A,'[1]Tissue Data'!M:M)</f>
        <v>22.29</v>
      </c>
      <c r="K7119" t="s">
        <v>29</v>
      </c>
      <c r="L7119" t="str">
        <f>_xlfn.XLOOKUP(K7119,[2]analyte_order!$B:$B,[2]analyte_order!$C:$C)</f>
        <v>1763-23-1</v>
      </c>
      <c r="M7119">
        <f>_xlfn.XLOOKUP(L7119,[2]analyte_order!$C:$C,[2]analyte_order!$E:$E)</f>
        <v>18</v>
      </c>
      <c r="N7119">
        <v>553</v>
      </c>
    </row>
    <row r="7120" spans="1:14">
      <c r="A7120" t="s">
        <v>303</v>
      </c>
      <c r="B7120" t="str">
        <f>_xlfn.XLOOKUP(A7120,'[1]Tissue Data'!$A:$A,'[1]Tissue Data'!$C:$C)</f>
        <v>Down</v>
      </c>
      <c r="C7120" s="2">
        <f>_xlfn.XLOOKUP(A7120,'[1]Tissue Data'!$A:$A,'[1]Tissue Data'!$D:$D)</f>
        <v>44393</v>
      </c>
      <c r="D7120" s="2" t="str">
        <f>_xlfn.XLOOKUP(A7120,'[1]Tissue Data'!$A:$A,'[1]Tissue Data'!$F:$F)</f>
        <v>Pumpkinseed</v>
      </c>
      <c r="E7120" t="str">
        <f>_xlfn.XLOOKUP(A7120,'[1]Tissue Data'!$A:$A,'[1]Tissue Data'!$H:$H)</f>
        <v>Lepomis</v>
      </c>
      <c r="F7120" t="str">
        <f>_xlfn.XLOOKUP(A7120,'[1]Tissue Data'!$A:$A,'[1]Tissue Data'!$I:$I)</f>
        <v>gibbosus</v>
      </c>
      <c r="G7120" t="str">
        <f>_xlfn.XLOOKUP(A7120,'[1]Tissue Data'!$A:$A,'[1]Tissue Data'!J:J)</f>
        <v>U</v>
      </c>
      <c r="H7120" t="str">
        <f>_xlfn.XLOOKUP(A7120,'[1]Tissue Data'!$A:$A,'[1]Tissue Data'!K:K)</f>
        <v>Whole Body</v>
      </c>
      <c r="I7120">
        <f>_xlfn.XLOOKUP(A7120,'[1]Tissue Data'!$A:$A,'[1]Tissue Data'!L:L)</f>
        <v>11</v>
      </c>
      <c r="J7120">
        <f>_xlfn.XLOOKUP(A7120,'[1]Tissue Data'!$A:$A,'[1]Tissue Data'!M:M)</f>
        <v>22.29</v>
      </c>
      <c r="K7120" t="s">
        <v>30</v>
      </c>
      <c r="L7120" t="str">
        <f>_xlfn.XLOOKUP(K7120,[2]analyte_order!$B:$B,[2]analyte_order!$C:$C)</f>
        <v>68259-12-1</v>
      </c>
      <c r="M7120">
        <f>_xlfn.XLOOKUP(L7120,[2]analyte_order!$C:$C,[2]analyte_order!$E:$E)</f>
        <v>19</v>
      </c>
      <c r="N7120">
        <v>1.32</v>
      </c>
    </row>
    <row r="7121" spans="1:14">
      <c r="A7121" t="s">
        <v>303</v>
      </c>
      <c r="B7121" t="str">
        <f>_xlfn.XLOOKUP(A7121,'[1]Tissue Data'!$A:$A,'[1]Tissue Data'!$C:$C)</f>
        <v>Down</v>
      </c>
      <c r="C7121" s="2">
        <f>_xlfn.XLOOKUP(A7121,'[1]Tissue Data'!$A:$A,'[1]Tissue Data'!$D:$D)</f>
        <v>44393</v>
      </c>
      <c r="D7121" s="2" t="str">
        <f>_xlfn.XLOOKUP(A7121,'[1]Tissue Data'!$A:$A,'[1]Tissue Data'!$F:$F)</f>
        <v>Pumpkinseed</v>
      </c>
      <c r="E7121" t="str">
        <f>_xlfn.XLOOKUP(A7121,'[1]Tissue Data'!$A:$A,'[1]Tissue Data'!$H:$H)</f>
        <v>Lepomis</v>
      </c>
      <c r="F7121" t="str">
        <f>_xlfn.XLOOKUP(A7121,'[1]Tissue Data'!$A:$A,'[1]Tissue Data'!$I:$I)</f>
        <v>gibbosus</v>
      </c>
      <c r="G7121" t="str">
        <f>_xlfn.XLOOKUP(A7121,'[1]Tissue Data'!$A:$A,'[1]Tissue Data'!J:J)</f>
        <v>U</v>
      </c>
      <c r="H7121" t="str">
        <f>_xlfn.XLOOKUP(A7121,'[1]Tissue Data'!$A:$A,'[1]Tissue Data'!K:K)</f>
        <v>Whole Body</v>
      </c>
      <c r="I7121">
        <f>_xlfn.XLOOKUP(A7121,'[1]Tissue Data'!$A:$A,'[1]Tissue Data'!L:L)</f>
        <v>11</v>
      </c>
      <c r="J7121">
        <f>_xlfn.XLOOKUP(A7121,'[1]Tissue Data'!$A:$A,'[1]Tissue Data'!M:M)</f>
        <v>22.29</v>
      </c>
      <c r="K7121" t="s">
        <v>31</v>
      </c>
      <c r="L7121" t="str">
        <f>_xlfn.XLOOKUP(K7121,[2]analyte_order!$B:$B,[2]analyte_order!$C:$C)</f>
        <v>335-77-3</v>
      </c>
      <c r="M7121">
        <f>_xlfn.XLOOKUP(L7121,[2]analyte_order!$C:$C,[2]analyte_order!$E:$E)</f>
        <v>20</v>
      </c>
      <c r="N7121">
        <v>1.18</v>
      </c>
    </row>
    <row r="7122" spans="1:14">
      <c r="A7122" t="s">
        <v>303</v>
      </c>
      <c r="B7122" t="str">
        <f>_xlfn.XLOOKUP(A7122,'[1]Tissue Data'!$A:$A,'[1]Tissue Data'!$C:$C)</f>
        <v>Down</v>
      </c>
      <c r="C7122" s="2">
        <f>_xlfn.XLOOKUP(A7122,'[1]Tissue Data'!$A:$A,'[1]Tissue Data'!$D:$D)</f>
        <v>44393</v>
      </c>
      <c r="D7122" s="2" t="str">
        <f>_xlfn.XLOOKUP(A7122,'[1]Tissue Data'!$A:$A,'[1]Tissue Data'!$F:$F)</f>
        <v>Pumpkinseed</v>
      </c>
      <c r="E7122" t="str">
        <f>_xlfn.XLOOKUP(A7122,'[1]Tissue Data'!$A:$A,'[1]Tissue Data'!$H:$H)</f>
        <v>Lepomis</v>
      </c>
      <c r="F7122" t="str">
        <f>_xlfn.XLOOKUP(A7122,'[1]Tissue Data'!$A:$A,'[1]Tissue Data'!$I:$I)</f>
        <v>gibbosus</v>
      </c>
      <c r="G7122" t="str">
        <f>_xlfn.XLOOKUP(A7122,'[1]Tissue Data'!$A:$A,'[1]Tissue Data'!J:J)</f>
        <v>U</v>
      </c>
      <c r="H7122" t="str">
        <f>_xlfn.XLOOKUP(A7122,'[1]Tissue Data'!$A:$A,'[1]Tissue Data'!K:K)</f>
        <v>Whole Body</v>
      </c>
      <c r="I7122">
        <f>_xlfn.XLOOKUP(A7122,'[1]Tissue Data'!$A:$A,'[1]Tissue Data'!L:L)</f>
        <v>11</v>
      </c>
      <c r="J7122">
        <f>_xlfn.XLOOKUP(A7122,'[1]Tissue Data'!$A:$A,'[1]Tissue Data'!M:M)</f>
        <v>22.29</v>
      </c>
      <c r="K7122" t="s">
        <v>32</v>
      </c>
      <c r="L7122" t="str">
        <f>_xlfn.XLOOKUP(K7122,[2]analyte_order!$B:$B,[2]analyte_order!$C:$C)</f>
        <v>79780-39-5</v>
      </c>
      <c r="M7122">
        <f>_xlfn.XLOOKUP(L7122,[2]analyte_order!$C:$C,[2]analyte_order!$E:$E)</f>
        <v>21</v>
      </c>
      <c r="N7122">
        <v>0.23150000000000001</v>
      </c>
    </row>
    <row r="7123" spans="1:14">
      <c r="A7123" t="s">
        <v>303</v>
      </c>
      <c r="B7123" t="str">
        <f>_xlfn.XLOOKUP(A7123,'[1]Tissue Data'!$A:$A,'[1]Tissue Data'!$C:$C)</f>
        <v>Down</v>
      </c>
      <c r="C7123" s="2">
        <f>_xlfn.XLOOKUP(A7123,'[1]Tissue Data'!$A:$A,'[1]Tissue Data'!$D:$D)</f>
        <v>44393</v>
      </c>
      <c r="D7123" s="2" t="str">
        <f>_xlfn.XLOOKUP(A7123,'[1]Tissue Data'!$A:$A,'[1]Tissue Data'!$F:$F)</f>
        <v>Pumpkinseed</v>
      </c>
      <c r="E7123" t="str">
        <f>_xlfn.XLOOKUP(A7123,'[1]Tissue Data'!$A:$A,'[1]Tissue Data'!$H:$H)</f>
        <v>Lepomis</v>
      </c>
      <c r="F7123" t="str">
        <f>_xlfn.XLOOKUP(A7123,'[1]Tissue Data'!$A:$A,'[1]Tissue Data'!$I:$I)</f>
        <v>gibbosus</v>
      </c>
      <c r="G7123" t="str">
        <f>_xlfn.XLOOKUP(A7123,'[1]Tissue Data'!$A:$A,'[1]Tissue Data'!J:J)</f>
        <v>U</v>
      </c>
      <c r="H7123" t="str">
        <f>_xlfn.XLOOKUP(A7123,'[1]Tissue Data'!$A:$A,'[1]Tissue Data'!K:K)</f>
        <v>Whole Body</v>
      </c>
      <c r="I7123">
        <f>_xlfn.XLOOKUP(A7123,'[1]Tissue Data'!$A:$A,'[1]Tissue Data'!L:L)</f>
        <v>11</v>
      </c>
      <c r="J7123">
        <f>_xlfn.XLOOKUP(A7123,'[1]Tissue Data'!$A:$A,'[1]Tissue Data'!M:M)</f>
        <v>22.29</v>
      </c>
      <c r="K7123" t="s">
        <v>33</v>
      </c>
      <c r="L7123" t="str">
        <f>_xlfn.XLOOKUP(K7123,[2]analyte_order!$B:$B,[2]analyte_order!$C:$C)</f>
        <v>777011-38-8</v>
      </c>
      <c r="M7123">
        <f>_xlfn.XLOOKUP(L7123,[2]analyte_order!$C:$C,[2]analyte_order!$E:$E)</f>
        <v>54</v>
      </c>
      <c r="N7123">
        <v>0.13150000000000001</v>
      </c>
    </row>
    <row r="7124" spans="1:14">
      <c r="A7124" t="s">
        <v>303</v>
      </c>
      <c r="B7124" t="str">
        <f>_xlfn.XLOOKUP(A7124,'[1]Tissue Data'!$A:$A,'[1]Tissue Data'!$C:$C)</f>
        <v>Down</v>
      </c>
      <c r="C7124" s="2">
        <f>_xlfn.XLOOKUP(A7124,'[1]Tissue Data'!$A:$A,'[1]Tissue Data'!$D:$D)</f>
        <v>44393</v>
      </c>
      <c r="D7124" s="2" t="str">
        <f>_xlfn.XLOOKUP(A7124,'[1]Tissue Data'!$A:$A,'[1]Tissue Data'!$F:$F)</f>
        <v>Pumpkinseed</v>
      </c>
      <c r="E7124" t="str">
        <f>_xlfn.XLOOKUP(A7124,'[1]Tissue Data'!$A:$A,'[1]Tissue Data'!$H:$H)</f>
        <v>Lepomis</v>
      </c>
      <c r="F7124" t="str">
        <f>_xlfn.XLOOKUP(A7124,'[1]Tissue Data'!$A:$A,'[1]Tissue Data'!$I:$I)</f>
        <v>gibbosus</v>
      </c>
      <c r="G7124" t="str">
        <f>_xlfn.XLOOKUP(A7124,'[1]Tissue Data'!$A:$A,'[1]Tissue Data'!J:J)</f>
        <v>U</v>
      </c>
      <c r="H7124" t="str">
        <f>_xlfn.XLOOKUP(A7124,'[1]Tissue Data'!$A:$A,'[1]Tissue Data'!K:K)</f>
        <v>Whole Body</v>
      </c>
      <c r="I7124">
        <f>_xlfn.XLOOKUP(A7124,'[1]Tissue Data'!$A:$A,'[1]Tissue Data'!L:L)</f>
        <v>11</v>
      </c>
      <c r="J7124">
        <f>_xlfn.XLOOKUP(A7124,'[1]Tissue Data'!$A:$A,'[1]Tissue Data'!M:M)</f>
        <v>22.29</v>
      </c>
      <c r="K7124" t="s">
        <v>34</v>
      </c>
      <c r="L7124" t="str">
        <f>_xlfn.XLOOKUP(K7124,[2]analyte_order!$B:$B,[2]analyte_order!$C:$C)</f>
        <v>646-83-3</v>
      </c>
      <c r="M7124">
        <f>_xlfn.XLOOKUP(L7124,[2]analyte_order!$C:$C,[2]analyte_order!$E:$E)</f>
        <v>55</v>
      </c>
      <c r="N7124">
        <v>0.22600000000000001</v>
      </c>
    </row>
    <row r="7125" spans="1:14">
      <c r="A7125" t="s">
        <v>303</v>
      </c>
      <c r="B7125" t="str">
        <f>_xlfn.XLOOKUP(A7125,'[1]Tissue Data'!$A:$A,'[1]Tissue Data'!$C:$C)</f>
        <v>Down</v>
      </c>
      <c r="C7125" s="2">
        <f>_xlfn.XLOOKUP(A7125,'[1]Tissue Data'!$A:$A,'[1]Tissue Data'!$D:$D)</f>
        <v>44393</v>
      </c>
      <c r="D7125" s="2" t="str">
        <f>_xlfn.XLOOKUP(A7125,'[1]Tissue Data'!$A:$A,'[1]Tissue Data'!$F:$F)</f>
        <v>Pumpkinseed</v>
      </c>
      <c r="E7125" t="str">
        <f>_xlfn.XLOOKUP(A7125,'[1]Tissue Data'!$A:$A,'[1]Tissue Data'!$H:$H)</f>
        <v>Lepomis</v>
      </c>
      <c r="F7125" t="str">
        <f>_xlfn.XLOOKUP(A7125,'[1]Tissue Data'!$A:$A,'[1]Tissue Data'!$I:$I)</f>
        <v>gibbosus</v>
      </c>
      <c r="G7125" t="str">
        <f>_xlfn.XLOOKUP(A7125,'[1]Tissue Data'!$A:$A,'[1]Tissue Data'!J:J)</f>
        <v>U</v>
      </c>
      <c r="H7125" t="str">
        <f>_xlfn.XLOOKUP(A7125,'[1]Tissue Data'!$A:$A,'[1]Tissue Data'!K:K)</f>
        <v>Whole Body</v>
      </c>
      <c r="I7125">
        <f>_xlfn.XLOOKUP(A7125,'[1]Tissue Data'!$A:$A,'[1]Tissue Data'!L:L)</f>
        <v>11</v>
      </c>
      <c r="J7125">
        <f>_xlfn.XLOOKUP(A7125,'[1]Tissue Data'!$A:$A,'[1]Tissue Data'!M:M)</f>
        <v>22.29</v>
      </c>
      <c r="K7125" t="s">
        <v>35</v>
      </c>
      <c r="L7125" t="str">
        <f>_xlfn.XLOOKUP(K7125,[2]analyte_order!$B:$B,[2]analyte_order!$C:$C)</f>
        <v>30334-69-1</v>
      </c>
      <c r="M7125">
        <f>_xlfn.XLOOKUP(L7125,[2]analyte_order!$C:$C,[2]analyte_order!$E:$E)</f>
        <v>51</v>
      </c>
      <c r="N7125">
        <v>29.8</v>
      </c>
    </row>
    <row r="7126" spans="1:14">
      <c r="A7126" t="s">
        <v>303</v>
      </c>
      <c r="B7126" t="str">
        <f>_xlfn.XLOOKUP(A7126,'[1]Tissue Data'!$A:$A,'[1]Tissue Data'!$C:$C)</f>
        <v>Down</v>
      </c>
      <c r="C7126" s="2">
        <f>_xlfn.XLOOKUP(A7126,'[1]Tissue Data'!$A:$A,'[1]Tissue Data'!$D:$D)</f>
        <v>44393</v>
      </c>
      <c r="D7126" s="2" t="str">
        <f>_xlfn.XLOOKUP(A7126,'[1]Tissue Data'!$A:$A,'[1]Tissue Data'!$F:$F)</f>
        <v>Pumpkinseed</v>
      </c>
      <c r="E7126" t="str">
        <f>_xlfn.XLOOKUP(A7126,'[1]Tissue Data'!$A:$A,'[1]Tissue Data'!$H:$H)</f>
        <v>Lepomis</v>
      </c>
      <c r="F7126" t="str">
        <f>_xlfn.XLOOKUP(A7126,'[1]Tissue Data'!$A:$A,'[1]Tissue Data'!$I:$I)</f>
        <v>gibbosus</v>
      </c>
      <c r="G7126" t="str">
        <f>_xlfn.XLOOKUP(A7126,'[1]Tissue Data'!$A:$A,'[1]Tissue Data'!J:J)</f>
        <v>U</v>
      </c>
      <c r="H7126" t="str">
        <f>_xlfn.XLOOKUP(A7126,'[1]Tissue Data'!$A:$A,'[1]Tissue Data'!K:K)</f>
        <v>Whole Body</v>
      </c>
      <c r="I7126">
        <f>_xlfn.XLOOKUP(A7126,'[1]Tissue Data'!$A:$A,'[1]Tissue Data'!L:L)</f>
        <v>11</v>
      </c>
      <c r="J7126">
        <f>_xlfn.XLOOKUP(A7126,'[1]Tissue Data'!$A:$A,'[1]Tissue Data'!M:M)</f>
        <v>22.29</v>
      </c>
      <c r="K7126" t="s">
        <v>36</v>
      </c>
      <c r="L7126" t="str">
        <f>_xlfn.XLOOKUP(K7126,[2]analyte_order!$B:$B,[2]analyte_order!$C:$C)</f>
        <v>41997-13-1</v>
      </c>
      <c r="M7126">
        <f>_xlfn.XLOOKUP(L7126,[2]analyte_order!$C:$C,[2]analyte_order!$E:$E)</f>
        <v>52</v>
      </c>
      <c r="N7126">
        <v>141</v>
      </c>
    </row>
    <row r="7127" spans="1:14">
      <c r="A7127" t="s">
        <v>303</v>
      </c>
      <c r="B7127" t="str">
        <f>_xlfn.XLOOKUP(A7127,'[1]Tissue Data'!$A:$A,'[1]Tissue Data'!$C:$C)</f>
        <v>Down</v>
      </c>
      <c r="C7127" s="2">
        <f>_xlfn.XLOOKUP(A7127,'[1]Tissue Data'!$A:$A,'[1]Tissue Data'!$D:$D)</f>
        <v>44393</v>
      </c>
      <c r="D7127" s="2" t="str">
        <f>_xlfn.XLOOKUP(A7127,'[1]Tissue Data'!$A:$A,'[1]Tissue Data'!$F:$F)</f>
        <v>Pumpkinseed</v>
      </c>
      <c r="E7127" t="str">
        <f>_xlfn.XLOOKUP(A7127,'[1]Tissue Data'!$A:$A,'[1]Tissue Data'!$H:$H)</f>
        <v>Lepomis</v>
      </c>
      <c r="F7127" t="str">
        <f>_xlfn.XLOOKUP(A7127,'[1]Tissue Data'!$A:$A,'[1]Tissue Data'!$I:$I)</f>
        <v>gibbosus</v>
      </c>
      <c r="G7127" t="str">
        <f>_xlfn.XLOOKUP(A7127,'[1]Tissue Data'!$A:$A,'[1]Tissue Data'!J:J)</f>
        <v>U</v>
      </c>
      <c r="H7127" t="str">
        <f>_xlfn.XLOOKUP(A7127,'[1]Tissue Data'!$A:$A,'[1]Tissue Data'!K:K)</f>
        <v>Whole Body</v>
      </c>
      <c r="I7127">
        <f>_xlfn.XLOOKUP(A7127,'[1]Tissue Data'!$A:$A,'[1]Tissue Data'!L:L)</f>
        <v>11</v>
      </c>
      <c r="J7127">
        <f>_xlfn.XLOOKUP(A7127,'[1]Tissue Data'!$A:$A,'[1]Tissue Data'!M:M)</f>
        <v>22.29</v>
      </c>
      <c r="K7127" t="s">
        <v>37</v>
      </c>
      <c r="L7127" t="str">
        <f>_xlfn.XLOOKUP(K7127,[2]analyte_order!$B:$B,[2]analyte_order!$C:$C)</f>
        <v>754-91-6</v>
      </c>
      <c r="M7127">
        <f>_xlfn.XLOOKUP(L7127,[2]analyte_order!$C:$C,[2]analyte_order!$E:$E)</f>
        <v>28</v>
      </c>
      <c r="N7127">
        <v>16.399999999999999</v>
      </c>
    </row>
    <row r="7128" spans="1:14">
      <c r="A7128" t="s">
        <v>303</v>
      </c>
      <c r="B7128" t="str">
        <f>_xlfn.XLOOKUP(A7128,'[1]Tissue Data'!$A:$A,'[1]Tissue Data'!$C:$C)</f>
        <v>Down</v>
      </c>
      <c r="C7128" s="2">
        <f>_xlfn.XLOOKUP(A7128,'[1]Tissue Data'!$A:$A,'[1]Tissue Data'!$D:$D)</f>
        <v>44393</v>
      </c>
      <c r="D7128" s="2" t="str">
        <f>_xlfn.XLOOKUP(A7128,'[1]Tissue Data'!$A:$A,'[1]Tissue Data'!$F:$F)</f>
        <v>Pumpkinseed</v>
      </c>
      <c r="E7128" t="str">
        <f>_xlfn.XLOOKUP(A7128,'[1]Tissue Data'!$A:$A,'[1]Tissue Data'!$H:$H)</f>
        <v>Lepomis</v>
      </c>
      <c r="F7128" t="str">
        <f>_xlfn.XLOOKUP(A7128,'[1]Tissue Data'!$A:$A,'[1]Tissue Data'!$I:$I)</f>
        <v>gibbosus</v>
      </c>
      <c r="G7128" t="str">
        <f>_xlfn.XLOOKUP(A7128,'[1]Tissue Data'!$A:$A,'[1]Tissue Data'!J:J)</f>
        <v>U</v>
      </c>
      <c r="H7128" t="str">
        <f>_xlfn.XLOOKUP(A7128,'[1]Tissue Data'!$A:$A,'[1]Tissue Data'!K:K)</f>
        <v>Whole Body</v>
      </c>
      <c r="I7128">
        <f>_xlfn.XLOOKUP(A7128,'[1]Tissue Data'!$A:$A,'[1]Tissue Data'!L:L)</f>
        <v>11</v>
      </c>
      <c r="J7128">
        <f>_xlfn.XLOOKUP(A7128,'[1]Tissue Data'!$A:$A,'[1]Tissue Data'!M:M)</f>
        <v>22.29</v>
      </c>
      <c r="K7128" t="s">
        <v>38</v>
      </c>
      <c r="L7128" t="str">
        <f>_xlfn.XLOOKUP(K7128,[2]analyte_order!$B:$B,[2]analyte_order!$C:$C)</f>
        <v>31506-32-8</v>
      </c>
      <c r="M7128">
        <f>_xlfn.XLOOKUP(L7128,[2]analyte_order!$C:$C,[2]analyte_order!$E:$E)</f>
        <v>30</v>
      </c>
      <c r="N7128">
        <v>0.16650000000000001</v>
      </c>
    </row>
    <row r="7129" spans="1:14">
      <c r="A7129" t="s">
        <v>303</v>
      </c>
      <c r="B7129" t="str">
        <f>_xlfn.XLOOKUP(A7129,'[1]Tissue Data'!$A:$A,'[1]Tissue Data'!$C:$C)</f>
        <v>Down</v>
      </c>
      <c r="C7129" s="2">
        <f>_xlfn.XLOOKUP(A7129,'[1]Tissue Data'!$A:$A,'[1]Tissue Data'!$D:$D)</f>
        <v>44393</v>
      </c>
      <c r="D7129" s="2" t="str">
        <f>_xlfn.XLOOKUP(A7129,'[1]Tissue Data'!$A:$A,'[1]Tissue Data'!$F:$F)</f>
        <v>Pumpkinseed</v>
      </c>
      <c r="E7129" t="str">
        <f>_xlfn.XLOOKUP(A7129,'[1]Tissue Data'!$A:$A,'[1]Tissue Data'!$H:$H)</f>
        <v>Lepomis</v>
      </c>
      <c r="F7129" t="str">
        <f>_xlfn.XLOOKUP(A7129,'[1]Tissue Data'!$A:$A,'[1]Tissue Data'!$I:$I)</f>
        <v>gibbosus</v>
      </c>
      <c r="G7129" t="str">
        <f>_xlfn.XLOOKUP(A7129,'[1]Tissue Data'!$A:$A,'[1]Tissue Data'!J:J)</f>
        <v>U</v>
      </c>
      <c r="H7129" t="str">
        <f>_xlfn.XLOOKUP(A7129,'[1]Tissue Data'!$A:$A,'[1]Tissue Data'!K:K)</f>
        <v>Whole Body</v>
      </c>
      <c r="I7129">
        <f>_xlfn.XLOOKUP(A7129,'[1]Tissue Data'!$A:$A,'[1]Tissue Data'!L:L)</f>
        <v>11</v>
      </c>
      <c r="J7129">
        <f>_xlfn.XLOOKUP(A7129,'[1]Tissue Data'!$A:$A,'[1]Tissue Data'!M:M)</f>
        <v>22.29</v>
      </c>
      <c r="K7129" t="s">
        <v>39</v>
      </c>
      <c r="L7129" t="str">
        <f>_xlfn.XLOOKUP(K7129,[2]analyte_order!$B:$B,[2]analyte_order!$C:$C)</f>
        <v>4151-50-2</v>
      </c>
      <c r="M7129">
        <f>_xlfn.XLOOKUP(L7129,[2]analyte_order!$C:$C,[2]analyte_order!$E:$E)</f>
        <v>31</v>
      </c>
      <c r="N7129">
        <v>0.433</v>
      </c>
    </row>
    <row r="7130" spans="1:14">
      <c r="A7130" t="s">
        <v>303</v>
      </c>
      <c r="B7130" t="str">
        <f>_xlfn.XLOOKUP(A7130,'[1]Tissue Data'!$A:$A,'[1]Tissue Data'!$C:$C)</f>
        <v>Down</v>
      </c>
      <c r="C7130" s="2">
        <f>_xlfn.XLOOKUP(A7130,'[1]Tissue Data'!$A:$A,'[1]Tissue Data'!$D:$D)</f>
        <v>44393</v>
      </c>
      <c r="D7130" s="2" t="str">
        <f>_xlfn.XLOOKUP(A7130,'[1]Tissue Data'!$A:$A,'[1]Tissue Data'!$F:$F)</f>
        <v>Pumpkinseed</v>
      </c>
      <c r="E7130" t="str">
        <f>_xlfn.XLOOKUP(A7130,'[1]Tissue Data'!$A:$A,'[1]Tissue Data'!$H:$H)</f>
        <v>Lepomis</v>
      </c>
      <c r="F7130" t="str">
        <f>_xlfn.XLOOKUP(A7130,'[1]Tissue Data'!$A:$A,'[1]Tissue Data'!$I:$I)</f>
        <v>gibbosus</v>
      </c>
      <c r="G7130" t="str">
        <f>_xlfn.XLOOKUP(A7130,'[1]Tissue Data'!$A:$A,'[1]Tissue Data'!J:J)</f>
        <v>U</v>
      </c>
      <c r="H7130" t="str">
        <f>_xlfn.XLOOKUP(A7130,'[1]Tissue Data'!$A:$A,'[1]Tissue Data'!K:K)</f>
        <v>Whole Body</v>
      </c>
      <c r="I7130">
        <f>_xlfn.XLOOKUP(A7130,'[1]Tissue Data'!$A:$A,'[1]Tissue Data'!L:L)</f>
        <v>11</v>
      </c>
      <c r="J7130">
        <f>_xlfn.XLOOKUP(A7130,'[1]Tissue Data'!$A:$A,'[1]Tissue Data'!M:M)</f>
        <v>22.29</v>
      </c>
      <c r="K7130" t="s">
        <v>40</v>
      </c>
      <c r="L7130" t="str">
        <f>_xlfn.XLOOKUP(K7130,[2]analyte_order!$B:$B,[2]analyte_order!$C:$C)</f>
        <v>2806-24-8</v>
      </c>
      <c r="M7130">
        <f>_xlfn.XLOOKUP(L7130,[2]analyte_order!$C:$C,[2]analyte_order!$E:$E)</f>
        <v>29</v>
      </c>
      <c r="N7130">
        <v>0.433</v>
      </c>
    </row>
    <row r="7131" spans="1:14">
      <c r="A7131" t="s">
        <v>303</v>
      </c>
      <c r="B7131" t="str">
        <f>_xlfn.XLOOKUP(A7131,'[1]Tissue Data'!$A:$A,'[1]Tissue Data'!$C:$C)</f>
        <v>Down</v>
      </c>
      <c r="C7131" s="2">
        <f>_xlfn.XLOOKUP(A7131,'[1]Tissue Data'!$A:$A,'[1]Tissue Data'!$D:$D)</f>
        <v>44393</v>
      </c>
      <c r="D7131" s="2" t="str">
        <f>_xlfn.XLOOKUP(A7131,'[1]Tissue Data'!$A:$A,'[1]Tissue Data'!$F:$F)</f>
        <v>Pumpkinseed</v>
      </c>
      <c r="E7131" t="str">
        <f>_xlfn.XLOOKUP(A7131,'[1]Tissue Data'!$A:$A,'[1]Tissue Data'!$H:$H)</f>
        <v>Lepomis</v>
      </c>
      <c r="F7131" t="str">
        <f>_xlfn.XLOOKUP(A7131,'[1]Tissue Data'!$A:$A,'[1]Tissue Data'!$I:$I)</f>
        <v>gibbosus</v>
      </c>
      <c r="G7131" t="str">
        <f>_xlfn.XLOOKUP(A7131,'[1]Tissue Data'!$A:$A,'[1]Tissue Data'!J:J)</f>
        <v>U</v>
      </c>
      <c r="H7131" t="str">
        <f>_xlfn.XLOOKUP(A7131,'[1]Tissue Data'!$A:$A,'[1]Tissue Data'!K:K)</f>
        <v>Whole Body</v>
      </c>
      <c r="I7131">
        <f>_xlfn.XLOOKUP(A7131,'[1]Tissue Data'!$A:$A,'[1]Tissue Data'!L:L)</f>
        <v>11</v>
      </c>
      <c r="J7131">
        <f>_xlfn.XLOOKUP(A7131,'[1]Tissue Data'!$A:$A,'[1]Tissue Data'!M:M)</f>
        <v>22.29</v>
      </c>
      <c r="K7131" t="s">
        <v>41</v>
      </c>
      <c r="L7131" t="str">
        <f>_xlfn.XLOOKUP(K7131,[2]analyte_order!$B:$B,[2]analyte_order!$C:$C)</f>
        <v>2355-31-9</v>
      </c>
      <c r="M7131">
        <f>_xlfn.XLOOKUP(L7131,[2]analyte_order!$C:$C,[2]analyte_order!$E:$E)</f>
        <v>26</v>
      </c>
      <c r="N7131">
        <v>0.2175</v>
      </c>
    </row>
    <row r="7132" spans="1:14">
      <c r="A7132" t="s">
        <v>303</v>
      </c>
      <c r="B7132" t="str">
        <f>_xlfn.XLOOKUP(A7132,'[1]Tissue Data'!$A:$A,'[1]Tissue Data'!$C:$C)</f>
        <v>Down</v>
      </c>
      <c r="C7132" s="2">
        <f>_xlfn.XLOOKUP(A7132,'[1]Tissue Data'!$A:$A,'[1]Tissue Data'!$D:$D)</f>
        <v>44393</v>
      </c>
      <c r="D7132" s="2" t="str">
        <f>_xlfn.XLOOKUP(A7132,'[1]Tissue Data'!$A:$A,'[1]Tissue Data'!$F:$F)</f>
        <v>Pumpkinseed</v>
      </c>
      <c r="E7132" t="str">
        <f>_xlfn.XLOOKUP(A7132,'[1]Tissue Data'!$A:$A,'[1]Tissue Data'!$H:$H)</f>
        <v>Lepomis</v>
      </c>
      <c r="F7132" t="str">
        <f>_xlfn.XLOOKUP(A7132,'[1]Tissue Data'!$A:$A,'[1]Tissue Data'!$I:$I)</f>
        <v>gibbosus</v>
      </c>
      <c r="G7132" t="str">
        <f>_xlfn.XLOOKUP(A7132,'[1]Tissue Data'!$A:$A,'[1]Tissue Data'!J:J)</f>
        <v>U</v>
      </c>
      <c r="H7132" t="str">
        <f>_xlfn.XLOOKUP(A7132,'[1]Tissue Data'!$A:$A,'[1]Tissue Data'!K:K)</f>
        <v>Whole Body</v>
      </c>
      <c r="I7132">
        <f>_xlfn.XLOOKUP(A7132,'[1]Tissue Data'!$A:$A,'[1]Tissue Data'!L:L)</f>
        <v>11</v>
      </c>
      <c r="J7132">
        <f>_xlfn.XLOOKUP(A7132,'[1]Tissue Data'!$A:$A,'[1]Tissue Data'!M:M)</f>
        <v>22.29</v>
      </c>
      <c r="K7132" t="s">
        <v>42</v>
      </c>
      <c r="L7132" t="str">
        <f>_xlfn.XLOOKUP(K7132,[2]analyte_order!$B:$B,[2]analyte_order!$C:$C)</f>
        <v>2991-50-6</v>
      </c>
      <c r="M7132">
        <f>_xlfn.XLOOKUP(L7132,[2]analyte_order!$C:$C,[2]analyte_order!$E:$E)</f>
        <v>27</v>
      </c>
      <c r="N7132">
        <v>0.2165</v>
      </c>
    </row>
    <row r="7133" spans="1:14">
      <c r="A7133" t="s">
        <v>303</v>
      </c>
      <c r="B7133" t="str">
        <f>_xlfn.XLOOKUP(A7133,'[1]Tissue Data'!$A:$A,'[1]Tissue Data'!$C:$C)</f>
        <v>Down</v>
      </c>
      <c r="C7133" s="2">
        <f>_xlfn.XLOOKUP(A7133,'[1]Tissue Data'!$A:$A,'[1]Tissue Data'!$D:$D)</f>
        <v>44393</v>
      </c>
      <c r="D7133" s="2" t="str">
        <f>_xlfn.XLOOKUP(A7133,'[1]Tissue Data'!$A:$A,'[1]Tissue Data'!$F:$F)</f>
        <v>Pumpkinseed</v>
      </c>
      <c r="E7133" t="str">
        <f>_xlfn.XLOOKUP(A7133,'[1]Tissue Data'!$A:$A,'[1]Tissue Data'!$H:$H)</f>
        <v>Lepomis</v>
      </c>
      <c r="F7133" t="str">
        <f>_xlfn.XLOOKUP(A7133,'[1]Tissue Data'!$A:$A,'[1]Tissue Data'!$I:$I)</f>
        <v>gibbosus</v>
      </c>
      <c r="G7133" t="str">
        <f>_xlfn.XLOOKUP(A7133,'[1]Tissue Data'!$A:$A,'[1]Tissue Data'!J:J)</f>
        <v>U</v>
      </c>
      <c r="H7133" t="str">
        <f>_xlfn.XLOOKUP(A7133,'[1]Tissue Data'!$A:$A,'[1]Tissue Data'!K:K)</f>
        <v>Whole Body</v>
      </c>
      <c r="I7133">
        <f>_xlfn.XLOOKUP(A7133,'[1]Tissue Data'!$A:$A,'[1]Tissue Data'!L:L)</f>
        <v>11</v>
      </c>
      <c r="J7133">
        <f>_xlfn.XLOOKUP(A7133,'[1]Tissue Data'!$A:$A,'[1]Tissue Data'!M:M)</f>
        <v>22.29</v>
      </c>
      <c r="K7133" t="s">
        <v>43</v>
      </c>
      <c r="L7133" t="str">
        <f>_xlfn.XLOOKUP(K7133,[2]analyte_order!$B:$B,[2]analyte_order!$C:$C)</f>
        <v>757124-72-4</v>
      </c>
      <c r="M7133">
        <f>_xlfn.XLOOKUP(L7133,[2]analyte_order!$C:$C,[2]analyte_order!$E:$E)</f>
        <v>22</v>
      </c>
      <c r="N7133">
        <v>0.2165</v>
      </c>
    </row>
    <row r="7134" spans="1:14">
      <c r="A7134" t="s">
        <v>303</v>
      </c>
      <c r="B7134" t="str">
        <f>_xlfn.XLOOKUP(A7134,'[1]Tissue Data'!$A:$A,'[1]Tissue Data'!$C:$C)</f>
        <v>Down</v>
      </c>
      <c r="C7134" s="2">
        <f>_xlfn.XLOOKUP(A7134,'[1]Tissue Data'!$A:$A,'[1]Tissue Data'!$D:$D)</f>
        <v>44393</v>
      </c>
      <c r="D7134" s="2" t="str">
        <f>_xlfn.XLOOKUP(A7134,'[1]Tissue Data'!$A:$A,'[1]Tissue Data'!$F:$F)</f>
        <v>Pumpkinseed</v>
      </c>
      <c r="E7134" t="str">
        <f>_xlfn.XLOOKUP(A7134,'[1]Tissue Data'!$A:$A,'[1]Tissue Data'!$H:$H)</f>
        <v>Lepomis</v>
      </c>
      <c r="F7134" t="str">
        <f>_xlfn.XLOOKUP(A7134,'[1]Tissue Data'!$A:$A,'[1]Tissue Data'!$I:$I)</f>
        <v>gibbosus</v>
      </c>
      <c r="G7134" t="str">
        <f>_xlfn.XLOOKUP(A7134,'[1]Tissue Data'!$A:$A,'[1]Tissue Data'!J:J)</f>
        <v>U</v>
      </c>
      <c r="H7134" t="str">
        <f>_xlfn.XLOOKUP(A7134,'[1]Tissue Data'!$A:$A,'[1]Tissue Data'!K:K)</f>
        <v>Whole Body</v>
      </c>
      <c r="I7134">
        <f>_xlfn.XLOOKUP(A7134,'[1]Tissue Data'!$A:$A,'[1]Tissue Data'!L:L)</f>
        <v>11</v>
      </c>
      <c r="J7134">
        <f>_xlfn.XLOOKUP(A7134,'[1]Tissue Data'!$A:$A,'[1]Tissue Data'!M:M)</f>
        <v>22.29</v>
      </c>
      <c r="K7134" t="s">
        <v>44</v>
      </c>
      <c r="L7134" t="str">
        <f>_xlfn.XLOOKUP(K7134,[2]analyte_order!$B:$B,[2]analyte_order!$C:$C)</f>
        <v>27619-97-2</v>
      </c>
      <c r="M7134">
        <f>_xlfn.XLOOKUP(L7134,[2]analyte_order!$C:$C,[2]analyte_order!$E:$E)</f>
        <v>23</v>
      </c>
      <c r="N7134">
        <v>0.64800000000000002</v>
      </c>
    </row>
    <row r="7135" spans="1:14">
      <c r="A7135" t="s">
        <v>303</v>
      </c>
      <c r="B7135" t="str">
        <f>_xlfn.XLOOKUP(A7135,'[1]Tissue Data'!$A:$A,'[1]Tissue Data'!$C:$C)</f>
        <v>Down</v>
      </c>
      <c r="C7135" s="2">
        <f>_xlfn.XLOOKUP(A7135,'[1]Tissue Data'!$A:$A,'[1]Tissue Data'!$D:$D)</f>
        <v>44393</v>
      </c>
      <c r="D7135" s="2" t="str">
        <f>_xlfn.XLOOKUP(A7135,'[1]Tissue Data'!$A:$A,'[1]Tissue Data'!$F:$F)</f>
        <v>Pumpkinseed</v>
      </c>
      <c r="E7135" t="str">
        <f>_xlfn.XLOOKUP(A7135,'[1]Tissue Data'!$A:$A,'[1]Tissue Data'!$H:$H)</f>
        <v>Lepomis</v>
      </c>
      <c r="F7135" t="str">
        <f>_xlfn.XLOOKUP(A7135,'[1]Tissue Data'!$A:$A,'[1]Tissue Data'!$I:$I)</f>
        <v>gibbosus</v>
      </c>
      <c r="G7135" t="str">
        <f>_xlfn.XLOOKUP(A7135,'[1]Tissue Data'!$A:$A,'[1]Tissue Data'!J:J)</f>
        <v>U</v>
      </c>
      <c r="H7135" t="str">
        <f>_xlfn.XLOOKUP(A7135,'[1]Tissue Data'!$A:$A,'[1]Tissue Data'!K:K)</f>
        <v>Whole Body</v>
      </c>
      <c r="I7135">
        <f>_xlfn.XLOOKUP(A7135,'[1]Tissue Data'!$A:$A,'[1]Tissue Data'!L:L)</f>
        <v>11</v>
      </c>
      <c r="J7135">
        <f>_xlfn.XLOOKUP(A7135,'[1]Tissue Data'!$A:$A,'[1]Tissue Data'!M:M)</f>
        <v>22.29</v>
      </c>
      <c r="K7135" t="s">
        <v>45</v>
      </c>
      <c r="L7135" t="str">
        <f>_xlfn.XLOOKUP(K7135,[2]analyte_order!$B:$B,[2]analyte_order!$C:$C)</f>
        <v>39108-34-4</v>
      </c>
      <c r="M7135">
        <f>_xlfn.XLOOKUP(L7135,[2]analyte_order!$C:$C,[2]analyte_order!$E:$E)</f>
        <v>24</v>
      </c>
      <c r="N7135">
        <v>6.41</v>
      </c>
    </row>
    <row r="7136" spans="1:14">
      <c r="A7136" t="s">
        <v>303</v>
      </c>
      <c r="B7136" t="str">
        <f>_xlfn.XLOOKUP(A7136,'[1]Tissue Data'!$A:$A,'[1]Tissue Data'!$C:$C)</f>
        <v>Down</v>
      </c>
      <c r="C7136" s="2">
        <f>_xlfn.XLOOKUP(A7136,'[1]Tissue Data'!$A:$A,'[1]Tissue Data'!$D:$D)</f>
        <v>44393</v>
      </c>
      <c r="D7136" s="2" t="str">
        <f>_xlfn.XLOOKUP(A7136,'[1]Tissue Data'!$A:$A,'[1]Tissue Data'!$F:$F)</f>
        <v>Pumpkinseed</v>
      </c>
      <c r="E7136" t="str">
        <f>_xlfn.XLOOKUP(A7136,'[1]Tissue Data'!$A:$A,'[1]Tissue Data'!$H:$H)</f>
        <v>Lepomis</v>
      </c>
      <c r="F7136" t="str">
        <f>_xlfn.XLOOKUP(A7136,'[1]Tissue Data'!$A:$A,'[1]Tissue Data'!$I:$I)</f>
        <v>gibbosus</v>
      </c>
      <c r="G7136" t="str">
        <f>_xlfn.XLOOKUP(A7136,'[1]Tissue Data'!$A:$A,'[1]Tissue Data'!J:J)</f>
        <v>U</v>
      </c>
      <c r="H7136" t="str">
        <f>_xlfn.XLOOKUP(A7136,'[1]Tissue Data'!$A:$A,'[1]Tissue Data'!K:K)</f>
        <v>Whole Body</v>
      </c>
      <c r="I7136">
        <f>_xlfn.XLOOKUP(A7136,'[1]Tissue Data'!$A:$A,'[1]Tissue Data'!L:L)</f>
        <v>11</v>
      </c>
      <c r="J7136">
        <f>_xlfn.XLOOKUP(A7136,'[1]Tissue Data'!$A:$A,'[1]Tissue Data'!M:M)</f>
        <v>22.29</v>
      </c>
      <c r="K7136" t="s">
        <v>46</v>
      </c>
      <c r="L7136" t="str">
        <f>_xlfn.XLOOKUP(K7136,[2]analyte_order!$B:$B,[2]analyte_order!$C:$C)</f>
        <v>120226-60-0</v>
      </c>
      <c r="M7136">
        <f>_xlfn.XLOOKUP(L7136,[2]analyte_order!$C:$C,[2]analyte_order!$E:$E)</f>
        <v>25</v>
      </c>
      <c r="N7136">
        <v>0.433</v>
      </c>
    </row>
    <row r="7137" spans="1:14">
      <c r="A7137" t="s">
        <v>303</v>
      </c>
      <c r="B7137" t="str">
        <f>_xlfn.XLOOKUP(A7137,'[1]Tissue Data'!$A:$A,'[1]Tissue Data'!$C:$C)</f>
        <v>Down</v>
      </c>
      <c r="C7137" s="2">
        <f>_xlfn.XLOOKUP(A7137,'[1]Tissue Data'!$A:$A,'[1]Tissue Data'!$D:$D)</f>
        <v>44393</v>
      </c>
      <c r="D7137" s="2" t="str">
        <f>_xlfn.XLOOKUP(A7137,'[1]Tissue Data'!$A:$A,'[1]Tissue Data'!$F:$F)</f>
        <v>Pumpkinseed</v>
      </c>
      <c r="E7137" t="str">
        <f>_xlfn.XLOOKUP(A7137,'[1]Tissue Data'!$A:$A,'[1]Tissue Data'!$H:$H)</f>
        <v>Lepomis</v>
      </c>
      <c r="F7137" t="str">
        <f>_xlfn.XLOOKUP(A7137,'[1]Tissue Data'!$A:$A,'[1]Tissue Data'!$I:$I)</f>
        <v>gibbosus</v>
      </c>
      <c r="G7137" t="str">
        <f>_xlfn.XLOOKUP(A7137,'[1]Tissue Data'!$A:$A,'[1]Tissue Data'!J:J)</f>
        <v>U</v>
      </c>
      <c r="H7137" t="str">
        <f>_xlfn.XLOOKUP(A7137,'[1]Tissue Data'!$A:$A,'[1]Tissue Data'!K:K)</f>
        <v>Whole Body</v>
      </c>
      <c r="I7137">
        <f>_xlfn.XLOOKUP(A7137,'[1]Tissue Data'!$A:$A,'[1]Tissue Data'!L:L)</f>
        <v>11</v>
      </c>
      <c r="J7137">
        <f>_xlfn.XLOOKUP(A7137,'[1]Tissue Data'!$A:$A,'[1]Tissue Data'!M:M)</f>
        <v>22.29</v>
      </c>
      <c r="K7137" t="s">
        <v>47</v>
      </c>
      <c r="L7137" t="str">
        <f>_xlfn.XLOOKUP(K7137,[2]analyte_order!$B:$B,[2]analyte_order!$C:$C)</f>
        <v>356-02-5</v>
      </c>
      <c r="M7137">
        <f>_xlfn.XLOOKUP(L7137,[2]analyte_order!$C:$C,[2]analyte_order!$E:$E)</f>
        <v>38</v>
      </c>
      <c r="N7137">
        <v>0.2495</v>
      </c>
    </row>
    <row r="7138" spans="1:14">
      <c r="A7138" t="s">
        <v>303</v>
      </c>
      <c r="B7138" t="str">
        <f>_xlfn.XLOOKUP(A7138,'[1]Tissue Data'!$A:$A,'[1]Tissue Data'!$C:$C)</f>
        <v>Down</v>
      </c>
      <c r="C7138" s="2">
        <f>_xlfn.XLOOKUP(A7138,'[1]Tissue Data'!$A:$A,'[1]Tissue Data'!$D:$D)</f>
        <v>44393</v>
      </c>
      <c r="D7138" s="2" t="str">
        <f>_xlfn.XLOOKUP(A7138,'[1]Tissue Data'!$A:$A,'[1]Tissue Data'!$F:$F)</f>
        <v>Pumpkinseed</v>
      </c>
      <c r="E7138" t="str">
        <f>_xlfn.XLOOKUP(A7138,'[1]Tissue Data'!$A:$A,'[1]Tissue Data'!$H:$H)</f>
        <v>Lepomis</v>
      </c>
      <c r="F7138" t="str">
        <f>_xlfn.XLOOKUP(A7138,'[1]Tissue Data'!$A:$A,'[1]Tissue Data'!$I:$I)</f>
        <v>gibbosus</v>
      </c>
      <c r="G7138" t="str">
        <f>_xlfn.XLOOKUP(A7138,'[1]Tissue Data'!$A:$A,'[1]Tissue Data'!J:J)</f>
        <v>U</v>
      </c>
      <c r="H7138" t="str">
        <f>_xlfn.XLOOKUP(A7138,'[1]Tissue Data'!$A:$A,'[1]Tissue Data'!K:K)</f>
        <v>Whole Body</v>
      </c>
      <c r="I7138">
        <f>_xlfn.XLOOKUP(A7138,'[1]Tissue Data'!$A:$A,'[1]Tissue Data'!L:L)</f>
        <v>11</v>
      </c>
      <c r="J7138">
        <f>_xlfn.XLOOKUP(A7138,'[1]Tissue Data'!$A:$A,'[1]Tissue Data'!M:M)</f>
        <v>22.29</v>
      </c>
      <c r="K7138" t="s">
        <v>48</v>
      </c>
      <c r="L7138" t="str">
        <f>_xlfn.XLOOKUP(K7138,[2]analyte_order!$B:$B,[2]analyte_order!$C:$C)</f>
        <v>914637-49-3</v>
      </c>
      <c r="M7138">
        <f>_xlfn.XLOOKUP(L7138,[2]analyte_order!$C:$C,[2]analyte_order!$E:$E)</f>
        <v>39</v>
      </c>
      <c r="N7138">
        <v>0.2165</v>
      </c>
    </row>
    <row r="7139" spans="1:14">
      <c r="A7139" t="s">
        <v>303</v>
      </c>
      <c r="B7139" t="str">
        <f>_xlfn.XLOOKUP(A7139,'[1]Tissue Data'!$A:$A,'[1]Tissue Data'!$C:$C)</f>
        <v>Down</v>
      </c>
      <c r="C7139" s="2">
        <f>_xlfn.XLOOKUP(A7139,'[1]Tissue Data'!$A:$A,'[1]Tissue Data'!$D:$D)</f>
        <v>44393</v>
      </c>
      <c r="D7139" s="2" t="str">
        <f>_xlfn.XLOOKUP(A7139,'[1]Tissue Data'!$A:$A,'[1]Tissue Data'!$F:$F)</f>
        <v>Pumpkinseed</v>
      </c>
      <c r="E7139" t="str">
        <f>_xlfn.XLOOKUP(A7139,'[1]Tissue Data'!$A:$A,'[1]Tissue Data'!$H:$H)</f>
        <v>Lepomis</v>
      </c>
      <c r="F7139" t="str">
        <f>_xlfn.XLOOKUP(A7139,'[1]Tissue Data'!$A:$A,'[1]Tissue Data'!$I:$I)</f>
        <v>gibbosus</v>
      </c>
      <c r="G7139" t="str">
        <f>_xlfn.XLOOKUP(A7139,'[1]Tissue Data'!$A:$A,'[1]Tissue Data'!J:J)</f>
        <v>U</v>
      </c>
      <c r="H7139" t="str">
        <f>_xlfn.XLOOKUP(A7139,'[1]Tissue Data'!$A:$A,'[1]Tissue Data'!K:K)</f>
        <v>Whole Body</v>
      </c>
      <c r="I7139">
        <f>_xlfn.XLOOKUP(A7139,'[1]Tissue Data'!$A:$A,'[1]Tissue Data'!L:L)</f>
        <v>11</v>
      </c>
      <c r="J7139">
        <f>_xlfn.XLOOKUP(A7139,'[1]Tissue Data'!$A:$A,'[1]Tissue Data'!M:M)</f>
        <v>22.29</v>
      </c>
      <c r="K7139" t="s">
        <v>49</v>
      </c>
      <c r="L7139" t="str">
        <f>_xlfn.XLOOKUP(K7139,[2]analyte_order!$B:$B,[2]analyte_order!$C:$C)</f>
        <v>812-70-4</v>
      </c>
      <c r="M7139">
        <f>_xlfn.XLOOKUP(L7139,[2]analyte_order!$C:$C,[2]analyte_order!$E:$E)</f>
        <v>40</v>
      </c>
      <c r="N7139">
        <v>0.76600000000000001</v>
      </c>
    </row>
    <row r="7140" spans="1:14">
      <c r="A7140" t="s">
        <v>303</v>
      </c>
      <c r="B7140" t="str">
        <f>_xlfn.XLOOKUP(A7140,'[1]Tissue Data'!$A:$A,'[1]Tissue Data'!$C:$C)</f>
        <v>Down</v>
      </c>
      <c r="C7140" s="2">
        <f>_xlfn.XLOOKUP(A7140,'[1]Tissue Data'!$A:$A,'[1]Tissue Data'!$D:$D)</f>
        <v>44393</v>
      </c>
      <c r="D7140" s="2" t="str">
        <f>_xlfn.XLOOKUP(A7140,'[1]Tissue Data'!$A:$A,'[1]Tissue Data'!$F:$F)</f>
        <v>Pumpkinseed</v>
      </c>
      <c r="E7140" t="str">
        <f>_xlfn.XLOOKUP(A7140,'[1]Tissue Data'!$A:$A,'[1]Tissue Data'!$H:$H)</f>
        <v>Lepomis</v>
      </c>
      <c r="F7140" t="str">
        <f>_xlfn.XLOOKUP(A7140,'[1]Tissue Data'!$A:$A,'[1]Tissue Data'!$I:$I)</f>
        <v>gibbosus</v>
      </c>
      <c r="G7140" t="str">
        <f>_xlfn.XLOOKUP(A7140,'[1]Tissue Data'!$A:$A,'[1]Tissue Data'!J:J)</f>
        <v>U</v>
      </c>
      <c r="H7140" t="str">
        <f>_xlfn.XLOOKUP(A7140,'[1]Tissue Data'!$A:$A,'[1]Tissue Data'!K:K)</f>
        <v>Whole Body</v>
      </c>
      <c r="I7140">
        <f>_xlfn.XLOOKUP(A7140,'[1]Tissue Data'!$A:$A,'[1]Tissue Data'!L:L)</f>
        <v>11</v>
      </c>
      <c r="J7140">
        <f>_xlfn.XLOOKUP(A7140,'[1]Tissue Data'!$A:$A,'[1]Tissue Data'!M:M)</f>
        <v>22.29</v>
      </c>
      <c r="K7140" t="s">
        <v>50</v>
      </c>
      <c r="L7140" t="str">
        <f>_xlfn.XLOOKUP(K7140,[2]analyte_order!$B:$B,[2]analyte_order!$C:$C)</f>
        <v>53826-12-3</v>
      </c>
      <c r="M7140">
        <f>_xlfn.XLOOKUP(L7140,[2]analyte_order!$C:$C,[2]analyte_order!$E:$E)</f>
        <v>41</v>
      </c>
      <c r="N7140">
        <v>0.433</v>
      </c>
    </row>
    <row r="7141" spans="1:14">
      <c r="A7141" t="s">
        <v>303</v>
      </c>
      <c r="B7141" t="str">
        <f>_xlfn.XLOOKUP(A7141,'[1]Tissue Data'!$A:$A,'[1]Tissue Data'!$C:$C)</f>
        <v>Down</v>
      </c>
      <c r="C7141" s="2">
        <f>_xlfn.XLOOKUP(A7141,'[1]Tissue Data'!$A:$A,'[1]Tissue Data'!$D:$D)</f>
        <v>44393</v>
      </c>
      <c r="D7141" s="2" t="str">
        <f>_xlfn.XLOOKUP(A7141,'[1]Tissue Data'!$A:$A,'[1]Tissue Data'!$F:$F)</f>
        <v>Pumpkinseed</v>
      </c>
      <c r="E7141" t="str">
        <f>_xlfn.XLOOKUP(A7141,'[1]Tissue Data'!$A:$A,'[1]Tissue Data'!$H:$H)</f>
        <v>Lepomis</v>
      </c>
      <c r="F7141" t="str">
        <f>_xlfn.XLOOKUP(A7141,'[1]Tissue Data'!$A:$A,'[1]Tissue Data'!$I:$I)</f>
        <v>gibbosus</v>
      </c>
      <c r="G7141" t="str">
        <f>_xlfn.XLOOKUP(A7141,'[1]Tissue Data'!$A:$A,'[1]Tissue Data'!J:J)</f>
        <v>U</v>
      </c>
      <c r="H7141" t="str">
        <f>_xlfn.XLOOKUP(A7141,'[1]Tissue Data'!$A:$A,'[1]Tissue Data'!K:K)</f>
        <v>Whole Body</v>
      </c>
      <c r="I7141">
        <f>_xlfn.XLOOKUP(A7141,'[1]Tissue Data'!$A:$A,'[1]Tissue Data'!L:L)</f>
        <v>11</v>
      </c>
      <c r="J7141">
        <f>_xlfn.XLOOKUP(A7141,'[1]Tissue Data'!$A:$A,'[1]Tissue Data'!M:M)</f>
        <v>22.29</v>
      </c>
      <c r="K7141" t="s">
        <v>51</v>
      </c>
      <c r="L7141" t="str">
        <f>_xlfn.XLOOKUP(K7141,[2]analyte_order!$B:$B,[2]analyte_order!$C:$C)</f>
        <v>27854-31-5</v>
      </c>
      <c r="M7141">
        <f>_xlfn.XLOOKUP(L7141,[2]analyte_order!$C:$C,[2]analyte_order!$E:$E)</f>
        <v>42</v>
      </c>
      <c r="N7141">
        <v>0.433</v>
      </c>
    </row>
    <row r="7142" spans="1:14">
      <c r="A7142" t="s">
        <v>303</v>
      </c>
      <c r="B7142" t="str">
        <f>_xlfn.XLOOKUP(A7142,'[1]Tissue Data'!$A:$A,'[1]Tissue Data'!$C:$C)</f>
        <v>Down</v>
      </c>
      <c r="C7142" s="2">
        <f>_xlfn.XLOOKUP(A7142,'[1]Tissue Data'!$A:$A,'[1]Tissue Data'!$D:$D)</f>
        <v>44393</v>
      </c>
      <c r="D7142" s="2" t="str">
        <f>_xlfn.XLOOKUP(A7142,'[1]Tissue Data'!$A:$A,'[1]Tissue Data'!$F:$F)</f>
        <v>Pumpkinseed</v>
      </c>
      <c r="E7142" t="str">
        <f>_xlfn.XLOOKUP(A7142,'[1]Tissue Data'!$A:$A,'[1]Tissue Data'!$H:$H)</f>
        <v>Lepomis</v>
      </c>
      <c r="F7142" t="str">
        <f>_xlfn.XLOOKUP(A7142,'[1]Tissue Data'!$A:$A,'[1]Tissue Data'!$I:$I)</f>
        <v>gibbosus</v>
      </c>
      <c r="G7142" t="str">
        <f>_xlfn.XLOOKUP(A7142,'[1]Tissue Data'!$A:$A,'[1]Tissue Data'!J:J)</f>
        <v>U</v>
      </c>
      <c r="H7142" t="str">
        <f>_xlfn.XLOOKUP(A7142,'[1]Tissue Data'!$A:$A,'[1]Tissue Data'!K:K)</f>
        <v>Whole Body</v>
      </c>
      <c r="I7142">
        <f>_xlfn.XLOOKUP(A7142,'[1]Tissue Data'!$A:$A,'[1]Tissue Data'!L:L)</f>
        <v>11</v>
      </c>
      <c r="J7142">
        <f>_xlfn.XLOOKUP(A7142,'[1]Tissue Data'!$A:$A,'[1]Tissue Data'!M:M)</f>
        <v>22.29</v>
      </c>
      <c r="K7142" t="s">
        <v>52</v>
      </c>
      <c r="L7142" t="str">
        <f>_xlfn.XLOOKUP(K7142,[2]analyte_order!$B:$B,[2]analyte_order!$C:$C)</f>
        <v>53826-13-4</v>
      </c>
      <c r="M7142">
        <f>_xlfn.XLOOKUP(L7142,[2]analyte_order!$C:$C,[2]analyte_order!$E:$E)</f>
        <v>43</v>
      </c>
      <c r="N7142">
        <v>0.433</v>
      </c>
    </row>
    <row r="7143" spans="1:14">
      <c r="A7143" t="s">
        <v>303</v>
      </c>
      <c r="B7143" t="str">
        <f>_xlfn.XLOOKUP(A7143,'[1]Tissue Data'!$A:$A,'[1]Tissue Data'!$C:$C)</f>
        <v>Down</v>
      </c>
      <c r="C7143" s="2">
        <f>_xlfn.XLOOKUP(A7143,'[1]Tissue Data'!$A:$A,'[1]Tissue Data'!$D:$D)</f>
        <v>44393</v>
      </c>
      <c r="D7143" s="2" t="str">
        <f>_xlfn.XLOOKUP(A7143,'[1]Tissue Data'!$A:$A,'[1]Tissue Data'!$F:$F)</f>
        <v>Pumpkinseed</v>
      </c>
      <c r="E7143" t="str">
        <f>_xlfn.XLOOKUP(A7143,'[1]Tissue Data'!$A:$A,'[1]Tissue Data'!$H:$H)</f>
        <v>Lepomis</v>
      </c>
      <c r="F7143" t="str">
        <f>_xlfn.XLOOKUP(A7143,'[1]Tissue Data'!$A:$A,'[1]Tissue Data'!$I:$I)</f>
        <v>gibbosus</v>
      </c>
      <c r="G7143" t="str">
        <f>_xlfn.XLOOKUP(A7143,'[1]Tissue Data'!$A:$A,'[1]Tissue Data'!J:J)</f>
        <v>U</v>
      </c>
      <c r="H7143" t="str">
        <f>_xlfn.XLOOKUP(A7143,'[1]Tissue Data'!$A:$A,'[1]Tissue Data'!K:K)</f>
        <v>Whole Body</v>
      </c>
      <c r="I7143">
        <f>_xlfn.XLOOKUP(A7143,'[1]Tissue Data'!$A:$A,'[1]Tissue Data'!L:L)</f>
        <v>11</v>
      </c>
      <c r="J7143">
        <f>_xlfn.XLOOKUP(A7143,'[1]Tissue Data'!$A:$A,'[1]Tissue Data'!M:M)</f>
        <v>22.29</v>
      </c>
      <c r="K7143" t="s">
        <v>53</v>
      </c>
      <c r="L7143" t="str">
        <f>_xlfn.XLOOKUP(K7143,[2]analyte_order!$B:$B,[2]analyte_order!$C:$C)</f>
        <v>161094-75-3</v>
      </c>
      <c r="M7143">
        <f>_xlfn.XLOOKUP(L7143,[2]analyte_order!$C:$C,[2]analyte_order!$E:$E)</f>
        <v>44</v>
      </c>
      <c r="N7143">
        <v>0.433</v>
      </c>
    </row>
    <row r="7144" spans="1:14">
      <c r="A7144" t="s">
        <v>303</v>
      </c>
      <c r="B7144" t="str">
        <f>_xlfn.XLOOKUP(A7144,'[1]Tissue Data'!$A:$A,'[1]Tissue Data'!$C:$C)</f>
        <v>Down</v>
      </c>
      <c r="C7144" s="2">
        <f>_xlfn.XLOOKUP(A7144,'[1]Tissue Data'!$A:$A,'[1]Tissue Data'!$D:$D)</f>
        <v>44393</v>
      </c>
      <c r="D7144" s="2" t="str">
        <f>_xlfn.XLOOKUP(A7144,'[1]Tissue Data'!$A:$A,'[1]Tissue Data'!$F:$F)</f>
        <v>Pumpkinseed</v>
      </c>
      <c r="E7144" t="str">
        <f>_xlfn.XLOOKUP(A7144,'[1]Tissue Data'!$A:$A,'[1]Tissue Data'!$H:$H)</f>
        <v>Lepomis</v>
      </c>
      <c r="F7144" t="str">
        <f>_xlfn.XLOOKUP(A7144,'[1]Tissue Data'!$A:$A,'[1]Tissue Data'!$I:$I)</f>
        <v>gibbosus</v>
      </c>
      <c r="G7144" t="str">
        <f>_xlfn.XLOOKUP(A7144,'[1]Tissue Data'!$A:$A,'[1]Tissue Data'!J:J)</f>
        <v>U</v>
      </c>
      <c r="H7144" t="str">
        <f>_xlfn.XLOOKUP(A7144,'[1]Tissue Data'!$A:$A,'[1]Tissue Data'!K:K)</f>
        <v>Whole Body</v>
      </c>
      <c r="I7144">
        <f>_xlfn.XLOOKUP(A7144,'[1]Tissue Data'!$A:$A,'[1]Tissue Data'!L:L)</f>
        <v>11</v>
      </c>
      <c r="J7144">
        <f>_xlfn.XLOOKUP(A7144,'[1]Tissue Data'!$A:$A,'[1]Tissue Data'!M:M)</f>
        <v>22.29</v>
      </c>
      <c r="K7144" t="s">
        <v>54</v>
      </c>
      <c r="L7144" t="str">
        <f>_xlfn.XLOOKUP(K7144,[2]analyte_order!$B:$B,[2]analyte_order!$C:$C)</f>
        <v>70887-84-2</v>
      </c>
      <c r="M7144">
        <f>_xlfn.XLOOKUP(L7144,[2]analyte_order!$C:$C,[2]analyte_order!$E:$E)</f>
        <v>45</v>
      </c>
      <c r="N7144">
        <v>0.433</v>
      </c>
    </row>
    <row r="7145" spans="1:14">
      <c r="A7145" t="s">
        <v>303</v>
      </c>
      <c r="B7145" t="str">
        <f>_xlfn.XLOOKUP(A7145,'[1]Tissue Data'!$A:$A,'[1]Tissue Data'!$C:$C)</f>
        <v>Down</v>
      </c>
      <c r="C7145" s="2">
        <f>_xlfn.XLOOKUP(A7145,'[1]Tissue Data'!$A:$A,'[1]Tissue Data'!$D:$D)</f>
        <v>44393</v>
      </c>
      <c r="D7145" s="2" t="str">
        <f>_xlfn.XLOOKUP(A7145,'[1]Tissue Data'!$A:$A,'[1]Tissue Data'!$F:$F)</f>
        <v>Pumpkinseed</v>
      </c>
      <c r="E7145" t="str">
        <f>_xlfn.XLOOKUP(A7145,'[1]Tissue Data'!$A:$A,'[1]Tissue Data'!$H:$H)</f>
        <v>Lepomis</v>
      </c>
      <c r="F7145" t="str">
        <f>_xlfn.XLOOKUP(A7145,'[1]Tissue Data'!$A:$A,'[1]Tissue Data'!$I:$I)</f>
        <v>gibbosus</v>
      </c>
      <c r="G7145" t="str">
        <f>_xlfn.XLOOKUP(A7145,'[1]Tissue Data'!$A:$A,'[1]Tissue Data'!J:J)</f>
        <v>U</v>
      </c>
      <c r="H7145" t="str">
        <f>_xlfn.XLOOKUP(A7145,'[1]Tissue Data'!$A:$A,'[1]Tissue Data'!K:K)</f>
        <v>Whole Body</v>
      </c>
      <c r="I7145">
        <f>_xlfn.XLOOKUP(A7145,'[1]Tissue Data'!$A:$A,'[1]Tissue Data'!L:L)</f>
        <v>11</v>
      </c>
      <c r="J7145">
        <f>_xlfn.XLOOKUP(A7145,'[1]Tissue Data'!$A:$A,'[1]Tissue Data'!M:M)</f>
        <v>22.29</v>
      </c>
      <c r="K7145" t="s">
        <v>55</v>
      </c>
      <c r="L7145" t="str">
        <f>_xlfn.XLOOKUP(K7145,[2]analyte_order!$B:$B,[2]analyte_order!$C:$C)</f>
        <v>919005-14-4</v>
      </c>
      <c r="M7145">
        <f>_xlfn.XLOOKUP(L7145,[2]analyte_order!$C:$C,[2]analyte_order!$E:$E)</f>
        <v>35</v>
      </c>
      <c r="N7145">
        <v>0.71399999999999997</v>
      </c>
    </row>
    <row r="7146" spans="1:14">
      <c r="A7146" t="s">
        <v>303</v>
      </c>
      <c r="B7146" t="str">
        <f>_xlfn.XLOOKUP(A7146,'[1]Tissue Data'!$A:$A,'[1]Tissue Data'!$C:$C)</f>
        <v>Down</v>
      </c>
      <c r="C7146" s="2">
        <f>_xlfn.XLOOKUP(A7146,'[1]Tissue Data'!$A:$A,'[1]Tissue Data'!$D:$D)</f>
        <v>44393</v>
      </c>
      <c r="D7146" s="2" t="str">
        <f>_xlfn.XLOOKUP(A7146,'[1]Tissue Data'!$A:$A,'[1]Tissue Data'!$F:$F)</f>
        <v>Pumpkinseed</v>
      </c>
      <c r="E7146" t="str">
        <f>_xlfn.XLOOKUP(A7146,'[1]Tissue Data'!$A:$A,'[1]Tissue Data'!$H:$H)</f>
        <v>Lepomis</v>
      </c>
      <c r="F7146" t="str">
        <f>_xlfn.XLOOKUP(A7146,'[1]Tissue Data'!$A:$A,'[1]Tissue Data'!$I:$I)</f>
        <v>gibbosus</v>
      </c>
      <c r="G7146" t="str">
        <f>_xlfn.XLOOKUP(A7146,'[1]Tissue Data'!$A:$A,'[1]Tissue Data'!J:J)</f>
        <v>U</v>
      </c>
      <c r="H7146" t="str">
        <f>_xlfn.XLOOKUP(A7146,'[1]Tissue Data'!$A:$A,'[1]Tissue Data'!K:K)</f>
        <v>Whole Body</v>
      </c>
      <c r="I7146">
        <f>_xlfn.XLOOKUP(A7146,'[1]Tissue Data'!$A:$A,'[1]Tissue Data'!L:L)</f>
        <v>11</v>
      </c>
      <c r="J7146">
        <f>_xlfn.XLOOKUP(A7146,'[1]Tissue Data'!$A:$A,'[1]Tissue Data'!M:M)</f>
        <v>22.29</v>
      </c>
      <c r="K7146" t="s">
        <v>56</v>
      </c>
      <c r="L7146" t="str">
        <f>_xlfn.XLOOKUP(K7146,[2]analyte_order!$B:$B,[2]analyte_order!$C:$C)</f>
        <v>756426-58-1</v>
      </c>
      <c r="M7146">
        <f>_xlfn.XLOOKUP(L7146,[2]analyte_order!$C:$C,[2]analyte_order!$E:$E)</f>
        <v>36</v>
      </c>
      <c r="N7146">
        <v>0.433</v>
      </c>
    </row>
    <row r="7147" spans="1:14">
      <c r="A7147" t="s">
        <v>303</v>
      </c>
      <c r="B7147" t="str">
        <f>_xlfn.XLOOKUP(A7147,'[1]Tissue Data'!$A:$A,'[1]Tissue Data'!$C:$C)</f>
        <v>Down</v>
      </c>
      <c r="C7147" s="2">
        <f>_xlfn.XLOOKUP(A7147,'[1]Tissue Data'!$A:$A,'[1]Tissue Data'!$D:$D)</f>
        <v>44393</v>
      </c>
      <c r="D7147" s="2" t="str">
        <f>_xlfn.XLOOKUP(A7147,'[1]Tissue Data'!$A:$A,'[1]Tissue Data'!$F:$F)</f>
        <v>Pumpkinseed</v>
      </c>
      <c r="E7147" t="str">
        <f>_xlfn.XLOOKUP(A7147,'[1]Tissue Data'!$A:$A,'[1]Tissue Data'!$H:$H)</f>
        <v>Lepomis</v>
      </c>
      <c r="F7147" t="str">
        <f>_xlfn.XLOOKUP(A7147,'[1]Tissue Data'!$A:$A,'[1]Tissue Data'!$I:$I)</f>
        <v>gibbosus</v>
      </c>
      <c r="G7147" t="str">
        <f>_xlfn.XLOOKUP(A7147,'[1]Tissue Data'!$A:$A,'[1]Tissue Data'!J:J)</f>
        <v>U</v>
      </c>
      <c r="H7147" t="str">
        <f>_xlfn.XLOOKUP(A7147,'[1]Tissue Data'!$A:$A,'[1]Tissue Data'!K:K)</f>
        <v>Whole Body</v>
      </c>
      <c r="I7147">
        <f>_xlfn.XLOOKUP(A7147,'[1]Tissue Data'!$A:$A,'[1]Tissue Data'!L:L)</f>
        <v>11</v>
      </c>
      <c r="J7147">
        <f>_xlfn.XLOOKUP(A7147,'[1]Tissue Data'!$A:$A,'[1]Tissue Data'!M:M)</f>
        <v>22.29</v>
      </c>
      <c r="K7147" t="s">
        <v>57</v>
      </c>
      <c r="L7147" t="str">
        <f>_xlfn.XLOOKUP(K7147,[2]analyte_order!$B:$B,[2]analyte_order!$C:$C)</f>
        <v>763051-92-9</v>
      </c>
      <c r="M7147">
        <f>_xlfn.XLOOKUP(L7147,[2]analyte_order!$C:$C,[2]analyte_order!$E:$E)</f>
        <v>37</v>
      </c>
      <c r="N7147">
        <v>0.433</v>
      </c>
    </row>
    <row r="7148" spans="1:14">
      <c r="A7148" t="s">
        <v>303</v>
      </c>
      <c r="B7148" t="str">
        <f>_xlfn.XLOOKUP(A7148,'[1]Tissue Data'!$A:$A,'[1]Tissue Data'!$C:$C)</f>
        <v>Down</v>
      </c>
      <c r="C7148" s="2">
        <f>_xlfn.XLOOKUP(A7148,'[1]Tissue Data'!$A:$A,'[1]Tissue Data'!$D:$D)</f>
        <v>44393</v>
      </c>
      <c r="D7148" s="2" t="str">
        <f>_xlfn.XLOOKUP(A7148,'[1]Tissue Data'!$A:$A,'[1]Tissue Data'!$F:$F)</f>
        <v>Pumpkinseed</v>
      </c>
      <c r="E7148" t="str">
        <f>_xlfn.XLOOKUP(A7148,'[1]Tissue Data'!$A:$A,'[1]Tissue Data'!$H:$H)</f>
        <v>Lepomis</v>
      </c>
      <c r="F7148" t="str">
        <f>_xlfn.XLOOKUP(A7148,'[1]Tissue Data'!$A:$A,'[1]Tissue Data'!$I:$I)</f>
        <v>gibbosus</v>
      </c>
      <c r="G7148" t="str">
        <f>_xlfn.XLOOKUP(A7148,'[1]Tissue Data'!$A:$A,'[1]Tissue Data'!J:J)</f>
        <v>U</v>
      </c>
      <c r="H7148" t="str">
        <f>_xlfn.XLOOKUP(A7148,'[1]Tissue Data'!$A:$A,'[1]Tissue Data'!K:K)</f>
        <v>Whole Body</v>
      </c>
      <c r="I7148">
        <f>_xlfn.XLOOKUP(A7148,'[1]Tissue Data'!$A:$A,'[1]Tissue Data'!L:L)</f>
        <v>11</v>
      </c>
      <c r="J7148">
        <f>_xlfn.XLOOKUP(A7148,'[1]Tissue Data'!$A:$A,'[1]Tissue Data'!M:M)</f>
        <v>22.29</v>
      </c>
      <c r="K7148" t="s">
        <v>58</v>
      </c>
      <c r="L7148" t="str">
        <f>_xlfn.XLOOKUP(K7148,[2]analyte_order!$B:$B,[2]analyte_order!$C:$C)</f>
        <v>13252-13-6</v>
      </c>
      <c r="M7148">
        <f>_xlfn.XLOOKUP(L7148,[2]analyte_order!$C:$C,[2]analyte_order!$E:$E)</f>
        <v>34</v>
      </c>
      <c r="N7148">
        <v>0.3105</v>
      </c>
    </row>
    <row r="7149" spans="1:14">
      <c r="A7149" t="s">
        <v>303</v>
      </c>
      <c r="B7149" t="str">
        <f>_xlfn.XLOOKUP(A7149,'[1]Tissue Data'!$A:$A,'[1]Tissue Data'!$C:$C)</f>
        <v>Down</v>
      </c>
      <c r="C7149" s="2">
        <f>_xlfn.XLOOKUP(A7149,'[1]Tissue Data'!$A:$A,'[1]Tissue Data'!$D:$D)</f>
        <v>44393</v>
      </c>
      <c r="D7149" s="2" t="str">
        <f>_xlfn.XLOOKUP(A7149,'[1]Tissue Data'!$A:$A,'[1]Tissue Data'!$F:$F)</f>
        <v>Pumpkinseed</v>
      </c>
      <c r="E7149" t="str">
        <f>_xlfn.XLOOKUP(A7149,'[1]Tissue Data'!$A:$A,'[1]Tissue Data'!$H:$H)</f>
        <v>Lepomis</v>
      </c>
      <c r="F7149" t="str">
        <f>_xlfn.XLOOKUP(A7149,'[1]Tissue Data'!$A:$A,'[1]Tissue Data'!$I:$I)</f>
        <v>gibbosus</v>
      </c>
      <c r="G7149" t="str">
        <f>_xlfn.XLOOKUP(A7149,'[1]Tissue Data'!$A:$A,'[1]Tissue Data'!J:J)</f>
        <v>U</v>
      </c>
      <c r="H7149" t="str">
        <f>_xlfn.XLOOKUP(A7149,'[1]Tissue Data'!$A:$A,'[1]Tissue Data'!K:K)</f>
        <v>Whole Body</v>
      </c>
      <c r="I7149">
        <f>_xlfn.XLOOKUP(A7149,'[1]Tissue Data'!$A:$A,'[1]Tissue Data'!L:L)</f>
        <v>11</v>
      </c>
      <c r="J7149">
        <f>_xlfn.XLOOKUP(A7149,'[1]Tissue Data'!$A:$A,'[1]Tissue Data'!M:M)</f>
        <v>22.29</v>
      </c>
      <c r="K7149" t="s">
        <v>59</v>
      </c>
      <c r="L7149" t="str">
        <f>_xlfn.XLOOKUP(K7149,[2]analyte_order!$B:$B,[2]analyte_order!$C:$C)</f>
        <v>57677-95-9</v>
      </c>
      <c r="M7149">
        <f>_xlfn.XLOOKUP(L7149,[2]analyte_order!$C:$C,[2]analyte_order!$E:$E)</f>
        <v>46</v>
      </c>
      <c r="N7149">
        <v>0.433</v>
      </c>
    </row>
    <row r="7150" spans="1:14">
      <c r="A7150" t="s">
        <v>303</v>
      </c>
      <c r="B7150" t="str">
        <f>_xlfn.XLOOKUP(A7150,'[1]Tissue Data'!$A:$A,'[1]Tissue Data'!$C:$C)</f>
        <v>Down</v>
      </c>
      <c r="C7150" s="2">
        <f>_xlfn.XLOOKUP(A7150,'[1]Tissue Data'!$A:$A,'[1]Tissue Data'!$D:$D)</f>
        <v>44393</v>
      </c>
      <c r="D7150" s="2" t="str">
        <f>_xlfn.XLOOKUP(A7150,'[1]Tissue Data'!$A:$A,'[1]Tissue Data'!$F:$F)</f>
        <v>Pumpkinseed</v>
      </c>
      <c r="E7150" t="str">
        <f>_xlfn.XLOOKUP(A7150,'[1]Tissue Data'!$A:$A,'[1]Tissue Data'!$H:$H)</f>
        <v>Lepomis</v>
      </c>
      <c r="F7150" t="str">
        <f>_xlfn.XLOOKUP(A7150,'[1]Tissue Data'!$A:$A,'[1]Tissue Data'!$I:$I)</f>
        <v>gibbosus</v>
      </c>
      <c r="G7150" t="str">
        <f>_xlfn.XLOOKUP(A7150,'[1]Tissue Data'!$A:$A,'[1]Tissue Data'!J:J)</f>
        <v>U</v>
      </c>
      <c r="H7150" t="str">
        <f>_xlfn.XLOOKUP(A7150,'[1]Tissue Data'!$A:$A,'[1]Tissue Data'!K:K)</f>
        <v>Whole Body</v>
      </c>
      <c r="I7150">
        <f>_xlfn.XLOOKUP(A7150,'[1]Tissue Data'!$A:$A,'[1]Tissue Data'!L:L)</f>
        <v>11</v>
      </c>
      <c r="J7150">
        <f>_xlfn.XLOOKUP(A7150,'[1]Tissue Data'!$A:$A,'[1]Tissue Data'!M:M)</f>
        <v>22.29</v>
      </c>
      <c r="K7150" t="s">
        <v>60</v>
      </c>
      <c r="L7150" t="str">
        <f>_xlfn.XLOOKUP(K7150,[2]analyte_order!$B:$B,[2]analyte_order!$C:$C)</f>
        <v>678-41-1</v>
      </c>
      <c r="M7150">
        <f>_xlfn.XLOOKUP(L7150,[2]analyte_order!$C:$C,[2]analyte_order!$E:$E)</f>
        <v>56</v>
      </c>
      <c r="N7150">
        <v>0.433</v>
      </c>
    </row>
    <row r="7151" spans="1:14">
      <c r="A7151" t="s">
        <v>303</v>
      </c>
      <c r="B7151" t="str">
        <f>_xlfn.XLOOKUP(A7151,'[1]Tissue Data'!$A:$A,'[1]Tissue Data'!$C:$C)</f>
        <v>Down</v>
      </c>
      <c r="C7151" s="2">
        <f>_xlfn.XLOOKUP(A7151,'[1]Tissue Data'!$A:$A,'[1]Tissue Data'!$D:$D)</f>
        <v>44393</v>
      </c>
      <c r="D7151" s="2" t="str">
        <f>_xlfn.XLOOKUP(A7151,'[1]Tissue Data'!$A:$A,'[1]Tissue Data'!$F:$F)</f>
        <v>Pumpkinseed</v>
      </c>
      <c r="E7151" t="str">
        <f>_xlfn.XLOOKUP(A7151,'[1]Tissue Data'!$A:$A,'[1]Tissue Data'!$H:$H)</f>
        <v>Lepomis</v>
      </c>
      <c r="F7151" t="str">
        <f>_xlfn.XLOOKUP(A7151,'[1]Tissue Data'!$A:$A,'[1]Tissue Data'!$I:$I)</f>
        <v>gibbosus</v>
      </c>
      <c r="G7151" t="str">
        <f>_xlfn.XLOOKUP(A7151,'[1]Tissue Data'!$A:$A,'[1]Tissue Data'!J:J)</f>
        <v>U</v>
      </c>
      <c r="H7151" t="str">
        <f>_xlfn.XLOOKUP(A7151,'[1]Tissue Data'!$A:$A,'[1]Tissue Data'!K:K)</f>
        <v>Whole Body</v>
      </c>
      <c r="I7151">
        <f>_xlfn.XLOOKUP(A7151,'[1]Tissue Data'!$A:$A,'[1]Tissue Data'!L:L)</f>
        <v>11</v>
      </c>
      <c r="J7151">
        <f>_xlfn.XLOOKUP(A7151,'[1]Tissue Data'!$A:$A,'[1]Tissue Data'!M:M)</f>
        <v>22.29</v>
      </c>
      <c r="K7151" t="s">
        <v>61</v>
      </c>
      <c r="L7151" t="str">
        <f>_xlfn.XLOOKUP(K7151,[2]analyte_order!$B:$B,[2]analyte_order!$C:$C)</f>
        <v>2965-52-8</v>
      </c>
      <c r="M7151">
        <f>_xlfn.XLOOKUP(L7151,[2]analyte_order!$C:$C,[2]analyte_order!$E:$E)</f>
        <v>57</v>
      </c>
      <c r="N7151">
        <v>0.433</v>
      </c>
    </row>
    <row r="7152" spans="1:14">
      <c r="A7152" t="s">
        <v>304</v>
      </c>
      <c r="B7152" t="str">
        <f>_xlfn.XLOOKUP(A7152,'[1]Tissue Data'!$A:$A,'[1]Tissue Data'!$C:$C)</f>
        <v>Down</v>
      </c>
      <c r="C7152" s="2">
        <f>_xlfn.XLOOKUP(A7152,'[1]Tissue Data'!$A:$A,'[1]Tissue Data'!$D:$D)</f>
        <v>44393</v>
      </c>
      <c r="D7152" s="2" t="str">
        <f>_xlfn.XLOOKUP(A7152,'[1]Tissue Data'!$A:$A,'[1]Tissue Data'!$F:$F)</f>
        <v>Pumpkinseed</v>
      </c>
      <c r="E7152" t="str">
        <f>_xlfn.XLOOKUP(A7152,'[1]Tissue Data'!$A:$A,'[1]Tissue Data'!$H:$H)</f>
        <v>Lepomis</v>
      </c>
      <c r="F7152" t="str">
        <f>_xlfn.XLOOKUP(A7152,'[1]Tissue Data'!$A:$A,'[1]Tissue Data'!$I:$I)</f>
        <v>gibbosus</v>
      </c>
      <c r="G7152" t="str">
        <f>_xlfn.XLOOKUP(A7152,'[1]Tissue Data'!$A:$A,'[1]Tissue Data'!J:J)</f>
        <v>U</v>
      </c>
      <c r="H7152" t="str">
        <f>_xlfn.XLOOKUP(A7152,'[1]Tissue Data'!$A:$A,'[1]Tissue Data'!K:K)</f>
        <v>Whole Body</v>
      </c>
      <c r="I7152">
        <f>_xlfn.XLOOKUP(A7152,'[1]Tissue Data'!$A:$A,'[1]Tissue Data'!L:L)</f>
        <v>10</v>
      </c>
      <c r="J7152">
        <f>_xlfn.XLOOKUP(A7152,'[1]Tissue Data'!$A:$A,'[1]Tissue Data'!M:M)</f>
        <v>15.22</v>
      </c>
      <c r="K7152" t="s">
        <v>12</v>
      </c>
      <c r="L7152" t="str">
        <f>_xlfn.XLOOKUP(K7152,[2]analyte_order!$B:$B,[2]analyte_order!$C:$C)</f>
        <v>375-22-4</v>
      </c>
      <c r="M7152">
        <f>_xlfn.XLOOKUP(L7152,[2]analyte_order!$C:$C,[2]analyte_order!$E:$E)</f>
        <v>1</v>
      </c>
      <c r="N7152">
        <v>0.22450000000000001</v>
      </c>
    </row>
    <row r="7153" spans="1:14">
      <c r="A7153" t="s">
        <v>304</v>
      </c>
      <c r="B7153" t="str">
        <f>_xlfn.XLOOKUP(A7153,'[1]Tissue Data'!$A:$A,'[1]Tissue Data'!$C:$C)</f>
        <v>Down</v>
      </c>
      <c r="C7153" s="2">
        <f>_xlfn.XLOOKUP(A7153,'[1]Tissue Data'!$A:$A,'[1]Tissue Data'!$D:$D)</f>
        <v>44393</v>
      </c>
      <c r="D7153" s="2" t="str">
        <f>_xlfn.XLOOKUP(A7153,'[1]Tissue Data'!$A:$A,'[1]Tissue Data'!$F:$F)</f>
        <v>Pumpkinseed</v>
      </c>
      <c r="E7153" t="str">
        <f>_xlfn.XLOOKUP(A7153,'[1]Tissue Data'!$A:$A,'[1]Tissue Data'!$H:$H)</f>
        <v>Lepomis</v>
      </c>
      <c r="F7153" t="str">
        <f>_xlfn.XLOOKUP(A7153,'[1]Tissue Data'!$A:$A,'[1]Tissue Data'!$I:$I)</f>
        <v>gibbosus</v>
      </c>
      <c r="G7153" t="str">
        <f>_xlfn.XLOOKUP(A7153,'[1]Tissue Data'!$A:$A,'[1]Tissue Data'!J:J)</f>
        <v>U</v>
      </c>
      <c r="H7153" t="str">
        <f>_xlfn.XLOOKUP(A7153,'[1]Tissue Data'!$A:$A,'[1]Tissue Data'!K:K)</f>
        <v>Whole Body</v>
      </c>
      <c r="I7153">
        <f>_xlfn.XLOOKUP(A7153,'[1]Tissue Data'!$A:$A,'[1]Tissue Data'!L:L)</f>
        <v>10</v>
      </c>
      <c r="J7153">
        <f>_xlfn.XLOOKUP(A7153,'[1]Tissue Data'!$A:$A,'[1]Tissue Data'!M:M)</f>
        <v>15.22</v>
      </c>
      <c r="K7153" t="s">
        <v>13</v>
      </c>
      <c r="L7153" t="str">
        <f>_xlfn.XLOOKUP(K7153,[2]analyte_order!$B:$B,[2]analyte_order!$C:$C)</f>
        <v>2706-90-3</v>
      </c>
      <c r="M7153">
        <f>_xlfn.XLOOKUP(L7153,[2]analyte_order!$C:$C,[2]analyte_order!$E:$E)</f>
        <v>2</v>
      </c>
      <c r="N7153">
        <v>0.22450000000000001</v>
      </c>
    </row>
    <row r="7154" spans="1:14">
      <c r="A7154" t="s">
        <v>304</v>
      </c>
      <c r="B7154" t="str">
        <f>_xlfn.XLOOKUP(A7154,'[1]Tissue Data'!$A:$A,'[1]Tissue Data'!$C:$C)</f>
        <v>Down</v>
      </c>
      <c r="C7154" s="2">
        <f>_xlfn.XLOOKUP(A7154,'[1]Tissue Data'!$A:$A,'[1]Tissue Data'!$D:$D)</f>
        <v>44393</v>
      </c>
      <c r="D7154" s="2" t="str">
        <f>_xlfn.XLOOKUP(A7154,'[1]Tissue Data'!$A:$A,'[1]Tissue Data'!$F:$F)</f>
        <v>Pumpkinseed</v>
      </c>
      <c r="E7154" t="str">
        <f>_xlfn.XLOOKUP(A7154,'[1]Tissue Data'!$A:$A,'[1]Tissue Data'!$H:$H)</f>
        <v>Lepomis</v>
      </c>
      <c r="F7154" t="str">
        <f>_xlfn.XLOOKUP(A7154,'[1]Tissue Data'!$A:$A,'[1]Tissue Data'!$I:$I)</f>
        <v>gibbosus</v>
      </c>
      <c r="G7154" t="str">
        <f>_xlfn.XLOOKUP(A7154,'[1]Tissue Data'!$A:$A,'[1]Tissue Data'!J:J)</f>
        <v>U</v>
      </c>
      <c r="H7154" t="str">
        <f>_xlfn.XLOOKUP(A7154,'[1]Tissue Data'!$A:$A,'[1]Tissue Data'!K:K)</f>
        <v>Whole Body</v>
      </c>
      <c r="I7154">
        <f>_xlfn.XLOOKUP(A7154,'[1]Tissue Data'!$A:$A,'[1]Tissue Data'!L:L)</f>
        <v>10</v>
      </c>
      <c r="J7154">
        <f>_xlfn.XLOOKUP(A7154,'[1]Tissue Data'!$A:$A,'[1]Tissue Data'!M:M)</f>
        <v>15.22</v>
      </c>
      <c r="K7154" t="s">
        <v>14</v>
      </c>
      <c r="L7154" t="str">
        <f>_xlfn.XLOOKUP(K7154,[2]analyte_order!$B:$B,[2]analyte_order!$C:$C)</f>
        <v>307-24-4</v>
      </c>
      <c r="M7154">
        <f>_xlfn.XLOOKUP(L7154,[2]analyte_order!$C:$C,[2]analyte_order!$E:$E)</f>
        <v>3</v>
      </c>
      <c r="N7154">
        <v>0.1215</v>
      </c>
    </row>
    <row r="7155" spans="1:14">
      <c r="A7155" t="s">
        <v>304</v>
      </c>
      <c r="B7155" t="str">
        <f>_xlfn.XLOOKUP(A7155,'[1]Tissue Data'!$A:$A,'[1]Tissue Data'!$C:$C)</f>
        <v>Down</v>
      </c>
      <c r="C7155" s="2">
        <f>_xlfn.XLOOKUP(A7155,'[1]Tissue Data'!$A:$A,'[1]Tissue Data'!$D:$D)</f>
        <v>44393</v>
      </c>
      <c r="D7155" s="2" t="str">
        <f>_xlfn.XLOOKUP(A7155,'[1]Tissue Data'!$A:$A,'[1]Tissue Data'!$F:$F)</f>
        <v>Pumpkinseed</v>
      </c>
      <c r="E7155" t="str">
        <f>_xlfn.XLOOKUP(A7155,'[1]Tissue Data'!$A:$A,'[1]Tissue Data'!$H:$H)</f>
        <v>Lepomis</v>
      </c>
      <c r="F7155" t="str">
        <f>_xlfn.XLOOKUP(A7155,'[1]Tissue Data'!$A:$A,'[1]Tissue Data'!$I:$I)</f>
        <v>gibbosus</v>
      </c>
      <c r="G7155" t="str">
        <f>_xlfn.XLOOKUP(A7155,'[1]Tissue Data'!$A:$A,'[1]Tissue Data'!J:J)</f>
        <v>U</v>
      </c>
      <c r="H7155" t="str">
        <f>_xlfn.XLOOKUP(A7155,'[1]Tissue Data'!$A:$A,'[1]Tissue Data'!K:K)</f>
        <v>Whole Body</v>
      </c>
      <c r="I7155">
        <f>_xlfn.XLOOKUP(A7155,'[1]Tissue Data'!$A:$A,'[1]Tissue Data'!L:L)</f>
        <v>10</v>
      </c>
      <c r="J7155">
        <f>_xlfn.XLOOKUP(A7155,'[1]Tissue Data'!$A:$A,'[1]Tissue Data'!M:M)</f>
        <v>15.22</v>
      </c>
      <c r="K7155" t="s">
        <v>15</v>
      </c>
      <c r="L7155" t="str">
        <f>_xlfn.XLOOKUP(K7155,[2]analyte_order!$B:$B,[2]analyte_order!$C:$C)</f>
        <v>375-85-9</v>
      </c>
      <c r="M7155">
        <f>_xlfn.XLOOKUP(L7155,[2]analyte_order!$C:$C,[2]analyte_order!$E:$E)</f>
        <v>4</v>
      </c>
      <c r="N7155">
        <v>0.22450000000000001</v>
      </c>
    </row>
    <row r="7156" spans="1:14">
      <c r="A7156" t="s">
        <v>304</v>
      </c>
      <c r="B7156" t="str">
        <f>_xlfn.XLOOKUP(A7156,'[1]Tissue Data'!$A:$A,'[1]Tissue Data'!$C:$C)</f>
        <v>Down</v>
      </c>
      <c r="C7156" s="2">
        <f>_xlfn.XLOOKUP(A7156,'[1]Tissue Data'!$A:$A,'[1]Tissue Data'!$D:$D)</f>
        <v>44393</v>
      </c>
      <c r="D7156" s="2" t="str">
        <f>_xlfn.XLOOKUP(A7156,'[1]Tissue Data'!$A:$A,'[1]Tissue Data'!$F:$F)</f>
        <v>Pumpkinseed</v>
      </c>
      <c r="E7156" t="str">
        <f>_xlfn.XLOOKUP(A7156,'[1]Tissue Data'!$A:$A,'[1]Tissue Data'!$H:$H)</f>
        <v>Lepomis</v>
      </c>
      <c r="F7156" t="str">
        <f>_xlfn.XLOOKUP(A7156,'[1]Tissue Data'!$A:$A,'[1]Tissue Data'!$I:$I)</f>
        <v>gibbosus</v>
      </c>
      <c r="G7156" t="str">
        <f>_xlfn.XLOOKUP(A7156,'[1]Tissue Data'!$A:$A,'[1]Tissue Data'!J:J)</f>
        <v>U</v>
      </c>
      <c r="H7156" t="str">
        <f>_xlfn.XLOOKUP(A7156,'[1]Tissue Data'!$A:$A,'[1]Tissue Data'!K:K)</f>
        <v>Whole Body</v>
      </c>
      <c r="I7156">
        <f>_xlfn.XLOOKUP(A7156,'[1]Tissue Data'!$A:$A,'[1]Tissue Data'!L:L)</f>
        <v>10</v>
      </c>
      <c r="J7156">
        <f>_xlfn.XLOOKUP(A7156,'[1]Tissue Data'!$A:$A,'[1]Tissue Data'!M:M)</f>
        <v>15.22</v>
      </c>
      <c r="K7156" t="s">
        <v>16</v>
      </c>
      <c r="L7156" t="str">
        <f>_xlfn.XLOOKUP(K7156,[2]analyte_order!$B:$B,[2]analyte_order!$C:$C)</f>
        <v>335-67-1</v>
      </c>
      <c r="M7156">
        <f>_xlfn.XLOOKUP(L7156,[2]analyte_order!$C:$C,[2]analyte_order!$E:$E)</f>
        <v>5</v>
      </c>
      <c r="N7156">
        <v>0.49399999999999999</v>
      </c>
    </row>
    <row r="7157" spans="1:14">
      <c r="A7157" t="s">
        <v>304</v>
      </c>
      <c r="B7157" t="str">
        <f>_xlfn.XLOOKUP(A7157,'[1]Tissue Data'!$A:$A,'[1]Tissue Data'!$C:$C)</f>
        <v>Down</v>
      </c>
      <c r="C7157" s="2">
        <f>_xlfn.XLOOKUP(A7157,'[1]Tissue Data'!$A:$A,'[1]Tissue Data'!$D:$D)</f>
        <v>44393</v>
      </c>
      <c r="D7157" s="2" t="str">
        <f>_xlfn.XLOOKUP(A7157,'[1]Tissue Data'!$A:$A,'[1]Tissue Data'!$F:$F)</f>
        <v>Pumpkinseed</v>
      </c>
      <c r="E7157" t="str">
        <f>_xlfn.XLOOKUP(A7157,'[1]Tissue Data'!$A:$A,'[1]Tissue Data'!$H:$H)</f>
        <v>Lepomis</v>
      </c>
      <c r="F7157" t="str">
        <f>_xlfn.XLOOKUP(A7157,'[1]Tissue Data'!$A:$A,'[1]Tissue Data'!$I:$I)</f>
        <v>gibbosus</v>
      </c>
      <c r="G7157" t="str">
        <f>_xlfn.XLOOKUP(A7157,'[1]Tissue Data'!$A:$A,'[1]Tissue Data'!J:J)</f>
        <v>U</v>
      </c>
      <c r="H7157" t="str">
        <f>_xlfn.XLOOKUP(A7157,'[1]Tissue Data'!$A:$A,'[1]Tissue Data'!K:K)</f>
        <v>Whole Body</v>
      </c>
      <c r="I7157">
        <f>_xlfn.XLOOKUP(A7157,'[1]Tissue Data'!$A:$A,'[1]Tissue Data'!L:L)</f>
        <v>10</v>
      </c>
      <c r="J7157">
        <f>_xlfn.XLOOKUP(A7157,'[1]Tissue Data'!$A:$A,'[1]Tissue Data'!M:M)</f>
        <v>15.22</v>
      </c>
      <c r="K7157" t="s">
        <v>17</v>
      </c>
      <c r="L7157" t="str">
        <f>_xlfn.XLOOKUP(K7157,[2]analyte_order!$B:$B,[2]analyte_order!$C:$C)</f>
        <v>375-95-1</v>
      </c>
      <c r="M7157">
        <f>_xlfn.XLOOKUP(L7157,[2]analyte_order!$C:$C,[2]analyte_order!$E:$E)</f>
        <v>6</v>
      </c>
      <c r="N7157">
        <v>0.1555</v>
      </c>
    </row>
    <row r="7158" spans="1:14">
      <c r="A7158" t="s">
        <v>304</v>
      </c>
      <c r="B7158" t="str">
        <f>_xlfn.XLOOKUP(A7158,'[1]Tissue Data'!$A:$A,'[1]Tissue Data'!$C:$C)</f>
        <v>Down</v>
      </c>
      <c r="C7158" s="2">
        <f>_xlfn.XLOOKUP(A7158,'[1]Tissue Data'!$A:$A,'[1]Tissue Data'!$D:$D)</f>
        <v>44393</v>
      </c>
      <c r="D7158" s="2" t="str">
        <f>_xlfn.XLOOKUP(A7158,'[1]Tissue Data'!$A:$A,'[1]Tissue Data'!$F:$F)</f>
        <v>Pumpkinseed</v>
      </c>
      <c r="E7158" t="str">
        <f>_xlfn.XLOOKUP(A7158,'[1]Tissue Data'!$A:$A,'[1]Tissue Data'!$H:$H)</f>
        <v>Lepomis</v>
      </c>
      <c r="F7158" t="str">
        <f>_xlfn.XLOOKUP(A7158,'[1]Tissue Data'!$A:$A,'[1]Tissue Data'!$I:$I)</f>
        <v>gibbosus</v>
      </c>
      <c r="G7158" t="str">
        <f>_xlfn.XLOOKUP(A7158,'[1]Tissue Data'!$A:$A,'[1]Tissue Data'!J:J)</f>
        <v>U</v>
      </c>
      <c r="H7158" t="str">
        <f>_xlfn.XLOOKUP(A7158,'[1]Tissue Data'!$A:$A,'[1]Tissue Data'!K:K)</f>
        <v>Whole Body</v>
      </c>
      <c r="I7158">
        <f>_xlfn.XLOOKUP(A7158,'[1]Tissue Data'!$A:$A,'[1]Tissue Data'!L:L)</f>
        <v>10</v>
      </c>
      <c r="J7158">
        <f>_xlfn.XLOOKUP(A7158,'[1]Tissue Data'!$A:$A,'[1]Tissue Data'!M:M)</f>
        <v>15.22</v>
      </c>
      <c r="K7158" t="s">
        <v>18</v>
      </c>
      <c r="L7158" t="str">
        <f>_xlfn.XLOOKUP(K7158,[2]analyte_order!$B:$B,[2]analyte_order!$C:$C)</f>
        <v>335-76-2</v>
      </c>
      <c r="M7158">
        <f>_xlfn.XLOOKUP(L7158,[2]analyte_order!$C:$C,[2]analyte_order!$E:$E)</f>
        <v>7</v>
      </c>
      <c r="N7158">
        <v>3.6</v>
      </c>
    </row>
    <row r="7159" spans="1:14">
      <c r="A7159" t="s">
        <v>304</v>
      </c>
      <c r="B7159" t="str">
        <f>_xlfn.XLOOKUP(A7159,'[1]Tissue Data'!$A:$A,'[1]Tissue Data'!$C:$C)</f>
        <v>Down</v>
      </c>
      <c r="C7159" s="2">
        <f>_xlfn.XLOOKUP(A7159,'[1]Tissue Data'!$A:$A,'[1]Tissue Data'!$D:$D)</f>
        <v>44393</v>
      </c>
      <c r="D7159" s="2" t="str">
        <f>_xlfn.XLOOKUP(A7159,'[1]Tissue Data'!$A:$A,'[1]Tissue Data'!$F:$F)</f>
        <v>Pumpkinseed</v>
      </c>
      <c r="E7159" t="str">
        <f>_xlfn.XLOOKUP(A7159,'[1]Tissue Data'!$A:$A,'[1]Tissue Data'!$H:$H)</f>
        <v>Lepomis</v>
      </c>
      <c r="F7159" t="str">
        <f>_xlfn.XLOOKUP(A7159,'[1]Tissue Data'!$A:$A,'[1]Tissue Data'!$I:$I)</f>
        <v>gibbosus</v>
      </c>
      <c r="G7159" t="str">
        <f>_xlfn.XLOOKUP(A7159,'[1]Tissue Data'!$A:$A,'[1]Tissue Data'!J:J)</f>
        <v>U</v>
      </c>
      <c r="H7159" t="str">
        <f>_xlfn.XLOOKUP(A7159,'[1]Tissue Data'!$A:$A,'[1]Tissue Data'!K:K)</f>
        <v>Whole Body</v>
      </c>
      <c r="I7159">
        <f>_xlfn.XLOOKUP(A7159,'[1]Tissue Data'!$A:$A,'[1]Tissue Data'!L:L)</f>
        <v>10</v>
      </c>
      <c r="J7159">
        <f>_xlfn.XLOOKUP(A7159,'[1]Tissue Data'!$A:$A,'[1]Tissue Data'!M:M)</f>
        <v>15.22</v>
      </c>
      <c r="K7159" t="s">
        <v>19</v>
      </c>
      <c r="L7159" t="str">
        <f>_xlfn.XLOOKUP(K7159,[2]analyte_order!$B:$B,[2]analyte_order!$C:$C)</f>
        <v>2058-94-8</v>
      </c>
      <c r="M7159">
        <f>_xlfn.XLOOKUP(L7159,[2]analyte_order!$C:$C,[2]analyte_order!$E:$E)</f>
        <v>8</v>
      </c>
      <c r="N7159">
        <v>5.05</v>
      </c>
    </row>
    <row r="7160" spans="1:14">
      <c r="A7160" t="s">
        <v>304</v>
      </c>
      <c r="B7160" t="str">
        <f>_xlfn.XLOOKUP(A7160,'[1]Tissue Data'!$A:$A,'[1]Tissue Data'!$C:$C)</f>
        <v>Down</v>
      </c>
      <c r="C7160" s="2">
        <f>_xlfn.XLOOKUP(A7160,'[1]Tissue Data'!$A:$A,'[1]Tissue Data'!$D:$D)</f>
        <v>44393</v>
      </c>
      <c r="D7160" s="2" t="str">
        <f>_xlfn.XLOOKUP(A7160,'[1]Tissue Data'!$A:$A,'[1]Tissue Data'!$F:$F)</f>
        <v>Pumpkinseed</v>
      </c>
      <c r="E7160" t="str">
        <f>_xlfn.XLOOKUP(A7160,'[1]Tissue Data'!$A:$A,'[1]Tissue Data'!$H:$H)</f>
        <v>Lepomis</v>
      </c>
      <c r="F7160" t="str">
        <f>_xlfn.XLOOKUP(A7160,'[1]Tissue Data'!$A:$A,'[1]Tissue Data'!$I:$I)</f>
        <v>gibbosus</v>
      </c>
      <c r="G7160" t="str">
        <f>_xlfn.XLOOKUP(A7160,'[1]Tissue Data'!$A:$A,'[1]Tissue Data'!J:J)</f>
        <v>U</v>
      </c>
      <c r="H7160" t="str">
        <f>_xlfn.XLOOKUP(A7160,'[1]Tissue Data'!$A:$A,'[1]Tissue Data'!K:K)</f>
        <v>Whole Body</v>
      </c>
      <c r="I7160">
        <f>_xlfn.XLOOKUP(A7160,'[1]Tissue Data'!$A:$A,'[1]Tissue Data'!L:L)</f>
        <v>10</v>
      </c>
      <c r="J7160">
        <f>_xlfn.XLOOKUP(A7160,'[1]Tissue Data'!$A:$A,'[1]Tissue Data'!M:M)</f>
        <v>15.22</v>
      </c>
      <c r="K7160" t="s">
        <v>20</v>
      </c>
      <c r="L7160" t="str">
        <f>_xlfn.XLOOKUP(K7160,[2]analyte_order!$B:$B,[2]analyte_order!$C:$C)</f>
        <v>307-55-1</v>
      </c>
      <c r="M7160">
        <f>_xlfn.XLOOKUP(L7160,[2]analyte_order!$C:$C,[2]analyte_order!$E:$E)</f>
        <v>9</v>
      </c>
      <c r="N7160">
        <v>12.2</v>
      </c>
    </row>
    <row r="7161" spans="1:14">
      <c r="A7161" t="s">
        <v>304</v>
      </c>
      <c r="B7161" t="str">
        <f>_xlfn.XLOOKUP(A7161,'[1]Tissue Data'!$A:$A,'[1]Tissue Data'!$C:$C)</f>
        <v>Down</v>
      </c>
      <c r="C7161" s="2">
        <f>_xlfn.XLOOKUP(A7161,'[1]Tissue Data'!$A:$A,'[1]Tissue Data'!$D:$D)</f>
        <v>44393</v>
      </c>
      <c r="D7161" s="2" t="str">
        <f>_xlfn.XLOOKUP(A7161,'[1]Tissue Data'!$A:$A,'[1]Tissue Data'!$F:$F)</f>
        <v>Pumpkinseed</v>
      </c>
      <c r="E7161" t="str">
        <f>_xlfn.XLOOKUP(A7161,'[1]Tissue Data'!$A:$A,'[1]Tissue Data'!$H:$H)</f>
        <v>Lepomis</v>
      </c>
      <c r="F7161" t="str">
        <f>_xlfn.XLOOKUP(A7161,'[1]Tissue Data'!$A:$A,'[1]Tissue Data'!$I:$I)</f>
        <v>gibbosus</v>
      </c>
      <c r="G7161" t="str">
        <f>_xlfn.XLOOKUP(A7161,'[1]Tissue Data'!$A:$A,'[1]Tissue Data'!J:J)</f>
        <v>U</v>
      </c>
      <c r="H7161" t="str">
        <f>_xlfn.XLOOKUP(A7161,'[1]Tissue Data'!$A:$A,'[1]Tissue Data'!K:K)</f>
        <v>Whole Body</v>
      </c>
      <c r="I7161">
        <f>_xlfn.XLOOKUP(A7161,'[1]Tissue Data'!$A:$A,'[1]Tissue Data'!L:L)</f>
        <v>10</v>
      </c>
      <c r="J7161">
        <f>_xlfn.XLOOKUP(A7161,'[1]Tissue Data'!$A:$A,'[1]Tissue Data'!M:M)</f>
        <v>15.22</v>
      </c>
      <c r="K7161" t="s">
        <v>21</v>
      </c>
      <c r="L7161" t="str">
        <f>_xlfn.XLOOKUP(K7161,[2]analyte_order!$B:$B,[2]analyte_order!$C:$C)</f>
        <v>72629-94-8</v>
      </c>
      <c r="M7161">
        <f>_xlfn.XLOOKUP(L7161,[2]analyte_order!$C:$C,[2]analyte_order!$E:$E)</f>
        <v>10</v>
      </c>
      <c r="N7161">
        <v>2.4700000000000002</v>
      </c>
    </row>
    <row r="7162" spans="1:14">
      <c r="A7162" t="s">
        <v>304</v>
      </c>
      <c r="B7162" t="str">
        <f>_xlfn.XLOOKUP(A7162,'[1]Tissue Data'!$A:$A,'[1]Tissue Data'!$C:$C)</f>
        <v>Down</v>
      </c>
      <c r="C7162" s="2">
        <f>_xlfn.XLOOKUP(A7162,'[1]Tissue Data'!$A:$A,'[1]Tissue Data'!$D:$D)</f>
        <v>44393</v>
      </c>
      <c r="D7162" s="2" t="str">
        <f>_xlfn.XLOOKUP(A7162,'[1]Tissue Data'!$A:$A,'[1]Tissue Data'!$F:$F)</f>
        <v>Pumpkinseed</v>
      </c>
      <c r="E7162" t="str">
        <f>_xlfn.XLOOKUP(A7162,'[1]Tissue Data'!$A:$A,'[1]Tissue Data'!$H:$H)</f>
        <v>Lepomis</v>
      </c>
      <c r="F7162" t="str">
        <f>_xlfn.XLOOKUP(A7162,'[1]Tissue Data'!$A:$A,'[1]Tissue Data'!$I:$I)</f>
        <v>gibbosus</v>
      </c>
      <c r="G7162" t="str">
        <f>_xlfn.XLOOKUP(A7162,'[1]Tissue Data'!$A:$A,'[1]Tissue Data'!J:J)</f>
        <v>U</v>
      </c>
      <c r="H7162" t="str">
        <f>_xlfn.XLOOKUP(A7162,'[1]Tissue Data'!$A:$A,'[1]Tissue Data'!K:K)</f>
        <v>Whole Body</v>
      </c>
      <c r="I7162">
        <f>_xlfn.XLOOKUP(A7162,'[1]Tissue Data'!$A:$A,'[1]Tissue Data'!L:L)</f>
        <v>10</v>
      </c>
      <c r="J7162">
        <f>_xlfn.XLOOKUP(A7162,'[1]Tissue Data'!$A:$A,'[1]Tissue Data'!M:M)</f>
        <v>15.22</v>
      </c>
      <c r="K7162" t="s">
        <v>22</v>
      </c>
      <c r="L7162" t="str">
        <f>_xlfn.XLOOKUP(K7162,[2]analyte_order!$B:$B,[2]analyte_order!$C:$C)</f>
        <v>376-06-7</v>
      </c>
      <c r="M7162">
        <f>_xlfn.XLOOKUP(L7162,[2]analyte_order!$C:$C,[2]analyte_order!$E:$E)</f>
        <v>11</v>
      </c>
      <c r="N7162">
        <v>9.02</v>
      </c>
    </row>
    <row r="7163" spans="1:14">
      <c r="A7163" t="s">
        <v>304</v>
      </c>
      <c r="B7163" t="str">
        <f>_xlfn.XLOOKUP(A7163,'[1]Tissue Data'!$A:$A,'[1]Tissue Data'!$C:$C)</f>
        <v>Down</v>
      </c>
      <c r="C7163" s="2">
        <f>_xlfn.XLOOKUP(A7163,'[1]Tissue Data'!$A:$A,'[1]Tissue Data'!$D:$D)</f>
        <v>44393</v>
      </c>
      <c r="D7163" s="2" t="str">
        <f>_xlfn.XLOOKUP(A7163,'[1]Tissue Data'!$A:$A,'[1]Tissue Data'!$F:$F)</f>
        <v>Pumpkinseed</v>
      </c>
      <c r="E7163" t="str">
        <f>_xlfn.XLOOKUP(A7163,'[1]Tissue Data'!$A:$A,'[1]Tissue Data'!$H:$H)</f>
        <v>Lepomis</v>
      </c>
      <c r="F7163" t="str">
        <f>_xlfn.XLOOKUP(A7163,'[1]Tissue Data'!$A:$A,'[1]Tissue Data'!$I:$I)</f>
        <v>gibbosus</v>
      </c>
      <c r="G7163" t="str">
        <f>_xlfn.XLOOKUP(A7163,'[1]Tissue Data'!$A:$A,'[1]Tissue Data'!J:J)</f>
        <v>U</v>
      </c>
      <c r="H7163" t="str">
        <f>_xlfn.XLOOKUP(A7163,'[1]Tissue Data'!$A:$A,'[1]Tissue Data'!K:K)</f>
        <v>Whole Body</v>
      </c>
      <c r="I7163">
        <f>_xlfn.XLOOKUP(A7163,'[1]Tissue Data'!$A:$A,'[1]Tissue Data'!L:L)</f>
        <v>10</v>
      </c>
      <c r="J7163">
        <f>_xlfn.XLOOKUP(A7163,'[1]Tissue Data'!$A:$A,'[1]Tissue Data'!M:M)</f>
        <v>15.22</v>
      </c>
      <c r="K7163" t="s">
        <v>23</v>
      </c>
      <c r="L7163" t="str">
        <f>_xlfn.XLOOKUP(K7163,[2]analyte_order!$B:$B,[2]analyte_order!$C:$C)</f>
        <v>67905-19-5</v>
      </c>
      <c r="M7163">
        <f>_xlfn.XLOOKUP(L7163,[2]analyte_order!$C:$C,[2]analyte_order!$E:$E)</f>
        <v>12</v>
      </c>
      <c r="N7163">
        <v>0.26800000000000002</v>
      </c>
    </row>
    <row r="7164" spans="1:14">
      <c r="A7164" t="s">
        <v>304</v>
      </c>
      <c r="B7164" t="str">
        <f>_xlfn.XLOOKUP(A7164,'[1]Tissue Data'!$A:$A,'[1]Tissue Data'!$C:$C)</f>
        <v>Down</v>
      </c>
      <c r="C7164" s="2">
        <f>_xlfn.XLOOKUP(A7164,'[1]Tissue Data'!$A:$A,'[1]Tissue Data'!$D:$D)</f>
        <v>44393</v>
      </c>
      <c r="D7164" s="2" t="str">
        <f>_xlfn.XLOOKUP(A7164,'[1]Tissue Data'!$A:$A,'[1]Tissue Data'!$F:$F)</f>
        <v>Pumpkinseed</v>
      </c>
      <c r="E7164" t="str">
        <f>_xlfn.XLOOKUP(A7164,'[1]Tissue Data'!$A:$A,'[1]Tissue Data'!$H:$H)</f>
        <v>Lepomis</v>
      </c>
      <c r="F7164" t="str">
        <f>_xlfn.XLOOKUP(A7164,'[1]Tissue Data'!$A:$A,'[1]Tissue Data'!$I:$I)</f>
        <v>gibbosus</v>
      </c>
      <c r="G7164" t="str">
        <f>_xlfn.XLOOKUP(A7164,'[1]Tissue Data'!$A:$A,'[1]Tissue Data'!J:J)</f>
        <v>U</v>
      </c>
      <c r="H7164" t="str">
        <f>_xlfn.XLOOKUP(A7164,'[1]Tissue Data'!$A:$A,'[1]Tissue Data'!K:K)</f>
        <v>Whole Body</v>
      </c>
      <c r="I7164">
        <f>_xlfn.XLOOKUP(A7164,'[1]Tissue Data'!$A:$A,'[1]Tissue Data'!L:L)</f>
        <v>10</v>
      </c>
      <c r="J7164">
        <f>_xlfn.XLOOKUP(A7164,'[1]Tissue Data'!$A:$A,'[1]Tissue Data'!M:M)</f>
        <v>15.22</v>
      </c>
      <c r="K7164" t="s">
        <v>24</v>
      </c>
      <c r="L7164" t="str">
        <f>_xlfn.XLOOKUP(K7164,[2]analyte_order!$B:$B,[2]analyte_order!$C:$C)</f>
        <v>423-41-6</v>
      </c>
      <c r="M7164">
        <f>_xlfn.XLOOKUP(L7164,[2]analyte_order!$C:$C,[2]analyte_order!$E:$E)</f>
        <v>53</v>
      </c>
      <c r="N7164">
        <v>0.44950000000000001</v>
      </c>
    </row>
    <row r="7165" spans="1:14">
      <c r="A7165" t="s">
        <v>304</v>
      </c>
      <c r="B7165" t="str">
        <f>_xlfn.XLOOKUP(A7165,'[1]Tissue Data'!$A:$A,'[1]Tissue Data'!$C:$C)</f>
        <v>Down</v>
      </c>
      <c r="C7165" s="2">
        <f>_xlfn.XLOOKUP(A7165,'[1]Tissue Data'!$A:$A,'[1]Tissue Data'!$D:$D)</f>
        <v>44393</v>
      </c>
      <c r="D7165" s="2" t="str">
        <f>_xlfn.XLOOKUP(A7165,'[1]Tissue Data'!$A:$A,'[1]Tissue Data'!$F:$F)</f>
        <v>Pumpkinseed</v>
      </c>
      <c r="E7165" t="str">
        <f>_xlfn.XLOOKUP(A7165,'[1]Tissue Data'!$A:$A,'[1]Tissue Data'!$H:$H)</f>
        <v>Lepomis</v>
      </c>
      <c r="F7165" t="str">
        <f>_xlfn.XLOOKUP(A7165,'[1]Tissue Data'!$A:$A,'[1]Tissue Data'!$I:$I)</f>
        <v>gibbosus</v>
      </c>
      <c r="G7165" t="str">
        <f>_xlfn.XLOOKUP(A7165,'[1]Tissue Data'!$A:$A,'[1]Tissue Data'!J:J)</f>
        <v>U</v>
      </c>
      <c r="H7165" t="str">
        <f>_xlfn.XLOOKUP(A7165,'[1]Tissue Data'!$A:$A,'[1]Tissue Data'!K:K)</f>
        <v>Whole Body</v>
      </c>
      <c r="I7165">
        <f>_xlfn.XLOOKUP(A7165,'[1]Tissue Data'!$A:$A,'[1]Tissue Data'!L:L)</f>
        <v>10</v>
      </c>
      <c r="J7165">
        <f>_xlfn.XLOOKUP(A7165,'[1]Tissue Data'!$A:$A,'[1]Tissue Data'!M:M)</f>
        <v>15.22</v>
      </c>
      <c r="K7165" t="s">
        <v>25</v>
      </c>
      <c r="L7165" t="str">
        <f>_xlfn.XLOOKUP(K7165,[2]analyte_order!$B:$B,[2]analyte_order!$C:$C)</f>
        <v>375-73-5</v>
      </c>
      <c r="M7165">
        <f>_xlfn.XLOOKUP(L7165,[2]analyte_order!$C:$C,[2]analyte_order!$E:$E)</f>
        <v>14</v>
      </c>
      <c r="N7165">
        <v>0.153</v>
      </c>
    </row>
    <row r="7166" spans="1:14">
      <c r="A7166" t="s">
        <v>304</v>
      </c>
      <c r="B7166" t="str">
        <f>_xlfn.XLOOKUP(A7166,'[1]Tissue Data'!$A:$A,'[1]Tissue Data'!$C:$C)</f>
        <v>Down</v>
      </c>
      <c r="C7166" s="2">
        <f>_xlfn.XLOOKUP(A7166,'[1]Tissue Data'!$A:$A,'[1]Tissue Data'!$D:$D)</f>
        <v>44393</v>
      </c>
      <c r="D7166" s="2" t="str">
        <f>_xlfn.XLOOKUP(A7166,'[1]Tissue Data'!$A:$A,'[1]Tissue Data'!$F:$F)</f>
        <v>Pumpkinseed</v>
      </c>
      <c r="E7166" t="str">
        <f>_xlfn.XLOOKUP(A7166,'[1]Tissue Data'!$A:$A,'[1]Tissue Data'!$H:$H)</f>
        <v>Lepomis</v>
      </c>
      <c r="F7166" t="str">
        <f>_xlfn.XLOOKUP(A7166,'[1]Tissue Data'!$A:$A,'[1]Tissue Data'!$I:$I)</f>
        <v>gibbosus</v>
      </c>
      <c r="G7166" t="str">
        <f>_xlfn.XLOOKUP(A7166,'[1]Tissue Data'!$A:$A,'[1]Tissue Data'!J:J)</f>
        <v>U</v>
      </c>
      <c r="H7166" t="str">
        <f>_xlfn.XLOOKUP(A7166,'[1]Tissue Data'!$A:$A,'[1]Tissue Data'!K:K)</f>
        <v>Whole Body</v>
      </c>
      <c r="I7166">
        <f>_xlfn.XLOOKUP(A7166,'[1]Tissue Data'!$A:$A,'[1]Tissue Data'!L:L)</f>
        <v>10</v>
      </c>
      <c r="J7166">
        <f>_xlfn.XLOOKUP(A7166,'[1]Tissue Data'!$A:$A,'[1]Tissue Data'!M:M)</f>
        <v>15.22</v>
      </c>
      <c r="K7166" t="s">
        <v>26</v>
      </c>
      <c r="L7166" t="str">
        <f>_xlfn.XLOOKUP(K7166,[2]analyte_order!$B:$B,[2]analyte_order!$C:$C)</f>
        <v>2706-91-4</v>
      </c>
      <c r="M7166">
        <f>_xlfn.XLOOKUP(L7166,[2]analyte_order!$C:$C,[2]analyte_order!$E:$E)</f>
        <v>15</v>
      </c>
      <c r="N7166">
        <v>0.11899999999999999</v>
      </c>
    </row>
    <row r="7167" spans="1:14">
      <c r="A7167" t="s">
        <v>304</v>
      </c>
      <c r="B7167" t="str">
        <f>_xlfn.XLOOKUP(A7167,'[1]Tissue Data'!$A:$A,'[1]Tissue Data'!$C:$C)</f>
        <v>Down</v>
      </c>
      <c r="C7167" s="2">
        <f>_xlfn.XLOOKUP(A7167,'[1]Tissue Data'!$A:$A,'[1]Tissue Data'!$D:$D)</f>
        <v>44393</v>
      </c>
      <c r="D7167" s="2" t="str">
        <f>_xlfn.XLOOKUP(A7167,'[1]Tissue Data'!$A:$A,'[1]Tissue Data'!$F:$F)</f>
        <v>Pumpkinseed</v>
      </c>
      <c r="E7167" t="str">
        <f>_xlfn.XLOOKUP(A7167,'[1]Tissue Data'!$A:$A,'[1]Tissue Data'!$H:$H)</f>
        <v>Lepomis</v>
      </c>
      <c r="F7167" t="str">
        <f>_xlfn.XLOOKUP(A7167,'[1]Tissue Data'!$A:$A,'[1]Tissue Data'!$I:$I)</f>
        <v>gibbosus</v>
      </c>
      <c r="G7167" t="str">
        <f>_xlfn.XLOOKUP(A7167,'[1]Tissue Data'!$A:$A,'[1]Tissue Data'!J:J)</f>
        <v>U</v>
      </c>
      <c r="H7167" t="str">
        <f>_xlfn.XLOOKUP(A7167,'[1]Tissue Data'!$A:$A,'[1]Tissue Data'!K:K)</f>
        <v>Whole Body</v>
      </c>
      <c r="I7167">
        <f>_xlfn.XLOOKUP(A7167,'[1]Tissue Data'!$A:$A,'[1]Tissue Data'!L:L)</f>
        <v>10</v>
      </c>
      <c r="J7167">
        <f>_xlfn.XLOOKUP(A7167,'[1]Tissue Data'!$A:$A,'[1]Tissue Data'!M:M)</f>
        <v>15.22</v>
      </c>
      <c r="K7167" t="s">
        <v>27</v>
      </c>
      <c r="L7167" t="str">
        <f>_xlfn.XLOOKUP(K7167,[2]analyte_order!$B:$B,[2]analyte_order!$C:$C)</f>
        <v>355-46-4</v>
      </c>
      <c r="M7167">
        <f>_xlfn.XLOOKUP(L7167,[2]analyte_order!$C:$C,[2]analyte_order!$E:$E)</f>
        <v>16</v>
      </c>
      <c r="N7167">
        <v>5.91</v>
      </c>
    </row>
    <row r="7168" spans="1:14">
      <c r="A7168" t="s">
        <v>304</v>
      </c>
      <c r="B7168" t="str">
        <f>_xlfn.XLOOKUP(A7168,'[1]Tissue Data'!$A:$A,'[1]Tissue Data'!$C:$C)</f>
        <v>Down</v>
      </c>
      <c r="C7168" s="2">
        <f>_xlfn.XLOOKUP(A7168,'[1]Tissue Data'!$A:$A,'[1]Tissue Data'!$D:$D)</f>
        <v>44393</v>
      </c>
      <c r="D7168" s="2" t="str">
        <f>_xlfn.XLOOKUP(A7168,'[1]Tissue Data'!$A:$A,'[1]Tissue Data'!$F:$F)</f>
        <v>Pumpkinseed</v>
      </c>
      <c r="E7168" t="str">
        <f>_xlfn.XLOOKUP(A7168,'[1]Tissue Data'!$A:$A,'[1]Tissue Data'!$H:$H)</f>
        <v>Lepomis</v>
      </c>
      <c r="F7168" t="str">
        <f>_xlfn.XLOOKUP(A7168,'[1]Tissue Data'!$A:$A,'[1]Tissue Data'!$I:$I)</f>
        <v>gibbosus</v>
      </c>
      <c r="G7168" t="str">
        <f>_xlfn.XLOOKUP(A7168,'[1]Tissue Data'!$A:$A,'[1]Tissue Data'!J:J)</f>
        <v>U</v>
      </c>
      <c r="H7168" t="str">
        <f>_xlfn.XLOOKUP(A7168,'[1]Tissue Data'!$A:$A,'[1]Tissue Data'!K:K)</f>
        <v>Whole Body</v>
      </c>
      <c r="I7168">
        <f>_xlfn.XLOOKUP(A7168,'[1]Tissue Data'!$A:$A,'[1]Tissue Data'!L:L)</f>
        <v>10</v>
      </c>
      <c r="J7168">
        <f>_xlfn.XLOOKUP(A7168,'[1]Tissue Data'!$A:$A,'[1]Tissue Data'!M:M)</f>
        <v>15.22</v>
      </c>
      <c r="K7168" t="s">
        <v>28</v>
      </c>
      <c r="L7168" t="str">
        <f>_xlfn.XLOOKUP(K7168,[2]analyte_order!$B:$B,[2]analyte_order!$C:$C)</f>
        <v>375-92-8</v>
      </c>
      <c r="M7168">
        <f>_xlfn.XLOOKUP(L7168,[2]analyte_order!$C:$C,[2]analyte_order!$E:$E)</f>
        <v>17</v>
      </c>
      <c r="N7168">
        <v>1.35</v>
      </c>
    </row>
    <row r="7169" spans="1:14">
      <c r="A7169" t="s">
        <v>304</v>
      </c>
      <c r="B7169" t="str">
        <f>_xlfn.XLOOKUP(A7169,'[1]Tissue Data'!$A:$A,'[1]Tissue Data'!$C:$C)</f>
        <v>Down</v>
      </c>
      <c r="C7169" s="2">
        <f>_xlfn.XLOOKUP(A7169,'[1]Tissue Data'!$A:$A,'[1]Tissue Data'!$D:$D)</f>
        <v>44393</v>
      </c>
      <c r="D7169" s="2" t="str">
        <f>_xlfn.XLOOKUP(A7169,'[1]Tissue Data'!$A:$A,'[1]Tissue Data'!$F:$F)</f>
        <v>Pumpkinseed</v>
      </c>
      <c r="E7169" t="str">
        <f>_xlfn.XLOOKUP(A7169,'[1]Tissue Data'!$A:$A,'[1]Tissue Data'!$H:$H)</f>
        <v>Lepomis</v>
      </c>
      <c r="F7169" t="str">
        <f>_xlfn.XLOOKUP(A7169,'[1]Tissue Data'!$A:$A,'[1]Tissue Data'!$I:$I)</f>
        <v>gibbosus</v>
      </c>
      <c r="G7169" t="str">
        <f>_xlfn.XLOOKUP(A7169,'[1]Tissue Data'!$A:$A,'[1]Tissue Data'!J:J)</f>
        <v>U</v>
      </c>
      <c r="H7169" t="str">
        <f>_xlfn.XLOOKUP(A7169,'[1]Tissue Data'!$A:$A,'[1]Tissue Data'!K:K)</f>
        <v>Whole Body</v>
      </c>
      <c r="I7169">
        <f>_xlfn.XLOOKUP(A7169,'[1]Tissue Data'!$A:$A,'[1]Tissue Data'!L:L)</f>
        <v>10</v>
      </c>
      <c r="J7169">
        <f>_xlfn.XLOOKUP(A7169,'[1]Tissue Data'!$A:$A,'[1]Tissue Data'!M:M)</f>
        <v>15.22</v>
      </c>
      <c r="K7169" t="s">
        <v>29</v>
      </c>
      <c r="L7169" t="str">
        <f>_xlfn.XLOOKUP(K7169,[2]analyte_order!$B:$B,[2]analyte_order!$C:$C)</f>
        <v>1763-23-1</v>
      </c>
      <c r="M7169">
        <f>_xlfn.XLOOKUP(L7169,[2]analyte_order!$C:$C,[2]analyte_order!$E:$E)</f>
        <v>18</v>
      </c>
      <c r="N7169">
        <v>484</v>
      </c>
    </row>
    <row r="7170" spans="1:14">
      <c r="A7170" t="s">
        <v>304</v>
      </c>
      <c r="B7170" t="str">
        <f>_xlfn.XLOOKUP(A7170,'[1]Tissue Data'!$A:$A,'[1]Tissue Data'!$C:$C)</f>
        <v>Down</v>
      </c>
      <c r="C7170" s="2">
        <f>_xlfn.XLOOKUP(A7170,'[1]Tissue Data'!$A:$A,'[1]Tissue Data'!$D:$D)</f>
        <v>44393</v>
      </c>
      <c r="D7170" s="2" t="str">
        <f>_xlfn.XLOOKUP(A7170,'[1]Tissue Data'!$A:$A,'[1]Tissue Data'!$F:$F)</f>
        <v>Pumpkinseed</v>
      </c>
      <c r="E7170" t="str">
        <f>_xlfn.XLOOKUP(A7170,'[1]Tissue Data'!$A:$A,'[1]Tissue Data'!$H:$H)</f>
        <v>Lepomis</v>
      </c>
      <c r="F7170" t="str">
        <f>_xlfn.XLOOKUP(A7170,'[1]Tissue Data'!$A:$A,'[1]Tissue Data'!$I:$I)</f>
        <v>gibbosus</v>
      </c>
      <c r="G7170" t="str">
        <f>_xlfn.XLOOKUP(A7170,'[1]Tissue Data'!$A:$A,'[1]Tissue Data'!J:J)</f>
        <v>U</v>
      </c>
      <c r="H7170" t="str">
        <f>_xlfn.XLOOKUP(A7170,'[1]Tissue Data'!$A:$A,'[1]Tissue Data'!K:K)</f>
        <v>Whole Body</v>
      </c>
      <c r="I7170">
        <f>_xlfn.XLOOKUP(A7170,'[1]Tissue Data'!$A:$A,'[1]Tissue Data'!L:L)</f>
        <v>10</v>
      </c>
      <c r="J7170">
        <f>_xlfn.XLOOKUP(A7170,'[1]Tissue Data'!$A:$A,'[1]Tissue Data'!M:M)</f>
        <v>15.22</v>
      </c>
      <c r="K7170" t="s">
        <v>30</v>
      </c>
      <c r="L7170" t="str">
        <f>_xlfn.XLOOKUP(K7170,[2]analyte_order!$B:$B,[2]analyte_order!$C:$C)</f>
        <v>68259-12-1</v>
      </c>
      <c r="M7170">
        <f>_xlfn.XLOOKUP(L7170,[2]analyte_order!$C:$C,[2]analyte_order!$E:$E)</f>
        <v>19</v>
      </c>
      <c r="N7170">
        <v>1.31</v>
      </c>
    </row>
    <row r="7171" spans="1:14">
      <c r="A7171" t="s">
        <v>304</v>
      </c>
      <c r="B7171" t="str">
        <f>_xlfn.XLOOKUP(A7171,'[1]Tissue Data'!$A:$A,'[1]Tissue Data'!$C:$C)</f>
        <v>Down</v>
      </c>
      <c r="C7171" s="2">
        <f>_xlfn.XLOOKUP(A7171,'[1]Tissue Data'!$A:$A,'[1]Tissue Data'!$D:$D)</f>
        <v>44393</v>
      </c>
      <c r="D7171" s="2" t="str">
        <f>_xlfn.XLOOKUP(A7171,'[1]Tissue Data'!$A:$A,'[1]Tissue Data'!$F:$F)</f>
        <v>Pumpkinseed</v>
      </c>
      <c r="E7171" t="str">
        <f>_xlfn.XLOOKUP(A7171,'[1]Tissue Data'!$A:$A,'[1]Tissue Data'!$H:$H)</f>
        <v>Lepomis</v>
      </c>
      <c r="F7171" t="str">
        <f>_xlfn.XLOOKUP(A7171,'[1]Tissue Data'!$A:$A,'[1]Tissue Data'!$I:$I)</f>
        <v>gibbosus</v>
      </c>
      <c r="G7171" t="str">
        <f>_xlfn.XLOOKUP(A7171,'[1]Tissue Data'!$A:$A,'[1]Tissue Data'!J:J)</f>
        <v>U</v>
      </c>
      <c r="H7171" t="str">
        <f>_xlfn.XLOOKUP(A7171,'[1]Tissue Data'!$A:$A,'[1]Tissue Data'!K:K)</f>
        <v>Whole Body</v>
      </c>
      <c r="I7171">
        <f>_xlfn.XLOOKUP(A7171,'[1]Tissue Data'!$A:$A,'[1]Tissue Data'!L:L)</f>
        <v>10</v>
      </c>
      <c r="J7171">
        <f>_xlfn.XLOOKUP(A7171,'[1]Tissue Data'!$A:$A,'[1]Tissue Data'!M:M)</f>
        <v>15.22</v>
      </c>
      <c r="K7171" t="s">
        <v>31</v>
      </c>
      <c r="L7171" t="str">
        <f>_xlfn.XLOOKUP(K7171,[2]analyte_order!$B:$B,[2]analyte_order!$C:$C)</f>
        <v>335-77-3</v>
      </c>
      <c r="M7171">
        <f>_xlfn.XLOOKUP(L7171,[2]analyte_order!$C:$C,[2]analyte_order!$E:$E)</f>
        <v>20</v>
      </c>
      <c r="N7171">
        <v>1.1100000000000001</v>
      </c>
    </row>
    <row r="7172" spans="1:14">
      <c r="A7172" t="s">
        <v>304</v>
      </c>
      <c r="B7172" t="str">
        <f>_xlfn.XLOOKUP(A7172,'[1]Tissue Data'!$A:$A,'[1]Tissue Data'!$C:$C)</f>
        <v>Down</v>
      </c>
      <c r="C7172" s="2">
        <f>_xlfn.XLOOKUP(A7172,'[1]Tissue Data'!$A:$A,'[1]Tissue Data'!$D:$D)</f>
        <v>44393</v>
      </c>
      <c r="D7172" s="2" t="str">
        <f>_xlfn.XLOOKUP(A7172,'[1]Tissue Data'!$A:$A,'[1]Tissue Data'!$F:$F)</f>
        <v>Pumpkinseed</v>
      </c>
      <c r="E7172" t="str">
        <f>_xlfn.XLOOKUP(A7172,'[1]Tissue Data'!$A:$A,'[1]Tissue Data'!$H:$H)</f>
        <v>Lepomis</v>
      </c>
      <c r="F7172" t="str">
        <f>_xlfn.XLOOKUP(A7172,'[1]Tissue Data'!$A:$A,'[1]Tissue Data'!$I:$I)</f>
        <v>gibbosus</v>
      </c>
      <c r="G7172" t="str">
        <f>_xlfn.XLOOKUP(A7172,'[1]Tissue Data'!$A:$A,'[1]Tissue Data'!J:J)</f>
        <v>U</v>
      </c>
      <c r="H7172" t="str">
        <f>_xlfn.XLOOKUP(A7172,'[1]Tissue Data'!$A:$A,'[1]Tissue Data'!K:K)</f>
        <v>Whole Body</v>
      </c>
      <c r="I7172">
        <f>_xlfn.XLOOKUP(A7172,'[1]Tissue Data'!$A:$A,'[1]Tissue Data'!L:L)</f>
        <v>10</v>
      </c>
      <c r="J7172">
        <f>_xlfn.XLOOKUP(A7172,'[1]Tissue Data'!$A:$A,'[1]Tissue Data'!M:M)</f>
        <v>15.22</v>
      </c>
      <c r="K7172" t="s">
        <v>32</v>
      </c>
      <c r="L7172" t="str">
        <f>_xlfn.XLOOKUP(K7172,[2]analyte_order!$B:$B,[2]analyte_order!$C:$C)</f>
        <v>79780-39-5</v>
      </c>
      <c r="M7172">
        <f>_xlfn.XLOOKUP(L7172,[2]analyte_order!$C:$C,[2]analyte_order!$E:$E)</f>
        <v>21</v>
      </c>
      <c r="N7172">
        <v>0.24049999999999999</v>
      </c>
    </row>
    <row r="7173" spans="1:14">
      <c r="A7173" t="s">
        <v>304</v>
      </c>
      <c r="B7173" t="str">
        <f>_xlfn.XLOOKUP(A7173,'[1]Tissue Data'!$A:$A,'[1]Tissue Data'!$C:$C)</f>
        <v>Down</v>
      </c>
      <c r="C7173" s="2">
        <f>_xlfn.XLOOKUP(A7173,'[1]Tissue Data'!$A:$A,'[1]Tissue Data'!$D:$D)</f>
        <v>44393</v>
      </c>
      <c r="D7173" s="2" t="str">
        <f>_xlfn.XLOOKUP(A7173,'[1]Tissue Data'!$A:$A,'[1]Tissue Data'!$F:$F)</f>
        <v>Pumpkinseed</v>
      </c>
      <c r="E7173" t="str">
        <f>_xlfn.XLOOKUP(A7173,'[1]Tissue Data'!$A:$A,'[1]Tissue Data'!$H:$H)</f>
        <v>Lepomis</v>
      </c>
      <c r="F7173" t="str">
        <f>_xlfn.XLOOKUP(A7173,'[1]Tissue Data'!$A:$A,'[1]Tissue Data'!$I:$I)</f>
        <v>gibbosus</v>
      </c>
      <c r="G7173" t="str">
        <f>_xlfn.XLOOKUP(A7173,'[1]Tissue Data'!$A:$A,'[1]Tissue Data'!J:J)</f>
        <v>U</v>
      </c>
      <c r="H7173" t="str">
        <f>_xlfn.XLOOKUP(A7173,'[1]Tissue Data'!$A:$A,'[1]Tissue Data'!K:K)</f>
        <v>Whole Body</v>
      </c>
      <c r="I7173">
        <f>_xlfn.XLOOKUP(A7173,'[1]Tissue Data'!$A:$A,'[1]Tissue Data'!L:L)</f>
        <v>10</v>
      </c>
      <c r="J7173">
        <f>_xlfn.XLOOKUP(A7173,'[1]Tissue Data'!$A:$A,'[1]Tissue Data'!M:M)</f>
        <v>15.22</v>
      </c>
      <c r="K7173" t="s">
        <v>33</v>
      </c>
      <c r="L7173" t="str">
        <f>_xlfn.XLOOKUP(K7173,[2]analyte_order!$B:$B,[2]analyte_order!$C:$C)</f>
        <v>777011-38-8</v>
      </c>
      <c r="M7173">
        <f>_xlfn.XLOOKUP(L7173,[2]analyte_order!$C:$C,[2]analyte_order!$E:$E)</f>
        <v>54</v>
      </c>
      <c r="N7173">
        <v>0.13650000000000001</v>
      </c>
    </row>
    <row r="7174" spans="1:14">
      <c r="A7174" t="s">
        <v>304</v>
      </c>
      <c r="B7174" t="str">
        <f>_xlfn.XLOOKUP(A7174,'[1]Tissue Data'!$A:$A,'[1]Tissue Data'!$C:$C)</f>
        <v>Down</v>
      </c>
      <c r="C7174" s="2">
        <f>_xlfn.XLOOKUP(A7174,'[1]Tissue Data'!$A:$A,'[1]Tissue Data'!$D:$D)</f>
        <v>44393</v>
      </c>
      <c r="D7174" s="2" t="str">
        <f>_xlfn.XLOOKUP(A7174,'[1]Tissue Data'!$A:$A,'[1]Tissue Data'!$F:$F)</f>
        <v>Pumpkinseed</v>
      </c>
      <c r="E7174" t="str">
        <f>_xlfn.XLOOKUP(A7174,'[1]Tissue Data'!$A:$A,'[1]Tissue Data'!$H:$H)</f>
        <v>Lepomis</v>
      </c>
      <c r="F7174" t="str">
        <f>_xlfn.XLOOKUP(A7174,'[1]Tissue Data'!$A:$A,'[1]Tissue Data'!$I:$I)</f>
        <v>gibbosus</v>
      </c>
      <c r="G7174" t="str">
        <f>_xlfn.XLOOKUP(A7174,'[1]Tissue Data'!$A:$A,'[1]Tissue Data'!J:J)</f>
        <v>U</v>
      </c>
      <c r="H7174" t="str">
        <f>_xlfn.XLOOKUP(A7174,'[1]Tissue Data'!$A:$A,'[1]Tissue Data'!K:K)</f>
        <v>Whole Body</v>
      </c>
      <c r="I7174">
        <f>_xlfn.XLOOKUP(A7174,'[1]Tissue Data'!$A:$A,'[1]Tissue Data'!L:L)</f>
        <v>10</v>
      </c>
      <c r="J7174">
        <f>_xlfn.XLOOKUP(A7174,'[1]Tissue Data'!$A:$A,'[1]Tissue Data'!M:M)</f>
        <v>15.22</v>
      </c>
      <c r="K7174" t="s">
        <v>34</v>
      </c>
      <c r="L7174" t="str">
        <f>_xlfn.XLOOKUP(K7174,[2]analyte_order!$B:$B,[2]analyte_order!$C:$C)</f>
        <v>646-83-3</v>
      </c>
      <c r="M7174">
        <f>_xlfn.XLOOKUP(L7174,[2]analyte_order!$C:$C,[2]analyte_order!$E:$E)</f>
        <v>55</v>
      </c>
      <c r="N7174">
        <v>0.18</v>
      </c>
    </row>
    <row r="7175" spans="1:14">
      <c r="A7175" t="s">
        <v>304</v>
      </c>
      <c r="B7175" t="str">
        <f>_xlfn.XLOOKUP(A7175,'[1]Tissue Data'!$A:$A,'[1]Tissue Data'!$C:$C)</f>
        <v>Down</v>
      </c>
      <c r="C7175" s="2">
        <f>_xlfn.XLOOKUP(A7175,'[1]Tissue Data'!$A:$A,'[1]Tissue Data'!$D:$D)</f>
        <v>44393</v>
      </c>
      <c r="D7175" s="2" t="str">
        <f>_xlfn.XLOOKUP(A7175,'[1]Tissue Data'!$A:$A,'[1]Tissue Data'!$F:$F)</f>
        <v>Pumpkinseed</v>
      </c>
      <c r="E7175" t="str">
        <f>_xlfn.XLOOKUP(A7175,'[1]Tissue Data'!$A:$A,'[1]Tissue Data'!$H:$H)</f>
        <v>Lepomis</v>
      </c>
      <c r="F7175" t="str">
        <f>_xlfn.XLOOKUP(A7175,'[1]Tissue Data'!$A:$A,'[1]Tissue Data'!$I:$I)</f>
        <v>gibbosus</v>
      </c>
      <c r="G7175" t="str">
        <f>_xlfn.XLOOKUP(A7175,'[1]Tissue Data'!$A:$A,'[1]Tissue Data'!J:J)</f>
        <v>U</v>
      </c>
      <c r="H7175" t="str">
        <f>_xlfn.XLOOKUP(A7175,'[1]Tissue Data'!$A:$A,'[1]Tissue Data'!K:K)</f>
        <v>Whole Body</v>
      </c>
      <c r="I7175">
        <f>_xlfn.XLOOKUP(A7175,'[1]Tissue Data'!$A:$A,'[1]Tissue Data'!L:L)</f>
        <v>10</v>
      </c>
      <c r="J7175">
        <f>_xlfn.XLOOKUP(A7175,'[1]Tissue Data'!$A:$A,'[1]Tissue Data'!M:M)</f>
        <v>15.22</v>
      </c>
      <c r="K7175" t="s">
        <v>35</v>
      </c>
      <c r="L7175" t="str">
        <f>_xlfn.XLOOKUP(K7175,[2]analyte_order!$B:$B,[2]analyte_order!$C:$C)</f>
        <v>30334-69-1</v>
      </c>
      <c r="M7175">
        <f>_xlfn.XLOOKUP(L7175,[2]analyte_order!$C:$C,[2]analyte_order!$E:$E)</f>
        <v>51</v>
      </c>
      <c r="N7175">
        <v>40.700000000000003</v>
      </c>
    </row>
    <row r="7176" spans="1:14">
      <c r="A7176" t="s">
        <v>304</v>
      </c>
      <c r="B7176" t="str">
        <f>_xlfn.XLOOKUP(A7176,'[1]Tissue Data'!$A:$A,'[1]Tissue Data'!$C:$C)</f>
        <v>Down</v>
      </c>
      <c r="C7176" s="2">
        <f>_xlfn.XLOOKUP(A7176,'[1]Tissue Data'!$A:$A,'[1]Tissue Data'!$D:$D)</f>
        <v>44393</v>
      </c>
      <c r="D7176" s="2" t="str">
        <f>_xlfn.XLOOKUP(A7176,'[1]Tissue Data'!$A:$A,'[1]Tissue Data'!$F:$F)</f>
        <v>Pumpkinseed</v>
      </c>
      <c r="E7176" t="str">
        <f>_xlfn.XLOOKUP(A7176,'[1]Tissue Data'!$A:$A,'[1]Tissue Data'!$H:$H)</f>
        <v>Lepomis</v>
      </c>
      <c r="F7176" t="str">
        <f>_xlfn.XLOOKUP(A7176,'[1]Tissue Data'!$A:$A,'[1]Tissue Data'!$I:$I)</f>
        <v>gibbosus</v>
      </c>
      <c r="G7176" t="str">
        <f>_xlfn.XLOOKUP(A7176,'[1]Tissue Data'!$A:$A,'[1]Tissue Data'!J:J)</f>
        <v>U</v>
      </c>
      <c r="H7176" t="str">
        <f>_xlfn.XLOOKUP(A7176,'[1]Tissue Data'!$A:$A,'[1]Tissue Data'!K:K)</f>
        <v>Whole Body</v>
      </c>
      <c r="I7176">
        <f>_xlfn.XLOOKUP(A7176,'[1]Tissue Data'!$A:$A,'[1]Tissue Data'!L:L)</f>
        <v>10</v>
      </c>
      <c r="J7176">
        <f>_xlfn.XLOOKUP(A7176,'[1]Tissue Data'!$A:$A,'[1]Tissue Data'!M:M)</f>
        <v>15.22</v>
      </c>
      <c r="K7176" t="s">
        <v>36</v>
      </c>
      <c r="L7176" t="str">
        <f>_xlfn.XLOOKUP(K7176,[2]analyte_order!$B:$B,[2]analyte_order!$C:$C)</f>
        <v>41997-13-1</v>
      </c>
      <c r="M7176">
        <f>_xlfn.XLOOKUP(L7176,[2]analyte_order!$C:$C,[2]analyte_order!$E:$E)</f>
        <v>52</v>
      </c>
      <c r="N7176">
        <v>110</v>
      </c>
    </row>
    <row r="7177" spans="1:14">
      <c r="A7177" t="s">
        <v>304</v>
      </c>
      <c r="B7177" t="str">
        <f>_xlfn.XLOOKUP(A7177,'[1]Tissue Data'!$A:$A,'[1]Tissue Data'!$C:$C)</f>
        <v>Down</v>
      </c>
      <c r="C7177" s="2">
        <f>_xlfn.XLOOKUP(A7177,'[1]Tissue Data'!$A:$A,'[1]Tissue Data'!$D:$D)</f>
        <v>44393</v>
      </c>
      <c r="D7177" s="2" t="str">
        <f>_xlfn.XLOOKUP(A7177,'[1]Tissue Data'!$A:$A,'[1]Tissue Data'!$F:$F)</f>
        <v>Pumpkinseed</v>
      </c>
      <c r="E7177" t="str">
        <f>_xlfn.XLOOKUP(A7177,'[1]Tissue Data'!$A:$A,'[1]Tissue Data'!$H:$H)</f>
        <v>Lepomis</v>
      </c>
      <c r="F7177" t="str">
        <f>_xlfn.XLOOKUP(A7177,'[1]Tissue Data'!$A:$A,'[1]Tissue Data'!$I:$I)</f>
        <v>gibbosus</v>
      </c>
      <c r="G7177" t="str">
        <f>_xlfn.XLOOKUP(A7177,'[1]Tissue Data'!$A:$A,'[1]Tissue Data'!J:J)</f>
        <v>U</v>
      </c>
      <c r="H7177" t="str">
        <f>_xlfn.XLOOKUP(A7177,'[1]Tissue Data'!$A:$A,'[1]Tissue Data'!K:K)</f>
        <v>Whole Body</v>
      </c>
      <c r="I7177">
        <f>_xlfn.XLOOKUP(A7177,'[1]Tissue Data'!$A:$A,'[1]Tissue Data'!L:L)</f>
        <v>10</v>
      </c>
      <c r="J7177">
        <f>_xlfn.XLOOKUP(A7177,'[1]Tissue Data'!$A:$A,'[1]Tissue Data'!M:M)</f>
        <v>15.22</v>
      </c>
      <c r="K7177" t="s">
        <v>37</v>
      </c>
      <c r="L7177" t="str">
        <f>_xlfn.XLOOKUP(K7177,[2]analyte_order!$B:$B,[2]analyte_order!$C:$C)</f>
        <v>754-91-6</v>
      </c>
      <c r="M7177">
        <f>_xlfn.XLOOKUP(L7177,[2]analyte_order!$C:$C,[2]analyte_order!$E:$E)</f>
        <v>28</v>
      </c>
      <c r="N7177">
        <v>14.3</v>
      </c>
    </row>
    <row r="7178" spans="1:14">
      <c r="A7178" t="s">
        <v>304</v>
      </c>
      <c r="B7178" t="str">
        <f>_xlfn.XLOOKUP(A7178,'[1]Tissue Data'!$A:$A,'[1]Tissue Data'!$C:$C)</f>
        <v>Down</v>
      </c>
      <c r="C7178" s="2">
        <f>_xlfn.XLOOKUP(A7178,'[1]Tissue Data'!$A:$A,'[1]Tissue Data'!$D:$D)</f>
        <v>44393</v>
      </c>
      <c r="D7178" s="2" t="str">
        <f>_xlfn.XLOOKUP(A7178,'[1]Tissue Data'!$A:$A,'[1]Tissue Data'!$F:$F)</f>
        <v>Pumpkinseed</v>
      </c>
      <c r="E7178" t="str">
        <f>_xlfn.XLOOKUP(A7178,'[1]Tissue Data'!$A:$A,'[1]Tissue Data'!$H:$H)</f>
        <v>Lepomis</v>
      </c>
      <c r="F7178" t="str">
        <f>_xlfn.XLOOKUP(A7178,'[1]Tissue Data'!$A:$A,'[1]Tissue Data'!$I:$I)</f>
        <v>gibbosus</v>
      </c>
      <c r="G7178" t="str">
        <f>_xlfn.XLOOKUP(A7178,'[1]Tissue Data'!$A:$A,'[1]Tissue Data'!J:J)</f>
        <v>U</v>
      </c>
      <c r="H7178" t="str">
        <f>_xlfn.XLOOKUP(A7178,'[1]Tissue Data'!$A:$A,'[1]Tissue Data'!K:K)</f>
        <v>Whole Body</v>
      </c>
      <c r="I7178">
        <f>_xlfn.XLOOKUP(A7178,'[1]Tissue Data'!$A:$A,'[1]Tissue Data'!L:L)</f>
        <v>10</v>
      </c>
      <c r="J7178">
        <f>_xlfn.XLOOKUP(A7178,'[1]Tissue Data'!$A:$A,'[1]Tissue Data'!M:M)</f>
        <v>15.22</v>
      </c>
      <c r="K7178" t="s">
        <v>38</v>
      </c>
      <c r="L7178" t="str">
        <f>_xlfn.XLOOKUP(K7178,[2]analyte_order!$B:$B,[2]analyte_order!$C:$C)</f>
        <v>31506-32-8</v>
      </c>
      <c r="M7178">
        <f>_xlfn.XLOOKUP(L7178,[2]analyte_order!$C:$C,[2]analyte_order!$E:$E)</f>
        <v>30</v>
      </c>
      <c r="N7178">
        <v>0.17299999999999999</v>
      </c>
    </row>
    <row r="7179" spans="1:14">
      <c r="A7179" t="s">
        <v>304</v>
      </c>
      <c r="B7179" t="str">
        <f>_xlfn.XLOOKUP(A7179,'[1]Tissue Data'!$A:$A,'[1]Tissue Data'!$C:$C)</f>
        <v>Down</v>
      </c>
      <c r="C7179" s="2">
        <f>_xlfn.XLOOKUP(A7179,'[1]Tissue Data'!$A:$A,'[1]Tissue Data'!$D:$D)</f>
        <v>44393</v>
      </c>
      <c r="D7179" s="2" t="str">
        <f>_xlfn.XLOOKUP(A7179,'[1]Tissue Data'!$A:$A,'[1]Tissue Data'!$F:$F)</f>
        <v>Pumpkinseed</v>
      </c>
      <c r="E7179" t="str">
        <f>_xlfn.XLOOKUP(A7179,'[1]Tissue Data'!$A:$A,'[1]Tissue Data'!$H:$H)</f>
        <v>Lepomis</v>
      </c>
      <c r="F7179" t="str">
        <f>_xlfn.XLOOKUP(A7179,'[1]Tissue Data'!$A:$A,'[1]Tissue Data'!$I:$I)</f>
        <v>gibbosus</v>
      </c>
      <c r="G7179" t="str">
        <f>_xlfn.XLOOKUP(A7179,'[1]Tissue Data'!$A:$A,'[1]Tissue Data'!J:J)</f>
        <v>U</v>
      </c>
      <c r="H7179" t="str">
        <f>_xlfn.XLOOKUP(A7179,'[1]Tissue Data'!$A:$A,'[1]Tissue Data'!K:K)</f>
        <v>Whole Body</v>
      </c>
      <c r="I7179">
        <f>_xlfn.XLOOKUP(A7179,'[1]Tissue Data'!$A:$A,'[1]Tissue Data'!L:L)</f>
        <v>10</v>
      </c>
      <c r="J7179">
        <f>_xlfn.XLOOKUP(A7179,'[1]Tissue Data'!$A:$A,'[1]Tissue Data'!M:M)</f>
        <v>15.22</v>
      </c>
      <c r="K7179" t="s">
        <v>39</v>
      </c>
      <c r="L7179" t="str">
        <f>_xlfn.XLOOKUP(K7179,[2]analyte_order!$B:$B,[2]analyte_order!$C:$C)</f>
        <v>4151-50-2</v>
      </c>
      <c r="M7179">
        <f>_xlfn.XLOOKUP(L7179,[2]analyte_order!$C:$C,[2]analyte_order!$E:$E)</f>
        <v>31</v>
      </c>
      <c r="N7179">
        <v>0.44950000000000001</v>
      </c>
    </row>
    <row r="7180" spans="1:14">
      <c r="A7180" t="s">
        <v>304</v>
      </c>
      <c r="B7180" t="str">
        <f>_xlfn.XLOOKUP(A7180,'[1]Tissue Data'!$A:$A,'[1]Tissue Data'!$C:$C)</f>
        <v>Down</v>
      </c>
      <c r="C7180" s="2">
        <f>_xlfn.XLOOKUP(A7180,'[1]Tissue Data'!$A:$A,'[1]Tissue Data'!$D:$D)</f>
        <v>44393</v>
      </c>
      <c r="D7180" s="2" t="str">
        <f>_xlfn.XLOOKUP(A7180,'[1]Tissue Data'!$A:$A,'[1]Tissue Data'!$F:$F)</f>
        <v>Pumpkinseed</v>
      </c>
      <c r="E7180" t="str">
        <f>_xlfn.XLOOKUP(A7180,'[1]Tissue Data'!$A:$A,'[1]Tissue Data'!$H:$H)</f>
        <v>Lepomis</v>
      </c>
      <c r="F7180" t="str">
        <f>_xlfn.XLOOKUP(A7180,'[1]Tissue Data'!$A:$A,'[1]Tissue Data'!$I:$I)</f>
        <v>gibbosus</v>
      </c>
      <c r="G7180" t="str">
        <f>_xlfn.XLOOKUP(A7180,'[1]Tissue Data'!$A:$A,'[1]Tissue Data'!J:J)</f>
        <v>U</v>
      </c>
      <c r="H7180" t="str">
        <f>_xlfn.XLOOKUP(A7180,'[1]Tissue Data'!$A:$A,'[1]Tissue Data'!K:K)</f>
        <v>Whole Body</v>
      </c>
      <c r="I7180">
        <f>_xlfn.XLOOKUP(A7180,'[1]Tissue Data'!$A:$A,'[1]Tissue Data'!L:L)</f>
        <v>10</v>
      </c>
      <c r="J7180">
        <f>_xlfn.XLOOKUP(A7180,'[1]Tissue Data'!$A:$A,'[1]Tissue Data'!M:M)</f>
        <v>15.22</v>
      </c>
      <c r="K7180" t="s">
        <v>40</v>
      </c>
      <c r="L7180" t="str">
        <f>_xlfn.XLOOKUP(K7180,[2]analyte_order!$B:$B,[2]analyte_order!$C:$C)</f>
        <v>2806-24-8</v>
      </c>
      <c r="M7180">
        <f>_xlfn.XLOOKUP(L7180,[2]analyte_order!$C:$C,[2]analyte_order!$E:$E)</f>
        <v>29</v>
      </c>
      <c r="N7180">
        <v>0.44950000000000001</v>
      </c>
    </row>
    <row r="7181" spans="1:14">
      <c r="A7181" t="s">
        <v>304</v>
      </c>
      <c r="B7181" t="str">
        <f>_xlfn.XLOOKUP(A7181,'[1]Tissue Data'!$A:$A,'[1]Tissue Data'!$C:$C)</f>
        <v>Down</v>
      </c>
      <c r="C7181" s="2">
        <f>_xlfn.XLOOKUP(A7181,'[1]Tissue Data'!$A:$A,'[1]Tissue Data'!$D:$D)</f>
        <v>44393</v>
      </c>
      <c r="D7181" s="2" t="str">
        <f>_xlfn.XLOOKUP(A7181,'[1]Tissue Data'!$A:$A,'[1]Tissue Data'!$F:$F)</f>
        <v>Pumpkinseed</v>
      </c>
      <c r="E7181" t="str">
        <f>_xlfn.XLOOKUP(A7181,'[1]Tissue Data'!$A:$A,'[1]Tissue Data'!$H:$H)</f>
        <v>Lepomis</v>
      </c>
      <c r="F7181" t="str">
        <f>_xlfn.XLOOKUP(A7181,'[1]Tissue Data'!$A:$A,'[1]Tissue Data'!$I:$I)</f>
        <v>gibbosus</v>
      </c>
      <c r="G7181" t="str">
        <f>_xlfn.XLOOKUP(A7181,'[1]Tissue Data'!$A:$A,'[1]Tissue Data'!J:J)</f>
        <v>U</v>
      </c>
      <c r="H7181" t="str">
        <f>_xlfn.XLOOKUP(A7181,'[1]Tissue Data'!$A:$A,'[1]Tissue Data'!K:K)</f>
        <v>Whole Body</v>
      </c>
      <c r="I7181">
        <f>_xlfn.XLOOKUP(A7181,'[1]Tissue Data'!$A:$A,'[1]Tissue Data'!L:L)</f>
        <v>10</v>
      </c>
      <c r="J7181">
        <f>_xlfn.XLOOKUP(A7181,'[1]Tissue Data'!$A:$A,'[1]Tissue Data'!M:M)</f>
        <v>15.22</v>
      </c>
      <c r="K7181" t="s">
        <v>41</v>
      </c>
      <c r="L7181" t="str">
        <f>_xlfn.XLOOKUP(K7181,[2]analyte_order!$B:$B,[2]analyte_order!$C:$C)</f>
        <v>2355-31-9</v>
      </c>
      <c r="M7181">
        <f>_xlfn.XLOOKUP(L7181,[2]analyte_order!$C:$C,[2]analyte_order!$E:$E)</f>
        <v>26</v>
      </c>
      <c r="N7181">
        <v>0.22600000000000001</v>
      </c>
    </row>
    <row r="7182" spans="1:14">
      <c r="A7182" t="s">
        <v>304</v>
      </c>
      <c r="B7182" t="str">
        <f>_xlfn.XLOOKUP(A7182,'[1]Tissue Data'!$A:$A,'[1]Tissue Data'!$C:$C)</f>
        <v>Down</v>
      </c>
      <c r="C7182" s="2">
        <f>_xlfn.XLOOKUP(A7182,'[1]Tissue Data'!$A:$A,'[1]Tissue Data'!$D:$D)</f>
        <v>44393</v>
      </c>
      <c r="D7182" s="2" t="str">
        <f>_xlfn.XLOOKUP(A7182,'[1]Tissue Data'!$A:$A,'[1]Tissue Data'!$F:$F)</f>
        <v>Pumpkinseed</v>
      </c>
      <c r="E7182" t="str">
        <f>_xlfn.XLOOKUP(A7182,'[1]Tissue Data'!$A:$A,'[1]Tissue Data'!$H:$H)</f>
        <v>Lepomis</v>
      </c>
      <c r="F7182" t="str">
        <f>_xlfn.XLOOKUP(A7182,'[1]Tissue Data'!$A:$A,'[1]Tissue Data'!$I:$I)</f>
        <v>gibbosus</v>
      </c>
      <c r="G7182" t="str">
        <f>_xlfn.XLOOKUP(A7182,'[1]Tissue Data'!$A:$A,'[1]Tissue Data'!J:J)</f>
        <v>U</v>
      </c>
      <c r="H7182" t="str">
        <f>_xlfn.XLOOKUP(A7182,'[1]Tissue Data'!$A:$A,'[1]Tissue Data'!K:K)</f>
        <v>Whole Body</v>
      </c>
      <c r="I7182">
        <f>_xlfn.XLOOKUP(A7182,'[1]Tissue Data'!$A:$A,'[1]Tissue Data'!L:L)</f>
        <v>10</v>
      </c>
      <c r="J7182">
        <f>_xlfn.XLOOKUP(A7182,'[1]Tissue Data'!$A:$A,'[1]Tissue Data'!M:M)</f>
        <v>15.22</v>
      </c>
      <c r="K7182" t="s">
        <v>42</v>
      </c>
      <c r="L7182" t="str">
        <f>_xlfn.XLOOKUP(K7182,[2]analyte_order!$B:$B,[2]analyte_order!$C:$C)</f>
        <v>2991-50-6</v>
      </c>
      <c r="M7182">
        <f>_xlfn.XLOOKUP(L7182,[2]analyte_order!$C:$C,[2]analyte_order!$E:$E)</f>
        <v>27</v>
      </c>
      <c r="N7182">
        <v>0.22450000000000001</v>
      </c>
    </row>
    <row r="7183" spans="1:14">
      <c r="A7183" t="s">
        <v>304</v>
      </c>
      <c r="B7183" t="str">
        <f>_xlfn.XLOOKUP(A7183,'[1]Tissue Data'!$A:$A,'[1]Tissue Data'!$C:$C)</f>
        <v>Down</v>
      </c>
      <c r="C7183" s="2">
        <f>_xlfn.XLOOKUP(A7183,'[1]Tissue Data'!$A:$A,'[1]Tissue Data'!$D:$D)</f>
        <v>44393</v>
      </c>
      <c r="D7183" s="2" t="str">
        <f>_xlfn.XLOOKUP(A7183,'[1]Tissue Data'!$A:$A,'[1]Tissue Data'!$F:$F)</f>
        <v>Pumpkinseed</v>
      </c>
      <c r="E7183" t="str">
        <f>_xlfn.XLOOKUP(A7183,'[1]Tissue Data'!$A:$A,'[1]Tissue Data'!$H:$H)</f>
        <v>Lepomis</v>
      </c>
      <c r="F7183" t="str">
        <f>_xlfn.XLOOKUP(A7183,'[1]Tissue Data'!$A:$A,'[1]Tissue Data'!$I:$I)</f>
        <v>gibbosus</v>
      </c>
      <c r="G7183" t="str">
        <f>_xlfn.XLOOKUP(A7183,'[1]Tissue Data'!$A:$A,'[1]Tissue Data'!J:J)</f>
        <v>U</v>
      </c>
      <c r="H7183" t="str">
        <f>_xlfn.XLOOKUP(A7183,'[1]Tissue Data'!$A:$A,'[1]Tissue Data'!K:K)</f>
        <v>Whole Body</v>
      </c>
      <c r="I7183">
        <f>_xlfn.XLOOKUP(A7183,'[1]Tissue Data'!$A:$A,'[1]Tissue Data'!L:L)</f>
        <v>10</v>
      </c>
      <c r="J7183">
        <f>_xlfn.XLOOKUP(A7183,'[1]Tissue Data'!$A:$A,'[1]Tissue Data'!M:M)</f>
        <v>15.22</v>
      </c>
      <c r="K7183" t="s">
        <v>43</v>
      </c>
      <c r="L7183" t="str">
        <f>_xlfn.XLOOKUP(K7183,[2]analyte_order!$B:$B,[2]analyte_order!$C:$C)</f>
        <v>757124-72-4</v>
      </c>
      <c r="M7183">
        <f>_xlfn.XLOOKUP(L7183,[2]analyte_order!$C:$C,[2]analyte_order!$E:$E)</f>
        <v>22</v>
      </c>
      <c r="N7183">
        <v>0.22450000000000001</v>
      </c>
    </row>
    <row r="7184" spans="1:14">
      <c r="A7184" t="s">
        <v>304</v>
      </c>
      <c r="B7184" t="str">
        <f>_xlfn.XLOOKUP(A7184,'[1]Tissue Data'!$A:$A,'[1]Tissue Data'!$C:$C)</f>
        <v>Down</v>
      </c>
      <c r="C7184" s="2">
        <f>_xlfn.XLOOKUP(A7184,'[1]Tissue Data'!$A:$A,'[1]Tissue Data'!$D:$D)</f>
        <v>44393</v>
      </c>
      <c r="D7184" s="2" t="str">
        <f>_xlfn.XLOOKUP(A7184,'[1]Tissue Data'!$A:$A,'[1]Tissue Data'!$F:$F)</f>
        <v>Pumpkinseed</v>
      </c>
      <c r="E7184" t="str">
        <f>_xlfn.XLOOKUP(A7184,'[1]Tissue Data'!$A:$A,'[1]Tissue Data'!$H:$H)</f>
        <v>Lepomis</v>
      </c>
      <c r="F7184" t="str">
        <f>_xlfn.XLOOKUP(A7184,'[1]Tissue Data'!$A:$A,'[1]Tissue Data'!$I:$I)</f>
        <v>gibbosus</v>
      </c>
      <c r="G7184" t="str">
        <f>_xlfn.XLOOKUP(A7184,'[1]Tissue Data'!$A:$A,'[1]Tissue Data'!J:J)</f>
        <v>U</v>
      </c>
      <c r="H7184" t="str">
        <f>_xlfn.XLOOKUP(A7184,'[1]Tissue Data'!$A:$A,'[1]Tissue Data'!K:K)</f>
        <v>Whole Body</v>
      </c>
      <c r="I7184">
        <f>_xlfn.XLOOKUP(A7184,'[1]Tissue Data'!$A:$A,'[1]Tissue Data'!L:L)</f>
        <v>10</v>
      </c>
      <c r="J7184">
        <f>_xlfn.XLOOKUP(A7184,'[1]Tissue Data'!$A:$A,'[1]Tissue Data'!M:M)</f>
        <v>15.22</v>
      </c>
      <c r="K7184" t="s">
        <v>44</v>
      </c>
      <c r="L7184" t="str">
        <f>_xlfn.XLOOKUP(K7184,[2]analyte_order!$B:$B,[2]analyte_order!$C:$C)</f>
        <v>27619-97-2</v>
      </c>
      <c r="M7184">
        <f>_xlfn.XLOOKUP(L7184,[2]analyte_order!$C:$C,[2]analyte_order!$E:$E)</f>
        <v>23</v>
      </c>
      <c r="N7184">
        <v>0.22450000000000001</v>
      </c>
    </row>
    <row r="7185" spans="1:14">
      <c r="A7185" t="s">
        <v>304</v>
      </c>
      <c r="B7185" t="str">
        <f>_xlfn.XLOOKUP(A7185,'[1]Tissue Data'!$A:$A,'[1]Tissue Data'!$C:$C)</f>
        <v>Down</v>
      </c>
      <c r="C7185" s="2">
        <f>_xlfn.XLOOKUP(A7185,'[1]Tissue Data'!$A:$A,'[1]Tissue Data'!$D:$D)</f>
        <v>44393</v>
      </c>
      <c r="D7185" s="2" t="str">
        <f>_xlfn.XLOOKUP(A7185,'[1]Tissue Data'!$A:$A,'[1]Tissue Data'!$F:$F)</f>
        <v>Pumpkinseed</v>
      </c>
      <c r="E7185" t="str">
        <f>_xlfn.XLOOKUP(A7185,'[1]Tissue Data'!$A:$A,'[1]Tissue Data'!$H:$H)</f>
        <v>Lepomis</v>
      </c>
      <c r="F7185" t="str">
        <f>_xlfn.XLOOKUP(A7185,'[1]Tissue Data'!$A:$A,'[1]Tissue Data'!$I:$I)</f>
        <v>gibbosus</v>
      </c>
      <c r="G7185" t="str">
        <f>_xlfn.XLOOKUP(A7185,'[1]Tissue Data'!$A:$A,'[1]Tissue Data'!J:J)</f>
        <v>U</v>
      </c>
      <c r="H7185" t="str">
        <f>_xlfn.XLOOKUP(A7185,'[1]Tissue Data'!$A:$A,'[1]Tissue Data'!K:K)</f>
        <v>Whole Body</v>
      </c>
      <c r="I7185">
        <f>_xlfn.XLOOKUP(A7185,'[1]Tissue Data'!$A:$A,'[1]Tissue Data'!L:L)</f>
        <v>10</v>
      </c>
      <c r="J7185">
        <f>_xlfn.XLOOKUP(A7185,'[1]Tissue Data'!$A:$A,'[1]Tissue Data'!M:M)</f>
        <v>15.22</v>
      </c>
      <c r="K7185" t="s">
        <v>45</v>
      </c>
      <c r="L7185" t="str">
        <f>_xlfn.XLOOKUP(K7185,[2]analyte_order!$B:$B,[2]analyte_order!$C:$C)</f>
        <v>39108-34-4</v>
      </c>
      <c r="M7185">
        <f>_xlfn.XLOOKUP(L7185,[2]analyte_order!$C:$C,[2]analyte_order!$E:$E)</f>
        <v>24</v>
      </c>
      <c r="N7185">
        <v>3.1</v>
      </c>
    </row>
    <row r="7186" spans="1:14">
      <c r="A7186" t="s">
        <v>304</v>
      </c>
      <c r="B7186" t="str">
        <f>_xlfn.XLOOKUP(A7186,'[1]Tissue Data'!$A:$A,'[1]Tissue Data'!$C:$C)</f>
        <v>Down</v>
      </c>
      <c r="C7186" s="2">
        <f>_xlfn.XLOOKUP(A7186,'[1]Tissue Data'!$A:$A,'[1]Tissue Data'!$D:$D)</f>
        <v>44393</v>
      </c>
      <c r="D7186" s="2" t="str">
        <f>_xlfn.XLOOKUP(A7186,'[1]Tissue Data'!$A:$A,'[1]Tissue Data'!$F:$F)</f>
        <v>Pumpkinseed</v>
      </c>
      <c r="E7186" t="str">
        <f>_xlfn.XLOOKUP(A7186,'[1]Tissue Data'!$A:$A,'[1]Tissue Data'!$H:$H)</f>
        <v>Lepomis</v>
      </c>
      <c r="F7186" t="str">
        <f>_xlfn.XLOOKUP(A7186,'[1]Tissue Data'!$A:$A,'[1]Tissue Data'!$I:$I)</f>
        <v>gibbosus</v>
      </c>
      <c r="G7186" t="str">
        <f>_xlfn.XLOOKUP(A7186,'[1]Tissue Data'!$A:$A,'[1]Tissue Data'!J:J)</f>
        <v>U</v>
      </c>
      <c r="H7186" t="str">
        <f>_xlfn.XLOOKUP(A7186,'[1]Tissue Data'!$A:$A,'[1]Tissue Data'!K:K)</f>
        <v>Whole Body</v>
      </c>
      <c r="I7186">
        <f>_xlfn.XLOOKUP(A7186,'[1]Tissue Data'!$A:$A,'[1]Tissue Data'!L:L)</f>
        <v>10</v>
      </c>
      <c r="J7186">
        <f>_xlfn.XLOOKUP(A7186,'[1]Tissue Data'!$A:$A,'[1]Tissue Data'!M:M)</f>
        <v>15.22</v>
      </c>
      <c r="K7186" t="s">
        <v>46</v>
      </c>
      <c r="L7186" t="str">
        <f>_xlfn.XLOOKUP(K7186,[2]analyte_order!$B:$B,[2]analyte_order!$C:$C)</f>
        <v>120226-60-0</v>
      </c>
      <c r="M7186">
        <f>_xlfn.XLOOKUP(L7186,[2]analyte_order!$C:$C,[2]analyte_order!$E:$E)</f>
        <v>25</v>
      </c>
      <c r="N7186">
        <v>0.44950000000000001</v>
      </c>
    </row>
    <row r="7187" spans="1:14">
      <c r="A7187" t="s">
        <v>304</v>
      </c>
      <c r="B7187" t="str">
        <f>_xlfn.XLOOKUP(A7187,'[1]Tissue Data'!$A:$A,'[1]Tissue Data'!$C:$C)</f>
        <v>Down</v>
      </c>
      <c r="C7187" s="2">
        <f>_xlfn.XLOOKUP(A7187,'[1]Tissue Data'!$A:$A,'[1]Tissue Data'!$D:$D)</f>
        <v>44393</v>
      </c>
      <c r="D7187" s="2" t="str">
        <f>_xlfn.XLOOKUP(A7187,'[1]Tissue Data'!$A:$A,'[1]Tissue Data'!$F:$F)</f>
        <v>Pumpkinseed</v>
      </c>
      <c r="E7187" t="str">
        <f>_xlfn.XLOOKUP(A7187,'[1]Tissue Data'!$A:$A,'[1]Tissue Data'!$H:$H)</f>
        <v>Lepomis</v>
      </c>
      <c r="F7187" t="str">
        <f>_xlfn.XLOOKUP(A7187,'[1]Tissue Data'!$A:$A,'[1]Tissue Data'!$I:$I)</f>
        <v>gibbosus</v>
      </c>
      <c r="G7187" t="str">
        <f>_xlfn.XLOOKUP(A7187,'[1]Tissue Data'!$A:$A,'[1]Tissue Data'!J:J)</f>
        <v>U</v>
      </c>
      <c r="H7187" t="str">
        <f>_xlfn.XLOOKUP(A7187,'[1]Tissue Data'!$A:$A,'[1]Tissue Data'!K:K)</f>
        <v>Whole Body</v>
      </c>
      <c r="I7187">
        <f>_xlfn.XLOOKUP(A7187,'[1]Tissue Data'!$A:$A,'[1]Tissue Data'!L:L)</f>
        <v>10</v>
      </c>
      <c r="J7187">
        <f>_xlfn.XLOOKUP(A7187,'[1]Tissue Data'!$A:$A,'[1]Tissue Data'!M:M)</f>
        <v>15.22</v>
      </c>
      <c r="K7187" t="s">
        <v>47</v>
      </c>
      <c r="L7187" t="str">
        <f>_xlfn.XLOOKUP(K7187,[2]analyte_order!$B:$B,[2]analyte_order!$C:$C)</f>
        <v>356-02-5</v>
      </c>
      <c r="M7187">
        <f>_xlfn.XLOOKUP(L7187,[2]analyte_order!$C:$C,[2]analyte_order!$E:$E)</f>
        <v>38</v>
      </c>
      <c r="N7187">
        <v>0.25900000000000001</v>
      </c>
    </row>
    <row r="7188" spans="1:14">
      <c r="A7188" t="s">
        <v>304</v>
      </c>
      <c r="B7188" t="str">
        <f>_xlfn.XLOOKUP(A7188,'[1]Tissue Data'!$A:$A,'[1]Tissue Data'!$C:$C)</f>
        <v>Down</v>
      </c>
      <c r="C7188" s="2">
        <f>_xlfn.XLOOKUP(A7188,'[1]Tissue Data'!$A:$A,'[1]Tissue Data'!$D:$D)</f>
        <v>44393</v>
      </c>
      <c r="D7188" s="2" t="str">
        <f>_xlfn.XLOOKUP(A7188,'[1]Tissue Data'!$A:$A,'[1]Tissue Data'!$F:$F)</f>
        <v>Pumpkinseed</v>
      </c>
      <c r="E7188" t="str">
        <f>_xlfn.XLOOKUP(A7188,'[1]Tissue Data'!$A:$A,'[1]Tissue Data'!$H:$H)</f>
        <v>Lepomis</v>
      </c>
      <c r="F7188" t="str">
        <f>_xlfn.XLOOKUP(A7188,'[1]Tissue Data'!$A:$A,'[1]Tissue Data'!$I:$I)</f>
        <v>gibbosus</v>
      </c>
      <c r="G7188" t="str">
        <f>_xlfn.XLOOKUP(A7188,'[1]Tissue Data'!$A:$A,'[1]Tissue Data'!J:J)</f>
        <v>U</v>
      </c>
      <c r="H7188" t="str">
        <f>_xlfn.XLOOKUP(A7188,'[1]Tissue Data'!$A:$A,'[1]Tissue Data'!K:K)</f>
        <v>Whole Body</v>
      </c>
      <c r="I7188">
        <f>_xlfn.XLOOKUP(A7188,'[1]Tissue Data'!$A:$A,'[1]Tissue Data'!L:L)</f>
        <v>10</v>
      </c>
      <c r="J7188">
        <f>_xlfn.XLOOKUP(A7188,'[1]Tissue Data'!$A:$A,'[1]Tissue Data'!M:M)</f>
        <v>15.22</v>
      </c>
      <c r="K7188" t="s">
        <v>48</v>
      </c>
      <c r="L7188" t="str">
        <f>_xlfn.XLOOKUP(K7188,[2]analyte_order!$B:$B,[2]analyte_order!$C:$C)</f>
        <v>914637-49-3</v>
      </c>
      <c r="M7188">
        <f>_xlfn.XLOOKUP(L7188,[2]analyte_order!$C:$C,[2]analyte_order!$E:$E)</f>
        <v>39</v>
      </c>
      <c r="N7188">
        <v>0.57199999999999995</v>
      </c>
    </row>
    <row r="7189" spans="1:14">
      <c r="A7189" t="s">
        <v>304</v>
      </c>
      <c r="B7189" t="str">
        <f>_xlfn.XLOOKUP(A7189,'[1]Tissue Data'!$A:$A,'[1]Tissue Data'!$C:$C)</f>
        <v>Down</v>
      </c>
      <c r="C7189" s="2">
        <f>_xlfn.XLOOKUP(A7189,'[1]Tissue Data'!$A:$A,'[1]Tissue Data'!$D:$D)</f>
        <v>44393</v>
      </c>
      <c r="D7189" s="2" t="str">
        <f>_xlfn.XLOOKUP(A7189,'[1]Tissue Data'!$A:$A,'[1]Tissue Data'!$F:$F)</f>
        <v>Pumpkinseed</v>
      </c>
      <c r="E7189" t="str">
        <f>_xlfn.XLOOKUP(A7189,'[1]Tissue Data'!$A:$A,'[1]Tissue Data'!$H:$H)</f>
        <v>Lepomis</v>
      </c>
      <c r="F7189" t="str">
        <f>_xlfn.XLOOKUP(A7189,'[1]Tissue Data'!$A:$A,'[1]Tissue Data'!$I:$I)</f>
        <v>gibbosus</v>
      </c>
      <c r="G7189" t="str">
        <f>_xlfn.XLOOKUP(A7189,'[1]Tissue Data'!$A:$A,'[1]Tissue Data'!J:J)</f>
        <v>U</v>
      </c>
      <c r="H7189" t="str">
        <f>_xlfn.XLOOKUP(A7189,'[1]Tissue Data'!$A:$A,'[1]Tissue Data'!K:K)</f>
        <v>Whole Body</v>
      </c>
      <c r="I7189">
        <f>_xlfn.XLOOKUP(A7189,'[1]Tissue Data'!$A:$A,'[1]Tissue Data'!L:L)</f>
        <v>10</v>
      </c>
      <c r="J7189">
        <f>_xlfn.XLOOKUP(A7189,'[1]Tissue Data'!$A:$A,'[1]Tissue Data'!M:M)</f>
        <v>15.22</v>
      </c>
      <c r="K7189" t="s">
        <v>49</v>
      </c>
      <c r="L7189" t="str">
        <f>_xlfn.XLOOKUP(K7189,[2]analyte_order!$B:$B,[2]analyte_order!$C:$C)</f>
        <v>812-70-4</v>
      </c>
      <c r="M7189">
        <f>_xlfn.XLOOKUP(L7189,[2]analyte_order!$C:$C,[2]analyte_order!$E:$E)</f>
        <v>40</v>
      </c>
      <c r="N7189">
        <v>2.33</v>
      </c>
    </row>
    <row r="7190" spans="1:14">
      <c r="A7190" t="s">
        <v>304</v>
      </c>
      <c r="B7190" t="str">
        <f>_xlfn.XLOOKUP(A7190,'[1]Tissue Data'!$A:$A,'[1]Tissue Data'!$C:$C)</f>
        <v>Down</v>
      </c>
      <c r="C7190" s="2">
        <f>_xlfn.XLOOKUP(A7190,'[1]Tissue Data'!$A:$A,'[1]Tissue Data'!$D:$D)</f>
        <v>44393</v>
      </c>
      <c r="D7190" s="2" t="str">
        <f>_xlfn.XLOOKUP(A7190,'[1]Tissue Data'!$A:$A,'[1]Tissue Data'!$F:$F)</f>
        <v>Pumpkinseed</v>
      </c>
      <c r="E7190" t="str">
        <f>_xlfn.XLOOKUP(A7190,'[1]Tissue Data'!$A:$A,'[1]Tissue Data'!$H:$H)</f>
        <v>Lepomis</v>
      </c>
      <c r="F7190" t="str">
        <f>_xlfn.XLOOKUP(A7190,'[1]Tissue Data'!$A:$A,'[1]Tissue Data'!$I:$I)</f>
        <v>gibbosus</v>
      </c>
      <c r="G7190" t="str">
        <f>_xlfn.XLOOKUP(A7190,'[1]Tissue Data'!$A:$A,'[1]Tissue Data'!J:J)</f>
        <v>U</v>
      </c>
      <c r="H7190" t="str">
        <f>_xlfn.XLOOKUP(A7190,'[1]Tissue Data'!$A:$A,'[1]Tissue Data'!K:K)</f>
        <v>Whole Body</v>
      </c>
      <c r="I7190">
        <f>_xlfn.XLOOKUP(A7190,'[1]Tissue Data'!$A:$A,'[1]Tissue Data'!L:L)</f>
        <v>10</v>
      </c>
      <c r="J7190">
        <f>_xlfn.XLOOKUP(A7190,'[1]Tissue Data'!$A:$A,'[1]Tissue Data'!M:M)</f>
        <v>15.22</v>
      </c>
      <c r="K7190" t="s">
        <v>50</v>
      </c>
      <c r="L7190" t="str">
        <f>_xlfn.XLOOKUP(K7190,[2]analyte_order!$B:$B,[2]analyte_order!$C:$C)</f>
        <v>53826-12-3</v>
      </c>
      <c r="M7190">
        <f>_xlfn.XLOOKUP(L7190,[2]analyte_order!$C:$C,[2]analyte_order!$E:$E)</f>
        <v>41</v>
      </c>
      <c r="N7190">
        <v>0.44950000000000001</v>
      </c>
    </row>
    <row r="7191" spans="1:14">
      <c r="A7191" t="s">
        <v>304</v>
      </c>
      <c r="B7191" t="str">
        <f>_xlfn.XLOOKUP(A7191,'[1]Tissue Data'!$A:$A,'[1]Tissue Data'!$C:$C)</f>
        <v>Down</v>
      </c>
      <c r="C7191" s="2">
        <f>_xlfn.XLOOKUP(A7191,'[1]Tissue Data'!$A:$A,'[1]Tissue Data'!$D:$D)</f>
        <v>44393</v>
      </c>
      <c r="D7191" s="2" t="str">
        <f>_xlfn.XLOOKUP(A7191,'[1]Tissue Data'!$A:$A,'[1]Tissue Data'!$F:$F)</f>
        <v>Pumpkinseed</v>
      </c>
      <c r="E7191" t="str">
        <f>_xlfn.XLOOKUP(A7191,'[1]Tissue Data'!$A:$A,'[1]Tissue Data'!$H:$H)</f>
        <v>Lepomis</v>
      </c>
      <c r="F7191" t="str">
        <f>_xlfn.XLOOKUP(A7191,'[1]Tissue Data'!$A:$A,'[1]Tissue Data'!$I:$I)</f>
        <v>gibbosus</v>
      </c>
      <c r="G7191" t="str">
        <f>_xlfn.XLOOKUP(A7191,'[1]Tissue Data'!$A:$A,'[1]Tissue Data'!J:J)</f>
        <v>U</v>
      </c>
      <c r="H7191" t="str">
        <f>_xlfn.XLOOKUP(A7191,'[1]Tissue Data'!$A:$A,'[1]Tissue Data'!K:K)</f>
        <v>Whole Body</v>
      </c>
      <c r="I7191">
        <f>_xlfn.XLOOKUP(A7191,'[1]Tissue Data'!$A:$A,'[1]Tissue Data'!L:L)</f>
        <v>10</v>
      </c>
      <c r="J7191">
        <f>_xlfn.XLOOKUP(A7191,'[1]Tissue Data'!$A:$A,'[1]Tissue Data'!M:M)</f>
        <v>15.22</v>
      </c>
      <c r="K7191" t="s">
        <v>51</v>
      </c>
      <c r="L7191" t="str">
        <f>_xlfn.XLOOKUP(K7191,[2]analyte_order!$B:$B,[2]analyte_order!$C:$C)</f>
        <v>27854-31-5</v>
      </c>
      <c r="M7191">
        <f>_xlfn.XLOOKUP(L7191,[2]analyte_order!$C:$C,[2]analyte_order!$E:$E)</f>
        <v>42</v>
      </c>
      <c r="N7191">
        <v>0.44950000000000001</v>
      </c>
    </row>
    <row r="7192" spans="1:14">
      <c r="A7192" t="s">
        <v>304</v>
      </c>
      <c r="B7192" t="str">
        <f>_xlfn.XLOOKUP(A7192,'[1]Tissue Data'!$A:$A,'[1]Tissue Data'!$C:$C)</f>
        <v>Down</v>
      </c>
      <c r="C7192" s="2">
        <f>_xlfn.XLOOKUP(A7192,'[1]Tissue Data'!$A:$A,'[1]Tissue Data'!$D:$D)</f>
        <v>44393</v>
      </c>
      <c r="D7192" s="2" t="str">
        <f>_xlfn.XLOOKUP(A7192,'[1]Tissue Data'!$A:$A,'[1]Tissue Data'!$F:$F)</f>
        <v>Pumpkinseed</v>
      </c>
      <c r="E7192" t="str">
        <f>_xlfn.XLOOKUP(A7192,'[1]Tissue Data'!$A:$A,'[1]Tissue Data'!$H:$H)</f>
        <v>Lepomis</v>
      </c>
      <c r="F7192" t="str">
        <f>_xlfn.XLOOKUP(A7192,'[1]Tissue Data'!$A:$A,'[1]Tissue Data'!$I:$I)</f>
        <v>gibbosus</v>
      </c>
      <c r="G7192" t="str">
        <f>_xlfn.XLOOKUP(A7192,'[1]Tissue Data'!$A:$A,'[1]Tissue Data'!J:J)</f>
        <v>U</v>
      </c>
      <c r="H7192" t="str">
        <f>_xlfn.XLOOKUP(A7192,'[1]Tissue Data'!$A:$A,'[1]Tissue Data'!K:K)</f>
        <v>Whole Body</v>
      </c>
      <c r="I7192">
        <f>_xlfn.XLOOKUP(A7192,'[1]Tissue Data'!$A:$A,'[1]Tissue Data'!L:L)</f>
        <v>10</v>
      </c>
      <c r="J7192">
        <f>_xlfn.XLOOKUP(A7192,'[1]Tissue Data'!$A:$A,'[1]Tissue Data'!M:M)</f>
        <v>15.22</v>
      </c>
      <c r="K7192" t="s">
        <v>52</v>
      </c>
      <c r="L7192" t="str">
        <f>_xlfn.XLOOKUP(K7192,[2]analyte_order!$B:$B,[2]analyte_order!$C:$C)</f>
        <v>53826-13-4</v>
      </c>
      <c r="M7192">
        <f>_xlfn.XLOOKUP(L7192,[2]analyte_order!$C:$C,[2]analyte_order!$E:$E)</f>
        <v>43</v>
      </c>
      <c r="N7192">
        <v>0.44950000000000001</v>
      </c>
    </row>
    <row r="7193" spans="1:14">
      <c r="A7193" t="s">
        <v>304</v>
      </c>
      <c r="B7193" t="str">
        <f>_xlfn.XLOOKUP(A7193,'[1]Tissue Data'!$A:$A,'[1]Tissue Data'!$C:$C)</f>
        <v>Down</v>
      </c>
      <c r="C7193" s="2">
        <f>_xlfn.XLOOKUP(A7193,'[1]Tissue Data'!$A:$A,'[1]Tissue Data'!$D:$D)</f>
        <v>44393</v>
      </c>
      <c r="D7193" s="2" t="str">
        <f>_xlfn.XLOOKUP(A7193,'[1]Tissue Data'!$A:$A,'[1]Tissue Data'!$F:$F)</f>
        <v>Pumpkinseed</v>
      </c>
      <c r="E7193" t="str">
        <f>_xlfn.XLOOKUP(A7193,'[1]Tissue Data'!$A:$A,'[1]Tissue Data'!$H:$H)</f>
        <v>Lepomis</v>
      </c>
      <c r="F7193" t="str">
        <f>_xlfn.XLOOKUP(A7193,'[1]Tissue Data'!$A:$A,'[1]Tissue Data'!$I:$I)</f>
        <v>gibbosus</v>
      </c>
      <c r="G7193" t="str">
        <f>_xlfn.XLOOKUP(A7193,'[1]Tissue Data'!$A:$A,'[1]Tissue Data'!J:J)</f>
        <v>U</v>
      </c>
      <c r="H7193" t="str">
        <f>_xlfn.XLOOKUP(A7193,'[1]Tissue Data'!$A:$A,'[1]Tissue Data'!K:K)</f>
        <v>Whole Body</v>
      </c>
      <c r="I7193">
        <f>_xlfn.XLOOKUP(A7193,'[1]Tissue Data'!$A:$A,'[1]Tissue Data'!L:L)</f>
        <v>10</v>
      </c>
      <c r="J7193">
        <f>_xlfn.XLOOKUP(A7193,'[1]Tissue Data'!$A:$A,'[1]Tissue Data'!M:M)</f>
        <v>15.22</v>
      </c>
      <c r="K7193" t="s">
        <v>53</v>
      </c>
      <c r="L7193" t="str">
        <f>_xlfn.XLOOKUP(K7193,[2]analyte_order!$B:$B,[2]analyte_order!$C:$C)</f>
        <v>161094-75-3</v>
      </c>
      <c r="M7193">
        <f>_xlfn.XLOOKUP(L7193,[2]analyte_order!$C:$C,[2]analyte_order!$E:$E)</f>
        <v>44</v>
      </c>
      <c r="N7193">
        <v>0.44950000000000001</v>
      </c>
    </row>
    <row r="7194" spans="1:14">
      <c r="A7194" t="s">
        <v>304</v>
      </c>
      <c r="B7194" t="str">
        <f>_xlfn.XLOOKUP(A7194,'[1]Tissue Data'!$A:$A,'[1]Tissue Data'!$C:$C)</f>
        <v>Down</v>
      </c>
      <c r="C7194" s="2">
        <f>_xlfn.XLOOKUP(A7194,'[1]Tissue Data'!$A:$A,'[1]Tissue Data'!$D:$D)</f>
        <v>44393</v>
      </c>
      <c r="D7194" s="2" t="str">
        <f>_xlfn.XLOOKUP(A7194,'[1]Tissue Data'!$A:$A,'[1]Tissue Data'!$F:$F)</f>
        <v>Pumpkinseed</v>
      </c>
      <c r="E7194" t="str">
        <f>_xlfn.XLOOKUP(A7194,'[1]Tissue Data'!$A:$A,'[1]Tissue Data'!$H:$H)</f>
        <v>Lepomis</v>
      </c>
      <c r="F7194" t="str">
        <f>_xlfn.XLOOKUP(A7194,'[1]Tissue Data'!$A:$A,'[1]Tissue Data'!$I:$I)</f>
        <v>gibbosus</v>
      </c>
      <c r="G7194" t="str">
        <f>_xlfn.XLOOKUP(A7194,'[1]Tissue Data'!$A:$A,'[1]Tissue Data'!J:J)</f>
        <v>U</v>
      </c>
      <c r="H7194" t="str">
        <f>_xlfn.XLOOKUP(A7194,'[1]Tissue Data'!$A:$A,'[1]Tissue Data'!K:K)</f>
        <v>Whole Body</v>
      </c>
      <c r="I7194">
        <f>_xlfn.XLOOKUP(A7194,'[1]Tissue Data'!$A:$A,'[1]Tissue Data'!L:L)</f>
        <v>10</v>
      </c>
      <c r="J7194">
        <f>_xlfn.XLOOKUP(A7194,'[1]Tissue Data'!$A:$A,'[1]Tissue Data'!M:M)</f>
        <v>15.22</v>
      </c>
      <c r="K7194" t="s">
        <v>54</v>
      </c>
      <c r="L7194" t="str">
        <f>_xlfn.XLOOKUP(K7194,[2]analyte_order!$B:$B,[2]analyte_order!$C:$C)</f>
        <v>70887-84-2</v>
      </c>
      <c r="M7194">
        <f>_xlfn.XLOOKUP(L7194,[2]analyte_order!$C:$C,[2]analyte_order!$E:$E)</f>
        <v>45</v>
      </c>
      <c r="N7194">
        <v>0.44950000000000001</v>
      </c>
    </row>
    <row r="7195" spans="1:14">
      <c r="A7195" t="s">
        <v>304</v>
      </c>
      <c r="B7195" t="str">
        <f>_xlfn.XLOOKUP(A7195,'[1]Tissue Data'!$A:$A,'[1]Tissue Data'!$C:$C)</f>
        <v>Down</v>
      </c>
      <c r="C7195" s="2">
        <f>_xlfn.XLOOKUP(A7195,'[1]Tissue Data'!$A:$A,'[1]Tissue Data'!$D:$D)</f>
        <v>44393</v>
      </c>
      <c r="D7195" s="2" t="str">
        <f>_xlfn.XLOOKUP(A7195,'[1]Tissue Data'!$A:$A,'[1]Tissue Data'!$F:$F)</f>
        <v>Pumpkinseed</v>
      </c>
      <c r="E7195" t="str">
        <f>_xlfn.XLOOKUP(A7195,'[1]Tissue Data'!$A:$A,'[1]Tissue Data'!$H:$H)</f>
        <v>Lepomis</v>
      </c>
      <c r="F7195" t="str">
        <f>_xlfn.XLOOKUP(A7195,'[1]Tissue Data'!$A:$A,'[1]Tissue Data'!$I:$I)</f>
        <v>gibbosus</v>
      </c>
      <c r="G7195" t="str">
        <f>_xlfn.XLOOKUP(A7195,'[1]Tissue Data'!$A:$A,'[1]Tissue Data'!J:J)</f>
        <v>U</v>
      </c>
      <c r="H7195" t="str">
        <f>_xlfn.XLOOKUP(A7195,'[1]Tissue Data'!$A:$A,'[1]Tissue Data'!K:K)</f>
        <v>Whole Body</v>
      </c>
      <c r="I7195">
        <f>_xlfn.XLOOKUP(A7195,'[1]Tissue Data'!$A:$A,'[1]Tissue Data'!L:L)</f>
        <v>10</v>
      </c>
      <c r="J7195">
        <f>_xlfn.XLOOKUP(A7195,'[1]Tissue Data'!$A:$A,'[1]Tissue Data'!M:M)</f>
        <v>15.22</v>
      </c>
      <c r="K7195" t="s">
        <v>55</v>
      </c>
      <c r="L7195" t="str">
        <f>_xlfn.XLOOKUP(K7195,[2]analyte_order!$B:$B,[2]analyte_order!$C:$C)</f>
        <v>919005-14-4</v>
      </c>
      <c r="M7195">
        <f>_xlfn.XLOOKUP(L7195,[2]analyte_order!$C:$C,[2]analyte_order!$E:$E)</f>
        <v>35</v>
      </c>
      <c r="N7195">
        <v>0.22450000000000001</v>
      </c>
    </row>
    <row r="7196" spans="1:14">
      <c r="A7196" t="s">
        <v>304</v>
      </c>
      <c r="B7196" t="str">
        <f>_xlfn.XLOOKUP(A7196,'[1]Tissue Data'!$A:$A,'[1]Tissue Data'!$C:$C)</f>
        <v>Down</v>
      </c>
      <c r="C7196" s="2">
        <f>_xlfn.XLOOKUP(A7196,'[1]Tissue Data'!$A:$A,'[1]Tissue Data'!$D:$D)</f>
        <v>44393</v>
      </c>
      <c r="D7196" s="2" t="str">
        <f>_xlfn.XLOOKUP(A7196,'[1]Tissue Data'!$A:$A,'[1]Tissue Data'!$F:$F)</f>
        <v>Pumpkinseed</v>
      </c>
      <c r="E7196" t="str">
        <f>_xlfn.XLOOKUP(A7196,'[1]Tissue Data'!$A:$A,'[1]Tissue Data'!$H:$H)</f>
        <v>Lepomis</v>
      </c>
      <c r="F7196" t="str">
        <f>_xlfn.XLOOKUP(A7196,'[1]Tissue Data'!$A:$A,'[1]Tissue Data'!$I:$I)</f>
        <v>gibbosus</v>
      </c>
      <c r="G7196" t="str">
        <f>_xlfn.XLOOKUP(A7196,'[1]Tissue Data'!$A:$A,'[1]Tissue Data'!J:J)</f>
        <v>U</v>
      </c>
      <c r="H7196" t="str">
        <f>_xlfn.XLOOKUP(A7196,'[1]Tissue Data'!$A:$A,'[1]Tissue Data'!K:K)</f>
        <v>Whole Body</v>
      </c>
      <c r="I7196">
        <f>_xlfn.XLOOKUP(A7196,'[1]Tissue Data'!$A:$A,'[1]Tissue Data'!L:L)</f>
        <v>10</v>
      </c>
      <c r="J7196">
        <f>_xlfn.XLOOKUP(A7196,'[1]Tissue Data'!$A:$A,'[1]Tissue Data'!M:M)</f>
        <v>15.22</v>
      </c>
      <c r="K7196" t="s">
        <v>56</v>
      </c>
      <c r="L7196" t="str">
        <f>_xlfn.XLOOKUP(K7196,[2]analyte_order!$B:$B,[2]analyte_order!$C:$C)</f>
        <v>756426-58-1</v>
      </c>
      <c r="M7196">
        <f>_xlfn.XLOOKUP(L7196,[2]analyte_order!$C:$C,[2]analyte_order!$E:$E)</f>
        <v>36</v>
      </c>
      <c r="N7196">
        <v>0.44950000000000001</v>
      </c>
    </row>
    <row r="7197" spans="1:14">
      <c r="A7197" t="s">
        <v>304</v>
      </c>
      <c r="B7197" t="str">
        <f>_xlfn.XLOOKUP(A7197,'[1]Tissue Data'!$A:$A,'[1]Tissue Data'!$C:$C)</f>
        <v>Down</v>
      </c>
      <c r="C7197" s="2">
        <f>_xlfn.XLOOKUP(A7197,'[1]Tissue Data'!$A:$A,'[1]Tissue Data'!$D:$D)</f>
        <v>44393</v>
      </c>
      <c r="D7197" s="2" t="str">
        <f>_xlfn.XLOOKUP(A7197,'[1]Tissue Data'!$A:$A,'[1]Tissue Data'!$F:$F)</f>
        <v>Pumpkinseed</v>
      </c>
      <c r="E7197" t="str">
        <f>_xlfn.XLOOKUP(A7197,'[1]Tissue Data'!$A:$A,'[1]Tissue Data'!$H:$H)</f>
        <v>Lepomis</v>
      </c>
      <c r="F7197" t="str">
        <f>_xlfn.XLOOKUP(A7197,'[1]Tissue Data'!$A:$A,'[1]Tissue Data'!$I:$I)</f>
        <v>gibbosus</v>
      </c>
      <c r="G7197" t="str">
        <f>_xlfn.XLOOKUP(A7197,'[1]Tissue Data'!$A:$A,'[1]Tissue Data'!J:J)</f>
        <v>U</v>
      </c>
      <c r="H7197" t="str">
        <f>_xlfn.XLOOKUP(A7197,'[1]Tissue Data'!$A:$A,'[1]Tissue Data'!K:K)</f>
        <v>Whole Body</v>
      </c>
      <c r="I7197">
        <f>_xlfn.XLOOKUP(A7197,'[1]Tissue Data'!$A:$A,'[1]Tissue Data'!L:L)</f>
        <v>10</v>
      </c>
      <c r="J7197">
        <f>_xlfn.XLOOKUP(A7197,'[1]Tissue Data'!$A:$A,'[1]Tissue Data'!M:M)</f>
        <v>15.22</v>
      </c>
      <c r="K7197" t="s">
        <v>57</v>
      </c>
      <c r="L7197" t="str">
        <f>_xlfn.XLOOKUP(K7197,[2]analyte_order!$B:$B,[2]analyte_order!$C:$C)</f>
        <v>763051-92-9</v>
      </c>
      <c r="M7197">
        <f>_xlfn.XLOOKUP(L7197,[2]analyte_order!$C:$C,[2]analyte_order!$E:$E)</f>
        <v>37</v>
      </c>
      <c r="N7197">
        <v>0.44950000000000001</v>
      </c>
    </row>
    <row r="7198" spans="1:14">
      <c r="A7198" t="s">
        <v>304</v>
      </c>
      <c r="B7198" t="str">
        <f>_xlfn.XLOOKUP(A7198,'[1]Tissue Data'!$A:$A,'[1]Tissue Data'!$C:$C)</f>
        <v>Down</v>
      </c>
      <c r="C7198" s="2">
        <f>_xlfn.XLOOKUP(A7198,'[1]Tissue Data'!$A:$A,'[1]Tissue Data'!$D:$D)</f>
        <v>44393</v>
      </c>
      <c r="D7198" s="2" t="str">
        <f>_xlfn.XLOOKUP(A7198,'[1]Tissue Data'!$A:$A,'[1]Tissue Data'!$F:$F)</f>
        <v>Pumpkinseed</v>
      </c>
      <c r="E7198" t="str">
        <f>_xlfn.XLOOKUP(A7198,'[1]Tissue Data'!$A:$A,'[1]Tissue Data'!$H:$H)</f>
        <v>Lepomis</v>
      </c>
      <c r="F7198" t="str">
        <f>_xlfn.XLOOKUP(A7198,'[1]Tissue Data'!$A:$A,'[1]Tissue Data'!$I:$I)</f>
        <v>gibbosus</v>
      </c>
      <c r="G7198" t="str">
        <f>_xlfn.XLOOKUP(A7198,'[1]Tissue Data'!$A:$A,'[1]Tissue Data'!J:J)</f>
        <v>U</v>
      </c>
      <c r="H7198" t="str">
        <f>_xlfn.XLOOKUP(A7198,'[1]Tissue Data'!$A:$A,'[1]Tissue Data'!K:K)</f>
        <v>Whole Body</v>
      </c>
      <c r="I7198">
        <f>_xlfn.XLOOKUP(A7198,'[1]Tissue Data'!$A:$A,'[1]Tissue Data'!L:L)</f>
        <v>10</v>
      </c>
      <c r="J7198">
        <f>_xlfn.XLOOKUP(A7198,'[1]Tissue Data'!$A:$A,'[1]Tissue Data'!M:M)</f>
        <v>15.22</v>
      </c>
      <c r="K7198" t="s">
        <v>58</v>
      </c>
      <c r="L7198" t="str">
        <f>_xlfn.XLOOKUP(K7198,[2]analyte_order!$B:$B,[2]analyte_order!$C:$C)</f>
        <v>13252-13-6</v>
      </c>
      <c r="M7198">
        <f>_xlfn.XLOOKUP(L7198,[2]analyte_order!$C:$C,[2]analyte_order!$E:$E)</f>
        <v>34</v>
      </c>
      <c r="N7198">
        <v>0.32250000000000001</v>
      </c>
    </row>
    <row r="7199" spans="1:14">
      <c r="A7199" t="s">
        <v>304</v>
      </c>
      <c r="B7199" t="str">
        <f>_xlfn.XLOOKUP(A7199,'[1]Tissue Data'!$A:$A,'[1]Tissue Data'!$C:$C)</f>
        <v>Down</v>
      </c>
      <c r="C7199" s="2">
        <f>_xlfn.XLOOKUP(A7199,'[1]Tissue Data'!$A:$A,'[1]Tissue Data'!$D:$D)</f>
        <v>44393</v>
      </c>
      <c r="D7199" s="2" t="str">
        <f>_xlfn.XLOOKUP(A7199,'[1]Tissue Data'!$A:$A,'[1]Tissue Data'!$F:$F)</f>
        <v>Pumpkinseed</v>
      </c>
      <c r="E7199" t="str">
        <f>_xlfn.XLOOKUP(A7199,'[1]Tissue Data'!$A:$A,'[1]Tissue Data'!$H:$H)</f>
        <v>Lepomis</v>
      </c>
      <c r="F7199" t="str">
        <f>_xlfn.XLOOKUP(A7199,'[1]Tissue Data'!$A:$A,'[1]Tissue Data'!$I:$I)</f>
        <v>gibbosus</v>
      </c>
      <c r="G7199" t="str">
        <f>_xlfn.XLOOKUP(A7199,'[1]Tissue Data'!$A:$A,'[1]Tissue Data'!J:J)</f>
        <v>U</v>
      </c>
      <c r="H7199" t="str">
        <f>_xlfn.XLOOKUP(A7199,'[1]Tissue Data'!$A:$A,'[1]Tissue Data'!K:K)</f>
        <v>Whole Body</v>
      </c>
      <c r="I7199">
        <f>_xlfn.XLOOKUP(A7199,'[1]Tissue Data'!$A:$A,'[1]Tissue Data'!L:L)</f>
        <v>10</v>
      </c>
      <c r="J7199">
        <f>_xlfn.XLOOKUP(A7199,'[1]Tissue Data'!$A:$A,'[1]Tissue Data'!M:M)</f>
        <v>15.22</v>
      </c>
      <c r="K7199" t="s">
        <v>59</v>
      </c>
      <c r="L7199" t="str">
        <f>_xlfn.XLOOKUP(K7199,[2]analyte_order!$B:$B,[2]analyte_order!$C:$C)</f>
        <v>57677-95-9</v>
      </c>
      <c r="M7199">
        <f>_xlfn.XLOOKUP(L7199,[2]analyte_order!$C:$C,[2]analyte_order!$E:$E)</f>
        <v>46</v>
      </c>
      <c r="N7199">
        <v>0.44950000000000001</v>
      </c>
    </row>
    <row r="7200" spans="1:14">
      <c r="A7200" t="s">
        <v>304</v>
      </c>
      <c r="B7200" t="str">
        <f>_xlfn.XLOOKUP(A7200,'[1]Tissue Data'!$A:$A,'[1]Tissue Data'!$C:$C)</f>
        <v>Down</v>
      </c>
      <c r="C7200" s="2">
        <f>_xlfn.XLOOKUP(A7200,'[1]Tissue Data'!$A:$A,'[1]Tissue Data'!$D:$D)</f>
        <v>44393</v>
      </c>
      <c r="D7200" s="2" t="str">
        <f>_xlfn.XLOOKUP(A7200,'[1]Tissue Data'!$A:$A,'[1]Tissue Data'!$F:$F)</f>
        <v>Pumpkinseed</v>
      </c>
      <c r="E7200" t="str">
        <f>_xlfn.XLOOKUP(A7200,'[1]Tissue Data'!$A:$A,'[1]Tissue Data'!$H:$H)</f>
        <v>Lepomis</v>
      </c>
      <c r="F7200" t="str">
        <f>_xlfn.XLOOKUP(A7200,'[1]Tissue Data'!$A:$A,'[1]Tissue Data'!$I:$I)</f>
        <v>gibbosus</v>
      </c>
      <c r="G7200" t="str">
        <f>_xlfn.XLOOKUP(A7200,'[1]Tissue Data'!$A:$A,'[1]Tissue Data'!J:J)</f>
        <v>U</v>
      </c>
      <c r="H7200" t="str">
        <f>_xlfn.XLOOKUP(A7200,'[1]Tissue Data'!$A:$A,'[1]Tissue Data'!K:K)</f>
        <v>Whole Body</v>
      </c>
      <c r="I7200">
        <f>_xlfn.XLOOKUP(A7200,'[1]Tissue Data'!$A:$A,'[1]Tissue Data'!L:L)</f>
        <v>10</v>
      </c>
      <c r="J7200">
        <f>_xlfn.XLOOKUP(A7200,'[1]Tissue Data'!$A:$A,'[1]Tissue Data'!M:M)</f>
        <v>15.22</v>
      </c>
      <c r="K7200" t="s">
        <v>60</v>
      </c>
      <c r="L7200" t="str">
        <f>_xlfn.XLOOKUP(K7200,[2]analyte_order!$B:$B,[2]analyte_order!$C:$C)</f>
        <v>678-41-1</v>
      </c>
      <c r="M7200">
        <f>_xlfn.XLOOKUP(L7200,[2]analyte_order!$C:$C,[2]analyte_order!$E:$E)</f>
        <v>56</v>
      </c>
      <c r="N7200">
        <v>0.44950000000000001</v>
      </c>
    </row>
    <row r="7201" spans="1:14">
      <c r="A7201" t="s">
        <v>304</v>
      </c>
      <c r="B7201" t="str">
        <f>_xlfn.XLOOKUP(A7201,'[1]Tissue Data'!$A:$A,'[1]Tissue Data'!$C:$C)</f>
        <v>Down</v>
      </c>
      <c r="C7201" s="2">
        <f>_xlfn.XLOOKUP(A7201,'[1]Tissue Data'!$A:$A,'[1]Tissue Data'!$D:$D)</f>
        <v>44393</v>
      </c>
      <c r="D7201" s="2" t="str">
        <f>_xlfn.XLOOKUP(A7201,'[1]Tissue Data'!$A:$A,'[1]Tissue Data'!$F:$F)</f>
        <v>Pumpkinseed</v>
      </c>
      <c r="E7201" t="str">
        <f>_xlfn.XLOOKUP(A7201,'[1]Tissue Data'!$A:$A,'[1]Tissue Data'!$H:$H)</f>
        <v>Lepomis</v>
      </c>
      <c r="F7201" t="str">
        <f>_xlfn.XLOOKUP(A7201,'[1]Tissue Data'!$A:$A,'[1]Tissue Data'!$I:$I)</f>
        <v>gibbosus</v>
      </c>
      <c r="G7201" t="str">
        <f>_xlfn.XLOOKUP(A7201,'[1]Tissue Data'!$A:$A,'[1]Tissue Data'!J:J)</f>
        <v>U</v>
      </c>
      <c r="H7201" t="str">
        <f>_xlfn.XLOOKUP(A7201,'[1]Tissue Data'!$A:$A,'[1]Tissue Data'!K:K)</f>
        <v>Whole Body</v>
      </c>
      <c r="I7201">
        <f>_xlfn.XLOOKUP(A7201,'[1]Tissue Data'!$A:$A,'[1]Tissue Data'!L:L)</f>
        <v>10</v>
      </c>
      <c r="J7201">
        <f>_xlfn.XLOOKUP(A7201,'[1]Tissue Data'!$A:$A,'[1]Tissue Data'!M:M)</f>
        <v>15.22</v>
      </c>
      <c r="K7201" t="s">
        <v>61</v>
      </c>
      <c r="L7201" t="str">
        <f>_xlfn.XLOOKUP(K7201,[2]analyte_order!$B:$B,[2]analyte_order!$C:$C)</f>
        <v>2965-52-8</v>
      </c>
      <c r="M7201">
        <f>_xlfn.XLOOKUP(L7201,[2]analyte_order!$C:$C,[2]analyte_order!$E:$E)</f>
        <v>57</v>
      </c>
      <c r="N7201">
        <v>0.44950000000000001</v>
      </c>
    </row>
    <row r="7202" spans="1:14">
      <c r="A7202" t="s">
        <v>305</v>
      </c>
      <c r="B7202" t="str">
        <f>_xlfn.XLOOKUP(A7202,'[1]Tissue Data'!$A:$A,'[1]Tissue Data'!$C:$C)</f>
        <v>Down</v>
      </c>
      <c r="C7202" s="2">
        <f>_xlfn.XLOOKUP(A7202,'[1]Tissue Data'!$A:$A,'[1]Tissue Data'!$D:$D)</f>
        <v>44393</v>
      </c>
      <c r="D7202" s="2" t="str">
        <f>_xlfn.XLOOKUP(A7202,'[1]Tissue Data'!$A:$A,'[1]Tissue Data'!$F:$F)</f>
        <v>Pumpkinseed</v>
      </c>
      <c r="E7202" t="str">
        <f>_xlfn.XLOOKUP(A7202,'[1]Tissue Data'!$A:$A,'[1]Tissue Data'!$H:$H)</f>
        <v>Lepomis</v>
      </c>
      <c r="F7202" t="str">
        <f>_xlfn.XLOOKUP(A7202,'[1]Tissue Data'!$A:$A,'[1]Tissue Data'!$I:$I)</f>
        <v>gibbosus</v>
      </c>
      <c r="G7202" t="str">
        <f>_xlfn.XLOOKUP(A7202,'[1]Tissue Data'!$A:$A,'[1]Tissue Data'!J:J)</f>
        <v>U</v>
      </c>
      <c r="H7202" t="str">
        <f>_xlfn.XLOOKUP(A7202,'[1]Tissue Data'!$A:$A,'[1]Tissue Data'!K:K)</f>
        <v>Whole Body</v>
      </c>
      <c r="I7202">
        <f>_xlfn.XLOOKUP(A7202,'[1]Tissue Data'!$A:$A,'[1]Tissue Data'!L:L)</f>
        <v>9</v>
      </c>
      <c r="J7202">
        <f>_xlfn.XLOOKUP(A7202,'[1]Tissue Data'!$A:$A,'[1]Tissue Data'!M:M)</f>
        <v>13.2</v>
      </c>
      <c r="K7202" t="s">
        <v>12</v>
      </c>
      <c r="L7202" t="str">
        <f>_xlfn.XLOOKUP(K7202,[2]analyte_order!$B:$B,[2]analyte_order!$C:$C)</f>
        <v>375-22-4</v>
      </c>
      <c r="M7202">
        <f>_xlfn.XLOOKUP(L7202,[2]analyte_order!$C:$C,[2]analyte_order!$E:$E)</f>
        <v>1</v>
      </c>
      <c r="N7202">
        <v>0.2175</v>
      </c>
    </row>
    <row r="7203" spans="1:14">
      <c r="A7203" t="s">
        <v>305</v>
      </c>
      <c r="B7203" t="str">
        <f>_xlfn.XLOOKUP(A7203,'[1]Tissue Data'!$A:$A,'[1]Tissue Data'!$C:$C)</f>
        <v>Down</v>
      </c>
      <c r="C7203" s="2">
        <f>_xlfn.XLOOKUP(A7203,'[1]Tissue Data'!$A:$A,'[1]Tissue Data'!$D:$D)</f>
        <v>44393</v>
      </c>
      <c r="D7203" s="2" t="str">
        <f>_xlfn.XLOOKUP(A7203,'[1]Tissue Data'!$A:$A,'[1]Tissue Data'!$F:$F)</f>
        <v>Pumpkinseed</v>
      </c>
      <c r="E7203" t="str">
        <f>_xlfn.XLOOKUP(A7203,'[1]Tissue Data'!$A:$A,'[1]Tissue Data'!$H:$H)</f>
        <v>Lepomis</v>
      </c>
      <c r="F7203" t="str">
        <f>_xlfn.XLOOKUP(A7203,'[1]Tissue Data'!$A:$A,'[1]Tissue Data'!$I:$I)</f>
        <v>gibbosus</v>
      </c>
      <c r="G7203" t="str">
        <f>_xlfn.XLOOKUP(A7203,'[1]Tissue Data'!$A:$A,'[1]Tissue Data'!J:J)</f>
        <v>U</v>
      </c>
      <c r="H7203" t="str">
        <f>_xlfn.XLOOKUP(A7203,'[1]Tissue Data'!$A:$A,'[1]Tissue Data'!K:K)</f>
        <v>Whole Body</v>
      </c>
      <c r="I7203">
        <f>_xlfn.XLOOKUP(A7203,'[1]Tissue Data'!$A:$A,'[1]Tissue Data'!L:L)</f>
        <v>9</v>
      </c>
      <c r="J7203">
        <f>_xlfn.XLOOKUP(A7203,'[1]Tissue Data'!$A:$A,'[1]Tissue Data'!M:M)</f>
        <v>13.2</v>
      </c>
      <c r="K7203" t="s">
        <v>13</v>
      </c>
      <c r="L7203" t="str">
        <f>_xlfn.XLOOKUP(K7203,[2]analyte_order!$B:$B,[2]analyte_order!$C:$C)</f>
        <v>2706-90-3</v>
      </c>
      <c r="M7203">
        <f>_xlfn.XLOOKUP(L7203,[2]analyte_order!$C:$C,[2]analyte_order!$E:$E)</f>
        <v>2</v>
      </c>
      <c r="N7203">
        <v>0.2175</v>
      </c>
    </row>
    <row r="7204" spans="1:14">
      <c r="A7204" t="s">
        <v>305</v>
      </c>
      <c r="B7204" t="str">
        <f>_xlfn.XLOOKUP(A7204,'[1]Tissue Data'!$A:$A,'[1]Tissue Data'!$C:$C)</f>
        <v>Down</v>
      </c>
      <c r="C7204" s="2">
        <f>_xlfn.XLOOKUP(A7204,'[1]Tissue Data'!$A:$A,'[1]Tissue Data'!$D:$D)</f>
        <v>44393</v>
      </c>
      <c r="D7204" s="2" t="str">
        <f>_xlfn.XLOOKUP(A7204,'[1]Tissue Data'!$A:$A,'[1]Tissue Data'!$F:$F)</f>
        <v>Pumpkinseed</v>
      </c>
      <c r="E7204" t="str">
        <f>_xlfn.XLOOKUP(A7204,'[1]Tissue Data'!$A:$A,'[1]Tissue Data'!$H:$H)</f>
        <v>Lepomis</v>
      </c>
      <c r="F7204" t="str">
        <f>_xlfn.XLOOKUP(A7204,'[1]Tissue Data'!$A:$A,'[1]Tissue Data'!$I:$I)</f>
        <v>gibbosus</v>
      </c>
      <c r="G7204" t="str">
        <f>_xlfn.XLOOKUP(A7204,'[1]Tissue Data'!$A:$A,'[1]Tissue Data'!J:J)</f>
        <v>U</v>
      </c>
      <c r="H7204" t="str">
        <f>_xlfn.XLOOKUP(A7204,'[1]Tissue Data'!$A:$A,'[1]Tissue Data'!K:K)</f>
        <v>Whole Body</v>
      </c>
      <c r="I7204">
        <f>_xlfn.XLOOKUP(A7204,'[1]Tissue Data'!$A:$A,'[1]Tissue Data'!L:L)</f>
        <v>9</v>
      </c>
      <c r="J7204">
        <f>_xlfn.XLOOKUP(A7204,'[1]Tissue Data'!$A:$A,'[1]Tissue Data'!M:M)</f>
        <v>13.2</v>
      </c>
      <c r="K7204" t="s">
        <v>14</v>
      </c>
      <c r="L7204" t="str">
        <f>_xlfn.XLOOKUP(K7204,[2]analyte_order!$B:$B,[2]analyte_order!$C:$C)</f>
        <v>307-24-4</v>
      </c>
      <c r="M7204">
        <f>_xlfn.XLOOKUP(L7204,[2]analyte_order!$C:$C,[2]analyte_order!$E:$E)</f>
        <v>3</v>
      </c>
      <c r="N7204">
        <v>0.11749999999999999</v>
      </c>
    </row>
    <row r="7205" spans="1:14">
      <c r="A7205" t="s">
        <v>305</v>
      </c>
      <c r="B7205" t="str">
        <f>_xlfn.XLOOKUP(A7205,'[1]Tissue Data'!$A:$A,'[1]Tissue Data'!$C:$C)</f>
        <v>Down</v>
      </c>
      <c r="C7205" s="2">
        <f>_xlfn.XLOOKUP(A7205,'[1]Tissue Data'!$A:$A,'[1]Tissue Data'!$D:$D)</f>
        <v>44393</v>
      </c>
      <c r="D7205" s="2" t="str">
        <f>_xlfn.XLOOKUP(A7205,'[1]Tissue Data'!$A:$A,'[1]Tissue Data'!$F:$F)</f>
        <v>Pumpkinseed</v>
      </c>
      <c r="E7205" t="str">
        <f>_xlfn.XLOOKUP(A7205,'[1]Tissue Data'!$A:$A,'[1]Tissue Data'!$H:$H)</f>
        <v>Lepomis</v>
      </c>
      <c r="F7205" t="str">
        <f>_xlfn.XLOOKUP(A7205,'[1]Tissue Data'!$A:$A,'[1]Tissue Data'!$I:$I)</f>
        <v>gibbosus</v>
      </c>
      <c r="G7205" t="str">
        <f>_xlfn.XLOOKUP(A7205,'[1]Tissue Data'!$A:$A,'[1]Tissue Data'!J:J)</f>
        <v>U</v>
      </c>
      <c r="H7205" t="str">
        <f>_xlfn.XLOOKUP(A7205,'[1]Tissue Data'!$A:$A,'[1]Tissue Data'!K:K)</f>
        <v>Whole Body</v>
      </c>
      <c r="I7205">
        <f>_xlfn.XLOOKUP(A7205,'[1]Tissue Data'!$A:$A,'[1]Tissue Data'!L:L)</f>
        <v>9</v>
      </c>
      <c r="J7205">
        <f>_xlfn.XLOOKUP(A7205,'[1]Tissue Data'!$A:$A,'[1]Tissue Data'!M:M)</f>
        <v>13.2</v>
      </c>
      <c r="K7205" t="s">
        <v>15</v>
      </c>
      <c r="L7205" t="str">
        <f>_xlfn.XLOOKUP(K7205,[2]analyte_order!$B:$B,[2]analyte_order!$C:$C)</f>
        <v>375-85-9</v>
      </c>
      <c r="M7205">
        <f>_xlfn.XLOOKUP(L7205,[2]analyte_order!$C:$C,[2]analyte_order!$E:$E)</f>
        <v>4</v>
      </c>
      <c r="N7205">
        <v>0.2175</v>
      </c>
    </row>
    <row r="7206" spans="1:14">
      <c r="A7206" t="s">
        <v>305</v>
      </c>
      <c r="B7206" t="str">
        <f>_xlfn.XLOOKUP(A7206,'[1]Tissue Data'!$A:$A,'[1]Tissue Data'!$C:$C)</f>
        <v>Down</v>
      </c>
      <c r="C7206" s="2">
        <f>_xlfn.XLOOKUP(A7206,'[1]Tissue Data'!$A:$A,'[1]Tissue Data'!$D:$D)</f>
        <v>44393</v>
      </c>
      <c r="D7206" s="2" t="str">
        <f>_xlfn.XLOOKUP(A7206,'[1]Tissue Data'!$A:$A,'[1]Tissue Data'!$F:$F)</f>
        <v>Pumpkinseed</v>
      </c>
      <c r="E7206" t="str">
        <f>_xlfn.XLOOKUP(A7206,'[1]Tissue Data'!$A:$A,'[1]Tissue Data'!$H:$H)</f>
        <v>Lepomis</v>
      </c>
      <c r="F7206" t="str">
        <f>_xlfn.XLOOKUP(A7206,'[1]Tissue Data'!$A:$A,'[1]Tissue Data'!$I:$I)</f>
        <v>gibbosus</v>
      </c>
      <c r="G7206" t="str">
        <f>_xlfn.XLOOKUP(A7206,'[1]Tissue Data'!$A:$A,'[1]Tissue Data'!J:J)</f>
        <v>U</v>
      </c>
      <c r="H7206" t="str">
        <f>_xlfn.XLOOKUP(A7206,'[1]Tissue Data'!$A:$A,'[1]Tissue Data'!K:K)</f>
        <v>Whole Body</v>
      </c>
      <c r="I7206">
        <f>_xlfn.XLOOKUP(A7206,'[1]Tissue Data'!$A:$A,'[1]Tissue Data'!L:L)</f>
        <v>9</v>
      </c>
      <c r="J7206">
        <f>_xlfn.XLOOKUP(A7206,'[1]Tissue Data'!$A:$A,'[1]Tissue Data'!M:M)</f>
        <v>13.2</v>
      </c>
      <c r="K7206" t="s">
        <v>16</v>
      </c>
      <c r="L7206" t="str">
        <f>_xlfn.XLOOKUP(K7206,[2]analyte_order!$B:$B,[2]analyte_order!$C:$C)</f>
        <v>335-67-1</v>
      </c>
      <c r="M7206">
        <f>_xlfn.XLOOKUP(L7206,[2]analyte_order!$C:$C,[2]analyte_order!$E:$E)</f>
        <v>5</v>
      </c>
      <c r="N7206">
        <v>0.50800000000000001</v>
      </c>
    </row>
    <row r="7207" spans="1:14">
      <c r="A7207" t="s">
        <v>305</v>
      </c>
      <c r="B7207" t="str">
        <f>_xlfn.XLOOKUP(A7207,'[1]Tissue Data'!$A:$A,'[1]Tissue Data'!$C:$C)</f>
        <v>Down</v>
      </c>
      <c r="C7207" s="2">
        <f>_xlfn.XLOOKUP(A7207,'[1]Tissue Data'!$A:$A,'[1]Tissue Data'!$D:$D)</f>
        <v>44393</v>
      </c>
      <c r="D7207" s="2" t="str">
        <f>_xlfn.XLOOKUP(A7207,'[1]Tissue Data'!$A:$A,'[1]Tissue Data'!$F:$F)</f>
        <v>Pumpkinseed</v>
      </c>
      <c r="E7207" t="str">
        <f>_xlfn.XLOOKUP(A7207,'[1]Tissue Data'!$A:$A,'[1]Tissue Data'!$H:$H)</f>
        <v>Lepomis</v>
      </c>
      <c r="F7207" t="str">
        <f>_xlfn.XLOOKUP(A7207,'[1]Tissue Data'!$A:$A,'[1]Tissue Data'!$I:$I)</f>
        <v>gibbosus</v>
      </c>
      <c r="G7207" t="str">
        <f>_xlfn.XLOOKUP(A7207,'[1]Tissue Data'!$A:$A,'[1]Tissue Data'!J:J)</f>
        <v>U</v>
      </c>
      <c r="H7207" t="str">
        <f>_xlfn.XLOOKUP(A7207,'[1]Tissue Data'!$A:$A,'[1]Tissue Data'!K:K)</f>
        <v>Whole Body</v>
      </c>
      <c r="I7207">
        <f>_xlfn.XLOOKUP(A7207,'[1]Tissue Data'!$A:$A,'[1]Tissue Data'!L:L)</f>
        <v>9</v>
      </c>
      <c r="J7207">
        <f>_xlfn.XLOOKUP(A7207,'[1]Tissue Data'!$A:$A,'[1]Tissue Data'!M:M)</f>
        <v>13.2</v>
      </c>
      <c r="K7207" t="s">
        <v>17</v>
      </c>
      <c r="L7207" t="str">
        <f>_xlfn.XLOOKUP(K7207,[2]analyte_order!$B:$B,[2]analyte_order!$C:$C)</f>
        <v>375-95-1</v>
      </c>
      <c r="M7207">
        <f>_xlfn.XLOOKUP(L7207,[2]analyte_order!$C:$C,[2]analyte_order!$E:$E)</f>
        <v>6</v>
      </c>
      <c r="N7207">
        <v>0.15049999999999999</v>
      </c>
    </row>
    <row r="7208" spans="1:14">
      <c r="A7208" t="s">
        <v>305</v>
      </c>
      <c r="B7208" t="str">
        <f>_xlfn.XLOOKUP(A7208,'[1]Tissue Data'!$A:$A,'[1]Tissue Data'!$C:$C)</f>
        <v>Down</v>
      </c>
      <c r="C7208" s="2">
        <f>_xlfn.XLOOKUP(A7208,'[1]Tissue Data'!$A:$A,'[1]Tissue Data'!$D:$D)</f>
        <v>44393</v>
      </c>
      <c r="D7208" s="2" t="str">
        <f>_xlfn.XLOOKUP(A7208,'[1]Tissue Data'!$A:$A,'[1]Tissue Data'!$F:$F)</f>
        <v>Pumpkinseed</v>
      </c>
      <c r="E7208" t="str">
        <f>_xlfn.XLOOKUP(A7208,'[1]Tissue Data'!$A:$A,'[1]Tissue Data'!$H:$H)</f>
        <v>Lepomis</v>
      </c>
      <c r="F7208" t="str">
        <f>_xlfn.XLOOKUP(A7208,'[1]Tissue Data'!$A:$A,'[1]Tissue Data'!$I:$I)</f>
        <v>gibbosus</v>
      </c>
      <c r="G7208" t="str">
        <f>_xlfn.XLOOKUP(A7208,'[1]Tissue Data'!$A:$A,'[1]Tissue Data'!J:J)</f>
        <v>U</v>
      </c>
      <c r="H7208" t="str">
        <f>_xlfn.XLOOKUP(A7208,'[1]Tissue Data'!$A:$A,'[1]Tissue Data'!K:K)</f>
        <v>Whole Body</v>
      </c>
      <c r="I7208">
        <f>_xlfn.XLOOKUP(A7208,'[1]Tissue Data'!$A:$A,'[1]Tissue Data'!L:L)</f>
        <v>9</v>
      </c>
      <c r="J7208">
        <f>_xlfn.XLOOKUP(A7208,'[1]Tissue Data'!$A:$A,'[1]Tissue Data'!M:M)</f>
        <v>13.2</v>
      </c>
      <c r="K7208" t="s">
        <v>18</v>
      </c>
      <c r="L7208" t="str">
        <f>_xlfn.XLOOKUP(K7208,[2]analyte_order!$B:$B,[2]analyte_order!$C:$C)</f>
        <v>335-76-2</v>
      </c>
      <c r="M7208">
        <f>_xlfn.XLOOKUP(L7208,[2]analyte_order!$C:$C,[2]analyte_order!$E:$E)</f>
        <v>7</v>
      </c>
      <c r="N7208">
        <v>2.79</v>
      </c>
    </row>
    <row r="7209" spans="1:14">
      <c r="A7209" t="s">
        <v>305</v>
      </c>
      <c r="B7209" t="str">
        <f>_xlfn.XLOOKUP(A7209,'[1]Tissue Data'!$A:$A,'[1]Tissue Data'!$C:$C)</f>
        <v>Down</v>
      </c>
      <c r="C7209" s="2">
        <f>_xlfn.XLOOKUP(A7209,'[1]Tissue Data'!$A:$A,'[1]Tissue Data'!$D:$D)</f>
        <v>44393</v>
      </c>
      <c r="D7209" s="2" t="str">
        <f>_xlfn.XLOOKUP(A7209,'[1]Tissue Data'!$A:$A,'[1]Tissue Data'!$F:$F)</f>
        <v>Pumpkinseed</v>
      </c>
      <c r="E7209" t="str">
        <f>_xlfn.XLOOKUP(A7209,'[1]Tissue Data'!$A:$A,'[1]Tissue Data'!$H:$H)</f>
        <v>Lepomis</v>
      </c>
      <c r="F7209" t="str">
        <f>_xlfn.XLOOKUP(A7209,'[1]Tissue Data'!$A:$A,'[1]Tissue Data'!$I:$I)</f>
        <v>gibbosus</v>
      </c>
      <c r="G7209" t="str">
        <f>_xlfn.XLOOKUP(A7209,'[1]Tissue Data'!$A:$A,'[1]Tissue Data'!J:J)</f>
        <v>U</v>
      </c>
      <c r="H7209" t="str">
        <f>_xlfn.XLOOKUP(A7209,'[1]Tissue Data'!$A:$A,'[1]Tissue Data'!K:K)</f>
        <v>Whole Body</v>
      </c>
      <c r="I7209">
        <f>_xlfn.XLOOKUP(A7209,'[1]Tissue Data'!$A:$A,'[1]Tissue Data'!L:L)</f>
        <v>9</v>
      </c>
      <c r="J7209">
        <f>_xlfn.XLOOKUP(A7209,'[1]Tissue Data'!$A:$A,'[1]Tissue Data'!M:M)</f>
        <v>13.2</v>
      </c>
      <c r="K7209" t="s">
        <v>19</v>
      </c>
      <c r="L7209" t="str">
        <f>_xlfn.XLOOKUP(K7209,[2]analyte_order!$B:$B,[2]analyte_order!$C:$C)</f>
        <v>2058-94-8</v>
      </c>
      <c r="M7209">
        <f>_xlfn.XLOOKUP(L7209,[2]analyte_order!$C:$C,[2]analyte_order!$E:$E)</f>
        <v>8</v>
      </c>
      <c r="N7209">
        <v>5.35</v>
      </c>
    </row>
    <row r="7210" spans="1:14">
      <c r="A7210" t="s">
        <v>305</v>
      </c>
      <c r="B7210" t="str">
        <f>_xlfn.XLOOKUP(A7210,'[1]Tissue Data'!$A:$A,'[1]Tissue Data'!$C:$C)</f>
        <v>Down</v>
      </c>
      <c r="C7210" s="2">
        <f>_xlfn.XLOOKUP(A7210,'[1]Tissue Data'!$A:$A,'[1]Tissue Data'!$D:$D)</f>
        <v>44393</v>
      </c>
      <c r="D7210" s="2" t="str">
        <f>_xlfn.XLOOKUP(A7210,'[1]Tissue Data'!$A:$A,'[1]Tissue Data'!$F:$F)</f>
        <v>Pumpkinseed</v>
      </c>
      <c r="E7210" t="str">
        <f>_xlfn.XLOOKUP(A7210,'[1]Tissue Data'!$A:$A,'[1]Tissue Data'!$H:$H)</f>
        <v>Lepomis</v>
      </c>
      <c r="F7210" t="str">
        <f>_xlfn.XLOOKUP(A7210,'[1]Tissue Data'!$A:$A,'[1]Tissue Data'!$I:$I)</f>
        <v>gibbosus</v>
      </c>
      <c r="G7210" t="str">
        <f>_xlfn.XLOOKUP(A7210,'[1]Tissue Data'!$A:$A,'[1]Tissue Data'!J:J)</f>
        <v>U</v>
      </c>
      <c r="H7210" t="str">
        <f>_xlfn.XLOOKUP(A7210,'[1]Tissue Data'!$A:$A,'[1]Tissue Data'!K:K)</f>
        <v>Whole Body</v>
      </c>
      <c r="I7210">
        <f>_xlfn.XLOOKUP(A7210,'[1]Tissue Data'!$A:$A,'[1]Tissue Data'!L:L)</f>
        <v>9</v>
      </c>
      <c r="J7210">
        <f>_xlfn.XLOOKUP(A7210,'[1]Tissue Data'!$A:$A,'[1]Tissue Data'!M:M)</f>
        <v>13.2</v>
      </c>
      <c r="K7210" t="s">
        <v>20</v>
      </c>
      <c r="L7210" t="str">
        <f>_xlfn.XLOOKUP(K7210,[2]analyte_order!$B:$B,[2]analyte_order!$C:$C)</f>
        <v>307-55-1</v>
      </c>
      <c r="M7210">
        <f>_xlfn.XLOOKUP(L7210,[2]analyte_order!$C:$C,[2]analyte_order!$E:$E)</f>
        <v>9</v>
      </c>
      <c r="N7210">
        <v>16.8</v>
      </c>
    </row>
    <row r="7211" spans="1:14">
      <c r="A7211" t="s">
        <v>305</v>
      </c>
      <c r="B7211" t="str">
        <f>_xlfn.XLOOKUP(A7211,'[1]Tissue Data'!$A:$A,'[1]Tissue Data'!$C:$C)</f>
        <v>Down</v>
      </c>
      <c r="C7211" s="2">
        <f>_xlfn.XLOOKUP(A7211,'[1]Tissue Data'!$A:$A,'[1]Tissue Data'!$D:$D)</f>
        <v>44393</v>
      </c>
      <c r="D7211" s="2" t="str">
        <f>_xlfn.XLOOKUP(A7211,'[1]Tissue Data'!$A:$A,'[1]Tissue Data'!$F:$F)</f>
        <v>Pumpkinseed</v>
      </c>
      <c r="E7211" t="str">
        <f>_xlfn.XLOOKUP(A7211,'[1]Tissue Data'!$A:$A,'[1]Tissue Data'!$H:$H)</f>
        <v>Lepomis</v>
      </c>
      <c r="F7211" t="str">
        <f>_xlfn.XLOOKUP(A7211,'[1]Tissue Data'!$A:$A,'[1]Tissue Data'!$I:$I)</f>
        <v>gibbosus</v>
      </c>
      <c r="G7211" t="str">
        <f>_xlfn.XLOOKUP(A7211,'[1]Tissue Data'!$A:$A,'[1]Tissue Data'!J:J)</f>
        <v>U</v>
      </c>
      <c r="H7211" t="str">
        <f>_xlfn.XLOOKUP(A7211,'[1]Tissue Data'!$A:$A,'[1]Tissue Data'!K:K)</f>
        <v>Whole Body</v>
      </c>
      <c r="I7211">
        <f>_xlfn.XLOOKUP(A7211,'[1]Tissue Data'!$A:$A,'[1]Tissue Data'!L:L)</f>
        <v>9</v>
      </c>
      <c r="J7211">
        <f>_xlfn.XLOOKUP(A7211,'[1]Tissue Data'!$A:$A,'[1]Tissue Data'!M:M)</f>
        <v>13.2</v>
      </c>
      <c r="K7211" t="s">
        <v>21</v>
      </c>
      <c r="L7211" t="str">
        <f>_xlfn.XLOOKUP(K7211,[2]analyte_order!$B:$B,[2]analyte_order!$C:$C)</f>
        <v>72629-94-8</v>
      </c>
      <c r="M7211">
        <f>_xlfn.XLOOKUP(L7211,[2]analyte_order!$C:$C,[2]analyte_order!$E:$E)</f>
        <v>10</v>
      </c>
      <c r="N7211">
        <v>5.69</v>
      </c>
    </row>
    <row r="7212" spans="1:14">
      <c r="A7212" t="s">
        <v>305</v>
      </c>
      <c r="B7212" t="str">
        <f>_xlfn.XLOOKUP(A7212,'[1]Tissue Data'!$A:$A,'[1]Tissue Data'!$C:$C)</f>
        <v>Down</v>
      </c>
      <c r="C7212" s="2">
        <f>_xlfn.XLOOKUP(A7212,'[1]Tissue Data'!$A:$A,'[1]Tissue Data'!$D:$D)</f>
        <v>44393</v>
      </c>
      <c r="D7212" s="2" t="str">
        <f>_xlfn.XLOOKUP(A7212,'[1]Tissue Data'!$A:$A,'[1]Tissue Data'!$F:$F)</f>
        <v>Pumpkinseed</v>
      </c>
      <c r="E7212" t="str">
        <f>_xlfn.XLOOKUP(A7212,'[1]Tissue Data'!$A:$A,'[1]Tissue Data'!$H:$H)</f>
        <v>Lepomis</v>
      </c>
      <c r="F7212" t="str">
        <f>_xlfn.XLOOKUP(A7212,'[1]Tissue Data'!$A:$A,'[1]Tissue Data'!$I:$I)</f>
        <v>gibbosus</v>
      </c>
      <c r="G7212" t="str">
        <f>_xlfn.XLOOKUP(A7212,'[1]Tissue Data'!$A:$A,'[1]Tissue Data'!J:J)</f>
        <v>U</v>
      </c>
      <c r="H7212" t="str">
        <f>_xlfn.XLOOKUP(A7212,'[1]Tissue Data'!$A:$A,'[1]Tissue Data'!K:K)</f>
        <v>Whole Body</v>
      </c>
      <c r="I7212">
        <f>_xlfn.XLOOKUP(A7212,'[1]Tissue Data'!$A:$A,'[1]Tissue Data'!L:L)</f>
        <v>9</v>
      </c>
      <c r="J7212">
        <f>_xlfn.XLOOKUP(A7212,'[1]Tissue Data'!$A:$A,'[1]Tissue Data'!M:M)</f>
        <v>13.2</v>
      </c>
      <c r="K7212" t="s">
        <v>22</v>
      </c>
      <c r="L7212" t="str">
        <f>_xlfn.XLOOKUP(K7212,[2]analyte_order!$B:$B,[2]analyte_order!$C:$C)</f>
        <v>376-06-7</v>
      </c>
      <c r="M7212">
        <f>_xlfn.XLOOKUP(L7212,[2]analyte_order!$C:$C,[2]analyte_order!$E:$E)</f>
        <v>11</v>
      </c>
      <c r="N7212">
        <v>15.4</v>
      </c>
    </row>
    <row r="7213" spans="1:14">
      <c r="A7213" t="s">
        <v>305</v>
      </c>
      <c r="B7213" t="str">
        <f>_xlfn.XLOOKUP(A7213,'[1]Tissue Data'!$A:$A,'[1]Tissue Data'!$C:$C)</f>
        <v>Down</v>
      </c>
      <c r="C7213" s="2">
        <f>_xlfn.XLOOKUP(A7213,'[1]Tissue Data'!$A:$A,'[1]Tissue Data'!$D:$D)</f>
        <v>44393</v>
      </c>
      <c r="D7213" s="2" t="str">
        <f>_xlfn.XLOOKUP(A7213,'[1]Tissue Data'!$A:$A,'[1]Tissue Data'!$F:$F)</f>
        <v>Pumpkinseed</v>
      </c>
      <c r="E7213" t="str">
        <f>_xlfn.XLOOKUP(A7213,'[1]Tissue Data'!$A:$A,'[1]Tissue Data'!$H:$H)</f>
        <v>Lepomis</v>
      </c>
      <c r="F7213" t="str">
        <f>_xlfn.XLOOKUP(A7213,'[1]Tissue Data'!$A:$A,'[1]Tissue Data'!$I:$I)</f>
        <v>gibbosus</v>
      </c>
      <c r="G7213" t="str">
        <f>_xlfn.XLOOKUP(A7213,'[1]Tissue Data'!$A:$A,'[1]Tissue Data'!J:J)</f>
        <v>U</v>
      </c>
      <c r="H7213" t="str">
        <f>_xlfn.XLOOKUP(A7213,'[1]Tissue Data'!$A:$A,'[1]Tissue Data'!K:K)</f>
        <v>Whole Body</v>
      </c>
      <c r="I7213">
        <f>_xlfn.XLOOKUP(A7213,'[1]Tissue Data'!$A:$A,'[1]Tissue Data'!L:L)</f>
        <v>9</v>
      </c>
      <c r="J7213">
        <f>_xlfn.XLOOKUP(A7213,'[1]Tissue Data'!$A:$A,'[1]Tissue Data'!M:M)</f>
        <v>13.2</v>
      </c>
      <c r="K7213" t="s">
        <v>23</v>
      </c>
      <c r="L7213" t="str">
        <f>_xlfn.XLOOKUP(K7213,[2]analyte_order!$B:$B,[2]analyte_order!$C:$C)</f>
        <v>67905-19-5</v>
      </c>
      <c r="M7213">
        <f>_xlfn.XLOOKUP(L7213,[2]analyte_order!$C:$C,[2]analyte_order!$E:$E)</f>
        <v>12</v>
      </c>
      <c r="N7213">
        <v>0.25900000000000001</v>
      </c>
    </row>
    <row r="7214" spans="1:14">
      <c r="A7214" t="s">
        <v>305</v>
      </c>
      <c r="B7214" t="str">
        <f>_xlfn.XLOOKUP(A7214,'[1]Tissue Data'!$A:$A,'[1]Tissue Data'!$C:$C)</f>
        <v>Down</v>
      </c>
      <c r="C7214" s="2">
        <f>_xlfn.XLOOKUP(A7214,'[1]Tissue Data'!$A:$A,'[1]Tissue Data'!$D:$D)</f>
        <v>44393</v>
      </c>
      <c r="D7214" s="2" t="str">
        <f>_xlfn.XLOOKUP(A7214,'[1]Tissue Data'!$A:$A,'[1]Tissue Data'!$F:$F)</f>
        <v>Pumpkinseed</v>
      </c>
      <c r="E7214" t="str">
        <f>_xlfn.XLOOKUP(A7214,'[1]Tissue Data'!$A:$A,'[1]Tissue Data'!$H:$H)</f>
        <v>Lepomis</v>
      </c>
      <c r="F7214" t="str">
        <f>_xlfn.XLOOKUP(A7214,'[1]Tissue Data'!$A:$A,'[1]Tissue Data'!$I:$I)</f>
        <v>gibbosus</v>
      </c>
      <c r="G7214" t="str">
        <f>_xlfn.XLOOKUP(A7214,'[1]Tissue Data'!$A:$A,'[1]Tissue Data'!J:J)</f>
        <v>U</v>
      </c>
      <c r="H7214" t="str">
        <f>_xlfn.XLOOKUP(A7214,'[1]Tissue Data'!$A:$A,'[1]Tissue Data'!K:K)</f>
        <v>Whole Body</v>
      </c>
      <c r="I7214">
        <f>_xlfn.XLOOKUP(A7214,'[1]Tissue Data'!$A:$A,'[1]Tissue Data'!L:L)</f>
        <v>9</v>
      </c>
      <c r="J7214">
        <f>_xlfn.XLOOKUP(A7214,'[1]Tissue Data'!$A:$A,'[1]Tissue Data'!M:M)</f>
        <v>13.2</v>
      </c>
      <c r="K7214" t="s">
        <v>24</v>
      </c>
      <c r="L7214" t="str">
        <f>_xlfn.XLOOKUP(K7214,[2]analyte_order!$B:$B,[2]analyte_order!$C:$C)</f>
        <v>423-41-6</v>
      </c>
      <c r="M7214">
        <f>_xlfn.XLOOKUP(L7214,[2]analyte_order!$C:$C,[2]analyte_order!$E:$E)</f>
        <v>53</v>
      </c>
      <c r="N7214">
        <v>0.4345</v>
      </c>
    </row>
    <row r="7215" spans="1:14">
      <c r="A7215" t="s">
        <v>305</v>
      </c>
      <c r="B7215" t="str">
        <f>_xlfn.XLOOKUP(A7215,'[1]Tissue Data'!$A:$A,'[1]Tissue Data'!$C:$C)</f>
        <v>Down</v>
      </c>
      <c r="C7215" s="2">
        <f>_xlfn.XLOOKUP(A7215,'[1]Tissue Data'!$A:$A,'[1]Tissue Data'!$D:$D)</f>
        <v>44393</v>
      </c>
      <c r="D7215" s="2" t="str">
        <f>_xlfn.XLOOKUP(A7215,'[1]Tissue Data'!$A:$A,'[1]Tissue Data'!$F:$F)</f>
        <v>Pumpkinseed</v>
      </c>
      <c r="E7215" t="str">
        <f>_xlfn.XLOOKUP(A7215,'[1]Tissue Data'!$A:$A,'[1]Tissue Data'!$H:$H)</f>
        <v>Lepomis</v>
      </c>
      <c r="F7215" t="str">
        <f>_xlfn.XLOOKUP(A7215,'[1]Tissue Data'!$A:$A,'[1]Tissue Data'!$I:$I)</f>
        <v>gibbosus</v>
      </c>
      <c r="G7215" t="str">
        <f>_xlfn.XLOOKUP(A7215,'[1]Tissue Data'!$A:$A,'[1]Tissue Data'!J:J)</f>
        <v>U</v>
      </c>
      <c r="H7215" t="str">
        <f>_xlfn.XLOOKUP(A7215,'[1]Tissue Data'!$A:$A,'[1]Tissue Data'!K:K)</f>
        <v>Whole Body</v>
      </c>
      <c r="I7215">
        <f>_xlfn.XLOOKUP(A7215,'[1]Tissue Data'!$A:$A,'[1]Tissue Data'!L:L)</f>
        <v>9</v>
      </c>
      <c r="J7215">
        <f>_xlfn.XLOOKUP(A7215,'[1]Tissue Data'!$A:$A,'[1]Tissue Data'!M:M)</f>
        <v>13.2</v>
      </c>
      <c r="K7215" t="s">
        <v>25</v>
      </c>
      <c r="L7215" t="str">
        <f>_xlfn.XLOOKUP(K7215,[2]analyte_order!$B:$B,[2]analyte_order!$C:$C)</f>
        <v>375-73-5</v>
      </c>
      <c r="M7215">
        <f>_xlfn.XLOOKUP(L7215,[2]analyte_order!$C:$C,[2]analyte_order!$E:$E)</f>
        <v>14</v>
      </c>
      <c r="N7215">
        <v>0.14799999999999999</v>
      </c>
    </row>
    <row r="7216" spans="1:14">
      <c r="A7216" t="s">
        <v>305</v>
      </c>
      <c r="B7216" t="str">
        <f>_xlfn.XLOOKUP(A7216,'[1]Tissue Data'!$A:$A,'[1]Tissue Data'!$C:$C)</f>
        <v>Down</v>
      </c>
      <c r="C7216" s="2">
        <f>_xlfn.XLOOKUP(A7216,'[1]Tissue Data'!$A:$A,'[1]Tissue Data'!$D:$D)</f>
        <v>44393</v>
      </c>
      <c r="D7216" s="2" t="str">
        <f>_xlfn.XLOOKUP(A7216,'[1]Tissue Data'!$A:$A,'[1]Tissue Data'!$F:$F)</f>
        <v>Pumpkinseed</v>
      </c>
      <c r="E7216" t="str">
        <f>_xlfn.XLOOKUP(A7216,'[1]Tissue Data'!$A:$A,'[1]Tissue Data'!$H:$H)</f>
        <v>Lepomis</v>
      </c>
      <c r="F7216" t="str">
        <f>_xlfn.XLOOKUP(A7216,'[1]Tissue Data'!$A:$A,'[1]Tissue Data'!$I:$I)</f>
        <v>gibbosus</v>
      </c>
      <c r="G7216" t="str">
        <f>_xlfn.XLOOKUP(A7216,'[1]Tissue Data'!$A:$A,'[1]Tissue Data'!J:J)</f>
        <v>U</v>
      </c>
      <c r="H7216" t="str">
        <f>_xlfn.XLOOKUP(A7216,'[1]Tissue Data'!$A:$A,'[1]Tissue Data'!K:K)</f>
        <v>Whole Body</v>
      </c>
      <c r="I7216">
        <f>_xlfn.XLOOKUP(A7216,'[1]Tissue Data'!$A:$A,'[1]Tissue Data'!L:L)</f>
        <v>9</v>
      </c>
      <c r="J7216">
        <f>_xlfn.XLOOKUP(A7216,'[1]Tissue Data'!$A:$A,'[1]Tissue Data'!M:M)</f>
        <v>13.2</v>
      </c>
      <c r="K7216" t="s">
        <v>26</v>
      </c>
      <c r="L7216" t="str">
        <f>_xlfn.XLOOKUP(K7216,[2]analyte_order!$B:$B,[2]analyte_order!$C:$C)</f>
        <v>2706-91-4</v>
      </c>
      <c r="M7216">
        <f>_xlfn.XLOOKUP(L7216,[2]analyte_order!$C:$C,[2]analyte_order!$E:$E)</f>
        <v>15</v>
      </c>
      <c r="N7216">
        <v>0.115</v>
      </c>
    </row>
    <row r="7217" spans="1:14">
      <c r="A7217" t="s">
        <v>305</v>
      </c>
      <c r="B7217" t="str">
        <f>_xlfn.XLOOKUP(A7217,'[1]Tissue Data'!$A:$A,'[1]Tissue Data'!$C:$C)</f>
        <v>Down</v>
      </c>
      <c r="C7217" s="2">
        <f>_xlfn.XLOOKUP(A7217,'[1]Tissue Data'!$A:$A,'[1]Tissue Data'!$D:$D)</f>
        <v>44393</v>
      </c>
      <c r="D7217" s="2" t="str">
        <f>_xlfn.XLOOKUP(A7217,'[1]Tissue Data'!$A:$A,'[1]Tissue Data'!$F:$F)</f>
        <v>Pumpkinseed</v>
      </c>
      <c r="E7217" t="str">
        <f>_xlfn.XLOOKUP(A7217,'[1]Tissue Data'!$A:$A,'[1]Tissue Data'!$H:$H)</f>
        <v>Lepomis</v>
      </c>
      <c r="F7217" t="str">
        <f>_xlfn.XLOOKUP(A7217,'[1]Tissue Data'!$A:$A,'[1]Tissue Data'!$I:$I)</f>
        <v>gibbosus</v>
      </c>
      <c r="G7217" t="str">
        <f>_xlfn.XLOOKUP(A7217,'[1]Tissue Data'!$A:$A,'[1]Tissue Data'!J:J)</f>
        <v>U</v>
      </c>
      <c r="H7217" t="str">
        <f>_xlfn.XLOOKUP(A7217,'[1]Tissue Data'!$A:$A,'[1]Tissue Data'!K:K)</f>
        <v>Whole Body</v>
      </c>
      <c r="I7217">
        <f>_xlfn.XLOOKUP(A7217,'[1]Tissue Data'!$A:$A,'[1]Tissue Data'!L:L)</f>
        <v>9</v>
      </c>
      <c r="J7217">
        <f>_xlfn.XLOOKUP(A7217,'[1]Tissue Data'!$A:$A,'[1]Tissue Data'!M:M)</f>
        <v>13.2</v>
      </c>
      <c r="K7217" t="s">
        <v>27</v>
      </c>
      <c r="L7217" t="str">
        <f>_xlfn.XLOOKUP(K7217,[2]analyte_order!$B:$B,[2]analyte_order!$C:$C)</f>
        <v>355-46-4</v>
      </c>
      <c r="M7217">
        <f>_xlfn.XLOOKUP(L7217,[2]analyte_order!$C:$C,[2]analyte_order!$E:$E)</f>
        <v>16</v>
      </c>
      <c r="N7217">
        <v>5.99</v>
      </c>
    </row>
    <row r="7218" spans="1:14">
      <c r="A7218" t="s">
        <v>305</v>
      </c>
      <c r="B7218" t="str">
        <f>_xlfn.XLOOKUP(A7218,'[1]Tissue Data'!$A:$A,'[1]Tissue Data'!$C:$C)</f>
        <v>Down</v>
      </c>
      <c r="C7218" s="2">
        <f>_xlfn.XLOOKUP(A7218,'[1]Tissue Data'!$A:$A,'[1]Tissue Data'!$D:$D)</f>
        <v>44393</v>
      </c>
      <c r="D7218" s="2" t="str">
        <f>_xlfn.XLOOKUP(A7218,'[1]Tissue Data'!$A:$A,'[1]Tissue Data'!$F:$F)</f>
        <v>Pumpkinseed</v>
      </c>
      <c r="E7218" t="str">
        <f>_xlfn.XLOOKUP(A7218,'[1]Tissue Data'!$A:$A,'[1]Tissue Data'!$H:$H)</f>
        <v>Lepomis</v>
      </c>
      <c r="F7218" t="str">
        <f>_xlfn.XLOOKUP(A7218,'[1]Tissue Data'!$A:$A,'[1]Tissue Data'!$I:$I)</f>
        <v>gibbosus</v>
      </c>
      <c r="G7218" t="str">
        <f>_xlfn.XLOOKUP(A7218,'[1]Tissue Data'!$A:$A,'[1]Tissue Data'!J:J)</f>
        <v>U</v>
      </c>
      <c r="H7218" t="str">
        <f>_xlfn.XLOOKUP(A7218,'[1]Tissue Data'!$A:$A,'[1]Tissue Data'!K:K)</f>
        <v>Whole Body</v>
      </c>
      <c r="I7218">
        <f>_xlfn.XLOOKUP(A7218,'[1]Tissue Data'!$A:$A,'[1]Tissue Data'!L:L)</f>
        <v>9</v>
      </c>
      <c r="J7218">
        <f>_xlfn.XLOOKUP(A7218,'[1]Tissue Data'!$A:$A,'[1]Tissue Data'!M:M)</f>
        <v>13.2</v>
      </c>
      <c r="K7218" t="s">
        <v>28</v>
      </c>
      <c r="L7218" t="str">
        <f>_xlfn.XLOOKUP(K7218,[2]analyte_order!$B:$B,[2]analyte_order!$C:$C)</f>
        <v>375-92-8</v>
      </c>
      <c r="M7218">
        <f>_xlfn.XLOOKUP(L7218,[2]analyte_order!$C:$C,[2]analyte_order!$E:$E)</f>
        <v>17</v>
      </c>
      <c r="N7218">
        <v>1.79</v>
      </c>
    </row>
    <row r="7219" spans="1:14">
      <c r="A7219" t="s">
        <v>305</v>
      </c>
      <c r="B7219" t="str">
        <f>_xlfn.XLOOKUP(A7219,'[1]Tissue Data'!$A:$A,'[1]Tissue Data'!$C:$C)</f>
        <v>Down</v>
      </c>
      <c r="C7219" s="2">
        <f>_xlfn.XLOOKUP(A7219,'[1]Tissue Data'!$A:$A,'[1]Tissue Data'!$D:$D)</f>
        <v>44393</v>
      </c>
      <c r="D7219" s="2" t="str">
        <f>_xlfn.XLOOKUP(A7219,'[1]Tissue Data'!$A:$A,'[1]Tissue Data'!$F:$F)</f>
        <v>Pumpkinseed</v>
      </c>
      <c r="E7219" t="str">
        <f>_xlfn.XLOOKUP(A7219,'[1]Tissue Data'!$A:$A,'[1]Tissue Data'!$H:$H)</f>
        <v>Lepomis</v>
      </c>
      <c r="F7219" t="str">
        <f>_xlfn.XLOOKUP(A7219,'[1]Tissue Data'!$A:$A,'[1]Tissue Data'!$I:$I)</f>
        <v>gibbosus</v>
      </c>
      <c r="G7219" t="str">
        <f>_xlfn.XLOOKUP(A7219,'[1]Tissue Data'!$A:$A,'[1]Tissue Data'!J:J)</f>
        <v>U</v>
      </c>
      <c r="H7219" t="str">
        <f>_xlfn.XLOOKUP(A7219,'[1]Tissue Data'!$A:$A,'[1]Tissue Data'!K:K)</f>
        <v>Whole Body</v>
      </c>
      <c r="I7219">
        <f>_xlfn.XLOOKUP(A7219,'[1]Tissue Data'!$A:$A,'[1]Tissue Data'!L:L)</f>
        <v>9</v>
      </c>
      <c r="J7219">
        <f>_xlfn.XLOOKUP(A7219,'[1]Tissue Data'!$A:$A,'[1]Tissue Data'!M:M)</f>
        <v>13.2</v>
      </c>
      <c r="K7219" t="s">
        <v>29</v>
      </c>
      <c r="L7219" t="str">
        <f>_xlfn.XLOOKUP(K7219,[2]analyte_order!$B:$B,[2]analyte_order!$C:$C)</f>
        <v>1763-23-1</v>
      </c>
      <c r="M7219">
        <f>_xlfn.XLOOKUP(L7219,[2]analyte_order!$C:$C,[2]analyte_order!$E:$E)</f>
        <v>18</v>
      </c>
      <c r="N7219">
        <v>553</v>
      </c>
    </row>
    <row r="7220" spans="1:14">
      <c r="A7220" t="s">
        <v>305</v>
      </c>
      <c r="B7220" t="str">
        <f>_xlfn.XLOOKUP(A7220,'[1]Tissue Data'!$A:$A,'[1]Tissue Data'!$C:$C)</f>
        <v>Down</v>
      </c>
      <c r="C7220" s="2">
        <f>_xlfn.XLOOKUP(A7220,'[1]Tissue Data'!$A:$A,'[1]Tissue Data'!$D:$D)</f>
        <v>44393</v>
      </c>
      <c r="D7220" s="2" t="str">
        <f>_xlfn.XLOOKUP(A7220,'[1]Tissue Data'!$A:$A,'[1]Tissue Data'!$F:$F)</f>
        <v>Pumpkinseed</v>
      </c>
      <c r="E7220" t="str">
        <f>_xlfn.XLOOKUP(A7220,'[1]Tissue Data'!$A:$A,'[1]Tissue Data'!$H:$H)</f>
        <v>Lepomis</v>
      </c>
      <c r="F7220" t="str">
        <f>_xlfn.XLOOKUP(A7220,'[1]Tissue Data'!$A:$A,'[1]Tissue Data'!$I:$I)</f>
        <v>gibbosus</v>
      </c>
      <c r="G7220" t="str">
        <f>_xlfn.XLOOKUP(A7220,'[1]Tissue Data'!$A:$A,'[1]Tissue Data'!J:J)</f>
        <v>U</v>
      </c>
      <c r="H7220" t="str">
        <f>_xlfn.XLOOKUP(A7220,'[1]Tissue Data'!$A:$A,'[1]Tissue Data'!K:K)</f>
        <v>Whole Body</v>
      </c>
      <c r="I7220">
        <f>_xlfn.XLOOKUP(A7220,'[1]Tissue Data'!$A:$A,'[1]Tissue Data'!L:L)</f>
        <v>9</v>
      </c>
      <c r="J7220">
        <f>_xlfn.XLOOKUP(A7220,'[1]Tissue Data'!$A:$A,'[1]Tissue Data'!M:M)</f>
        <v>13.2</v>
      </c>
      <c r="K7220" t="s">
        <v>30</v>
      </c>
      <c r="L7220" t="str">
        <f>_xlfn.XLOOKUP(K7220,[2]analyte_order!$B:$B,[2]analyte_order!$C:$C)</f>
        <v>68259-12-1</v>
      </c>
      <c r="M7220">
        <f>_xlfn.XLOOKUP(L7220,[2]analyte_order!$C:$C,[2]analyte_order!$E:$E)</f>
        <v>19</v>
      </c>
      <c r="N7220">
        <v>1.06</v>
      </c>
    </row>
    <row r="7221" spans="1:14">
      <c r="A7221" t="s">
        <v>305</v>
      </c>
      <c r="B7221" t="str">
        <f>_xlfn.XLOOKUP(A7221,'[1]Tissue Data'!$A:$A,'[1]Tissue Data'!$C:$C)</f>
        <v>Down</v>
      </c>
      <c r="C7221" s="2">
        <f>_xlfn.XLOOKUP(A7221,'[1]Tissue Data'!$A:$A,'[1]Tissue Data'!$D:$D)</f>
        <v>44393</v>
      </c>
      <c r="D7221" s="2" t="str">
        <f>_xlfn.XLOOKUP(A7221,'[1]Tissue Data'!$A:$A,'[1]Tissue Data'!$F:$F)</f>
        <v>Pumpkinseed</v>
      </c>
      <c r="E7221" t="str">
        <f>_xlfn.XLOOKUP(A7221,'[1]Tissue Data'!$A:$A,'[1]Tissue Data'!$H:$H)</f>
        <v>Lepomis</v>
      </c>
      <c r="F7221" t="str">
        <f>_xlfn.XLOOKUP(A7221,'[1]Tissue Data'!$A:$A,'[1]Tissue Data'!$I:$I)</f>
        <v>gibbosus</v>
      </c>
      <c r="G7221" t="str">
        <f>_xlfn.XLOOKUP(A7221,'[1]Tissue Data'!$A:$A,'[1]Tissue Data'!J:J)</f>
        <v>U</v>
      </c>
      <c r="H7221" t="str">
        <f>_xlfn.XLOOKUP(A7221,'[1]Tissue Data'!$A:$A,'[1]Tissue Data'!K:K)</f>
        <v>Whole Body</v>
      </c>
      <c r="I7221">
        <f>_xlfn.XLOOKUP(A7221,'[1]Tissue Data'!$A:$A,'[1]Tissue Data'!L:L)</f>
        <v>9</v>
      </c>
      <c r="J7221">
        <f>_xlfn.XLOOKUP(A7221,'[1]Tissue Data'!$A:$A,'[1]Tissue Data'!M:M)</f>
        <v>13.2</v>
      </c>
      <c r="K7221" t="s">
        <v>31</v>
      </c>
      <c r="L7221" t="str">
        <f>_xlfn.XLOOKUP(K7221,[2]analyte_order!$B:$B,[2]analyte_order!$C:$C)</f>
        <v>335-77-3</v>
      </c>
      <c r="M7221">
        <f>_xlfn.XLOOKUP(L7221,[2]analyte_order!$C:$C,[2]analyte_order!$E:$E)</f>
        <v>20</v>
      </c>
      <c r="N7221">
        <v>0.93899999999999995</v>
      </c>
    </row>
    <row r="7222" spans="1:14">
      <c r="A7222" t="s">
        <v>305</v>
      </c>
      <c r="B7222" t="str">
        <f>_xlfn.XLOOKUP(A7222,'[1]Tissue Data'!$A:$A,'[1]Tissue Data'!$C:$C)</f>
        <v>Down</v>
      </c>
      <c r="C7222" s="2">
        <f>_xlfn.XLOOKUP(A7222,'[1]Tissue Data'!$A:$A,'[1]Tissue Data'!$D:$D)</f>
        <v>44393</v>
      </c>
      <c r="D7222" s="2" t="str">
        <f>_xlfn.XLOOKUP(A7222,'[1]Tissue Data'!$A:$A,'[1]Tissue Data'!$F:$F)</f>
        <v>Pumpkinseed</v>
      </c>
      <c r="E7222" t="str">
        <f>_xlfn.XLOOKUP(A7222,'[1]Tissue Data'!$A:$A,'[1]Tissue Data'!$H:$H)</f>
        <v>Lepomis</v>
      </c>
      <c r="F7222" t="str">
        <f>_xlfn.XLOOKUP(A7222,'[1]Tissue Data'!$A:$A,'[1]Tissue Data'!$I:$I)</f>
        <v>gibbosus</v>
      </c>
      <c r="G7222" t="str">
        <f>_xlfn.XLOOKUP(A7222,'[1]Tissue Data'!$A:$A,'[1]Tissue Data'!J:J)</f>
        <v>U</v>
      </c>
      <c r="H7222" t="str">
        <f>_xlfn.XLOOKUP(A7222,'[1]Tissue Data'!$A:$A,'[1]Tissue Data'!K:K)</f>
        <v>Whole Body</v>
      </c>
      <c r="I7222">
        <f>_xlfn.XLOOKUP(A7222,'[1]Tissue Data'!$A:$A,'[1]Tissue Data'!L:L)</f>
        <v>9</v>
      </c>
      <c r="J7222">
        <f>_xlfn.XLOOKUP(A7222,'[1]Tissue Data'!$A:$A,'[1]Tissue Data'!M:M)</f>
        <v>13.2</v>
      </c>
      <c r="K7222" t="s">
        <v>32</v>
      </c>
      <c r="L7222" t="str">
        <f>_xlfn.XLOOKUP(K7222,[2]analyte_order!$B:$B,[2]analyte_order!$C:$C)</f>
        <v>79780-39-5</v>
      </c>
      <c r="M7222">
        <f>_xlfn.XLOOKUP(L7222,[2]analyte_order!$C:$C,[2]analyte_order!$E:$E)</f>
        <v>21</v>
      </c>
      <c r="N7222">
        <v>0.23250000000000001</v>
      </c>
    </row>
    <row r="7223" spans="1:14">
      <c r="A7223" t="s">
        <v>305</v>
      </c>
      <c r="B7223" t="str">
        <f>_xlfn.XLOOKUP(A7223,'[1]Tissue Data'!$A:$A,'[1]Tissue Data'!$C:$C)</f>
        <v>Down</v>
      </c>
      <c r="C7223" s="2">
        <f>_xlfn.XLOOKUP(A7223,'[1]Tissue Data'!$A:$A,'[1]Tissue Data'!$D:$D)</f>
        <v>44393</v>
      </c>
      <c r="D7223" s="2" t="str">
        <f>_xlfn.XLOOKUP(A7223,'[1]Tissue Data'!$A:$A,'[1]Tissue Data'!$F:$F)</f>
        <v>Pumpkinseed</v>
      </c>
      <c r="E7223" t="str">
        <f>_xlfn.XLOOKUP(A7223,'[1]Tissue Data'!$A:$A,'[1]Tissue Data'!$H:$H)</f>
        <v>Lepomis</v>
      </c>
      <c r="F7223" t="str">
        <f>_xlfn.XLOOKUP(A7223,'[1]Tissue Data'!$A:$A,'[1]Tissue Data'!$I:$I)</f>
        <v>gibbosus</v>
      </c>
      <c r="G7223" t="str">
        <f>_xlfn.XLOOKUP(A7223,'[1]Tissue Data'!$A:$A,'[1]Tissue Data'!J:J)</f>
        <v>U</v>
      </c>
      <c r="H7223" t="str">
        <f>_xlfn.XLOOKUP(A7223,'[1]Tissue Data'!$A:$A,'[1]Tissue Data'!K:K)</f>
        <v>Whole Body</v>
      </c>
      <c r="I7223">
        <f>_xlfn.XLOOKUP(A7223,'[1]Tissue Data'!$A:$A,'[1]Tissue Data'!L:L)</f>
        <v>9</v>
      </c>
      <c r="J7223">
        <f>_xlfn.XLOOKUP(A7223,'[1]Tissue Data'!$A:$A,'[1]Tissue Data'!M:M)</f>
        <v>13.2</v>
      </c>
      <c r="K7223" t="s">
        <v>33</v>
      </c>
      <c r="L7223" t="str">
        <f>_xlfn.XLOOKUP(K7223,[2]analyte_order!$B:$B,[2]analyte_order!$C:$C)</f>
        <v>777011-38-8</v>
      </c>
      <c r="M7223">
        <f>_xlfn.XLOOKUP(L7223,[2]analyte_order!$C:$C,[2]analyte_order!$E:$E)</f>
        <v>54</v>
      </c>
      <c r="N7223">
        <v>0.13200000000000001</v>
      </c>
    </row>
    <row r="7224" spans="1:14">
      <c r="A7224" t="s">
        <v>305</v>
      </c>
      <c r="B7224" t="str">
        <f>_xlfn.XLOOKUP(A7224,'[1]Tissue Data'!$A:$A,'[1]Tissue Data'!$C:$C)</f>
        <v>Down</v>
      </c>
      <c r="C7224" s="2">
        <f>_xlfn.XLOOKUP(A7224,'[1]Tissue Data'!$A:$A,'[1]Tissue Data'!$D:$D)</f>
        <v>44393</v>
      </c>
      <c r="D7224" s="2" t="str">
        <f>_xlfn.XLOOKUP(A7224,'[1]Tissue Data'!$A:$A,'[1]Tissue Data'!$F:$F)</f>
        <v>Pumpkinseed</v>
      </c>
      <c r="E7224" t="str">
        <f>_xlfn.XLOOKUP(A7224,'[1]Tissue Data'!$A:$A,'[1]Tissue Data'!$H:$H)</f>
        <v>Lepomis</v>
      </c>
      <c r="F7224" t="str">
        <f>_xlfn.XLOOKUP(A7224,'[1]Tissue Data'!$A:$A,'[1]Tissue Data'!$I:$I)</f>
        <v>gibbosus</v>
      </c>
      <c r="G7224" t="str">
        <f>_xlfn.XLOOKUP(A7224,'[1]Tissue Data'!$A:$A,'[1]Tissue Data'!J:J)</f>
        <v>U</v>
      </c>
      <c r="H7224" t="str">
        <f>_xlfn.XLOOKUP(A7224,'[1]Tissue Data'!$A:$A,'[1]Tissue Data'!K:K)</f>
        <v>Whole Body</v>
      </c>
      <c r="I7224">
        <f>_xlfn.XLOOKUP(A7224,'[1]Tissue Data'!$A:$A,'[1]Tissue Data'!L:L)</f>
        <v>9</v>
      </c>
      <c r="J7224">
        <f>_xlfn.XLOOKUP(A7224,'[1]Tissue Data'!$A:$A,'[1]Tissue Data'!M:M)</f>
        <v>13.2</v>
      </c>
      <c r="K7224" t="s">
        <v>34</v>
      </c>
      <c r="L7224" t="str">
        <f>_xlfn.XLOOKUP(K7224,[2]analyte_order!$B:$B,[2]analyte_order!$C:$C)</f>
        <v>646-83-3</v>
      </c>
      <c r="M7224">
        <f>_xlfn.XLOOKUP(L7224,[2]analyte_order!$C:$C,[2]analyte_order!$E:$E)</f>
        <v>55</v>
      </c>
      <c r="N7224">
        <v>0.215</v>
      </c>
    </row>
    <row r="7225" spans="1:14">
      <c r="A7225" t="s">
        <v>305</v>
      </c>
      <c r="B7225" t="str">
        <f>_xlfn.XLOOKUP(A7225,'[1]Tissue Data'!$A:$A,'[1]Tissue Data'!$C:$C)</f>
        <v>Down</v>
      </c>
      <c r="C7225" s="2">
        <f>_xlfn.XLOOKUP(A7225,'[1]Tissue Data'!$A:$A,'[1]Tissue Data'!$D:$D)</f>
        <v>44393</v>
      </c>
      <c r="D7225" s="2" t="str">
        <f>_xlfn.XLOOKUP(A7225,'[1]Tissue Data'!$A:$A,'[1]Tissue Data'!$F:$F)</f>
        <v>Pumpkinseed</v>
      </c>
      <c r="E7225" t="str">
        <f>_xlfn.XLOOKUP(A7225,'[1]Tissue Data'!$A:$A,'[1]Tissue Data'!$H:$H)</f>
        <v>Lepomis</v>
      </c>
      <c r="F7225" t="str">
        <f>_xlfn.XLOOKUP(A7225,'[1]Tissue Data'!$A:$A,'[1]Tissue Data'!$I:$I)</f>
        <v>gibbosus</v>
      </c>
      <c r="G7225" t="str">
        <f>_xlfn.XLOOKUP(A7225,'[1]Tissue Data'!$A:$A,'[1]Tissue Data'!J:J)</f>
        <v>U</v>
      </c>
      <c r="H7225" t="str">
        <f>_xlfn.XLOOKUP(A7225,'[1]Tissue Data'!$A:$A,'[1]Tissue Data'!K:K)</f>
        <v>Whole Body</v>
      </c>
      <c r="I7225">
        <f>_xlfn.XLOOKUP(A7225,'[1]Tissue Data'!$A:$A,'[1]Tissue Data'!L:L)</f>
        <v>9</v>
      </c>
      <c r="J7225">
        <f>_xlfn.XLOOKUP(A7225,'[1]Tissue Data'!$A:$A,'[1]Tissue Data'!M:M)</f>
        <v>13.2</v>
      </c>
      <c r="K7225" t="s">
        <v>35</v>
      </c>
      <c r="L7225" t="str">
        <f>_xlfn.XLOOKUP(K7225,[2]analyte_order!$B:$B,[2]analyte_order!$C:$C)</f>
        <v>30334-69-1</v>
      </c>
      <c r="M7225">
        <f>_xlfn.XLOOKUP(L7225,[2]analyte_order!$C:$C,[2]analyte_order!$E:$E)</f>
        <v>51</v>
      </c>
      <c r="N7225">
        <v>42.5</v>
      </c>
    </row>
    <row r="7226" spans="1:14">
      <c r="A7226" t="s">
        <v>305</v>
      </c>
      <c r="B7226" t="str">
        <f>_xlfn.XLOOKUP(A7226,'[1]Tissue Data'!$A:$A,'[1]Tissue Data'!$C:$C)</f>
        <v>Down</v>
      </c>
      <c r="C7226" s="2">
        <f>_xlfn.XLOOKUP(A7226,'[1]Tissue Data'!$A:$A,'[1]Tissue Data'!$D:$D)</f>
        <v>44393</v>
      </c>
      <c r="D7226" s="2" t="str">
        <f>_xlfn.XLOOKUP(A7226,'[1]Tissue Data'!$A:$A,'[1]Tissue Data'!$F:$F)</f>
        <v>Pumpkinseed</v>
      </c>
      <c r="E7226" t="str">
        <f>_xlfn.XLOOKUP(A7226,'[1]Tissue Data'!$A:$A,'[1]Tissue Data'!$H:$H)</f>
        <v>Lepomis</v>
      </c>
      <c r="F7226" t="str">
        <f>_xlfn.XLOOKUP(A7226,'[1]Tissue Data'!$A:$A,'[1]Tissue Data'!$I:$I)</f>
        <v>gibbosus</v>
      </c>
      <c r="G7226" t="str">
        <f>_xlfn.XLOOKUP(A7226,'[1]Tissue Data'!$A:$A,'[1]Tissue Data'!J:J)</f>
        <v>U</v>
      </c>
      <c r="H7226" t="str">
        <f>_xlfn.XLOOKUP(A7226,'[1]Tissue Data'!$A:$A,'[1]Tissue Data'!K:K)</f>
        <v>Whole Body</v>
      </c>
      <c r="I7226">
        <f>_xlfn.XLOOKUP(A7226,'[1]Tissue Data'!$A:$A,'[1]Tissue Data'!L:L)</f>
        <v>9</v>
      </c>
      <c r="J7226">
        <f>_xlfn.XLOOKUP(A7226,'[1]Tissue Data'!$A:$A,'[1]Tissue Data'!M:M)</f>
        <v>13.2</v>
      </c>
      <c r="K7226" t="s">
        <v>36</v>
      </c>
      <c r="L7226" t="str">
        <f>_xlfn.XLOOKUP(K7226,[2]analyte_order!$B:$B,[2]analyte_order!$C:$C)</f>
        <v>41997-13-1</v>
      </c>
      <c r="M7226">
        <f>_xlfn.XLOOKUP(L7226,[2]analyte_order!$C:$C,[2]analyte_order!$E:$E)</f>
        <v>52</v>
      </c>
      <c r="N7226">
        <v>120</v>
      </c>
    </row>
    <row r="7227" spans="1:14">
      <c r="A7227" t="s">
        <v>305</v>
      </c>
      <c r="B7227" t="str">
        <f>_xlfn.XLOOKUP(A7227,'[1]Tissue Data'!$A:$A,'[1]Tissue Data'!$C:$C)</f>
        <v>Down</v>
      </c>
      <c r="C7227" s="2">
        <f>_xlfn.XLOOKUP(A7227,'[1]Tissue Data'!$A:$A,'[1]Tissue Data'!$D:$D)</f>
        <v>44393</v>
      </c>
      <c r="D7227" s="2" t="str">
        <f>_xlfn.XLOOKUP(A7227,'[1]Tissue Data'!$A:$A,'[1]Tissue Data'!$F:$F)</f>
        <v>Pumpkinseed</v>
      </c>
      <c r="E7227" t="str">
        <f>_xlfn.XLOOKUP(A7227,'[1]Tissue Data'!$A:$A,'[1]Tissue Data'!$H:$H)</f>
        <v>Lepomis</v>
      </c>
      <c r="F7227" t="str">
        <f>_xlfn.XLOOKUP(A7227,'[1]Tissue Data'!$A:$A,'[1]Tissue Data'!$I:$I)</f>
        <v>gibbosus</v>
      </c>
      <c r="G7227" t="str">
        <f>_xlfn.XLOOKUP(A7227,'[1]Tissue Data'!$A:$A,'[1]Tissue Data'!J:J)</f>
        <v>U</v>
      </c>
      <c r="H7227" t="str">
        <f>_xlfn.XLOOKUP(A7227,'[1]Tissue Data'!$A:$A,'[1]Tissue Data'!K:K)</f>
        <v>Whole Body</v>
      </c>
      <c r="I7227">
        <f>_xlfn.XLOOKUP(A7227,'[1]Tissue Data'!$A:$A,'[1]Tissue Data'!L:L)</f>
        <v>9</v>
      </c>
      <c r="J7227">
        <f>_xlfn.XLOOKUP(A7227,'[1]Tissue Data'!$A:$A,'[1]Tissue Data'!M:M)</f>
        <v>13.2</v>
      </c>
      <c r="K7227" t="s">
        <v>37</v>
      </c>
      <c r="L7227" t="str">
        <f>_xlfn.XLOOKUP(K7227,[2]analyte_order!$B:$B,[2]analyte_order!$C:$C)</f>
        <v>754-91-6</v>
      </c>
      <c r="M7227">
        <f>_xlfn.XLOOKUP(L7227,[2]analyte_order!$C:$C,[2]analyte_order!$E:$E)</f>
        <v>28</v>
      </c>
      <c r="N7227">
        <v>11.5</v>
      </c>
    </row>
    <row r="7228" spans="1:14">
      <c r="A7228" t="s">
        <v>305</v>
      </c>
      <c r="B7228" t="str">
        <f>_xlfn.XLOOKUP(A7228,'[1]Tissue Data'!$A:$A,'[1]Tissue Data'!$C:$C)</f>
        <v>Down</v>
      </c>
      <c r="C7228" s="2">
        <f>_xlfn.XLOOKUP(A7228,'[1]Tissue Data'!$A:$A,'[1]Tissue Data'!$D:$D)</f>
        <v>44393</v>
      </c>
      <c r="D7228" s="2" t="str">
        <f>_xlfn.XLOOKUP(A7228,'[1]Tissue Data'!$A:$A,'[1]Tissue Data'!$F:$F)</f>
        <v>Pumpkinseed</v>
      </c>
      <c r="E7228" t="str">
        <f>_xlfn.XLOOKUP(A7228,'[1]Tissue Data'!$A:$A,'[1]Tissue Data'!$H:$H)</f>
        <v>Lepomis</v>
      </c>
      <c r="F7228" t="str">
        <f>_xlfn.XLOOKUP(A7228,'[1]Tissue Data'!$A:$A,'[1]Tissue Data'!$I:$I)</f>
        <v>gibbosus</v>
      </c>
      <c r="G7228" t="str">
        <f>_xlfn.XLOOKUP(A7228,'[1]Tissue Data'!$A:$A,'[1]Tissue Data'!J:J)</f>
        <v>U</v>
      </c>
      <c r="H7228" t="str">
        <f>_xlfn.XLOOKUP(A7228,'[1]Tissue Data'!$A:$A,'[1]Tissue Data'!K:K)</f>
        <v>Whole Body</v>
      </c>
      <c r="I7228">
        <f>_xlfn.XLOOKUP(A7228,'[1]Tissue Data'!$A:$A,'[1]Tissue Data'!L:L)</f>
        <v>9</v>
      </c>
      <c r="J7228">
        <f>_xlfn.XLOOKUP(A7228,'[1]Tissue Data'!$A:$A,'[1]Tissue Data'!M:M)</f>
        <v>13.2</v>
      </c>
      <c r="K7228" t="s">
        <v>38</v>
      </c>
      <c r="L7228" t="str">
        <f>_xlfn.XLOOKUP(K7228,[2]analyte_order!$B:$B,[2]analyte_order!$C:$C)</f>
        <v>31506-32-8</v>
      </c>
      <c r="M7228">
        <f>_xlfn.XLOOKUP(L7228,[2]analyte_order!$C:$C,[2]analyte_order!$E:$E)</f>
        <v>30</v>
      </c>
      <c r="N7228">
        <v>0.16750000000000001</v>
      </c>
    </row>
    <row r="7229" spans="1:14">
      <c r="A7229" t="s">
        <v>305</v>
      </c>
      <c r="B7229" t="str">
        <f>_xlfn.XLOOKUP(A7229,'[1]Tissue Data'!$A:$A,'[1]Tissue Data'!$C:$C)</f>
        <v>Down</v>
      </c>
      <c r="C7229" s="2">
        <f>_xlfn.XLOOKUP(A7229,'[1]Tissue Data'!$A:$A,'[1]Tissue Data'!$D:$D)</f>
        <v>44393</v>
      </c>
      <c r="D7229" s="2" t="str">
        <f>_xlfn.XLOOKUP(A7229,'[1]Tissue Data'!$A:$A,'[1]Tissue Data'!$F:$F)</f>
        <v>Pumpkinseed</v>
      </c>
      <c r="E7229" t="str">
        <f>_xlfn.XLOOKUP(A7229,'[1]Tissue Data'!$A:$A,'[1]Tissue Data'!$H:$H)</f>
        <v>Lepomis</v>
      </c>
      <c r="F7229" t="str">
        <f>_xlfn.XLOOKUP(A7229,'[1]Tissue Data'!$A:$A,'[1]Tissue Data'!$I:$I)</f>
        <v>gibbosus</v>
      </c>
      <c r="G7229" t="str">
        <f>_xlfn.XLOOKUP(A7229,'[1]Tissue Data'!$A:$A,'[1]Tissue Data'!J:J)</f>
        <v>U</v>
      </c>
      <c r="H7229" t="str">
        <f>_xlfn.XLOOKUP(A7229,'[1]Tissue Data'!$A:$A,'[1]Tissue Data'!K:K)</f>
        <v>Whole Body</v>
      </c>
      <c r="I7229">
        <f>_xlfn.XLOOKUP(A7229,'[1]Tissue Data'!$A:$A,'[1]Tissue Data'!L:L)</f>
        <v>9</v>
      </c>
      <c r="J7229">
        <f>_xlfn.XLOOKUP(A7229,'[1]Tissue Data'!$A:$A,'[1]Tissue Data'!M:M)</f>
        <v>13.2</v>
      </c>
      <c r="K7229" t="s">
        <v>39</v>
      </c>
      <c r="L7229" t="str">
        <f>_xlfn.XLOOKUP(K7229,[2]analyte_order!$B:$B,[2]analyte_order!$C:$C)</f>
        <v>4151-50-2</v>
      </c>
      <c r="M7229">
        <f>_xlfn.XLOOKUP(L7229,[2]analyte_order!$C:$C,[2]analyte_order!$E:$E)</f>
        <v>31</v>
      </c>
      <c r="N7229">
        <v>0.4345</v>
      </c>
    </row>
    <row r="7230" spans="1:14">
      <c r="A7230" t="s">
        <v>305</v>
      </c>
      <c r="B7230" t="str">
        <f>_xlfn.XLOOKUP(A7230,'[1]Tissue Data'!$A:$A,'[1]Tissue Data'!$C:$C)</f>
        <v>Down</v>
      </c>
      <c r="C7230" s="2">
        <f>_xlfn.XLOOKUP(A7230,'[1]Tissue Data'!$A:$A,'[1]Tissue Data'!$D:$D)</f>
        <v>44393</v>
      </c>
      <c r="D7230" s="2" t="str">
        <f>_xlfn.XLOOKUP(A7230,'[1]Tissue Data'!$A:$A,'[1]Tissue Data'!$F:$F)</f>
        <v>Pumpkinseed</v>
      </c>
      <c r="E7230" t="str">
        <f>_xlfn.XLOOKUP(A7230,'[1]Tissue Data'!$A:$A,'[1]Tissue Data'!$H:$H)</f>
        <v>Lepomis</v>
      </c>
      <c r="F7230" t="str">
        <f>_xlfn.XLOOKUP(A7230,'[1]Tissue Data'!$A:$A,'[1]Tissue Data'!$I:$I)</f>
        <v>gibbosus</v>
      </c>
      <c r="G7230" t="str">
        <f>_xlfn.XLOOKUP(A7230,'[1]Tissue Data'!$A:$A,'[1]Tissue Data'!J:J)</f>
        <v>U</v>
      </c>
      <c r="H7230" t="str">
        <f>_xlfn.XLOOKUP(A7230,'[1]Tissue Data'!$A:$A,'[1]Tissue Data'!K:K)</f>
        <v>Whole Body</v>
      </c>
      <c r="I7230">
        <f>_xlfn.XLOOKUP(A7230,'[1]Tissue Data'!$A:$A,'[1]Tissue Data'!L:L)</f>
        <v>9</v>
      </c>
      <c r="J7230">
        <f>_xlfn.XLOOKUP(A7230,'[1]Tissue Data'!$A:$A,'[1]Tissue Data'!M:M)</f>
        <v>13.2</v>
      </c>
      <c r="K7230" t="s">
        <v>40</v>
      </c>
      <c r="L7230" t="str">
        <f>_xlfn.XLOOKUP(K7230,[2]analyte_order!$B:$B,[2]analyte_order!$C:$C)</f>
        <v>2806-24-8</v>
      </c>
      <c r="M7230">
        <f>_xlfn.XLOOKUP(L7230,[2]analyte_order!$C:$C,[2]analyte_order!$E:$E)</f>
        <v>29</v>
      </c>
      <c r="N7230">
        <v>0.4345</v>
      </c>
    </row>
    <row r="7231" spans="1:14">
      <c r="A7231" t="s">
        <v>305</v>
      </c>
      <c r="B7231" t="str">
        <f>_xlfn.XLOOKUP(A7231,'[1]Tissue Data'!$A:$A,'[1]Tissue Data'!$C:$C)</f>
        <v>Down</v>
      </c>
      <c r="C7231" s="2">
        <f>_xlfn.XLOOKUP(A7231,'[1]Tissue Data'!$A:$A,'[1]Tissue Data'!$D:$D)</f>
        <v>44393</v>
      </c>
      <c r="D7231" s="2" t="str">
        <f>_xlfn.XLOOKUP(A7231,'[1]Tissue Data'!$A:$A,'[1]Tissue Data'!$F:$F)</f>
        <v>Pumpkinseed</v>
      </c>
      <c r="E7231" t="str">
        <f>_xlfn.XLOOKUP(A7231,'[1]Tissue Data'!$A:$A,'[1]Tissue Data'!$H:$H)</f>
        <v>Lepomis</v>
      </c>
      <c r="F7231" t="str">
        <f>_xlfn.XLOOKUP(A7231,'[1]Tissue Data'!$A:$A,'[1]Tissue Data'!$I:$I)</f>
        <v>gibbosus</v>
      </c>
      <c r="G7231" t="str">
        <f>_xlfn.XLOOKUP(A7231,'[1]Tissue Data'!$A:$A,'[1]Tissue Data'!J:J)</f>
        <v>U</v>
      </c>
      <c r="H7231" t="str">
        <f>_xlfn.XLOOKUP(A7231,'[1]Tissue Data'!$A:$A,'[1]Tissue Data'!K:K)</f>
        <v>Whole Body</v>
      </c>
      <c r="I7231">
        <f>_xlfn.XLOOKUP(A7231,'[1]Tissue Data'!$A:$A,'[1]Tissue Data'!L:L)</f>
        <v>9</v>
      </c>
      <c r="J7231">
        <f>_xlfn.XLOOKUP(A7231,'[1]Tissue Data'!$A:$A,'[1]Tissue Data'!M:M)</f>
        <v>13.2</v>
      </c>
      <c r="K7231" t="s">
        <v>41</v>
      </c>
      <c r="L7231" t="str">
        <f>_xlfn.XLOOKUP(K7231,[2]analyte_order!$B:$B,[2]analyte_order!$C:$C)</f>
        <v>2355-31-9</v>
      </c>
      <c r="M7231">
        <f>_xlfn.XLOOKUP(L7231,[2]analyte_order!$C:$C,[2]analyte_order!$E:$E)</f>
        <v>26</v>
      </c>
      <c r="N7231">
        <v>0.2185</v>
      </c>
    </row>
    <row r="7232" spans="1:14">
      <c r="A7232" t="s">
        <v>305</v>
      </c>
      <c r="B7232" t="str">
        <f>_xlfn.XLOOKUP(A7232,'[1]Tissue Data'!$A:$A,'[1]Tissue Data'!$C:$C)</f>
        <v>Down</v>
      </c>
      <c r="C7232" s="2">
        <f>_xlfn.XLOOKUP(A7232,'[1]Tissue Data'!$A:$A,'[1]Tissue Data'!$D:$D)</f>
        <v>44393</v>
      </c>
      <c r="D7232" s="2" t="str">
        <f>_xlfn.XLOOKUP(A7232,'[1]Tissue Data'!$A:$A,'[1]Tissue Data'!$F:$F)</f>
        <v>Pumpkinseed</v>
      </c>
      <c r="E7232" t="str">
        <f>_xlfn.XLOOKUP(A7232,'[1]Tissue Data'!$A:$A,'[1]Tissue Data'!$H:$H)</f>
        <v>Lepomis</v>
      </c>
      <c r="F7232" t="str">
        <f>_xlfn.XLOOKUP(A7232,'[1]Tissue Data'!$A:$A,'[1]Tissue Data'!$I:$I)</f>
        <v>gibbosus</v>
      </c>
      <c r="G7232" t="str">
        <f>_xlfn.XLOOKUP(A7232,'[1]Tissue Data'!$A:$A,'[1]Tissue Data'!J:J)</f>
        <v>U</v>
      </c>
      <c r="H7232" t="str">
        <f>_xlfn.XLOOKUP(A7232,'[1]Tissue Data'!$A:$A,'[1]Tissue Data'!K:K)</f>
        <v>Whole Body</v>
      </c>
      <c r="I7232">
        <f>_xlfn.XLOOKUP(A7232,'[1]Tissue Data'!$A:$A,'[1]Tissue Data'!L:L)</f>
        <v>9</v>
      </c>
      <c r="J7232">
        <f>_xlfn.XLOOKUP(A7232,'[1]Tissue Data'!$A:$A,'[1]Tissue Data'!M:M)</f>
        <v>13.2</v>
      </c>
      <c r="K7232" t="s">
        <v>42</v>
      </c>
      <c r="L7232" t="str">
        <f>_xlfn.XLOOKUP(K7232,[2]analyte_order!$B:$B,[2]analyte_order!$C:$C)</f>
        <v>2991-50-6</v>
      </c>
      <c r="M7232">
        <f>_xlfn.XLOOKUP(L7232,[2]analyte_order!$C:$C,[2]analyte_order!$E:$E)</f>
        <v>27</v>
      </c>
      <c r="N7232">
        <v>0.2175</v>
      </c>
    </row>
    <row r="7233" spans="1:14">
      <c r="A7233" t="s">
        <v>305</v>
      </c>
      <c r="B7233" t="str">
        <f>_xlfn.XLOOKUP(A7233,'[1]Tissue Data'!$A:$A,'[1]Tissue Data'!$C:$C)</f>
        <v>Down</v>
      </c>
      <c r="C7233" s="2">
        <f>_xlfn.XLOOKUP(A7233,'[1]Tissue Data'!$A:$A,'[1]Tissue Data'!$D:$D)</f>
        <v>44393</v>
      </c>
      <c r="D7233" s="2" t="str">
        <f>_xlfn.XLOOKUP(A7233,'[1]Tissue Data'!$A:$A,'[1]Tissue Data'!$F:$F)</f>
        <v>Pumpkinseed</v>
      </c>
      <c r="E7233" t="str">
        <f>_xlfn.XLOOKUP(A7233,'[1]Tissue Data'!$A:$A,'[1]Tissue Data'!$H:$H)</f>
        <v>Lepomis</v>
      </c>
      <c r="F7233" t="str">
        <f>_xlfn.XLOOKUP(A7233,'[1]Tissue Data'!$A:$A,'[1]Tissue Data'!$I:$I)</f>
        <v>gibbosus</v>
      </c>
      <c r="G7233" t="str">
        <f>_xlfn.XLOOKUP(A7233,'[1]Tissue Data'!$A:$A,'[1]Tissue Data'!J:J)</f>
        <v>U</v>
      </c>
      <c r="H7233" t="str">
        <f>_xlfn.XLOOKUP(A7233,'[1]Tissue Data'!$A:$A,'[1]Tissue Data'!K:K)</f>
        <v>Whole Body</v>
      </c>
      <c r="I7233">
        <f>_xlfn.XLOOKUP(A7233,'[1]Tissue Data'!$A:$A,'[1]Tissue Data'!L:L)</f>
        <v>9</v>
      </c>
      <c r="J7233">
        <f>_xlfn.XLOOKUP(A7233,'[1]Tissue Data'!$A:$A,'[1]Tissue Data'!M:M)</f>
        <v>13.2</v>
      </c>
      <c r="K7233" t="s">
        <v>43</v>
      </c>
      <c r="L7233" t="str">
        <f>_xlfn.XLOOKUP(K7233,[2]analyte_order!$B:$B,[2]analyte_order!$C:$C)</f>
        <v>757124-72-4</v>
      </c>
      <c r="M7233">
        <f>_xlfn.XLOOKUP(L7233,[2]analyte_order!$C:$C,[2]analyte_order!$E:$E)</f>
        <v>22</v>
      </c>
      <c r="N7233">
        <v>0.2175</v>
      </c>
    </row>
    <row r="7234" spans="1:14">
      <c r="A7234" t="s">
        <v>305</v>
      </c>
      <c r="B7234" t="str">
        <f>_xlfn.XLOOKUP(A7234,'[1]Tissue Data'!$A:$A,'[1]Tissue Data'!$C:$C)</f>
        <v>Down</v>
      </c>
      <c r="C7234" s="2">
        <f>_xlfn.XLOOKUP(A7234,'[1]Tissue Data'!$A:$A,'[1]Tissue Data'!$D:$D)</f>
        <v>44393</v>
      </c>
      <c r="D7234" s="2" t="str">
        <f>_xlfn.XLOOKUP(A7234,'[1]Tissue Data'!$A:$A,'[1]Tissue Data'!$F:$F)</f>
        <v>Pumpkinseed</v>
      </c>
      <c r="E7234" t="str">
        <f>_xlfn.XLOOKUP(A7234,'[1]Tissue Data'!$A:$A,'[1]Tissue Data'!$H:$H)</f>
        <v>Lepomis</v>
      </c>
      <c r="F7234" t="str">
        <f>_xlfn.XLOOKUP(A7234,'[1]Tissue Data'!$A:$A,'[1]Tissue Data'!$I:$I)</f>
        <v>gibbosus</v>
      </c>
      <c r="G7234" t="str">
        <f>_xlfn.XLOOKUP(A7234,'[1]Tissue Data'!$A:$A,'[1]Tissue Data'!J:J)</f>
        <v>U</v>
      </c>
      <c r="H7234" t="str">
        <f>_xlfn.XLOOKUP(A7234,'[1]Tissue Data'!$A:$A,'[1]Tissue Data'!K:K)</f>
        <v>Whole Body</v>
      </c>
      <c r="I7234">
        <f>_xlfn.XLOOKUP(A7234,'[1]Tissue Data'!$A:$A,'[1]Tissue Data'!L:L)</f>
        <v>9</v>
      </c>
      <c r="J7234">
        <f>_xlfn.XLOOKUP(A7234,'[1]Tissue Data'!$A:$A,'[1]Tissue Data'!M:M)</f>
        <v>13.2</v>
      </c>
      <c r="K7234" t="s">
        <v>44</v>
      </c>
      <c r="L7234" t="str">
        <f>_xlfn.XLOOKUP(K7234,[2]analyte_order!$B:$B,[2]analyte_order!$C:$C)</f>
        <v>27619-97-2</v>
      </c>
      <c r="M7234">
        <f>_xlfn.XLOOKUP(L7234,[2]analyte_order!$C:$C,[2]analyte_order!$E:$E)</f>
        <v>23</v>
      </c>
      <c r="N7234">
        <v>0.2175</v>
      </c>
    </row>
    <row r="7235" spans="1:14">
      <c r="A7235" t="s">
        <v>305</v>
      </c>
      <c r="B7235" t="str">
        <f>_xlfn.XLOOKUP(A7235,'[1]Tissue Data'!$A:$A,'[1]Tissue Data'!$C:$C)</f>
        <v>Down</v>
      </c>
      <c r="C7235" s="2">
        <f>_xlfn.XLOOKUP(A7235,'[1]Tissue Data'!$A:$A,'[1]Tissue Data'!$D:$D)</f>
        <v>44393</v>
      </c>
      <c r="D7235" s="2" t="str">
        <f>_xlfn.XLOOKUP(A7235,'[1]Tissue Data'!$A:$A,'[1]Tissue Data'!$F:$F)</f>
        <v>Pumpkinseed</v>
      </c>
      <c r="E7235" t="str">
        <f>_xlfn.XLOOKUP(A7235,'[1]Tissue Data'!$A:$A,'[1]Tissue Data'!$H:$H)</f>
        <v>Lepomis</v>
      </c>
      <c r="F7235" t="str">
        <f>_xlfn.XLOOKUP(A7235,'[1]Tissue Data'!$A:$A,'[1]Tissue Data'!$I:$I)</f>
        <v>gibbosus</v>
      </c>
      <c r="G7235" t="str">
        <f>_xlfn.XLOOKUP(A7235,'[1]Tissue Data'!$A:$A,'[1]Tissue Data'!J:J)</f>
        <v>U</v>
      </c>
      <c r="H7235" t="str">
        <f>_xlfn.XLOOKUP(A7235,'[1]Tissue Data'!$A:$A,'[1]Tissue Data'!K:K)</f>
        <v>Whole Body</v>
      </c>
      <c r="I7235">
        <f>_xlfn.XLOOKUP(A7235,'[1]Tissue Data'!$A:$A,'[1]Tissue Data'!L:L)</f>
        <v>9</v>
      </c>
      <c r="J7235">
        <f>_xlfn.XLOOKUP(A7235,'[1]Tissue Data'!$A:$A,'[1]Tissue Data'!M:M)</f>
        <v>13.2</v>
      </c>
      <c r="K7235" t="s">
        <v>45</v>
      </c>
      <c r="L7235" t="str">
        <f>_xlfn.XLOOKUP(K7235,[2]analyte_order!$B:$B,[2]analyte_order!$C:$C)</f>
        <v>39108-34-4</v>
      </c>
      <c r="M7235">
        <f>_xlfn.XLOOKUP(L7235,[2]analyte_order!$C:$C,[2]analyte_order!$E:$E)</f>
        <v>24</v>
      </c>
      <c r="N7235">
        <v>1.75</v>
      </c>
    </row>
    <row r="7236" spans="1:14">
      <c r="A7236" t="s">
        <v>305</v>
      </c>
      <c r="B7236" t="str">
        <f>_xlfn.XLOOKUP(A7236,'[1]Tissue Data'!$A:$A,'[1]Tissue Data'!$C:$C)</f>
        <v>Down</v>
      </c>
      <c r="C7236" s="2">
        <f>_xlfn.XLOOKUP(A7236,'[1]Tissue Data'!$A:$A,'[1]Tissue Data'!$D:$D)</f>
        <v>44393</v>
      </c>
      <c r="D7236" s="2" t="str">
        <f>_xlfn.XLOOKUP(A7236,'[1]Tissue Data'!$A:$A,'[1]Tissue Data'!$F:$F)</f>
        <v>Pumpkinseed</v>
      </c>
      <c r="E7236" t="str">
        <f>_xlfn.XLOOKUP(A7236,'[1]Tissue Data'!$A:$A,'[1]Tissue Data'!$H:$H)</f>
        <v>Lepomis</v>
      </c>
      <c r="F7236" t="str">
        <f>_xlfn.XLOOKUP(A7236,'[1]Tissue Data'!$A:$A,'[1]Tissue Data'!$I:$I)</f>
        <v>gibbosus</v>
      </c>
      <c r="G7236" t="str">
        <f>_xlfn.XLOOKUP(A7236,'[1]Tissue Data'!$A:$A,'[1]Tissue Data'!J:J)</f>
        <v>U</v>
      </c>
      <c r="H7236" t="str">
        <f>_xlfn.XLOOKUP(A7236,'[1]Tissue Data'!$A:$A,'[1]Tissue Data'!K:K)</f>
        <v>Whole Body</v>
      </c>
      <c r="I7236">
        <f>_xlfn.XLOOKUP(A7236,'[1]Tissue Data'!$A:$A,'[1]Tissue Data'!L:L)</f>
        <v>9</v>
      </c>
      <c r="J7236">
        <f>_xlfn.XLOOKUP(A7236,'[1]Tissue Data'!$A:$A,'[1]Tissue Data'!M:M)</f>
        <v>13.2</v>
      </c>
      <c r="K7236" t="s">
        <v>46</v>
      </c>
      <c r="L7236" t="str">
        <f>_xlfn.XLOOKUP(K7236,[2]analyte_order!$B:$B,[2]analyte_order!$C:$C)</f>
        <v>120226-60-0</v>
      </c>
      <c r="M7236">
        <f>_xlfn.XLOOKUP(L7236,[2]analyte_order!$C:$C,[2]analyte_order!$E:$E)</f>
        <v>25</v>
      </c>
      <c r="N7236">
        <v>0.4345</v>
      </c>
    </row>
    <row r="7237" spans="1:14">
      <c r="A7237" t="s">
        <v>305</v>
      </c>
      <c r="B7237" t="str">
        <f>_xlfn.XLOOKUP(A7237,'[1]Tissue Data'!$A:$A,'[1]Tissue Data'!$C:$C)</f>
        <v>Down</v>
      </c>
      <c r="C7237" s="2">
        <f>_xlfn.XLOOKUP(A7237,'[1]Tissue Data'!$A:$A,'[1]Tissue Data'!$D:$D)</f>
        <v>44393</v>
      </c>
      <c r="D7237" s="2" t="str">
        <f>_xlfn.XLOOKUP(A7237,'[1]Tissue Data'!$A:$A,'[1]Tissue Data'!$F:$F)</f>
        <v>Pumpkinseed</v>
      </c>
      <c r="E7237" t="str">
        <f>_xlfn.XLOOKUP(A7237,'[1]Tissue Data'!$A:$A,'[1]Tissue Data'!$H:$H)</f>
        <v>Lepomis</v>
      </c>
      <c r="F7237" t="str">
        <f>_xlfn.XLOOKUP(A7237,'[1]Tissue Data'!$A:$A,'[1]Tissue Data'!$I:$I)</f>
        <v>gibbosus</v>
      </c>
      <c r="G7237" t="str">
        <f>_xlfn.XLOOKUP(A7237,'[1]Tissue Data'!$A:$A,'[1]Tissue Data'!J:J)</f>
        <v>U</v>
      </c>
      <c r="H7237" t="str">
        <f>_xlfn.XLOOKUP(A7237,'[1]Tissue Data'!$A:$A,'[1]Tissue Data'!K:K)</f>
        <v>Whole Body</v>
      </c>
      <c r="I7237">
        <f>_xlfn.XLOOKUP(A7237,'[1]Tissue Data'!$A:$A,'[1]Tissue Data'!L:L)</f>
        <v>9</v>
      </c>
      <c r="J7237">
        <f>_xlfn.XLOOKUP(A7237,'[1]Tissue Data'!$A:$A,'[1]Tissue Data'!M:M)</f>
        <v>13.2</v>
      </c>
      <c r="K7237" t="s">
        <v>47</v>
      </c>
      <c r="L7237" t="str">
        <f>_xlfn.XLOOKUP(K7237,[2]analyte_order!$B:$B,[2]analyte_order!$C:$C)</f>
        <v>356-02-5</v>
      </c>
      <c r="M7237">
        <f>_xlfn.XLOOKUP(L7237,[2]analyte_order!$C:$C,[2]analyte_order!$E:$E)</f>
        <v>38</v>
      </c>
      <c r="N7237">
        <v>0.2505</v>
      </c>
    </row>
    <row r="7238" spans="1:14">
      <c r="A7238" t="s">
        <v>305</v>
      </c>
      <c r="B7238" t="str">
        <f>_xlfn.XLOOKUP(A7238,'[1]Tissue Data'!$A:$A,'[1]Tissue Data'!$C:$C)</f>
        <v>Down</v>
      </c>
      <c r="C7238" s="2">
        <f>_xlfn.XLOOKUP(A7238,'[1]Tissue Data'!$A:$A,'[1]Tissue Data'!$D:$D)</f>
        <v>44393</v>
      </c>
      <c r="D7238" s="2" t="str">
        <f>_xlfn.XLOOKUP(A7238,'[1]Tissue Data'!$A:$A,'[1]Tissue Data'!$F:$F)</f>
        <v>Pumpkinseed</v>
      </c>
      <c r="E7238" t="str">
        <f>_xlfn.XLOOKUP(A7238,'[1]Tissue Data'!$A:$A,'[1]Tissue Data'!$H:$H)</f>
        <v>Lepomis</v>
      </c>
      <c r="F7238" t="str">
        <f>_xlfn.XLOOKUP(A7238,'[1]Tissue Data'!$A:$A,'[1]Tissue Data'!$I:$I)</f>
        <v>gibbosus</v>
      </c>
      <c r="G7238" t="str">
        <f>_xlfn.XLOOKUP(A7238,'[1]Tissue Data'!$A:$A,'[1]Tissue Data'!J:J)</f>
        <v>U</v>
      </c>
      <c r="H7238" t="str">
        <f>_xlfn.XLOOKUP(A7238,'[1]Tissue Data'!$A:$A,'[1]Tissue Data'!K:K)</f>
        <v>Whole Body</v>
      </c>
      <c r="I7238">
        <f>_xlfn.XLOOKUP(A7238,'[1]Tissue Data'!$A:$A,'[1]Tissue Data'!L:L)</f>
        <v>9</v>
      </c>
      <c r="J7238">
        <f>_xlfn.XLOOKUP(A7238,'[1]Tissue Data'!$A:$A,'[1]Tissue Data'!M:M)</f>
        <v>13.2</v>
      </c>
      <c r="K7238" t="s">
        <v>48</v>
      </c>
      <c r="L7238" t="str">
        <f>_xlfn.XLOOKUP(K7238,[2]analyte_order!$B:$B,[2]analyte_order!$C:$C)</f>
        <v>914637-49-3</v>
      </c>
      <c r="M7238">
        <f>_xlfn.XLOOKUP(L7238,[2]analyte_order!$C:$C,[2]analyte_order!$E:$E)</f>
        <v>39</v>
      </c>
      <c r="N7238">
        <v>0.79300000000000004</v>
      </c>
    </row>
    <row r="7239" spans="1:14">
      <c r="A7239" t="s">
        <v>305</v>
      </c>
      <c r="B7239" t="str">
        <f>_xlfn.XLOOKUP(A7239,'[1]Tissue Data'!$A:$A,'[1]Tissue Data'!$C:$C)</f>
        <v>Down</v>
      </c>
      <c r="C7239" s="2">
        <f>_xlfn.XLOOKUP(A7239,'[1]Tissue Data'!$A:$A,'[1]Tissue Data'!$D:$D)</f>
        <v>44393</v>
      </c>
      <c r="D7239" s="2" t="str">
        <f>_xlfn.XLOOKUP(A7239,'[1]Tissue Data'!$A:$A,'[1]Tissue Data'!$F:$F)</f>
        <v>Pumpkinseed</v>
      </c>
      <c r="E7239" t="str">
        <f>_xlfn.XLOOKUP(A7239,'[1]Tissue Data'!$A:$A,'[1]Tissue Data'!$H:$H)</f>
        <v>Lepomis</v>
      </c>
      <c r="F7239" t="str">
        <f>_xlfn.XLOOKUP(A7239,'[1]Tissue Data'!$A:$A,'[1]Tissue Data'!$I:$I)</f>
        <v>gibbosus</v>
      </c>
      <c r="G7239" t="str">
        <f>_xlfn.XLOOKUP(A7239,'[1]Tissue Data'!$A:$A,'[1]Tissue Data'!J:J)</f>
        <v>U</v>
      </c>
      <c r="H7239" t="str">
        <f>_xlfn.XLOOKUP(A7239,'[1]Tissue Data'!$A:$A,'[1]Tissue Data'!K:K)</f>
        <v>Whole Body</v>
      </c>
      <c r="I7239">
        <f>_xlfn.XLOOKUP(A7239,'[1]Tissue Data'!$A:$A,'[1]Tissue Data'!L:L)</f>
        <v>9</v>
      </c>
      <c r="J7239">
        <f>_xlfn.XLOOKUP(A7239,'[1]Tissue Data'!$A:$A,'[1]Tissue Data'!M:M)</f>
        <v>13.2</v>
      </c>
      <c r="K7239" t="s">
        <v>49</v>
      </c>
      <c r="L7239" t="str">
        <f>_xlfn.XLOOKUP(K7239,[2]analyte_order!$B:$B,[2]analyte_order!$C:$C)</f>
        <v>812-70-4</v>
      </c>
      <c r="M7239">
        <f>_xlfn.XLOOKUP(L7239,[2]analyte_order!$C:$C,[2]analyte_order!$E:$E)</f>
        <v>40</v>
      </c>
      <c r="N7239">
        <v>5.57</v>
      </c>
    </row>
    <row r="7240" spans="1:14">
      <c r="A7240" t="s">
        <v>305</v>
      </c>
      <c r="B7240" t="str">
        <f>_xlfn.XLOOKUP(A7240,'[1]Tissue Data'!$A:$A,'[1]Tissue Data'!$C:$C)</f>
        <v>Down</v>
      </c>
      <c r="C7240" s="2">
        <f>_xlfn.XLOOKUP(A7240,'[1]Tissue Data'!$A:$A,'[1]Tissue Data'!$D:$D)</f>
        <v>44393</v>
      </c>
      <c r="D7240" s="2" t="str">
        <f>_xlfn.XLOOKUP(A7240,'[1]Tissue Data'!$A:$A,'[1]Tissue Data'!$F:$F)</f>
        <v>Pumpkinseed</v>
      </c>
      <c r="E7240" t="str">
        <f>_xlfn.XLOOKUP(A7240,'[1]Tissue Data'!$A:$A,'[1]Tissue Data'!$H:$H)</f>
        <v>Lepomis</v>
      </c>
      <c r="F7240" t="str">
        <f>_xlfn.XLOOKUP(A7240,'[1]Tissue Data'!$A:$A,'[1]Tissue Data'!$I:$I)</f>
        <v>gibbosus</v>
      </c>
      <c r="G7240" t="str">
        <f>_xlfn.XLOOKUP(A7240,'[1]Tissue Data'!$A:$A,'[1]Tissue Data'!J:J)</f>
        <v>U</v>
      </c>
      <c r="H7240" t="str">
        <f>_xlfn.XLOOKUP(A7240,'[1]Tissue Data'!$A:$A,'[1]Tissue Data'!K:K)</f>
        <v>Whole Body</v>
      </c>
      <c r="I7240">
        <f>_xlfn.XLOOKUP(A7240,'[1]Tissue Data'!$A:$A,'[1]Tissue Data'!L:L)</f>
        <v>9</v>
      </c>
      <c r="J7240">
        <f>_xlfn.XLOOKUP(A7240,'[1]Tissue Data'!$A:$A,'[1]Tissue Data'!M:M)</f>
        <v>13.2</v>
      </c>
      <c r="K7240" t="s">
        <v>50</v>
      </c>
      <c r="L7240" t="str">
        <f>_xlfn.XLOOKUP(K7240,[2]analyte_order!$B:$B,[2]analyte_order!$C:$C)</f>
        <v>53826-12-3</v>
      </c>
      <c r="M7240">
        <f>_xlfn.XLOOKUP(L7240,[2]analyte_order!$C:$C,[2]analyte_order!$E:$E)</f>
        <v>41</v>
      </c>
      <c r="N7240">
        <v>0.4345</v>
      </c>
    </row>
    <row r="7241" spans="1:14">
      <c r="A7241" t="s">
        <v>305</v>
      </c>
      <c r="B7241" t="str">
        <f>_xlfn.XLOOKUP(A7241,'[1]Tissue Data'!$A:$A,'[1]Tissue Data'!$C:$C)</f>
        <v>Down</v>
      </c>
      <c r="C7241" s="2">
        <f>_xlfn.XLOOKUP(A7241,'[1]Tissue Data'!$A:$A,'[1]Tissue Data'!$D:$D)</f>
        <v>44393</v>
      </c>
      <c r="D7241" s="2" t="str">
        <f>_xlfn.XLOOKUP(A7241,'[1]Tissue Data'!$A:$A,'[1]Tissue Data'!$F:$F)</f>
        <v>Pumpkinseed</v>
      </c>
      <c r="E7241" t="str">
        <f>_xlfn.XLOOKUP(A7241,'[1]Tissue Data'!$A:$A,'[1]Tissue Data'!$H:$H)</f>
        <v>Lepomis</v>
      </c>
      <c r="F7241" t="str">
        <f>_xlfn.XLOOKUP(A7241,'[1]Tissue Data'!$A:$A,'[1]Tissue Data'!$I:$I)</f>
        <v>gibbosus</v>
      </c>
      <c r="G7241" t="str">
        <f>_xlfn.XLOOKUP(A7241,'[1]Tissue Data'!$A:$A,'[1]Tissue Data'!J:J)</f>
        <v>U</v>
      </c>
      <c r="H7241" t="str">
        <f>_xlfn.XLOOKUP(A7241,'[1]Tissue Data'!$A:$A,'[1]Tissue Data'!K:K)</f>
        <v>Whole Body</v>
      </c>
      <c r="I7241">
        <f>_xlfn.XLOOKUP(A7241,'[1]Tissue Data'!$A:$A,'[1]Tissue Data'!L:L)</f>
        <v>9</v>
      </c>
      <c r="J7241">
        <f>_xlfn.XLOOKUP(A7241,'[1]Tissue Data'!$A:$A,'[1]Tissue Data'!M:M)</f>
        <v>13.2</v>
      </c>
      <c r="K7241" t="s">
        <v>51</v>
      </c>
      <c r="L7241" t="str">
        <f>_xlfn.XLOOKUP(K7241,[2]analyte_order!$B:$B,[2]analyte_order!$C:$C)</f>
        <v>27854-31-5</v>
      </c>
      <c r="M7241">
        <f>_xlfn.XLOOKUP(L7241,[2]analyte_order!$C:$C,[2]analyte_order!$E:$E)</f>
        <v>42</v>
      </c>
      <c r="N7241">
        <v>0.4345</v>
      </c>
    </row>
    <row r="7242" spans="1:14">
      <c r="A7242" t="s">
        <v>305</v>
      </c>
      <c r="B7242" t="str">
        <f>_xlfn.XLOOKUP(A7242,'[1]Tissue Data'!$A:$A,'[1]Tissue Data'!$C:$C)</f>
        <v>Down</v>
      </c>
      <c r="C7242" s="2">
        <f>_xlfn.XLOOKUP(A7242,'[1]Tissue Data'!$A:$A,'[1]Tissue Data'!$D:$D)</f>
        <v>44393</v>
      </c>
      <c r="D7242" s="2" t="str">
        <f>_xlfn.XLOOKUP(A7242,'[1]Tissue Data'!$A:$A,'[1]Tissue Data'!$F:$F)</f>
        <v>Pumpkinseed</v>
      </c>
      <c r="E7242" t="str">
        <f>_xlfn.XLOOKUP(A7242,'[1]Tissue Data'!$A:$A,'[1]Tissue Data'!$H:$H)</f>
        <v>Lepomis</v>
      </c>
      <c r="F7242" t="str">
        <f>_xlfn.XLOOKUP(A7242,'[1]Tissue Data'!$A:$A,'[1]Tissue Data'!$I:$I)</f>
        <v>gibbosus</v>
      </c>
      <c r="G7242" t="str">
        <f>_xlfn.XLOOKUP(A7242,'[1]Tissue Data'!$A:$A,'[1]Tissue Data'!J:J)</f>
        <v>U</v>
      </c>
      <c r="H7242" t="str">
        <f>_xlfn.XLOOKUP(A7242,'[1]Tissue Data'!$A:$A,'[1]Tissue Data'!K:K)</f>
        <v>Whole Body</v>
      </c>
      <c r="I7242">
        <f>_xlfn.XLOOKUP(A7242,'[1]Tissue Data'!$A:$A,'[1]Tissue Data'!L:L)</f>
        <v>9</v>
      </c>
      <c r="J7242">
        <f>_xlfn.XLOOKUP(A7242,'[1]Tissue Data'!$A:$A,'[1]Tissue Data'!M:M)</f>
        <v>13.2</v>
      </c>
      <c r="K7242" t="s">
        <v>52</v>
      </c>
      <c r="L7242" t="str">
        <f>_xlfn.XLOOKUP(K7242,[2]analyte_order!$B:$B,[2]analyte_order!$C:$C)</f>
        <v>53826-13-4</v>
      </c>
      <c r="M7242">
        <f>_xlfn.XLOOKUP(L7242,[2]analyte_order!$C:$C,[2]analyte_order!$E:$E)</f>
        <v>43</v>
      </c>
      <c r="N7242">
        <v>0.4345</v>
      </c>
    </row>
    <row r="7243" spans="1:14">
      <c r="A7243" t="s">
        <v>305</v>
      </c>
      <c r="B7243" t="str">
        <f>_xlfn.XLOOKUP(A7243,'[1]Tissue Data'!$A:$A,'[1]Tissue Data'!$C:$C)</f>
        <v>Down</v>
      </c>
      <c r="C7243" s="2">
        <f>_xlfn.XLOOKUP(A7243,'[1]Tissue Data'!$A:$A,'[1]Tissue Data'!$D:$D)</f>
        <v>44393</v>
      </c>
      <c r="D7243" s="2" t="str">
        <f>_xlfn.XLOOKUP(A7243,'[1]Tissue Data'!$A:$A,'[1]Tissue Data'!$F:$F)</f>
        <v>Pumpkinseed</v>
      </c>
      <c r="E7243" t="str">
        <f>_xlfn.XLOOKUP(A7243,'[1]Tissue Data'!$A:$A,'[1]Tissue Data'!$H:$H)</f>
        <v>Lepomis</v>
      </c>
      <c r="F7243" t="str">
        <f>_xlfn.XLOOKUP(A7243,'[1]Tissue Data'!$A:$A,'[1]Tissue Data'!$I:$I)</f>
        <v>gibbosus</v>
      </c>
      <c r="G7243" t="str">
        <f>_xlfn.XLOOKUP(A7243,'[1]Tissue Data'!$A:$A,'[1]Tissue Data'!J:J)</f>
        <v>U</v>
      </c>
      <c r="H7243" t="str">
        <f>_xlfn.XLOOKUP(A7243,'[1]Tissue Data'!$A:$A,'[1]Tissue Data'!K:K)</f>
        <v>Whole Body</v>
      </c>
      <c r="I7243">
        <f>_xlfn.XLOOKUP(A7243,'[1]Tissue Data'!$A:$A,'[1]Tissue Data'!L:L)</f>
        <v>9</v>
      </c>
      <c r="J7243">
        <f>_xlfn.XLOOKUP(A7243,'[1]Tissue Data'!$A:$A,'[1]Tissue Data'!M:M)</f>
        <v>13.2</v>
      </c>
      <c r="K7243" t="s">
        <v>53</v>
      </c>
      <c r="L7243" t="str">
        <f>_xlfn.XLOOKUP(K7243,[2]analyte_order!$B:$B,[2]analyte_order!$C:$C)</f>
        <v>161094-75-3</v>
      </c>
      <c r="M7243">
        <f>_xlfn.XLOOKUP(L7243,[2]analyte_order!$C:$C,[2]analyte_order!$E:$E)</f>
        <v>44</v>
      </c>
      <c r="N7243">
        <v>0.4345</v>
      </c>
    </row>
    <row r="7244" spans="1:14">
      <c r="A7244" t="s">
        <v>305</v>
      </c>
      <c r="B7244" t="str">
        <f>_xlfn.XLOOKUP(A7244,'[1]Tissue Data'!$A:$A,'[1]Tissue Data'!$C:$C)</f>
        <v>Down</v>
      </c>
      <c r="C7244" s="2">
        <f>_xlfn.XLOOKUP(A7244,'[1]Tissue Data'!$A:$A,'[1]Tissue Data'!$D:$D)</f>
        <v>44393</v>
      </c>
      <c r="D7244" s="2" t="str">
        <f>_xlfn.XLOOKUP(A7244,'[1]Tissue Data'!$A:$A,'[1]Tissue Data'!$F:$F)</f>
        <v>Pumpkinseed</v>
      </c>
      <c r="E7244" t="str">
        <f>_xlfn.XLOOKUP(A7244,'[1]Tissue Data'!$A:$A,'[1]Tissue Data'!$H:$H)</f>
        <v>Lepomis</v>
      </c>
      <c r="F7244" t="str">
        <f>_xlfn.XLOOKUP(A7244,'[1]Tissue Data'!$A:$A,'[1]Tissue Data'!$I:$I)</f>
        <v>gibbosus</v>
      </c>
      <c r="G7244" t="str">
        <f>_xlfn.XLOOKUP(A7244,'[1]Tissue Data'!$A:$A,'[1]Tissue Data'!J:J)</f>
        <v>U</v>
      </c>
      <c r="H7244" t="str">
        <f>_xlfn.XLOOKUP(A7244,'[1]Tissue Data'!$A:$A,'[1]Tissue Data'!K:K)</f>
        <v>Whole Body</v>
      </c>
      <c r="I7244">
        <f>_xlfn.XLOOKUP(A7244,'[1]Tissue Data'!$A:$A,'[1]Tissue Data'!L:L)</f>
        <v>9</v>
      </c>
      <c r="J7244">
        <f>_xlfn.XLOOKUP(A7244,'[1]Tissue Data'!$A:$A,'[1]Tissue Data'!M:M)</f>
        <v>13.2</v>
      </c>
      <c r="K7244" t="s">
        <v>54</v>
      </c>
      <c r="L7244" t="str">
        <f>_xlfn.XLOOKUP(K7244,[2]analyte_order!$B:$B,[2]analyte_order!$C:$C)</f>
        <v>70887-84-2</v>
      </c>
      <c r="M7244">
        <f>_xlfn.XLOOKUP(L7244,[2]analyte_order!$C:$C,[2]analyte_order!$E:$E)</f>
        <v>45</v>
      </c>
      <c r="N7244">
        <v>0.4345</v>
      </c>
    </row>
    <row r="7245" spans="1:14">
      <c r="A7245" t="s">
        <v>305</v>
      </c>
      <c r="B7245" t="str">
        <f>_xlfn.XLOOKUP(A7245,'[1]Tissue Data'!$A:$A,'[1]Tissue Data'!$C:$C)</f>
        <v>Down</v>
      </c>
      <c r="C7245" s="2">
        <f>_xlfn.XLOOKUP(A7245,'[1]Tissue Data'!$A:$A,'[1]Tissue Data'!$D:$D)</f>
        <v>44393</v>
      </c>
      <c r="D7245" s="2" t="str">
        <f>_xlfn.XLOOKUP(A7245,'[1]Tissue Data'!$A:$A,'[1]Tissue Data'!$F:$F)</f>
        <v>Pumpkinseed</v>
      </c>
      <c r="E7245" t="str">
        <f>_xlfn.XLOOKUP(A7245,'[1]Tissue Data'!$A:$A,'[1]Tissue Data'!$H:$H)</f>
        <v>Lepomis</v>
      </c>
      <c r="F7245" t="str">
        <f>_xlfn.XLOOKUP(A7245,'[1]Tissue Data'!$A:$A,'[1]Tissue Data'!$I:$I)</f>
        <v>gibbosus</v>
      </c>
      <c r="G7245" t="str">
        <f>_xlfn.XLOOKUP(A7245,'[1]Tissue Data'!$A:$A,'[1]Tissue Data'!J:J)</f>
        <v>U</v>
      </c>
      <c r="H7245" t="str">
        <f>_xlfn.XLOOKUP(A7245,'[1]Tissue Data'!$A:$A,'[1]Tissue Data'!K:K)</f>
        <v>Whole Body</v>
      </c>
      <c r="I7245">
        <f>_xlfn.XLOOKUP(A7245,'[1]Tissue Data'!$A:$A,'[1]Tissue Data'!L:L)</f>
        <v>9</v>
      </c>
      <c r="J7245">
        <f>_xlfn.XLOOKUP(A7245,'[1]Tissue Data'!$A:$A,'[1]Tissue Data'!M:M)</f>
        <v>13.2</v>
      </c>
      <c r="K7245" t="s">
        <v>55</v>
      </c>
      <c r="L7245" t="str">
        <f>_xlfn.XLOOKUP(K7245,[2]analyte_order!$B:$B,[2]analyte_order!$C:$C)</f>
        <v>919005-14-4</v>
      </c>
      <c r="M7245">
        <f>_xlfn.XLOOKUP(L7245,[2]analyte_order!$C:$C,[2]analyte_order!$E:$E)</f>
        <v>35</v>
      </c>
      <c r="N7245">
        <v>0.2175</v>
      </c>
    </row>
    <row r="7246" spans="1:14">
      <c r="A7246" t="s">
        <v>305</v>
      </c>
      <c r="B7246" t="str">
        <f>_xlfn.XLOOKUP(A7246,'[1]Tissue Data'!$A:$A,'[1]Tissue Data'!$C:$C)</f>
        <v>Down</v>
      </c>
      <c r="C7246" s="2">
        <f>_xlfn.XLOOKUP(A7246,'[1]Tissue Data'!$A:$A,'[1]Tissue Data'!$D:$D)</f>
        <v>44393</v>
      </c>
      <c r="D7246" s="2" t="str">
        <f>_xlfn.XLOOKUP(A7246,'[1]Tissue Data'!$A:$A,'[1]Tissue Data'!$F:$F)</f>
        <v>Pumpkinseed</v>
      </c>
      <c r="E7246" t="str">
        <f>_xlfn.XLOOKUP(A7246,'[1]Tissue Data'!$A:$A,'[1]Tissue Data'!$H:$H)</f>
        <v>Lepomis</v>
      </c>
      <c r="F7246" t="str">
        <f>_xlfn.XLOOKUP(A7246,'[1]Tissue Data'!$A:$A,'[1]Tissue Data'!$I:$I)</f>
        <v>gibbosus</v>
      </c>
      <c r="G7246" t="str">
        <f>_xlfn.XLOOKUP(A7246,'[1]Tissue Data'!$A:$A,'[1]Tissue Data'!J:J)</f>
        <v>U</v>
      </c>
      <c r="H7246" t="str">
        <f>_xlfn.XLOOKUP(A7246,'[1]Tissue Data'!$A:$A,'[1]Tissue Data'!K:K)</f>
        <v>Whole Body</v>
      </c>
      <c r="I7246">
        <f>_xlfn.XLOOKUP(A7246,'[1]Tissue Data'!$A:$A,'[1]Tissue Data'!L:L)</f>
        <v>9</v>
      </c>
      <c r="J7246">
        <f>_xlfn.XLOOKUP(A7246,'[1]Tissue Data'!$A:$A,'[1]Tissue Data'!M:M)</f>
        <v>13.2</v>
      </c>
      <c r="K7246" t="s">
        <v>56</v>
      </c>
      <c r="L7246" t="str">
        <f>_xlfn.XLOOKUP(K7246,[2]analyte_order!$B:$B,[2]analyte_order!$C:$C)</f>
        <v>756426-58-1</v>
      </c>
      <c r="M7246">
        <f>_xlfn.XLOOKUP(L7246,[2]analyte_order!$C:$C,[2]analyte_order!$E:$E)</f>
        <v>36</v>
      </c>
      <c r="N7246">
        <v>0.4345</v>
      </c>
    </row>
    <row r="7247" spans="1:14">
      <c r="A7247" t="s">
        <v>305</v>
      </c>
      <c r="B7247" t="str">
        <f>_xlfn.XLOOKUP(A7247,'[1]Tissue Data'!$A:$A,'[1]Tissue Data'!$C:$C)</f>
        <v>Down</v>
      </c>
      <c r="C7247" s="2">
        <f>_xlfn.XLOOKUP(A7247,'[1]Tissue Data'!$A:$A,'[1]Tissue Data'!$D:$D)</f>
        <v>44393</v>
      </c>
      <c r="D7247" s="2" t="str">
        <f>_xlfn.XLOOKUP(A7247,'[1]Tissue Data'!$A:$A,'[1]Tissue Data'!$F:$F)</f>
        <v>Pumpkinseed</v>
      </c>
      <c r="E7247" t="str">
        <f>_xlfn.XLOOKUP(A7247,'[1]Tissue Data'!$A:$A,'[1]Tissue Data'!$H:$H)</f>
        <v>Lepomis</v>
      </c>
      <c r="F7247" t="str">
        <f>_xlfn.XLOOKUP(A7247,'[1]Tissue Data'!$A:$A,'[1]Tissue Data'!$I:$I)</f>
        <v>gibbosus</v>
      </c>
      <c r="G7247" t="str">
        <f>_xlfn.XLOOKUP(A7247,'[1]Tissue Data'!$A:$A,'[1]Tissue Data'!J:J)</f>
        <v>U</v>
      </c>
      <c r="H7247" t="str">
        <f>_xlfn.XLOOKUP(A7247,'[1]Tissue Data'!$A:$A,'[1]Tissue Data'!K:K)</f>
        <v>Whole Body</v>
      </c>
      <c r="I7247">
        <f>_xlfn.XLOOKUP(A7247,'[1]Tissue Data'!$A:$A,'[1]Tissue Data'!L:L)</f>
        <v>9</v>
      </c>
      <c r="J7247">
        <f>_xlfn.XLOOKUP(A7247,'[1]Tissue Data'!$A:$A,'[1]Tissue Data'!M:M)</f>
        <v>13.2</v>
      </c>
      <c r="K7247" t="s">
        <v>57</v>
      </c>
      <c r="L7247" t="str">
        <f>_xlfn.XLOOKUP(K7247,[2]analyte_order!$B:$B,[2]analyte_order!$C:$C)</f>
        <v>763051-92-9</v>
      </c>
      <c r="M7247">
        <f>_xlfn.XLOOKUP(L7247,[2]analyte_order!$C:$C,[2]analyte_order!$E:$E)</f>
        <v>37</v>
      </c>
      <c r="N7247">
        <v>0.4345</v>
      </c>
    </row>
    <row r="7248" spans="1:14">
      <c r="A7248" t="s">
        <v>305</v>
      </c>
      <c r="B7248" t="str">
        <f>_xlfn.XLOOKUP(A7248,'[1]Tissue Data'!$A:$A,'[1]Tissue Data'!$C:$C)</f>
        <v>Down</v>
      </c>
      <c r="C7248" s="2">
        <f>_xlfn.XLOOKUP(A7248,'[1]Tissue Data'!$A:$A,'[1]Tissue Data'!$D:$D)</f>
        <v>44393</v>
      </c>
      <c r="D7248" s="2" t="str">
        <f>_xlfn.XLOOKUP(A7248,'[1]Tissue Data'!$A:$A,'[1]Tissue Data'!$F:$F)</f>
        <v>Pumpkinseed</v>
      </c>
      <c r="E7248" t="str">
        <f>_xlfn.XLOOKUP(A7248,'[1]Tissue Data'!$A:$A,'[1]Tissue Data'!$H:$H)</f>
        <v>Lepomis</v>
      </c>
      <c r="F7248" t="str">
        <f>_xlfn.XLOOKUP(A7248,'[1]Tissue Data'!$A:$A,'[1]Tissue Data'!$I:$I)</f>
        <v>gibbosus</v>
      </c>
      <c r="G7248" t="str">
        <f>_xlfn.XLOOKUP(A7248,'[1]Tissue Data'!$A:$A,'[1]Tissue Data'!J:J)</f>
        <v>U</v>
      </c>
      <c r="H7248" t="str">
        <f>_xlfn.XLOOKUP(A7248,'[1]Tissue Data'!$A:$A,'[1]Tissue Data'!K:K)</f>
        <v>Whole Body</v>
      </c>
      <c r="I7248">
        <f>_xlfn.XLOOKUP(A7248,'[1]Tissue Data'!$A:$A,'[1]Tissue Data'!L:L)</f>
        <v>9</v>
      </c>
      <c r="J7248">
        <f>_xlfn.XLOOKUP(A7248,'[1]Tissue Data'!$A:$A,'[1]Tissue Data'!M:M)</f>
        <v>13.2</v>
      </c>
      <c r="K7248" t="s">
        <v>58</v>
      </c>
      <c r="L7248" t="str">
        <f>_xlfn.XLOOKUP(K7248,[2]analyte_order!$B:$B,[2]analyte_order!$C:$C)</f>
        <v>13252-13-6</v>
      </c>
      <c r="M7248">
        <f>_xlfn.XLOOKUP(L7248,[2]analyte_order!$C:$C,[2]analyte_order!$E:$E)</f>
        <v>34</v>
      </c>
      <c r="N7248">
        <v>0.312</v>
      </c>
    </row>
    <row r="7249" spans="1:14">
      <c r="A7249" t="s">
        <v>305</v>
      </c>
      <c r="B7249" t="str">
        <f>_xlfn.XLOOKUP(A7249,'[1]Tissue Data'!$A:$A,'[1]Tissue Data'!$C:$C)</f>
        <v>Down</v>
      </c>
      <c r="C7249" s="2">
        <f>_xlfn.XLOOKUP(A7249,'[1]Tissue Data'!$A:$A,'[1]Tissue Data'!$D:$D)</f>
        <v>44393</v>
      </c>
      <c r="D7249" s="2" t="str">
        <f>_xlfn.XLOOKUP(A7249,'[1]Tissue Data'!$A:$A,'[1]Tissue Data'!$F:$F)</f>
        <v>Pumpkinseed</v>
      </c>
      <c r="E7249" t="str">
        <f>_xlfn.XLOOKUP(A7249,'[1]Tissue Data'!$A:$A,'[1]Tissue Data'!$H:$H)</f>
        <v>Lepomis</v>
      </c>
      <c r="F7249" t="str">
        <f>_xlfn.XLOOKUP(A7249,'[1]Tissue Data'!$A:$A,'[1]Tissue Data'!$I:$I)</f>
        <v>gibbosus</v>
      </c>
      <c r="G7249" t="str">
        <f>_xlfn.XLOOKUP(A7249,'[1]Tissue Data'!$A:$A,'[1]Tissue Data'!J:J)</f>
        <v>U</v>
      </c>
      <c r="H7249" t="str">
        <f>_xlfn.XLOOKUP(A7249,'[1]Tissue Data'!$A:$A,'[1]Tissue Data'!K:K)</f>
        <v>Whole Body</v>
      </c>
      <c r="I7249">
        <f>_xlfn.XLOOKUP(A7249,'[1]Tissue Data'!$A:$A,'[1]Tissue Data'!L:L)</f>
        <v>9</v>
      </c>
      <c r="J7249">
        <f>_xlfn.XLOOKUP(A7249,'[1]Tissue Data'!$A:$A,'[1]Tissue Data'!M:M)</f>
        <v>13.2</v>
      </c>
      <c r="K7249" t="s">
        <v>59</v>
      </c>
      <c r="L7249" t="str">
        <f>_xlfn.XLOOKUP(K7249,[2]analyte_order!$B:$B,[2]analyte_order!$C:$C)</f>
        <v>57677-95-9</v>
      </c>
      <c r="M7249">
        <f>_xlfn.XLOOKUP(L7249,[2]analyte_order!$C:$C,[2]analyte_order!$E:$E)</f>
        <v>46</v>
      </c>
      <c r="N7249">
        <v>0.4345</v>
      </c>
    </row>
    <row r="7250" spans="1:14">
      <c r="A7250" t="s">
        <v>305</v>
      </c>
      <c r="B7250" t="str">
        <f>_xlfn.XLOOKUP(A7250,'[1]Tissue Data'!$A:$A,'[1]Tissue Data'!$C:$C)</f>
        <v>Down</v>
      </c>
      <c r="C7250" s="2">
        <f>_xlfn.XLOOKUP(A7250,'[1]Tissue Data'!$A:$A,'[1]Tissue Data'!$D:$D)</f>
        <v>44393</v>
      </c>
      <c r="D7250" s="2" t="str">
        <f>_xlfn.XLOOKUP(A7250,'[1]Tissue Data'!$A:$A,'[1]Tissue Data'!$F:$F)</f>
        <v>Pumpkinseed</v>
      </c>
      <c r="E7250" t="str">
        <f>_xlfn.XLOOKUP(A7250,'[1]Tissue Data'!$A:$A,'[1]Tissue Data'!$H:$H)</f>
        <v>Lepomis</v>
      </c>
      <c r="F7250" t="str">
        <f>_xlfn.XLOOKUP(A7250,'[1]Tissue Data'!$A:$A,'[1]Tissue Data'!$I:$I)</f>
        <v>gibbosus</v>
      </c>
      <c r="G7250" t="str">
        <f>_xlfn.XLOOKUP(A7250,'[1]Tissue Data'!$A:$A,'[1]Tissue Data'!J:J)</f>
        <v>U</v>
      </c>
      <c r="H7250" t="str">
        <f>_xlfn.XLOOKUP(A7250,'[1]Tissue Data'!$A:$A,'[1]Tissue Data'!K:K)</f>
        <v>Whole Body</v>
      </c>
      <c r="I7250">
        <f>_xlfn.XLOOKUP(A7250,'[1]Tissue Data'!$A:$A,'[1]Tissue Data'!L:L)</f>
        <v>9</v>
      </c>
      <c r="J7250">
        <f>_xlfn.XLOOKUP(A7250,'[1]Tissue Data'!$A:$A,'[1]Tissue Data'!M:M)</f>
        <v>13.2</v>
      </c>
      <c r="K7250" t="s">
        <v>60</v>
      </c>
      <c r="L7250" t="str">
        <f>_xlfn.XLOOKUP(K7250,[2]analyte_order!$B:$B,[2]analyte_order!$C:$C)</f>
        <v>678-41-1</v>
      </c>
      <c r="M7250">
        <f>_xlfn.XLOOKUP(L7250,[2]analyte_order!$C:$C,[2]analyte_order!$E:$E)</f>
        <v>56</v>
      </c>
      <c r="N7250">
        <v>0.4345</v>
      </c>
    </row>
    <row r="7251" spans="1:14">
      <c r="A7251" t="s">
        <v>305</v>
      </c>
      <c r="B7251" t="str">
        <f>_xlfn.XLOOKUP(A7251,'[1]Tissue Data'!$A:$A,'[1]Tissue Data'!$C:$C)</f>
        <v>Down</v>
      </c>
      <c r="C7251" s="2">
        <f>_xlfn.XLOOKUP(A7251,'[1]Tissue Data'!$A:$A,'[1]Tissue Data'!$D:$D)</f>
        <v>44393</v>
      </c>
      <c r="D7251" s="2" t="str">
        <f>_xlfn.XLOOKUP(A7251,'[1]Tissue Data'!$A:$A,'[1]Tissue Data'!$F:$F)</f>
        <v>Pumpkinseed</v>
      </c>
      <c r="E7251" t="str">
        <f>_xlfn.XLOOKUP(A7251,'[1]Tissue Data'!$A:$A,'[1]Tissue Data'!$H:$H)</f>
        <v>Lepomis</v>
      </c>
      <c r="F7251" t="str">
        <f>_xlfn.XLOOKUP(A7251,'[1]Tissue Data'!$A:$A,'[1]Tissue Data'!$I:$I)</f>
        <v>gibbosus</v>
      </c>
      <c r="G7251" t="str">
        <f>_xlfn.XLOOKUP(A7251,'[1]Tissue Data'!$A:$A,'[1]Tissue Data'!J:J)</f>
        <v>U</v>
      </c>
      <c r="H7251" t="str">
        <f>_xlfn.XLOOKUP(A7251,'[1]Tissue Data'!$A:$A,'[1]Tissue Data'!K:K)</f>
        <v>Whole Body</v>
      </c>
      <c r="I7251">
        <f>_xlfn.XLOOKUP(A7251,'[1]Tissue Data'!$A:$A,'[1]Tissue Data'!L:L)</f>
        <v>9</v>
      </c>
      <c r="J7251">
        <f>_xlfn.XLOOKUP(A7251,'[1]Tissue Data'!$A:$A,'[1]Tissue Data'!M:M)</f>
        <v>13.2</v>
      </c>
      <c r="K7251" t="s">
        <v>61</v>
      </c>
      <c r="L7251" t="str">
        <f>_xlfn.XLOOKUP(K7251,[2]analyte_order!$B:$B,[2]analyte_order!$C:$C)</f>
        <v>2965-52-8</v>
      </c>
      <c r="M7251">
        <f>_xlfn.XLOOKUP(L7251,[2]analyte_order!$C:$C,[2]analyte_order!$E:$E)</f>
        <v>57</v>
      </c>
      <c r="N7251">
        <v>0.4345</v>
      </c>
    </row>
    <row r="7252" spans="1:14">
      <c r="A7252" t="s">
        <v>306</v>
      </c>
      <c r="B7252" t="str">
        <f>_xlfn.XLOOKUP(A7252,'[1]Tissue Data'!$A:$A,'[1]Tissue Data'!$C:$C)</f>
        <v>Down</v>
      </c>
      <c r="C7252" s="2">
        <f>_xlfn.XLOOKUP(A7252,'[1]Tissue Data'!$A:$A,'[1]Tissue Data'!$D:$D)</f>
        <v>44393</v>
      </c>
      <c r="D7252" s="2" t="str">
        <f>_xlfn.XLOOKUP(A7252,'[1]Tissue Data'!$A:$A,'[1]Tissue Data'!$F:$F)</f>
        <v>Pumpkinseed</v>
      </c>
      <c r="E7252" t="str">
        <f>_xlfn.XLOOKUP(A7252,'[1]Tissue Data'!$A:$A,'[1]Tissue Data'!$H:$H)</f>
        <v>Lepomis</v>
      </c>
      <c r="F7252" t="str">
        <f>_xlfn.XLOOKUP(A7252,'[1]Tissue Data'!$A:$A,'[1]Tissue Data'!$I:$I)</f>
        <v>gibbosus</v>
      </c>
      <c r="G7252" t="str">
        <f>_xlfn.XLOOKUP(A7252,'[1]Tissue Data'!$A:$A,'[1]Tissue Data'!J:J)</f>
        <v>U</v>
      </c>
      <c r="H7252" t="str">
        <f>_xlfn.XLOOKUP(A7252,'[1]Tissue Data'!$A:$A,'[1]Tissue Data'!K:K)</f>
        <v>Whole Body</v>
      </c>
      <c r="I7252">
        <f>_xlfn.XLOOKUP(A7252,'[1]Tissue Data'!$A:$A,'[1]Tissue Data'!L:L)</f>
        <v>9.5</v>
      </c>
      <c r="J7252">
        <f>_xlfn.XLOOKUP(A7252,'[1]Tissue Data'!$A:$A,'[1]Tissue Data'!M:M)</f>
        <v>13.51</v>
      </c>
      <c r="K7252" t="s">
        <v>12</v>
      </c>
      <c r="L7252" t="str">
        <f>_xlfn.XLOOKUP(K7252,[2]analyte_order!$B:$B,[2]analyte_order!$C:$C)</f>
        <v>375-22-4</v>
      </c>
      <c r="M7252">
        <f>_xlfn.XLOOKUP(L7252,[2]analyte_order!$C:$C,[2]analyte_order!$E:$E)</f>
        <v>1</v>
      </c>
      <c r="N7252">
        <v>0.23350000000000001</v>
      </c>
    </row>
    <row r="7253" spans="1:14">
      <c r="A7253" t="s">
        <v>306</v>
      </c>
      <c r="B7253" t="str">
        <f>_xlfn.XLOOKUP(A7253,'[1]Tissue Data'!$A:$A,'[1]Tissue Data'!$C:$C)</f>
        <v>Down</v>
      </c>
      <c r="C7253" s="2">
        <f>_xlfn.XLOOKUP(A7253,'[1]Tissue Data'!$A:$A,'[1]Tissue Data'!$D:$D)</f>
        <v>44393</v>
      </c>
      <c r="D7253" s="2" t="str">
        <f>_xlfn.XLOOKUP(A7253,'[1]Tissue Data'!$A:$A,'[1]Tissue Data'!$F:$F)</f>
        <v>Pumpkinseed</v>
      </c>
      <c r="E7253" t="str">
        <f>_xlfn.XLOOKUP(A7253,'[1]Tissue Data'!$A:$A,'[1]Tissue Data'!$H:$H)</f>
        <v>Lepomis</v>
      </c>
      <c r="F7253" t="str">
        <f>_xlfn.XLOOKUP(A7253,'[1]Tissue Data'!$A:$A,'[1]Tissue Data'!$I:$I)</f>
        <v>gibbosus</v>
      </c>
      <c r="G7253" t="str">
        <f>_xlfn.XLOOKUP(A7253,'[1]Tissue Data'!$A:$A,'[1]Tissue Data'!J:J)</f>
        <v>U</v>
      </c>
      <c r="H7253" t="str">
        <f>_xlfn.XLOOKUP(A7253,'[1]Tissue Data'!$A:$A,'[1]Tissue Data'!K:K)</f>
        <v>Whole Body</v>
      </c>
      <c r="I7253">
        <f>_xlfn.XLOOKUP(A7253,'[1]Tissue Data'!$A:$A,'[1]Tissue Data'!L:L)</f>
        <v>9.5</v>
      </c>
      <c r="J7253">
        <f>_xlfn.XLOOKUP(A7253,'[1]Tissue Data'!$A:$A,'[1]Tissue Data'!M:M)</f>
        <v>13.51</v>
      </c>
      <c r="K7253" t="s">
        <v>13</v>
      </c>
      <c r="L7253" t="str">
        <f>_xlfn.XLOOKUP(K7253,[2]analyte_order!$B:$B,[2]analyte_order!$C:$C)</f>
        <v>2706-90-3</v>
      </c>
      <c r="M7253">
        <f>_xlfn.XLOOKUP(L7253,[2]analyte_order!$C:$C,[2]analyte_order!$E:$E)</f>
        <v>2</v>
      </c>
      <c r="N7253">
        <v>0.23350000000000001</v>
      </c>
    </row>
    <row r="7254" spans="1:14">
      <c r="A7254" t="s">
        <v>306</v>
      </c>
      <c r="B7254" t="str">
        <f>_xlfn.XLOOKUP(A7254,'[1]Tissue Data'!$A:$A,'[1]Tissue Data'!$C:$C)</f>
        <v>Down</v>
      </c>
      <c r="C7254" s="2">
        <f>_xlfn.XLOOKUP(A7254,'[1]Tissue Data'!$A:$A,'[1]Tissue Data'!$D:$D)</f>
        <v>44393</v>
      </c>
      <c r="D7254" s="2" t="str">
        <f>_xlfn.XLOOKUP(A7254,'[1]Tissue Data'!$A:$A,'[1]Tissue Data'!$F:$F)</f>
        <v>Pumpkinseed</v>
      </c>
      <c r="E7254" t="str">
        <f>_xlfn.XLOOKUP(A7254,'[1]Tissue Data'!$A:$A,'[1]Tissue Data'!$H:$H)</f>
        <v>Lepomis</v>
      </c>
      <c r="F7254" t="str">
        <f>_xlfn.XLOOKUP(A7254,'[1]Tissue Data'!$A:$A,'[1]Tissue Data'!$I:$I)</f>
        <v>gibbosus</v>
      </c>
      <c r="G7254" t="str">
        <f>_xlfn.XLOOKUP(A7254,'[1]Tissue Data'!$A:$A,'[1]Tissue Data'!J:J)</f>
        <v>U</v>
      </c>
      <c r="H7254" t="str">
        <f>_xlfn.XLOOKUP(A7254,'[1]Tissue Data'!$A:$A,'[1]Tissue Data'!K:K)</f>
        <v>Whole Body</v>
      </c>
      <c r="I7254">
        <f>_xlfn.XLOOKUP(A7254,'[1]Tissue Data'!$A:$A,'[1]Tissue Data'!L:L)</f>
        <v>9.5</v>
      </c>
      <c r="J7254">
        <f>_xlfn.XLOOKUP(A7254,'[1]Tissue Data'!$A:$A,'[1]Tissue Data'!M:M)</f>
        <v>13.51</v>
      </c>
      <c r="K7254" t="s">
        <v>14</v>
      </c>
      <c r="L7254" t="str">
        <f>_xlfn.XLOOKUP(K7254,[2]analyte_order!$B:$B,[2]analyte_order!$C:$C)</f>
        <v>307-24-4</v>
      </c>
      <c r="M7254">
        <f>_xlfn.XLOOKUP(L7254,[2]analyte_order!$C:$C,[2]analyte_order!$E:$E)</f>
        <v>3</v>
      </c>
      <c r="N7254">
        <v>0.126</v>
      </c>
    </row>
    <row r="7255" spans="1:14">
      <c r="A7255" t="s">
        <v>306</v>
      </c>
      <c r="B7255" t="str">
        <f>_xlfn.XLOOKUP(A7255,'[1]Tissue Data'!$A:$A,'[1]Tissue Data'!$C:$C)</f>
        <v>Down</v>
      </c>
      <c r="C7255" s="2">
        <f>_xlfn.XLOOKUP(A7255,'[1]Tissue Data'!$A:$A,'[1]Tissue Data'!$D:$D)</f>
        <v>44393</v>
      </c>
      <c r="D7255" s="2" t="str">
        <f>_xlfn.XLOOKUP(A7255,'[1]Tissue Data'!$A:$A,'[1]Tissue Data'!$F:$F)</f>
        <v>Pumpkinseed</v>
      </c>
      <c r="E7255" t="str">
        <f>_xlfn.XLOOKUP(A7255,'[1]Tissue Data'!$A:$A,'[1]Tissue Data'!$H:$H)</f>
        <v>Lepomis</v>
      </c>
      <c r="F7255" t="str">
        <f>_xlfn.XLOOKUP(A7255,'[1]Tissue Data'!$A:$A,'[1]Tissue Data'!$I:$I)</f>
        <v>gibbosus</v>
      </c>
      <c r="G7255" t="str">
        <f>_xlfn.XLOOKUP(A7255,'[1]Tissue Data'!$A:$A,'[1]Tissue Data'!J:J)</f>
        <v>U</v>
      </c>
      <c r="H7255" t="str">
        <f>_xlfn.XLOOKUP(A7255,'[1]Tissue Data'!$A:$A,'[1]Tissue Data'!K:K)</f>
        <v>Whole Body</v>
      </c>
      <c r="I7255">
        <f>_xlfn.XLOOKUP(A7255,'[1]Tissue Data'!$A:$A,'[1]Tissue Data'!L:L)</f>
        <v>9.5</v>
      </c>
      <c r="J7255">
        <f>_xlfn.XLOOKUP(A7255,'[1]Tissue Data'!$A:$A,'[1]Tissue Data'!M:M)</f>
        <v>13.51</v>
      </c>
      <c r="K7255" t="s">
        <v>15</v>
      </c>
      <c r="L7255" t="str">
        <f>_xlfn.XLOOKUP(K7255,[2]analyte_order!$B:$B,[2]analyte_order!$C:$C)</f>
        <v>375-85-9</v>
      </c>
      <c r="M7255">
        <f>_xlfn.XLOOKUP(L7255,[2]analyte_order!$C:$C,[2]analyte_order!$E:$E)</f>
        <v>4</v>
      </c>
      <c r="N7255">
        <v>0.23350000000000001</v>
      </c>
    </row>
    <row r="7256" spans="1:14">
      <c r="A7256" t="s">
        <v>306</v>
      </c>
      <c r="B7256" t="str">
        <f>_xlfn.XLOOKUP(A7256,'[1]Tissue Data'!$A:$A,'[1]Tissue Data'!$C:$C)</f>
        <v>Down</v>
      </c>
      <c r="C7256" s="2">
        <f>_xlfn.XLOOKUP(A7256,'[1]Tissue Data'!$A:$A,'[1]Tissue Data'!$D:$D)</f>
        <v>44393</v>
      </c>
      <c r="D7256" s="2" t="str">
        <f>_xlfn.XLOOKUP(A7256,'[1]Tissue Data'!$A:$A,'[1]Tissue Data'!$F:$F)</f>
        <v>Pumpkinseed</v>
      </c>
      <c r="E7256" t="str">
        <f>_xlfn.XLOOKUP(A7256,'[1]Tissue Data'!$A:$A,'[1]Tissue Data'!$H:$H)</f>
        <v>Lepomis</v>
      </c>
      <c r="F7256" t="str">
        <f>_xlfn.XLOOKUP(A7256,'[1]Tissue Data'!$A:$A,'[1]Tissue Data'!$I:$I)</f>
        <v>gibbosus</v>
      </c>
      <c r="G7256" t="str">
        <f>_xlfn.XLOOKUP(A7256,'[1]Tissue Data'!$A:$A,'[1]Tissue Data'!J:J)</f>
        <v>U</v>
      </c>
      <c r="H7256" t="str">
        <f>_xlfn.XLOOKUP(A7256,'[1]Tissue Data'!$A:$A,'[1]Tissue Data'!K:K)</f>
        <v>Whole Body</v>
      </c>
      <c r="I7256">
        <f>_xlfn.XLOOKUP(A7256,'[1]Tissue Data'!$A:$A,'[1]Tissue Data'!L:L)</f>
        <v>9.5</v>
      </c>
      <c r="J7256">
        <f>_xlfn.XLOOKUP(A7256,'[1]Tissue Data'!$A:$A,'[1]Tissue Data'!M:M)</f>
        <v>13.51</v>
      </c>
      <c r="K7256" t="s">
        <v>16</v>
      </c>
      <c r="L7256" t="str">
        <f>_xlfn.XLOOKUP(K7256,[2]analyte_order!$B:$B,[2]analyte_order!$C:$C)</f>
        <v>335-67-1</v>
      </c>
      <c r="M7256">
        <f>_xlfn.XLOOKUP(L7256,[2]analyte_order!$C:$C,[2]analyte_order!$E:$E)</f>
        <v>5</v>
      </c>
      <c r="N7256">
        <v>0.89400000000000002</v>
      </c>
    </row>
    <row r="7257" spans="1:14">
      <c r="A7257" t="s">
        <v>306</v>
      </c>
      <c r="B7257" t="str">
        <f>_xlfn.XLOOKUP(A7257,'[1]Tissue Data'!$A:$A,'[1]Tissue Data'!$C:$C)</f>
        <v>Down</v>
      </c>
      <c r="C7257" s="2">
        <f>_xlfn.XLOOKUP(A7257,'[1]Tissue Data'!$A:$A,'[1]Tissue Data'!$D:$D)</f>
        <v>44393</v>
      </c>
      <c r="D7257" s="2" t="str">
        <f>_xlfn.XLOOKUP(A7257,'[1]Tissue Data'!$A:$A,'[1]Tissue Data'!$F:$F)</f>
        <v>Pumpkinseed</v>
      </c>
      <c r="E7257" t="str">
        <f>_xlfn.XLOOKUP(A7257,'[1]Tissue Data'!$A:$A,'[1]Tissue Data'!$H:$H)</f>
        <v>Lepomis</v>
      </c>
      <c r="F7257" t="str">
        <f>_xlfn.XLOOKUP(A7257,'[1]Tissue Data'!$A:$A,'[1]Tissue Data'!$I:$I)</f>
        <v>gibbosus</v>
      </c>
      <c r="G7257" t="str">
        <f>_xlfn.XLOOKUP(A7257,'[1]Tissue Data'!$A:$A,'[1]Tissue Data'!J:J)</f>
        <v>U</v>
      </c>
      <c r="H7257" t="str">
        <f>_xlfn.XLOOKUP(A7257,'[1]Tissue Data'!$A:$A,'[1]Tissue Data'!K:K)</f>
        <v>Whole Body</v>
      </c>
      <c r="I7257">
        <f>_xlfn.XLOOKUP(A7257,'[1]Tissue Data'!$A:$A,'[1]Tissue Data'!L:L)</f>
        <v>9.5</v>
      </c>
      <c r="J7257">
        <f>_xlfn.XLOOKUP(A7257,'[1]Tissue Data'!$A:$A,'[1]Tissue Data'!M:M)</f>
        <v>13.51</v>
      </c>
      <c r="K7257" t="s">
        <v>17</v>
      </c>
      <c r="L7257" t="str">
        <f>_xlfn.XLOOKUP(K7257,[2]analyte_order!$B:$B,[2]analyte_order!$C:$C)</f>
        <v>375-95-1</v>
      </c>
      <c r="M7257">
        <f>_xlfn.XLOOKUP(L7257,[2]analyte_order!$C:$C,[2]analyte_order!$E:$E)</f>
        <v>6</v>
      </c>
      <c r="N7257">
        <v>0.45900000000000002</v>
      </c>
    </row>
    <row r="7258" spans="1:14">
      <c r="A7258" t="s">
        <v>306</v>
      </c>
      <c r="B7258" t="str">
        <f>_xlfn.XLOOKUP(A7258,'[1]Tissue Data'!$A:$A,'[1]Tissue Data'!$C:$C)</f>
        <v>Down</v>
      </c>
      <c r="C7258" s="2">
        <f>_xlfn.XLOOKUP(A7258,'[1]Tissue Data'!$A:$A,'[1]Tissue Data'!$D:$D)</f>
        <v>44393</v>
      </c>
      <c r="D7258" s="2" t="str">
        <f>_xlfn.XLOOKUP(A7258,'[1]Tissue Data'!$A:$A,'[1]Tissue Data'!$F:$F)</f>
        <v>Pumpkinseed</v>
      </c>
      <c r="E7258" t="str">
        <f>_xlfn.XLOOKUP(A7258,'[1]Tissue Data'!$A:$A,'[1]Tissue Data'!$H:$H)</f>
        <v>Lepomis</v>
      </c>
      <c r="F7258" t="str">
        <f>_xlfn.XLOOKUP(A7258,'[1]Tissue Data'!$A:$A,'[1]Tissue Data'!$I:$I)</f>
        <v>gibbosus</v>
      </c>
      <c r="G7258" t="str">
        <f>_xlfn.XLOOKUP(A7258,'[1]Tissue Data'!$A:$A,'[1]Tissue Data'!J:J)</f>
        <v>U</v>
      </c>
      <c r="H7258" t="str">
        <f>_xlfn.XLOOKUP(A7258,'[1]Tissue Data'!$A:$A,'[1]Tissue Data'!K:K)</f>
        <v>Whole Body</v>
      </c>
      <c r="I7258">
        <f>_xlfn.XLOOKUP(A7258,'[1]Tissue Data'!$A:$A,'[1]Tissue Data'!L:L)</f>
        <v>9.5</v>
      </c>
      <c r="J7258">
        <f>_xlfn.XLOOKUP(A7258,'[1]Tissue Data'!$A:$A,'[1]Tissue Data'!M:M)</f>
        <v>13.51</v>
      </c>
      <c r="K7258" t="s">
        <v>18</v>
      </c>
      <c r="L7258" t="str">
        <f>_xlfn.XLOOKUP(K7258,[2]analyte_order!$B:$B,[2]analyte_order!$C:$C)</f>
        <v>335-76-2</v>
      </c>
      <c r="M7258">
        <f>_xlfn.XLOOKUP(L7258,[2]analyte_order!$C:$C,[2]analyte_order!$E:$E)</f>
        <v>7</v>
      </c>
      <c r="N7258">
        <v>3.35</v>
      </c>
    </row>
    <row r="7259" spans="1:14">
      <c r="A7259" t="s">
        <v>306</v>
      </c>
      <c r="B7259" t="str">
        <f>_xlfn.XLOOKUP(A7259,'[1]Tissue Data'!$A:$A,'[1]Tissue Data'!$C:$C)</f>
        <v>Down</v>
      </c>
      <c r="C7259" s="2">
        <f>_xlfn.XLOOKUP(A7259,'[1]Tissue Data'!$A:$A,'[1]Tissue Data'!$D:$D)</f>
        <v>44393</v>
      </c>
      <c r="D7259" s="2" t="str">
        <f>_xlfn.XLOOKUP(A7259,'[1]Tissue Data'!$A:$A,'[1]Tissue Data'!$F:$F)</f>
        <v>Pumpkinseed</v>
      </c>
      <c r="E7259" t="str">
        <f>_xlfn.XLOOKUP(A7259,'[1]Tissue Data'!$A:$A,'[1]Tissue Data'!$H:$H)</f>
        <v>Lepomis</v>
      </c>
      <c r="F7259" t="str">
        <f>_xlfn.XLOOKUP(A7259,'[1]Tissue Data'!$A:$A,'[1]Tissue Data'!$I:$I)</f>
        <v>gibbosus</v>
      </c>
      <c r="G7259" t="str">
        <f>_xlfn.XLOOKUP(A7259,'[1]Tissue Data'!$A:$A,'[1]Tissue Data'!J:J)</f>
        <v>U</v>
      </c>
      <c r="H7259" t="str">
        <f>_xlfn.XLOOKUP(A7259,'[1]Tissue Data'!$A:$A,'[1]Tissue Data'!K:K)</f>
        <v>Whole Body</v>
      </c>
      <c r="I7259">
        <f>_xlfn.XLOOKUP(A7259,'[1]Tissue Data'!$A:$A,'[1]Tissue Data'!L:L)</f>
        <v>9.5</v>
      </c>
      <c r="J7259">
        <f>_xlfn.XLOOKUP(A7259,'[1]Tissue Data'!$A:$A,'[1]Tissue Data'!M:M)</f>
        <v>13.51</v>
      </c>
      <c r="K7259" t="s">
        <v>19</v>
      </c>
      <c r="L7259" t="str">
        <f>_xlfn.XLOOKUP(K7259,[2]analyte_order!$B:$B,[2]analyte_order!$C:$C)</f>
        <v>2058-94-8</v>
      </c>
      <c r="M7259">
        <f>_xlfn.XLOOKUP(L7259,[2]analyte_order!$C:$C,[2]analyte_order!$E:$E)</f>
        <v>8</v>
      </c>
      <c r="N7259">
        <v>4.8600000000000003</v>
      </c>
    </row>
    <row r="7260" spans="1:14">
      <c r="A7260" t="s">
        <v>306</v>
      </c>
      <c r="B7260" t="str">
        <f>_xlfn.XLOOKUP(A7260,'[1]Tissue Data'!$A:$A,'[1]Tissue Data'!$C:$C)</f>
        <v>Down</v>
      </c>
      <c r="C7260" s="2">
        <f>_xlfn.XLOOKUP(A7260,'[1]Tissue Data'!$A:$A,'[1]Tissue Data'!$D:$D)</f>
        <v>44393</v>
      </c>
      <c r="D7260" s="2" t="str">
        <f>_xlfn.XLOOKUP(A7260,'[1]Tissue Data'!$A:$A,'[1]Tissue Data'!$F:$F)</f>
        <v>Pumpkinseed</v>
      </c>
      <c r="E7260" t="str">
        <f>_xlfn.XLOOKUP(A7260,'[1]Tissue Data'!$A:$A,'[1]Tissue Data'!$H:$H)</f>
        <v>Lepomis</v>
      </c>
      <c r="F7260" t="str">
        <f>_xlfn.XLOOKUP(A7260,'[1]Tissue Data'!$A:$A,'[1]Tissue Data'!$I:$I)</f>
        <v>gibbosus</v>
      </c>
      <c r="G7260" t="str">
        <f>_xlfn.XLOOKUP(A7260,'[1]Tissue Data'!$A:$A,'[1]Tissue Data'!J:J)</f>
        <v>U</v>
      </c>
      <c r="H7260" t="str">
        <f>_xlfn.XLOOKUP(A7260,'[1]Tissue Data'!$A:$A,'[1]Tissue Data'!K:K)</f>
        <v>Whole Body</v>
      </c>
      <c r="I7260">
        <f>_xlfn.XLOOKUP(A7260,'[1]Tissue Data'!$A:$A,'[1]Tissue Data'!L:L)</f>
        <v>9.5</v>
      </c>
      <c r="J7260">
        <f>_xlfn.XLOOKUP(A7260,'[1]Tissue Data'!$A:$A,'[1]Tissue Data'!M:M)</f>
        <v>13.51</v>
      </c>
      <c r="K7260" t="s">
        <v>20</v>
      </c>
      <c r="L7260" t="str">
        <f>_xlfn.XLOOKUP(K7260,[2]analyte_order!$B:$B,[2]analyte_order!$C:$C)</f>
        <v>307-55-1</v>
      </c>
      <c r="M7260">
        <f>_xlfn.XLOOKUP(L7260,[2]analyte_order!$C:$C,[2]analyte_order!$E:$E)</f>
        <v>9</v>
      </c>
      <c r="N7260">
        <v>6.46</v>
      </c>
    </row>
    <row r="7261" spans="1:14">
      <c r="A7261" t="s">
        <v>306</v>
      </c>
      <c r="B7261" t="str">
        <f>_xlfn.XLOOKUP(A7261,'[1]Tissue Data'!$A:$A,'[1]Tissue Data'!$C:$C)</f>
        <v>Down</v>
      </c>
      <c r="C7261" s="2">
        <f>_xlfn.XLOOKUP(A7261,'[1]Tissue Data'!$A:$A,'[1]Tissue Data'!$D:$D)</f>
        <v>44393</v>
      </c>
      <c r="D7261" s="2" t="str">
        <f>_xlfn.XLOOKUP(A7261,'[1]Tissue Data'!$A:$A,'[1]Tissue Data'!$F:$F)</f>
        <v>Pumpkinseed</v>
      </c>
      <c r="E7261" t="str">
        <f>_xlfn.XLOOKUP(A7261,'[1]Tissue Data'!$A:$A,'[1]Tissue Data'!$H:$H)</f>
        <v>Lepomis</v>
      </c>
      <c r="F7261" t="str">
        <f>_xlfn.XLOOKUP(A7261,'[1]Tissue Data'!$A:$A,'[1]Tissue Data'!$I:$I)</f>
        <v>gibbosus</v>
      </c>
      <c r="G7261" t="str">
        <f>_xlfn.XLOOKUP(A7261,'[1]Tissue Data'!$A:$A,'[1]Tissue Data'!J:J)</f>
        <v>U</v>
      </c>
      <c r="H7261" t="str">
        <f>_xlfn.XLOOKUP(A7261,'[1]Tissue Data'!$A:$A,'[1]Tissue Data'!K:K)</f>
        <v>Whole Body</v>
      </c>
      <c r="I7261">
        <f>_xlfn.XLOOKUP(A7261,'[1]Tissue Data'!$A:$A,'[1]Tissue Data'!L:L)</f>
        <v>9.5</v>
      </c>
      <c r="J7261">
        <f>_xlfn.XLOOKUP(A7261,'[1]Tissue Data'!$A:$A,'[1]Tissue Data'!M:M)</f>
        <v>13.51</v>
      </c>
      <c r="K7261" t="s">
        <v>21</v>
      </c>
      <c r="L7261" t="str">
        <f>_xlfn.XLOOKUP(K7261,[2]analyte_order!$B:$B,[2]analyte_order!$C:$C)</f>
        <v>72629-94-8</v>
      </c>
      <c r="M7261">
        <f>_xlfn.XLOOKUP(L7261,[2]analyte_order!$C:$C,[2]analyte_order!$E:$E)</f>
        <v>10</v>
      </c>
      <c r="N7261">
        <v>2.81</v>
      </c>
    </row>
    <row r="7262" spans="1:14">
      <c r="A7262" t="s">
        <v>306</v>
      </c>
      <c r="B7262" t="str">
        <f>_xlfn.XLOOKUP(A7262,'[1]Tissue Data'!$A:$A,'[1]Tissue Data'!$C:$C)</f>
        <v>Down</v>
      </c>
      <c r="C7262" s="2">
        <f>_xlfn.XLOOKUP(A7262,'[1]Tissue Data'!$A:$A,'[1]Tissue Data'!$D:$D)</f>
        <v>44393</v>
      </c>
      <c r="D7262" s="2" t="str">
        <f>_xlfn.XLOOKUP(A7262,'[1]Tissue Data'!$A:$A,'[1]Tissue Data'!$F:$F)</f>
        <v>Pumpkinseed</v>
      </c>
      <c r="E7262" t="str">
        <f>_xlfn.XLOOKUP(A7262,'[1]Tissue Data'!$A:$A,'[1]Tissue Data'!$H:$H)</f>
        <v>Lepomis</v>
      </c>
      <c r="F7262" t="str">
        <f>_xlfn.XLOOKUP(A7262,'[1]Tissue Data'!$A:$A,'[1]Tissue Data'!$I:$I)</f>
        <v>gibbosus</v>
      </c>
      <c r="G7262" t="str">
        <f>_xlfn.XLOOKUP(A7262,'[1]Tissue Data'!$A:$A,'[1]Tissue Data'!J:J)</f>
        <v>U</v>
      </c>
      <c r="H7262" t="str">
        <f>_xlfn.XLOOKUP(A7262,'[1]Tissue Data'!$A:$A,'[1]Tissue Data'!K:K)</f>
        <v>Whole Body</v>
      </c>
      <c r="I7262">
        <f>_xlfn.XLOOKUP(A7262,'[1]Tissue Data'!$A:$A,'[1]Tissue Data'!L:L)</f>
        <v>9.5</v>
      </c>
      <c r="J7262">
        <f>_xlfn.XLOOKUP(A7262,'[1]Tissue Data'!$A:$A,'[1]Tissue Data'!M:M)</f>
        <v>13.51</v>
      </c>
      <c r="K7262" t="s">
        <v>22</v>
      </c>
      <c r="L7262" t="str">
        <f>_xlfn.XLOOKUP(K7262,[2]analyte_order!$B:$B,[2]analyte_order!$C:$C)</f>
        <v>376-06-7</v>
      </c>
      <c r="M7262">
        <f>_xlfn.XLOOKUP(L7262,[2]analyte_order!$C:$C,[2]analyte_order!$E:$E)</f>
        <v>11</v>
      </c>
      <c r="N7262">
        <v>6.67</v>
      </c>
    </row>
    <row r="7263" spans="1:14">
      <c r="A7263" t="s">
        <v>306</v>
      </c>
      <c r="B7263" t="str">
        <f>_xlfn.XLOOKUP(A7263,'[1]Tissue Data'!$A:$A,'[1]Tissue Data'!$C:$C)</f>
        <v>Down</v>
      </c>
      <c r="C7263" s="2">
        <f>_xlfn.XLOOKUP(A7263,'[1]Tissue Data'!$A:$A,'[1]Tissue Data'!$D:$D)</f>
        <v>44393</v>
      </c>
      <c r="D7263" s="2" t="str">
        <f>_xlfn.XLOOKUP(A7263,'[1]Tissue Data'!$A:$A,'[1]Tissue Data'!$F:$F)</f>
        <v>Pumpkinseed</v>
      </c>
      <c r="E7263" t="str">
        <f>_xlfn.XLOOKUP(A7263,'[1]Tissue Data'!$A:$A,'[1]Tissue Data'!$H:$H)</f>
        <v>Lepomis</v>
      </c>
      <c r="F7263" t="str">
        <f>_xlfn.XLOOKUP(A7263,'[1]Tissue Data'!$A:$A,'[1]Tissue Data'!$I:$I)</f>
        <v>gibbosus</v>
      </c>
      <c r="G7263" t="str">
        <f>_xlfn.XLOOKUP(A7263,'[1]Tissue Data'!$A:$A,'[1]Tissue Data'!J:J)</f>
        <v>U</v>
      </c>
      <c r="H7263" t="str">
        <f>_xlfn.XLOOKUP(A7263,'[1]Tissue Data'!$A:$A,'[1]Tissue Data'!K:K)</f>
        <v>Whole Body</v>
      </c>
      <c r="I7263">
        <f>_xlfn.XLOOKUP(A7263,'[1]Tissue Data'!$A:$A,'[1]Tissue Data'!L:L)</f>
        <v>9.5</v>
      </c>
      <c r="J7263">
        <f>_xlfn.XLOOKUP(A7263,'[1]Tissue Data'!$A:$A,'[1]Tissue Data'!M:M)</f>
        <v>13.51</v>
      </c>
      <c r="K7263" t="s">
        <v>23</v>
      </c>
      <c r="L7263" t="str">
        <f>_xlfn.XLOOKUP(K7263,[2]analyte_order!$B:$B,[2]analyte_order!$C:$C)</f>
        <v>67905-19-5</v>
      </c>
      <c r="M7263">
        <f>_xlfn.XLOOKUP(L7263,[2]analyte_order!$C:$C,[2]analyte_order!$E:$E)</f>
        <v>12</v>
      </c>
      <c r="N7263">
        <v>0.27800000000000002</v>
      </c>
    </row>
    <row r="7264" spans="1:14">
      <c r="A7264" t="s">
        <v>306</v>
      </c>
      <c r="B7264" t="str">
        <f>_xlfn.XLOOKUP(A7264,'[1]Tissue Data'!$A:$A,'[1]Tissue Data'!$C:$C)</f>
        <v>Down</v>
      </c>
      <c r="C7264" s="2">
        <f>_xlfn.XLOOKUP(A7264,'[1]Tissue Data'!$A:$A,'[1]Tissue Data'!$D:$D)</f>
        <v>44393</v>
      </c>
      <c r="D7264" s="2" t="str">
        <f>_xlfn.XLOOKUP(A7264,'[1]Tissue Data'!$A:$A,'[1]Tissue Data'!$F:$F)</f>
        <v>Pumpkinseed</v>
      </c>
      <c r="E7264" t="str">
        <f>_xlfn.XLOOKUP(A7264,'[1]Tissue Data'!$A:$A,'[1]Tissue Data'!$H:$H)</f>
        <v>Lepomis</v>
      </c>
      <c r="F7264" t="str">
        <f>_xlfn.XLOOKUP(A7264,'[1]Tissue Data'!$A:$A,'[1]Tissue Data'!$I:$I)</f>
        <v>gibbosus</v>
      </c>
      <c r="G7264" t="str">
        <f>_xlfn.XLOOKUP(A7264,'[1]Tissue Data'!$A:$A,'[1]Tissue Data'!J:J)</f>
        <v>U</v>
      </c>
      <c r="H7264" t="str">
        <f>_xlfn.XLOOKUP(A7264,'[1]Tissue Data'!$A:$A,'[1]Tissue Data'!K:K)</f>
        <v>Whole Body</v>
      </c>
      <c r="I7264">
        <f>_xlfn.XLOOKUP(A7264,'[1]Tissue Data'!$A:$A,'[1]Tissue Data'!L:L)</f>
        <v>9.5</v>
      </c>
      <c r="J7264">
        <f>_xlfn.XLOOKUP(A7264,'[1]Tissue Data'!$A:$A,'[1]Tissue Data'!M:M)</f>
        <v>13.51</v>
      </c>
      <c r="K7264" t="s">
        <v>24</v>
      </c>
      <c r="L7264" t="str">
        <f>_xlfn.XLOOKUP(K7264,[2]analyte_order!$B:$B,[2]analyte_order!$C:$C)</f>
        <v>423-41-6</v>
      </c>
      <c r="M7264">
        <f>_xlfn.XLOOKUP(L7264,[2]analyte_order!$C:$C,[2]analyte_order!$E:$E)</f>
        <v>53</v>
      </c>
      <c r="N7264">
        <v>0.46700000000000003</v>
      </c>
    </row>
    <row r="7265" spans="1:14">
      <c r="A7265" t="s">
        <v>306</v>
      </c>
      <c r="B7265" t="str">
        <f>_xlfn.XLOOKUP(A7265,'[1]Tissue Data'!$A:$A,'[1]Tissue Data'!$C:$C)</f>
        <v>Down</v>
      </c>
      <c r="C7265" s="2">
        <f>_xlfn.XLOOKUP(A7265,'[1]Tissue Data'!$A:$A,'[1]Tissue Data'!$D:$D)</f>
        <v>44393</v>
      </c>
      <c r="D7265" s="2" t="str">
        <f>_xlfn.XLOOKUP(A7265,'[1]Tissue Data'!$A:$A,'[1]Tissue Data'!$F:$F)</f>
        <v>Pumpkinseed</v>
      </c>
      <c r="E7265" t="str">
        <f>_xlfn.XLOOKUP(A7265,'[1]Tissue Data'!$A:$A,'[1]Tissue Data'!$H:$H)</f>
        <v>Lepomis</v>
      </c>
      <c r="F7265" t="str">
        <f>_xlfn.XLOOKUP(A7265,'[1]Tissue Data'!$A:$A,'[1]Tissue Data'!$I:$I)</f>
        <v>gibbosus</v>
      </c>
      <c r="G7265" t="str">
        <f>_xlfn.XLOOKUP(A7265,'[1]Tissue Data'!$A:$A,'[1]Tissue Data'!J:J)</f>
        <v>U</v>
      </c>
      <c r="H7265" t="str">
        <f>_xlfn.XLOOKUP(A7265,'[1]Tissue Data'!$A:$A,'[1]Tissue Data'!K:K)</f>
        <v>Whole Body</v>
      </c>
      <c r="I7265">
        <f>_xlfn.XLOOKUP(A7265,'[1]Tissue Data'!$A:$A,'[1]Tissue Data'!L:L)</f>
        <v>9.5</v>
      </c>
      <c r="J7265">
        <f>_xlfn.XLOOKUP(A7265,'[1]Tissue Data'!$A:$A,'[1]Tissue Data'!M:M)</f>
        <v>13.51</v>
      </c>
      <c r="K7265" t="s">
        <v>25</v>
      </c>
      <c r="L7265" t="str">
        <f>_xlfn.XLOOKUP(K7265,[2]analyte_order!$B:$B,[2]analyte_order!$C:$C)</f>
        <v>375-73-5</v>
      </c>
      <c r="M7265">
        <f>_xlfn.XLOOKUP(L7265,[2]analyte_order!$C:$C,[2]analyte_order!$E:$E)</f>
        <v>14</v>
      </c>
      <c r="N7265">
        <v>0.159</v>
      </c>
    </row>
    <row r="7266" spans="1:14">
      <c r="A7266" t="s">
        <v>306</v>
      </c>
      <c r="B7266" t="str">
        <f>_xlfn.XLOOKUP(A7266,'[1]Tissue Data'!$A:$A,'[1]Tissue Data'!$C:$C)</f>
        <v>Down</v>
      </c>
      <c r="C7266" s="2">
        <f>_xlfn.XLOOKUP(A7266,'[1]Tissue Data'!$A:$A,'[1]Tissue Data'!$D:$D)</f>
        <v>44393</v>
      </c>
      <c r="D7266" s="2" t="str">
        <f>_xlfn.XLOOKUP(A7266,'[1]Tissue Data'!$A:$A,'[1]Tissue Data'!$F:$F)</f>
        <v>Pumpkinseed</v>
      </c>
      <c r="E7266" t="str">
        <f>_xlfn.XLOOKUP(A7266,'[1]Tissue Data'!$A:$A,'[1]Tissue Data'!$H:$H)</f>
        <v>Lepomis</v>
      </c>
      <c r="F7266" t="str">
        <f>_xlfn.XLOOKUP(A7266,'[1]Tissue Data'!$A:$A,'[1]Tissue Data'!$I:$I)</f>
        <v>gibbosus</v>
      </c>
      <c r="G7266" t="str">
        <f>_xlfn.XLOOKUP(A7266,'[1]Tissue Data'!$A:$A,'[1]Tissue Data'!J:J)</f>
        <v>U</v>
      </c>
      <c r="H7266" t="str">
        <f>_xlfn.XLOOKUP(A7266,'[1]Tissue Data'!$A:$A,'[1]Tissue Data'!K:K)</f>
        <v>Whole Body</v>
      </c>
      <c r="I7266">
        <f>_xlfn.XLOOKUP(A7266,'[1]Tissue Data'!$A:$A,'[1]Tissue Data'!L:L)</f>
        <v>9.5</v>
      </c>
      <c r="J7266">
        <f>_xlfn.XLOOKUP(A7266,'[1]Tissue Data'!$A:$A,'[1]Tissue Data'!M:M)</f>
        <v>13.51</v>
      </c>
      <c r="K7266" t="s">
        <v>26</v>
      </c>
      <c r="L7266" t="str">
        <f>_xlfn.XLOOKUP(K7266,[2]analyte_order!$B:$B,[2]analyte_order!$C:$C)</f>
        <v>2706-91-4</v>
      </c>
      <c r="M7266">
        <f>_xlfn.XLOOKUP(L7266,[2]analyte_order!$C:$C,[2]analyte_order!$E:$E)</f>
        <v>15</v>
      </c>
      <c r="N7266">
        <v>0.25</v>
      </c>
    </row>
    <row r="7267" spans="1:14">
      <c r="A7267" t="s">
        <v>306</v>
      </c>
      <c r="B7267" t="str">
        <f>_xlfn.XLOOKUP(A7267,'[1]Tissue Data'!$A:$A,'[1]Tissue Data'!$C:$C)</f>
        <v>Down</v>
      </c>
      <c r="C7267" s="2">
        <f>_xlfn.XLOOKUP(A7267,'[1]Tissue Data'!$A:$A,'[1]Tissue Data'!$D:$D)</f>
        <v>44393</v>
      </c>
      <c r="D7267" s="2" t="str">
        <f>_xlfn.XLOOKUP(A7267,'[1]Tissue Data'!$A:$A,'[1]Tissue Data'!$F:$F)</f>
        <v>Pumpkinseed</v>
      </c>
      <c r="E7267" t="str">
        <f>_xlfn.XLOOKUP(A7267,'[1]Tissue Data'!$A:$A,'[1]Tissue Data'!$H:$H)</f>
        <v>Lepomis</v>
      </c>
      <c r="F7267" t="str">
        <f>_xlfn.XLOOKUP(A7267,'[1]Tissue Data'!$A:$A,'[1]Tissue Data'!$I:$I)</f>
        <v>gibbosus</v>
      </c>
      <c r="G7267" t="str">
        <f>_xlfn.XLOOKUP(A7267,'[1]Tissue Data'!$A:$A,'[1]Tissue Data'!J:J)</f>
        <v>U</v>
      </c>
      <c r="H7267" t="str">
        <f>_xlfn.XLOOKUP(A7267,'[1]Tissue Data'!$A:$A,'[1]Tissue Data'!K:K)</f>
        <v>Whole Body</v>
      </c>
      <c r="I7267">
        <f>_xlfn.XLOOKUP(A7267,'[1]Tissue Data'!$A:$A,'[1]Tissue Data'!L:L)</f>
        <v>9.5</v>
      </c>
      <c r="J7267">
        <f>_xlfn.XLOOKUP(A7267,'[1]Tissue Data'!$A:$A,'[1]Tissue Data'!M:M)</f>
        <v>13.51</v>
      </c>
      <c r="K7267" t="s">
        <v>27</v>
      </c>
      <c r="L7267" t="str">
        <f>_xlfn.XLOOKUP(K7267,[2]analyte_order!$B:$B,[2]analyte_order!$C:$C)</f>
        <v>355-46-4</v>
      </c>
      <c r="M7267">
        <f>_xlfn.XLOOKUP(L7267,[2]analyte_order!$C:$C,[2]analyte_order!$E:$E)</f>
        <v>16</v>
      </c>
      <c r="N7267">
        <v>23.3</v>
      </c>
    </row>
    <row r="7268" spans="1:14">
      <c r="A7268" t="s">
        <v>306</v>
      </c>
      <c r="B7268" t="str">
        <f>_xlfn.XLOOKUP(A7268,'[1]Tissue Data'!$A:$A,'[1]Tissue Data'!$C:$C)</f>
        <v>Down</v>
      </c>
      <c r="C7268" s="2">
        <f>_xlfn.XLOOKUP(A7268,'[1]Tissue Data'!$A:$A,'[1]Tissue Data'!$D:$D)</f>
        <v>44393</v>
      </c>
      <c r="D7268" s="2" t="str">
        <f>_xlfn.XLOOKUP(A7268,'[1]Tissue Data'!$A:$A,'[1]Tissue Data'!$F:$F)</f>
        <v>Pumpkinseed</v>
      </c>
      <c r="E7268" t="str">
        <f>_xlfn.XLOOKUP(A7268,'[1]Tissue Data'!$A:$A,'[1]Tissue Data'!$H:$H)</f>
        <v>Lepomis</v>
      </c>
      <c r="F7268" t="str">
        <f>_xlfn.XLOOKUP(A7268,'[1]Tissue Data'!$A:$A,'[1]Tissue Data'!$I:$I)</f>
        <v>gibbosus</v>
      </c>
      <c r="G7268" t="str">
        <f>_xlfn.XLOOKUP(A7268,'[1]Tissue Data'!$A:$A,'[1]Tissue Data'!J:J)</f>
        <v>U</v>
      </c>
      <c r="H7268" t="str">
        <f>_xlfn.XLOOKUP(A7268,'[1]Tissue Data'!$A:$A,'[1]Tissue Data'!K:K)</f>
        <v>Whole Body</v>
      </c>
      <c r="I7268">
        <f>_xlfn.XLOOKUP(A7268,'[1]Tissue Data'!$A:$A,'[1]Tissue Data'!L:L)</f>
        <v>9.5</v>
      </c>
      <c r="J7268">
        <f>_xlfn.XLOOKUP(A7268,'[1]Tissue Data'!$A:$A,'[1]Tissue Data'!M:M)</f>
        <v>13.51</v>
      </c>
      <c r="K7268" t="s">
        <v>28</v>
      </c>
      <c r="L7268" t="str">
        <f>_xlfn.XLOOKUP(K7268,[2]analyte_order!$B:$B,[2]analyte_order!$C:$C)</f>
        <v>375-92-8</v>
      </c>
      <c r="M7268">
        <f>_xlfn.XLOOKUP(L7268,[2]analyte_order!$C:$C,[2]analyte_order!$E:$E)</f>
        <v>17</v>
      </c>
      <c r="N7268">
        <v>3.07</v>
      </c>
    </row>
    <row r="7269" spans="1:14">
      <c r="A7269" t="s">
        <v>306</v>
      </c>
      <c r="B7269" t="str">
        <f>_xlfn.XLOOKUP(A7269,'[1]Tissue Data'!$A:$A,'[1]Tissue Data'!$C:$C)</f>
        <v>Down</v>
      </c>
      <c r="C7269" s="2">
        <f>_xlfn.XLOOKUP(A7269,'[1]Tissue Data'!$A:$A,'[1]Tissue Data'!$D:$D)</f>
        <v>44393</v>
      </c>
      <c r="D7269" s="2" t="str">
        <f>_xlfn.XLOOKUP(A7269,'[1]Tissue Data'!$A:$A,'[1]Tissue Data'!$F:$F)</f>
        <v>Pumpkinseed</v>
      </c>
      <c r="E7269" t="str">
        <f>_xlfn.XLOOKUP(A7269,'[1]Tissue Data'!$A:$A,'[1]Tissue Data'!$H:$H)</f>
        <v>Lepomis</v>
      </c>
      <c r="F7269" t="str">
        <f>_xlfn.XLOOKUP(A7269,'[1]Tissue Data'!$A:$A,'[1]Tissue Data'!$I:$I)</f>
        <v>gibbosus</v>
      </c>
      <c r="G7269" t="str">
        <f>_xlfn.XLOOKUP(A7269,'[1]Tissue Data'!$A:$A,'[1]Tissue Data'!J:J)</f>
        <v>U</v>
      </c>
      <c r="H7269" t="str">
        <f>_xlfn.XLOOKUP(A7269,'[1]Tissue Data'!$A:$A,'[1]Tissue Data'!K:K)</f>
        <v>Whole Body</v>
      </c>
      <c r="I7269">
        <f>_xlfn.XLOOKUP(A7269,'[1]Tissue Data'!$A:$A,'[1]Tissue Data'!L:L)</f>
        <v>9.5</v>
      </c>
      <c r="J7269">
        <f>_xlfn.XLOOKUP(A7269,'[1]Tissue Data'!$A:$A,'[1]Tissue Data'!M:M)</f>
        <v>13.51</v>
      </c>
      <c r="K7269" t="s">
        <v>29</v>
      </c>
      <c r="L7269" t="str">
        <f>_xlfn.XLOOKUP(K7269,[2]analyte_order!$B:$B,[2]analyte_order!$C:$C)</f>
        <v>1763-23-1</v>
      </c>
      <c r="M7269">
        <f>_xlfn.XLOOKUP(L7269,[2]analyte_order!$C:$C,[2]analyte_order!$E:$E)</f>
        <v>18</v>
      </c>
      <c r="N7269">
        <v>528</v>
      </c>
    </row>
    <row r="7270" spans="1:14">
      <c r="A7270" t="s">
        <v>306</v>
      </c>
      <c r="B7270" t="str">
        <f>_xlfn.XLOOKUP(A7270,'[1]Tissue Data'!$A:$A,'[1]Tissue Data'!$C:$C)</f>
        <v>Down</v>
      </c>
      <c r="C7270" s="2">
        <f>_xlfn.XLOOKUP(A7270,'[1]Tissue Data'!$A:$A,'[1]Tissue Data'!$D:$D)</f>
        <v>44393</v>
      </c>
      <c r="D7270" s="2" t="str">
        <f>_xlfn.XLOOKUP(A7270,'[1]Tissue Data'!$A:$A,'[1]Tissue Data'!$F:$F)</f>
        <v>Pumpkinseed</v>
      </c>
      <c r="E7270" t="str">
        <f>_xlfn.XLOOKUP(A7270,'[1]Tissue Data'!$A:$A,'[1]Tissue Data'!$H:$H)</f>
        <v>Lepomis</v>
      </c>
      <c r="F7270" t="str">
        <f>_xlfn.XLOOKUP(A7270,'[1]Tissue Data'!$A:$A,'[1]Tissue Data'!$I:$I)</f>
        <v>gibbosus</v>
      </c>
      <c r="G7270" t="str">
        <f>_xlfn.XLOOKUP(A7270,'[1]Tissue Data'!$A:$A,'[1]Tissue Data'!J:J)</f>
        <v>U</v>
      </c>
      <c r="H7270" t="str">
        <f>_xlfn.XLOOKUP(A7270,'[1]Tissue Data'!$A:$A,'[1]Tissue Data'!K:K)</f>
        <v>Whole Body</v>
      </c>
      <c r="I7270">
        <f>_xlfn.XLOOKUP(A7270,'[1]Tissue Data'!$A:$A,'[1]Tissue Data'!L:L)</f>
        <v>9.5</v>
      </c>
      <c r="J7270">
        <f>_xlfn.XLOOKUP(A7270,'[1]Tissue Data'!$A:$A,'[1]Tissue Data'!M:M)</f>
        <v>13.51</v>
      </c>
      <c r="K7270" t="s">
        <v>30</v>
      </c>
      <c r="L7270" t="str">
        <f>_xlfn.XLOOKUP(K7270,[2]analyte_order!$B:$B,[2]analyte_order!$C:$C)</f>
        <v>68259-12-1</v>
      </c>
      <c r="M7270">
        <f>_xlfn.XLOOKUP(L7270,[2]analyte_order!$C:$C,[2]analyte_order!$E:$E)</f>
        <v>19</v>
      </c>
      <c r="N7270">
        <v>1.39</v>
      </c>
    </row>
    <row r="7271" spans="1:14">
      <c r="A7271" t="s">
        <v>306</v>
      </c>
      <c r="B7271" t="str">
        <f>_xlfn.XLOOKUP(A7271,'[1]Tissue Data'!$A:$A,'[1]Tissue Data'!$C:$C)</f>
        <v>Down</v>
      </c>
      <c r="C7271" s="2">
        <f>_xlfn.XLOOKUP(A7271,'[1]Tissue Data'!$A:$A,'[1]Tissue Data'!$D:$D)</f>
        <v>44393</v>
      </c>
      <c r="D7271" s="2" t="str">
        <f>_xlfn.XLOOKUP(A7271,'[1]Tissue Data'!$A:$A,'[1]Tissue Data'!$F:$F)</f>
        <v>Pumpkinseed</v>
      </c>
      <c r="E7271" t="str">
        <f>_xlfn.XLOOKUP(A7271,'[1]Tissue Data'!$A:$A,'[1]Tissue Data'!$H:$H)</f>
        <v>Lepomis</v>
      </c>
      <c r="F7271" t="str">
        <f>_xlfn.XLOOKUP(A7271,'[1]Tissue Data'!$A:$A,'[1]Tissue Data'!$I:$I)</f>
        <v>gibbosus</v>
      </c>
      <c r="G7271" t="str">
        <f>_xlfn.XLOOKUP(A7271,'[1]Tissue Data'!$A:$A,'[1]Tissue Data'!J:J)</f>
        <v>U</v>
      </c>
      <c r="H7271" t="str">
        <f>_xlfn.XLOOKUP(A7271,'[1]Tissue Data'!$A:$A,'[1]Tissue Data'!K:K)</f>
        <v>Whole Body</v>
      </c>
      <c r="I7271">
        <f>_xlfn.XLOOKUP(A7271,'[1]Tissue Data'!$A:$A,'[1]Tissue Data'!L:L)</f>
        <v>9.5</v>
      </c>
      <c r="J7271">
        <f>_xlfn.XLOOKUP(A7271,'[1]Tissue Data'!$A:$A,'[1]Tissue Data'!M:M)</f>
        <v>13.51</v>
      </c>
      <c r="K7271" t="s">
        <v>31</v>
      </c>
      <c r="L7271" t="str">
        <f>_xlfn.XLOOKUP(K7271,[2]analyte_order!$B:$B,[2]analyte_order!$C:$C)</f>
        <v>335-77-3</v>
      </c>
      <c r="M7271">
        <f>_xlfn.XLOOKUP(L7271,[2]analyte_order!$C:$C,[2]analyte_order!$E:$E)</f>
        <v>20</v>
      </c>
      <c r="N7271">
        <v>1.31</v>
      </c>
    </row>
    <row r="7272" spans="1:14">
      <c r="A7272" t="s">
        <v>306</v>
      </c>
      <c r="B7272" t="str">
        <f>_xlfn.XLOOKUP(A7272,'[1]Tissue Data'!$A:$A,'[1]Tissue Data'!$C:$C)</f>
        <v>Down</v>
      </c>
      <c r="C7272" s="2">
        <f>_xlfn.XLOOKUP(A7272,'[1]Tissue Data'!$A:$A,'[1]Tissue Data'!$D:$D)</f>
        <v>44393</v>
      </c>
      <c r="D7272" s="2" t="str">
        <f>_xlfn.XLOOKUP(A7272,'[1]Tissue Data'!$A:$A,'[1]Tissue Data'!$F:$F)</f>
        <v>Pumpkinseed</v>
      </c>
      <c r="E7272" t="str">
        <f>_xlfn.XLOOKUP(A7272,'[1]Tissue Data'!$A:$A,'[1]Tissue Data'!$H:$H)</f>
        <v>Lepomis</v>
      </c>
      <c r="F7272" t="str">
        <f>_xlfn.XLOOKUP(A7272,'[1]Tissue Data'!$A:$A,'[1]Tissue Data'!$I:$I)</f>
        <v>gibbosus</v>
      </c>
      <c r="G7272" t="str">
        <f>_xlfn.XLOOKUP(A7272,'[1]Tissue Data'!$A:$A,'[1]Tissue Data'!J:J)</f>
        <v>U</v>
      </c>
      <c r="H7272" t="str">
        <f>_xlfn.XLOOKUP(A7272,'[1]Tissue Data'!$A:$A,'[1]Tissue Data'!K:K)</f>
        <v>Whole Body</v>
      </c>
      <c r="I7272">
        <f>_xlfn.XLOOKUP(A7272,'[1]Tissue Data'!$A:$A,'[1]Tissue Data'!L:L)</f>
        <v>9.5</v>
      </c>
      <c r="J7272">
        <f>_xlfn.XLOOKUP(A7272,'[1]Tissue Data'!$A:$A,'[1]Tissue Data'!M:M)</f>
        <v>13.51</v>
      </c>
      <c r="K7272" t="s">
        <v>32</v>
      </c>
      <c r="L7272" t="str">
        <f>_xlfn.XLOOKUP(K7272,[2]analyte_order!$B:$B,[2]analyte_order!$C:$C)</f>
        <v>79780-39-5</v>
      </c>
      <c r="M7272">
        <f>_xlfn.XLOOKUP(L7272,[2]analyte_order!$C:$C,[2]analyte_order!$E:$E)</f>
        <v>21</v>
      </c>
      <c r="N7272">
        <v>0.2495</v>
      </c>
    </row>
    <row r="7273" spans="1:14">
      <c r="A7273" t="s">
        <v>306</v>
      </c>
      <c r="B7273" t="str">
        <f>_xlfn.XLOOKUP(A7273,'[1]Tissue Data'!$A:$A,'[1]Tissue Data'!$C:$C)</f>
        <v>Down</v>
      </c>
      <c r="C7273" s="2">
        <f>_xlfn.XLOOKUP(A7273,'[1]Tissue Data'!$A:$A,'[1]Tissue Data'!$D:$D)</f>
        <v>44393</v>
      </c>
      <c r="D7273" s="2" t="str">
        <f>_xlfn.XLOOKUP(A7273,'[1]Tissue Data'!$A:$A,'[1]Tissue Data'!$F:$F)</f>
        <v>Pumpkinseed</v>
      </c>
      <c r="E7273" t="str">
        <f>_xlfn.XLOOKUP(A7273,'[1]Tissue Data'!$A:$A,'[1]Tissue Data'!$H:$H)</f>
        <v>Lepomis</v>
      </c>
      <c r="F7273" t="str">
        <f>_xlfn.XLOOKUP(A7273,'[1]Tissue Data'!$A:$A,'[1]Tissue Data'!$I:$I)</f>
        <v>gibbosus</v>
      </c>
      <c r="G7273" t="str">
        <f>_xlfn.XLOOKUP(A7273,'[1]Tissue Data'!$A:$A,'[1]Tissue Data'!J:J)</f>
        <v>U</v>
      </c>
      <c r="H7273" t="str">
        <f>_xlfn.XLOOKUP(A7273,'[1]Tissue Data'!$A:$A,'[1]Tissue Data'!K:K)</f>
        <v>Whole Body</v>
      </c>
      <c r="I7273">
        <f>_xlfn.XLOOKUP(A7273,'[1]Tissue Data'!$A:$A,'[1]Tissue Data'!L:L)</f>
        <v>9.5</v>
      </c>
      <c r="J7273">
        <f>_xlfn.XLOOKUP(A7273,'[1]Tissue Data'!$A:$A,'[1]Tissue Data'!M:M)</f>
        <v>13.51</v>
      </c>
      <c r="K7273" t="s">
        <v>33</v>
      </c>
      <c r="L7273" t="str">
        <f>_xlfn.XLOOKUP(K7273,[2]analyte_order!$B:$B,[2]analyte_order!$C:$C)</f>
        <v>777011-38-8</v>
      </c>
      <c r="M7273">
        <f>_xlfn.XLOOKUP(L7273,[2]analyte_order!$C:$C,[2]analyte_order!$E:$E)</f>
        <v>54</v>
      </c>
      <c r="N7273">
        <v>0.14199999999999999</v>
      </c>
    </row>
    <row r="7274" spans="1:14">
      <c r="A7274" t="s">
        <v>306</v>
      </c>
      <c r="B7274" t="str">
        <f>_xlfn.XLOOKUP(A7274,'[1]Tissue Data'!$A:$A,'[1]Tissue Data'!$C:$C)</f>
        <v>Down</v>
      </c>
      <c r="C7274" s="2">
        <f>_xlfn.XLOOKUP(A7274,'[1]Tissue Data'!$A:$A,'[1]Tissue Data'!$D:$D)</f>
        <v>44393</v>
      </c>
      <c r="D7274" s="2" t="str">
        <f>_xlfn.XLOOKUP(A7274,'[1]Tissue Data'!$A:$A,'[1]Tissue Data'!$F:$F)</f>
        <v>Pumpkinseed</v>
      </c>
      <c r="E7274" t="str">
        <f>_xlfn.XLOOKUP(A7274,'[1]Tissue Data'!$A:$A,'[1]Tissue Data'!$H:$H)</f>
        <v>Lepomis</v>
      </c>
      <c r="F7274" t="str">
        <f>_xlfn.XLOOKUP(A7274,'[1]Tissue Data'!$A:$A,'[1]Tissue Data'!$I:$I)</f>
        <v>gibbosus</v>
      </c>
      <c r="G7274" t="str">
        <f>_xlfn.XLOOKUP(A7274,'[1]Tissue Data'!$A:$A,'[1]Tissue Data'!J:J)</f>
        <v>U</v>
      </c>
      <c r="H7274" t="str">
        <f>_xlfn.XLOOKUP(A7274,'[1]Tissue Data'!$A:$A,'[1]Tissue Data'!K:K)</f>
        <v>Whole Body</v>
      </c>
      <c r="I7274">
        <f>_xlfn.XLOOKUP(A7274,'[1]Tissue Data'!$A:$A,'[1]Tissue Data'!L:L)</f>
        <v>9.5</v>
      </c>
      <c r="J7274">
        <f>_xlfn.XLOOKUP(A7274,'[1]Tissue Data'!$A:$A,'[1]Tissue Data'!M:M)</f>
        <v>13.51</v>
      </c>
      <c r="K7274" t="s">
        <v>34</v>
      </c>
      <c r="L7274" t="str">
        <f>_xlfn.XLOOKUP(K7274,[2]analyte_order!$B:$B,[2]analyte_order!$C:$C)</f>
        <v>646-83-3</v>
      </c>
      <c r="M7274">
        <f>_xlfn.XLOOKUP(L7274,[2]analyte_order!$C:$C,[2]analyte_order!$E:$E)</f>
        <v>55</v>
      </c>
      <c r="N7274">
        <v>0.255</v>
      </c>
    </row>
    <row r="7275" spans="1:14">
      <c r="A7275" t="s">
        <v>306</v>
      </c>
      <c r="B7275" t="str">
        <f>_xlfn.XLOOKUP(A7275,'[1]Tissue Data'!$A:$A,'[1]Tissue Data'!$C:$C)</f>
        <v>Down</v>
      </c>
      <c r="C7275" s="2">
        <f>_xlfn.XLOOKUP(A7275,'[1]Tissue Data'!$A:$A,'[1]Tissue Data'!$D:$D)</f>
        <v>44393</v>
      </c>
      <c r="D7275" s="2" t="str">
        <f>_xlfn.XLOOKUP(A7275,'[1]Tissue Data'!$A:$A,'[1]Tissue Data'!$F:$F)</f>
        <v>Pumpkinseed</v>
      </c>
      <c r="E7275" t="str">
        <f>_xlfn.XLOOKUP(A7275,'[1]Tissue Data'!$A:$A,'[1]Tissue Data'!$H:$H)</f>
        <v>Lepomis</v>
      </c>
      <c r="F7275" t="str">
        <f>_xlfn.XLOOKUP(A7275,'[1]Tissue Data'!$A:$A,'[1]Tissue Data'!$I:$I)</f>
        <v>gibbosus</v>
      </c>
      <c r="G7275" t="str">
        <f>_xlfn.XLOOKUP(A7275,'[1]Tissue Data'!$A:$A,'[1]Tissue Data'!J:J)</f>
        <v>U</v>
      </c>
      <c r="H7275" t="str">
        <f>_xlfn.XLOOKUP(A7275,'[1]Tissue Data'!$A:$A,'[1]Tissue Data'!K:K)</f>
        <v>Whole Body</v>
      </c>
      <c r="I7275">
        <f>_xlfn.XLOOKUP(A7275,'[1]Tissue Data'!$A:$A,'[1]Tissue Data'!L:L)</f>
        <v>9.5</v>
      </c>
      <c r="J7275">
        <f>_xlfn.XLOOKUP(A7275,'[1]Tissue Data'!$A:$A,'[1]Tissue Data'!M:M)</f>
        <v>13.51</v>
      </c>
      <c r="K7275" t="s">
        <v>35</v>
      </c>
      <c r="L7275" t="str">
        <f>_xlfn.XLOOKUP(K7275,[2]analyte_order!$B:$B,[2]analyte_order!$C:$C)</f>
        <v>30334-69-1</v>
      </c>
      <c r="M7275">
        <f>_xlfn.XLOOKUP(L7275,[2]analyte_order!$C:$C,[2]analyte_order!$E:$E)</f>
        <v>51</v>
      </c>
      <c r="N7275">
        <v>19.100000000000001</v>
      </c>
    </row>
    <row r="7276" spans="1:14">
      <c r="A7276" t="s">
        <v>306</v>
      </c>
      <c r="B7276" t="str">
        <f>_xlfn.XLOOKUP(A7276,'[1]Tissue Data'!$A:$A,'[1]Tissue Data'!$C:$C)</f>
        <v>Down</v>
      </c>
      <c r="C7276" s="2">
        <f>_xlfn.XLOOKUP(A7276,'[1]Tissue Data'!$A:$A,'[1]Tissue Data'!$D:$D)</f>
        <v>44393</v>
      </c>
      <c r="D7276" s="2" t="str">
        <f>_xlfn.XLOOKUP(A7276,'[1]Tissue Data'!$A:$A,'[1]Tissue Data'!$F:$F)</f>
        <v>Pumpkinseed</v>
      </c>
      <c r="E7276" t="str">
        <f>_xlfn.XLOOKUP(A7276,'[1]Tissue Data'!$A:$A,'[1]Tissue Data'!$H:$H)</f>
        <v>Lepomis</v>
      </c>
      <c r="F7276" t="str">
        <f>_xlfn.XLOOKUP(A7276,'[1]Tissue Data'!$A:$A,'[1]Tissue Data'!$I:$I)</f>
        <v>gibbosus</v>
      </c>
      <c r="G7276" t="str">
        <f>_xlfn.XLOOKUP(A7276,'[1]Tissue Data'!$A:$A,'[1]Tissue Data'!J:J)</f>
        <v>U</v>
      </c>
      <c r="H7276" t="str">
        <f>_xlfn.XLOOKUP(A7276,'[1]Tissue Data'!$A:$A,'[1]Tissue Data'!K:K)</f>
        <v>Whole Body</v>
      </c>
      <c r="I7276">
        <f>_xlfn.XLOOKUP(A7276,'[1]Tissue Data'!$A:$A,'[1]Tissue Data'!L:L)</f>
        <v>9.5</v>
      </c>
      <c r="J7276">
        <f>_xlfn.XLOOKUP(A7276,'[1]Tissue Data'!$A:$A,'[1]Tissue Data'!M:M)</f>
        <v>13.51</v>
      </c>
      <c r="K7276" t="s">
        <v>36</v>
      </c>
      <c r="L7276" t="str">
        <f>_xlfn.XLOOKUP(K7276,[2]analyte_order!$B:$B,[2]analyte_order!$C:$C)</f>
        <v>41997-13-1</v>
      </c>
      <c r="M7276">
        <f>_xlfn.XLOOKUP(L7276,[2]analyte_order!$C:$C,[2]analyte_order!$E:$E)</f>
        <v>52</v>
      </c>
      <c r="N7276">
        <v>88.8</v>
      </c>
    </row>
    <row r="7277" spans="1:14">
      <c r="A7277" t="s">
        <v>306</v>
      </c>
      <c r="B7277" t="str">
        <f>_xlfn.XLOOKUP(A7277,'[1]Tissue Data'!$A:$A,'[1]Tissue Data'!$C:$C)</f>
        <v>Down</v>
      </c>
      <c r="C7277" s="2">
        <f>_xlfn.XLOOKUP(A7277,'[1]Tissue Data'!$A:$A,'[1]Tissue Data'!$D:$D)</f>
        <v>44393</v>
      </c>
      <c r="D7277" s="2" t="str">
        <f>_xlfn.XLOOKUP(A7277,'[1]Tissue Data'!$A:$A,'[1]Tissue Data'!$F:$F)</f>
        <v>Pumpkinseed</v>
      </c>
      <c r="E7277" t="str">
        <f>_xlfn.XLOOKUP(A7277,'[1]Tissue Data'!$A:$A,'[1]Tissue Data'!$H:$H)</f>
        <v>Lepomis</v>
      </c>
      <c r="F7277" t="str">
        <f>_xlfn.XLOOKUP(A7277,'[1]Tissue Data'!$A:$A,'[1]Tissue Data'!$I:$I)</f>
        <v>gibbosus</v>
      </c>
      <c r="G7277" t="str">
        <f>_xlfn.XLOOKUP(A7277,'[1]Tissue Data'!$A:$A,'[1]Tissue Data'!J:J)</f>
        <v>U</v>
      </c>
      <c r="H7277" t="str">
        <f>_xlfn.XLOOKUP(A7277,'[1]Tissue Data'!$A:$A,'[1]Tissue Data'!K:K)</f>
        <v>Whole Body</v>
      </c>
      <c r="I7277">
        <f>_xlfn.XLOOKUP(A7277,'[1]Tissue Data'!$A:$A,'[1]Tissue Data'!L:L)</f>
        <v>9.5</v>
      </c>
      <c r="J7277">
        <f>_xlfn.XLOOKUP(A7277,'[1]Tissue Data'!$A:$A,'[1]Tissue Data'!M:M)</f>
        <v>13.51</v>
      </c>
      <c r="K7277" t="s">
        <v>37</v>
      </c>
      <c r="L7277" t="str">
        <f>_xlfn.XLOOKUP(K7277,[2]analyte_order!$B:$B,[2]analyte_order!$C:$C)</f>
        <v>754-91-6</v>
      </c>
      <c r="M7277">
        <f>_xlfn.XLOOKUP(L7277,[2]analyte_order!$C:$C,[2]analyte_order!$E:$E)</f>
        <v>28</v>
      </c>
      <c r="N7277">
        <v>9.36</v>
      </c>
    </row>
    <row r="7278" spans="1:14">
      <c r="A7278" t="s">
        <v>306</v>
      </c>
      <c r="B7278" t="str">
        <f>_xlfn.XLOOKUP(A7278,'[1]Tissue Data'!$A:$A,'[1]Tissue Data'!$C:$C)</f>
        <v>Down</v>
      </c>
      <c r="C7278" s="2">
        <f>_xlfn.XLOOKUP(A7278,'[1]Tissue Data'!$A:$A,'[1]Tissue Data'!$D:$D)</f>
        <v>44393</v>
      </c>
      <c r="D7278" s="2" t="str">
        <f>_xlfn.XLOOKUP(A7278,'[1]Tissue Data'!$A:$A,'[1]Tissue Data'!$F:$F)</f>
        <v>Pumpkinseed</v>
      </c>
      <c r="E7278" t="str">
        <f>_xlfn.XLOOKUP(A7278,'[1]Tissue Data'!$A:$A,'[1]Tissue Data'!$H:$H)</f>
        <v>Lepomis</v>
      </c>
      <c r="F7278" t="str">
        <f>_xlfn.XLOOKUP(A7278,'[1]Tissue Data'!$A:$A,'[1]Tissue Data'!$I:$I)</f>
        <v>gibbosus</v>
      </c>
      <c r="G7278" t="str">
        <f>_xlfn.XLOOKUP(A7278,'[1]Tissue Data'!$A:$A,'[1]Tissue Data'!J:J)</f>
        <v>U</v>
      </c>
      <c r="H7278" t="str">
        <f>_xlfn.XLOOKUP(A7278,'[1]Tissue Data'!$A:$A,'[1]Tissue Data'!K:K)</f>
        <v>Whole Body</v>
      </c>
      <c r="I7278">
        <f>_xlfn.XLOOKUP(A7278,'[1]Tissue Data'!$A:$A,'[1]Tissue Data'!L:L)</f>
        <v>9.5</v>
      </c>
      <c r="J7278">
        <f>_xlfn.XLOOKUP(A7278,'[1]Tissue Data'!$A:$A,'[1]Tissue Data'!M:M)</f>
        <v>13.51</v>
      </c>
      <c r="K7278" t="s">
        <v>38</v>
      </c>
      <c r="L7278" t="str">
        <f>_xlfn.XLOOKUP(K7278,[2]analyte_order!$B:$B,[2]analyte_order!$C:$C)</f>
        <v>31506-32-8</v>
      </c>
      <c r="M7278">
        <f>_xlfn.XLOOKUP(L7278,[2]analyte_order!$C:$C,[2]analyte_order!$E:$E)</f>
        <v>30</v>
      </c>
      <c r="N7278">
        <v>0.18</v>
      </c>
    </row>
    <row r="7279" spans="1:14">
      <c r="A7279" t="s">
        <v>306</v>
      </c>
      <c r="B7279" t="str">
        <f>_xlfn.XLOOKUP(A7279,'[1]Tissue Data'!$A:$A,'[1]Tissue Data'!$C:$C)</f>
        <v>Down</v>
      </c>
      <c r="C7279" s="2">
        <f>_xlfn.XLOOKUP(A7279,'[1]Tissue Data'!$A:$A,'[1]Tissue Data'!$D:$D)</f>
        <v>44393</v>
      </c>
      <c r="D7279" s="2" t="str">
        <f>_xlfn.XLOOKUP(A7279,'[1]Tissue Data'!$A:$A,'[1]Tissue Data'!$F:$F)</f>
        <v>Pumpkinseed</v>
      </c>
      <c r="E7279" t="str">
        <f>_xlfn.XLOOKUP(A7279,'[1]Tissue Data'!$A:$A,'[1]Tissue Data'!$H:$H)</f>
        <v>Lepomis</v>
      </c>
      <c r="F7279" t="str">
        <f>_xlfn.XLOOKUP(A7279,'[1]Tissue Data'!$A:$A,'[1]Tissue Data'!$I:$I)</f>
        <v>gibbosus</v>
      </c>
      <c r="G7279" t="str">
        <f>_xlfn.XLOOKUP(A7279,'[1]Tissue Data'!$A:$A,'[1]Tissue Data'!J:J)</f>
        <v>U</v>
      </c>
      <c r="H7279" t="str">
        <f>_xlfn.XLOOKUP(A7279,'[1]Tissue Data'!$A:$A,'[1]Tissue Data'!K:K)</f>
        <v>Whole Body</v>
      </c>
      <c r="I7279">
        <f>_xlfn.XLOOKUP(A7279,'[1]Tissue Data'!$A:$A,'[1]Tissue Data'!L:L)</f>
        <v>9.5</v>
      </c>
      <c r="J7279">
        <f>_xlfn.XLOOKUP(A7279,'[1]Tissue Data'!$A:$A,'[1]Tissue Data'!M:M)</f>
        <v>13.51</v>
      </c>
      <c r="K7279" t="s">
        <v>39</v>
      </c>
      <c r="L7279" t="str">
        <f>_xlfn.XLOOKUP(K7279,[2]analyte_order!$B:$B,[2]analyte_order!$C:$C)</f>
        <v>4151-50-2</v>
      </c>
      <c r="M7279">
        <f>_xlfn.XLOOKUP(L7279,[2]analyte_order!$C:$C,[2]analyte_order!$E:$E)</f>
        <v>31</v>
      </c>
      <c r="N7279">
        <v>0.46700000000000003</v>
      </c>
    </row>
    <row r="7280" spans="1:14">
      <c r="A7280" t="s">
        <v>306</v>
      </c>
      <c r="B7280" t="str">
        <f>_xlfn.XLOOKUP(A7280,'[1]Tissue Data'!$A:$A,'[1]Tissue Data'!$C:$C)</f>
        <v>Down</v>
      </c>
      <c r="C7280" s="2">
        <f>_xlfn.XLOOKUP(A7280,'[1]Tissue Data'!$A:$A,'[1]Tissue Data'!$D:$D)</f>
        <v>44393</v>
      </c>
      <c r="D7280" s="2" t="str">
        <f>_xlfn.XLOOKUP(A7280,'[1]Tissue Data'!$A:$A,'[1]Tissue Data'!$F:$F)</f>
        <v>Pumpkinseed</v>
      </c>
      <c r="E7280" t="str">
        <f>_xlfn.XLOOKUP(A7280,'[1]Tissue Data'!$A:$A,'[1]Tissue Data'!$H:$H)</f>
        <v>Lepomis</v>
      </c>
      <c r="F7280" t="str">
        <f>_xlfn.XLOOKUP(A7280,'[1]Tissue Data'!$A:$A,'[1]Tissue Data'!$I:$I)</f>
        <v>gibbosus</v>
      </c>
      <c r="G7280" t="str">
        <f>_xlfn.XLOOKUP(A7280,'[1]Tissue Data'!$A:$A,'[1]Tissue Data'!J:J)</f>
        <v>U</v>
      </c>
      <c r="H7280" t="str">
        <f>_xlfn.XLOOKUP(A7280,'[1]Tissue Data'!$A:$A,'[1]Tissue Data'!K:K)</f>
        <v>Whole Body</v>
      </c>
      <c r="I7280">
        <f>_xlfn.XLOOKUP(A7280,'[1]Tissue Data'!$A:$A,'[1]Tissue Data'!L:L)</f>
        <v>9.5</v>
      </c>
      <c r="J7280">
        <f>_xlfn.XLOOKUP(A7280,'[1]Tissue Data'!$A:$A,'[1]Tissue Data'!M:M)</f>
        <v>13.51</v>
      </c>
      <c r="K7280" t="s">
        <v>40</v>
      </c>
      <c r="L7280" t="str">
        <f>_xlfn.XLOOKUP(K7280,[2]analyte_order!$B:$B,[2]analyte_order!$C:$C)</f>
        <v>2806-24-8</v>
      </c>
      <c r="M7280">
        <f>_xlfn.XLOOKUP(L7280,[2]analyte_order!$C:$C,[2]analyte_order!$E:$E)</f>
        <v>29</v>
      </c>
      <c r="N7280">
        <v>0.46700000000000003</v>
      </c>
    </row>
    <row r="7281" spans="1:14">
      <c r="A7281" t="s">
        <v>306</v>
      </c>
      <c r="B7281" t="str">
        <f>_xlfn.XLOOKUP(A7281,'[1]Tissue Data'!$A:$A,'[1]Tissue Data'!$C:$C)</f>
        <v>Down</v>
      </c>
      <c r="C7281" s="2">
        <f>_xlfn.XLOOKUP(A7281,'[1]Tissue Data'!$A:$A,'[1]Tissue Data'!$D:$D)</f>
        <v>44393</v>
      </c>
      <c r="D7281" s="2" t="str">
        <f>_xlfn.XLOOKUP(A7281,'[1]Tissue Data'!$A:$A,'[1]Tissue Data'!$F:$F)</f>
        <v>Pumpkinseed</v>
      </c>
      <c r="E7281" t="str">
        <f>_xlfn.XLOOKUP(A7281,'[1]Tissue Data'!$A:$A,'[1]Tissue Data'!$H:$H)</f>
        <v>Lepomis</v>
      </c>
      <c r="F7281" t="str">
        <f>_xlfn.XLOOKUP(A7281,'[1]Tissue Data'!$A:$A,'[1]Tissue Data'!$I:$I)</f>
        <v>gibbosus</v>
      </c>
      <c r="G7281" t="str">
        <f>_xlfn.XLOOKUP(A7281,'[1]Tissue Data'!$A:$A,'[1]Tissue Data'!J:J)</f>
        <v>U</v>
      </c>
      <c r="H7281" t="str">
        <f>_xlfn.XLOOKUP(A7281,'[1]Tissue Data'!$A:$A,'[1]Tissue Data'!K:K)</f>
        <v>Whole Body</v>
      </c>
      <c r="I7281">
        <f>_xlfn.XLOOKUP(A7281,'[1]Tissue Data'!$A:$A,'[1]Tissue Data'!L:L)</f>
        <v>9.5</v>
      </c>
      <c r="J7281">
        <f>_xlfn.XLOOKUP(A7281,'[1]Tissue Data'!$A:$A,'[1]Tissue Data'!M:M)</f>
        <v>13.51</v>
      </c>
      <c r="K7281" t="s">
        <v>41</v>
      </c>
      <c r="L7281" t="str">
        <f>_xlfn.XLOOKUP(K7281,[2]analyte_order!$B:$B,[2]analyte_order!$C:$C)</f>
        <v>2355-31-9</v>
      </c>
      <c r="M7281">
        <f>_xlfn.XLOOKUP(L7281,[2]analyte_order!$C:$C,[2]analyte_order!$E:$E)</f>
        <v>26</v>
      </c>
      <c r="N7281">
        <v>0.23499999999999999</v>
      </c>
    </row>
    <row r="7282" spans="1:14">
      <c r="A7282" t="s">
        <v>306</v>
      </c>
      <c r="B7282" t="str">
        <f>_xlfn.XLOOKUP(A7282,'[1]Tissue Data'!$A:$A,'[1]Tissue Data'!$C:$C)</f>
        <v>Down</v>
      </c>
      <c r="C7282" s="2">
        <f>_xlfn.XLOOKUP(A7282,'[1]Tissue Data'!$A:$A,'[1]Tissue Data'!$D:$D)</f>
        <v>44393</v>
      </c>
      <c r="D7282" s="2" t="str">
        <f>_xlfn.XLOOKUP(A7282,'[1]Tissue Data'!$A:$A,'[1]Tissue Data'!$F:$F)</f>
        <v>Pumpkinseed</v>
      </c>
      <c r="E7282" t="str">
        <f>_xlfn.XLOOKUP(A7282,'[1]Tissue Data'!$A:$A,'[1]Tissue Data'!$H:$H)</f>
        <v>Lepomis</v>
      </c>
      <c r="F7282" t="str">
        <f>_xlfn.XLOOKUP(A7282,'[1]Tissue Data'!$A:$A,'[1]Tissue Data'!$I:$I)</f>
        <v>gibbosus</v>
      </c>
      <c r="G7282" t="str">
        <f>_xlfn.XLOOKUP(A7282,'[1]Tissue Data'!$A:$A,'[1]Tissue Data'!J:J)</f>
        <v>U</v>
      </c>
      <c r="H7282" t="str">
        <f>_xlfn.XLOOKUP(A7282,'[1]Tissue Data'!$A:$A,'[1]Tissue Data'!K:K)</f>
        <v>Whole Body</v>
      </c>
      <c r="I7282">
        <f>_xlfn.XLOOKUP(A7282,'[1]Tissue Data'!$A:$A,'[1]Tissue Data'!L:L)</f>
        <v>9.5</v>
      </c>
      <c r="J7282">
        <f>_xlfn.XLOOKUP(A7282,'[1]Tissue Data'!$A:$A,'[1]Tissue Data'!M:M)</f>
        <v>13.51</v>
      </c>
      <c r="K7282" t="s">
        <v>42</v>
      </c>
      <c r="L7282" t="str">
        <f>_xlfn.XLOOKUP(K7282,[2]analyte_order!$B:$B,[2]analyte_order!$C:$C)</f>
        <v>2991-50-6</v>
      </c>
      <c r="M7282">
        <f>_xlfn.XLOOKUP(L7282,[2]analyte_order!$C:$C,[2]analyte_order!$E:$E)</f>
        <v>27</v>
      </c>
      <c r="N7282">
        <v>0.23350000000000001</v>
      </c>
    </row>
    <row r="7283" spans="1:14">
      <c r="A7283" t="s">
        <v>306</v>
      </c>
      <c r="B7283" t="str">
        <f>_xlfn.XLOOKUP(A7283,'[1]Tissue Data'!$A:$A,'[1]Tissue Data'!$C:$C)</f>
        <v>Down</v>
      </c>
      <c r="C7283" s="2">
        <f>_xlfn.XLOOKUP(A7283,'[1]Tissue Data'!$A:$A,'[1]Tissue Data'!$D:$D)</f>
        <v>44393</v>
      </c>
      <c r="D7283" s="2" t="str">
        <f>_xlfn.XLOOKUP(A7283,'[1]Tissue Data'!$A:$A,'[1]Tissue Data'!$F:$F)</f>
        <v>Pumpkinseed</v>
      </c>
      <c r="E7283" t="str">
        <f>_xlfn.XLOOKUP(A7283,'[1]Tissue Data'!$A:$A,'[1]Tissue Data'!$H:$H)</f>
        <v>Lepomis</v>
      </c>
      <c r="F7283" t="str">
        <f>_xlfn.XLOOKUP(A7283,'[1]Tissue Data'!$A:$A,'[1]Tissue Data'!$I:$I)</f>
        <v>gibbosus</v>
      </c>
      <c r="G7283" t="str">
        <f>_xlfn.XLOOKUP(A7283,'[1]Tissue Data'!$A:$A,'[1]Tissue Data'!J:J)</f>
        <v>U</v>
      </c>
      <c r="H7283" t="str">
        <f>_xlfn.XLOOKUP(A7283,'[1]Tissue Data'!$A:$A,'[1]Tissue Data'!K:K)</f>
        <v>Whole Body</v>
      </c>
      <c r="I7283">
        <f>_xlfn.XLOOKUP(A7283,'[1]Tissue Data'!$A:$A,'[1]Tissue Data'!L:L)</f>
        <v>9.5</v>
      </c>
      <c r="J7283">
        <f>_xlfn.XLOOKUP(A7283,'[1]Tissue Data'!$A:$A,'[1]Tissue Data'!M:M)</f>
        <v>13.51</v>
      </c>
      <c r="K7283" t="s">
        <v>43</v>
      </c>
      <c r="L7283" t="str">
        <f>_xlfn.XLOOKUP(K7283,[2]analyte_order!$B:$B,[2]analyte_order!$C:$C)</f>
        <v>757124-72-4</v>
      </c>
      <c r="M7283">
        <f>_xlfn.XLOOKUP(L7283,[2]analyte_order!$C:$C,[2]analyte_order!$E:$E)</f>
        <v>22</v>
      </c>
      <c r="N7283">
        <v>0.23350000000000001</v>
      </c>
    </row>
    <row r="7284" spans="1:14">
      <c r="A7284" t="s">
        <v>306</v>
      </c>
      <c r="B7284" t="str">
        <f>_xlfn.XLOOKUP(A7284,'[1]Tissue Data'!$A:$A,'[1]Tissue Data'!$C:$C)</f>
        <v>Down</v>
      </c>
      <c r="C7284" s="2">
        <f>_xlfn.XLOOKUP(A7284,'[1]Tissue Data'!$A:$A,'[1]Tissue Data'!$D:$D)</f>
        <v>44393</v>
      </c>
      <c r="D7284" s="2" t="str">
        <f>_xlfn.XLOOKUP(A7284,'[1]Tissue Data'!$A:$A,'[1]Tissue Data'!$F:$F)</f>
        <v>Pumpkinseed</v>
      </c>
      <c r="E7284" t="str">
        <f>_xlfn.XLOOKUP(A7284,'[1]Tissue Data'!$A:$A,'[1]Tissue Data'!$H:$H)</f>
        <v>Lepomis</v>
      </c>
      <c r="F7284" t="str">
        <f>_xlfn.XLOOKUP(A7284,'[1]Tissue Data'!$A:$A,'[1]Tissue Data'!$I:$I)</f>
        <v>gibbosus</v>
      </c>
      <c r="G7284" t="str">
        <f>_xlfn.XLOOKUP(A7284,'[1]Tissue Data'!$A:$A,'[1]Tissue Data'!J:J)</f>
        <v>U</v>
      </c>
      <c r="H7284" t="str">
        <f>_xlfn.XLOOKUP(A7284,'[1]Tissue Data'!$A:$A,'[1]Tissue Data'!K:K)</f>
        <v>Whole Body</v>
      </c>
      <c r="I7284">
        <f>_xlfn.XLOOKUP(A7284,'[1]Tissue Data'!$A:$A,'[1]Tissue Data'!L:L)</f>
        <v>9.5</v>
      </c>
      <c r="J7284">
        <f>_xlfn.XLOOKUP(A7284,'[1]Tissue Data'!$A:$A,'[1]Tissue Data'!M:M)</f>
        <v>13.51</v>
      </c>
      <c r="K7284" t="s">
        <v>44</v>
      </c>
      <c r="L7284" t="str">
        <f>_xlfn.XLOOKUP(K7284,[2]analyte_order!$B:$B,[2]analyte_order!$C:$C)</f>
        <v>27619-97-2</v>
      </c>
      <c r="M7284">
        <f>_xlfn.XLOOKUP(L7284,[2]analyte_order!$C:$C,[2]analyte_order!$E:$E)</f>
        <v>23</v>
      </c>
      <c r="N7284">
        <v>1.69</v>
      </c>
    </row>
    <row r="7285" spans="1:14">
      <c r="A7285" t="s">
        <v>306</v>
      </c>
      <c r="B7285" t="str">
        <f>_xlfn.XLOOKUP(A7285,'[1]Tissue Data'!$A:$A,'[1]Tissue Data'!$C:$C)</f>
        <v>Down</v>
      </c>
      <c r="C7285" s="2">
        <f>_xlfn.XLOOKUP(A7285,'[1]Tissue Data'!$A:$A,'[1]Tissue Data'!$D:$D)</f>
        <v>44393</v>
      </c>
      <c r="D7285" s="2" t="str">
        <f>_xlfn.XLOOKUP(A7285,'[1]Tissue Data'!$A:$A,'[1]Tissue Data'!$F:$F)</f>
        <v>Pumpkinseed</v>
      </c>
      <c r="E7285" t="str">
        <f>_xlfn.XLOOKUP(A7285,'[1]Tissue Data'!$A:$A,'[1]Tissue Data'!$H:$H)</f>
        <v>Lepomis</v>
      </c>
      <c r="F7285" t="str">
        <f>_xlfn.XLOOKUP(A7285,'[1]Tissue Data'!$A:$A,'[1]Tissue Data'!$I:$I)</f>
        <v>gibbosus</v>
      </c>
      <c r="G7285" t="str">
        <f>_xlfn.XLOOKUP(A7285,'[1]Tissue Data'!$A:$A,'[1]Tissue Data'!J:J)</f>
        <v>U</v>
      </c>
      <c r="H7285" t="str">
        <f>_xlfn.XLOOKUP(A7285,'[1]Tissue Data'!$A:$A,'[1]Tissue Data'!K:K)</f>
        <v>Whole Body</v>
      </c>
      <c r="I7285">
        <f>_xlfn.XLOOKUP(A7285,'[1]Tissue Data'!$A:$A,'[1]Tissue Data'!L:L)</f>
        <v>9.5</v>
      </c>
      <c r="J7285">
        <f>_xlfn.XLOOKUP(A7285,'[1]Tissue Data'!$A:$A,'[1]Tissue Data'!M:M)</f>
        <v>13.51</v>
      </c>
      <c r="K7285" t="s">
        <v>45</v>
      </c>
      <c r="L7285" t="str">
        <f>_xlfn.XLOOKUP(K7285,[2]analyte_order!$B:$B,[2]analyte_order!$C:$C)</f>
        <v>39108-34-4</v>
      </c>
      <c r="M7285">
        <f>_xlfn.XLOOKUP(L7285,[2]analyte_order!$C:$C,[2]analyte_order!$E:$E)</f>
        <v>24</v>
      </c>
      <c r="N7285">
        <v>3.86</v>
      </c>
    </row>
    <row r="7286" spans="1:14">
      <c r="A7286" t="s">
        <v>306</v>
      </c>
      <c r="B7286" t="str">
        <f>_xlfn.XLOOKUP(A7286,'[1]Tissue Data'!$A:$A,'[1]Tissue Data'!$C:$C)</f>
        <v>Down</v>
      </c>
      <c r="C7286" s="2">
        <f>_xlfn.XLOOKUP(A7286,'[1]Tissue Data'!$A:$A,'[1]Tissue Data'!$D:$D)</f>
        <v>44393</v>
      </c>
      <c r="D7286" s="2" t="str">
        <f>_xlfn.XLOOKUP(A7286,'[1]Tissue Data'!$A:$A,'[1]Tissue Data'!$F:$F)</f>
        <v>Pumpkinseed</v>
      </c>
      <c r="E7286" t="str">
        <f>_xlfn.XLOOKUP(A7286,'[1]Tissue Data'!$A:$A,'[1]Tissue Data'!$H:$H)</f>
        <v>Lepomis</v>
      </c>
      <c r="F7286" t="str">
        <f>_xlfn.XLOOKUP(A7286,'[1]Tissue Data'!$A:$A,'[1]Tissue Data'!$I:$I)</f>
        <v>gibbosus</v>
      </c>
      <c r="G7286" t="str">
        <f>_xlfn.XLOOKUP(A7286,'[1]Tissue Data'!$A:$A,'[1]Tissue Data'!J:J)</f>
        <v>U</v>
      </c>
      <c r="H7286" t="str">
        <f>_xlfn.XLOOKUP(A7286,'[1]Tissue Data'!$A:$A,'[1]Tissue Data'!K:K)</f>
        <v>Whole Body</v>
      </c>
      <c r="I7286">
        <f>_xlfn.XLOOKUP(A7286,'[1]Tissue Data'!$A:$A,'[1]Tissue Data'!L:L)</f>
        <v>9.5</v>
      </c>
      <c r="J7286">
        <f>_xlfn.XLOOKUP(A7286,'[1]Tissue Data'!$A:$A,'[1]Tissue Data'!M:M)</f>
        <v>13.51</v>
      </c>
      <c r="K7286" t="s">
        <v>46</v>
      </c>
      <c r="L7286" t="str">
        <f>_xlfn.XLOOKUP(K7286,[2]analyte_order!$B:$B,[2]analyte_order!$C:$C)</f>
        <v>120226-60-0</v>
      </c>
      <c r="M7286">
        <f>_xlfn.XLOOKUP(L7286,[2]analyte_order!$C:$C,[2]analyte_order!$E:$E)</f>
        <v>25</v>
      </c>
      <c r="N7286">
        <v>0.46700000000000003</v>
      </c>
    </row>
    <row r="7287" spans="1:14">
      <c r="A7287" t="s">
        <v>306</v>
      </c>
      <c r="B7287" t="str">
        <f>_xlfn.XLOOKUP(A7287,'[1]Tissue Data'!$A:$A,'[1]Tissue Data'!$C:$C)</f>
        <v>Down</v>
      </c>
      <c r="C7287" s="2">
        <f>_xlfn.XLOOKUP(A7287,'[1]Tissue Data'!$A:$A,'[1]Tissue Data'!$D:$D)</f>
        <v>44393</v>
      </c>
      <c r="D7287" s="2" t="str">
        <f>_xlfn.XLOOKUP(A7287,'[1]Tissue Data'!$A:$A,'[1]Tissue Data'!$F:$F)</f>
        <v>Pumpkinseed</v>
      </c>
      <c r="E7287" t="str">
        <f>_xlfn.XLOOKUP(A7287,'[1]Tissue Data'!$A:$A,'[1]Tissue Data'!$H:$H)</f>
        <v>Lepomis</v>
      </c>
      <c r="F7287" t="str">
        <f>_xlfn.XLOOKUP(A7287,'[1]Tissue Data'!$A:$A,'[1]Tissue Data'!$I:$I)</f>
        <v>gibbosus</v>
      </c>
      <c r="G7287" t="str">
        <f>_xlfn.XLOOKUP(A7287,'[1]Tissue Data'!$A:$A,'[1]Tissue Data'!J:J)</f>
        <v>U</v>
      </c>
      <c r="H7287" t="str">
        <f>_xlfn.XLOOKUP(A7287,'[1]Tissue Data'!$A:$A,'[1]Tissue Data'!K:K)</f>
        <v>Whole Body</v>
      </c>
      <c r="I7287">
        <f>_xlfn.XLOOKUP(A7287,'[1]Tissue Data'!$A:$A,'[1]Tissue Data'!L:L)</f>
        <v>9.5</v>
      </c>
      <c r="J7287">
        <f>_xlfn.XLOOKUP(A7287,'[1]Tissue Data'!$A:$A,'[1]Tissue Data'!M:M)</f>
        <v>13.51</v>
      </c>
      <c r="K7287" t="s">
        <v>47</v>
      </c>
      <c r="L7287" t="str">
        <f>_xlfn.XLOOKUP(K7287,[2]analyte_order!$B:$B,[2]analyte_order!$C:$C)</f>
        <v>356-02-5</v>
      </c>
      <c r="M7287">
        <f>_xlfn.XLOOKUP(L7287,[2]analyte_order!$C:$C,[2]analyte_order!$E:$E)</f>
        <v>38</v>
      </c>
      <c r="N7287">
        <v>0.26950000000000002</v>
      </c>
    </row>
    <row r="7288" spans="1:14">
      <c r="A7288" t="s">
        <v>306</v>
      </c>
      <c r="B7288" t="str">
        <f>_xlfn.XLOOKUP(A7288,'[1]Tissue Data'!$A:$A,'[1]Tissue Data'!$C:$C)</f>
        <v>Down</v>
      </c>
      <c r="C7288" s="2">
        <f>_xlfn.XLOOKUP(A7288,'[1]Tissue Data'!$A:$A,'[1]Tissue Data'!$D:$D)</f>
        <v>44393</v>
      </c>
      <c r="D7288" s="2" t="str">
        <f>_xlfn.XLOOKUP(A7288,'[1]Tissue Data'!$A:$A,'[1]Tissue Data'!$F:$F)</f>
        <v>Pumpkinseed</v>
      </c>
      <c r="E7288" t="str">
        <f>_xlfn.XLOOKUP(A7288,'[1]Tissue Data'!$A:$A,'[1]Tissue Data'!$H:$H)</f>
        <v>Lepomis</v>
      </c>
      <c r="F7288" t="str">
        <f>_xlfn.XLOOKUP(A7288,'[1]Tissue Data'!$A:$A,'[1]Tissue Data'!$I:$I)</f>
        <v>gibbosus</v>
      </c>
      <c r="G7288" t="str">
        <f>_xlfn.XLOOKUP(A7288,'[1]Tissue Data'!$A:$A,'[1]Tissue Data'!J:J)</f>
        <v>U</v>
      </c>
      <c r="H7288" t="str">
        <f>_xlfn.XLOOKUP(A7288,'[1]Tissue Data'!$A:$A,'[1]Tissue Data'!K:K)</f>
        <v>Whole Body</v>
      </c>
      <c r="I7288">
        <f>_xlfn.XLOOKUP(A7288,'[1]Tissue Data'!$A:$A,'[1]Tissue Data'!L:L)</f>
        <v>9.5</v>
      </c>
      <c r="J7288">
        <f>_xlfn.XLOOKUP(A7288,'[1]Tissue Data'!$A:$A,'[1]Tissue Data'!M:M)</f>
        <v>13.51</v>
      </c>
      <c r="K7288" t="s">
        <v>48</v>
      </c>
      <c r="L7288" t="str">
        <f>_xlfn.XLOOKUP(K7288,[2]analyte_order!$B:$B,[2]analyte_order!$C:$C)</f>
        <v>914637-49-3</v>
      </c>
      <c r="M7288">
        <f>_xlfn.XLOOKUP(L7288,[2]analyte_order!$C:$C,[2]analyte_order!$E:$E)</f>
        <v>39</v>
      </c>
      <c r="N7288">
        <v>0.23350000000000001</v>
      </c>
    </row>
    <row r="7289" spans="1:14">
      <c r="A7289" t="s">
        <v>306</v>
      </c>
      <c r="B7289" t="str">
        <f>_xlfn.XLOOKUP(A7289,'[1]Tissue Data'!$A:$A,'[1]Tissue Data'!$C:$C)</f>
        <v>Down</v>
      </c>
      <c r="C7289" s="2">
        <f>_xlfn.XLOOKUP(A7289,'[1]Tissue Data'!$A:$A,'[1]Tissue Data'!$D:$D)</f>
        <v>44393</v>
      </c>
      <c r="D7289" s="2" t="str">
        <f>_xlfn.XLOOKUP(A7289,'[1]Tissue Data'!$A:$A,'[1]Tissue Data'!$F:$F)</f>
        <v>Pumpkinseed</v>
      </c>
      <c r="E7289" t="str">
        <f>_xlfn.XLOOKUP(A7289,'[1]Tissue Data'!$A:$A,'[1]Tissue Data'!$H:$H)</f>
        <v>Lepomis</v>
      </c>
      <c r="F7289" t="str">
        <f>_xlfn.XLOOKUP(A7289,'[1]Tissue Data'!$A:$A,'[1]Tissue Data'!$I:$I)</f>
        <v>gibbosus</v>
      </c>
      <c r="G7289" t="str">
        <f>_xlfn.XLOOKUP(A7289,'[1]Tissue Data'!$A:$A,'[1]Tissue Data'!J:J)</f>
        <v>U</v>
      </c>
      <c r="H7289" t="str">
        <f>_xlfn.XLOOKUP(A7289,'[1]Tissue Data'!$A:$A,'[1]Tissue Data'!K:K)</f>
        <v>Whole Body</v>
      </c>
      <c r="I7289">
        <f>_xlfn.XLOOKUP(A7289,'[1]Tissue Data'!$A:$A,'[1]Tissue Data'!L:L)</f>
        <v>9.5</v>
      </c>
      <c r="J7289">
        <f>_xlfn.XLOOKUP(A7289,'[1]Tissue Data'!$A:$A,'[1]Tissue Data'!M:M)</f>
        <v>13.51</v>
      </c>
      <c r="K7289" t="s">
        <v>49</v>
      </c>
      <c r="L7289" t="str">
        <f>_xlfn.XLOOKUP(K7289,[2]analyte_order!$B:$B,[2]analyte_order!$C:$C)</f>
        <v>812-70-4</v>
      </c>
      <c r="M7289">
        <f>_xlfn.XLOOKUP(L7289,[2]analyte_order!$C:$C,[2]analyte_order!$E:$E)</f>
        <v>40</v>
      </c>
      <c r="N7289">
        <v>0.53700000000000003</v>
      </c>
    </row>
    <row r="7290" spans="1:14">
      <c r="A7290" t="s">
        <v>306</v>
      </c>
      <c r="B7290" t="str">
        <f>_xlfn.XLOOKUP(A7290,'[1]Tissue Data'!$A:$A,'[1]Tissue Data'!$C:$C)</f>
        <v>Down</v>
      </c>
      <c r="C7290" s="2">
        <f>_xlfn.XLOOKUP(A7290,'[1]Tissue Data'!$A:$A,'[1]Tissue Data'!$D:$D)</f>
        <v>44393</v>
      </c>
      <c r="D7290" s="2" t="str">
        <f>_xlfn.XLOOKUP(A7290,'[1]Tissue Data'!$A:$A,'[1]Tissue Data'!$F:$F)</f>
        <v>Pumpkinseed</v>
      </c>
      <c r="E7290" t="str">
        <f>_xlfn.XLOOKUP(A7290,'[1]Tissue Data'!$A:$A,'[1]Tissue Data'!$H:$H)</f>
        <v>Lepomis</v>
      </c>
      <c r="F7290" t="str">
        <f>_xlfn.XLOOKUP(A7290,'[1]Tissue Data'!$A:$A,'[1]Tissue Data'!$I:$I)</f>
        <v>gibbosus</v>
      </c>
      <c r="G7290" t="str">
        <f>_xlfn.XLOOKUP(A7290,'[1]Tissue Data'!$A:$A,'[1]Tissue Data'!J:J)</f>
        <v>U</v>
      </c>
      <c r="H7290" t="str">
        <f>_xlfn.XLOOKUP(A7290,'[1]Tissue Data'!$A:$A,'[1]Tissue Data'!K:K)</f>
        <v>Whole Body</v>
      </c>
      <c r="I7290">
        <f>_xlfn.XLOOKUP(A7290,'[1]Tissue Data'!$A:$A,'[1]Tissue Data'!L:L)</f>
        <v>9.5</v>
      </c>
      <c r="J7290">
        <f>_xlfn.XLOOKUP(A7290,'[1]Tissue Data'!$A:$A,'[1]Tissue Data'!M:M)</f>
        <v>13.51</v>
      </c>
      <c r="K7290" t="s">
        <v>50</v>
      </c>
      <c r="L7290" t="str">
        <f>_xlfn.XLOOKUP(K7290,[2]analyte_order!$B:$B,[2]analyte_order!$C:$C)</f>
        <v>53826-12-3</v>
      </c>
      <c r="M7290">
        <f>_xlfn.XLOOKUP(L7290,[2]analyte_order!$C:$C,[2]analyte_order!$E:$E)</f>
        <v>41</v>
      </c>
      <c r="N7290">
        <v>0.46700000000000003</v>
      </c>
    </row>
    <row r="7291" spans="1:14">
      <c r="A7291" t="s">
        <v>306</v>
      </c>
      <c r="B7291" t="str">
        <f>_xlfn.XLOOKUP(A7291,'[1]Tissue Data'!$A:$A,'[1]Tissue Data'!$C:$C)</f>
        <v>Down</v>
      </c>
      <c r="C7291" s="2">
        <f>_xlfn.XLOOKUP(A7291,'[1]Tissue Data'!$A:$A,'[1]Tissue Data'!$D:$D)</f>
        <v>44393</v>
      </c>
      <c r="D7291" s="2" t="str">
        <f>_xlfn.XLOOKUP(A7291,'[1]Tissue Data'!$A:$A,'[1]Tissue Data'!$F:$F)</f>
        <v>Pumpkinseed</v>
      </c>
      <c r="E7291" t="str">
        <f>_xlfn.XLOOKUP(A7291,'[1]Tissue Data'!$A:$A,'[1]Tissue Data'!$H:$H)</f>
        <v>Lepomis</v>
      </c>
      <c r="F7291" t="str">
        <f>_xlfn.XLOOKUP(A7291,'[1]Tissue Data'!$A:$A,'[1]Tissue Data'!$I:$I)</f>
        <v>gibbosus</v>
      </c>
      <c r="G7291" t="str">
        <f>_xlfn.XLOOKUP(A7291,'[1]Tissue Data'!$A:$A,'[1]Tissue Data'!J:J)</f>
        <v>U</v>
      </c>
      <c r="H7291" t="str">
        <f>_xlfn.XLOOKUP(A7291,'[1]Tissue Data'!$A:$A,'[1]Tissue Data'!K:K)</f>
        <v>Whole Body</v>
      </c>
      <c r="I7291">
        <f>_xlfn.XLOOKUP(A7291,'[1]Tissue Data'!$A:$A,'[1]Tissue Data'!L:L)</f>
        <v>9.5</v>
      </c>
      <c r="J7291">
        <f>_xlfn.XLOOKUP(A7291,'[1]Tissue Data'!$A:$A,'[1]Tissue Data'!M:M)</f>
        <v>13.51</v>
      </c>
      <c r="K7291" t="s">
        <v>51</v>
      </c>
      <c r="L7291" t="str">
        <f>_xlfn.XLOOKUP(K7291,[2]analyte_order!$B:$B,[2]analyte_order!$C:$C)</f>
        <v>27854-31-5</v>
      </c>
      <c r="M7291">
        <f>_xlfn.XLOOKUP(L7291,[2]analyte_order!$C:$C,[2]analyte_order!$E:$E)</f>
        <v>42</v>
      </c>
      <c r="N7291">
        <v>0.46700000000000003</v>
      </c>
    </row>
    <row r="7292" spans="1:14">
      <c r="A7292" t="s">
        <v>306</v>
      </c>
      <c r="B7292" t="str">
        <f>_xlfn.XLOOKUP(A7292,'[1]Tissue Data'!$A:$A,'[1]Tissue Data'!$C:$C)</f>
        <v>Down</v>
      </c>
      <c r="C7292" s="2">
        <f>_xlfn.XLOOKUP(A7292,'[1]Tissue Data'!$A:$A,'[1]Tissue Data'!$D:$D)</f>
        <v>44393</v>
      </c>
      <c r="D7292" s="2" t="str">
        <f>_xlfn.XLOOKUP(A7292,'[1]Tissue Data'!$A:$A,'[1]Tissue Data'!$F:$F)</f>
        <v>Pumpkinseed</v>
      </c>
      <c r="E7292" t="str">
        <f>_xlfn.XLOOKUP(A7292,'[1]Tissue Data'!$A:$A,'[1]Tissue Data'!$H:$H)</f>
        <v>Lepomis</v>
      </c>
      <c r="F7292" t="str">
        <f>_xlfn.XLOOKUP(A7292,'[1]Tissue Data'!$A:$A,'[1]Tissue Data'!$I:$I)</f>
        <v>gibbosus</v>
      </c>
      <c r="G7292" t="str">
        <f>_xlfn.XLOOKUP(A7292,'[1]Tissue Data'!$A:$A,'[1]Tissue Data'!J:J)</f>
        <v>U</v>
      </c>
      <c r="H7292" t="str">
        <f>_xlfn.XLOOKUP(A7292,'[1]Tissue Data'!$A:$A,'[1]Tissue Data'!K:K)</f>
        <v>Whole Body</v>
      </c>
      <c r="I7292">
        <f>_xlfn.XLOOKUP(A7292,'[1]Tissue Data'!$A:$A,'[1]Tissue Data'!L:L)</f>
        <v>9.5</v>
      </c>
      <c r="J7292">
        <f>_xlfn.XLOOKUP(A7292,'[1]Tissue Data'!$A:$A,'[1]Tissue Data'!M:M)</f>
        <v>13.51</v>
      </c>
      <c r="K7292" t="s">
        <v>52</v>
      </c>
      <c r="L7292" t="str">
        <f>_xlfn.XLOOKUP(K7292,[2]analyte_order!$B:$B,[2]analyte_order!$C:$C)</f>
        <v>53826-13-4</v>
      </c>
      <c r="M7292">
        <f>_xlfn.XLOOKUP(L7292,[2]analyte_order!$C:$C,[2]analyte_order!$E:$E)</f>
        <v>43</v>
      </c>
      <c r="N7292">
        <v>0.46700000000000003</v>
      </c>
    </row>
    <row r="7293" spans="1:14">
      <c r="A7293" t="s">
        <v>306</v>
      </c>
      <c r="B7293" t="str">
        <f>_xlfn.XLOOKUP(A7293,'[1]Tissue Data'!$A:$A,'[1]Tissue Data'!$C:$C)</f>
        <v>Down</v>
      </c>
      <c r="C7293" s="2">
        <f>_xlfn.XLOOKUP(A7293,'[1]Tissue Data'!$A:$A,'[1]Tissue Data'!$D:$D)</f>
        <v>44393</v>
      </c>
      <c r="D7293" s="2" t="str">
        <f>_xlfn.XLOOKUP(A7293,'[1]Tissue Data'!$A:$A,'[1]Tissue Data'!$F:$F)</f>
        <v>Pumpkinseed</v>
      </c>
      <c r="E7293" t="str">
        <f>_xlfn.XLOOKUP(A7293,'[1]Tissue Data'!$A:$A,'[1]Tissue Data'!$H:$H)</f>
        <v>Lepomis</v>
      </c>
      <c r="F7293" t="str">
        <f>_xlfn.XLOOKUP(A7293,'[1]Tissue Data'!$A:$A,'[1]Tissue Data'!$I:$I)</f>
        <v>gibbosus</v>
      </c>
      <c r="G7293" t="str">
        <f>_xlfn.XLOOKUP(A7293,'[1]Tissue Data'!$A:$A,'[1]Tissue Data'!J:J)</f>
        <v>U</v>
      </c>
      <c r="H7293" t="str">
        <f>_xlfn.XLOOKUP(A7293,'[1]Tissue Data'!$A:$A,'[1]Tissue Data'!K:K)</f>
        <v>Whole Body</v>
      </c>
      <c r="I7293">
        <f>_xlfn.XLOOKUP(A7293,'[1]Tissue Data'!$A:$A,'[1]Tissue Data'!L:L)</f>
        <v>9.5</v>
      </c>
      <c r="J7293">
        <f>_xlfn.XLOOKUP(A7293,'[1]Tissue Data'!$A:$A,'[1]Tissue Data'!M:M)</f>
        <v>13.51</v>
      </c>
      <c r="K7293" t="s">
        <v>53</v>
      </c>
      <c r="L7293" t="str">
        <f>_xlfn.XLOOKUP(K7293,[2]analyte_order!$B:$B,[2]analyte_order!$C:$C)</f>
        <v>161094-75-3</v>
      </c>
      <c r="M7293">
        <f>_xlfn.XLOOKUP(L7293,[2]analyte_order!$C:$C,[2]analyte_order!$E:$E)</f>
        <v>44</v>
      </c>
      <c r="N7293">
        <v>0.46700000000000003</v>
      </c>
    </row>
    <row r="7294" spans="1:14">
      <c r="A7294" t="s">
        <v>306</v>
      </c>
      <c r="B7294" t="str">
        <f>_xlfn.XLOOKUP(A7294,'[1]Tissue Data'!$A:$A,'[1]Tissue Data'!$C:$C)</f>
        <v>Down</v>
      </c>
      <c r="C7294" s="2">
        <f>_xlfn.XLOOKUP(A7294,'[1]Tissue Data'!$A:$A,'[1]Tissue Data'!$D:$D)</f>
        <v>44393</v>
      </c>
      <c r="D7294" s="2" t="str">
        <f>_xlfn.XLOOKUP(A7294,'[1]Tissue Data'!$A:$A,'[1]Tissue Data'!$F:$F)</f>
        <v>Pumpkinseed</v>
      </c>
      <c r="E7294" t="str">
        <f>_xlfn.XLOOKUP(A7294,'[1]Tissue Data'!$A:$A,'[1]Tissue Data'!$H:$H)</f>
        <v>Lepomis</v>
      </c>
      <c r="F7294" t="str">
        <f>_xlfn.XLOOKUP(A7294,'[1]Tissue Data'!$A:$A,'[1]Tissue Data'!$I:$I)</f>
        <v>gibbosus</v>
      </c>
      <c r="G7294" t="str">
        <f>_xlfn.XLOOKUP(A7294,'[1]Tissue Data'!$A:$A,'[1]Tissue Data'!J:J)</f>
        <v>U</v>
      </c>
      <c r="H7294" t="str">
        <f>_xlfn.XLOOKUP(A7294,'[1]Tissue Data'!$A:$A,'[1]Tissue Data'!K:K)</f>
        <v>Whole Body</v>
      </c>
      <c r="I7294">
        <f>_xlfn.XLOOKUP(A7294,'[1]Tissue Data'!$A:$A,'[1]Tissue Data'!L:L)</f>
        <v>9.5</v>
      </c>
      <c r="J7294">
        <f>_xlfn.XLOOKUP(A7294,'[1]Tissue Data'!$A:$A,'[1]Tissue Data'!M:M)</f>
        <v>13.51</v>
      </c>
      <c r="K7294" t="s">
        <v>54</v>
      </c>
      <c r="L7294" t="str">
        <f>_xlfn.XLOOKUP(K7294,[2]analyte_order!$B:$B,[2]analyte_order!$C:$C)</f>
        <v>70887-84-2</v>
      </c>
      <c r="M7294">
        <f>_xlfn.XLOOKUP(L7294,[2]analyte_order!$C:$C,[2]analyte_order!$E:$E)</f>
        <v>45</v>
      </c>
      <c r="N7294">
        <v>0.46700000000000003</v>
      </c>
    </row>
    <row r="7295" spans="1:14">
      <c r="A7295" t="s">
        <v>306</v>
      </c>
      <c r="B7295" t="str">
        <f>_xlfn.XLOOKUP(A7295,'[1]Tissue Data'!$A:$A,'[1]Tissue Data'!$C:$C)</f>
        <v>Down</v>
      </c>
      <c r="C7295" s="2">
        <f>_xlfn.XLOOKUP(A7295,'[1]Tissue Data'!$A:$A,'[1]Tissue Data'!$D:$D)</f>
        <v>44393</v>
      </c>
      <c r="D7295" s="2" t="str">
        <f>_xlfn.XLOOKUP(A7295,'[1]Tissue Data'!$A:$A,'[1]Tissue Data'!$F:$F)</f>
        <v>Pumpkinseed</v>
      </c>
      <c r="E7295" t="str">
        <f>_xlfn.XLOOKUP(A7295,'[1]Tissue Data'!$A:$A,'[1]Tissue Data'!$H:$H)</f>
        <v>Lepomis</v>
      </c>
      <c r="F7295" t="str">
        <f>_xlfn.XLOOKUP(A7295,'[1]Tissue Data'!$A:$A,'[1]Tissue Data'!$I:$I)</f>
        <v>gibbosus</v>
      </c>
      <c r="G7295" t="str">
        <f>_xlfn.XLOOKUP(A7295,'[1]Tissue Data'!$A:$A,'[1]Tissue Data'!J:J)</f>
        <v>U</v>
      </c>
      <c r="H7295" t="str">
        <f>_xlfn.XLOOKUP(A7295,'[1]Tissue Data'!$A:$A,'[1]Tissue Data'!K:K)</f>
        <v>Whole Body</v>
      </c>
      <c r="I7295">
        <f>_xlfn.XLOOKUP(A7295,'[1]Tissue Data'!$A:$A,'[1]Tissue Data'!L:L)</f>
        <v>9.5</v>
      </c>
      <c r="J7295">
        <f>_xlfn.XLOOKUP(A7295,'[1]Tissue Data'!$A:$A,'[1]Tissue Data'!M:M)</f>
        <v>13.51</v>
      </c>
      <c r="K7295" t="s">
        <v>55</v>
      </c>
      <c r="L7295" t="str">
        <f>_xlfn.XLOOKUP(K7295,[2]analyte_order!$B:$B,[2]analyte_order!$C:$C)</f>
        <v>919005-14-4</v>
      </c>
      <c r="M7295">
        <f>_xlfn.XLOOKUP(L7295,[2]analyte_order!$C:$C,[2]analyte_order!$E:$E)</f>
        <v>35</v>
      </c>
      <c r="N7295">
        <v>0.23350000000000001</v>
      </c>
    </row>
    <row r="7296" spans="1:14">
      <c r="A7296" t="s">
        <v>306</v>
      </c>
      <c r="B7296" t="str">
        <f>_xlfn.XLOOKUP(A7296,'[1]Tissue Data'!$A:$A,'[1]Tissue Data'!$C:$C)</f>
        <v>Down</v>
      </c>
      <c r="C7296" s="2">
        <f>_xlfn.XLOOKUP(A7296,'[1]Tissue Data'!$A:$A,'[1]Tissue Data'!$D:$D)</f>
        <v>44393</v>
      </c>
      <c r="D7296" s="2" t="str">
        <f>_xlfn.XLOOKUP(A7296,'[1]Tissue Data'!$A:$A,'[1]Tissue Data'!$F:$F)</f>
        <v>Pumpkinseed</v>
      </c>
      <c r="E7296" t="str">
        <f>_xlfn.XLOOKUP(A7296,'[1]Tissue Data'!$A:$A,'[1]Tissue Data'!$H:$H)</f>
        <v>Lepomis</v>
      </c>
      <c r="F7296" t="str">
        <f>_xlfn.XLOOKUP(A7296,'[1]Tissue Data'!$A:$A,'[1]Tissue Data'!$I:$I)</f>
        <v>gibbosus</v>
      </c>
      <c r="G7296" t="str">
        <f>_xlfn.XLOOKUP(A7296,'[1]Tissue Data'!$A:$A,'[1]Tissue Data'!J:J)</f>
        <v>U</v>
      </c>
      <c r="H7296" t="str">
        <f>_xlfn.XLOOKUP(A7296,'[1]Tissue Data'!$A:$A,'[1]Tissue Data'!K:K)</f>
        <v>Whole Body</v>
      </c>
      <c r="I7296">
        <f>_xlfn.XLOOKUP(A7296,'[1]Tissue Data'!$A:$A,'[1]Tissue Data'!L:L)</f>
        <v>9.5</v>
      </c>
      <c r="J7296">
        <f>_xlfn.XLOOKUP(A7296,'[1]Tissue Data'!$A:$A,'[1]Tissue Data'!M:M)</f>
        <v>13.51</v>
      </c>
      <c r="K7296" t="s">
        <v>56</v>
      </c>
      <c r="L7296" t="str">
        <f>_xlfn.XLOOKUP(K7296,[2]analyte_order!$B:$B,[2]analyte_order!$C:$C)</f>
        <v>756426-58-1</v>
      </c>
      <c r="M7296">
        <f>_xlfn.XLOOKUP(L7296,[2]analyte_order!$C:$C,[2]analyte_order!$E:$E)</f>
        <v>36</v>
      </c>
      <c r="N7296">
        <v>0.46700000000000003</v>
      </c>
    </row>
    <row r="7297" spans="1:14">
      <c r="A7297" t="s">
        <v>306</v>
      </c>
      <c r="B7297" t="str">
        <f>_xlfn.XLOOKUP(A7297,'[1]Tissue Data'!$A:$A,'[1]Tissue Data'!$C:$C)</f>
        <v>Down</v>
      </c>
      <c r="C7297" s="2">
        <f>_xlfn.XLOOKUP(A7297,'[1]Tissue Data'!$A:$A,'[1]Tissue Data'!$D:$D)</f>
        <v>44393</v>
      </c>
      <c r="D7297" s="2" t="str">
        <f>_xlfn.XLOOKUP(A7297,'[1]Tissue Data'!$A:$A,'[1]Tissue Data'!$F:$F)</f>
        <v>Pumpkinseed</v>
      </c>
      <c r="E7297" t="str">
        <f>_xlfn.XLOOKUP(A7297,'[1]Tissue Data'!$A:$A,'[1]Tissue Data'!$H:$H)</f>
        <v>Lepomis</v>
      </c>
      <c r="F7297" t="str">
        <f>_xlfn.XLOOKUP(A7297,'[1]Tissue Data'!$A:$A,'[1]Tissue Data'!$I:$I)</f>
        <v>gibbosus</v>
      </c>
      <c r="G7297" t="str">
        <f>_xlfn.XLOOKUP(A7297,'[1]Tissue Data'!$A:$A,'[1]Tissue Data'!J:J)</f>
        <v>U</v>
      </c>
      <c r="H7297" t="str">
        <f>_xlfn.XLOOKUP(A7297,'[1]Tissue Data'!$A:$A,'[1]Tissue Data'!K:K)</f>
        <v>Whole Body</v>
      </c>
      <c r="I7297">
        <f>_xlfn.XLOOKUP(A7297,'[1]Tissue Data'!$A:$A,'[1]Tissue Data'!L:L)</f>
        <v>9.5</v>
      </c>
      <c r="J7297">
        <f>_xlfn.XLOOKUP(A7297,'[1]Tissue Data'!$A:$A,'[1]Tissue Data'!M:M)</f>
        <v>13.51</v>
      </c>
      <c r="K7297" t="s">
        <v>57</v>
      </c>
      <c r="L7297" t="str">
        <f>_xlfn.XLOOKUP(K7297,[2]analyte_order!$B:$B,[2]analyte_order!$C:$C)</f>
        <v>763051-92-9</v>
      </c>
      <c r="M7297">
        <f>_xlfn.XLOOKUP(L7297,[2]analyte_order!$C:$C,[2]analyte_order!$E:$E)</f>
        <v>37</v>
      </c>
      <c r="N7297">
        <v>0.46700000000000003</v>
      </c>
    </row>
    <row r="7298" spans="1:14">
      <c r="A7298" t="s">
        <v>306</v>
      </c>
      <c r="B7298" t="str">
        <f>_xlfn.XLOOKUP(A7298,'[1]Tissue Data'!$A:$A,'[1]Tissue Data'!$C:$C)</f>
        <v>Down</v>
      </c>
      <c r="C7298" s="2">
        <f>_xlfn.XLOOKUP(A7298,'[1]Tissue Data'!$A:$A,'[1]Tissue Data'!$D:$D)</f>
        <v>44393</v>
      </c>
      <c r="D7298" s="2" t="str">
        <f>_xlfn.XLOOKUP(A7298,'[1]Tissue Data'!$A:$A,'[1]Tissue Data'!$F:$F)</f>
        <v>Pumpkinseed</v>
      </c>
      <c r="E7298" t="str">
        <f>_xlfn.XLOOKUP(A7298,'[1]Tissue Data'!$A:$A,'[1]Tissue Data'!$H:$H)</f>
        <v>Lepomis</v>
      </c>
      <c r="F7298" t="str">
        <f>_xlfn.XLOOKUP(A7298,'[1]Tissue Data'!$A:$A,'[1]Tissue Data'!$I:$I)</f>
        <v>gibbosus</v>
      </c>
      <c r="G7298" t="str">
        <f>_xlfn.XLOOKUP(A7298,'[1]Tissue Data'!$A:$A,'[1]Tissue Data'!J:J)</f>
        <v>U</v>
      </c>
      <c r="H7298" t="str">
        <f>_xlfn.XLOOKUP(A7298,'[1]Tissue Data'!$A:$A,'[1]Tissue Data'!K:K)</f>
        <v>Whole Body</v>
      </c>
      <c r="I7298">
        <f>_xlfn.XLOOKUP(A7298,'[1]Tissue Data'!$A:$A,'[1]Tissue Data'!L:L)</f>
        <v>9.5</v>
      </c>
      <c r="J7298">
        <f>_xlfn.XLOOKUP(A7298,'[1]Tissue Data'!$A:$A,'[1]Tissue Data'!M:M)</f>
        <v>13.51</v>
      </c>
      <c r="K7298" t="s">
        <v>58</v>
      </c>
      <c r="L7298" t="str">
        <f>_xlfn.XLOOKUP(K7298,[2]analyte_order!$B:$B,[2]analyte_order!$C:$C)</f>
        <v>13252-13-6</v>
      </c>
      <c r="M7298">
        <f>_xlfn.XLOOKUP(L7298,[2]analyte_order!$C:$C,[2]analyte_order!$E:$E)</f>
        <v>34</v>
      </c>
      <c r="N7298">
        <v>0.33500000000000002</v>
      </c>
    </row>
    <row r="7299" spans="1:14">
      <c r="A7299" t="s">
        <v>306</v>
      </c>
      <c r="B7299" t="str">
        <f>_xlfn.XLOOKUP(A7299,'[1]Tissue Data'!$A:$A,'[1]Tissue Data'!$C:$C)</f>
        <v>Down</v>
      </c>
      <c r="C7299" s="2">
        <f>_xlfn.XLOOKUP(A7299,'[1]Tissue Data'!$A:$A,'[1]Tissue Data'!$D:$D)</f>
        <v>44393</v>
      </c>
      <c r="D7299" s="2" t="str">
        <f>_xlfn.XLOOKUP(A7299,'[1]Tissue Data'!$A:$A,'[1]Tissue Data'!$F:$F)</f>
        <v>Pumpkinseed</v>
      </c>
      <c r="E7299" t="str">
        <f>_xlfn.XLOOKUP(A7299,'[1]Tissue Data'!$A:$A,'[1]Tissue Data'!$H:$H)</f>
        <v>Lepomis</v>
      </c>
      <c r="F7299" t="str">
        <f>_xlfn.XLOOKUP(A7299,'[1]Tissue Data'!$A:$A,'[1]Tissue Data'!$I:$I)</f>
        <v>gibbosus</v>
      </c>
      <c r="G7299" t="str">
        <f>_xlfn.XLOOKUP(A7299,'[1]Tissue Data'!$A:$A,'[1]Tissue Data'!J:J)</f>
        <v>U</v>
      </c>
      <c r="H7299" t="str">
        <f>_xlfn.XLOOKUP(A7299,'[1]Tissue Data'!$A:$A,'[1]Tissue Data'!K:K)</f>
        <v>Whole Body</v>
      </c>
      <c r="I7299">
        <f>_xlfn.XLOOKUP(A7299,'[1]Tissue Data'!$A:$A,'[1]Tissue Data'!L:L)</f>
        <v>9.5</v>
      </c>
      <c r="J7299">
        <f>_xlfn.XLOOKUP(A7299,'[1]Tissue Data'!$A:$A,'[1]Tissue Data'!M:M)</f>
        <v>13.51</v>
      </c>
      <c r="K7299" t="s">
        <v>59</v>
      </c>
      <c r="L7299" t="str">
        <f>_xlfn.XLOOKUP(K7299,[2]analyte_order!$B:$B,[2]analyte_order!$C:$C)</f>
        <v>57677-95-9</v>
      </c>
      <c r="M7299">
        <f>_xlfn.XLOOKUP(L7299,[2]analyte_order!$C:$C,[2]analyte_order!$E:$E)</f>
        <v>46</v>
      </c>
      <c r="N7299">
        <v>0.46700000000000003</v>
      </c>
    </row>
    <row r="7300" spans="1:14">
      <c r="A7300" t="s">
        <v>306</v>
      </c>
      <c r="B7300" t="str">
        <f>_xlfn.XLOOKUP(A7300,'[1]Tissue Data'!$A:$A,'[1]Tissue Data'!$C:$C)</f>
        <v>Down</v>
      </c>
      <c r="C7300" s="2">
        <f>_xlfn.XLOOKUP(A7300,'[1]Tissue Data'!$A:$A,'[1]Tissue Data'!$D:$D)</f>
        <v>44393</v>
      </c>
      <c r="D7300" s="2" t="str">
        <f>_xlfn.XLOOKUP(A7300,'[1]Tissue Data'!$A:$A,'[1]Tissue Data'!$F:$F)</f>
        <v>Pumpkinseed</v>
      </c>
      <c r="E7300" t="str">
        <f>_xlfn.XLOOKUP(A7300,'[1]Tissue Data'!$A:$A,'[1]Tissue Data'!$H:$H)</f>
        <v>Lepomis</v>
      </c>
      <c r="F7300" t="str">
        <f>_xlfn.XLOOKUP(A7300,'[1]Tissue Data'!$A:$A,'[1]Tissue Data'!$I:$I)</f>
        <v>gibbosus</v>
      </c>
      <c r="G7300" t="str">
        <f>_xlfn.XLOOKUP(A7300,'[1]Tissue Data'!$A:$A,'[1]Tissue Data'!J:J)</f>
        <v>U</v>
      </c>
      <c r="H7300" t="str">
        <f>_xlfn.XLOOKUP(A7300,'[1]Tissue Data'!$A:$A,'[1]Tissue Data'!K:K)</f>
        <v>Whole Body</v>
      </c>
      <c r="I7300">
        <f>_xlfn.XLOOKUP(A7300,'[1]Tissue Data'!$A:$A,'[1]Tissue Data'!L:L)</f>
        <v>9.5</v>
      </c>
      <c r="J7300">
        <f>_xlfn.XLOOKUP(A7300,'[1]Tissue Data'!$A:$A,'[1]Tissue Data'!M:M)</f>
        <v>13.51</v>
      </c>
      <c r="K7300" t="s">
        <v>60</v>
      </c>
      <c r="L7300" t="str">
        <f>_xlfn.XLOOKUP(K7300,[2]analyte_order!$B:$B,[2]analyte_order!$C:$C)</f>
        <v>678-41-1</v>
      </c>
      <c r="M7300">
        <f>_xlfn.XLOOKUP(L7300,[2]analyte_order!$C:$C,[2]analyte_order!$E:$E)</f>
        <v>56</v>
      </c>
      <c r="N7300">
        <v>0.46700000000000003</v>
      </c>
    </row>
    <row r="7301" spans="1:14">
      <c r="A7301" t="s">
        <v>306</v>
      </c>
      <c r="B7301" t="str">
        <f>_xlfn.XLOOKUP(A7301,'[1]Tissue Data'!$A:$A,'[1]Tissue Data'!$C:$C)</f>
        <v>Down</v>
      </c>
      <c r="C7301" s="2">
        <f>_xlfn.XLOOKUP(A7301,'[1]Tissue Data'!$A:$A,'[1]Tissue Data'!$D:$D)</f>
        <v>44393</v>
      </c>
      <c r="D7301" s="2" t="str">
        <f>_xlfn.XLOOKUP(A7301,'[1]Tissue Data'!$A:$A,'[1]Tissue Data'!$F:$F)</f>
        <v>Pumpkinseed</v>
      </c>
      <c r="E7301" t="str">
        <f>_xlfn.XLOOKUP(A7301,'[1]Tissue Data'!$A:$A,'[1]Tissue Data'!$H:$H)</f>
        <v>Lepomis</v>
      </c>
      <c r="F7301" t="str">
        <f>_xlfn.XLOOKUP(A7301,'[1]Tissue Data'!$A:$A,'[1]Tissue Data'!$I:$I)</f>
        <v>gibbosus</v>
      </c>
      <c r="G7301" t="str">
        <f>_xlfn.XLOOKUP(A7301,'[1]Tissue Data'!$A:$A,'[1]Tissue Data'!J:J)</f>
        <v>U</v>
      </c>
      <c r="H7301" t="str">
        <f>_xlfn.XLOOKUP(A7301,'[1]Tissue Data'!$A:$A,'[1]Tissue Data'!K:K)</f>
        <v>Whole Body</v>
      </c>
      <c r="I7301">
        <f>_xlfn.XLOOKUP(A7301,'[1]Tissue Data'!$A:$A,'[1]Tissue Data'!L:L)</f>
        <v>9.5</v>
      </c>
      <c r="J7301">
        <f>_xlfn.XLOOKUP(A7301,'[1]Tissue Data'!$A:$A,'[1]Tissue Data'!M:M)</f>
        <v>13.51</v>
      </c>
      <c r="K7301" t="s">
        <v>61</v>
      </c>
      <c r="L7301" t="str">
        <f>_xlfn.XLOOKUP(K7301,[2]analyte_order!$B:$B,[2]analyte_order!$C:$C)</f>
        <v>2965-52-8</v>
      </c>
      <c r="M7301">
        <f>_xlfn.XLOOKUP(L7301,[2]analyte_order!$C:$C,[2]analyte_order!$E:$E)</f>
        <v>57</v>
      </c>
      <c r="N7301">
        <v>0.46700000000000003</v>
      </c>
    </row>
    <row r="7302" spans="1:14">
      <c r="A7302" t="s">
        <v>307</v>
      </c>
      <c r="B7302" t="str">
        <f>_xlfn.XLOOKUP(A7302,'[1]Tissue Data'!$A:$A,'[1]Tissue Data'!$C:$C)</f>
        <v>Down</v>
      </c>
      <c r="C7302" s="2">
        <f>_xlfn.XLOOKUP(A7302,'[1]Tissue Data'!$A:$A,'[1]Tissue Data'!$D:$D)</f>
        <v>44393</v>
      </c>
      <c r="D7302" s="2" t="str">
        <f>_xlfn.XLOOKUP(A7302,'[1]Tissue Data'!$A:$A,'[1]Tissue Data'!$F:$F)</f>
        <v>Pumpkinseed</v>
      </c>
      <c r="E7302" t="str">
        <f>_xlfn.XLOOKUP(A7302,'[1]Tissue Data'!$A:$A,'[1]Tissue Data'!$H:$H)</f>
        <v>Lepomis</v>
      </c>
      <c r="F7302" t="str">
        <f>_xlfn.XLOOKUP(A7302,'[1]Tissue Data'!$A:$A,'[1]Tissue Data'!$I:$I)</f>
        <v>gibbosus</v>
      </c>
      <c r="G7302" t="str">
        <f>_xlfn.XLOOKUP(A7302,'[1]Tissue Data'!$A:$A,'[1]Tissue Data'!J:J)</f>
        <v>U</v>
      </c>
      <c r="H7302" t="str">
        <f>_xlfn.XLOOKUP(A7302,'[1]Tissue Data'!$A:$A,'[1]Tissue Data'!K:K)</f>
        <v>Whole Body</v>
      </c>
      <c r="I7302">
        <f>_xlfn.XLOOKUP(A7302,'[1]Tissue Data'!$A:$A,'[1]Tissue Data'!L:L)</f>
        <v>9</v>
      </c>
      <c r="J7302">
        <f>_xlfn.XLOOKUP(A7302,'[1]Tissue Data'!$A:$A,'[1]Tissue Data'!M:M)</f>
        <v>11.46</v>
      </c>
      <c r="K7302" t="s">
        <v>12</v>
      </c>
      <c r="L7302" t="str">
        <f>_xlfn.XLOOKUP(K7302,[2]analyte_order!$B:$B,[2]analyte_order!$C:$C)</f>
        <v>375-22-4</v>
      </c>
      <c r="M7302">
        <f>_xlfn.XLOOKUP(L7302,[2]analyte_order!$C:$C,[2]analyte_order!$E:$E)</f>
        <v>1</v>
      </c>
      <c r="N7302">
        <v>0.20899999999999999</v>
      </c>
    </row>
    <row r="7303" spans="1:14">
      <c r="A7303" t="s">
        <v>307</v>
      </c>
      <c r="B7303" t="str">
        <f>_xlfn.XLOOKUP(A7303,'[1]Tissue Data'!$A:$A,'[1]Tissue Data'!$C:$C)</f>
        <v>Down</v>
      </c>
      <c r="C7303" s="2">
        <f>_xlfn.XLOOKUP(A7303,'[1]Tissue Data'!$A:$A,'[1]Tissue Data'!$D:$D)</f>
        <v>44393</v>
      </c>
      <c r="D7303" s="2" t="str">
        <f>_xlfn.XLOOKUP(A7303,'[1]Tissue Data'!$A:$A,'[1]Tissue Data'!$F:$F)</f>
        <v>Pumpkinseed</v>
      </c>
      <c r="E7303" t="str">
        <f>_xlfn.XLOOKUP(A7303,'[1]Tissue Data'!$A:$A,'[1]Tissue Data'!$H:$H)</f>
        <v>Lepomis</v>
      </c>
      <c r="F7303" t="str">
        <f>_xlfn.XLOOKUP(A7303,'[1]Tissue Data'!$A:$A,'[1]Tissue Data'!$I:$I)</f>
        <v>gibbosus</v>
      </c>
      <c r="G7303" t="str">
        <f>_xlfn.XLOOKUP(A7303,'[1]Tissue Data'!$A:$A,'[1]Tissue Data'!J:J)</f>
        <v>U</v>
      </c>
      <c r="H7303" t="str">
        <f>_xlfn.XLOOKUP(A7303,'[1]Tissue Data'!$A:$A,'[1]Tissue Data'!K:K)</f>
        <v>Whole Body</v>
      </c>
      <c r="I7303">
        <f>_xlfn.XLOOKUP(A7303,'[1]Tissue Data'!$A:$A,'[1]Tissue Data'!L:L)</f>
        <v>9</v>
      </c>
      <c r="J7303">
        <f>_xlfn.XLOOKUP(A7303,'[1]Tissue Data'!$A:$A,'[1]Tissue Data'!M:M)</f>
        <v>11.46</v>
      </c>
      <c r="K7303" t="s">
        <v>13</v>
      </c>
      <c r="L7303" t="str">
        <f>_xlfn.XLOOKUP(K7303,[2]analyte_order!$B:$B,[2]analyte_order!$C:$C)</f>
        <v>2706-90-3</v>
      </c>
      <c r="M7303">
        <f>_xlfn.XLOOKUP(L7303,[2]analyte_order!$C:$C,[2]analyte_order!$E:$E)</f>
        <v>2</v>
      </c>
      <c r="N7303">
        <v>0.20899999999999999</v>
      </c>
    </row>
    <row r="7304" spans="1:14">
      <c r="A7304" t="s">
        <v>307</v>
      </c>
      <c r="B7304" t="str">
        <f>_xlfn.XLOOKUP(A7304,'[1]Tissue Data'!$A:$A,'[1]Tissue Data'!$C:$C)</f>
        <v>Down</v>
      </c>
      <c r="C7304" s="2">
        <f>_xlfn.XLOOKUP(A7304,'[1]Tissue Data'!$A:$A,'[1]Tissue Data'!$D:$D)</f>
        <v>44393</v>
      </c>
      <c r="D7304" s="2" t="str">
        <f>_xlfn.XLOOKUP(A7304,'[1]Tissue Data'!$A:$A,'[1]Tissue Data'!$F:$F)</f>
        <v>Pumpkinseed</v>
      </c>
      <c r="E7304" t="str">
        <f>_xlfn.XLOOKUP(A7304,'[1]Tissue Data'!$A:$A,'[1]Tissue Data'!$H:$H)</f>
        <v>Lepomis</v>
      </c>
      <c r="F7304" t="str">
        <f>_xlfn.XLOOKUP(A7304,'[1]Tissue Data'!$A:$A,'[1]Tissue Data'!$I:$I)</f>
        <v>gibbosus</v>
      </c>
      <c r="G7304" t="str">
        <f>_xlfn.XLOOKUP(A7304,'[1]Tissue Data'!$A:$A,'[1]Tissue Data'!J:J)</f>
        <v>U</v>
      </c>
      <c r="H7304" t="str">
        <f>_xlfn.XLOOKUP(A7304,'[1]Tissue Data'!$A:$A,'[1]Tissue Data'!K:K)</f>
        <v>Whole Body</v>
      </c>
      <c r="I7304">
        <f>_xlfn.XLOOKUP(A7304,'[1]Tissue Data'!$A:$A,'[1]Tissue Data'!L:L)</f>
        <v>9</v>
      </c>
      <c r="J7304">
        <f>_xlfn.XLOOKUP(A7304,'[1]Tissue Data'!$A:$A,'[1]Tissue Data'!M:M)</f>
        <v>11.46</v>
      </c>
      <c r="K7304" t="s">
        <v>14</v>
      </c>
      <c r="L7304" t="str">
        <f>_xlfn.XLOOKUP(K7304,[2]analyte_order!$B:$B,[2]analyte_order!$C:$C)</f>
        <v>307-24-4</v>
      </c>
      <c r="M7304">
        <f>_xlfn.XLOOKUP(L7304,[2]analyte_order!$C:$C,[2]analyte_order!$E:$E)</f>
        <v>3</v>
      </c>
      <c r="N7304">
        <v>0.113</v>
      </c>
    </row>
    <row r="7305" spans="1:14">
      <c r="A7305" t="s">
        <v>307</v>
      </c>
      <c r="B7305" t="str">
        <f>_xlfn.XLOOKUP(A7305,'[1]Tissue Data'!$A:$A,'[1]Tissue Data'!$C:$C)</f>
        <v>Down</v>
      </c>
      <c r="C7305" s="2">
        <f>_xlfn.XLOOKUP(A7305,'[1]Tissue Data'!$A:$A,'[1]Tissue Data'!$D:$D)</f>
        <v>44393</v>
      </c>
      <c r="D7305" s="2" t="str">
        <f>_xlfn.XLOOKUP(A7305,'[1]Tissue Data'!$A:$A,'[1]Tissue Data'!$F:$F)</f>
        <v>Pumpkinseed</v>
      </c>
      <c r="E7305" t="str">
        <f>_xlfn.XLOOKUP(A7305,'[1]Tissue Data'!$A:$A,'[1]Tissue Data'!$H:$H)</f>
        <v>Lepomis</v>
      </c>
      <c r="F7305" t="str">
        <f>_xlfn.XLOOKUP(A7305,'[1]Tissue Data'!$A:$A,'[1]Tissue Data'!$I:$I)</f>
        <v>gibbosus</v>
      </c>
      <c r="G7305" t="str">
        <f>_xlfn.XLOOKUP(A7305,'[1]Tissue Data'!$A:$A,'[1]Tissue Data'!J:J)</f>
        <v>U</v>
      </c>
      <c r="H7305" t="str">
        <f>_xlfn.XLOOKUP(A7305,'[1]Tissue Data'!$A:$A,'[1]Tissue Data'!K:K)</f>
        <v>Whole Body</v>
      </c>
      <c r="I7305">
        <f>_xlfn.XLOOKUP(A7305,'[1]Tissue Data'!$A:$A,'[1]Tissue Data'!L:L)</f>
        <v>9</v>
      </c>
      <c r="J7305">
        <f>_xlfn.XLOOKUP(A7305,'[1]Tissue Data'!$A:$A,'[1]Tissue Data'!M:M)</f>
        <v>11.46</v>
      </c>
      <c r="K7305" t="s">
        <v>15</v>
      </c>
      <c r="L7305" t="str">
        <f>_xlfn.XLOOKUP(K7305,[2]analyte_order!$B:$B,[2]analyte_order!$C:$C)</f>
        <v>375-85-9</v>
      </c>
      <c r="M7305">
        <f>_xlfn.XLOOKUP(L7305,[2]analyte_order!$C:$C,[2]analyte_order!$E:$E)</f>
        <v>4</v>
      </c>
      <c r="N7305">
        <v>0.20899999999999999</v>
      </c>
    </row>
    <row r="7306" spans="1:14">
      <c r="A7306" t="s">
        <v>307</v>
      </c>
      <c r="B7306" t="str">
        <f>_xlfn.XLOOKUP(A7306,'[1]Tissue Data'!$A:$A,'[1]Tissue Data'!$C:$C)</f>
        <v>Down</v>
      </c>
      <c r="C7306" s="2">
        <f>_xlfn.XLOOKUP(A7306,'[1]Tissue Data'!$A:$A,'[1]Tissue Data'!$D:$D)</f>
        <v>44393</v>
      </c>
      <c r="D7306" s="2" t="str">
        <f>_xlfn.XLOOKUP(A7306,'[1]Tissue Data'!$A:$A,'[1]Tissue Data'!$F:$F)</f>
        <v>Pumpkinseed</v>
      </c>
      <c r="E7306" t="str">
        <f>_xlfn.XLOOKUP(A7306,'[1]Tissue Data'!$A:$A,'[1]Tissue Data'!$H:$H)</f>
        <v>Lepomis</v>
      </c>
      <c r="F7306" t="str">
        <f>_xlfn.XLOOKUP(A7306,'[1]Tissue Data'!$A:$A,'[1]Tissue Data'!$I:$I)</f>
        <v>gibbosus</v>
      </c>
      <c r="G7306" t="str">
        <f>_xlfn.XLOOKUP(A7306,'[1]Tissue Data'!$A:$A,'[1]Tissue Data'!J:J)</f>
        <v>U</v>
      </c>
      <c r="H7306" t="str">
        <f>_xlfn.XLOOKUP(A7306,'[1]Tissue Data'!$A:$A,'[1]Tissue Data'!K:K)</f>
        <v>Whole Body</v>
      </c>
      <c r="I7306">
        <f>_xlfn.XLOOKUP(A7306,'[1]Tissue Data'!$A:$A,'[1]Tissue Data'!L:L)</f>
        <v>9</v>
      </c>
      <c r="J7306">
        <f>_xlfn.XLOOKUP(A7306,'[1]Tissue Data'!$A:$A,'[1]Tissue Data'!M:M)</f>
        <v>11.46</v>
      </c>
      <c r="K7306" t="s">
        <v>16</v>
      </c>
      <c r="L7306" t="str">
        <f>_xlfn.XLOOKUP(K7306,[2]analyte_order!$B:$B,[2]analyte_order!$C:$C)</f>
        <v>335-67-1</v>
      </c>
      <c r="M7306">
        <f>_xlfn.XLOOKUP(L7306,[2]analyte_order!$C:$C,[2]analyte_order!$E:$E)</f>
        <v>5</v>
      </c>
      <c r="N7306">
        <v>2.2000000000000002</v>
      </c>
    </row>
    <row r="7307" spans="1:14">
      <c r="A7307" t="s">
        <v>307</v>
      </c>
      <c r="B7307" t="str">
        <f>_xlfn.XLOOKUP(A7307,'[1]Tissue Data'!$A:$A,'[1]Tissue Data'!$C:$C)</f>
        <v>Down</v>
      </c>
      <c r="C7307" s="2">
        <f>_xlfn.XLOOKUP(A7307,'[1]Tissue Data'!$A:$A,'[1]Tissue Data'!$D:$D)</f>
        <v>44393</v>
      </c>
      <c r="D7307" s="2" t="str">
        <f>_xlfn.XLOOKUP(A7307,'[1]Tissue Data'!$A:$A,'[1]Tissue Data'!$F:$F)</f>
        <v>Pumpkinseed</v>
      </c>
      <c r="E7307" t="str">
        <f>_xlfn.XLOOKUP(A7307,'[1]Tissue Data'!$A:$A,'[1]Tissue Data'!$H:$H)</f>
        <v>Lepomis</v>
      </c>
      <c r="F7307" t="str">
        <f>_xlfn.XLOOKUP(A7307,'[1]Tissue Data'!$A:$A,'[1]Tissue Data'!$I:$I)</f>
        <v>gibbosus</v>
      </c>
      <c r="G7307" t="str">
        <f>_xlfn.XLOOKUP(A7307,'[1]Tissue Data'!$A:$A,'[1]Tissue Data'!J:J)</f>
        <v>U</v>
      </c>
      <c r="H7307" t="str">
        <f>_xlfn.XLOOKUP(A7307,'[1]Tissue Data'!$A:$A,'[1]Tissue Data'!K:K)</f>
        <v>Whole Body</v>
      </c>
      <c r="I7307">
        <f>_xlfn.XLOOKUP(A7307,'[1]Tissue Data'!$A:$A,'[1]Tissue Data'!L:L)</f>
        <v>9</v>
      </c>
      <c r="J7307">
        <f>_xlfn.XLOOKUP(A7307,'[1]Tissue Data'!$A:$A,'[1]Tissue Data'!M:M)</f>
        <v>11.46</v>
      </c>
      <c r="K7307" t="s">
        <v>17</v>
      </c>
      <c r="L7307" t="str">
        <f>_xlfn.XLOOKUP(K7307,[2]analyte_order!$B:$B,[2]analyte_order!$C:$C)</f>
        <v>375-95-1</v>
      </c>
      <c r="M7307">
        <f>_xlfn.XLOOKUP(L7307,[2]analyte_order!$C:$C,[2]analyte_order!$E:$E)</f>
        <v>6</v>
      </c>
      <c r="N7307">
        <v>1.22</v>
      </c>
    </row>
    <row r="7308" spans="1:14">
      <c r="A7308" t="s">
        <v>307</v>
      </c>
      <c r="B7308" t="str">
        <f>_xlfn.XLOOKUP(A7308,'[1]Tissue Data'!$A:$A,'[1]Tissue Data'!$C:$C)</f>
        <v>Down</v>
      </c>
      <c r="C7308" s="2">
        <f>_xlfn.XLOOKUP(A7308,'[1]Tissue Data'!$A:$A,'[1]Tissue Data'!$D:$D)</f>
        <v>44393</v>
      </c>
      <c r="D7308" s="2" t="str">
        <f>_xlfn.XLOOKUP(A7308,'[1]Tissue Data'!$A:$A,'[1]Tissue Data'!$F:$F)</f>
        <v>Pumpkinseed</v>
      </c>
      <c r="E7308" t="str">
        <f>_xlfn.XLOOKUP(A7308,'[1]Tissue Data'!$A:$A,'[1]Tissue Data'!$H:$H)</f>
        <v>Lepomis</v>
      </c>
      <c r="F7308" t="str">
        <f>_xlfn.XLOOKUP(A7308,'[1]Tissue Data'!$A:$A,'[1]Tissue Data'!$I:$I)</f>
        <v>gibbosus</v>
      </c>
      <c r="G7308" t="str">
        <f>_xlfn.XLOOKUP(A7308,'[1]Tissue Data'!$A:$A,'[1]Tissue Data'!J:J)</f>
        <v>U</v>
      </c>
      <c r="H7308" t="str">
        <f>_xlfn.XLOOKUP(A7308,'[1]Tissue Data'!$A:$A,'[1]Tissue Data'!K:K)</f>
        <v>Whole Body</v>
      </c>
      <c r="I7308">
        <f>_xlfn.XLOOKUP(A7308,'[1]Tissue Data'!$A:$A,'[1]Tissue Data'!L:L)</f>
        <v>9</v>
      </c>
      <c r="J7308">
        <f>_xlfn.XLOOKUP(A7308,'[1]Tissue Data'!$A:$A,'[1]Tissue Data'!M:M)</f>
        <v>11.46</v>
      </c>
      <c r="K7308" t="s">
        <v>18</v>
      </c>
      <c r="L7308" t="str">
        <f>_xlfn.XLOOKUP(K7308,[2]analyte_order!$B:$B,[2]analyte_order!$C:$C)</f>
        <v>335-76-2</v>
      </c>
      <c r="M7308">
        <f>_xlfn.XLOOKUP(L7308,[2]analyte_order!$C:$C,[2]analyte_order!$E:$E)</f>
        <v>7</v>
      </c>
      <c r="N7308">
        <v>3.75</v>
      </c>
    </row>
    <row r="7309" spans="1:14">
      <c r="A7309" t="s">
        <v>307</v>
      </c>
      <c r="B7309" t="str">
        <f>_xlfn.XLOOKUP(A7309,'[1]Tissue Data'!$A:$A,'[1]Tissue Data'!$C:$C)</f>
        <v>Down</v>
      </c>
      <c r="C7309" s="2">
        <f>_xlfn.XLOOKUP(A7309,'[1]Tissue Data'!$A:$A,'[1]Tissue Data'!$D:$D)</f>
        <v>44393</v>
      </c>
      <c r="D7309" s="2" t="str">
        <f>_xlfn.XLOOKUP(A7309,'[1]Tissue Data'!$A:$A,'[1]Tissue Data'!$F:$F)</f>
        <v>Pumpkinseed</v>
      </c>
      <c r="E7309" t="str">
        <f>_xlfn.XLOOKUP(A7309,'[1]Tissue Data'!$A:$A,'[1]Tissue Data'!$H:$H)</f>
        <v>Lepomis</v>
      </c>
      <c r="F7309" t="str">
        <f>_xlfn.XLOOKUP(A7309,'[1]Tissue Data'!$A:$A,'[1]Tissue Data'!$I:$I)</f>
        <v>gibbosus</v>
      </c>
      <c r="G7309" t="str">
        <f>_xlfn.XLOOKUP(A7309,'[1]Tissue Data'!$A:$A,'[1]Tissue Data'!J:J)</f>
        <v>U</v>
      </c>
      <c r="H7309" t="str">
        <f>_xlfn.XLOOKUP(A7309,'[1]Tissue Data'!$A:$A,'[1]Tissue Data'!K:K)</f>
        <v>Whole Body</v>
      </c>
      <c r="I7309">
        <f>_xlfn.XLOOKUP(A7309,'[1]Tissue Data'!$A:$A,'[1]Tissue Data'!L:L)</f>
        <v>9</v>
      </c>
      <c r="J7309">
        <f>_xlfn.XLOOKUP(A7309,'[1]Tissue Data'!$A:$A,'[1]Tissue Data'!M:M)</f>
        <v>11.46</v>
      </c>
      <c r="K7309" t="s">
        <v>19</v>
      </c>
      <c r="L7309" t="str">
        <f>_xlfn.XLOOKUP(K7309,[2]analyte_order!$B:$B,[2]analyte_order!$C:$C)</f>
        <v>2058-94-8</v>
      </c>
      <c r="M7309">
        <f>_xlfn.XLOOKUP(L7309,[2]analyte_order!$C:$C,[2]analyte_order!$E:$E)</f>
        <v>8</v>
      </c>
      <c r="N7309">
        <v>3.74</v>
      </c>
    </row>
    <row r="7310" spans="1:14">
      <c r="A7310" t="s">
        <v>307</v>
      </c>
      <c r="B7310" t="str">
        <f>_xlfn.XLOOKUP(A7310,'[1]Tissue Data'!$A:$A,'[1]Tissue Data'!$C:$C)</f>
        <v>Down</v>
      </c>
      <c r="C7310" s="2">
        <f>_xlfn.XLOOKUP(A7310,'[1]Tissue Data'!$A:$A,'[1]Tissue Data'!$D:$D)</f>
        <v>44393</v>
      </c>
      <c r="D7310" s="2" t="str">
        <f>_xlfn.XLOOKUP(A7310,'[1]Tissue Data'!$A:$A,'[1]Tissue Data'!$F:$F)</f>
        <v>Pumpkinseed</v>
      </c>
      <c r="E7310" t="str">
        <f>_xlfn.XLOOKUP(A7310,'[1]Tissue Data'!$A:$A,'[1]Tissue Data'!$H:$H)</f>
        <v>Lepomis</v>
      </c>
      <c r="F7310" t="str">
        <f>_xlfn.XLOOKUP(A7310,'[1]Tissue Data'!$A:$A,'[1]Tissue Data'!$I:$I)</f>
        <v>gibbosus</v>
      </c>
      <c r="G7310" t="str">
        <f>_xlfn.XLOOKUP(A7310,'[1]Tissue Data'!$A:$A,'[1]Tissue Data'!J:J)</f>
        <v>U</v>
      </c>
      <c r="H7310" t="str">
        <f>_xlfn.XLOOKUP(A7310,'[1]Tissue Data'!$A:$A,'[1]Tissue Data'!K:K)</f>
        <v>Whole Body</v>
      </c>
      <c r="I7310">
        <f>_xlfn.XLOOKUP(A7310,'[1]Tissue Data'!$A:$A,'[1]Tissue Data'!L:L)</f>
        <v>9</v>
      </c>
      <c r="J7310">
        <f>_xlfn.XLOOKUP(A7310,'[1]Tissue Data'!$A:$A,'[1]Tissue Data'!M:M)</f>
        <v>11.46</v>
      </c>
      <c r="K7310" t="s">
        <v>20</v>
      </c>
      <c r="L7310" t="str">
        <f>_xlfn.XLOOKUP(K7310,[2]analyte_order!$B:$B,[2]analyte_order!$C:$C)</f>
        <v>307-55-1</v>
      </c>
      <c r="M7310">
        <f>_xlfn.XLOOKUP(L7310,[2]analyte_order!$C:$C,[2]analyte_order!$E:$E)</f>
        <v>9</v>
      </c>
      <c r="N7310">
        <v>6.78</v>
      </c>
    </row>
    <row r="7311" spans="1:14">
      <c r="A7311" t="s">
        <v>307</v>
      </c>
      <c r="B7311" t="str">
        <f>_xlfn.XLOOKUP(A7311,'[1]Tissue Data'!$A:$A,'[1]Tissue Data'!$C:$C)</f>
        <v>Down</v>
      </c>
      <c r="C7311" s="2">
        <f>_xlfn.XLOOKUP(A7311,'[1]Tissue Data'!$A:$A,'[1]Tissue Data'!$D:$D)</f>
        <v>44393</v>
      </c>
      <c r="D7311" s="2" t="str">
        <f>_xlfn.XLOOKUP(A7311,'[1]Tissue Data'!$A:$A,'[1]Tissue Data'!$F:$F)</f>
        <v>Pumpkinseed</v>
      </c>
      <c r="E7311" t="str">
        <f>_xlfn.XLOOKUP(A7311,'[1]Tissue Data'!$A:$A,'[1]Tissue Data'!$H:$H)</f>
        <v>Lepomis</v>
      </c>
      <c r="F7311" t="str">
        <f>_xlfn.XLOOKUP(A7311,'[1]Tissue Data'!$A:$A,'[1]Tissue Data'!$I:$I)</f>
        <v>gibbosus</v>
      </c>
      <c r="G7311" t="str">
        <f>_xlfn.XLOOKUP(A7311,'[1]Tissue Data'!$A:$A,'[1]Tissue Data'!J:J)</f>
        <v>U</v>
      </c>
      <c r="H7311" t="str">
        <f>_xlfn.XLOOKUP(A7311,'[1]Tissue Data'!$A:$A,'[1]Tissue Data'!K:K)</f>
        <v>Whole Body</v>
      </c>
      <c r="I7311">
        <f>_xlfn.XLOOKUP(A7311,'[1]Tissue Data'!$A:$A,'[1]Tissue Data'!L:L)</f>
        <v>9</v>
      </c>
      <c r="J7311">
        <f>_xlfn.XLOOKUP(A7311,'[1]Tissue Data'!$A:$A,'[1]Tissue Data'!M:M)</f>
        <v>11.46</v>
      </c>
      <c r="K7311" t="s">
        <v>21</v>
      </c>
      <c r="L7311" t="str">
        <f>_xlfn.XLOOKUP(K7311,[2]analyte_order!$B:$B,[2]analyte_order!$C:$C)</f>
        <v>72629-94-8</v>
      </c>
      <c r="M7311">
        <f>_xlfn.XLOOKUP(L7311,[2]analyte_order!$C:$C,[2]analyte_order!$E:$E)</f>
        <v>10</v>
      </c>
      <c r="N7311">
        <v>1.72</v>
      </c>
    </row>
    <row r="7312" spans="1:14">
      <c r="A7312" t="s">
        <v>307</v>
      </c>
      <c r="B7312" t="str">
        <f>_xlfn.XLOOKUP(A7312,'[1]Tissue Data'!$A:$A,'[1]Tissue Data'!$C:$C)</f>
        <v>Down</v>
      </c>
      <c r="C7312" s="2">
        <f>_xlfn.XLOOKUP(A7312,'[1]Tissue Data'!$A:$A,'[1]Tissue Data'!$D:$D)</f>
        <v>44393</v>
      </c>
      <c r="D7312" s="2" t="str">
        <f>_xlfn.XLOOKUP(A7312,'[1]Tissue Data'!$A:$A,'[1]Tissue Data'!$F:$F)</f>
        <v>Pumpkinseed</v>
      </c>
      <c r="E7312" t="str">
        <f>_xlfn.XLOOKUP(A7312,'[1]Tissue Data'!$A:$A,'[1]Tissue Data'!$H:$H)</f>
        <v>Lepomis</v>
      </c>
      <c r="F7312" t="str">
        <f>_xlfn.XLOOKUP(A7312,'[1]Tissue Data'!$A:$A,'[1]Tissue Data'!$I:$I)</f>
        <v>gibbosus</v>
      </c>
      <c r="G7312" t="str">
        <f>_xlfn.XLOOKUP(A7312,'[1]Tissue Data'!$A:$A,'[1]Tissue Data'!J:J)</f>
        <v>U</v>
      </c>
      <c r="H7312" t="str">
        <f>_xlfn.XLOOKUP(A7312,'[1]Tissue Data'!$A:$A,'[1]Tissue Data'!K:K)</f>
        <v>Whole Body</v>
      </c>
      <c r="I7312">
        <f>_xlfn.XLOOKUP(A7312,'[1]Tissue Data'!$A:$A,'[1]Tissue Data'!L:L)</f>
        <v>9</v>
      </c>
      <c r="J7312">
        <f>_xlfn.XLOOKUP(A7312,'[1]Tissue Data'!$A:$A,'[1]Tissue Data'!M:M)</f>
        <v>11.46</v>
      </c>
      <c r="K7312" t="s">
        <v>22</v>
      </c>
      <c r="L7312" t="str">
        <f>_xlfn.XLOOKUP(K7312,[2]analyte_order!$B:$B,[2]analyte_order!$C:$C)</f>
        <v>376-06-7</v>
      </c>
      <c r="M7312">
        <f>_xlfn.XLOOKUP(L7312,[2]analyte_order!$C:$C,[2]analyte_order!$E:$E)</f>
        <v>11</v>
      </c>
      <c r="N7312">
        <v>6.29</v>
      </c>
    </row>
    <row r="7313" spans="1:14">
      <c r="A7313" t="s">
        <v>307</v>
      </c>
      <c r="B7313" t="str">
        <f>_xlfn.XLOOKUP(A7313,'[1]Tissue Data'!$A:$A,'[1]Tissue Data'!$C:$C)</f>
        <v>Down</v>
      </c>
      <c r="C7313" s="2">
        <f>_xlfn.XLOOKUP(A7313,'[1]Tissue Data'!$A:$A,'[1]Tissue Data'!$D:$D)</f>
        <v>44393</v>
      </c>
      <c r="D7313" s="2" t="str">
        <f>_xlfn.XLOOKUP(A7313,'[1]Tissue Data'!$A:$A,'[1]Tissue Data'!$F:$F)</f>
        <v>Pumpkinseed</v>
      </c>
      <c r="E7313" t="str">
        <f>_xlfn.XLOOKUP(A7313,'[1]Tissue Data'!$A:$A,'[1]Tissue Data'!$H:$H)</f>
        <v>Lepomis</v>
      </c>
      <c r="F7313" t="str">
        <f>_xlfn.XLOOKUP(A7313,'[1]Tissue Data'!$A:$A,'[1]Tissue Data'!$I:$I)</f>
        <v>gibbosus</v>
      </c>
      <c r="G7313" t="str">
        <f>_xlfn.XLOOKUP(A7313,'[1]Tissue Data'!$A:$A,'[1]Tissue Data'!J:J)</f>
        <v>U</v>
      </c>
      <c r="H7313" t="str">
        <f>_xlfn.XLOOKUP(A7313,'[1]Tissue Data'!$A:$A,'[1]Tissue Data'!K:K)</f>
        <v>Whole Body</v>
      </c>
      <c r="I7313">
        <f>_xlfn.XLOOKUP(A7313,'[1]Tissue Data'!$A:$A,'[1]Tissue Data'!L:L)</f>
        <v>9</v>
      </c>
      <c r="J7313">
        <f>_xlfn.XLOOKUP(A7313,'[1]Tissue Data'!$A:$A,'[1]Tissue Data'!M:M)</f>
        <v>11.46</v>
      </c>
      <c r="K7313" t="s">
        <v>23</v>
      </c>
      <c r="L7313" t="str">
        <f>_xlfn.XLOOKUP(K7313,[2]analyte_order!$B:$B,[2]analyte_order!$C:$C)</f>
        <v>67905-19-5</v>
      </c>
      <c r="M7313">
        <f>_xlfn.XLOOKUP(L7313,[2]analyte_order!$C:$C,[2]analyte_order!$E:$E)</f>
        <v>12</v>
      </c>
      <c r="N7313">
        <v>0.2495</v>
      </c>
    </row>
    <row r="7314" spans="1:14">
      <c r="A7314" t="s">
        <v>307</v>
      </c>
      <c r="B7314" t="str">
        <f>_xlfn.XLOOKUP(A7314,'[1]Tissue Data'!$A:$A,'[1]Tissue Data'!$C:$C)</f>
        <v>Down</v>
      </c>
      <c r="C7314" s="2">
        <f>_xlfn.XLOOKUP(A7314,'[1]Tissue Data'!$A:$A,'[1]Tissue Data'!$D:$D)</f>
        <v>44393</v>
      </c>
      <c r="D7314" s="2" t="str">
        <f>_xlfn.XLOOKUP(A7314,'[1]Tissue Data'!$A:$A,'[1]Tissue Data'!$F:$F)</f>
        <v>Pumpkinseed</v>
      </c>
      <c r="E7314" t="str">
        <f>_xlfn.XLOOKUP(A7314,'[1]Tissue Data'!$A:$A,'[1]Tissue Data'!$H:$H)</f>
        <v>Lepomis</v>
      </c>
      <c r="F7314" t="str">
        <f>_xlfn.XLOOKUP(A7314,'[1]Tissue Data'!$A:$A,'[1]Tissue Data'!$I:$I)</f>
        <v>gibbosus</v>
      </c>
      <c r="G7314" t="str">
        <f>_xlfn.XLOOKUP(A7314,'[1]Tissue Data'!$A:$A,'[1]Tissue Data'!J:J)</f>
        <v>U</v>
      </c>
      <c r="H7314" t="str">
        <f>_xlfn.XLOOKUP(A7314,'[1]Tissue Data'!$A:$A,'[1]Tissue Data'!K:K)</f>
        <v>Whole Body</v>
      </c>
      <c r="I7314">
        <f>_xlfn.XLOOKUP(A7314,'[1]Tissue Data'!$A:$A,'[1]Tissue Data'!L:L)</f>
        <v>9</v>
      </c>
      <c r="J7314">
        <f>_xlfn.XLOOKUP(A7314,'[1]Tissue Data'!$A:$A,'[1]Tissue Data'!M:M)</f>
        <v>11.46</v>
      </c>
      <c r="K7314" t="s">
        <v>24</v>
      </c>
      <c r="L7314" t="str">
        <f>_xlfn.XLOOKUP(K7314,[2]analyte_order!$B:$B,[2]analyte_order!$C:$C)</f>
        <v>423-41-6</v>
      </c>
      <c r="M7314">
        <f>_xlfn.XLOOKUP(L7314,[2]analyte_order!$C:$C,[2]analyte_order!$E:$E)</f>
        <v>53</v>
      </c>
      <c r="N7314">
        <v>0.41849999999999998</v>
      </c>
    </row>
    <row r="7315" spans="1:14">
      <c r="A7315" t="s">
        <v>307</v>
      </c>
      <c r="B7315" t="str">
        <f>_xlfn.XLOOKUP(A7315,'[1]Tissue Data'!$A:$A,'[1]Tissue Data'!$C:$C)</f>
        <v>Down</v>
      </c>
      <c r="C7315" s="2">
        <f>_xlfn.XLOOKUP(A7315,'[1]Tissue Data'!$A:$A,'[1]Tissue Data'!$D:$D)</f>
        <v>44393</v>
      </c>
      <c r="D7315" s="2" t="str">
        <f>_xlfn.XLOOKUP(A7315,'[1]Tissue Data'!$A:$A,'[1]Tissue Data'!$F:$F)</f>
        <v>Pumpkinseed</v>
      </c>
      <c r="E7315" t="str">
        <f>_xlfn.XLOOKUP(A7315,'[1]Tissue Data'!$A:$A,'[1]Tissue Data'!$H:$H)</f>
        <v>Lepomis</v>
      </c>
      <c r="F7315" t="str">
        <f>_xlfn.XLOOKUP(A7315,'[1]Tissue Data'!$A:$A,'[1]Tissue Data'!$I:$I)</f>
        <v>gibbosus</v>
      </c>
      <c r="G7315" t="str">
        <f>_xlfn.XLOOKUP(A7315,'[1]Tissue Data'!$A:$A,'[1]Tissue Data'!J:J)</f>
        <v>U</v>
      </c>
      <c r="H7315" t="str">
        <f>_xlfn.XLOOKUP(A7315,'[1]Tissue Data'!$A:$A,'[1]Tissue Data'!K:K)</f>
        <v>Whole Body</v>
      </c>
      <c r="I7315">
        <f>_xlfn.XLOOKUP(A7315,'[1]Tissue Data'!$A:$A,'[1]Tissue Data'!L:L)</f>
        <v>9</v>
      </c>
      <c r="J7315">
        <f>_xlfn.XLOOKUP(A7315,'[1]Tissue Data'!$A:$A,'[1]Tissue Data'!M:M)</f>
        <v>11.46</v>
      </c>
      <c r="K7315" t="s">
        <v>25</v>
      </c>
      <c r="L7315" t="str">
        <f>_xlfn.XLOOKUP(K7315,[2]analyte_order!$B:$B,[2]analyte_order!$C:$C)</f>
        <v>375-73-5</v>
      </c>
      <c r="M7315">
        <f>_xlfn.XLOOKUP(L7315,[2]analyte_order!$C:$C,[2]analyte_order!$E:$E)</f>
        <v>14</v>
      </c>
      <c r="N7315">
        <v>0.14249999999999999</v>
      </c>
    </row>
    <row r="7316" spans="1:14">
      <c r="A7316" t="s">
        <v>307</v>
      </c>
      <c r="B7316" t="str">
        <f>_xlfn.XLOOKUP(A7316,'[1]Tissue Data'!$A:$A,'[1]Tissue Data'!$C:$C)</f>
        <v>Down</v>
      </c>
      <c r="C7316" s="2">
        <f>_xlfn.XLOOKUP(A7316,'[1]Tissue Data'!$A:$A,'[1]Tissue Data'!$D:$D)</f>
        <v>44393</v>
      </c>
      <c r="D7316" s="2" t="str">
        <f>_xlfn.XLOOKUP(A7316,'[1]Tissue Data'!$A:$A,'[1]Tissue Data'!$F:$F)</f>
        <v>Pumpkinseed</v>
      </c>
      <c r="E7316" t="str">
        <f>_xlfn.XLOOKUP(A7316,'[1]Tissue Data'!$A:$A,'[1]Tissue Data'!$H:$H)</f>
        <v>Lepomis</v>
      </c>
      <c r="F7316" t="str">
        <f>_xlfn.XLOOKUP(A7316,'[1]Tissue Data'!$A:$A,'[1]Tissue Data'!$I:$I)</f>
        <v>gibbosus</v>
      </c>
      <c r="G7316" t="str">
        <f>_xlfn.XLOOKUP(A7316,'[1]Tissue Data'!$A:$A,'[1]Tissue Data'!J:J)</f>
        <v>U</v>
      </c>
      <c r="H7316" t="str">
        <f>_xlfn.XLOOKUP(A7316,'[1]Tissue Data'!$A:$A,'[1]Tissue Data'!K:K)</f>
        <v>Whole Body</v>
      </c>
      <c r="I7316">
        <f>_xlfn.XLOOKUP(A7316,'[1]Tissue Data'!$A:$A,'[1]Tissue Data'!L:L)</f>
        <v>9</v>
      </c>
      <c r="J7316">
        <f>_xlfn.XLOOKUP(A7316,'[1]Tissue Data'!$A:$A,'[1]Tissue Data'!M:M)</f>
        <v>11.46</v>
      </c>
      <c r="K7316" t="s">
        <v>26</v>
      </c>
      <c r="L7316" t="str">
        <f>_xlfn.XLOOKUP(K7316,[2]analyte_order!$B:$B,[2]analyte_order!$C:$C)</f>
        <v>2706-91-4</v>
      </c>
      <c r="M7316">
        <f>_xlfn.XLOOKUP(L7316,[2]analyte_order!$C:$C,[2]analyte_order!$E:$E)</f>
        <v>15</v>
      </c>
      <c r="N7316">
        <v>0.22700000000000001</v>
      </c>
    </row>
    <row r="7317" spans="1:14">
      <c r="A7317" t="s">
        <v>307</v>
      </c>
      <c r="B7317" t="str">
        <f>_xlfn.XLOOKUP(A7317,'[1]Tissue Data'!$A:$A,'[1]Tissue Data'!$C:$C)</f>
        <v>Down</v>
      </c>
      <c r="C7317" s="2">
        <f>_xlfn.XLOOKUP(A7317,'[1]Tissue Data'!$A:$A,'[1]Tissue Data'!$D:$D)</f>
        <v>44393</v>
      </c>
      <c r="D7317" s="2" t="str">
        <f>_xlfn.XLOOKUP(A7317,'[1]Tissue Data'!$A:$A,'[1]Tissue Data'!$F:$F)</f>
        <v>Pumpkinseed</v>
      </c>
      <c r="E7317" t="str">
        <f>_xlfn.XLOOKUP(A7317,'[1]Tissue Data'!$A:$A,'[1]Tissue Data'!$H:$H)</f>
        <v>Lepomis</v>
      </c>
      <c r="F7317" t="str">
        <f>_xlfn.XLOOKUP(A7317,'[1]Tissue Data'!$A:$A,'[1]Tissue Data'!$I:$I)</f>
        <v>gibbosus</v>
      </c>
      <c r="G7317" t="str">
        <f>_xlfn.XLOOKUP(A7317,'[1]Tissue Data'!$A:$A,'[1]Tissue Data'!J:J)</f>
        <v>U</v>
      </c>
      <c r="H7317" t="str">
        <f>_xlfn.XLOOKUP(A7317,'[1]Tissue Data'!$A:$A,'[1]Tissue Data'!K:K)</f>
        <v>Whole Body</v>
      </c>
      <c r="I7317">
        <f>_xlfn.XLOOKUP(A7317,'[1]Tissue Data'!$A:$A,'[1]Tissue Data'!L:L)</f>
        <v>9</v>
      </c>
      <c r="J7317">
        <f>_xlfn.XLOOKUP(A7317,'[1]Tissue Data'!$A:$A,'[1]Tissue Data'!M:M)</f>
        <v>11.46</v>
      </c>
      <c r="K7317" t="s">
        <v>27</v>
      </c>
      <c r="L7317" t="str">
        <f>_xlfn.XLOOKUP(K7317,[2]analyte_order!$B:$B,[2]analyte_order!$C:$C)</f>
        <v>355-46-4</v>
      </c>
      <c r="M7317">
        <f>_xlfn.XLOOKUP(L7317,[2]analyte_order!$C:$C,[2]analyte_order!$E:$E)</f>
        <v>16</v>
      </c>
      <c r="N7317">
        <v>23.4</v>
      </c>
    </row>
    <row r="7318" spans="1:14">
      <c r="A7318" t="s">
        <v>307</v>
      </c>
      <c r="B7318" t="str">
        <f>_xlfn.XLOOKUP(A7318,'[1]Tissue Data'!$A:$A,'[1]Tissue Data'!$C:$C)</f>
        <v>Down</v>
      </c>
      <c r="C7318" s="2">
        <f>_xlfn.XLOOKUP(A7318,'[1]Tissue Data'!$A:$A,'[1]Tissue Data'!$D:$D)</f>
        <v>44393</v>
      </c>
      <c r="D7318" s="2" t="str">
        <f>_xlfn.XLOOKUP(A7318,'[1]Tissue Data'!$A:$A,'[1]Tissue Data'!$F:$F)</f>
        <v>Pumpkinseed</v>
      </c>
      <c r="E7318" t="str">
        <f>_xlfn.XLOOKUP(A7318,'[1]Tissue Data'!$A:$A,'[1]Tissue Data'!$H:$H)</f>
        <v>Lepomis</v>
      </c>
      <c r="F7318" t="str">
        <f>_xlfn.XLOOKUP(A7318,'[1]Tissue Data'!$A:$A,'[1]Tissue Data'!$I:$I)</f>
        <v>gibbosus</v>
      </c>
      <c r="G7318" t="str">
        <f>_xlfn.XLOOKUP(A7318,'[1]Tissue Data'!$A:$A,'[1]Tissue Data'!J:J)</f>
        <v>U</v>
      </c>
      <c r="H7318" t="str">
        <f>_xlfn.XLOOKUP(A7318,'[1]Tissue Data'!$A:$A,'[1]Tissue Data'!K:K)</f>
        <v>Whole Body</v>
      </c>
      <c r="I7318">
        <f>_xlfn.XLOOKUP(A7318,'[1]Tissue Data'!$A:$A,'[1]Tissue Data'!L:L)</f>
        <v>9</v>
      </c>
      <c r="J7318">
        <f>_xlfn.XLOOKUP(A7318,'[1]Tissue Data'!$A:$A,'[1]Tissue Data'!M:M)</f>
        <v>11.46</v>
      </c>
      <c r="K7318" t="s">
        <v>28</v>
      </c>
      <c r="L7318" t="str">
        <f>_xlfn.XLOOKUP(K7318,[2]analyte_order!$B:$B,[2]analyte_order!$C:$C)</f>
        <v>375-92-8</v>
      </c>
      <c r="M7318">
        <f>_xlfn.XLOOKUP(L7318,[2]analyte_order!$C:$C,[2]analyte_order!$E:$E)</f>
        <v>17</v>
      </c>
      <c r="N7318">
        <v>2.82</v>
      </c>
    </row>
    <row r="7319" spans="1:14">
      <c r="A7319" t="s">
        <v>307</v>
      </c>
      <c r="B7319" t="str">
        <f>_xlfn.XLOOKUP(A7319,'[1]Tissue Data'!$A:$A,'[1]Tissue Data'!$C:$C)</f>
        <v>Down</v>
      </c>
      <c r="C7319" s="2">
        <f>_xlfn.XLOOKUP(A7319,'[1]Tissue Data'!$A:$A,'[1]Tissue Data'!$D:$D)</f>
        <v>44393</v>
      </c>
      <c r="D7319" s="2" t="str">
        <f>_xlfn.XLOOKUP(A7319,'[1]Tissue Data'!$A:$A,'[1]Tissue Data'!$F:$F)</f>
        <v>Pumpkinseed</v>
      </c>
      <c r="E7319" t="str">
        <f>_xlfn.XLOOKUP(A7319,'[1]Tissue Data'!$A:$A,'[1]Tissue Data'!$H:$H)</f>
        <v>Lepomis</v>
      </c>
      <c r="F7319" t="str">
        <f>_xlfn.XLOOKUP(A7319,'[1]Tissue Data'!$A:$A,'[1]Tissue Data'!$I:$I)</f>
        <v>gibbosus</v>
      </c>
      <c r="G7319" t="str">
        <f>_xlfn.XLOOKUP(A7319,'[1]Tissue Data'!$A:$A,'[1]Tissue Data'!J:J)</f>
        <v>U</v>
      </c>
      <c r="H7319" t="str">
        <f>_xlfn.XLOOKUP(A7319,'[1]Tissue Data'!$A:$A,'[1]Tissue Data'!K:K)</f>
        <v>Whole Body</v>
      </c>
      <c r="I7319">
        <f>_xlfn.XLOOKUP(A7319,'[1]Tissue Data'!$A:$A,'[1]Tissue Data'!L:L)</f>
        <v>9</v>
      </c>
      <c r="J7319">
        <f>_xlfn.XLOOKUP(A7319,'[1]Tissue Data'!$A:$A,'[1]Tissue Data'!M:M)</f>
        <v>11.46</v>
      </c>
      <c r="K7319" t="s">
        <v>29</v>
      </c>
      <c r="L7319" t="str">
        <f>_xlfn.XLOOKUP(K7319,[2]analyte_order!$B:$B,[2]analyte_order!$C:$C)</f>
        <v>1763-23-1</v>
      </c>
      <c r="M7319">
        <f>_xlfn.XLOOKUP(L7319,[2]analyte_order!$C:$C,[2]analyte_order!$E:$E)</f>
        <v>18</v>
      </c>
      <c r="N7319">
        <v>368</v>
      </c>
    </row>
    <row r="7320" spans="1:14">
      <c r="A7320" t="s">
        <v>307</v>
      </c>
      <c r="B7320" t="str">
        <f>_xlfn.XLOOKUP(A7320,'[1]Tissue Data'!$A:$A,'[1]Tissue Data'!$C:$C)</f>
        <v>Down</v>
      </c>
      <c r="C7320" s="2">
        <f>_xlfn.XLOOKUP(A7320,'[1]Tissue Data'!$A:$A,'[1]Tissue Data'!$D:$D)</f>
        <v>44393</v>
      </c>
      <c r="D7320" s="2" t="str">
        <f>_xlfn.XLOOKUP(A7320,'[1]Tissue Data'!$A:$A,'[1]Tissue Data'!$F:$F)</f>
        <v>Pumpkinseed</v>
      </c>
      <c r="E7320" t="str">
        <f>_xlfn.XLOOKUP(A7320,'[1]Tissue Data'!$A:$A,'[1]Tissue Data'!$H:$H)</f>
        <v>Lepomis</v>
      </c>
      <c r="F7320" t="str">
        <f>_xlfn.XLOOKUP(A7320,'[1]Tissue Data'!$A:$A,'[1]Tissue Data'!$I:$I)</f>
        <v>gibbosus</v>
      </c>
      <c r="G7320" t="str">
        <f>_xlfn.XLOOKUP(A7320,'[1]Tissue Data'!$A:$A,'[1]Tissue Data'!J:J)</f>
        <v>U</v>
      </c>
      <c r="H7320" t="str">
        <f>_xlfn.XLOOKUP(A7320,'[1]Tissue Data'!$A:$A,'[1]Tissue Data'!K:K)</f>
        <v>Whole Body</v>
      </c>
      <c r="I7320">
        <f>_xlfn.XLOOKUP(A7320,'[1]Tissue Data'!$A:$A,'[1]Tissue Data'!L:L)</f>
        <v>9</v>
      </c>
      <c r="J7320">
        <f>_xlfn.XLOOKUP(A7320,'[1]Tissue Data'!$A:$A,'[1]Tissue Data'!M:M)</f>
        <v>11.46</v>
      </c>
      <c r="K7320" t="s">
        <v>30</v>
      </c>
      <c r="L7320" t="str">
        <f>_xlfn.XLOOKUP(K7320,[2]analyte_order!$B:$B,[2]analyte_order!$C:$C)</f>
        <v>68259-12-1</v>
      </c>
      <c r="M7320">
        <f>_xlfn.XLOOKUP(L7320,[2]analyte_order!$C:$C,[2]analyte_order!$E:$E)</f>
        <v>19</v>
      </c>
      <c r="N7320">
        <v>1.08</v>
      </c>
    </row>
    <row r="7321" spans="1:14">
      <c r="A7321" t="s">
        <v>307</v>
      </c>
      <c r="B7321" t="str">
        <f>_xlfn.XLOOKUP(A7321,'[1]Tissue Data'!$A:$A,'[1]Tissue Data'!$C:$C)</f>
        <v>Down</v>
      </c>
      <c r="C7321" s="2">
        <f>_xlfn.XLOOKUP(A7321,'[1]Tissue Data'!$A:$A,'[1]Tissue Data'!$D:$D)</f>
        <v>44393</v>
      </c>
      <c r="D7321" s="2" t="str">
        <f>_xlfn.XLOOKUP(A7321,'[1]Tissue Data'!$A:$A,'[1]Tissue Data'!$F:$F)</f>
        <v>Pumpkinseed</v>
      </c>
      <c r="E7321" t="str">
        <f>_xlfn.XLOOKUP(A7321,'[1]Tissue Data'!$A:$A,'[1]Tissue Data'!$H:$H)</f>
        <v>Lepomis</v>
      </c>
      <c r="F7321" t="str">
        <f>_xlfn.XLOOKUP(A7321,'[1]Tissue Data'!$A:$A,'[1]Tissue Data'!$I:$I)</f>
        <v>gibbosus</v>
      </c>
      <c r="G7321" t="str">
        <f>_xlfn.XLOOKUP(A7321,'[1]Tissue Data'!$A:$A,'[1]Tissue Data'!J:J)</f>
        <v>U</v>
      </c>
      <c r="H7321" t="str">
        <f>_xlfn.XLOOKUP(A7321,'[1]Tissue Data'!$A:$A,'[1]Tissue Data'!K:K)</f>
        <v>Whole Body</v>
      </c>
      <c r="I7321">
        <f>_xlfn.XLOOKUP(A7321,'[1]Tissue Data'!$A:$A,'[1]Tissue Data'!L:L)</f>
        <v>9</v>
      </c>
      <c r="J7321">
        <f>_xlfn.XLOOKUP(A7321,'[1]Tissue Data'!$A:$A,'[1]Tissue Data'!M:M)</f>
        <v>11.46</v>
      </c>
      <c r="K7321" t="s">
        <v>31</v>
      </c>
      <c r="L7321" t="str">
        <f>_xlfn.XLOOKUP(K7321,[2]analyte_order!$B:$B,[2]analyte_order!$C:$C)</f>
        <v>335-77-3</v>
      </c>
      <c r="M7321">
        <f>_xlfn.XLOOKUP(L7321,[2]analyte_order!$C:$C,[2]analyte_order!$E:$E)</f>
        <v>20</v>
      </c>
      <c r="N7321">
        <v>0.88500000000000001</v>
      </c>
    </row>
    <row r="7322" spans="1:14">
      <c r="A7322" t="s">
        <v>307</v>
      </c>
      <c r="B7322" t="str">
        <f>_xlfn.XLOOKUP(A7322,'[1]Tissue Data'!$A:$A,'[1]Tissue Data'!$C:$C)</f>
        <v>Down</v>
      </c>
      <c r="C7322" s="2">
        <f>_xlfn.XLOOKUP(A7322,'[1]Tissue Data'!$A:$A,'[1]Tissue Data'!$D:$D)</f>
        <v>44393</v>
      </c>
      <c r="D7322" s="2" t="str">
        <f>_xlfn.XLOOKUP(A7322,'[1]Tissue Data'!$A:$A,'[1]Tissue Data'!$F:$F)</f>
        <v>Pumpkinseed</v>
      </c>
      <c r="E7322" t="str">
        <f>_xlfn.XLOOKUP(A7322,'[1]Tissue Data'!$A:$A,'[1]Tissue Data'!$H:$H)</f>
        <v>Lepomis</v>
      </c>
      <c r="F7322" t="str">
        <f>_xlfn.XLOOKUP(A7322,'[1]Tissue Data'!$A:$A,'[1]Tissue Data'!$I:$I)</f>
        <v>gibbosus</v>
      </c>
      <c r="G7322" t="str">
        <f>_xlfn.XLOOKUP(A7322,'[1]Tissue Data'!$A:$A,'[1]Tissue Data'!J:J)</f>
        <v>U</v>
      </c>
      <c r="H7322" t="str">
        <f>_xlfn.XLOOKUP(A7322,'[1]Tissue Data'!$A:$A,'[1]Tissue Data'!K:K)</f>
        <v>Whole Body</v>
      </c>
      <c r="I7322">
        <f>_xlfn.XLOOKUP(A7322,'[1]Tissue Data'!$A:$A,'[1]Tissue Data'!L:L)</f>
        <v>9</v>
      </c>
      <c r="J7322">
        <f>_xlfn.XLOOKUP(A7322,'[1]Tissue Data'!$A:$A,'[1]Tissue Data'!M:M)</f>
        <v>11.46</v>
      </c>
      <c r="K7322" t="s">
        <v>32</v>
      </c>
      <c r="L7322" t="str">
        <f>_xlfn.XLOOKUP(K7322,[2]analyte_order!$B:$B,[2]analyte_order!$C:$C)</f>
        <v>79780-39-5</v>
      </c>
      <c r="M7322">
        <f>_xlfn.XLOOKUP(L7322,[2]analyte_order!$C:$C,[2]analyte_order!$E:$E)</f>
        <v>21</v>
      </c>
      <c r="N7322">
        <v>0.2235</v>
      </c>
    </row>
    <row r="7323" spans="1:14">
      <c r="A7323" t="s">
        <v>307</v>
      </c>
      <c r="B7323" t="str">
        <f>_xlfn.XLOOKUP(A7323,'[1]Tissue Data'!$A:$A,'[1]Tissue Data'!$C:$C)</f>
        <v>Down</v>
      </c>
      <c r="C7323" s="2">
        <f>_xlfn.XLOOKUP(A7323,'[1]Tissue Data'!$A:$A,'[1]Tissue Data'!$D:$D)</f>
        <v>44393</v>
      </c>
      <c r="D7323" s="2" t="str">
        <f>_xlfn.XLOOKUP(A7323,'[1]Tissue Data'!$A:$A,'[1]Tissue Data'!$F:$F)</f>
        <v>Pumpkinseed</v>
      </c>
      <c r="E7323" t="str">
        <f>_xlfn.XLOOKUP(A7323,'[1]Tissue Data'!$A:$A,'[1]Tissue Data'!$H:$H)</f>
        <v>Lepomis</v>
      </c>
      <c r="F7323" t="str">
        <f>_xlfn.XLOOKUP(A7323,'[1]Tissue Data'!$A:$A,'[1]Tissue Data'!$I:$I)</f>
        <v>gibbosus</v>
      </c>
      <c r="G7323" t="str">
        <f>_xlfn.XLOOKUP(A7323,'[1]Tissue Data'!$A:$A,'[1]Tissue Data'!J:J)</f>
        <v>U</v>
      </c>
      <c r="H7323" t="str">
        <f>_xlfn.XLOOKUP(A7323,'[1]Tissue Data'!$A:$A,'[1]Tissue Data'!K:K)</f>
        <v>Whole Body</v>
      </c>
      <c r="I7323">
        <f>_xlfn.XLOOKUP(A7323,'[1]Tissue Data'!$A:$A,'[1]Tissue Data'!L:L)</f>
        <v>9</v>
      </c>
      <c r="J7323">
        <f>_xlfn.XLOOKUP(A7323,'[1]Tissue Data'!$A:$A,'[1]Tissue Data'!M:M)</f>
        <v>11.46</v>
      </c>
      <c r="K7323" t="s">
        <v>33</v>
      </c>
      <c r="L7323" t="str">
        <f>_xlfn.XLOOKUP(K7323,[2]analyte_order!$B:$B,[2]analyte_order!$C:$C)</f>
        <v>777011-38-8</v>
      </c>
      <c r="M7323">
        <f>_xlfn.XLOOKUP(L7323,[2]analyte_order!$C:$C,[2]analyte_order!$E:$E)</f>
        <v>54</v>
      </c>
      <c r="N7323">
        <v>0.127</v>
      </c>
    </row>
    <row r="7324" spans="1:14">
      <c r="A7324" t="s">
        <v>307</v>
      </c>
      <c r="B7324" t="str">
        <f>_xlfn.XLOOKUP(A7324,'[1]Tissue Data'!$A:$A,'[1]Tissue Data'!$C:$C)</f>
        <v>Down</v>
      </c>
      <c r="C7324" s="2">
        <f>_xlfn.XLOOKUP(A7324,'[1]Tissue Data'!$A:$A,'[1]Tissue Data'!$D:$D)</f>
        <v>44393</v>
      </c>
      <c r="D7324" s="2" t="str">
        <f>_xlfn.XLOOKUP(A7324,'[1]Tissue Data'!$A:$A,'[1]Tissue Data'!$F:$F)</f>
        <v>Pumpkinseed</v>
      </c>
      <c r="E7324" t="str">
        <f>_xlfn.XLOOKUP(A7324,'[1]Tissue Data'!$A:$A,'[1]Tissue Data'!$H:$H)</f>
        <v>Lepomis</v>
      </c>
      <c r="F7324" t="str">
        <f>_xlfn.XLOOKUP(A7324,'[1]Tissue Data'!$A:$A,'[1]Tissue Data'!$I:$I)</f>
        <v>gibbosus</v>
      </c>
      <c r="G7324" t="str">
        <f>_xlfn.XLOOKUP(A7324,'[1]Tissue Data'!$A:$A,'[1]Tissue Data'!J:J)</f>
        <v>U</v>
      </c>
      <c r="H7324" t="str">
        <f>_xlfn.XLOOKUP(A7324,'[1]Tissue Data'!$A:$A,'[1]Tissue Data'!K:K)</f>
        <v>Whole Body</v>
      </c>
      <c r="I7324">
        <f>_xlfn.XLOOKUP(A7324,'[1]Tissue Data'!$A:$A,'[1]Tissue Data'!L:L)</f>
        <v>9</v>
      </c>
      <c r="J7324">
        <f>_xlfn.XLOOKUP(A7324,'[1]Tissue Data'!$A:$A,'[1]Tissue Data'!M:M)</f>
        <v>11.46</v>
      </c>
      <c r="K7324" t="s">
        <v>34</v>
      </c>
      <c r="L7324" t="str">
        <f>_xlfn.XLOOKUP(K7324,[2]analyte_order!$B:$B,[2]analyte_order!$C:$C)</f>
        <v>646-83-3</v>
      </c>
      <c r="M7324">
        <f>_xlfn.XLOOKUP(L7324,[2]analyte_order!$C:$C,[2]analyte_order!$E:$E)</f>
        <v>55</v>
      </c>
      <c r="N7324">
        <v>0.249</v>
      </c>
    </row>
    <row r="7325" spans="1:14">
      <c r="A7325" t="s">
        <v>307</v>
      </c>
      <c r="B7325" t="str">
        <f>_xlfn.XLOOKUP(A7325,'[1]Tissue Data'!$A:$A,'[1]Tissue Data'!$C:$C)</f>
        <v>Down</v>
      </c>
      <c r="C7325" s="2">
        <f>_xlfn.XLOOKUP(A7325,'[1]Tissue Data'!$A:$A,'[1]Tissue Data'!$D:$D)</f>
        <v>44393</v>
      </c>
      <c r="D7325" s="2" t="str">
        <f>_xlfn.XLOOKUP(A7325,'[1]Tissue Data'!$A:$A,'[1]Tissue Data'!$F:$F)</f>
        <v>Pumpkinseed</v>
      </c>
      <c r="E7325" t="str">
        <f>_xlfn.XLOOKUP(A7325,'[1]Tissue Data'!$A:$A,'[1]Tissue Data'!$H:$H)</f>
        <v>Lepomis</v>
      </c>
      <c r="F7325" t="str">
        <f>_xlfn.XLOOKUP(A7325,'[1]Tissue Data'!$A:$A,'[1]Tissue Data'!$I:$I)</f>
        <v>gibbosus</v>
      </c>
      <c r="G7325" t="str">
        <f>_xlfn.XLOOKUP(A7325,'[1]Tissue Data'!$A:$A,'[1]Tissue Data'!J:J)</f>
        <v>U</v>
      </c>
      <c r="H7325" t="str">
        <f>_xlfn.XLOOKUP(A7325,'[1]Tissue Data'!$A:$A,'[1]Tissue Data'!K:K)</f>
        <v>Whole Body</v>
      </c>
      <c r="I7325">
        <f>_xlfn.XLOOKUP(A7325,'[1]Tissue Data'!$A:$A,'[1]Tissue Data'!L:L)</f>
        <v>9</v>
      </c>
      <c r="J7325">
        <f>_xlfn.XLOOKUP(A7325,'[1]Tissue Data'!$A:$A,'[1]Tissue Data'!M:M)</f>
        <v>11.46</v>
      </c>
      <c r="K7325" t="s">
        <v>35</v>
      </c>
      <c r="L7325" t="str">
        <f>_xlfn.XLOOKUP(K7325,[2]analyte_order!$B:$B,[2]analyte_order!$C:$C)</f>
        <v>30334-69-1</v>
      </c>
      <c r="M7325">
        <f>_xlfn.XLOOKUP(L7325,[2]analyte_order!$C:$C,[2]analyte_order!$E:$E)</f>
        <v>51</v>
      </c>
      <c r="N7325">
        <v>31.5</v>
      </c>
    </row>
    <row r="7326" spans="1:14">
      <c r="A7326" t="s">
        <v>307</v>
      </c>
      <c r="B7326" t="str">
        <f>_xlfn.XLOOKUP(A7326,'[1]Tissue Data'!$A:$A,'[1]Tissue Data'!$C:$C)</f>
        <v>Down</v>
      </c>
      <c r="C7326" s="2">
        <f>_xlfn.XLOOKUP(A7326,'[1]Tissue Data'!$A:$A,'[1]Tissue Data'!$D:$D)</f>
        <v>44393</v>
      </c>
      <c r="D7326" s="2" t="str">
        <f>_xlfn.XLOOKUP(A7326,'[1]Tissue Data'!$A:$A,'[1]Tissue Data'!$F:$F)</f>
        <v>Pumpkinseed</v>
      </c>
      <c r="E7326" t="str">
        <f>_xlfn.XLOOKUP(A7326,'[1]Tissue Data'!$A:$A,'[1]Tissue Data'!$H:$H)</f>
        <v>Lepomis</v>
      </c>
      <c r="F7326" t="str">
        <f>_xlfn.XLOOKUP(A7326,'[1]Tissue Data'!$A:$A,'[1]Tissue Data'!$I:$I)</f>
        <v>gibbosus</v>
      </c>
      <c r="G7326" t="str">
        <f>_xlfn.XLOOKUP(A7326,'[1]Tissue Data'!$A:$A,'[1]Tissue Data'!J:J)</f>
        <v>U</v>
      </c>
      <c r="H7326" t="str">
        <f>_xlfn.XLOOKUP(A7326,'[1]Tissue Data'!$A:$A,'[1]Tissue Data'!K:K)</f>
        <v>Whole Body</v>
      </c>
      <c r="I7326">
        <f>_xlfn.XLOOKUP(A7326,'[1]Tissue Data'!$A:$A,'[1]Tissue Data'!L:L)</f>
        <v>9</v>
      </c>
      <c r="J7326">
        <f>_xlfn.XLOOKUP(A7326,'[1]Tissue Data'!$A:$A,'[1]Tissue Data'!M:M)</f>
        <v>11.46</v>
      </c>
      <c r="K7326" t="s">
        <v>36</v>
      </c>
      <c r="L7326" t="str">
        <f>_xlfn.XLOOKUP(K7326,[2]analyte_order!$B:$B,[2]analyte_order!$C:$C)</f>
        <v>41997-13-1</v>
      </c>
      <c r="M7326">
        <f>_xlfn.XLOOKUP(L7326,[2]analyte_order!$C:$C,[2]analyte_order!$E:$E)</f>
        <v>52</v>
      </c>
      <c r="N7326">
        <v>100</v>
      </c>
    </row>
    <row r="7327" spans="1:14">
      <c r="A7327" t="s">
        <v>307</v>
      </c>
      <c r="B7327" t="str">
        <f>_xlfn.XLOOKUP(A7327,'[1]Tissue Data'!$A:$A,'[1]Tissue Data'!$C:$C)</f>
        <v>Down</v>
      </c>
      <c r="C7327" s="2">
        <f>_xlfn.XLOOKUP(A7327,'[1]Tissue Data'!$A:$A,'[1]Tissue Data'!$D:$D)</f>
        <v>44393</v>
      </c>
      <c r="D7327" s="2" t="str">
        <f>_xlfn.XLOOKUP(A7327,'[1]Tissue Data'!$A:$A,'[1]Tissue Data'!$F:$F)</f>
        <v>Pumpkinseed</v>
      </c>
      <c r="E7327" t="str">
        <f>_xlfn.XLOOKUP(A7327,'[1]Tissue Data'!$A:$A,'[1]Tissue Data'!$H:$H)</f>
        <v>Lepomis</v>
      </c>
      <c r="F7327" t="str">
        <f>_xlfn.XLOOKUP(A7327,'[1]Tissue Data'!$A:$A,'[1]Tissue Data'!$I:$I)</f>
        <v>gibbosus</v>
      </c>
      <c r="G7327" t="str">
        <f>_xlfn.XLOOKUP(A7327,'[1]Tissue Data'!$A:$A,'[1]Tissue Data'!J:J)</f>
        <v>U</v>
      </c>
      <c r="H7327" t="str">
        <f>_xlfn.XLOOKUP(A7327,'[1]Tissue Data'!$A:$A,'[1]Tissue Data'!K:K)</f>
        <v>Whole Body</v>
      </c>
      <c r="I7327">
        <f>_xlfn.XLOOKUP(A7327,'[1]Tissue Data'!$A:$A,'[1]Tissue Data'!L:L)</f>
        <v>9</v>
      </c>
      <c r="J7327">
        <f>_xlfn.XLOOKUP(A7327,'[1]Tissue Data'!$A:$A,'[1]Tissue Data'!M:M)</f>
        <v>11.46</v>
      </c>
      <c r="K7327" t="s">
        <v>37</v>
      </c>
      <c r="L7327" t="str">
        <f>_xlfn.XLOOKUP(K7327,[2]analyte_order!$B:$B,[2]analyte_order!$C:$C)</f>
        <v>754-91-6</v>
      </c>
      <c r="M7327">
        <f>_xlfn.XLOOKUP(L7327,[2]analyte_order!$C:$C,[2]analyte_order!$E:$E)</f>
        <v>28</v>
      </c>
      <c r="N7327">
        <v>10.5</v>
      </c>
    </row>
    <row r="7328" spans="1:14">
      <c r="A7328" t="s">
        <v>307</v>
      </c>
      <c r="B7328" t="str">
        <f>_xlfn.XLOOKUP(A7328,'[1]Tissue Data'!$A:$A,'[1]Tissue Data'!$C:$C)</f>
        <v>Down</v>
      </c>
      <c r="C7328" s="2">
        <f>_xlfn.XLOOKUP(A7328,'[1]Tissue Data'!$A:$A,'[1]Tissue Data'!$D:$D)</f>
        <v>44393</v>
      </c>
      <c r="D7328" s="2" t="str">
        <f>_xlfn.XLOOKUP(A7328,'[1]Tissue Data'!$A:$A,'[1]Tissue Data'!$F:$F)</f>
        <v>Pumpkinseed</v>
      </c>
      <c r="E7328" t="str">
        <f>_xlfn.XLOOKUP(A7328,'[1]Tissue Data'!$A:$A,'[1]Tissue Data'!$H:$H)</f>
        <v>Lepomis</v>
      </c>
      <c r="F7328" t="str">
        <f>_xlfn.XLOOKUP(A7328,'[1]Tissue Data'!$A:$A,'[1]Tissue Data'!$I:$I)</f>
        <v>gibbosus</v>
      </c>
      <c r="G7328" t="str">
        <f>_xlfn.XLOOKUP(A7328,'[1]Tissue Data'!$A:$A,'[1]Tissue Data'!J:J)</f>
        <v>U</v>
      </c>
      <c r="H7328" t="str">
        <f>_xlfn.XLOOKUP(A7328,'[1]Tissue Data'!$A:$A,'[1]Tissue Data'!K:K)</f>
        <v>Whole Body</v>
      </c>
      <c r="I7328">
        <f>_xlfn.XLOOKUP(A7328,'[1]Tissue Data'!$A:$A,'[1]Tissue Data'!L:L)</f>
        <v>9</v>
      </c>
      <c r="J7328">
        <f>_xlfn.XLOOKUP(A7328,'[1]Tissue Data'!$A:$A,'[1]Tissue Data'!M:M)</f>
        <v>11.46</v>
      </c>
      <c r="K7328" t="s">
        <v>38</v>
      </c>
      <c r="L7328" t="str">
        <f>_xlfn.XLOOKUP(K7328,[2]analyte_order!$B:$B,[2]analyte_order!$C:$C)</f>
        <v>31506-32-8</v>
      </c>
      <c r="M7328">
        <f>_xlfn.XLOOKUP(L7328,[2]analyte_order!$C:$C,[2]analyte_order!$E:$E)</f>
        <v>30</v>
      </c>
      <c r="N7328">
        <v>0.161</v>
      </c>
    </row>
    <row r="7329" spans="1:14">
      <c r="A7329" t="s">
        <v>307</v>
      </c>
      <c r="B7329" t="str">
        <f>_xlfn.XLOOKUP(A7329,'[1]Tissue Data'!$A:$A,'[1]Tissue Data'!$C:$C)</f>
        <v>Down</v>
      </c>
      <c r="C7329" s="2">
        <f>_xlfn.XLOOKUP(A7329,'[1]Tissue Data'!$A:$A,'[1]Tissue Data'!$D:$D)</f>
        <v>44393</v>
      </c>
      <c r="D7329" s="2" t="str">
        <f>_xlfn.XLOOKUP(A7329,'[1]Tissue Data'!$A:$A,'[1]Tissue Data'!$F:$F)</f>
        <v>Pumpkinseed</v>
      </c>
      <c r="E7329" t="str">
        <f>_xlfn.XLOOKUP(A7329,'[1]Tissue Data'!$A:$A,'[1]Tissue Data'!$H:$H)</f>
        <v>Lepomis</v>
      </c>
      <c r="F7329" t="str">
        <f>_xlfn.XLOOKUP(A7329,'[1]Tissue Data'!$A:$A,'[1]Tissue Data'!$I:$I)</f>
        <v>gibbosus</v>
      </c>
      <c r="G7329" t="str">
        <f>_xlfn.XLOOKUP(A7329,'[1]Tissue Data'!$A:$A,'[1]Tissue Data'!J:J)</f>
        <v>U</v>
      </c>
      <c r="H7329" t="str">
        <f>_xlfn.XLOOKUP(A7329,'[1]Tissue Data'!$A:$A,'[1]Tissue Data'!K:K)</f>
        <v>Whole Body</v>
      </c>
      <c r="I7329">
        <f>_xlfn.XLOOKUP(A7329,'[1]Tissue Data'!$A:$A,'[1]Tissue Data'!L:L)</f>
        <v>9</v>
      </c>
      <c r="J7329">
        <f>_xlfn.XLOOKUP(A7329,'[1]Tissue Data'!$A:$A,'[1]Tissue Data'!M:M)</f>
        <v>11.46</v>
      </c>
      <c r="K7329" t="s">
        <v>39</v>
      </c>
      <c r="L7329" t="str">
        <f>_xlfn.XLOOKUP(K7329,[2]analyte_order!$B:$B,[2]analyte_order!$C:$C)</f>
        <v>4151-50-2</v>
      </c>
      <c r="M7329">
        <f>_xlfn.XLOOKUP(L7329,[2]analyte_order!$C:$C,[2]analyte_order!$E:$E)</f>
        <v>31</v>
      </c>
      <c r="N7329">
        <v>0.41849999999999998</v>
      </c>
    </row>
    <row r="7330" spans="1:14">
      <c r="A7330" t="s">
        <v>307</v>
      </c>
      <c r="B7330" t="str">
        <f>_xlfn.XLOOKUP(A7330,'[1]Tissue Data'!$A:$A,'[1]Tissue Data'!$C:$C)</f>
        <v>Down</v>
      </c>
      <c r="C7330" s="2">
        <f>_xlfn.XLOOKUP(A7330,'[1]Tissue Data'!$A:$A,'[1]Tissue Data'!$D:$D)</f>
        <v>44393</v>
      </c>
      <c r="D7330" s="2" t="str">
        <f>_xlfn.XLOOKUP(A7330,'[1]Tissue Data'!$A:$A,'[1]Tissue Data'!$F:$F)</f>
        <v>Pumpkinseed</v>
      </c>
      <c r="E7330" t="str">
        <f>_xlfn.XLOOKUP(A7330,'[1]Tissue Data'!$A:$A,'[1]Tissue Data'!$H:$H)</f>
        <v>Lepomis</v>
      </c>
      <c r="F7330" t="str">
        <f>_xlfn.XLOOKUP(A7330,'[1]Tissue Data'!$A:$A,'[1]Tissue Data'!$I:$I)</f>
        <v>gibbosus</v>
      </c>
      <c r="G7330" t="str">
        <f>_xlfn.XLOOKUP(A7330,'[1]Tissue Data'!$A:$A,'[1]Tissue Data'!J:J)</f>
        <v>U</v>
      </c>
      <c r="H7330" t="str">
        <f>_xlfn.XLOOKUP(A7330,'[1]Tissue Data'!$A:$A,'[1]Tissue Data'!K:K)</f>
        <v>Whole Body</v>
      </c>
      <c r="I7330">
        <f>_xlfn.XLOOKUP(A7330,'[1]Tissue Data'!$A:$A,'[1]Tissue Data'!L:L)</f>
        <v>9</v>
      </c>
      <c r="J7330">
        <f>_xlfn.XLOOKUP(A7330,'[1]Tissue Data'!$A:$A,'[1]Tissue Data'!M:M)</f>
        <v>11.46</v>
      </c>
      <c r="K7330" t="s">
        <v>40</v>
      </c>
      <c r="L7330" t="str">
        <f>_xlfn.XLOOKUP(K7330,[2]analyte_order!$B:$B,[2]analyte_order!$C:$C)</f>
        <v>2806-24-8</v>
      </c>
      <c r="M7330">
        <f>_xlfn.XLOOKUP(L7330,[2]analyte_order!$C:$C,[2]analyte_order!$E:$E)</f>
        <v>29</v>
      </c>
      <c r="N7330">
        <v>0.41849999999999998</v>
      </c>
    </row>
    <row r="7331" spans="1:14">
      <c r="A7331" t="s">
        <v>307</v>
      </c>
      <c r="B7331" t="str">
        <f>_xlfn.XLOOKUP(A7331,'[1]Tissue Data'!$A:$A,'[1]Tissue Data'!$C:$C)</f>
        <v>Down</v>
      </c>
      <c r="C7331" s="2">
        <f>_xlfn.XLOOKUP(A7331,'[1]Tissue Data'!$A:$A,'[1]Tissue Data'!$D:$D)</f>
        <v>44393</v>
      </c>
      <c r="D7331" s="2" t="str">
        <f>_xlfn.XLOOKUP(A7331,'[1]Tissue Data'!$A:$A,'[1]Tissue Data'!$F:$F)</f>
        <v>Pumpkinseed</v>
      </c>
      <c r="E7331" t="str">
        <f>_xlfn.XLOOKUP(A7331,'[1]Tissue Data'!$A:$A,'[1]Tissue Data'!$H:$H)</f>
        <v>Lepomis</v>
      </c>
      <c r="F7331" t="str">
        <f>_xlfn.XLOOKUP(A7331,'[1]Tissue Data'!$A:$A,'[1]Tissue Data'!$I:$I)</f>
        <v>gibbosus</v>
      </c>
      <c r="G7331" t="str">
        <f>_xlfn.XLOOKUP(A7331,'[1]Tissue Data'!$A:$A,'[1]Tissue Data'!J:J)</f>
        <v>U</v>
      </c>
      <c r="H7331" t="str">
        <f>_xlfn.XLOOKUP(A7331,'[1]Tissue Data'!$A:$A,'[1]Tissue Data'!K:K)</f>
        <v>Whole Body</v>
      </c>
      <c r="I7331">
        <f>_xlfn.XLOOKUP(A7331,'[1]Tissue Data'!$A:$A,'[1]Tissue Data'!L:L)</f>
        <v>9</v>
      </c>
      <c r="J7331">
        <f>_xlfn.XLOOKUP(A7331,'[1]Tissue Data'!$A:$A,'[1]Tissue Data'!M:M)</f>
        <v>11.46</v>
      </c>
      <c r="K7331" t="s">
        <v>41</v>
      </c>
      <c r="L7331" t="str">
        <f>_xlfn.XLOOKUP(K7331,[2]analyte_order!$B:$B,[2]analyte_order!$C:$C)</f>
        <v>2355-31-9</v>
      </c>
      <c r="M7331">
        <f>_xlfn.XLOOKUP(L7331,[2]analyte_order!$C:$C,[2]analyte_order!$E:$E)</f>
        <v>26</v>
      </c>
      <c r="N7331">
        <v>0.21049999999999999</v>
      </c>
    </row>
    <row r="7332" spans="1:14">
      <c r="A7332" t="s">
        <v>307</v>
      </c>
      <c r="B7332" t="str">
        <f>_xlfn.XLOOKUP(A7332,'[1]Tissue Data'!$A:$A,'[1]Tissue Data'!$C:$C)</f>
        <v>Down</v>
      </c>
      <c r="C7332" s="2">
        <f>_xlfn.XLOOKUP(A7332,'[1]Tissue Data'!$A:$A,'[1]Tissue Data'!$D:$D)</f>
        <v>44393</v>
      </c>
      <c r="D7332" s="2" t="str">
        <f>_xlfn.XLOOKUP(A7332,'[1]Tissue Data'!$A:$A,'[1]Tissue Data'!$F:$F)</f>
        <v>Pumpkinseed</v>
      </c>
      <c r="E7332" t="str">
        <f>_xlfn.XLOOKUP(A7332,'[1]Tissue Data'!$A:$A,'[1]Tissue Data'!$H:$H)</f>
        <v>Lepomis</v>
      </c>
      <c r="F7332" t="str">
        <f>_xlfn.XLOOKUP(A7332,'[1]Tissue Data'!$A:$A,'[1]Tissue Data'!$I:$I)</f>
        <v>gibbosus</v>
      </c>
      <c r="G7332" t="str">
        <f>_xlfn.XLOOKUP(A7332,'[1]Tissue Data'!$A:$A,'[1]Tissue Data'!J:J)</f>
        <v>U</v>
      </c>
      <c r="H7332" t="str">
        <f>_xlfn.XLOOKUP(A7332,'[1]Tissue Data'!$A:$A,'[1]Tissue Data'!K:K)</f>
        <v>Whole Body</v>
      </c>
      <c r="I7332">
        <f>_xlfn.XLOOKUP(A7332,'[1]Tissue Data'!$A:$A,'[1]Tissue Data'!L:L)</f>
        <v>9</v>
      </c>
      <c r="J7332">
        <f>_xlfn.XLOOKUP(A7332,'[1]Tissue Data'!$A:$A,'[1]Tissue Data'!M:M)</f>
        <v>11.46</v>
      </c>
      <c r="K7332" t="s">
        <v>42</v>
      </c>
      <c r="L7332" t="str">
        <f>_xlfn.XLOOKUP(K7332,[2]analyte_order!$B:$B,[2]analyte_order!$C:$C)</f>
        <v>2991-50-6</v>
      </c>
      <c r="M7332">
        <f>_xlfn.XLOOKUP(L7332,[2]analyte_order!$C:$C,[2]analyte_order!$E:$E)</f>
        <v>27</v>
      </c>
      <c r="N7332">
        <v>0.20899999999999999</v>
      </c>
    </row>
    <row r="7333" spans="1:14">
      <c r="A7333" t="s">
        <v>307</v>
      </c>
      <c r="B7333" t="str">
        <f>_xlfn.XLOOKUP(A7333,'[1]Tissue Data'!$A:$A,'[1]Tissue Data'!$C:$C)</f>
        <v>Down</v>
      </c>
      <c r="C7333" s="2">
        <f>_xlfn.XLOOKUP(A7333,'[1]Tissue Data'!$A:$A,'[1]Tissue Data'!$D:$D)</f>
        <v>44393</v>
      </c>
      <c r="D7333" s="2" t="str">
        <f>_xlfn.XLOOKUP(A7333,'[1]Tissue Data'!$A:$A,'[1]Tissue Data'!$F:$F)</f>
        <v>Pumpkinseed</v>
      </c>
      <c r="E7333" t="str">
        <f>_xlfn.XLOOKUP(A7333,'[1]Tissue Data'!$A:$A,'[1]Tissue Data'!$H:$H)</f>
        <v>Lepomis</v>
      </c>
      <c r="F7333" t="str">
        <f>_xlfn.XLOOKUP(A7333,'[1]Tissue Data'!$A:$A,'[1]Tissue Data'!$I:$I)</f>
        <v>gibbosus</v>
      </c>
      <c r="G7333" t="str">
        <f>_xlfn.XLOOKUP(A7333,'[1]Tissue Data'!$A:$A,'[1]Tissue Data'!J:J)</f>
        <v>U</v>
      </c>
      <c r="H7333" t="str">
        <f>_xlfn.XLOOKUP(A7333,'[1]Tissue Data'!$A:$A,'[1]Tissue Data'!K:K)</f>
        <v>Whole Body</v>
      </c>
      <c r="I7333">
        <f>_xlfn.XLOOKUP(A7333,'[1]Tissue Data'!$A:$A,'[1]Tissue Data'!L:L)</f>
        <v>9</v>
      </c>
      <c r="J7333">
        <f>_xlfn.XLOOKUP(A7333,'[1]Tissue Data'!$A:$A,'[1]Tissue Data'!M:M)</f>
        <v>11.46</v>
      </c>
      <c r="K7333" t="s">
        <v>43</v>
      </c>
      <c r="L7333" t="str">
        <f>_xlfn.XLOOKUP(K7333,[2]analyte_order!$B:$B,[2]analyte_order!$C:$C)</f>
        <v>757124-72-4</v>
      </c>
      <c r="M7333">
        <f>_xlfn.XLOOKUP(L7333,[2]analyte_order!$C:$C,[2]analyte_order!$E:$E)</f>
        <v>22</v>
      </c>
      <c r="N7333">
        <v>0.20899999999999999</v>
      </c>
    </row>
    <row r="7334" spans="1:14">
      <c r="A7334" t="s">
        <v>307</v>
      </c>
      <c r="B7334" t="str">
        <f>_xlfn.XLOOKUP(A7334,'[1]Tissue Data'!$A:$A,'[1]Tissue Data'!$C:$C)</f>
        <v>Down</v>
      </c>
      <c r="C7334" s="2">
        <f>_xlfn.XLOOKUP(A7334,'[1]Tissue Data'!$A:$A,'[1]Tissue Data'!$D:$D)</f>
        <v>44393</v>
      </c>
      <c r="D7334" s="2" t="str">
        <f>_xlfn.XLOOKUP(A7334,'[1]Tissue Data'!$A:$A,'[1]Tissue Data'!$F:$F)</f>
        <v>Pumpkinseed</v>
      </c>
      <c r="E7334" t="str">
        <f>_xlfn.XLOOKUP(A7334,'[1]Tissue Data'!$A:$A,'[1]Tissue Data'!$H:$H)</f>
        <v>Lepomis</v>
      </c>
      <c r="F7334" t="str">
        <f>_xlfn.XLOOKUP(A7334,'[1]Tissue Data'!$A:$A,'[1]Tissue Data'!$I:$I)</f>
        <v>gibbosus</v>
      </c>
      <c r="G7334" t="str">
        <f>_xlfn.XLOOKUP(A7334,'[1]Tissue Data'!$A:$A,'[1]Tissue Data'!J:J)</f>
        <v>U</v>
      </c>
      <c r="H7334" t="str">
        <f>_xlfn.XLOOKUP(A7334,'[1]Tissue Data'!$A:$A,'[1]Tissue Data'!K:K)</f>
        <v>Whole Body</v>
      </c>
      <c r="I7334">
        <f>_xlfn.XLOOKUP(A7334,'[1]Tissue Data'!$A:$A,'[1]Tissue Data'!L:L)</f>
        <v>9</v>
      </c>
      <c r="J7334">
        <f>_xlfn.XLOOKUP(A7334,'[1]Tissue Data'!$A:$A,'[1]Tissue Data'!M:M)</f>
        <v>11.46</v>
      </c>
      <c r="K7334" t="s">
        <v>44</v>
      </c>
      <c r="L7334" t="str">
        <f>_xlfn.XLOOKUP(K7334,[2]analyte_order!$B:$B,[2]analyte_order!$C:$C)</f>
        <v>27619-97-2</v>
      </c>
      <c r="M7334">
        <f>_xlfn.XLOOKUP(L7334,[2]analyte_order!$C:$C,[2]analyte_order!$E:$E)</f>
        <v>23</v>
      </c>
      <c r="N7334">
        <v>0.74099999999999999</v>
      </c>
    </row>
    <row r="7335" spans="1:14">
      <c r="A7335" t="s">
        <v>307</v>
      </c>
      <c r="B7335" t="str">
        <f>_xlfn.XLOOKUP(A7335,'[1]Tissue Data'!$A:$A,'[1]Tissue Data'!$C:$C)</f>
        <v>Down</v>
      </c>
      <c r="C7335" s="2">
        <f>_xlfn.XLOOKUP(A7335,'[1]Tissue Data'!$A:$A,'[1]Tissue Data'!$D:$D)</f>
        <v>44393</v>
      </c>
      <c r="D7335" s="2" t="str">
        <f>_xlfn.XLOOKUP(A7335,'[1]Tissue Data'!$A:$A,'[1]Tissue Data'!$F:$F)</f>
        <v>Pumpkinseed</v>
      </c>
      <c r="E7335" t="str">
        <f>_xlfn.XLOOKUP(A7335,'[1]Tissue Data'!$A:$A,'[1]Tissue Data'!$H:$H)</f>
        <v>Lepomis</v>
      </c>
      <c r="F7335" t="str">
        <f>_xlfn.XLOOKUP(A7335,'[1]Tissue Data'!$A:$A,'[1]Tissue Data'!$I:$I)</f>
        <v>gibbosus</v>
      </c>
      <c r="G7335" t="str">
        <f>_xlfn.XLOOKUP(A7335,'[1]Tissue Data'!$A:$A,'[1]Tissue Data'!J:J)</f>
        <v>U</v>
      </c>
      <c r="H7335" t="str">
        <f>_xlfn.XLOOKUP(A7335,'[1]Tissue Data'!$A:$A,'[1]Tissue Data'!K:K)</f>
        <v>Whole Body</v>
      </c>
      <c r="I7335">
        <f>_xlfn.XLOOKUP(A7335,'[1]Tissue Data'!$A:$A,'[1]Tissue Data'!L:L)</f>
        <v>9</v>
      </c>
      <c r="J7335">
        <f>_xlfn.XLOOKUP(A7335,'[1]Tissue Data'!$A:$A,'[1]Tissue Data'!M:M)</f>
        <v>11.46</v>
      </c>
      <c r="K7335" t="s">
        <v>45</v>
      </c>
      <c r="L7335" t="str">
        <f>_xlfn.XLOOKUP(K7335,[2]analyte_order!$B:$B,[2]analyte_order!$C:$C)</f>
        <v>39108-34-4</v>
      </c>
      <c r="M7335">
        <f>_xlfn.XLOOKUP(L7335,[2]analyte_order!$C:$C,[2]analyte_order!$E:$E)</f>
        <v>24</v>
      </c>
      <c r="N7335">
        <v>3.42</v>
      </c>
    </row>
    <row r="7336" spans="1:14">
      <c r="A7336" t="s">
        <v>307</v>
      </c>
      <c r="B7336" t="str">
        <f>_xlfn.XLOOKUP(A7336,'[1]Tissue Data'!$A:$A,'[1]Tissue Data'!$C:$C)</f>
        <v>Down</v>
      </c>
      <c r="C7336" s="2">
        <f>_xlfn.XLOOKUP(A7336,'[1]Tissue Data'!$A:$A,'[1]Tissue Data'!$D:$D)</f>
        <v>44393</v>
      </c>
      <c r="D7336" s="2" t="str">
        <f>_xlfn.XLOOKUP(A7336,'[1]Tissue Data'!$A:$A,'[1]Tissue Data'!$F:$F)</f>
        <v>Pumpkinseed</v>
      </c>
      <c r="E7336" t="str">
        <f>_xlfn.XLOOKUP(A7336,'[1]Tissue Data'!$A:$A,'[1]Tissue Data'!$H:$H)</f>
        <v>Lepomis</v>
      </c>
      <c r="F7336" t="str">
        <f>_xlfn.XLOOKUP(A7336,'[1]Tissue Data'!$A:$A,'[1]Tissue Data'!$I:$I)</f>
        <v>gibbosus</v>
      </c>
      <c r="G7336" t="str">
        <f>_xlfn.XLOOKUP(A7336,'[1]Tissue Data'!$A:$A,'[1]Tissue Data'!J:J)</f>
        <v>U</v>
      </c>
      <c r="H7336" t="str">
        <f>_xlfn.XLOOKUP(A7336,'[1]Tissue Data'!$A:$A,'[1]Tissue Data'!K:K)</f>
        <v>Whole Body</v>
      </c>
      <c r="I7336">
        <f>_xlfn.XLOOKUP(A7336,'[1]Tissue Data'!$A:$A,'[1]Tissue Data'!L:L)</f>
        <v>9</v>
      </c>
      <c r="J7336">
        <f>_xlfn.XLOOKUP(A7336,'[1]Tissue Data'!$A:$A,'[1]Tissue Data'!M:M)</f>
        <v>11.46</v>
      </c>
      <c r="K7336" t="s">
        <v>46</v>
      </c>
      <c r="L7336" t="str">
        <f>_xlfn.XLOOKUP(K7336,[2]analyte_order!$B:$B,[2]analyte_order!$C:$C)</f>
        <v>120226-60-0</v>
      </c>
      <c r="M7336">
        <f>_xlfn.XLOOKUP(L7336,[2]analyte_order!$C:$C,[2]analyte_order!$E:$E)</f>
        <v>25</v>
      </c>
      <c r="N7336">
        <v>0.41849999999999998</v>
      </c>
    </row>
    <row r="7337" spans="1:14">
      <c r="A7337" t="s">
        <v>307</v>
      </c>
      <c r="B7337" t="str">
        <f>_xlfn.XLOOKUP(A7337,'[1]Tissue Data'!$A:$A,'[1]Tissue Data'!$C:$C)</f>
        <v>Down</v>
      </c>
      <c r="C7337" s="2">
        <f>_xlfn.XLOOKUP(A7337,'[1]Tissue Data'!$A:$A,'[1]Tissue Data'!$D:$D)</f>
        <v>44393</v>
      </c>
      <c r="D7337" s="2" t="str">
        <f>_xlfn.XLOOKUP(A7337,'[1]Tissue Data'!$A:$A,'[1]Tissue Data'!$F:$F)</f>
        <v>Pumpkinseed</v>
      </c>
      <c r="E7337" t="str">
        <f>_xlfn.XLOOKUP(A7337,'[1]Tissue Data'!$A:$A,'[1]Tissue Data'!$H:$H)</f>
        <v>Lepomis</v>
      </c>
      <c r="F7337" t="str">
        <f>_xlfn.XLOOKUP(A7337,'[1]Tissue Data'!$A:$A,'[1]Tissue Data'!$I:$I)</f>
        <v>gibbosus</v>
      </c>
      <c r="G7337" t="str">
        <f>_xlfn.XLOOKUP(A7337,'[1]Tissue Data'!$A:$A,'[1]Tissue Data'!J:J)</f>
        <v>U</v>
      </c>
      <c r="H7337" t="str">
        <f>_xlfn.XLOOKUP(A7337,'[1]Tissue Data'!$A:$A,'[1]Tissue Data'!K:K)</f>
        <v>Whole Body</v>
      </c>
      <c r="I7337">
        <f>_xlfn.XLOOKUP(A7337,'[1]Tissue Data'!$A:$A,'[1]Tissue Data'!L:L)</f>
        <v>9</v>
      </c>
      <c r="J7337">
        <f>_xlfn.XLOOKUP(A7337,'[1]Tissue Data'!$A:$A,'[1]Tissue Data'!M:M)</f>
        <v>11.46</v>
      </c>
      <c r="K7337" t="s">
        <v>47</v>
      </c>
      <c r="L7337" t="str">
        <f>_xlfn.XLOOKUP(K7337,[2]analyte_order!$B:$B,[2]analyte_order!$C:$C)</f>
        <v>356-02-5</v>
      </c>
      <c r="M7337">
        <f>_xlfn.XLOOKUP(L7337,[2]analyte_order!$C:$C,[2]analyte_order!$E:$E)</f>
        <v>38</v>
      </c>
      <c r="N7337">
        <v>0.24149999999999999</v>
      </c>
    </row>
    <row r="7338" spans="1:14">
      <c r="A7338" t="s">
        <v>307</v>
      </c>
      <c r="B7338" t="str">
        <f>_xlfn.XLOOKUP(A7338,'[1]Tissue Data'!$A:$A,'[1]Tissue Data'!$C:$C)</f>
        <v>Down</v>
      </c>
      <c r="C7338" s="2">
        <f>_xlfn.XLOOKUP(A7338,'[1]Tissue Data'!$A:$A,'[1]Tissue Data'!$D:$D)</f>
        <v>44393</v>
      </c>
      <c r="D7338" s="2" t="str">
        <f>_xlfn.XLOOKUP(A7338,'[1]Tissue Data'!$A:$A,'[1]Tissue Data'!$F:$F)</f>
        <v>Pumpkinseed</v>
      </c>
      <c r="E7338" t="str">
        <f>_xlfn.XLOOKUP(A7338,'[1]Tissue Data'!$A:$A,'[1]Tissue Data'!$H:$H)</f>
        <v>Lepomis</v>
      </c>
      <c r="F7338" t="str">
        <f>_xlfn.XLOOKUP(A7338,'[1]Tissue Data'!$A:$A,'[1]Tissue Data'!$I:$I)</f>
        <v>gibbosus</v>
      </c>
      <c r="G7338" t="str">
        <f>_xlfn.XLOOKUP(A7338,'[1]Tissue Data'!$A:$A,'[1]Tissue Data'!J:J)</f>
        <v>U</v>
      </c>
      <c r="H7338" t="str">
        <f>_xlfn.XLOOKUP(A7338,'[1]Tissue Data'!$A:$A,'[1]Tissue Data'!K:K)</f>
        <v>Whole Body</v>
      </c>
      <c r="I7338">
        <f>_xlfn.XLOOKUP(A7338,'[1]Tissue Data'!$A:$A,'[1]Tissue Data'!L:L)</f>
        <v>9</v>
      </c>
      <c r="J7338">
        <f>_xlfn.XLOOKUP(A7338,'[1]Tissue Data'!$A:$A,'[1]Tissue Data'!M:M)</f>
        <v>11.46</v>
      </c>
      <c r="K7338" t="s">
        <v>48</v>
      </c>
      <c r="L7338" t="str">
        <f>_xlfn.XLOOKUP(K7338,[2]analyte_order!$B:$B,[2]analyte_order!$C:$C)</f>
        <v>914637-49-3</v>
      </c>
      <c r="M7338">
        <f>_xlfn.XLOOKUP(L7338,[2]analyte_order!$C:$C,[2]analyte_order!$E:$E)</f>
        <v>39</v>
      </c>
      <c r="N7338">
        <v>0.20899999999999999</v>
      </c>
    </row>
    <row r="7339" spans="1:14">
      <c r="A7339" t="s">
        <v>307</v>
      </c>
      <c r="B7339" t="str">
        <f>_xlfn.XLOOKUP(A7339,'[1]Tissue Data'!$A:$A,'[1]Tissue Data'!$C:$C)</f>
        <v>Down</v>
      </c>
      <c r="C7339" s="2">
        <f>_xlfn.XLOOKUP(A7339,'[1]Tissue Data'!$A:$A,'[1]Tissue Data'!$D:$D)</f>
        <v>44393</v>
      </c>
      <c r="D7339" s="2" t="str">
        <f>_xlfn.XLOOKUP(A7339,'[1]Tissue Data'!$A:$A,'[1]Tissue Data'!$F:$F)</f>
        <v>Pumpkinseed</v>
      </c>
      <c r="E7339" t="str">
        <f>_xlfn.XLOOKUP(A7339,'[1]Tissue Data'!$A:$A,'[1]Tissue Data'!$H:$H)</f>
        <v>Lepomis</v>
      </c>
      <c r="F7339" t="str">
        <f>_xlfn.XLOOKUP(A7339,'[1]Tissue Data'!$A:$A,'[1]Tissue Data'!$I:$I)</f>
        <v>gibbosus</v>
      </c>
      <c r="G7339" t="str">
        <f>_xlfn.XLOOKUP(A7339,'[1]Tissue Data'!$A:$A,'[1]Tissue Data'!J:J)</f>
        <v>U</v>
      </c>
      <c r="H7339" t="str">
        <f>_xlfn.XLOOKUP(A7339,'[1]Tissue Data'!$A:$A,'[1]Tissue Data'!K:K)</f>
        <v>Whole Body</v>
      </c>
      <c r="I7339">
        <f>_xlfn.XLOOKUP(A7339,'[1]Tissue Data'!$A:$A,'[1]Tissue Data'!L:L)</f>
        <v>9</v>
      </c>
      <c r="J7339">
        <f>_xlfn.XLOOKUP(A7339,'[1]Tissue Data'!$A:$A,'[1]Tissue Data'!M:M)</f>
        <v>11.46</v>
      </c>
      <c r="K7339" t="s">
        <v>49</v>
      </c>
      <c r="L7339" t="str">
        <f>_xlfn.XLOOKUP(K7339,[2]analyte_order!$B:$B,[2]analyte_order!$C:$C)</f>
        <v>812-70-4</v>
      </c>
      <c r="M7339">
        <f>_xlfn.XLOOKUP(L7339,[2]analyte_order!$C:$C,[2]analyte_order!$E:$E)</f>
        <v>40</v>
      </c>
      <c r="N7339">
        <v>1.78</v>
      </c>
    </row>
    <row r="7340" spans="1:14">
      <c r="A7340" t="s">
        <v>307</v>
      </c>
      <c r="B7340" t="str">
        <f>_xlfn.XLOOKUP(A7340,'[1]Tissue Data'!$A:$A,'[1]Tissue Data'!$C:$C)</f>
        <v>Down</v>
      </c>
      <c r="C7340" s="2">
        <f>_xlfn.XLOOKUP(A7340,'[1]Tissue Data'!$A:$A,'[1]Tissue Data'!$D:$D)</f>
        <v>44393</v>
      </c>
      <c r="D7340" s="2" t="str">
        <f>_xlfn.XLOOKUP(A7340,'[1]Tissue Data'!$A:$A,'[1]Tissue Data'!$F:$F)</f>
        <v>Pumpkinseed</v>
      </c>
      <c r="E7340" t="str">
        <f>_xlfn.XLOOKUP(A7340,'[1]Tissue Data'!$A:$A,'[1]Tissue Data'!$H:$H)</f>
        <v>Lepomis</v>
      </c>
      <c r="F7340" t="str">
        <f>_xlfn.XLOOKUP(A7340,'[1]Tissue Data'!$A:$A,'[1]Tissue Data'!$I:$I)</f>
        <v>gibbosus</v>
      </c>
      <c r="G7340" t="str">
        <f>_xlfn.XLOOKUP(A7340,'[1]Tissue Data'!$A:$A,'[1]Tissue Data'!J:J)</f>
        <v>U</v>
      </c>
      <c r="H7340" t="str">
        <f>_xlfn.XLOOKUP(A7340,'[1]Tissue Data'!$A:$A,'[1]Tissue Data'!K:K)</f>
        <v>Whole Body</v>
      </c>
      <c r="I7340">
        <f>_xlfn.XLOOKUP(A7340,'[1]Tissue Data'!$A:$A,'[1]Tissue Data'!L:L)</f>
        <v>9</v>
      </c>
      <c r="J7340">
        <f>_xlfn.XLOOKUP(A7340,'[1]Tissue Data'!$A:$A,'[1]Tissue Data'!M:M)</f>
        <v>11.46</v>
      </c>
      <c r="K7340" t="s">
        <v>50</v>
      </c>
      <c r="L7340" t="str">
        <f>_xlfn.XLOOKUP(K7340,[2]analyte_order!$B:$B,[2]analyte_order!$C:$C)</f>
        <v>53826-12-3</v>
      </c>
      <c r="M7340">
        <f>_xlfn.XLOOKUP(L7340,[2]analyte_order!$C:$C,[2]analyte_order!$E:$E)</f>
        <v>41</v>
      </c>
      <c r="N7340">
        <v>0.41849999999999998</v>
      </c>
    </row>
    <row r="7341" spans="1:14">
      <c r="A7341" t="s">
        <v>307</v>
      </c>
      <c r="B7341" t="str">
        <f>_xlfn.XLOOKUP(A7341,'[1]Tissue Data'!$A:$A,'[1]Tissue Data'!$C:$C)</f>
        <v>Down</v>
      </c>
      <c r="C7341" s="2">
        <f>_xlfn.XLOOKUP(A7341,'[1]Tissue Data'!$A:$A,'[1]Tissue Data'!$D:$D)</f>
        <v>44393</v>
      </c>
      <c r="D7341" s="2" t="str">
        <f>_xlfn.XLOOKUP(A7341,'[1]Tissue Data'!$A:$A,'[1]Tissue Data'!$F:$F)</f>
        <v>Pumpkinseed</v>
      </c>
      <c r="E7341" t="str">
        <f>_xlfn.XLOOKUP(A7341,'[1]Tissue Data'!$A:$A,'[1]Tissue Data'!$H:$H)</f>
        <v>Lepomis</v>
      </c>
      <c r="F7341" t="str">
        <f>_xlfn.XLOOKUP(A7341,'[1]Tissue Data'!$A:$A,'[1]Tissue Data'!$I:$I)</f>
        <v>gibbosus</v>
      </c>
      <c r="G7341" t="str">
        <f>_xlfn.XLOOKUP(A7341,'[1]Tissue Data'!$A:$A,'[1]Tissue Data'!J:J)</f>
        <v>U</v>
      </c>
      <c r="H7341" t="str">
        <f>_xlfn.XLOOKUP(A7341,'[1]Tissue Data'!$A:$A,'[1]Tissue Data'!K:K)</f>
        <v>Whole Body</v>
      </c>
      <c r="I7341">
        <f>_xlfn.XLOOKUP(A7341,'[1]Tissue Data'!$A:$A,'[1]Tissue Data'!L:L)</f>
        <v>9</v>
      </c>
      <c r="J7341">
        <f>_xlfn.XLOOKUP(A7341,'[1]Tissue Data'!$A:$A,'[1]Tissue Data'!M:M)</f>
        <v>11.46</v>
      </c>
      <c r="K7341" t="s">
        <v>51</v>
      </c>
      <c r="L7341" t="str">
        <f>_xlfn.XLOOKUP(K7341,[2]analyte_order!$B:$B,[2]analyte_order!$C:$C)</f>
        <v>27854-31-5</v>
      </c>
      <c r="M7341">
        <f>_xlfn.XLOOKUP(L7341,[2]analyte_order!$C:$C,[2]analyte_order!$E:$E)</f>
        <v>42</v>
      </c>
      <c r="N7341">
        <v>0.41849999999999998</v>
      </c>
    </row>
    <row r="7342" spans="1:14">
      <c r="A7342" t="s">
        <v>307</v>
      </c>
      <c r="B7342" t="str">
        <f>_xlfn.XLOOKUP(A7342,'[1]Tissue Data'!$A:$A,'[1]Tissue Data'!$C:$C)</f>
        <v>Down</v>
      </c>
      <c r="C7342" s="2">
        <f>_xlfn.XLOOKUP(A7342,'[1]Tissue Data'!$A:$A,'[1]Tissue Data'!$D:$D)</f>
        <v>44393</v>
      </c>
      <c r="D7342" s="2" t="str">
        <f>_xlfn.XLOOKUP(A7342,'[1]Tissue Data'!$A:$A,'[1]Tissue Data'!$F:$F)</f>
        <v>Pumpkinseed</v>
      </c>
      <c r="E7342" t="str">
        <f>_xlfn.XLOOKUP(A7342,'[1]Tissue Data'!$A:$A,'[1]Tissue Data'!$H:$H)</f>
        <v>Lepomis</v>
      </c>
      <c r="F7342" t="str">
        <f>_xlfn.XLOOKUP(A7342,'[1]Tissue Data'!$A:$A,'[1]Tissue Data'!$I:$I)</f>
        <v>gibbosus</v>
      </c>
      <c r="G7342" t="str">
        <f>_xlfn.XLOOKUP(A7342,'[1]Tissue Data'!$A:$A,'[1]Tissue Data'!J:J)</f>
        <v>U</v>
      </c>
      <c r="H7342" t="str">
        <f>_xlfn.XLOOKUP(A7342,'[1]Tissue Data'!$A:$A,'[1]Tissue Data'!K:K)</f>
        <v>Whole Body</v>
      </c>
      <c r="I7342">
        <f>_xlfn.XLOOKUP(A7342,'[1]Tissue Data'!$A:$A,'[1]Tissue Data'!L:L)</f>
        <v>9</v>
      </c>
      <c r="J7342">
        <f>_xlfn.XLOOKUP(A7342,'[1]Tissue Data'!$A:$A,'[1]Tissue Data'!M:M)</f>
        <v>11.46</v>
      </c>
      <c r="K7342" t="s">
        <v>52</v>
      </c>
      <c r="L7342" t="str">
        <f>_xlfn.XLOOKUP(K7342,[2]analyte_order!$B:$B,[2]analyte_order!$C:$C)</f>
        <v>53826-13-4</v>
      </c>
      <c r="M7342">
        <f>_xlfn.XLOOKUP(L7342,[2]analyte_order!$C:$C,[2]analyte_order!$E:$E)</f>
        <v>43</v>
      </c>
      <c r="N7342">
        <v>0.41849999999999998</v>
      </c>
    </row>
    <row r="7343" spans="1:14">
      <c r="A7343" t="s">
        <v>307</v>
      </c>
      <c r="B7343" t="str">
        <f>_xlfn.XLOOKUP(A7343,'[1]Tissue Data'!$A:$A,'[1]Tissue Data'!$C:$C)</f>
        <v>Down</v>
      </c>
      <c r="C7343" s="2">
        <f>_xlfn.XLOOKUP(A7343,'[1]Tissue Data'!$A:$A,'[1]Tissue Data'!$D:$D)</f>
        <v>44393</v>
      </c>
      <c r="D7343" s="2" t="str">
        <f>_xlfn.XLOOKUP(A7343,'[1]Tissue Data'!$A:$A,'[1]Tissue Data'!$F:$F)</f>
        <v>Pumpkinseed</v>
      </c>
      <c r="E7343" t="str">
        <f>_xlfn.XLOOKUP(A7343,'[1]Tissue Data'!$A:$A,'[1]Tissue Data'!$H:$H)</f>
        <v>Lepomis</v>
      </c>
      <c r="F7343" t="str">
        <f>_xlfn.XLOOKUP(A7343,'[1]Tissue Data'!$A:$A,'[1]Tissue Data'!$I:$I)</f>
        <v>gibbosus</v>
      </c>
      <c r="G7343" t="str">
        <f>_xlfn.XLOOKUP(A7343,'[1]Tissue Data'!$A:$A,'[1]Tissue Data'!J:J)</f>
        <v>U</v>
      </c>
      <c r="H7343" t="str">
        <f>_xlfn.XLOOKUP(A7343,'[1]Tissue Data'!$A:$A,'[1]Tissue Data'!K:K)</f>
        <v>Whole Body</v>
      </c>
      <c r="I7343">
        <f>_xlfn.XLOOKUP(A7343,'[1]Tissue Data'!$A:$A,'[1]Tissue Data'!L:L)</f>
        <v>9</v>
      </c>
      <c r="J7343">
        <f>_xlfn.XLOOKUP(A7343,'[1]Tissue Data'!$A:$A,'[1]Tissue Data'!M:M)</f>
        <v>11.46</v>
      </c>
      <c r="K7343" t="s">
        <v>53</v>
      </c>
      <c r="L7343" t="str">
        <f>_xlfn.XLOOKUP(K7343,[2]analyte_order!$B:$B,[2]analyte_order!$C:$C)</f>
        <v>161094-75-3</v>
      </c>
      <c r="M7343">
        <f>_xlfn.XLOOKUP(L7343,[2]analyte_order!$C:$C,[2]analyte_order!$E:$E)</f>
        <v>44</v>
      </c>
      <c r="N7343">
        <v>0.41849999999999998</v>
      </c>
    </row>
    <row r="7344" spans="1:14">
      <c r="A7344" t="s">
        <v>307</v>
      </c>
      <c r="B7344" t="str">
        <f>_xlfn.XLOOKUP(A7344,'[1]Tissue Data'!$A:$A,'[1]Tissue Data'!$C:$C)</f>
        <v>Down</v>
      </c>
      <c r="C7344" s="2">
        <f>_xlfn.XLOOKUP(A7344,'[1]Tissue Data'!$A:$A,'[1]Tissue Data'!$D:$D)</f>
        <v>44393</v>
      </c>
      <c r="D7344" s="2" t="str">
        <f>_xlfn.XLOOKUP(A7344,'[1]Tissue Data'!$A:$A,'[1]Tissue Data'!$F:$F)</f>
        <v>Pumpkinseed</v>
      </c>
      <c r="E7344" t="str">
        <f>_xlfn.XLOOKUP(A7344,'[1]Tissue Data'!$A:$A,'[1]Tissue Data'!$H:$H)</f>
        <v>Lepomis</v>
      </c>
      <c r="F7344" t="str">
        <f>_xlfn.XLOOKUP(A7344,'[1]Tissue Data'!$A:$A,'[1]Tissue Data'!$I:$I)</f>
        <v>gibbosus</v>
      </c>
      <c r="G7344" t="str">
        <f>_xlfn.XLOOKUP(A7344,'[1]Tissue Data'!$A:$A,'[1]Tissue Data'!J:J)</f>
        <v>U</v>
      </c>
      <c r="H7344" t="str">
        <f>_xlfn.XLOOKUP(A7344,'[1]Tissue Data'!$A:$A,'[1]Tissue Data'!K:K)</f>
        <v>Whole Body</v>
      </c>
      <c r="I7344">
        <f>_xlfn.XLOOKUP(A7344,'[1]Tissue Data'!$A:$A,'[1]Tissue Data'!L:L)</f>
        <v>9</v>
      </c>
      <c r="J7344">
        <f>_xlfn.XLOOKUP(A7344,'[1]Tissue Data'!$A:$A,'[1]Tissue Data'!M:M)</f>
        <v>11.46</v>
      </c>
      <c r="K7344" t="s">
        <v>54</v>
      </c>
      <c r="L7344" t="str">
        <f>_xlfn.XLOOKUP(K7344,[2]analyte_order!$B:$B,[2]analyte_order!$C:$C)</f>
        <v>70887-84-2</v>
      </c>
      <c r="M7344">
        <f>_xlfn.XLOOKUP(L7344,[2]analyte_order!$C:$C,[2]analyte_order!$E:$E)</f>
        <v>45</v>
      </c>
      <c r="N7344">
        <v>0.41849999999999998</v>
      </c>
    </row>
    <row r="7345" spans="1:14">
      <c r="A7345" t="s">
        <v>307</v>
      </c>
      <c r="B7345" t="str">
        <f>_xlfn.XLOOKUP(A7345,'[1]Tissue Data'!$A:$A,'[1]Tissue Data'!$C:$C)</f>
        <v>Down</v>
      </c>
      <c r="C7345" s="2">
        <f>_xlfn.XLOOKUP(A7345,'[1]Tissue Data'!$A:$A,'[1]Tissue Data'!$D:$D)</f>
        <v>44393</v>
      </c>
      <c r="D7345" s="2" t="str">
        <f>_xlfn.XLOOKUP(A7345,'[1]Tissue Data'!$A:$A,'[1]Tissue Data'!$F:$F)</f>
        <v>Pumpkinseed</v>
      </c>
      <c r="E7345" t="str">
        <f>_xlfn.XLOOKUP(A7345,'[1]Tissue Data'!$A:$A,'[1]Tissue Data'!$H:$H)</f>
        <v>Lepomis</v>
      </c>
      <c r="F7345" t="str">
        <f>_xlfn.XLOOKUP(A7345,'[1]Tissue Data'!$A:$A,'[1]Tissue Data'!$I:$I)</f>
        <v>gibbosus</v>
      </c>
      <c r="G7345" t="str">
        <f>_xlfn.XLOOKUP(A7345,'[1]Tissue Data'!$A:$A,'[1]Tissue Data'!J:J)</f>
        <v>U</v>
      </c>
      <c r="H7345" t="str">
        <f>_xlfn.XLOOKUP(A7345,'[1]Tissue Data'!$A:$A,'[1]Tissue Data'!K:K)</f>
        <v>Whole Body</v>
      </c>
      <c r="I7345">
        <f>_xlfn.XLOOKUP(A7345,'[1]Tissue Data'!$A:$A,'[1]Tissue Data'!L:L)</f>
        <v>9</v>
      </c>
      <c r="J7345">
        <f>_xlfn.XLOOKUP(A7345,'[1]Tissue Data'!$A:$A,'[1]Tissue Data'!M:M)</f>
        <v>11.46</v>
      </c>
      <c r="K7345" t="s">
        <v>55</v>
      </c>
      <c r="L7345" t="str">
        <f>_xlfn.XLOOKUP(K7345,[2]analyte_order!$B:$B,[2]analyte_order!$C:$C)</f>
        <v>919005-14-4</v>
      </c>
      <c r="M7345">
        <f>_xlfn.XLOOKUP(L7345,[2]analyte_order!$C:$C,[2]analyte_order!$E:$E)</f>
        <v>35</v>
      </c>
      <c r="N7345">
        <v>0.20899999999999999</v>
      </c>
    </row>
    <row r="7346" spans="1:14">
      <c r="A7346" t="s">
        <v>307</v>
      </c>
      <c r="B7346" t="str">
        <f>_xlfn.XLOOKUP(A7346,'[1]Tissue Data'!$A:$A,'[1]Tissue Data'!$C:$C)</f>
        <v>Down</v>
      </c>
      <c r="C7346" s="2">
        <f>_xlfn.XLOOKUP(A7346,'[1]Tissue Data'!$A:$A,'[1]Tissue Data'!$D:$D)</f>
        <v>44393</v>
      </c>
      <c r="D7346" s="2" t="str">
        <f>_xlfn.XLOOKUP(A7346,'[1]Tissue Data'!$A:$A,'[1]Tissue Data'!$F:$F)</f>
        <v>Pumpkinseed</v>
      </c>
      <c r="E7346" t="str">
        <f>_xlfn.XLOOKUP(A7346,'[1]Tissue Data'!$A:$A,'[1]Tissue Data'!$H:$H)</f>
        <v>Lepomis</v>
      </c>
      <c r="F7346" t="str">
        <f>_xlfn.XLOOKUP(A7346,'[1]Tissue Data'!$A:$A,'[1]Tissue Data'!$I:$I)</f>
        <v>gibbosus</v>
      </c>
      <c r="G7346" t="str">
        <f>_xlfn.XLOOKUP(A7346,'[1]Tissue Data'!$A:$A,'[1]Tissue Data'!J:J)</f>
        <v>U</v>
      </c>
      <c r="H7346" t="str">
        <f>_xlfn.XLOOKUP(A7346,'[1]Tissue Data'!$A:$A,'[1]Tissue Data'!K:K)</f>
        <v>Whole Body</v>
      </c>
      <c r="I7346">
        <f>_xlfn.XLOOKUP(A7346,'[1]Tissue Data'!$A:$A,'[1]Tissue Data'!L:L)</f>
        <v>9</v>
      </c>
      <c r="J7346">
        <f>_xlfn.XLOOKUP(A7346,'[1]Tissue Data'!$A:$A,'[1]Tissue Data'!M:M)</f>
        <v>11.46</v>
      </c>
      <c r="K7346" t="s">
        <v>56</v>
      </c>
      <c r="L7346" t="str">
        <f>_xlfn.XLOOKUP(K7346,[2]analyte_order!$B:$B,[2]analyte_order!$C:$C)</f>
        <v>756426-58-1</v>
      </c>
      <c r="M7346">
        <f>_xlfn.XLOOKUP(L7346,[2]analyte_order!$C:$C,[2]analyte_order!$E:$E)</f>
        <v>36</v>
      </c>
      <c r="N7346">
        <v>0.41849999999999998</v>
      </c>
    </row>
    <row r="7347" spans="1:14">
      <c r="A7347" t="s">
        <v>307</v>
      </c>
      <c r="B7347" t="str">
        <f>_xlfn.XLOOKUP(A7347,'[1]Tissue Data'!$A:$A,'[1]Tissue Data'!$C:$C)</f>
        <v>Down</v>
      </c>
      <c r="C7347" s="2">
        <f>_xlfn.XLOOKUP(A7347,'[1]Tissue Data'!$A:$A,'[1]Tissue Data'!$D:$D)</f>
        <v>44393</v>
      </c>
      <c r="D7347" s="2" t="str">
        <f>_xlfn.XLOOKUP(A7347,'[1]Tissue Data'!$A:$A,'[1]Tissue Data'!$F:$F)</f>
        <v>Pumpkinseed</v>
      </c>
      <c r="E7347" t="str">
        <f>_xlfn.XLOOKUP(A7347,'[1]Tissue Data'!$A:$A,'[1]Tissue Data'!$H:$H)</f>
        <v>Lepomis</v>
      </c>
      <c r="F7347" t="str">
        <f>_xlfn.XLOOKUP(A7347,'[1]Tissue Data'!$A:$A,'[1]Tissue Data'!$I:$I)</f>
        <v>gibbosus</v>
      </c>
      <c r="G7347" t="str">
        <f>_xlfn.XLOOKUP(A7347,'[1]Tissue Data'!$A:$A,'[1]Tissue Data'!J:J)</f>
        <v>U</v>
      </c>
      <c r="H7347" t="str">
        <f>_xlfn.XLOOKUP(A7347,'[1]Tissue Data'!$A:$A,'[1]Tissue Data'!K:K)</f>
        <v>Whole Body</v>
      </c>
      <c r="I7347">
        <f>_xlfn.XLOOKUP(A7347,'[1]Tissue Data'!$A:$A,'[1]Tissue Data'!L:L)</f>
        <v>9</v>
      </c>
      <c r="J7347">
        <f>_xlfn.XLOOKUP(A7347,'[1]Tissue Data'!$A:$A,'[1]Tissue Data'!M:M)</f>
        <v>11.46</v>
      </c>
      <c r="K7347" t="s">
        <v>57</v>
      </c>
      <c r="L7347" t="str">
        <f>_xlfn.XLOOKUP(K7347,[2]analyte_order!$B:$B,[2]analyte_order!$C:$C)</f>
        <v>763051-92-9</v>
      </c>
      <c r="M7347">
        <f>_xlfn.XLOOKUP(L7347,[2]analyte_order!$C:$C,[2]analyte_order!$E:$E)</f>
        <v>37</v>
      </c>
      <c r="N7347">
        <v>0.41849999999999998</v>
      </c>
    </row>
    <row r="7348" spans="1:14">
      <c r="A7348" t="s">
        <v>307</v>
      </c>
      <c r="B7348" t="str">
        <f>_xlfn.XLOOKUP(A7348,'[1]Tissue Data'!$A:$A,'[1]Tissue Data'!$C:$C)</f>
        <v>Down</v>
      </c>
      <c r="C7348" s="2">
        <f>_xlfn.XLOOKUP(A7348,'[1]Tissue Data'!$A:$A,'[1]Tissue Data'!$D:$D)</f>
        <v>44393</v>
      </c>
      <c r="D7348" s="2" t="str">
        <f>_xlfn.XLOOKUP(A7348,'[1]Tissue Data'!$A:$A,'[1]Tissue Data'!$F:$F)</f>
        <v>Pumpkinseed</v>
      </c>
      <c r="E7348" t="str">
        <f>_xlfn.XLOOKUP(A7348,'[1]Tissue Data'!$A:$A,'[1]Tissue Data'!$H:$H)</f>
        <v>Lepomis</v>
      </c>
      <c r="F7348" t="str">
        <f>_xlfn.XLOOKUP(A7348,'[1]Tissue Data'!$A:$A,'[1]Tissue Data'!$I:$I)</f>
        <v>gibbosus</v>
      </c>
      <c r="G7348" t="str">
        <f>_xlfn.XLOOKUP(A7348,'[1]Tissue Data'!$A:$A,'[1]Tissue Data'!J:J)</f>
        <v>U</v>
      </c>
      <c r="H7348" t="str">
        <f>_xlfn.XLOOKUP(A7348,'[1]Tissue Data'!$A:$A,'[1]Tissue Data'!K:K)</f>
        <v>Whole Body</v>
      </c>
      <c r="I7348">
        <f>_xlfn.XLOOKUP(A7348,'[1]Tissue Data'!$A:$A,'[1]Tissue Data'!L:L)</f>
        <v>9</v>
      </c>
      <c r="J7348">
        <f>_xlfn.XLOOKUP(A7348,'[1]Tissue Data'!$A:$A,'[1]Tissue Data'!M:M)</f>
        <v>11.46</v>
      </c>
      <c r="K7348" t="s">
        <v>58</v>
      </c>
      <c r="L7348" t="str">
        <f>_xlfn.XLOOKUP(K7348,[2]analyte_order!$B:$B,[2]analyte_order!$C:$C)</f>
        <v>13252-13-6</v>
      </c>
      <c r="M7348">
        <f>_xlfn.XLOOKUP(L7348,[2]analyte_order!$C:$C,[2]analyte_order!$E:$E)</f>
        <v>34</v>
      </c>
      <c r="N7348">
        <v>0.3</v>
      </c>
    </row>
    <row r="7349" spans="1:14">
      <c r="A7349" t="s">
        <v>307</v>
      </c>
      <c r="B7349" t="str">
        <f>_xlfn.XLOOKUP(A7349,'[1]Tissue Data'!$A:$A,'[1]Tissue Data'!$C:$C)</f>
        <v>Down</v>
      </c>
      <c r="C7349" s="2">
        <f>_xlfn.XLOOKUP(A7349,'[1]Tissue Data'!$A:$A,'[1]Tissue Data'!$D:$D)</f>
        <v>44393</v>
      </c>
      <c r="D7349" s="2" t="str">
        <f>_xlfn.XLOOKUP(A7349,'[1]Tissue Data'!$A:$A,'[1]Tissue Data'!$F:$F)</f>
        <v>Pumpkinseed</v>
      </c>
      <c r="E7349" t="str">
        <f>_xlfn.XLOOKUP(A7349,'[1]Tissue Data'!$A:$A,'[1]Tissue Data'!$H:$H)</f>
        <v>Lepomis</v>
      </c>
      <c r="F7349" t="str">
        <f>_xlfn.XLOOKUP(A7349,'[1]Tissue Data'!$A:$A,'[1]Tissue Data'!$I:$I)</f>
        <v>gibbosus</v>
      </c>
      <c r="G7349" t="str">
        <f>_xlfn.XLOOKUP(A7349,'[1]Tissue Data'!$A:$A,'[1]Tissue Data'!J:J)</f>
        <v>U</v>
      </c>
      <c r="H7349" t="str">
        <f>_xlfn.XLOOKUP(A7349,'[1]Tissue Data'!$A:$A,'[1]Tissue Data'!K:K)</f>
        <v>Whole Body</v>
      </c>
      <c r="I7349">
        <f>_xlfn.XLOOKUP(A7349,'[1]Tissue Data'!$A:$A,'[1]Tissue Data'!L:L)</f>
        <v>9</v>
      </c>
      <c r="J7349">
        <f>_xlfn.XLOOKUP(A7349,'[1]Tissue Data'!$A:$A,'[1]Tissue Data'!M:M)</f>
        <v>11.46</v>
      </c>
      <c r="K7349" t="s">
        <v>59</v>
      </c>
      <c r="L7349" t="str">
        <f>_xlfn.XLOOKUP(K7349,[2]analyte_order!$B:$B,[2]analyte_order!$C:$C)</f>
        <v>57677-95-9</v>
      </c>
      <c r="M7349">
        <f>_xlfn.XLOOKUP(L7349,[2]analyte_order!$C:$C,[2]analyte_order!$E:$E)</f>
        <v>46</v>
      </c>
      <c r="N7349">
        <v>0.41849999999999998</v>
      </c>
    </row>
    <row r="7350" spans="1:14">
      <c r="A7350" t="s">
        <v>307</v>
      </c>
      <c r="B7350" t="str">
        <f>_xlfn.XLOOKUP(A7350,'[1]Tissue Data'!$A:$A,'[1]Tissue Data'!$C:$C)</f>
        <v>Down</v>
      </c>
      <c r="C7350" s="2">
        <f>_xlfn.XLOOKUP(A7350,'[1]Tissue Data'!$A:$A,'[1]Tissue Data'!$D:$D)</f>
        <v>44393</v>
      </c>
      <c r="D7350" s="2" t="str">
        <f>_xlfn.XLOOKUP(A7350,'[1]Tissue Data'!$A:$A,'[1]Tissue Data'!$F:$F)</f>
        <v>Pumpkinseed</v>
      </c>
      <c r="E7350" t="str">
        <f>_xlfn.XLOOKUP(A7350,'[1]Tissue Data'!$A:$A,'[1]Tissue Data'!$H:$H)</f>
        <v>Lepomis</v>
      </c>
      <c r="F7350" t="str">
        <f>_xlfn.XLOOKUP(A7350,'[1]Tissue Data'!$A:$A,'[1]Tissue Data'!$I:$I)</f>
        <v>gibbosus</v>
      </c>
      <c r="G7350" t="str">
        <f>_xlfn.XLOOKUP(A7350,'[1]Tissue Data'!$A:$A,'[1]Tissue Data'!J:J)</f>
        <v>U</v>
      </c>
      <c r="H7350" t="str">
        <f>_xlfn.XLOOKUP(A7350,'[1]Tissue Data'!$A:$A,'[1]Tissue Data'!K:K)</f>
        <v>Whole Body</v>
      </c>
      <c r="I7350">
        <f>_xlfn.XLOOKUP(A7350,'[1]Tissue Data'!$A:$A,'[1]Tissue Data'!L:L)</f>
        <v>9</v>
      </c>
      <c r="J7350">
        <f>_xlfn.XLOOKUP(A7350,'[1]Tissue Data'!$A:$A,'[1]Tissue Data'!M:M)</f>
        <v>11.46</v>
      </c>
      <c r="K7350" t="s">
        <v>60</v>
      </c>
      <c r="L7350" t="str">
        <f>_xlfn.XLOOKUP(K7350,[2]analyte_order!$B:$B,[2]analyte_order!$C:$C)</f>
        <v>678-41-1</v>
      </c>
      <c r="M7350">
        <f>_xlfn.XLOOKUP(L7350,[2]analyte_order!$C:$C,[2]analyte_order!$E:$E)</f>
        <v>56</v>
      </c>
      <c r="N7350">
        <v>0.41849999999999998</v>
      </c>
    </row>
    <row r="7351" spans="1:14">
      <c r="A7351" t="s">
        <v>307</v>
      </c>
      <c r="B7351" t="str">
        <f>_xlfn.XLOOKUP(A7351,'[1]Tissue Data'!$A:$A,'[1]Tissue Data'!$C:$C)</f>
        <v>Down</v>
      </c>
      <c r="C7351" s="2">
        <f>_xlfn.XLOOKUP(A7351,'[1]Tissue Data'!$A:$A,'[1]Tissue Data'!$D:$D)</f>
        <v>44393</v>
      </c>
      <c r="D7351" s="2" t="str">
        <f>_xlfn.XLOOKUP(A7351,'[1]Tissue Data'!$A:$A,'[1]Tissue Data'!$F:$F)</f>
        <v>Pumpkinseed</v>
      </c>
      <c r="E7351" t="str">
        <f>_xlfn.XLOOKUP(A7351,'[1]Tissue Data'!$A:$A,'[1]Tissue Data'!$H:$H)</f>
        <v>Lepomis</v>
      </c>
      <c r="F7351" t="str">
        <f>_xlfn.XLOOKUP(A7351,'[1]Tissue Data'!$A:$A,'[1]Tissue Data'!$I:$I)</f>
        <v>gibbosus</v>
      </c>
      <c r="G7351" t="str">
        <f>_xlfn.XLOOKUP(A7351,'[1]Tissue Data'!$A:$A,'[1]Tissue Data'!J:J)</f>
        <v>U</v>
      </c>
      <c r="H7351" t="str">
        <f>_xlfn.XLOOKUP(A7351,'[1]Tissue Data'!$A:$A,'[1]Tissue Data'!K:K)</f>
        <v>Whole Body</v>
      </c>
      <c r="I7351">
        <f>_xlfn.XLOOKUP(A7351,'[1]Tissue Data'!$A:$A,'[1]Tissue Data'!L:L)</f>
        <v>9</v>
      </c>
      <c r="J7351">
        <f>_xlfn.XLOOKUP(A7351,'[1]Tissue Data'!$A:$A,'[1]Tissue Data'!M:M)</f>
        <v>11.46</v>
      </c>
      <c r="K7351" t="s">
        <v>61</v>
      </c>
      <c r="L7351" t="str">
        <f>_xlfn.XLOOKUP(K7351,[2]analyte_order!$B:$B,[2]analyte_order!$C:$C)</f>
        <v>2965-52-8</v>
      </c>
      <c r="M7351">
        <f>_xlfn.XLOOKUP(L7351,[2]analyte_order!$C:$C,[2]analyte_order!$E:$E)</f>
        <v>57</v>
      </c>
      <c r="N7351">
        <v>0.41849999999999998</v>
      </c>
    </row>
    <row r="7352" spans="1:14">
      <c r="A7352" t="s">
        <v>308</v>
      </c>
      <c r="B7352" t="str">
        <f>_xlfn.XLOOKUP(A7352,'[1]Tissue Data'!$A:$A,'[1]Tissue Data'!$C:$C)</f>
        <v>Down</v>
      </c>
      <c r="C7352" s="2">
        <f>_xlfn.XLOOKUP(A7352,'[1]Tissue Data'!$A:$A,'[1]Tissue Data'!$D:$D)</f>
        <v>44393</v>
      </c>
      <c r="D7352" s="2" t="str">
        <f>_xlfn.XLOOKUP(A7352,'[1]Tissue Data'!$A:$A,'[1]Tissue Data'!$F:$F)</f>
        <v>Pumpkinseed</v>
      </c>
      <c r="E7352" t="str">
        <f>_xlfn.XLOOKUP(A7352,'[1]Tissue Data'!$A:$A,'[1]Tissue Data'!$H:$H)</f>
        <v>Lepomis</v>
      </c>
      <c r="F7352" t="str">
        <f>_xlfn.XLOOKUP(A7352,'[1]Tissue Data'!$A:$A,'[1]Tissue Data'!$I:$I)</f>
        <v>gibbosus</v>
      </c>
      <c r="G7352" t="str">
        <f>_xlfn.XLOOKUP(A7352,'[1]Tissue Data'!$A:$A,'[1]Tissue Data'!J:J)</f>
        <v>U</v>
      </c>
      <c r="H7352" t="str">
        <f>_xlfn.XLOOKUP(A7352,'[1]Tissue Data'!$A:$A,'[1]Tissue Data'!K:K)</f>
        <v>Whole Body</v>
      </c>
      <c r="I7352">
        <f>_xlfn.XLOOKUP(A7352,'[1]Tissue Data'!$A:$A,'[1]Tissue Data'!L:L)</f>
        <v>9</v>
      </c>
      <c r="J7352">
        <f>_xlfn.XLOOKUP(A7352,'[1]Tissue Data'!$A:$A,'[1]Tissue Data'!M:M)</f>
        <v>11.52</v>
      </c>
      <c r="K7352" t="s">
        <v>12</v>
      </c>
      <c r="L7352" t="str">
        <f>_xlfn.XLOOKUP(K7352,[2]analyte_order!$B:$B,[2]analyte_order!$C:$C)</f>
        <v>375-22-4</v>
      </c>
      <c r="M7352">
        <f>_xlfn.XLOOKUP(L7352,[2]analyte_order!$C:$C,[2]analyte_order!$E:$E)</f>
        <v>1</v>
      </c>
      <c r="N7352">
        <v>0.2135</v>
      </c>
    </row>
    <row r="7353" spans="1:14">
      <c r="A7353" t="s">
        <v>308</v>
      </c>
      <c r="B7353" t="str">
        <f>_xlfn.XLOOKUP(A7353,'[1]Tissue Data'!$A:$A,'[1]Tissue Data'!$C:$C)</f>
        <v>Down</v>
      </c>
      <c r="C7353" s="2">
        <f>_xlfn.XLOOKUP(A7353,'[1]Tissue Data'!$A:$A,'[1]Tissue Data'!$D:$D)</f>
        <v>44393</v>
      </c>
      <c r="D7353" s="2" t="str">
        <f>_xlfn.XLOOKUP(A7353,'[1]Tissue Data'!$A:$A,'[1]Tissue Data'!$F:$F)</f>
        <v>Pumpkinseed</v>
      </c>
      <c r="E7353" t="str">
        <f>_xlfn.XLOOKUP(A7353,'[1]Tissue Data'!$A:$A,'[1]Tissue Data'!$H:$H)</f>
        <v>Lepomis</v>
      </c>
      <c r="F7353" t="str">
        <f>_xlfn.XLOOKUP(A7353,'[1]Tissue Data'!$A:$A,'[1]Tissue Data'!$I:$I)</f>
        <v>gibbosus</v>
      </c>
      <c r="G7353" t="str">
        <f>_xlfn.XLOOKUP(A7353,'[1]Tissue Data'!$A:$A,'[1]Tissue Data'!J:J)</f>
        <v>U</v>
      </c>
      <c r="H7353" t="str">
        <f>_xlfn.XLOOKUP(A7353,'[1]Tissue Data'!$A:$A,'[1]Tissue Data'!K:K)</f>
        <v>Whole Body</v>
      </c>
      <c r="I7353">
        <f>_xlfn.XLOOKUP(A7353,'[1]Tissue Data'!$A:$A,'[1]Tissue Data'!L:L)</f>
        <v>9</v>
      </c>
      <c r="J7353">
        <f>_xlfn.XLOOKUP(A7353,'[1]Tissue Data'!$A:$A,'[1]Tissue Data'!M:M)</f>
        <v>11.52</v>
      </c>
      <c r="K7353" t="s">
        <v>13</v>
      </c>
      <c r="L7353" t="str">
        <f>_xlfn.XLOOKUP(K7353,[2]analyte_order!$B:$B,[2]analyte_order!$C:$C)</f>
        <v>2706-90-3</v>
      </c>
      <c r="M7353">
        <f>_xlfn.XLOOKUP(L7353,[2]analyte_order!$C:$C,[2]analyte_order!$E:$E)</f>
        <v>2</v>
      </c>
      <c r="N7353">
        <v>0.2135</v>
      </c>
    </row>
    <row r="7354" spans="1:14">
      <c r="A7354" t="s">
        <v>308</v>
      </c>
      <c r="B7354" t="str">
        <f>_xlfn.XLOOKUP(A7354,'[1]Tissue Data'!$A:$A,'[1]Tissue Data'!$C:$C)</f>
        <v>Down</v>
      </c>
      <c r="C7354" s="2">
        <f>_xlfn.XLOOKUP(A7354,'[1]Tissue Data'!$A:$A,'[1]Tissue Data'!$D:$D)</f>
        <v>44393</v>
      </c>
      <c r="D7354" s="2" t="str">
        <f>_xlfn.XLOOKUP(A7354,'[1]Tissue Data'!$A:$A,'[1]Tissue Data'!$F:$F)</f>
        <v>Pumpkinseed</v>
      </c>
      <c r="E7354" t="str">
        <f>_xlfn.XLOOKUP(A7354,'[1]Tissue Data'!$A:$A,'[1]Tissue Data'!$H:$H)</f>
        <v>Lepomis</v>
      </c>
      <c r="F7354" t="str">
        <f>_xlfn.XLOOKUP(A7354,'[1]Tissue Data'!$A:$A,'[1]Tissue Data'!$I:$I)</f>
        <v>gibbosus</v>
      </c>
      <c r="G7354" t="str">
        <f>_xlfn.XLOOKUP(A7354,'[1]Tissue Data'!$A:$A,'[1]Tissue Data'!J:J)</f>
        <v>U</v>
      </c>
      <c r="H7354" t="str">
        <f>_xlfn.XLOOKUP(A7354,'[1]Tissue Data'!$A:$A,'[1]Tissue Data'!K:K)</f>
        <v>Whole Body</v>
      </c>
      <c r="I7354">
        <f>_xlfn.XLOOKUP(A7354,'[1]Tissue Data'!$A:$A,'[1]Tissue Data'!L:L)</f>
        <v>9</v>
      </c>
      <c r="J7354">
        <f>_xlfn.XLOOKUP(A7354,'[1]Tissue Data'!$A:$A,'[1]Tissue Data'!M:M)</f>
        <v>11.52</v>
      </c>
      <c r="K7354" t="s">
        <v>14</v>
      </c>
      <c r="L7354" t="str">
        <f>_xlfn.XLOOKUP(K7354,[2]analyte_order!$B:$B,[2]analyte_order!$C:$C)</f>
        <v>307-24-4</v>
      </c>
      <c r="M7354">
        <f>_xlfn.XLOOKUP(L7354,[2]analyte_order!$C:$C,[2]analyte_order!$E:$E)</f>
        <v>3</v>
      </c>
      <c r="N7354">
        <v>0.115</v>
      </c>
    </row>
    <row r="7355" spans="1:14">
      <c r="A7355" t="s">
        <v>308</v>
      </c>
      <c r="B7355" t="str">
        <f>_xlfn.XLOOKUP(A7355,'[1]Tissue Data'!$A:$A,'[1]Tissue Data'!$C:$C)</f>
        <v>Down</v>
      </c>
      <c r="C7355" s="2">
        <f>_xlfn.XLOOKUP(A7355,'[1]Tissue Data'!$A:$A,'[1]Tissue Data'!$D:$D)</f>
        <v>44393</v>
      </c>
      <c r="D7355" s="2" t="str">
        <f>_xlfn.XLOOKUP(A7355,'[1]Tissue Data'!$A:$A,'[1]Tissue Data'!$F:$F)</f>
        <v>Pumpkinseed</v>
      </c>
      <c r="E7355" t="str">
        <f>_xlfn.XLOOKUP(A7355,'[1]Tissue Data'!$A:$A,'[1]Tissue Data'!$H:$H)</f>
        <v>Lepomis</v>
      </c>
      <c r="F7355" t="str">
        <f>_xlfn.XLOOKUP(A7355,'[1]Tissue Data'!$A:$A,'[1]Tissue Data'!$I:$I)</f>
        <v>gibbosus</v>
      </c>
      <c r="G7355" t="str">
        <f>_xlfn.XLOOKUP(A7355,'[1]Tissue Data'!$A:$A,'[1]Tissue Data'!J:J)</f>
        <v>U</v>
      </c>
      <c r="H7355" t="str">
        <f>_xlfn.XLOOKUP(A7355,'[1]Tissue Data'!$A:$A,'[1]Tissue Data'!K:K)</f>
        <v>Whole Body</v>
      </c>
      <c r="I7355">
        <f>_xlfn.XLOOKUP(A7355,'[1]Tissue Data'!$A:$A,'[1]Tissue Data'!L:L)</f>
        <v>9</v>
      </c>
      <c r="J7355">
        <f>_xlfn.XLOOKUP(A7355,'[1]Tissue Data'!$A:$A,'[1]Tissue Data'!M:M)</f>
        <v>11.52</v>
      </c>
      <c r="K7355" t="s">
        <v>15</v>
      </c>
      <c r="L7355" t="str">
        <f>_xlfn.XLOOKUP(K7355,[2]analyte_order!$B:$B,[2]analyte_order!$C:$C)</f>
        <v>375-85-9</v>
      </c>
      <c r="M7355">
        <f>_xlfn.XLOOKUP(L7355,[2]analyte_order!$C:$C,[2]analyte_order!$E:$E)</f>
        <v>4</v>
      </c>
      <c r="N7355">
        <v>0.2135</v>
      </c>
    </row>
    <row r="7356" spans="1:14">
      <c r="A7356" t="s">
        <v>308</v>
      </c>
      <c r="B7356" t="str">
        <f>_xlfn.XLOOKUP(A7356,'[1]Tissue Data'!$A:$A,'[1]Tissue Data'!$C:$C)</f>
        <v>Down</v>
      </c>
      <c r="C7356" s="2">
        <f>_xlfn.XLOOKUP(A7356,'[1]Tissue Data'!$A:$A,'[1]Tissue Data'!$D:$D)</f>
        <v>44393</v>
      </c>
      <c r="D7356" s="2" t="str">
        <f>_xlfn.XLOOKUP(A7356,'[1]Tissue Data'!$A:$A,'[1]Tissue Data'!$F:$F)</f>
        <v>Pumpkinseed</v>
      </c>
      <c r="E7356" t="str">
        <f>_xlfn.XLOOKUP(A7356,'[1]Tissue Data'!$A:$A,'[1]Tissue Data'!$H:$H)</f>
        <v>Lepomis</v>
      </c>
      <c r="F7356" t="str">
        <f>_xlfn.XLOOKUP(A7356,'[1]Tissue Data'!$A:$A,'[1]Tissue Data'!$I:$I)</f>
        <v>gibbosus</v>
      </c>
      <c r="G7356" t="str">
        <f>_xlfn.XLOOKUP(A7356,'[1]Tissue Data'!$A:$A,'[1]Tissue Data'!J:J)</f>
        <v>U</v>
      </c>
      <c r="H7356" t="str">
        <f>_xlfn.XLOOKUP(A7356,'[1]Tissue Data'!$A:$A,'[1]Tissue Data'!K:K)</f>
        <v>Whole Body</v>
      </c>
      <c r="I7356">
        <f>_xlfn.XLOOKUP(A7356,'[1]Tissue Data'!$A:$A,'[1]Tissue Data'!L:L)</f>
        <v>9</v>
      </c>
      <c r="J7356">
        <f>_xlfn.XLOOKUP(A7356,'[1]Tissue Data'!$A:$A,'[1]Tissue Data'!M:M)</f>
        <v>11.52</v>
      </c>
      <c r="K7356" t="s">
        <v>16</v>
      </c>
      <c r="L7356" t="str">
        <f>_xlfn.XLOOKUP(K7356,[2]analyte_order!$B:$B,[2]analyte_order!$C:$C)</f>
        <v>335-67-1</v>
      </c>
      <c r="M7356">
        <f>_xlfn.XLOOKUP(L7356,[2]analyte_order!$C:$C,[2]analyte_order!$E:$E)</f>
        <v>5</v>
      </c>
      <c r="N7356">
        <v>0.41299999999999998</v>
      </c>
    </row>
    <row r="7357" spans="1:14">
      <c r="A7357" t="s">
        <v>308</v>
      </c>
      <c r="B7357" t="str">
        <f>_xlfn.XLOOKUP(A7357,'[1]Tissue Data'!$A:$A,'[1]Tissue Data'!$C:$C)</f>
        <v>Down</v>
      </c>
      <c r="C7357" s="2">
        <f>_xlfn.XLOOKUP(A7357,'[1]Tissue Data'!$A:$A,'[1]Tissue Data'!$D:$D)</f>
        <v>44393</v>
      </c>
      <c r="D7357" s="2" t="str">
        <f>_xlfn.XLOOKUP(A7357,'[1]Tissue Data'!$A:$A,'[1]Tissue Data'!$F:$F)</f>
        <v>Pumpkinseed</v>
      </c>
      <c r="E7357" t="str">
        <f>_xlfn.XLOOKUP(A7357,'[1]Tissue Data'!$A:$A,'[1]Tissue Data'!$H:$H)</f>
        <v>Lepomis</v>
      </c>
      <c r="F7357" t="str">
        <f>_xlfn.XLOOKUP(A7357,'[1]Tissue Data'!$A:$A,'[1]Tissue Data'!$I:$I)</f>
        <v>gibbosus</v>
      </c>
      <c r="G7357" t="str">
        <f>_xlfn.XLOOKUP(A7357,'[1]Tissue Data'!$A:$A,'[1]Tissue Data'!J:J)</f>
        <v>U</v>
      </c>
      <c r="H7357" t="str">
        <f>_xlfn.XLOOKUP(A7357,'[1]Tissue Data'!$A:$A,'[1]Tissue Data'!K:K)</f>
        <v>Whole Body</v>
      </c>
      <c r="I7357">
        <f>_xlfn.XLOOKUP(A7357,'[1]Tissue Data'!$A:$A,'[1]Tissue Data'!L:L)</f>
        <v>9</v>
      </c>
      <c r="J7357">
        <f>_xlfn.XLOOKUP(A7357,'[1]Tissue Data'!$A:$A,'[1]Tissue Data'!M:M)</f>
        <v>11.52</v>
      </c>
      <c r="K7357" t="s">
        <v>17</v>
      </c>
      <c r="L7357" t="str">
        <f>_xlfn.XLOOKUP(K7357,[2]analyte_order!$B:$B,[2]analyte_order!$C:$C)</f>
        <v>375-95-1</v>
      </c>
      <c r="M7357">
        <f>_xlfn.XLOOKUP(L7357,[2]analyte_order!$C:$C,[2]analyte_order!$E:$E)</f>
        <v>6</v>
      </c>
      <c r="N7357">
        <v>0.14749999999999999</v>
      </c>
    </row>
    <row r="7358" spans="1:14">
      <c r="A7358" t="s">
        <v>308</v>
      </c>
      <c r="B7358" t="str">
        <f>_xlfn.XLOOKUP(A7358,'[1]Tissue Data'!$A:$A,'[1]Tissue Data'!$C:$C)</f>
        <v>Down</v>
      </c>
      <c r="C7358" s="2">
        <f>_xlfn.XLOOKUP(A7358,'[1]Tissue Data'!$A:$A,'[1]Tissue Data'!$D:$D)</f>
        <v>44393</v>
      </c>
      <c r="D7358" s="2" t="str">
        <f>_xlfn.XLOOKUP(A7358,'[1]Tissue Data'!$A:$A,'[1]Tissue Data'!$F:$F)</f>
        <v>Pumpkinseed</v>
      </c>
      <c r="E7358" t="str">
        <f>_xlfn.XLOOKUP(A7358,'[1]Tissue Data'!$A:$A,'[1]Tissue Data'!$H:$H)</f>
        <v>Lepomis</v>
      </c>
      <c r="F7358" t="str">
        <f>_xlfn.XLOOKUP(A7358,'[1]Tissue Data'!$A:$A,'[1]Tissue Data'!$I:$I)</f>
        <v>gibbosus</v>
      </c>
      <c r="G7358" t="str">
        <f>_xlfn.XLOOKUP(A7358,'[1]Tissue Data'!$A:$A,'[1]Tissue Data'!J:J)</f>
        <v>U</v>
      </c>
      <c r="H7358" t="str">
        <f>_xlfn.XLOOKUP(A7358,'[1]Tissue Data'!$A:$A,'[1]Tissue Data'!K:K)</f>
        <v>Whole Body</v>
      </c>
      <c r="I7358">
        <f>_xlfn.XLOOKUP(A7358,'[1]Tissue Data'!$A:$A,'[1]Tissue Data'!L:L)</f>
        <v>9</v>
      </c>
      <c r="J7358">
        <f>_xlfn.XLOOKUP(A7358,'[1]Tissue Data'!$A:$A,'[1]Tissue Data'!M:M)</f>
        <v>11.52</v>
      </c>
      <c r="K7358" t="s">
        <v>18</v>
      </c>
      <c r="L7358" t="str">
        <f>_xlfn.XLOOKUP(K7358,[2]analyte_order!$B:$B,[2]analyte_order!$C:$C)</f>
        <v>335-76-2</v>
      </c>
      <c r="M7358">
        <f>_xlfn.XLOOKUP(L7358,[2]analyte_order!$C:$C,[2]analyte_order!$E:$E)</f>
        <v>7</v>
      </c>
      <c r="N7358">
        <v>3</v>
      </c>
    </row>
    <row r="7359" spans="1:14">
      <c r="A7359" t="s">
        <v>308</v>
      </c>
      <c r="B7359" t="str">
        <f>_xlfn.XLOOKUP(A7359,'[1]Tissue Data'!$A:$A,'[1]Tissue Data'!$C:$C)</f>
        <v>Down</v>
      </c>
      <c r="C7359" s="2">
        <f>_xlfn.XLOOKUP(A7359,'[1]Tissue Data'!$A:$A,'[1]Tissue Data'!$D:$D)</f>
        <v>44393</v>
      </c>
      <c r="D7359" s="2" t="str">
        <f>_xlfn.XLOOKUP(A7359,'[1]Tissue Data'!$A:$A,'[1]Tissue Data'!$F:$F)</f>
        <v>Pumpkinseed</v>
      </c>
      <c r="E7359" t="str">
        <f>_xlfn.XLOOKUP(A7359,'[1]Tissue Data'!$A:$A,'[1]Tissue Data'!$H:$H)</f>
        <v>Lepomis</v>
      </c>
      <c r="F7359" t="str">
        <f>_xlfn.XLOOKUP(A7359,'[1]Tissue Data'!$A:$A,'[1]Tissue Data'!$I:$I)</f>
        <v>gibbosus</v>
      </c>
      <c r="G7359" t="str">
        <f>_xlfn.XLOOKUP(A7359,'[1]Tissue Data'!$A:$A,'[1]Tissue Data'!J:J)</f>
        <v>U</v>
      </c>
      <c r="H7359" t="str">
        <f>_xlfn.XLOOKUP(A7359,'[1]Tissue Data'!$A:$A,'[1]Tissue Data'!K:K)</f>
        <v>Whole Body</v>
      </c>
      <c r="I7359">
        <f>_xlfn.XLOOKUP(A7359,'[1]Tissue Data'!$A:$A,'[1]Tissue Data'!L:L)</f>
        <v>9</v>
      </c>
      <c r="J7359">
        <f>_xlfn.XLOOKUP(A7359,'[1]Tissue Data'!$A:$A,'[1]Tissue Data'!M:M)</f>
        <v>11.52</v>
      </c>
      <c r="K7359" t="s">
        <v>19</v>
      </c>
      <c r="L7359" t="str">
        <f>_xlfn.XLOOKUP(K7359,[2]analyte_order!$B:$B,[2]analyte_order!$C:$C)</f>
        <v>2058-94-8</v>
      </c>
      <c r="M7359">
        <f>_xlfn.XLOOKUP(L7359,[2]analyte_order!$C:$C,[2]analyte_order!$E:$E)</f>
        <v>8</v>
      </c>
      <c r="N7359">
        <v>5.83</v>
      </c>
    </row>
    <row r="7360" spans="1:14">
      <c r="A7360" t="s">
        <v>308</v>
      </c>
      <c r="B7360" t="str">
        <f>_xlfn.XLOOKUP(A7360,'[1]Tissue Data'!$A:$A,'[1]Tissue Data'!$C:$C)</f>
        <v>Down</v>
      </c>
      <c r="C7360" s="2">
        <f>_xlfn.XLOOKUP(A7360,'[1]Tissue Data'!$A:$A,'[1]Tissue Data'!$D:$D)</f>
        <v>44393</v>
      </c>
      <c r="D7360" s="2" t="str">
        <f>_xlfn.XLOOKUP(A7360,'[1]Tissue Data'!$A:$A,'[1]Tissue Data'!$F:$F)</f>
        <v>Pumpkinseed</v>
      </c>
      <c r="E7360" t="str">
        <f>_xlfn.XLOOKUP(A7360,'[1]Tissue Data'!$A:$A,'[1]Tissue Data'!$H:$H)</f>
        <v>Lepomis</v>
      </c>
      <c r="F7360" t="str">
        <f>_xlfn.XLOOKUP(A7360,'[1]Tissue Data'!$A:$A,'[1]Tissue Data'!$I:$I)</f>
        <v>gibbosus</v>
      </c>
      <c r="G7360" t="str">
        <f>_xlfn.XLOOKUP(A7360,'[1]Tissue Data'!$A:$A,'[1]Tissue Data'!J:J)</f>
        <v>U</v>
      </c>
      <c r="H7360" t="str">
        <f>_xlfn.XLOOKUP(A7360,'[1]Tissue Data'!$A:$A,'[1]Tissue Data'!K:K)</f>
        <v>Whole Body</v>
      </c>
      <c r="I7360">
        <f>_xlfn.XLOOKUP(A7360,'[1]Tissue Data'!$A:$A,'[1]Tissue Data'!L:L)</f>
        <v>9</v>
      </c>
      <c r="J7360">
        <f>_xlfn.XLOOKUP(A7360,'[1]Tissue Data'!$A:$A,'[1]Tissue Data'!M:M)</f>
        <v>11.52</v>
      </c>
      <c r="K7360" t="s">
        <v>20</v>
      </c>
      <c r="L7360" t="str">
        <f>_xlfn.XLOOKUP(K7360,[2]analyte_order!$B:$B,[2]analyte_order!$C:$C)</f>
        <v>307-55-1</v>
      </c>
      <c r="M7360">
        <f>_xlfn.XLOOKUP(L7360,[2]analyte_order!$C:$C,[2]analyte_order!$E:$E)</f>
        <v>9</v>
      </c>
      <c r="N7360">
        <v>17.2</v>
      </c>
    </row>
    <row r="7361" spans="1:14">
      <c r="A7361" t="s">
        <v>308</v>
      </c>
      <c r="B7361" t="str">
        <f>_xlfn.XLOOKUP(A7361,'[1]Tissue Data'!$A:$A,'[1]Tissue Data'!$C:$C)</f>
        <v>Down</v>
      </c>
      <c r="C7361" s="2">
        <f>_xlfn.XLOOKUP(A7361,'[1]Tissue Data'!$A:$A,'[1]Tissue Data'!$D:$D)</f>
        <v>44393</v>
      </c>
      <c r="D7361" s="2" t="str">
        <f>_xlfn.XLOOKUP(A7361,'[1]Tissue Data'!$A:$A,'[1]Tissue Data'!$F:$F)</f>
        <v>Pumpkinseed</v>
      </c>
      <c r="E7361" t="str">
        <f>_xlfn.XLOOKUP(A7361,'[1]Tissue Data'!$A:$A,'[1]Tissue Data'!$H:$H)</f>
        <v>Lepomis</v>
      </c>
      <c r="F7361" t="str">
        <f>_xlfn.XLOOKUP(A7361,'[1]Tissue Data'!$A:$A,'[1]Tissue Data'!$I:$I)</f>
        <v>gibbosus</v>
      </c>
      <c r="G7361" t="str">
        <f>_xlfn.XLOOKUP(A7361,'[1]Tissue Data'!$A:$A,'[1]Tissue Data'!J:J)</f>
        <v>U</v>
      </c>
      <c r="H7361" t="str">
        <f>_xlfn.XLOOKUP(A7361,'[1]Tissue Data'!$A:$A,'[1]Tissue Data'!K:K)</f>
        <v>Whole Body</v>
      </c>
      <c r="I7361">
        <f>_xlfn.XLOOKUP(A7361,'[1]Tissue Data'!$A:$A,'[1]Tissue Data'!L:L)</f>
        <v>9</v>
      </c>
      <c r="J7361">
        <f>_xlfn.XLOOKUP(A7361,'[1]Tissue Data'!$A:$A,'[1]Tissue Data'!M:M)</f>
        <v>11.52</v>
      </c>
      <c r="K7361" t="s">
        <v>21</v>
      </c>
      <c r="L7361" t="str">
        <f>_xlfn.XLOOKUP(K7361,[2]analyte_order!$B:$B,[2]analyte_order!$C:$C)</f>
        <v>72629-94-8</v>
      </c>
      <c r="M7361">
        <f>_xlfn.XLOOKUP(L7361,[2]analyte_order!$C:$C,[2]analyte_order!$E:$E)</f>
        <v>10</v>
      </c>
      <c r="N7361">
        <v>5.87</v>
      </c>
    </row>
    <row r="7362" spans="1:14">
      <c r="A7362" t="s">
        <v>308</v>
      </c>
      <c r="B7362" t="str">
        <f>_xlfn.XLOOKUP(A7362,'[1]Tissue Data'!$A:$A,'[1]Tissue Data'!$C:$C)</f>
        <v>Down</v>
      </c>
      <c r="C7362" s="2">
        <f>_xlfn.XLOOKUP(A7362,'[1]Tissue Data'!$A:$A,'[1]Tissue Data'!$D:$D)</f>
        <v>44393</v>
      </c>
      <c r="D7362" s="2" t="str">
        <f>_xlfn.XLOOKUP(A7362,'[1]Tissue Data'!$A:$A,'[1]Tissue Data'!$F:$F)</f>
        <v>Pumpkinseed</v>
      </c>
      <c r="E7362" t="str">
        <f>_xlfn.XLOOKUP(A7362,'[1]Tissue Data'!$A:$A,'[1]Tissue Data'!$H:$H)</f>
        <v>Lepomis</v>
      </c>
      <c r="F7362" t="str">
        <f>_xlfn.XLOOKUP(A7362,'[1]Tissue Data'!$A:$A,'[1]Tissue Data'!$I:$I)</f>
        <v>gibbosus</v>
      </c>
      <c r="G7362" t="str">
        <f>_xlfn.XLOOKUP(A7362,'[1]Tissue Data'!$A:$A,'[1]Tissue Data'!J:J)</f>
        <v>U</v>
      </c>
      <c r="H7362" t="str">
        <f>_xlfn.XLOOKUP(A7362,'[1]Tissue Data'!$A:$A,'[1]Tissue Data'!K:K)</f>
        <v>Whole Body</v>
      </c>
      <c r="I7362">
        <f>_xlfn.XLOOKUP(A7362,'[1]Tissue Data'!$A:$A,'[1]Tissue Data'!L:L)</f>
        <v>9</v>
      </c>
      <c r="J7362">
        <f>_xlfn.XLOOKUP(A7362,'[1]Tissue Data'!$A:$A,'[1]Tissue Data'!M:M)</f>
        <v>11.52</v>
      </c>
      <c r="K7362" t="s">
        <v>22</v>
      </c>
      <c r="L7362" t="str">
        <f>_xlfn.XLOOKUP(K7362,[2]analyte_order!$B:$B,[2]analyte_order!$C:$C)</f>
        <v>376-06-7</v>
      </c>
      <c r="M7362">
        <f>_xlfn.XLOOKUP(L7362,[2]analyte_order!$C:$C,[2]analyte_order!$E:$E)</f>
        <v>11</v>
      </c>
      <c r="N7362">
        <v>29.1</v>
      </c>
    </row>
    <row r="7363" spans="1:14">
      <c r="A7363" t="s">
        <v>308</v>
      </c>
      <c r="B7363" t="str">
        <f>_xlfn.XLOOKUP(A7363,'[1]Tissue Data'!$A:$A,'[1]Tissue Data'!$C:$C)</f>
        <v>Down</v>
      </c>
      <c r="C7363" s="2">
        <f>_xlfn.XLOOKUP(A7363,'[1]Tissue Data'!$A:$A,'[1]Tissue Data'!$D:$D)</f>
        <v>44393</v>
      </c>
      <c r="D7363" s="2" t="str">
        <f>_xlfn.XLOOKUP(A7363,'[1]Tissue Data'!$A:$A,'[1]Tissue Data'!$F:$F)</f>
        <v>Pumpkinseed</v>
      </c>
      <c r="E7363" t="str">
        <f>_xlfn.XLOOKUP(A7363,'[1]Tissue Data'!$A:$A,'[1]Tissue Data'!$H:$H)</f>
        <v>Lepomis</v>
      </c>
      <c r="F7363" t="str">
        <f>_xlfn.XLOOKUP(A7363,'[1]Tissue Data'!$A:$A,'[1]Tissue Data'!$I:$I)</f>
        <v>gibbosus</v>
      </c>
      <c r="G7363" t="str">
        <f>_xlfn.XLOOKUP(A7363,'[1]Tissue Data'!$A:$A,'[1]Tissue Data'!J:J)</f>
        <v>U</v>
      </c>
      <c r="H7363" t="str">
        <f>_xlfn.XLOOKUP(A7363,'[1]Tissue Data'!$A:$A,'[1]Tissue Data'!K:K)</f>
        <v>Whole Body</v>
      </c>
      <c r="I7363">
        <f>_xlfn.XLOOKUP(A7363,'[1]Tissue Data'!$A:$A,'[1]Tissue Data'!L:L)</f>
        <v>9</v>
      </c>
      <c r="J7363">
        <f>_xlfn.XLOOKUP(A7363,'[1]Tissue Data'!$A:$A,'[1]Tissue Data'!M:M)</f>
        <v>11.52</v>
      </c>
      <c r="K7363" t="s">
        <v>23</v>
      </c>
      <c r="L7363" t="str">
        <f>_xlfn.XLOOKUP(K7363,[2]analyte_order!$B:$B,[2]analyte_order!$C:$C)</f>
        <v>67905-19-5</v>
      </c>
      <c r="M7363">
        <f>_xlfn.XLOOKUP(L7363,[2]analyte_order!$C:$C,[2]analyte_order!$E:$E)</f>
        <v>12</v>
      </c>
      <c r="N7363">
        <v>0.254</v>
      </c>
    </row>
    <row r="7364" spans="1:14">
      <c r="A7364" t="s">
        <v>308</v>
      </c>
      <c r="B7364" t="str">
        <f>_xlfn.XLOOKUP(A7364,'[1]Tissue Data'!$A:$A,'[1]Tissue Data'!$C:$C)</f>
        <v>Down</v>
      </c>
      <c r="C7364" s="2">
        <f>_xlfn.XLOOKUP(A7364,'[1]Tissue Data'!$A:$A,'[1]Tissue Data'!$D:$D)</f>
        <v>44393</v>
      </c>
      <c r="D7364" s="2" t="str">
        <f>_xlfn.XLOOKUP(A7364,'[1]Tissue Data'!$A:$A,'[1]Tissue Data'!$F:$F)</f>
        <v>Pumpkinseed</v>
      </c>
      <c r="E7364" t="str">
        <f>_xlfn.XLOOKUP(A7364,'[1]Tissue Data'!$A:$A,'[1]Tissue Data'!$H:$H)</f>
        <v>Lepomis</v>
      </c>
      <c r="F7364" t="str">
        <f>_xlfn.XLOOKUP(A7364,'[1]Tissue Data'!$A:$A,'[1]Tissue Data'!$I:$I)</f>
        <v>gibbosus</v>
      </c>
      <c r="G7364" t="str">
        <f>_xlfn.XLOOKUP(A7364,'[1]Tissue Data'!$A:$A,'[1]Tissue Data'!J:J)</f>
        <v>U</v>
      </c>
      <c r="H7364" t="str">
        <f>_xlfn.XLOOKUP(A7364,'[1]Tissue Data'!$A:$A,'[1]Tissue Data'!K:K)</f>
        <v>Whole Body</v>
      </c>
      <c r="I7364">
        <f>_xlfn.XLOOKUP(A7364,'[1]Tissue Data'!$A:$A,'[1]Tissue Data'!L:L)</f>
        <v>9</v>
      </c>
      <c r="J7364">
        <f>_xlfn.XLOOKUP(A7364,'[1]Tissue Data'!$A:$A,'[1]Tissue Data'!M:M)</f>
        <v>11.52</v>
      </c>
      <c r="K7364" t="s">
        <v>24</v>
      </c>
      <c r="L7364" t="str">
        <f>_xlfn.XLOOKUP(K7364,[2]analyte_order!$B:$B,[2]analyte_order!$C:$C)</f>
        <v>423-41-6</v>
      </c>
      <c r="M7364">
        <f>_xlfn.XLOOKUP(L7364,[2]analyte_order!$C:$C,[2]analyte_order!$E:$E)</f>
        <v>53</v>
      </c>
      <c r="N7364">
        <v>0.42649999999999999</v>
      </c>
    </row>
    <row r="7365" spans="1:14">
      <c r="A7365" t="s">
        <v>308</v>
      </c>
      <c r="B7365" t="str">
        <f>_xlfn.XLOOKUP(A7365,'[1]Tissue Data'!$A:$A,'[1]Tissue Data'!$C:$C)</f>
        <v>Down</v>
      </c>
      <c r="C7365" s="2">
        <f>_xlfn.XLOOKUP(A7365,'[1]Tissue Data'!$A:$A,'[1]Tissue Data'!$D:$D)</f>
        <v>44393</v>
      </c>
      <c r="D7365" s="2" t="str">
        <f>_xlfn.XLOOKUP(A7365,'[1]Tissue Data'!$A:$A,'[1]Tissue Data'!$F:$F)</f>
        <v>Pumpkinseed</v>
      </c>
      <c r="E7365" t="str">
        <f>_xlfn.XLOOKUP(A7365,'[1]Tissue Data'!$A:$A,'[1]Tissue Data'!$H:$H)</f>
        <v>Lepomis</v>
      </c>
      <c r="F7365" t="str">
        <f>_xlfn.XLOOKUP(A7365,'[1]Tissue Data'!$A:$A,'[1]Tissue Data'!$I:$I)</f>
        <v>gibbosus</v>
      </c>
      <c r="G7365" t="str">
        <f>_xlfn.XLOOKUP(A7365,'[1]Tissue Data'!$A:$A,'[1]Tissue Data'!J:J)</f>
        <v>U</v>
      </c>
      <c r="H7365" t="str">
        <f>_xlfn.XLOOKUP(A7365,'[1]Tissue Data'!$A:$A,'[1]Tissue Data'!K:K)</f>
        <v>Whole Body</v>
      </c>
      <c r="I7365">
        <f>_xlfn.XLOOKUP(A7365,'[1]Tissue Data'!$A:$A,'[1]Tissue Data'!L:L)</f>
        <v>9</v>
      </c>
      <c r="J7365">
        <f>_xlfn.XLOOKUP(A7365,'[1]Tissue Data'!$A:$A,'[1]Tissue Data'!M:M)</f>
        <v>11.52</v>
      </c>
      <c r="K7365" t="s">
        <v>25</v>
      </c>
      <c r="L7365" t="str">
        <f>_xlfn.XLOOKUP(K7365,[2]analyte_order!$B:$B,[2]analyte_order!$C:$C)</f>
        <v>375-73-5</v>
      </c>
      <c r="M7365">
        <f>_xlfn.XLOOKUP(L7365,[2]analyte_order!$C:$C,[2]analyte_order!$E:$E)</f>
        <v>14</v>
      </c>
      <c r="N7365">
        <v>0.14499999999999999</v>
      </c>
    </row>
    <row r="7366" spans="1:14">
      <c r="A7366" t="s">
        <v>308</v>
      </c>
      <c r="B7366" t="str">
        <f>_xlfn.XLOOKUP(A7366,'[1]Tissue Data'!$A:$A,'[1]Tissue Data'!$C:$C)</f>
        <v>Down</v>
      </c>
      <c r="C7366" s="2">
        <f>_xlfn.XLOOKUP(A7366,'[1]Tissue Data'!$A:$A,'[1]Tissue Data'!$D:$D)</f>
        <v>44393</v>
      </c>
      <c r="D7366" s="2" t="str">
        <f>_xlfn.XLOOKUP(A7366,'[1]Tissue Data'!$A:$A,'[1]Tissue Data'!$F:$F)</f>
        <v>Pumpkinseed</v>
      </c>
      <c r="E7366" t="str">
        <f>_xlfn.XLOOKUP(A7366,'[1]Tissue Data'!$A:$A,'[1]Tissue Data'!$H:$H)</f>
        <v>Lepomis</v>
      </c>
      <c r="F7366" t="str">
        <f>_xlfn.XLOOKUP(A7366,'[1]Tissue Data'!$A:$A,'[1]Tissue Data'!$I:$I)</f>
        <v>gibbosus</v>
      </c>
      <c r="G7366" t="str">
        <f>_xlfn.XLOOKUP(A7366,'[1]Tissue Data'!$A:$A,'[1]Tissue Data'!J:J)</f>
        <v>U</v>
      </c>
      <c r="H7366" t="str">
        <f>_xlfn.XLOOKUP(A7366,'[1]Tissue Data'!$A:$A,'[1]Tissue Data'!K:K)</f>
        <v>Whole Body</v>
      </c>
      <c r="I7366">
        <f>_xlfn.XLOOKUP(A7366,'[1]Tissue Data'!$A:$A,'[1]Tissue Data'!L:L)</f>
        <v>9</v>
      </c>
      <c r="J7366">
        <f>_xlfn.XLOOKUP(A7366,'[1]Tissue Data'!$A:$A,'[1]Tissue Data'!M:M)</f>
        <v>11.52</v>
      </c>
      <c r="K7366" t="s">
        <v>26</v>
      </c>
      <c r="L7366" t="str">
        <f>_xlfn.XLOOKUP(K7366,[2]analyte_order!$B:$B,[2]analyte_order!$C:$C)</f>
        <v>2706-91-4</v>
      </c>
      <c r="M7366">
        <f>_xlfn.XLOOKUP(L7366,[2]analyte_order!$C:$C,[2]analyte_order!$E:$E)</f>
        <v>15</v>
      </c>
      <c r="N7366">
        <v>0.113</v>
      </c>
    </row>
    <row r="7367" spans="1:14">
      <c r="A7367" t="s">
        <v>308</v>
      </c>
      <c r="B7367" t="str">
        <f>_xlfn.XLOOKUP(A7367,'[1]Tissue Data'!$A:$A,'[1]Tissue Data'!$C:$C)</f>
        <v>Down</v>
      </c>
      <c r="C7367" s="2">
        <f>_xlfn.XLOOKUP(A7367,'[1]Tissue Data'!$A:$A,'[1]Tissue Data'!$D:$D)</f>
        <v>44393</v>
      </c>
      <c r="D7367" s="2" t="str">
        <f>_xlfn.XLOOKUP(A7367,'[1]Tissue Data'!$A:$A,'[1]Tissue Data'!$F:$F)</f>
        <v>Pumpkinseed</v>
      </c>
      <c r="E7367" t="str">
        <f>_xlfn.XLOOKUP(A7367,'[1]Tissue Data'!$A:$A,'[1]Tissue Data'!$H:$H)</f>
        <v>Lepomis</v>
      </c>
      <c r="F7367" t="str">
        <f>_xlfn.XLOOKUP(A7367,'[1]Tissue Data'!$A:$A,'[1]Tissue Data'!$I:$I)</f>
        <v>gibbosus</v>
      </c>
      <c r="G7367" t="str">
        <f>_xlfn.XLOOKUP(A7367,'[1]Tissue Data'!$A:$A,'[1]Tissue Data'!J:J)</f>
        <v>U</v>
      </c>
      <c r="H7367" t="str">
        <f>_xlfn.XLOOKUP(A7367,'[1]Tissue Data'!$A:$A,'[1]Tissue Data'!K:K)</f>
        <v>Whole Body</v>
      </c>
      <c r="I7367">
        <f>_xlfn.XLOOKUP(A7367,'[1]Tissue Data'!$A:$A,'[1]Tissue Data'!L:L)</f>
        <v>9</v>
      </c>
      <c r="J7367">
        <f>_xlfn.XLOOKUP(A7367,'[1]Tissue Data'!$A:$A,'[1]Tissue Data'!M:M)</f>
        <v>11.52</v>
      </c>
      <c r="K7367" t="s">
        <v>27</v>
      </c>
      <c r="L7367" t="str">
        <f>_xlfn.XLOOKUP(K7367,[2]analyte_order!$B:$B,[2]analyte_order!$C:$C)</f>
        <v>355-46-4</v>
      </c>
      <c r="M7367">
        <f>_xlfn.XLOOKUP(L7367,[2]analyte_order!$C:$C,[2]analyte_order!$E:$E)</f>
        <v>16</v>
      </c>
      <c r="N7367">
        <v>7.25</v>
      </c>
    </row>
    <row r="7368" spans="1:14">
      <c r="A7368" t="s">
        <v>308</v>
      </c>
      <c r="B7368" t="str">
        <f>_xlfn.XLOOKUP(A7368,'[1]Tissue Data'!$A:$A,'[1]Tissue Data'!$C:$C)</f>
        <v>Down</v>
      </c>
      <c r="C7368" s="2">
        <f>_xlfn.XLOOKUP(A7368,'[1]Tissue Data'!$A:$A,'[1]Tissue Data'!$D:$D)</f>
        <v>44393</v>
      </c>
      <c r="D7368" s="2" t="str">
        <f>_xlfn.XLOOKUP(A7368,'[1]Tissue Data'!$A:$A,'[1]Tissue Data'!$F:$F)</f>
        <v>Pumpkinseed</v>
      </c>
      <c r="E7368" t="str">
        <f>_xlfn.XLOOKUP(A7368,'[1]Tissue Data'!$A:$A,'[1]Tissue Data'!$H:$H)</f>
        <v>Lepomis</v>
      </c>
      <c r="F7368" t="str">
        <f>_xlfn.XLOOKUP(A7368,'[1]Tissue Data'!$A:$A,'[1]Tissue Data'!$I:$I)</f>
        <v>gibbosus</v>
      </c>
      <c r="G7368" t="str">
        <f>_xlfn.XLOOKUP(A7368,'[1]Tissue Data'!$A:$A,'[1]Tissue Data'!J:J)</f>
        <v>U</v>
      </c>
      <c r="H7368" t="str">
        <f>_xlfn.XLOOKUP(A7368,'[1]Tissue Data'!$A:$A,'[1]Tissue Data'!K:K)</f>
        <v>Whole Body</v>
      </c>
      <c r="I7368">
        <f>_xlfn.XLOOKUP(A7368,'[1]Tissue Data'!$A:$A,'[1]Tissue Data'!L:L)</f>
        <v>9</v>
      </c>
      <c r="J7368">
        <f>_xlfn.XLOOKUP(A7368,'[1]Tissue Data'!$A:$A,'[1]Tissue Data'!M:M)</f>
        <v>11.52</v>
      </c>
      <c r="K7368" t="s">
        <v>28</v>
      </c>
      <c r="L7368" t="str">
        <f>_xlfn.XLOOKUP(K7368,[2]analyte_order!$B:$B,[2]analyte_order!$C:$C)</f>
        <v>375-92-8</v>
      </c>
      <c r="M7368">
        <f>_xlfn.XLOOKUP(L7368,[2]analyte_order!$C:$C,[2]analyte_order!$E:$E)</f>
        <v>17</v>
      </c>
      <c r="N7368">
        <v>0.90100000000000002</v>
      </c>
    </row>
    <row r="7369" spans="1:14">
      <c r="A7369" t="s">
        <v>308</v>
      </c>
      <c r="B7369" t="str">
        <f>_xlfn.XLOOKUP(A7369,'[1]Tissue Data'!$A:$A,'[1]Tissue Data'!$C:$C)</f>
        <v>Down</v>
      </c>
      <c r="C7369" s="2">
        <f>_xlfn.XLOOKUP(A7369,'[1]Tissue Data'!$A:$A,'[1]Tissue Data'!$D:$D)</f>
        <v>44393</v>
      </c>
      <c r="D7369" s="2" t="str">
        <f>_xlfn.XLOOKUP(A7369,'[1]Tissue Data'!$A:$A,'[1]Tissue Data'!$F:$F)</f>
        <v>Pumpkinseed</v>
      </c>
      <c r="E7369" t="str">
        <f>_xlfn.XLOOKUP(A7369,'[1]Tissue Data'!$A:$A,'[1]Tissue Data'!$H:$H)</f>
        <v>Lepomis</v>
      </c>
      <c r="F7369" t="str">
        <f>_xlfn.XLOOKUP(A7369,'[1]Tissue Data'!$A:$A,'[1]Tissue Data'!$I:$I)</f>
        <v>gibbosus</v>
      </c>
      <c r="G7369" t="str">
        <f>_xlfn.XLOOKUP(A7369,'[1]Tissue Data'!$A:$A,'[1]Tissue Data'!J:J)</f>
        <v>U</v>
      </c>
      <c r="H7369" t="str">
        <f>_xlfn.XLOOKUP(A7369,'[1]Tissue Data'!$A:$A,'[1]Tissue Data'!K:K)</f>
        <v>Whole Body</v>
      </c>
      <c r="I7369">
        <f>_xlfn.XLOOKUP(A7369,'[1]Tissue Data'!$A:$A,'[1]Tissue Data'!L:L)</f>
        <v>9</v>
      </c>
      <c r="J7369">
        <f>_xlfn.XLOOKUP(A7369,'[1]Tissue Data'!$A:$A,'[1]Tissue Data'!M:M)</f>
        <v>11.52</v>
      </c>
      <c r="K7369" t="s">
        <v>29</v>
      </c>
      <c r="L7369" t="str">
        <f>_xlfn.XLOOKUP(K7369,[2]analyte_order!$B:$B,[2]analyte_order!$C:$C)</f>
        <v>1763-23-1</v>
      </c>
      <c r="M7369">
        <f>_xlfn.XLOOKUP(L7369,[2]analyte_order!$C:$C,[2]analyte_order!$E:$E)</f>
        <v>18</v>
      </c>
      <c r="N7369">
        <v>657</v>
      </c>
    </row>
    <row r="7370" spans="1:14">
      <c r="A7370" t="s">
        <v>308</v>
      </c>
      <c r="B7370" t="str">
        <f>_xlfn.XLOOKUP(A7370,'[1]Tissue Data'!$A:$A,'[1]Tissue Data'!$C:$C)</f>
        <v>Down</v>
      </c>
      <c r="C7370" s="2">
        <f>_xlfn.XLOOKUP(A7370,'[1]Tissue Data'!$A:$A,'[1]Tissue Data'!$D:$D)</f>
        <v>44393</v>
      </c>
      <c r="D7370" s="2" t="str">
        <f>_xlfn.XLOOKUP(A7370,'[1]Tissue Data'!$A:$A,'[1]Tissue Data'!$F:$F)</f>
        <v>Pumpkinseed</v>
      </c>
      <c r="E7370" t="str">
        <f>_xlfn.XLOOKUP(A7370,'[1]Tissue Data'!$A:$A,'[1]Tissue Data'!$H:$H)</f>
        <v>Lepomis</v>
      </c>
      <c r="F7370" t="str">
        <f>_xlfn.XLOOKUP(A7370,'[1]Tissue Data'!$A:$A,'[1]Tissue Data'!$I:$I)</f>
        <v>gibbosus</v>
      </c>
      <c r="G7370" t="str">
        <f>_xlfn.XLOOKUP(A7370,'[1]Tissue Data'!$A:$A,'[1]Tissue Data'!J:J)</f>
        <v>U</v>
      </c>
      <c r="H7370" t="str">
        <f>_xlfn.XLOOKUP(A7370,'[1]Tissue Data'!$A:$A,'[1]Tissue Data'!K:K)</f>
        <v>Whole Body</v>
      </c>
      <c r="I7370">
        <f>_xlfn.XLOOKUP(A7370,'[1]Tissue Data'!$A:$A,'[1]Tissue Data'!L:L)</f>
        <v>9</v>
      </c>
      <c r="J7370">
        <f>_xlfn.XLOOKUP(A7370,'[1]Tissue Data'!$A:$A,'[1]Tissue Data'!M:M)</f>
        <v>11.52</v>
      </c>
      <c r="K7370" t="s">
        <v>30</v>
      </c>
      <c r="L7370" t="str">
        <f>_xlfn.XLOOKUP(K7370,[2]analyte_order!$B:$B,[2]analyte_order!$C:$C)</f>
        <v>68259-12-1</v>
      </c>
      <c r="M7370">
        <f>_xlfn.XLOOKUP(L7370,[2]analyte_order!$C:$C,[2]analyte_order!$E:$E)</f>
        <v>19</v>
      </c>
      <c r="N7370">
        <v>0.75800000000000001</v>
      </c>
    </row>
    <row r="7371" spans="1:14">
      <c r="A7371" t="s">
        <v>308</v>
      </c>
      <c r="B7371" t="str">
        <f>_xlfn.XLOOKUP(A7371,'[1]Tissue Data'!$A:$A,'[1]Tissue Data'!$C:$C)</f>
        <v>Down</v>
      </c>
      <c r="C7371" s="2">
        <f>_xlfn.XLOOKUP(A7371,'[1]Tissue Data'!$A:$A,'[1]Tissue Data'!$D:$D)</f>
        <v>44393</v>
      </c>
      <c r="D7371" s="2" t="str">
        <f>_xlfn.XLOOKUP(A7371,'[1]Tissue Data'!$A:$A,'[1]Tissue Data'!$F:$F)</f>
        <v>Pumpkinseed</v>
      </c>
      <c r="E7371" t="str">
        <f>_xlfn.XLOOKUP(A7371,'[1]Tissue Data'!$A:$A,'[1]Tissue Data'!$H:$H)</f>
        <v>Lepomis</v>
      </c>
      <c r="F7371" t="str">
        <f>_xlfn.XLOOKUP(A7371,'[1]Tissue Data'!$A:$A,'[1]Tissue Data'!$I:$I)</f>
        <v>gibbosus</v>
      </c>
      <c r="G7371" t="str">
        <f>_xlfn.XLOOKUP(A7371,'[1]Tissue Data'!$A:$A,'[1]Tissue Data'!J:J)</f>
        <v>U</v>
      </c>
      <c r="H7371" t="str">
        <f>_xlfn.XLOOKUP(A7371,'[1]Tissue Data'!$A:$A,'[1]Tissue Data'!K:K)</f>
        <v>Whole Body</v>
      </c>
      <c r="I7371">
        <f>_xlfn.XLOOKUP(A7371,'[1]Tissue Data'!$A:$A,'[1]Tissue Data'!L:L)</f>
        <v>9</v>
      </c>
      <c r="J7371">
        <f>_xlfn.XLOOKUP(A7371,'[1]Tissue Data'!$A:$A,'[1]Tissue Data'!M:M)</f>
        <v>11.52</v>
      </c>
      <c r="K7371" t="s">
        <v>31</v>
      </c>
      <c r="L7371" t="str">
        <f>_xlfn.XLOOKUP(K7371,[2]analyte_order!$B:$B,[2]analyte_order!$C:$C)</f>
        <v>335-77-3</v>
      </c>
      <c r="M7371">
        <f>_xlfn.XLOOKUP(L7371,[2]analyte_order!$C:$C,[2]analyte_order!$E:$E)</f>
        <v>20</v>
      </c>
      <c r="N7371">
        <v>0.81799999999999995</v>
      </c>
    </row>
    <row r="7372" spans="1:14">
      <c r="A7372" t="s">
        <v>308</v>
      </c>
      <c r="B7372" t="str">
        <f>_xlfn.XLOOKUP(A7372,'[1]Tissue Data'!$A:$A,'[1]Tissue Data'!$C:$C)</f>
        <v>Down</v>
      </c>
      <c r="C7372" s="2">
        <f>_xlfn.XLOOKUP(A7372,'[1]Tissue Data'!$A:$A,'[1]Tissue Data'!$D:$D)</f>
        <v>44393</v>
      </c>
      <c r="D7372" s="2" t="str">
        <f>_xlfn.XLOOKUP(A7372,'[1]Tissue Data'!$A:$A,'[1]Tissue Data'!$F:$F)</f>
        <v>Pumpkinseed</v>
      </c>
      <c r="E7372" t="str">
        <f>_xlfn.XLOOKUP(A7372,'[1]Tissue Data'!$A:$A,'[1]Tissue Data'!$H:$H)</f>
        <v>Lepomis</v>
      </c>
      <c r="F7372" t="str">
        <f>_xlfn.XLOOKUP(A7372,'[1]Tissue Data'!$A:$A,'[1]Tissue Data'!$I:$I)</f>
        <v>gibbosus</v>
      </c>
      <c r="G7372" t="str">
        <f>_xlfn.XLOOKUP(A7372,'[1]Tissue Data'!$A:$A,'[1]Tissue Data'!J:J)</f>
        <v>U</v>
      </c>
      <c r="H7372" t="str">
        <f>_xlfn.XLOOKUP(A7372,'[1]Tissue Data'!$A:$A,'[1]Tissue Data'!K:K)</f>
        <v>Whole Body</v>
      </c>
      <c r="I7372">
        <f>_xlfn.XLOOKUP(A7372,'[1]Tissue Data'!$A:$A,'[1]Tissue Data'!L:L)</f>
        <v>9</v>
      </c>
      <c r="J7372">
        <f>_xlfn.XLOOKUP(A7372,'[1]Tissue Data'!$A:$A,'[1]Tissue Data'!M:M)</f>
        <v>11.52</v>
      </c>
      <c r="K7372" t="s">
        <v>32</v>
      </c>
      <c r="L7372" t="str">
        <f>_xlfn.XLOOKUP(K7372,[2]analyte_order!$B:$B,[2]analyte_order!$C:$C)</f>
        <v>79780-39-5</v>
      </c>
      <c r="M7372">
        <f>_xlfn.XLOOKUP(L7372,[2]analyte_order!$C:$C,[2]analyte_order!$E:$E)</f>
        <v>21</v>
      </c>
      <c r="N7372">
        <v>0.22800000000000001</v>
      </c>
    </row>
    <row r="7373" spans="1:14">
      <c r="A7373" t="s">
        <v>308</v>
      </c>
      <c r="B7373" t="str">
        <f>_xlfn.XLOOKUP(A7373,'[1]Tissue Data'!$A:$A,'[1]Tissue Data'!$C:$C)</f>
        <v>Down</v>
      </c>
      <c r="C7373" s="2">
        <f>_xlfn.XLOOKUP(A7373,'[1]Tissue Data'!$A:$A,'[1]Tissue Data'!$D:$D)</f>
        <v>44393</v>
      </c>
      <c r="D7373" s="2" t="str">
        <f>_xlfn.XLOOKUP(A7373,'[1]Tissue Data'!$A:$A,'[1]Tissue Data'!$F:$F)</f>
        <v>Pumpkinseed</v>
      </c>
      <c r="E7373" t="str">
        <f>_xlfn.XLOOKUP(A7373,'[1]Tissue Data'!$A:$A,'[1]Tissue Data'!$H:$H)</f>
        <v>Lepomis</v>
      </c>
      <c r="F7373" t="str">
        <f>_xlfn.XLOOKUP(A7373,'[1]Tissue Data'!$A:$A,'[1]Tissue Data'!$I:$I)</f>
        <v>gibbosus</v>
      </c>
      <c r="G7373" t="str">
        <f>_xlfn.XLOOKUP(A7373,'[1]Tissue Data'!$A:$A,'[1]Tissue Data'!J:J)</f>
        <v>U</v>
      </c>
      <c r="H7373" t="str">
        <f>_xlfn.XLOOKUP(A7373,'[1]Tissue Data'!$A:$A,'[1]Tissue Data'!K:K)</f>
        <v>Whole Body</v>
      </c>
      <c r="I7373">
        <f>_xlfn.XLOOKUP(A7373,'[1]Tissue Data'!$A:$A,'[1]Tissue Data'!L:L)</f>
        <v>9</v>
      </c>
      <c r="J7373">
        <f>_xlfn.XLOOKUP(A7373,'[1]Tissue Data'!$A:$A,'[1]Tissue Data'!M:M)</f>
        <v>11.52</v>
      </c>
      <c r="K7373" t="s">
        <v>33</v>
      </c>
      <c r="L7373" t="str">
        <f>_xlfn.XLOOKUP(K7373,[2]analyte_order!$B:$B,[2]analyte_order!$C:$C)</f>
        <v>777011-38-8</v>
      </c>
      <c r="M7373">
        <f>_xlfn.XLOOKUP(L7373,[2]analyte_order!$C:$C,[2]analyte_order!$E:$E)</f>
        <v>54</v>
      </c>
      <c r="N7373">
        <v>0.1295</v>
      </c>
    </row>
    <row r="7374" spans="1:14">
      <c r="A7374" t="s">
        <v>308</v>
      </c>
      <c r="B7374" t="str">
        <f>_xlfn.XLOOKUP(A7374,'[1]Tissue Data'!$A:$A,'[1]Tissue Data'!$C:$C)</f>
        <v>Down</v>
      </c>
      <c r="C7374" s="2">
        <f>_xlfn.XLOOKUP(A7374,'[1]Tissue Data'!$A:$A,'[1]Tissue Data'!$D:$D)</f>
        <v>44393</v>
      </c>
      <c r="D7374" s="2" t="str">
        <f>_xlfn.XLOOKUP(A7374,'[1]Tissue Data'!$A:$A,'[1]Tissue Data'!$F:$F)</f>
        <v>Pumpkinseed</v>
      </c>
      <c r="E7374" t="str">
        <f>_xlfn.XLOOKUP(A7374,'[1]Tissue Data'!$A:$A,'[1]Tissue Data'!$H:$H)</f>
        <v>Lepomis</v>
      </c>
      <c r="F7374" t="str">
        <f>_xlfn.XLOOKUP(A7374,'[1]Tissue Data'!$A:$A,'[1]Tissue Data'!$I:$I)</f>
        <v>gibbosus</v>
      </c>
      <c r="G7374" t="str">
        <f>_xlfn.XLOOKUP(A7374,'[1]Tissue Data'!$A:$A,'[1]Tissue Data'!J:J)</f>
        <v>U</v>
      </c>
      <c r="H7374" t="str">
        <f>_xlfn.XLOOKUP(A7374,'[1]Tissue Data'!$A:$A,'[1]Tissue Data'!K:K)</f>
        <v>Whole Body</v>
      </c>
      <c r="I7374">
        <f>_xlfn.XLOOKUP(A7374,'[1]Tissue Data'!$A:$A,'[1]Tissue Data'!L:L)</f>
        <v>9</v>
      </c>
      <c r="J7374">
        <f>_xlfn.XLOOKUP(A7374,'[1]Tissue Data'!$A:$A,'[1]Tissue Data'!M:M)</f>
        <v>11.52</v>
      </c>
      <c r="K7374" t="s">
        <v>34</v>
      </c>
      <c r="L7374" t="str">
        <f>_xlfn.XLOOKUP(K7374,[2]analyte_order!$B:$B,[2]analyte_order!$C:$C)</f>
        <v>646-83-3</v>
      </c>
      <c r="M7374">
        <f>_xlfn.XLOOKUP(L7374,[2]analyte_order!$C:$C,[2]analyte_order!$E:$E)</f>
        <v>55</v>
      </c>
      <c r="N7374">
        <v>0.17100000000000001</v>
      </c>
    </row>
    <row r="7375" spans="1:14">
      <c r="A7375" t="s">
        <v>308</v>
      </c>
      <c r="B7375" t="str">
        <f>_xlfn.XLOOKUP(A7375,'[1]Tissue Data'!$A:$A,'[1]Tissue Data'!$C:$C)</f>
        <v>Down</v>
      </c>
      <c r="C7375" s="2">
        <f>_xlfn.XLOOKUP(A7375,'[1]Tissue Data'!$A:$A,'[1]Tissue Data'!$D:$D)</f>
        <v>44393</v>
      </c>
      <c r="D7375" s="2" t="str">
        <f>_xlfn.XLOOKUP(A7375,'[1]Tissue Data'!$A:$A,'[1]Tissue Data'!$F:$F)</f>
        <v>Pumpkinseed</v>
      </c>
      <c r="E7375" t="str">
        <f>_xlfn.XLOOKUP(A7375,'[1]Tissue Data'!$A:$A,'[1]Tissue Data'!$H:$H)</f>
        <v>Lepomis</v>
      </c>
      <c r="F7375" t="str">
        <f>_xlfn.XLOOKUP(A7375,'[1]Tissue Data'!$A:$A,'[1]Tissue Data'!$I:$I)</f>
        <v>gibbosus</v>
      </c>
      <c r="G7375" t="str">
        <f>_xlfn.XLOOKUP(A7375,'[1]Tissue Data'!$A:$A,'[1]Tissue Data'!J:J)</f>
        <v>U</v>
      </c>
      <c r="H7375" t="str">
        <f>_xlfn.XLOOKUP(A7375,'[1]Tissue Data'!$A:$A,'[1]Tissue Data'!K:K)</f>
        <v>Whole Body</v>
      </c>
      <c r="I7375">
        <f>_xlfn.XLOOKUP(A7375,'[1]Tissue Data'!$A:$A,'[1]Tissue Data'!L:L)</f>
        <v>9</v>
      </c>
      <c r="J7375">
        <f>_xlfn.XLOOKUP(A7375,'[1]Tissue Data'!$A:$A,'[1]Tissue Data'!M:M)</f>
        <v>11.52</v>
      </c>
      <c r="K7375" t="s">
        <v>35</v>
      </c>
      <c r="L7375" t="str">
        <f>_xlfn.XLOOKUP(K7375,[2]analyte_order!$B:$B,[2]analyte_order!$C:$C)</f>
        <v>30334-69-1</v>
      </c>
      <c r="M7375">
        <f>_xlfn.XLOOKUP(L7375,[2]analyte_order!$C:$C,[2]analyte_order!$E:$E)</f>
        <v>51</v>
      </c>
      <c r="N7375">
        <v>81.900000000000006</v>
      </c>
    </row>
    <row r="7376" spans="1:14">
      <c r="A7376" t="s">
        <v>308</v>
      </c>
      <c r="B7376" t="str">
        <f>_xlfn.XLOOKUP(A7376,'[1]Tissue Data'!$A:$A,'[1]Tissue Data'!$C:$C)</f>
        <v>Down</v>
      </c>
      <c r="C7376" s="2">
        <f>_xlfn.XLOOKUP(A7376,'[1]Tissue Data'!$A:$A,'[1]Tissue Data'!$D:$D)</f>
        <v>44393</v>
      </c>
      <c r="D7376" s="2" t="str">
        <f>_xlfn.XLOOKUP(A7376,'[1]Tissue Data'!$A:$A,'[1]Tissue Data'!$F:$F)</f>
        <v>Pumpkinseed</v>
      </c>
      <c r="E7376" t="str">
        <f>_xlfn.XLOOKUP(A7376,'[1]Tissue Data'!$A:$A,'[1]Tissue Data'!$H:$H)</f>
        <v>Lepomis</v>
      </c>
      <c r="F7376" t="str">
        <f>_xlfn.XLOOKUP(A7376,'[1]Tissue Data'!$A:$A,'[1]Tissue Data'!$I:$I)</f>
        <v>gibbosus</v>
      </c>
      <c r="G7376" t="str">
        <f>_xlfn.XLOOKUP(A7376,'[1]Tissue Data'!$A:$A,'[1]Tissue Data'!J:J)</f>
        <v>U</v>
      </c>
      <c r="H7376" t="str">
        <f>_xlfn.XLOOKUP(A7376,'[1]Tissue Data'!$A:$A,'[1]Tissue Data'!K:K)</f>
        <v>Whole Body</v>
      </c>
      <c r="I7376">
        <f>_xlfn.XLOOKUP(A7376,'[1]Tissue Data'!$A:$A,'[1]Tissue Data'!L:L)</f>
        <v>9</v>
      </c>
      <c r="J7376">
        <f>_xlfn.XLOOKUP(A7376,'[1]Tissue Data'!$A:$A,'[1]Tissue Data'!M:M)</f>
        <v>11.52</v>
      </c>
      <c r="K7376" t="s">
        <v>36</v>
      </c>
      <c r="L7376" t="str">
        <f>_xlfn.XLOOKUP(K7376,[2]analyte_order!$B:$B,[2]analyte_order!$C:$C)</f>
        <v>41997-13-1</v>
      </c>
      <c r="M7376">
        <f>_xlfn.XLOOKUP(L7376,[2]analyte_order!$C:$C,[2]analyte_order!$E:$E)</f>
        <v>52</v>
      </c>
      <c r="N7376">
        <v>47.9</v>
      </c>
    </row>
    <row r="7377" spans="1:14">
      <c r="A7377" t="s">
        <v>308</v>
      </c>
      <c r="B7377" t="str">
        <f>_xlfn.XLOOKUP(A7377,'[1]Tissue Data'!$A:$A,'[1]Tissue Data'!$C:$C)</f>
        <v>Down</v>
      </c>
      <c r="C7377" s="2">
        <f>_xlfn.XLOOKUP(A7377,'[1]Tissue Data'!$A:$A,'[1]Tissue Data'!$D:$D)</f>
        <v>44393</v>
      </c>
      <c r="D7377" s="2" t="str">
        <f>_xlfn.XLOOKUP(A7377,'[1]Tissue Data'!$A:$A,'[1]Tissue Data'!$F:$F)</f>
        <v>Pumpkinseed</v>
      </c>
      <c r="E7377" t="str">
        <f>_xlfn.XLOOKUP(A7377,'[1]Tissue Data'!$A:$A,'[1]Tissue Data'!$H:$H)</f>
        <v>Lepomis</v>
      </c>
      <c r="F7377" t="str">
        <f>_xlfn.XLOOKUP(A7377,'[1]Tissue Data'!$A:$A,'[1]Tissue Data'!$I:$I)</f>
        <v>gibbosus</v>
      </c>
      <c r="G7377" t="str">
        <f>_xlfn.XLOOKUP(A7377,'[1]Tissue Data'!$A:$A,'[1]Tissue Data'!J:J)</f>
        <v>U</v>
      </c>
      <c r="H7377" t="str">
        <f>_xlfn.XLOOKUP(A7377,'[1]Tissue Data'!$A:$A,'[1]Tissue Data'!K:K)</f>
        <v>Whole Body</v>
      </c>
      <c r="I7377">
        <f>_xlfn.XLOOKUP(A7377,'[1]Tissue Data'!$A:$A,'[1]Tissue Data'!L:L)</f>
        <v>9</v>
      </c>
      <c r="J7377">
        <f>_xlfn.XLOOKUP(A7377,'[1]Tissue Data'!$A:$A,'[1]Tissue Data'!M:M)</f>
        <v>11.52</v>
      </c>
      <c r="K7377" t="s">
        <v>37</v>
      </c>
      <c r="L7377" t="str">
        <f>_xlfn.XLOOKUP(K7377,[2]analyte_order!$B:$B,[2]analyte_order!$C:$C)</f>
        <v>754-91-6</v>
      </c>
      <c r="M7377">
        <f>_xlfn.XLOOKUP(L7377,[2]analyte_order!$C:$C,[2]analyte_order!$E:$E)</f>
        <v>28</v>
      </c>
      <c r="N7377">
        <v>7.64</v>
      </c>
    </row>
    <row r="7378" spans="1:14">
      <c r="A7378" t="s">
        <v>308</v>
      </c>
      <c r="B7378" t="str">
        <f>_xlfn.XLOOKUP(A7378,'[1]Tissue Data'!$A:$A,'[1]Tissue Data'!$C:$C)</f>
        <v>Down</v>
      </c>
      <c r="C7378" s="2">
        <f>_xlfn.XLOOKUP(A7378,'[1]Tissue Data'!$A:$A,'[1]Tissue Data'!$D:$D)</f>
        <v>44393</v>
      </c>
      <c r="D7378" s="2" t="str">
        <f>_xlfn.XLOOKUP(A7378,'[1]Tissue Data'!$A:$A,'[1]Tissue Data'!$F:$F)</f>
        <v>Pumpkinseed</v>
      </c>
      <c r="E7378" t="str">
        <f>_xlfn.XLOOKUP(A7378,'[1]Tissue Data'!$A:$A,'[1]Tissue Data'!$H:$H)</f>
        <v>Lepomis</v>
      </c>
      <c r="F7378" t="str">
        <f>_xlfn.XLOOKUP(A7378,'[1]Tissue Data'!$A:$A,'[1]Tissue Data'!$I:$I)</f>
        <v>gibbosus</v>
      </c>
      <c r="G7378" t="str">
        <f>_xlfn.XLOOKUP(A7378,'[1]Tissue Data'!$A:$A,'[1]Tissue Data'!J:J)</f>
        <v>U</v>
      </c>
      <c r="H7378" t="str">
        <f>_xlfn.XLOOKUP(A7378,'[1]Tissue Data'!$A:$A,'[1]Tissue Data'!K:K)</f>
        <v>Whole Body</v>
      </c>
      <c r="I7378">
        <f>_xlfn.XLOOKUP(A7378,'[1]Tissue Data'!$A:$A,'[1]Tissue Data'!L:L)</f>
        <v>9</v>
      </c>
      <c r="J7378">
        <f>_xlfn.XLOOKUP(A7378,'[1]Tissue Data'!$A:$A,'[1]Tissue Data'!M:M)</f>
        <v>11.52</v>
      </c>
      <c r="K7378" t="s">
        <v>38</v>
      </c>
      <c r="L7378" t="str">
        <f>_xlfn.XLOOKUP(K7378,[2]analyte_order!$B:$B,[2]analyte_order!$C:$C)</f>
        <v>31506-32-8</v>
      </c>
      <c r="M7378">
        <f>_xlfn.XLOOKUP(L7378,[2]analyte_order!$C:$C,[2]analyte_order!$E:$E)</f>
        <v>30</v>
      </c>
      <c r="N7378">
        <v>0.16450000000000001</v>
      </c>
    </row>
    <row r="7379" spans="1:14">
      <c r="A7379" t="s">
        <v>308</v>
      </c>
      <c r="B7379" t="str">
        <f>_xlfn.XLOOKUP(A7379,'[1]Tissue Data'!$A:$A,'[1]Tissue Data'!$C:$C)</f>
        <v>Down</v>
      </c>
      <c r="C7379" s="2">
        <f>_xlfn.XLOOKUP(A7379,'[1]Tissue Data'!$A:$A,'[1]Tissue Data'!$D:$D)</f>
        <v>44393</v>
      </c>
      <c r="D7379" s="2" t="str">
        <f>_xlfn.XLOOKUP(A7379,'[1]Tissue Data'!$A:$A,'[1]Tissue Data'!$F:$F)</f>
        <v>Pumpkinseed</v>
      </c>
      <c r="E7379" t="str">
        <f>_xlfn.XLOOKUP(A7379,'[1]Tissue Data'!$A:$A,'[1]Tissue Data'!$H:$H)</f>
        <v>Lepomis</v>
      </c>
      <c r="F7379" t="str">
        <f>_xlfn.XLOOKUP(A7379,'[1]Tissue Data'!$A:$A,'[1]Tissue Data'!$I:$I)</f>
        <v>gibbosus</v>
      </c>
      <c r="G7379" t="str">
        <f>_xlfn.XLOOKUP(A7379,'[1]Tissue Data'!$A:$A,'[1]Tissue Data'!J:J)</f>
        <v>U</v>
      </c>
      <c r="H7379" t="str">
        <f>_xlfn.XLOOKUP(A7379,'[1]Tissue Data'!$A:$A,'[1]Tissue Data'!K:K)</f>
        <v>Whole Body</v>
      </c>
      <c r="I7379">
        <f>_xlfn.XLOOKUP(A7379,'[1]Tissue Data'!$A:$A,'[1]Tissue Data'!L:L)</f>
        <v>9</v>
      </c>
      <c r="J7379">
        <f>_xlfn.XLOOKUP(A7379,'[1]Tissue Data'!$A:$A,'[1]Tissue Data'!M:M)</f>
        <v>11.52</v>
      </c>
      <c r="K7379" t="s">
        <v>39</v>
      </c>
      <c r="L7379" t="str">
        <f>_xlfn.XLOOKUP(K7379,[2]analyte_order!$B:$B,[2]analyte_order!$C:$C)</f>
        <v>4151-50-2</v>
      </c>
      <c r="M7379">
        <f>_xlfn.XLOOKUP(L7379,[2]analyte_order!$C:$C,[2]analyte_order!$E:$E)</f>
        <v>31</v>
      </c>
      <c r="N7379">
        <v>0.42649999999999999</v>
      </c>
    </row>
    <row r="7380" spans="1:14">
      <c r="A7380" t="s">
        <v>308</v>
      </c>
      <c r="B7380" t="str">
        <f>_xlfn.XLOOKUP(A7380,'[1]Tissue Data'!$A:$A,'[1]Tissue Data'!$C:$C)</f>
        <v>Down</v>
      </c>
      <c r="C7380" s="2">
        <f>_xlfn.XLOOKUP(A7380,'[1]Tissue Data'!$A:$A,'[1]Tissue Data'!$D:$D)</f>
        <v>44393</v>
      </c>
      <c r="D7380" s="2" t="str">
        <f>_xlfn.XLOOKUP(A7380,'[1]Tissue Data'!$A:$A,'[1]Tissue Data'!$F:$F)</f>
        <v>Pumpkinseed</v>
      </c>
      <c r="E7380" t="str">
        <f>_xlfn.XLOOKUP(A7380,'[1]Tissue Data'!$A:$A,'[1]Tissue Data'!$H:$H)</f>
        <v>Lepomis</v>
      </c>
      <c r="F7380" t="str">
        <f>_xlfn.XLOOKUP(A7380,'[1]Tissue Data'!$A:$A,'[1]Tissue Data'!$I:$I)</f>
        <v>gibbosus</v>
      </c>
      <c r="G7380" t="str">
        <f>_xlfn.XLOOKUP(A7380,'[1]Tissue Data'!$A:$A,'[1]Tissue Data'!J:J)</f>
        <v>U</v>
      </c>
      <c r="H7380" t="str">
        <f>_xlfn.XLOOKUP(A7380,'[1]Tissue Data'!$A:$A,'[1]Tissue Data'!K:K)</f>
        <v>Whole Body</v>
      </c>
      <c r="I7380">
        <f>_xlfn.XLOOKUP(A7380,'[1]Tissue Data'!$A:$A,'[1]Tissue Data'!L:L)</f>
        <v>9</v>
      </c>
      <c r="J7380">
        <f>_xlfn.XLOOKUP(A7380,'[1]Tissue Data'!$A:$A,'[1]Tissue Data'!M:M)</f>
        <v>11.52</v>
      </c>
      <c r="K7380" t="s">
        <v>40</v>
      </c>
      <c r="L7380" t="str">
        <f>_xlfn.XLOOKUP(K7380,[2]analyte_order!$B:$B,[2]analyte_order!$C:$C)</f>
        <v>2806-24-8</v>
      </c>
      <c r="M7380">
        <f>_xlfn.XLOOKUP(L7380,[2]analyte_order!$C:$C,[2]analyte_order!$E:$E)</f>
        <v>29</v>
      </c>
      <c r="N7380">
        <v>0.42649999999999999</v>
      </c>
    </row>
    <row r="7381" spans="1:14">
      <c r="A7381" t="s">
        <v>308</v>
      </c>
      <c r="B7381" t="str">
        <f>_xlfn.XLOOKUP(A7381,'[1]Tissue Data'!$A:$A,'[1]Tissue Data'!$C:$C)</f>
        <v>Down</v>
      </c>
      <c r="C7381" s="2">
        <f>_xlfn.XLOOKUP(A7381,'[1]Tissue Data'!$A:$A,'[1]Tissue Data'!$D:$D)</f>
        <v>44393</v>
      </c>
      <c r="D7381" s="2" t="str">
        <f>_xlfn.XLOOKUP(A7381,'[1]Tissue Data'!$A:$A,'[1]Tissue Data'!$F:$F)</f>
        <v>Pumpkinseed</v>
      </c>
      <c r="E7381" t="str">
        <f>_xlfn.XLOOKUP(A7381,'[1]Tissue Data'!$A:$A,'[1]Tissue Data'!$H:$H)</f>
        <v>Lepomis</v>
      </c>
      <c r="F7381" t="str">
        <f>_xlfn.XLOOKUP(A7381,'[1]Tissue Data'!$A:$A,'[1]Tissue Data'!$I:$I)</f>
        <v>gibbosus</v>
      </c>
      <c r="G7381" t="str">
        <f>_xlfn.XLOOKUP(A7381,'[1]Tissue Data'!$A:$A,'[1]Tissue Data'!J:J)</f>
        <v>U</v>
      </c>
      <c r="H7381" t="str">
        <f>_xlfn.XLOOKUP(A7381,'[1]Tissue Data'!$A:$A,'[1]Tissue Data'!K:K)</f>
        <v>Whole Body</v>
      </c>
      <c r="I7381">
        <f>_xlfn.XLOOKUP(A7381,'[1]Tissue Data'!$A:$A,'[1]Tissue Data'!L:L)</f>
        <v>9</v>
      </c>
      <c r="J7381">
        <f>_xlfn.XLOOKUP(A7381,'[1]Tissue Data'!$A:$A,'[1]Tissue Data'!M:M)</f>
        <v>11.52</v>
      </c>
      <c r="K7381" t="s">
        <v>41</v>
      </c>
      <c r="L7381" t="str">
        <f>_xlfn.XLOOKUP(K7381,[2]analyte_order!$B:$B,[2]analyte_order!$C:$C)</f>
        <v>2355-31-9</v>
      </c>
      <c r="M7381">
        <f>_xlfn.XLOOKUP(L7381,[2]analyte_order!$C:$C,[2]analyte_order!$E:$E)</f>
        <v>26</v>
      </c>
      <c r="N7381">
        <v>0.2145</v>
      </c>
    </row>
    <row r="7382" spans="1:14">
      <c r="A7382" t="s">
        <v>308</v>
      </c>
      <c r="B7382" t="str">
        <f>_xlfn.XLOOKUP(A7382,'[1]Tissue Data'!$A:$A,'[1]Tissue Data'!$C:$C)</f>
        <v>Down</v>
      </c>
      <c r="C7382" s="2">
        <f>_xlfn.XLOOKUP(A7382,'[1]Tissue Data'!$A:$A,'[1]Tissue Data'!$D:$D)</f>
        <v>44393</v>
      </c>
      <c r="D7382" s="2" t="str">
        <f>_xlfn.XLOOKUP(A7382,'[1]Tissue Data'!$A:$A,'[1]Tissue Data'!$F:$F)</f>
        <v>Pumpkinseed</v>
      </c>
      <c r="E7382" t="str">
        <f>_xlfn.XLOOKUP(A7382,'[1]Tissue Data'!$A:$A,'[1]Tissue Data'!$H:$H)</f>
        <v>Lepomis</v>
      </c>
      <c r="F7382" t="str">
        <f>_xlfn.XLOOKUP(A7382,'[1]Tissue Data'!$A:$A,'[1]Tissue Data'!$I:$I)</f>
        <v>gibbosus</v>
      </c>
      <c r="G7382" t="str">
        <f>_xlfn.XLOOKUP(A7382,'[1]Tissue Data'!$A:$A,'[1]Tissue Data'!J:J)</f>
        <v>U</v>
      </c>
      <c r="H7382" t="str">
        <f>_xlfn.XLOOKUP(A7382,'[1]Tissue Data'!$A:$A,'[1]Tissue Data'!K:K)</f>
        <v>Whole Body</v>
      </c>
      <c r="I7382">
        <f>_xlfn.XLOOKUP(A7382,'[1]Tissue Data'!$A:$A,'[1]Tissue Data'!L:L)</f>
        <v>9</v>
      </c>
      <c r="J7382">
        <f>_xlfn.XLOOKUP(A7382,'[1]Tissue Data'!$A:$A,'[1]Tissue Data'!M:M)</f>
        <v>11.52</v>
      </c>
      <c r="K7382" t="s">
        <v>42</v>
      </c>
      <c r="L7382" t="str">
        <f>_xlfn.XLOOKUP(K7382,[2]analyte_order!$B:$B,[2]analyte_order!$C:$C)</f>
        <v>2991-50-6</v>
      </c>
      <c r="M7382">
        <f>_xlfn.XLOOKUP(L7382,[2]analyte_order!$C:$C,[2]analyte_order!$E:$E)</f>
        <v>27</v>
      </c>
      <c r="N7382">
        <v>0.2135</v>
      </c>
    </row>
    <row r="7383" spans="1:14">
      <c r="A7383" t="s">
        <v>308</v>
      </c>
      <c r="B7383" t="str">
        <f>_xlfn.XLOOKUP(A7383,'[1]Tissue Data'!$A:$A,'[1]Tissue Data'!$C:$C)</f>
        <v>Down</v>
      </c>
      <c r="C7383" s="2">
        <f>_xlfn.XLOOKUP(A7383,'[1]Tissue Data'!$A:$A,'[1]Tissue Data'!$D:$D)</f>
        <v>44393</v>
      </c>
      <c r="D7383" s="2" t="str">
        <f>_xlfn.XLOOKUP(A7383,'[1]Tissue Data'!$A:$A,'[1]Tissue Data'!$F:$F)</f>
        <v>Pumpkinseed</v>
      </c>
      <c r="E7383" t="str">
        <f>_xlfn.XLOOKUP(A7383,'[1]Tissue Data'!$A:$A,'[1]Tissue Data'!$H:$H)</f>
        <v>Lepomis</v>
      </c>
      <c r="F7383" t="str">
        <f>_xlfn.XLOOKUP(A7383,'[1]Tissue Data'!$A:$A,'[1]Tissue Data'!$I:$I)</f>
        <v>gibbosus</v>
      </c>
      <c r="G7383" t="str">
        <f>_xlfn.XLOOKUP(A7383,'[1]Tissue Data'!$A:$A,'[1]Tissue Data'!J:J)</f>
        <v>U</v>
      </c>
      <c r="H7383" t="str">
        <f>_xlfn.XLOOKUP(A7383,'[1]Tissue Data'!$A:$A,'[1]Tissue Data'!K:K)</f>
        <v>Whole Body</v>
      </c>
      <c r="I7383">
        <f>_xlfn.XLOOKUP(A7383,'[1]Tissue Data'!$A:$A,'[1]Tissue Data'!L:L)</f>
        <v>9</v>
      </c>
      <c r="J7383">
        <f>_xlfn.XLOOKUP(A7383,'[1]Tissue Data'!$A:$A,'[1]Tissue Data'!M:M)</f>
        <v>11.52</v>
      </c>
      <c r="K7383" t="s">
        <v>43</v>
      </c>
      <c r="L7383" t="str">
        <f>_xlfn.XLOOKUP(K7383,[2]analyte_order!$B:$B,[2]analyte_order!$C:$C)</f>
        <v>757124-72-4</v>
      </c>
      <c r="M7383">
        <f>_xlfn.XLOOKUP(L7383,[2]analyte_order!$C:$C,[2]analyte_order!$E:$E)</f>
        <v>22</v>
      </c>
      <c r="N7383">
        <v>0.2135</v>
      </c>
    </row>
    <row r="7384" spans="1:14">
      <c r="A7384" t="s">
        <v>308</v>
      </c>
      <c r="B7384" t="str">
        <f>_xlfn.XLOOKUP(A7384,'[1]Tissue Data'!$A:$A,'[1]Tissue Data'!$C:$C)</f>
        <v>Down</v>
      </c>
      <c r="C7384" s="2">
        <f>_xlfn.XLOOKUP(A7384,'[1]Tissue Data'!$A:$A,'[1]Tissue Data'!$D:$D)</f>
        <v>44393</v>
      </c>
      <c r="D7384" s="2" t="str">
        <f>_xlfn.XLOOKUP(A7384,'[1]Tissue Data'!$A:$A,'[1]Tissue Data'!$F:$F)</f>
        <v>Pumpkinseed</v>
      </c>
      <c r="E7384" t="str">
        <f>_xlfn.XLOOKUP(A7384,'[1]Tissue Data'!$A:$A,'[1]Tissue Data'!$H:$H)</f>
        <v>Lepomis</v>
      </c>
      <c r="F7384" t="str">
        <f>_xlfn.XLOOKUP(A7384,'[1]Tissue Data'!$A:$A,'[1]Tissue Data'!$I:$I)</f>
        <v>gibbosus</v>
      </c>
      <c r="G7384" t="str">
        <f>_xlfn.XLOOKUP(A7384,'[1]Tissue Data'!$A:$A,'[1]Tissue Data'!J:J)</f>
        <v>U</v>
      </c>
      <c r="H7384" t="str">
        <f>_xlfn.XLOOKUP(A7384,'[1]Tissue Data'!$A:$A,'[1]Tissue Data'!K:K)</f>
        <v>Whole Body</v>
      </c>
      <c r="I7384">
        <f>_xlfn.XLOOKUP(A7384,'[1]Tissue Data'!$A:$A,'[1]Tissue Data'!L:L)</f>
        <v>9</v>
      </c>
      <c r="J7384">
        <f>_xlfn.XLOOKUP(A7384,'[1]Tissue Data'!$A:$A,'[1]Tissue Data'!M:M)</f>
        <v>11.52</v>
      </c>
      <c r="K7384" t="s">
        <v>44</v>
      </c>
      <c r="L7384" t="str">
        <f>_xlfn.XLOOKUP(K7384,[2]analyte_order!$B:$B,[2]analyte_order!$C:$C)</f>
        <v>27619-97-2</v>
      </c>
      <c r="M7384">
        <f>_xlfn.XLOOKUP(L7384,[2]analyte_order!$C:$C,[2]analyte_order!$E:$E)</f>
        <v>23</v>
      </c>
      <c r="N7384">
        <v>0.2135</v>
      </c>
    </row>
    <row r="7385" spans="1:14">
      <c r="A7385" t="s">
        <v>308</v>
      </c>
      <c r="B7385" t="str">
        <f>_xlfn.XLOOKUP(A7385,'[1]Tissue Data'!$A:$A,'[1]Tissue Data'!$C:$C)</f>
        <v>Down</v>
      </c>
      <c r="C7385" s="2">
        <f>_xlfn.XLOOKUP(A7385,'[1]Tissue Data'!$A:$A,'[1]Tissue Data'!$D:$D)</f>
        <v>44393</v>
      </c>
      <c r="D7385" s="2" t="str">
        <f>_xlfn.XLOOKUP(A7385,'[1]Tissue Data'!$A:$A,'[1]Tissue Data'!$F:$F)</f>
        <v>Pumpkinseed</v>
      </c>
      <c r="E7385" t="str">
        <f>_xlfn.XLOOKUP(A7385,'[1]Tissue Data'!$A:$A,'[1]Tissue Data'!$H:$H)</f>
        <v>Lepomis</v>
      </c>
      <c r="F7385" t="str">
        <f>_xlfn.XLOOKUP(A7385,'[1]Tissue Data'!$A:$A,'[1]Tissue Data'!$I:$I)</f>
        <v>gibbosus</v>
      </c>
      <c r="G7385" t="str">
        <f>_xlfn.XLOOKUP(A7385,'[1]Tissue Data'!$A:$A,'[1]Tissue Data'!J:J)</f>
        <v>U</v>
      </c>
      <c r="H7385" t="str">
        <f>_xlfn.XLOOKUP(A7385,'[1]Tissue Data'!$A:$A,'[1]Tissue Data'!K:K)</f>
        <v>Whole Body</v>
      </c>
      <c r="I7385">
        <f>_xlfn.XLOOKUP(A7385,'[1]Tissue Data'!$A:$A,'[1]Tissue Data'!L:L)</f>
        <v>9</v>
      </c>
      <c r="J7385">
        <f>_xlfn.XLOOKUP(A7385,'[1]Tissue Data'!$A:$A,'[1]Tissue Data'!M:M)</f>
        <v>11.52</v>
      </c>
      <c r="K7385" t="s">
        <v>45</v>
      </c>
      <c r="L7385" t="str">
        <f>_xlfn.XLOOKUP(K7385,[2]analyte_order!$B:$B,[2]analyte_order!$C:$C)</f>
        <v>39108-34-4</v>
      </c>
      <c r="M7385">
        <f>_xlfn.XLOOKUP(L7385,[2]analyte_order!$C:$C,[2]analyte_order!$E:$E)</f>
        <v>24</v>
      </c>
      <c r="N7385">
        <v>2.44</v>
      </c>
    </row>
    <row r="7386" spans="1:14">
      <c r="A7386" t="s">
        <v>308</v>
      </c>
      <c r="B7386" t="str">
        <f>_xlfn.XLOOKUP(A7386,'[1]Tissue Data'!$A:$A,'[1]Tissue Data'!$C:$C)</f>
        <v>Down</v>
      </c>
      <c r="C7386" s="2">
        <f>_xlfn.XLOOKUP(A7386,'[1]Tissue Data'!$A:$A,'[1]Tissue Data'!$D:$D)</f>
        <v>44393</v>
      </c>
      <c r="D7386" s="2" t="str">
        <f>_xlfn.XLOOKUP(A7386,'[1]Tissue Data'!$A:$A,'[1]Tissue Data'!$F:$F)</f>
        <v>Pumpkinseed</v>
      </c>
      <c r="E7386" t="str">
        <f>_xlfn.XLOOKUP(A7386,'[1]Tissue Data'!$A:$A,'[1]Tissue Data'!$H:$H)</f>
        <v>Lepomis</v>
      </c>
      <c r="F7386" t="str">
        <f>_xlfn.XLOOKUP(A7386,'[1]Tissue Data'!$A:$A,'[1]Tissue Data'!$I:$I)</f>
        <v>gibbosus</v>
      </c>
      <c r="G7386" t="str">
        <f>_xlfn.XLOOKUP(A7386,'[1]Tissue Data'!$A:$A,'[1]Tissue Data'!J:J)</f>
        <v>U</v>
      </c>
      <c r="H7386" t="str">
        <f>_xlfn.XLOOKUP(A7386,'[1]Tissue Data'!$A:$A,'[1]Tissue Data'!K:K)</f>
        <v>Whole Body</v>
      </c>
      <c r="I7386">
        <f>_xlfn.XLOOKUP(A7386,'[1]Tissue Data'!$A:$A,'[1]Tissue Data'!L:L)</f>
        <v>9</v>
      </c>
      <c r="J7386">
        <f>_xlfn.XLOOKUP(A7386,'[1]Tissue Data'!$A:$A,'[1]Tissue Data'!M:M)</f>
        <v>11.52</v>
      </c>
      <c r="K7386" t="s">
        <v>46</v>
      </c>
      <c r="L7386" t="str">
        <f>_xlfn.XLOOKUP(K7386,[2]analyte_order!$B:$B,[2]analyte_order!$C:$C)</f>
        <v>120226-60-0</v>
      </c>
      <c r="M7386">
        <f>_xlfn.XLOOKUP(L7386,[2]analyte_order!$C:$C,[2]analyte_order!$E:$E)</f>
        <v>25</v>
      </c>
      <c r="N7386">
        <v>0.42649999999999999</v>
      </c>
    </row>
    <row r="7387" spans="1:14">
      <c r="A7387" t="s">
        <v>308</v>
      </c>
      <c r="B7387" t="str">
        <f>_xlfn.XLOOKUP(A7387,'[1]Tissue Data'!$A:$A,'[1]Tissue Data'!$C:$C)</f>
        <v>Down</v>
      </c>
      <c r="C7387" s="2">
        <f>_xlfn.XLOOKUP(A7387,'[1]Tissue Data'!$A:$A,'[1]Tissue Data'!$D:$D)</f>
        <v>44393</v>
      </c>
      <c r="D7387" s="2" t="str">
        <f>_xlfn.XLOOKUP(A7387,'[1]Tissue Data'!$A:$A,'[1]Tissue Data'!$F:$F)</f>
        <v>Pumpkinseed</v>
      </c>
      <c r="E7387" t="str">
        <f>_xlfn.XLOOKUP(A7387,'[1]Tissue Data'!$A:$A,'[1]Tissue Data'!$H:$H)</f>
        <v>Lepomis</v>
      </c>
      <c r="F7387" t="str">
        <f>_xlfn.XLOOKUP(A7387,'[1]Tissue Data'!$A:$A,'[1]Tissue Data'!$I:$I)</f>
        <v>gibbosus</v>
      </c>
      <c r="G7387" t="str">
        <f>_xlfn.XLOOKUP(A7387,'[1]Tissue Data'!$A:$A,'[1]Tissue Data'!J:J)</f>
        <v>U</v>
      </c>
      <c r="H7387" t="str">
        <f>_xlfn.XLOOKUP(A7387,'[1]Tissue Data'!$A:$A,'[1]Tissue Data'!K:K)</f>
        <v>Whole Body</v>
      </c>
      <c r="I7387">
        <f>_xlfn.XLOOKUP(A7387,'[1]Tissue Data'!$A:$A,'[1]Tissue Data'!L:L)</f>
        <v>9</v>
      </c>
      <c r="J7387">
        <f>_xlfn.XLOOKUP(A7387,'[1]Tissue Data'!$A:$A,'[1]Tissue Data'!M:M)</f>
        <v>11.52</v>
      </c>
      <c r="K7387" t="s">
        <v>47</v>
      </c>
      <c r="L7387" t="str">
        <f>_xlfn.XLOOKUP(K7387,[2]analyte_order!$B:$B,[2]analyte_order!$C:$C)</f>
        <v>356-02-5</v>
      </c>
      <c r="M7387">
        <f>_xlfn.XLOOKUP(L7387,[2]analyte_order!$C:$C,[2]analyte_order!$E:$E)</f>
        <v>38</v>
      </c>
      <c r="N7387">
        <v>0.246</v>
      </c>
    </row>
    <row r="7388" spans="1:14">
      <c r="A7388" t="s">
        <v>308</v>
      </c>
      <c r="B7388" t="str">
        <f>_xlfn.XLOOKUP(A7388,'[1]Tissue Data'!$A:$A,'[1]Tissue Data'!$C:$C)</f>
        <v>Down</v>
      </c>
      <c r="C7388" s="2">
        <f>_xlfn.XLOOKUP(A7388,'[1]Tissue Data'!$A:$A,'[1]Tissue Data'!$D:$D)</f>
        <v>44393</v>
      </c>
      <c r="D7388" s="2" t="str">
        <f>_xlfn.XLOOKUP(A7388,'[1]Tissue Data'!$A:$A,'[1]Tissue Data'!$F:$F)</f>
        <v>Pumpkinseed</v>
      </c>
      <c r="E7388" t="str">
        <f>_xlfn.XLOOKUP(A7388,'[1]Tissue Data'!$A:$A,'[1]Tissue Data'!$H:$H)</f>
        <v>Lepomis</v>
      </c>
      <c r="F7388" t="str">
        <f>_xlfn.XLOOKUP(A7388,'[1]Tissue Data'!$A:$A,'[1]Tissue Data'!$I:$I)</f>
        <v>gibbosus</v>
      </c>
      <c r="G7388" t="str">
        <f>_xlfn.XLOOKUP(A7388,'[1]Tissue Data'!$A:$A,'[1]Tissue Data'!J:J)</f>
        <v>U</v>
      </c>
      <c r="H7388" t="str">
        <f>_xlfn.XLOOKUP(A7388,'[1]Tissue Data'!$A:$A,'[1]Tissue Data'!K:K)</f>
        <v>Whole Body</v>
      </c>
      <c r="I7388">
        <f>_xlfn.XLOOKUP(A7388,'[1]Tissue Data'!$A:$A,'[1]Tissue Data'!L:L)</f>
        <v>9</v>
      </c>
      <c r="J7388">
        <f>_xlfn.XLOOKUP(A7388,'[1]Tissue Data'!$A:$A,'[1]Tissue Data'!M:M)</f>
        <v>11.52</v>
      </c>
      <c r="K7388" t="s">
        <v>48</v>
      </c>
      <c r="L7388" t="str">
        <f>_xlfn.XLOOKUP(K7388,[2]analyte_order!$B:$B,[2]analyte_order!$C:$C)</f>
        <v>914637-49-3</v>
      </c>
      <c r="M7388">
        <f>_xlfn.XLOOKUP(L7388,[2]analyte_order!$C:$C,[2]analyte_order!$E:$E)</f>
        <v>39</v>
      </c>
      <c r="N7388">
        <v>3.59</v>
      </c>
    </row>
    <row r="7389" spans="1:14">
      <c r="A7389" t="s">
        <v>308</v>
      </c>
      <c r="B7389" t="str">
        <f>_xlfn.XLOOKUP(A7389,'[1]Tissue Data'!$A:$A,'[1]Tissue Data'!$C:$C)</f>
        <v>Down</v>
      </c>
      <c r="C7389" s="2">
        <f>_xlfn.XLOOKUP(A7389,'[1]Tissue Data'!$A:$A,'[1]Tissue Data'!$D:$D)</f>
        <v>44393</v>
      </c>
      <c r="D7389" s="2" t="str">
        <f>_xlfn.XLOOKUP(A7389,'[1]Tissue Data'!$A:$A,'[1]Tissue Data'!$F:$F)</f>
        <v>Pumpkinseed</v>
      </c>
      <c r="E7389" t="str">
        <f>_xlfn.XLOOKUP(A7389,'[1]Tissue Data'!$A:$A,'[1]Tissue Data'!$H:$H)</f>
        <v>Lepomis</v>
      </c>
      <c r="F7389" t="str">
        <f>_xlfn.XLOOKUP(A7389,'[1]Tissue Data'!$A:$A,'[1]Tissue Data'!$I:$I)</f>
        <v>gibbosus</v>
      </c>
      <c r="G7389" t="str">
        <f>_xlfn.XLOOKUP(A7389,'[1]Tissue Data'!$A:$A,'[1]Tissue Data'!J:J)</f>
        <v>U</v>
      </c>
      <c r="H7389" t="str">
        <f>_xlfn.XLOOKUP(A7389,'[1]Tissue Data'!$A:$A,'[1]Tissue Data'!K:K)</f>
        <v>Whole Body</v>
      </c>
      <c r="I7389">
        <f>_xlfn.XLOOKUP(A7389,'[1]Tissue Data'!$A:$A,'[1]Tissue Data'!L:L)</f>
        <v>9</v>
      </c>
      <c r="J7389">
        <f>_xlfn.XLOOKUP(A7389,'[1]Tissue Data'!$A:$A,'[1]Tissue Data'!M:M)</f>
        <v>11.52</v>
      </c>
      <c r="K7389" t="s">
        <v>49</v>
      </c>
      <c r="L7389" t="str">
        <f>_xlfn.XLOOKUP(K7389,[2]analyte_order!$B:$B,[2]analyte_order!$C:$C)</f>
        <v>812-70-4</v>
      </c>
      <c r="M7389">
        <f>_xlfn.XLOOKUP(L7389,[2]analyte_order!$C:$C,[2]analyte_order!$E:$E)</f>
        <v>40</v>
      </c>
      <c r="N7389">
        <v>96.1</v>
      </c>
    </row>
    <row r="7390" spans="1:14">
      <c r="A7390" t="s">
        <v>308</v>
      </c>
      <c r="B7390" t="str">
        <f>_xlfn.XLOOKUP(A7390,'[1]Tissue Data'!$A:$A,'[1]Tissue Data'!$C:$C)</f>
        <v>Down</v>
      </c>
      <c r="C7390" s="2">
        <f>_xlfn.XLOOKUP(A7390,'[1]Tissue Data'!$A:$A,'[1]Tissue Data'!$D:$D)</f>
        <v>44393</v>
      </c>
      <c r="D7390" s="2" t="str">
        <f>_xlfn.XLOOKUP(A7390,'[1]Tissue Data'!$A:$A,'[1]Tissue Data'!$F:$F)</f>
        <v>Pumpkinseed</v>
      </c>
      <c r="E7390" t="str">
        <f>_xlfn.XLOOKUP(A7390,'[1]Tissue Data'!$A:$A,'[1]Tissue Data'!$H:$H)</f>
        <v>Lepomis</v>
      </c>
      <c r="F7390" t="str">
        <f>_xlfn.XLOOKUP(A7390,'[1]Tissue Data'!$A:$A,'[1]Tissue Data'!$I:$I)</f>
        <v>gibbosus</v>
      </c>
      <c r="G7390" t="str">
        <f>_xlfn.XLOOKUP(A7390,'[1]Tissue Data'!$A:$A,'[1]Tissue Data'!J:J)</f>
        <v>U</v>
      </c>
      <c r="H7390" t="str">
        <f>_xlfn.XLOOKUP(A7390,'[1]Tissue Data'!$A:$A,'[1]Tissue Data'!K:K)</f>
        <v>Whole Body</v>
      </c>
      <c r="I7390">
        <f>_xlfn.XLOOKUP(A7390,'[1]Tissue Data'!$A:$A,'[1]Tissue Data'!L:L)</f>
        <v>9</v>
      </c>
      <c r="J7390">
        <f>_xlfn.XLOOKUP(A7390,'[1]Tissue Data'!$A:$A,'[1]Tissue Data'!M:M)</f>
        <v>11.52</v>
      </c>
      <c r="K7390" t="s">
        <v>50</v>
      </c>
      <c r="L7390" t="str">
        <f>_xlfn.XLOOKUP(K7390,[2]analyte_order!$B:$B,[2]analyte_order!$C:$C)</f>
        <v>53826-12-3</v>
      </c>
      <c r="M7390">
        <f>_xlfn.XLOOKUP(L7390,[2]analyte_order!$C:$C,[2]analyte_order!$E:$E)</f>
        <v>41</v>
      </c>
      <c r="N7390">
        <v>0.42649999999999999</v>
      </c>
    </row>
    <row r="7391" spans="1:14">
      <c r="A7391" t="s">
        <v>308</v>
      </c>
      <c r="B7391" t="str">
        <f>_xlfn.XLOOKUP(A7391,'[1]Tissue Data'!$A:$A,'[1]Tissue Data'!$C:$C)</f>
        <v>Down</v>
      </c>
      <c r="C7391" s="2">
        <f>_xlfn.XLOOKUP(A7391,'[1]Tissue Data'!$A:$A,'[1]Tissue Data'!$D:$D)</f>
        <v>44393</v>
      </c>
      <c r="D7391" s="2" t="str">
        <f>_xlfn.XLOOKUP(A7391,'[1]Tissue Data'!$A:$A,'[1]Tissue Data'!$F:$F)</f>
        <v>Pumpkinseed</v>
      </c>
      <c r="E7391" t="str">
        <f>_xlfn.XLOOKUP(A7391,'[1]Tissue Data'!$A:$A,'[1]Tissue Data'!$H:$H)</f>
        <v>Lepomis</v>
      </c>
      <c r="F7391" t="str">
        <f>_xlfn.XLOOKUP(A7391,'[1]Tissue Data'!$A:$A,'[1]Tissue Data'!$I:$I)</f>
        <v>gibbosus</v>
      </c>
      <c r="G7391" t="str">
        <f>_xlfn.XLOOKUP(A7391,'[1]Tissue Data'!$A:$A,'[1]Tissue Data'!J:J)</f>
        <v>U</v>
      </c>
      <c r="H7391" t="str">
        <f>_xlfn.XLOOKUP(A7391,'[1]Tissue Data'!$A:$A,'[1]Tissue Data'!K:K)</f>
        <v>Whole Body</v>
      </c>
      <c r="I7391">
        <f>_xlfn.XLOOKUP(A7391,'[1]Tissue Data'!$A:$A,'[1]Tissue Data'!L:L)</f>
        <v>9</v>
      </c>
      <c r="J7391">
        <f>_xlfn.XLOOKUP(A7391,'[1]Tissue Data'!$A:$A,'[1]Tissue Data'!M:M)</f>
        <v>11.52</v>
      </c>
      <c r="K7391" t="s">
        <v>51</v>
      </c>
      <c r="L7391" t="str">
        <f>_xlfn.XLOOKUP(K7391,[2]analyte_order!$B:$B,[2]analyte_order!$C:$C)</f>
        <v>27854-31-5</v>
      </c>
      <c r="M7391">
        <f>_xlfn.XLOOKUP(L7391,[2]analyte_order!$C:$C,[2]analyte_order!$E:$E)</f>
        <v>42</v>
      </c>
      <c r="N7391">
        <v>0.42649999999999999</v>
      </c>
    </row>
    <row r="7392" spans="1:14">
      <c r="A7392" t="s">
        <v>308</v>
      </c>
      <c r="B7392" t="str">
        <f>_xlfn.XLOOKUP(A7392,'[1]Tissue Data'!$A:$A,'[1]Tissue Data'!$C:$C)</f>
        <v>Down</v>
      </c>
      <c r="C7392" s="2">
        <f>_xlfn.XLOOKUP(A7392,'[1]Tissue Data'!$A:$A,'[1]Tissue Data'!$D:$D)</f>
        <v>44393</v>
      </c>
      <c r="D7392" s="2" t="str">
        <f>_xlfn.XLOOKUP(A7392,'[1]Tissue Data'!$A:$A,'[1]Tissue Data'!$F:$F)</f>
        <v>Pumpkinseed</v>
      </c>
      <c r="E7392" t="str">
        <f>_xlfn.XLOOKUP(A7392,'[1]Tissue Data'!$A:$A,'[1]Tissue Data'!$H:$H)</f>
        <v>Lepomis</v>
      </c>
      <c r="F7392" t="str">
        <f>_xlfn.XLOOKUP(A7392,'[1]Tissue Data'!$A:$A,'[1]Tissue Data'!$I:$I)</f>
        <v>gibbosus</v>
      </c>
      <c r="G7392" t="str">
        <f>_xlfn.XLOOKUP(A7392,'[1]Tissue Data'!$A:$A,'[1]Tissue Data'!J:J)</f>
        <v>U</v>
      </c>
      <c r="H7392" t="str">
        <f>_xlfn.XLOOKUP(A7392,'[1]Tissue Data'!$A:$A,'[1]Tissue Data'!K:K)</f>
        <v>Whole Body</v>
      </c>
      <c r="I7392">
        <f>_xlfn.XLOOKUP(A7392,'[1]Tissue Data'!$A:$A,'[1]Tissue Data'!L:L)</f>
        <v>9</v>
      </c>
      <c r="J7392">
        <f>_xlfn.XLOOKUP(A7392,'[1]Tissue Data'!$A:$A,'[1]Tissue Data'!M:M)</f>
        <v>11.52</v>
      </c>
      <c r="K7392" t="s">
        <v>52</v>
      </c>
      <c r="L7392" t="str">
        <f>_xlfn.XLOOKUP(K7392,[2]analyte_order!$B:$B,[2]analyte_order!$C:$C)</f>
        <v>53826-13-4</v>
      </c>
      <c r="M7392">
        <f>_xlfn.XLOOKUP(L7392,[2]analyte_order!$C:$C,[2]analyte_order!$E:$E)</f>
        <v>43</v>
      </c>
      <c r="N7392">
        <v>0.42649999999999999</v>
      </c>
    </row>
    <row r="7393" spans="1:14">
      <c r="A7393" t="s">
        <v>308</v>
      </c>
      <c r="B7393" t="str">
        <f>_xlfn.XLOOKUP(A7393,'[1]Tissue Data'!$A:$A,'[1]Tissue Data'!$C:$C)</f>
        <v>Down</v>
      </c>
      <c r="C7393" s="2">
        <f>_xlfn.XLOOKUP(A7393,'[1]Tissue Data'!$A:$A,'[1]Tissue Data'!$D:$D)</f>
        <v>44393</v>
      </c>
      <c r="D7393" s="2" t="str">
        <f>_xlfn.XLOOKUP(A7393,'[1]Tissue Data'!$A:$A,'[1]Tissue Data'!$F:$F)</f>
        <v>Pumpkinseed</v>
      </c>
      <c r="E7393" t="str">
        <f>_xlfn.XLOOKUP(A7393,'[1]Tissue Data'!$A:$A,'[1]Tissue Data'!$H:$H)</f>
        <v>Lepomis</v>
      </c>
      <c r="F7393" t="str">
        <f>_xlfn.XLOOKUP(A7393,'[1]Tissue Data'!$A:$A,'[1]Tissue Data'!$I:$I)</f>
        <v>gibbosus</v>
      </c>
      <c r="G7393" t="str">
        <f>_xlfn.XLOOKUP(A7393,'[1]Tissue Data'!$A:$A,'[1]Tissue Data'!J:J)</f>
        <v>U</v>
      </c>
      <c r="H7393" t="str">
        <f>_xlfn.XLOOKUP(A7393,'[1]Tissue Data'!$A:$A,'[1]Tissue Data'!K:K)</f>
        <v>Whole Body</v>
      </c>
      <c r="I7393">
        <f>_xlfn.XLOOKUP(A7393,'[1]Tissue Data'!$A:$A,'[1]Tissue Data'!L:L)</f>
        <v>9</v>
      </c>
      <c r="J7393">
        <f>_xlfn.XLOOKUP(A7393,'[1]Tissue Data'!$A:$A,'[1]Tissue Data'!M:M)</f>
        <v>11.52</v>
      </c>
      <c r="K7393" t="s">
        <v>53</v>
      </c>
      <c r="L7393" t="str">
        <f>_xlfn.XLOOKUP(K7393,[2]analyte_order!$B:$B,[2]analyte_order!$C:$C)</f>
        <v>161094-75-3</v>
      </c>
      <c r="M7393">
        <f>_xlfn.XLOOKUP(L7393,[2]analyte_order!$C:$C,[2]analyte_order!$E:$E)</f>
        <v>44</v>
      </c>
      <c r="N7393">
        <v>0.42649999999999999</v>
      </c>
    </row>
    <row r="7394" spans="1:14">
      <c r="A7394" t="s">
        <v>308</v>
      </c>
      <c r="B7394" t="str">
        <f>_xlfn.XLOOKUP(A7394,'[1]Tissue Data'!$A:$A,'[1]Tissue Data'!$C:$C)</f>
        <v>Down</v>
      </c>
      <c r="C7394" s="2">
        <f>_xlfn.XLOOKUP(A7394,'[1]Tissue Data'!$A:$A,'[1]Tissue Data'!$D:$D)</f>
        <v>44393</v>
      </c>
      <c r="D7394" s="2" t="str">
        <f>_xlfn.XLOOKUP(A7394,'[1]Tissue Data'!$A:$A,'[1]Tissue Data'!$F:$F)</f>
        <v>Pumpkinseed</v>
      </c>
      <c r="E7394" t="str">
        <f>_xlfn.XLOOKUP(A7394,'[1]Tissue Data'!$A:$A,'[1]Tissue Data'!$H:$H)</f>
        <v>Lepomis</v>
      </c>
      <c r="F7394" t="str">
        <f>_xlfn.XLOOKUP(A7394,'[1]Tissue Data'!$A:$A,'[1]Tissue Data'!$I:$I)</f>
        <v>gibbosus</v>
      </c>
      <c r="G7394" t="str">
        <f>_xlfn.XLOOKUP(A7394,'[1]Tissue Data'!$A:$A,'[1]Tissue Data'!J:J)</f>
        <v>U</v>
      </c>
      <c r="H7394" t="str">
        <f>_xlfn.XLOOKUP(A7394,'[1]Tissue Data'!$A:$A,'[1]Tissue Data'!K:K)</f>
        <v>Whole Body</v>
      </c>
      <c r="I7394">
        <f>_xlfn.XLOOKUP(A7394,'[1]Tissue Data'!$A:$A,'[1]Tissue Data'!L:L)</f>
        <v>9</v>
      </c>
      <c r="J7394">
        <f>_xlfn.XLOOKUP(A7394,'[1]Tissue Data'!$A:$A,'[1]Tissue Data'!M:M)</f>
        <v>11.52</v>
      </c>
      <c r="K7394" t="s">
        <v>54</v>
      </c>
      <c r="L7394" t="str">
        <f>_xlfn.XLOOKUP(K7394,[2]analyte_order!$B:$B,[2]analyte_order!$C:$C)</f>
        <v>70887-84-2</v>
      </c>
      <c r="M7394">
        <f>_xlfn.XLOOKUP(L7394,[2]analyte_order!$C:$C,[2]analyte_order!$E:$E)</f>
        <v>45</v>
      </c>
      <c r="N7394">
        <v>0.42649999999999999</v>
      </c>
    </row>
    <row r="7395" spans="1:14">
      <c r="A7395" t="s">
        <v>308</v>
      </c>
      <c r="B7395" t="str">
        <f>_xlfn.XLOOKUP(A7395,'[1]Tissue Data'!$A:$A,'[1]Tissue Data'!$C:$C)</f>
        <v>Down</v>
      </c>
      <c r="C7395" s="2">
        <f>_xlfn.XLOOKUP(A7395,'[1]Tissue Data'!$A:$A,'[1]Tissue Data'!$D:$D)</f>
        <v>44393</v>
      </c>
      <c r="D7395" s="2" t="str">
        <f>_xlfn.XLOOKUP(A7395,'[1]Tissue Data'!$A:$A,'[1]Tissue Data'!$F:$F)</f>
        <v>Pumpkinseed</v>
      </c>
      <c r="E7395" t="str">
        <f>_xlfn.XLOOKUP(A7395,'[1]Tissue Data'!$A:$A,'[1]Tissue Data'!$H:$H)</f>
        <v>Lepomis</v>
      </c>
      <c r="F7395" t="str">
        <f>_xlfn.XLOOKUP(A7395,'[1]Tissue Data'!$A:$A,'[1]Tissue Data'!$I:$I)</f>
        <v>gibbosus</v>
      </c>
      <c r="G7395" t="str">
        <f>_xlfn.XLOOKUP(A7395,'[1]Tissue Data'!$A:$A,'[1]Tissue Data'!J:J)</f>
        <v>U</v>
      </c>
      <c r="H7395" t="str">
        <f>_xlfn.XLOOKUP(A7395,'[1]Tissue Data'!$A:$A,'[1]Tissue Data'!K:K)</f>
        <v>Whole Body</v>
      </c>
      <c r="I7395">
        <f>_xlfn.XLOOKUP(A7395,'[1]Tissue Data'!$A:$A,'[1]Tissue Data'!L:L)</f>
        <v>9</v>
      </c>
      <c r="J7395">
        <f>_xlfn.XLOOKUP(A7395,'[1]Tissue Data'!$A:$A,'[1]Tissue Data'!M:M)</f>
        <v>11.52</v>
      </c>
      <c r="K7395" t="s">
        <v>55</v>
      </c>
      <c r="L7395" t="str">
        <f>_xlfn.XLOOKUP(K7395,[2]analyte_order!$B:$B,[2]analyte_order!$C:$C)</f>
        <v>919005-14-4</v>
      </c>
      <c r="M7395">
        <f>_xlfn.XLOOKUP(L7395,[2]analyte_order!$C:$C,[2]analyte_order!$E:$E)</f>
        <v>35</v>
      </c>
      <c r="N7395">
        <v>0.2135</v>
      </c>
    </row>
    <row r="7396" spans="1:14">
      <c r="A7396" t="s">
        <v>308</v>
      </c>
      <c r="B7396" t="str">
        <f>_xlfn.XLOOKUP(A7396,'[1]Tissue Data'!$A:$A,'[1]Tissue Data'!$C:$C)</f>
        <v>Down</v>
      </c>
      <c r="C7396" s="2">
        <f>_xlfn.XLOOKUP(A7396,'[1]Tissue Data'!$A:$A,'[1]Tissue Data'!$D:$D)</f>
        <v>44393</v>
      </c>
      <c r="D7396" s="2" t="str">
        <f>_xlfn.XLOOKUP(A7396,'[1]Tissue Data'!$A:$A,'[1]Tissue Data'!$F:$F)</f>
        <v>Pumpkinseed</v>
      </c>
      <c r="E7396" t="str">
        <f>_xlfn.XLOOKUP(A7396,'[1]Tissue Data'!$A:$A,'[1]Tissue Data'!$H:$H)</f>
        <v>Lepomis</v>
      </c>
      <c r="F7396" t="str">
        <f>_xlfn.XLOOKUP(A7396,'[1]Tissue Data'!$A:$A,'[1]Tissue Data'!$I:$I)</f>
        <v>gibbosus</v>
      </c>
      <c r="G7396" t="str">
        <f>_xlfn.XLOOKUP(A7396,'[1]Tissue Data'!$A:$A,'[1]Tissue Data'!J:J)</f>
        <v>U</v>
      </c>
      <c r="H7396" t="str">
        <f>_xlfn.XLOOKUP(A7396,'[1]Tissue Data'!$A:$A,'[1]Tissue Data'!K:K)</f>
        <v>Whole Body</v>
      </c>
      <c r="I7396">
        <f>_xlfn.XLOOKUP(A7396,'[1]Tissue Data'!$A:$A,'[1]Tissue Data'!L:L)</f>
        <v>9</v>
      </c>
      <c r="J7396">
        <f>_xlfn.XLOOKUP(A7396,'[1]Tissue Data'!$A:$A,'[1]Tissue Data'!M:M)</f>
        <v>11.52</v>
      </c>
      <c r="K7396" t="s">
        <v>56</v>
      </c>
      <c r="L7396" t="str">
        <f>_xlfn.XLOOKUP(K7396,[2]analyte_order!$B:$B,[2]analyte_order!$C:$C)</f>
        <v>756426-58-1</v>
      </c>
      <c r="M7396">
        <f>_xlfn.XLOOKUP(L7396,[2]analyte_order!$C:$C,[2]analyte_order!$E:$E)</f>
        <v>36</v>
      </c>
      <c r="N7396">
        <v>0.42649999999999999</v>
      </c>
    </row>
    <row r="7397" spans="1:14">
      <c r="A7397" t="s">
        <v>308</v>
      </c>
      <c r="B7397" t="str">
        <f>_xlfn.XLOOKUP(A7397,'[1]Tissue Data'!$A:$A,'[1]Tissue Data'!$C:$C)</f>
        <v>Down</v>
      </c>
      <c r="C7397" s="2">
        <f>_xlfn.XLOOKUP(A7397,'[1]Tissue Data'!$A:$A,'[1]Tissue Data'!$D:$D)</f>
        <v>44393</v>
      </c>
      <c r="D7397" s="2" t="str">
        <f>_xlfn.XLOOKUP(A7397,'[1]Tissue Data'!$A:$A,'[1]Tissue Data'!$F:$F)</f>
        <v>Pumpkinseed</v>
      </c>
      <c r="E7397" t="str">
        <f>_xlfn.XLOOKUP(A7397,'[1]Tissue Data'!$A:$A,'[1]Tissue Data'!$H:$H)</f>
        <v>Lepomis</v>
      </c>
      <c r="F7397" t="str">
        <f>_xlfn.XLOOKUP(A7397,'[1]Tissue Data'!$A:$A,'[1]Tissue Data'!$I:$I)</f>
        <v>gibbosus</v>
      </c>
      <c r="G7397" t="str">
        <f>_xlfn.XLOOKUP(A7397,'[1]Tissue Data'!$A:$A,'[1]Tissue Data'!J:J)</f>
        <v>U</v>
      </c>
      <c r="H7397" t="str">
        <f>_xlfn.XLOOKUP(A7397,'[1]Tissue Data'!$A:$A,'[1]Tissue Data'!K:K)</f>
        <v>Whole Body</v>
      </c>
      <c r="I7397">
        <f>_xlfn.XLOOKUP(A7397,'[1]Tissue Data'!$A:$A,'[1]Tissue Data'!L:L)</f>
        <v>9</v>
      </c>
      <c r="J7397">
        <f>_xlfn.XLOOKUP(A7397,'[1]Tissue Data'!$A:$A,'[1]Tissue Data'!M:M)</f>
        <v>11.52</v>
      </c>
      <c r="K7397" t="s">
        <v>57</v>
      </c>
      <c r="L7397" t="str">
        <f>_xlfn.XLOOKUP(K7397,[2]analyte_order!$B:$B,[2]analyte_order!$C:$C)</f>
        <v>763051-92-9</v>
      </c>
      <c r="M7397">
        <f>_xlfn.XLOOKUP(L7397,[2]analyte_order!$C:$C,[2]analyte_order!$E:$E)</f>
        <v>37</v>
      </c>
      <c r="N7397">
        <v>0.42649999999999999</v>
      </c>
    </row>
    <row r="7398" spans="1:14">
      <c r="A7398" t="s">
        <v>308</v>
      </c>
      <c r="B7398" t="str">
        <f>_xlfn.XLOOKUP(A7398,'[1]Tissue Data'!$A:$A,'[1]Tissue Data'!$C:$C)</f>
        <v>Down</v>
      </c>
      <c r="C7398" s="2">
        <f>_xlfn.XLOOKUP(A7398,'[1]Tissue Data'!$A:$A,'[1]Tissue Data'!$D:$D)</f>
        <v>44393</v>
      </c>
      <c r="D7398" s="2" t="str">
        <f>_xlfn.XLOOKUP(A7398,'[1]Tissue Data'!$A:$A,'[1]Tissue Data'!$F:$F)</f>
        <v>Pumpkinseed</v>
      </c>
      <c r="E7398" t="str">
        <f>_xlfn.XLOOKUP(A7398,'[1]Tissue Data'!$A:$A,'[1]Tissue Data'!$H:$H)</f>
        <v>Lepomis</v>
      </c>
      <c r="F7398" t="str">
        <f>_xlfn.XLOOKUP(A7398,'[1]Tissue Data'!$A:$A,'[1]Tissue Data'!$I:$I)</f>
        <v>gibbosus</v>
      </c>
      <c r="G7398" t="str">
        <f>_xlfn.XLOOKUP(A7398,'[1]Tissue Data'!$A:$A,'[1]Tissue Data'!J:J)</f>
        <v>U</v>
      </c>
      <c r="H7398" t="str">
        <f>_xlfn.XLOOKUP(A7398,'[1]Tissue Data'!$A:$A,'[1]Tissue Data'!K:K)</f>
        <v>Whole Body</v>
      </c>
      <c r="I7398">
        <f>_xlfn.XLOOKUP(A7398,'[1]Tissue Data'!$A:$A,'[1]Tissue Data'!L:L)</f>
        <v>9</v>
      </c>
      <c r="J7398">
        <f>_xlfn.XLOOKUP(A7398,'[1]Tissue Data'!$A:$A,'[1]Tissue Data'!M:M)</f>
        <v>11.52</v>
      </c>
      <c r="K7398" t="s">
        <v>58</v>
      </c>
      <c r="L7398" t="str">
        <f>_xlfn.XLOOKUP(K7398,[2]analyte_order!$B:$B,[2]analyte_order!$C:$C)</f>
        <v>13252-13-6</v>
      </c>
      <c r="M7398">
        <f>_xlfn.XLOOKUP(L7398,[2]analyte_order!$C:$C,[2]analyte_order!$E:$E)</f>
        <v>34</v>
      </c>
      <c r="N7398">
        <v>0.30599999999999999</v>
      </c>
    </row>
    <row r="7399" spans="1:14">
      <c r="A7399" t="s">
        <v>308</v>
      </c>
      <c r="B7399" t="str">
        <f>_xlfn.XLOOKUP(A7399,'[1]Tissue Data'!$A:$A,'[1]Tissue Data'!$C:$C)</f>
        <v>Down</v>
      </c>
      <c r="C7399" s="2">
        <f>_xlfn.XLOOKUP(A7399,'[1]Tissue Data'!$A:$A,'[1]Tissue Data'!$D:$D)</f>
        <v>44393</v>
      </c>
      <c r="D7399" s="2" t="str">
        <f>_xlfn.XLOOKUP(A7399,'[1]Tissue Data'!$A:$A,'[1]Tissue Data'!$F:$F)</f>
        <v>Pumpkinseed</v>
      </c>
      <c r="E7399" t="str">
        <f>_xlfn.XLOOKUP(A7399,'[1]Tissue Data'!$A:$A,'[1]Tissue Data'!$H:$H)</f>
        <v>Lepomis</v>
      </c>
      <c r="F7399" t="str">
        <f>_xlfn.XLOOKUP(A7399,'[1]Tissue Data'!$A:$A,'[1]Tissue Data'!$I:$I)</f>
        <v>gibbosus</v>
      </c>
      <c r="G7399" t="str">
        <f>_xlfn.XLOOKUP(A7399,'[1]Tissue Data'!$A:$A,'[1]Tissue Data'!J:J)</f>
        <v>U</v>
      </c>
      <c r="H7399" t="str">
        <f>_xlfn.XLOOKUP(A7399,'[1]Tissue Data'!$A:$A,'[1]Tissue Data'!K:K)</f>
        <v>Whole Body</v>
      </c>
      <c r="I7399">
        <f>_xlfn.XLOOKUP(A7399,'[1]Tissue Data'!$A:$A,'[1]Tissue Data'!L:L)</f>
        <v>9</v>
      </c>
      <c r="J7399">
        <f>_xlfn.XLOOKUP(A7399,'[1]Tissue Data'!$A:$A,'[1]Tissue Data'!M:M)</f>
        <v>11.52</v>
      </c>
      <c r="K7399" t="s">
        <v>59</v>
      </c>
      <c r="L7399" t="str">
        <f>_xlfn.XLOOKUP(K7399,[2]analyte_order!$B:$B,[2]analyte_order!$C:$C)</f>
        <v>57677-95-9</v>
      </c>
      <c r="M7399">
        <f>_xlfn.XLOOKUP(L7399,[2]analyte_order!$C:$C,[2]analyte_order!$E:$E)</f>
        <v>46</v>
      </c>
      <c r="N7399">
        <v>0.42649999999999999</v>
      </c>
    </row>
    <row r="7400" spans="1:14">
      <c r="A7400" t="s">
        <v>308</v>
      </c>
      <c r="B7400" t="str">
        <f>_xlfn.XLOOKUP(A7400,'[1]Tissue Data'!$A:$A,'[1]Tissue Data'!$C:$C)</f>
        <v>Down</v>
      </c>
      <c r="C7400" s="2">
        <f>_xlfn.XLOOKUP(A7400,'[1]Tissue Data'!$A:$A,'[1]Tissue Data'!$D:$D)</f>
        <v>44393</v>
      </c>
      <c r="D7400" s="2" t="str">
        <f>_xlfn.XLOOKUP(A7400,'[1]Tissue Data'!$A:$A,'[1]Tissue Data'!$F:$F)</f>
        <v>Pumpkinseed</v>
      </c>
      <c r="E7400" t="str">
        <f>_xlfn.XLOOKUP(A7400,'[1]Tissue Data'!$A:$A,'[1]Tissue Data'!$H:$H)</f>
        <v>Lepomis</v>
      </c>
      <c r="F7400" t="str">
        <f>_xlfn.XLOOKUP(A7400,'[1]Tissue Data'!$A:$A,'[1]Tissue Data'!$I:$I)</f>
        <v>gibbosus</v>
      </c>
      <c r="G7400" t="str">
        <f>_xlfn.XLOOKUP(A7400,'[1]Tissue Data'!$A:$A,'[1]Tissue Data'!J:J)</f>
        <v>U</v>
      </c>
      <c r="H7400" t="str">
        <f>_xlfn.XLOOKUP(A7400,'[1]Tissue Data'!$A:$A,'[1]Tissue Data'!K:K)</f>
        <v>Whole Body</v>
      </c>
      <c r="I7400">
        <f>_xlfn.XLOOKUP(A7400,'[1]Tissue Data'!$A:$A,'[1]Tissue Data'!L:L)</f>
        <v>9</v>
      </c>
      <c r="J7400">
        <f>_xlfn.XLOOKUP(A7400,'[1]Tissue Data'!$A:$A,'[1]Tissue Data'!M:M)</f>
        <v>11.52</v>
      </c>
      <c r="K7400" t="s">
        <v>60</v>
      </c>
      <c r="L7400" t="str">
        <f>_xlfn.XLOOKUP(K7400,[2]analyte_order!$B:$B,[2]analyte_order!$C:$C)</f>
        <v>678-41-1</v>
      </c>
      <c r="M7400">
        <f>_xlfn.XLOOKUP(L7400,[2]analyte_order!$C:$C,[2]analyte_order!$E:$E)</f>
        <v>56</v>
      </c>
      <c r="N7400">
        <v>0.42649999999999999</v>
      </c>
    </row>
    <row r="7401" spans="1:14">
      <c r="A7401" t="s">
        <v>308</v>
      </c>
      <c r="B7401" t="str">
        <f>_xlfn.XLOOKUP(A7401,'[1]Tissue Data'!$A:$A,'[1]Tissue Data'!$C:$C)</f>
        <v>Down</v>
      </c>
      <c r="C7401" s="2">
        <f>_xlfn.XLOOKUP(A7401,'[1]Tissue Data'!$A:$A,'[1]Tissue Data'!$D:$D)</f>
        <v>44393</v>
      </c>
      <c r="D7401" s="2" t="str">
        <f>_xlfn.XLOOKUP(A7401,'[1]Tissue Data'!$A:$A,'[1]Tissue Data'!$F:$F)</f>
        <v>Pumpkinseed</v>
      </c>
      <c r="E7401" t="str">
        <f>_xlfn.XLOOKUP(A7401,'[1]Tissue Data'!$A:$A,'[1]Tissue Data'!$H:$H)</f>
        <v>Lepomis</v>
      </c>
      <c r="F7401" t="str">
        <f>_xlfn.XLOOKUP(A7401,'[1]Tissue Data'!$A:$A,'[1]Tissue Data'!$I:$I)</f>
        <v>gibbosus</v>
      </c>
      <c r="G7401" t="str">
        <f>_xlfn.XLOOKUP(A7401,'[1]Tissue Data'!$A:$A,'[1]Tissue Data'!J:J)</f>
        <v>U</v>
      </c>
      <c r="H7401" t="str">
        <f>_xlfn.XLOOKUP(A7401,'[1]Tissue Data'!$A:$A,'[1]Tissue Data'!K:K)</f>
        <v>Whole Body</v>
      </c>
      <c r="I7401">
        <f>_xlfn.XLOOKUP(A7401,'[1]Tissue Data'!$A:$A,'[1]Tissue Data'!L:L)</f>
        <v>9</v>
      </c>
      <c r="J7401">
        <f>_xlfn.XLOOKUP(A7401,'[1]Tissue Data'!$A:$A,'[1]Tissue Data'!M:M)</f>
        <v>11.52</v>
      </c>
      <c r="K7401" t="s">
        <v>61</v>
      </c>
      <c r="L7401" t="str">
        <f>_xlfn.XLOOKUP(K7401,[2]analyte_order!$B:$B,[2]analyte_order!$C:$C)</f>
        <v>2965-52-8</v>
      </c>
      <c r="M7401">
        <f>_xlfn.XLOOKUP(L7401,[2]analyte_order!$C:$C,[2]analyte_order!$E:$E)</f>
        <v>57</v>
      </c>
      <c r="N7401">
        <v>0.42649999999999999</v>
      </c>
    </row>
    <row r="7402" spans="1:14">
      <c r="A7402" t="s">
        <v>309</v>
      </c>
      <c r="B7402" t="str">
        <f>_xlfn.XLOOKUP(A7402,'[1]Tissue Data'!$A:$A,'[1]Tissue Data'!$C:$C)</f>
        <v>Down</v>
      </c>
      <c r="C7402" s="2">
        <f>_xlfn.XLOOKUP(A7402,'[1]Tissue Data'!$A:$A,'[1]Tissue Data'!$D:$D)</f>
        <v>44393</v>
      </c>
      <c r="D7402" s="2" t="str">
        <f>_xlfn.XLOOKUP(A7402,'[1]Tissue Data'!$A:$A,'[1]Tissue Data'!$F:$F)</f>
        <v>Pumpkinseed</v>
      </c>
      <c r="E7402" t="str">
        <f>_xlfn.XLOOKUP(A7402,'[1]Tissue Data'!$A:$A,'[1]Tissue Data'!$H:$H)</f>
        <v>Lepomis</v>
      </c>
      <c r="F7402" t="str">
        <f>_xlfn.XLOOKUP(A7402,'[1]Tissue Data'!$A:$A,'[1]Tissue Data'!$I:$I)</f>
        <v>gibbosus</v>
      </c>
      <c r="G7402" t="str">
        <f>_xlfn.XLOOKUP(A7402,'[1]Tissue Data'!$A:$A,'[1]Tissue Data'!J:J)</f>
        <v>U</v>
      </c>
      <c r="H7402" t="str">
        <f>_xlfn.XLOOKUP(A7402,'[1]Tissue Data'!$A:$A,'[1]Tissue Data'!K:K)</f>
        <v>Whole Body</v>
      </c>
      <c r="I7402">
        <f>_xlfn.XLOOKUP(A7402,'[1]Tissue Data'!$A:$A,'[1]Tissue Data'!L:L)</f>
        <v>8</v>
      </c>
      <c r="J7402">
        <f>_xlfn.XLOOKUP(A7402,'[1]Tissue Data'!$A:$A,'[1]Tissue Data'!M:M)</f>
        <v>9.23</v>
      </c>
      <c r="K7402" t="s">
        <v>12</v>
      </c>
      <c r="L7402" t="str">
        <f>_xlfn.XLOOKUP(K7402,[2]analyte_order!$B:$B,[2]analyte_order!$C:$C)</f>
        <v>375-22-4</v>
      </c>
      <c r="M7402">
        <f>_xlfn.XLOOKUP(L7402,[2]analyte_order!$C:$C,[2]analyte_order!$E:$E)</f>
        <v>1</v>
      </c>
      <c r="N7402">
        <v>0.2145</v>
      </c>
    </row>
    <row r="7403" spans="1:14">
      <c r="A7403" t="s">
        <v>309</v>
      </c>
      <c r="B7403" t="str">
        <f>_xlfn.XLOOKUP(A7403,'[1]Tissue Data'!$A:$A,'[1]Tissue Data'!$C:$C)</f>
        <v>Down</v>
      </c>
      <c r="C7403" s="2">
        <f>_xlfn.XLOOKUP(A7403,'[1]Tissue Data'!$A:$A,'[1]Tissue Data'!$D:$D)</f>
        <v>44393</v>
      </c>
      <c r="D7403" s="2" t="str">
        <f>_xlfn.XLOOKUP(A7403,'[1]Tissue Data'!$A:$A,'[1]Tissue Data'!$F:$F)</f>
        <v>Pumpkinseed</v>
      </c>
      <c r="E7403" t="str">
        <f>_xlfn.XLOOKUP(A7403,'[1]Tissue Data'!$A:$A,'[1]Tissue Data'!$H:$H)</f>
        <v>Lepomis</v>
      </c>
      <c r="F7403" t="str">
        <f>_xlfn.XLOOKUP(A7403,'[1]Tissue Data'!$A:$A,'[1]Tissue Data'!$I:$I)</f>
        <v>gibbosus</v>
      </c>
      <c r="G7403" t="str">
        <f>_xlfn.XLOOKUP(A7403,'[1]Tissue Data'!$A:$A,'[1]Tissue Data'!J:J)</f>
        <v>U</v>
      </c>
      <c r="H7403" t="str">
        <f>_xlfn.XLOOKUP(A7403,'[1]Tissue Data'!$A:$A,'[1]Tissue Data'!K:K)</f>
        <v>Whole Body</v>
      </c>
      <c r="I7403">
        <f>_xlfn.XLOOKUP(A7403,'[1]Tissue Data'!$A:$A,'[1]Tissue Data'!L:L)</f>
        <v>8</v>
      </c>
      <c r="J7403">
        <f>_xlfn.XLOOKUP(A7403,'[1]Tissue Data'!$A:$A,'[1]Tissue Data'!M:M)</f>
        <v>9.23</v>
      </c>
      <c r="K7403" t="s">
        <v>13</v>
      </c>
      <c r="L7403" t="str">
        <f>_xlfn.XLOOKUP(K7403,[2]analyte_order!$B:$B,[2]analyte_order!$C:$C)</f>
        <v>2706-90-3</v>
      </c>
      <c r="M7403">
        <f>_xlfn.XLOOKUP(L7403,[2]analyte_order!$C:$C,[2]analyte_order!$E:$E)</f>
        <v>2</v>
      </c>
      <c r="N7403">
        <v>0.2145</v>
      </c>
    </row>
    <row r="7404" spans="1:14">
      <c r="A7404" t="s">
        <v>309</v>
      </c>
      <c r="B7404" t="str">
        <f>_xlfn.XLOOKUP(A7404,'[1]Tissue Data'!$A:$A,'[1]Tissue Data'!$C:$C)</f>
        <v>Down</v>
      </c>
      <c r="C7404" s="2">
        <f>_xlfn.XLOOKUP(A7404,'[1]Tissue Data'!$A:$A,'[1]Tissue Data'!$D:$D)</f>
        <v>44393</v>
      </c>
      <c r="D7404" s="2" t="str">
        <f>_xlfn.XLOOKUP(A7404,'[1]Tissue Data'!$A:$A,'[1]Tissue Data'!$F:$F)</f>
        <v>Pumpkinseed</v>
      </c>
      <c r="E7404" t="str">
        <f>_xlfn.XLOOKUP(A7404,'[1]Tissue Data'!$A:$A,'[1]Tissue Data'!$H:$H)</f>
        <v>Lepomis</v>
      </c>
      <c r="F7404" t="str">
        <f>_xlfn.XLOOKUP(A7404,'[1]Tissue Data'!$A:$A,'[1]Tissue Data'!$I:$I)</f>
        <v>gibbosus</v>
      </c>
      <c r="G7404" t="str">
        <f>_xlfn.XLOOKUP(A7404,'[1]Tissue Data'!$A:$A,'[1]Tissue Data'!J:J)</f>
        <v>U</v>
      </c>
      <c r="H7404" t="str">
        <f>_xlfn.XLOOKUP(A7404,'[1]Tissue Data'!$A:$A,'[1]Tissue Data'!K:K)</f>
        <v>Whole Body</v>
      </c>
      <c r="I7404">
        <f>_xlfn.XLOOKUP(A7404,'[1]Tissue Data'!$A:$A,'[1]Tissue Data'!L:L)</f>
        <v>8</v>
      </c>
      <c r="J7404">
        <f>_xlfn.XLOOKUP(A7404,'[1]Tissue Data'!$A:$A,'[1]Tissue Data'!M:M)</f>
        <v>9.23</v>
      </c>
      <c r="K7404" t="s">
        <v>14</v>
      </c>
      <c r="L7404" t="str">
        <f>_xlfn.XLOOKUP(K7404,[2]analyte_order!$B:$B,[2]analyte_order!$C:$C)</f>
        <v>307-24-4</v>
      </c>
      <c r="M7404">
        <f>_xlfn.XLOOKUP(L7404,[2]analyte_order!$C:$C,[2]analyte_order!$E:$E)</f>
        <v>3</v>
      </c>
      <c r="N7404">
        <v>0.11550000000000001</v>
      </c>
    </row>
    <row r="7405" spans="1:14">
      <c r="A7405" t="s">
        <v>309</v>
      </c>
      <c r="B7405" t="str">
        <f>_xlfn.XLOOKUP(A7405,'[1]Tissue Data'!$A:$A,'[1]Tissue Data'!$C:$C)</f>
        <v>Down</v>
      </c>
      <c r="C7405" s="2">
        <f>_xlfn.XLOOKUP(A7405,'[1]Tissue Data'!$A:$A,'[1]Tissue Data'!$D:$D)</f>
        <v>44393</v>
      </c>
      <c r="D7405" s="2" t="str">
        <f>_xlfn.XLOOKUP(A7405,'[1]Tissue Data'!$A:$A,'[1]Tissue Data'!$F:$F)</f>
        <v>Pumpkinseed</v>
      </c>
      <c r="E7405" t="str">
        <f>_xlfn.XLOOKUP(A7405,'[1]Tissue Data'!$A:$A,'[1]Tissue Data'!$H:$H)</f>
        <v>Lepomis</v>
      </c>
      <c r="F7405" t="str">
        <f>_xlfn.XLOOKUP(A7405,'[1]Tissue Data'!$A:$A,'[1]Tissue Data'!$I:$I)</f>
        <v>gibbosus</v>
      </c>
      <c r="G7405" t="str">
        <f>_xlfn.XLOOKUP(A7405,'[1]Tissue Data'!$A:$A,'[1]Tissue Data'!J:J)</f>
        <v>U</v>
      </c>
      <c r="H7405" t="str">
        <f>_xlfn.XLOOKUP(A7405,'[1]Tissue Data'!$A:$A,'[1]Tissue Data'!K:K)</f>
        <v>Whole Body</v>
      </c>
      <c r="I7405">
        <f>_xlfn.XLOOKUP(A7405,'[1]Tissue Data'!$A:$A,'[1]Tissue Data'!L:L)</f>
        <v>8</v>
      </c>
      <c r="J7405">
        <f>_xlfn.XLOOKUP(A7405,'[1]Tissue Data'!$A:$A,'[1]Tissue Data'!M:M)</f>
        <v>9.23</v>
      </c>
      <c r="K7405" t="s">
        <v>15</v>
      </c>
      <c r="L7405" t="str">
        <f>_xlfn.XLOOKUP(K7405,[2]analyte_order!$B:$B,[2]analyte_order!$C:$C)</f>
        <v>375-85-9</v>
      </c>
      <c r="M7405">
        <f>_xlfn.XLOOKUP(L7405,[2]analyte_order!$C:$C,[2]analyte_order!$E:$E)</f>
        <v>4</v>
      </c>
      <c r="N7405">
        <v>0.2145</v>
      </c>
    </row>
    <row r="7406" spans="1:14">
      <c r="A7406" t="s">
        <v>309</v>
      </c>
      <c r="B7406" t="str">
        <f>_xlfn.XLOOKUP(A7406,'[1]Tissue Data'!$A:$A,'[1]Tissue Data'!$C:$C)</f>
        <v>Down</v>
      </c>
      <c r="C7406" s="2">
        <f>_xlfn.XLOOKUP(A7406,'[1]Tissue Data'!$A:$A,'[1]Tissue Data'!$D:$D)</f>
        <v>44393</v>
      </c>
      <c r="D7406" s="2" t="str">
        <f>_xlfn.XLOOKUP(A7406,'[1]Tissue Data'!$A:$A,'[1]Tissue Data'!$F:$F)</f>
        <v>Pumpkinseed</v>
      </c>
      <c r="E7406" t="str">
        <f>_xlfn.XLOOKUP(A7406,'[1]Tissue Data'!$A:$A,'[1]Tissue Data'!$H:$H)</f>
        <v>Lepomis</v>
      </c>
      <c r="F7406" t="str">
        <f>_xlfn.XLOOKUP(A7406,'[1]Tissue Data'!$A:$A,'[1]Tissue Data'!$I:$I)</f>
        <v>gibbosus</v>
      </c>
      <c r="G7406" t="str">
        <f>_xlfn.XLOOKUP(A7406,'[1]Tissue Data'!$A:$A,'[1]Tissue Data'!J:J)</f>
        <v>U</v>
      </c>
      <c r="H7406" t="str">
        <f>_xlfn.XLOOKUP(A7406,'[1]Tissue Data'!$A:$A,'[1]Tissue Data'!K:K)</f>
        <v>Whole Body</v>
      </c>
      <c r="I7406">
        <f>_xlfn.XLOOKUP(A7406,'[1]Tissue Data'!$A:$A,'[1]Tissue Data'!L:L)</f>
        <v>8</v>
      </c>
      <c r="J7406">
        <f>_xlfn.XLOOKUP(A7406,'[1]Tissue Data'!$A:$A,'[1]Tissue Data'!M:M)</f>
        <v>9.23</v>
      </c>
      <c r="K7406" t="s">
        <v>16</v>
      </c>
      <c r="L7406" t="str">
        <f>_xlfn.XLOOKUP(K7406,[2]analyte_order!$B:$B,[2]analyte_order!$C:$C)</f>
        <v>335-67-1</v>
      </c>
      <c r="M7406">
        <f>_xlfn.XLOOKUP(L7406,[2]analyte_order!$C:$C,[2]analyte_order!$E:$E)</f>
        <v>5</v>
      </c>
      <c r="N7406">
        <v>0.38800000000000001</v>
      </c>
    </row>
    <row r="7407" spans="1:14">
      <c r="A7407" t="s">
        <v>309</v>
      </c>
      <c r="B7407" t="str">
        <f>_xlfn.XLOOKUP(A7407,'[1]Tissue Data'!$A:$A,'[1]Tissue Data'!$C:$C)</f>
        <v>Down</v>
      </c>
      <c r="C7407" s="2">
        <f>_xlfn.XLOOKUP(A7407,'[1]Tissue Data'!$A:$A,'[1]Tissue Data'!$D:$D)</f>
        <v>44393</v>
      </c>
      <c r="D7407" s="2" t="str">
        <f>_xlfn.XLOOKUP(A7407,'[1]Tissue Data'!$A:$A,'[1]Tissue Data'!$F:$F)</f>
        <v>Pumpkinseed</v>
      </c>
      <c r="E7407" t="str">
        <f>_xlfn.XLOOKUP(A7407,'[1]Tissue Data'!$A:$A,'[1]Tissue Data'!$H:$H)</f>
        <v>Lepomis</v>
      </c>
      <c r="F7407" t="str">
        <f>_xlfn.XLOOKUP(A7407,'[1]Tissue Data'!$A:$A,'[1]Tissue Data'!$I:$I)</f>
        <v>gibbosus</v>
      </c>
      <c r="G7407" t="str">
        <f>_xlfn.XLOOKUP(A7407,'[1]Tissue Data'!$A:$A,'[1]Tissue Data'!J:J)</f>
        <v>U</v>
      </c>
      <c r="H7407" t="str">
        <f>_xlfn.XLOOKUP(A7407,'[1]Tissue Data'!$A:$A,'[1]Tissue Data'!K:K)</f>
        <v>Whole Body</v>
      </c>
      <c r="I7407">
        <f>_xlfn.XLOOKUP(A7407,'[1]Tissue Data'!$A:$A,'[1]Tissue Data'!L:L)</f>
        <v>8</v>
      </c>
      <c r="J7407">
        <f>_xlfn.XLOOKUP(A7407,'[1]Tissue Data'!$A:$A,'[1]Tissue Data'!M:M)</f>
        <v>9.23</v>
      </c>
      <c r="K7407" t="s">
        <v>17</v>
      </c>
      <c r="L7407" t="str">
        <f>_xlfn.XLOOKUP(K7407,[2]analyte_order!$B:$B,[2]analyte_order!$C:$C)</f>
        <v>375-95-1</v>
      </c>
      <c r="M7407">
        <f>_xlfn.XLOOKUP(L7407,[2]analyte_order!$C:$C,[2]analyte_order!$E:$E)</f>
        <v>6</v>
      </c>
      <c r="N7407">
        <v>0.36299999999999999</v>
      </c>
    </row>
    <row r="7408" spans="1:14">
      <c r="A7408" t="s">
        <v>309</v>
      </c>
      <c r="B7408" t="str">
        <f>_xlfn.XLOOKUP(A7408,'[1]Tissue Data'!$A:$A,'[1]Tissue Data'!$C:$C)</f>
        <v>Down</v>
      </c>
      <c r="C7408" s="2">
        <f>_xlfn.XLOOKUP(A7408,'[1]Tissue Data'!$A:$A,'[1]Tissue Data'!$D:$D)</f>
        <v>44393</v>
      </c>
      <c r="D7408" s="2" t="str">
        <f>_xlfn.XLOOKUP(A7408,'[1]Tissue Data'!$A:$A,'[1]Tissue Data'!$F:$F)</f>
        <v>Pumpkinseed</v>
      </c>
      <c r="E7408" t="str">
        <f>_xlfn.XLOOKUP(A7408,'[1]Tissue Data'!$A:$A,'[1]Tissue Data'!$H:$H)</f>
        <v>Lepomis</v>
      </c>
      <c r="F7408" t="str">
        <f>_xlfn.XLOOKUP(A7408,'[1]Tissue Data'!$A:$A,'[1]Tissue Data'!$I:$I)</f>
        <v>gibbosus</v>
      </c>
      <c r="G7408" t="str">
        <f>_xlfn.XLOOKUP(A7408,'[1]Tissue Data'!$A:$A,'[1]Tissue Data'!J:J)</f>
        <v>U</v>
      </c>
      <c r="H7408" t="str">
        <f>_xlfn.XLOOKUP(A7408,'[1]Tissue Data'!$A:$A,'[1]Tissue Data'!K:K)</f>
        <v>Whole Body</v>
      </c>
      <c r="I7408">
        <f>_xlfn.XLOOKUP(A7408,'[1]Tissue Data'!$A:$A,'[1]Tissue Data'!L:L)</f>
        <v>8</v>
      </c>
      <c r="J7408">
        <f>_xlfn.XLOOKUP(A7408,'[1]Tissue Data'!$A:$A,'[1]Tissue Data'!M:M)</f>
        <v>9.23</v>
      </c>
      <c r="K7408" t="s">
        <v>18</v>
      </c>
      <c r="L7408" t="str">
        <f>_xlfn.XLOOKUP(K7408,[2]analyte_order!$B:$B,[2]analyte_order!$C:$C)</f>
        <v>335-76-2</v>
      </c>
      <c r="M7408">
        <f>_xlfn.XLOOKUP(L7408,[2]analyte_order!$C:$C,[2]analyte_order!$E:$E)</f>
        <v>7</v>
      </c>
      <c r="N7408">
        <v>4.2</v>
      </c>
    </row>
    <row r="7409" spans="1:14">
      <c r="A7409" t="s">
        <v>309</v>
      </c>
      <c r="B7409" t="str">
        <f>_xlfn.XLOOKUP(A7409,'[1]Tissue Data'!$A:$A,'[1]Tissue Data'!$C:$C)</f>
        <v>Down</v>
      </c>
      <c r="C7409" s="2">
        <f>_xlfn.XLOOKUP(A7409,'[1]Tissue Data'!$A:$A,'[1]Tissue Data'!$D:$D)</f>
        <v>44393</v>
      </c>
      <c r="D7409" s="2" t="str">
        <f>_xlfn.XLOOKUP(A7409,'[1]Tissue Data'!$A:$A,'[1]Tissue Data'!$F:$F)</f>
        <v>Pumpkinseed</v>
      </c>
      <c r="E7409" t="str">
        <f>_xlfn.XLOOKUP(A7409,'[1]Tissue Data'!$A:$A,'[1]Tissue Data'!$H:$H)</f>
        <v>Lepomis</v>
      </c>
      <c r="F7409" t="str">
        <f>_xlfn.XLOOKUP(A7409,'[1]Tissue Data'!$A:$A,'[1]Tissue Data'!$I:$I)</f>
        <v>gibbosus</v>
      </c>
      <c r="G7409" t="str">
        <f>_xlfn.XLOOKUP(A7409,'[1]Tissue Data'!$A:$A,'[1]Tissue Data'!J:J)</f>
        <v>U</v>
      </c>
      <c r="H7409" t="str">
        <f>_xlfn.XLOOKUP(A7409,'[1]Tissue Data'!$A:$A,'[1]Tissue Data'!K:K)</f>
        <v>Whole Body</v>
      </c>
      <c r="I7409">
        <f>_xlfn.XLOOKUP(A7409,'[1]Tissue Data'!$A:$A,'[1]Tissue Data'!L:L)</f>
        <v>8</v>
      </c>
      <c r="J7409">
        <f>_xlfn.XLOOKUP(A7409,'[1]Tissue Data'!$A:$A,'[1]Tissue Data'!M:M)</f>
        <v>9.23</v>
      </c>
      <c r="K7409" t="s">
        <v>19</v>
      </c>
      <c r="L7409" t="str">
        <f>_xlfn.XLOOKUP(K7409,[2]analyte_order!$B:$B,[2]analyte_order!$C:$C)</f>
        <v>2058-94-8</v>
      </c>
      <c r="M7409">
        <f>_xlfn.XLOOKUP(L7409,[2]analyte_order!$C:$C,[2]analyte_order!$E:$E)</f>
        <v>8</v>
      </c>
      <c r="N7409">
        <v>6.71</v>
      </c>
    </row>
    <row r="7410" spans="1:14">
      <c r="A7410" t="s">
        <v>309</v>
      </c>
      <c r="B7410" t="str">
        <f>_xlfn.XLOOKUP(A7410,'[1]Tissue Data'!$A:$A,'[1]Tissue Data'!$C:$C)</f>
        <v>Down</v>
      </c>
      <c r="C7410" s="2">
        <f>_xlfn.XLOOKUP(A7410,'[1]Tissue Data'!$A:$A,'[1]Tissue Data'!$D:$D)</f>
        <v>44393</v>
      </c>
      <c r="D7410" s="2" t="str">
        <f>_xlfn.XLOOKUP(A7410,'[1]Tissue Data'!$A:$A,'[1]Tissue Data'!$F:$F)</f>
        <v>Pumpkinseed</v>
      </c>
      <c r="E7410" t="str">
        <f>_xlfn.XLOOKUP(A7410,'[1]Tissue Data'!$A:$A,'[1]Tissue Data'!$H:$H)</f>
        <v>Lepomis</v>
      </c>
      <c r="F7410" t="str">
        <f>_xlfn.XLOOKUP(A7410,'[1]Tissue Data'!$A:$A,'[1]Tissue Data'!$I:$I)</f>
        <v>gibbosus</v>
      </c>
      <c r="G7410" t="str">
        <f>_xlfn.XLOOKUP(A7410,'[1]Tissue Data'!$A:$A,'[1]Tissue Data'!J:J)</f>
        <v>U</v>
      </c>
      <c r="H7410" t="str">
        <f>_xlfn.XLOOKUP(A7410,'[1]Tissue Data'!$A:$A,'[1]Tissue Data'!K:K)</f>
        <v>Whole Body</v>
      </c>
      <c r="I7410">
        <f>_xlfn.XLOOKUP(A7410,'[1]Tissue Data'!$A:$A,'[1]Tissue Data'!L:L)</f>
        <v>8</v>
      </c>
      <c r="J7410">
        <f>_xlfn.XLOOKUP(A7410,'[1]Tissue Data'!$A:$A,'[1]Tissue Data'!M:M)</f>
        <v>9.23</v>
      </c>
      <c r="K7410" t="s">
        <v>20</v>
      </c>
      <c r="L7410" t="str">
        <f>_xlfn.XLOOKUP(K7410,[2]analyte_order!$B:$B,[2]analyte_order!$C:$C)</f>
        <v>307-55-1</v>
      </c>
      <c r="M7410">
        <f>_xlfn.XLOOKUP(L7410,[2]analyte_order!$C:$C,[2]analyte_order!$E:$E)</f>
        <v>9</v>
      </c>
      <c r="N7410">
        <v>15.5</v>
      </c>
    </row>
    <row r="7411" spans="1:14">
      <c r="A7411" t="s">
        <v>309</v>
      </c>
      <c r="B7411" t="str">
        <f>_xlfn.XLOOKUP(A7411,'[1]Tissue Data'!$A:$A,'[1]Tissue Data'!$C:$C)</f>
        <v>Down</v>
      </c>
      <c r="C7411" s="2">
        <f>_xlfn.XLOOKUP(A7411,'[1]Tissue Data'!$A:$A,'[1]Tissue Data'!$D:$D)</f>
        <v>44393</v>
      </c>
      <c r="D7411" s="2" t="str">
        <f>_xlfn.XLOOKUP(A7411,'[1]Tissue Data'!$A:$A,'[1]Tissue Data'!$F:$F)</f>
        <v>Pumpkinseed</v>
      </c>
      <c r="E7411" t="str">
        <f>_xlfn.XLOOKUP(A7411,'[1]Tissue Data'!$A:$A,'[1]Tissue Data'!$H:$H)</f>
        <v>Lepomis</v>
      </c>
      <c r="F7411" t="str">
        <f>_xlfn.XLOOKUP(A7411,'[1]Tissue Data'!$A:$A,'[1]Tissue Data'!$I:$I)</f>
        <v>gibbosus</v>
      </c>
      <c r="G7411" t="str">
        <f>_xlfn.XLOOKUP(A7411,'[1]Tissue Data'!$A:$A,'[1]Tissue Data'!J:J)</f>
        <v>U</v>
      </c>
      <c r="H7411" t="str">
        <f>_xlfn.XLOOKUP(A7411,'[1]Tissue Data'!$A:$A,'[1]Tissue Data'!K:K)</f>
        <v>Whole Body</v>
      </c>
      <c r="I7411">
        <f>_xlfn.XLOOKUP(A7411,'[1]Tissue Data'!$A:$A,'[1]Tissue Data'!L:L)</f>
        <v>8</v>
      </c>
      <c r="J7411">
        <f>_xlfn.XLOOKUP(A7411,'[1]Tissue Data'!$A:$A,'[1]Tissue Data'!M:M)</f>
        <v>9.23</v>
      </c>
      <c r="K7411" t="s">
        <v>21</v>
      </c>
      <c r="L7411" t="str">
        <f>_xlfn.XLOOKUP(K7411,[2]analyte_order!$B:$B,[2]analyte_order!$C:$C)</f>
        <v>72629-94-8</v>
      </c>
      <c r="M7411">
        <f>_xlfn.XLOOKUP(L7411,[2]analyte_order!$C:$C,[2]analyte_order!$E:$E)</f>
        <v>10</v>
      </c>
      <c r="N7411">
        <v>3.89</v>
      </c>
    </row>
    <row r="7412" spans="1:14">
      <c r="A7412" t="s">
        <v>309</v>
      </c>
      <c r="B7412" t="str">
        <f>_xlfn.XLOOKUP(A7412,'[1]Tissue Data'!$A:$A,'[1]Tissue Data'!$C:$C)</f>
        <v>Down</v>
      </c>
      <c r="C7412" s="2">
        <f>_xlfn.XLOOKUP(A7412,'[1]Tissue Data'!$A:$A,'[1]Tissue Data'!$D:$D)</f>
        <v>44393</v>
      </c>
      <c r="D7412" s="2" t="str">
        <f>_xlfn.XLOOKUP(A7412,'[1]Tissue Data'!$A:$A,'[1]Tissue Data'!$F:$F)</f>
        <v>Pumpkinseed</v>
      </c>
      <c r="E7412" t="str">
        <f>_xlfn.XLOOKUP(A7412,'[1]Tissue Data'!$A:$A,'[1]Tissue Data'!$H:$H)</f>
        <v>Lepomis</v>
      </c>
      <c r="F7412" t="str">
        <f>_xlfn.XLOOKUP(A7412,'[1]Tissue Data'!$A:$A,'[1]Tissue Data'!$I:$I)</f>
        <v>gibbosus</v>
      </c>
      <c r="G7412" t="str">
        <f>_xlfn.XLOOKUP(A7412,'[1]Tissue Data'!$A:$A,'[1]Tissue Data'!J:J)</f>
        <v>U</v>
      </c>
      <c r="H7412" t="str">
        <f>_xlfn.XLOOKUP(A7412,'[1]Tissue Data'!$A:$A,'[1]Tissue Data'!K:K)</f>
        <v>Whole Body</v>
      </c>
      <c r="I7412">
        <f>_xlfn.XLOOKUP(A7412,'[1]Tissue Data'!$A:$A,'[1]Tissue Data'!L:L)</f>
        <v>8</v>
      </c>
      <c r="J7412">
        <f>_xlfn.XLOOKUP(A7412,'[1]Tissue Data'!$A:$A,'[1]Tissue Data'!M:M)</f>
        <v>9.23</v>
      </c>
      <c r="K7412" t="s">
        <v>22</v>
      </c>
      <c r="L7412" t="str">
        <f>_xlfn.XLOOKUP(K7412,[2]analyte_order!$B:$B,[2]analyte_order!$C:$C)</f>
        <v>376-06-7</v>
      </c>
      <c r="M7412">
        <f>_xlfn.XLOOKUP(L7412,[2]analyte_order!$C:$C,[2]analyte_order!$E:$E)</f>
        <v>11</v>
      </c>
      <c r="N7412">
        <v>19.899999999999999</v>
      </c>
    </row>
    <row r="7413" spans="1:14">
      <c r="A7413" t="s">
        <v>309</v>
      </c>
      <c r="B7413" t="str">
        <f>_xlfn.XLOOKUP(A7413,'[1]Tissue Data'!$A:$A,'[1]Tissue Data'!$C:$C)</f>
        <v>Down</v>
      </c>
      <c r="C7413" s="2">
        <f>_xlfn.XLOOKUP(A7413,'[1]Tissue Data'!$A:$A,'[1]Tissue Data'!$D:$D)</f>
        <v>44393</v>
      </c>
      <c r="D7413" s="2" t="str">
        <f>_xlfn.XLOOKUP(A7413,'[1]Tissue Data'!$A:$A,'[1]Tissue Data'!$F:$F)</f>
        <v>Pumpkinseed</v>
      </c>
      <c r="E7413" t="str">
        <f>_xlfn.XLOOKUP(A7413,'[1]Tissue Data'!$A:$A,'[1]Tissue Data'!$H:$H)</f>
        <v>Lepomis</v>
      </c>
      <c r="F7413" t="str">
        <f>_xlfn.XLOOKUP(A7413,'[1]Tissue Data'!$A:$A,'[1]Tissue Data'!$I:$I)</f>
        <v>gibbosus</v>
      </c>
      <c r="G7413" t="str">
        <f>_xlfn.XLOOKUP(A7413,'[1]Tissue Data'!$A:$A,'[1]Tissue Data'!J:J)</f>
        <v>U</v>
      </c>
      <c r="H7413" t="str">
        <f>_xlfn.XLOOKUP(A7413,'[1]Tissue Data'!$A:$A,'[1]Tissue Data'!K:K)</f>
        <v>Whole Body</v>
      </c>
      <c r="I7413">
        <f>_xlfn.XLOOKUP(A7413,'[1]Tissue Data'!$A:$A,'[1]Tissue Data'!L:L)</f>
        <v>8</v>
      </c>
      <c r="J7413">
        <f>_xlfn.XLOOKUP(A7413,'[1]Tissue Data'!$A:$A,'[1]Tissue Data'!M:M)</f>
        <v>9.23</v>
      </c>
      <c r="K7413" t="s">
        <v>23</v>
      </c>
      <c r="L7413" t="str">
        <f>_xlfn.XLOOKUP(K7413,[2]analyte_order!$B:$B,[2]analyte_order!$C:$C)</f>
        <v>67905-19-5</v>
      </c>
      <c r="M7413">
        <f>_xlfn.XLOOKUP(L7413,[2]analyte_order!$C:$C,[2]analyte_order!$E:$E)</f>
        <v>12</v>
      </c>
      <c r="N7413">
        <v>0.2555</v>
      </c>
    </row>
    <row r="7414" spans="1:14">
      <c r="A7414" t="s">
        <v>309</v>
      </c>
      <c r="B7414" t="str">
        <f>_xlfn.XLOOKUP(A7414,'[1]Tissue Data'!$A:$A,'[1]Tissue Data'!$C:$C)</f>
        <v>Down</v>
      </c>
      <c r="C7414" s="2">
        <f>_xlfn.XLOOKUP(A7414,'[1]Tissue Data'!$A:$A,'[1]Tissue Data'!$D:$D)</f>
        <v>44393</v>
      </c>
      <c r="D7414" s="2" t="str">
        <f>_xlfn.XLOOKUP(A7414,'[1]Tissue Data'!$A:$A,'[1]Tissue Data'!$F:$F)</f>
        <v>Pumpkinseed</v>
      </c>
      <c r="E7414" t="str">
        <f>_xlfn.XLOOKUP(A7414,'[1]Tissue Data'!$A:$A,'[1]Tissue Data'!$H:$H)</f>
        <v>Lepomis</v>
      </c>
      <c r="F7414" t="str">
        <f>_xlfn.XLOOKUP(A7414,'[1]Tissue Data'!$A:$A,'[1]Tissue Data'!$I:$I)</f>
        <v>gibbosus</v>
      </c>
      <c r="G7414" t="str">
        <f>_xlfn.XLOOKUP(A7414,'[1]Tissue Data'!$A:$A,'[1]Tissue Data'!J:J)</f>
        <v>U</v>
      </c>
      <c r="H7414" t="str">
        <f>_xlfn.XLOOKUP(A7414,'[1]Tissue Data'!$A:$A,'[1]Tissue Data'!K:K)</f>
        <v>Whole Body</v>
      </c>
      <c r="I7414">
        <f>_xlfn.XLOOKUP(A7414,'[1]Tissue Data'!$A:$A,'[1]Tissue Data'!L:L)</f>
        <v>8</v>
      </c>
      <c r="J7414">
        <f>_xlfn.XLOOKUP(A7414,'[1]Tissue Data'!$A:$A,'[1]Tissue Data'!M:M)</f>
        <v>9.23</v>
      </c>
      <c r="K7414" t="s">
        <v>24</v>
      </c>
      <c r="L7414" t="str">
        <f>_xlfn.XLOOKUP(K7414,[2]analyte_order!$B:$B,[2]analyte_order!$C:$C)</f>
        <v>423-41-6</v>
      </c>
      <c r="M7414">
        <f>_xlfn.XLOOKUP(L7414,[2]analyte_order!$C:$C,[2]analyte_order!$E:$E)</f>
        <v>53</v>
      </c>
      <c r="N7414">
        <v>0.42849999999999999</v>
      </c>
    </row>
    <row r="7415" spans="1:14">
      <c r="A7415" t="s">
        <v>309</v>
      </c>
      <c r="B7415" t="str">
        <f>_xlfn.XLOOKUP(A7415,'[1]Tissue Data'!$A:$A,'[1]Tissue Data'!$C:$C)</f>
        <v>Down</v>
      </c>
      <c r="C7415" s="2">
        <f>_xlfn.XLOOKUP(A7415,'[1]Tissue Data'!$A:$A,'[1]Tissue Data'!$D:$D)</f>
        <v>44393</v>
      </c>
      <c r="D7415" s="2" t="str">
        <f>_xlfn.XLOOKUP(A7415,'[1]Tissue Data'!$A:$A,'[1]Tissue Data'!$F:$F)</f>
        <v>Pumpkinseed</v>
      </c>
      <c r="E7415" t="str">
        <f>_xlfn.XLOOKUP(A7415,'[1]Tissue Data'!$A:$A,'[1]Tissue Data'!$H:$H)</f>
        <v>Lepomis</v>
      </c>
      <c r="F7415" t="str">
        <f>_xlfn.XLOOKUP(A7415,'[1]Tissue Data'!$A:$A,'[1]Tissue Data'!$I:$I)</f>
        <v>gibbosus</v>
      </c>
      <c r="G7415" t="str">
        <f>_xlfn.XLOOKUP(A7415,'[1]Tissue Data'!$A:$A,'[1]Tissue Data'!J:J)</f>
        <v>U</v>
      </c>
      <c r="H7415" t="str">
        <f>_xlfn.XLOOKUP(A7415,'[1]Tissue Data'!$A:$A,'[1]Tissue Data'!K:K)</f>
        <v>Whole Body</v>
      </c>
      <c r="I7415">
        <f>_xlfn.XLOOKUP(A7415,'[1]Tissue Data'!$A:$A,'[1]Tissue Data'!L:L)</f>
        <v>8</v>
      </c>
      <c r="J7415">
        <f>_xlfn.XLOOKUP(A7415,'[1]Tissue Data'!$A:$A,'[1]Tissue Data'!M:M)</f>
        <v>9.23</v>
      </c>
      <c r="K7415" t="s">
        <v>25</v>
      </c>
      <c r="L7415" t="str">
        <f>_xlfn.XLOOKUP(K7415,[2]analyte_order!$B:$B,[2]analyte_order!$C:$C)</f>
        <v>375-73-5</v>
      </c>
      <c r="M7415">
        <f>_xlfn.XLOOKUP(L7415,[2]analyte_order!$C:$C,[2]analyte_order!$E:$E)</f>
        <v>14</v>
      </c>
      <c r="N7415">
        <v>0.14599999999999999</v>
      </c>
    </row>
    <row r="7416" spans="1:14">
      <c r="A7416" t="s">
        <v>309</v>
      </c>
      <c r="B7416" t="str">
        <f>_xlfn.XLOOKUP(A7416,'[1]Tissue Data'!$A:$A,'[1]Tissue Data'!$C:$C)</f>
        <v>Down</v>
      </c>
      <c r="C7416" s="2">
        <f>_xlfn.XLOOKUP(A7416,'[1]Tissue Data'!$A:$A,'[1]Tissue Data'!$D:$D)</f>
        <v>44393</v>
      </c>
      <c r="D7416" s="2" t="str">
        <f>_xlfn.XLOOKUP(A7416,'[1]Tissue Data'!$A:$A,'[1]Tissue Data'!$F:$F)</f>
        <v>Pumpkinseed</v>
      </c>
      <c r="E7416" t="str">
        <f>_xlfn.XLOOKUP(A7416,'[1]Tissue Data'!$A:$A,'[1]Tissue Data'!$H:$H)</f>
        <v>Lepomis</v>
      </c>
      <c r="F7416" t="str">
        <f>_xlfn.XLOOKUP(A7416,'[1]Tissue Data'!$A:$A,'[1]Tissue Data'!$I:$I)</f>
        <v>gibbosus</v>
      </c>
      <c r="G7416" t="str">
        <f>_xlfn.XLOOKUP(A7416,'[1]Tissue Data'!$A:$A,'[1]Tissue Data'!J:J)</f>
        <v>U</v>
      </c>
      <c r="H7416" t="str">
        <f>_xlfn.XLOOKUP(A7416,'[1]Tissue Data'!$A:$A,'[1]Tissue Data'!K:K)</f>
        <v>Whole Body</v>
      </c>
      <c r="I7416">
        <f>_xlfn.XLOOKUP(A7416,'[1]Tissue Data'!$A:$A,'[1]Tissue Data'!L:L)</f>
        <v>8</v>
      </c>
      <c r="J7416">
        <f>_xlfn.XLOOKUP(A7416,'[1]Tissue Data'!$A:$A,'[1]Tissue Data'!M:M)</f>
        <v>9.23</v>
      </c>
      <c r="K7416" t="s">
        <v>26</v>
      </c>
      <c r="L7416" t="str">
        <f>_xlfn.XLOOKUP(K7416,[2]analyte_order!$B:$B,[2]analyte_order!$C:$C)</f>
        <v>2706-91-4</v>
      </c>
      <c r="M7416">
        <f>_xlfn.XLOOKUP(L7416,[2]analyte_order!$C:$C,[2]analyte_order!$E:$E)</f>
        <v>15</v>
      </c>
      <c r="N7416">
        <v>0.1135</v>
      </c>
    </row>
    <row r="7417" spans="1:14">
      <c r="A7417" t="s">
        <v>309</v>
      </c>
      <c r="B7417" t="str">
        <f>_xlfn.XLOOKUP(A7417,'[1]Tissue Data'!$A:$A,'[1]Tissue Data'!$C:$C)</f>
        <v>Down</v>
      </c>
      <c r="C7417" s="2">
        <f>_xlfn.XLOOKUP(A7417,'[1]Tissue Data'!$A:$A,'[1]Tissue Data'!$D:$D)</f>
        <v>44393</v>
      </c>
      <c r="D7417" s="2" t="str">
        <f>_xlfn.XLOOKUP(A7417,'[1]Tissue Data'!$A:$A,'[1]Tissue Data'!$F:$F)</f>
        <v>Pumpkinseed</v>
      </c>
      <c r="E7417" t="str">
        <f>_xlfn.XLOOKUP(A7417,'[1]Tissue Data'!$A:$A,'[1]Tissue Data'!$H:$H)</f>
        <v>Lepomis</v>
      </c>
      <c r="F7417" t="str">
        <f>_xlfn.XLOOKUP(A7417,'[1]Tissue Data'!$A:$A,'[1]Tissue Data'!$I:$I)</f>
        <v>gibbosus</v>
      </c>
      <c r="G7417" t="str">
        <f>_xlfn.XLOOKUP(A7417,'[1]Tissue Data'!$A:$A,'[1]Tissue Data'!J:J)</f>
        <v>U</v>
      </c>
      <c r="H7417" t="str">
        <f>_xlfn.XLOOKUP(A7417,'[1]Tissue Data'!$A:$A,'[1]Tissue Data'!K:K)</f>
        <v>Whole Body</v>
      </c>
      <c r="I7417">
        <f>_xlfn.XLOOKUP(A7417,'[1]Tissue Data'!$A:$A,'[1]Tissue Data'!L:L)</f>
        <v>8</v>
      </c>
      <c r="J7417">
        <f>_xlfn.XLOOKUP(A7417,'[1]Tissue Data'!$A:$A,'[1]Tissue Data'!M:M)</f>
        <v>9.23</v>
      </c>
      <c r="K7417" t="s">
        <v>27</v>
      </c>
      <c r="L7417" t="str">
        <f>_xlfn.XLOOKUP(K7417,[2]analyte_order!$B:$B,[2]analyte_order!$C:$C)</f>
        <v>355-46-4</v>
      </c>
      <c r="M7417">
        <f>_xlfn.XLOOKUP(L7417,[2]analyte_order!$C:$C,[2]analyte_order!$E:$E)</f>
        <v>16</v>
      </c>
      <c r="N7417">
        <v>5.37</v>
      </c>
    </row>
    <row r="7418" spans="1:14">
      <c r="A7418" t="s">
        <v>309</v>
      </c>
      <c r="B7418" t="str">
        <f>_xlfn.XLOOKUP(A7418,'[1]Tissue Data'!$A:$A,'[1]Tissue Data'!$C:$C)</f>
        <v>Down</v>
      </c>
      <c r="C7418" s="2">
        <f>_xlfn.XLOOKUP(A7418,'[1]Tissue Data'!$A:$A,'[1]Tissue Data'!$D:$D)</f>
        <v>44393</v>
      </c>
      <c r="D7418" s="2" t="str">
        <f>_xlfn.XLOOKUP(A7418,'[1]Tissue Data'!$A:$A,'[1]Tissue Data'!$F:$F)</f>
        <v>Pumpkinseed</v>
      </c>
      <c r="E7418" t="str">
        <f>_xlfn.XLOOKUP(A7418,'[1]Tissue Data'!$A:$A,'[1]Tissue Data'!$H:$H)</f>
        <v>Lepomis</v>
      </c>
      <c r="F7418" t="str">
        <f>_xlfn.XLOOKUP(A7418,'[1]Tissue Data'!$A:$A,'[1]Tissue Data'!$I:$I)</f>
        <v>gibbosus</v>
      </c>
      <c r="G7418" t="str">
        <f>_xlfn.XLOOKUP(A7418,'[1]Tissue Data'!$A:$A,'[1]Tissue Data'!J:J)</f>
        <v>U</v>
      </c>
      <c r="H7418" t="str">
        <f>_xlfn.XLOOKUP(A7418,'[1]Tissue Data'!$A:$A,'[1]Tissue Data'!K:K)</f>
        <v>Whole Body</v>
      </c>
      <c r="I7418">
        <f>_xlfn.XLOOKUP(A7418,'[1]Tissue Data'!$A:$A,'[1]Tissue Data'!L:L)</f>
        <v>8</v>
      </c>
      <c r="J7418">
        <f>_xlfn.XLOOKUP(A7418,'[1]Tissue Data'!$A:$A,'[1]Tissue Data'!M:M)</f>
        <v>9.23</v>
      </c>
      <c r="K7418" t="s">
        <v>28</v>
      </c>
      <c r="L7418" t="str">
        <f>_xlfn.XLOOKUP(K7418,[2]analyte_order!$B:$B,[2]analyte_order!$C:$C)</f>
        <v>375-92-8</v>
      </c>
      <c r="M7418">
        <f>_xlfn.XLOOKUP(L7418,[2]analyte_order!$C:$C,[2]analyte_order!$E:$E)</f>
        <v>17</v>
      </c>
      <c r="N7418">
        <v>1.03</v>
      </c>
    </row>
    <row r="7419" spans="1:14">
      <c r="A7419" t="s">
        <v>309</v>
      </c>
      <c r="B7419" t="str">
        <f>_xlfn.XLOOKUP(A7419,'[1]Tissue Data'!$A:$A,'[1]Tissue Data'!$C:$C)</f>
        <v>Down</v>
      </c>
      <c r="C7419" s="2">
        <f>_xlfn.XLOOKUP(A7419,'[1]Tissue Data'!$A:$A,'[1]Tissue Data'!$D:$D)</f>
        <v>44393</v>
      </c>
      <c r="D7419" s="2" t="str">
        <f>_xlfn.XLOOKUP(A7419,'[1]Tissue Data'!$A:$A,'[1]Tissue Data'!$F:$F)</f>
        <v>Pumpkinseed</v>
      </c>
      <c r="E7419" t="str">
        <f>_xlfn.XLOOKUP(A7419,'[1]Tissue Data'!$A:$A,'[1]Tissue Data'!$H:$H)</f>
        <v>Lepomis</v>
      </c>
      <c r="F7419" t="str">
        <f>_xlfn.XLOOKUP(A7419,'[1]Tissue Data'!$A:$A,'[1]Tissue Data'!$I:$I)</f>
        <v>gibbosus</v>
      </c>
      <c r="G7419" t="str">
        <f>_xlfn.XLOOKUP(A7419,'[1]Tissue Data'!$A:$A,'[1]Tissue Data'!J:J)</f>
        <v>U</v>
      </c>
      <c r="H7419" t="str">
        <f>_xlfn.XLOOKUP(A7419,'[1]Tissue Data'!$A:$A,'[1]Tissue Data'!K:K)</f>
        <v>Whole Body</v>
      </c>
      <c r="I7419">
        <f>_xlfn.XLOOKUP(A7419,'[1]Tissue Data'!$A:$A,'[1]Tissue Data'!L:L)</f>
        <v>8</v>
      </c>
      <c r="J7419">
        <f>_xlfn.XLOOKUP(A7419,'[1]Tissue Data'!$A:$A,'[1]Tissue Data'!M:M)</f>
        <v>9.23</v>
      </c>
      <c r="K7419" t="s">
        <v>29</v>
      </c>
      <c r="L7419" t="str">
        <f>_xlfn.XLOOKUP(K7419,[2]analyte_order!$B:$B,[2]analyte_order!$C:$C)</f>
        <v>1763-23-1</v>
      </c>
      <c r="M7419">
        <f>_xlfn.XLOOKUP(L7419,[2]analyte_order!$C:$C,[2]analyte_order!$E:$E)</f>
        <v>18</v>
      </c>
      <c r="N7419">
        <v>570</v>
      </c>
    </row>
    <row r="7420" spans="1:14">
      <c r="A7420" t="s">
        <v>309</v>
      </c>
      <c r="B7420" t="str">
        <f>_xlfn.XLOOKUP(A7420,'[1]Tissue Data'!$A:$A,'[1]Tissue Data'!$C:$C)</f>
        <v>Down</v>
      </c>
      <c r="C7420" s="2">
        <f>_xlfn.XLOOKUP(A7420,'[1]Tissue Data'!$A:$A,'[1]Tissue Data'!$D:$D)</f>
        <v>44393</v>
      </c>
      <c r="D7420" s="2" t="str">
        <f>_xlfn.XLOOKUP(A7420,'[1]Tissue Data'!$A:$A,'[1]Tissue Data'!$F:$F)</f>
        <v>Pumpkinseed</v>
      </c>
      <c r="E7420" t="str">
        <f>_xlfn.XLOOKUP(A7420,'[1]Tissue Data'!$A:$A,'[1]Tissue Data'!$H:$H)</f>
        <v>Lepomis</v>
      </c>
      <c r="F7420" t="str">
        <f>_xlfn.XLOOKUP(A7420,'[1]Tissue Data'!$A:$A,'[1]Tissue Data'!$I:$I)</f>
        <v>gibbosus</v>
      </c>
      <c r="G7420" t="str">
        <f>_xlfn.XLOOKUP(A7420,'[1]Tissue Data'!$A:$A,'[1]Tissue Data'!J:J)</f>
        <v>U</v>
      </c>
      <c r="H7420" t="str">
        <f>_xlfn.XLOOKUP(A7420,'[1]Tissue Data'!$A:$A,'[1]Tissue Data'!K:K)</f>
        <v>Whole Body</v>
      </c>
      <c r="I7420">
        <f>_xlfn.XLOOKUP(A7420,'[1]Tissue Data'!$A:$A,'[1]Tissue Data'!L:L)</f>
        <v>8</v>
      </c>
      <c r="J7420">
        <f>_xlfn.XLOOKUP(A7420,'[1]Tissue Data'!$A:$A,'[1]Tissue Data'!M:M)</f>
        <v>9.23</v>
      </c>
      <c r="K7420" t="s">
        <v>30</v>
      </c>
      <c r="L7420" t="str">
        <f>_xlfn.XLOOKUP(K7420,[2]analyte_order!$B:$B,[2]analyte_order!$C:$C)</f>
        <v>68259-12-1</v>
      </c>
      <c r="M7420">
        <f>_xlfn.XLOOKUP(L7420,[2]analyte_order!$C:$C,[2]analyte_order!$E:$E)</f>
        <v>19</v>
      </c>
      <c r="N7420">
        <v>1.24</v>
      </c>
    </row>
    <row r="7421" spans="1:14">
      <c r="A7421" t="s">
        <v>309</v>
      </c>
      <c r="B7421" t="str">
        <f>_xlfn.XLOOKUP(A7421,'[1]Tissue Data'!$A:$A,'[1]Tissue Data'!$C:$C)</f>
        <v>Down</v>
      </c>
      <c r="C7421" s="2">
        <f>_xlfn.XLOOKUP(A7421,'[1]Tissue Data'!$A:$A,'[1]Tissue Data'!$D:$D)</f>
        <v>44393</v>
      </c>
      <c r="D7421" s="2" t="str">
        <f>_xlfn.XLOOKUP(A7421,'[1]Tissue Data'!$A:$A,'[1]Tissue Data'!$F:$F)</f>
        <v>Pumpkinseed</v>
      </c>
      <c r="E7421" t="str">
        <f>_xlfn.XLOOKUP(A7421,'[1]Tissue Data'!$A:$A,'[1]Tissue Data'!$H:$H)</f>
        <v>Lepomis</v>
      </c>
      <c r="F7421" t="str">
        <f>_xlfn.XLOOKUP(A7421,'[1]Tissue Data'!$A:$A,'[1]Tissue Data'!$I:$I)</f>
        <v>gibbosus</v>
      </c>
      <c r="G7421" t="str">
        <f>_xlfn.XLOOKUP(A7421,'[1]Tissue Data'!$A:$A,'[1]Tissue Data'!J:J)</f>
        <v>U</v>
      </c>
      <c r="H7421" t="str">
        <f>_xlfn.XLOOKUP(A7421,'[1]Tissue Data'!$A:$A,'[1]Tissue Data'!K:K)</f>
        <v>Whole Body</v>
      </c>
      <c r="I7421">
        <f>_xlfn.XLOOKUP(A7421,'[1]Tissue Data'!$A:$A,'[1]Tissue Data'!L:L)</f>
        <v>8</v>
      </c>
      <c r="J7421">
        <f>_xlfn.XLOOKUP(A7421,'[1]Tissue Data'!$A:$A,'[1]Tissue Data'!M:M)</f>
        <v>9.23</v>
      </c>
      <c r="K7421" t="s">
        <v>31</v>
      </c>
      <c r="L7421" t="str">
        <f>_xlfn.XLOOKUP(K7421,[2]analyte_order!$B:$B,[2]analyte_order!$C:$C)</f>
        <v>335-77-3</v>
      </c>
      <c r="M7421">
        <f>_xlfn.XLOOKUP(L7421,[2]analyte_order!$C:$C,[2]analyte_order!$E:$E)</f>
        <v>20</v>
      </c>
      <c r="N7421">
        <v>1.35</v>
      </c>
    </row>
    <row r="7422" spans="1:14">
      <c r="A7422" t="s">
        <v>309</v>
      </c>
      <c r="B7422" t="str">
        <f>_xlfn.XLOOKUP(A7422,'[1]Tissue Data'!$A:$A,'[1]Tissue Data'!$C:$C)</f>
        <v>Down</v>
      </c>
      <c r="C7422" s="2">
        <f>_xlfn.XLOOKUP(A7422,'[1]Tissue Data'!$A:$A,'[1]Tissue Data'!$D:$D)</f>
        <v>44393</v>
      </c>
      <c r="D7422" s="2" t="str">
        <f>_xlfn.XLOOKUP(A7422,'[1]Tissue Data'!$A:$A,'[1]Tissue Data'!$F:$F)</f>
        <v>Pumpkinseed</v>
      </c>
      <c r="E7422" t="str">
        <f>_xlfn.XLOOKUP(A7422,'[1]Tissue Data'!$A:$A,'[1]Tissue Data'!$H:$H)</f>
        <v>Lepomis</v>
      </c>
      <c r="F7422" t="str">
        <f>_xlfn.XLOOKUP(A7422,'[1]Tissue Data'!$A:$A,'[1]Tissue Data'!$I:$I)</f>
        <v>gibbosus</v>
      </c>
      <c r="G7422" t="str">
        <f>_xlfn.XLOOKUP(A7422,'[1]Tissue Data'!$A:$A,'[1]Tissue Data'!J:J)</f>
        <v>U</v>
      </c>
      <c r="H7422" t="str">
        <f>_xlfn.XLOOKUP(A7422,'[1]Tissue Data'!$A:$A,'[1]Tissue Data'!K:K)</f>
        <v>Whole Body</v>
      </c>
      <c r="I7422">
        <f>_xlfn.XLOOKUP(A7422,'[1]Tissue Data'!$A:$A,'[1]Tissue Data'!L:L)</f>
        <v>8</v>
      </c>
      <c r="J7422">
        <f>_xlfn.XLOOKUP(A7422,'[1]Tissue Data'!$A:$A,'[1]Tissue Data'!M:M)</f>
        <v>9.23</v>
      </c>
      <c r="K7422" t="s">
        <v>32</v>
      </c>
      <c r="L7422" t="str">
        <f>_xlfn.XLOOKUP(K7422,[2]analyte_order!$B:$B,[2]analyte_order!$C:$C)</f>
        <v>79780-39-5</v>
      </c>
      <c r="M7422">
        <f>_xlfn.XLOOKUP(L7422,[2]analyte_order!$C:$C,[2]analyte_order!$E:$E)</f>
        <v>21</v>
      </c>
      <c r="N7422">
        <v>0.22900000000000001</v>
      </c>
    </row>
    <row r="7423" spans="1:14">
      <c r="A7423" t="s">
        <v>309</v>
      </c>
      <c r="B7423" t="str">
        <f>_xlfn.XLOOKUP(A7423,'[1]Tissue Data'!$A:$A,'[1]Tissue Data'!$C:$C)</f>
        <v>Down</v>
      </c>
      <c r="C7423" s="2">
        <f>_xlfn.XLOOKUP(A7423,'[1]Tissue Data'!$A:$A,'[1]Tissue Data'!$D:$D)</f>
        <v>44393</v>
      </c>
      <c r="D7423" s="2" t="str">
        <f>_xlfn.XLOOKUP(A7423,'[1]Tissue Data'!$A:$A,'[1]Tissue Data'!$F:$F)</f>
        <v>Pumpkinseed</v>
      </c>
      <c r="E7423" t="str">
        <f>_xlfn.XLOOKUP(A7423,'[1]Tissue Data'!$A:$A,'[1]Tissue Data'!$H:$H)</f>
        <v>Lepomis</v>
      </c>
      <c r="F7423" t="str">
        <f>_xlfn.XLOOKUP(A7423,'[1]Tissue Data'!$A:$A,'[1]Tissue Data'!$I:$I)</f>
        <v>gibbosus</v>
      </c>
      <c r="G7423" t="str">
        <f>_xlfn.XLOOKUP(A7423,'[1]Tissue Data'!$A:$A,'[1]Tissue Data'!J:J)</f>
        <v>U</v>
      </c>
      <c r="H7423" t="str">
        <f>_xlfn.XLOOKUP(A7423,'[1]Tissue Data'!$A:$A,'[1]Tissue Data'!K:K)</f>
        <v>Whole Body</v>
      </c>
      <c r="I7423">
        <f>_xlfn.XLOOKUP(A7423,'[1]Tissue Data'!$A:$A,'[1]Tissue Data'!L:L)</f>
        <v>8</v>
      </c>
      <c r="J7423">
        <f>_xlfn.XLOOKUP(A7423,'[1]Tissue Data'!$A:$A,'[1]Tissue Data'!M:M)</f>
        <v>9.23</v>
      </c>
      <c r="K7423" t="s">
        <v>33</v>
      </c>
      <c r="L7423" t="str">
        <f>_xlfn.XLOOKUP(K7423,[2]analyte_order!$B:$B,[2]analyte_order!$C:$C)</f>
        <v>777011-38-8</v>
      </c>
      <c r="M7423">
        <f>_xlfn.XLOOKUP(L7423,[2]analyte_order!$C:$C,[2]analyte_order!$E:$E)</f>
        <v>54</v>
      </c>
      <c r="N7423">
        <v>0.13</v>
      </c>
    </row>
    <row r="7424" spans="1:14">
      <c r="A7424" t="s">
        <v>309</v>
      </c>
      <c r="B7424" t="str">
        <f>_xlfn.XLOOKUP(A7424,'[1]Tissue Data'!$A:$A,'[1]Tissue Data'!$C:$C)</f>
        <v>Down</v>
      </c>
      <c r="C7424" s="2">
        <f>_xlfn.XLOOKUP(A7424,'[1]Tissue Data'!$A:$A,'[1]Tissue Data'!$D:$D)</f>
        <v>44393</v>
      </c>
      <c r="D7424" s="2" t="str">
        <f>_xlfn.XLOOKUP(A7424,'[1]Tissue Data'!$A:$A,'[1]Tissue Data'!$F:$F)</f>
        <v>Pumpkinseed</v>
      </c>
      <c r="E7424" t="str">
        <f>_xlfn.XLOOKUP(A7424,'[1]Tissue Data'!$A:$A,'[1]Tissue Data'!$H:$H)</f>
        <v>Lepomis</v>
      </c>
      <c r="F7424" t="str">
        <f>_xlfn.XLOOKUP(A7424,'[1]Tissue Data'!$A:$A,'[1]Tissue Data'!$I:$I)</f>
        <v>gibbosus</v>
      </c>
      <c r="G7424" t="str">
        <f>_xlfn.XLOOKUP(A7424,'[1]Tissue Data'!$A:$A,'[1]Tissue Data'!J:J)</f>
        <v>U</v>
      </c>
      <c r="H7424" t="str">
        <f>_xlfn.XLOOKUP(A7424,'[1]Tissue Data'!$A:$A,'[1]Tissue Data'!K:K)</f>
        <v>Whole Body</v>
      </c>
      <c r="I7424">
        <f>_xlfn.XLOOKUP(A7424,'[1]Tissue Data'!$A:$A,'[1]Tissue Data'!L:L)</f>
        <v>8</v>
      </c>
      <c r="J7424">
        <f>_xlfn.XLOOKUP(A7424,'[1]Tissue Data'!$A:$A,'[1]Tissue Data'!M:M)</f>
        <v>9.23</v>
      </c>
      <c r="K7424" t="s">
        <v>34</v>
      </c>
      <c r="L7424" t="str">
        <f>_xlfn.XLOOKUP(K7424,[2]analyte_order!$B:$B,[2]analyte_order!$C:$C)</f>
        <v>646-83-3</v>
      </c>
      <c r="M7424">
        <f>_xlfn.XLOOKUP(L7424,[2]analyte_order!$C:$C,[2]analyte_order!$E:$E)</f>
        <v>55</v>
      </c>
      <c r="N7424">
        <v>0.249</v>
      </c>
    </row>
    <row r="7425" spans="1:14">
      <c r="A7425" t="s">
        <v>309</v>
      </c>
      <c r="B7425" t="str">
        <f>_xlfn.XLOOKUP(A7425,'[1]Tissue Data'!$A:$A,'[1]Tissue Data'!$C:$C)</f>
        <v>Down</v>
      </c>
      <c r="C7425" s="2">
        <f>_xlfn.XLOOKUP(A7425,'[1]Tissue Data'!$A:$A,'[1]Tissue Data'!$D:$D)</f>
        <v>44393</v>
      </c>
      <c r="D7425" s="2" t="str">
        <f>_xlfn.XLOOKUP(A7425,'[1]Tissue Data'!$A:$A,'[1]Tissue Data'!$F:$F)</f>
        <v>Pumpkinseed</v>
      </c>
      <c r="E7425" t="str">
        <f>_xlfn.XLOOKUP(A7425,'[1]Tissue Data'!$A:$A,'[1]Tissue Data'!$H:$H)</f>
        <v>Lepomis</v>
      </c>
      <c r="F7425" t="str">
        <f>_xlfn.XLOOKUP(A7425,'[1]Tissue Data'!$A:$A,'[1]Tissue Data'!$I:$I)</f>
        <v>gibbosus</v>
      </c>
      <c r="G7425" t="str">
        <f>_xlfn.XLOOKUP(A7425,'[1]Tissue Data'!$A:$A,'[1]Tissue Data'!J:J)</f>
        <v>U</v>
      </c>
      <c r="H7425" t="str">
        <f>_xlfn.XLOOKUP(A7425,'[1]Tissue Data'!$A:$A,'[1]Tissue Data'!K:K)</f>
        <v>Whole Body</v>
      </c>
      <c r="I7425">
        <f>_xlfn.XLOOKUP(A7425,'[1]Tissue Data'!$A:$A,'[1]Tissue Data'!L:L)</f>
        <v>8</v>
      </c>
      <c r="J7425">
        <f>_xlfn.XLOOKUP(A7425,'[1]Tissue Data'!$A:$A,'[1]Tissue Data'!M:M)</f>
        <v>9.23</v>
      </c>
      <c r="K7425" t="s">
        <v>35</v>
      </c>
      <c r="L7425" t="str">
        <f>_xlfn.XLOOKUP(K7425,[2]analyte_order!$B:$B,[2]analyte_order!$C:$C)</f>
        <v>30334-69-1</v>
      </c>
      <c r="M7425">
        <f>_xlfn.XLOOKUP(L7425,[2]analyte_order!$C:$C,[2]analyte_order!$E:$E)</f>
        <v>51</v>
      </c>
      <c r="N7425">
        <v>52.9</v>
      </c>
    </row>
    <row r="7426" spans="1:14">
      <c r="A7426" t="s">
        <v>309</v>
      </c>
      <c r="B7426" t="str">
        <f>_xlfn.XLOOKUP(A7426,'[1]Tissue Data'!$A:$A,'[1]Tissue Data'!$C:$C)</f>
        <v>Down</v>
      </c>
      <c r="C7426" s="2">
        <f>_xlfn.XLOOKUP(A7426,'[1]Tissue Data'!$A:$A,'[1]Tissue Data'!$D:$D)</f>
        <v>44393</v>
      </c>
      <c r="D7426" s="2" t="str">
        <f>_xlfn.XLOOKUP(A7426,'[1]Tissue Data'!$A:$A,'[1]Tissue Data'!$F:$F)</f>
        <v>Pumpkinseed</v>
      </c>
      <c r="E7426" t="str">
        <f>_xlfn.XLOOKUP(A7426,'[1]Tissue Data'!$A:$A,'[1]Tissue Data'!$H:$H)</f>
        <v>Lepomis</v>
      </c>
      <c r="F7426" t="str">
        <f>_xlfn.XLOOKUP(A7426,'[1]Tissue Data'!$A:$A,'[1]Tissue Data'!$I:$I)</f>
        <v>gibbosus</v>
      </c>
      <c r="G7426" t="str">
        <f>_xlfn.XLOOKUP(A7426,'[1]Tissue Data'!$A:$A,'[1]Tissue Data'!J:J)</f>
        <v>U</v>
      </c>
      <c r="H7426" t="str">
        <f>_xlfn.XLOOKUP(A7426,'[1]Tissue Data'!$A:$A,'[1]Tissue Data'!K:K)</f>
        <v>Whole Body</v>
      </c>
      <c r="I7426">
        <f>_xlfn.XLOOKUP(A7426,'[1]Tissue Data'!$A:$A,'[1]Tissue Data'!L:L)</f>
        <v>8</v>
      </c>
      <c r="J7426">
        <f>_xlfn.XLOOKUP(A7426,'[1]Tissue Data'!$A:$A,'[1]Tissue Data'!M:M)</f>
        <v>9.23</v>
      </c>
      <c r="K7426" t="s">
        <v>36</v>
      </c>
      <c r="L7426" t="str">
        <f>_xlfn.XLOOKUP(K7426,[2]analyte_order!$B:$B,[2]analyte_order!$C:$C)</f>
        <v>41997-13-1</v>
      </c>
      <c r="M7426">
        <f>_xlfn.XLOOKUP(L7426,[2]analyte_order!$C:$C,[2]analyte_order!$E:$E)</f>
        <v>52</v>
      </c>
      <c r="N7426">
        <v>58.7</v>
      </c>
    </row>
    <row r="7427" spans="1:14">
      <c r="A7427" t="s">
        <v>309</v>
      </c>
      <c r="B7427" t="str">
        <f>_xlfn.XLOOKUP(A7427,'[1]Tissue Data'!$A:$A,'[1]Tissue Data'!$C:$C)</f>
        <v>Down</v>
      </c>
      <c r="C7427" s="2">
        <f>_xlfn.XLOOKUP(A7427,'[1]Tissue Data'!$A:$A,'[1]Tissue Data'!$D:$D)</f>
        <v>44393</v>
      </c>
      <c r="D7427" s="2" t="str">
        <f>_xlfn.XLOOKUP(A7427,'[1]Tissue Data'!$A:$A,'[1]Tissue Data'!$F:$F)</f>
        <v>Pumpkinseed</v>
      </c>
      <c r="E7427" t="str">
        <f>_xlfn.XLOOKUP(A7427,'[1]Tissue Data'!$A:$A,'[1]Tissue Data'!$H:$H)</f>
        <v>Lepomis</v>
      </c>
      <c r="F7427" t="str">
        <f>_xlfn.XLOOKUP(A7427,'[1]Tissue Data'!$A:$A,'[1]Tissue Data'!$I:$I)</f>
        <v>gibbosus</v>
      </c>
      <c r="G7427" t="str">
        <f>_xlfn.XLOOKUP(A7427,'[1]Tissue Data'!$A:$A,'[1]Tissue Data'!J:J)</f>
        <v>U</v>
      </c>
      <c r="H7427" t="str">
        <f>_xlfn.XLOOKUP(A7427,'[1]Tissue Data'!$A:$A,'[1]Tissue Data'!K:K)</f>
        <v>Whole Body</v>
      </c>
      <c r="I7427">
        <f>_xlfn.XLOOKUP(A7427,'[1]Tissue Data'!$A:$A,'[1]Tissue Data'!L:L)</f>
        <v>8</v>
      </c>
      <c r="J7427">
        <f>_xlfn.XLOOKUP(A7427,'[1]Tissue Data'!$A:$A,'[1]Tissue Data'!M:M)</f>
        <v>9.23</v>
      </c>
      <c r="K7427" t="s">
        <v>37</v>
      </c>
      <c r="L7427" t="str">
        <f>_xlfn.XLOOKUP(K7427,[2]analyte_order!$B:$B,[2]analyte_order!$C:$C)</f>
        <v>754-91-6</v>
      </c>
      <c r="M7427">
        <f>_xlfn.XLOOKUP(L7427,[2]analyte_order!$C:$C,[2]analyte_order!$E:$E)</f>
        <v>28</v>
      </c>
      <c r="N7427">
        <v>13</v>
      </c>
    </row>
    <row r="7428" spans="1:14">
      <c r="A7428" t="s">
        <v>309</v>
      </c>
      <c r="B7428" t="str">
        <f>_xlfn.XLOOKUP(A7428,'[1]Tissue Data'!$A:$A,'[1]Tissue Data'!$C:$C)</f>
        <v>Down</v>
      </c>
      <c r="C7428" s="2">
        <f>_xlfn.XLOOKUP(A7428,'[1]Tissue Data'!$A:$A,'[1]Tissue Data'!$D:$D)</f>
        <v>44393</v>
      </c>
      <c r="D7428" s="2" t="str">
        <f>_xlfn.XLOOKUP(A7428,'[1]Tissue Data'!$A:$A,'[1]Tissue Data'!$F:$F)</f>
        <v>Pumpkinseed</v>
      </c>
      <c r="E7428" t="str">
        <f>_xlfn.XLOOKUP(A7428,'[1]Tissue Data'!$A:$A,'[1]Tissue Data'!$H:$H)</f>
        <v>Lepomis</v>
      </c>
      <c r="F7428" t="str">
        <f>_xlfn.XLOOKUP(A7428,'[1]Tissue Data'!$A:$A,'[1]Tissue Data'!$I:$I)</f>
        <v>gibbosus</v>
      </c>
      <c r="G7428" t="str">
        <f>_xlfn.XLOOKUP(A7428,'[1]Tissue Data'!$A:$A,'[1]Tissue Data'!J:J)</f>
        <v>U</v>
      </c>
      <c r="H7428" t="str">
        <f>_xlfn.XLOOKUP(A7428,'[1]Tissue Data'!$A:$A,'[1]Tissue Data'!K:K)</f>
        <v>Whole Body</v>
      </c>
      <c r="I7428">
        <f>_xlfn.XLOOKUP(A7428,'[1]Tissue Data'!$A:$A,'[1]Tissue Data'!L:L)</f>
        <v>8</v>
      </c>
      <c r="J7428">
        <f>_xlfn.XLOOKUP(A7428,'[1]Tissue Data'!$A:$A,'[1]Tissue Data'!M:M)</f>
        <v>9.23</v>
      </c>
      <c r="K7428" t="s">
        <v>38</v>
      </c>
      <c r="L7428" t="str">
        <f>_xlfn.XLOOKUP(K7428,[2]analyte_order!$B:$B,[2]analyte_order!$C:$C)</f>
        <v>31506-32-8</v>
      </c>
      <c r="M7428">
        <f>_xlfn.XLOOKUP(L7428,[2]analyte_order!$C:$C,[2]analyte_order!$E:$E)</f>
        <v>30</v>
      </c>
      <c r="N7428">
        <v>0.16500000000000001</v>
      </c>
    </row>
    <row r="7429" spans="1:14">
      <c r="A7429" t="s">
        <v>309</v>
      </c>
      <c r="B7429" t="str">
        <f>_xlfn.XLOOKUP(A7429,'[1]Tissue Data'!$A:$A,'[1]Tissue Data'!$C:$C)</f>
        <v>Down</v>
      </c>
      <c r="C7429" s="2">
        <f>_xlfn.XLOOKUP(A7429,'[1]Tissue Data'!$A:$A,'[1]Tissue Data'!$D:$D)</f>
        <v>44393</v>
      </c>
      <c r="D7429" s="2" t="str">
        <f>_xlfn.XLOOKUP(A7429,'[1]Tissue Data'!$A:$A,'[1]Tissue Data'!$F:$F)</f>
        <v>Pumpkinseed</v>
      </c>
      <c r="E7429" t="str">
        <f>_xlfn.XLOOKUP(A7429,'[1]Tissue Data'!$A:$A,'[1]Tissue Data'!$H:$H)</f>
        <v>Lepomis</v>
      </c>
      <c r="F7429" t="str">
        <f>_xlfn.XLOOKUP(A7429,'[1]Tissue Data'!$A:$A,'[1]Tissue Data'!$I:$I)</f>
        <v>gibbosus</v>
      </c>
      <c r="G7429" t="str">
        <f>_xlfn.XLOOKUP(A7429,'[1]Tissue Data'!$A:$A,'[1]Tissue Data'!J:J)</f>
        <v>U</v>
      </c>
      <c r="H7429" t="str">
        <f>_xlfn.XLOOKUP(A7429,'[1]Tissue Data'!$A:$A,'[1]Tissue Data'!K:K)</f>
        <v>Whole Body</v>
      </c>
      <c r="I7429">
        <f>_xlfn.XLOOKUP(A7429,'[1]Tissue Data'!$A:$A,'[1]Tissue Data'!L:L)</f>
        <v>8</v>
      </c>
      <c r="J7429">
        <f>_xlfn.XLOOKUP(A7429,'[1]Tissue Data'!$A:$A,'[1]Tissue Data'!M:M)</f>
        <v>9.23</v>
      </c>
      <c r="K7429" t="s">
        <v>39</v>
      </c>
      <c r="L7429" t="str">
        <f>_xlfn.XLOOKUP(K7429,[2]analyte_order!$B:$B,[2]analyte_order!$C:$C)</f>
        <v>4151-50-2</v>
      </c>
      <c r="M7429">
        <f>_xlfn.XLOOKUP(L7429,[2]analyte_order!$C:$C,[2]analyte_order!$E:$E)</f>
        <v>31</v>
      </c>
      <c r="N7429">
        <v>0.42849999999999999</v>
      </c>
    </row>
    <row r="7430" spans="1:14">
      <c r="A7430" t="s">
        <v>309</v>
      </c>
      <c r="B7430" t="str">
        <f>_xlfn.XLOOKUP(A7430,'[1]Tissue Data'!$A:$A,'[1]Tissue Data'!$C:$C)</f>
        <v>Down</v>
      </c>
      <c r="C7430" s="2">
        <f>_xlfn.XLOOKUP(A7430,'[1]Tissue Data'!$A:$A,'[1]Tissue Data'!$D:$D)</f>
        <v>44393</v>
      </c>
      <c r="D7430" s="2" t="str">
        <f>_xlfn.XLOOKUP(A7430,'[1]Tissue Data'!$A:$A,'[1]Tissue Data'!$F:$F)</f>
        <v>Pumpkinseed</v>
      </c>
      <c r="E7430" t="str">
        <f>_xlfn.XLOOKUP(A7430,'[1]Tissue Data'!$A:$A,'[1]Tissue Data'!$H:$H)</f>
        <v>Lepomis</v>
      </c>
      <c r="F7430" t="str">
        <f>_xlfn.XLOOKUP(A7430,'[1]Tissue Data'!$A:$A,'[1]Tissue Data'!$I:$I)</f>
        <v>gibbosus</v>
      </c>
      <c r="G7430" t="str">
        <f>_xlfn.XLOOKUP(A7430,'[1]Tissue Data'!$A:$A,'[1]Tissue Data'!J:J)</f>
        <v>U</v>
      </c>
      <c r="H7430" t="str">
        <f>_xlfn.XLOOKUP(A7430,'[1]Tissue Data'!$A:$A,'[1]Tissue Data'!K:K)</f>
        <v>Whole Body</v>
      </c>
      <c r="I7430">
        <f>_xlfn.XLOOKUP(A7430,'[1]Tissue Data'!$A:$A,'[1]Tissue Data'!L:L)</f>
        <v>8</v>
      </c>
      <c r="J7430">
        <f>_xlfn.XLOOKUP(A7430,'[1]Tissue Data'!$A:$A,'[1]Tissue Data'!M:M)</f>
        <v>9.23</v>
      </c>
      <c r="K7430" t="s">
        <v>40</v>
      </c>
      <c r="L7430" t="str">
        <f>_xlfn.XLOOKUP(K7430,[2]analyte_order!$B:$B,[2]analyte_order!$C:$C)</f>
        <v>2806-24-8</v>
      </c>
      <c r="M7430">
        <f>_xlfn.XLOOKUP(L7430,[2]analyte_order!$C:$C,[2]analyte_order!$E:$E)</f>
        <v>29</v>
      </c>
      <c r="N7430">
        <v>0.42849999999999999</v>
      </c>
    </row>
    <row r="7431" spans="1:14">
      <c r="A7431" t="s">
        <v>309</v>
      </c>
      <c r="B7431" t="str">
        <f>_xlfn.XLOOKUP(A7431,'[1]Tissue Data'!$A:$A,'[1]Tissue Data'!$C:$C)</f>
        <v>Down</v>
      </c>
      <c r="C7431" s="2">
        <f>_xlfn.XLOOKUP(A7431,'[1]Tissue Data'!$A:$A,'[1]Tissue Data'!$D:$D)</f>
        <v>44393</v>
      </c>
      <c r="D7431" s="2" t="str">
        <f>_xlfn.XLOOKUP(A7431,'[1]Tissue Data'!$A:$A,'[1]Tissue Data'!$F:$F)</f>
        <v>Pumpkinseed</v>
      </c>
      <c r="E7431" t="str">
        <f>_xlfn.XLOOKUP(A7431,'[1]Tissue Data'!$A:$A,'[1]Tissue Data'!$H:$H)</f>
        <v>Lepomis</v>
      </c>
      <c r="F7431" t="str">
        <f>_xlfn.XLOOKUP(A7431,'[1]Tissue Data'!$A:$A,'[1]Tissue Data'!$I:$I)</f>
        <v>gibbosus</v>
      </c>
      <c r="G7431" t="str">
        <f>_xlfn.XLOOKUP(A7431,'[1]Tissue Data'!$A:$A,'[1]Tissue Data'!J:J)</f>
        <v>U</v>
      </c>
      <c r="H7431" t="str">
        <f>_xlfn.XLOOKUP(A7431,'[1]Tissue Data'!$A:$A,'[1]Tissue Data'!K:K)</f>
        <v>Whole Body</v>
      </c>
      <c r="I7431">
        <f>_xlfn.XLOOKUP(A7431,'[1]Tissue Data'!$A:$A,'[1]Tissue Data'!L:L)</f>
        <v>8</v>
      </c>
      <c r="J7431">
        <f>_xlfn.XLOOKUP(A7431,'[1]Tissue Data'!$A:$A,'[1]Tissue Data'!M:M)</f>
        <v>9.23</v>
      </c>
      <c r="K7431" t="s">
        <v>41</v>
      </c>
      <c r="L7431" t="str">
        <f>_xlfn.XLOOKUP(K7431,[2]analyte_order!$B:$B,[2]analyte_order!$C:$C)</f>
        <v>2355-31-9</v>
      </c>
      <c r="M7431">
        <f>_xlfn.XLOOKUP(L7431,[2]analyte_order!$C:$C,[2]analyte_order!$E:$E)</f>
        <v>26</v>
      </c>
      <c r="N7431">
        <v>0.2155</v>
      </c>
    </row>
    <row r="7432" spans="1:14">
      <c r="A7432" t="s">
        <v>309</v>
      </c>
      <c r="B7432" t="str">
        <f>_xlfn.XLOOKUP(A7432,'[1]Tissue Data'!$A:$A,'[1]Tissue Data'!$C:$C)</f>
        <v>Down</v>
      </c>
      <c r="C7432" s="2">
        <f>_xlfn.XLOOKUP(A7432,'[1]Tissue Data'!$A:$A,'[1]Tissue Data'!$D:$D)</f>
        <v>44393</v>
      </c>
      <c r="D7432" s="2" t="str">
        <f>_xlfn.XLOOKUP(A7432,'[1]Tissue Data'!$A:$A,'[1]Tissue Data'!$F:$F)</f>
        <v>Pumpkinseed</v>
      </c>
      <c r="E7432" t="str">
        <f>_xlfn.XLOOKUP(A7432,'[1]Tissue Data'!$A:$A,'[1]Tissue Data'!$H:$H)</f>
        <v>Lepomis</v>
      </c>
      <c r="F7432" t="str">
        <f>_xlfn.XLOOKUP(A7432,'[1]Tissue Data'!$A:$A,'[1]Tissue Data'!$I:$I)</f>
        <v>gibbosus</v>
      </c>
      <c r="G7432" t="str">
        <f>_xlfn.XLOOKUP(A7432,'[1]Tissue Data'!$A:$A,'[1]Tissue Data'!J:J)</f>
        <v>U</v>
      </c>
      <c r="H7432" t="str">
        <f>_xlfn.XLOOKUP(A7432,'[1]Tissue Data'!$A:$A,'[1]Tissue Data'!K:K)</f>
        <v>Whole Body</v>
      </c>
      <c r="I7432">
        <f>_xlfn.XLOOKUP(A7432,'[1]Tissue Data'!$A:$A,'[1]Tissue Data'!L:L)</f>
        <v>8</v>
      </c>
      <c r="J7432">
        <f>_xlfn.XLOOKUP(A7432,'[1]Tissue Data'!$A:$A,'[1]Tissue Data'!M:M)</f>
        <v>9.23</v>
      </c>
      <c r="K7432" t="s">
        <v>42</v>
      </c>
      <c r="L7432" t="str">
        <f>_xlfn.XLOOKUP(K7432,[2]analyte_order!$B:$B,[2]analyte_order!$C:$C)</f>
        <v>2991-50-6</v>
      </c>
      <c r="M7432">
        <f>_xlfn.XLOOKUP(L7432,[2]analyte_order!$C:$C,[2]analyte_order!$E:$E)</f>
        <v>27</v>
      </c>
      <c r="N7432">
        <v>0.2145</v>
      </c>
    </row>
    <row r="7433" spans="1:14">
      <c r="A7433" t="s">
        <v>309</v>
      </c>
      <c r="B7433" t="str">
        <f>_xlfn.XLOOKUP(A7433,'[1]Tissue Data'!$A:$A,'[1]Tissue Data'!$C:$C)</f>
        <v>Down</v>
      </c>
      <c r="C7433" s="2">
        <f>_xlfn.XLOOKUP(A7433,'[1]Tissue Data'!$A:$A,'[1]Tissue Data'!$D:$D)</f>
        <v>44393</v>
      </c>
      <c r="D7433" s="2" t="str">
        <f>_xlfn.XLOOKUP(A7433,'[1]Tissue Data'!$A:$A,'[1]Tissue Data'!$F:$F)</f>
        <v>Pumpkinseed</v>
      </c>
      <c r="E7433" t="str">
        <f>_xlfn.XLOOKUP(A7433,'[1]Tissue Data'!$A:$A,'[1]Tissue Data'!$H:$H)</f>
        <v>Lepomis</v>
      </c>
      <c r="F7433" t="str">
        <f>_xlfn.XLOOKUP(A7433,'[1]Tissue Data'!$A:$A,'[1]Tissue Data'!$I:$I)</f>
        <v>gibbosus</v>
      </c>
      <c r="G7433" t="str">
        <f>_xlfn.XLOOKUP(A7433,'[1]Tissue Data'!$A:$A,'[1]Tissue Data'!J:J)</f>
        <v>U</v>
      </c>
      <c r="H7433" t="str">
        <f>_xlfn.XLOOKUP(A7433,'[1]Tissue Data'!$A:$A,'[1]Tissue Data'!K:K)</f>
        <v>Whole Body</v>
      </c>
      <c r="I7433">
        <f>_xlfn.XLOOKUP(A7433,'[1]Tissue Data'!$A:$A,'[1]Tissue Data'!L:L)</f>
        <v>8</v>
      </c>
      <c r="J7433">
        <f>_xlfn.XLOOKUP(A7433,'[1]Tissue Data'!$A:$A,'[1]Tissue Data'!M:M)</f>
        <v>9.23</v>
      </c>
      <c r="K7433" t="s">
        <v>43</v>
      </c>
      <c r="L7433" t="str">
        <f>_xlfn.XLOOKUP(K7433,[2]analyte_order!$B:$B,[2]analyte_order!$C:$C)</f>
        <v>757124-72-4</v>
      </c>
      <c r="M7433">
        <f>_xlfn.XLOOKUP(L7433,[2]analyte_order!$C:$C,[2]analyte_order!$E:$E)</f>
        <v>22</v>
      </c>
      <c r="N7433">
        <v>0.2145</v>
      </c>
    </row>
    <row r="7434" spans="1:14">
      <c r="A7434" t="s">
        <v>309</v>
      </c>
      <c r="B7434" t="str">
        <f>_xlfn.XLOOKUP(A7434,'[1]Tissue Data'!$A:$A,'[1]Tissue Data'!$C:$C)</f>
        <v>Down</v>
      </c>
      <c r="C7434" s="2">
        <f>_xlfn.XLOOKUP(A7434,'[1]Tissue Data'!$A:$A,'[1]Tissue Data'!$D:$D)</f>
        <v>44393</v>
      </c>
      <c r="D7434" s="2" t="str">
        <f>_xlfn.XLOOKUP(A7434,'[1]Tissue Data'!$A:$A,'[1]Tissue Data'!$F:$F)</f>
        <v>Pumpkinseed</v>
      </c>
      <c r="E7434" t="str">
        <f>_xlfn.XLOOKUP(A7434,'[1]Tissue Data'!$A:$A,'[1]Tissue Data'!$H:$H)</f>
        <v>Lepomis</v>
      </c>
      <c r="F7434" t="str">
        <f>_xlfn.XLOOKUP(A7434,'[1]Tissue Data'!$A:$A,'[1]Tissue Data'!$I:$I)</f>
        <v>gibbosus</v>
      </c>
      <c r="G7434" t="str">
        <f>_xlfn.XLOOKUP(A7434,'[1]Tissue Data'!$A:$A,'[1]Tissue Data'!J:J)</f>
        <v>U</v>
      </c>
      <c r="H7434" t="str">
        <f>_xlfn.XLOOKUP(A7434,'[1]Tissue Data'!$A:$A,'[1]Tissue Data'!K:K)</f>
        <v>Whole Body</v>
      </c>
      <c r="I7434">
        <f>_xlfn.XLOOKUP(A7434,'[1]Tissue Data'!$A:$A,'[1]Tissue Data'!L:L)</f>
        <v>8</v>
      </c>
      <c r="J7434">
        <f>_xlfn.XLOOKUP(A7434,'[1]Tissue Data'!$A:$A,'[1]Tissue Data'!M:M)</f>
        <v>9.23</v>
      </c>
      <c r="K7434" t="s">
        <v>44</v>
      </c>
      <c r="L7434" t="str">
        <f>_xlfn.XLOOKUP(K7434,[2]analyte_order!$B:$B,[2]analyte_order!$C:$C)</f>
        <v>27619-97-2</v>
      </c>
      <c r="M7434">
        <f>_xlfn.XLOOKUP(L7434,[2]analyte_order!$C:$C,[2]analyte_order!$E:$E)</f>
        <v>23</v>
      </c>
      <c r="N7434">
        <v>0.2145</v>
      </c>
    </row>
    <row r="7435" spans="1:14">
      <c r="A7435" t="s">
        <v>309</v>
      </c>
      <c r="B7435" t="str">
        <f>_xlfn.XLOOKUP(A7435,'[1]Tissue Data'!$A:$A,'[1]Tissue Data'!$C:$C)</f>
        <v>Down</v>
      </c>
      <c r="C7435" s="2">
        <f>_xlfn.XLOOKUP(A7435,'[1]Tissue Data'!$A:$A,'[1]Tissue Data'!$D:$D)</f>
        <v>44393</v>
      </c>
      <c r="D7435" s="2" t="str">
        <f>_xlfn.XLOOKUP(A7435,'[1]Tissue Data'!$A:$A,'[1]Tissue Data'!$F:$F)</f>
        <v>Pumpkinseed</v>
      </c>
      <c r="E7435" t="str">
        <f>_xlfn.XLOOKUP(A7435,'[1]Tissue Data'!$A:$A,'[1]Tissue Data'!$H:$H)</f>
        <v>Lepomis</v>
      </c>
      <c r="F7435" t="str">
        <f>_xlfn.XLOOKUP(A7435,'[1]Tissue Data'!$A:$A,'[1]Tissue Data'!$I:$I)</f>
        <v>gibbosus</v>
      </c>
      <c r="G7435" t="str">
        <f>_xlfn.XLOOKUP(A7435,'[1]Tissue Data'!$A:$A,'[1]Tissue Data'!J:J)</f>
        <v>U</v>
      </c>
      <c r="H7435" t="str">
        <f>_xlfn.XLOOKUP(A7435,'[1]Tissue Data'!$A:$A,'[1]Tissue Data'!K:K)</f>
        <v>Whole Body</v>
      </c>
      <c r="I7435">
        <f>_xlfn.XLOOKUP(A7435,'[1]Tissue Data'!$A:$A,'[1]Tissue Data'!L:L)</f>
        <v>8</v>
      </c>
      <c r="J7435">
        <f>_xlfn.XLOOKUP(A7435,'[1]Tissue Data'!$A:$A,'[1]Tissue Data'!M:M)</f>
        <v>9.23</v>
      </c>
      <c r="K7435" t="s">
        <v>45</v>
      </c>
      <c r="L7435" t="str">
        <f>_xlfn.XLOOKUP(K7435,[2]analyte_order!$B:$B,[2]analyte_order!$C:$C)</f>
        <v>39108-34-4</v>
      </c>
      <c r="M7435">
        <f>_xlfn.XLOOKUP(L7435,[2]analyte_order!$C:$C,[2]analyte_order!$E:$E)</f>
        <v>24</v>
      </c>
      <c r="N7435">
        <v>2.4700000000000002</v>
      </c>
    </row>
    <row r="7436" spans="1:14">
      <c r="A7436" t="s">
        <v>309</v>
      </c>
      <c r="B7436" t="str">
        <f>_xlfn.XLOOKUP(A7436,'[1]Tissue Data'!$A:$A,'[1]Tissue Data'!$C:$C)</f>
        <v>Down</v>
      </c>
      <c r="C7436" s="2">
        <f>_xlfn.XLOOKUP(A7436,'[1]Tissue Data'!$A:$A,'[1]Tissue Data'!$D:$D)</f>
        <v>44393</v>
      </c>
      <c r="D7436" s="2" t="str">
        <f>_xlfn.XLOOKUP(A7436,'[1]Tissue Data'!$A:$A,'[1]Tissue Data'!$F:$F)</f>
        <v>Pumpkinseed</v>
      </c>
      <c r="E7436" t="str">
        <f>_xlfn.XLOOKUP(A7436,'[1]Tissue Data'!$A:$A,'[1]Tissue Data'!$H:$H)</f>
        <v>Lepomis</v>
      </c>
      <c r="F7436" t="str">
        <f>_xlfn.XLOOKUP(A7436,'[1]Tissue Data'!$A:$A,'[1]Tissue Data'!$I:$I)</f>
        <v>gibbosus</v>
      </c>
      <c r="G7436" t="str">
        <f>_xlfn.XLOOKUP(A7436,'[1]Tissue Data'!$A:$A,'[1]Tissue Data'!J:J)</f>
        <v>U</v>
      </c>
      <c r="H7436" t="str">
        <f>_xlfn.XLOOKUP(A7436,'[1]Tissue Data'!$A:$A,'[1]Tissue Data'!K:K)</f>
        <v>Whole Body</v>
      </c>
      <c r="I7436">
        <f>_xlfn.XLOOKUP(A7436,'[1]Tissue Data'!$A:$A,'[1]Tissue Data'!L:L)</f>
        <v>8</v>
      </c>
      <c r="J7436">
        <f>_xlfn.XLOOKUP(A7436,'[1]Tissue Data'!$A:$A,'[1]Tissue Data'!M:M)</f>
        <v>9.23</v>
      </c>
      <c r="K7436" t="s">
        <v>46</v>
      </c>
      <c r="L7436" t="str">
        <f>_xlfn.XLOOKUP(K7436,[2]analyte_order!$B:$B,[2]analyte_order!$C:$C)</f>
        <v>120226-60-0</v>
      </c>
      <c r="M7436">
        <f>_xlfn.XLOOKUP(L7436,[2]analyte_order!$C:$C,[2]analyte_order!$E:$E)</f>
        <v>25</v>
      </c>
      <c r="N7436">
        <v>0.42849999999999999</v>
      </c>
    </row>
    <row r="7437" spans="1:14">
      <c r="A7437" t="s">
        <v>309</v>
      </c>
      <c r="B7437" t="str">
        <f>_xlfn.XLOOKUP(A7437,'[1]Tissue Data'!$A:$A,'[1]Tissue Data'!$C:$C)</f>
        <v>Down</v>
      </c>
      <c r="C7437" s="2">
        <f>_xlfn.XLOOKUP(A7437,'[1]Tissue Data'!$A:$A,'[1]Tissue Data'!$D:$D)</f>
        <v>44393</v>
      </c>
      <c r="D7437" s="2" t="str">
        <f>_xlfn.XLOOKUP(A7437,'[1]Tissue Data'!$A:$A,'[1]Tissue Data'!$F:$F)</f>
        <v>Pumpkinseed</v>
      </c>
      <c r="E7437" t="str">
        <f>_xlfn.XLOOKUP(A7437,'[1]Tissue Data'!$A:$A,'[1]Tissue Data'!$H:$H)</f>
        <v>Lepomis</v>
      </c>
      <c r="F7437" t="str">
        <f>_xlfn.XLOOKUP(A7437,'[1]Tissue Data'!$A:$A,'[1]Tissue Data'!$I:$I)</f>
        <v>gibbosus</v>
      </c>
      <c r="G7437" t="str">
        <f>_xlfn.XLOOKUP(A7437,'[1]Tissue Data'!$A:$A,'[1]Tissue Data'!J:J)</f>
        <v>U</v>
      </c>
      <c r="H7437" t="str">
        <f>_xlfn.XLOOKUP(A7437,'[1]Tissue Data'!$A:$A,'[1]Tissue Data'!K:K)</f>
        <v>Whole Body</v>
      </c>
      <c r="I7437">
        <f>_xlfn.XLOOKUP(A7437,'[1]Tissue Data'!$A:$A,'[1]Tissue Data'!L:L)</f>
        <v>8</v>
      </c>
      <c r="J7437">
        <f>_xlfn.XLOOKUP(A7437,'[1]Tissue Data'!$A:$A,'[1]Tissue Data'!M:M)</f>
        <v>9.23</v>
      </c>
      <c r="K7437" t="s">
        <v>47</v>
      </c>
      <c r="L7437" t="str">
        <f>_xlfn.XLOOKUP(K7437,[2]analyte_order!$B:$B,[2]analyte_order!$C:$C)</f>
        <v>356-02-5</v>
      </c>
      <c r="M7437">
        <f>_xlfn.XLOOKUP(L7437,[2]analyte_order!$C:$C,[2]analyte_order!$E:$E)</f>
        <v>38</v>
      </c>
      <c r="N7437">
        <v>0.247</v>
      </c>
    </row>
    <row r="7438" spans="1:14">
      <c r="A7438" t="s">
        <v>309</v>
      </c>
      <c r="B7438" t="str">
        <f>_xlfn.XLOOKUP(A7438,'[1]Tissue Data'!$A:$A,'[1]Tissue Data'!$C:$C)</f>
        <v>Down</v>
      </c>
      <c r="C7438" s="2">
        <f>_xlfn.XLOOKUP(A7438,'[1]Tissue Data'!$A:$A,'[1]Tissue Data'!$D:$D)</f>
        <v>44393</v>
      </c>
      <c r="D7438" s="2" t="str">
        <f>_xlfn.XLOOKUP(A7438,'[1]Tissue Data'!$A:$A,'[1]Tissue Data'!$F:$F)</f>
        <v>Pumpkinseed</v>
      </c>
      <c r="E7438" t="str">
        <f>_xlfn.XLOOKUP(A7438,'[1]Tissue Data'!$A:$A,'[1]Tissue Data'!$H:$H)</f>
        <v>Lepomis</v>
      </c>
      <c r="F7438" t="str">
        <f>_xlfn.XLOOKUP(A7438,'[1]Tissue Data'!$A:$A,'[1]Tissue Data'!$I:$I)</f>
        <v>gibbosus</v>
      </c>
      <c r="G7438" t="str">
        <f>_xlfn.XLOOKUP(A7438,'[1]Tissue Data'!$A:$A,'[1]Tissue Data'!J:J)</f>
        <v>U</v>
      </c>
      <c r="H7438" t="str">
        <f>_xlfn.XLOOKUP(A7438,'[1]Tissue Data'!$A:$A,'[1]Tissue Data'!K:K)</f>
        <v>Whole Body</v>
      </c>
      <c r="I7438">
        <f>_xlfn.XLOOKUP(A7438,'[1]Tissue Data'!$A:$A,'[1]Tissue Data'!L:L)</f>
        <v>8</v>
      </c>
      <c r="J7438">
        <f>_xlfn.XLOOKUP(A7438,'[1]Tissue Data'!$A:$A,'[1]Tissue Data'!M:M)</f>
        <v>9.23</v>
      </c>
      <c r="K7438" t="s">
        <v>48</v>
      </c>
      <c r="L7438" t="str">
        <f>_xlfn.XLOOKUP(K7438,[2]analyte_order!$B:$B,[2]analyte_order!$C:$C)</f>
        <v>914637-49-3</v>
      </c>
      <c r="M7438">
        <f>_xlfn.XLOOKUP(L7438,[2]analyte_order!$C:$C,[2]analyte_order!$E:$E)</f>
        <v>39</v>
      </c>
      <c r="N7438">
        <v>0.49299999999999999</v>
      </c>
    </row>
    <row r="7439" spans="1:14">
      <c r="A7439" t="s">
        <v>309</v>
      </c>
      <c r="B7439" t="str">
        <f>_xlfn.XLOOKUP(A7439,'[1]Tissue Data'!$A:$A,'[1]Tissue Data'!$C:$C)</f>
        <v>Down</v>
      </c>
      <c r="C7439" s="2">
        <f>_xlfn.XLOOKUP(A7439,'[1]Tissue Data'!$A:$A,'[1]Tissue Data'!$D:$D)</f>
        <v>44393</v>
      </c>
      <c r="D7439" s="2" t="str">
        <f>_xlfn.XLOOKUP(A7439,'[1]Tissue Data'!$A:$A,'[1]Tissue Data'!$F:$F)</f>
        <v>Pumpkinseed</v>
      </c>
      <c r="E7439" t="str">
        <f>_xlfn.XLOOKUP(A7439,'[1]Tissue Data'!$A:$A,'[1]Tissue Data'!$H:$H)</f>
        <v>Lepomis</v>
      </c>
      <c r="F7439" t="str">
        <f>_xlfn.XLOOKUP(A7439,'[1]Tissue Data'!$A:$A,'[1]Tissue Data'!$I:$I)</f>
        <v>gibbosus</v>
      </c>
      <c r="G7439" t="str">
        <f>_xlfn.XLOOKUP(A7439,'[1]Tissue Data'!$A:$A,'[1]Tissue Data'!J:J)</f>
        <v>U</v>
      </c>
      <c r="H7439" t="str">
        <f>_xlfn.XLOOKUP(A7439,'[1]Tissue Data'!$A:$A,'[1]Tissue Data'!K:K)</f>
        <v>Whole Body</v>
      </c>
      <c r="I7439">
        <f>_xlfn.XLOOKUP(A7439,'[1]Tissue Data'!$A:$A,'[1]Tissue Data'!L:L)</f>
        <v>8</v>
      </c>
      <c r="J7439">
        <f>_xlfn.XLOOKUP(A7439,'[1]Tissue Data'!$A:$A,'[1]Tissue Data'!M:M)</f>
        <v>9.23</v>
      </c>
      <c r="K7439" t="s">
        <v>49</v>
      </c>
      <c r="L7439" t="str">
        <f>_xlfn.XLOOKUP(K7439,[2]analyte_order!$B:$B,[2]analyte_order!$C:$C)</f>
        <v>812-70-4</v>
      </c>
      <c r="M7439">
        <f>_xlfn.XLOOKUP(L7439,[2]analyte_order!$C:$C,[2]analyte_order!$E:$E)</f>
        <v>40</v>
      </c>
      <c r="N7439">
        <v>7.36</v>
      </c>
    </row>
    <row r="7440" spans="1:14">
      <c r="A7440" t="s">
        <v>309</v>
      </c>
      <c r="B7440" t="str">
        <f>_xlfn.XLOOKUP(A7440,'[1]Tissue Data'!$A:$A,'[1]Tissue Data'!$C:$C)</f>
        <v>Down</v>
      </c>
      <c r="C7440" s="2">
        <f>_xlfn.XLOOKUP(A7440,'[1]Tissue Data'!$A:$A,'[1]Tissue Data'!$D:$D)</f>
        <v>44393</v>
      </c>
      <c r="D7440" s="2" t="str">
        <f>_xlfn.XLOOKUP(A7440,'[1]Tissue Data'!$A:$A,'[1]Tissue Data'!$F:$F)</f>
        <v>Pumpkinseed</v>
      </c>
      <c r="E7440" t="str">
        <f>_xlfn.XLOOKUP(A7440,'[1]Tissue Data'!$A:$A,'[1]Tissue Data'!$H:$H)</f>
        <v>Lepomis</v>
      </c>
      <c r="F7440" t="str">
        <f>_xlfn.XLOOKUP(A7440,'[1]Tissue Data'!$A:$A,'[1]Tissue Data'!$I:$I)</f>
        <v>gibbosus</v>
      </c>
      <c r="G7440" t="str">
        <f>_xlfn.XLOOKUP(A7440,'[1]Tissue Data'!$A:$A,'[1]Tissue Data'!J:J)</f>
        <v>U</v>
      </c>
      <c r="H7440" t="str">
        <f>_xlfn.XLOOKUP(A7440,'[1]Tissue Data'!$A:$A,'[1]Tissue Data'!K:K)</f>
        <v>Whole Body</v>
      </c>
      <c r="I7440">
        <f>_xlfn.XLOOKUP(A7440,'[1]Tissue Data'!$A:$A,'[1]Tissue Data'!L:L)</f>
        <v>8</v>
      </c>
      <c r="J7440">
        <f>_xlfn.XLOOKUP(A7440,'[1]Tissue Data'!$A:$A,'[1]Tissue Data'!M:M)</f>
        <v>9.23</v>
      </c>
      <c r="K7440" t="s">
        <v>50</v>
      </c>
      <c r="L7440" t="str">
        <f>_xlfn.XLOOKUP(K7440,[2]analyte_order!$B:$B,[2]analyte_order!$C:$C)</f>
        <v>53826-12-3</v>
      </c>
      <c r="M7440">
        <f>_xlfn.XLOOKUP(L7440,[2]analyte_order!$C:$C,[2]analyte_order!$E:$E)</f>
        <v>41</v>
      </c>
      <c r="N7440">
        <v>0.42849999999999999</v>
      </c>
    </row>
    <row r="7441" spans="1:14">
      <c r="A7441" t="s">
        <v>309</v>
      </c>
      <c r="B7441" t="str">
        <f>_xlfn.XLOOKUP(A7441,'[1]Tissue Data'!$A:$A,'[1]Tissue Data'!$C:$C)</f>
        <v>Down</v>
      </c>
      <c r="C7441" s="2">
        <f>_xlfn.XLOOKUP(A7441,'[1]Tissue Data'!$A:$A,'[1]Tissue Data'!$D:$D)</f>
        <v>44393</v>
      </c>
      <c r="D7441" s="2" t="str">
        <f>_xlfn.XLOOKUP(A7441,'[1]Tissue Data'!$A:$A,'[1]Tissue Data'!$F:$F)</f>
        <v>Pumpkinseed</v>
      </c>
      <c r="E7441" t="str">
        <f>_xlfn.XLOOKUP(A7441,'[1]Tissue Data'!$A:$A,'[1]Tissue Data'!$H:$H)</f>
        <v>Lepomis</v>
      </c>
      <c r="F7441" t="str">
        <f>_xlfn.XLOOKUP(A7441,'[1]Tissue Data'!$A:$A,'[1]Tissue Data'!$I:$I)</f>
        <v>gibbosus</v>
      </c>
      <c r="G7441" t="str">
        <f>_xlfn.XLOOKUP(A7441,'[1]Tissue Data'!$A:$A,'[1]Tissue Data'!J:J)</f>
        <v>U</v>
      </c>
      <c r="H7441" t="str">
        <f>_xlfn.XLOOKUP(A7441,'[1]Tissue Data'!$A:$A,'[1]Tissue Data'!K:K)</f>
        <v>Whole Body</v>
      </c>
      <c r="I7441">
        <f>_xlfn.XLOOKUP(A7441,'[1]Tissue Data'!$A:$A,'[1]Tissue Data'!L:L)</f>
        <v>8</v>
      </c>
      <c r="J7441">
        <f>_xlfn.XLOOKUP(A7441,'[1]Tissue Data'!$A:$A,'[1]Tissue Data'!M:M)</f>
        <v>9.23</v>
      </c>
      <c r="K7441" t="s">
        <v>51</v>
      </c>
      <c r="L7441" t="str">
        <f>_xlfn.XLOOKUP(K7441,[2]analyte_order!$B:$B,[2]analyte_order!$C:$C)</f>
        <v>27854-31-5</v>
      </c>
      <c r="M7441">
        <f>_xlfn.XLOOKUP(L7441,[2]analyte_order!$C:$C,[2]analyte_order!$E:$E)</f>
        <v>42</v>
      </c>
      <c r="N7441">
        <v>0.42849999999999999</v>
      </c>
    </row>
    <row r="7442" spans="1:14">
      <c r="A7442" t="s">
        <v>309</v>
      </c>
      <c r="B7442" t="str">
        <f>_xlfn.XLOOKUP(A7442,'[1]Tissue Data'!$A:$A,'[1]Tissue Data'!$C:$C)</f>
        <v>Down</v>
      </c>
      <c r="C7442" s="2">
        <f>_xlfn.XLOOKUP(A7442,'[1]Tissue Data'!$A:$A,'[1]Tissue Data'!$D:$D)</f>
        <v>44393</v>
      </c>
      <c r="D7442" s="2" t="str">
        <f>_xlfn.XLOOKUP(A7442,'[1]Tissue Data'!$A:$A,'[1]Tissue Data'!$F:$F)</f>
        <v>Pumpkinseed</v>
      </c>
      <c r="E7442" t="str">
        <f>_xlfn.XLOOKUP(A7442,'[1]Tissue Data'!$A:$A,'[1]Tissue Data'!$H:$H)</f>
        <v>Lepomis</v>
      </c>
      <c r="F7442" t="str">
        <f>_xlfn.XLOOKUP(A7442,'[1]Tissue Data'!$A:$A,'[1]Tissue Data'!$I:$I)</f>
        <v>gibbosus</v>
      </c>
      <c r="G7442" t="str">
        <f>_xlfn.XLOOKUP(A7442,'[1]Tissue Data'!$A:$A,'[1]Tissue Data'!J:J)</f>
        <v>U</v>
      </c>
      <c r="H7442" t="str">
        <f>_xlfn.XLOOKUP(A7442,'[1]Tissue Data'!$A:$A,'[1]Tissue Data'!K:K)</f>
        <v>Whole Body</v>
      </c>
      <c r="I7442">
        <f>_xlfn.XLOOKUP(A7442,'[1]Tissue Data'!$A:$A,'[1]Tissue Data'!L:L)</f>
        <v>8</v>
      </c>
      <c r="J7442">
        <f>_xlfn.XLOOKUP(A7442,'[1]Tissue Data'!$A:$A,'[1]Tissue Data'!M:M)</f>
        <v>9.23</v>
      </c>
      <c r="K7442" t="s">
        <v>52</v>
      </c>
      <c r="L7442" t="str">
        <f>_xlfn.XLOOKUP(K7442,[2]analyte_order!$B:$B,[2]analyte_order!$C:$C)</f>
        <v>53826-13-4</v>
      </c>
      <c r="M7442">
        <f>_xlfn.XLOOKUP(L7442,[2]analyte_order!$C:$C,[2]analyte_order!$E:$E)</f>
        <v>43</v>
      </c>
      <c r="N7442">
        <v>0.42849999999999999</v>
      </c>
    </row>
    <row r="7443" spans="1:14">
      <c r="A7443" t="s">
        <v>309</v>
      </c>
      <c r="B7443" t="str">
        <f>_xlfn.XLOOKUP(A7443,'[1]Tissue Data'!$A:$A,'[1]Tissue Data'!$C:$C)</f>
        <v>Down</v>
      </c>
      <c r="C7443" s="2">
        <f>_xlfn.XLOOKUP(A7443,'[1]Tissue Data'!$A:$A,'[1]Tissue Data'!$D:$D)</f>
        <v>44393</v>
      </c>
      <c r="D7443" s="2" t="str">
        <f>_xlfn.XLOOKUP(A7443,'[1]Tissue Data'!$A:$A,'[1]Tissue Data'!$F:$F)</f>
        <v>Pumpkinseed</v>
      </c>
      <c r="E7443" t="str">
        <f>_xlfn.XLOOKUP(A7443,'[1]Tissue Data'!$A:$A,'[1]Tissue Data'!$H:$H)</f>
        <v>Lepomis</v>
      </c>
      <c r="F7443" t="str">
        <f>_xlfn.XLOOKUP(A7443,'[1]Tissue Data'!$A:$A,'[1]Tissue Data'!$I:$I)</f>
        <v>gibbosus</v>
      </c>
      <c r="G7443" t="str">
        <f>_xlfn.XLOOKUP(A7443,'[1]Tissue Data'!$A:$A,'[1]Tissue Data'!J:J)</f>
        <v>U</v>
      </c>
      <c r="H7443" t="str">
        <f>_xlfn.XLOOKUP(A7443,'[1]Tissue Data'!$A:$A,'[1]Tissue Data'!K:K)</f>
        <v>Whole Body</v>
      </c>
      <c r="I7443">
        <f>_xlfn.XLOOKUP(A7443,'[1]Tissue Data'!$A:$A,'[1]Tissue Data'!L:L)</f>
        <v>8</v>
      </c>
      <c r="J7443">
        <f>_xlfn.XLOOKUP(A7443,'[1]Tissue Data'!$A:$A,'[1]Tissue Data'!M:M)</f>
        <v>9.23</v>
      </c>
      <c r="K7443" t="s">
        <v>53</v>
      </c>
      <c r="L7443" t="str">
        <f>_xlfn.XLOOKUP(K7443,[2]analyte_order!$B:$B,[2]analyte_order!$C:$C)</f>
        <v>161094-75-3</v>
      </c>
      <c r="M7443">
        <f>_xlfn.XLOOKUP(L7443,[2]analyte_order!$C:$C,[2]analyte_order!$E:$E)</f>
        <v>44</v>
      </c>
      <c r="N7443">
        <v>0.42849999999999999</v>
      </c>
    </row>
    <row r="7444" spans="1:14">
      <c r="A7444" t="s">
        <v>309</v>
      </c>
      <c r="B7444" t="str">
        <f>_xlfn.XLOOKUP(A7444,'[1]Tissue Data'!$A:$A,'[1]Tissue Data'!$C:$C)</f>
        <v>Down</v>
      </c>
      <c r="C7444" s="2">
        <f>_xlfn.XLOOKUP(A7444,'[1]Tissue Data'!$A:$A,'[1]Tissue Data'!$D:$D)</f>
        <v>44393</v>
      </c>
      <c r="D7444" s="2" t="str">
        <f>_xlfn.XLOOKUP(A7444,'[1]Tissue Data'!$A:$A,'[1]Tissue Data'!$F:$F)</f>
        <v>Pumpkinseed</v>
      </c>
      <c r="E7444" t="str">
        <f>_xlfn.XLOOKUP(A7444,'[1]Tissue Data'!$A:$A,'[1]Tissue Data'!$H:$H)</f>
        <v>Lepomis</v>
      </c>
      <c r="F7444" t="str">
        <f>_xlfn.XLOOKUP(A7444,'[1]Tissue Data'!$A:$A,'[1]Tissue Data'!$I:$I)</f>
        <v>gibbosus</v>
      </c>
      <c r="G7444" t="str">
        <f>_xlfn.XLOOKUP(A7444,'[1]Tissue Data'!$A:$A,'[1]Tissue Data'!J:J)</f>
        <v>U</v>
      </c>
      <c r="H7444" t="str">
        <f>_xlfn.XLOOKUP(A7444,'[1]Tissue Data'!$A:$A,'[1]Tissue Data'!K:K)</f>
        <v>Whole Body</v>
      </c>
      <c r="I7444">
        <f>_xlfn.XLOOKUP(A7444,'[1]Tissue Data'!$A:$A,'[1]Tissue Data'!L:L)</f>
        <v>8</v>
      </c>
      <c r="J7444">
        <f>_xlfn.XLOOKUP(A7444,'[1]Tissue Data'!$A:$A,'[1]Tissue Data'!M:M)</f>
        <v>9.23</v>
      </c>
      <c r="K7444" t="s">
        <v>54</v>
      </c>
      <c r="L7444" t="str">
        <f>_xlfn.XLOOKUP(K7444,[2]analyte_order!$B:$B,[2]analyte_order!$C:$C)</f>
        <v>70887-84-2</v>
      </c>
      <c r="M7444">
        <f>_xlfn.XLOOKUP(L7444,[2]analyte_order!$C:$C,[2]analyte_order!$E:$E)</f>
        <v>45</v>
      </c>
      <c r="N7444">
        <v>0.42849999999999999</v>
      </c>
    </row>
    <row r="7445" spans="1:14">
      <c r="A7445" t="s">
        <v>309</v>
      </c>
      <c r="B7445" t="str">
        <f>_xlfn.XLOOKUP(A7445,'[1]Tissue Data'!$A:$A,'[1]Tissue Data'!$C:$C)</f>
        <v>Down</v>
      </c>
      <c r="C7445" s="2">
        <f>_xlfn.XLOOKUP(A7445,'[1]Tissue Data'!$A:$A,'[1]Tissue Data'!$D:$D)</f>
        <v>44393</v>
      </c>
      <c r="D7445" s="2" t="str">
        <f>_xlfn.XLOOKUP(A7445,'[1]Tissue Data'!$A:$A,'[1]Tissue Data'!$F:$F)</f>
        <v>Pumpkinseed</v>
      </c>
      <c r="E7445" t="str">
        <f>_xlfn.XLOOKUP(A7445,'[1]Tissue Data'!$A:$A,'[1]Tissue Data'!$H:$H)</f>
        <v>Lepomis</v>
      </c>
      <c r="F7445" t="str">
        <f>_xlfn.XLOOKUP(A7445,'[1]Tissue Data'!$A:$A,'[1]Tissue Data'!$I:$I)</f>
        <v>gibbosus</v>
      </c>
      <c r="G7445" t="str">
        <f>_xlfn.XLOOKUP(A7445,'[1]Tissue Data'!$A:$A,'[1]Tissue Data'!J:J)</f>
        <v>U</v>
      </c>
      <c r="H7445" t="str">
        <f>_xlfn.XLOOKUP(A7445,'[1]Tissue Data'!$A:$A,'[1]Tissue Data'!K:K)</f>
        <v>Whole Body</v>
      </c>
      <c r="I7445">
        <f>_xlfn.XLOOKUP(A7445,'[1]Tissue Data'!$A:$A,'[1]Tissue Data'!L:L)</f>
        <v>8</v>
      </c>
      <c r="J7445">
        <f>_xlfn.XLOOKUP(A7445,'[1]Tissue Data'!$A:$A,'[1]Tissue Data'!M:M)</f>
        <v>9.23</v>
      </c>
      <c r="K7445" t="s">
        <v>55</v>
      </c>
      <c r="L7445" t="str">
        <f>_xlfn.XLOOKUP(K7445,[2]analyte_order!$B:$B,[2]analyte_order!$C:$C)</f>
        <v>919005-14-4</v>
      </c>
      <c r="M7445">
        <f>_xlfn.XLOOKUP(L7445,[2]analyte_order!$C:$C,[2]analyte_order!$E:$E)</f>
        <v>35</v>
      </c>
      <c r="N7445">
        <v>0.2145</v>
      </c>
    </row>
    <row r="7446" spans="1:14">
      <c r="A7446" t="s">
        <v>309</v>
      </c>
      <c r="B7446" t="str">
        <f>_xlfn.XLOOKUP(A7446,'[1]Tissue Data'!$A:$A,'[1]Tissue Data'!$C:$C)</f>
        <v>Down</v>
      </c>
      <c r="C7446" s="2">
        <f>_xlfn.XLOOKUP(A7446,'[1]Tissue Data'!$A:$A,'[1]Tissue Data'!$D:$D)</f>
        <v>44393</v>
      </c>
      <c r="D7446" s="2" t="str">
        <f>_xlfn.XLOOKUP(A7446,'[1]Tissue Data'!$A:$A,'[1]Tissue Data'!$F:$F)</f>
        <v>Pumpkinseed</v>
      </c>
      <c r="E7446" t="str">
        <f>_xlfn.XLOOKUP(A7446,'[1]Tissue Data'!$A:$A,'[1]Tissue Data'!$H:$H)</f>
        <v>Lepomis</v>
      </c>
      <c r="F7446" t="str">
        <f>_xlfn.XLOOKUP(A7446,'[1]Tissue Data'!$A:$A,'[1]Tissue Data'!$I:$I)</f>
        <v>gibbosus</v>
      </c>
      <c r="G7446" t="str">
        <f>_xlfn.XLOOKUP(A7446,'[1]Tissue Data'!$A:$A,'[1]Tissue Data'!J:J)</f>
        <v>U</v>
      </c>
      <c r="H7446" t="str">
        <f>_xlfn.XLOOKUP(A7446,'[1]Tissue Data'!$A:$A,'[1]Tissue Data'!K:K)</f>
        <v>Whole Body</v>
      </c>
      <c r="I7446">
        <f>_xlfn.XLOOKUP(A7446,'[1]Tissue Data'!$A:$A,'[1]Tissue Data'!L:L)</f>
        <v>8</v>
      </c>
      <c r="J7446">
        <f>_xlfn.XLOOKUP(A7446,'[1]Tissue Data'!$A:$A,'[1]Tissue Data'!M:M)</f>
        <v>9.23</v>
      </c>
      <c r="K7446" t="s">
        <v>56</v>
      </c>
      <c r="L7446" t="str">
        <f>_xlfn.XLOOKUP(K7446,[2]analyte_order!$B:$B,[2]analyte_order!$C:$C)</f>
        <v>756426-58-1</v>
      </c>
      <c r="M7446">
        <f>_xlfn.XLOOKUP(L7446,[2]analyte_order!$C:$C,[2]analyte_order!$E:$E)</f>
        <v>36</v>
      </c>
      <c r="N7446">
        <v>0.42849999999999999</v>
      </c>
    </row>
    <row r="7447" spans="1:14">
      <c r="A7447" t="s">
        <v>309</v>
      </c>
      <c r="B7447" t="str">
        <f>_xlfn.XLOOKUP(A7447,'[1]Tissue Data'!$A:$A,'[1]Tissue Data'!$C:$C)</f>
        <v>Down</v>
      </c>
      <c r="C7447" s="2">
        <f>_xlfn.XLOOKUP(A7447,'[1]Tissue Data'!$A:$A,'[1]Tissue Data'!$D:$D)</f>
        <v>44393</v>
      </c>
      <c r="D7447" s="2" t="str">
        <f>_xlfn.XLOOKUP(A7447,'[1]Tissue Data'!$A:$A,'[1]Tissue Data'!$F:$F)</f>
        <v>Pumpkinseed</v>
      </c>
      <c r="E7447" t="str">
        <f>_xlfn.XLOOKUP(A7447,'[1]Tissue Data'!$A:$A,'[1]Tissue Data'!$H:$H)</f>
        <v>Lepomis</v>
      </c>
      <c r="F7447" t="str">
        <f>_xlfn.XLOOKUP(A7447,'[1]Tissue Data'!$A:$A,'[1]Tissue Data'!$I:$I)</f>
        <v>gibbosus</v>
      </c>
      <c r="G7447" t="str">
        <f>_xlfn.XLOOKUP(A7447,'[1]Tissue Data'!$A:$A,'[1]Tissue Data'!J:J)</f>
        <v>U</v>
      </c>
      <c r="H7447" t="str">
        <f>_xlfn.XLOOKUP(A7447,'[1]Tissue Data'!$A:$A,'[1]Tissue Data'!K:K)</f>
        <v>Whole Body</v>
      </c>
      <c r="I7447">
        <f>_xlfn.XLOOKUP(A7447,'[1]Tissue Data'!$A:$A,'[1]Tissue Data'!L:L)</f>
        <v>8</v>
      </c>
      <c r="J7447">
        <f>_xlfn.XLOOKUP(A7447,'[1]Tissue Data'!$A:$A,'[1]Tissue Data'!M:M)</f>
        <v>9.23</v>
      </c>
      <c r="K7447" t="s">
        <v>57</v>
      </c>
      <c r="L7447" t="str">
        <f>_xlfn.XLOOKUP(K7447,[2]analyte_order!$B:$B,[2]analyte_order!$C:$C)</f>
        <v>763051-92-9</v>
      </c>
      <c r="M7447">
        <f>_xlfn.XLOOKUP(L7447,[2]analyte_order!$C:$C,[2]analyte_order!$E:$E)</f>
        <v>37</v>
      </c>
      <c r="N7447">
        <v>0.42849999999999999</v>
      </c>
    </row>
    <row r="7448" spans="1:14">
      <c r="A7448" t="s">
        <v>309</v>
      </c>
      <c r="B7448" t="str">
        <f>_xlfn.XLOOKUP(A7448,'[1]Tissue Data'!$A:$A,'[1]Tissue Data'!$C:$C)</f>
        <v>Down</v>
      </c>
      <c r="C7448" s="2">
        <f>_xlfn.XLOOKUP(A7448,'[1]Tissue Data'!$A:$A,'[1]Tissue Data'!$D:$D)</f>
        <v>44393</v>
      </c>
      <c r="D7448" s="2" t="str">
        <f>_xlfn.XLOOKUP(A7448,'[1]Tissue Data'!$A:$A,'[1]Tissue Data'!$F:$F)</f>
        <v>Pumpkinseed</v>
      </c>
      <c r="E7448" t="str">
        <f>_xlfn.XLOOKUP(A7448,'[1]Tissue Data'!$A:$A,'[1]Tissue Data'!$H:$H)</f>
        <v>Lepomis</v>
      </c>
      <c r="F7448" t="str">
        <f>_xlfn.XLOOKUP(A7448,'[1]Tissue Data'!$A:$A,'[1]Tissue Data'!$I:$I)</f>
        <v>gibbosus</v>
      </c>
      <c r="G7448" t="str">
        <f>_xlfn.XLOOKUP(A7448,'[1]Tissue Data'!$A:$A,'[1]Tissue Data'!J:J)</f>
        <v>U</v>
      </c>
      <c r="H7448" t="str">
        <f>_xlfn.XLOOKUP(A7448,'[1]Tissue Data'!$A:$A,'[1]Tissue Data'!K:K)</f>
        <v>Whole Body</v>
      </c>
      <c r="I7448">
        <f>_xlfn.XLOOKUP(A7448,'[1]Tissue Data'!$A:$A,'[1]Tissue Data'!L:L)</f>
        <v>8</v>
      </c>
      <c r="J7448">
        <f>_xlfn.XLOOKUP(A7448,'[1]Tissue Data'!$A:$A,'[1]Tissue Data'!M:M)</f>
        <v>9.23</v>
      </c>
      <c r="K7448" t="s">
        <v>58</v>
      </c>
      <c r="L7448" t="str">
        <f>_xlfn.XLOOKUP(K7448,[2]analyte_order!$B:$B,[2]analyte_order!$C:$C)</f>
        <v>13252-13-6</v>
      </c>
      <c r="M7448">
        <f>_xlfn.XLOOKUP(L7448,[2]analyte_order!$C:$C,[2]analyte_order!$E:$E)</f>
        <v>34</v>
      </c>
      <c r="N7448">
        <v>0.3075</v>
      </c>
    </row>
    <row r="7449" spans="1:14">
      <c r="A7449" t="s">
        <v>309</v>
      </c>
      <c r="B7449" t="str">
        <f>_xlfn.XLOOKUP(A7449,'[1]Tissue Data'!$A:$A,'[1]Tissue Data'!$C:$C)</f>
        <v>Down</v>
      </c>
      <c r="C7449" s="2">
        <f>_xlfn.XLOOKUP(A7449,'[1]Tissue Data'!$A:$A,'[1]Tissue Data'!$D:$D)</f>
        <v>44393</v>
      </c>
      <c r="D7449" s="2" t="str">
        <f>_xlfn.XLOOKUP(A7449,'[1]Tissue Data'!$A:$A,'[1]Tissue Data'!$F:$F)</f>
        <v>Pumpkinseed</v>
      </c>
      <c r="E7449" t="str">
        <f>_xlfn.XLOOKUP(A7449,'[1]Tissue Data'!$A:$A,'[1]Tissue Data'!$H:$H)</f>
        <v>Lepomis</v>
      </c>
      <c r="F7449" t="str">
        <f>_xlfn.XLOOKUP(A7449,'[1]Tissue Data'!$A:$A,'[1]Tissue Data'!$I:$I)</f>
        <v>gibbosus</v>
      </c>
      <c r="G7449" t="str">
        <f>_xlfn.XLOOKUP(A7449,'[1]Tissue Data'!$A:$A,'[1]Tissue Data'!J:J)</f>
        <v>U</v>
      </c>
      <c r="H7449" t="str">
        <f>_xlfn.XLOOKUP(A7449,'[1]Tissue Data'!$A:$A,'[1]Tissue Data'!K:K)</f>
        <v>Whole Body</v>
      </c>
      <c r="I7449">
        <f>_xlfn.XLOOKUP(A7449,'[1]Tissue Data'!$A:$A,'[1]Tissue Data'!L:L)</f>
        <v>8</v>
      </c>
      <c r="J7449">
        <f>_xlfn.XLOOKUP(A7449,'[1]Tissue Data'!$A:$A,'[1]Tissue Data'!M:M)</f>
        <v>9.23</v>
      </c>
      <c r="K7449" t="s">
        <v>59</v>
      </c>
      <c r="L7449" t="str">
        <f>_xlfn.XLOOKUP(K7449,[2]analyte_order!$B:$B,[2]analyte_order!$C:$C)</f>
        <v>57677-95-9</v>
      </c>
      <c r="M7449">
        <f>_xlfn.XLOOKUP(L7449,[2]analyte_order!$C:$C,[2]analyte_order!$E:$E)</f>
        <v>46</v>
      </c>
      <c r="N7449">
        <v>0.42849999999999999</v>
      </c>
    </row>
    <row r="7450" spans="1:14">
      <c r="A7450" t="s">
        <v>309</v>
      </c>
      <c r="B7450" t="str">
        <f>_xlfn.XLOOKUP(A7450,'[1]Tissue Data'!$A:$A,'[1]Tissue Data'!$C:$C)</f>
        <v>Down</v>
      </c>
      <c r="C7450" s="2">
        <f>_xlfn.XLOOKUP(A7450,'[1]Tissue Data'!$A:$A,'[1]Tissue Data'!$D:$D)</f>
        <v>44393</v>
      </c>
      <c r="D7450" s="2" t="str">
        <f>_xlfn.XLOOKUP(A7450,'[1]Tissue Data'!$A:$A,'[1]Tissue Data'!$F:$F)</f>
        <v>Pumpkinseed</v>
      </c>
      <c r="E7450" t="str">
        <f>_xlfn.XLOOKUP(A7450,'[1]Tissue Data'!$A:$A,'[1]Tissue Data'!$H:$H)</f>
        <v>Lepomis</v>
      </c>
      <c r="F7450" t="str">
        <f>_xlfn.XLOOKUP(A7450,'[1]Tissue Data'!$A:$A,'[1]Tissue Data'!$I:$I)</f>
        <v>gibbosus</v>
      </c>
      <c r="G7450" t="str">
        <f>_xlfn.XLOOKUP(A7450,'[1]Tissue Data'!$A:$A,'[1]Tissue Data'!J:J)</f>
        <v>U</v>
      </c>
      <c r="H7450" t="str">
        <f>_xlfn.XLOOKUP(A7450,'[1]Tissue Data'!$A:$A,'[1]Tissue Data'!K:K)</f>
        <v>Whole Body</v>
      </c>
      <c r="I7450">
        <f>_xlfn.XLOOKUP(A7450,'[1]Tissue Data'!$A:$A,'[1]Tissue Data'!L:L)</f>
        <v>8</v>
      </c>
      <c r="J7450">
        <f>_xlfn.XLOOKUP(A7450,'[1]Tissue Data'!$A:$A,'[1]Tissue Data'!M:M)</f>
        <v>9.23</v>
      </c>
      <c r="K7450" t="s">
        <v>60</v>
      </c>
      <c r="L7450" t="str">
        <f>_xlfn.XLOOKUP(K7450,[2]analyte_order!$B:$B,[2]analyte_order!$C:$C)</f>
        <v>678-41-1</v>
      </c>
      <c r="M7450">
        <f>_xlfn.XLOOKUP(L7450,[2]analyte_order!$C:$C,[2]analyte_order!$E:$E)</f>
        <v>56</v>
      </c>
      <c r="N7450">
        <v>0.42849999999999999</v>
      </c>
    </row>
    <row r="7451" spans="1:14">
      <c r="A7451" t="s">
        <v>309</v>
      </c>
      <c r="B7451" t="str">
        <f>_xlfn.XLOOKUP(A7451,'[1]Tissue Data'!$A:$A,'[1]Tissue Data'!$C:$C)</f>
        <v>Down</v>
      </c>
      <c r="C7451" s="2">
        <f>_xlfn.XLOOKUP(A7451,'[1]Tissue Data'!$A:$A,'[1]Tissue Data'!$D:$D)</f>
        <v>44393</v>
      </c>
      <c r="D7451" s="2" t="str">
        <f>_xlfn.XLOOKUP(A7451,'[1]Tissue Data'!$A:$A,'[1]Tissue Data'!$F:$F)</f>
        <v>Pumpkinseed</v>
      </c>
      <c r="E7451" t="str">
        <f>_xlfn.XLOOKUP(A7451,'[1]Tissue Data'!$A:$A,'[1]Tissue Data'!$H:$H)</f>
        <v>Lepomis</v>
      </c>
      <c r="F7451" t="str">
        <f>_xlfn.XLOOKUP(A7451,'[1]Tissue Data'!$A:$A,'[1]Tissue Data'!$I:$I)</f>
        <v>gibbosus</v>
      </c>
      <c r="G7451" t="str">
        <f>_xlfn.XLOOKUP(A7451,'[1]Tissue Data'!$A:$A,'[1]Tissue Data'!J:J)</f>
        <v>U</v>
      </c>
      <c r="H7451" t="str">
        <f>_xlfn.XLOOKUP(A7451,'[1]Tissue Data'!$A:$A,'[1]Tissue Data'!K:K)</f>
        <v>Whole Body</v>
      </c>
      <c r="I7451">
        <f>_xlfn.XLOOKUP(A7451,'[1]Tissue Data'!$A:$A,'[1]Tissue Data'!L:L)</f>
        <v>8</v>
      </c>
      <c r="J7451">
        <f>_xlfn.XLOOKUP(A7451,'[1]Tissue Data'!$A:$A,'[1]Tissue Data'!M:M)</f>
        <v>9.23</v>
      </c>
      <c r="K7451" t="s">
        <v>61</v>
      </c>
      <c r="L7451" t="str">
        <f>_xlfn.XLOOKUP(K7451,[2]analyte_order!$B:$B,[2]analyte_order!$C:$C)</f>
        <v>2965-52-8</v>
      </c>
      <c r="M7451">
        <f>_xlfn.XLOOKUP(L7451,[2]analyte_order!$C:$C,[2]analyte_order!$E:$E)</f>
        <v>57</v>
      </c>
      <c r="N7451">
        <v>0.42849999999999999</v>
      </c>
    </row>
    <row r="7452" spans="1:14">
      <c r="A7452" t="s">
        <v>174</v>
      </c>
      <c r="B7452" t="str">
        <f>_xlfn.XLOOKUP(A7452,'[1]Tissue Data'!$A:$A,'[1]Tissue Data'!$C:$C)</f>
        <v>Down</v>
      </c>
      <c r="C7452" s="2">
        <f>_xlfn.XLOOKUP(A7452,'[1]Tissue Data'!$A:$A,'[1]Tissue Data'!$D:$D)</f>
        <v>44393</v>
      </c>
      <c r="D7452" s="2" t="str">
        <f>_xlfn.XLOOKUP(A7452,'[1]Tissue Data'!$A:$A,'[1]Tissue Data'!$F:$F)</f>
        <v>Eastern Mudminnow</v>
      </c>
      <c r="E7452" t="str">
        <f>_xlfn.XLOOKUP(A7452,'[1]Tissue Data'!$A:$A,'[1]Tissue Data'!$H:$H)</f>
        <v>Umbra</v>
      </c>
      <c r="F7452" t="str">
        <f>_xlfn.XLOOKUP(A7452,'[1]Tissue Data'!$A:$A,'[1]Tissue Data'!$I:$I)</f>
        <v>pygmaea</v>
      </c>
      <c r="G7452" t="str">
        <f>_xlfn.XLOOKUP(A7452,'[1]Tissue Data'!$A:$A,'[1]Tissue Data'!J:J)</f>
        <v>U</v>
      </c>
      <c r="H7452" t="str">
        <f>_xlfn.XLOOKUP(A7452,'[1]Tissue Data'!$A:$A,'[1]Tissue Data'!K:K)</f>
        <v>Whole Body</v>
      </c>
      <c r="I7452">
        <f>_xlfn.XLOOKUP(A7452,'[1]Tissue Data'!$A:$A,'[1]Tissue Data'!L:L)</f>
        <v>8</v>
      </c>
      <c r="J7452">
        <f>_xlfn.XLOOKUP(A7452,'[1]Tissue Data'!$A:$A,'[1]Tissue Data'!M:M)</f>
        <v>6.98</v>
      </c>
      <c r="K7452" t="s">
        <v>12</v>
      </c>
      <c r="L7452" t="str">
        <f>_xlfn.XLOOKUP(K7452,[2]analyte_order!$B:$B,[2]analyte_order!$C:$C)</f>
        <v>375-22-4</v>
      </c>
      <c r="M7452">
        <f>_xlfn.XLOOKUP(L7452,[2]analyte_order!$C:$C,[2]analyte_order!$E:$E)</f>
        <v>1</v>
      </c>
      <c r="N7452">
        <v>0.22750000000000001</v>
      </c>
    </row>
    <row r="7453" spans="1:14">
      <c r="A7453" t="s">
        <v>174</v>
      </c>
      <c r="B7453" t="str">
        <f>_xlfn.XLOOKUP(A7453,'[1]Tissue Data'!$A:$A,'[1]Tissue Data'!$C:$C)</f>
        <v>Down</v>
      </c>
      <c r="C7453" s="2">
        <f>_xlfn.XLOOKUP(A7453,'[1]Tissue Data'!$A:$A,'[1]Tissue Data'!$D:$D)</f>
        <v>44393</v>
      </c>
      <c r="D7453" s="2" t="str">
        <f>_xlfn.XLOOKUP(A7453,'[1]Tissue Data'!$A:$A,'[1]Tissue Data'!$F:$F)</f>
        <v>Eastern Mudminnow</v>
      </c>
      <c r="E7453" t="str">
        <f>_xlfn.XLOOKUP(A7453,'[1]Tissue Data'!$A:$A,'[1]Tissue Data'!$H:$H)</f>
        <v>Umbra</v>
      </c>
      <c r="F7453" t="str">
        <f>_xlfn.XLOOKUP(A7453,'[1]Tissue Data'!$A:$A,'[1]Tissue Data'!$I:$I)</f>
        <v>pygmaea</v>
      </c>
      <c r="G7453" t="str">
        <f>_xlfn.XLOOKUP(A7453,'[1]Tissue Data'!$A:$A,'[1]Tissue Data'!J:J)</f>
        <v>U</v>
      </c>
      <c r="H7453" t="str">
        <f>_xlfn.XLOOKUP(A7453,'[1]Tissue Data'!$A:$A,'[1]Tissue Data'!K:K)</f>
        <v>Whole Body</v>
      </c>
      <c r="I7453">
        <f>_xlfn.XLOOKUP(A7453,'[1]Tissue Data'!$A:$A,'[1]Tissue Data'!L:L)</f>
        <v>8</v>
      </c>
      <c r="J7453">
        <f>_xlfn.XLOOKUP(A7453,'[1]Tissue Data'!$A:$A,'[1]Tissue Data'!M:M)</f>
        <v>6.98</v>
      </c>
      <c r="K7453" t="s">
        <v>13</v>
      </c>
      <c r="L7453" t="str">
        <f>_xlfn.XLOOKUP(K7453,[2]analyte_order!$B:$B,[2]analyte_order!$C:$C)</f>
        <v>2706-90-3</v>
      </c>
      <c r="M7453">
        <f>_xlfn.XLOOKUP(L7453,[2]analyte_order!$C:$C,[2]analyte_order!$E:$E)</f>
        <v>2</v>
      </c>
      <c r="N7453">
        <v>0.22750000000000001</v>
      </c>
    </row>
    <row r="7454" spans="1:14">
      <c r="A7454" t="s">
        <v>174</v>
      </c>
      <c r="B7454" t="str">
        <f>_xlfn.XLOOKUP(A7454,'[1]Tissue Data'!$A:$A,'[1]Tissue Data'!$C:$C)</f>
        <v>Down</v>
      </c>
      <c r="C7454" s="2">
        <f>_xlfn.XLOOKUP(A7454,'[1]Tissue Data'!$A:$A,'[1]Tissue Data'!$D:$D)</f>
        <v>44393</v>
      </c>
      <c r="D7454" s="2" t="str">
        <f>_xlfn.XLOOKUP(A7454,'[1]Tissue Data'!$A:$A,'[1]Tissue Data'!$F:$F)</f>
        <v>Eastern Mudminnow</v>
      </c>
      <c r="E7454" t="str">
        <f>_xlfn.XLOOKUP(A7454,'[1]Tissue Data'!$A:$A,'[1]Tissue Data'!$H:$H)</f>
        <v>Umbra</v>
      </c>
      <c r="F7454" t="str">
        <f>_xlfn.XLOOKUP(A7454,'[1]Tissue Data'!$A:$A,'[1]Tissue Data'!$I:$I)</f>
        <v>pygmaea</v>
      </c>
      <c r="G7454" t="str">
        <f>_xlfn.XLOOKUP(A7454,'[1]Tissue Data'!$A:$A,'[1]Tissue Data'!J:J)</f>
        <v>U</v>
      </c>
      <c r="H7454" t="str">
        <f>_xlfn.XLOOKUP(A7454,'[1]Tissue Data'!$A:$A,'[1]Tissue Data'!K:K)</f>
        <v>Whole Body</v>
      </c>
      <c r="I7454">
        <f>_xlfn.XLOOKUP(A7454,'[1]Tissue Data'!$A:$A,'[1]Tissue Data'!L:L)</f>
        <v>8</v>
      </c>
      <c r="J7454">
        <f>_xlfn.XLOOKUP(A7454,'[1]Tissue Data'!$A:$A,'[1]Tissue Data'!M:M)</f>
        <v>6.98</v>
      </c>
      <c r="K7454" t="s">
        <v>14</v>
      </c>
      <c r="L7454" t="str">
        <f>_xlfn.XLOOKUP(K7454,[2]analyte_order!$B:$B,[2]analyte_order!$C:$C)</f>
        <v>307-24-4</v>
      </c>
      <c r="M7454">
        <f>_xlfn.XLOOKUP(L7454,[2]analyte_order!$C:$C,[2]analyte_order!$E:$E)</f>
        <v>3</v>
      </c>
      <c r="N7454">
        <v>0.1225</v>
      </c>
    </row>
    <row r="7455" spans="1:14">
      <c r="A7455" t="s">
        <v>174</v>
      </c>
      <c r="B7455" t="str">
        <f>_xlfn.XLOOKUP(A7455,'[1]Tissue Data'!$A:$A,'[1]Tissue Data'!$C:$C)</f>
        <v>Down</v>
      </c>
      <c r="C7455" s="2">
        <f>_xlfn.XLOOKUP(A7455,'[1]Tissue Data'!$A:$A,'[1]Tissue Data'!$D:$D)</f>
        <v>44393</v>
      </c>
      <c r="D7455" s="2" t="str">
        <f>_xlfn.XLOOKUP(A7455,'[1]Tissue Data'!$A:$A,'[1]Tissue Data'!$F:$F)</f>
        <v>Eastern Mudminnow</v>
      </c>
      <c r="E7455" t="str">
        <f>_xlfn.XLOOKUP(A7455,'[1]Tissue Data'!$A:$A,'[1]Tissue Data'!$H:$H)</f>
        <v>Umbra</v>
      </c>
      <c r="F7455" t="str">
        <f>_xlfn.XLOOKUP(A7455,'[1]Tissue Data'!$A:$A,'[1]Tissue Data'!$I:$I)</f>
        <v>pygmaea</v>
      </c>
      <c r="G7455" t="str">
        <f>_xlfn.XLOOKUP(A7455,'[1]Tissue Data'!$A:$A,'[1]Tissue Data'!J:J)</f>
        <v>U</v>
      </c>
      <c r="H7455" t="str">
        <f>_xlfn.XLOOKUP(A7455,'[1]Tissue Data'!$A:$A,'[1]Tissue Data'!K:K)</f>
        <v>Whole Body</v>
      </c>
      <c r="I7455">
        <f>_xlfn.XLOOKUP(A7455,'[1]Tissue Data'!$A:$A,'[1]Tissue Data'!L:L)</f>
        <v>8</v>
      </c>
      <c r="J7455">
        <f>_xlfn.XLOOKUP(A7455,'[1]Tissue Data'!$A:$A,'[1]Tissue Data'!M:M)</f>
        <v>6.98</v>
      </c>
      <c r="K7455" t="s">
        <v>15</v>
      </c>
      <c r="L7455" t="str">
        <f>_xlfn.XLOOKUP(K7455,[2]analyte_order!$B:$B,[2]analyte_order!$C:$C)</f>
        <v>375-85-9</v>
      </c>
      <c r="M7455">
        <f>_xlfn.XLOOKUP(L7455,[2]analyte_order!$C:$C,[2]analyte_order!$E:$E)</f>
        <v>4</v>
      </c>
      <c r="N7455">
        <v>0.22750000000000001</v>
      </c>
    </row>
    <row r="7456" spans="1:14">
      <c r="A7456" t="s">
        <v>174</v>
      </c>
      <c r="B7456" t="str">
        <f>_xlfn.XLOOKUP(A7456,'[1]Tissue Data'!$A:$A,'[1]Tissue Data'!$C:$C)</f>
        <v>Down</v>
      </c>
      <c r="C7456" s="2">
        <f>_xlfn.XLOOKUP(A7456,'[1]Tissue Data'!$A:$A,'[1]Tissue Data'!$D:$D)</f>
        <v>44393</v>
      </c>
      <c r="D7456" s="2" t="str">
        <f>_xlfn.XLOOKUP(A7456,'[1]Tissue Data'!$A:$A,'[1]Tissue Data'!$F:$F)</f>
        <v>Eastern Mudminnow</v>
      </c>
      <c r="E7456" t="str">
        <f>_xlfn.XLOOKUP(A7456,'[1]Tissue Data'!$A:$A,'[1]Tissue Data'!$H:$H)</f>
        <v>Umbra</v>
      </c>
      <c r="F7456" t="str">
        <f>_xlfn.XLOOKUP(A7456,'[1]Tissue Data'!$A:$A,'[1]Tissue Data'!$I:$I)</f>
        <v>pygmaea</v>
      </c>
      <c r="G7456" t="str">
        <f>_xlfn.XLOOKUP(A7456,'[1]Tissue Data'!$A:$A,'[1]Tissue Data'!J:J)</f>
        <v>U</v>
      </c>
      <c r="H7456" t="str">
        <f>_xlfn.XLOOKUP(A7456,'[1]Tissue Data'!$A:$A,'[1]Tissue Data'!K:K)</f>
        <v>Whole Body</v>
      </c>
      <c r="I7456">
        <f>_xlfn.XLOOKUP(A7456,'[1]Tissue Data'!$A:$A,'[1]Tissue Data'!L:L)</f>
        <v>8</v>
      </c>
      <c r="J7456">
        <f>_xlfn.XLOOKUP(A7456,'[1]Tissue Data'!$A:$A,'[1]Tissue Data'!M:M)</f>
        <v>6.98</v>
      </c>
      <c r="K7456" t="s">
        <v>16</v>
      </c>
      <c r="L7456" t="str">
        <f>_xlfn.XLOOKUP(K7456,[2]analyte_order!$B:$B,[2]analyte_order!$C:$C)</f>
        <v>335-67-1</v>
      </c>
      <c r="M7456">
        <f>_xlfn.XLOOKUP(L7456,[2]analyte_order!$C:$C,[2]analyte_order!$E:$E)</f>
        <v>5</v>
      </c>
      <c r="N7456">
        <v>3.73</v>
      </c>
    </row>
    <row r="7457" spans="1:14">
      <c r="A7457" t="s">
        <v>174</v>
      </c>
      <c r="B7457" t="str">
        <f>_xlfn.XLOOKUP(A7457,'[1]Tissue Data'!$A:$A,'[1]Tissue Data'!$C:$C)</f>
        <v>Down</v>
      </c>
      <c r="C7457" s="2">
        <f>_xlfn.XLOOKUP(A7457,'[1]Tissue Data'!$A:$A,'[1]Tissue Data'!$D:$D)</f>
        <v>44393</v>
      </c>
      <c r="D7457" s="2" t="str">
        <f>_xlfn.XLOOKUP(A7457,'[1]Tissue Data'!$A:$A,'[1]Tissue Data'!$F:$F)</f>
        <v>Eastern Mudminnow</v>
      </c>
      <c r="E7457" t="str">
        <f>_xlfn.XLOOKUP(A7457,'[1]Tissue Data'!$A:$A,'[1]Tissue Data'!$H:$H)</f>
        <v>Umbra</v>
      </c>
      <c r="F7457" t="str">
        <f>_xlfn.XLOOKUP(A7457,'[1]Tissue Data'!$A:$A,'[1]Tissue Data'!$I:$I)</f>
        <v>pygmaea</v>
      </c>
      <c r="G7457" t="str">
        <f>_xlfn.XLOOKUP(A7457,'[1]Tissue Data'!$A:$A,'[1]Tissue Data'!J:J)</f>
        <v>U</v>
      </c>
      <c r="H7457" t="str">
        <f>_xlfn.XLOOKUP(A7457,'[1]Tissue Data'!$A:$A,'[1]Tissue Data'!K:K)</f>
        <v>Whole Body</v>
      </c>
      <c r="I7457">
        <f>_xlfn.XLOOKUP(A7457,'[1]Tissue Data'!$A:$A,'[1]Tissue Data'!L:L)</f>
        <v>8</v>
      </c>
      <c r="J7457">
        <f>_xlfn.XLOOKUP(A7457,'[1]Tissue Data'!$A:$A,'[1]Tissue Data'!M:M)</f>
        <v>6.98</v>
      </c>
      <c r="K7457" t="s">
        <v>17</v>
      </c>
      <c r="L7457" t="str">
        <f>_xlfn.XLOOKUP(K7457,[2]analyte_order!$B:$B,[2]analyte_order!$C:$C)</f>
        <v>375-95-1</v>
      </c>
      <c r="M7457">
        <f>_xlfn.XLOOKUP(L7457,[2]analyte_order!$C:$C,[2]analyte_order!$E:$E)</f>
        <v>6</v>
      </c>
      <c r="N7457">
        <v>1.83</v>
      </c>
    </row>
    <row r="7458" spans="1:14">
      <c r="A7458" t="s">
        <v>174</v>
      </c>
      <c r="B7458" t="str">
        <f>_xlfn.XLOOKUP(A7458,'[1]Tissue Data'!$A:$A,'[1]Tissue Data'!$C:$C)</f>
        <v>Down</v>
      </c>
      <c r="C7458" s="2">
        <f>_xlfn.XLOOKUP(A7458,'[1]Tissue Data'!$A:$A,'[1]Tissue Data'!$D:$D)</f>
        <v>44393</v>
      </c>
      <c r="D7458" s="2" t="str">
        <f>_xlfn.XLOOKUP(A7458,'[1]Tissue Data'!$A:$A,'[1]Tissue Data'!$F:$F)</f>
        <v>Eastern Mudminnow</v>
      </c>
      <c r="E7458" t="str">
        <f>_xlfn.XLOOKUP(A7458,'[1]Tissue Data'!$A:$A,'[1]Tissue Data'!$H:$H)</f>
        <v>Umbra</v>
      </c>
      <c r="F7458" t="str">
        <f>_xlfn.XLOOKUP(A7458,'[1]Tissue Data'!$A:$A,'[1]Tissue Data'!$I:$I)</f>
        <v>pygmaea</v>
      </c>
      <c r="G7458" t="str">
        <f>_xlfn.XLOOKUP(A7458,'[1]Tissue Data'!$A:$A,'[1]Tissue Data'!J:J)</f>
        <v>U</v>
      </c>
      <c r="H7458" t="str">
        <f>_xlfn.XLOOKUP(A7458,'[1]Tissue Data'!$A:$A,'[1]Tissue Data'!K:K)</f>
        <v>Whole Body</v>
      </c>
      <c r="I7458">
        <f>_xlfn.XLOOKUP(A7458,'[1]Tissue Data'!$A:$A,'[1]Tissue Data'!L:L)</f>
        <v>8</v>
      </c>
      <c r="J7458">
        <f>_xlfn.XLOOKUP(A7458,'[1]Tissue Data'!$A:$A,'[1]Tissue Data'!M:M)</f>
        <v>6.98</v>
      </c>
      <c r="K7458" t="s">
        <v>18</v>
      </c>
      <c r="L7458" t="str">
        <f>_xlfn.XLOOKUP(K7458,[2]analyte_order!$B:$B,[2]analyte_order!$C:$C)</f>
        <v>335-76-2</v>
      </c>
      <c r="M7458">
        <f>_xlfn.XLOOKUP(L7458,[2]analyte_order!$C:$C,[2]analyte_order!$E:$E)</f>
        <v>7</v>
      </c>
      <c r="N7458">
        <v>1.61</v>
      </c>
    </row>
    <row r="7459" spans="1:14">
      <c r="A7459" t="s">
        <v>174</v>
      </c>
      <c r="B7459" t="str">
        <f>_xlfn.XLOOKUP(A7459,'[1]Tissue Data'!$A:$A,'[1]Tissue Data'!$C:$C)</f>
        <v>Down</v>
      </c>
      <c r="C7459" s="2">
        <f>_xlfn.XLOOKUP(A7459,'[1]Tissue Data'!$A:$A,'[1]Tissue Data'!$D:$D)</f>
        <v>44393</v>
      </c>
      <c r="D7459" s="2" t="str">
        <f>_xlfn.XLOOKUP(A7459,'[1]Tissue Data'!$A:$A,'[1]Tissue Data'!$F:$F)</f>
        <v>Eastern Mudminnow</v>
      </c>
      <c r="E7459" t="str">
        <f>_xlfn.XLOOKUP(A7459,'[1]Tissue Data'!$A:$A,'[1]Tissue Data'!$H:$H)</f>
        <v>Umbra</v>
      </c>
      <c r="F7459" t="str">
        <f>_xlfn.XLOOKUP(A7459,'[1]Tissue Data'!$A:$A,'[1]Tissue Data'!$I:$I)</f>
        <v>pygmaea</v>
      </c>
      <c r="G7459" t="str">
        <f>_xlfn.XLOOKUP(A7459,'[1]Tissue Data'!$A:$A,'[1]Tissue Data'!J:J)</f>
        <v>U</v>
      </c>
      <c r="H7459" t="str">
        <f>_xlfn.XLOOKUP(A7459,'[1]Tissue Data'!$A:$A,'[1]Tissue Data'!K:K)</f>
        <v>Whole Body</v>
      </c>
      <c r="I7459">
        <f>_xlfn.XLOOKUP(A7459,'[1]Tissue Data'!$A:$A,'[1]Tissue Data'!L:L)</f>
        <v>8</v>
      </c>
      <c r="J7459">
        <f>_xlfn.XLOOKUP(A7459,'[1]Tissue Data'!$A:$A,'[1]Tissue Data'!M:M)</f>
        <v>6.98</v>
      </c>
      <c r="K7459" t="s">
        <v>19</v>
      </c>
      <c r="L7459" t="str">
        <f>_xlfn.XLOOKUP(K7459,[2]analyte_order!$B:$B,[2]analyte_order!$C:$C)</f>
        <v>2058-94-8</v>
      </c>
      <c r="M7459">
        <f>_xlfn.XLOOKUP(L7459,[2]analyte_order!$C:$C,[2]analyte_order!$E:$E)</f>
        <v>8</v>
      </c>
      <c r="N7459">
        <v>3.22</v>
      </c>
    </row>
    <row r="7460" spans="1:14">
      <c r="A7460" t="s">
        <v>174</v>
      </c>
      <c r="B7460" t="str">
        <f>_xlfn.XLOOKUP(A7460,'[1]Tissue Data'!$A:$A,'[1]Tissue Data'!$C:$C)</f>
        <v>Down</v>
      </c>
      <c r="C7460" s="2">
        <f>_xlfn.XLOOKUP(A7460,'[1]Tissue Data'!$A:$A,'[1]Tissue Data'!$D:$D)</f>
        <v>44393</v>
      </c>
      <c r="D7460" s="2" t="str">
        <f>_xlfn.XLOOKUP(A7460,'[1]Tissue Data'!$A:$A,'[1]Tissue Data'!$F:$F)</f>
        <v>Eastern Mudminnow</v>
      </c>
      <c r="E7460" t="str">
        <f>_xlfn.XLOOKUP(A7460,'[1]Tissue Data'!$A:$A,'[1]Tissue Data'!$H:$H)</f>
        <v>Umbra</v>
      </c>
      <c r="F7460" t="str">
        <f>_xlfn.XLOOKUP(A7460,'[1]Tissue Data'!$A:$A,'[1]Tissue Data'!$I:$I)</f>
        <v>pygmaea</v>
      </c>
      <c r="G7460" t="str">
        <f>_xlfn.XLOOKUP(A7460,'[1]Tissue Data'!$A:$A,'[1]Tissue Data'!J:J)</f>
        <v>U</v>
      </c>
      <c r="H7460" t="str">
        <f>_xlfn.XLOOKUP(A7460,'[1]Tissue Data'!$A:$A,'[1]Tissue Data'!K:K)</f>
        <v>Whole Body</v>
      </c>
      <c r="I7460">
        <f>_xlfn.XLOOKUP(A7460,'[1]Tissue Data'!$A:$A,'[1]Tissue Data'!L:L)</f>
        <v>8</v>
      </c>
      <c r="J7460">
        <f>_xlfn.XLOOKUP(A7460,'[1]Tissue Data'!$A:$A,'[1]Tissue Data'!M:M)</f>
        <v>6.98</v>
      </c>
      <c r="K7460" t="s">
        <v>20</v>
      </c>
      <c r="L7460" t="str">
        <f>_xlfn.XLOOKUP(K7460,[2]analyte_order!$B:$B,[2]analyte_order!$C:$C)</f>
        <v>307-55-1</v>
      </c>
      <c r="M7460">
        <f>_xlfn.XLOOKUP(L7460,[2]analyte_order!$C:$C,[2]analyte_order!$E:$E)</f>
        <v>9</v>
      </c>
      <c r="N7460">
        <v>4.1100000000000003</v>
      </c>
    </row>
    <row r="7461" spans="1:14">
      <c r="A7461" t="s">
        <v>174</v>
      </c>
      <c r="B7461" t="str">
        <f>_xlfn.XLOOKUP(A7461,'[1]Tissue Data'!$A:$A,'[1]Tissue Data'!$C:$C)</f>
        <v>Down</v>
      </c>
      <c r="C7461" s="2">
        <f>_xlfn.XLOOKUP(A7461,'[1]Tissue Data'!$A:$A,'[1]Tissue Data'!$D:$D)</f>
        <v>44393</v>
      </c>
      <c r="D7461" s="2" t="str">
        <f>_xlfn.XLOOKUP(A7461,'[1]Tissue Data'!$A:$A,'[1]Tissue Data'!$F:$F)</f>
        <v>Eastern Mudminnow</v>
      </c>
      <c r="E7461" t="str">
        <f>_xlfn.XLOOKUP(A7461,'[1]Tissue Data'!$A:$A,'[1]Tissue Data'!$H:$H)</f>
        <v>Umbra</v>
      </c>
      <c r="F7461" t="str">
        <f>_xlfn.XLOOKUP(A7461,'[1]Tissue Data'!$A:$A,'[1]Tissue Data'!$I:$I)</f>
        <v>pygmaea</v>
      </c>
      <c r="G7461" t="str">
        <f>_xlfn.XLOOKUP(A7461,'[1]Tissue Data'!$A:$A,'[1]Tissue Data'!J:J)</f>
        <v>U</v>
      </c>
      <c r="H7461" t="str">
        <f>_xlfn.XLOOKUP(A7461,'[1]Tissue Data'!$A:$A,'[1]Tissue Data'!K:K)</f>
        <v>Whole Body</v>
      </c>
      <c r="I7461">
        <f>_xlfn.XLOOKUP(A7461,'[1]Tissue Data'!$A:$A,'[1]Tissue Data'!L:L)</f>
        <v>8</v>
      </c>
      <c r="J7461">
        <f>_xlfn.XLOOKUP(A7461,'[1]Tissue Data'!$A:$A,'[1]Tissue Data'!M:M)</f>
        <v>6.98</v>
      </c>
      <c r="K7461" t="s">
        <v>21</v>
      </c>
      <c r="L7461" t="str">
        <f>_xlfn.XLOOKUP(K7461,[2]analyte_order!$B:$B,[2]analyte_order!$C:$C)</f>
        <v>72629-94-8</v>
      </c>
      <c r="M7461">
        <f>_xlfn.XLOOKUP(L7461,[2]analyte_order!$C:$C,[2]analyte_order!$E:$E)</f>
        <v>10</v>
      </c>
      <c r="N7461">
        <v>2.54</v>
      </c>
    </row>
    <row r="7462" spans="1:14">
      <c r="A7462" t="s">
        <v>174</v>
      </c>
      <c r="B7462" t="str">
        <f>_xlfn.XLOOKUP(A7462,'[1]Tissue Data'!$A:$A,'[1]Tissue Data'!$C:$C)</f>
        <v>Down</v>
      </c>
      <c r="C7462" s="2">
        <f>_xlfn.XLOOKUP(A7462,'[1]Tissue Data'!$A:$A,'[1]Tissue Data'!$D:$D)</f>
        <v>44393</v>
      </c>
      <c r="D7462" s="2" t="str">
        <f>_xlfn.XLOOKUP(A7462,'[1]Tissue Data'!$A:$A,'[1]Tissue Data'!$F:$F)</f>
        <v>Eastern Mudminnow</v>
      </c>
      <c r="E7462" t="str">
        <f>_xlfn.XLOOKUP(A7462,'[1]Tissue Data'!$A:$A,'[1]Tissue Data'!$H:$H)</f>
        <v>Umbra</v>
      </c>
      <c r="F7462" t="str">
        <f>_xlfn.XLOOKUP(A7462,'[1]Tissue Data'!$A:$A,'[1]Tissue Data'!$I:$I)</f>
        <v>pygmaea</v>
      </c>
      <c r="G7462" t="str">
        <f>_xlfn.XLOOKUP(A7462,'[1]Tissue Data'!$A:$A,'[1]Tissue Data'!J:J)</f>
        <v>U</v>
      </c>
      <c r="H7462" t="str">
        <f>_xlfn.XLOOKUP(A7462,'[1]Tissue Data'!$A:$A,'[1]Tissue Data'!K:K)</f>
        <v>Whole Body</v>
      </c>
      <c r="I7462">
        <f>_xlfn.XLOOKUP(A7462,'[1]Tissue Data'!$A:$A,'[1]Tissue Data'!L:L)</f>
        <v>8</v>
      </c>
      <c r="J7462">
        <f>_xlfn.XLOOKUP(A7462,'[1]Tissue Data'!$A:$A,'[1]Tissue Data'!M:M)</f>
        <v>6.98</v>
      </c>
      <c r="K7462" t="s">
        <v>22</v>
      </c>
      <c r="L7462" t="str">
        <f>_xlfn.XLOOKUP(K7462,[2]analyte_order!$B:$B,[2]analyte_order!$C:$C)</f>
        <v>376-06-7</v>
      </c>
      <c r="M7462">
        <f>_xlfn.XLOOKUP(L7462,[2]analyte_order!$C:$C,[2]analyte_order!$E:$E)</f>
        <v>11</v>
      </c>
      <c r="N7462">
        <v>9.8000000000000007</v>
      </c>
    </row>
    <row r="7463" spans="1:14">
      <c r="A7463" t="s">
        <v>174</v>
      </c>
      <c r="B7463" t="str">
        <f>_xlfn.XLOOKUP(A7463,'[1]Tissue Data'!$A:$A,'[1]Tissue Data'!$C:$C)</f>
        <v>Down</v>
      </c>
      <c r="C7463" s="2">
        <f>_xlfn.XLOOKUP(A7463,'[1]Tissue Data'!$A:$A,'[1]Tissue Data'!$D:$D)</f>
        <v>44393</v>
      </c>
      <c r="D7463" s="2" t="str">
        <f>_xlfn.XLOOKUP(A7463,'[1]Tissue Data'!$A:$A,'[1]Tissue Data'!$F:$F)</f>
        <v>Eastern Mudminnow</v>
      </c>
      <c r="E7463" t="str">
        <f>_xlfn.XLOOKUP(A7463,'[1]Tissue Data'!$A:$A,'[1]Tissue Data'!$H:$H)</f>
        <v>Umbra</v>
      </c>
      <c r="F7463" t="str">
        <f>_xlfn.XLOOKUP(A7463,'[1]Tissue Data'!$A:$A,'[1]Tissue Data'!$I:$I)</f>
        <v>pygmaea</v>
      </c>
      <c r="G7463" t="str">
        <f>_xlfn.XLOOKUP(A7463,'[1]Tissue Data'!$A:$A,'[1]Tissue Data'!J:J)</f>
        <v>U</v>
      </c>
      <c r="H7463" t="str">
        <f>_xlfn.XLOOKUP(A7463,'[1]Tissue Data'!$A:$A,'[1]Tissue Data'!K:K)</f>
        <v>Whole Body</v>
      </c>
      <c r="I7463">
        <f>_xlfn.XLOOKUP(A7463,'[1]Tissue Data'!$A:$A,'[1]Tissue Data'!L:L)</f>
        <v>8</v>
      </c>
      <c r="J7463">
        <f>_xlfn.XLOOKUP(A7463,'[1]Tissue Data'!$A:$A,'[1]Tissue Data'!M:M)</f>
        <v>6.98</v>
      </c>
      <c r="K7463" t="s">
        <v>23</v>
      </c>
      <c r="L7463" t="str">
        <f>_xlfn.XLOOKUP(K7463,[2]analyte_order!$B:$B,[2]analyte_order!$C:$C)</f>
        <v>67905-19-5</v>
      </c>
      <c r="M7463">
        <f>_xlfn.XLOOKUP(L7463,[2]analyte_order!$C:$C,[2]analyte_order!$E:$E)</f>
        <v>12</v>
      </c>
      <c r="N7463">
        <v>0.27100000000000002</v>
      </c>
    </row>
    <row r="7464" spans="1:14">
      <c r="A7464" t="s">
        <v>174</v>
      </c>
      <c r="B7464" t="str">
        <f>_xlfn.XLOOKUP(A7464,'[1]Tissue Data'!$A:$A,'[1]Tissue Data'!$C:$C)</f>
        <v>Down</v>
      </c>
      <c r="C7464" s="2">
        <f>_xlfn.XLOOKUP(A7464,'[1]Tissue Data'!$A:$A,'[1]Tissue Data'!$D:$D)</f>
        <v>44393</v>
      </c>
      <c r="D7464" s="2" t="str">
        <f>_xlfn.XLOOKUP(A7464,'[1]Tissue Data'!$A:$A,'[1]Tissue Data'!$F:$F)</f>
        <v>Eastern Mudminnow</v>
      </c>
      <c r="E7464" t="str">
        <f>_xlfn.XLOOKUP(A7464,'[1]Tissue Data'!$A:$A,'[1]Tissue Data'!$H:$H)</f>
        <v>Umbra</v>
      </c>
      <c r="F7464" t="str">
        <f>_xlfn.XLOOKUP(A7464,'[1]Tissue Data'!$A:$A,'[1]Tissue Data'!$I:$I)</f>
        <v>pygmaea</v>
      </c>
      <c r="G7464" t="str">
        <f>_xlfn.XLOOKUP(A7464,'[1]Tissue Data'!$A:$A,'[1]Tissue Data'!J:J)</f>
        <v>U</v>
      </c>
      <c r="H7464" t="str">
        <f>_xlfn.XLOOKUP(A7464,'[1]Tissue Data'!$A:$A,'[1]Tissue Data'!K:K)</f>
        <v>Whole Body</v>
      </c>
      <c r="I7464">
        <f>_xlfn.XLOOKUP(A7464,'[1]Tissue Data'!$A:$A,'[1]Tissue Data'!L:L)</f>
        <v>8</v>
      </c>
      <c r="J7464">
        <f>_xlfn.XLOOKUP(A7464,'[1]Tissue Data'!$A:$A,'[1]Tissue Data'!M:M)</f>
        <v>6.98</v>
      </c>
      <c r="K7464" t="s">
        <v>24</v>
      </c>
      <c r="L7464" t="str">
        <f>_xlfn.XLOOKUP(K7464,[2]analyte_order!$B:$B,[2]analyte_order!$C:$C)</f>
        <v>423-41-6</v>
      </c>
      <c r="M7464">
        <f>_xlfn.XLOOKUP(L7464,[2]analyte_order!$C:$C,[2]analyte_order!$E:$E)</f>
        <v>53</v>
      </c>
      <c r="N7464">
        <v>0.45500000000000002</v>
      </c>
    </row>
    <row r="7465" spans="1:14">
      <c r="A7465" t="s">
        <v>174</v>
      </c>
      <c r="B7465" t="str">
        <f>_xlfn.XLOOKUP(A7465,'[1]Tissue Data'!$A:$A,'[1]Tissue Data'!$C:$C)</f>
        <v>Down</v>
      </c>
      <c r="C7465" s="2">
        <f>_xlfn.XLOOKUP(A7465,'[1]Tissue Data'!$A:$A,'[1]Tissue Data'!$D:$D)</f>
        <v>44393</v>
      </c>
      <c r="D7465" s="2" t="str">
        <f>_xlfn.XLOOKUP(A7465,'[1]Tissue Data'!$A:$A,'[1]Tissue Data'!$F:$F)</f>
        <v>Eastern Mudminnow</v>
      </c>
      <c r="E7465" t="str">
        <f>_xlfn.XLOOKUP(A7465,'[1]Tissue Data'!$A:$A,'[1]Tissue Data'!$H:$H)</f>
        <v>Umbra</v>
      </c>
      <c r="F7465" t="str">
        <f>_xlfn.XLOOKUP(A7465,'[1]Tissue Data'!$A:$A,'[1]Tissue Data'!$I:$I)</f>
        <v>pygmaea</v>
      </c>
      <c r="G7465" t="str">
        <f>_xlfn.XLOOKUP(A7465,'[1]Tissue Data'!$A:$A,'[1]Tissue Data'!J:J)</f>
        <v>U</v>
      </c>
      <c r="H7465" t="str">
        <f>_xlfn.XLOOKUP(A7465,'[1]Tissue Data'!$A:$A,'[1]Tissue Data'!K:K)</f>
        <v>Whole Body</v>
      </c>
      <c r="I7465">
        <f>_xlfn.XLOOKUP(A7465,'[1]Tissue Data'!$A:$A,'[1]Tissue Data'!L:L)</f>
        <v>8</v>
      </c>
      <c r="J7465">
        <f>_xlfn.XLOOKUP(A7465,'[1]Tissue Data'!$A:$A,'[1]Tissue Data'!M:M)</f>
        <v>6.98</v>
      </c>
      <c r="K7465" t="s">
        <v>25</v>
      </c>
      <c r="L7465" t="str">
        <f>_xlfn.XLOOKUP(K7465,[2]analyte_order!$B:$B,[2]analyte_order!$C:$C)</f>
        <v>375-73-5</v>
      </c>
      <c r="M7465">
        <f>_xlfn.XLOOKUP(L7465,[2]analyte_order!$C:$C,[2]analyte_order!$E:$E)</f>
        <v>14</v>
      </c>
      <c r="N7465">
        <v>0.155</v>
      </c>
    </row>
    <row r="7466" spans="1:14">
      <c r="A7466" t="s">
        <v>174</v>
      </c>
      <c r="B7466" t="str">
        <f>_xlfn.XLOOKUP(A7466,'[1]Tissue Data'!$A:$A,'[1]Tissue Data'!$C:$C)</f>
        <v>Down</v>
      </c>
      <c r="C7466" s="2">
        <f>_xlfn.XLOOKUP(A7466,'[1]Tissue Data'!$A:$A,'[1]Tissue Data'!$D:$D)</f>
        <v>44393</v>
      </c>
      <c r="D7466" s="2" t="str">
        <f>_xlfn.XLOOKUP(A7466,'[1]Tissue Data'!$A:$A,'[1]Tissue Data'!$F:$F)</f>
        <v>Eastern Mudminnow</v>
      </c>
      <c r="E7466" t="str">
        <f>_xlfn.XLOOKUP(A7466,'[1]Tissue Data'!$A:$A,'[1]Tissue Data'!$H:$H)</f>
        <v>Umbra</v>
      </c>
      <c r="F7466" t="str">
        <f>_xlfn.XLOOKUP(A7466,'[1]Tissue Data'!$A:$A,'[1]Tissue Data'!$I:$I)</f>
        <v>pygmaea</v>
      </c>
      <c r="G7466" t="str">
        <f>_xlfn.XLOOKUP(A7466,'[1]Tissue Data'!$A:$A,'[1]Tissue Data'!J:J)</f>
        <v>U</v>
      </c>
      <c r="H7466" t="str">
        <f>_xlfn.XLOOKUP(A7466,'[1]Tissue Data'!$A:$A,'[1]Tissue Data'!K:K)</f>
        <v>Whole Body</v>
      </c>
      <c r="I7466">
        <f>_xlfn.XLOOKUP(A7466,'[1]Tissue Data'!$A:$A,'[1]Tissue Data'!L:L)</f>
        <v>8</v>
      </c>
      <c r="J7466">
        <f>_xlfn.XLOOKUP(A7466,'[1]Tissue Data'!$A:$A,'[1]Tissue Data'!M:M)</f>
        <v>6.98</v>
      </c>
      <c r="K7466" t="s">
        <v>26</v>
      </c>
      <c r="L7466" t="str">
        <f>_xlfn.XLOOKUP(K7466,[2]analyte_order!$B:$B,[2]analyte_order!$C:$C)</f>
        <v>2706-91-4</v>
      </c>
      <c r="M7466">
        <f>_xlfn.XLOOKUP(L7466,[2]analyte_order!$C:$C,[2]analyte_order!$E:$E)</f>
        <v>15</v>
      </c>
      <c r="N7466">
        <v>0.40500000000000003</v>
      </c>
    </row>
    <row r="7467" spans="1:14">
      <c r="A7467" t="s">
        <v>174</v>
      </c>
      <c r="B7467" t="str">
        <f>_xlfn.XLOOKUP(A7467,'[1]Tissue Data'!$A:$A,'[1]Tissue Data'!$C:$C)</f>
        <v>Down</v>
      </c>
      <c r="C7467" s="2">
        <f>_xlfn.XLOOKUP(A7467,'[1]Tissue Data'!$A:$A,'[1]Tissue Data'!$D:$D)</f>
        <v>44393</v>
      </c>
      <c r="D7467" s="2" t="str">
        <f>_xlfn.XLOOKUP(A7467,'[1]Tissue Data'!$A:$A,'[1]Tissue Data'!$F:$F)</f>
        <v>Eastern Mudminnow</v>
      </c>
      <c r="E7467" t="str">
        <f>_xlfn.XLOOKUP(A7467,'[1]Tissue Data'!$A:$A,'[1]Tissue Data'!$H:$H)</f>
        <v>Umbra</v>
      </c>
      <c r="F7467" t="str">
        <f>_xlfn.XLOOKUP(A7467,'[1]Tissue Data'!$A:$A,'[1]Tissue Data'!$I:$I)</f>
        <v>pygmaea</v>
      </c>
      <c r="G7467" t="str">
        <f>_xlfn.XLOOKUP(A7467,'[1]Tissue Data'!$A:$A,'[1]Tissue Data'!J:J)</f>
        <v>U</v>
      </c>
      <c r="H7467" t="str">
        <f>_xlfn.XLOOKUP(A7467,'[1]Tissue Data'!$A:$A,'[1]Tissue Data'!K:K)</f>
        <v>Whole Body</v>
      </c>
      <c r="I7467">
        <f>_xlfn.XLOOKUP(A7467,'[1]Tissue Data'!$A:$A,'[1]Tissue Data'!L:L)</f>
        <v>8</v>
      </c>
      <c r="J7467">
        <f>_xlfn.XLOOKUP(A7467,'[1]Tissue Data'!$A:$A,'[1]Tissue Data'!M:M)</f>
        <v>6.98</v>
      </c>
      <c r="K7467" t="s">
        <v>27</v>
      </c>
      <c r="L7467" t="str">
        <f>_xlfn.XLOOKUP(K7467,[2]analyte_order!$B:$B,[2]analyte_order!$C:$C)</f>
        <v>355-46-4</v>
      </c>
      <c r="M7467">
        <f>_xlfn.XLOOKUP(L7467,[2]analyte_order!$C:$C,[2]analyte_order!$E:$E)</f>
        <v>16</v>
      </c>
      <c r="N7467">
        <v>56.2</v>
      </c>
    </row>
    <row r="7468" spans="1:14">
      <c r="A7468" t="s">
        <v>174</v>
      </c>
      <c r="B7468" t="str">
        <f>_xlfn.XLOOKUP(A7468,'[1]Tissue Data'!$A:$A,'[1]Tissue Data'!$C:$C)</f>
        <v>Down</v>
      </c>
      <c r="C7468" s="2">
        <f>_xlfn.XLOOKUP(A7468,'[1]Tissue Data'!$A:$A,'[1]Tissue Data'!$D:$D)</f>
        <v>44393</v>
      </c>
      <c r="D7468" s="2" t="str">
        <f>_xlfn.XLOOKUP(A7468,'[1]Tissue Data'!$A:$A,'[1]Tissue Data'!$F:$F)</f>
        <v>Eastern Mudminnow</v>
      </c>
      <c r="E7468" t="str">
        <f>_xlfn.XLOOKUP(A7468,'[1]Tissue Data'!$A:$A,'[1]Tissue Data'!$H:$H)</f>
        <v>Umbra</v>
      </c>
      <c r="F7468" t="str">
        <f>_xlfn.XLOOKUP(A7468,'[1]Tissue Data'!$A:$A,'[1]Tissue Data'!$I:$I)</f>
        <v>pygmaea</v>
      </c>
      <c r="G7468" t="str">
        <f>_xlfn.XLOOKUP(A7468,'[1]Tissue Data'!$A:$A,'[1]Tissue Data'!J:J)</f>
        <v>U</v>
      </c>
      <c r="H7468" t="str">
        <f>_xlfn.XLOOKUP(A7468,'[1]Tissue Data'!$A:$A,'[1]Tissue Data'!K:K)</f>
        <v>Whole Body</v>
      </c>
      <c r="I7468">
        <f>_xlfn.XLOOKUP(A7468,'[1]Tissue Data'!$A:$A,'[1]Tissue Data'!L:L)</f>
        <v>8</v>
      </c>
      <c r="J7468">
        <f>_xlfn.XLOOKUP(A7468,'[1]Tissue Data'!$A:$A,'[1]Tissue Data'!M:M)</f>
        <v>6.98</v>
      </c>
      <c r="K7468" t="s">
        <v>28</v>
      </c>
      <c r="L7468" t="str">
        <f>_xlfn.XLOOKUP(K7468,[2]analyte_order!$B:$B,[2]analyte_order!$C:$C)</f>
        <v>375-92-8</v>
      </c>
      <c r="M7468">
        <f>_xlfn.XLOOKUP(L7468,[2]analyte_order!$C:$C,[2]analyte_order!$E:$E)</f>
        <v>17</v>
      </c>
      <c r="N7468">
        <v>3.03</v>
      </c>
    </row>
    <row r="7469" spans="1:14">
      <c r="A7469" t="s">
        <v>174</v>
      </c>
      <c r="B7469" t="str">
        <f>_xlfn.XLOOKUP(A7469,'[1]Tissue Data'!$A:$A,'[1]Tissue Data'!$C:$C)</f>
        <v>Down</v>
      </c>
      <c r="C7469" s="2">
        <f>_xlfn.XLOOKUP(A7469,'[1]Tissue Data'!$A:$A,'[1]Tissue Data'!$D:$D)</f>
        <v>44393</v>
      </c>
      <c r="D7469" s="2" t="str">
        <f>_xlfn.XLOOKUP(A7469,'[1]Tissue Data'!$A:$A,'[1]Tissue Data'!$F:$F)</f>
        <v>Eastern Mudminnow</v>
      </c>
      <c r="E7469" t="str">
        <f>_xlfn.XLOOKUP(A7469,'[1]Tissue Data'!$A:$A,'[1]Tissue Data'!$H:$H)</f>
        <v>Umbra</v>
      </c>
      <c r="F7469" t="str">
        <f>_xlfn.XLOOKUP(A7469,'[1]Tissue Data'!$A:$A,'[1]Tissue Data'!$I:$I)</f>
        <v>pygmaea</v>
      </c>
      <c r="G7469" t="str">
        <f>_xlfn.XLOOKUP(A7469,'[1]Tissue Data'!$A:$A,'[1]Tissue Data'!J:J)</f>
        <v>U</v>
      </c>
      <c r="H7469" t="str">
        <f>_xlfn.XLOOKUP(A7469,'[1]Tissue Data'!$A:$A,'[1]Tissue Data'!K:K)</f>
        <v>Whole Body</v>
      </c>
      <c r="I7469">
        <f>_xlfn.XLOOKUP(A7469,'[1]Tissue Data'!$A:$A,'[1]Tissue Data'!L:L)</f>
        <v>8</v>
      </c>
      <c r="J7469">
        <f>_xlfn.XLOOKUP(A7469,'[1]Tissue Data'!$A:$A,'[1]Tissue Data'!M:M)</f>
        <v>6.98</v>
      </c>
      <c r="K7469" t="s">
        <v>29</v>
      </c>
      <c r="L7469" t="str">
        <f>_xlfn.XLOOKUP(K7469,[2]analyte_order!$B:$B,[2]analyte_order!$C:$C)</f>
        <v>1763-23-1</v>
      </c>
      <c r="M7469">
        <f>_xlfn.XLOOKUP(L7469,[2]analyte_order!$C:$C,[2]analyte_order!$E:$E)</f>
        <v>18</v>
      </c>
      <c r="N7469">
        <v>368</v>
      </c>
    </row>
    <row r="7470" spans="1:14">
      <c r="A7470" t="s">
        <v>174</v>
      </c>
      <c r="B7470" t="str">
        <f>_xlfn.XLOOKUP(A7470,'[1]Tissue Data'!$A:$A,'[1]Tissue Data'!$C:$C)</f>
        <v>Down</v>
      </c>
      <c r="C7470" s="2">
        <f>_xlfn.XLOOKUP(A7470,'[1]Tissue Data'!$A:$A,'[1]Tissue Data'!$D:$D)</f>
        <v>44393</v>
      </c>
      <c r="D7470" s="2" t="str">
        <f>_xlfn.XLOOKUP(A7470,'[1]Tissue Data'!$A:$A,'[1]Tissue Data'!$F:$F)</f>
        <v>Eastern Mudminnow</v>
      </c>
      <c r="E7470" t="str">
        <f>_xlfn.XLOOKUP(A7470,'[1]Tissue Data'!$A:$A,'[1]Tissue Data'!$H:$H)</f>
        <v>Umbra</v>
      </c>
      <c r="F7470" t="str">
        <f>_xlfn.XLOOKUP(A7470,'[1]Tissue Data'!$A:$A,'[1]Tissue Data'!$I:$I)</f>
        <v>pygmaea</v>
      </c>
      <c r="G7470" t="str">
        <f>_xlfn.XLOOKUP(A7470,'[1]Tissue Data'!$A:$A,'[1]Tissue Data'!J:J)</f>
        <v>U</v>
      </c>
      <c r="H7470" t="str">
        <f>_xlfn.XLOOKUP(A7470,'[1]Tissue Data'!$A:$A,'[1]Tissue Data'!K:K)</f>
        <v>Whole Body</v>
      </c>
      <c r="I7470">
        <f>_xlfn.XLOOKUP(A7470,'[1]Tissue Data'!$A:$A,'[1]Tissue Data'!L:L)</f>
        <v>8</v>
      </c>
      <c r="J7470">
        <f>_xlfn.XLOOKUP(A7470,'[1]Tissue Data'!$A:$A,'[1]Tissue Data'!M:M)</f>
        <v>6.98</v>
      </c>
      <c r="K7470" t="s">
        <v>30</v>
      </c>
      <c r="L7470" t="str">
        <f>_xlfn.XLOOKUP(K7470,[2]analyte_order!$B:$B,[2]analyte_order!$C:$C)</f>
        <v>68259-12-1</v>
      </c>
      <c r="M7470">
        <f>_xlfn.XLOOKUP(L7470,[2]analyte_order!$C:$C,[2]analyte_order!$E:$E)</f>
        <v>19</v>
      </c>
      <c r="N7470">
        <v>0.88500000000000001</v>
      </c>
    </row>
    <row r="7471" spans="1:14">
      <c r="A7471" t="s">
        <v>174</v>
      </c>
      <c r="B7471" t="str">
        <f>_xlfn.XLOOKUP(A7471,'[1]Tissue Data'!$A:$A,'[1]Tissue Data'!$C:$C)</f>
        <v>Down</v>
      </c>
      <c r="C7471" s="2">
        <f>_xlfn.XLOOKUP(A7471,'[1]Tissue Data'!$A:$A,'[1]Tissue Data'!$D:$D)</f>
        <v>44393</v>
      </c>
      <c r="D7471" s="2" t="str">
        <f>_xlfn.XLOOKUP(A7471,'[1]Tissue Data'!$A:$A,'[1]Tissue Data'!$F:$F)</f>
        <v>Eastern Mudminnow</v>
      </c>
      <c r="E7471" t="str">
        <f>_xlfn.XLOOKUP(A7471,'[1]Tissue Data'!$A:$A,'[1]Tissue Data'!$H:$H)</f>
        <v>Umbra</v>
      </c>
      <c r="F7471" t="str">
        <f>_xlfn.XLOOKUP(A7471,'[1]Tissue Data'!$A:$A,'[1]Tissue Data'!$I:$I)</f>
        <v>pygmaea</v>
      </c>
      <c r="G7471" t="str">
        <f>_xlfn.XLOOKUP(A7471,'[1]Tissue Data'!$A:$A,'[1]Tissue Data'!J:J)</f>
        <v>U</v>
      </c>
      <c r="H7471" t="str">
        <f>_xlfn.XLOOKUP(A7471,'[1]Tissue Data'!$A:$A,'[1]Tissue Data'!K:K)</f>
        <v>Whole Body</v>
      </c>
      <c r="I7471">
        <f>_xlfn.XLOOKUP(A7471,'[1]Tissue Data'!$A:$A,'[1]Tissue Data'!L:L)</f>
        <v>8</v>
      </c>
      <c r="J7471">
        <f>_xlfn.XLOOKUP(A7471,'[1]Tissue Data'!$A:$A,'[1]Tissue Data'!M:M)</f>
        <v>6.98</v>
      </c>
      <c r="K7471" t="s">
        <v>31</v>
      </c>
      <c r="L7471" t="str">
        <f>_xlfn.XLOOKUP(K7471,[2]analyte_order!$B:$B,[2]analyte_order!$C:$C)</f>
        <v>335-77-3</v>
      </c>
      <c r="M7471">
        <f>_xlfn.XLOOKUP(L7471,[2]analyte_order!$C:$C,[2]analyte_order!$E:$E)</f>
        <v>20</v>
      </c>
      <c r="N7471">
        <v>1.34</v>
      </c>
    </row>
    <row r="7472" spans="1:14">
      <c r="A7472" t="s">
        <v>174</v>
      </c>
      <c r="B7472" t="str">
        <f>_xlfn.XLOOKUP(A7472,'[1]Tissue Data'!$A:$A,'[1]Tissue Data'!$C:$C)</f>
        <v>Down</v>
      </c>
      <c r="C7472" s="2">
        <f>_xlfn.XLOOKUP(A7472,'[1]Tissue Data'!$A:$A,'[1]Tissue Data'!$D:$D)</f>
        <v>44393</v>
      </c>
      <c r="D7472" s="2" t="str">
        <f>_xlfn.XLOOKUP(A7472,'[1]Tissue Data'!$A:$A,'[1]Tissue Data'!$F:$F)</f>
        <v>Eastern Mudminnow</v>
      </c>
      <c r="E7472" t="str">
        <f>_xlfn.XLOOKUP(A7472,'[1]Tissue Data'!$A:$A,'[1]Tissue Data'!$H:$H)</f>
        <v>Umbra</v>
      </c>
      <c r="F7472" t="str">
        <f>_xlfn.XLOOKUP(A7472,'[1]Tissue Data'!$A:$A,'[1]Tissue Data'!$I:$I)</f>
        <v>pygmaea</v>
      </c>
      <c r="G7472" t="str">
        <f>_xlfn.XLOOKUP(A7472,'[1]Tissue Data'!$A:$A,'[1]Tissue Data'!J:J)</f>
        <v>U</v>
      </c>
      <c r="H7472" t="str">
        <f>_xlfn.XLOOKUP(A7472,'[1]Tissue Data'!$A:$A,'[1]Tissue Data'!K:K)</f>
        <v>Whole Body</v>
      </c>
      <c r="I7472">
        <f>_xlfn.XLOOKUP(A7472,'[1]Tissue Data'!$A:$A,'[1]Tissue Data'!L:L)</f>
        <v>8</v>
      </c>
      <c r="J7472">
        <f>_xlfn.XLOOKUP(A7472,'[1]Tissue Data'!$A:$A,'[1]Tissue Data'!M:M)</f>
        <v>6.98</v>
      </c>
      <c r="K7472" t="s">
        <v>32</v>
      </c>
      <c r="L7472" t="str">
        <f>_xlfn.XLOOKUP(K7472,[2]analyte_order!$B:$B,[2]analyte_order!$C:$C)</f>
        <v>79780-39-5</v>
      </c>
      <c r="M7472">
        <f>_xlfn.XLOOKUP(L7472,[2]analyte_order!$C:$C,[2]analyte_order!$E:$E)</f>
        <v>21</v>
      </c>
      <c r="N7472">
        <v>0.61599999999999999</v>
      </c>
    </row>
    <row r="7473" spans="1:14">
      <c r="A7473" t="s">
        <v>174</v>
      </c>
      <c r="B7473" t="str">
        <f>_xlfn.XLOOKUP(A7473,'[1]Tissue Data'!$A:$A,'[1]Tissue Data'!$C:$C)</f>
        <v>Down</v>
      </c>
      <c r="C7473" s="2">
        <f>_xlfn.XLOOKUP(A7473,'[1]Tissue Data'!$A:$A,'[1]Tissue Data'!$D:$D)</f>
        <v>44393</v>
      </c>
      <c r="D7473" s="2" t="str">
        <f>_xlfn.XLOOKUP(A7473,'[1]Tissue Data'!$A:$A,'[1]Tissue Data'!$F:$F)</f>
        <v>Eastern Mudminnow</v>
      </c>
      <c r="E7473" t="str">
        <f>_xlfn.XLOOKUP(A7473,'[1]Tissue Data'!$A:$A,'[1]Tissue Data'!$H:$H)</f>
        <v>Umbra</v>
      </c>
      <c r="F7473" t="str">
        <f>_xlfn.XLOOKUP(A7473,'[1]Tissue Data'!$A:$A,'[1]Tissue Data'!$I:$I)</f>
        <v>pygmaea</v>
      </c>
      <c r="G7473" t="str">
        <f>_xlfn.XLOOKUP(A7473,'[1]Tissue Data'!$A:$A,'[1]Tissue Data'!J:J)</f>
        <v>U</v>
      </c>
      <c r="H7473" t="str">
        <f>_xlfn.XLOOKUP(A7473,'[1]Tissue Data'!$A:$A,'[1]Tissue Data'!K:K)</f>
        <v>Whole Body</v>
      </c>
      <c r="I7473">
        <f>_xlfn.XLOOKUP(A7473,'[1]Tissue Data'!$A:$A,'[1]Tissue Data'!L:L)</f>
        <v>8</v>
      </c>
      <c r="J7473">
        <f>_xlfn.XLOOKUP(A7473,'[1]Tissue Data'!$A:$A,'[1]Tissue Data'!M:M)</f>
        <v>6.98</v>
      </c>
      <c r="K7473" t="s">
        <v>33</v>
      </c>
      <c r="L7473" t="str">
        <f>_xlfn.XLOOKUP(K7473,[2]analyte_order!$B:$B,[2]analyte_order!$C:$C)</f>
        <v>777011-38-8</v>
      </c>
      <c r="M7473">
        <f>_xlfn.XLOOKUP(L7473,[2]analyte_order!$C:$C,[2]analyte_order!$E:$E)</f>
        <v>54</v>
      </c>
      <c r="N7473">
        <v>0.13800000000000001</v>
      </c>
    </row>
    <row r="7474" spans="1:14">
      <c r="A7474" t="s">
        <v>174</v>
      </c>
      <c r="B7474" t="str">
        <f>_xlfn.XLOOKUP(A7474,'[1]Tissue Data'!$A:$A,'[1]Tissue Data'!$C:$C)</f>
        <v>Down</v>
      </c>
      <c r="C7474" s="2">
        <f>_xlfn.XLOOKUP(A7474,'[1]Tissue Data'!$A:$A,'[1]Tissue Data'!$D:$D)</f>
        <v>44393</v>
      </c>
      <c r="D7474" s="2" t="str">
        <f>_xlfn.XLOOKUP(A7474,'[1]Tissue Data'!$A:$A,'[1]Tissue Data'!$F:$F)</f>
        <v>Eastern Mudminnow</v>
      </c>
      <c r="E7474" t="str">
        <f>_xlfn.XLOOKUP(A7474,'[1]Tissue Data'!$A:$A,'[1]Tissue Data'!$H:$H)</f>
        <v>Umbra</v>
      </c>
      <c r="F7474" t="str">
        <f>_xlfn.XLOOKUP(A7474,'[1]Tissue Data'!$A:$A,'[1]Tissue Data'!$I:$I)</f>
        <v>pygmaea</v>
      </c>
      <c r="G7474" t="str">
        <f>_xlfn.XLOOKUP(A7474,'[1]Tissue Data'!$A:$A,'[1]Tissue Data'!J:J)</f>
        <v>U</v>
      </c>
      <c r="H7474" t="str">
        <f>_xlfn.XLOOKUP(A7474,'[1]Tissue Data'!$A:$A,'[1]Tissue Data'!K:K)</f>
        <v>Whole Body</v>
      </c>
      <c r="I7474">
        <f>_xlfn.XLOOKUP(A7474,'[1]Tissue Data'!$A:$A,'[1]Tissue Data'!L:L)</f>
        <v>8</v>
      </c>
      <c r="J7474">
        <f>_xlfn.XLOOKUP(A7474,'[1]Tissue Data'!$A:$A,'[1]Tissue Data'!M:M)</f>
        <v>6.98</v>
      </c>
      <c r="K7474" t="s">
        <v>34</v>
      </c>
      <c r="L7474" t="str">
        <f>_xlfn.XLOOKUP(K7474,[2]analyte_order!$B:$B,[2]analyte_order!$C:$C)</f>
        <v>646-83-3</v>
      </c>
      <c r="M7474">
        <f>_xlfn.XLOOKUP(L7474,[2]analyte_order!$C:$C,[2]analyte_order!$E:$E)</f>
        <v>55</v>
      </c>
      <c r="N7474">
        <v>9.0999999999999998E-2</v>
      </c>
    </row>
    <row r="7475" spans="1:14">
      <c r="A7475" t="s">
        <v>174</v>
      </c>
      <c r="B7475" t="str">
        <f>_xlfn.XLOOKUP(A7475,'[1]Tissue Data'!$A:$A,'[1]Tissue Data'!$C:$C)</f>
        <v>Down</v>
      </c>
      <c r="C7475" s="2">
        <f>_xlfn.XLOOKUP(A7475,'[1]Tissue Data'!$A:$A,'[1]Tissue Data'!$D:$D)</f>
        <v>44393</v>
      </c>
      <c r="D7475" s="2" t="str">
        <f>_xlfn.XLOOKUP(A7475,'[1]Tissue Data'!$A:$A,'[1]Tissue Data'!$F:$F)</f>
        <v>Eastern Mudminnow</v>
      </c>
      <c r="E7475" t="str">
        <f>_xlfn.XLOOKUP(A7475,'[1]Tissue Data'!$A:$A,'[1]Tissue Data'!$H:$H)</f>
        <v>Umbra</v>
      </c>
      <c r="F7475" t="str">
        <f>_xlfn.XLOOKUP(A7475,'[1]Tissue Data'!$A:$A,'[1]Tissue Data'!$I:$I)</f>
        <v>pygmaea</v>
      </c>
      <c r="G7475" t="str">
        <f>_xlfn.XLOOKUP(A7475,'[1]Tissue Data'!$A:$A,'[1]Tissue Data'!J:J)</f>
        <v>U</v>
      </c>
      <c r="H7475" t="str">
        <f>_xlfn.XLOOKUP(A7475,'[1]Tissue Data'!$A:$A,'[1]Tissue Data'!K:K)</f>
        <v>Whole Body</v>
      </c>
      <c r="I7475">
        <f>_xlfn.XLOOKUP(A7475,'[1]Tissue Data'!$A:$A,'[1]Tissue Data'!L:L)</f>
        <v>8</v>
      </c>
      <c r="J7475">
        <f>_xlfn.XLOOKUP(A7475,'[1]Tissue Data'!$A:$A,'[1]Tissue Data'!M:M)</f>
        <v>6.98</v>
      </c>
      <c r="K7475" t="s">
        <v>35</v>
      </c>
      <c r="L7475" t="str">
        <f>_xlfn.XLOOKUP(K7475,[2]analyte_order!$B:$B,[2]analyte_order!$C:$C)</f>
        <v>30334-69-1</v>
      </c>
      <c r="M7475">
        <f>_xlfn.XLOOKUP(L7475,[2]analyte_order!$C:$C,[2]analyte_order!$E:$E)</f>
        <v>51</v>
      </c>
      <c r="N7475">
        <v>8.01</v>
      </c>
    </row>
    <row r="7476" spans="1:14">
      <c r="A7476" t="s">
        <v>174</v>
      </c>
      <c r="B7476" t="str">
        <f>_xlfn.XLOOKUP(A7476,'[1]Tissue Data'!$A:$A,'[1]Tissue Data'!$C:$C)</f>
        <v>Down</v>
      </c>
      <c r="C7476" s="2">
        <f>_xlfn.XLOOKUP(A7476,'[1]Tissue Data'!$A:$A,'[1]Tissue Data'!$D:$D)</f>
        <v>44393</v>
      </c>
      <c r="D7476" s="2" t="str">
        <f>_xlfn.XLOOKUP(A7476,'[1]Tissue Data'!$A:$A,'[1]Tissue Data'!$F:$F)</f>
        <v>Eastern Mudminnow</v>
      </c>
      <c r="E7476" t="str">
        <f>_xlfn.XLOOKUP(A7476,'[1]Tissue Data'!$A:$A,'[1]Tissue Data'!$H:$H)</f>
        <v>Umbra</v>
      </c>
      <c r="F7476" t="str">
        <f>_xlfn.XLOOKUP(A7476,'[1]Tissue Data'!$A:$A,'[1]Tissue Data'!$I:$I)</f>
        <v>pygmaea</v>
      </c>
      <c r="G7476" t="str">
        <f>_xlfn.XLOOKUP(A7476,'[1]Tissue Data'!$A:$A,'[1]Tissue Data'!J:J)</f>
        <v>U</v>
      </c>
      <c r="H7476" t="str">
        <f>_xlfn.XLOOKUP(A7476,'[1]Tissue Data'!$A:$A,'[1]Tissue Data'!K:K)</f>
        <v>Whole Body</v>
      </c>
      <c r="I7476">
        <f>_xlfn.XLOOKUP(A7476,'[1]Tissue Data'!$A:$A,'[1]Tissue Data'!L:L)</f>
        <v>8</v>
      </c>
      <c r="J7476">
        <f>_xlfn.XLOOKUP(A7476,'[1]Tissue Data'!$A:$A,'[1]Tissue Data'!M:M)</f>
        <v>6.98</v>
      </c>
      <c r="K7476" t="s">
        <v>36</v>
      </c>
      <c r="L7476" t="str">
        <f>_xlfn.XLOOKUP(K7476,[2]analyte_order!$B:$B,[2]analyte_order!$C:$C)</f>
        <v>41997-13-1</v>
      </c>
      <c r="M7476">
        <f>_xlfn.XLOOKUP(L7476,[2]analyte_order!$C:$C,[2]analyte_order!$E:$E)</f>
        <v>52</v>
      </c>
      <c r="N7476">
        <v>110</v>
      </c>
    </row>
    <row r="7477" spans="1:14">
      <c r="A7477" t="s">
        <v>174</v>
      </c>
      <c r="B7477" t="str">
        <f>_xlfn.XLOOKUP(A7477,'[1]Tissue Data'!$A:$A,'[1]Tissue Data'!$C:$C)</f>
        <v>Down</v>
      </c>
      <c r="C7477" s="2">
        <f>_xlfn.XLOOKUP(A7477,'[1]Tissue Data'!$A:$A,'[1]Tissue Data'!$D:$D)</f>
        <v>44393</v>
      </c>
      <c r="D7477" s="2" t="str">
        <f>_xlfn.XLOOKUP(A7477,'[1]Tissue Data'!$A:$A,'[1]Tissue Data'!$F:$F)</f>
        <v>Eastern Mudminnow</v>
      </c>
      <c r="E7477" t="str">
        <f>_xlfn.XLOOKUP(A7477,'[1]Tissue Data'!$A:$A,'[1]Tissue Data'!$H:$H)</f>
        <v>Umbra</v>
      </c>
      <c r="F7477" t="str">
        <f>_xlfn.XLOOKUP(A7477,'[1]Tissue Data'!$A:$A,'[1]Tissue Data'!$I:$I)</f>
        <v>pygmaea</v>
      </c>
      <c r="G7477" t="str">
        <f>_xlfn.XLOOKUP(A7477,'[1]Tissue Data'!$A:$A,'[1]Tissue Data'!J:J)</f>
        <v>U</v>
      </c>
      <c r="H7477" t="str">
        <f>_xlfn.XLOOKUP(A7477,'[1]Tissue Data'!$A:$A,'[1]Tissue Data'!K:K)</f>
        <v>Whole Body</v>
      </c>
      <c r="I7477">
        <f>_xlfn.XLOOKUP(A7477,'[1]Tissue Data'!$A:$A,'[1]Tissue Data'!L:L)</f>
        <v>8</v>
      </c>
      <c r="J7477">
        <f>_xlfn.XLOOKUP(A7477,'[1]Tissue Data'!$A:$A,'[1]Tissue Data'!M:M)</f>
        <v>6.98</v>
      </c>
      <c r="K7477" t="s">
        <v>37</v>
      </c>
      <c r="L7477" t="str">
        <f>_xlfn.XLOOKUP(K7477,[2]analyte_order!$B:$B,[2]analyte_order!$C:$C)</f>
        <v>754-91-6</v>
      </c>
      <c r="M7477">
        <f>_xlfn.XLOOKUP(L7477,[2]analyte_order!$C:$C,[2]analyte_order!$E:$E)</f>
        <v>28</v>
      </c>
      <c r="N7477">
        <v>6.25</v>
      </c>
    </row>
    <row r="7478" spans="1:14">
      <c r="A7478" t="s">
        <v>174</v>
      </c>
      <c r="B7478" t="str">
        <f>_xlfn.XLOOKUP(A7478,'[1]Tissue Data'!$A:$A,'[1]Tissue Data'!$C:$C)</f>
        <v>Down</v>
      </c>
      <c r="C7478" s="2">
        <f>_xlfn.XLOOKUP(A7478,'[1]Tissue Data'!$A:$A,'[1]Tissue Data'!$D:$D)</f>
        <v>44393</v>
      </c>
      <c r="D7478" s="2" t="str">
        <f>_xlfn.XLOOKUP(A7478,'[1]Tissue Data'!$A:$A,'[1]Tissue Data'!$F:$F)</f>
        <v>Eastern Mudminnow</v>
      </c>
      <c r="E7478" t="str">
        <f>_xlfn.XLOOKUP(A7478,'[1]Tissue Data'!$A:$A,'[1]Tissue Data'!$H:$H)</f>
        <v>Umbra</v>
      </c>
      <c r="F7478" t="str">
        <f>_xlfn.XLOOKUP(A7478,'[1]Tissue Data'!$A:$A,'[1]Tissue Data'!$I:$I)</f>
        <v>pygmaea</v>
      </c>
      <c r="G7478" t="str">
        <f>_xlfn.XLOOKUP(A7478,'[1]Tissue Data'!$A:$A,'[1]Tissue Data'!J:J)</f>
        <v>U</v>
      </c>
      <c r="H7478" t="str">
        <f>_xlfn.XLOOKUP(A7478,'[1]Tissue Data'!$A:$A,'[1]Tissue Data'!K:K)</f>
        <v>Whole Body</v>
      </c>
      <c r="I7478">
        <f>_xlfn.XLOOKUP(A7478,'[1]Tissue Data'!$A:$A,'[1]Tissue Data'!L:L)</f>
        <v>8</v>
      </c>
      <c r="J7478">
        <f>_xlfn.XLOOKUP(A7478,'[1]Tissue Data'!$A:$A,'[1]Tissue Data'!M:M)</f>
        <v>6.98</v>
      </c>
      <c r="K7478" t="s">
        <v>38</v>
      </c>
      <c r="L7478" t="str">
        <f>_xlfn.XLOOKUP(K7478,[2]analyte_order!$B:$B,[2]analyte_order!$C:$C)</f>
        <v>31506-32-8</v>
      </c>
      <c r="M7478">
        <f>_xlfn.XLOOKUP(L7478,[2]analyte_order!$C:$C,[2]analyte_order!$E:$E)</f>
        <v>30</v>
      </c>
      <c r="N7478">
        <v>0.17499999999999999</v>
      </c>
    </row>
    <row r="7479" spans="1:14">
      <c r="A7479" t="s">
        <v>174</v>
      </c>
      <c r="B7479" t="str">
        <f>_xlfn.XLOOKUP(A7479,'[1]Tissue Data'!$A:$A,'[1]Tissue Data'!$C:$C)</f>
        <v>Down</v>
      </c>
      <c r="C7479" s="2">
        <f>_xlfn.XLOOKUP(A7479,'[1]Tissue Data'!$A:$A,'[1]Tissue Data'!$D:$D)</f>
        <v>44393</v>
      </c>
      <c r="D7479" s="2" t="str">
        <f>_xlfn.XLOOKUP(A7479,'[1]Tissue Data'!$A:$A,'[1]Tissue Data'!$F:$F)</f>
        <v>Eastern Mudminnow</v>
      </c>
      <c r="E7479" t="str">
        <f>_xlfn.XLOOKUP(A7479,'[1]Tissue Data'!$A:$A,'[1]Tissue Data'!$H:$H)</f>
        <v>Umbra</v>
      </c>
      <c r="F7479" t="str">
        <f>_xlfn.XLOOKUP(A7479,'[1]Tissue Data'!$A:$A,'[1]Tissue Data'!$I:$I)</f>
        <v>pygmaea</v>
      </c>
      <c r="G7479" t="str">
        <f>_xlfn.XLOOKUP(A7479,'[1]Tissue Data'!$A:$A,'[1]Tissue Data'!J:J)</f>
        <v>U</v>
      </c>
      <c r="H7479" t="str">
        <f>_xlfn.XLOOKUP(A7479,'[1]Tissue Data'!$A:$A,'[1]Tissue Data'!K:K)</f>
        <v>Whole Body</v>
      </c>
      <c r="I7479">
        <f>_xlfn.XLOOKUP(A7479,'[1]Tissue Data'!$A:$A,'[1]Tissue Data'!L:L)</f>
        <v>8</v>
      </c>
      <c r="J7479">
        <f>_xlfn.XLOOKUP(A7479,'[1]Tissue Data'!$A:$A,'[1]Tissue Data'!M:M)</f>
        <v>6.98</v>
      </c>
      <c r="K7479" t="s">
        <v>39</v>
      </c>
      <c r="L7479" t="str">
        <f>_xlfn.XLOOKUP(K7479,[2]analyte_order!$B:$B,[2]analyte_order!$C:$C)</f>
        <v>4151-50-2</v>
      </c>
      <c r="M7479">
        <f>_xlfn.XLOOKUP(L7479,[2]analyte_order!$C:$C,[2]analyte_order!$E:$E)</f>
        <v>31</v>
      </c>
      <c r="N7479">
        <v>0.45500000000000002</v>
      </c>
    </row>
    <row r="7480" spans="1:14">
      <c r="A7480" t="s">
        <v>174</v>
      </c>
      <c r="B7480" t="str">
        <f>_xlfn.XLOOKUP(A7480,'[1]Tissue Data'!$A:$A,'[1]Tissue Data'!$C:$C)</f>
        <v>Down</v>
      </c>
      <c r="C7480" s="2">
        <f>_xlfn.XLOOKUP(A7480,'[1]Tissue Data'!$A:$A,'[1]Tissue Data'!$D:$D)</f>
        <v>44393</v>
      </c>
      <c r="D7480" s="2" t="str">
        <f>_xlfn.XLOOKUP(A7480,'[1]Tissue Data'!$A:$A,'[1]Tissue Data'!$F:$F)</f>
        <v>Eastern Mudminnow</v>
      </c>
      <c r="E7480" t="str">
        <f>_xlfn.XLOOKUP(A7480,'[1]Tissue Data'!$A:$A,'[1]Tissue Data'!$H:$H)</f>
        <v>Umbra</v>
      </c>
      <c r="F7480" t="str">
        <f>_xlfn.XLOOKUP(A7480,'[1]Tissue Data'!$A:$A,'[1]Tissue Data'!$I:$I)</f>
        <v>pygmaea</v>
      </c>
      <c r="G7480" t="str">
        <f>_xlfn.XLOOKUP(A7480,'[1]Tissue Data'!$A:$A,'[1]Tissue Data'!J:J)</f>
        <v>U</v>
      </c>
      <c r="H7480" t="str">
        <f>_xlfn.XLOOKUP(A7480,'[1]Tissue Data'!$A:$A,'[1]Tissue Data'!K:K)</f>
        <v>Whole Body</v>
      </c>
      <c r="I7480">
        <f>_xlfn.XLOOKUP(A7480,'[1]Tissue Data'!$A:$A,'[1]Tissue Data'!L:L)</f>
        <v>8</v>
      </c>
      <c r="J7480">
        <f>_xlfn.XLOOKUP(A7480,'[1]Tissue Data'!$A:$A,'[1]Tissue Data'!M:M)</f>
        <v>6.98</v>
      </c>
      <c r="K7480" t="s">
        <v>40</v>
      </c>
      <c r="L7480" t="str">
        <f>_xlfn.XLOOKUP(K7480,[2]analyte_order!$B:$B,[2]analyte_order!$C:$C)</f>
        <v>2806-24-8</v>
      </c>
      <c r="M7480">
        <f>_xlfn.XLOOKUP(L7480,[2]analyte_order!$C:$C,[2]analyte_order!$E:$E)</f>
        <v>29</v>
      </c>
      <c r="N7480">
        <v>0.45500000000000002</v>
      </c>
    </row>
    <row r="7481" spans="1:14">
      <c r="A7481" t="s">
        <v>174</v>
      </c>
      <c r="B7481" t="str">
        <f>_xlfn.XLOOKUP(A7481,'[1]Tissue Data'!$A:$A,'[1]Tissue Data'!$C:$C)</f>
        <v>Down</v>
      </c>
      <c r="C7481" s="2">
        <f>_xlfn.XLOOKUP(A7481,'[1]Tissue Data'!$A:$A,'[1]Tissue Data'!$D:$D)</f>
        <v>44393</v>
      </c>
      <c r="D7481" s="2" t="str">
        <f>_xlfn.XLOOKUP(A7481,'[1]Tissue Data'!$A:$A,'[1]Tissue Data'!$F:$F)</f>
        <v>Eastern Mudminnow</v>
      </c>
      <c r="E7481" t="str">
        <f>_xlfn.XLOOKUP(A7481,'[1]Tissue Data'!$A:$A,'[1]Tissue Data'!$H:$H)</f>
        <v>Umbra</v>
      </c>
      <c r="F7481" t="str">
        <f>_xlfn.XLOOKUP(A7481,'[1]Tissue Data'!$A:$A,'[1]Tissue Data'!$I:$I)</f>
        <v>pygmaea</v>
      </c>
      <c r="G7481" t="str">
        <f>_xlfn.XLOOKUP(A7481,'[1]Tissue Data'!$A:$A,'[1]Tissue Data'!J:J)</f>
        <v>U</v>
      </c>
      <c r="H7481" t="str">
        <f>_xlfn.XLOOKUP(A7481,'[1]Tissue Data'!$A:$A,'[1]Tissue Data'!K:K)</f>
        <v>Whole Body</v>
      </c>
      <c r="I7481">
        <f>_xlfn.XLOOKUP(A7481,'[1]Tissue Data'!$A:$A,'[1]Tissue Data'!L:L)</f>
        <v>8</v>
      </c>
      <c r="J7481">
        <f>_xlfn.XLOOKUP(A7481,'[1]Tissue Data'!$A:$A,'[1]Tissue Data'!M:M)</f>
        <v>6.98</v>
      </c>
      <c r="K7481" t="s">
        <v>41</v>
      </c>
      <c r="L7481" t="str">
        <f>_xlfn.XLOOKUP(K7481,[2]analyte_order!$B:$B,[2]analyte_order!$C:$C)</f>
        <v>2355-31-9</v>
      </c>
      <c r="M7481">
        <f>_xlfn.XLOOKUP(L7481,[2]analyte_order!$C:$C,[2]analyte_order!$E:$E)</f>
        <v>26</v>
      </c>
      <c r="N7481">
        <v>0.22900000000000001</v>
      </c>
    </row>
    <row r="7482" spans="1:14">
      <c r="A7482" t="s">
        <v>174</v>
      </c>
      <c r="B7482" t="str">
        <f>_xlfn.XLOOKUP(A7482,'[1]Tissue Data'!$A:$A,'[1]Tissue Data'!$C:$C)</f>
        <v>Down</v>
      </c>
      <c r="C7482" s="2">
        <f>_xlfn.XLOOKUP(A7482,'[1]Tissue Data'!$A:$A,'[1]Tissue Data'!$D:$D)</f>
        <v>44393</v>
      </c>
      <c r="D7482" s="2" t="str">
        <f>_xlfn.XLOOKUP(A7482,'[1]Tissue Data'!$A:$A,'[1]Tissue Data'!$F:$F)</f>
        <v>Eastern Mudminnow</v>
      </c>
      <c r="E7482" t="str">
        <f>_xlfn.XLOOKUP(A7482,'[1]Tissue Data'!$A:$A,'[1]Tissue Data'!$H:$H)</f>
        <v>Umbra</v>
      </c>
      <c r="F7482" t="str">
        <f>_xlfn.XLOOKUP(A7482,'[1]Tissue Data'!$A:$A,'[1]Tissue Data'!$I:$I)</f>
        <v>pygmaea</v>
      </c>
      <c r="G7482" t="str">
        <f>_xlfn.XLOOKUP(A7482,'[1]Tissue Data'!$A:$A,'[1]Tissue Data'!J:J)</f>
        <v>U</v>
      </c>
      <c r="H7482" t="str">
        <f>_xlfn.XLOOKUP(A7482,'[1]Tissue Data'!$A:$A,'[1]Tissue Data'!K:K)</f>
        <v>Whole Body</v>
      </c>
      <c r="I7482">
        <f>_xlfn.XLOOKUP(A7482,'[1]Tissue Data'!$A:$A,'[1]Tissue Data'!L:L)</f>
        <v>8</v>
      </c>
      <c r="J7482">
        <f>_xlfn.XLOOKUP(A7482,'[1]Tissue Data'!$A:$A,'[1]Tissue Data'!M:M)</f>
        <v>6.98</v>
      </c>
      <c r="K7482" t="s">
        <v>42</v>
      </c>
      <c r="L7482" t="str">
        <f>_xlfn.XLOOKUP(K7482,[2]analyte_order!$B:$B,[2]analyte_order!$C:$C)</f>
        <v>2991-50-6</v>
      </c>
      <c r="M7482">
        <f>_xlfn.XLOOKUP(L7482,[2]analyte_order!$C:$C,[2]analyte_order!$E:$E)</f>
        <v>27</v>
      </c>
      <c r="N7482">
        <v>0.22750000000000001</v>
      </c>
    </row>
    <row r="7483" spans="1:14">
      <c r="A7483" t="s">
        <v>174</v>
      </c>
      <c r="B7483" t="str">
        <f>_xlfn.XLOOKUP(A7483,'[1]Tissue Data'!$A:$A,'[1]Tissue Data'!$C:$C)</f>
        <v>Down</v>
      </c>
      <c r="C7483" s="2">
        <f>_xlfn.XLOOKUP(A7483,'[1]Tissue Data'!$A:$A,'[1]Tissue Data'!$D:$D)</f>
        <v>44393</v>
      </c>
      <c r="D7483" s="2" t="str">
        <f>_xlfn.XLOOKUP(A7483,'[1]Tissue Data'!$A:$A,'[1]Tissue Data'!$F:$F)</f>
        <v>Eastern Mudminnow</v>
      </c>
      <c r="E7483" t="str">
        <f>_xlfn.XLOOKUP(A7483,'[1]Tissue Data'!$A:$A,'[1]Tissue Data'!$H:$H)</f>
        <v>Umbra</v>
      </c>
      <c r="F7483" t="str">
        <f>_xlfn.XLOOKUP(A7483,'[1]Tissue Data'!$A:$A,'[1]Tissue Data'!$I:$I)</f>
        <v>pygmaea</v>
      </c>
      <c r="G7483" t="str">
        <f>_xlfn.XLOOKUP(A7483,'[1]Tissue Data'!$A:$A,'[1]Tissue Data'!J:J)</f>
        <v>U</v>
      </c>
      <c r="H7483" t="str">
        <f>_xlfn.XLOOKUP(A7483,'[1]Tissue Data'!$A:$A,'[1]Tissue Data'!K:K)</f>
        <v>Whole Body</v>
      </c>
      <c r="I7483">
        <f>_xlfn.XLOOKUP(A7483,'[1]Tissue Data'!$A:$A,'[1]Tissue Data'!L:L)</f>
        <v>8</v>
      </c>
      <c r="J7483">
        <f>_xlfn.XLOOKUP(A7483,'[1]Tissue Data'!$A:$A,'[1]Tissue Data'!M:M)</f>
        <v>6.98</v>
      </c>
      <c r="K7483" t="s">
        <v>43</v>
      </c>
      <c r="L7483" t="str">
        <f>_xlfn.XLOOKUP(K7483,[2]analyte_order!$B:$B,[2]analyte_order!$C:$C)</f>
        <v>757124-72-4</v>
      </c>
      <c r="M7483">
        <f>_xlfn.XLOOKUP(L7483,[2]analyte_order!$C:$C,[2]analyte_order!$E:$E)</f>
        <v>22</v>
      </c>
      <c r="N7483">
        <v>0.22750000000000001</v>
      </c>
    </row>
    <row r="7484" spans="1:14">
      <c r="A7484" t="s">
        <v>174</v>
      </c>
      <c r="B7484" t="str">
        <f>_xlfn.XLOOKUP(A7484,'[1]Tissue Data'!$A:$A,'[1]Tissue Data'!$C:$C)</f>
        <v>Down</v>
      </c>
      <c r="C7484" s="2">
        <f>_xlfn.XLOOKUP(A7484,'[1]Tissue Data'!$A:$A,'[1]Tissue Data'!$D:$D)</f>
        <v>44393</v>
      </c>
      <c r="D7484" s="2" t="str">
        <f>_xlfn.XLOOKUP(A7484,'[1]Tissue Data'!$A:$A,'[1]Tissue Data'!$F:$F)</f>
        <v>Eastern Mudminnow</v>
      </c>
      <c r="E7484" t="str">
        <f>_xlfn.XLOOKUP(A7484,'[1]Tissue Data'!$A:$A,'[1]Tissue Data'!$H:$H)</f>
        <v>Umbra</v>
      </c>
      <c r="F7484" t="str">
        <f>_xlfn.XLOOKUP(A7484,'[1]Tissue Data'!$A:$A,'[1]Tissue Data'!$I:$I)</f>
        <v>pygmaea</v>
      </c>
      <c r="G7484" t="str">
        <f>_xlfn.XLOOKUP(A7484,'[1]Tissue Data'!$A:$A,'[1]Tissue Data'!J:J)</f>
        <v>U</v>
      </c>
      <c r="H7484" t="str">
        <f>_xlfn.XLOOKUP(A7484,'[1]Tissue Data'!$A:$A,'[1]Tissue Data'!K:K)</f>
        <v>Whole Body</v>
      </c>
      <c r="I7484">
        <f>_xlfn.XLOOKUP(A7484,'[1]Tissue Data'!$A:$A,'[1]Tissue Data'!L:L)</f>
        <v>8</v>
      </c>
      <c r="J7484">
        <f>_xlfn.XLOOKUP(A7484,'[1]Tissue Data'!$A:$A,'[1]Tissue Data'!M:M)</f>
        <v>6.98</v>
      </c>
      <c r="K7484" t="s">
        <v>44</v>
      </c>
      <c r="L7484" t="str">
        <f>_xlfn.XLOOKUP(K7484,[2]analyte_order!$B:$B,[2]analyte_order!$C:$C)</f>
        <v>27619-97-2</v>
      </c>
      <c r="M7484">
        <f>_xlfn.XLOOKUP(L7484,[2]analyte_order!$C:$C,[2]analyte_order!$E:$E)</f>
        <v>23</v>
      </c>
      <c r="N7484">
        <v>3.65</v>
      </c>
    </row>
    <row r="7485" spans="1:14">
      <c r="A7485" t="s">
        <v>174</v>
      </c>
      <c r="B7485" t="str">
        <f>_xlfn.XLOOKUP(A7485,'[1]Tissue Data'!$A:$A,'[1]Tissue Data'!$C:$C)</f>
        <v>Down</v>
      </c>
      <c r="C7485" s="2">
        <f>_xlfn.XLOOKUP(A7485,'[1]Tissue Data'!$A:$A,'[1]Tissue Data'!$D:$D)</f>
        <v>44393</v>
      </c>
      <c r="D7485" s="2" t="str">
        <f>_xlfn.XLOOKUP(A7485,'[1]Tissue Data'!$A:$A,'[1]Tissue Data'!$F:$F)</f>
        <v>Eastern Mudminnow</v>
      </c>
      <c r="E7485" t="str">
        <f>_xlfn.XLOOKUP(A7485,'[1]Tissue Data'!$A:$A,'[1]Tissue Data'!$H:$H)</f>
        <v>Umbra</v>
      </c>
      <c r="F7485" t="str">
        <f>_xlfn.XLOOKUP(A7485,'[1]Tissue Data'!$A:$A,'[1]Tissue Data'!$I:$I)</f>
        <v>pygmaea</v>
      </c>
      <c r="G7485" t="str">
        <f>_xlfn.XLOOKUP(A7485,'[1]Tissue Data'!$A:$A,'[1]Tissue Data'!J:J)</f>
        <v>U</v>
      </c>
      <c r="H7485" t="str">
        <f>_xlfn.XLOOKUP(A7485,'[1]Tissue Data'!$A:$A,'[1]Tissue Data'!K:K)</f>
        <v>Whole Body</v>
      </c>
      <c r="I7485">
        <f>_xlfn.XLOOKUP(A7485,'[1]Tissue Data'!$A:$A,'[1]Tissue Data'!L:L)</f>
        <v>8</v>
      </c>
      <c r="J7485">
        <f>_xlfn.XLOOKUP(A7485,'[1]Tissue Data'!$A:$A,'[1]Tissue Data'!M:M)</f>
        <v>6.98</v>
      </c>
      <c r="K7485" t="s">
        <v>45</v>
      </c>
      <c r="L7485" t="str">
        <f>_xlfn.XLOOKUP(K7485,[2]analyte_order!$B:$B,[2]analyte_order!$C:$C)</f>
        <v>39108-34-4</v>
      </c>
      <c r="M7485">
        <f>_xlfn.XLOOKUP(L7485,[2]analyte_order!$C:$C,[2]analyte_order!$E:$E)</f>
        <v>24</v>
      </c>
      <c r="N7485">
        <v>1.96</v>
      </c>
    </row>
    <row r="7486" spans="1:14">
      <c r="A7486" t="s">
        <v>174</v>
      </c>
      <c r="B7486" t="str">
        <f>_xlfn.XLOOKUP(A7486,'[1]Tissue Data'!$A:$A,'[1]Tissue Data'!$C:$C)</f>
        <v>Down</v>
      </c>
      <c r="C7486" s="2">
        <f>_xlfn.XLOOKUP(A7486,'[1]Tissue Data'!$A:$A,'[1]Tissue Data'!$D:$D)</f>
        <v>44393</v>
      </c>
      <c r="D7486" s="2" t="str">
        <f>_xlfn.XLOOKUP(A7486,'[1]Tissue Data'!$A:$A,'[1]Tissue Data'!$F:$F)</f>
        <v>Eastern Mudminnow</v>
      </c>
      <c r="E7486" t="str">
        <f>_xlfn.XLOOKUP(A7486,'[1]Tissue Data'!$A:$A,'[1]Tissue Data'!$H:$H)</f>
        <v>Umbra</v>
      </c>
      <c r="F7486" t="str">
        <f>_xlfn.XLOOKUP(A7486,'[1]Tissue Data'!$A:$A,'[1]Tissue Data'!$I:$I)</f>
        <v>pygmaea</v>
      </c>
      <c r="G7486" t="str">
        <f>_xlfn.XLOOKUP(A7486,'[1]Tissue Data'!$A:$A,'[1]Tissue Data'!J:J)</f>
        <v>U</v>
      </c>
      <c r="H7486" t="str">
        <f>_xlfn.XLOOKUP(A7486,'[1]Tissue Data'!$A:$A,'[1]Tissue Data'!K:K)</f>
        <v>Whole Body</v>
      </c>
      <c r="I7486">
        <f>_xlfn.XLOOKUP(A7486,'[1]Tissue Data'!$A:$A,'[1]Tissue Data'!L:L)</f>
        <v>8</v>
      </c>
      <c r="J7486">
        <f>_xlfn.XLOOKUP(A7486,'[1]Tissue Data'!$A:$A,'[1]Tissue Data'!M:M)</f>
        <v>6.98</v>
      </c>
      <c r="K7486" t="s">
        <v>46</v>
      </c>
      <c r="L7486" t="str">
        <f>_xlfn.XLOOKUP(K7486,[2]analyte_order!$B:$B,[2]analyte_order!$C:$C)</f>
        <v>120226-60-0</v>
      </c>
      <c r="M7486">
        <f>_xlfn.XLOOKUP(L7486,[2]analyte_order!$C:$C,[2]analyte_order!$E:$E)</f>
        <v>25</v>
      </c>
      <c r="N7486">
        <v>0.45500000000000002</v>
      </c>
    </row>
    <row r="7487" spans="1:14">
      <c r="A7487" t="s">
        <v>174</v>
      </c>
      <c r="B7487" t="str">
        <f>_xlfn.XLOOKUP(A7487,'[1]Tissue Data'!$A:$A,'[1]Tissue Data'!$C:$C)</f>
        <v>Down</v>
      </c>
      <c r="C7487" s="2">
        <f>_xlfn.XLOOKUP(A7487,'[1]Tissue Data'!$A:$A,'[1]Tissue Data'!$D:$D)</f>
        <v>44393</v>
      </c>
      <c r="D7487" s="2" t="str">
        <f>_xlfn.XLOOKUP(A7487,'[1]Tissue Data'!$A:$A,'[1]Tissue Data'!$F:$F)</f>
        <v>Eastern Mudminnow</v>
      </c>
      <c r="E7487" t="str">
        <f>_xlfn.XLOOKUP(A7487,'[1]Tissue Data'!$A:$A,'[1]Tissue Data'!$H:$H)</f>
        <v>Umbra</v>
      </c>
      <c r="F7487" t="str">
        <f>_xlfn.XLOOKUP(A7487,'[1]Tissue Data'!$A:$A,'[1]Tissue Data'!$I:$I)</f>
        <v>pygmaea</v>
      </c>
      <c r="G7487" t="str">
        <f>_xlfn.XLOOKUP(A7487,'[1]Tissue Data'!$A:$A,'[1]Tissue Data'!J:J)</f>
        <v>U</v>
      </c>
      <c r="H7487" t="str">
        <f>_xlfn.XLOOKUP(A7487,'[1]Tissue Data'!$A:$A,'[1]Tissue Data'!K:K)</f>
        <v>Whole Body</v>
      </c>
      <c r="I7487">
        <f>_xlfn.XLOOKUP(A7487,'[1]Tissue Data'!$A:$A,'[1]Tissue Data'!L:L)</f>
        <v>8</v>
      </c>
      <c r="J7487">
        <f>_xlfn.XLOOKUP(A7487,'[1]Tissue Data'!$A:$A,'[1]Tissue Data'!M:M)</f>
        <v>6.98</v>
      </c>
      <c r="K7487" t="s">
        <v>47</v>
      </c>
      <c r="L7487" t="str">
        <f>_xlfn.XLOOKUP(K7487,[2]analyte_order!$B:$B,[2]analyte_order!$C:$C)</f>
        <v>356-02-5</v>
      </c>
      <c r="M7487">
        <f>_xlfn.XLOOKUP(L7487,[2]analyte_order!$C:$C,[2]analyte_order!$E:$E)</f>
        <v>38</v>
      </c>
      <c r="N7487">
        <v>0.26250000000000001</v>
      </c>
    </row>
    <row r="7488" spans="1:14">
      <c r="A7488" t="s">
        <v>174</v>
      </c>
      <c r="B7488" t="str">
        <f>_xlfn.XLOOKUP(A7488,'[1]Tissue Data'!$A:$A,'[1]Tissue Data'!$C:$C)</f>
        <v>Down</v>
      </c>
      <c r="C7488" s="2">
        <f>_xlfn.XLOOKUP(A7488,'[1]Tissue Data'!$A:$A,'[1]Tissue Data'!$D:$D)</f>
        <v>44393</v>
      </c>
      <c r="D7488" s="2" t="str">
        <f>_xlfn.XLOOKUP(A7488,'[1]Tissue Data'!$A:$A,'[1]Tissue Data'!$F:$F)</f>
        <v>Eastern Mudminnow</v>
      </c>
      <c r="E7488" t="str">
        <f>_xlfn.XLOOKUP(A7488,'[1]Tissue Data'!$A:$A,'[1]Tissue Data'!$H:$H)</f>
        <v>Umbra</v>
      </c>
      <c r="F7488" t="str">
        <f>_xlfn.XLOOKUP(A7488,'[1]Tissue Data'!$A:$A,'[1]Tissue Data'!$I:$I)</f>
        <v>pygmaea</v>
      </c>
      <c r="G7488" t="str">
        <f>_xlfn.XLOOKUP(A7488,'[1]Tissue Data'!$A:$A,'[1]Tissue Data'!J:J)</f>
        <v>U</v>
      </c>
      <c r="H7488" t="str">
        <f>_xlfn.XLOOKUP(A7488,'[1]Tissue Data'!$A:$A,'[1]Tissue Data'!K:K)</f>
        <v>Whole Body</v>
      </c>
      <c r="I7488">
        <f>_xlfn.XLOOKUP(A7488,'[1]Tissue Data'!$A:$A,'[1]Tissue Data'!L:L)</f>
        <v>8</v>
      </c>
      <c r="J7488">
        <f>_xlfn.XLOOKUP(A7488,'[1]Tissue Data'!$A:$A,'[1]Tissue Data'!M:M)</f>
        <v>6.98</v>
      </c>
      <c r="K7488" t="s">
        <v>48</v>
      </c>
      <c r="L7488" t="str">
        <f>_xlfn.XLOOKUP(K7488,[2]analyte_order!$B:$B,[2]analyte_order!$C:$C)</f>
        <v>914637-49-3</v>
      </c>
      <c r="M7488">
        <f>_xlfn.XLOOKUP(L7488,[2]analyte_order!$C:$C,[2]analyte_order!$E:$E)</f>
        <v>39</v>
      </c>
      <c r="N7488">
        <v>13.1</v>
      </c>
    </row>
    <row r="7489" spans="1:14">
      <c r="A7489" t="s">
        <v>174</v>
      </c>
      <c r="B7489" t="str">
        <f>_xlfn.XLOOKUP(A7489,'[1]Tissue Data'!$A:$A,'[1]Tissue Data'!$C:$C)</f>
        <v>Down</v>
      </c>
      <c r="C7489" s="2">
        <f>_xlfn.XLOOKUP(A7489,'[1]Tissue Data'!$A:$A,'[1]Tissue Data'!$D:$D)</f>
        <v>44393</v>
      </c>
      <c r="D7489" s="2" t="str">
        <f>_xlfn.XLOOKUP(A7489,'[1]Tissue Data'!$A:$A,'[1]Tissue Data'!$F:$F)</f>
        <v>Eastern Mudminnow</v>
      </c>
      <c r="E7489" t="str">
        <f>_xlfn.XLOOKUP(A7489,'[1]Tissue Data'!$A:$A,'[1]Tissue Data'!$H:$H)</f>
        <v>Umbra</v>
      </c>
      <c r="F7489" t="str">
        <f>_xlfn.XLOOKUP(A7489,'[1]Tissue Data'!$A:$A,'[1]Tissue Data'!$I:$I)</f>
        <v>pygmaea</v>
      </c>
      <c r="G7489" t="str">
        <f>_xlfn.XLOOKUP(A7489,'[1]Tissue Data'!$A:$A,'[1]Tissue Data'!J:J)</f>
        <v>U</v>
      </c>
      <c r="H7489" t="str">
        <f>_xlfn.XLOOKUP(A7489,'[1]Tissue Data'!$A:$A,'[1]Tissue Data'!K:K)</f>
        <v>Whole Body</v>
      </c>
      <c r="I7489">
        <f>_xlfn.XLOOKUP(A7489,'[1]Tissue Data'!$A:$A,'[1]Tissue Data'!L:L)</f>
        <v>8</v>
      </c>
      <c r="J7489">
        <f>_xlfn.XLOOKUP(A7489,'[1]Tissue Data'!$A:$A,'[1]Tissue Data'!M:M)</f>
        <v>6.98</v>
      </c>
      <c r="K7489" t="s">
        <v>49</v>
      </c>
      <c r="L7489" t="str">
        <f>_xlfn.XLOOKUP(K7489,[2]analyte_order!$B:$B,[2]analyte_order!$C:$C)</f>
        <v>812-70-4</v>
      </c>
      <c r="M7489">
        <f>_xlfn.XLOOKUP(L7489,[2]analyte_order!$C:$C,[2]analyte_order!$E:$E)</f>
        <v>40</v>
      </c>
      <c r="N7489">
        <v>403</v>
      </c>
    </row>
    <row r="7490" spans="1:14">
      <c r="A7490" t="s">
        <v>174</v>
      </c>
      <c r="B7490" t="str">
        <f>_xlfn.XLOOKUP(A7490,'[1]Tissue Data'!$A:$A,'[1]Tissue Data'!$C:$C)</f>
        <v>Down</v>
      </c>
      <c r="C7490" s="2">
        <f>_xlfn.XLOOKUP(A7490,'[1]Tissue Data'!$A:$A,'[1]Tissue Data'!$D:$D)</f>
        <v>44393</v>
      </c>
      <c r="D7490" s="2" t="str">
        <f>_xlfn.XLOOKUP(A7490,'[1]Tissue Data'!$A:$A,'[1]Tissue Data'!$F:$F)</f>
        <v>Eastern Mudminnow</v>
      </c>
      <c r="E7490" t="str">
        <f>_xlfn.XLOOKUP(A7490,'[1]Tissue Data'!$A:$A,'[1]Tissue Data'!$H:$H)</f>
        <v>Umbra</v>
      </c>
      <c r="F7490" t="str">
        <f>_xlfn.XLOOKUP(A7490,'[1]Tissue Data'!$A:$A,'[1]Tissue Data'!$I:$I)</f>
        <v>pygmaea</v>
      </c>
      <c r="G7490" t="str">
        <f>_xlfn.XLOOKUP(A7490,'[1]Tissue Data'!$A:$A,'[1]Tissue Data'!J:J)</f>
        <v>U</v>
      </c>
      <c r="H7490" t="str">
        <f>_xlfn.XLOOKUP(A7490,'[1]Tissue Data'!$A:$A,'[1]Tissue Data'!K:K)</f>
        <v>Whole Body</v>
      </c>
      <c r="I7490">
        <f>_xlfn.XLOOKUP(A7490,'[1]Tissue Data'!$A:$A,'[1]Tissue Data'!L:L)</f>
        <v>8</v>
      </c>
      <c r="J7490">
        <f>_xlfn.XLOOKUP(A7490,'[1]Tissue Data'!$A:$A,'[1]Tissue Data'!M:M)</f>
        <v>6.98</v>
      </c>
      <c r="K7490" t="s">
        <v>50</v>
      </c>
      <c r="L7490" t="str">
        <f>_xlfn.XLOOKUP(K7490,[2]analyte_order!$B:$B,[2]analyte_order!$C:$C)</f>
        <v>53826-12-3</v>
      </c>
      <c r="M7490">
        <f>_xlfn.XLOOKUP(L7490,[2]analyte_order!$C:$C,[2]analyte_order!$E:$E)</f>
        <v>41</v>
      </c>
      <c r="N7490">
        <v>0.45500000000000002</v>
      </c>
    </row>
    <row r="7491" spans="1:14">
      <c r="A7491" t="s">
        <v>174</v>
      </c>
      <c r="B7491" t="str">
        <f>_xlfn.XLOOKUP(A7491,'[1]Tissue Data'!$A:$A,'[1]Tissue Data'!$C:$C)</f>
        <v>Down</v>
      </c>
      <c r="C7491" s="2">
        <f>_xlfn.XLOOKUP(A7491,'[1]Tissue Data'!$A:$A,'[1]Tissue Data'!$D:$D)</f>
        <v>44393</v>
      </c>
      <c r="D7491" s="2" t="str">
        <f>_xlfn.XLOOKUP(A7491,'[1]Tissue Data'!$A:$A,'[1]Tissue Data'!$F:$F)</f>
        <v>Eastern Mudminnow</v>
      </c>
      <c r="E7491" t="str">
        <f>_xlfn.XLOOKUP(A7491,'[1]Tissue Data'!$A:$A,'[1]Tissue Data'!$H:$H)</f>
        <v>Umbra</v>
      </c>
      <c r="F7491" t="str">
        <f>_xlfn.XLOOKUP(A7491,'[1]Tissue Data'!$A:$A,'[1]Tissue Data'!$I:$I)</f>
        <v>pygmaea</v>
      </c>
      <c r="G7491" t="str">
        <f>_xlfn.XLOOKUP(A7491,'[1]Tissue Data'!$A:$A,'[1]Tissue Data'!J:J)</f>
        <v>U</v>
      </c>
      <c r="H7491" t="str">
        <f>_xlfn.XLOOKUP(A7491,'[1]Tissue Data'!$A:$A,'[1]Tissue Data'!K:K)</f>
        <v>Whole Body</v>
      </c>
      <c r="I7491">
        <f>_xlfn.XLOOKUP(A7491,'[1]Tissue Data'!$A:$A,'[1]Tissue Data'!L:L)</f>
        <v>8</v>
      </c>
      <c r="J7491">
        <f>_xlfn.XLOOKUP(A7491,'[1]Tissue Data'!$A:$A,'[1]Tissue Data'!M:M)</f>
        <v>6.98</v>
      </c>
      <c r="K7491" t="s">
        <v>51</v>
      </c>
      <c r="L7491" t="str">
        <f>_xlfn.XLOOKUP(K7491,[2]analyte_order!$B:$B,[2]analyte_order!$C:$C)</f>
        <v>27854-31-5</v>
      </c>
      <c r="M7491">
        <f>_xlfn.XLOOKUP(L7491,[2]analyte_order!$C:$C,[2]analyte_order!$E:$E)</f>
        <v>42</v>
      </c>
      <c r="N7491">
        <v>0.45500000000000002</v>
      </c>
    </row>
    <row r="7492" spans="1:14">
      <c r="A7492" t="s">
        <v>174</v>
      </c>
      <c r="B7492" t="str">
        <f>_xlfn.XLOOKUP(A7492,'[1]Tissue Data'!$A:$A,'[1]Tissue Data'!$C:$C)</f>
        <v>Down</v>
      </c>
      <c r="C7492" s="2">
        <f>_xlfn.XLOOKUP(A7492,'[1]Tissue Data'!$A:$A,'[1]Tissue Data'!$D:$D)</f>
        <v>44393</v>
      </c>
      <c r="D7492" s="2" t="str">
        <f>_xlfn.XLOOKUP(A7492,'[1]Tissue Data'!$A:$A,'[1]Tissue Data'!$F:$F)</f>
        <v>Eastern Mudminnow</v>
      </c>
      <c r="E7492" t="str">
        <f>_xlfn.XLOOKUP(A7492,'[1]Tissue Data'!$A:$A,'[1]Tissue Data'!$H:$H)</f>
        <v>Umbra</v>
      </c>
      <c r="F7492" t="str">
        <f>_xlfn.XLOOKUP(A7492,'[1]Tissue Data'!$A:$A,'[1]Tissue Data'!$I:$I)</f>
        <v>pygmaea</v>
      </c>
      <c r="G7492" t="str">
        <f>_xlfn.XLOOKUP(A7492,'[1]Tissue Data'!$A:$A,'[1]Tissue Data'!J:J)</f>
        <v>U</v>
      </c>
      <c r="H7492" t="str">
        <f>_xlfn.XLOOKUP(A7492,'[1]Tissue Data'!$A:$A,'[1]Tissue Data'!K:K)</f>
        <v>Whole Body</v>
      </c>
      <c r="I7492">
        <f>_xlfn.XLOOKUP(A7492,'[1]Tissue Data'!$A:$A,'[1]Tissue Data'!L:L)</f>
        <v>8</v>
      </c>
      <c r="J7492">
        <f>_xlfn.XLOOKUP(A7492,'[1]Tissue Data'!$A:$A,'[1]Tissue Data'!M:M)</f>
        <v>6.98</v>
      </c>
      <c r="K7492" t="s">
        <v>52</v>
      </c>
      <c r="L7492" t="str">
        <f>_xlfn.XLOOKUP(K7492,[2]analyte_order!$B:$B,[2]analyte_order!$C:$C)</f>
        <v>53826-13-4</v>
      </c>
      <c r="M7492">
        <f>_xlfn.XLOOKUP(L7492,[2]analyte_order!$C:$C,[2]analyte_order!$E:$E)</f>
        <v>43</v>
      </c>
      <c r="N7492">
        <v>0.45500000000000002</v>
      </c>
    </row>
    <row r="7493" spans="1:14">
      <c r="A7493" t="s">
        <v>174</v>
      </c>
      <c r="B7493" t="str">
        <f>_xlfn.XLOOKUP(A7493,'[1]Tissue Data'!$A:$A,'[1]Tissue Data'!$C:$C)</f>
        <v>Down</v>
      </c>
      <c r="C7493" s="2">
        <f>_xlfn.XLOOKUP(A7493,'[1]Tissue Data'!$A:$A,'[1]Tissue Data'!$D:$D)</f>
        <v>44393</v>
      </c>
      <c r="D7493" s="2" t="str">
        <f>_xlfn.XLOOKUP(A7493,'[1]Tissue Data'!$A:$A,'[1]Tissue Data'!$F:$F)</f>
        <v>Eastern Mudminnow</v>
      </c>
      <c r="E7493" t="str">
        <f>_xlfn.XLOOKUP(A7493,'[1]Tissue Data'!$A:$A,'[1]Tissue Data'!$H:$H)</f>
        <v>Umbra</v>
      </c>
      <c r="F7493" t="str">
        <f>_xlfn.XLOOKUP(A7493,'[1]Tissue Data'!$A:$A,'[1]Tissue Data'!$I:$I)</f>
        <v>pygmaea</v>
      </c>
      <c r="G7493" t="str">
        <f>_xlfn.XLOOKUP(A7493,'[1]Tissue Data'!$A:$A,'[1]Tissue Data'!J:J)</f>
        <v>U</v>
      </c>
      <c r="H7493" t="str">
        <f>_xlfn.XLOOKUP(A7493,'[1]Tissue Data'!$A:$A,'[1]Tissue Data'!K:K)</f>
        <v>Whole Body</v>
      </c>
      <c r="I7493">
        <f>_xlfn.XLOOKUP(A7493,'[1]Tissue Data'!$A:$A,'[1]Tissue Data'!L:L)</f>
        <v>8</v>
      </c>
      <c r="J7493">
        <f>_xlfn.XLOOKUP(A7493,'[1]Tissue Data'!$A:$A,'[1]Tissue Data'!M:M)</f>
        <v>6.98</v>
      </c>
      <c r="K7493" t="s">
        <v>53</v>
      </c>
      <c r="L7493" t="str">
        <f>_xlfn.XLOOKUP(K7493,[2]analyte_order!$B:$B,[2]analyte_order!$C:$C)</f>
        <v>161094-75-3</v>
      </c>
      <c r="M7493">
        <f>_xlfn.XLOOKUP(L7493,[2]analyte_order!$C:$C,[2]analyte_order!$E:$E)</f>
        <v>44</v>
      </c>
      <c r="N7493">
        <v>0.45500000000000002</v>
      </c>
    </row>
    <row r="7494" spans="1:14">
      <c r="A7494" t="s">
        <v>174</v>
      </c>
      <c r="B7494" t="str">
        <f>_xlfn.XLOOKUP(A7494,'[1]Tissue Data'!$A:$A,'[1]Tissue Data'!$C:$C)</f>
        <v>Down</v>
      </c>
      <c r="C7494" s="2">
        <f>_xlfn.XLOOKUP(A7494,'[1]Tissue Data'!$A:$A,'[1]Tissue Data'!$D:$D)</f>
        <v>44393</v>
      </c>
      <c r="D7494" s="2" t="str">
        <f>_xlfn.XLOOKUP(A7494,'[1]Tissue Data'!$A:$A,'[1]Tissue Data'!$F:$F)</f>
        <v>Eastern Mudminnow</v>
      </c>
      <c r="E7494" t="str">
        <f>_xlfn.XLOOKUP(A7494,'[1]Tissue Data'!$A:$A,'[1]Tissue Data'!$H:$H)</f>
        <v>Umbra</v>
      </c>
      <c r="F7494" t="str">
        <f>_xlfn.XLOOKUP(A7494,'[1]Tissue Data'!$A:$A,'[1]Tissue Data'!$I:$I)</f>
        <v>pygmaea</v>
      </c>
      <c r="G7494" t="str">
        <f>_xlfn.XLOOKUP(A7494,'[1]Tissue Data'!$A:$A,'[1]Tissue Data'!J:J)</f>
        <v>U</v>
      </c>
      <c r="H7494" t="str">
        <f>_xlfn.XLOOKUP(A7494,'[1]Tissue Data'!$A:$A,'[1]Tissue Data'!K:K)</f>
        <v>Whole Body</v>
      </c>
      <c r="I7494">
        <f>_xlfn.XLOOKUP(A7494,'[1]Tissue Data'!$A:$A,'[1]Tissue Data'!L:L)</f>
        <v>8</v>
      </c>
      <c r="J7494">
        <f>_xlfn.XLOOKUP(A7494,'[1]Tissue Data'!$A:$A,'[1]Tissue Data'!M:M)</f>
        <v>6.98</v>
      </c>
      <c r="K7494" t="s">
        <v>54</v>
      </c>
      <c r="L7494" t="str">
        <f>_xlfn.XLOOKUP(K7494,[2]analyte_order!$B:$B,[2]analyte_order!$C:$C)</f>
        <v>70887-84-2</v>
      </c>
      <c r="M7494">
        <f>_xlfn.XLOOKUP(L7494,[2]analyte_order!$C:$C,[2]analyte_order!$E:$E)</f>
        <v>45</v>
      </c>
      <c r="N7494">
        <v>0.45500000000000002</v>
      </c>
    </row>
    <row r="7495" spans="1:14">
      <c r="A7495" t="s">
        <v>174</v>
      </c>
      <c r="B7495" t="str">
        <f>_xlfn.XLOOKUP(A7495,'[1]Tissue Data'!$A:$A,'[1]Tissue Data'!$C:$C)</f>
        <v>Down</v>
      </c>
      <c r="C7495" s="2">
        <f>_xlfn.XLOOKUP(A7495,'[1]Tissue Data'!$A:$A,'[1]Tissue Data'!$D:$D)</f>
        <v>44393</v>
      </c>
      <c r="D7495" s="2" t="str">
        <f>_xlfn.XLOOKUP(A7495,'[1]Tissue Data'!$A:$A,'[1]Tissue Data'!$F:$F)</f>
        <v>Eastern Mudminnow</v>
      </c>
      <c r="E7495" t="str">
        <f>_xlfn.XLOOKUP(A7495,'[1]Tissue Data'!$A:$A,'[1]Tissue Data'!$H:$H)</f>
        <v>Umbra</v>
      </c>
      <c r="F7495" t="str">
        <f>_xlfn.XLOOKUP(A7495,'[1]Tissue Data'!$A:$A,'[1]Tissue Data'!$I:$I)</f>
        <v>pygmaea</v>
      </c>
      <c r="G7495" t="str">
        <f>_xlfn.XLOOKUP(A7495,'[1]Tissue Data'!$A:$A,'[1]Tissue Data'!J:J)</f>
        <v>U</v>
      </c>
      <c r="H7495" t="str">
        <f>_xlfn.XLOOKUP(A7495,'[1]Tissue Data'!$A:$A,'[1]Tissue Data'!K:K)</f>
        <v>Whole Body</v>
      </c>
      <c r="I7495">
        <f>_xlfn.XLOOKUP(A7495,'[1]Tissue Data'!$A:$A,'[1]Tissue Data'!L:L)</f>
        <v>8</v>
      </c>
      <c r="J7495">
        <f>_xlfn.XLOOKUP(A7495,'[1]Tissue Data'!$A:$A,'[1]Tissue Data'!M:M)</f>
        <v>6.98</v>
      </c>
      <c r="K7495" t="s">
        <v>55</v>
      </c>
      <c r="L7495" t="str">
        <f>_xlfn.XLOOKUP(K7495,[2]analyte_order!$B:$B,[2]analyte_order!$C:$C)</f>
        <v>919005-14-4</v>
      </c>
      <c r="M7495">
        <f>_xlfn.XLOOKUP(L7495,[2]analyte_order!$C:$C,[2]analyte_order!$E:$E)</f>
        <v>35</v>
      </c>
      <c r="N7495">
        <v>0.22750000000000001</v>
      </c>
    </row>
    <row r="7496" spans="1:14">
      <c r="A7496" t="s">
        <v>174</v>
      </c>
      <c r="B7496" t="str">
        <f>_xlfn.XLOOKUP(A7496,'[1]Tissue Data'!$A:$A,'[1]Tissue Data'!$C:$C)</f>
        <v>Down</v>
      </c>
      <c r="C7496" s="2">
        <f>_xlfn.XLOOKUP(A7496,'[1]Tissue Data'!$A:$A,'[1]Tissue Data'!$D:$D)</f>
        <v>44393</v>
      </c>
      <c r="D7496" s="2" t="str">
        <f>_xlfn.XLOOKUP(A7496,'[1]Tissue Data'!$A:$A,'[1]Tissue Data'!$F:$F)</f>
        <v>Eastern Mudminnow</v>
      </c>
      <c r="E7496" t="str">
        <f>_xlfn.XLOOKUP(A7496,'[1]Tissue Data'!$A:$A,'[1]Tissue Data'!$H:$H)</f>
        <v>Umbra</v>
      </c>
      <c r="F7496" t="str">
        <f>_xlfn.XLOOKUP(A7496,'[1]Tissue Data'!$A:$A,'[1]Tissue Data'!$I:$I)</f>
        <v>pygmaea</v>
      </c>
      <c r="G7496" t="str">
        <f>_xlfn.XLOOKUP(A7496,'[1]Tissue Data'!$A:$A,'[1]Tissue Data'!J:J)</f>
        <v>U</v>
      </c>
      <c r="H7496" t="str">
        <f>_xlfn.XLOOKUP(A7496,'[1]Tissue Data'!$A:$A,'[1]Tissue Data'!K:K)</f>
        <v>Whole Body</v>
      </c>
      <c r="I7496">
        <f>_xlfn.XLOOKUP(A7496,'[1]Tissue Data'!$A:$A,'[1]Tissue Data'!L:L)</f>
        <v>8</v>
      </c>
      <c r="J7496">
        <f>_xlfn.XLOOKUP(A7496,'[1]Tissue Data'!$A:$A,'[1]Tissue Data'!M:M)</f>
        <v>6.98</v>
      </c>
      <c r="K7496" t="s">
        <v>56</v>
      </c>
      <c r="L7496" t="str">
        <f>_xlfn.XLOOKUP(K7496,[2]analyte_order!$B:$B,[2]analyte_order!$C:$C)</f>
        <v>756426-58-1</v>
      </c>
      <c r="M7496">
        <f>_xlfn.XLOOKUP(L7496,[2]analyte_order!$C:$C,[2]analyte_order!$E:$E)</f>
        <v>36</v>
      </c>
      <c r="N7496">
        <v>0.45500000000000002</v>
      </c>
    </row>
    <row r="7497" spans="1:14">
      <c r="A7497" t="s">
        <v>174</v>
      </c>
      <c r="B7497" t="str">
        <f>_xlfn.XLOOKUP(A7497,'[1]Tissue Data'!$A:$A,'[1]Tissue Data'!$C:$C)</f>
        <v>Down</v>
      </c>
      <c r="C7497" s="2">
        <f>_xlfn.XLOOKUP(A7497,'[1]Tissue Data'!$A:$A,'[1]Tissue Data'!$D:$D)</f>
        <v>44393</v>
      </c>
      <c r="D7497" s="2" t="str">
        <f>_xlfn.XLOOKUP(A7497,'[1]Tissue Data'!$A:$A,'[1]Tissue Data'!$F:$F)</f>
        <v>Eastern Mudminnow</v>
      </c>
      <c r="E7497" t="str">
        <f>_xlfn.XLOOKUP(A7497,'[1]Tissue Data'!$A:$A,'[1]Tissue Data'!$H:$H)</f>
        <v>Umbra</v>
      </c>
      <c r="F7497" t="str">
        <f>_xlfn.XLOOKUP(A7497,'[1]Tissue Data'!$A:$A,'[1]Tissue Data'!$I:$I)</f>
        <v>pygmaea</v>
      </c>
      <c r="G7497" t="str">
        <f>_xlfn.XLOOKUP(A7497,'[1]Tissue Data'!$A:$A,'[1]Tissue Data'!J:J)</f>
        <v>U</v>
      </c>
      <c r="H7497" t="str">
        <f>_xlfn.XLOOKUP(A7497,'[1]Tissue Data'!$A:$A,'[1]Tissue Data'!K:K)</f>
        <v>Whole Body</v>
      </c>
      <c r="I7497">
        <f>_xlfn.XLOOKUP(A7497,'[1]Tissue Data'!$A:$A,'[1]Tissue Data'!L:L)</f>
        <v>8</v>
      </c>
      <c r="J7497">
        <f>_xlfn.XLOOKUP(A7497,'[1]Tissue Data'!$A:$A,'[1]Tissue Data'!M:M)</f>
        <v>6.98</v>
      </c>
      <c r="K7497" t="s">
        <v>57</v>
      </c>
      <c r="L7497" t="str">
        <f>_xlfn.XLOOKUP(K7497,[2]analyte_order!$B:$B,[2]analyte_order!$C:$C)</f>
        <v>763051-92-9</v>
      </c>
      <c r="M7497">
        <f>_xlfn.XLOOKUP(L7497,[2]analyte_order!$C:$C,[2]analyte_order!$E:$E)</f>
        <v>37</v>
      </c>
      <c r="N7497">
        <v>0.45500000000000002</v>
      </c>
    </row>
    <row r="7498" spans="1:14">
      <c r="A7498" t="s">
        <v>174</v>
      </c>
      <c r="B7498" t="str">
        <f>_xlfn.XLOOKUP(A7498,'[1]Tissue Data'!$A:$A,'[1]Tissue Data'!$C:$C)</f>
        <v>Down</v>
      </c>
      <c r="C7498" s="2">
        <f>_xlfn.XLOOKUP(A7498,'[1]Tissue Data'!$A:$A,'[1]Tissue Data'!$D:$D)</f>
        <v>44393</v>
      </c>
      <c r="D7498" s="2" t="str">
        <f>_xlfn.XLOOKUP(A7498,'[1]Tissue Data'!$A:$A,'[1]Tissue Data'!$F:$F)</f>
        <v>Eastern Mudminnow</v>
      </c>
      <c r="E7498" t="str">
        <f>_xlfn.XLOOKUP(A7498,'[1]Tissue Data'!$A:$A,'[1]Tissue Data'!$H:$H)</f>
        <v>Umbra</v>
      </c>
      <c r="F7498" t="str">
        <f>_xlfn.XLOOKUP(A7498,'[1]Tissue Data'!$A:$A,'[1]Tissue Data'!$I:$I)</f>
        <v>pygmaea</v>
      </c>
      <c r="G7498" t="str">
        <f>_xlfn.XLOOKUP(A7498,'[1]Tissue Data'!$A:$A,'[1]Tissue Data'!J:J)</f>
        <v>U</v>
      </c>
      <c r="H7498" t="str">
        <f>_xlfn.XLOOKUP(A7498,'[1]Tissue Data'!$A:$A,'[1]Tissue Data'!K:K)</f>
        <v>Whole Body</v>
      </c>
      <c r="I7498">
        <f>_xlfn.XLOOKUP(A7498,'[1]Tissue Data'!$A:$A,'[1]Tissue Data'!L:L)</f>
        <v>8</v>
      </c>
      <c r="J7498">
        <f>_xlfn.XLOOKUP(A7498,'[1]Tissue Data'!$A:$A,'[1]Tissue Data'!M:M)</f>
        <v>6.98</v>
      </c>
      <c r="K7498" t="s">
        <v>58</v>
      </c>
      <c r="L7498" t="str">
        <f>_xlfn.XLOOKUP(K7498,[2]analyte_order!$B:$B,[2]analyte_order!$C:$C)</f>
        <v>13252-13-6</v>
      </c>
      <c r="M7498">
        <f>_xlfn.XLOOKUP(L7498,[2]analyte_order!$C:$C,[2]analyte_order!$E:$E)</f>
        <v>34</v>
      </c>
      <c r="N7498">
        <v>0.32650000000000001</v>
      </c>
    </row>
    <row r="7499" spans="1:14">
      <c r="A7499" t="s">
        <v>174</v>
      </c>
      <c r="B7499" t="str">
        <f>_xlfn.XLOOKUP(A7499,'[1]Tissue Data'!$A:$A,'[1]Tissue Data'!$C:$C)</f>
        <v>Down</v>
      </c>
      <c r="C7499" s="2">
        <f>_xlfn.XLOOKUP(A7499,'[1]Tissue Data'!$A:$A,'[1]Tissue Data'!$D:$D)</f>
        <v>44393</v>
      </c>
      <c r="D7499" s="2" t="str">
        <f>_xlfn.XLOOKUP(A7499,'[1]Tissue Data'!$A:$A,'[1]Tissue Data'!$F:$F)</f>
        <v>Eastern Mudminnow</v>
      </c>
      <c r="E7499" t="str">
        <f>_xlfn.XLOOKUP(A7499,'[1]Tissue Data'!$A:$A,'[1]Tissue Data'!$H:$H)</f>
        <v>Umbra</v>
      </c>
      <c r="F7499" t="str">
        <f>_xlfn.XLOOKUP(A7499,'[1]Tissue Data'!$A:$A,'[1]Tissue Data'!$I:$I)</f>
        <v>pygmaea</v>
      </c>
      <c r="G7499" t="str">
        <f>_xlfn.XLOOKUP(A7499,'[1]Tissue Data'!$A:$A,'[1]Tissue Data'!J:J)</f>
        <v>U</v>
      </c>
      <c r="H7499" t="str">
        <f>_xlfn.XLOOKUP(A7499,'[1]Tissue Data'!$A:$A,'[1]Tissue Data'!K:K)</f>
        <v>Whole Body</v>
      </c>
      <c r="I7499">
        <f>_xlfn.XLOOKUP(A7499,'[1]Tissue Data'!$A:$A,'[1]Tissue Data'!L:L)</f>
        <v>8</v>
      </c>
      <c r="J7499">
        <f>_xlfn.XLOOKUP(A7499,'[1]Tissue Data'!$A:$A,'[1]Tissue Data'!M:M)</f>
        <v>6.98</v>
      </c>
      <c r="K7499" t="s">
        <v>59</v>
      </c>
      <c r="L7499" t="str">
        <f>_xlfn.XLOOKUP(K7499,[2]analyte_order!$B:$B,[2]analyte_order!$C:$C)</f>
        <v>57677-95-9</v>
      </c>
      <c r="M7499">
        <f>_xlfn.XLOOKUP(L7499,[2]analyte_order!$C:$C,[2]analyte_order!$E:$E)</f>
        <v>46</v>
      </c>
      <c r="N7499">
        <v>0.45500000000000002</v>
      </c>
    </row>
    <row r="7500" spans="1:14">
      <c r="A7500" t="s">
        <v>174</v>
      </c>
      <c r="B7500" t="str">
        <f>_xlfn.XLOOKUP(A7500,'[1]Tissue Data'!$A:$A,'[1]Tissue Data'!$C:$C)</f>
        <v>Down</v>
      </c>
      <c r="C7500" s="2">
        <f>_xlfn.XLOOKUP(A7500,'[1]Tissue Data'!$A:$A,'[1]Tissue Data'!$D:$D)</f>
        <v>44393</v>
      </c>
      <c r="D7500" s="2" t="str">
        <f>_xlfn.XLOOKUP(A7500,'[1]Tissue Data'!$A:$A,'[1]Tissue Data'!$F:$F)</f>
        <v>Eastern Mudminnow</v>
      </c>
      <c r="E7500" t="str">
        <f>_xlfn.XLOOKUP(A7500,'[1]Tissue Data'!$A:$A,'[1]Tissue Data'!$H:$H)</f>
        <v>Umbra</v>
      </c>
      <c r="F7500" t="str">
        <f>_xlfn.XLOOKUP(A7500,'[1]Tissue Data'!$A:$A,'[1]Tissue Data'!$I:$I)</f>
        <v>pygmaea</v>
      </c>
      <c r="G7500" t="str">
        <f>_xlfn.XLOOKUP(A7500,'[1]Tissue Data'!$A:$A,'[1]Tissue Data'!J:J)</f>
        <v>U</v>
      </c>
      <c r="H7500" t="str">
        <f>_xlfn.XLOOKUP(A7500,'[1]Tissue Data'!$A:$A,'[1]Tissue Data'!K:K)</f>
        <v>Whole Body</v>
      </c>
      <c r="I7500">
        <f>_xlfn.XLOOKUP(A7500,'[1]Tissue Data'!$A:$A,'[1]Tissue Data'!L:L)</f>
        <v>8</v>
      </c>
      <c r="J7500">
        <f>_xlfn.XLOOKUP(A7500,'[1]Tissue Data'!$A:$A,'[1]Tissue Data'!M:M)</f>
        <v>6.98</v>
      </c>
      <c r="K7500" t="s">
        <v>60</v>
      </c>
      <c r="L7500" t="str">
        <f>_xlfn.XLOOKUP(K7500,[2]analyte_order!$B:$B,[2]analyte_order!$C:$C)</f>
        <v>678-41-1</v>
      </c>
      <c r="M7500">
        <f>_xlfn.XLOOKUP(L7500,[2]analyte_order!$C:$C,[2]analyte_order!$E:$E)</f>
        <v>56</v>
      </c>
      <c r="N7500">
        <v>0.45500000000000002</v>
      </c>
    </row>
    <row r="7501" spans="1:14">
      <c r="A7501" t="s">
        <v>174</v>
      </c>
      <c r="B7501" t="str">
        <f>_xlfn.XLOOKUP(A7501,'[1]Tissue Data'!$A:$A,'[1]Tissue Data'!$C:$C)</f>
        <v>Down</v>
      </c>
      <c r="C7501" s="2">
        <f>_xlfn.XLOOKUP(A7501,'[1]Tissue Data'!$A:$A,'[1]Tissue Data'!$D:$D)</f>
        <v>44393</v>
      </c>
      <c r="D7501" s="2" t="str">
        <f>_xlfn.XLOOKUP(A7501,'[1]Tissue Data'!$A:$A,'[1]Tissue Data'!$F:$F)</f>
        <v>Eastern Mudminnow</v>
      </c>
      <c r="E7501" t="str">
        <f>_xlfn.XLOOKUP(A7501,'[1]Tissue Data'!$A:$A,'[1]Tissue Data'!$H:$H)</f>
        <v>Umbra</v>
      </c>
      <c r="F7501" t="str">
        <f>_xlfn.XLOOKUP(A7501,'[1]Tissue Data'!$A:$A,'[1]Tissue Data'!$I:$I)</f>
        <v>pygmaea</v>
      </c>
      <c r="G7501" t="str">
        <f>_xlfn.XLOOKUP(A7501,'[1]Tissue Data'!$A:$A,'[1]Tissue Data'!J:J)</f>
        <v>U</v>
      </c>
      <c r="H7501" t="str">
        <f>_xlfn.XLOOKUP(A7501,'[1]Tissue Data'!$A:$A,'[1]Tissue Data'!K:K)</f>
        <v>Whole Body</v>
      </c>
      <c r="I7501">
        <f>_xlfn.XLOOKUP(A7501,'[1]Tissue Data'!$A:$A,'[1]Tissue Data'!L:L)</f>
        <v>8</v>
      </c>
      <c r="J7501">
        <f>_xlfn.XLOOKUP(A7501,'[1]Tissue Data'!$A:$A,'[1]Tissue Data'!M:M)</f>
        <v>6.98</v>
      </c>
      <c r="K7501" t="s">
        <v>61</v>
      </c>
      <c r="L7501" t="str">
        <f>_xlfn.XLOOKUP(K7501,[2]analyte_order!$B:$B,[2]analyte_order!$C:$C)</f>
        <v>2965-52-8</v>
      </c>
      <c r="M7501">
        <f>_xlfn.XLOOKUP(L7501,[2]analyte_order!$C:$C,[2]analyte_order!$E:$E)</f>
        <v>57</v>
      </c>
      <c r="N7501">
        <v>0.45500000000000002</v>
      </c>
    </row>
    <row r="7502" spans="1:14">
      <c r="A7502" t="s">
        <v>181</v>
      </c>
      <c r="B7502" t="str">
        <f>_xlfn.XLOOKUP(A7502,'[1]Tissue Data'!$A:$A,'[1]Tissue Data'!$C:$C)</f>
        <v>Down</v>
      </c>
      <c r="C7502" s="2">
        <f>_xlfn.XLOOKUP(A7502,'[1]Tissue Data'!$A:$A,'[1]Tissue Data'!$D:$D)</f>
        <v>44393</v>
      </c>
      <c r="D7502" s="2" t="str">
        <f>_xlfn.XLOOKUP(A7502,'[1]Tissue Data'!$A:$A,'[1]Tissue Data'!$F:$F)</f>
        <v>Fallfish</v>
      </c>
      <c r="E7502" t="str">
        <f>_xlfn.XLOOKUP(A7502,'[1]Tissue Data'!$A:$A,'[1]Tissue Data'!$H:$H)</f>
        <v>Semotilus</v>
      </c>
      <c r="F7502" t="str">
        <f>_xlfn.XLOOKUP(A7502,'[1]Tissue Data'!$A:$A,'[1]Tissue Data'!$I:$I)</f>
        <v>corporalis</v>
      </c>
      <c r="G7502" t="str">
        <f>_xlfn.XLOOKUP(A7502,'[1]Tissue Data'!$A:$A,'[1]Tissue Data'!J:J)</f>
        <v>U</v>
      </c>
      <c r="H7502" t="str">
        <f>_xlfn.XLOOKUP(A7502,'[1]Tissue Data'!$A:$A,'[1]Tissue Data'!K:K)</f>
        <v>Whole Body</v>
      </c>
      <c r="I7502">
        <f>_xlfn.XLOOKUP(A7502,'[1]Tissue Data'!$A:$A,'[1]Tissue Data'!L:L)</f>
        <v>7.5</v>
      </c>
      <c r="J7502">
        <f>_xlfn.XLOOKUP(A7502,'[1]Tissue Data'!$A:$A,'[1]Tissue Data'!M:M)</f>
        <v>5.37</v>
      </c>
      <c r="K7502" t="s">
        <v>12</v>
      </c>
      <c r="L7502" t="str">
        <f>_xlfn.XLOOKUP(K7502,[2]analyte_order!$B:$B,[2]analyte_order!$C:$C)</f>
        <v>375-22-4</v>
      </c>
      <c r="M7502">
        <f>_xlfn.XLOOKUP(L7502,[2]analyte_order!$C:$C,[2]analyte_order!$E:$E)</f>
        <v>1</v>
      </c>
      <c r="N7502">
        <v>0.222</v>
      </c>
    </row>
    <row r="7503" spans="1:14">
      <c r="A7503" t="s">
        <v>181</v>
      </c>
      <c r="B7503" t="str">
        <f>_xlfn.XLOOKUP(A7503,'[1]Tissue Data'!$A:$A,'[1]Tissue Data'!$C:$C)</f>
        <v>Down</v>
      </c>
      <c r="C7503" s="2">
        <f>_xlfn.XLOOKUP(A7503,'[1]Tissue Data'!$A:$A,'[1]Tissue Data'!$D:$D)</f>
        <v>44393</v>
      </c>
      <c r="D7503" s="2" t="str">
        <f>_xlfn.XLOOKUP(A7503,'[1]Tissue Data'!$A:$A,'[1]Tissue Data'!$F:$F)</f>
        <v>Fallfish</v>
      </c>
      <c r="E7503" t="str">
        <f>_xlfn.XLOOKUP(A7503,'[1]Tissue Data'!$A:$A,'[1]Tissue Data'!$H:$H)</f>
        <v>Semotilus</v>
      </c>
      <c r="F7503" t="str">
        <f>_xlfn.XLOOKUP(A7503,'[1]Tissue Data'!$A:$A,'[1]Tissue Data'!$I:$I)</f>
        <v>corporalis</v>
      </c>
      <c r="G7503" t="str">
        <f>_xlfn.XLOOKUP(A7503,'[1]Tissue Data'!$A:$A,'[1]Tissue Data'!J:J)</f>
        <v>U</v>
      </c>
      <c r="H7503" t="str">
        <f>_xlfn.XLOOKUP(A7503,'[1]Tissue Data'!$A:$A,'[1]Tissue Data'!K:K)</f>
        <v>Whole Body</v>
      </c>
      <c r="I7503">
        <f>_xlfn.XLOOKUP(A7503,'[1]Tissue Data'!$A:$A,'[1]Tissue Data'!L:L)</f>
        <v>7.5</v>
      </c>
      <c r="J7503">
        <f>_xlfn.XLOOKUP(A7503,'[1]Tissue Data'!$A:$A,'[1]Tissue Data'!M:M)</f>
        <v>5.37</v>
      </c>
      <c r="K7503" t="s">
        <v>13</v>
      </c>
      <c r="L7503" t="str">
        <f>_xlfn.XLOOKUP(K7503,[2]analyte_order!$B:$B,[2]analyte_order!$C:$C)</f>
        <v>2706-90-3</v>
      </c>
      <c r="M7503">
        <f>_xlfn.XLOOKUP(L7503,[2]analyte_order!$C:$C,[2]analyte_order!$E:$E)</f>
        <v>2</v>
      </c>
      <c r="N7503">
        <v>0.222</v>
      </c>
    </row>
    <row r="7504" spans="1:14">
      <c r="A7504" t="s">
        <v>181</v>
      </c>
      <c r="B7504" t="str">
        <f>_xlfn.XLOOKUP(A7504,'[1]Tissue Data'!$A:$A,'[1]Tissue Data'!$C:$C)</f>
        <v>Down</v>
      </c>
      <c r="C7504" s="2">
        <f>_xlfn.XLOOKUP(A7504,'[1]Tissue Data'!$A:$A,'[1]Tissue Data'!$D:$D)</f>
        <v>44393</v>
      </c>
      <c r="D7504" s="2" t="str">
        <f>_xlfn.XLOOKUP(A7504,'[1]Tissue Data'!$A:$A,'[1]Tissue Data'!$F:$F)</f>
        <v>Fallfish</v>
      </c>
      <c r="E7504" t="str">
        <f>_xlfn.XLOOKUP(A7504,'[1]Tissue Data'!$A:$A,'[1]Tissue Data'!$H:$H)</f>
        <v>Semotilus</v>
      </c>
      <c r="F7504" t="str">
        <f>_xlfn.XLOOKUP(A7504,'[1]Tissue Data'!$A:$A,'[1]Tissue Data'!$I:$I)</f>
        <v>corporalis</v>
      </c>
      <c r="G7504" t="str">
        <f>_xlfn.XLOOKUP(A7504,'[1]Tissue Data'!$A:$A,'[1]Tissue Data'!J:J)</f>
        <v>U</v>
      </c>
      <c r="H7504" t="str">
        <f>_xlfn.XLOOKUP(A7504,'[1]Tissue Data'!$A:$A,'[1]Tissue Data'!K:K)</f>
        <v>Whole Body</v>
      </c>
      <c r="I7504">
        <f>_xlfn.XLOOKUP(A7504,'[1]Tissue Data'!$A:$A,'[1]Tissue Data'!L:L)</f>
        <v>7.5</v>
      </c>
      <c r="J7504">
        <f>_xlfn.XLOOKUP(A7504,'[1]Tissue Data'!$A:$A,'[1]Tissue Data'!M:M)</f>
        <v>5.37</v>
      </c>
      <c r="K7504" t="s">
        <v>14</v>
      </c>
      <c r="L7504" t="str">
        <f>_xlfn.XLOOKUP(K7504,[2]analyte_order!$B:$B,[2]analyte_order!$C:$C)</f>
        <v>307-24-4</v>
      </c>
      <c r="M7504">
        <f>_xlfn.XLOOKUP(L7504,[2]analyte_order!$C:$C,[2]analyte_order!$E:$E)</f>
        <v>3</v>
      </c>
      <c r="N7504">
        <v>0.12</v>
      </c>
    </row>
    <row r="7505" spans="1:14">
      <c r="A7505" t="s">
        <v>181</v>
      </c>
      <c r="B7505" t="str">
        <f>_xlfn.XLOOKUP(A7505,'[1]Tissue Data'!$A:$A,'[1]Tissue Data'!$C:$C)</f>
        <v>Down</v>
      </c>
      <c r="C7505" s="2">
        <f>_xlfn.XLOOKUP(A7505,'[1]Tissue Data'!$A:$A,'[1]Tissue Data'!$D:$D)</f>
        <v>44393</v>
      </c>
      <c r="D7505" s="2" t="str">
        <f>_xlfn.XLOOKUP(A7505,'[1]Tissue Data'!$A:$A,'[1]Tissue Data'!$F:$F)</f>
        <v>Fallfish</v>
      </c>
      <c r="E7505" t="str">
        <f>_xlfn.XLOOKUP(A7505,'[1]Tissue Data'!$A:$A,'[1]Tissue Data'!$H:$H)</f>
        <v>Semotilus</v>
      </c>
      <c r="F7505" t="str">
        <f>_xlfn.XLOOKUP(A7505,'[1]Tissue Data'!$A:$A,'[1]Tissue Data'!$I:$I)</f>
        <v>corporalis</v>
      </c>
      <c r="G7505" t="str">
        <f>_xlfn.XLOOKUP(A7505,'[1]Tissue Data'!$A:$A,'[1]Tissue Data'!J:J)</f>
        <v>U</v>
      </c>
      <c r="H7505" t="str">
        <f>_xlfn.XLOOKUP(A7505,'[1]Tissue Data'!$A:$A,'[1]Tissue Data'!K:K)</f>
        <v>Whole Body</v>
      </c>
      <c r="I7505">
        <f>_xlfn.XLOOKUP(A7505,'[1]Tissue Data'!$A:$A,'[1]Tissue Data'!L:L)</f>
        <v>7.5</v>
      </c>
      <c r="J7505">
        <f>_xlfn.XLOOKUP(A7505,'[1]Tissue Data'!$A:$A,'[1]Tissue Data'!M:M)</f>
        <v>5.37</v>
      </c>
      <c r="K7505" t="s">
        <v>15</v>
      </c>
      <c r="L7505" t="str">
        <f>_xlfn.XLOOKUP(K7505,[2]analyte_order!$B:$B,[2]analyte_order!$C:$C)</f>
        <v>375-85-9</v>
      </c>
      <c r="M7505">
        <f>_xlfn.XLOOKUP(L7505,[2]analyte_order!$C:$C,[2]analyte_order!$E:$E)</f>
        <v>4</v>
      </c>
      <c r="N7505">
        <v>0.222</v>
      </c>
    </row>
    <row r="7506" spans="1:14">
      <c r="A7506" t="s">
        <v>181</v>
      </c>
      <c r="B7506" t="str">
        <f>_xlfn.XLOOKUP(A7506,'[1]Tissue Data'!$A:$A,'[1]Tissue Data'!$C:$C)</f>
        <v>Down</v>
      </c>
      <c r="C7506" s="2">
        <f>_xlfn.XLOOKUP(A7506,'[1]Tissue Data'!$A:$A,'[1]Tissue Data'!$D:$D)</f>
        <v>44393</v>
      </c>
      <c r="D7506" s="2" t="str">
        <f>_xlfn.XLOOKUP(A7506,'[1]Tissue Data'!$A:$A,'[1]Tissue Data'!$F:$F)</f>
        <v>Fallfish</v>
      </c>
      <c r="E7506" t="str">
        <f>_xlfn.XLOOKUP(A7506,'[1]Tissue Data'!$A:$A,'[1]Tissue Data'!$H:$H)</f>
        <v>Semotilus</v>
      </c>
      <c r="F7506" t="str">
        <f>_xlfn.XLOOKUP(A7506,'[1]Tissue Data'!$A:$A,'[1]Tissue Data'!$I:$I)</f>
        <v>corporalis</v>
      </c>
      <c r="G7506" t="str">
        <f>_xlfn.XLOOKUP(A7506,'[1]Tissue Data'!$A:$A,'[1]Tissue Data'!J:J)</f>
        <v>U</v>
      </c>
      <c r="H7506" t="str">
        <f>_xlfn.XLOOKUP(A7506,'[1]Tissue Data'!$A:$A,'[1]Tissue Data'!K:K)</f>
        <v>Whole Body</v>
      </c>
      <c r="I7506">
        <f>_xlfn.XLOOKUP(A7506,'[1]Tissue Data'!$A:$A,'[1]Tissue Data'!L:L)</f>
        <v>7.5</v>
      </c>
      <c r="J7506">
        <f>_xlfn.XLOOKUP(A7506,'[1]Tissue Data'!$A:$A,'[1]Tissue Data'!M:M)</f>
        <v>5.37</v>
      </c>
      <c r="K7506" t="s">
        <v>16</v>
      </c>
      <c r="L7506" t="str">
        <f>_xlfn.XLOOKUP(K7506,[2]analyte_order!$B:$B,[2]analyte_order!$C:$C)</f>
        <v>335-67-1</v>
      </c>
      <c r="M7506">
        <f>_xlfn.XLOOKUP(L7506,[2]analyte_order!$C:$C,[2]analyte_order!$E:$E)</f>
        <v>5</v>
      </c>
      <c r="N7506">
        <v>2.14</v>
      </c>
    </row>
    <row r="7507" spans="1:14">
      <c r="A7507" t="s">
        <v>181</v>
      </c>
      <c r="B7507" t="str">
        <f>_xlfn.XLOOKUP(A7507,'[1]Tissue Data'!$A:$A,'[1]Tissue Data'!$C:$C)</f>
        <v>Down</v>
      </c>
      <c r="C7507" s="2">
        <f>_xlfn.XLOOKUP(A7507,'[1]Tissue Data'!$A:$A,'[1]Tissue Data'!$D:$D)</f>
        <v>44393</v>
      </c>
      <c r="D7507" s="2" t="str">
        <f>_xlfn.XLOOKUP(A7507,'[1]Tissue Data'!$A:$A,'[1]Tissue Data'!$F:$F)</f>
        <v>Fallfish</v>
      </c>
      <c r="E7507" t="str">
        <f>_xlfn.XLOOKUP(A7507,'[1]Tissue Data'!$A:$A,'[1]Tissue Data'!$H:$H)</f>
        <v>Semotilus</v>
      </c>
      <c r="F7507" t="str">
        <f>_xlfn.XLOOKUP(A7507,'[1]Tissue Data'!$A:$A,'[1]Tissue Data'!$I:$I)</f>
        <v>corporalis</v>
      </c>
      <c r="G7507" t="str">
        <f>_xlfn.XLOOKUP(A7507,'[1]Tissue Data'!$A:$A,'[1]Tissue Data'!J:J)</f>
        <v>U</v>
      </c>
      <c r="H7507" t="str">
        <f>_xlfn.XLOOKUP(A7507,'[1]Tissue Data'!$A:$A,'[1]Tissue Data'!K:K)</f>
        <v>Whole Body</v>
      </c>
      <c r="I7507">
        <f>_xlfn.XLOOKUP(A7507,'[1]Tissue Data'!$A:$A,'[1]Tissue Data'!L:L)</f>
        <v>7.5</v>
      </c>
      <c r="J7507">
        <f>_xlfn.XLOOKUP(A7507,'[1]Tissue Data'!$A:$A,'[1]Tissue Data'!M:M)</f>
        <v>5.37</v>
      </c>
      <c r="K7507" t="s">
        <v>17</v>
      </c>
      <c r="L7507" t="str">
        <f>_xlfn.XLOOKUP(K7507,[2]analyte_order!$B:$B,[2]analyte_order!$C:$C)</f>
        <v>375-95-1</v>
      </c>
      <c r="M7507">
        <f>_xlfn.XLOOKUP(L7507,[2]analyte_order!$C:$C,[2]analyte_order!$E:$E)</f>
        <v>6</v>
      </c>
      <c r="N7507">
        <v>2.46</v>
      </c>
    </row>
    <row r="7508" spans="1:14">
      <c r="A7508" t="s">
        <v>181</v>
      </c>
      <c r="B7508" t="str">
        <f>_xlfn.XLOOKUP(A7508,'[1]Tissue Data'!$A:$A,'[1]Tissue Data'!$C:$C)</f>
        <v>Down</v>
      </c>
      <c r="C7508" s="2">
        <f>_xlfn.XLOOKUP(A7508,'[1]Tissue Data'!$A:$A,'[1]Tissue Data'!$D:$D)</f>
        <v>44393</v>
      </c>
      <c r="D7508" s="2" t="str">
        <f>_xlfn.XLOOKUP(A7508,'[1]Tissue Data'!$A:$A,'[1]Tissue Data'!$F:$F)</f>
        <v>Fallfish</v>
      </c>
      <c r="E7508" t="str">
        <f>_xlfn.XLOOKUP(A7508,'[1]Tissue Data'!$A:$A,'[1]Tissue Data'!$H:$H)</f>
        <v>Semotilus</v>
      </c>
      <c r="F7508" t="str">
        <f>_xlfn.XLOOKUP(A7508,'[1]Tissue Data'!$A:$A,'[1]Tissue Data'!$I:$I)</f>
        <v>corporalis</v>
      </c>
      <c r="G7508" t="str">
        <f>_xlfn.XLOOKUP(A7508,'[1]Tissue Data'!$A:$A,'[1]Tissue Data'!J:J)</f>
        <v>U</v>
      </c>
      <c r="H7508" t="str">
        <f>_xlfn.XLOOKUP(A7508,'[1]Tissue Data'!$A:$A,'[1]Tissue Data'!K:K)</f>
        <v>Whole Body</v>
      </c>
      <c r="I7508">
        <f>_xlfn.XLOOKUP(A7508,'[1]Tissue Data'!$A:$A,'[1]Tissue Data'!L:L)</f>
        <v>7.5</v>
      </c>
      <c r="J7508">
        <f>_xlfn.XLOOKUP(A7508,'[1]Tissue Data'!$A:$A,'[1]Tissue Data'!M:M)</f>
        <v>5.37</v>
      </c>
      <c r="K7508" t="s">
        <v>18</v>
      </c>
      <c r="L7508" t="str">
        <f>_xlfn.XLOOKUP(K7508,[2]analyte_order!$B:$B,[2]analyte_order!$C:$C)</f>
        <v>335-76-2</v>
      </c>
      <c r="M7508">
        <f>_xlfn.XLOOKUP(L7508,[2]analyte_order!$C:$C,[2]analyte_order!$E:$E)</f>
        <v>7</v>
      </c>
      <c r="N7508">
        <v>7.9</v>
      </c>
    </row>
    <row r="7509" spans="1:14">
      <c r="A7509" t="s">
        <v>181</v>
      </c>
      <c r="B7509" t="str">
        <f>_xlfn.XLOOKUP(A7509,'[1]Tissue Data'!$A:$A,'[1]Tissue Data'!$C:$C)</f>
        <v>Down</v>
      </c>
      <c r="C7509" s="2">
        <f>_xlfn.XLOOKUP(A7509,'[1]Tissue Data'!$A:$A,'[1]Tissue Data'!$D:$D)</f>
        <v>44393</v>
      </c>
      <c r="D7509" s="2" t="str">
        <f>_xlfn.XLOOKUP(A7509,'[1]Tissue Data'!$A:$A,'[1]Tissue Data'!$F:$F)</f>
        <v>Fallfish</v>
      </c>
      <c r="E7509" t="str">
        <f>_xlfn.XLOOKUP(A7509,'[1]Tissue Data'!$A:$A,'[1]Tissue Data'!$H:$H)</f>
        <v>Semotilus</v>
      </c>
      <c r="F7509" t="str">
        <f>_xlfn.XLOOKUP(A7509,'[1]Tissue Data'!$A:$A,'[1]Tissue Data'!$I:$I)</f>
        <v>corporalis</v>
      </c>
      <c r="G7509" t="str">
        <f>_xlfn.XLOOKUP(A7509,'[1]Tissue Data'!$A:$A,'[1]Tissue Data'!J:J)</f>
        <v>U</v>
      </c>
      <c r="H7509" t="str">
        <f>_xlfn.XLOOKUP(A7509,'[1]Tissue Data'!$A:$A,'[1]Tissue Data'!K:K)</f>
        <v>Whole Body</v>
      </c>
      <c r="I7509">
        <f>_xlfn.XLOOKUP(A7509,'[1]Tissue Data'!$A:$A,'[1]Tissue Data'!L:L)</f>
        <v>7.5</v>
      </c>
      <c r="J7509">
        <f>_xlfn.XLOOKUP(A7509,'[1]Tissue Data'!$A:$A,'[1]Tissue Data'!M:M)</f>
        <v>5.37</v>
      </c>
      <c r="K7509" t="s">
        <v>19</v>
      </c>
      <c r="L7509" t="str">
        <f>_xlfn.XLOOKUP(K7509,[2]analyte_order!$B:$B,[2]analyte_order!$C:$C)</f>
        <v>2058-94-8</v>
      </c>
      <c r="M7509">
        <f>_xlfn.XLOOKUP(L7509,[2]analyte_order!$C:$C,[2]analyte_order!$E:$E)</f>
        <v>8</v>
      </c>
      <c r="N7509">
        <v>7.86</v>
      </c>
    </row>
    <row r="7510" spans="1:14">
      <c r="A7510" t="s">
        <v>181</v>
      </c>
      <c r="B7510" t="str">
        <f>_xlfn.XLOOKUP(A7510,'[1]Tissue Data'!$A:$A,'[1]Tissue Data'!$C:$C)</f>
        <v>Down</v>
      </c>
      <c r="C7510" s="2">
        <f>_xlfn.XLOOKUP(A7510,'[1]Tissue Data'!$A:$A,'[1]Tissue Data'!$D:$D)</f>
        <v>44393</v>
      </c>
      <c r="D7510" s="2" t="str">
        <f>_xlfn.XLOOKUP(A7510,'[1]Tissue Data'!$A:$A,'[1]Tissue Data'!$F:$F)</f>
        <v>Fallfish</v>
      </c>
      <c r="E7510" t="str">
        <f>_xlfn.XLOOKUP(A7510,'[1]Tissue Data'!$A:$A,'[1]Tissue Data'!$H:$H)</f>
        <v>Semotilus</v>
      </c>
      <c r="F7510" t="str">
        <f>_xlfn.XLOOKUP(A7510,'[1]Tissue Data'!$A:$A,'[1]Tissue Data'!$I:$I)</f>
        <v>corporalis</v>
      </c>
      <c r="G7510" t="str">
        <f>_xlfn.XLOOKUP(A7510,'[1]Tissue Data'!$A:$A,'[1]Tissue Data'!J:J)</f>
        <v>U</v>
      </c>
      <c r="H7510" t="str">
        <f>_xlfn.XLOOKUP(A7510,'[1]Tissue Data'!$A:$A,'[1]Tissue Data'!K:K)</f>
        <v>Whole Body</v>
      </c>
      <c r="I7510">
        <f>_xlfn.XLOOKUP(A7510,'[1]Tissue Data'!$A:$A,'[1]Tissue Data'!L:L)</f>
        <v>7.5</v>
      </c>
      <c r="J7510">
        <f>_xlfn.XLOOKUP(A7510,'[1]Tissue Data'!$A:$A,'[1]Tissue Data'!M:M)</f>
        <v>5.37</v>
      </c>
      <c r="K7510" t="s">
        <v>20</v>
      </c>
      <c r="L7510" t="str">
        <f>_xlfn.XLOOKUP(K7510,[2]analyte_order!$B:$B,[2]analyte_order!$C:$C)</f>
        <v>307-55-1</v>
      </c>
      <c r="M7510">
        <f>_xlfn.XLOOKUP(L7510,[2]analyte_order!$C:$C,[2]analyte_order!$E:$E)</f>
        <v>9</v>
      </c>
      <c r="N7510">
        <v>6.2</v>
      </c>
    </row>
    <row r="7511" spans="1:14">
      <c r="A7511" t="s">
        <v>181</v>
      </c>
      <c r="B7511" t="str">
        <f>_xlfn.XLOOKUP(A7511,'[1]Tissue Data'!$A:$A,'[1]Tissue Data'!$C:$C)</f>
        <v>Down</v>
      </c>
      <c r="C7511" s="2">
        <f>_xlfn.XLOOKUP(A7511,'[1]Tissue Data'!$A:$A,'[1]Tissue Data'!$D:$D)</f>
        <v>44393</v>
      </c>
      <c r="D7511" s="2" t="str">
        <f>_xlfn.XLOOKUP(A7511,'[1]Tissue Data'!$A:$A,'[1]Tissue Data'!$F:$F)</f>
        <v>Fallfish</v>
      </c>
      <c r="E7511" t="str">
        <f>_xlfn.XLOOKUP(A7511,'[1]Tissue Data'!$A:$A,'[1]Tissue Data'!$H:$H)</f>
        <v>Semotilus</v>
      </c>
      <c r="F7511" t="str">
        <f>_xlfn.XLOOKUP(A7511,'[1]Tissue Data'!$A:$A,'[1]Tissue Data'!$I:$I)</f>
        <v>corporalis</v>
      </c>
      <c r="G7511" t="str">
        <f>_xlfn.XLOOKUP(A7511,'[1]Tissue Data'!$A:$A,'[1]Tissue Data'!J:J)</f>
        <v>U</v>
      </c>
      <c r="H7511" t="str">
        <f>_xlfn.XLOOKUP(A7511,'[1]Tissue Data'!$A:$A,'[1]Tissue Data'!K:K)</f>
        <v>Whole Body</v>
      </c>
      <c r="I7511">
        <f>_xlfn.XLOOKUP(A7511,'[1]Tissue Data'!$A:$A,'[1]Tissue Data'!L:L)</f>
        <v>7.5</v>
      </c>
      <c r="J7511">
        <f>_xlfn.XLOOKUP(A7511,'[1]Tissue Data'!$A:$A,'[1]Tissue Data'!M:M)</f>
        <v>5.37</v>
      </c>
      <c r="K7511" t="s">
        <v>21</v>
      </c>
      <c r="L7511" t="str">
        <f>_xlfn.XLOOKUP(K7511,[2]analyte_order!$B:$B,[2]analyte_order!$C:$C)</f>
        <v>72629-94-8</v>
      </c>
      <c r="M7511">
        <f>_xlfn.XLOOKUP(L7511,[2]analyte_order!$C:$C,[2]analyte_order!$E:$E)</f>
        <v>10</v>
      </c>
      <c r="N7511">
        <v>0.501</v>
      </c>
    </row>
    <row r="7512" spans="1:14">
      <c r="A7512" t="s">
        <v>181</v>
      </c>
      <c r="B7512" t="str">
        <f>_xlfn.XLOOKUP(A7512,'[1]Tissue Data'!$A:$A,'[1]Tissue Data'!$C:$C)</f>
        <v>Down</v>
      </c>
      <c r="C7512" s="2">
        <f>_xlfn.XLOOKUP(A7512,'[1]Tissue Data'!$A:$A,'[1]Tissue Data'!$D:$D)</f>
        <v>44393</v>
      </c>
      <c r="D7512" s="2" t="str">
        <f>_xlfn.XLOOKUP(A7512,'[1]Tissue Data'!$A:$A,'[1]Tissue Data'!$F:$F)</f>
        <v>Fallfish</v>
      </c>
      <c r="E7512" t="str">
        <f>_xlfn.XLOOKUP(A7512,'[1]Tissue Data'!$A:$A,'[1]Tissue Data'!$H:$H)</f>
        <v>Semotilus</v>
      </c>
      <c r="F7512" t="str">
        <f>_xlfn.XLOOKUP(A7512,'[1]Tissue Data'!$A:$A,'[1]Tissue Data'!$I:$I)</f>
        <v>corporalis</v>
      </c>
      <c r="G7512" t="str">
        <f>_xlfn.XLOOKUP(A7512,'[1]Tissue Data'!$A:$A,'[1]Tissue Data'!J:J)</f>
        <v>U</v>
      </c>
      <c r="H7512" t="str">
        <f>_xlfn.XLOOKUP(A7512,'[1]Tissue Data'!$A:$A,'[1]Tissue Data'!K:K)</f>
        <v>Whole Body</v>
      </c>
      <c r="I7512">
        <f>_xlfn.XLOOKUP(A7512,'[1]Tissue Data'!$A:$A,'[1]Tissue Data'!L:L)</f>
        <v>7.5</v>
      </c>
      <c r="J7512">
        <f>_xlfn.XLOOKUP(A7512,'[1]Tissue Data'!$A:$A,'[1]Tissue Data'!M:M)</f>
        <v>5.37</v>
      </c>
      <c r="K7512" t="s">
        <v>22</v>
      </c>
      <c r="L7512" t="str">
        <f>_xlfn.XLOOKUP(K7512,[2]analyte_order!$B:$B,[2]analyte_order!$C:$C)</f>
        <v>376-06-7</v>
      </c>
      <c r="M7512">
        <f>_xlfn.XLOOKUP(L7512,[2]analyte_order!$C:$C,[2]analyte_order!$E:$E)</f>
        <v>11</v>
      </c>
      <c r="N7512">
        <v>3.44</v>
      </c>
    </row>
    <row r="7513" spans="1:14">
      <c r="A7513" t="s">
        <v>181</v>
      </c>
      <c r="B7513" t="str">
        <f>_xlfn.XLOOKUP(A7513,'[1]Tissue Data'!$A:$A,'[1]Tissue Data'!$C:$C)</f>
        <v>Down</v>
      </c>
      <c r="C7513" s="2">
        <f>_xlfn.XLOOKUP(A7513,'[1]Tissue Data'!$A:$A,'[1]Tissue Data'!$D:$D)</f>
        <v>44393</v>
      </c>
      <c r="D7513" s="2" t="str">
        <f>_xlfn.XLOOKUP(A7513,'[1]Tissue Data'!$A:$A,'[1]Tissue Data'!$F:$F)</f>
        <v>Fallfish</v>
      </c>
      <c r="E7513" t="str">
        <f>_xlfn.XLOOKUP(A7513,'[1]Tissue Data'!$A:$A,'[1]Tissue Data'!$H:$H)</f>
        <v>Semotilus</v>
      </c>
      <c r="F7513" t="str">
        <f>_xlfn.XLOOKUP(A7513,'[1]Tissue Data'!$A:$A,'[1]Tissue Data'!$I:$I)</f>
        <v>corporalis</v>
      </c>
      <c r="G7513" t="str">
        <f>_xlfn.XLOOKUP(A7513,'[1]Tissue Data'!$A:$A,'[1]Tissue Data'!J:J)</f>
        <v>U</v>
      </c>
      <c r="H7513" t="str">
        <f>_xlfn.XLOOKUP(A7513,'[1]Tissue Data'!$A:$A,'[1]Tissue Data'!K:K)</f>
        <v>Whole Body</v>
      </c>
      <c r="I7513">
        <f>_xlfn.XLOOKUP(A7513,'[1]Tissue Data'!$A:$A,'[1]Tissue Data'!L:L)</f>
        <v>7.5</v>
      </c>
      <c r="J7513">
        <f>_xlfn.XLOOKUP(A7513,'[1]Tissue Data'!$A:$A,'[1]Tissue Data'!M:M)</f>
        <v>5.37</v>
      </c>
      <c r="K7513" t="s">
        <v>23</v>
      </c>
      <c r="L7513" t="str">
        <f>_xlfn.XLOOKUP(K7513,[2]analyte_order!$B:$B,[2]analyte_order!$C:$C)</f>
        <v>67905-19-5</v>
      </c>
      <c r="M7513">
        <f>_xlfn.XLOOKUP(L7513,[2]analyte_order!$C:$C,[2]analyte_order!$E:$E)</f>
        <v>12</v>
      </c>
      <c r="N7513">
        <v>0.26450000000000001</v>
      </c>
    </row>
    <row r="7514" spans="1:14">
      <c r="A7514" t="s">
        <v>181</v>
      </c>
      <c r="B7514" t="str">
        <f>_xlfn.XLOOKUP(A7514,'[1]Tissue Data'!$A:$A,'[1]Tissue Data'!$C:$C)</f>
        <v>Down</v>
      </c>
      <c r="C7514" s="2">
        <f>_xlfn.XLOOKUP(A7514,'[1]Tissue Data'!$A:$A,'[1]Tissue Data'!$D:$D)</f>
        <v>44393</v>
      </c>
      <c r="D7514" s="2" t="str">
        <f>_xlfn.XLOOKUP(A7514,'[1]Tissue Data'!$A:$A,'[1]Tissue Data'!$F:$F)</f>
        <v>Fallfish</v>
      </c>
      <c r="E7514" t="str">
        <f>_xlfn.XLOOKUP(A7514,'[1]Tissue Data'!$A:$A,'[1]Tissue Data'!$H:$H)</f>
        <v>Semotilus</v>
      </c>
      <c r="F7514" t="str">
        <f>_xlfn.XLOOKUP(A7514,'[1]Tissue Data'!$A:$A,'[1]Tissue Data'!$I:$I)</f>
        <v>corporalis</v>
      </c>
      <c r="G7514" t="str">
        <f>_xlfn.XLOOKUP(A7514,'[1]Tissue Data'!$A:$A,'[1]Tissue Data'!J:J)</f>
        <v>U</v>
      </c>
      <c r="H7514" t="str">
        <f>_xlfn.XLOOKUP(A7514,'[1]Tissue Data'!$A:$A,'[1]Tissue Data'!K:K)</f>
        <v>Whole Body</v>
      </c>
      <c r="I7514">
        <f>_xlfn.XLOOKUP(A7514,'[1]Tissue Data'!$A:$A,'[1]Tissue Data'!L:L)</f>
        <v>7.5</v>
      </c>
      <c r="J7514">
        <f>_xlfn.XLOOKUP(A7514,'[1]Tissue Data'!$A:$A,'[1]Tissue Data'!M:M)</f>
        <v>5.37</v>
      </c>
      <c r="K7514" t="s">
        <v>24</v>
      </c>
      <c r="L7514" t="str">
        <f>_xlfn.XLOOKUP(K7514,[2]analyte_order!$B:$B,[2]analyte_order!$C:$C)</f>
        <v>423-41-6</v>
      </c>
      <c r="M7514">
        <f>_xlfn.XLOOKUP(L7514,[2]analyte_order!$C:$C,[2]analyte_order!$E:$E)</f>
        <v>53</v>
      </c>
      <c r="N7514">
        <v>0.44400000000000001</v>
      </c>
    </row>
    <row r="7515" spans="1:14">
      <c r="A7515" t="s">
        <v>181</v>
      </c>
      <c r="B7515" t="str">
        <f>_xlfn.XLOOKUP(A7515,'[1]Tissue Data'!$A:$A,'[1]Tissue Data'!$C:$C)</f>
        <v>Down</v>
      </c>
      <c r="C7515" s="2">
        <f>_xlfn.XLOOKUP(A7515,'[1]Tissue Data'!$A:$A,'[1]Tissue Data'!$D:$D)</f>
        <v>44393</v>
      </c>
      <c r="D7515" s="2" t="str">
        <f>_xlfn.XLOOKUP(A7515,'[1]Tissue Data'!$A:$A,'[1]Tissue Data'!$F:$F)</f>
        <v>Fallfish</v>
      </c>
      <c r="E7515" t="str">
        <f>_xlfn.XLOOKUP(A7515,'[1]Tissue Data'!$A:$A,'[1]Tissue Data'!$H:$H)</f>
        <v>Semotilus</v>
      </c>
      <c r="F7515" t="str">
        <f>_xlfn.XLOOKUP(A7515,'[1]Tissue Data'!$A:$A,'[1]Tissue Data'!$I:$I)</f>
        <v>corporalis</v>
      </c>
      <c r="G7515" t="str">
        <f>_xlfn.XLOOKUP(A7515,'[1]Tissue Data'!$A:$A,'[1]Tissue Data'!J:J)</f>
        <v>U</v>
      </c>
      <c r="H7515" t="str">
        <f>_xlfn.XLOOKUP(A7515,'[1]Tissue Data'!$A:$A,'[1]Tissue Data'!K:K)</f>
        <v>Whole Body</v>
      </c>
      <c r="I7515">
        <f>_xlfn.XLOOKUP(A7515,'[1]Tissue Data'!$A:$A,'[1]Tissue Data'!L:L)</f>
        <v>7.5</v>
      </c>
      <c r="J7515">
        <f>_xlfn.XLOOKUP(A7515,'[1]Tissue Data'!$A:$A,'[1]Tissue Data'!M:M)</f>
        <v>5.37</v>
      </c>
      <c r="K7515" t="s">
        <v>25</v>
      </c>
      <c r="L7515" t="str">
        <f>_xlfn.XLOOKUP(K7515,[2]analyte_order!$B:$B,[2]analyte_order!$C:$C)</f>
        <v>375-73-5</v>
      </c>
      <c r="M7515">
        <f>_xlfn.XLOOKUP(L7515,[2]analyte_order!$C:$C,[2]analyte_order!$E:$E)</f>
        <v>14</v>
      </c>
      <c r="N7515">
        <v>0.151</v>
      </c>
    </row>
    <row r="7516" spans="1:14">
      <c r="A7516" t="s">
        <v>181</v>
      </c>
      <c r="B7516" t="str">
        <f>_xlfn.XLOOKUP(A7516,'[1]Tissue Data'!$A:$A,'[1]Tissue Data'!$C:$C)</f>
        <v>Down</v>
      </c>
      <c r="C7516" s="2">
        <f>_xlfn.XLOOKUP(A7516,'[1]Tissue Data'!$A:$A,'[1]Tissue Data'!$D:$D)</f>
        <v>44393</v>
      </c>
      <c r="D7516" s="2" t="str">
        <f>_xlfn.XLOOKUP(A7516,'[1]Tissue Data'!$A:$A,'[1]Tissue Data'!$F:$F)</f>
        <v>Fallfish</v>
      </c>
      <c r="E7516" t="str">
        <f>_xlfn.XLOOKUP(A7516,'[1]Tissue Data'!$A:$A,'[1]Tissue Data'!$H:$H)</f>
        <v>Semotilus</v>
      </c>
      <c r="F7516" t="str">
        <f>_xlfn.XLOOKUP(A7516,'[1]Tissue Data'!$A:$A,'[1]Tissue Data'!$I:$I)</f>
        <v>corporalis</v>
      </c>
      <c r="G7516" t="str">
        <f>_xlfn.XLOOKUP(A7516,'[1]Tissue Data'!$A:$A,'[1]Tissue Data'!J:J)</f>
        <v>U</v>
      </c>
      <c r="H7516" t="str">
        <f>_xlfn.XLOOKUP(A7516,'[1]Tissue Data'!$A:$A,'[1]Tissue Data'!K:K)</f>
        <v>Whole Body</v>
      </c>
      <c r="I7516">
        <f>_xlfn.XLOOKUP(A7516,'[1]Tissue Data'!$A:$A,'[1]Tissue Data'!L:L)</f>
        <v>7.5</v>
      </c>
      <c r="J7516">
        <f>_xlfn.XLOOKUP(A7516,'[1]Tissue Data'!$A:$A,'[1]Tissue Data'!M:M)</f>
        <v>5.37</v>
      </c>
      <c r="K7516" t="s">
        <v>26</v>
      </c>
      <c r="L7516" t="str">
        <f>_xlfn.XLOOKUP(K7516,[2]analyte_order!$B:$B,[2]analyte_order!$C:$C)</f>
        <v>2706-91-4</v>
      </c>
      <c r="M7516">
        <f>_xlfn.XLOOKUP(L7516,[2]analyte_order!$C:$C,[2]analyte_order!$E:$E)</f>
        <v>15</v>
      </c>
      <c r="N7516">
        <v>0.11749999999999999</v>
      </c>
    </row>
    <row r="7517" spans="1:14">
      <c r="A7517" t="s">
        <v>181</v>
      </c>
      <c r="B7517" t="str">
        <f>_xlfn.XLOOKUP(A7517,'[1]Tissue Data'!$A:$A,'[1]Tissue Data'!$C:$C)</f>
        <v>Down</v>
      </c>
      <c r="C7517" s="2">
        <f>_xlfn.XLOOKUP(A7517,'[1]Tissue Data'!$A:$A,'[1]Tissue Data'!$D:$D)</f>
        <v>44393</v>
      </c>
      <c r="D7517" s="2" t="str">
        <f>_xlfn.XLOOKUP(A7517,'[1]Tissue Data'!$A:$A,'[1]Tissue Data'!$F:$F)</f>
        <v>Fallfish</v>
      </c>
      <c r="E7517" t="str">
        <f>_xlfn.XLOOKUP(A7517,'[1]Tissue Data'!$A:$A,'[1]Tissue Data'!$H:$H)</f>
        <v>Semotilus</v>
      </c>
      <c r="F7517" t="str">
        <f>_xlfn.XLOOKUP(A7517,'[1]Tissue Data'!$A:$A,'[1]Tissue Data'!$I:$I)</f>
        <v>corporalis</v>
      </c>
      <c r="G7517" t="str">
        <f>_xlfn.XLOOKUP(A7517,'[1]Tissue Data'!$A:$A,'[1]Tissue Data'!J:J)</f>
        <v>U</v>
      </c>
      <c r="H7517" t="str">
        <f>_xlfn.XLOOKUP(A7517,'[1]Tissue Data'!$A:$A,'[1]Tissue Data'!K:K)</f>
        <v>Whole Body</v>
      </c>
      <c r="I7517">
        <f>_xlfn.XLOOKUP(A7517,'[1]Tissue Data'!$A:$A,'[1]Tissue Data'!L:L)</f>
        <v>7.5</v>
      </c>
      <c r="J7517">
        <f>_xlfn.XLOOKUP(A7517,'[1]Tissue Data'!$A:$A,'[1]Tissue Data'!M:M)</f>
        <v>5.37</v>
      </c>
      <c r="K7517" t="s">
        <v>27</v>
      </c>
      <c r="L7517" t="str">
        <f>_xlfn.XLOOKUP(K7517,[2]analyte_order!$B:$B,[2]analyte_order!$C:$C)</f>
        <v>355-46-4</v>
      </c>
      <c r="M7517">
        <f>_xlfn.XLOOKUP(L7517,[2]analyte_order!$C:$C,[2]analyte_order!$E:$E)</f>
        <v>16</v>
      </c>
      <c r="N7517">
        <v>16.5</v>
      </c>
    </row>
    <row r="7518" spans="1:14">
      <c r="A7518" t="s">
        <v>181</v>
      </c>
      <c r="B7518" t="str">
        <f>_xlfn.XLOOKUP(A7518,'[1]Tissue Data'!$A:$A,'[1]Tissue Data'!$C:$C)</f>
        <v>Down</v>
      </c>
      <c r="C7518" s="2">
        <f>_xlfn.XLOOKUP(A7518,'[1]Tissue Data'!$A:$A,'[1]Tissue Data'!$D:$D)</f>
        <v>44393</v>
      </c>
      <c r="D7518" s="2" t="str">
        <f>_xlfn.XLOOKUP(A7518,'[1]Tissue Data'!$A:$A,'[1]Tissue Data'!$F:$F)</f>
        <v>Fallfish</v>
      </c>
      <c r="E7518" t="str">
        <f>_xlfn.XLOOKUP(A7518,'[1]Tissue Data'!$A:$A,'[1]Tissue Data'!$H:$H)</f>
        <v>Semotilus</v>
      </c>
      <c r="F7518" t="str">
        <f>_xlfn.XLOOKUP(A7518,'[1]Tissue Data'!$A:$A,'[1]Tissue Data'!$I:$I)</f>
        <v>corporalis</v>
      </c>
      <c r="G7518" t="str">
        <f>_xlfn.XLOOKUP(A7518,'[1]Tissue Data'!$A:$A,'[1]Tissue Data'!J:J)</f>
        <v>U</v>
      </c>
      <c r="H7518" t="str">
        <f>_xlfn.XLOOKUP(A7518,'[1]Tissue Data'!$A:$A,'[1]Tissue Data'!K:K)</f>
        <v>Whole Body</v>
      </c>
      <c r="I7518">
        <f>_xlfn.XLOOKUP(A7518,'[1]Tissue Data'!$A:$A,'[1]Tissue Data'!L:L)</f>
        <v>7.5</v>
      </c>
      <c r="J7518">
        <f>_xlfn.XLOOKUP(A7518,'[1]Tissue Data'!$A:$A,'[1]Tissue Data'!M:M)</f>
        <v>5.37</v>
      </c>
      <c r="K7518" t="s">
        <v>28</v>
      </c>
      <c r="L7518" t="str">
        <f>_xlfn.XLOOKUP(K7518,[2]analyte_order!$B:$B,[2]analyte_order!$C:$C)</f>
        <v>375-92-8</v>
      </c>
      <c r="M7518">
        <f>_xlfn.XLOOKUP(L7518,[2]analyte_order!$C:$C,[2]analyte_order!$E:$E)</f>
        <v>17</v>
      </c>
      <c r="N7518">
        <v>6.59</v>
      </c>
    </row>
    <row r="7519" spans="1:14">
      <c r="A7519" t="s">
        <v>181</v>
      </c>
      <c r="B7519" t="str">
        <f>_xlfn.XLOOKUP(A7519,'[1]Tissue Data'!$A:$A,'[1]Tissue Data'!$C:$C)</f>
        <v>Down</v>
      </c>
      <c r="C7519" s="2">
        <f>_xlfn.XLOOKUP(A7519,'[1]Tissue Data'!$A:$A,'[1]Tissue Data'!$D:$D)</f>
        <v>44393</v>
      </c>
      <c r="D7519" s="2" t="str">
        <f>_xlfn.XLOOKUP(A7519,'[1]Tissue Data'!$A:$A,'[1]Tissue Data'!$F:$F)</f>
        <v>Fallfish</v>
      </c>
      <c r="E7519" t="str">
        <f>_xlfn.XLOOKUP(A7519,'[1]Tissue Data'!$A:$A,'[1]Tissue Data'!$H:$H)</f>
        <v>Semotilus</v>
      </c>
      <c r="F7519" t="str">
        <f>_xlfn.XLOOKUP(A7519,'[1]Tissue Data'!$A:$A,'[1]Tissue Data'!$I:$I)</f>
        <v>corporalis</v>
      </c>
      <c r="G7519" t="str">
        <f>_xlfn.XLOOKUP(A7519,'[1]Tissue Data'!$A:$A,'[1]Tissue Data'!J:J)</f>
        <v>U</v>
      </c>
      <c r="H7519" t="str">
        <f>_xlfn.XLOOKUP(A7519,'[1]Tissue Data'!$A:$A,'[1]Tissue Data'!K:K)</f>
        <v>Whole Body</v>
      </c>
      <c r="I7519">
        <f>_xlfn.XLOOKUP(A7519,'[1]Tissue Data'!$A:$A,'[1]Tissue Data'!L:L)</f>
        <v>7.5</v>
      </c>
      <c r="J7519">
        <f>_xlfn.XLOOKUP(A7519,'[1]Tissue Data'!$A:$A,'[1]Tissue Data'!M:M)</f>
        <v>5.37</v>
      </c>
      <c r="K7519" t="s">
        <v>29</v>
      </c>
      <c r="L7519" t="str">
        <f>_xlfn.XLOOKUP(K7519,[2]analyte_order!$B:$B,[2]analyte_order!$C:$C)</f>
        <v>1763-23-1</v>
      </c>
      <c r="M7519">
        <f>_xlfn.XLOOKUP(L7519,[2]analyte_order!$C:$C,[2]analyte_order!$E:$E)</f>
        <v>18</v>
      </c>
      <c r="N7519">
        <v>556</v>
      </c>
    </row>
    <row r="7520" spans="1:14">
      <c r="A7520" t="s">
        <v>181</v>
      </c>
      <c r="B7520" t="str">
        <f>_xlfn.XLOOKUP(A7520,'[1]Tissue Data'!$A:$A,'[1]Tissue Data'!$C:$C)</f>
        <v>Down</v>
      </c>
      <c r="C7520" s="2">
        <f>_xlfn.XLOOKUP(A7520,'[1]Tissue Data'!$A:$A,'[1]Tissue Data'!$D:$D)</f>
        <v>44393</v>
      </c>
      <c r="D7520" s="2" t="str">
        <f>_xlfn.XLOOKUP(A7520,'[1]Tissue Data'!$A:$A,'[1]Tissue Data'!$F:$F)</f>
        <v>Fallfish</v>
      </c>
      <c r="E7520" t="str">
        <f>_xlfn.XLOOKUP(A7520,'[1]Tissue Data'!$A:$A,'[1]Tissue Data'!$H:$H)</f>
        <v>Semotilus</v>
      </c>
      <c r="F7520" t="str">
        <f>_xlfn.XLOOKUP(A7520,'[1]Tissue Data'!$A:$A,'[1]Tissue Data'!$I:$I)</f>
        <v>corporalis</v>
      </c>
      <c r="G7520" t="str">
        <f>_xlfn.XLOOKUP(A7520,'[1]Tissue Data'!$A:$A,'[1]Tissue Data'!J:J)</f>
        <v>U</v>
      </c>
      <c r="H7520" t="str">
        <f>_xlfn.XLOOKUP(A7520,'[1]Tissue Data'!$A:$A,'[1]Tissue Data'!K:K)</f>
        <v>Whole Body</v>
      </c>
      <c r="I7520">
        <f>_xlfn.XLOOKUP(A7520,'[1]Tissue Data'!$A:$A,'[1]Tissue Data'!L:L)</f>
        <v>7.5</v>
      </c>
      <c r="J7520">
        <f>_xlfn.XLOOKUP(A7520,'[1]Tissue Data'!$A:$A,'[1]Tissue Data'!M:M)</f>
        <v>5.37</v>
      </c>
      <c r="K7520" t="s">
        <v>30</v>
      </c>
      <c r="L7520" t="str">
        <f>_xlfn.XLOOKUP(K7520,[2]analyte_order!$B:$B,[2]analyte_order!$C:$C)</f>
        <v>68259-12-1</v>
      </c>
      <c r="M7520">
        <f>_xlfn.XLOOKUP(L7520,[2]analyte_order!$C:$C,[2]analyte_order!$E:$E)</f>
        <v>19</v>
      </c>
      <c r="N7520">
        <v>1.06</v>
      </c>
    </row>
    <row r="7521" spans="1:14">
      <c r="A7521" t="s">
        <v>181</v>
      </c>
      <c r="B7521" t="str">
        <f>_xlfn.XLOOKUP(A7521,'[1]Tissue Data'!$A:$A,'[1]Tissue Data'!$C:$C)</f>
        <v>Down</v>
      </c>
      <c r="C7521" s="2">
        <f>_xlfn.XLOOKUP(A7521,'[1]Tissue Data'!$A:$A,'[1]Tissue Data'!$D:$D)</f>
        <v>44393</v>
      </c>
      <c r="D7521" s="2" t="str">
        <f>_xlfn.XLOOKUP(A7521,'[1]Tissue Data'!$A:$A,'[1]Tissue Data'!$F:$F)</f>
        <v>Fallfish</v>
      </c>
      <c r="E7521" t="str">
        <f>_xlfn.XLOOKUP(A7521,'[1]Tissue Data'!$A:$A,'[1]Tissue Data'!$H:$H)</f>
        <v>Semotilus</v>
      </c>
      <c r="F7521" t="str">
        <f>_xlfn.XLOOKUP(A7521,'[1]Tissue Data'!$A:$A,'[1]Tissue Data'!$I:$I)</f>
        <v>corporalis</v>
      </c>
      <c r="G7521" t="str">
        <f>_xlfn.XLOOKUP(A7521,'[1]Tissue Data'!$A:$A,'[1]Tissue Data'!J:J)</f>
        <v>U</v>
      </c>
      <c r="H7521" t="str">
        <f>_xlfn.XLOOKUP(A7521,'[1]Tissue Data'!$A:$A,'[1]Tissue Data'!K:K)</f>
        <v>Whole Body</v>
      </c>
      <c r="I7521">
        <f>_xlfn.XLOOKUP(A7521,'[1]Tissue Data'!$A:$A,'[1]Tissue Data'!L:L)</f>
        <v>7.5</v>
      </c>
      <c r="J7521">
        <f>_xlfn.XLOOKUP(A7521,'[1]Tissue Data'!$A:$A,'[1]Tissue Data'!M:M)</f>
        <v>5.37</v>
      </c>
      <c r="K7521" t="s">
        <v>31</v>
      </c>
      <c r="L7521" t="str">
        <f>_xlfn.XLOOKUP(K7521,[2]analyte_order!$B:$B,[2]analyte_order!$C:$C)</f>
        <v>335-77-3</v>
      </c>
      <c r="M7521">
        <f>_xlfn.XLOOKUP(L7521,[2]analyte_order!$C:$C,[2]analyte_order!$E:$E)</f>
        <v>20</v>
      </c>
      <c r="N7521">
        <v>1.93</v>
      </c>
    </row>
    <row r="7522" spans="1:14">
      <c r="A7522" t="s">
        <v>181</v>
      </c>
      <c r="B7522" t="str">
        <f>_xlfn.XLOOKUP(A7522,'[1]Tissue Data'!$A:$A,'[1]Tissue Data'!$C:$C)</f>
        <v>Down</v>
      </c>
      <c r="C7522" s="2">
        <f>_xlfn.XLOOKUP(A7522,'[1]Tissue Data'!$A:$A,'[1]Tissue Data'!$D:$D)</f>
        <v>44393</v>
      </c>
      <c r="D7522" s="2" t="str">
        <f>_xlfn.XLOOKUP(A7522,'[1]Tissue Data'!$A:$A,'[1]Tissue Data'!$F:$F)</f>
        <v>Fallfish</v>
      </c>
      <c r="E7522" t="str">
        <f>_xlfn.XLOOKUP(A7522,'[1]Tissue Data'!$A:$A,'[1]Tissue Data'!$H:$H)</f>
        <v>Semotilus</v>
      </c>
      <c r="F7522" t="str">
        <f>_xlfn.XLOOKUP(A7522,'[1]Tissue Data'!$A:$A,'[1]Tissue Data'!$I:$I)</f>
        <v>corporalis</v>
      </c>
      <c r="G7522" t="str">
        <f>_xlfn.XLOOKUP(A7522,'[1]Tissue Data'!$A:$A,'[1]Tissue Data'!J:J)</f>
        <v>U</v>
      </c>
      <c r="H7522" t="str">
        <f>_xlfn.XLOOKUP(A7522,'[1]Tissue Data'!$A:$A,'[1]Tissue Data'!K:K)</f>
        <v>Whole Body</v>
      </c>
      <c r="I7522">
        <f>_xlfn.XLOOKUP(A7522,'[1]Tissue Data'!$A:$A,'[1]Tissue Data'!L:L)</f>
        <v>7.5</v>
      </c>
      <c r="J7522">
        <f>_xlfn.XLOOKUP(A7522,'[1]Tissue Data'!$A:$A,'[1]Tissue Data'!M:M)</f>
        <v>5.37</v>
      </c>
      <c r="K7522" t="s">
        <v>32</v>
      </c>
      <c r="L7522" t="str">
        <f>_xlfn.XLOOKUP(K7522,[2]analyte_order!$B:$B,[2]analyte_order!$C:$C)</f>
        <v>79780-39-5</v>
      </c>
      <c r="M7522">
        <f>_xlfn.XLOOKUP(L7522,[2]analyte_order!$C:$C,[2]analyte_order!$E:$E)</f>
        <v>21</v>
      </c>
      <c r="N7522">
        <v>0.23749999999999999</v>
      </c>
    </row>
    <row r="7523" spans="1:14">
      <c r="A7523" t="s">
        <v>181</v>
      </c>
      <c r="B7523" t="str">
        <f>_xlfn.XLOOKUP(A7523,'[1]Tissue Data'!$A:$A,'[1]Tissue Data'!$C:$C)</f>
        <v>Down</v>
      </c>
      <c r="C7523" s="2">
        <f>_xlfn.XLOOKUP(A7523,'[1]Tissue Data'!$A:$A,'[1]Tissue Data'!$D:$D)</f>
        <v>44393</v>
      </c>
      <c r="D7523" s="2" t="str">
        <f>_xlfn.XLOOKUP(A7523,'[1]Tissue Data'!$A:$A,'[1]Tissue Data'!$F:$F)</f>
        <v>Fallfish</v>
      </c>
      <c r="E7523" t="str">
        <f>_xlfn.XLOOKUP(A7523,'[1]Tissue Data'!$A:$A,'[1]Tissue Data'!$H:$H)</f>
        <v>Semotilus</v>
      </c>
      <c r="F7523" t="str">
        <f>_xlfn.XLOOKUP(A7523,'[1]Tissue Data'!$A:$A,'[1]Tissue Data'!$I:$I)</f>
        <v>corporalis</v>
      </c>
      <c r="G7523" t="str">
        <f>_xlfn.XLOOKUP(A7523,'[1]Tissue Data'!$A:$A,'[1]Tissue Data'!J:J)</f>
        <v>U</v>
      </c>
      <c r="H7523" t="str">
        <f>_xlfn.XLOOKUP(A7523,'[1]Tissue Data'!$A:$A,'[1]Tissue Data'!K:K)</f>
        <v>Whole Body</v>
      </c>
      <c r="I7523">
        <f>_xlfn.XLOOKUP(A7523,'[1]Tissue Data'!$A:$A,'[1]Tissue Data'!L:L)</f>
        <v>7.5</v>
      </c>
      <c r="J7523">
        <f>_xlfn.XLOOKUP(A7523,'[1]Tissue Data'!$A:$A,'[1]Tissue Data'!M:M)</f>
        <v>5.37</v>
      </c>
      <c r="K7523" t="s">
        <v>33</v>
      </c>
      <c r="L7523" t="str">
        <f>_xlfn.XLOOKUP(K7523,[2]analyte_order!$B:$B,[2]analyte_order!$C:$C)</f>
        <v>777011-38-8</v>
      </c>
      <c r="M7523">
        <f>_xlfn.XLOOKUP(L7523,[2]analyte_order!$C:$C,[2]analyte_order!$E:$E)</f>
        <v>54</v>
      </c>
      <c r="N7523">
        <v>0.13500000000000001</v>
      </c>
    </row>
    <row r="7524" spans="1:14">
      <c r="A7524" t="s">
        <v>181</v>
      </c>
      <c r="B7524" t="str">
        <f>_xlfn.XLOOKUP(A7524,'[1]Tissue Data'!$A:$A,'[1]Tissue Data'!$C:$C)</f>
        <v>Down</v>
      </c>
      <c r="C7524" s="2">
        <f>_xlfn.XLOOKUP(A7524,'[1]Tissue Data'!$A:$A,'[1]Tissue Data'!$D:$D)</f>
        <v>44393</v>
      </c>
      <c r="D7524" s="2" t="str">
        <f>_xlfn.XLOOKUP(A7524,'[1]Tissue Data'!$A:$A,'[1]Tissue Data'!$F:$F)</f>
        <v>Fallfish</v>
      </c>
      <c r="E7524" t="str">
        <f>_xlfn.XLOOKUP(A7524,'[1]Tissue Data'!$A:$A,'[1]Tissue Data'!$H:$H)</f>
        <v>Semotilus</v>
      </c>
      <c r="F7524" t="str">
        <f>_xlfn.XLOOKUP(A7524,'[1]Tissue Data'!$A:$A,'[1]Tissue Data'!$I:$I)</f>
        <v>corporalis</v>
      </c>
      <c r="G7524" t="str">
        <f>_xlfn.XLOOKUP(A7524,'[1]Tissue Data'!$A:$A,'[1]Tissue Data'!J:J)</f>
        <v>U</v>
      </c>
      <c r="H7524" t="str">
        <f>_xlfn.XLOOKUP(A7524,'[1]Tissue Data'!$A:$A,'[1]Tissue Data'!K:K)</f>
        <v>Whole Body</v>
      </c>
      <c r="I7524">
        <f>_xlfn.XLOOKUP(A7524,'[1]Tissue Data'!$A:$A,'[1]Tissue Data'!L:L)</f>
        <v>7.5</v>
      </c>
      <c r="J7524">
        <f>_xlfn.XLOOKUP(A7524,'[1]Tissue Data'!$A:$A,'[1]Tissue Data'!M:M)</f>
        <v>5.37</v>
      </c>
      <c r="K7524" t="s">
        <v>34</v>
      </c>
      <c r="L7524" t="str">
        <f>_xlfn.XLOOKUP(K7524,[2]analyte_order!$B:$B,[2]analyte_order!$C:$C)</f>
        <v>646-83-3</v>
      </c>
      <c r="M7524">
        <f>_xlfn.XLOOKUP(L7524,[2]analyte_order!$C:$C,[2]analyte_order!$E:$E)</f>
        <v>55</v>
      </c>
      <c r="N7524">
        <v>0.46300000000000002</v>
      </c>
    </row>
    <row r="7525" spans="1:14">
      <c r="A7525" t="s">
        <v>181</v>
      </c>
      <c r="B7525" t="str">
        <f>_xlfn.XLOOKUP(A7525,'[1]Tissue Data'!$A:$A,'[1]Tissue Data'!$C:$C)</f>
        <v>Down</v>
      </c>
      <c r="C7525" s="2">
        <f>_xlfn.XLOOKUP(A7525,'[1]Tissue Data'!$A:$A,'[1]Tissue Data'!$D:$D)</f>
        <v>44393</v>
      </c>
      <c r="D7525" s="2" t="str">
        <f>_xlfn.XLOOKUP(A7525,'[1]Tissue Data'!$A:$A,'[1]Tissue Data'!$F:$F)</f>
        <v>Fallfish</v>
      </c>
      <c r="E7525" t="str">
        <f>_xlfn.XLOOKUP(A7525,'[1]Tissue Data'!$A:$A,'[1]Tissue Data'!$H:$H)</f>
        <v>Semotilus</v>
      </c>
      <c r="F7525" t="str">
        <f>_xlfn.XLOOKUP(A7525,'[1]Tissue Data'!$A:$A,'[1]Tissue Data'!$I:$I)</f>
        <v>corporalis</v>
      </c>
      <c r="G7525" t="str">
        <f>_xlfn.XLOOKUP(A7525,'[1]Tissue Data'!$A:$A,'[1]Tissue Data'!J:J)</f>
        <v>U</v>
      </c>
      <c r="H7525" t="str">
        <f>_xlfn.XLOOKUP(A7525,'[1]Tissue Data'!$A:$A,'[1]Tissue Data'!K:K)</f>
        <v>Whole Body</v>
      </c>
      <c r="I7525">
        <f>_xlfn.XLOOKUP(A7525,'[1]Tissue Data'!$A:$A,'[1]Tissue Data'!L:L)</f>
        <v>7.5</v>
      </c>
      <c r="J7525">
        <f>_xlfn.XLOOKUP(A7525,'[1]Tissue Data'!$A:$A,'[1]Tissue Data'!M:M)</f>
        <v>5.37</v>
      </c>
      <c r="K7525" t="s">
        <v>35</v>
      </c>
      <c r="L7525" t="str">
        <f>_xlfn.XLOOKUP(K7525,[2]analyte_order!$B:$B,[2]analyte_order!$C:$C)</f>
        <v>30334-69-1</v>
      </c>
      <c r="M7525">
        <f>_xlfn.XLOOKUP(L7525,[2]analyte_order!$C:$C,[2]analyte_order!$E:$E)</f>
        <v>51</v>
      </c>
      <c r="N7525">
        <v>43.1</v>
      </c>
    </row>
    <row r="7526" spans="1:14">
      <c r="A7526" t="s">
        <v>181</v>
      </c>
      <c r="B7526" t="str">
        <f>_xlfn.XLOOKUP(A7526,'[1]Tissue Data'!$A:$A,'[1]Tissue Data'!$C:$C)</f>
        <v>Down</v>
      </c>
      <c r="C7526" s="2">
        <f>_xlfn.XLOOKUP(A7526,'[1]Tissue Data'!$A:$A,'[1]Tissue Data'!$D:$D)</f>
        <v>44393</v>
      </c>
      <c r="D7526" s="2" t="str">
        <f>_xlfn.XLOOKUP(A7526,'[1]Tissue Data'!$A:$A,'[1]Tissue Data'!$F:$F)</f>
        <v>Fallfish</v>
      </c>
      <c r="E7526" t="str">
        <f>_xlfn.XLOOKUP(A7526,'[1]Tissue Data'!$A:$A,'[1]Tissue Data'!$H:$H)</f>
        <v>Semotilus</v>
      </c>
      <c r="F7526" t="str">
        <f>_xlfn.XLOOKUP(A7526,'[1]Tissue Data'!$A:$A,'[1]Tissue Data'!$I:$I)</f>
        <v>corporalis</v>
      </c>
      <c r="G7526" t="str">
        <f>_xlfn.XLOOKUP(A7526,'[1]Tissue Data'!$A:$A,'[1]Tissue Data'!J:J)</f>
        <v>U</v>
      </c>
      <c r="H7526" t="str">
        <f>_xlfn.XLOOKUP(A7526,'[1]Tissue Data'!$A:$A,'[1]Tissue Data'!K:K)</f>
        <v>Whole Body</v>
      </c>
      <c r="I7526">
        <f>_xlfn.XLOOKUP(A7526,'[1]Tissue Data'!$A:$A,'[1]Tissue Data'!L:L)</f>
        <v>7.5</v>
      </c>
      <c r="J7526">
        <f>_xlfn.XLOOKUP(A7526,'[1]Tissue Data'!$A:$A,'[1]Tissue Data'!M:M)</f>
        <v>5.37</v>
      </c>
      <c r="K7526" t="s">
        <v>36</v>
      </c>
      <c r="L7526" t="str">
        <f>_xlfn.XLOOKUP(K7526,[2]analyte_order!$B:$B,[2]analyte_order!$C:$C)</f>
        <v>41997-13-1</v>
      </c>
      <c r="M7526">
        <f>_xlfn.XLOOKUP(L7526,[2]analyte_order!$C:$C,[2]analyte_order!$E:$E)</f>
        <v>52</v>
      </c>
      <c r="N7526">
        <v>433</v>
      </c>
    </row>
    <row r="7527" spans="1:14">
      <c r="A7527" t="s">
        <v>181</v>
      </c>
      <c r="B7527" t="str">
        <f>_xlfn.XLOOKUP(A7527,'[1]Tissue Data'!$A:$A,'[1]Tissue Data'!$C:$C)</f>
        <v>Down</v>
      </c>
      <c r="C7527" s="2">
        <f>_xlfn.XLOOKUP(A7527,'[1]Tissue Data'!$A:$A,'[1]Tissue Data'!$D:$D)</f>
        <v>44393</v>
      </c>
      <c r="D7527" s="2" t="str">
        <f>_xlfn.XLOOKUP(A7527,'[1]Tissue Data'!$A:$A,'[1]Tissue Data'!$F:$F)</f>
        <v>Fallfish</v>
      </c>
      <c r="E7527" t="str">
        <f>_xlfn.XLOOKUP(A7527,'[1]Tissue Data'!$A:$A,'[1]Tissue Data'!$H:$H)</f>
        <v>Semotilus</v>
      </c>
      <c r="F7527" t="str">
        <f>_xlfn.XLOOKUP(A7527,'[1]Tissue Data'!$A:$A,'[1]Tissue Data'!$I:$I)</f>
        <v>corporalis</v>
      </c>
      <c r="G7527" t="str">
        <f>_xlfn.XLOOKUP(A7527,'[1]Tissue Data'!$A:$A,'[1]Tissue Data'!J:J)</f>
        <v>U</v>
      </c>
      <c r="H7527" t="str">
        <f>_xlfn.XLOOKUP(A7527,'[1]Tissue Data'!$A:$A,'[1]Tissue Data'!K:K)</f>
        <v>Whole Body</v>
      </c>
      <c r="I7527">
        <f>_xlfn.XLOOKUP(A7527,'[1]Tissue Data'!$A:$A,'[1]Tissue Data'!L:L)</f>
        <v>7.5</v>
      </c>
      <c r="J7527">
        <f>_xlfn.XLOOKUP(A7527,'[1]Tissue Data'!$A:$A,'[1]Tissue Data'!M:M)</f>
        <v>5.37</v>
      </c>
      <c r="K7527" t="s">
        <v>37</v>
      </c>
      <c r="L7527" t="str">
        <f>_xlfn.XLOOKUP(K7527,[2]analyte_order!$B:$B,[2]analyte_order!$C:$C)</f>
        <v>754-91-6</v>
      </c>
      <c r="M7527">
        <f>_xlfn.XLOOKUP(L7527,[2]analyte_order!$C:$C,[2]analyte_order!$E:$E)</f>
        <v>28</v>
      </c>
      <c r="N7527">
        <v>26</v>
      </c>
    </row>
    <row r="7528" spans="1:14">
      <c r="A7528" t="s">
        <v>181</v>
      </c>
      <c r="B7528" t="str">
        <f>_xlfn.XLOOKUP(A7528,'[1]Tissue Data'!$A:$A,'[1]Tissue Data'!$C:$C)</f>
        <v>Down</v>
      </c>
      <c r="C7528" s="2">
        <f>_xlfn.XLOOKUP(A7528,'[1]Tissue Data'!$A:$A,'[1]Tissue Data'!$D:$D)</f>
        <v>44393</v>
      </c>
      <c r="D7528" s="2" t="str">
        <f>_xlfn.XLOOKUP(A7528,'[1]Tissue Data'!$A:$A,'[1]Tissue Data'!$F:$F)</f>
        <v>Fallfish</v>
      </c>
      <c r="E7528" t="str">
        <f>_xlfn.XLOOKUP(A7528,'[1]Tissue Data'!$A:$A,'[1]Tissue Data'!$H:$H)</f>
        <v>Semotilus</v>
      </c>
      <c r="F7528" t="str">
        <f>_xlfn.XLOOKUP(A7528,'[1]Tissue Data'!$A:$A,'[1]Tissue Data'!$I:$I)</f>
        <v>corporalis</v>
      </c>
      <c r="G7528" t="str">
        <f>_xlfn.XLOOKUP(A7528,'[1]Tissue Data'!$A:$A,'[1]Tissue Data'!J:J)</f>
        <v>U</v>
      </c>
      <c r="H7528" t="str">
        <f>_xlfn.XLOOKUP(A7528,'[1]Tissue Data'!$A:$A,'[1]Tissue Data'!K:K)</f>
        <v>Whole Body</v>
      </c>
      <c r="I7528">
        <f>_xlfn.XLOOKUP(A7528,'[1]Tissue Data'!$A:$A,'[1]Tissue Data'!L:L)</f>
        <v>7.5</v>
      </c>
      <c r="J7528">
        <f>_xlfn.XLOOKUP(A7528,'[1]Tissue Data'!$A:$A,'[1]Tissue Data'!M:M)</f>
        <v>5.37</v>
      </c>
      <c r="K7528" t="s">
        <v>38</v>
      </c>
      <c r="L7528" t="str">
        <f>_xlfn.XLOOKUP(K7528,[2]analyte_order!$B:$B,[2]analyte_order!$C:$C)</f>
        <v>31506-32-8</v>
      </c>
      <c r="M7528">
        <f>_xlfn.XLOOKUP(L7528,[2]analyte_order!$C:$C,[2]analyte_order!$E:$E)</f>
        <v>30</v>
      </c>
      <c r="N7528">
        <v>0.17100000000000001</v>
      </c>
    </row>
    <row r="7529" spans="1:14">
      <c r="A7529" t="s">
        <v>181</v>
      </c>
      <c r="B7529" t="str">
        <f>_xlfn.XLOOKUP(A7529,'[1]Tissue Data'!$A:$A,'[1]Tissue Data'!$C:$C)</f>
        <v>Down</v>
      </c>
      <c r="C7529" s="2">
        <f>_xlfn.XLOOKUP(A7529,'[1]Tissue Data'!$A:$A,'[1]Tissue Data'!$D:$D)</f>
        <v>44393</v>
      </c>
      <c r="D7529" s="2" t="str">
        <f>_xlfn.XLOOKUP(A7529,'[1]Tissue Data'!$A:$A,'[1]Tissue Data'!$F:$F)</f>
        <v>Fallfish</v>
      </c>
      <c r="E7529" t="str">
        <f>_xlfn.XLOOKUP(A7529,'[1]Tissue Data'!$A:$A,'[1]Tissue Data'!$H:$H)</f>
        <v>Semotilus</v>
      </c>
      <c r="F7529" t="str">
        <f>_xlfn.XLOOKUP(A7529,'[1]Tissue Data'!$A:$A,'[1]Tissue Data'!$I:$I)</f>
        <v>corporalis</v>
      </c>
      <c r="G7529" t="str">
        <f>_xlfn.XLOOKUP(A7529,'[1]Tissue Data'!$A:$A,'[1]Tissue Data'!J:J)</f>
        <v>U</v>
      </c>
      <c r="H7529" t="str">
        <f>_xlfn.XLOOKUP(A7529,'[1]Tissue Data'!$A:$A,'[1]Tissue Data'!K:K)</f>
        <v>Whole Body</v>
      </c>
      <c r="I7529">
        <f>_xlfn.XLOOKUP(A7529,'[1]Tissue Data'!$A:$A,'[1]Tissue Data'!L:L)</f>
        <v>7.5</v>
      </c>
      <c r="J7529">
        <f>_xlfn.XLOOKUP(A7529,'[1]Tissue Data'!$A:$A,'[1]Tissue Data'!M:M)</f>
        <v>5.37</v>
      </c>
      <c r="K7529" t="s">
        <v>39</v>
      </c>
      <c r="L7529" t="str">
        <f>_xlfn.XLOOKUP(K7529,[2]analyte_order!$B:$B,[2]analyte_order!$C:$C)</f>
        <v>4151-50-2</v>
      </c>
      <c r="M7529">
        <f>_xlfn.XLOOKUP(L7529,[2]analyte_order!$C:$C,[2]analyte_order!$E:$E)</f>
        <v>31</v>
      </c>
      <c r="N7529">
        <v>0.44400000000000001</v>
      </c>
    </row>
    <row r="7530" spans="1:14">
      <c r="A7530" t="s">
        <v>181</v>
      </c>
      <c r="B7530" t="str">
        <f>_xlfn.XLOOKUP(A7530,'[1]Tissue Data'!$A:$A,'[1]Tissue Data'!$C:$C)</f>
        <v>Down</v>
      </c>
      <c r="C7530" s="2">
        <f>_xlfn.XLOOKUP(A7530,'[1]Tissue Data'!$A:$A,'[1]Tissue Data'!$D:$D)</f>
        <v>44393</v>
      </c>
      <c r="D7530" s="2" t="str">
        <f>_xlfn.XLOOKUP(A7530,'[1]Tissue Data'!$A:$A,'[1]Tissue Data'!$F:$F)</f>
        <v>Fallfish</v>
      </c>
      <c r="E7530" t="str">
        <f>_xlfn.XLOOKUP(A7530,'[1]Tissue Data'!$A:$A,'[1]Tissue Data'!$H:$H)</f>
        <v>Semotilus</v>
      </c>
      <c r="F7530" t="str">
        <f>_xlfn.XLOOKUP(A7530,'[1]Tissue Data'!$A:$A,'[1]Tissue Data'!$I:$I)</f>
        <v>corporalis</v>
      </c>
      <c r="G7530" t="str">
        <f>_xlfn.XLOOKUP(A7530,'[1]Tissue Data'!$A:$A,'[1]Tissue Data'!J:J)</f>
        <v>U</v>
      </c>
      <c r="H7530" t="str">
        <f>_xlfn.XLOOKUP(A7530,'[1]Tissue Data'!$A:$A,'[1]Tissue Data'!K:K)</f>
        <v>Whole Body</v>
      </c>
      <c r="I7530">
        <f>_xlfn.XLOOKUP(A7530,'[1]Tissue Data'!$A:$A,'[1]Tissue Data'!L:L)</f>
        <v>7.5</v>
      </c>
      <c r="J7530">
        <f>_xlfn.XLOOKUP(A7530,'[1]Tissue Data'!$A:$A,'[1]Tissue Data'!M:M)</f>
        <v>5.37</v>
      </c>
      <c r="K7530" t="s">
        <v>40</v>
      </c>
      <c r="L7530" t="str">
        <f>_xlfn.XLOOKUP(K7530,[2]analyte_order!$B:$B,[2]analyte_order!$C:$C)</f>
        <v>2806-24-8</v>
      </c>
      <c r="M7530">
        <f>_xlfn.XLOOKUP(L7530,[2]analyte_order!$C:$C,[2]analyte_order!$E:$E)</f>
        <v>29</v>
      </c>
      <c r="N7530">
        <v>0.44400000000000001</v>
      </c>
    </row>
    <row r="7531" spans="1:14">
      <c r="A7531" t="s">
        <v>181</v>
      </c>
      <c r="B7531" t="str">
        <f>_xlfn.XLOOKUP(A7531,'[1]Tissue Data'!$A:$A,'[1]Tissue Data'!$C:$C)</f>
        <v>Down</v>
      </c>
      <c r="C7531" s="2">
        <f>_xlfn.XLOOKUP(A7531,'[1]Tissue Data'!$A:$A,'[1]Tissue Data'!$D:$D)</f>
        <v>44393</v>
      </c>
      <c r="D7531" s="2" t="str">
        <f>_xlfn.XLOOKUP(A7531,'[1]Tissue Data'!$A:$A,'[1]Tissue Data'!$F:$F)</f>
        <v>Fallfish</v>
      </c>
      <c r="E7531" t="str">
        <f>_xlfn.XLOOKUP(A7531,'[1]Tissue Data'!$A:$A,'[1]Tissue Data'!$H:$H)</f>
        <v>Semotilus</v>
      </c>
      <c r="F7531" t="str">
        <f>_xlfn.XLOOKUP(A7531,'[1]Tissue Data'!$A:$A,'[1]Tissue Data'!$I:$I)</f>
        <v>corporalis</v>
      </c>
      <c r="G7531" t="str">
        <f>_xlfn.XLOOKUP(A7531,'[1]Tissue Data'!$A:$A,'[1]Tissue Data'!J:J)</f>
        <v>U</v>
      </c>
      <c r="H7531" t="str">
        <f>_xlfn.XLOOKUP(A7531,'[1]Tissue Data'!$A:$A,'[1]Tissue Data'!K:K)</f>
        <v>Whole Body</v>
      </c>
      <c r="I7531">
        <f>_xlfn.XLOOKUP(A7531,'[1]Tissue Data'!$A:$A,'[1]Tissue Data'!L:L)</f>
        <v>7.5</v>
      </c>
      <c r="J7531">
        <f>_xlfn.XLOOKUP(A7531,'[1]Tissue Data'!$A:$A,'[1]Tissue Data'!M:M)</f>
        <v>5.37</v>
      </c>
      <c r="K7531" t="s">
        <v>41</v>
      </c>
      <c r="L7531" t="str">
        <f>_xlfn.XLOOKUP(K7531,[2]analyte_order!$B:$B,[2]analyte_order!$C:$C)</f>
        <v>2355-31-9</v>
      </c>
      <c r="M7531">
        <f>_xlfn.XLOOKUP(L7531,[2]analyte_order!$C:$C,[2]analyte_order!$E:$E)</f>
        <v>26</v>
      </c>
      <c r="N7531">
        <v>0.2235</v>
      </c>
    </row>
    <row r="7532" spans="1:14">
      <c r="A7532" t="s">
        <v>181</v>
      </c>
      <c r="B7532" t="str">
        <f>_xlfn.XLOOKUP(A7532,'[1]Tissue Data'!$A:$A,'[1]Tissue Data'!$C:$C)</f>
        <v>Down</v>
      </c>
      <c r="C7532" s="2">
        <f>_xlfn.XLOOKUP(A7532,'[1]Tissue Data'!$A:$A,'[1]Tissue Data'!$D:$D)</f>
        <v>44393</v>
      </c>
      <c r="D7532" s="2" t="str">
        <f>_xlfn.XLOOKUP(A7532,'[1]Tissue Data'!$A:$A,'[1]Tissue Data'!$F:$F)</f>
        <v>Fallfish</v>
      </c>
      <c r="E7532" t="str">
        <f>_xlfn.XLOOKUP(A7532,'[1]Tissue Data'!$A:$A,'[1]Tissue Data'!$H:$H)</f>
        <v>Semotilus</v>
      </c>
      <c r="F7532" t="str">
        <f>_xlfn.XLOOKUP(A7532,'[1]Tissue Data'!$A:$A,'[1]Tissue Data'!$I:$I)</f>
        <v>corporalis</v>
      </c>
      <c r="G7532" t="str">
        <f>_xlfn.XLOOKUP(A7532,'[1]Tissue Data'!$A:$A,'[1]Tissue Data'!J:J)</f>
        <v>U</v>
      </c>
      <c r="H7532" t="str">
        <f>_xlfn.XLOOKUP(A7532,'[1]Tissue Data'!$A:$A,'[1]Tissue Data'!K:K)</f>
        <v>Whole Body</v>
      </c>
      <c r="I7532">
        <f>_xlfn.XLOOKUP(A7532,'[1]Tissue Data'!$A:$A,'[1]Tissue Data'!L:L)</f>
        <v>7.5</v>
      </c>
      <c r="J7532">
        <f>_xlfn.XLOOKUP(A7532,'[1]Tissue Data'!$A:$A,'[1]Tissue Data'!M:M)</f>
        <v>5.37</v>
      </c>
      <c r="K7532" t="s">
        <v>42</v>
      </c>
      <c r="L7532" t="str">
        <f>_xlfn.XLOOKUP(K7532,[2]analyte_order!$B:$B,[2]analyte_order!$C:$C)</f>
        <v>2991-50-6</v>
      </c>
      <c r="M7532">
        <f>_xlfn.XLOOKUP(L7532,[2]analyte_order!$C:$C,[2]analyte_order!$E:$E)</f>
        <v>27</v>
      </c>
      <c r="N7532">
        <v>0.222</v>
      </c>
    </row>
    <row r="7533" spans="1:14">
      <c r="A7533" t="s">
        <v>181</v>
      </c>
      <c r="B7533" t="str">
        <f>_xlfn.XLOOKUP(A7533,'[1]Tissue Data'!$A:$A,'[1]Tissue Data'!$C:$C)</f>
        <v>Down</v>
      </c>
      <c r="C7533" s="2">
        <f>_xlfn.XLOOKUP(A7533,'[1]Tissue Data'!$A:$A,'[1]Tissue Data'!$D:$D)</f>
        <v>44393</v>
      </c>
      <c r="D7533" s="2" t="str">
        <f>_xlfn.XLOOKUP(A7533,'[1]Tissue Data'!$A:$A,'[1]Tissue Data'!$F:$F)</f>
        <v>Fallfish</v>
      </c>
      <c r="E7533" t="str">
        <f>_xlfn.XLOOKUP(A7533,'[1]Tissue Data'!$A:$A,'[1]Tissue Data'!$H:$H)</f>
        <v>Semotilus</v>
      </c>
      <c r="F7533" t="str">
        <f>_xlfn.XLOOKUP(A7533,'[1]Tissue Data'!$A:$A,'[1]Tissue Data'!$I:$I)</f>
        <v>corporalis</v>
      </c>
      <c r="G7533" t="str">
        <f>_xlfn.XLOOKUP(A7533,'[1]Tissue Data'!$A:$A,'[1]Tissue Data'!J:J)</f>
        <v>U</v>
      </c>
      <c r="H7533" t="str">
        <f>_xlfn.XLOOKUP(A7533,'[1]Tissue Data'!$A:$A,'[1]Tissue Data'!K:K)</f>
        <v>Whole Body</v>
      </c>
      <c r="I7533">
        <f>_xlfn.XLOOKUP(A7533,'[1]Tissue Data'!$A:$A,'[1]Tissue Data'!L:L)</f>
        <v>7.5</v>
      </c>
      <c r="J7533">
        <f>_xlfn.XLOOKUP(A7533,'[1]Tissue Data'!$A:$A,'[1]Tissue Data'!M:M)</f>
        <v>5.37</v>
      </c>
      <c r="K7533" t="s">
        <v>43</v>
      </c>
      <c r="L7533" t="str">
        <f>_xlfn.XLOOKUP(K7533,[2]analyte_order!$B:$B,[2]analyte_order!$C:$C)</f>
        <v>757124-72-4</v>
      </c>
      <c r="M7533">
        <f>_xlfn.XLOOKUP(L7533,[2]analyte_order!$C:$C,[2]analyte_order!$E:$E)</f>
        <v>22</v>
      </c>
      <c r="N7533">
        <v>0.222</v>
      </c>
    </row>
    <row r="7534" spans="1:14">
      <c r="A7534" t="s">
        <v>181</v>
      </c>
      <c r="B7534" t="str">
        <f>_xlfn.XLOOKUP(A7534,'[1]Tissue Data'!$A:$A,'[1]Tissue Data'!$C:$C)</f>
        <v>Down</v>
      </c>
      <c r="C7534" s="2">
        <f>_xlfn.XLOOKUP(A7534,'[1]Tissue Data'!$A:$A,'[1]Tissue Data'!$D:$D)</f>
        <v>44393</v>
      </c>
      <c r="D7534" s="2" t="str">
        <f>_xlfn.XLOOKUP(A7534,'[1]Tissue Data'!$A:$A,'[1]Tissue Data'!$F:$F)</f>
        <v>Fallfish</v>
      </c>
      <c r="E7534" t="str">
        <f>_xlfn.XLOOKUP(A7534,'[1]Tissue Data'!$A:$A,'[1]Tissue Data'!$H:$H)</f>
        <v>Semotilus</v>
      </c>
      <c r="F7534" t="str">
        <f>_xlfn.XLOOKUP(A7534,'[1]Tissue Data'!$A:$A,'[1]Tissue Data'!$I:$I)</f>
        <v>corporalis</v>
      </c>
      <c r="G7534" t="str">
        <f>_xlfn.XLOOKUP(A7534,'[1]Tissue Data'!$A:$A,'[1]Tissue Data'!J:J)</f>
        <v>U</v>
      </c>
      <c r="H7534" t="str">
        <f>_xlfn.XLOOKUP(A7534,'[1]Tissue Data'!$A:$A,'[1]Tissue Data'!K:K)</f>
        <v>Whole Body</v>
      </c>
      <c r="I7534">
        <f>_xlfn.XLOOKUP(A7534,'[1]Tissue Data'!$A:$A,'[1]Tissue Data'!L:L)</f>
        <v>7.5</v>
      </c>
      <c r="J7534">
        <f>_xlfn.XLOOKUP(A7534,'[1]Tissue Data'!$A:$A,'[1]Tissue Data'!M:M)</f>
        <v>5.37</v>
      </c>
      <c r="K7534" t="s">
        <v>44</v>
      </c>
      <c r="L7534" t="str">
        <f>_xlfn.XLOOKUP(K7534,[2]analyte_order!$B:$B,[2]analyte_order!$C:$C)</f>
        <v>27619-97-2</v>
      </c>
      <c r="M7534">
        <f>_xlfn.XLOOKUP(L7534,[2]analyte_order!$C:$C,[2]analyte_order!$E:$E)</f>
        <v>23</v>
      </c>
      <c r="N7534">
        <v>1.5</v>
      </c>
    </row>
    <row r="7535" spans="1:14">
      <c r="A7535" t="s">
        <v>181</v>
      </c>
      <c r="B7535" t="str">
        <f>_xlfn.XLOOKUP(A7535,'[1]Tissue Data'!$A:$A,'[1]Tissue Data'!$C:$C)</f>
        <v>Down</v>
      </c>
      <c r="C7535" s="2">
        <f>_xlfn.XLOOKUP(A7535,'[1]Tissue Data'!$A:$A,'[1]Tissue Data'!$D:$D)</f>
        <v>44393</v>
      </c>
      <c r="D7535" s="2" t="str">
        <f>_xlfn.XLOOKUP(A7535,'[1]Tissue Data'!$A:$A,'[1]Tissue Data'!$F:$F)</f>
        <v>Fallfish</v>
      </c>
      <c r="E7535" t="str">
        <f>_xlfn.XLOOKUP(A7535,'[1]Tissue Data'!$A:$A,'[1]Tissue Data'!$H:$H)</f>
        <v>Semotilus</v>
      </c>
      <c r="F7535" t="str">
        <f>_xlfn.XLOOKUP(A7535,'[1]Tissue Data'!$A:$A,'[1]Tissue Data'!$I:$I)</f>
        <v>corporalis</v>
      </c>
      <c r="G7535" t="str">
        <f>_xlfn.XLOOKUP(A7535,'[1]Tissue Data'!$A:$A,'[1]Tissue Data'!J:J)</f>
        <v>U</v>
      </c>
      <c r="H7535" t="str">
        <f>_xlfn.XLOOKUP(A7535,'[1]Tissue Data'!$A:$A,'[1]Tissue Data'!K:K)</f>
        <v>Whole Body</v>
      </c>
      <c r="I7535">
        <f>_xlfn.XLOOKUP(A7535,'[1]Tissue Data'!$A:$A,'[1]Tissue Data'!L:L)</f>
        <v>7.5</v>
      </c>
      <c r="J7535">
        <f>_xlfn.XLOOKUP(A7535,'[1]Tissue Data'!$A:$A,'[1]Tissue Data'!M:M)</f>
        <v>5.37</v>
      </c>
      <c r="K7535" t="s">
        <v>45</v>
      </c>
      <c r="L7535" t="str">
        <f>_xlfn.XLOOKUP(K7535,[2]analyte_order!$B:$B,[2]analyte_order!$C:$C)</f>
        <v>39108-34-4</v>
      </c>
      <c r="M7535">
        <f>_xlfn.XLOOKUP(L7535,[2]analyte_order!$C:$C,[2]analyte_order!$E:$E)</f>
        <v>24</v>
      </c>
      <c r="N7535">
        <v>17.399999999999999</v>
      </c>
    </row>
    <row r="7536" spans="1:14">
      <c r="A7536" t="s">
        <v>181</v>
      </c>
      <c r="B7536" t="str">
        <f>_xlfn.XLOOKUP(A7536,'[1]Tissue Data'!$A:$A,'[1]Tissue Data'!$C:$C)</f>
        <v>Down</v>
      </c>
      <c r="C7536" s="2">
        <f>_xlfn.XLOOKUP(A7536,'[1]Tissue Data'!$A:$A,'[1]Tissue Data'!$D:$D)</f>
        <v>44393</v>
      </c>
      <c r="D7536" s="2" t="str">
        <f>_xlfn.XLOOKUP(A7536,'[1]Tissue Data'!$A:$A,'[1]Tissue Data'!$F:$F)</f>
        <v>Fallfish</v>
      </c>
      <c r="E7536" t="str">
        <f>_xlfn.XLOOKUP(A7536,'[1]Tissue Data'!$A:$A,'[1]Tissue Data'!$H:$H)</f>
        <v>Semotilus</v>
      </c>
      <c r="F7536" t="str">
        <f>_xlfn.XLOOKUP(A7536,'[1]Tissue Data'!$A:$A,'[1]Tissue Data'!$I:$I)</f>
        <v>corporalis</v>
      </c>
      <c r="G7536" t="str">
        <f>_xlfn.XLOOKUP(A7536,'[1]Tissue Data'!$A:$A,'[1]Tissue Data'!J:J)</f>
        <v>U</v>
      </c>
      <c r="H7536" t="str">
        <f>_xlfn.XLOOKUP(A7536,'[1]Tissue Data'!$A:$A,'[1]Tissue Data'!K:K)</f>
        <v>Whole Body</v>
      </c>
      <c r="I7536">
        <f>_xlfn.XLOOKUP(A7536,'[1]Tissue Data'!$A:$A,'[1]Tissue Data'!L:L)</f>
        <v>7.5</v>
      </c>
      <c r="J7536">
        <f>_xlfn.XLOOKUP(A7536,'[1]Tissue Data'!$A:$A,'[1]Tissue Data'!M:M)</f>
        <v>5.37</v>
      </c>
      <c r="K7536" t="s">
        <v>46</v>
      </c>
      <c r="L7536" t="str">
        <f>_xlfn.XLOOKUP(K7536,[2]analyte_order!$B:$B,[2]analyte_order!$C:$C)</f>
        <v>120226-60-0</v>
      </c>
      <c r="M7536">
        <f>_xlfn.XLOOKUP(L7536,[2]analyte_order!$C:$C,[2]analyte_order!$E:$E)</f>
        <v>25</v>
      </c>
      <c r="N7536">
        <v>0.44400000000000001</v>
      </c>
    </row>
    <row r="7537" spans="1:14">
      <c r="A7537" t="s">
        <v>181</v>
      </c>
      <c r="B7537" t="str">
        <f>_xlfn.XLOOKUP(A7537,'[1]Tissue Data'!$A:$A,'[1]Tissue Data'!$C:$C)</f>
        <v>Down</v>
      </c>
      <c r="C7537" s="2">
        <f>_xlfn.XLOOKUP(A7537,'[1]Tissue Data'!$A:$A,'[1]Tissue Data'!$D:$D)</f>
        <v>44393</v>
      </c>
      <c r="D7537" s="2" t="str">
        <f>_xlfn.XLOOKUP(A7537,'[1]Tissue Data'!$A:$A,'[1]Tissue Data'!$F:$F)</f>
        <v>Fallfish</v>
      </c>
      <c r="E7537" t="str">
        <f>_xlfn.XLOOKUP(A7537,'[1]Tissue Data'!$A:$A,'[1]Tissue Data'!$H:$H)</f>
        <v>Semotilus</v>
      </c>
      <c r="F7537" t="str">
        <f>_xlfn.XLOOKUP(A7537,'[1]Tissue Data'!$A:$A,'[1]Tissue Data'!$I:$I)</f>
        <v>corporalis</v>
      </c>
      <c r="G7537" t="str">
        <f>_xlfn.XLOOKUP(A7537,'[1]Tissue Data'!$A:$A,'[1]Tissue Data'!J:J)</f>
        <v>U</v>
      </c>
      <c r="H7537" t="str">
        <f>_xlfn.XLOOKUP(A7537,'[1]Tissue Data'!$A:$A,'[1]Tissue Data'!K:K)</f>
        <v>Whole Body</v>
      </c>
      <c r="I7537">
        <f>_xlfn.XLOOKUP(A7537,'[1]Tissue Data'!$A:$A,'[1]Tissue Data'!L:L)</f>
        <v>7.5</v>
      </c>
      <c r="J7537">
        <f>_xlfn.XLOOKUP(A7537,'[1]Tissue Data'!$A:$A,'[1]Tissue Data'!M:M)</f>
        <v>5.37</v>
      </c>
      <c r="K7537" t="s">
        <v>47</v>
      </c>
      <c r="L7537" t="str">
        <f>_xlfn.XLOOKUP(K7537,[2]analyte_order!$B:$B,[2]analyte_order!$C:$C)</f>
        <v>356-02-5</v>
      </c>
      <c r="M7537">
        <f>_xlfn.XLOOKUP(L7537,[2]analyte_order!$C:$C,[2]analyte_order!$E:$E)</f>
        <v>38</v>
      </c>
      <c r="N7537">
        <v>0.25600000000000001</v>
      </c>
    </row>
    <row r="7538" spans="1:14">
      <c r="A7538" t="s">
        <v>181</v>
      </c>
      <c r="B7538" t="str">
        <f>_xlfn.XLOOKUP(A7538,'[1]Tissue Data'!$A:$A,'[1]Tissue Data'!$C:$C)</f>
        <v>Down</v>
      </c>
      <c r="C7538" s="2">
        <f>_xlfn.XLOOKUP(A7538,'[1]Tissue Data'!$A:$A,'[1]Tissue Data'!$D:$D)</f>
        <v>44393</v>
      </c>
      <c r="D7538" s="2" t="str">
        <f>_xlfn.XLOOKUP(A7538,'[1]Tissue Data'!$A:$A,'[1]Tissue Data'!$F:$F)</f>
        <v>Fallfish</v>
      </c>
      <c r="E7538" t="str">
        <f>_xlfn.XLOOKUP(A7538,'[1]Tissue Data'!$A:$A,'[1]Tissue Data'!$H:$H)</f>
        <v>Semotilus</v>
      </c>
      <c r="F7538" t="str">
        <f>_xlfn.XLOOKUP(A7538,'[1]Tissue Data'!$A:$A,'[1]Tissue Data'!$I:$I)</f>
        <v>corporalis</v>
      </c>
      <c r="G7538" t="str">
        <f>_xlfn.XLOOKUP(A7538,'[1]Tissue Data'!$A:$A,'[1]Tissue Data'!J:J)</f>
        <v>U</v>
      </c>
      <c r="H7538" t="str">
        <f>_xlfn.XLOOKUP(A7538,'[1]Tissue Data'!$A:$A,'[1]Tissue Data'!K:K)</f>
        <v>Whole Body</v>
      </c>
      <c r="I7538">
        <f>_xlfn.XLOOKUP(A7538,'[1]Tissue Data'!$A:$A,'[1]Tissue Data'!L:L)</f>
        <v>7.5</v>
      </c>
      <c r="J7538">
        <f>_xlfn.XLOOKUP(A7538,'[1]Tissue Data'!$A:$A,'[1]Tissue Data'!M:M)</f>
        <v>5.37</v>
      </c>
      <c r="K7538" t="s">
        <v>48</v>
      </c>
      <c r="L7538" t="str">
        <f>_xlfn.XLOOKUP(K7538,[2]analyte_order!$B:$B,[2]analyte_order!$C:$C)</f>
        <v>914637-49-3</v>
      </c>
      <c r="M7538">
        <f>_xlfn.XLOOKUP(L7538,[2]analyte_order!$C:$C,[2]analyte_order!$E:$E)</f>
        <v>39</v>
      </c>
      <c r="N7538">
        <v>7.86</v>
      </c>
    </row>
    <row r="7539" spans="1:14">
      <c r="A7539" t="s">
        <v>181</v>
      </c>
      <c r="B7539" t="str">
        <f>_xlfn.XLOOKUP(A7539,'[1]Tissue Data'!$A:$A,'[1]Tissue Data'!$C:$C)</f>
        <v>Down</v>
      </c>
      <c r="C7539" s="2">
        <f>_xlfn.XLOOKUP(A7539,'[1]Tissue Data'!$A:$A,'[1]Tissue Data'!$D:$D)</f>
        <v>44393</v>
      </c>
      <c r="D7539" s="2" t="str">
        <f>_xlfn.XLOOKUP(A7539,'[1]Tissue Data'!$A:$A,'[1]Tissue Data'!$F:$F)</f>
        <v>Fallfish</v>
      </c>
      <c r="E7539" t="str">
        <f>_xlfn.XLOOKUP(A7539,'[1]Tissue Data'!$A:$A,'[1]Tissue Data'!$H:$H)</f>
        <v>Semotilus</v>
      </c>
      <c r="F7539" t="str">
        <f>_xlfn.XLOOKUP(A7539,'[1]Tissue Data'!$A:$A,'[1]Tissue Data'!$I:$I)</f>
        <v>corporalis</v>
      </c>
      <c r="G7539" t="str">
        <f>_xlfn.XLOOKUP(A7539,'[1]Tissue Data'!$A:$A,'[1]Tissue Data'!J:J)</f>
        <v>U</v>
      </c>
      <c r="H7539" t="str">
        <f>_xlfn.XLOOKUP(A7539,'[1]Tissue Data'!$A:$A,'[1]Tissue Data'!K:K)</f>
        <v>Whole Body</v>
      </c>
      <c r="I7539">
        <f>_xlfn.XLOOKUP(A7539,'[1]Tissue Data'!$A:$A,'[1]Tissue Data'!L:L)</f>
        <v>7.5</v>
      </c>
      <c r="J7539">
        <f>_xlfn.XLOOKUP(A7539,'[1]Tissue Data'!$A:$A,'[1]Tissue Data'!M:M)</f>
        <v>5.37</v>
      </c>
      <c r="K7539" t="s">
        <v>49</v>
      </c>
      <c r="L7539" t="str">
        <f>_xlfn.XLOOKUP(K7539,[2]analyte_order!$B:$B,[2]analyte_order!$C:$C)</f>
        <v>812-70-4</v>
      </c>
      <c r="M7539">
        <f>_xlfn.XLOOKUP(L7539,[2]analyte_order!$C:$C,[2]analyte_order!$E:$E)</f>
        <v>40</v>
      </c>
      <c r="N7539">
        <v>3.8</v>
      </c>
    </row>
    <row r="7540" spans="1:14">
      <c r="A7540" t="s">
        <v>181</v>
      </c>
      <c r="B7540" t="str">
        <f>_xlfn.XLOOKUP(A7540,'[1]Tissue Data'!$A:$A,'[1]Tissue Data'!$C:$C)</f>
        <v>Down</v>
      </c>
      <c r="C7540" s="2">
        <f>_xlfn.XLOOKUP(A7540,'[1]Tissue Data'!$A:$A,'[1]Tissue Data'!$D:$D)</f>
        <v>44393</v>
      </c>
      <c r="D7540" s="2" t="str">
        <f>_xlfn.XLOOKUP(A7540,'[1]Tissue Data'!$A:$A,'[1]Tissue Data'!$F:$F)</f>
        <v>Fallfish</v>
      </c>
      <c r="E7540" t="str">
        <f>_xlfn.XLOOKUP(A7540,'[1]Tissue Data'!$A:$A,'[1]Tissue Data'!$H:$H)</f>
        <v>Semotilus</v>
      </c>
      <c r="F7540" t="str">
        <f>_xlfn.XLOOKUP(A7540,'[1]Tissue Data'!$A:$A,'[1]Tissue Data'!$I:$I)</f>
        <v>corporalis</v>
      </c>
      <c r="G7540" t="str">
        <f>_xlfn.XLOOKUP(A7540,'[1]Tissue Data'!$A:$A,'[1]Tissue Data'!J:J)</f>
        <v>U</v>
      </c>
      <c r="H7540" t="str">
        <f>_xlfn.XLOOKUP(A7540,'[1]Tissue Data'!$A:$A,'[1]Tissue Data'!K:K)</f>
        <v>Whole Body</v>
      </c>
      <c r="I7540">
        <f>_xlfn.XLOOKUP(A7540,'[1]Tissue Data'!$A:$A,'[1]Tissue Data'!L:L)</f>
        <v>7.5</v>
      </c>
      <c r="J7540">
        <f>_xlfn.XLOOKUP(A7540,'[1]Tissue Data'!$A:$A,'[1]Tissue Data'!M:M)</f>
        <v>5.37</v>
      </c>
      <c r="K7540" t="s">
        <v>50</v>
      </c>
      <c r="L7540" t="str">
        <f>_xlfn.XLOOKUP(K7540,[2]analyte_order!$B:$B,[2]analyte_order!$C:$C)</f>
        <v>53826-12-3</v>
      </c>
      <c r="M7540">
        <f>_xlfn.XLOOKUP(L7540,[2]analyte_order!$C:$C,[2]analyte_order!$E:$E)</f>
        <v>41</v>
      </c>
      <c r="N7540">
        <v>0.44400000000000001</v>
      </c>
    </row>
    <row r="7541" spans="1:14">
      <c r="A7541" t="s">
        <v>181</v>
      </c>
      <c r="B7541" t="str">
        <f>_xlfn.XLOOKUP(A7541,'[1]Tissue Data'!$A:$A,'[1]Tissue Data'!$C:$C)</f>
        <v>Down</v>
      </c>
      <c r="C7541" s="2">
        <f>_xlfn.XLOOKUP(A7541,'[1]Tissue Data'!$A:$A,'[1]Tissue Data'!$D:$D)</f>
        <v>44393</v>
      </c>
      <c r="D7541" s="2" t="str">
        <f>_xlfn.XLOOKUP(A7541,'[1]Tissue Data'!$A:$A,'[1]Tissue Data'!$F:$F)</f>
        <v>Fallfish</v>
      </c>
      <c r="E7541" t="str">
        <f>_xlfn.XLOOKUP(A7541,'[1]Tissue Data'!$A:$A,'[1]Tissue Data'!$H:$H)</f>
        <v>Semotilus</v>
      </c>
      <c r="F7541" t="str">
        <f>_xlfn.XLOOKUP(A7541,'[1]Tissue Data'!$A:$A,'[1]Tissue Data'!$I:$I)</f>
        <v>corporalis</v>
      </c>
      <c r="G7541" t="str">
        <f>_xlfn.XLOOKUP(A7541,'[1]Tissue Data'!$A:$A,'[1]Tissue Data'!J:J)</f>
        <v>U</v>
      </c>
      <c r="H7541" t="str">
        <f>_xlfn.XLOOKUP(A7541,'[1]Tissue Data'!$A:$A,'[1]Tissue Data'!K:K)</f>
        <v>Whole Body</v>
      </c>
      <c r="I7541">
        <f>_xlfn.XLOOKUP(A7541,'[1]Tissue Data'!$A:$A,'[1]Tissue Data'!L:L)</f>
        <v>7.5</v>
      </c>
      <c r="J7541">
        <f>_xlfn.XLOOKUP(A7541,'[1]Tissue Data'!$A:$A,'[1]Tissue Data'!M:M)</f>
        <v>5.37</v>
      </c>
      <c r="K7541" t="s">
        <v>51</v>
      </c>
      <c r="L7541" t="str">
        <f>_xlfn.XLOOKUP(K7541,[2]analyte_order!$B:$B,[2]analyte_order!$C:$C)</f>
        <v>27854-31-5</v>
      </c>
      <c r="M7541">
        <f>_xlfn.XLOOKUP(L7541,[2]analyte_order!$C:$C,[2]analyte_order!$E:$E)</f>
        <v>42</v>
      </c>
      <c r="N7541">
        <v>0.44400000000000001</v>
      </c>
    </row>
    <row r="7542" spans="1:14">
      <c r="A7542" t="s">
        <v>181</v>
      </c>
      <c r="B7542" t="str">
        <f>_xlfn.XLOOKUP(A7542,'[1]Tissue Data'!$A:$A,'[1]Tissue Data'!$C:$C)</f>
        <v>Down</v>
      </c>
      <c r="C7542" s="2">
        <f>_xlfn.XLOOKUP(A7542,'[1]Tissue Data'!$A:$A,'[1]Tissue Data'!$D:$D)</f>
        <v>44393</v>
      </c>
      <c r="D7542" s="2" t="str">
        <f>_xlfn.XLOOKUP(A7542,'[1]Tissue Data'!$A:$A,'[1]Tissue Data'!$F:$F)</f>
        <v>Fallfish</v>
      </c>
      <c r="E7542" t="str">
        <f>_xlfn.XLOOKUP(A7542,'[1]Tissue Data'!$A:$A,'[1]Tissue Data'!$H:$H)</f>
        <v>Semotilus</v>
      </c>
      <c r="F7542" t="str">
        <f>_xlfn.XLOOKUP(A7542,'[1]Tissue Data'!$A:$A,'[1]Tissue Data'!$I:$I)</f>
        <v>corporalis</v>
      </c>
      <c r="G7542" t="str">
        <f>_xlfn.XLOOKUP(A7542,'[1]Tissue Data'!$A:$A,'[1]Tissue Data'!J:J)</f>
        <v>U</v>
      </c>
      <c r="H7542" t="str">
        <f>_xlfn.XLOOKUP(A7542,'[1]Tissue Data'!$A:$A,'[1]Tissue Data'!K:K)</f>
        <v>Whole Body</v>
      </c>
      <c r="I7542">
        <f>_xlfn.XLOOKUP(A7542,'[1]Tissue Data'!$A:$A,'[1]Tissue Data'!L:L)</f>
        <v>7.5</v>
      </c>
      <c r="J7542">
        <f>_xlfn.XLOOKUP(A7542,'[1]Tissue Data'!$A:$A,'[1]Tissue Data'!M:M)</f>
        <v>5.37</v>
      </c>
      <c r="K7542" t="s">
        <v>52</v>
      </c>
      <c r="L7542" t="str">
        <f>_xlfn.XLOOKUP(K7542,[2]analyte_order!$B:$B,[2]analyte_order!$C:$C)</f>
        <v>53826-13-4</v>
      </c>
      <c r="M7542">
        <f>_xlfn.XLOOKUP(L7542,[2]analyte_order!$C:$C,[2]analyte_order!$E:$E)</f>
        <v>43</v>
      </c>
      <c r="N7542">
        <v>0.44400000000000001</v>
      </c>
    </row>
    <row r="7543" spans="1:14">
      <c r="A7543" t="s">
        <v>181</v>
      </c>
      <c r="B7543" t="str">
        <f>_xlfn.XLOOKUP(A7543,'[1]Tissue Data'!$A:$A,'[1]Tissue Data'!$C:$C)</f>
        <v>Down</v>
      </c>
      <c r="C7543" s="2">
        <f>_xlfn.XLOOKUP(A7543,'[1]Tissue Data'!$A:$A,'[1]Tissue Data'!$D:$D)</f>
        <v>44393</v>
      </c>
      <c r="D7543" s="2" t="str">
        <f>_xlfn.XLOOKUP(A7543,'[1]Tissue Data'!$A:$A,'[1]Tissue Data'!$F:$F)</f>
        <v>Fallfish</v>
      </c>
      <c r="E7543" t="str">
        <f>_xlfn.XLOOKUP(A7543,'[1]Tissue Data'!$A:$A,'[1]Tissue Data'!$H:$H)</f>
        <v>Semotilus</v>
      </c>
      <c r="F7543" t="str">
        <f>_xlfn.XLOOKUP(A7543,'[1]Tissue Data'!$A:$A,'[1]Tissue Data'!$I:$I)</f>
        <v>corporalis</v>
      </c>
      <c r="G7543" t="str">
        <f>_xlfn.XLOOKUP(A7543,'[1]Tissue Data'!$A:$A,'[1]Tissue Data'!J:J)</f>
        <v>U</v>
      </c>
      <c r="H7543" t="str">
        <f>_xlfn.XLOOKUP(A7543,'[1]Tissue Data'!$A:$A,'[1]Tissue Data'!K:K)</f>
        <v>Whole Body</v>
      </c>
      <c r="I7543">
        <f>_xlfn.XLOOKUP(A7543,'[1]Tissue Data'!$A:$A,'[1]Tissue Data'!L:L)</f>
        <v>7.5</v>
      </c>
      <c r="J7543">
        <f>_xlfn.XLOOKUP(A7543,'[1]Tissue Data'!$A:$A,'[1]Tissue Data'!M:M)</f>
        <v>5.37</v>
      </c>
      <c r="K7543" t="s">
        <v>53</v>
      </c>
      <c r="L7543" t="str">
        <f>_xlfn.XLOOKUP(K7543,[2]analyte_order!$B:$B,[2]analyte_order!$C:$C)</f>
        <v>161094-75-3</v>
      </c>
      <c r="M7543">
        <f>_xlfn.XLOOKUP(L7543,[2]analyte_order!$C:$C,[2]analyte_order!$E:$E)</f>
        <v>44</v>
      </c>
      <c r="N7543">
        <v>0.44400000000000001</v>
      </c>
    </row>
    <row r="7544" spans="1:14">
      <c r="A7544" t="s">
        <v>181</v>
      </c>
      <c r="B7544" t="str">
        <f>_xlfn.XLOOKUP(A7544,'[1]Tissue Data'!$A:$A,'[1]Tissue Data'!$C:$C)</f>
        <v>Down</v>
      </c>
      <c r="C7544" s="2">
        <f>_xlfn.XLOOKUP(A7544,'[1]Tissue Data'!$A:$A,'[1]Tissue Data'!$D:$D)</f>
        <v>44393</v>
      </c>
      <c r="D7544" s="2" t="str">
        <f>_xlfn.XLOOKUP(A7544,'[1]Tissue Data'!$A:$A,'[1]Tissue Data'!$F:$F)</f>
        <v>Fallfish</v>
      </c>
      <c r="E7544" t="str">
        <f>_xlfn.XLOOKUP(A7544,'[1]Tissue Data'!$A:$A,'[1]Tissue Data'!$H:$H)</f>
        <v>Semotilus</v>
      </c>
      <c r="F7544" t="str">
        <f>_xlfn.XLOOKUP(A7544,'[1]Tissue Data'!$A:$A,'[1]Tissue Data'!$I:$I)</f>
        <v>corporalis</v>
      </c>
      <c r="G7544" t="str">
        <f>_xlfn.XLOOKUP(A7544,'[1]Tissue Data'!$A:$A,'[1]Tissue Data'!J:J)</f>
        <v>U</v>
      </c>
      <c r="H7544" t="str">
        <f>_xlfn.XLOOKUP(A7544,'[1]Tissue Data'!$A:$A,'[1]Tissue Data'!K:K)</f>
        <v>Whole Body</v>
      </c>
      <c r="I7544">
        <f>_xlfn.XLOOKUP(A7544,'[1]Tissue Data'!$A:$A,'[1]Tissue Data'!L:L)</f>
        <v>7.5</v>
      </c>
      <c r="J7544">
        <f>_xlfn.XLOOKUP(A7544,'[1]Tissue Data'!$A:$A,'[1]Tissue Data'!M:M)</f>
        <v>5.37</v>
      </c>
      <c r="K7544" t="s">
        <v>54</v>
      </c>
      <c r="L7544" t="str">
        <f>_xlfn.XLOOKUP(K7544,[2]analyte_order!$B:$B,[2]analyte_order!$C:$C)</f>
        <v>70887-84-2</v>
      </c>
      <c r="M7544">
        <f>_xlfn.XLOOKUP(L7544,[2]analyte_order!$C:$C,[2]analyte_order!$E:$E)</f>
        <v>45</v>
      </c>
      <c r="N7544">
        <v>0.44400000000000001</v>
      </c>
    </row>
    <row r="7545" spans="1:14">
      <c r="A7545" t="s">
        <v>181</v>
      </c>
      <c r="B7545" t="str">
        <f>_xlfn.XLOOKUP(A7545,'[1]Tissue Data'!$A:$A,'[1]Tissue Data'!$C:$C)</f>
        <v>Down</v>
      </c>
      <c r="C7545" s="2">
        <f>_xlfn.XLOOKUP(A7545,'[1]Tissue Data'!$A:$A,'[1]Tissue Data'!$D:$D)</f>
        <v>44393</v>
      </c>
      <c r="D7545" s="2" t="str">
        <f>_xlfn.XLOOKUP(A7545,'[1]Tissue Data'!$A:$A,'[1]Tissue Data'!$F:$F)</f>
        <v>Fallfish</v>
      </c>
      <c r="E7545" t="str">
        <f>_xlfn.XLOOKUP(A7545,'[1]Tissue Data'!$A:$A,'[1]Tissue Data'!$H:$H)</f>
        <v>Semotilus</v>
      </c>
      <c r="F7545" t="str">
        <f>_xlfn.XLOOKUP(A7545,'[1]Tissue Data'!$A:$A,'[1]Tissue Data'!$I:$I)</f>
        <v>corporalis</v>
      </c>
      <c r="G7545" t="str">
        <f>_xlfn.XLOOKUP(A7545,'[1]Tissue Data'!$A:$A,'[1]Tissue Data'!J:J)</f>
        <v>U</v>
      </c>
      <c r="H7545" t="str">
        <f>_xlfn.XLOOKUP(A7545,'[1]Tissue Data'!$A:$A,'[1]Tissue Data'!K:K)</f>
        <v>Whole Body</v>
      </c>
      <c r="I7545">
        <f>_xlfn.XLOOKUP(A7545,'[1]Tissue Data'!$A:$A,'[1]Tissue Data'!L:L)</f>
        <v>7.5</v>
      </c>
      <c r="J7545">
        <f>_xlfn.XLOOKUP(A7545,'[1]Tissue Data'!$A:$A,'[1]Tissue Data'!M:M)</f>
        <v>5.37</v>
      </c>
      <c r="K7545" t="s">
        <v>55</v>
      </c>
      <c r="L7545" t="str">
        <f>_xlfn.XLOOKUP(K7545,[2]analyte_order!$B:$B,[2]analyte_order!$C:$C)</f>
        <v>919005-14-4</v>
      </c>
      <c r="M7545">
        <f>_xlfn.XLOOKUP(L7545,[2]analyte_order!$C:$C,[2]analyte_order!$E:$E)</f>
        <v>35</v>
      </c>
      <c r="N7545">
        <v>0.222</v>
      </c>
    </row>
    <row r="7546" spans="1:14">
      <c r="A7546" t="s">
        <v>181</v>
      </c>
      <c r="B7546" t="str">
        <f>_xlfn.XLOOKUP(A7546,'[1]Tissue Data'!$A:$A,'[1]Tissue Data'!$C:$C)</f>
        <v>Down</v>
      </c>
      <c r="C7546" s="2">
        <f>_xlfn.XLOOKUP(A7546,'[1]Tissue Data'!$A:$A,'[1]Tissue Data'!$D:$D)</f>
        <v>44393</v>
      </c>
      <c r="D7546" s="2" t="str">
        <f>_xlfn.XLOOKUP(A7546,'[1]Tissue Data'!$A:$A,'[1]Tissue Data'!$F:$F)</f>
        <v>Fallfish</v>
      </c>
      <c r="E7546" t="str">
        <f>_xlfn.XLOOKUP(A7546,'[1]Tissue Data'!$A:$A,'[1]Tissue Data'!$H:$H)</f>
        <v>Semotilus</v>
      </c>
      <c r="F7546" t="str">
        <f>_xlfn.XLOOKUP(A7546,'[1]Tissue Data'!$A:$A,'[1]Tissue Data'!$I:$I)</f>
        <v>corporalis</v>
      </c>
      <c r="G7546" t="str">
        <f>_xlfn.XLOOKUP(A7546,'[1]Tissue Data'!$A:$A,'[1]Tissue Data'!J:J)</f>
        <v>U</v>
      </c>
      <c r="H7546" t="str">
        <f>_xlfn.XLOOKUP(A7546,'[1]Tissue Data'!$A:$A,'[1]Tissue Data'!K:K)</f>
        <v>Whole Body</v>
      </c>
      <c r="I7546">
        <f>_xlfn.XLOOKUP(A7546,'[1]Tissue Data'!$A:$A,'[1]Tissue Data'!L:L)</f>
        <v>7.5</v>
      </c>
      <c r="J7546">
        <f>_xlfn.XLOOKUP(A7546,'[1]Tissue Data'!$A:$A,'[1]Tissue Data'!M:M)</f>
        <v>5.37</v>
      </c>
      <c r="K7546" t="s">
        <v>56</v>
      </c>
      <c r="L7546" t="str">
        <f>_xlfn.XLOOKUP(K7546,[2]analyte_order!$B:$B,[2]analyte_order!$C:$C)</f>
        <v>756426-58-1</v>
      </c>
      <c r="M7546">
        <f>_xlfn.XLOOKUP(L7546,[2]analyte_order!$C:$C,[2]analyte_order!$E:$E)</f>
        <v>36</v>
      </c>
      <c r="N7546">
        <v>0.44400000000000001</v>
      </c>
    </row>
    <row r="7547" spans="1:14">
      <c r="A7547" t="s">
        <v>181</v>
      </c>
      <c r="B7547" t="str">
        <f>_xlfn.XLOOKUP(A7547,'[1]Tissue Data'!$A:$A,'[1]Tissue Data'!$C:$C)</f>
        <v>Down</v>
      </c>
      <c r="C7547" s="2">
        <f>_xlfn.XLOOKUP(A7547,'[1]Tissue Data'!$A:$A,'[1]Tissue Data'!$D:$D)</f>
        <v>44393</v>
      </c>
      <c r="D7547" s="2" t="str">
        <f>_xlfn.XLOOKUP(A7547,'[1]Tissue Data'!$A:$A,'[1]Tissue Data'!$F:$F)</f>
        <v>Fallfish</v>
      </c>
      <c r="E7547" t="str">
        <f>_xlfn.XLOOKUP(A7547,'[1]Tissue Data'!$A:$A,'[1]Tissue Data'!$H:$H)</f>
        <v>Semotilus</v>
      </c>
      <c r="F7547" t="str">
        <f>_xlfn.XLOOKUP(A7547,'[1]Tissue Data'!$A:$A,'[1]Tissue Data'!$I:$I)</f>
        <v>corporalis</v>
      </c>
      <c r="G7547" t="str">
        <f>_xlfn.XLOOKUP(A7547,'[1]Tissue Data'!$A:$A,'[1]Tissue Data'!J:J)</f>
        <v>U</v>
      </c>
      <c r="H7547" t="str">
        <f>_xlfn.XLOOKUP(A7547,'[1]Tissue Data'!$A:$A,'[1]Tissue Data'!K:K)</f>
        <v>Whole Body</v>
      </c>
      <c r="I7547">
        <f>_xlfn.XLOOKUP(A7547,'[1]Tissue Data'!$A:$A,'[1]Tissue Data'!L:L)</f>
        <v>7.5</v>
      </c>
      <c r="J7547">
        <f>_xlfn.XLOOKUP(A7547,'[1]Tissue Data'!$A:$A,'[1]Tissue Data'!M:M)</f>
        <v>5.37</v>
      </c>
      <c r="K7547" t="s">
        <v>57</v>
      </c>
      <c r="L7547" t="str">
        <f>_xlfn.XLOOKUP(K7547,[2]analyte_order!$B:$B,[2]analyte_order!$C:$C)</f>
        <v>763051-92-9</v>
      </c>
      <c r="M7547">
        <f>_xlfn.XLOOKUP(L7547,[2]analyte_order!$C:$C,[2]analyte_order!$E:$E)</f>
        <v>37</v>
      </c>
      <c r="N7547">
        <v>0.44400000000000001</v>
      </c>
    </row>
    <row r="7548" spans="1:14">
      <c r="A7548" t="s">
        <v>181</v>
      </c>
      <c r="B7548" t="str">
        <f>_xlfn.XLOOKUP(A7548,'[1]Tissue Data'!$A:$A,'[1]Tissue Data'!$C:$C)</f>
        <v>Down</v>
      </c>
      <c r="C7548" s="2">
        <f>_xlfn.XLOOKUP(A7548,'[1]Tissue Data'!$A:$A,'[1]Tissue Data'!$D:$D)</f>
        <v>44393</v>
      </c>
      <c r="D7548" s="2" t="str">
        <f>_xlfn.XLOOKUP(A7548,'[1]Tissue Data'!$A:$A,'[1]Tissue Data'!$F:$F)</f>
        <v>Fallfish</v>
      </c>
      <c r="E7548" t="str">
        <f>_xlfn.XLOOKUP(A7548,'[1]Tissue Data'!$A:$A,'[1]Tissue Data'!$H:$H)</f>
        <v>Semotilus</v>
      </c>
      <c r="F7548" t="str">
        <f>_xlfn.XLOOKUP(A7548,'[1]Tissue Data'!$A:$A,'[1]Tissue Data'!$I:$I)</f>
        <v>corporalis</v>
      </c>
      <c r="G7548" t="str">
        <f>_xlfn.XLOOKUP(A7548,'[1]Tissue Data'!$A:$A,'[1]Tissue Data'!J:J)</f>
        <v>U</v>
      </c>
      <c r="H7548" t="str">
        <f>_xlfn.XLOOKUP(A7548,'[1]Tissue Data'!$A:$A,'[1]Tissue Data'!K:K)</f>
        <v>Whole Body</v>
      </c>
      <c r="I7548">
        <f>_xlfn.XLOOKUP(A7548,'[1]Tissue Data'!$A:$A,'[1]Tissue Data'!L:L)</f>
        <v>7.5</v>
      </c>
      <c r="J7548">
        <f>_xlfn.XLOOKUP(A7548,'[1]Tissue Data'!$A:$A,'[1]Tissue Data'!M:M)</f>
        <v>5.37</v>
      </c>
      <c r="K7548" t="s">
        <v>58</v>
      </c>
      <c r="L7548" t="str">
        <f>_xlfn.XLOOKUP(K7548,[2]analyte_order!$B:$B,[2]analyte_order!$C:$C)</f>
        <v>13252-13-6</v>
      </c>
      <c r="M7548">
        <f>_xlfn.XLOOKUP(L7548,[2]analyte_order!$C:$C,[2]analyte_order!$E:$E)</f>
        <v>34</v>
      </c>
      <c r="N7548">
        <v>0.31850000000000001</v>
      </c>
    </row>
    <row r="7549" spans="1:14">
      <c r="A7549" t="s">
        <v>181</v>
      </c>
      <c r="B7549" t="str">
        <f>_xlfn.XLOOKUP(A7549,'[1]Tissue Data'!$A:$A,'[1]Tissue Data'!$C:$C)</f>
        <v>Down</v>
      </c>
      <c r="C7549" s="2">
        <f>_xlfn.XLOOKUP(A7549,'[1]Tissue Data'!$A:$A,'[1]Tissue Data'!$D:$D)</f>
        <v>44393</v>
      </c>
      <c r="D7549" s="2" t="str">
        <f>_xlfn.XLOOKUP(A7549,'[1]Tissue Data'!$A:$A,'[1]Tissue Data'!$F:$F)</f>
        <v>Fallfish</v>
      </c>
      <c r="E7549" t="str">
        <f>_xlfn.XLOOKUP(A7549,'[1]Tissue Data'!$A:$A,'[1]Tissue Data'!$H:$H)</f>
        <v>Semotilus</v>
      </c>
      <c r="F7549" t="str">
        <f>_xlfn.XLOOKUP(A7549,'[1]Tissue Data'!$A:$A,'[1]Tissue Data'!$I:$I)</f>
        <v>corporalis</v>
      </c>
      <c r="G7549" t="str">
        <f>_xlfn.XLOOKUP(A7549,'[1]Tissue Data'!$A:$A,'[1]Tissue Data'!J:J)</f>
        <v>U</v>
      </c>
      <c r="H7549" t="str">
        <f>_xlfn.XLOOKUP(A7549,'[1]Tissue Data'!$A:$A,'[1]Tissue Data'!K:K)</f>
        <v>Whole Body</v>
      </c>
      <c r="I7549">
        <f>_xlfn.XLOOKUP(A7549,'[1]Tissue Data'!$A:$A,'[1]Tissue Data'!L:L)</f>
        <v>7.5</v>
      </c>
      <c r="J7549">
        <f>_xlfn.XLOOKUP(A7549,'[1]Tissue Data'!$A:$A,'[1]Tissue Data'!M:M)</f>
        <v>5.37</v>
      </c>
      <c r="K7549" t="s">
        <v>59</v>
      </c>
      <c r="L7549" t="str">
        <f>_xlfn.XLOOKUP(K7549,[2]analyte_order!$B:$B,[2]analyte_order!$C:$C)</f>
        <v>57677-95-9</v>
      </c>
      <c r="M7549">
        <f>_xlfn.XLOOKUP(L7549,[2]analyte_order!$C:$C,[2]analyte_order!$E:$E)</f>
        <v>46</v>
      </c>
      <c r="N7549">
        <v>0.44400000000000001</v>
      </c>
    </row>
    <row r="7550" spans="1:14">
      <c r="A7550" t="s">
        <v>181</v>
      </c>
      <c r="B7550" t="str">
        <f>_xlfn.XLOOKUP(A7550,'[1]Tissue Data'!$A:$A,'[1]Tissue Data'!$C:$C)</f>
        <v>Down</v>
      </c>
      <c r="C7550" s="2">
        <f>_xlfn.XLOOKUP(A7550,'[1]Tissue Data'!$A:$A,'[1]Tissue Data'!$D:$D)</f>
        <v>44393</v>
      </c>
      <c r="D7550" s="2" t="str">
        <f>_xlfn.XLOOKUP(A7550,'[1]Tissue Data'!$A:$A,'[1]Tissue Data'!$F:$F)</f>
        <v>Fallfish</v>
      </c>
      <c r="E7550" t="str">
        <f>_xlfn.XLOOKUP(A7550,'[1]Tissue Data'!$A:$A,'[1]Tissue Data'!$H:$H)</f>
        <v>Semotilus</v>
      </c>
      <c r="F7550" t="str">
        <f>_xlfn.XLOOKUP(A7550,'[1]Tissue Data'!$A:$A,'[1]Tissue Data'!$I:$I)</f>
        <v>corporalis</v>
      </c>
      <c r="G7550" t="str">
        <f>_xlfn.XLOOKUP(A7550,'[1]Tissue Data'!$A:$A,'[1]Tissue Data'!J:J)</f>
        <v>U</v>
      </c>
      <c r="H7550" t="str">
        <f>_xlfn.XLOOKUP(A7550,'[1]Tissue Data'!$A:$A,'[1]Tissue Data'!K:K)</f>
        <v>Whole Body</v>
      </c>
      <c r="I7550">
        <f>_xlfn.XLOOKUP(A7550,'[1]Tissue Data'!$A:$A,'[1]Tissue Data'!L:L)</f>
        <v>7.5</v>
      </c>
      <c r="J7550">
        <f>_xlfn.XLOOKUP(A7550,'[1]Tissue Data'!$A:$A,'[1]Tissue Data'!M:M)</f>
        <v>5.37</v>
      </c>
      <c r="K7550" t="s">
        <v>60</v>
      </c>
      <c r="L7550" t="str">
        <f>_xlfn.XLOOKUP(K7550,[2]analyte_order!$B:$B,[2]analyte_order!$C:$C)</f>
        <v>678-41-1</v>
      </c>
      <c r="M7550">
        <f>_xlfn.XLOOKUP(L7550,[2]analyte_order!$C:$C,[2]analyte_order!$E:$E)</f>
        <v>56</v>
      </c>
      <c r="N7550">
        <v>0.44400000000000001</v>
      </c>
    </row>
    <row r="7551" spans="1:14">
      <c r="A7551" t="s">
        <v>181</v>
      </c>
      <c r="B7551" t="str">
        <f>_xlfn.XLOOKUP(A7551,'[1]Tissue Data'!$A:$A,'[1]Tissue Data'!$C:$C)</f>
        <v>Down</v>
      </c>
      <c r="C7551" s="2">
        <f>_xlfn.XLOOKUP(A7551,'[1]Tissue Data'!$A:$A,'[1]Tissue Data'!$D:$D)</f>
        <v>44393</v>
      </c>
      <c r="D7551" s="2" t="str">
        <f>_xlfn.XLOOKUP(A7551,'[1]Tissue Data'!$A:$A,'[1]Tissue Data'!$F:$F)</f>
        <v>Fallfish</v>
      </c>
      <c r="E7551" t="str">
        <f>_xlfn.XLOOKUP(A7551,'[1]Tissue Data'!$A:$A,'[1]Tissue Data'!$H:$H)</f>
        <v>Semotilus</v>
      </c>
      <c r="F7551" t="str">
        <f>_xlfn.XLOOKUP(A7551,'[1]Tissue Data'!$A:$A,'[1]Tissue Data'!$I:$I)</f>
        <v>corporalis</v>
      </c>
      <c r="G7551" t="str">
        <f>_xlfn.XLOOKUP(A7551,'[1]Tissue Data'!$A:$A,'[1]Tissue Data'!J:J)</f>
        <v>U</v>
      </c>
      <c r="H7551" t="str">
        <f>_xlfn.XLOOKUP(A7551,'[1]Tissue Data'!$A:$A,'[1]Tissue Data'!K:K)</f>
        <v>Whole Body</v>
      </c>
      <c r="I7551">
        <f>_xlfn.XLOOKUP(A7551,'[1]Tissue Data'!$A:$A,'[1]Tissue Data'!L:L)</f>
        <v>7.5</v>
      </c>
      <c r="J7551">
        <f>_xlfn.XLOOKUP(A7551,'[1]Tissue Data'!$A:$A,'[1]Tissue Data'!M:M)</f>
        <v>5.37</v>
      </c>
      <c r="K7551" t="s">
        <v>61</v>
      </c>
      <c r="L7551" t="str">
        <f>_xlfn.XLOOKUP(K7551,[2]analyte_order!$B:$B,[2]analyte_order!$C:$C)</f>
        <v>2965-52-8</v>
      </c>
      <c r="M7551">
        <f>_xlfn.XLOOKUP(L7551,[2]analyte_order!$C:$C,[2]analyte_order!$E:$E)</f>
        <v>57</v>
      </c>
      <c r="N7551">
        <v>0.44400000000000001</v>
      </c>
    </row>
    <row r="7552" spans="1:14">
      <c r="A7552" t="s">
        <v>204</v>
      </c>
      <c r="B7552" t="str">
        <f>_xlfn.XLOOKUP(A7552,'[1]Tissue Data'!$A:$A,'[1]Tissue Data'!$C:$C)</f>
        <v>Down</v>
      </c>
      <c r="C7552" s="2">
        <f>_xlfn.XLOOKUP(A7552,'[1]Tissue Data'!$A:$A,'[1]Tissue Data'!$D:$D)</f>
        <v>44393</v>
      </c>
      <c r="D7552" s="2" t="str">
        <f>_xlfn.XLOOKUP(A7552,'[1]Tissue Data'!$A:$A,'[1]Tissue Data'!$F:$F)</f>
        <v>Swallowtail Shiner</v>
      </c>
      <c r="E7552" t="str">
        <f>_xlfn.XLOOKUP(A7552,'[1]Tissue Data'!$A:$A,'[1]Tissue Data'!$H:$H)</f>
        <v>Notropis</v>
      </c>
      <c r="F7552" t="str">
        <f>_xlfn.XLOOKUP(A7552,'[1]Tissue Data'!$A:$A,'[1]Tissue Data'!$I:$I)</f>
        <v>procne</v>
      </c>
      <c r="G7552" t="str">
        <f>_xlfn.XLOOKUP(A7552,'[1]Tissue Data'!$A:$A,'[1]Tissue Data'!J:J)</f>
        <v>U</v>
      </c>
      <c r="H7552" t="str">
        <f>_xlfn.XLOOKUP(A7552,'[1]Tissue Data'!$A:$A,'[1]Tissue Data'!K:K)</f>
        <v>Whole Body</v>
      </c>
      <c r="I7552">
        <f>_xlfn.XLOOKUP(A7552,'[1]Tissue Data'!$A:$A,'[1]Tissue Data'!L:L)</f>
        <v>5</v>
      </c>
      <c r="J7552">
        <f>_xlfn.XLOOKUP(A7552,'[1]Tissue Data'!$A:$A,'[1]Tissue Data'!M:M)</f>
        <v>1.65</v>
      </c>
      <c r="K7552" t="s">
        <v>12</v>
      </c>
      <c r="L7552" t="str">
        <f>_xlfn.XLOOKUP(K7552,[2]analyte_order!$B:$B,[2]analyte_order!$C:$C)</f>
        <v>375-22-4</v>
      </c>
      <c r="M7552">
        <f>_xlfn.XLOOKUP(L7552,[2]analyte_order!$C:$C,[2]analyte_order!$E:$E)</f>
        <v>1</v>
      </c>
      <c r="N7552">
        <v>0.248</v>
      </c>
    </row>
    <row r="7553" spans="1:14">
      <c r="A7553" t="s">
        <v>204</v>
      </c>
      <c r="B7553" t="str">
        <f>_xlfn.XLOOKUP(A7553,'[1]Tissue Data'!$A:$A,'[1]Tissue Data'!$C:$C)</f>
        <v>Down</v>
      </c>
      <c r="C7553" s="2">
        <f>_xlfn.XLOOKUP(A7553,'[1]Tissue Data'!$A:$A,'[1]Tissue Data'!$D:$D)</f>
        <v>44393</v>
      </c>
      <c r="D7553" s="2" t="str">
        <f>_xlfn.XLOOKUP(A7553,'[1]Tissue Data'!$A:$A,'[1]Tissue Data'!$F:$F)</f>
        <v>Swallowtail Shiner</v>
      </c>
      <c r="E7553" t="str">
        <f>_xlfn.XLOOKUP(A7553,'[1]Tissue Data'!$A:$A,'[1]Tissue Data'!$H:$H)</f>
        <v>Notropis</v>
      </c>
      <c r="F7553" t="str">
        <f>_xlfn.XLOOKUP(A7553,'[1]Tissue Data'!$A:$A,'[1]Tissue Data'!$I:$I)</f>
        <v>procne</v>
      </c>
      <c r="G7553" t="str">
        <f>_xlfn.XLOOKUP(A7553,'[1]Tissue Data'!$A:$A,'[1]Tissue Data'!J:J)</f>
        <v>U</v>
      </c>
      <c r="H7553" t="str">
        <f>_xlfn.XLOOKUP(A7553,'[1]Tissue Data'!$A:$A,'[1]Tissue Data'!K:K)</f>
        <v>Whole Body</v>
      </c>
      <c r="I7553">
        <f>_xlfn.XLOOKUP(A7553,'[1]Tissue Data'!$A:$A,'[1]Tissue Data'!L:L)</f>
        <v>5</v>
      </c>
      <c r="J7553">
        <f>_xlfn.XLOOKUP(A7553,'[1]Tissue Data'!$A:$A,'[1]Tissue Data'!M:M)</f>
        <v>1.65</v>
      </c>
      <c r="K7553" t="s">
        <v>13</v>
      </c>
      <c r="L7553" t="str">
        <f>_xlfn.XLOOKUP(K7553,[2]analyte_order!$B:$B,[2]analyte_order!$C:$C)</f>
        <v>2706-90-3</v>
      </c>
      <c r="M7553">
        <f>_xlfn.XLOOKUP(L7553,[2]analyte_order!$C:$C,[2]analyte_order!$E:$E)</f>
        <v>2</v>
      </c>
      <c r="N7553">
        <v>0.248</v>
      </c>
    </row>
    <row r="7554" spans="1:14">
      <c r="A7554" t="s">
        <v>204</v>
      </c>
      <c r="B7554" t="str">
        <f>_xlfn.XLOOKUP(A7554,'[1]Tissue Data'!$A:$A,'[1]Tissue Data'!$C:$C)</f>
        <v>Down</v>
      </c>
      <c r="C7554" s="2">
        <f>_xlfn.XLOOKUP(A7554,'[1]Tissue Data'!$A:$A,'[1]Tissue Data'!$D:$D)</f>
        <v>44393</v>
      </c>
      <c r="D7554" s="2" t="str">
        <f>_xlfn.XLOOKUP(A7554,'[1]Tissue Data'!$A:$A,'[1]Tissue Data'!$F:$F)</f>
        <v>Swallowtail Shiner</v>
      </c>
      <c r="E7554" t="str">
        <f>_xlfn.XLOOKUP(A7554,'[1]Tissue Data'!$A:$A,'[1]Tissue Data'!$H:$H)</f>
        <v>Notropis</v>
      </c>
      <c r="F7554" t="str">
        <f>_xlfn.XLOOKUP(A7554,'[1]Tissue Data'!$A:$A,'[1]Tissue Data'!$I:$I)</f>
        <v>procne</v>
      </c>
      <c r="G7554" t="str">
        <f>_xlfn.XLOOKUP(A7554,'[1]Tissue Data'!$A:$A,'[1]Tissue Data'!J:J)</f>
        <v>U</v>
      </c>
      <c r="H7554" t="str">
        <f>_xlfn.XLOOKUP(A7554,'[1]Tissue Data'!$A:$A,'[1]Tissue Data'!K:K)</f>
        <v>Whole Body</v>
      </c>
      <c r="I7554">
        <f>_xlfn.XLOOKUP(A7554,'[1]Tissue Data'!$A:$A,'[1]Tissue Data'!L:L)</f>
        <v>5</v>
      </c>
      <c r="J7554">
        <f>_xlfn.XLOOKUP(A7554,'[1]Tissue Data'!$A:$A,'[1]Tissue Data'!M:M)</f>
        <v>1.65</v>
      </c>
      <c r="K7554" t="s">
        <v>14</v>
      </c>
      <c r="L7554" t="str">
        <f>_xlfn.XLOOKUP(K7554,[2]analyte_order!$B:$B,[2]analyte_order!$C:$C)</f>
        <v>307-24-4</v>
      </c>
      <c r="M7554">
        <f>_xlfn.XLOOKUP(L7554,[2]analyte_order!$C:$C,[2]analyte_order!$E:$E)</f>
        <v>3</v>
      </c>
      <c r="N7554">
        <v>0.13400000000000001</v>
      </c>
    </row>
    <row r="7555" spans="1:14">
      <c r="A7555" t="s">
        <v>204</v>
      </c>
      <c r="B7555" t="str">
        <f>_xlfn.XLOOKUP(A7555,'[1]Tissue Data'!$A:$A,'[1]Tissue Data'!$C:$C)</f>
        <v>Down</v>
      </c>
      <c r="C7555" s="2">
        <f>_xlfn.XLOOKUP(A7555,'[1]Tissue Data'!$A:$A,'[1]Tissue Data'!$D:$D)</f>
        <v>44393</v>
      </c>
      <c r="D7555" s="2" t="str">
        <f>_xlfn.XLOOKUP(A7555,'[1]Tissue Data'!$A:$A,'[1]Tissue Data'!$F:$F)</f>
        <v>Swallowtail Shiner</v>
      </c>
      <c r="E7555" t="str">
        <f>_xlfn.XLOOKUP(A7555,'[1]Tissue Data'!$A:$A,'[1]Tissue Data'!$H:$H)</f>
        <v>Notropis</v>
      </c>
      <c r="F7555" t="str">
        <f>_xlfn.XLOOKUP(A7555,'[1]Tissue Data'!$A:$A,'[1]Tissue Data'!$I:$I)</f>
        <v>procne</v>
      </c>
      <c r="G7555" t="str">
        <f>_xlfn.XLOOKUP(A7555,'[1]Tissue Data'!$A:$A,'[1]Tissue Data'!J:J)</f>
        <v>U</v>
      </c>
      <c r="H7555" t="str">
        <f>_xlfn.XLOOKUP(A7555,'[1]Tissue Data'!$A:$A,'[1]Tissue Data'!K:K)</f>
        <v>Whole Body</v>
      </c>
      <c r="I7555">
        <f>_xlfn.XLOOKUP(A7555,'[1]Tissue Data'!$A:$A,'[1]Tissue Data'!L:L)</f>
        <v>5</v>
      </c>
      <c r="J7555">
        <f>_xlfn.XLOOKUP(A7555,'[1]Tissue Data'!$A:$A,'[1]Tissue Data'!M:M)</f>
        <v>1.65</v>
      </c>
      <c r="K7555" t="s">
        <v>15</v>
      </c>
      <c r="L7555" t="str">
        <f>_xlfn.XLOOKUP(K7555,[2]analyte_order!$B:$B,[2]analyte_order!$C:$C)</f>
        <v>375-85-9</v>
      </c>
      <c r="M7555">
        <f>_xlfn.XLOOKUP(L7555,[2]analyte_order!$C:$C,[2]analyte_order!$E:$E)</f>
        <v>4</v>
      </c>
      <c r="N7555">
        <v>0.82799999999999996</v>
      </c>
    </row>
    <row r="7556" spans="1:14">
      <c r="A7556" t="s">
        <v>204</v>
      </c>
      <c r="B7556" t="str">
        <f>_xlfn.XLOOKUP(A7556,'[1]Tissue Data'!$A:$A,'[1]Tissue Data'!$C:$C)</f>
        <v>Down</v>
      </c>
      <c r="C7556" s="2">
        <f>_xlfn.XLOOKUP(A7556,'[1]Tissue Data'!$A:$A,'[1]Tissue Data'!$D:$D)</f>
        <v>44393</v>
      </c>
      <c r="D7556" s="2" t="str">
        <f>_xlfn.XLOOKUP(A7556,'[1]Tissue Data'!$A:$A,'[1]Tissue Data'!$F:$F)</f>
        <v>Swallowtail Shiner</v>
      </c>
      <c r="E7556" t="str">
        <f>_xlfn.XLOOKUP(A7556,'[1]Tissue Data'!$A:$A,'[1]Tissue Data'!$H:$H)</f>
        <v>Notropis</v>
      </c>
      <c r="F7556" t="str">
        <f>_xlfn.XLOOKUP(A7556,'[1]Tissue Data'!$A:$A,'[1]Tissue Data'!$I:$I)</f>
        <v>procne</v>
      </c>
      <c r="G7556" t="str">
        <f>_xlfn.XLOOKUP(A7556,'[1]Tissue Data'!$A:$A,'[1]Tissue Data'!J:J)</f>
        <v>U</v>
      </c>
      <c r="H7556" t="str">
        <f>_xlfn.XLOOKUP(A7556,'[1]Tissue Data'!$A:$A,'[1]Tissue Data'!K:K)</f>
        <v>Whole Body</v>
      </c>
      <c r="I7556">
        <f>_xlfn.XLOOKUP(A7556,'[1]Tissue Data'!$A:$A,'[1]Tissue Data'!L:L)</f>
        <v>5</v>
      </c>
      <c r="J7556">
        <f>_xlfn.XLOOKUP(A7556,'[1]Tissue Data'!$A:$A,'[1]Tissue Data'!M:M)</f>
        <v>1.65</v>
      </c>
      <c r="K7556" t="s">
        <v>16</v>
      </c>
      <c r="L7556" t="str">
        <f>_xlfn.XLOOKUP(K7556,[2]analyte_order!$B:$B,[2]analyte_order!$C:$C)</f>
        <v>335-67-1</v>
      </c>
      <c r="M7556">
        <f>_xlfn.XLOOKUP(L7556,[2]analyte_order!$C:$C,[2]analyte_order!$E:$E)</f>
        <v>5</v>
      </c>
      <c r="N7556">
        <v>2.02</v>
      </c>
    </row>
    <row r="7557" spans="1:14">
      <c r="A7557" t="s">
        <v>204</v>
      </c>
      <c r="B7557" t="str">
        <f>_xlfn.XLOOKUP(A7557,'[1]Tissue Data'!$A:$A,'[1]Tissue Data'!$C:$C)</f>
        <v>Down</v>
      </c>
      <c r="C7557" s="2">
        <f>_xlfn.XLOOKUP(A7557,'[1]Tissue Data'!$A:$A,'[1]Tissue Data'!$D:$D)</f>
        <v>44393</v>
      </c>
      <c r="D7557" s="2" t="str">
        <f>_xlfn.XLOOKUP(A7557,'[1]Tissue Data'!$A:$A,'[1]Tissue Data'!$F:$F)</f>
        <v>Swallowtail Shiner</v>
      </c>
      <c r="E7557" t="str">
        <f>_xlfn.XLOOKUP(A7557,'[1]Tissue Data'!$A:$A,'[1]Tissue Data'!$H:$H)</f>
        <v>Notropis</v>
      </c>
      <c r="F7557" t="str">
        <f>_xlfn.XLOOKUP(A7557,'[1]Tissue Data'!$A:$A,'[1]Tissue Data'!$I:$I)</f>
        <v>procne</v>
      </c>
      <c r="G7557" t="str">
        <f>_xlfn.XLOOKUP(A7557,'[1]Tissue Data'!$A:$A,'[1]Tissue Data'!J:J)</f>
        <v>U</v>
      </c>
      <c r="H7557" t="str">
        <f>_xlfn.XLOOKUP(A7557,'[1]Tissue Data'!$A:$A,'[1]Tissue Data'!K:K)</f>
        <v>Whole Body</v>
      </c>
      <c r="I7557">
        <f>_xlfn.XLOOKUP(A7557,'[1]Tissue Data'!$A:$A,'[1]Tissue Data'!L:L)</f>
        <v>5</v>
      </c>
      <c r="J7557">
        <f>_xlfn.XLOOKUP(A7557,'[1]Tissue Data'!$A:$A,'[1]Tissue Data'!M:M)</f>
        <v>1.65</v>
      </c>
      <c r="K7557" t="s">
        <v>17</v>
      </c>
      <c r="L7557" t="str">
        <f>_xlfn.XLOOKUP(K7557,[2]analyte_order!$B:$B,[2]analyte_order!$C:$C)</f>
        <v>375-95-1</v>
      </c>
      <c r="M7557">
        <f>_xlfn.XLOOKUP(L7557,[2]analyte_order!$C:$C,[2]analyte_order!$E:$E)</f>
        <v>6</v>
      </c>
      <c r="N7557">
        <v>5.75</v>
      </c>
    </row>
    <row r="7558" spans="1:14">
      <c r="A7558" t="s">
        <v>204</v>
      </c>
      <c r="B7558" t="str">
        <f>_xlfn.XLOOKUP(A7558,'[1]Tissue Data'!$A:$A,'[1]Tissue Data'!$C:$C)</f>
        <v>Down</v>
      </c>
      <c r="C7558" s="2">
        <f>_xlfn.XLOOKUP(A7558,'[1]Tissue Data'!$A:$A,'[1]Tissue Data'!$D:$D)</f>
        <v>44393</v>
      </c>
      <c r="D7558" s="2" t="str">
        <f>_xlfn.XLOOKUP(A7558,'[1]Tissue Data'!$A:$A,'[1]Tissue Data'!$F:$F)</f>
        <v>Swallowtail Shiner</v>
      </c>
      <c r="E7558" t="str">
        <f>_xlfn.XLOOKUP(A7558,'[1]Tissue Data'!$A:$A,'[1]Tissue Data'!$H:$H)</f>
        <v>Notropis</v>
      </c>
      <c r="F7558" t="str">
        <f>_xlfn.XLOOKUP(A7558,'[1]Tissue Data'!$A:$A,'[1]Tissue Data'!$I:$I)</f>
        <v>procne</v>
      </c>
      <c r="G7558" t="str">
        <f>_xlfn.XLOOKUP(A7558,'[1]Tissue Data'!$A:$A,'[1]Tissue Data'!J:J)</f>
        <v>U</v>
      </c>
      <c r="H7558" t="str">
        <f>_xlfn.XLOOKUP(A7558,'[1]Tissue Data'!$A:$A,'[1]Tissue Data'!K:K)</f>
        <v>Whole Body</v>
      </c>
      <c r="I7558">
        <f>_xlfn.XLOOKUP(A7558,'[1]Tissue Data'!$A:$A,'[1]Tissue Data'!L:L)</f>
        <v>5</v>
      </c>
      <c r="J7558">
        <f>_xlfn.XLOOKUP(A7558,'[1]Tissue Data'!$A:$A,'[1]Tissue Data'!M:M)</f>
        <v>1.65</v>
      </c>
      <c r="K7558" t="s">
        <v>18</v>
      </c>
      <c r="L7558" t="str">
        <f>_xlfn.XLOOKUP(K7558,[2]analyte_order!$B:$B,[2]analyte_order!$C:$C)</f>
        <v>335-76-2</v>
      </c>
      <c r="M7558">
        <f>_xlfn.XLOOKUP(L7558,[2]analyte_order!$C:$C,[2]analyte_order!$E:$E)</f>
        <v>7</v>
      </c>
      <c r="N7558">
        <v>3.47</v>
      </c>
    </row>
    <row r="7559" spans="1:14">
      <c r="A7559" t="s">
        <v>204</v>
      </c>
      <c r="B7559" t="str">
        <f>_xlfn.XLOOKUP(A7559,'[1]Tissue Data'!$A:$A,'[1]Tissue Data'!$C:$C)</f>
        <v>Down</v>
      </c>
      <c r="C7559" s="2">
        <f>_xlfn.XLOOKUP(A7559,'[1]Tissue Data'!$A:$A,'[1]Tissue Data'!$D:$D)</f>
        <v>44393</v>
      </c>
      <c r="D7559" s="2" t="str">
        <f>_xlfn.XLOOKUP(A7559,'[1]Tissue Data'!$A:$A,'[1]Tissue Data'!$F:$F)</f>
        <v>Swallowtail Shiner</v>
      </c>
      <c r="E7559" t="str">
        <f>_xlfn.XLOOKUP(A7559,'[1]Tissue Data'!$A:$A,'[1]Tissue Data'!$H:$H)</f>
        <v>Notropis</v>
      </c>
      <c r="F7559" t="str">
        <f>_xlfn.XLOOKUP(A7559,'[1]Tissue Data'!$A:$A,'[1]Tissue Data'!$I:$I)</f>
        <v>procne</v>
      </c>
      <c r="G7559" t="str">
        <f>_xlfn.XLOOKUP(A7559,'[1]Tissue Data'!$A:$A,'[1]Tissue Data'!J:J)</f>
        <v>U</v>
      </c>
      <c r="H7559" t="str">
        <f>_xlfn.XLOOKUP(A7559,'[1]Tissue Data'!$A:$A,'[1]Tissue Data'!K:K)</f>
        <v>Whole Body</v>
      </c>
      <c r="I7559">
        <f>_xlfn.XLOOKUP(A7559,'[1]Tissue Data'!$A:$A,'[1]Tissue Data'!L:L)</f>
        <v>5</v>
      </c>
      <c r="J7559">
        <f>_xlfn.XLOOKUP(A7559,'[1]Tissue Data'!$A:$A,'[1]Tissue Data'!M:M)</f>
        <v>1.65</v>
      </c>
      <c r="K7559" t="s">
        <v>19</v>
      </c>
      <c r="L7559" t="str">
        <f>_xlfn.XLOOKUP(K7559,[2]analyte_order!$B:$B,[2]analyte_order!$C:$C)</f>
        <v>2058-94-8</v>
      </c>
      <c r="M7559">
        <f>_xlfn.XLOOKUP(L7559,[2]analyte_order!$C:$C,[2]analyte_order!$E:$E)</f>
        <v>8</v>
      </c>
      <c r="N7559">
        <v>3.83</v>
      </c>
    </row>
    <row r="7560" spans="1:14">
      <c r="A7560" t="s">
        <v>204</v>
      </c>
      <c r="B7560" t="str">
        <f>_xlfn.XLOOKUP(A7560,'[1]Tissue Data'!$A:$A,'[1]Tissue Data'!$C:$C)</f>
        <v>Down</v>
      </c>
      <c r="C7560" s="2">
        <f>_xlfn.XLOOKUP(A7560,'[1]Tissue Data'!$A:$A,'[1]Tissue Data'!$D:$D)</f>
        <v>44393</v>
      </c>
      <c r="D7560" s="2" t="str">
        <f>_xlfn.XLOOKUP(A7560,'[1]Tissue Data'!$A:$A,'[1]Tissue Data'!$F:$F)</f>
        <v>Swallowtail Shiner</v>
      </c>
      <c r="E7560" t="str">
        <f>_xlfn.XLOOKUP(A7560,'[1]Tissue Data'!$A:$A,'[1]Tissue Data'!$H:$H)</f>
        <v>Notropis</v>
      </c>
      <c r="F7560" t="str">
        <f>_xlfn.XLOOKUP(A7560,'[1]Tissue Data'!$A:$A,'[1]Tissue Data'!$I:$I)</f>
        <v>procne</v>
      </c>
      <c r="G7560" t="str">
        <f>_xlfn.XLOOKUP(A7560,'[1]Tissue Data'!$A:$A,'[1]Tissue Data'!J:J)</f>
        <v>U</v>
      </c>
      <c r="H7560" t="str">
        <f>_xlfn.XLOOKUP(A7560,'[1]Tissue Data'!$A:$A,'[1]Tissue Data'!K:K)</f>
        <v>Whole Body</v>
      </c>
      <c r="I7560">
        <f>_xlfn.XLOOKUP(A7560,'[1]Tissue Data'!$A:$A,'[1]Tissue Data'!L:L)</f>
        <v>5</v>
      </c>
      <c r="J7560">
        <f>_xlfn.XLOOKUP(A7560,'[1]Tissue Data'!$A:$A,'[1]Tissue Data'!M:M)</f>
        <v>1.65</v>
      </c>
      <c r="K7560" t="s">
        <v>20</v>
      </c>
      <c r="L7560" t="str">
        <f>_xlfn.XLOOKUP(K7560,[2]analyte_order!$B:$B,[2]analyte_order!$C:$C)</f>
        <v>307-55-1</v>
      </c>
      <c r="M7560">
        <f>_xlfn.XLOOKUP(L7560,[2]analyte_order!$C:$C,[2]analyte_order!$E:$E)</f>
        <v>9</v>
      </c>
      <c r="N7560">
        <v>5.12</v>
      </c>
    </row>
    <row r="7561" spans="1:14">
      <c r="A7561" t="s">
        <v>204</v>
      </c>
      <c r="B7561" t="str">
        <f>_xlfn.XLOOKUP(A7561,'[1]Tissue Data'!$A:$A,'[1]Tissue Data'!$C:$C)</f>
        <v>Down</v>
      </c>
      <c r="C7561" s="2">
        <f>_xlfn.XLOOKUP(A7561,'[1]Tissue Data'!$A:$A,'[1]Tissue Data'!$D:$D)</f>
        <v>44393</v>
      </c>
      <c r="D7561" s="2" t="str">
        <f>_xlfn.XLOOKUP(A7561,'[1]Tissue Data'!$A:$A,'[1]Tissue Data'!$F:$F)</f>
        <v>Swallowtail Shiner</v>
      </c>
      <c r="E7561" t="str">
        <f>_xlfn.XLOOKUP(A7561,'[1]Tissue Data'!$A:$A,'[1]Tissue Data'!$H:$H)</f>
        <v>Notropis</v>
      </c>
      <c r="F7561" t="str">
        <f>_xlfn.XLOOKUP(A7561,'[1]Tissue Data'!$A:$A,'[1]Tissue Data'!$I:$I)</f>
        <v>procne</v>
      </c>
      <c r="G7561" t="str">
        <f>_xlfn.XLOOKUP(A7561,'[1]Tissue Data'!$A:$A,'[1]Tissue Data'!J:J)</f>
        <v>U</v>
      </c>
      <c r="H7561" t="str">
        <f>_xlfn.XLOOKUP(A7561,'[1]Tissue Data'!$A:$A,'[1]Tissue Data'!K:K)</f>
        <v>Whole Body</v>
      </c>
      <c r="I7561">
        <f>_xlfn.XLOOKUP(A7561,'[1]Tissue Data'!$A:$A,'[1]Tissue Data'!L:L)</f>
        <v>5</v>
      </c>
      <c r="J7561">
        <f>_xlfn.XLOOKUP(A7561,'[1]Tissue Data'!$A:$A,'[1]Tissue Data'!M:M)</f>
        <v>1.65</v>
      </c>
      <c r="K7561" t="s">
        <v>21</v>
      </c>
      <c r="L7561" t="str">
        <f>_xlfn.XLOOKUP(K7561,[2]analyte_order!$B:$B,[2]analyte_order!$C:$C)</f>
        <v>72629-94-8</v>
      </c>
      <c r="M7561">
        <f>_xlfn.XLOOKUP(L7561,[2]analyte_order!$C:$C,[2]analyte_order!$E:$E)</f>
        <v>10</v>
      </c>
      <c r="N7561">
        <v>1.6</v>
      </c>
    </row>
    <row r="7562" spans="1:14">
      <c r="A7562" t="s">
        <v>204</v>
      </c>
      <c r="B7562" t="str">
        <f>_xlfn.XLOOKUP(A7562,'[1]Tissue Data'!$A:$A,'[1]Tissue Data'!$C:$C)</f>
        <v>Down</v>
      </c>
      <c r="C7562" s="2">
        <f>_xlfn.XLOOKUP(A7562,'[1]Tissue Data'!$A:$A,'[1]Tissue Data'!$D:$D)</f>
        <v>44393</v>
      </c>
      <c r="D7562" s="2" t="str">
        <f>_xlfn.XLOOKUP(A7562,'[1]Tissue Data'!$A:$A,'[1]Tissue Data'!$F:$F)</f>
        <v>Swallowtail Shiner</v>
      </c>
      <c r="E7562" t="str">
        <f>_xlfn.XLOOKUP(A7562,'[1]Tissue Data'!$A:$A,'[1]Tissue Data'!$H:$H)</f>
        <v>Notropis</v>
      </c>
      <c r="F7562" t="str">
        <f>_xlfn.XLOOKUP(A7562,'[1]Tissue Data'!$A:$A,'[1]Tissue Data'!$I:$I)</f>
        <v>procne</v>
      </c>
      <c r="G7562" t="str">
        <f>_xlfn.XLOOKUP(A7562,'[1]Tissue Data'!$A:$A,'[1]Tissue Data'!J:J)</f>
        <v>U</v>
      </c>
      <c r="H7562" t="str">
        <f>_xlfn.XLOOKUP(A7562,'[1]Tissue Data'!$A:$A,'[1]Tissue Data'!K:K)</f>
        <v>Whole Body</v>
      </c>
      <c r="I7562">
        <f>_xlfn.XLOOKUP(A7562,'[1]Tissue Data'!$A:$A,'[1]Tissue Data'!L:L)</f>
        <v>5</v>
      </c>
      <c r="J7562">
        <f>_xlfn.XLOOKUP(A7562,'[1]Tissue Data'!$A:$A,'[1]Tissue Data'!M:M)</f>
        <v>1.65</v>
      </c>
      <c r="K7562" t="s">
        <v>22</v>
      </c>
      <c r="L7562" t="str">
        <f>_xlfn.XLOOKUP(K7562,[2]analyte_order!$B:$B,[2]analyte_order!$C:$C)</f>
        <v>376-06-7</v>
      </c>
      <c r="M7562">
        <f>_xlfn.XLOOKUP(L7562,[2]analyte_order!$C:$C,[2]analyte_order!$E:$E)</f>
        <v>11</v>
      </c>
      <c r="N7562">
        <v>2.5099999999999998</v>
      </c>
    </row>
    <row r="7563" spans="1:14">
      <c r="A7563" t="s">
        <v>204</v>
      </c>
      <c r="B7563" t="str">
        <f>_xlfn.XLOOKUP(A7563,'[1]Tissue Data'!$A:$A,'[1]Tissue Data'!$C:$C)</f>
        <v>Down</v>
      </c>
      <c r="C7563" s="2">
        <f>_xlfn.XLOOKUP(A7563,'[1]Tissue Data'!$A:$A,'[1]Tissue Data'!$D:$D)</f>
        <v>44393</v>
      </c>
      <c r="D7563" s="2" t="str">
        <f>_xlfn.XLOOKUP(A7563,'[1]Tissue Data'!$A:$A,'[1]Tissue Data'!$F:$F)</f>
        <v>Swallowtail Shiner</v>
      </c>
      <c r="E7563" t="str">
        <f>_xlfn.XLOOKUP(A7563,'[1]Tissue Data'!$A:$A,'[1]Tissue Data'!$H:$H)</f>
        <v>Notropis</v>
      </c>
      <c r="F7563" t="str">
        <f>_xlfn.XLOOKUP(A7563,'[1]Tissue Data'!$A:$A,'[1]Tissue Data'!$I:$I)</f>
        <v>procne</v>
      </c>
      <c r="G7563" t="str">
        <f>_xlfn.XLOOKUP(A7563,'[1]Tissue Data'!$A:$A,'[1]Tissue Data'!J:J)</f>
        <v>U</v>
      </c>
      <c r="H7563" t="str">
        <f>_xlfn.XLOOKUP(A7563,'[1]Tissue Data'!$A:$A,'[1]Tissue Data'!K:K)</f>
        <v>Whole Body</v>
      </c>
      <c r="I7563">
        <f>_xlfn.XLOOKUP(A7563,'[1]Tissue Data'!$A:$A,'[1]Tissue Data'!L:L)</f>
        <v>5</v>
      </c>
      <c r="J7563">
        <f>_xlfn.XLOOKUP(A7563,'[1]Tissue Data'!$A:$A,'[1]Tissue Data'!M:M)</f>
        <v>1.65</v>
      </c>
      <c r="K7563" t="s">
        <v>23</v>
      </c>
      <c r="L7563" t="str">
        <f>_xlfn.XLOOKUP(K7563,[2]analyte_order!$B:$B,[2]analyte_order!$C:$C)</f>
        <v>67905-19-5</v>
      </c>
      <c r="M7563">
        <f>_xlfn.XLOOKUP(L7563,[2]analyte_order!$C:$C,[2]analyte_order!$E:$E)</f>
        <v>12</v>
      </c>
      <c r="N7563">
        <v>0.29549999999999998</v>
      </c>
    </row>
    <row r="7564" spans="1:14">
      <c r="A7564" t="s">
        <v>204</v>
      </c>
      <c r="B7564" t="str">
        <f>_xlfn.XLOOKUP(A7564,'[1]Tissue Data'!$A:$A,'[1]Tissue Data'!$C:$C)</f>
        <v>Down</v>
      </c>
      <c r="C7564" s="2">
        <f>_xlfn.XLOOKUP(A7564,'[1]Tissue Data'!$A:$A,'[1]Tissue Data'!$D:$D)</f>
        <v>44393</v>
      </c>
      <c r="D7564" s="2" t="str">
        <f>_xlfn.XLOOKUP(A7564,'[1]Tissue Data'!$A:$A,'[1]Tissue Data'!$F:$F)</f>
        <v>Swallowtail Shiner</v>
      </c>
      <c r="E7564" t="str">
        <f>_xlfn.XLOOKUP(A7564,'[1]Tissue Data'!$A:$A,'[1]Tissue Data'!$H:$H)</f>
        <v>Notropis</v>
      </c>
      <c r="F7564" t="str">
        <f>_xlfn.XLOOKUP(A7564,'[1]Tissue Data'!$A:$A,'[1]Tissue Data'!$I:$I)</f>
        <v>procne</v>
      </c>
      <c r="G7564" t="str">
        <f>_xlfn.XLOOKUP(A7564,'[1]Tissue Data'!$A:$A,'[1]Tissue Data'!J:J)</f>
        <v>U</v>
      </c>
      <c r="H7564" t="str">
        <f>_xlfn.XLOOKUP(A7564,'[1]Tissue Data'!$A:$A,'[1]Tissue Data'!K:K)</f>
        <v>Whole Body</v>
      </c>
      <c r="I7564">
        <f>_xlfn.XLOOKUP(A7564,'[1]Tissue Data'!$A:$A,'[1]Tissue Data'!L:L)</f>
        <v>5</v>
      </c>
      <c r="J7564">
        <f>_xlfn.XLOOKUP(A7564,'[1]Tissue Data'!$A:$A,'[1]Tissue Data'!M:M)</f>
        <v>1.65</v>
      </c>
      <c r="K7564" t="s">
        <v>24</v>
      </c>
      <c r="L7564" t="str">
        <f>_xlfn.XLOOKUP(K7564,[2]analyte_order!$B:$B,[2]analyte_order!$C:$C)</f>
        <v>423-41-6</v>
      </c>
      <c r="M7564">
        <f>_xlfn.XLOOKUP(L7564,[2]analyte_order!$C:$C,[2]analyte_order!$E:$E)</f>
        <v>53</v>
      </c>
      <c r="N7564">
        <v>0.496</v>
      </c>
    </row>
    <row r="7565" spans="1:14">
      <c r="A7565" t="s">
        <v>204</v>
      </c>
      <c r="B7565" t="str">
        <f>_xlfn.XLOOKUP(A7565,'[1]Tissue Data'!$A:$A,'[1]Tissue Data'!$C:$C)</f>
        <v>Down</v>
      </c>
      <c r="C7565" s="2">
        <f>_xlfn.XLOOKUP(A7565,'[1]Tissue Data'!$A:$A,'[1]Tissue Data'!$D:$D)</f>
        <v>44393</v>
      </c>
      <c r="D7565" s="2" t="str">
        <f>_xlfn.XLOOKUP(A7565,'[1]Tissue Data'!$A:$A,'[1]Tissue Data'!$F:$F)</f>
        <v>Swallowtail Shiner</v>
      </c>
      <c r="E7565" t="str">
        <f>_xlfn.XLOOKUP(A7565,'[1]Tissue Data'!$A:$A,'[1]Tissue Data'!$H:$H)</f>
        <v>Notropis</v>
      </c>
      <c r="F7565" t="str">
        <f>_xlfn.XLOOKUP(A7565,'[1]Tissue Data'!$A:$A,'[1]Tissue Data'!$I:$I)</f>
        <v>procne</v>
      </c>
      <c r="G7565" t="str">
        <f>_xlfn.XLOOKUP(A7565,'[1]Tissue Data'!$A:$A,'[1]Tissue Data'!J:J)</f>
        <v>U</v>
      </c>
      <c r="H7565" t="str">
        <f>_xlfn.XLOOKUP(A7565,'[1]Tissue Data'!$A:$A,'[1]Tissue Data'!K:K)</f>
        <v>Whole Body</v>
      </c>
      <c r="I7565">
        <f>_xlfn.XLOOKUP(A7565,'[1]Tissue Data'!$A:$A,'[1]Tissue Data'!L:L)</f>
        <v>5</v>
      </c>
      <c r="J7565">
        <f>_xlfn.XLOOKUP(A7565,'[1]Tissue Data'!$A:$A,'[1]Tissue Data'!M:M)</f>
        <v>1.65</v>
      </c>
      <c r="K7565" t="s">
        <v>25</v>
      </c>
      <c r="L7565" t="str">
        <f>_xlfn.XLOOKUP(K7565,[2]analyte_order!$B:$B,[2]analyte_order!$C:$C)</f>
        <v>375-73-5</v>
      </c>
      <c r="M7565">
        <f>_xlfn.XLOOKUP(L7565,[2]analyte_order!$C:$C,[2]analyte_order!$E:$E)</f>
        <v>14</v>
      </c>
      <c r="N7565">
        <v>0.16850000000000001</v>
      </c>
    </row>
    <row r="7566" spans="1:14">
      <c r="A7566" t="s">
        <v>204</v>
      </c>
      <c r="B7566" t="str">
        <f>_xlfn.XLOOKUP(A7566,'[1]Tissue Data'!$A:$A,'[1]Tissue Data'!$C:$C)</f>
        <v>Down</v>
      </c>
      <c r="C7566" s="2">
        <f>_xlfn.XLOOKUP(A7566,'[1]Tissue Data'!$A:$A,'[1]Tissue Data'!$D:$D)</f>
        <v>44393</v>
      </c>
      <c r="D7566" s="2" t="str">
        <f>_xlfn.XLOOKUP(A7566,'[1]Tissue Data'!$A:$A,'[1]Tissue Data'!$F:$F)</f>
        <v>Swallowtail Shiner</v>
      </c>
      <c r="E7566" t="str">
        <f>_xlfn.XLOOKUP(A7566,'[1]Tissue Data'!$A:$A,'[1]Tissue Data'!$H:$H)</f>
        <v>Notropis</v>
      </c>
      <c r="F7566" t="str">
        <f>_xlfn.XLOOKUP(A7566,'[1]Tissue Data'!$A:$A,'[1]Tissue Data'!$I:$I)</f>
        <v>procne</v>
      </c>
      <c r="G7566" t="str">
        <f>_xlfn.XLOOKUP(A7566,'[1]Tissue Data'!$A:$A,'[1]Tissue Data'!J:J)</f>
        <v>U</v>
      </c>
      <c r="H7566" t="str">
        <f>_xlfn.XLOOKUP(A7566,'[1]Tissue Data'!$A:$A,'[1]Tissue Data'!K:K)</f>
        <v>Whole Body</v>
      </c>
      <c r="I7566">
        <f>_xlfn.XLOOKUP(A7566,'[1]Tissue Data'!$A:$A,'[1]Tissue Data'!L:L)</f>
        <v>5</v>
      </c>
      <c r="J7566">
        <f>_xlfn.XLOOKUP(A7566,'[1]Tissue Data'!$A:$A,'[1]Tissue Data'!M:M)</f>
        <v>1.65</v>
      </c>
      <c r="K7566" t="s">
        <v>26</v>
      </c>
      <c r="L7566" t="str">
        <f>_xlfn.XLOOKUP(K7566,[2]analyte_order!$B:$B,[2]analyte_order!$C:$C)</f>
        <v>2706-91-4</v>
      </c>
      <c r="M7566">
        <f>_xlfn.XLOOKUP(L7566,[2]analyte_order!$C:$C,[2]analyte_order!$E:$E)</f>
        <v>15</v>
      </c>
      <c r="N7566">
        <v>0.313</v>
      </c>
    </row>
    <row r="7567" spans="1:14">
      <c r="A7567" t="s">
        <v>204</v>
      </c>
      <c r="B7567" t="str">
        <f>_xlfn.XLOOKUP(A7567,'[1]Tissue Data'!$A:$A,'[1]Tissue Data'!$C:$C)</f>
        <v>Down</v>
      </c>
      <c r="C7567" s="2">
        <f>_xlfn.XLOOKUP(A7567,'[1]Tissue Data'!$A:$A,'[1]Tissue Data'!$D:$D)</f>
        <v>44393</v>
      </c>
      <c r="D7567" s="2" t="str">
        <f>_xlfn.XLOOKUP(A7567,'[1]Tissue Data'!$A:$A,'[1]Tissue Data'!$F:$F)</f>
        <v>Swallowtail Shiner</v>
      </c>
      <c r="E7567" t="str">
        <f>_xlfn.XLOOKUP(A7567,'[1]Tissue Data'!$A:$A,'[1]Tissue Data'!$H:$H)</f>
        <v>Notropis</v>
      </c>
      <c r="F7567" t="str">
        <f>_xlfn.XLOOKUP(A7567,'[1]Tissue Data'!$A:$A,'[1]Tissue Data'!$I:$I)</f>
        <v>procne</v>
      </c>
      <c r="G7567" t="str">
        <f>_xlfn.XLOOKUP(A7567,'[1]Tissue Data'!$A:$A,'[1]Tissue Data'!J:J)</f>
        <v>U</v>
      </c>
      <c r="H7567" t="str">
        <f>_xlfn.XLOOKUP(A7567,'[1]Tissue Data'!$A:$A,'[1]Tissue Data'!K:K)</f>
        <v>Whole Body</v>
      </c>
      <c r="I7567">
        <f>_xlfn.XLOOKUP(A7567,'[1]Tissue Data'!$A:$A,'[1]Tissue Data'!L:L)</f>
        <v>5</v>
      </c>
      <c r="J7567">
        <f>_xlfn.XLOOKUP(A7567,'[1]Tissue Data'!$A:$A,'[1]Tissue Data'!M:M)</f>
        <v>1.65</v>
      </c>
      <c r="K7567" t="s">
        <v>27</v>
      </c>
      <c r="L7567" t="str">
        <f>_xlfn.XLOOKUP(K7567,[2]analyte_order!$B:$B,[2]analyte_order!$C:$C)</f>
        <v>355-46-4</v>
      </c>
      <c r="M7567">
        <f>_xlfn.XLOOKUP(L7567,[2]analyte_order!$C:$C,[2]analyte_order!$E:$E)</f>
        <v>16</v>
      </c>
      <c r="N7567">
        <v>30.1</v>
      </c>
    </row>
    <row r="7568" spans="1:14">
      <c r="A7568" t="s">
        <v>204</v>
      </c>
      <c r="B7568" t="str">
        <f>_xlfn.XLOOKUP(A7568,'[1]Tissue Data'!$A:$A,'[1]Tissue Data'!$C:$C)</f>
        <v>Down</v>
      </c>
      <c r="C7568" s="2">
        <f>_xlfn.XLOOKUP(A7568,'[1]Tissue Data'!$A:$A,'[1]Tissue Data'!$D:$D)</f>
        <v>44393</v>
      </c>
      <c r="D7568" s="2" t="str">
        <f>_xlfn.XLOOKUP(A7568,'[1]Tissue Data'!$A:$A,'[1]Tissue Data'!$F:$F)</f>
        <v>Swallowtail Shiner</v>
      </c>
      <c r="E7568" t="str">
        <f>_xlfn.XLOOKUP(A7568,'[1]Tissue Data'!$A:$A,'[1]Tissue Data'!$H:$H)</f>
        <v>Notropis</v>
      </c>
      <c r="F7568" t="str">
        <f>_xlfn.XLOOKUP(A7568,'[1]Tissue Data'!$A:$A,'[1]Tissue Data'!$I:$I)</f>
        <v>procne</v>
      </c>
      <c r="G7568" t="str">
        <f>_xlfn.XLOOKUP(A7568,'[1]Tissue Data'!$A:$A,'[1]Tissue Data'!J:J)</f>
        <v>U</v>
      </c>
      <c r="H7568" t="str">
        <f>_xlfn.XLOOKUP(A7568,'[1]Tissue Data'!$A:$A,'[1]Tissue Data'!K:K)</f>
        <v>Whole Body</v>
      </c>
      <c r="I7568">
        <f>_xlfn.XLOOKUP(A7568,'[1]Tissue Data'!$A:$A,'[1]Tissue Data'!L:L)</f>
        <v>5</v>
      </c>
      <c r="J7568">
        <f>_xlfn.XLOOKUP(A7568,'[1]Tissue Data'!$A:$A,'[1]Tissue Data'!M:M)</f>
        <v>1.65</v>
      </c>
      <c r="K7568" t="s">
        <v>28</v>
      </c>
      <c r="L7568" t="str">
        <f>_xlfn.XLOOKUP(K7568,[2]analyte_order!$B:$B,[2]analyte_order!$C:$C)</f>
        <v>375-92-8</v>
      </c>
      <c r="M7568">
        <f>_xlfn.XLOOKUP(L7568,[2]analyte_order!$C:$C,[2]analyte_order!$E:$E)</f>
        <v>17</v>
      </c>
      <c r="N7568">
        <v>2.41</v>
      </c>
    </row>
    <row r="7569" spans="1:14">
      <c r="A7569" t="s">
        <v>204</v>
      </c>
      <c r="B7569" t="str">
        <f>_xlfn.XLOOKUP(A7569,'[1]Tissue Data'!$A:$A,'[1]Tissue Data'!$C:$C)</f>
        <v>Down</v>
      </c>
      <c r="C7569" s="2">
        <f>_xlfn.XLOOKUP(A7569,'[1]Tissue Data'!$A:$A,'[1]Tissue Data'!$D:$D)</f>
        <v>44393</v>
      </c>
      <c r="D7569" s="2" t="str">
        <f>_xlfn.XLOOKUP(A7569,'[1]Tissue Data'!$A:$A,'[1]Tissue Data'!$F:$F)</f>
        <v>Swallowtail Shiner</v>
      </c>
      <c r="E7569" t="str">
        <f>_xlfn.XLOOKUP(A7569,'[1]Tissue Data'!$A:$A,'[1]Tissue Data'!$H:$H)</f>
        <v>Notropis</v>
      </c>
      <c r="F7569" t="str">
        <f>_xlfn.XLOOKUP(A7569,'[1]Tissue Data'!$A:$A,'[1]Tissue Data'!$I:$I)</f>
        <v>procne</v>
      </c>
      <c r="G7569" t="str">
        <f>_xlfn.XLOOKUP(A7569,'[1]Tissue Data'!$A:$A,'[1]Tissue Data'!J:J)</f>
        <v>U</v>
      </c>
      <c r="H7569" t="str">
        <f>_xlfn.XLOOKUP(A7569,'[1]Tissue Data'!$A:$A,'[1]Tissue Data'!K:K)</f>
        <v>Whole Body</v>
      </c>
      <c r="I7569">
        <f>_xlfn.XLOOKUP(A7569,'[1]Tissue Data'!$A:$A,'[1]Tissue Data'!L:L)</f>
        <v>5</v>
      </c>
      <c r="J7569">
        <f>_xlfn.XLOOKUP(A7569,'[1]Tissue Data'!$A:$A,'[1]Tissue Data'!M:M)</f>
        <v>1.65</v>
      </c>
      <c r="K7569" t="s">
        <v>29</v>
      </c>
      <c r="L7569" t="str">
        <f>_xlfn.XLOOKUP(K7569,[2]analyte_order!$B:$B,[2]analyte_order!$C:$C)</f>
        <v>1763-23-1</v>
      </c>
      <c r="M7569">
        <f>_xlfn.XLOOKUP(L7569,[2]analyte_order!$C:$C,[2]analyte_order!$E:$E)</f>
        <v>18</v>
      </c>
      <c r="N7569">
        <v>345</v>
      </c>
    </row>
    <row r="7570" spans="1:14">
      <c r="A7570" t="s">
        <v>204</v>
      </c>
      <c r="B7570" t="str">
        <f>_xlfn.XLOOKUP(A7570,'[1]Tissue Data'!$A:$A,'[1]Tissue Data'!$C:$C)</f>
        <v>Down</v>
      </c>
      <c r="C7570" s="2">
        <f>_xlfn.XLOOKUP(A7570,'[1]Tissue Data'!$A:$A,'[1]Tissue Data'!$D:$D)</f>
        <v>44393</v>
      </c>
      <c r="D7570" s="2" t="str">
        <f>_xlfn.XLOOKUP(A7570,'[1]Tissue Data'!$A:$A,'[1]Tissue Data'!$F:$F)</f>
        <v>Swallowtail Shiner</v>
      </c>
      <c r="E7570" t="str">
        <f>_xlfn.XLOOKUP(A7570,'[1]Tissue Data'!$A:$A,'[1]Tissue Data'!$H:$H)</f>
        <v>Notropis</v>
      </c>
      <c r="F7570" t="str">
        <f>_xlfn.XLOOKUP(A7570,'[1]Tissue Data'!$A:$A,'[1]Tissue Data'!$I:$I)</f>
        <v>procne</v>
      </c>
      <c r="G7570" t="str">
        <f>_xlfn.XLOOKUP(A7570,'[1]Tissue Data'!$A:$A,'[1]Tissue Data'!J:J)</f>
        <v>U</v>
      </c>
      <c r="H7570" t="str">
        <f>_xlfn.XLOOKUP(A7570,'[1]Tissue Data'!$A:$A,'[1]Tissue Data'!K:K)</f>
        <v>Whole Body</v>
      </c>
      <c r="I7570">
        <f>_xlfn.XLOOKUP(A7570,'[1]Tissue Data'!$A:$A,'[1]Tissue Data'!L:L)</f>
        <v>5</v>
      </c>
      <c r="J7570">
        <f>_xlfn.XLOOKUP(A7570,'[1]Tissue Data'!$A:$A,'[1]Tissue Data'!M:M)</f>
        <v>1.65</v>
      </c>
      <c r="K7570" t="s">
        <v>30</v>
      </c>
      <c r="L7570" t="str">
        <f>_xlfn.XLOOKUP(K7570,[2]analyte_order!$B:$B,[2]analyte_order!$C:$C)</f>
        <v>68259-12-1</v>
      </c>
      <c r="M7570">
        <f>_xlfn.XLOOKUP(L7570,[2]analyte_order!$C:$C,[2]analyte_order!$E:$E)</f>
        <v>19</v>
      </c>
      <c r="N7570">
        <v>0.248</v>
      </c>
    </row>
    <row r="7571" spans="1:14">
      <c r="A7571" t="s">
        <v>204</v>
      </c>
      <c r="B7571" t="str">
        <f>_xlfn.XLOOKUP(A7571,'[1]Tissue Data'!$A:$A,'[1]Tissue Data'!$C:$C)</f>
        <v>Down</v>
      </c>
      <c r="C7571" s="2">
        <f>_xlfn.XLOOKUP(A7571,'[1]Tissue Data'!$A:$A,'[1]Tissue Data'!$D:$D)</f>
        <v>44393</v>
      </c>
      <c r="D7571" s="2" t="str">
        <f>_xlfn.XLOOKUP(A7571,'[1]Tissue Data'!$A:$A,'[1]Tissue Data'!$F:$F)</f>
        <v>Swallowtail Shiner</v>
      </c>
      <c r="E7571" t="str">
        <f>_xlfn.XLOOKUP(A7571,'[1]Tissue Data'!$A:$A,'[1]Tissue Data'!$H:$H)</f>
        <v>Notropis</v>
      </c>
      <c r="F7571" t="str">
        <f>_xlfn.XLOOKUP(A7571,'[1]Tissue Data'!$A:$A,'[1]Tissue Data'!$I:$I)</f>
        <v>procne</v>
      </c>
      <c r="G7571" t="str">
        <f>_xlfn.XLOOKUP(A7571,'[1]Tissue Data'!$A:$A,'[1]Tissue Data'!J:J)</f>
        <v>U</v>
      </c>
      <c r="H7571" t="str">
        <f>_xlfn.XLOOKUP(A7571,'[1]Tissue Data'!$A:$A,'[1]Tissue Data'!K:K)</f>
        <v>Whole Body</v>
      </c>
      <c r="I7571">
        <f>_xlfn.XLOOKUP(A7571,'[1]Tissue Data'!$A:$A,'[1]Tissue Data'!L:L)</f>
        <v>5</v>
      </c>
      <c r="J7571">
        <f>_xlfn.XLOOKUP(A7571,'[1]Tissue Data'!$A:$A,'[1]Tissue Data'!M:M)</f>
        <v>1.65</v>
      </c>
      <c r="K7571" t="s">
        <v>31</v>
      </c>
      <c r="L7571" t="str">
        <f>_xlfn.XLOOKUP(K7571,[2]analyte_order!$B:$B,[2]analyte_order!$C:$C)</f>
        <v>335-77-3</v>
      </c>
      <c r="M7571">
        <f>_xlfn.XLOOKUP(L7571,[2]analyte_order!$C:$C,[2]analyte_order!$E:$E)</f>
        <v>20</v>
      </c>
      <c r="N7571">
        <v>0.248</v>
      </c>
    </row>
    <row r="7572" spans="1:14">
      <c r="A7572" t="s">
        <v>204</v>
      </c>
      <c r="B7572" t="str">
        <f>_xlfn.XLOOKUP(A7572,'[1]Tissue Data'!$A:$A,'[1]Tissue Data'!$C:$C)</f>
        <v>Down</v>
      </c>
      <c r="C7572" s="2">
        <f>_xlfn.XLOOKUP(A7572,'[1]Tissue Data'!$A:$A,'[1]Tissue Data'!$D:$D)</f>
        <v>44393</v>
      </c>
      <c r="D7572" s="2" t="str">
        <f>_xlfn.XLOOKUP(A7572,'[1]Tissue Data'!$A:$A,'[1]Tissue Data'!$F:$F)</f>
        <v>Swallowtail Shiner</v>
      </c>
      <c r="E7572" t="str">
        <f>_xlfn.XLOOKUP(A7572,'[1]Tissue Data'!$A:$A,'[1]Tissue Data'!$H:$H)</f>
        <v>Notropis</v>
      </c>
      <c r="F7572" t="str">
        <f>_xlfn.XLOOKUP(A7572,'[1]Tissue Data'!$A:$A,'[1]Tissue Data'!$I:$I)</f>
        <v>procne</v>
      </c>
      <c r="G7572" t="str">
        <f>_xlfn.XLOOKUP(A7572,'[1]Tissue Data'!$A:$A,'[1]Tissue Data'!J:J)</f>
        <v>U</v>
      </c>
      <c r="H7572" t="str">
        <f>_xlfn.XLOOKUP(A7572,'[1]Tissue Data'!$A:$A,'[1]Tissue Data'!K:K)</f>
        <v>Whole Body</v>
      </c>
      <c r="I7572">
        <f>_xlfn.XLOOKUP(A7572,'[1]Tissue Data'!$A:$A,'[1]Tissue Data'!L:L)</f>
        <v>5</v>
      </c>
      <c r="J7572">
        <f>_xlfn.XLOOKUP(A7572,'[1]Tissue Data'!$A:$A,'[1]Tissue Data'!M:M)</f>
        <v>1.65</v>
      </c>
      <c r="K7572" t="s">
        <v>32</v>
      </c>
      <c r="L7572" t="str">
        <f>_xlfn.XLOOKUP(K7572,[2]analyte_order!$B:$B,[2]analyte_order!$C:$C)</f>
        <v>79780-39-5</v>
      </c>
      <c r="M7572">
        <f>_xlfn.XLOOKUP(L7572,[2]analyte_order!$C:$C,[2]analyte_order!$E:$E)</f>
        <v>21</v>
      </c>
      <c r="N7572">
        <v>0.26500000000000001</v>
      </c>
    </row>
    <row r="7573" spans="1:14">
      <c r="A7573" t="s">
        <v>204</v>
      </c>
      <c r="B7573" t="str">
        <f>_xlfn.XLOOKUP(A7573,'[1]Tissue Data'!$A:$A,'[1]Tissue Data'!$C:$C)</f>
        <v>Down</v>
      </c>
      <c r="C7573" s="2">
        <f>_xlfn.XLOOKUP(A7573,'[1]Tissue Data'!$A:$A,'[1]Tissue Data'!$D:$D)</f>
        <v>44393</v>
      </c>
      <c r="D7573" s="2" t="str">
        <f>_xlfn.XLOOKUP(A7573,'[1]Tissue Data'!$A:$A,'[1]Tissue Data'!$F:$F)</f>
        <v>Swallowtail Shiner</v>
      </c>
      <c r="E7573" t="str">
        <f>_xlfn.XLOOKUP(A7573,'[1]Tissue Data'!$A:$A,'[1]Tissue Data'!$H:$H)</f>
        <v>Notropis</v>
      </c>
      <c r="F7573" t="str">
        <f>_xlfn.XLOOKUP(A7573,'[1]Tissue Data'!$A:$A,'[1]Tissue Data'!$I:$I)</f>
        <v>procne</v>
      </c>
      <c r="G7573" t="str">
        <f>_xlfn.XLOOKUP(A7573,'[1]Tissue Data'!$A:$A,'[1]Tissue Data'!J:J)</f>
        <v>U</v>
      </c>
      <c r="H7573" t="str">
        <f>_xlfn.XLOOKUP(A7573,'[1]Tissue Data'!$A:$A,'[1]Tissue Data'!K:K)</f>
        <v>Whole Body</v>
      </c>
      <c r="I7573">
        <f>_xlfn.XLOOKUP(A7573,'[1]Tissue Data'!$A:$A,'[1]Tissue Data'!L:L)</f>
        <v>5</v>
      </c>
      <c r="J7573">
        <f>_xlfn.XLOOKUP(A7573,'[1]Tissue Data'!$A:$A,'[1]Tissue Data'!M:M)</f>
        <v>1.65</v>
      </c>
      <c r="K7573" t="s">
        <v>33</v>
      </c>
      <c r="L7573" t="str">
        <f>_xlfn.XLOOKUP(K7573,[2]analyte_order!$B:$B,[2]analyte_order!$C:$C)</f>
        <v>777011-38-8</v>
      </c>
      <c r="M7573">
        <f>_xlfn.XLOOKUP(L7573,[2]analyte_order!$C:$C,[2]analyte_order!$E:$E)</f>
        <v>54</v>
      </c>
      <c r="N7573">
        <v>0.15049999999999999</v>
      </c>
    </row>
    <row r="7574" spans="1:14">
      <c r="A7574" t="s">
        <v>204</v>
      </c>
      <c r="B7574" t="str">
        <f>_xlfn.XLOOKUP(A7574,'[1]Tissue Data'!$A:$A,'[1]Tissue Data'!$C:$C)</f>
        <v>Down</v>
      </c>
      <c r="C7574" s="2">
        <f>_xlfn.XLOOKUP(A7574,'[1]Tissue Data'!$A:$A,'[1]Tissue Data'!$D:$D)</f>
        <v>44393</v>
      </c>
      <c r="D7574" s="2" t="str">
        <f>_xlfn.XLOOKUP(A7574,'[1]Tissue Data'!$A:$A,'[1]Tissue Data'!$F:$F)</f>
        <v>Swallowtail Shiner</v>
      </c>
      <c r="E7574" t="str">
        <f>_xlfn.XLOOKUP(A7574,'[1]Tissue Data'!$A:$A,'[1]Tissue Data'!$H:$H)</f>
        <v>Notropis</v>
      </c>
      <c r="F7574" t="str">
        <f>_xlfn.XLOOKUP(A7574,'[1]Tissue Data'!$A:$A,'[1]Tissue Data'!$I:$I)</f>
        <v>procne</v>
      </c>
      <c r="G7574" t="str">
        <f>_xlfn.XLOOKUP(A7574,'[1]Tissue Data'!$A:$A,'[1]Tissue Data'!J:J)</f>
        <v>U</v>
      </c>
      <c r="H7574" t="str">
        <f>_xlfn.XLOOKUP(A7574,'[1]Tissue Data'!$A:$A,'[1]Tissue Data'!K:K)</f>
        <v>Whole Body</v>
      </c>
      <c r="I7574">
        <f>_xlfn.XLOOKUP(A7574,'[1]Tissue Data'!$A:$A,'[1]Tissue Data'!L:L)</f>
        <v>5</v>
      </c>
      <c r="J7574">
        <f>_xlfn.XLOOKUP(A7574,'[1]Tissue Data'!$A:$A,'[1]Tissue Data'!M:M)</f>
        <v>1.65</v>
      </c>
      <c r="K7574" t="s">
        <v>34</v>
      </c>
      <c r="L7574" t="str">
        <f>_xlfn.XLOOKUP(K7574,[2]analyte_order!$B:$B,[2]analyte_order!$C:$C)</f>
        <v>646-83-3</v>
      </c>
      <c r="M7574">
        <f>_xlfn.XLOOKUP(L7574,[2]analyte_order!$C:$C,[2]analyte_order!$E:$E)</f>
        <v>55</v>
      </c>
      <c r="N7574">
        <v>9.9000000000000005E-2</v>
      </c>
    </row>
    <row r="7575" spans="1:14">
      <c r="A7575" t="s">
        <v>204</v>
      </c>
      <c r="B7575" t="str">
        <f>_xlfn.XLOOKUP(A7575,'[1]Tissue Data'!$A:$A,'[1]Tissue Data'!$C:$C)</f>
        <v>Down</v>
      </c>
      <c r="C7575" s="2">
        <f>_xlfn.XLOOKUP(A7575,'[1]Tissue Data'!$A:$A,'[1]Tissue Data'!$D:$D)</f>
        <v>44393</v>
      </c>
      <c r="D7575" s="2" t="str">
        <f>_xlfn.XLOOKUP(A7575,'[1]Tissue Data'!$A:$A,'[1]Tissue Data'!$F:$F)</f>
        <v>Swallowtail Shiner</v>
      </c>
      <c r="E7575" t="str">
        <f>_xlfn.XLOOKUP(A7575,'[1]Tissue Data'!$A:$A,'[1]Tissue Data'!$H:$H)</f>
        <v>Notropis</v>
      </c>
      <c r="F7575" t="str">
        <f>_xlfn.XLOOKUP(A7575,'[1]Tissue Data'!$A:$A,'[1]Tissue Data'!$I:$I)</f>
        <v>procne</v>
      </c>
      <c r="G7575" t="str">
        <f>_xlfn.XLOOKUP(A7575,'[1]Tissue Data'!$A:$A,'[1]Tissue Data'!J:J)</f>
        <v>U</v>
      </c>
      <c r="H7575" t="str">
        <f>_xlfn.XLOOKUP(A7575,'[1]Tissue Data'!$A:$A,'[1]Tissue Data'!K:K)</f>
        <v>Whole Body</v>
      </c>
      <c r="I7575">
        <f>_xlfn.XLOOKUP(A7575,'[1]Tissue Data'!$A:$A,'[1]Tissue Data'!L:L)</f>
        <v>5</v>
      </c>
      <c r="J7575">
        <f>_xlfn.XLOOKUP(A7575,'[1]Tissue Data'!$A:$A,'[1]Tissue Data'!M:M)</f>
        <v>1.65</v>
      </c>
      <c r="K7575" t="s">
        <v>35</v>
      </c>
      <c r="L7575" t="str">
        <f>_xlfn.XLOOKUP(K7575,[2]analyte_order!$B:$B,[2]analyte_order!$C:$C)</f>
        <v>30334-69-1</v>
      </c>
      <c r="M7575">
        <f>_xlfn.XLOOKUP(L7575,[2]analyte_order!$C:$C,[2]analyte_order!$E:$E)</f>
        <v>51</v>
      </c>
      <c r="N7575">
        <v>70.3</v>
      </c>
    </row>
    <row r="7576" spans="1:14">
      <c r="A7576" t="s">
        <v>204</v>
      </c>
      <c r="B7576" t="str">
        <f>_xlfn.XLOOKUP(A7576,'[1]Tissue Data'!$A:$A,'[1]Tissue Data'!$C:$C)</f>
        <v>Down</v>
      </c>
      <c r="C7576" s="2">
        <f>_xlfn.XLOOKUP(A7576,'[1]Tissue Data'!$A:$A,'[1]Tissue Data'!$D:$D)</f>
        <v>44393</v>
      </c>
      <c r="D7576" s="2" t="str">
        <f>_xlfn.XLOOKUP(A7576,'[1]Tissue Data'!$A:$A,'[1]Tissue Data'!$F:$F)</f>
        <v>Swallowtail Shiner</v>
      </c>
      <c r="E7576" t="str">
        <f>_xlfn.XLOOKUP(A7576,'[1]Tissue Data'!$A:$A,'[1]Tissue Data'!$H:$H)</f>
        <v>Notropis</v>
      </c>
      <c r="F7576" t="str">
        <f>_xlfn.XLOOKUP(A7576,'[1]Tissue Data'!$A:$A,'[1]Tissue Data'!$I:$I)</f>
        <v>procne</v>
      </c>
      <c r="G7576" t="str">
        <f>_xlfn.XLOOKUP(A7576,'[1]Tissue Data'!$A:$A,'[1]Tissue Data'!J:J)</f>
        <v>U</v>
      </c>
      <c r="H7576" t="str">
        <f>_xlfn.XLOOKUP(A7576,'[1]Tissue Data'!$A:$A,'[1]Tissue Data'!K:K)</f>
        <v>Whole Body</v>
      </c>
      <c r="I7576">
        <f>_xlfn.XLOOKUP(A7576,'[1]Tissue Data'!$A:$A,'[1]Tissue Data'!L:L)</f>
        <v>5</v>
      </c>
      <c r="J7576">
        <f>_xlfn.XLOOKUP(A7576,'[1]Tissue Data'!$A:$A,'[1]Tissue Data'!M:M)</f>
        <v>1.65</v>
      </c>
      <c r="K7576" t="s">
        <v>36</v>
      </c>
      <c r="L7576" t="str">
        <f>_xlfn.XLOOKUP(K7576,[2]analyte_order!$B:$B,[2]analyte_order!$C:$C)</f>
        <v>41997-13-1</v>
      </c>
      <c r="M7576">
        <f>_xlfn.XLOOKUP(L7576,[2]analyte_order!$C:$C,[2]analyte_order!$E:$E)</f>
        <v>52</v>
      </c>
      <c r="N7576">
        <v>362</v>
      </c>
    </row>
    <row r="7577" spans="1:14">
      <c r="A7577" t="s">
        <v>204</v>
      </c>
      <c r="B7577" t="str">
        <f>_xlfn.XLOOKUP(A7577,'[1]Tissue Data'!$A:$A,'[1]Tissue Data'!$C:$C)</f>
        <v>Down</v>
      </c>
      <c r="C7577" s="2">
        <f>_xlfn.XLOOKUP(A7577,'[1]Tissue Data'!$A:$A,'[1]Tissue Data'!$D:$D)</f>
        <v>44393</v>
      </c>
      <c r="D7577" s="2" t="str">
        <f>_xlfn.XLOOKUP(A7577,'[1]Tissue Data'!$A:$A,'[1]Tissue Data'!$F:$F)</f>
        <v>Swallowtail Shiner</v>
      </c>
      <c r="E7577" t="str">
        <f>_xlfn.XLOOKUP(A7577,'[1]Tissue Data'!$A:$A,'[1]Tissue Data'!$H:$H)</f>
        <v>Notropis</v>
      </c>
      <c r="F7577" t="str">
        <f>_xlfn.XLOOKUP(A7577,'[1]Tissue Data'!$A:$A,'[1]Tissue Data'!$I:$I)</f>
        <v>procne</v>
      </c>
      <c r="G7577" t="str">
        <f>_xlfn.XLOOKUP(A7577,'[1]Tissue Data'!$A:$A,'[1]Tissue Data'!J:J)</f>
        <v>U</v>
      </c>
      <c r="H7577" t="str">
        <f>_xlfn.XLOOKUP(A7577,'[1]Tissue Data'!$A:$A,'[1]Tissue Data'!K:K)</f>
        <v>Whole Body</v>
      </c>
      <c r="I7577">
        <f>_xlfn.XLOOKUP(A7577,'[1]Tissue Data'!$A:$A,'[1]Tissue Data'!L:L)</f>
        <v>5</v>
      </c>
      <c r="J7577">
        <f>_xlfn.XLOOKUP(A7577,'[1]Tissue Data'!$A:$A,'[1]Tissue Data'!M:M)</f>
        <v>1.65</v>
      </c>
      <c r="K7577" t="s">
        <v>37</v>
      </c>
      <c r="L7577" t="str">
        <f>_xlfn.XLOOKUP(K7577,[2]analyte_order!$B:$B,[2]analyte_order!$C:$C)</f>
        <v>754-91-6</v>
      </c>
      <c r="M7577">
        <f>_xlfn.XLOOKUP(L7577,[2]analyte_order!$C:$C,[2]analyte_order!$E:$E)</f>
        <v>28</v>
      </c>
      <c r="N7577">
        <v>14.1</v>
      </c>
    </row>
    <row r="7578" spans="1:14">
      <c r="A7578" t="s">
        <v>204</v>
      </c>
      <c r="B7578" t="str">
        <f>_xlfn.XLOOKUP(A7578,'[1]Tissue Data'!$A:$A,'[1]Tissue Data'!$C:$C)</f>
        <v>Down</v>
      </c>
      <c r="C7578" s="2">
        <f>_xlfn.XLOOKUP(A7578,'[1]Tissue Data'!$A:$A,'[1]Tissue Data'!$D:$D)</f>
        <v>44393</v>
      </c>
      <c r="D7578" s="2" t="str">
        <f>_xlfn.XLOOKUP(A7578,'[1]Tissue Data'!$A:$A,'[1]Tissue Data'!$F:$F)</f>
        <v>Swallowtail Shiner</v>
      </c>
      <c r="E7578" t="str">
        <f>_xlfn.XLOOKUP(A7578,'[1]Tissue Data'!$A:$A,'[1]Tissue Data'!$H:$H)</f>
        <v>Notropis</v>
      </c>
      <c r="F7578" t="str">
        <f>_xlfn.XLOOKUP(A7578,'[1]Tissue Data'!$A:$A,'[1]Tissue Data'!$I:$I)</f>
        <v>procne</v>
      </c>
      <c r="G7578" t="str">
        <f>_xlfn.XLOOKUP(A7578,'[1]Tissue Data'!$A:$A,'[1]Tissue Data'!J:J)</f>
        <v>U</v>
      </c>
      <c r="H7578" t="str">
        <f>_xlfn.XLOOKUP(A7578,'[1]Tissue Data'!$A:$A,'[1]Tissue Data'!K:K)</f>
        <v>Whole Body</v>
      </c>
      <c r="I7578">
        <f>_xlfn.XLOOKUP(A7578,'[1]Tissue Data'!$A:$A,'[1]Tissue Data'!L:L)</f>
        <v>5</v>
      </c>
      <c r="J7578">
        <f>_xlfn.XLOOKUP(A7578,'[1]Tissue Data'!$A:$A,'[1]Tissue Data'!M:M)</f>
        <v>1.65</v>
      </c>
      <c r="K7578" t="s">
        <v>38</v>
      </c>
      <c r="L7578" t="str">
        <f>_xlfn.XLOOKUP(K7578,[2]analyte_order!$B:$B,[2]analyte_order!$C:$C)</f>
        <v>31506-32-8</v>
      </c>
      <c r="M7578">
        <f>_xlfn.XLOOKUP(L7578,[2]analyte_order!$C:$C,[2]analyte_order!$E:$E)</f>
        <v>30</v>
      </c>
      <c r="N7578">
        <v>0.191</v>
      </c>
    </row>
    <row r="7579" spans="1:14">
      <c r="A7579" t="s">
        <v>204</v>
      </c>
      <c r="B7579" t="str">
        <f>_xlfn.XLOOKUP(A7579,'[1]Tissue Data'!$A:$A,'[1]Tissue Data'!$C:$C)</f>
        <v>Down</v>
      </c>
      <c r="C7579" s="2">
        <f>_xlfn.XLOOKUP(A7579,'[1]Tissue Data'!$A:$A,'[1]Tissue Data'!$D:$D)</f>
        <v>44393</v>
      </c>
      <c r="D7579" s="2" t="str">
        <f>_xlfn.XLOOKUP(A7579,'[1]Tissue Data'!$A:$A,'[1]Tissue Data'!$F:$F)</f>
        <v>Swallowtail Shiner</v>
      </c>
      <c r="E7579" t="str">
        <f>_xlfn.XLOOKUP(A7579,'[1]Tissue Data'!$A:$A,'[1]Tissue Data'!$H:$H)</f>
        <v>Notropis</v>
      </c>
      <c r="F7579" t="str">
        <f>_xlfn.XLOOKUP(A7579,'[1]Tissue Data'!$A:$A,'[1]Tissue Data'!$I:$I)</f>
        <v>procne</v>
      </c>
      <c r="G7579" t="str">
        <f>_xlfn.XLOOKUP(A7579,'[1]Tissue Data'!$A:$A,'[1]Tissue Data'!J:J)</f>
        <v>U</v>
      </c>
      <c r="H7579" t="str">
        <f>_xlfn.XLOOKUP(A7579,'[1]Tissue Data'!$A:$A,'[1]Tissue Data'!K:K)</f>
        <v>Whole Body</v>
      </c>
      <c r="I7579">
        <f>_xlfn.XLOOKUP(A7579,'[1]Tissue Data'!$A:$A,'[1]Tissue Data'!L:L)</f>
        <v>5</v>
      </c>
      <c r="J7579">
        <f>_xlfn.XLOOKUP(A7579,'[1]Tissue Data'!$A:$A,'[1]Tissue Data'!M:M)</f>
        <v>1.65</v>
      </c>
      <c r="K7579" t="s">
        <v>39</v>
      </c>
      <c r="L7579" t="str">
        <f>_xlfn.XLOOKUP(K7579,[2]analyte_order!$B:$B,[2]analyte_order!$C:$C)</f>
        <v>4151-50-2</v>
      </c>
      <c r="M7579">
        <f>_xlfn.XLOOKUP(L7579,[2]analyte_order!$C:$C,[2]analyte_order!$E:$E)</f>
        <v>31</v>
      </c>
      <c r="N7579">
        <v>0.496</v>
      </c>
    </row>
    <row r="7580" spans="1:14">
      <c r="A7580" t="s">
        <v>204</v>
      </c>
      <c r="B7580" t="str">
        <f>_xlfn.XLOOKUP(A7580,'[1]Tissue Data'!$A:$A,'[1]Tissue Data'!$C:$C)</f>
        <v>Down</v>
      </c>
      <c r="C7580" s="2">
        <f>_xlfn.XLOOKUP(A7580,'[1]Tissue Data'!$A:$A,'[1]Tissue Data'!$D:$D)</f>
        <v>44393</v>
      </c>
      <c r="D7580" s="2" t="str">
        <f>_xlfn.XLOOKUP(A7580,'[1]Tissue Data'!$A:$A,'[1]Tissue Data'!$F:$F)</f>
        <v>Swallowtail Shiner</v>
      </c>
      <c r="E7580" t="str">
        <f>_xlfn.XLOOKUP(A7580,'[1]Tissue Data'!$A:$A,'[1]Tissue Data'!$H:$H)</f>
        <v>Notropis</v>
      </c>
      <c r="F7580" t="str">
        <f>_xlfn.XLOOKUP(A7580,'[1]Tissue Data'!$A:$A,'[1]Tissue Data'!$I:$I)</f>
        <v>procne</v>
      </c>
      <c r="G7580" t="str">
        <f>_xlfn.XLOOKUP(A7580,'[1]Tissue Data'!$A:$A,'[1]Tissue Data'!J:J)</f>
        <v>U</v>
      </c>
      <c r="H7580" t="str">
        <f>_xlfn.XLOOKUP(A7580,'[1]Tissue Data'!$A:$A,'[1]Tissue Data'!K:K)</f>
        <v>Whole Body</v>
      </c>
      <c r="I7580">
        <f>_xlfn.XLOOKUP(A7580,'[1]Tissue Data'!$A:$A,'[1]Tissue Data'!L:L)</f>
        <v>5</v>
      </c>
      <c r="J7580">
        <f>_xlfn.XLOOKUP(A7580,'[1]Tissue Data'!$A:$A,'[1]Tissue Data'!M:M)</f>
        <v>1.65</v>
      </c>
      <c r="K7580" t="s">
        <v>40</v>
      </c>
      <c r="L7580" t="str">
        <f>_xlfn.XLOOKUP(K7580,[2]analyte_order!$B:$B,[2]analyte_order!$C:$C)</f>
        <v>2806-24-8</v>
      </c>
      <c r="M7580">
        <f>_xlfn.XLOOKUP(L7580,[2]analyte_order!$C:$C,[2]analyte_order!$E:$E)</f>
        <v>29</v>
      </c>
      <c r="N7580">
        <v>0.496</v>
      </c>
    </row>
    <row r="7581" spans="1:14">
      <c r="A7581" t="s">
        <v>204</v>
      </c>
      <c r="B7581" t="str">
        <f>_xlfn.XLOOKUP(A7581,'[1]Tissue Data'!$A:$A,'[1]Tissue Data'!$C:$C)</f>
        <v>Down</v>
      </c>
      <c r="C7581" s="2">
        <f>_xlfn.XLOOKUP(A7581,'[1]Tissue Data'!$A:$A,'[1]Tissue Data'!$D:$D)</f>
        <v>44393</v>
      </c>
      <c r="D7581" s="2" t="str">
        <f>_xlfn.XLOOKUP(A7581,'[1]Tissue Data'!$A:$A,'[1]Tissue Data'!$F:$F)</f>
        <v>Swallowtail Shiner</v>
      </c>
      <c r="E7581" t="str">
        <f>_xlfn.XLOOKUP(A7581,'[1]Tissue Data'!$A:$A,'[1]Tissue Data'!$H:$H)</f>
        <v>Notropis</v>
      </c>
      <c r="F7581" t="str">
        <f>_xlfn.XLOOKUP(A7581,'[1]Tissue Data'!$A:$A,'[1]Tissue Data'!$I:$I)</f>
        <v>procne</v>
      </c>
      <c r="G7581" t="str">
        <f>_xlfn.XLOOKUP(A7581,'[1]Tissue Data'!$A:$A,'[1]Tissue Data'!J:J)</f>
        <v>U</v>
      </c>
      <c r="H7581" t="str">
        <f>_xlfn.XLOOKUP(A7581,'[1]Tissue Data'!$A:$A,'[1]Tissue Data'!K:K)</f>
        <v>Whole Body</v>
      </c>
      <c r="I7581">
        <f>_xlfn.XLOOKUP(A7581,'[1]Tissue Data'!$A:$A,'[1]Tissue Data'!L:L)</f>
        <v>5</v>
      </c>
      <c r="J7581">
        <f>_xlfn.XLOOKUP(A7581,'[1]Tissue Data'!$A:$A,'[1]Tissue Data'!M:M)</f>
        <v>1.65</v>
      </c>
      <c r="K7581" t="s">
        <v>41</v>
      </c>
      <c r="L7581" t="str">
        <f>_xlfn.XLOOKUP(K7581,[2]analyte_order!$B:$B,[2]analyte_order!$C:$C)</f>
        <v>2355-31-9</v>
      </c>
      <c r="M7581">
        <f>_xlfn.XLOOKUP(L7581,[2]analyte_order!$C:$C,[2]analyte_order!$E:$E)</f>
        <v>26</v>
      </c>
      <c r="N7581">
        <v>0.2495</v>
      </c>
    </row>
    <row r="7582" spans="1:14">
      <c r="A7582" t="s">
        <v>204</v>
      </c>
      <c r="B7582" t="str">
        <f>_xlfn.XLOOKUP(A7582,'[1]Tissue Data'!$A:$A,'[1]Tissue Data'!$C:$C)</f>
        <v>Down</v>
      </c>
      <c r="C7582" s="2">
        <f>_xlfn.XLOOKUP(A7582,'[1]Tissue Data'!$A:$A,'[1]Tissue Data'!$D:$D)</f>
        <v>44393</v>
      </c>
      <c r="D7582" s="2" t="str">
        <f>_xlfn.XLOOKUP(A7582,'[1]Tissue Data'!$A:$A,'[1]Tissue Data'!$F:$F)</f>
        <v>Swallowtail Shiner</v>
      </c>
      <c r="E7582" t="str">
        <f>_xlfn.XLOOKUP(A7582,'[1]Tissue Data'!$A:$A,'[1]Tissue Data'!$H:$H)</f>
        <v>Notropis</v>
      </c>
      <c r="F7582" t="str">
        <f>_xlfn.XLOOKUP(A7582,'[1]Tissue Data'!$A:$A,'[1]Tissue Data'!$I:$I)</f>
        <v>procne</v>
      </c>
      <c r="G7582" t="str">
        <f>_xlfn.XLOOKUP(A7582,'[1]Tissue Data'!$A:$A,'[1]Tissue Data'!J:J)</f>
        <v>U</v>
      </c>
      <c r="H7582" t="str">
        <f>_xlfn.XLOOKUP(A7582,'[1]Tissue Data'!$A:$A,'[1]Tissue Data'!K:K)</f>
        <v>Whole Body</v>
      </c>
      <c r="I7582">
        <f>_xlfn.XLOOKUP(A7582,'[1]Tissue Data'!$A:$A,'[1]Tissue Data'!L:L)</f>
        <v>5</v>
      </c>
      <c r="J7582">
        <f>_xlfn.XLOOKUP(A7582,'[1]Tissue Data'!$A:$A,'[1]Tissue Data'!M:M)</f>
        <v>1.65</v>
      </c>
      <c r="K7582" t="s">
        <v>42</v>
      </c>
      <c r="L7582" t="str">
        <f>_xlfn.XLOOKUP(K7582,[2]analyte_order!$B:$B,[2]analyte_order!$C:$C)</f>
        <v>2991-50-6</v>
      </c>
      <c r="M7582">
        <f>_xlfn.XLOOKUP(L7582,[2]analyte_order!$C:$C,[2]analyte_order!$E:$E)</f>
        <v>27</v>
      </c>
      <c r="N7582">
        <v>0.248</v>
      </c>
    </row>
    <row r="7583" spans="1:14">
      <c r="A7583" t="s">
        <v>204</v>
      </c>
      <c r="B7583" t="str">
        <f>_xlfn.XLOOKUP(A7583,'[1]Tissue Data'!$A:$A,'[1]Tissue Data'!$C:$C)</f>
        <v>Down</v>
      </c>
      <c r="C7583" s="2">
        <f>_xlfn.XLOOKUP(A7583,'[1]Tissue Data'!$A:$A,'[1]Tissue Data'!$D:$D)</f>
        <v>44393</v>
      </c>
      <c r="D7583" s="2" t="str">
        <f>_xlfn.XLOOKUP(A7583,'[1]Tissue Data'!$A:$A,'[1]Tissue Data'!$F:$F)</f>
        <v>Swallowtail Shiner</v>
      </c>
      <c r="E7583" t="str">
        <f>_xlfn.XLOOKUP(A7583,'[1]Tissue Data'!$A:$A,'[1]Tissue Data'!$H:$H)</f>
        <v>Notropis</v>
      </c>
      <c r="F7583" t="str">
        <f>_xlfn.XLOOKUP(A7583,'[1]Tissue Data'!$A:$A,'[1]Tissue Data'!$I:$I)</f>
        <v>procne</v>
      </c>
      <c r="G7583" t="str">
        <f>_xlfn.XLOOKUP(A7583,'[1]Tissue Data'!$A:$A,'[1]Tissue Data'!J:J)</f>
        <v>U</v>
      </c>
      <c r="H7583" t="str">
        <f>_xlfn.XLOOKUP(A7583,'[1]Tissue Data'!$A:$A,'[1]Tissue Data'!K:K)</f>
        <v>Whole Body</v>
      </c>
      <c r="I7583">
        <f>_xlfn.XLOOKUP(A7583,'[1]Tissue Data'!$A:$A,'[1]Tissue Data'!L:L)</f>
        <v>5</v>
      </c>
      <c r="J7583">
        <f>_xlfn.XLOOKUP(A7583,'[1]Tissue Data'!$A:$A,'[1]Tissue Data'!M:M)</f>
        <v>1.65</v>
      </c>
      <c r="K7583" t="s">
        <v>43</v>
      </c>
      <c r="L7583" t="str">
        <f>_xlfn.XLOOKUP(K7583,[2]analyte_order!$B:$B,[2]analyte_order!$C:$C)</f>
        <v>757124-72-4</v>
      </c>
      <c r="M7583">
        <f>_xlfn.XLOOKUP(L7583,[2]analyte_order!$C:$C,[2]analyte_order!$E:$E)</f>
        <v>22</v>
      </c>
      <c r="N7583">
        <v>0.248</v>
      </c>
    </row>
    <row r="7584" spans="1:14">
      <c r="A7584" t="s">
        <v>204</v>
      </c>
      <c r="B7584" t="str">
        <f>_xlfn.XLOOKUP(A7584,'[1]Tissue Data'!$A:$A,'[1]Tissue Data'!$C:$C)</f>
        <v>Down</v>
      </c>
      <c r="C7584" s="2">
        <f>_xlfn.XLOOKUP(A7584,'[1]Tissue Data'!$A:$A,'[1]Tissue Data'!$D:$D)</f>
        <v>44393</v>
      </c>
      <c r="D7584" s="2" t="str">
        <f>_xlfn.XLOOKUP(A7584,'[1]Tissue Data'!$A:$A,'[1]Tissue Data'!$F:$F)</f>
        <v>Swallowtail Shiner</v>
      </c>
      <c r="E7584" t="str">
        <f>_xlfn.XLOOKUP(A7584,'[1]Tissue Data'!$A:$A,'[1]Tissue Data'!$H:$H)</f>
        <v>Notropis</v>
      </c>
      <c r="F7584" t="str">
        <f>_xlfn.XLOOKUP(A7584,'[1]Tissue Data'!$A:$A,'[1]Tissue Data'!$I:$I)</f>
        <v>procne</v>
      </c>
      <c r="G7584" t="str">
        <f>_xlfn.XLOOKUP(A7584,'[1]Tissue Data'!$A:$A,'[1]Tissue Data'!J:J)</f>
        <v>U</v>
      </c>
      <c r="H7584" t="str">
        <f>_xlfn.XLOOKUP(A7584,'[1]Tissue Data'!$A:$A,'[1]Tissue Data'!K:K)</f>
        <v>Whole Body</v>
      </c>
      <c r="I7584">
        <f>_xlfn.XLOOKUP(A7584,'[1]Tissue Data'!$A:$A,'[1]Tissue Data'!L:L)</f>
        <v>5</v>
      </c>
      <c r="J7584">
        <f>_xlfn.XLOOKUP(A7584,'[1]Tissue Data'!$A:$A,'[1]Tissue Data'!M:M)</f>
        <v>1.65</v>
      </c>
      <c r="K7584" t="s">
        <v>44</v>
      </c>
      <c r="L7584" t="str">
        <f>_xlfn.XLOOKUP(K7584,[2]analyte_order!$B:$B,[2]analyte_order!$C:$C)</f>
        <v>27619-97-2</v>
      </c>
      <c r="M7584">
        <f>_xlfn.XLOOKUP(L7584,[2]analyte_order!$C:$C,[2]analyte_order!$E:$E)</f>
        <v>23</v>
      </c>
      <c r="N7584">
        <v>0.248</v>
      </c>
    </row>
    <row r="7585" spans="1:14">
      <c r="A7585" t="s">
        <v>204</v>
      </c>
      <c r="B7585" t="str">
        <f>_xlfn.XLOOKUP(A7585,'[1]Tissue Data'!$A:$A,'[1]Tissue Data'!$C:$C)</f>
        <v>Down</v>
      </c>
      <c r="C7585" s="2">
        <f>_xlfn.XLOOKUP(A7585,'[1]Tissue Data'!$A:$A,'[1]Tissue Data'!$D:$D)</f>
        <v>44393</v>
      </c>
      <c r="D7585" s="2" t="str">
        <f>_xlfn.XLOOKUP(A7585,'[1]Tissue Data'!$A:$A,'[1]Tissue Data'!$F:$F)</f>
        <v>Swallowtail Shiner</v>
      </c>
      <c r="E7585" t="str">
        <f>_xlfn.XLOOKUP(A7585,'[1]Tissue Data'!$A:$A,'[1]Tissue Data'!$H:$H)</f>
        <v>Notropis</v>
      </c>
      <c r="F7585" t="str">
        <f>_xlfn.XLOOKUP(A7585,'[1]Tissue Data'!$A:$A,'[1]Tissue Data'!$I:$I)</f>
        <v>procne</v>
      </c>
      <c r="G7585" t="str">
        <f>_xlfn.XLOOKUP(A7585,'[1]Tissue Data'!$A:$A,'[1]Tissue Data'!J:J)</f>
        <v>U</v>
      </c>
      <c r="H7585" t="str">
        <f>_xlfn.XLOOKUP(A7585,'[1]Tissue Data'!$A:$A,'[1]Tissue Data'!K:K)</f>
        <v>Whole Body</v>
      </c>
      <c r="I7585">
        <f>_xlfn.XLOOKUP(A7585,'[1]Tissue Data'!$A:$A,'[1]Tissue Data'!L:L)</f>
        <v>5</v>
      </c>
      <c r="J7585">
        <f>_xlfn.XLOOKUP(A7585,'[1]Tissue Data'!$A:$A,'[1]Tissue Data'!M:M)</f>
        <v>1.65</v>
      </c>
      <c r="K7585" t="s">
        <v>45</v>
      </c>
      <c r="L7585" t="str">
        <f>_xlfn.XLOOKUP(K7585,[2]analyte_order!$B:$B,[2]analyte_order!$C:$C)</f>
        <v>39108-34-4</v>
      </c>
      <c r="M7585">
        <f>_xlfn.XLOOKUP(L7585,[2]analyte_order!$C:$C,[2]analyte_order!$E:$E)</f>
        <v>24</v>
      </c>
      <c r="N7585">
        <v>8.08</v>
      </c>
    </row>
    <row r="7586" spans="1:14">
      <c r="A7586" t="s">
        <v>204</v>
      </c>
      <c r="B7586" t="str">
        <f>_xlfn.XLOOKUP(A7586,'[1]Tissue Data'!$A:$A,'[1]Tissue Data'!$C:$C)</f>
        <v>Down</v>
      </c>
      <c r="C7586" s="2">
        <f>_xlfn.XLOOKUP(A7586,'[1]Tissue Data'!$A:$A,'[1]Tissue Data'!$D:$D)</f>
        <v>44393</v>
      </c>
      <c r="D7586" s="2" t="str">
        <f>_xlfn.XLOOKUP(A7586,'[1]Tissue Data'!$A:$A,'[1]Tissue Data'!$F:$F)</f>
        <v>Swallowtail Shiner</v>
      </c>
      <c r="E7586" t="str">
        <f>_xlfn.XLOOKUP(A7586,'[1]Tissue Data'!$A:$A,'[1]Tissue Data'!$H:$H)</f>
        <v>Notropis</v>
      </c>
      <c r="F7586" t="str">
        <f>_xlfn.XLOOKUP(A7586,'[1]Tissue Data'!$A:$A,'[1]Tissue Data'!$I:$I)</f>
        <v>procne</v>
      </c>
      <c r="G7586" t="str">
        <f>_xlfn.XLOOKUP(A7586,'[1]Tissue Data'!$A:$A,'[1]Tissue Data'!J:J)</f>
        <v>U</v>
      </c>
      <c r="H7586" t="str">
        <f>_xlfn.XLOOKUP(A7586,'[1]Tissue Data'!$A:$A,'[1]Tissue Data'!K:K)</f>
        <v>Whole Body</v>
      </c>
      <c r="I7586">
        <f>_xlfn.XLOOKUP(A7586,'[1]Tissue Data'!$A:$A,'[1]Tissue Data'!L:L)</f>
        <v>5</v>
      </c>
      <c r="J7586">
        <f>_xlfn.XLOOKUP(A7586,'[1]Tissue Data'!$A:$A,'[1]Tissue Data'!M:M)</f>
        <v>1.65</v>
      </c>
      <c r="K7586" t="s">
        <v>46</v>
      </c>
      <c r="L7586" t="str">
        <f>_xlfn.XLOOKUP(K7586,[2]analyte_order!$B:$B,[2]analyte_order!$C:$C)</f>
        <v>120226-60-0</v>
      </c>
      <c r="M7586">
        <f>_xlfn.XLOOKUP(L7586,[2]analyte_order!$C:$C,[2]analyte_order!$E:$E)</f>
        <v>25</v>
      </c>
      <c r="N7586">
        <v>0.496</v>
      </c>
    </row>
    <row r="7587" spans="1:14">
      <c r="A7587" t="s">
        <v>204</v>
      </c>
      <c r="B7587" t="str">
        <f>_xlfn.XLOOKUP(A7587,'[1]Tissue Data'!$A:$A,'[1]Tissue Data'!$C:$C)</f>
        <v>Down</v>
      </c>
      <c r="C7587" s="2">
        <f>_xlfn.XLOOKUP(A7587,'[1]Tissue Data'!$A:$A,'[1]Tissue Data'!$D:$D)</f>
        <v>44393</v>
      </c>
      <c r="D7587" s="2" t="str">
        <f>_xlfn.XLOOKUP(A7587,'[1]Tissue Data'!$A:$A,'[1]Tissue Data'!$F:$F)</f>
        <v>Swallowtail Shiner</v>
      </c>
      <c r="E7587" t="str">
        <f>_xlfn.XLOOKUP(A7587,'[1]Tissue Data'!$A:$A,'[1]Tissue Data'!$H:$H)</f>
        <v>Notropis</v>
      </c>
      <c r="F7587" t="str">
        <f>_xlfn.XLOOKUP(A7587,'[1]Tissue Data'!$A:$A,'[1]Tissue Data'!$I:$I)</f>
        <v>procne</v>
      </c>
      <c r="G7587" t="str">
        <f>_xlfn.XLOOKUP(A7587,'[1]Tissue Data'!$A:$A,'[1]Tissue Data'!J:J)</f>
        <v>U</v>
      </c>
      <c r="H7587" t="str">
        <f>_xlfn.XLOOKUP(A7587,'[1]Tissue Data'!$A:$A,'[1]Tissue Data'!K:K)</f>
        <v>Whole Body</v>
      </c>
      <c r="I7587">
        <f>_xlfn.XLOOKUP(A7587,'[1]Tissue Data'!$A:$A,'[1]Tissue Data'!L:L)</f>
        <v>5</v>
      </c>
      <c r="J7587">
        <f>_xlfn.XLOOKUP(A7587,'[1]Tissue Data'!$A:$A,'[1]Tissue Data'!M:M)</f>
        <v>1.65</v>
      </c>
      <c r="K7587" t="s">
        <v>47</v>
      </c>
      <c r="L7587" t="str">
        <f>_xlfn.XLOOKUP(K7587,[2]analyte_order!$B:$B,[2]analyte_order!$C:$C)</f>
        <v>356-02-5</v>
      </c>
      <c r="M7587">
        <f>_xlfn.XLOOKUP(L7587,[2]analyte_order!$C:$C,[2]analyte_order!$E:$E)</f>
        <v>38</v>
      </c>
      <c r="N7587">
        <v>0.28599999999999998</v>
      </c>
    </row>
    <row r="7588" spans="1:14">
      <c r="A7588" t="s">
        <v>204</v>
      </c>
      <c r="B7588" t="str">
        <f>_xlfn.XLOOKUP(A7588,'[1]Tissue Data'!$A:$A,'[1]Tissue Data'!$C:$C)</f>
        <v>Down</v>
      </c>
      <c r="C7588" s="2">
        <f>_xlfn.XLOOKUP(A7588,'[1]Tissue Data'!$A:$A,'[1]Tissue Data'!$D:$D)</f>
        <v>44393</v>
      </c>
      <c r="D7588" s="2" t="str">
        <f>_xlfn.XLOOKUP(A7588,'[1]Tissue Data'!$A:$A,'[1]Tissue Data'!$F:$F)</f>
        <v>Swallowtail Shiner</v>
      </c>
      <c r="E7588" t="str">
        <f>_xlfn.XLOOKUP(A7588,'[1]Tissue Data'!$A:$A,'[1]Tissue Data'!$H:$H)</f>
        <v>Notropis</v>
      </c>
      <c r="F7588" t="str">
        <f>_xlfn.XLOOKUP(A7588,'[1]Tissue Data'!$A:$A,'[1]Tissue Data'!$I:$I)</f>
        <v>procne</v>
      </c>
      <c r="G7588" t="str">
        <f>_xlfn.XLOOKUP(A7588,'[1]Tissue Data'!$A:$A,'[1]Tissue Data'!J:J)</f>
        <v>U</v>
      </c>
      <c r="H7588" t="str">
        <f>_xlfn.XLOOKUP(A7588,'[1]Tissue Data'!$A:$A,'[1]Tissue Data'!K:K)</f>
        <v>Whole Body</v>
      </c>
      <c r="I7588">
        <f>_xlfn.XLOOKUP(A7588,'[1]Tissue Data'!$A:$A,'[1]Tissue Data'!L:L)</f>
        <v>5</v>
      </c>
      <c r="J7588">
        <f>_xlfn.XLOOKUP(A7588,'[1]Tissue Data'!$A:$A,'[1]Tissue Data'!M:M)</f>
        <v>1.65</v>
      </c>
      <c r="K7588" t="s">
        <v>48</v>
      </c>
      <c r="L7588" t="str">
        <f>_xlfn.XLOOKUP(K7588,[2]analyte_order!$B:$B,[2]analyte_order!$C:$C)</f>
        <v>914637-49-3</v>
      </c>
      <c r="M7588">
        <f>_xlfn.XLOOKUP(L7588,[2]analyte_order!$C:$C,[2]analyte_order!$E:$E)</f>
        <v>39</v>
      </c>
      <c r="N7588">
        <v>0.248</v>
      </c>
    </row>
    <row r="7589" spans="1:14">
      <c r="A7589" t="s">
        <v>204</v>
      </c>
      <c r="B7589" t="str">
        <f>_xlfn.XLOOKUP(A7589,'[1]Tissue Data'!$A:$A,'[1]Tissue Data'!$C:$C)</f>
        <v>Down</v>
      </c>
      <c r="C7589" s="2">
        <f>_xlfn.XLOOKUP(A7589,'[1]Tissue Data'!$A:$A,'[1]Tissue Data'!$D:$D)</f>
        <v>44393</v>
      </c>
      <c r="D7589" s="2" t="str">
        <f>_xlfn.XLOOKUP(A7589,'[1]Tissue Data'!$A:$A,'[1]Tissue Data'!$F:$F)</f>
        <v>Swallowtail Shiner</v>
      </c>
      <c r="E7589" t="str">
        <f>_xlfn.XLOOKUP(A7589,'[1]Tissue Data'!$A:$A,'[1]Tissue Data'!$H:$H)</f>
        <v>Notropis</v>
      </c>
      <c r="F7589" t="str">
        <f>_xlfn.XLOOKUP(A7589,'[1]Tissue Data'!$A:$A,'[1]Tissue Data'!$I:$I)</f>
        <v>procne</v>
      </c>
      <c r="G7589" t="str">
        <f>_xlfn.XLOOKUP(A7589,'[1]Tissue Data'!$A:$A,'[1]Tissue Data'!J:J)</f>
        <v>U</v>
      </c>
      <c r="H7589" t="str">
        <f>_xlfn.XLOOKUP(A7589,'[1]Tissue Data'!$A:$A,'[1]Tissue Data'!K:K)</f>
        <v>Whole Body</v>
      </c>
      <c r="I7589">
        <f>_xlfn.XLOOKUP(A7589,'[1]Tissue Data'!$A:$A,'[1]Tissue Data'!L:L)</f>
        <v>5</v>
      </c>
      <c r="J7589">
        <f>_xlfn.XLOOKUP(A7589,'[1]Tissue Data'!$A:$A,'[1]Tissue Data'!M:M)</f>
        <v>1.65</v>
      </c>
      <c r="K7589" t="s">
        <v>49</v>
      </c>
      <c r="L7589" t="str">
        <f>_xlfn.XLOOKUP(K7589,[2]analyte_order!$B:$B,[2]analyte_order!$C:$C)</f>
        <v>812-70-4</v>
      </c>
      <c r="M7589">
        <f>_xlfn.XLOOKUP(L7589,[2]analyte_order!$C:$C,[2]analyte_order!$E:$E)</f>
        <v>40</v>
      </c>
      <c r="N7589">
        <v>2.87</v>
      </c>
    </row>
    <row r="7590" spans="1:14">
      <c r="A7590" t="s">
        <v>204</v>
      </c>
      <c r="B7590" t="str">
        <f>_xlfn.XLOOKUP(A7590,'[1]Tissue Data'!$A:$A,'[1]Tissue Data'!$C:$C)</f>
        <v>Down</v>
      </c>
      <c r="C7590" s="2">
        <f>_xlfn.XLOOKUP(A7590,'[1]Tissue Data'!$A:$A,'[1]Tissue Data'!$D:$D)</f>
        <v>44393</v>
      </c>
      <c r="D7590" s="2" t="str">
        <f>_xlfn.XLOOKUP(A7590,'[1]Tissue Data'!$A:$A,'[1]Tissue Data'!$F:$F)</f>
        <v>Swallowtail Shiner</v>
      </c>
      <c r="E7590" t="str">
        <f>_xlfn.XLOOKUP(A7590,'[1]Tissue Data'!$A:$A,'[1]Tissue Data'!$H:$H)</f>
        <v>Notropis</v>
      </c>
      <c r="F7590" t="str">
        <f>_xlfn.XLOOKUP(A7590,'[1]Tissue Data'!$A:$A,'[1]Tissue Data'!$I:$I)</f>
        <v>procne</v>
      </c>
      <c r="G7590" t="str">
        <f>_xlfn.XLOOKUP(A7590,'[1]Tissue Data'!$A:$A,'[1]Tissue Data'!J:J)</f>
        <v>U</v>
      </c>
      <c r="H7590" t="str">
        <f>_xlfn.XLOOKUP(A7590,'[1]Tissue Data'!$A:$A,'[1]Tissue Data'!K:K)</f>
        <v>Whole Body</v>
      </c>
      <c r="I7590">
        <f>_xlfn.XLOOKUP(A7590,'[1]Tissue Data'!$A:$A,'[1]Tissue Data'!L:L)</f>
        <v>5</v>
      </c>
      <c r="J7590">
        <f>_xlfn.XLOOKUP(A7590,'[1]Tissue Data'!$A:$A,'[1]Tissue Data'!M:M)</f>
        <v>1.65</v>
      </c>
      <c r="K7590" t="s">
        <v>50</v>
      </c>
      <c r="L7590" t="str">
        <f>_xlfn.XLOOKUP(K7590,[2]analyte_order!$B:$B,[2]analyte_order!$C:$C)</f>
        <v>53826-12-3</v>
      </c>
      <c r="M7590">
        <f>_xlfn.XLOOKUP(L7590,[2]analyte_order!$C:$C,[2]analyte_order!$E:$E)</f>
        <v>41</v>
      </c>
      <c r="N7590">
        <v>0.496</v>
      </c>
    </row>
    <row r="7591" spans="1:14">
      <c r="A7591" t="s">
        <v>204</v>
      </c>
      <c r="B7591" t="str">
        <f>_xlfn.XLOOKUP(A7591,'[1]Tissue Data'!$A:$A,'[1]Tissue Data'!$C:$C)</f>
        <v>Down</v>
      </c>
      <c r="C7591" s="2">
        <f>_xlfn.XLOOKUP(A7591,'[1]Tissue Data'!$A:$A,'[1]Tissue Data'!$D:$D)</f>
        <v>44393</v>
      </c>
      <c r="D7591" s="2" t="str">
        <f>_xlfn.XLOOKUP(A7591,'[1]Tissue Data'!$A:$A,'[1]Tissue Data'!$F:$F)</f>
        <v>Swallowtail Shiner</v>
      </c>
      <c r="E7591" t="str">
        <f>_xlfn.XLOOKUP(A7591,'[1]Tissue Data'!$A:$A,'[1]Tissue Data'!$H:$H)</f>
        <v>Notropis</v>
      </c>
      <c r="F7591" t="str">
        <f>_xlfn.XLOOKUP(A7591,'[1]Tissue Data'!$A:$A,'[1]Tissue Data'!$I:$I)</f>
        <v>procne</v>
      </c>
      <c r="G7591" t="str">
        <f>_xlfn.XLOOKUP(A7591,'[1]Tissue Data'!$A:$A,'[1]Tissue Data'!J:J)</f>
        <v>U</v>
      </c>
      <c r="H7591" t="str">
        <f>_xlfn.XLOOKUP(A7591,'[1]Tissue Data'!$A:$A,'[1]Tissue Data'!K:K)</f>
        <v>Whole Body</v>
      </c>
      <c r="I7591">
        <f>_xlfn.XLOOKUP(A7591,'[1]Tissue Data'!$A:$A,'[1]Tissue Data'!L:L)</f>
        <v>5</v>
      </c>
      <c r="J7591">
        <f>_xlfn.XLOOKUP(A7591,'[1]Tissue Data'!$A:$A,'[1]Tissue Data'!M:M)</f>
        <v>1.65</v>
      </c>
      <c r="K7591" t="s">
        <v>51</v>
      </c>
      <c r="L7591" t="str">
        <f>_xlfn.XLOOKUP(K7591,[2]analyte_order!$B:$B,[2]analyte_order!$C:$C)</f>
        <v>27854-31-5</v>
      </c>
      <c r="M7591">
        <f>_xlfn.XLOOKUP(L7591,[2]analyte_order!$C:$C,[2]analyte_order!$E:$E)</f>
        <v>42</v>
      </c>
      <c r="N7591">
        <v>0.496</v>
      </c>
    </row>
    <row r="7592" spans="1:14">
      <c r="A7592" t="s">
        <v>204</v>
      </c>
      <c r="B7592" t="str">
        <f>_xlfn.XLOOKUP(A7592,'[1]Tissue Data'!$A:$A,'[1]Tissue Data'!$C:$C)</f>
        <v>Down</v>
      </c>
      <c r="C7592" s="2">
        <f>_xlfn.XLOOKUP(A7592,'[1]Tissue Data'!$A:$A,'[1]Tissue Data'!$D:$D)</f>
        <v>44393</v>
      </c>
      <c r="D7592" s="2" t="str">
        <f>_xlfn.XLOOKUP(A7592,'[1]Tissue Data'!$A:$A,'[1]Tissue Data'!$F:$F)</f>
        <v>Swallowtail Shiner</v>
      </c>
      <c r="E7592" t="str">
        <f>_xlfn.XLOOKUP(A7592,'[1]Tissue Data'!$A:$A,'[1]Tissue Data'!$H:$H)</f>
        <v>Notropis</v>
      </c>
      <c r="F7592" t="str">
        <f>_xlfn.XLOOKUP(A7592,'[1]Tissue Data'!$A:$A,'[1]Tissue Data'!$I:$I)</f>
        <v>procne</v>
      </c>
      <c r="G7592" t="str">
        <f>_xlfn.XLOOKUP(A7592,'[1]Tissue Data'!$A:$A,'[1]Tissue Data'!J:J)</f>
        <v>U</v>
      </c>
      <c r="H7592" t="str">
        <f>_xlfn.XLOOKUP(A7592,'[1]Tissue Data'!$A:$A,'[1]Tissue Data'!K:K)</f>
        <v>Whole Body</v>
      </c>
      <c r="I7592">
        <f>_xlfn.XLOOKUP(A7592,'[1]Tissue Data'!$A:$A,'[1]Tissue Data'!L:L)</f>
        <v>5</v>
      </c>
      <c r="J7592">
        <f>_xlfn.XLOOKUP(A7592,'[1]Tissue Data'!$A:$A,'[1]Tissue Data'!M:M)</f>
        <v>1.65</v>
      </c>
      <c r="K7592" t="s">
        <v>52</v>
      </c>
      <c r="L7592" t="str">
        <f>_xlfn.XLOOKUP(K7592,[2]analyte_order!$B:$B,[2]analyte_order!$C:$C)</f>
        <v>53826-13-4</v>
      </c>
      <c r="M7592">
        <f>_xlfn.XLOOKUP(L7592,[2]analyte_order!$C:$C,[2]analyte_order!$E:$E)</f>
        <v>43</v>
      </c>
      <c r="N7592">
        <v>0.496</v>
      </c>
    </row>
    <row r="7593" spans="1:14">
      <c r="A7593" t="s">
        <v>204</v>
      </c>
      <c r="B7593" t="str">
        <f>_xlfn.XLOOKUP(A7593,'[1]Tissue Data'!$A:$A,'[1]Tissue Data'!$C:$C)</f>
        <v>Down</v>
      </c>
      <c r="C7593" s="2">
        <f>_xlfn.XLOOKUP(A7593,'[1]Tissue Data'!$A:$A,'[1]Tissue Data'!$D:$D)</f>
        <v>44393</v>
      </c>
      <c r="D7593" s="2" t="str">
        <f>_xlfn.XLOOKUP(A7593,'[1]Tissue Data'!$A:$A,'[1]Tissue Data'!$F:$F)</f>
        <v>Swallowtail Shiner</v>
      </c>
      <c r="E7593" t="str">
        <f>_xlfn.XLOOKUP(A7593,'[1]Tissue Data'!$A:$A,'[1]Tissue Data'!$H:$H)</f>
        <v>Notropis</v>
      </c>
      <c r="F7593" t="str">
        <f>_xlfn.XLOOKUP(A7593,'[1]Tissue Data'!$A:$A,'[1]Tissue Data'!$I:$I)</f>
        <v>procne</v>
      </c>
      <c r="G7593" t="str">
        <f>_xlfn.XLOOKUP(A7593,'[1]Tissue Data'!$A:$A,'[1]Tissue Data'!J:J)</f>
        <v>U</v>
      </c>
      <c r="H7593" t="str">
        <f>_xlfn.XLOOKUP(A7593,'[1]Tissue Data'!$A:$A,'[1]Tissue Data'!K:K)</f>
        <v>Whole Body</v>
      </c>
      <c r="I7593">
        <f>_xlfn.XLOOKUP(A7593,'[1]Tissue Data'!$A:$A,'[1]Tissue Data'!L:L)</f>
        <v>5</v>
      </c>
      <c r="J7593">
        <f>_xlfn.XLOOKUP(A7593,'[1]Tissue Data'!$A:$A,'[1]Tissue Data'!M:M)</f>
        <v>1.65</v>
      </c>
      <c r="K7593" t="s">
        <v>53</v>
      </c>
      <c r="L7593" t="str">
        <f>_xlfn.XLOOKUP(K7593,[2]analyte_order!$B:$B,[2]analyte_order!$C:$C)</f>
        <v>161094-75-3</v>
      </c>
      <c r="M7593">
        <f>_xlfn.XLOOKUP(L7593,[2]analyte_order!$C:$C,[2]analyte_order!$E:$E)</f>
        <v>44</v>
      </c>
      <c r="N7593">
        <v>0.496</v>
      </c>
    </row>
    <row r="7594" spans="1:14">
      <c r="A7594" t="s">
        <v>204</v>
      </c>
      <c r="B7594" t="str">
        <f>_xlfn.XLOOKUP(A7594,'[1]Tissue Data'!$A:$A,'[1]Tissue Data'!$C:$C)</f>
        <v>Down</v>
      </c>
      <c r="C7594" s="2">
        <f>_xlfn.XLOOKUP(A7594,'[1]Tissue Data'!$A:$A,'[1]Tissue Data'!$D:$D)</f>
        <v>44393</v>
      </c>
      <c r="D7594" s="2" t="str">
        <f>_xlfn.XLOOKUP(A7594,'[1]Tissue Data'!$A:$A,'[1]Tissue Data'!$F:$F)</f>
        <v>Swallowtail Shiner</v>
      </c>
      <c r="E7594" t="str">
        <f>_xlfn.XLOOKUP(A7594,'[1]Tissue Data'!$A:$A,'[1]Tissue Data'!$H:$H)</f>
        <v>Notropis</v>
      </c>
      <c r="F7594" t="str">
        <f>_xlfn.XLOOKUP(A7594,'[1]Tissue Data'!$A:$A,'[1]Tissue Data'!$I:$I)</f>
        <v>procne</v>
      </c>
      <c r="G7594" t="str">
        <f>_xlfn.XLOOKUP(A7594,'[1]Tissue Data'!$A:$A,'[1]Tissue Data'!J:J)</f>
        <v>U</v>
      </c>
      <c r="H7594" t="str">
        <f>_xlfn.XLOOKUP(A7594,'[1]Tissue Data'!$A:$A,'[1]Tissue Data'!K:K)</f>
        <v>Whole Body</v>
      </c>
      <c r="I7594">
        <f>_xlfn.XLOOKUP(A7594,'[1]Tissue Data'!$A:$A,'[1]Tissue Data'!L:L)</f>
        <v>5</v>
      </c>
      <c r="J7594">
        <f>_xlfn.XLOOKUP(A7594,'[1]Tissue Data'!$A:$A,'[1]Tissue Data'!M:M)</f>
        <v>1.65</v>
      </c>
      <c r="K7594" t="s">
        <v>54</v>
      </c>
      <c r="L7594" t="str">
        <f>_xlfn.XLOOKUP(K7594,[2]analyte_order!$B:$B,[2]analyte_order!$C:$C)</f>
        <v>70887-84-2</v>
      </c>
      <c r="M7594">
        <f>_xlfn.XLOOKUP(L7594,[2]analyte_order!$C:$C,[2]analyte_order!$E:$E)</f>
        <v>45</v>
      </c>
      <c r="N7594">
        <v>0.496</v>
      </c>
    </row>
    <row r="7595" spans="1:14">
      <c r="A7595" t="s">
        <v>204</v>
      </c>
      <c r="B7595" t="str">
        <f>_xlfn.XLOOKUP(A7595,'[1]Tissue Data'!$A:$A,'[1]Tissue Data'!$C:$C)</f>
        <v>Down</v>
      </c>
      <c r="C7595" s="2">
        <f>_xlfn.XLOOKUP(A7595,'[1]Tissue Data'!$A:$A,'[1]Tissue Data'!$D:$D)</f>
        <v>44393</v>
      </c>
      <c r="D7595" s="2" t="str">
        <f>_xlfn.XLOOKUP(A7595,'[1]Tissue Data'!$A:$A,'[1]Tissue Data'!$F:$F)</f>
        <v>Swallowtail Shiner</v>
      </c>
      <c r="E7595" t="str">
        <f>_xlfn.XLOOKUP(A7595,'[1]Tissue Data'!$A:$A,'[1]Tissue Data'!$H:$H)</f>
        <v>Notropis</v>
      </c>
      <c r="F7595" t="str">
        <f>_xlfn.XLOOKUP(A7595,'[1]Tissue Data'!$A:$A,'[1]Tissue Data'!$I:$I)</f>
        <v>procne</v>
      </c>
      <c r="G7595" t="str">
        <f>_xlfn.XLOOKUP(A7595,'[1]Tissue Data'!$A:$A,'[1]Tissue Data'!J:J)</f>
        <v>U</v>
      </c>
      <c r="H7595" t="str">
        <f>_xlfn.XLOOKUP(A7595,'[1]Tissue Data'!$A:$A,'[1]Tissue Data'!K:K)</f>
        <v>Whole Body</v>
      </c>
      <c r="I7595">
        <f>_xlfn.XLOOKUP(A7595,'[1]Tissue Data'!$A:$A,'[1]Tissue Data'!L:L)</f>
        <v>5</v>
      </c>
      <c r="J7595">
        <f>_xlfn.XLOOKUP(A7595,'[1]Tissue Data'!$A:$A,'[1]Tissue Data'!M:M)</f>
        <v>1.65</v>
      </c>
      <c r="K7595" t="s">
        <v>55</v>
      </c>
      <c r="L7595" t="str">
        <f>_xlfn.XLOOKUP(K7595,[2]analyte_order!$B:$B,[2]analyte_order!$C:$C)</f>
        <v>919005-14-4</v>
      </c>
      <c r="M7595">
        <f>_xlfn.XLOOKUP(L7595,[2]analyte_order!$C:$C,[2]analyte_order!$E:$E)</f>
        <v>35</v>
      </c>
      <c r="N7595">
        <v>0.248</v>
      </c>
    </row>
    <row r="7596" spans="1:14">
      <c r="A7596" t="s">
        <v>204</v>
      </c>
      <c r="B7596" t="str">
        <f>_xlfn.XLOOKUP(A7596,'[1]Tissue Data'!$A:$A,'[1]Tissue Data'!$C:$C)</f>
        <v>Down</v>
      </c>
      <c r="C7596" s="2">
        <f>_xlfn.XLOOKUP(A7596,'[1]Tissue Data'!$A:$A,'[1]Tissue Data'!$D:$D)</f>
        <v>44393</v>
      </c>
      <c r="D7596" s="2" t="str">
        <f>_xlfn.XLOOKUP(A7596,'[1]Tissue Data'!$A:$A,'[1]Tissue Data'!$F:$F)</f>
        <v>Swallowtail Shiner</v>
      </c>
      <c r="E7596" t="str">
        <f>_xlfn.XLOOKUP(A7596,'[1]Tissue Data'!$A:$A,'[1]Tissue Data'!$H:$H)</f>
        <v>Notropis</v>
      </c>
      <c r="F7596" t="str">
        <f>_xlfn.XLOOKUP(A7596,'[1]Tissue Data'!$A:$A,'[1]Tissue Data'!$I:$I)</f>
        <v>procne</v>
      </c>
      <c r="G7596" t="str">
        <f>_xlfn.XLOOKUP(A7596,'[1]Tissue Data'!$A:$A,'[1]Tissue Data'!J:J)</f>
        <v>U</v>
      </c>
      <c r="H7596" t="str">
        <f>_xlfn.XLOOKUP(A7596,'[1]Tissue Data'!$A:$A,'[1]Tissue Data'!K:K)</f>
        <v>Whole Body</v>
      </c>
      <c r="I7596">
        <f>_xlfn.XLOOKUP(A7596,'[1]Tissue Data'!$A:$A,'[1]Tissue Data'!L:L)</f>
        <v>5</v>
      </c>
      <c r="J7596">
        <f>_xlfn.XLOOKUP(A7596,'[1]Tissue Data'!$A:$A,'[1]Tissue Data'!M:M)</f>
        <v>1.65</v>
      </c>
      <c r="K7596" t="s">
        <v>56</v>
      </c>
      <c r="L7596" t="str">
        <f>_xlfn.XLOOKUP(K7596,[2]analyte_order!$B:$B,[2]analyte_order!$C:$C)</f>
        <v>756426-58-1</v>
      </c>
      <c r="M7596">
        <f>_xlfn.XLOOKUP(L7596,[2]analyte_order!$C:$C,[2]analyte_order!$E:$E)</f>
        <v>36</v>
      </c>
      <c r="N7596">
        <v>0.496</v>
      </c>
    </row>
    <row r="7597" spans="1:14">
      <c r="A7597" t="s">
        <v>204</v>
      </c>
      <c r="B7597" t="str">
        <f>_xlfn.XLOOKUP(A7597,'[1]Tissue Data'!$A:$A,'[1]Tissue Data'!$C:$C)</f>
        <v>Down</v>
      </c>
      <c r="C7597" s="2">
        <f>_xlfn.XLOOKUP(A7597,'[1]Tissue Data'!$A:$A,'[1]Tissue Data'!$D:$D)</f>
        <v>44393</v>
      </c>
      <c r="D7597" s="2" t="str">
        <f>_xlfn.XLOOKUP(A7597,'[1]Tissue Data'!$A:$A,'[1]Tissue Data'!$F:$F)</f>
        <v>Swallowtail Shiner</v>
      </c>
      <c r="E7597" t="str">
        <f>_xlfn.XLOOKUP(A7597,'[1]Tissue Data'!$A:$A,'[1]Tissue Data'!$H:$H)</f>
        <v>Notropis</v>
      </c>
      <c r="F7597" t="str">
        <f>_xlfn.XLOOKUP(A7597,'[1]Tissue Data'!$A:$A,'[1]Tissue Data'!$I:$I)</f>
        <v>procne</v>
      </c>
      <c r="G7597" t="str">
        <f>_xlfn.XLOOKUP(A7597,'[1]Tissue Data'!$A:$A,'[1]Tissue Data'!J:J)</f>
        <v>U</v>
      </c>
      <c r="H7597" t="str">
        <f>_xlfn.XLOOKUP(A7597,'[1]Tissue Data'!$A:$A,'[1]Tissue Data'!K:K)</f>
        <v>Whole Body</v>
      </c>
      <c r="I7597">
        <f>_xlfn.XLOOKUP(A7597,'[1]Tissue Data'!$A:$A,'[1]Tissue Data'!L:L)</f>
        <v>5</v>
      </c>
      <c r="J7597">
        <f>_xlfn.XLOOKUP(A7597,'[1]Tissue Data'!$A:$A,'[1]Tissue Data'!M:M)</f>
        <v>1.65</v>
      </c>
      <c r="K7597" t="s">
        <v>57</v>
      </c>
      <c r="L7597" t="str">
        <f>_xlfn.XLOOKUP(K7597,[2]analyte_order!$B:$B,[2]analyte_order!$C:$C)</f>
        <v>763051-92-9</v>
      </c>
      <c r="M7597">
        <f>_xlfn.XLOOKUP(L7597,[2]analyte_order!$C:$C,[2]analyte_order!$E:$E)</f>
        <v>37</v>
      </c>
      <c r="N7597">
        <v>0.496</v>
      </c>
    </row>
    <row r="7598" spans="1:14">
      <c r="A7598" t="s">
        <v>204</v>
      </c>
      <c r="B7598" t="str">
        <f>_xlfn.XLOOKUP(A7598,'[1]Tissue Data'!$A:$A,'[1]Tissue Data'!$C:$C)</f>
        <v>Down</v>
      </c>
      <c r="C7598" s="2">
        <f>_xlfn.XLOOKUP(A7598,'[1]Tissue Data'!$A:$A,'[1]Tissue Data'!$D:$D)</f>
        <v>44393</v>
      </c>
      <c r="D7598" s="2" t="str">
        <f>_xlfn.XLOOKUP(A7598,'[1]Tissue Data'!$A:$A,'[1]Tissue Data'!$F:$F)</f>
        <v>Swallowtail Shiner</v>
      </c>
      <c r="E7598" t="str">
        <f>_xlfn.XLOOKUP(A7598,'[1]Tissue Data'!$A:$A,'[1]Tissue Data'!$H:$H)</f>
        <v>Notropis</v>
      </c>
      <c r="F7598" t="str">
        <f>_xlfn.XLOOKUP(A7598,'[1]Tissue Data'!$A:$A,'[1]Tissue Data'!$I:$I)</f>
        <v>procne</v>
      </c>
      <c r="G7598" t="str">
        <f>_xlfn.XLOOKUP(A7598,'[1]Tissue Data'!$A:$A,'[1]Tissue Data'!J:J)</f>
        <v>U</v>
      </c>
      <c r="H7598" t="str">
        <f>_xlfn.XLOOKUP(A7598,'[1]Tissue Data'!$A:$A,'[1]Tissue Data'!K:K)</f>
        <v>Whole Body</v>
      </c>
      <c r="I7598">
        <f>_xlfn.XLOOKUP(A7598,'[1]Tissue Data'!$A:$A,'[1]Tissue Data'!L:L)</f>
        <v>5</v>
      </c>
      <c r="J7598">
        <f>_xlfn.XLOOKUP(A7598,'[1]Tissue Data'!$A:$A,'[1]Tissue Data'!M:M)</f>
        <v>1.65</v>
      </c>
      <c r="K7598" t="s">
        <v>58</v>
      </c>
      <c r="L7598" t="str">
        <f>_xlfn.XLOOKUP(K7598,[2]analyte_order!$B:$B,[2]analyte_order!$C:$C)</f>
        <v>13252-13-6</v>
      </c>
      <c r="M7598">
        <f>_xlfn.XLOOKUP(L7598,[2]analyte_order!$C:$C,[2]analyte_order!$E:$E)</f>
        <v>34</v>
      </c>
      <c r="N7598">
        <v>0.35599999999999998</v>
      </c>
    </row>
    <row r="7599" spans="1:14">
      <c r="A7599" t="s">
        <v>204</v>
      </c>
      <c r="B7599" t="str">
        <f>_xlfn.XLOOKUP(A7599,'[1]Tissue Data'!$A:$A,'[1]Tissue Data'!$C:$C)</f>
        <v>Down</v>
      </c>
      <c r="C7599" s="2">
        <f>_xlfn.XLOOKUP(A7599,'[1]Tissue Data'!$A:$A,'[1]Tissue Data'!$D:$D)</f>
        <v>44393</v>
      </c>
      <c r="D7599" s="2" t="str">
        <f>_xlfn.XLOOKUP(A7599,'[1]Tissue Data'!$A:$A,'[1]Tissue Data'!$F:$F)</f>
        <v>Swallowtail Shiner</v>
      </c>
      <c r="E7599" t="str">
        <f>_xlfn.XLOOKUP(A7599,'[1]Tissue Data'!$A:$A,'[1]Tissue Data'!$H:$H)</f>
        <v>Notropis</v>
      </c>
      <c r="F7599" t="str">
        <f>_xlfn.XLOOKUP(A7599,'[1]Tissue Data'!$A:$A,'[1]Tissue Data'!$I:$I)</f>
        <v>procne</v>
      </c>
      <c r="G7599" t="str">
        <f>_xlfn.XLOOKUP(A7599,'[1]Tissue Data'!$A:$A,'[1]Tissue Data'!J:J)</f>
        <v>U</v>
      </c>
      <c r="H7599" t="str">
        <f>_xlfn.XLOOKUP(A7599,'[1]Tissue Data'!$A:$A,'[1]Tissue Data'!K:K)</f>
        <v>Whole Body</v>
      </c>
      <c r="I7599">
        <f>_xlfn.XLOOKUP(A7599,'[1]Tissue Data'!$A:$A,'[1]Tissue Data'!L:L)</f>
        <v>5</v>
      </c>
      <c r="J7599">
        <f>_xlfn.XLOOKUP(A7599,'[1]Tissue Data'!$A:$A,'[1]Tissue Data'!M:M)</f>
        <v>1.65</v>
      </c>
      <c r="K7599" t="s">
        <v>59</v>
      </c>
      <c r="L7599" t="str">
        <f>_xlfn.XLOOKUP(K7599,[2]analyte_order!$B:$B,[2]analyte_order!$C:$C)</f>
        <v>57677-95-9</v>
      </c>
      <c r="M7599">
        <f>_xlfn.XLOOKUP(L7599,[2]analyte_order!$C:$C,[2]analyte_order!$E:$E)</f>
        <v>46</v>
      </c>
      <c r="N7599">
        <v>0.496</v>
      </c>
    </row>
    <row r="7600" spans="1:14">
      <c r="A7600" t="s">
        <v>204</v>
      </c>
      <c r="B7600" t="str">
        <f>_xlfn.XLOOKUP(A7600,'[1]Tissue Data'!$A:$A,'[1]Tissue Data'!$C:$C)</f>
        <v>Down</v>
      </c>
      <c r="C7600" s="2">
        <f>_xlfn.XLOOKUP(A7600,'[1]Tissue Data'!$A:$A,'[1]Tissue Data'!$D:$D)</f>
        <v>44393</v>
      </c>
      <c r="D7600" s="2" t="str">
        <f>_xlfn.XLOOKUP(A7600,'[1]Tissue Data'!$A:$A,'[1]Tissue Data'!$F:$F)</f>
        <v>Swallowtail Shiner</v>
      </c>
      <c r="E7600" t="str">
        <f>_xlfn.XLOOKUP(A7600,'[1]Tissue Data'!$A:$A,'[1]Tissue Data'!$H:$H)</f>
        <v>Notropis</v>
      </c>
      <c r="F7600" t="str">
        <f>_xlfn.XLOOKUP(A7600,'[1]Tissue Data'!$A:$A,'[1]Tissue Data'!$I:$I)</f>
        <v>procne</v>
      </c>
      <c r="G7600" t="str">
        <f>_xlfn.XLOOKUP(A7600,'[1]Tissue Data'!$A:$A,'[1]Tissue Data'!J:J)</f>
        <v>U</v>
      </c>
      <c r="H7600" t="str">
        <f>_xlfn.XLOOKUP(A7600,'[1]Tissue Data'!$A:$A,'[1]Tissue Data'!K:K)</f>
        <v>Whole Body</v>
      </c>
      <c r="I7600">
        <f>_xlfn.XLOOKUP(A7600,'[1]Tissue Data'!$A:$A,'[1]Tissue Data'!L:L)</f>
        <v>5</v>
      </c>
      <c r="J7600">
        <f>_xlfn.XLOOKUP(A7600,'[1]Tissue Data'!$A:$A,'[1]Tissue Data'!M:M)</f>
        <v>1.65</v>
      </c>
      <c r="K7600" t="s">
        <v>60</v>
      </c>
      <c r="L7600" t="str">
        <f>_xlfn.XLOOKUP(K7600,[2]analyte_order!$B:$B,[2]analyte_order!$C:$C)</f>
        <v>678-41-1</v>
      </c>
      <c r="M7600">
        <f>_xlfn.XLOOKUP(L7600,[2]analyte_order!$C:$C,[2]analyte_order!$E:$E)</f>
        <v>56</v>
      </c>
      <c r="N7600">
        <v>0.496</v>
      </c>
    </row>
    <row r="7601" spans="1:14">
      <c r="A7601" t="s">
        <v>204</v>
      </c>
      <c r="B7601" t="str">
        <f>_xlfn.XLOOKUP(A7601,'[1]Tissue Data'!$A:$A,'[1]Tissue Data'!$C:$C)</f>
        <v>Down</v>
      </c>
      <c r="C7601" s="2">
        <f>_xlfn.XLOOKUP(A7601,'[1]Tissue Data'!$A:$A,'[1]Tissue Data'!$D:$D)</f>
        <v>44393</v>
      </c>
      <c r="D7601" s="2" t="str">
        <f>_xlfn.XLOOKUP(A7601,'[1]Tissue Data'!$A:$A,'[1]Tissue Data'!$F:$F)</f>
        <v>Swallowtail Shiner</v>
      </c>
      <c r="E7601" t="str">
        <f>_xlfn.XLOOKUP(A7601,'[1]Tissue Data'!$A:$A,'[1]Tissue Data'!$H:$H)</f>
        <v>Notropis</v>
      </c>
      <c r="F7601" t="str">
        <f>_xlfn.XLOOKUP(A7601,'[1]Tissue Data'!$A:$A,'[1]Tissue Data'!$I:$I)</f>
        <v>procne</v>
      </c>
      <c r="G7601" t="str">
        <f>_xlfn.XLOOKUP(A7601,'[1]Tissue Data'!$A:$A,'[1]Tissue Data'!J:J)</f>
        <v>U</v>
      </c>
      <c r="H7601" t="str">
        <f>_xlfn.XLOOKUP(A7601,'[1]Tissue Data'!$A:$A,'[1]Tissue Data'!K:K)</f>
        <v>Whole Body</v>
      </c>
      <c r="I7601">
        <f>_xlfn.XLOOKUP(A7601,'[1]Tissue Data'!$A:$A,'[1]Tissue Data'!L:L)</f>
        <v>5</v>
      </c>
      <c r="J7601">
        <f>_xlfn.XLOOKUP(A7601,'[1]Tissue Data'!$A:$A,'[1]Tissue Data'!M:M)</f>
        <v>1.65</v>
      </c>
      <c r="K7601" t="s">
        <v>61</v>
      </c>
      <c r="L7601" t="str">
        <f>_xlfn.XLOOKUP(K7601,[2]analyte_order!$B:$B,[2]analyte_order!$C:$C)</f>
        <v>2965-52-8</v>
      </c>
      <c r="M7601">
        <f>_xlfn.XLOOKUP(L7601,[2]analyte_order!$C:$C,[2]analyte_order!$E:$E)</f>
        <v>57</v>
      </c>
      <c r="N7601">
        <v>0.496</v>
      </c>
    </row>
    <row r="7602" spans="1:14">
      <c r="A7602" t="s">
        <v>205</v>
      </c>
      <c r="B7602" t="str">
        <f>_xlfn.XLOOKUP(A7602,'[1]Tissue Data'!$A:$A,'[1]Tissue Data'!$C:$C)</f>
        <v>Down</v>
      </c>
      <c r="C7602" s="2">
        <f>_xlfn.XLOOKUP(A7602,'[1]Tissue Data'!$A:$A,'[1]Tissue Data'!$D:$D)</f>
        <v>44393</v>
      </c>
      <c r="D7602" s="2" t="str">
        <f>_xlfn.XLOOKUP(A7602,'[1]Tissue Data'!$A:$A,'[1]Tissue Data'!$F:$F)</f>
        <v>Swallowtail Shiner</v>
      </c>
      <c r="E7602" t="str">
        <f>_xlfn.XLOOKUP(A7602,'[1]Tissue Data'!$A:$A,'[1]Tissue Data'!$H:$H)</f>
        <v>Notropis</v>
      </c>
      <c r="F7602" t="str">
        <f>_xlfn.XLOOKUP(A7602,'[1]Tissue Data'!$A:$A,'[1]Tissue Data'!$I:$I)</f>
        <v>procne</v>
      </c>
      <c r="G7602" t="str">
        <f>_xlfn.XLOOKUP(A7602,'[1]Tissue Data'!$A:$A,'[1]Tissue Data'!J:J)</f>
        <v>U</v>
      </c>
      <c r="H7602" t="str">
        <f>_xlfn.XLOOKUP(A7602,'[1]Tissue Data'!$A:$A,'[1]Tissue Data'!K:K)</f>
        <v>Whole Body</v>
      </c>
      <c r="I7602">
        <f>_xlfn.XLOOKUP(A7602,'[1]Tissue Data'!$A:$A,'[1]Tissue Data'!L:L)</f>
        <v>5.5</v>
      </c>
      <c r="J7602">
        <f>_xlfn.XLOOKUP(A7602,'[1]Tissue Data'!$A:$A,'[1]Tissue Data'!M:M)</f>
        <v>1.89</v>
      </c>
      <c r="K7602" t="s">
        <v>12</v>
      </c>
      <c r="L7602" t="str">
        <f>_xlfn.XLOOKUP(K7602,[2]analyte_order!$B:$B,[2]analyte_order!$C:$C)</f>
        <v>375-22-4</v>
      </c>
      <c r="M7602">
        <f>_xlfn.XLOOKUP(L7602,[2]analyte_order!$C:$C,[2]analyte_order!$E:$E)</f>
        <v>1</v>
      </c>
      <c r="N7602">
        <v>0.21299999999999999</v>
      </c>
    </row>
    <row r="7603" spans="1:14">
      <c r="A7603" t="s">
        <v>205</v>
      </c>
      <c r="B7603" t="str">
        <f>_xlfn.XLOOKUP(A7603,'[1]Tissue Data'!$A:$A,'[1]Tissue Data'!$C:$C)</f>
        <v>Down</v>
      </c>
      <c r="C7603" s="2">
        <f>_xlfn.XLOOKUP(A7603,'[1]Tissue Data'!$A:$A,'[1]Tissue Data'!$D:$D)</f>
        <v>44393</v>
      </c>
      <c r="D7603" s="2" t="str">
        <f>_xlfn.XLOOKUP(A7603,'[1]Tissue Data'!$A:$A,'[1]Tissue Data'!$F:$F)</f>
        <v>Swallowtail Shiner</v>
      </c>
      <c r="E7603" t="str">
        <f>_xlfn.XLOOKUP(A7603,'[1]Tissue Data'!$A:$A,'[1]Tissue Data'!$H:$H)</f>
        <v>Notropis</v>
      </c>
      <c r="F7603" t="str">
        <f>_xlfn.XLOOKUP(A7603,'[1]Tissue Data'!$A:$A,'[1]Tissue Data'!$I:$I)</f>
        <v>procne</v>
      </c>
      <c r="G7603" t="str">
        <f>_xlfn.XLOOKUP(A7603,'[1]Tissue Data'!$A:$A,'[1]Tissue Data'!J:J)</f>
        <v>U</v>
      </c>
      <c r="H7603" t="str">
        <f>_xlfn.XLOOKUP(A7603,'[1]Tissue Data'!$A:$A,'[1]Tissue Data'!K:K)</f>
        <v>Whole Body</v>
      </c>
      <c r="I7603">
        <f>_xlfn.XLOOKUP(A7603,'[1]Tissue Data'!$A:$A,'[1]Tissue Data'!L:L)</f>
        <v>5.5</v>
      </c>
      <c r="J7603">
        <f>_xlfn.XLOOKUP(A7603,'[1]Tissue Data'!$A:$A,'[1]Tissue Data'!M:M)</f>
        <v>1.89</v>
      </c>
      <c r="K7603" t="s">
        <v>13</v>
      </c>
      <c r="L7603" t="str">
        <f>_xlfn.XLOOKUP(K7603,[2]analyte_order!$B:$B,[2]analyte_order!$C:$C)</f>
        <v>2706-90-3</v>
      </c>
      <c r="M7603">
        <f>_xlfn.XLOOKUP(L7603,[2]analyte_order!$C:$C,[2]analyte_order!$E:$E)</f>
        <v>2</v>
      </c>
      <c r="N7603">
        <v>0.21299999999999999</v>
      </c>
    </row>
    <row r="7604" spans="1:14">
      <c r="A7604" t="s">
        <v>205</v>
      </c>
      <c r="B7604" t="str">
        <f>_xlfn.XLOOKUP(A7604,'[1]Tissue Data'!$A:$A,'[1]Tissue Data'!$C:$C)</f>
        <v>Down</v>
      </c>
      <c r="C7604" s="2">
        <f>_xlfn.XLOOKUP(A7604,'[1]Tissue Data'!$A:$A,'[1]Tissue Data'!$D:$D)</f>
        <v>44393</v>
      </c>
      <c r="D7604" s="2" t="str">
        <f>_xlfn.XLOOKUP(A7604,'[1]Tissue Data'!$A:$A,'[1]Tissue Data'!$F:$F)</f>
        <v>Swallowtail Shiner</v>
      </c>
      <c r="E7604" t="str">
        <f>_xlfn.XLOOKUP(A7604,'[1]Tissue Data'!$A:$A,'[1]Tissue Data'!$H:$H)</f>
        <v>Notropis</v>
      </c>
      <c r="F7604" t="str">
        <f>_xlfn.XLOOKUP(A7604,'[1]Tissue Data'!$A:$A,'[1]Tissue Data'!$I:$I)</f>
        <v>procne</v>
      </c>
      <c r="G7604" t="str">
        <f>_xlfn.XLOOKUP(A7604,'[1]Tissue Data'!$A:$A,'[1]Tissue Data'!J:J)</f>
        <v>U</v>
      </c>
      <c r="H7604" t="str">
        <f>_xlfn.XLOOKUP(A7604,'[1]Tissue Data'!$A:$A,'[1]Tissue Data'!K:K)</f>
        <v>Whole Body</v>
      </c>
      <c r="I7604">
        <f>_xlfn.XLOOKUP(A7604,'[1]Tissue Data'!$A:$A,'[1]Tissue Data'!L:L)</f>
        <v>5.5</v>
      </c>
      <c r="J7604">
        <f>_xlfn.XLOOKUP(A7604,'[1]Tissue Data'!$A:$A,'[1]Tissue Data'!M:M)</f>
        <v>1.89</v>
      </c>
      <c r="K7604" t="s">
        <v>14</v>
      </c>
      <c r="L7604" t="str">
        <f>_xlfn.XLOOKUP(K7604,[2]analyte_order!$B:$B,[2]analyte_order!$C:$C)</f>
        <v>307-24-4</v>
      </c>
      <c r="M7604">
        <f>_xlfn.XLOOKUP(L7604,[2]analyte_order!$C:$C,[2]analyte_order!$E:$E)</f>
        <v>3</v>
      </c>
      <c r="N7604">
        <v>0.115</v>
      </c>
    </row>
    <row r="7605" spans="1:14">
      <c r="A7605" t="s">
        <v>205</v>
      </c>
      <c r="B7605" t="str">
        <f>_xlfn.XLOOKUP(A7605,'[1]Tissue Data'!$A:$A,'[1]Tissue Data'!$C:$C)</f>
        <v>Down</v>
      </c>
      <c r="C7605" s="2">
        <f>_xlfn.XLOOKUP(A7605,'[1]Tissue Data'!$A:$A,'[1]Tissue Data'!$D:$D)</f>
        <v>44393</v>
      </c>
      <c r="D7605" s="2" t="str">
        <f>_xlfn.XLOOKUP(A7605,'[1]Tissue Data'!$A:$A,'[1]Tissue Data'!$F:$F)</f>
        <v>Swallowtail Shiner</v>
      </c>
      <c r="E7605" t="str">
        <f>_xlfn.XLOOKUP(A7605,'[1]Tissue Data'!$A:$A,'[1]Tissue Data'!$H:$H)</f>
        <v>Notropis</v>
      </c>
      <c r="F7605" t="str">
        <f>_xlfn.XLOOKUP(A7605,'[1]Tissue Data'!$A:$A,'[1]Tissue Data'!$I:$I)</f>
        <v>procne</v>
      </c>
      <c r="G7605" t="str">
        <f>_xlfn.XLOOKUP(A7605,'[1]Tissue Data'!$A:$A,'[1]Tissue Data'!J:J)</f>
        <v>U</v>
      </c>
      <c r="H7605" t="str">
        <f>_xlfn.XLOOKUP(A7605,'[1]Tissue Data'!$A:$A,'[1]Tissue Data'!K:K)</f>
        <v>Whole Body</v>
      </c>
      <c r="I7605">
        <f>_xlfn.XLOOKUP(A7605,'[1]Tissue Data'!$A:$A,'[1]Tissue Data'!L:L)</f>
        <v>5.5</v>
      </c>
      <c r="J7605">
        <f>_xlfn.XLOOKUP(A7605,'[1]Tissue Data'!$A:$A,'[1]Tissue Data'!M:M)</f>
        <v>1.89</v>
      </c>
      <c r="K7605" t="s">
        <v>15</v>
      </c>
      <c r="L7605" t="str">
        <f>_xlfn.XLOOKUP(K7605,[2]analyte_order!$B:$B,[2]analyte_order!$C:$C)</f>
        <v>375-85-9</v>
      </c>
      <c r="M7605">
        <f>_xlfn.XLOOKUP(L7605,[2]analyte_order!$C:$C,[2]analyte_order!$E:$E)</f>
        <v>4</v>
      </c>
      <c r="N7605">
        <v>0.21299999999999999</v>
      </c>
    </row>
    <row r="7606" spans="1:14">
      <c r="A7606" t="s">
        <v>205</v>
      </c>
      <c r="B7606" t="str">
        <f>_xlfn.XLOOKUP(A7606,'[1]Tissue Data'!$A:$A,'[1]Tissue Data'!$C:$C)</f>
        <v>Down</v>
      </c>
      <c r="C7606" s="2">
        <f>_xlfn.XLOOKUP(A7606,'[1]Tissue Data'!$A:$A,'[1]Tissue Data'!$D:$D)</f>
        <v>44393</v>
      </c>
      <c r="D7606" s="2" t="str">
        <f>_xlfn.XLOOKUP(A7606,'[1]Tissue Data'!$A:$A,'[1]Tissue Data'!$F:$F)</f>
        <v>Swallowtail Shiner</v>
      </c>
      <c r="E7606" t="str">
        <f>_xlfn.XLOOKUP(A7606,'[1]Tissue Data'!$A:$A,'[1]Tissue Data'!$H:$H)</f>
        <v>Notropis</v>
      </c>
      <c r="F7606" t="str">
        <f>_xlfn.XLOOKUP(A7606,'[1]Tissue Data'!$A:$A,'[1]Tissue Data'!$I:$I)</f>
        <v>procne</v>
      </c>
      <c r="G7606" t="str">
        <f>_xlfn.XLOOKUP(A7606,'[1]Tissue Data'!$A:$A,'[1]Tissue Data'!J:J)</f>
        <v>U</v>
      </c>
      <c r="H7606" t="str">
        <f>_xlfn.XLOOKUP(A7606,'[1]Tissue Data'!$A:$A,'[1]Tissue Data'!K:K)</f>
        <v>Whole Body</v>
      </c>
      <c r="I7606">
        <f>_xlfn.XLOOKUP(A7606,'[1]Tissue Data'!$A:$A,'[1]Tissue Data'!L:L)</f>
        <v>5.5</v>
      </c>
      <c r="J7606">
        <f>_xlfn.XLOOKUP(A7606,'[1]Tissue Data'!$A:$A,'[1]Tissue Data'!M:M)</f>
        <v>1.89</v>
      </c>
      <c r="K7606" t="s">
        <v>16</v>
      </c>
      <c r="L7606" t="str">
        <f>_xlfn.XLOOKUP(K7606,[2]analyte_order!$B:$B,[2]analyte_order!$C:$C)</f>
        <v>335-67-1</v>
      </c>
      <c r="M7606">
        <f>_xlfn.XLOOKUP(L7606,[2]analyte_order!$C:$C,[2]analyte_order!$E:$E)</f>
        <v>5</v>
      </c>
      <c r="N7606">
        <v>1.1000000000000001</v>
      </c>
    </row>
    <row r="7607" spans="1:14">
      <c r="A7607" t="s">
        <v>205</v>
      </c>
      <c r="B7607" t="str">
        <f>_xlfn.XLOOKUP(A7607,'[1]Tissue Data'!$A:$A,'[1]Tissue Data'!$C:$C)</f>
        <v>Down</v>
      </c>
      <c r="C7607" s="2">
        <f>_xlfn.XLOOKUP(A7607,'[1]Tissue Data'!$A:$A,'[1]Tissue Data'!$D:$D)</f>
        <v>44393</v>
      </c>
      <c r="D7607" s="2" t="str">
        <f>_xlfn.XLOOKUP(A7607,'[1]Tissue Data'!$A:$A,'[1]Tissue Data'!$F:$F)</f>
        <v>Swallowtail Shiner</v>
      </c>
      <c r="E7607" t="str">
        <f>_xlfn.XLOOKUP(A7607,'[1]Tissue Data'!$A:$A,'[1]Tissue Data'!$H:$H)</f>
        <v>Notropis</v>
      </c>
      <c r="F7607" t="str">
        <f>_xlfn.XLOOKUP(A7607,'[1]Tissue Data'!$A:$A,'[1]Tissue Data'!$I:$I)</f>
        <v>procne</v>
      </c>
      <c r="G7607" t="str">
        <f>_xlfn.XLOOKUP(A7607,'[1]Tissue Data'!$A:$A,'[1]Tissue Data'!J:J)</f>
        <v>U</v>
      </c>
      <c r="H7607" t="str">
        <f>_xlfn.XLOOKUP(A7607,'[1]Tissue Data'!$A:$A,'[1]Tissue Data'!K:K)</f>
        <v>Whole Body</v>
      </c>
      <c r="I7607">
        <f>_xlfn.XLOOKUP(A7607,'[1]Tissue Data'!$A:$A,'[1]Tissue Data'!L:L)</f>
        <v>5.5</v>
      </c>
      <c r="J7607">
        <f>_xlfn.XLOOKUP(A7607,'[1]Tissue Data'!$A:$A,'[1]Tissue Data'!M:M)</f>
        <v>1.89</v>
      </c>
      <c r="K7607" t="s">
        <v>17</v>
      </c>
      <c r="L7607" t="str">
        <f>_xlfn.XLOOKUP(K7607,[2]analyte_order!$B:$B,[2]analyte_order!$C:$C)</f>
        <v>375-95-1</v>
      </c>
      <c r="M7607">
        <f>_xlfn.XLOOKUP(L7607,[2]analyte_order!$C:$C,[2]analyte_order!$E:$E)</f>
        <v>6</v>
      </c>
      <c r="N7607">
        <v>1.65</v>
      </c>
    </row>
    <row r="7608" spans="1:14">
      <c r="A7608" t="s">
        <v>205</v>
      </c>
      <c r="B7608" t="str">
        <f>_xlfn.XLOOKUP(A7608,'[1]Tissue Data'!$A:$A,'[1]Tissue Data'!$C:$C)</f>
        <v>Down</v>
      </c>
      <c r="C7608" s="2">
        <f>_xlfn.XLOOKUP(A7608,'[1]Tissue Data'!$A:$A,'[1]Tissue Data'!$D:$D)</f>
        <v>44393</v>
      </c>
      <c r="D7608" s="2" t="str">
        <f>_xlfn.XLOOKUP(A7608,'[1]Tissue Data'!$A:$A,'[1]Tissue Data'!$F:$F)</f>
        <v>Swallowtail Shiner</v>
      </c>
      <c r="E7608" t="str">
        <f>_xlfn.XLOOKUP(A7608,'[1]Tissue Data'!$A:$A,'[1]Tissue Data'!$H:$H)</f>
        <v>Notropis</v>
      </c>
      <c r="F7608" t="str">
        <f>_xlfn.XLOOKUP(A7608,'[1]Tissue Data'!$A:$A,'[1]Tissue Data'!$I:$I)</f>
        <v>procne</v>
      </c>
      <c r="G7608" t="str">
        <f>_xlfn.XLOOKUP(A7608,'[1]Tissue Data'!$A:$A,'[1]Tissue Data'!J:J)</f>
        <v>U</v>
      </c>
      <c r="H7608" t="str">
        <f>_xlfn.XLOOKUP(A7608,'[1]Tissue Data'!$A:$A,'[1]Tissue Data'!K:K)</f>
        <v>Whole Body</v>
      </c>
      <c r="I7608">
        <f>_xlfn.XLOOKUP(A7608,'[1]Tissue Data'!$A:$A,'[1]Tissue Data'!L:L)</f>
        <v>5.5</v>
      </c>
      <c r="J7608">
        <f>_xlfn.XLOOKUP(A7608,'[1]Tissue Data'!$A:$A,'[1]Tissue Data'!M:M)</f>
        <v>1.89</v>
      </c>
      <c r="K7608" t="s">
        <v>18</v>
      </c>
      <c r="L7608" t="str">
        <f>_xlfn.XLOOKUP(K7608,[2]analyte_order!$B:$B,[2]analyte_order!$C:$C)</f>
        <v>335-76-2</v>
      </c>
      <c r="M7608">
        <f>_xlfn.XLOOKUP(L7608,[2]analyte_order!$C:$C,[2]analyte_order!$E:$E)</f>
        <v>7</v>
      </c>
      <c r="N7608">
        <v>7.61</v>
      </c>
    </row>
    <row r="7609" spans="1:14">
      <c r="A7609" t="s">
        <v>205</v>
      </c>
      <c r="B7609" t="str">
        <f>_xlfn.XLOOKUP(A7609,'[1]Tissue Data'!$A:$A,'[1]Tissue Data'!$C:$C)</f>
        <v>Down</v>
      </c>
      <c r="C7609" s="2">
        <f>_xlfn.XLOOKUP(A7609,'[1]Tissue Data'!$A:$A,'[1]Tissue Data'!$D:$D)</f>
        <v>44393</v>
      </c>
      <c r="D7609" s="2" t="str">
        <f>_xlfn.XLOOKUP(A7609,'[1]Tissue Data'!$A:$A,'[1]Tissue Data'!$F:$F)</f>
        <v>Swallowtail Shiner</v>
      </c>
      <c r="E7609" t="str">
        <f>_xlfn.XLOOKUP(A7609,'[1]Tissue Data'!$A:$A,'[1]Tissue Data'!$H:$H)</f>
        <v>Notropis</v>
      </c>
      <c r="F7609" t="str">
        <f>_xlfn.XLOOKUP(A7609,'[1]Tissue Data'!$A:$A,'[1]Tissue Data'!$I:$I)</f>
        <v>procne</v>
      </c>
      <c r="G7609" t="str">
        <f>_xlfn.XLOOKUP(A7609,'[1]Tissue Data'!$A:$A,'[1]Tissue Data'!J:J)</f>
        <v>U</v>
      </c>
      <c r="H7609" t="str">
        <f>_xlfn.XLOOKUP(A7609,'[1]Tissue Data'!$A:$A,'[1]Tissue Data'!K:K)</f>
        <v>Whole Body</v>
      </c>
      <c r="I7609">
        <f>_xlfn.XLOOKUP(A7609,'[1]Tissue Data'!$A:$A,'[1]Tissue Data'!L:L)</f>
        <v>5.5</v>
      </c>
      <c r="J7609">
        <f>_xlfn.XLOOKUP(A7609,'[1]Tissue Data'!$A:$A,'[1]Tissue Data'!M:M)</f>
        <v>1.89</v>
      </c>
      <c r="K7609" t="s">
        <v>19</v>
      </c>
      <c r="L7609" t="str">
        <f>_xlfn.XLOOKUP(K7609,[2]analyte_order!$B:$B,[2]analyte_order!$C:$C)</f>
        <v>2058-94-8</v>
      </c>
      <c r="M7609">
        <f>_xlfn.XLOOKUP(L7609,[2]analyte_order!$C:$C,[2]analyte_order!$E:$E)</f>
        <v>8</v>
      </c>
      <c r="N7609">
        <v>9.1300000000000008</v>
      </c>
    </row>
    <row r="7610" spans="1:14">
      <c r="A7610" t="s">
        <v>205</v>
      </c>
      <c r="B7610" t="str">
        <f>_xlfn.XLOOKUP(A7610,'[1]Tissue Data'!$A:$A,'[1]Tissue Data'!$C:$C)</f>
        <v>Down</v>
      </c>
      <c r="C7610" s="2">
        <f>_xlfn.XLOOKUP(A7610,'[1]Tissue Data'!$A:$A,'[1]Tissue Data'!$D:$D)</f>
        <v>44393</v>
      </c>
      <c r="D7610" s="2" t="str">
        <f>_xlfn.XLOOKUP(A7610,'[1]Tissue Data'!$A:$A,'[1]Tissue Data'!$F:$F)</f>
        <v>Swallowtail Shiner</v>
      </c>
      <c r="E7610" t="str">
        <f>_xlfn.XLOOKUP(A7610,'[1]Tissue Data'!$A:$A,'[1]Tissue Data'!$H:$H)</f>
        <v>Notropis</v>
      </c>
      <c r="F7610" t="str">
        <f>_xlfn.XLOOKUP(A7610,'[1]Tissue Data'!$A:$A,'[1]Tissue Data'!$I:$I)</f>
        <v>procne</v>
      </c>
      <c r="G7610" t="str">
        <f>_xlfn.XLOOKUP(A7610,'[1]Tissue Data'!$A:$A,'[1]Tissue Data'!J:J)</f>
        <v>U</v>
      </c>
      <c r="H7610" t="str">
        <f>_xlfn.XLOOKUP(A7610,'[1]Tissue Data'!$A:$A,'[1]Tissue Data'!K:K)</f>
        <v>Whole Body</v>
      </c>
      <c r="I7610">
        <f>_xlfn.XLOOKUP(A7610,'[1]Tissue Data'!$A:$A,'[1]Tissue Data'!L:L)</f>
        <v>5.5</v>
      </c>
      <c r="J7610">
        <f>_xlfn.XLOOKUP(A7610,'[1]Tissue Data'!$A:$A,'[1]Tissue Data'!M:M)</f>
        <v>1.89</v>
      </c>
      <c r="K7610" t="s">
        <v>20</v>
      </c>
      <c r="L7610" t="str">
        <f>_xlfn.XLOOKUP(K7610,[2]analyte_order!$B:$B,[2]analyte_order!$C:$C)</f>
        <v>307-55-1</v>
      </c>
      <c r="M7610">
        <f>_xlfn.XLOOKUP(L7610,[2]analyte_order!$C:$C,[2]analyte_order!$E:$E)</f>
        <v>9</v>
      </c>
      <c r="N7610">
        <v>8.59</v>
      </c>
    </row>
    <row r="7611" spans="1:14">
      <c r="A7611" t="s">
        <v>205</v>
      </c>
      <c r="B7611" t="str">
        <f>_xlfn.XLOOKUP(A7611,'[1]Tissue Data'!$A:$A,'[1]Tissue Data'!$C:$C)</f>
        <v>Down</v>
      </c>
      <c r="C7611" s="2">
        <f>_xlfn.XLOOKUP(A7611,'[1]Tissue Data'!$A:$A,'[1]Tissue Data'!$D:$D)</f>
        <v>44393</v>
      </c>
      <c r="D7611" s="2" t="str">
        <f>_xlfn.XLOOKUP(A7611,'[1]Tissue Data'!$A:$A,'[1]Tissue Data'!$F:$F)</f>
        <v>Swallowtail Shiner</v>
      </c>
      <c r="E7611" t="str">
        <f>_xlfn.XLOOKUP(A7611,'[1]Tissue Data'!$A:$A,'[1]Tissue Data'!$H:$H)</f>
        <v>Notropis</v>
      </c>
      <c r="F7611" t="str">
        <f>_xlfn.XLOOKUP(A7611,'[1]Tissue Data'!$A:$A,'[1]Tissue Data'!$I:$I)</f>
        <v>procne</v>
      </c>
      <c r="G7611" t="str">
        <f>_xlfn.XLOOKUP(A7611,'[1]Tissue Data'!$A:$A,'[1]Tissue Data'!J:J)</f>
        <v>U</v>
      </c>
      <c r="H7611" t="str">
        <f>_xlfn.XLOOKUP(A7611,'[1]Tissue Data'!$A:$A,'[1]Tissue Data'!K:K)</f>
        <v>Whole Body</v>
      </c>
      <c r="I7611">
        <f>_xlfn.XLOOKUP(A7611,'[1]Tissue Data'!$A:$A,'[1]Tissue Data'!L:L)</f>
        <v>5.5</v>
      </c>
      <c r="J7611">
        <f>_xlfn.XLOOKUP(A7611,'[1]Tissue Data'!$A:$A,'[1]Tissue Data'!M:M)</f>
        <v>1.89</v>
      </c>
      <c r="K7611" t="s">
        <v>21</v>
      </c>
      <c r="L7611" t="str">
        <f>_xlfn.XLOOKUP(K7611,[2]analyte_order!$B:$B,[2]analyte_order!$C:$C)</f>
        <v>72629-94-8</v>
      </c>
      <c r="M7611">
        <f>_xlfn.XLOOKUP(L7611,[2]analyte_order!$C:$C,[2]analyte_order!$E:$E)</f>
        <v>10</v>
      </c>
      <c r="N7611">
        <v>5.04</v>
      </c>
    </row>
    <row r="7612" spans="1:14">
      <c r="A7612" t="s">
        <v>205</v>
      </c>
      <c r="B7612" t="str">
        <f>_xlfn.XLOOKUP(A7612,'[1]Tissue Data'!$A:$A,'[1]Tissue Data'!$C:$C)</f>
        <v>Down</v>
      </c>
      <c r="C7612" s="2">
        <f>_xlfn.XLOOKUP(A7612,'[1]Tissue Data'!$A:$A,'[1]Tissue Data'!$D:$D)</f>
        <v>44393</v>
      </c>
      <c r="D7612" s="2" t="str">
        <f>_xlfn.XLOOKUP(A7612,'[1]Tissue Data'!$A:$A,'[1]Tissue Data'!$F:$F)</f>
        <v>Swallowtail Shiner</v>
      </c>
      <c r="E7612" t="str">
        <f>_xlfn.XLOOKUP(A7612,'[1]Tissue Data'!$A:$A,'[1]Tissue Data'!$H:$H)</f>
        <v>Notropis</v>
      </c>
      <c r="F7612" t="str">
        <f>_xlfn.XLOOKUP(A7612,'[1]Tissue Data'!$A:$A,'[1]Tissue Data'!$I:$I)</f>
        <v>procne</v>
      </c>
      <c r="G7612" t="str">
        <f>_xlfn.XLOOKUP(A7612,'[1]Tissue Data'!$A:$A,'[1]Tissue Data'!J:J)</f>
        <v>U</v>
      </c>
      <c r="H7612" t="str">
        <f>_xlfn.XLOOKUP(A7612,'[1]Tissue Data'!$A:$A,'[1]Tissue Data'!K:K)</f>
        <v>Whole Body</v>
      </c>
      <c r="I7612">
        <f>_xlfn.XLOOKUP(A7612,'[1]Tissue Data'!$A:$A,'[1]Tissue Data'!L:L)</f>
        <v>5.5</v>
      </c>
      <c r="J7612">
        <f>_xlfn.XLOOKUP(A7612,'[1]Tissue Data'!$A:$A,'[1]Tissue Data'!M:M)</f>
        <v>1.89</v>
      </c>
      <c r="K7612" t="s">
        <v>22</v>
      </c>
      <c r="L7612" t="str">
        <f>_xlfn.XLOOKUP(K7612,[2]analyte_order!$B:$B,[2]analyte_order!$C:$C)</f>
        <v>376-06-7</v>
      </c>
      <c r="M7612">
        <f>_xlfn.XLOOKUP(L7612,[2]analyte_order!$C:$C,[2]analyte_order!$E:$E)</f>
        <v>11</v>
      </c>
      <c r="N7612">
        <v>4.66</v>
      </c>
    </row>
    <row r="7613" spans="1:14">
      <c r="A7613" t="s">
        <v>205</v>
      </c>
      <c r="B7613" t="str">
        <f>_xlfn.XLOOKUP(A7613,'[1]Tissue Data'!$A:$A,'[1]Tissue Data'!$C:$C)</f>
        <v>Down</v>
      </c>
      <c r="C7613" s="2">
        <f>_xlfn.XLOOKUP(A7613,'[1]Tissue Data'!$A:$A,'[1]Tissue Data'!$D:$D)</f>
        <v>44393</v>
      </c>
      <c r="D7613" s="2" t="str">
        <f>_xlfn.XLOOKUP(A7613,'[1]Tissue Data'!$A:$A,'[1]Tissue Data'!$F:$F)</f>
        <v>Swallowtail Shiner</v>
      </c>
      <c r="E7613" t="str">
        <f>_xlfn.XLOOKUP(A7613,'[1]Tissue Data'!$A:$A,'[1]Tissue Data'!$H:$H)</f>
        <v>Notropis</v>
      </c>
      <c r="F7613" t="str">
        <f>_xlfn.XLOOKUP(A7613,'[1]Tissue Data'!$A:$A,'[1]Tissue Data'!$I:$I)</f>
        <v>procne</v>
      </c>
      <c r="G7613" t="str">
        <f>_xlfn.XLOOKUP(A7613,'[1]Tissue Data'!$A:$A,'[1]Tissue Data'!J:J)</f>
        <v>U</v>
      </c>
      <c r="H7613" t="str">
        <f>_xlfn.XLOOKUP(A7613,'[1]Tissue Data'!$A:$A,'[1]Tissue Data'!K:K)</f>
        <v>Whole Body</v>
      </c>
      <c r="I7613">
        <f>_xlfn.XLOOKUP(A7613,'[1]Tissue Data'!$A:$A,'[1]Tissue Data'!L:L)</f>
        <v>5.5</v>
      </c>
      <c r="J7613">
        <f>_xlfn.XLOOKUP(A7613,'[1]Tissue Data'!$A:$A,'[1]Tissue Data'!M:M)</f>
        <v>1.89</v>
      </c>
      <c r="K7613" t="s">
        <v>23</v>
      </c>
      <c r="L7613" t="str">
        <f>_xlfn.XLOOKUP(K7613,[2]analyte_order!$B:$B,[2]analyte_order!$C:$C)</f>
        <v>67905-19-5</v>
      </c>
      <c r="M7613">
        <f>_xlfn.XLOOKUP(L7613,[2]analyte_order!$C:$C,[2]analyte_order!$E:$E)</f>
        <v>12</v>
      </c>
      <c r="N7613">
        <v>0.254</v>
      </c>
    </row>
    <row r="7614" spans="1:14">
      <c r="A7614" t="s">
        <v>205</v>
      </c>
      <c r="B7614" t="str">
        <f>_xlfn.XLOOKUP(A7614,'[1]Tissue Data'!$A:$A,'[1]Tissue Data'!$C:$C)</f>
        <v>Down</v>
      </c>
      <c r="C7614" s="2">
        <f>_xlfn.XLOOKUP(A7614,'[1]Tissue Data'!$A:$A,'[1]Tissue Data'!$D:$D)</f>
        <v>44393</v>
      </c>
      <c r="D7614" s="2" t="str">
        <f>_xlfn.XLOOKUP(A7614,'[1]Tissue Data'!$A:$A,'[1]Tissue Data'!$F:$F)</f>
        <v>Swallowtail Shiner</v>
      </c>
      <c r="E7614" t="str">
        <f>_xlfn.XLOOKUP(A7614,'[1]Tissue Data'!$A:$A,'[1]Tissue Data'!$H:$H)</f>
        <v>Notropis</v>
      </c>
      <c r="F7614" t="str">
        <f>_xlfn.XLOOKUP(A7614,'[1]Tissue Data'!$A:$A,'[1]Tissue Data'!$I:$I)</f>
        <v>procne</v>
      </c>
      <c r="G7614" t="str">
        <f>_xlfn.XLOOKUP(A7614,'[1]Tissue Data'!$A:$A,'[1]Tissue Data'!J:J)</f>
        <v>U</v>
      </c>
      <c r="H7614" t="str">
        <f>_xlfn.XLOOKUP(A7614,'[1]Tissue Data'!$A:$A,'[1]Tissue Data'!K:K)</f>
        <v>Whole Body</v>
      </c>
      <c r="I7614">
        <f>_xlfn.XLOOKUP(A7614,'[1]Tissue Data'!$A:$A,'[1]Tissue Data'!L:L)</f>
        <v>5.5</v>
      </c>
      <c r="J7614">
        <f>_xlfn.XLOOKUP(A7614,'[1]Tissue Data'!$A:$A,'[1]Tissue Data'!M:M)</f>
        <v>1.89</v>
      </c>
      <c r="K7614" t="s">
        <v>24</v>
      </c>
      <c r="L7614" t="str">
        <f>_xlfn.XLOOKUP(K7614,[2]analyte_order!$B:$B,[2]analyte_order!$C:$C)</f>
        <v>423-41-6</v>
      </c>
      <c r="M7614">
        <f>_xlfn.XLOOKUP(L7614,[2]analyte_order!$C:$C,[2]analyte_order!$E:$E)</f>
        <v>53</v>
      </c>
      <c r="N7614">
        <v>0.42599999999999999</v>
      </c>
    </row>
    <row r="7615" spans="1:14">
      <c r="A7615" t="s">
        <v>205</v>
      </c>
      <c r="B7615" t="str">
        <f>_xlfn.XLOOKUP(A7615,'[1]Tissue Data'!$A:$A,'[1]Tissue Data'!$C:$C)</f>
        <v>Down</v>
      </c>
      <c r="C7615" s="2">
        <f>_xlfn.XLOOKUP(A7615,'[1]Tissue Data'!$A:$A,'[1]Tissue Data'!$D:$D)</f>
        <v>44393</v>
      </c>
      <c r="D7615" s="2" t="str">
        <f>_xlfn.XLOOKUP(A7615,'[1]Tissue Data'!$A:$A,'[1]Tissue Data'!$F:$F)</f>
        <v>Swallowtail Shiner</v>
      </c>
      <c r="E7615" t="str">
        <f>_xlfn.XLOOKUP(A7615,'[1]Tissue Data'!$A:$A,'[1]Tissue Data'!$H:$H)</f>
        <v>Notropis</v>
      </c>
      <c r="F7615" t="str">
        <f>_xlfn.XLOOKUP(A7615,'[1]Tissue Data'!$A:$A,'[1]Tissue Data'!$I:$I)</f>
        <v>procne</v>
      </c>
      <c r="G7615" t="str">
        <f>_xlfn.XLOOKUP(A7615,'[1]Tissue Data'!$A:$A,'[1]Tissue Data'!J:J)</f>
        <v>U</v>
      </c>
      <c r="H7615" t="str">
        <f>_xlfn.XLOOKUP(A7615,'[1]Tissue Data'!$A:$A,'[1]Tissue Data'!K:K)</f>
        <v>Whole Body</v>
      </c>
      <c r="I7615">
        <f>_xlfn.XLOOKUP(A7615,'[1]Tissue Data'!$A:$A,'[1]Tissue Data'!L:L)</f>
        <v>5.5</v>
      </c>
      <c r="J7615">
        <f>_xlfn.XLOOKUP(A7615,'[1]Tissue Data'!$A:$A,'[1]Tissue Data'!M:M)</f>
        <v>1.89</v>
      </c>
      <c r="K7615" t="s">
        <v>25</v>
      </c>
      <c r="L7615" t="str">
        <f>_xlfn.XLOOKUP(K7615,[2]analyte_order!$B:$B,[2]analyte_order!$C:$C)</f>
        <v>375-73-5</v>
      </c>
      <c r="M7615">
        <f>_xlfn.XLOOKUP(L7615,[2]analyte_order!$C:$C,[2]analyte_order!$E:$E)</f>
        <v>14</v>
      </c>
      <c r="N7615">
        <v>0.14499999999999999</v>
      </c>
    </row>
    <row r="7616" spans="1:14">
      <c r="A7616" t="s">
        <v>205</v>
      </c>
      <c r="B7616" t="str">
        <f>_xlfn.XLOOKUP(A7616,'[1]Tissue Data'!$A:$A,'[1]Tissue Data'!$C:$C)</f>
        <v>Down</v>
      </c>
      <c r="C7616" s="2">
        <f>_xlfn.XLOOKUP(A7616,'[1]Tissue Data'!$A:$A,'[1]Tissue Data'!$D:$D)</f>
        <v>44393</v>
      </c>
      <c r="D7616" s="2" t="str">
        <f>_xlfn.XLOOKUP(A7616,'[1]Tissue Data'!$A:$A,'[1]Tissue Data'!$F:$F)</f>
        <v>Swallowtail Shiner</v>
      </c>
      <c r="E7616" t="str">
        <f>_xlfn.XLOOKUP(A7616,'[1]Tissue Data'!$A:$A,'[1]Tissue Data'!$H:$H)</f>
        <v>Notropis</v>
      </c>
      <c r="F7616" t="str">
        <f>_xlfn.XLOOKUP(A7616,'[1]Tissue Data'!$A:$A,'[1]Tissue Data'!$I:$I)</f>
        <v>procne</v>
      </c>
      <c r="G7616" t="str">
        <f>_xlfn.XLOOKUP(A7616,'[1]Tissue Data'!$A:$A,'[1]Tissue Data'!J:J)</f>
        <v>U</v>
      </c>
      <c r="H7616" t="str">
        <f>_xlfn.XLOOKUP(A7616,'[1]Tissue Data'!$A:$A,'[1]Tissue Data'!K:K)</f>
        <v>Whole Body</v>
      </c>
      <c r="I7616">
        <f>_xlfn.XLOOKUP(A7616,'[1]Tissue Data'!$A:$A,'[1]Tissue Data'!L:L)</f>
        <v>5.5</v>
      </c>
      <c r="J7616">
        <f>_xlfn.XLOOKUP(A7616,'[1]Tissue Data'!$A:$A,'[1]Tissue Data'!M:M)</f>
        <v>1.89</v>
      </c>
      <c r="K7616" t="s">
        <v>26</v>
      </c>
      <c r="L7616" t="str">
        <f>_xlfn.XLOOKUP(K7616,[2]analyte_order!$B:$B,[2]analyte_order!$C:$C)</f>
        <v>2706-91-4</v>
      </c>
      <c r="M7616">
        <f>_xlfn.XLOOKUP(L7616,[2]analyte_order!$C:$C,[2]analyte_order!$E:$E)</f>
        <v>15</v>
      </c>
      <c r="N7616">
        <v>0.22800000000000001</v>
      </c>
    </row>
    <row r="7617" spans="1:14">
      <c r="A7617" t="s">
        <v>205</v>
      </c>
      <c r="B7617" t="str">
        <f>_xlfn.XLOOKUP(A7617,'[1]Tissue Data'!$A:$A,'[1]Tissue Data'!$C:$C)</f>
        <v>Down</v>
      </c>
      <c r="C7617" s="2">
        <f>_xlfn.XLOOKUP(A7617,'[1]Tissue Data'!$A:$A,'[1]Tissue Data'!$D:$D)</f>
        <v>44393</v>
      </c>
      <c r="D7617" s="2" t="str">
        <f>_xlfn.XLOOKUP(A7617,'[1]Tissue Data'!$A:$A,'[1]Tissue Data'!$F:$F)</f>
        <v>Swallowtail Shiner</v>
      </c>
      <c r="E7617" t="str">
        <f>_xlfn.XLOOKUP(A7617,'[1]Tissue Data'!$A:$A,'[1]Tissue Data'!$H:$H)</f>
        <v>Notropis</v>
      </c>
      <c r="F7617" t="str">
        <f>_xlfn.XLOOKUP(A7617,'[1]Tissue Data'!$A:$A,'[1]Tissue Data'!$I:$I)</f>
        <v>procne</v>
      </c>
      <c r="G7617" t="str">
        <f>_xlfn.XLOOKUP(A7617,'[1]Tissue Data'!$A:$A,'[1]Tissue Data'!J:J)</f>
        <v>U</v>
      </c>
      <c r="H7617" t="str">
        <f>_xlfn.XLOOKUP(A7617,'[1]Tissue Data'!$A:$A,'[1]Tissue Data'!K:K)</f>
        <v>Whole Body</v>
      </c>
      <c r="I7617">
        <f>_xlfn.XLOOKUP(A7617,'[1]Tissue Data'!$A:$A,'[1]Tissue Data'!L:L)</f>
        <v>5.5</v>
      </c>
      <c r="J7617">
        <f>_xlfn.XLOOKUP(A7617,'[1]Tissue Data'!$A:$A,'[1]Tissue Data'!M:M)</f>
        <v>1.89</v>
      </c>
      <c r="K7617" t="s">
        <v>27</v>
      </c>
      <c r="L7617" t="str">
        <f>_xlfn.XLOOKUP(K7617,[2]analyte_order!$B:$B,[2]analyte_order!$C:$C)</f>
        <v>355-46-4</v>
      </c>
      <c r="M7617">
        <f>_xlfn.XLOOKUP(L7617,[2]analyte_order!$C:$C,[2]analyte_order!$E:$E)</f>
        <v>16</v>
      </c>
      <c r="N7617">
        <v>32.5</v>
      </c>
    </row>
    <row r="7618" spans="1:14">
      <c r="A7618" t="s">
        <v>205</v>
      </c>
      <c r="B7618" t="str">
        <f>_xlfn.XLOOKUP(A7618,'[1]Tissue Data'!$A:$A,'[1]Tissue Data'!$C:$C)</f>
        <v>Down</v>
      </c>
      <c r="C7618" s="2">
        <f>_xlfn.XLOOKUP(A7618,'[1]Tissue Data'!$A:$A,'[1]Tissue Data'!$D:$D)</f>
        <v>44393</v>
      </c>
      <c r="D7618" s="2" t="str">
        <f>_xlfn.XLOOKUP(A7618,'[1]Tissue Data'!$A:$A,'[1]Tissue Data'!$F:$F)</f>
        <v>Swallowtail Shiner</v>
      </c>
      <c r="E7618" t="str">
        <f>_xlfn.XLOOKUP(A7618,'[1]Tissue Data'!$A:$A,'[1]Tissue Data'!$H:$H)</f>
        <v>Notropis</v>
      </c>
      <c r="F7618" t="str">
        <f>_xlfn.XLOOKUP(A7618,'[1]Tissue Data'!$A:$A,'[1]Tissue Data'!$I:$I)</f>
        <v>procne</v>
      </c>
      <c r="G7618" t="str">
        <f>_xlfn.XLOOKUP(A7618,'[1]Tissue Data'!$A:$A,'[1]Tissue Data'!J:J)</f>
        <v>U</v>
      </c>
      <c r="H7618" t="str">
        <f>_xlfn.XLOOKUP(A7618,'[1]Tissue Data'!$A:$A,'[1]Tissue Data'!K:K)</f>
        <v>Whole Body</v>
      </c>
      <c r="I7618">
        <f>_xlfn.XLOOKUP(A7618,'[1]Tissue Data'!$A:$A,'[1]Tissue Data'!L:L)</f>
        <v>5.5</v>
      </c>
      <c r="J7618">
        <f>_xlfn.XLOOKUP(A7618,'[1]Tissue Data'!$A:$A,'[1]Tissue Data'!M:M)</f>
        <v>1.89</v>
      </c>
      <c r="K7618" t="s">
        <v>28</v>
      </c>
      <c r="L7618" t="str">
        <f>_xlfn.XLOOKUP(K7618,[2]analyte_order!$B:$B,[2]analyte_order!$C:$C)</f>
        <v>375-92-8</v>
      </c>
      <c r="M7618">
        <f>_xlfn.XLOOKUP(L7618,[2]analyte_order!$C:$C,[2]analyte_order!$E:$E)</f>
        <v>17</v>
      </c>
      <c r="N7618">
        <v>1.74</v>
      </c>
    </row>
    <row r="7619" spans="1:14">
      <c r="A7619" t="s">
        <v>205</v>
      </c>
      <c r="B7619" t="str">
        <f>_xlfn.XLOOKUP(A7619,'[1]Tissue Data'!$A:$A,'[1]Tissue Data'!$C:$C)</f>
        <v>Down</v>
      </c>
      <c r="C7619" s="2">
        <f>_xlfn.XLOOKUP(A7619,'[1]Tissue Data'!$A:$A,'[1]Tissue Data'!$D:$D)</f>
        <v>44393</v>
      </c>
      <c r="D7619" s="2" t="str">
        <f>_xlfn.XLOOKUP(A7619,'[1]Tissue Data'!$A:$A,'[1]Tissue Data'!$F:$F)</f>
        <v>Swallowtail Shiner</v>
      </c>
      <c r="E7619" t="str">
        <f>_xlfn.XLOOKUP(A7619,'[1]Tissue Data'!$A:$A,'[1]Tissue Data'!$H:$H)</f>
        <v>Notropis</v>
      </c>
      <c r="F7619" t="str">
        <f>_xlfn.XLOOKUP(A7619,'[1]Tissue Data'!$A:$A,'[1]Tissue Data'!$I:$I)</f>
        <v>procne</v>
      </c>
      <c r="G7619" t="str">
        <f>_xlfn.XLOOKUP(A7619,'[1]Tissue Data'!$A:$A,'[1]Tissue Data'!J:J)</f>
        <v>U</v>
      </c>
      <c r="H7619" t="str">
        <f>_xlfn.XLOOKUP(A7619,'[1]Tissue Data'!$A:$A,'[1]Tissue Data'!K:K)</f>
        <v>Whole Body</v>
      </c>
      <c r="I7619">
        <f>_xlfn.XLOOKUP(A7619,'[1]Tissue Data'!$A:$A,'[1]Tissue Data'!L:L)</f>
        <v>5.5</v>
      </c>
      <c r="J7619">
        <f>_xlfn.XLOOKUP(A7619,'[1]Tissue Data'!$A:$A,'[1]Tissue Data'!M:M)</f>
        <v>1.89</v>
      </c>
      <c r="K7619" t="s">
        <v>29</v>
      </c>
      <c r="L7619" t="str">
        <f>_xlfn.XLOOKUP(K7619,[2]analyte_order!$B:$B,[2]analyte_order!$C:$C)</f>
        <v>1763-23-1</v>
      </c>
      <c r="M7619">
        <f>_xlfn.XLOOKUP(L7619,[2]analyte_order!$C:$C,[2]analyte_order!$E:$E)</f>
        <v>18</v>
      </c>
      <c r="N7619">
        <v>502</v>
      </c>
    </row>
    <row r="7620" spans="1:14">
      <c r="A7620" t="s">
        <v>205</v>
      </c>
      <c r="B7620" t="str">
        <f>_xlfn.XLOOKUP(A7620,'[1]Tissue Data'!$A:$A,'[1]Tissue Data'!$C:$C)</f>
        <v>Down</v>
      </c>
      <c r="C7620" s="2">
        <f>_xlfn.XLOOKUP(A7620,'[1]Tissue Data'!$A:$A,'[1]Tissue Data'!$D:$D)</f>
        <v>44393</v>
      </c>
      <c r="D7620" s="2" t="str">
        <f>_xlfn.XLOOKUP(A7620,'[1]Tissue Data'!$A:$A,'[1]Tissue Data'!$F:$F)</f>
        <v>Swallowtail Shiner</v>
      </c>
      <c r="E7620" t="str">
        <f>_xlfn.XLOOKUP(A7620,'[1]Tissue Data'!$A:$A,'[1]Tissue Data'!$H:$H)</f>
        <v>Notropis</v>
      </c>
      <c r="F7620" t="str">
        <f>_xlfn.XLOOKUP(A7620,'[1]Tissue Data'!$A:$A,'[1]Tissue Data'!$I:$I)</f>
        <v>procne</v>
      </c>
      <c r="G7620" t="str">
        <f>_xlfn.XLOOKUP(A7620,'[1]Tissue Data'!$A:$A,'[1]Tissue Data'!J:J)</f>
        <v>U</v>
      </c>
      <c r="H7620" t="str">
        <f>_xlfn.XLOOKUP(A7620,'[1]Tissue Data'!$A:$A,'[1]Tissue Data'!K:K)</f>
        <v>Whole Body</v>
      </c>
      <c r="I7620">
        <f>_xlfn.XLOOKUP(A7620,'[1]Tissue Data'!$A:$A,'[1]Tissue Data'!L:L)</f>
        <v>5.5</v>
      </c>
      <c r="J7620">
        <f>_xlfn.XLOOKUP(A7620,'[1]Tissue Data'!$A:$A,'[1]Tissue Data'!M:M)</f>
        <v>1.89</v>
      </c>
      <c r="K7620" t="s">
        <v>30</v>
      </c>
      <c r="L7620" t="str">
        <f>_xlfn.XLOOKUP(K7620,[2]analyte_order!$B:$B,[2]analyte_order!$C:$C)</f>
        <v>68259-12-1</v>
      </c>
      <c r="M7620">
        <f>_xlfn.XLOOKUP(L7620,[2]analyte_order!$C:$C,[2]analyte_order!$E:$E)</f>
        <v>19</v>
      </c>
      <c r="N7620">
        <v>0.21299999999999999</v>
      </c>
    </row>
    <row r="7621" spans="1:14">
      <c r="A7621" t="s">
        <v>205</v>
      </c>
      <c r="B7621" t="str">
        <f>_xlfn.XLOOKUP(A7621,'[1]Tissue Data'!$A:$A,'[1]Tissue Data'!$C:$C)</f>
        <v>Down</v>
      </c>
      <c r="C7621" s="2">
        <f>_xlfn.XLOOKUP(A7621,'[1]Tissue Data'!$A:$A,'[1]Tissue Data'!$D:$D)</f>
        <v>44393</v>
      </c>
      <c r="D7621" s="2" t="str">
        <f>_xlfn.XLOOKUP(A7621,'[1]Tissue Data'!$A:$A,'[1]Tissue Data'!$F:$F)</f>
        <v>Swallowtail Shiner</v>
      </c>
      <c r="E7621" t="str">
        <f>_xlfn.XLOOKUP(A7621,'[1]Tissue Data'!$A:$A,'[1]Tissue Data'!$H:$H)</f>
        <v>Notropis</v>
      </c>
      <c r="F7621" t="str">
        <f>_xlfn.XLOOKUP(A7621,'[1]Tissue Data'!$A:$A,'[1]Tissue Data'!$I:$I)</f>
        <v>procne</v>
      </c>
      <c r="G7621" t="str">
        <f>_xlfn.XLOOKUP(A7621,'[1]Tissue Data'!$A:$A,'[1]Tissue Data'!J:J)</f>
        <v>U</v>
      </c>
      <c r="H7621" t="str">
        <f>_xlfn.XLOOKUP(A7621,'[1]Tissue Data'!$A:$A,'[1]Tissue Data'!K:K)</f>
        <v>Whole Body</v>
      </c>
      <c r="I7621">
        <f>_xlfn.XLOOKUP(A7621,'[1]Tissue Data'!$A:$A,'[1]Tissue Data'!L:L)</f>
        <v>5.5</v>
      </c>
      <c r="J7621">
        <f>_xlfn.XLOOKUP(A7621,'[1]Tissue Data'!$A:$A,'[1]Tissue Data'!M:M)</f>
        <v>1.89</v>
      </c>
      <c r="K7621" t="s">
        <v>31</v>
      </c>
      <c r="L7621" t="str">
        <f>_xlfn.XLOOKUP(K7621,[2]analyte_order!$B:$B,[2]analyte_order!$C:$C)</f>
        <v>335-77-3</v>
      </c>
      <c r="M7621">
        <f>_xlfn.XLOOKUP(L7621,[2]analyte_order!$C:$C,[2]analyte_order!$E:$E)</f>
        <v>20</v>
      </c>
      <c r="N7621">
        <v>0.21299999999999999</v>
      </c>
    </row>
    <row r="7622" spans="1:14">
      <c r="A7622" t="s">
        <v>205</v>
      </c>
      <c r="B7622" t="str">
        <f>_xlfn.XLOOKUP(A7622,'[1]Tissue Data'!$A:$A,'[1]Tissue Data'!$C:$C)</f>
        <v>Down</v>
      </c>
      <c r="C7622" s="2">
        <f>_xlfn.XLOOKUP(A7622,'[1]Tissue Data'!$A:$A,'[1]Tissue Data'!$D:$D)</f>
        <v>44393</v>
      </c>
      <c r="D7622" s="2" t="str">
        <f>_xlfn.XLOOKUP(A7622,'[1]Tissue Data'!$A:$A,'[1]Tissue Data'!$F:$F)</f>
        <v>Swallowtail Shiner</v>
      </c>
      <c r="E7622" t="str">
        <f>_xlfn.XLOOKUP(A7622,'[1]Tissue Data'!$A:$A,'[1]Tissue Data'!$H:$H)</f>
        <v>Notropis</v>
      </c>
      <c r="F7622" t="str">
        <f>_xlfn.XLOOKUP(A7622,'[1]Tissue Data'!$A:$A,'[1]Tissue Data'!$I:$I)</f>
        <v>procne</v>
      </c>
      <c r="G7622" t="str">
        <f>_xlfn.XLOOKUP(A7622,'[1]Tissue Data'!$A:$A,'[1]Tissue Data'!J:J)</f>
        <v>U</v>
      </c>
      <c r="H7622" t="str">
        <f>_xlfn.XLOOKUP(A7622,'[1]Tissue Data'!$A:$A,'[1]Tissue Data'!K:K)</f>
        <v>Whole Body</v>
      </c>
      <c r="I7622">
        <f>_xlfn.XLOOKUP(A7622,'[1]Tissue Data'!$A:$A,'[1]Tissue Data'!L:L)</f>
        <v>5.5</v>
      </c>
      <c r="J7622">
        <f>_xlfn.XLOOKUP(A7622,'[1]Tissue Data'!$A:$A,'[1]Tissue Data'!M:M)</f>
        <v>1.89</v>
      </c>
      <c r="K7622" t="s">
        <v>32</v>
      </c>
      <c r="L7622" t="str">
        <f>_xlfn.XLOOKUP(K7622,[2]analyte_order!$B:$B,[2]analyte_order!$C:$C)</f>
        <v>79780-39-5</v>
      </c>
      <c r="M7622">
        <f>_xlfn.XLOOKUP(L7622,[2]analyte_order!$C:$C,[2]analyte_order!$E:$E)</f>
        <v>21</v>
      </c>
      <c r="N7622">
        <v>0.22800000000000001</v>
      </c>
    </row>
    <row r="7623" spans="1:14">
      <c r="A7623" t="s">
        <v>205</v>
      </c>
      <c r="B7623" t="str">
        <f>_xlfn.XLOOKUP(A7623,'[1]Tissue Data'!$A:$A,'[1]Tissue Data'!$C:$C)</f>
        <v>Down</v>
      </c>
      <c r="C7623" s="2">
        <f>_xlfn.XLOOKUP(A7623,'[1]Tissue Data'!$A:$A,'[1]Tissue Data'!$D:$D)</f>
        <v>44393</v>
      </c>
      <c r="D7623" s="2" t="str">
        <f>_xlfn.XLOOKUP(A7623,'[1]Tissue Data'!$A:$A,'[1]Tissue Data'!$F:$F)</f>
        <v>Swallowtail Shiner</v>
      </c>
      <c r="E7623" t="str">
        <f>_xlfn.XLOOKUP(A7623,'[1]Tissue Data'!$A:$A,'[1]Tissue Data'!$H:$H)</f>
        <v>Notropis</v>
      </c>
      <c r="F7623" t="str">
        <f>_xlfn.XLOOKUP(A7623,'[1]Tissue Data'!$A:$A,'[1]Tissue Data'!$I:$I)</f>
        <v>procne</v>
      </c>
      <c r="G7623" t="str">
        <f>_xlfn.XLOOKUP(A7623,'[1]Tissue Data'!$A:$A,'[1]Tissue Data'!J:J)</f>
        <v>U</v>
      </c>
      <c r="H7623" t="str">
        <f>_xlfn.XLOOKUP(A7623,'[1]Tissue Data'!$A:$A,'[1]Tissue Data'!K:K)</f>
        <v>Whole Body</v>
      </c>
      <c r="I7623">
        <f>_xlfn.XLOOKUP(A7623,'[1]Tissue Data'!$A:$A,'[1]Tissue Data'!L:L)</f>
        <v>5.5</v>
      </c>
      <c r="J7623">
        <f>_xlfn.XLOOKUP(A7623,'[1]Tissue Data'!$A:$A,'[1]Tissue Data'!M:M)</f>
        <v>1.89</v>
      </c>
      <c r="K7623" t="s">
        <v>33</v>
      </c>
      <c r="L7623" t="str">
        <f>_xlfn.XLOOKUP(K7623,[2]analyte_order!$B:$B,[2]analyte_order!$C:$C)</f>
        <v>777011-38-8</v>
      </c>
      <c r="M7623">
        <f>_xlfn.XLOOKUP(L7623,[2]analyte_order!$C:$C,[2]analyte_order!$E:$E)</f>
        <v>54</v>
      </c>
      <c r="N7623">
        <v>0.1295</v>
      </c>
    </row>
    <row r="7624" spans="1:14">
      <c r="A7624" t="s">
        <v>205</v>
      </c>
      <c r="B7624" t="str">
        <f>_xlfn.XLOOKUP(A7624,'[1]Tissue Data'!$A:$A,'[1]Tissue Data'!$C:$C)</f>
        <v>Down</v>
      </c>
      <c r="C7624" s="2">
        <f>_xlfn.XLOOKUP(A7624,'[1]Tissue Data'!$A:$A,'[1]Tissue Data'!$D:$D)</f>
        <v>44393</v>
      </c>
      <c r="D7624" s="2" t="str">
        <f>_xlfn.XLOOKUP(A7624,'[1]Tissue Data'!$A:$A,'[1]Tissue Data'!$F:$F)</f>
        <v>Swallowtail Shiner</v>
      </c>
      <c r="E7624" t="str">
        <f>_xlfn.XLOOKUP(A7624,'[1]Tissue Data'!$A:$A,'[1]Tissue Data'!$H:$H)</f>
        <v>Notropis</v>
      </c>
      <c r="F7624" t="str">
        <f>_xlfn.XLOOKUP(A7624,'[1]Tissue Data'!$A:$A,'[1]Tissue Data'!$I:$I)</f>
        <v>procne</v>
      </c>
      <c r="G7624" t="str">
        <f>_xlfn.XLOOKUP(A7624,'[1]Tissue Data'!$A:$A,'[1]Tissue Data'!J:J)</f>
        <v>U</v>
      </c>
      <c r="H7624" t="str">
        <f>_xlfn.XLOOKUP(A7624,'[1]Tissue Data'!$A:$A,'[1]Tissue Data'!K:K)</f>
        <v>Whole Body</v>
      </c>
      <c r="I7624">
        <f>_xlfn.XLOOKUP(A7624,'[1]Tissue Data'!$A:$A,'[1]Tissue Data'!L:L)</f>
        <v>5.5</v>
      </c>
      <c r="J7624">
        <f>_xlfn.XLOOKUP(A7624,'[1]Tissue Data'!$A:$A,'[1]Tissue Data'!M:M)</f>
        <v>1.89</v>
      </c>
      <c r="K7624" t="s">
        <v>34</v>
      </c>
      <c r="L7624" t="str">
        <f>_xlfn.XLOOKUP(K7624,[2]analyte_order!$B:$B,[2]analyte_order!$C:$C)</f>
        <v>646-83-3</v>
      </c>
      <c r="M7624">
        <f>_xlfn.XLOOKUP(L7624,[2]analyte_order!$C:$C,[2]analyte_order!$E:$E)</f>
        <v>55</v>
      </c>
      <c r="N7624">
        <v>8.5000000000000006E-2</v>
      </c>
    </row>
    <row r="7625" spans="1:14">
      <c r="A7625" t="s">
        <v>205</v>
      </c>
      <c r="B7625" t="str">
        <f>_xlfn.XLOOKUP(A7625,'[1]Tissue Data'!$A:$A,'[1]Tissue Data'!$C:$C)</f>
        <v>Down</v>
      </c>
      <c r="C7625" s="2">
        <f>_xlfn.XLOOKUP(A7625,'[1]Tissue Data'!$A:$A,'[1]Tissue Data'!$D:$D)</f>
        <v>44393</v>
      </c>
      <c r="D7625" s="2" t="str">
        <f>_xlfn.XLOOKUP(A7625,'[1]Tissue Data'!$A:$A,'[1]Tissue Data'!$F:$F)</f>
        <v>Swallowtail Shiner</v>
      </c>
      <c r="E7625" t="str">
        <f>_xlfn.XLOOKUP(A7625,'[1]Tissue Data'!$A:$A,'[1]Tissue Data'!$H:$H)</f>
        <v>Notropis</v>
      </c>
      <c r="F7625" t="str">
        <f>_xlfn.XLOOKUP(A7625,'[1]Tissue Data'!$A:$A,'[1]Tissue Data'!$I:$I)</f>
        <v>procne</v>
      </c>
      <c r="G7625" t="str">
        <f>_xlfn.XLOOKUP(A7625,'[1]Tissue Data'!$A:$A,'[1]Tissue Data'!J:J)</f>
        <v>U</v>
      </c>
      <c r="H7625" t="str">
        <f>_xlfn.XLOOKUP(A7625,'[1]Tissue Data'!$A:$A,'[1]Tissue Data'!K:K)</f>
        <v>Whole Body</v>
      </c>
      <c r="I7625">
        <f>_xlfn.XLOOKUP(A7625,'[1]Tissue Data'!$A:$A,'[1]Tissue Data'!L:L)</f>
        <v>5.5</v>
      </c>
      <c r="J7625">
        <f>_xlfn.XLOOKUP(A7625,'[1]Tissue Data'!$A:$A,'[1]Tissue Data'!M:M)</f>
        <v>1.89</v>
      </c>
      <c r="K7625" t="s">
        <v>35</v>
      </c>
      <c r="L7625" t="str">
        <f>_xlfn.XLOOKUP(K7625,[2]analyte_order!$B:$B,[2]analyte_order!$C:$C)</f>
        <v>30334-69-1</v>
      </c>
      <c r="M7625">
        <f>_xlfn.XLOOKUP(L7625,[2]analyte_order!$C:$C,[2]analyte_order!$E:$E)</f>
        <v>51</v>
      </c>
      <c r="N7625">
        <v>470</v>
      </c>
    </row>
    <row r="7626" spans="1:14">
      <c r="A7626" t="s">
        <v>205</v>
      </c>
      <c r="B7626" t="str">
        <f>_xlfn.XLOOKUP(A7626,'[1]Tissue Data'!$A:$A,'[1]Tissue Data'!$C:$C)</f>
        <v>Down</v>
      </c>
      <c r="C7626" s="2">
        <f>_xlfn.XLOOKUP(A7626,'[1]Tissue Data'!$A:$A,'[1]Tissue Data'!$D:$D)</f>
        <v>44393</v>
      </c>
      <c r="D7626" s="2" t="str">
        <f>_xlfn.XLOOKUP(A7626,'[1]Tissue Data'!$A:$A,'[1]Tissue Data'!$F:$F)</f>
        <v>Swallowtail Shiner</v>
      </c>
      <c r="E7626" t="str">
        <f>_xlfn.XLOOKUP(A7626,'[1]Tissue Data'!$A:$A,'[1]Tissue Data'!$H:$H)</f>
        <v>Notropis</v>
      </c>
      <c r="F7626" t="str">
        <f>_xlfn.XLOOKUP(A7626,'[1]Tissue Data'!$A:$A,'[1]Tissue Data'!$I:$I)</f>
        <v>procne</v>
      </c>
      <c r="G7626" t="str">
        <f>_xlfn.XLOOKUP(A7626,'[1]Tissue Data'!$A:$A,'[1]Tissue Data'!J:J)</f>
        <v>U</v>
      </c>
      <c r="H7626" t="str">
        <f>_xlfn.XLOOKUP(A7626,'[1]Tissue Data'!$A:$A,'[1]Tissue Data'!K:K)</f>
        <v>Whole Body</v>
      </c>
      <c r="I7626">
        <f>_xlfn.XLOOKUP(A7626,'[1]Tissue Data'!$A:$A,'[1]Tissue Data'!L:L)</f>
        <v>5.5</v>
      </c>
      <c r="J7626">
        <f>_xlfn.XLOOKUP(A7626,'[1]Tissue Data'!$A:$A,'[1]Tissue Data'!M:M)</f>
        <v>1.89</v>
      </c>
      <c r="K7626" t="s">
        <v>36</v>
      </c>
      <c r="L7626" t="str">
        <f>_xlfn.XLOOKUP(K7626,[2]analyte_order!$B:$B,[2]analyte_order!$C:$C)</f>
        <v>41997-13-1</v>
      </c>
      <c r="M7626">
        <f>_xlfn.XLOOKUP(L7626,[2]analyte_order!$C:$C,[2]analyte_order!$E:$E)</f>
        <v>52</v>
      </c>
      <c r="N7626">
        <v>1440</v>
      </c>
    </row>
    <row r="7627" spans="1:14">
      <c r="A7627" t="s">
        <v>205</v>
      </c>
      <c r="B7627" t="str">
        <f>_xlfn.XLOOKUP(A7627,'[1]Tissue Data'!$A:$A,'[1]Tissue Data'!$C:$C)</f>
        <v>Down</v>
      </c>
      <c r="C7627" s="2">
        <f>_xlfn.XLOOKUP(A7627,'[1]Tissue Data'!$A:$A,'[1]Tissue Data'!$D:$D)</f>
        <v>44393</v>
      </c>
      <c r="D7627" s="2" t="str">
        <f>_xlfn.XLOOKUP(A7627,'[1]Tissue Data'!$A:$A,'[1]Tissue Data'!$F:$F)</f>
        <v>Swallowtail Shiner</v>
      </c>
      <c r="E7627" t="str">
        <f>_xlfn.XLOOKUP(A7627,'[1]Tissue Data'!$A:$A,'[1]Tissue Data'!$H:$H)</f>
        <v>Notropis</v>
      </c>
      <c r="F7627" t="str">
        <f>_xlfn.XLOOKUP(A7627,'[1]Tissue Data'!$A:$A,'[1]Tissue Data'!$I:$I)</f>
        <v>procne</v>
      </c>
      <c r="G7627" t="str">
        <f>_xlfn.XLOOKUP(A7627,'[1]Tissue Data'!$A:$A,'[1]Tissue Data'!J:J)</f>
        <v>U</v>
      </c>
      <c r="H7627" t="str">
        <f>_xlfn.XLOOKUP(A7627,'[1]Tissue Data'!$A:$A,'[1]Tissue Data'!K:K)</f>
        <v>Whole Body</v>
      </c>
      <c r="I7627">
        <f>_xlfn.XLOOKUP(A7627,'[1]Tissue Data'!$A:$A,'[1]Tissue Data'!L:L)</f>
        <v>5.5</v>
      </c>
      <c r="J7627">
        <f>_xlfn.XLOOKUP(A7627,'[1]Tissue Data'!$A:$A,'[1]Tissue Data'!M:M)</f>
        <v>1.89</v>
      </c>
      <c r="K7627" t="s">
        <v>37</v>
      </c>
      <c r="L7627" t="str">
        <f>_xlfn.XLOOKUP(K7627,[2]analyte_order!$B:$B,[2]analyte_order!$C:$C)</f>
        <v>754-91-6</v>
      </c>
      <c r="M7627">
        <f>_xlfn.XLOOKUP(L7627,[2]analyte_order!$C:$C,[2]analyte_order!$E:$E)</f>
        <v>28</v>
      </c>
      <c r="N7627">
        <v>45.7</v>
      </c>
    </row>
    <row r="7628" spans="1:14">
      <c r="A7628" t="s">
        <v>205</v>
      </c>
      <c r="B7628" t="str">
        <f>_xlfn.XLOOKUP(A7628,'[1]Tissue Data'!$A:$A,'[1]Tissue Data'!$C:$C)</f>
        <v>Down</v>
      </c>
      <c r="C7628" s="2">
        <f>_xlfn.XLOOKUP(A7628,'[1]Tissue Data'!$A:$A,'[1]Tissue Data'!$D:$D)</f>
        <v>44393</v>
      </c>
      <c r="D7628" s="2" t="str">
        <f>_xlfn.XLOOKUP(A7628,'[1]Tissue Data'!$A:$A,'[1]Tissue Data'!$F:$F)</f>
        <v>Swallowtail Shiner</v>
      </c>
      <c r="E7628" t="str">
        <f>_xlfn.XLOOKUP(A7628,'[1]Tissue Data'!$A:$A,'[1]Tissue Data'!$H:$H)</f>
        <v>Notropis</v>
      </c>
      <c r="F7628" t="str">
        <f>_xlfn.XLOOKUP(A7628,'[1]Tissue Data'!$A:$A,'[1]Tissue Data'!$I:$I)</f>
        <v>procne</v>
      </c>
      <c r="G7628" t="str">
        <f>_xlfn.XLOOKUP(A7628,'[1]Tissue Data'!$A:$A,'[1]Tissue Data'!J:J)</f>
        <v>U</v>
      </c>
      <c r="H7628" t="str">
        <f>_xlfn.XLOOKUP(A7628,'[1]Tissue Data'!$A:$A,'[1]Tissue Data'!K:K)</f>
        <v>Whole Body</v>
      </c>
      <c r="I7628">
        <f>_xlfn.XLOOKUP(A7628,'[1]Tissue Data'!$A:$A,'[1]Tissue Data'!L:L)</f>
        <v>5.5</v>
      </c>
      <c r="J7628">
        <f>_xlfn.XLOOKUP(A7628,'[1]Tissue Data'!$A:$A,'[1]Tissue Data'!M:M)</f>
        <v>1.89</v>
      </c>
      <c r="K7628" t="s">
        <v>38</v>
      </c>
      <c r="L7628" t="str">
        <f>_xlfn.XLOOKUP(K7628,[2]analyte_order!$B:$B,[2]analyte_order!$C:$C)</f>
        <v>31506-32-8</v>
      </c>
      <c r="M7628">
        <f>_xlfn.XLOOKUP(L7628,[2]analyte_order!$C:$C,[2]analyte_order!$E:$E)</f>
        <v>30</v>
      </c>
      <c r="N7628">
        <v>0.16400000000000001</v>
      </c>
    </row>
    <row r="7629" spans="1:14">
      <c r="A7629" t="s">
        <v>205</v>
      </c>
      <c r="B7629" t="str">
        <f>_xlfn.XLOOKUP(A7629,'[1]Tissue Data'!$A:$A,'[1]Tissue Data'!$C:$C)</f>
        <v>Down</v>
      </c>
      <c r="C7629" s="2">
        <f>_xlfn.XLOOKUP(A7629,'[1]Tissue Data'!$A:$A,'[1]Tissue Data'!$D:$D)</f>
        <v>44393</v>
      </c>
      <c r="D7629" s="2" t="str">
        <f>_xlfn.XLOOKUP(A7629,'[1]Tissue Data'!$A:$A,'[1]Tissue Data'!$F:$F)</f>
        <v>Swallowtail Shiner</v>
      </c>
      <c r="E7629" t="str">
        <f>_xlfn.XLOOKUP(A7629,'[1]Tissue Data'!$A:$A,'[1]Tissue Data'!$H:$H)</f>
        <v>Notropis</v>
      </c>
      <c r="F7629" t="str">
        <f>_xlfn.XLOOKUP(A7629,'[1]Tissue Data'!$A:$A,'[1]Tissue Data'!$I:$I)</f>
        <v>procne</v>
      </c>
      <c r="G7629" t="str">
        <f>_xlfn.XLOOKUP(A7629,'[1]Tissue Data'!$A:$A,'[1]Tissue Data'!J:J)</f>
        <v>U</v>
      </c>
      <c r="H7629" t="str">
        <f>_xlfn.XLOOKUP(A7629,'[1]Tissue Data'!$A:$A,'[1]Tissue Data'!K:K)</f>
        <v>Whole Body</v>
      </c>
      <c r="I7629">
        <f>_xlfn.XLOOKUP(A7629,'[1]Tissue Data'!$A:$A,'[1]Tissue Data'!L:L)</f>
        <v>5.5</v>
      </c>
      <c r="J7629">
        <f>_xlfn.XLOOKUP(A7629,'[1]Tissue Data'!$A:$A,'[1]Tissue Data'!M:M)</f>
        <v>1.89</v>
      </c>
      <c r="K7629" t="s">
        <v>39</v>
      </c>
      <c r="L7629" t="str">
        <f>_xlfn.XLOOKUP(K7629,[2]analyte_order!$B:$B,[2]analyte_order!$C:$C)</f>
        <v>4151-50-2</v>
      </c>
      <c r="M7629">
        <f>_xlfn.XLOOKUP(L7629,[2]analyte_order!$C:$C,[2]analyte_order!$E:$E)</f>
        <v>31</v>
      </c>
      <c r="N7629">
        <v>0.42599999999999999</v>
      </c>
    </row>
    <row r="7630" spans="1:14">
      <c r="A7630" t="s">
        <v>205</v>
      </c>
      <c r="B7630" t="str">
        <f>_xlfn.XLOOKUP(A7630,'[1]Tissue Data'!$A:$A,'[1]Tissue Data'!$C:$C)</f>
        <v>Down</v>
      </c>
      <c r="C7630" s="2">
        <f>_xlfn.XLOOKUP(A7630,'[1]Tissue Data'!$A:$A,'[1]Tissue Data'!$D:$D)</f>
        <v>44393</v>
      </c>
      <c r="D7630" s="2" t="str">
        <f>_xlfn.XLOOKUP(A7630,'[1]Tissue Data'!$A:$A,'[1]Tissue Data'!$F:$F)</f>
        <v>Swallowtail Shiner</v>
      </c>
      <c r="E7630" t="str">
        <f>_xlfn.XLOOKUP(A7630,'[1]Tissue Data'!$A:$A,'[1]Tissue Data'!$H:$H)</f>
        <v>Notropis</v>
      </c>
      <c r="F7630" t="str">
        <f>_xlfn.XLOOKUP(A7630,'[1]Tissue Data'!$A:$A,'[1]Tissue Data'!$I:$I)</f>
        <v>procne</v>
      </c>
      <c r="G7630" t="str">
        <f>_xlfn.XLOOKUP(A7630,'[1]Tissue Data'!$A:$A,'[1]Tissue Data'!J:J)</f>
        <v>U</v>
      </c>
      <c r="H7630" t="str">
        <f>_xlfn.XLOOKUP(A7630,'[1]Tissue Data'!$A:$A,'[1]Tissue Data'!K:K)</f>
        <v>Whole Body</v>
      </c>
      <c r="I7630">
        <f>_xlfn.XLOOKUP(A7630,'[1]Tissue Data'!$A:$A,'[1]Tissue Data'!L:L)</f>
        <v>5.5</v>
      </c>
      <c r="J7630">
        <f>_xlfn.XLOOKUP(A7630,'[1]Tissue Data'!$A:$A,'[1]Tissue Data'!M:M)</f>
        <v>1.89</v>
      </c>
      <c r="K7630" t="s">
        <v>40</v>
      </c>
      <c r="L7630" t="str">
        <f>_xlfn.XLOOKUP(K7630,[2]analyte_order!$B:$B,[2]analyte_order!$C:$C)</f>
        <v>2806-24-8</v>
      </c>
      <c r="M7630">
        <f>_xlfn.XLOOKUP(L7630,[2]analyte_order!$C:$C,[2]analyte_order!$E:$E)</f>
        <v>29</v>
      </c>
      <c r="N7630">
        <v>0.42599999999999999</v>
      </c>
    </row>
    <row r="7631" spans="1:14">
      <c r="A7631" t="s">
        <v>205</v>
      </c>
      <c r="B7631" t="str">
        <f>_xlfn.XLOOKUP(A7631,'[1]Tissue Data'!$A:$A,'[1]Tissue Data'!$C:$C)</f>
        <v>Down</v>
      </c>
      <c r="C7631" s="2">
        <f>_xlfn.XLOOKUP(A7631,'[1]Tissue Data'!$A:$A,'[1]Tissue Data'!$D:$D)</f>
        <v>44393</v>
      </c>
      <c r="D7631" s="2" t="str">
        <f>_xlfn.XLOOKUP(A7631,'[1]Tissue Data'!$A:$A,'[1]Tissue Data'!$F:$F)</f>
        <v>Swallowtail Shiner</v>
      </c>
      <c r="E7631" t="str">
        <f>_xlfn.XLOOKUP(A7631,'[1]Tissue Data'!$A:$A,'[1]Tissue Data'!$H:$H)</f>
        <v>Notropis</v>
      </c>
      <c r="F7631" t="str">
        <f>_xlfn.XLOOKUP(A7631,'[1]Tissue Data'!$A:$A,'[1]Tissue Data'!$I:$I)</f>
        <v>procne</v>
      </c>
      <c r="G7631" t="str">
        <f>_xlfn.XLOOKUP(A7631,'[1]Tissue Data'!$A:$A,'[1]Tissue Data'!J:J)</f>
        <v>U</v>
      </c>
      <c r="H7631" t="str">
        <f>_xlfn.XLOOKUP(A7631,'[1]Tissue Data'!$A:$A,'[1]Tissue Data'!K:K)</f>
        <v>Whole Body</v>
      </c>
      <c r="I7631">
        <f>_xlfn.XLOOKUP(A7631,'[1]Tissue Data'!$A:$A,'[1]Tissue Data'!L:L)</f>
        <v>5.5</v>
      </c>
      <c r="J7631">
        <f>_xlfn.XLOOKUP(A7631,'[1]Tissue Data'!$A:$A,'[1]Tissue Data'!M:M)</f>
        <v>1.89</v>
      </c>
      <c r="K7631" t="s">
        <v>41</v>
      </c>
      <c r="L7631" t="str">
        <f>_xlfn.XLOOKUP(K7631,[2]analyte_order!$B:$B,[2]analyte_order!$C:$C)</f>
        <v>2355-31-9</v>
      </c>
      <c r="M7631">
        <f>_xlfn.XLOOKUP(L7631,[2]analyte_order!$C:$C,[2]analyte_order!$E:$E)</f>
        <v>26</v>
      </c>
      <c r="N7631">
        <v>0.2145</v>
      </c>
    </row>
    <row r="7632" spans="1:14">
      <c r="A7632" t="s">
        <v>205</v>
      </c>
      <c r="B7632" t="str">
        <f>_xlfn.XLOOKUP(A7632,'[1]Tissue Data'!$A:$A,'[1]Tissue Data'!$C:$C)</f>
        <v>Down</v>
      </c>
      <c r="C7632" s="2">
        <f>_xlfn.XLOOKUP(A7632,'[1]Tissue Data'!$A:$A,'[1]Tissue Data'!$D:$D)</f>
        <v>44393</v>
      </c>
      <c r="D7632" s="2" t="str">
        <f>_xlfn.XLOOKUP(A7632,'[1]Tissue Data'!$A:$A,'[1]Tissue Data'!$F:$F)</f>
        <v>Swallowtail Shiner</v>
      </c>
      <c r="E7632" t="str">
        <f>_xlfn.XLOOKUP(A7632,'[1]Tissue Data'!$A:$A,'[1]Tissue Data'!$H:$H)</f>
        <v>Notropis</v>
      </c>
      <c r="F7632" t="str">
        <f>_xlfn.XLOOKUP(A7632,'[1]Tissue Data'!$A:$A,'[1]Tissue Data'!$I:$I)</f>
        <v>procne</v>
      </c>
      <c r="G7632" t="str">
        <f>_xlfn.XLOOKUP(A7632,'[1]Tissue Data'!$A:$A,'[1]Tissue Data'!J:J)</f>
        <v>U</v>
      </c>
      <c r="H7632" t="str">
        <f>_xlfn.XLOOKUP(A7632,'[1]Tissue Data'!$A:$A,'[1]Tissue Data'!K:K)</f>
        <v>Whole Body</v>
      </c>
      <c r="I7632">
        <f>_xlfn.XLOOKUP(A7632,'[1]Tissue Data'!$A:$A,'[1]Tissue Data'!L:L)</f>
        <v>5.5</v>
      </c>
      <c r="J7632">
        <f>_xlfn.XLOOKUP(A7632,'[1]Tissue Data'!$A:$A,'[1]Tissue Data'!M:M)</f>
        <v>1.89</v>
      </c>
      <c r="K7632" t="s">
        <v>42</v>
      </c>
      <c r="L7632" t="str">
        <f>_xlfn.XLOOKUP(K7632,[2]analyte_order!$B:$B,[2]analyte_order!$C:$C)</f>
        <v>2991-50-6</v>
      </c>
      <c r="M7632">
        <f>_xlfn.XLOOKUP(L7632,[2]analyte_order!$C:$C,[2]analyte_order!$E:$E)</f>
        <v>27</v>
      </c>
      <c r="N7632">
        <v>0.21299999999999999</v>
      </c>
    </row>
    <row r="7633" spans="1:14">
      <c r="A7633" t="s">
        <v>205</v>
      </c>
      <c r="B7633" t="str">
        <f>_xlfn.XLOOKUP(A7633,'[1]Tissue Data'!$A:$A,'[1]Tissue Data'!$C:$C)</f>
        <v>Down</v>
      </c>
      <c r="C7633" s="2">
        <f>_xlfn.XLOOKUP(A7633,'[1]Tissue Data'!$A:$A,'[1]Tissue Data'!$D:$D)</f>
        <v>44393</v>
      </c>
      <c r="D7633" s="2" t="str">
        <f>_xlfn.XLOOKUP(A7633,'[1]Tissue Data'!$A:$A,'[1]Tissue Data'!$F:$F)</f>
        <v>Swallowtail Shiner</v>
      </c>
      <c r="E7633" t="str">
        <f>_xlfn.XLOOKUP(A7633,'[1]Tissue Data'!$A:$A,'[1]Tissue Data'!$H:$H)</f>
        <v>Notropis</v>
      </c>
      <c r="F7633" t="str">
        <f>_xlfn.XLOOKUP(A7633,'[1]Tissue Data'!$A:$A,'[1]Tissue Data'!$I:$I)</f>
        <v>procne</v>
      </c>
      <c r="G7633" t="str">
        <f>_xlfn.XLOOKUP(A7633,'[1]Tissue Data'!$A:$A,'[1]Tissue Data'!J:J)</f>
        <v>U</v>
      </c>
      <c r="H7633" t="str">
        <f>_xlfn.XLOOKUP(A7633,'[1]Tissue Data'!$A:$A,'[1]Tissue Data'!K:K)</f>
        <v>Whole Body</v>
      </c>
      <c r="I7633">
        <f>_xlfn.XLOOKUP(A7633,'[1]Tissue Data'!$A:$A,'[1]Tissue Data'!L:L)</f>
        <v>5.5</v>
      </c>
      <c r="J7633">
        <f>_xlfn.XLOOKUP(A7633,'[1]Tissue Data'!$A:$A,'[1]Tissue Data'!M:M)</f>
        <v>1.89</v>
      </c>
      <c r="K7633" t="s">
        <v>43</v>
      </c>
      <c r="L7633" t="str">
        <f>_xlfn.XLOOKUP(K7633,[2]analyte_order!$B:$B,[2]analyte_order!$C:$C)</f>
        <v>757124-72-4</v>
      </c>
      <c r="M7633">
        <f>_xlfn.XLOOKUP(L7633,[2]analyte_order!$C:$C,[2]analyte_order!$E:$E)</f>
        <v>22</v>
      </c>
      <c r="N7633">
        <v>0.21299999999999999</v>
      </c>
    </row>
    <row r="7634" spans="1:14">
      <c r="A7634" t="s">
        <v>205</v>
      </c>
      <c r="B7634" t="str">
        <f>_xlfn.XLOOKUP(A7634,'[1]Tissue Data'!$A:$A,'[1]Tissue Data'!$C:$C)</f>
        <v>Down</v>
      </c>
      <c r="C7634" s="2">
        <f>_xlfn.XLOOKUP(A7634,'[1]Tissue Data'!$A:$A,'[1]Tissue Data'!$D:$D)</f>
        <v>44393</v>
      </c>
      <c r="D7634" s="2" t="str">
        <f>_xlfn.XLOOKUP(A7634,'[1]Tissue Data'!$A:$A,'[1]Tissue Data'!$F:$F)</f>
        <v>Swallowtail Shiner</v>
      </c>
      <c r="E7634" t="str">
        <f>_xlfn.XLOOKUP(A7634,'[1]Tissue Data'!$A:$A,'[1]Tissue Data'!$H:$H)</f>
        <v>Notropis</v>
      </c>
      <c r="F7634" t="str">
        <f>_xlfn.XLOOKUP(A7634,'[1]Tissue Data'!$A:$A,'[1]Tissue Data'!$I:$I)</f>
        <v>procne</v>
      </c>
      <c r="G7634" t="str">
        <f>_xlfn.XLOOKUP(A7634,'[1]Tissue Data'!$A:$A,'[1]Tissue Data'!J:J)</f>
        <v>U</v>
      </c>
      <c r="H7634" t="str">
        <f>_xlfn.XLOOKUP(A7634,'[1]Tissue Data'!$A:$A,'[1]Tissue Data'!K:K)</f>
        <v>Whole Body</v>
      </c>
      <c r="I7634">
        <f>_xlfn.XLOOKUP(A7634,'[1]Tissue Data'!$A:$A,'[1]Tissue Data'!L:L)</f>
        <v>5.5</v>
      </c>
      <c r="J7634">
        <f>_xlfn.XLOOKUP(A7634,'[1]Tissue Data'!$A:$A,'[1]Tissue Data'!M:M)</f>
        <v>1.89</v>
      </c>
      <c r="K7634" t="s">
        <v>44</v>
      </c>
      <c r="L7634" t="str">
        <f>_xlfn.XLOOKUP(K7634,[2]analyte_order!$B:$B,[2]analyte_order!$C:$C)</f>
        <v>27619-97-2</v>
      </c>
      <c r="M7634">
        <f>_xlfn.XLOOKUP(L7634,[2]analyte_order!$C:$C,[2]analyte_order!$E:$E)</f>
        <v>23</v>
      </c>
      <c r="N7634">
        <v>0.71499999999999997</v>
      </c>
    </row>
    <row r="7635" spans="1:14">
      <c r="A7635" t="s">
        <v>205</v>
      </c>
      <c r="B7635" t="str">
        <f>_xlfn.XLOOKUP(A7635,'[1]Tissue Data'!$A:$A,'[1]Tissue Data'!$C:$C)</f>
        <v>Down</v>
      </c>
      <c r="C7635" s="2">
        <f>_xlfn.XLOOKUP(A7635,'[1]Tissue Data'!$A:$A,'[1]Tissue Data'!$D:$D)</f>
        <v>44393</v>
      </c>
      <c r="D7635" s="2" t="str">
        <f>_xlfn.XLOOKUP(A7635,'[1]Tissue Data'!$A:$A,'[1]Tissue Data'!$F:$F)</f>
        <v>Swallowtail Shiner</v>
      </c>
      <c r="E7635" t="str">
        <f>_xlfn.XLOOKUP(A7635,'[1]Tissue Data'!$A:$A,'[1]Tissue Data'!$H:$H)</f>
        <v>Notropis</v>
      </c>
      <c r="F7635" t="str">
        <f>_xlfn.XLOOKUP(A7635,'[1]Tissue Data'!$A:$A,'[1]Tissue Data'!$I:$I)</f>
        <v>procne</v>
      </c>
      <c r="G7635" t="str">
        <f>_xlfn.XLOOKUP(A7635,'[1]Tissue Data'!$A:$A,'[1]Tissue Data'!J:J)</f>
        <v>U</v>
      </c>
      <c r="H7635" t="str">
        <f>_xlfn.XLOOKUP(A7635,'[1]Tissue Data'!$A:$A,'[1]Tissue Data'!K:K)</f>
        <v>Whole Body</v>
      </c>
      <c r="I7635">
        <f>_xlfn.XLOOKUP(A7635,'[1]Tissue Data'!$A:$A,'[1]Tissue Data'!L:L)</f>
        <v>5.5</v>
      </c>
      <c r="J7635">
        <f>_xlfn.XLOOKUP(A7635,'[1]Tissue Data'!$A:$A,'[1]Tissue Data'!M:M)</f>
        <v>1.89</v>
      </c>
      <c r="K7635" t="s">
        <v>45</v>
      </c>
      <c r="L7635" t="str">
        <f>_xlfn.XLOOKUP(K7635,[2]analyte_order!$B:$B,[2]analyte_order!$C:$C)</f>
        <v>39108-34-4</v>
      </c>
      <c r="M7635">
        <f>_xlfn.XLOOKUP(L7635,[2]analyte_order!$C:$C,[2]analyte_order!$E:$E)</f>
        <v>24</v>
      </c>
      <c r="N7635">
        <v>9.0399999999999991</v>
      </c>
    </row>
    <row r="7636" spans="1:14">
      <c r="A7636" t="s">
        <v>205</v>
      </c>
      <c r="B7636" t="str">
        <f>_xlfn.XLOOKUP(A7636,'[1]Tissue Data'!$A:$A,'[1]Tissue Data'!$C:$C)</f>
        <v>Down</v>
      </c>
      <c r="C7636" s="2">
        <f>_xlfn.XLOOKUP(A7636,'[1]Tissue Data'!$A:$A,'[1]Tissue Data'!$D:$D)</f>
        <v>44393</v>
      </c>
      <c r="D7636" s="2" t="str">
        <f>_xlfn.XLOOKUP(A7636,'[1]Tissue Data'!$A:$A,'[1]Tissue Data'!$F:$F)</f>
        <v>Swallowtail Shiner</v>
      </c>
      <c r="E7636" t="str">
        <f>_xlfn.XLOOKUP(A7636,'[1]Tissue Data'!$A:$A,'[1]Tissue Data'!$H:$H)</f>
        <v>Notropis</v>
      </c>
      <c r="F7636" t="str">
        <f>_xlfn.XLOOKUP(A7636,'[1]Tissue Data'!$A:$A,'[1]Tissue Data'!$I:$I)</f>
        <v>procne</v>
      </c>
      <c r="G7636" t="str">
        <f>_xlfn.XLOOKUP(A7636,'[1]Tissue Data'!$A:$A,'[1]Tissue Data'!J:J)</f>
        <v>U</v>
      </c>
      <c r="H7636" t="str">
        <f>_xlfn.XLOOKUP(A7636,'[1]Tissue Data'!$A:$A,'[1]Tissue Data'!K:K)</f>
        <v>Whole Body</v>
      </c>
      <c r="I7636">
        <f>_xlfn.XLOOKUP(A7636,'[1]Tissue Data'!$A:$A,'[1]Tissue Data'!L:L)</f>
        <v>5.5</v>
      </c>
      <c r="J7636">
        <f>_xlfn.XLOOKUP(A7636,'[1]Tissue Data'!$A:$A,'[1]Tissue Data'!M:M)</f>
        <v>1.89</v>
      </c>
      <c r="K7636" t="s">
        <v>46</v>
      </c>
      <c r="L7636" t="str">
        <f>_xlfn.XLOOKUP(K7636,[2]analyte_order!$B:$B,[2]analyte_order!$C:$C)</f>
        <v>120226-60-0</v>
      </c>
      <c r="M7636">
        <f>_xlfn.XLOOKUP(L7636,[2]analyte_order!$C:$C,[2]analyte_order!$E:$E)</f>
        <v>25</v>
      </c>
      <c r="N7636">
        <v>0.42599999999999999</v>
      </c>
    </row>
    <row r="7637" spans="1:14">
      <c r="A7637" t="s">
        <v>205</v>
      </c>
      <c r="B7637" t="str">
        <f>_xlfn.XLOOKUP(A7637,'[1]Tissue Data'!$A:$A,'[1]Tissue Data'!$C:$C)</f>
        <v>Down</v>
      </c>
      <c r="C7637" s="2">
        <f>_xlfn.XLOOKUP(A7637,'[1]Tissue Data'!$A:$A,'[1]Tissue Data'!$D:$D)</f>
        <v>44393</v>
      </c>
      <c r="D7637" s="2" t="str">
        <f>_xlfn.XLOOKUP(A7637,'[1]Tissue Data'!$A:$A,'[1]Tissue Data'!$F:$F)</f>
        <v>Swallowtail Shiner</v>
      </c>
      <c r="E7637" t="str">
        <f>_xlfn.XLOOKUP(A7637,'[1]Tissue Data'!$A:$A,'[1]Tissue Data'!$H:$H)</f>
        <v>Notropis</v>
      </c>
      <c r="F7637" t="str">
        <f>_xlfn.XLOOKUP(A7637,'[1]Tissue Data'!$A:$A,'[1]Tissue Data'!$I:$I)</f>
        <v>procne</v>
      </c>
      <c r="G7637" t="str">
        <f>_xlfn.XLOOKUP(A7637,'[1]Tissue Data'!$A:$A,'[1]Tissue Data'!J:J)</f>
        <v>U</v>
      </c>
      <c r="H7637" t="str">
        <f>_xlfn.XLOOKUP(A7637,'[1]Tissue Data'!$A:$A,'[1]Tissue Data'!K:K)</f>
        <v>Whole Body</v>
      </c>
      <c r="I7637">
        <f>_xlfn.XLOOKUP(A7637,'[1]Tissue Data'!$A:$A,'[1]Tissue Data'!L:L)</f>
        <v>5.5</v>
      </c>
      <c r="J7637">
        <f>_xlfn.XLOOKUP(A7637,'[1]Tissue Data'!$A:$A,'[1]Tissue Data'!M:M)</f>
        <v>1.89</v>
      </c>
      <c r="K7637" t="s">
        <v>47</v>
      </c>
      <c r="L7637" t="str">
        <f>_xlfn.XLOOKUP(K7637,[2]analyte_order!$B:$B,[2]analyte_order!$C:$C)</f>
        <v>356-02-5</v>
      </c>
      <c r="M7637">
        <f>_xlfn.XLOOKUP(L7637,[2]analyte_order!$C:$C,[2]analyte_order!$E:$E)</f>
        <v>38</v>
      </c>
      <c r="N7637">
        <v>0.2455</v>
      </c>
    </row>
    <row r="7638" spans="1:14">
      <c r="A7638" t="s">
        <v>205</v>
      </c>
      <c r="B7638" t="str">
        <f>_xlfn.XLOOKUP(A7638,'[1]Tissue Data'!$A:$A,'[1]Tissue Data'!$C:$C)</f>
        <v>Down</v>
      </c>
      <c r="C7638" s="2">
        <f>_xlfn.XLOOKUP(A7638,'[1]Tissue Data'!$A:$A,'[1]Tissue Data'!$D:$D)</f>
        <v>44393</v>
      </c>
      <c r="D7638" s="2" t="str">
        <f>_xlfn.XLOOKUP(A7638,'[1]Tissue Data'!$A:$A,'[1]Tissue Data'!$F:$F)</f>
        <v>Swallowtail Shiner</v>
      </c>
      <c r="E7638" t="str">
        <f>_xlfn.XLOOKUP(A7638,'[1]Tissue Data'!$A:$A,'[1]Tissue Data'!$H:$H)</f>
        <v>Notropis</v>
      </c>
      <c r="F7638" t="str">
        <f>_xlfn.XLOOKUP(A7638,'[1]Tissue Data'!$A:$A,'[1]Tissue Data'!$I:$I)</f>
        <v>procne</v>
      </c>
      <c r="G7638" t="str">
        <f>_xlfn.XLOOKUP(A7638,'[1]Tissue Data'!$A:$A,'[1]Tissue Data'!J:J)</f>
        <v>U</v>
      </c>
      <c r="H7638" t="str">
        <f>_xlfn.XLOOKUP(A7638,'[1]Tissue Data'!$A:$A,'[1]Tissue Data'!K:K)</f>
        <v>Whole Body</v>
      </c>
      <c r="I7638">
        <f>_xlfn.XLOOKUP(A7638,'[1]Tissue Data'!$A:$A,'[1]Tissue Data'!L:L)</f>
        <v>5.5</v>
      </c>
      <c r="J7638">
        <f>_xlfn.XLOOKUP(A7638,'[1]Tissue Data'!$A:$A,'[1]Tissue Data'!M:M)</f>
        <v>1.89</v>
      </c>
      <c r="K7638" t="s">
        <v>48</v>
      </c>
      <c r="L7638" t="str">
        <f>_xlfn.XLOOKUP(K7638,[2]analyte_order!$B:$B,[2]analyte_order!$C:$C)</f>
        <v>914637-49-3</v>
      </c>
      <c r="M7638">
        <f>_xlfn.XLOOKUP(L7638,[2]analyte_order!$C:$C,[2]analyte_order!$E:$E)</f>
        <v>39</v>
      </c>
      <c r="N7638">
        <v>0.68700000000000006</v>
      </c>
    </row>
    <row r="7639" spans="1:14">
      <c r="A7639" t="s">
        <v>205</v>
      </c>
      <c r="B7639" t="str">
        <f>_xlfn.XLOOKUP(A7639,'[1]Tissue Data'!$A:$A,'[1]Tissue Data'!$C:$C)</f>
        <v>Down</v>
      </c>
      <c r="C7639" s="2">
        <f>_xlfn.XLOOKUP(A7639,'[1]Tissue Data'!$A:$A,'[1]Tissue Data'!$D:$D)</f>
        <v>44393</v>
      </c>
      <c r="D7639" s="2" t="str">
        <f>_xlfn.XLOOKUP(A7639,'[1]Tissue Data'!$A:$A,'[1]Tissue Data'!$F:$F)</f>
        <v>Swallowtail Shiner</v>
      </c>
      <c r="E7639" t="str">
        <f>_xlfn.XLOOKUP(A7639,'[1]Tissue Data'!$A:$A,'[1]Tissue Data'!$H:$H)</f>
        <v>Notropis</v>
      </c>
      <c r="F7639" t="str">
        <f>_xlfn.XLOOKUP(A7639,'[1]Tissue Data'!$A:$A,'[1]Tissue Data'!$I:$I)</f>
        <v>procne</v>
      </c>
      <c r="G7639" t="str">
        <f>_xlfn.XLOOKUP(A7639,'[1]Tissue Data'!$A:$A,'[1]Tissue Data'!J:J)</f>
        <v>U</v>
      </c>
      <c r="H7639" t="str">
        <f>_xlfn.XLOOKUP(A7639,'[1]Tissue Data'!$A:$A,'[1]Tissue Data'!K:K)</f>
        <v>Whole Body</v>
      </c>
      <c r="I7639">
        <f>_xlfn.XLOOKUP(A7639,'[1]Tissue Data'!$A:$A,'[1]Tissue Data'!L:L)</f>
        <v>5.5</v>
      </c>
      <c r="J7639">
        <f>_xlfn.XLOOKUP(A7639,'[1]Tissue Data'!$A:$A,'[1]Tissue Data'!M:M)</f>
        <v>1.89</v>
      </c>
      <c r="K7639" t="s">
        <v>49</v>
      </c>
      <c r="L7639" t="str">
        <f>_xlfn.XLOOKUP(K7639,[2]analyte_order!$B:$B,[2]analyte_order!$C:$C)</f>
        <v>812-70-4</v>
      </c>
      <c r="M7639">
        <f>_xlfn.XLOOKUP(L7639,[2]analyte_order!$C:$C,[2]analyte_order!$E:$E)</f>
        <v>40</v>
      </c>
      <c r="N7639">
        <v>0.21299999999999999</v>
      </c>
    </row>
    <row r="7640" spans="1:14">
      <c r="A7640" t="s">
        <v>205</v>
      </c>
      <c r="B7640" t="str">
        <f>_xlfn.XLOOKUP(A7640,'[1]Tissue Data'!$A:$A,'[1]Tissue Data'!$C:$C)</f>
        <v>Down</v>
      </c>
      <c r="C7640" s="2">
        <f>_xlfn.XLOOKUP(A7640,'[1]Tissue Data'!$A:$A,'[1]Tissue Data'!$D:$D)</f>
        <v>44393</v>
      </c>
      <c r="D7640" s="2" t="str">
        <f>_xlfn.XLOOKUP(A7640,'[1]Tissue Data'!$A:$A,'[1]Tissue Data'!$F:$F)</f>
        <v>Swallowtail Shiner</v>
      </c>
      <c r="E7640" t="str">
        <f>_xlfn.XLOOKUP(A7640,'[1]Tissue Data'!$A:$A,'[1]Tissue Data'!$H:$H)</f>
        <v>Notropis</v>
      </c>
      <c r="F7640" t="str">
        <f>_xlfn.XLOOKUP(A7640,'[1]Tissue Data'!$A:$A,'[1]Tissue Data'!$I:$I)</f>
        <v>procne</v>
      </c>
      <c r="G7640" t="str">
        <f>_xlfn.XLOOKUP(A7640,'[1]Tissue Data'!$A:$A,'[1]Tissue Data'!J:J)</f>
        <v>U</v>
      </c>
      <c r="H7640" t="str">
        <f>_xlfn.XLOOKUP(A7640,'[1]Tissue Data'!$A:$A,'[1]Tissue Data'!K:K)</f>
        <v>Whole Body</v>
      </c>
      <c r="I7640">
        <f>_xlfn.XLOOKUP(A7640,'[1]Tissue Data'!$A:$A,'[1]Tissue Data'!L:L)</f>
        <v>5.5</v>
      </c>
      <c r="J7640">
        <f>_xlfn.XLOOKUP(A7640,'[1]Tissue Data'!$A:$A,'[1]Tissue Data'!M:M)</f>
        <v>1.89</v>
      </c>
      <c r="K7640" t="s">
        <v>50</v>
      </c>
      <c r="L7640" t="str">
        <f>_xlfn.XLOOKUP(K7640,[2]analyte_order!$B:$B,[2]analyte_order!$C:$C)</f>
        <v>53826-12-3</v>
      </c>
      <c r="M7640">
        <f>_xlfn.XLOOKUP(L7640,[2]analyte_order!$C:$C,[2]analyte_order!$E:$E)</f>
        <v>41</v>
      </c>
      <c r="N7640">
        <v>0.42599999999999999</v>
      </c>
    </row>
    <row r="7641" spans="1:14">
      <c r="A7641" t="s">
        <v>205</v>
      </c>
      <c r="B7641" t="str">
        <f>_xlfn.XLOOKUP(A7641,'[1]Tissue Data'!$A:$A,'[1]Tissue Data'!$C:$C)</f>
        <v>Down</v>
      </c>
      <c r="C7641" s="2">
        <f>_xlfn.XLOOKUP(A7641,'[1]Tissue Data'!$A:$A,'[1]Tissue Data'!$D:$D)</f>
        <v>44393</v>
      </c>
      <c r="D7641" s="2" t="str">
        <f>_xlfn.XLOOKUP(A7641,'[1]Tissue Data'!$A:$A,'[1]Tissue Data'!$F:$F)</f>
        <v>Swallowtail Shiner</v>
      </c>
      <c r="E7641" t="str">
        <f>_xlfn.XLOOKUP(A7641,'[1]Tissue Data'!$A:$A,'[1]Tissue Data'!$H:$H)</f>
        <v>Notropis</v>
      </c>
      <c r="F7641" t="str">
        <f>_xlfn.XLOOKUP(A7641,'[1]Tissue Data'!$A:$A,'[1]Tissue Data'!$I:$I)</f>
        <v>procne</v>
      </c>
      <c r="G7641" t="str">
        <f>_xlfn.XLOOKUP(A7641,'[1]Tissue Data'!$A:$A,'[1]Tissue Data'!J:J)</f>
        <v>U</v>
      </c>
      <c r="H7641" t="str">
        <f>_xlfn.XLOOKUP(A7641,'[1]Tissue Data'!$A:$A,'[1]Tissue Data'!K:K)</f>
        <v>Whole Body</v>
      </c>
      <c r="I7641">
        <f>_xlfn.XLOOKUP(A7641,'[1]Tissue Data'!$A:$A,'[1]Tissue Data'!L:L)</f>
        <v>5.5</v>
      </c>
      <c r="J7641">
        <f>_xlfn.XLOOKUP(A7641,'[1]Tissue Data'!$A:$A,'[1]Tissue Data'!M:M)</f>
        <v>1.89</v>
      </c>
      <c r="K7641" t="s">
        <v>51</v>
      </c>
      <c r="L7641" t="str">
        <f>_xlfn.XLOOKUP(K7641,[2]analyte_order!$B:$B,[2]analyte_order!$C:$C)</f>
        <v>27854-31-5</v>
      </c>
      <c r="M7641">
        <f>_xlfn.XLOOKUP(L7641,[2]analyte_order!$C:$C,[2]analyte_order!$E:$E)</f>
        <v>42</v>
      </c>
      <c r="N7641">
        <v>0.42599999999999999</v>
      </c>
    </row>
    <row r="7642" spans="1:14">
      <c r="A7642" t="s">
        <v>205</v>
      </c>
      <c r="B7642" t="str">
        <f>_xlfn.XLOOKUP(A7642,'[1]Tissue Data'!$A:$A,'[1]Tissue Data'!$C:$C)</f>
        <v>Down</v>
      </c>
      <c r="C7642" s="2">
        <f>_xlfn.XLOOKUP(A7642,'[1]Tissue Data'!$A:$A,'[1]Tissue Data'!$D:$D)</f>
        <v>44393</v>
      </c>
      <c r="D7642" s="2" t="str">
        <f>_xlfn.XLOOKUP(A7642,'[1]Tissue Data'!$A:$A,'[1]Tissue Data'!$F:$F)</f>
        <v>Swallowtail Shiner</v>
      </c>
      <c r="E7642" t="str">
        <f>_xlfn.XLOOKUP(A7642,'[1]Tissue Data'!$A:$A,'[1]Tissue Data'!$H:$H)</f>
        <v>Notropis</v>
      </c>
      <c r="F7642" t="str">
        <f>_xlfn.XLOOKUP(A7642,'[1]Tissue Data'!$A:$A,'[1]Tissue Data'!$I:$I)</f>
        <v>procne</v>
      </c>
      <c r="G7642" t="str">
        <f>_xlfn.XLOOKUP(A7642,'[1]Tissue Data'!$A:$A,'[1]Tissue Data'!J:J)</f>
        <v>U</v>
      </c>
      <c r="H7642" t="str">
        <f>_xlfn.XLOOKUP(A7642,'[1]Tissue Data'!$A:$A,'[1]Tissue Data'!K:K)</f>
        <v>Whole Body</v>
      </c>
      <c r="I7642">
        <f>_xlfn.XLOOKUP(A7642,'[1]Tissue Data'!$A:$A,'[1]Tissue Data'!L:L)</f>
        <v>5.5</v>
      </c>
      <c r="J7642">
        <f>_xlfn.XLOOKUP(A7642,'[1]Tissue Data'!$A:$A,'[1]Tissue Data'!M:M)</f>
        <v>1.89</v>
      </c>
      <c r="K7642" t="s">
        <v>52</v>
      </c>
      <c r="L7642" t="str">
        <f>_xlfn.XLOOKUP(K7642,[2]analyte_order!$B:$B,[2]analyte_order!$C:$C)</f>
        <v>53826-13-4</v>
      </c>
      <c r="M7642">
        <f>_xlfn.XLOOKUP(L7642,[2]analyte_order!$C:$C,[2]analyte_order!$E:$E)</f>
        <v>43</v>
      </c>
      <c r="N7642">
        <v>0.42599999999999999</v>
      </c>
    </row>
    <row r="7643" spans="1:14">
      <c r="A7643" t="s">
        <v>205</v>
      </c>
      <c r="B7643" t="str">
        <f>_xlfn.XLOOKUP(A7643,'[1]Tissue Data'!$A:$A,'[1]Tissue Data'!$C:$C)</f>
        <v>Down</v>
      </c>
      <c r="C7643" s="2">
        <f>_xlfn.XLOOKUP(A7643,'[1]Tissue Data'!$A:$A,'[1]Tissue Data'!$D:$D)</f>
        <v>44393</v>
      </c>
      <c r="D7643" s="2" t="str">
        <f>_xlfn.XLOOKUP(A7643,'[1]Tissue Data'!$A:$A,'[1]Tissue Data'!$F:$F)</f>
        <v>Swallowtail Shiner</v>
      </c>
      <c r="E7643" t="str">
        <f>_xlfn.XLOOKUP(A7643,'[1]Tissue Data'!$A:$A,'[1]Tissue Data'!$H:$H)</f>
        <v>Notropis</v>
      </c>
      <c r="F7643" t="str">
        <f>_xlfn.XLOOKUP(A7643,'[1]Tissue Data'!$A:$A,'[1]Tissue Data'!$I:$I)</f>
        <v>procne</v>
      </c>
      <c r="G7643" t="str">
        <f>_xlfn.XLOOKUP(A7643,'[1]Tissue Data'!$A:$A,'[1]Tissue Data'!J:J)</f>
        <v>U</v>
      </c>
      <c r="H7643" t="str">
        <f>_xlfn.XLOOKUP(A7643,'[1]Tissue Data'!$A:$A,'[1]Tissue Data'!K:K)</f>
        <v>Whole Body</v>
      </c>
      <c r="I7643">
        <f>_xlfn.XLOOKUP(A7643,'[1]Tissue Data'!$A:$A,'[1]Tissue Data'!L:L)</f>
        <v>5.5</v>
      </c>
      <c r="J7643">
        <f>_xlfn.XLOOKUP(A7643,'[1]Tissue Data'!$A:$A,'[1]Tissue Data'!M:M)</f>
        <v>1.89</v>
      </c>
      <c r="K7643" t="s">
        <v>53</v>
      </c>
      <c r="L7643" t="str">
        <f>_xlfn.XLOOKUP(K7643,[2]analyte_order!$B:$B,[2]analyte_order!$C:$C)</f>
        <v>161094-75-3</v>
      </c>
      <c r="M7643">
        <f>_xlfn.XLOOKUP(L7643,[2]analyte_order!$C:$C,[2]analyte_order!$E:$E)</f>
        <v>44</v>
      </c>
      <c r="N7643">
        <v>0.42599999999999999</v>
      </c>
    </row>
    <row r="7644" spans="1:14">
      <c r="A7644" t="s">
        <v>205</v>
      </c>
      <c r="B7644" t="str">
        <f>_xlfn.XLOOKUP(A7644,'[1]Tissue Data'!$A:$A,'[1]Tissue Data'!$C:$C)</f>
        <v>Down</v>
      </c>
      <c r="C7644" s="2">
        <f>_xlfn.XLOOKUP(A7644,'[1]Tissue Data'!$A:$A,'[1]Tissue Data'!$D:$D)</f>
        <v>44393</v>
      </c>
      <c r="D7644" s="2" t="str">
        <f>_xlfn.XLOOKUP(A7644,'[1]Tissue Data'!$A:$A,'[1]Tissue Data'!$F:$F)</f>
        <v>Swallowtail Shiner</v>
      </c>
      <c r="E7644" t="str">
        <f>_xlfn.XLOOKUP(A7644,'[1]Tissue Data'!$A:$A,'[1]Tissue Data'!$H:$H)</f>
        <v>Notropis</v>
      </c>
      <c r="F7644" t="str">
        <f>_xlfn.XLOOKUP(A7644,'[1]Tissue Data'!$A:$A,'[1]Tissue Data'!$I:$I)</f>
        <v>procne</v>
      </c>
      <c r="G7644" t="str">
        <f>_xlfn.XLOOKUP(A7644,'[1]Tissue Data'!$A:$A,'[1]Tissue Data'!J:J)</f>
        <v>U</v>
      </c>
      <c r="H7644" t="str">
        <f>_xlfn.XLOOKUP(A7644,'[1]Tissue Data'!$A:$A,'[1]Tissue Data'!K:K)</f>
        <v>Whole Body</v>
      </c>
      <c r="I7644">
        <f>_xlfn.XLOOKUP(A7644,'[1]Tissue Data'!$A:$A,'[1]Tissue Data'!L:L)</f>
        <v>5.5</v>
      </c>
      <c r="J7644">
        <f>_xlfn.XLOOKUP(A7644,'[1]Tissue Data'!$A:$A,'[1]Tissue Data'!M:M)</f>
        <v>1.89</v>
      </c>
      <c r="K7644" t="s">
        <v>54</v>
      </c>
      <c r="L7644" t="str">
        <f>_xlfn.XLOOKUP(K7644,[2]analyte_order!$B:$B,[2]analyte_order!$C:$C)</f>
        <v>70887-84-2</v>
      </c>
      <c r="M7644">
        <f>_xlfn.XLOOKUP(L7644,[2]analyte_order!$C:$C,[2]analyte_order!$E:$E)</f>
        <v>45</v>
      </c>
      <c r="N7644">
        <v>0.42599999999999999</v>
      </c>
    </row>
    <row r="7645" spans="1:14">
      <c r="A7645" t="s">
        <v>205</v>
      </c>
      <c r="B7645" t="str">
        <f>_xlfn.XLOOKUP(A7645,'[1]Tissue Data'!$A:$A,'[1]Tissue Data'!$C:$C)</f>
        <v>Down</v>
      </c>
      <c r="C7645" s="2">
        <f>_xlfn.XLOOKUP(A7645,'[1]Tissue Data'!$A:$A,'[1]Tissue Data'!$D:$D)</f>
        <v>44393</v>
      </c>
      <c r="D7645" s="2" t="str">
        <f>_xlfn.XLOOKUP(A7645,'[1]Tissue Data'!$A:$A,'[1]Tissue Data'!$F:$F)</f>
        <v>Swallowtail Shiner</v>
      </c>
      <c r="E7645" t="str">
        <f>_xlfn.XLOOKUP(A7645,'[1]Tissue Data'!$A:$A,'[1]Tissue Data'!$H:$H)</f>
        <v>Notropis</v>
      </c>
      <c r="F7645" t="str">
        <f>_xlfn.XLOOKUP(A7645,'[1]Tissue Data'!$A:$A,'[1]Tissue Data'!$I:$I)</f>
        <v>procne</v>
      </c>
      <c r="G7645" t="str">
        <f>_xlfn.XLOOKUP(A7645,'[1]Tissue Data'!$A:$A,'[1]Tissue Data'!J:J)</f>
        <v>U</v>
      </c>
      <c r="H7645" t="str">
        <f>_xlfn.XLOOKUP(A7645,'[1]Tissue Data'!$A:$A,'[1]Tissue Data'!K:K)</f>
        <v>Whole Body</v>
      </c>
      <c r="I7645">
        <f>_xlfn.XLOOKUP(A7645,'[1]Tissue Data'!$A:$A,'[1]Tissue Data'!L:L)</f>
        <v>5.5</v>
      </c>
      <c r="J7645">
        <f>_xlfn.XLOOKUP(A7645,'[1]Tissue Data'!$A:$A,'[1]Tissue Data'!M:M)</f>
        <v>1.89</v>
      </c>
      <c r="K7645" t="s">
        <v>55</v>
      </c>
      <c r="L7645" t="str">
        <f>_xlfn.XLOOKUP(K7645,[2]analyte_order!$B:$B,[2]analyte_order!$C:$C)</f>
        <v>919005-14-4</v>
      </c>
      <c r="M7645">
        <f>_xlfn.XLOOKUP(L7645,[2]analyte_order!$C:$C,[2]analyte_order!$E:$E)</f>
        <v>35</v>
      </c>
      <c r="N7645">
        <v>0.21299999999999999</v>
      </c>
    </row>
    <row r="7646" spans="1:14">
      <c r="A7646" t="s">
        <v>205</v>
      </c>
      <c r="B7646" t="str">
        <f>_xlfn.XLOOKUP(A7646,'[1]Tissue Data'!$A:$A,'[1]Tissue Data'!$C:$C)</f>
        <v>Down</v>
      </c>
      <c r="C7646" s="2">
        <f>_xlfn.XLOOKUP(A7646,'[1]Tissue Data'!$A:$A,'[1]Tissue Data'!$D:$D)</f>
        <v>44393</v>
      </c>
      <c r="D7646" s="2" t="str">
        <f>_xlfn.XLOOKUP(A7646,'[1]Tissue Data'!$A:$A,'[1]Tissue Data'!$F:$F)</f>
        <v>Swallowtail Shiner</v>
      </c>
      <c r="E7646" t="str">
        <f>_xlfn.XLOOKUP(A7646,'[1]Tissue Data'!$A:$A,'[1]Tissue Data'!$H:$H)</f>
        <v>Notropis</v>
      </c>
      <c r="F7646" t="str">
        <f>_xlfn.XLOOKUP(A7646,'[1]Tissue Data'!$A:$A,'[1]Tissue Data'!$I:$I)</f>
        <v>procne</v>
      </c>
      <c r="G7646" t="str">
        <f>_xlfn.XLOOKUP(A7646,'[1]Tissue Data'!$A:$A,'[1]Tissue Data'!J:J)</f>
        <v>U</v>
      </c>
      <c r="H7646" t="str">
        <f>_xlfn.XLOOKUP(A7646,'[1]Tissue Data'!$A:$A,'[1]Tissue Data'!K:K)</f>
        <v>Whole Body</v>
      </c>
      <c r="I7646">
        <f>_xlfn.XLOOKUP(A7646,'[1]Tissue Data'!$A:$A,'[1]Tissue Data'!L:L)</f>
        <v>5.5</v>
      </c>
      <c r="J7646">
        <f>_xlfn.XLOOKUP(A7646,'[1]Tissue Data'!$A:$A,'[1]Tissue Data'!M:M)</f>
        <v>1.89</v>
      </c>
      <c r="K7646" t="s">
        <v>56</v>
      </c>
      <c r="L7646" t="str">
        <f>_xlfn.XLOOKUP(K7646,[2]analyte_order!$B:$B,[2]analyte_order!$C:$C)</f>
        <v>756426-58-1</v>
      </c>
      <c r="M7646">
        <f>_xlfn.XLOOKUP(L7646,[2]analyte_order!$C:$C,[2]analyte_order!$E:$E)</f>
        <v>36</v>
      </c>
      <c r="N7646">
        <v>0.42599999999999999</v>
      </c>
    </row>
    <row r="7647" spans="1:14">
      <c r="A7647" t="s">
        <v>205</v>
      </c>
      <c r="B7647" t="str">
        <f>_xlfn.XLOOKUP(A7647,'[1]Tissue Data'!$A:$A,'[1]Tissue Data'!$C:$C)</f>
        <v>Down</v>
      </c>
      <c r="C7647" s="2">
        <f>_xlfn.XLOOKUP(A7647,'[1]Tissue Data'!$A:$A,'[1]Tissue Data'!$D:$D)</f>
        <v>44393</v>
      </c>
      <c r="D7647" s="2" t="str">
        <f>_xlfn.XLOOKUP(A7647,'[1]Tissue Data'!$A:$A,'[1]Tissue Data'!$F:$F)</f>
        <v>Swallowtail Shiner</v>
      </c>
      <c r="E7647" t="str">
        <f>_xlfn.XLOOKUP(A7647,'[1]Tissue Data'!$A:$A,'[1]Tissue Data'!$H:$H)</f>
        <v>Notropis</v>
      </c>
      <c r="F7647" t="str">
        <f>_xlfn.XLOOKUP(A7647,'[1]Tissue Data'!$A:$A,'[1]Tissue Data'!$I:$I)</f>
        <v>procne</v>
      </c>
      <c r="G7647" t="str">
        <f>_xlfn.XLOOKUP(A7647,'[1]Tissue Data'!$A:$A,'[1]Tissue Data'!J:J)</f>
        <v>U</v>
      </c>
      <c r="H7647" t="str">
        <f>_xlfn.XLOOKUP(A7647,'[1]Tissue Data'!$A:$A,'[1]Tissue Data'!K:K)</f>
        <v>Whole Body</v>
      </c>
      <c r="I7647">
        <f>_xlfn.XLOOKUP(A7647,'[1]Tissue Data'!$A:$A,'[1]Tissue Data'!L:L)</f>
        <v>5.5</v>
      </c>
      <c r="J7647">
        <f>_xlfn.XLOOKUP(A7647,'[1]Tissue Data'!$A:$A,'[1]Tissue Data'!M:M)</f>
        <v>1.89</v>
      </c>
      <c r="K7647" t="s">
        <v>57</v>
      </c>
      <c r="L7647" t="str">
        <f>_xlfn.XLOOKUP(K7647,[2]analyte_order!$B:$B,[2]analyte_order!$C:$C)</f>
        <v>763051-92-9</v>
      </c>
      <c r="M7647">
        <f>_xlfn.XLOOKUP(L7647,[2]analyte_order!$C:$C,[2]analyte_order!$E:$E)</f>
        <v>37</v>
      </c>
      <c r="N7647">
        <v>0.42599999999999999</v>
      </c>
    </row>
    <row r="7648" spans="1:14">
      <c r="A7648" t="s">
        <v>205</v>
      </c>
      <c r="B7648" t="str">
        <f>_xlfn.XLOOKUP(A7648,'[1]Tissue Data'!$A:$A,'[1]Tissue Data'!$C:$C)</f>
        <v>Down</v>
      </c>
      <c r="C7648" s="2">
        <f>_xlfn.XLOOKUP(A7648,'[1]Tissue Data'!$A:$A,'[1]Tissue Data'!$D:$D)</f>
        <v>44393</v>
      </c>
      <c r="D7648" s="2" t="str">
        <f>_xlfn.XLOOKUP(A7648,'[1]Tissue Data'!$A:$A,'[1]Tissue Data'!$F:$F)</f>
        <v>Swallowtail Shiner</v>
      </c>
      <c r="E7648" t="str">
        <f>_xlfn.XLOOKUP(A7648,'[1]Tissue Data'!$A:$A,'[1]Tissue Data'!$H:$H)</f>
        <v>Notropis</v>
      </c>
      <c r="F7648" t="str">
        <f>_xlfn.XLOOKUP(A7648,'[1]Tissue Data'!$A:$A,'[1]Tissue Data'!$I:$I)</f>
        <v>procne</v>
      </c>
      <c r="G7648" t="str">
        <f>_xlfn.XLOOKUP(A7648,'[1]Tissue Data'!$A:$A,'[1]Tissue Data'!J:J)</f>
        <v>U</v>
      </c>
      <c r="H7648" t="str">
        <f>_xlfn.XLOOKUP(A7648,'[1]Tissue Data'!$A:$A,'[1]Tissue Data'!K:K)</f>
        <v>Whole Body</v>
      </c>
      <c r="I7648">
        <f>_xlfn.XLOOKUP(A7648,'[1]Tissue Data'!$A:$A,'[1]Tissue Data'!L:L)</f>
        <v>5.5</v>
      </c>
      <c r="J7648">
        <f>_xlfn.XLOOKUP(A7648,'[1]Tissue Data'!$A:$A,'[1]Tissue Data'!M:M)</f>
        <v>1.89</v>
      </c>
      <c r="K7648" t="s">
        <v>58</v>
      </c>
      <c r="L7648" t="str">
        <f>_xlfn.XLOOKUP(K7648,[2]analyte_order!$B:$B,[2]analyte_order!$C:$C)</f>
        <v>13252-13-6</v>
      </c>
      <c r="M7648">
        <f>_xlfn.XLOOKUP(L7648,[2]analyte_order!$C:$C,[2]analyte_order!$E:$E)</f>
        <v>34</v>
      </c>
      <c r="N7648">
        <v>0.30549999999999999</v>
      </c>
    </row>
    <row r="7649" spans="1:14">
      <c r="A7649" t="s">
        <v>205</v>
      </c>
      <c r="B7649" t="str">
        <f>_xlfn.XLOOKUP(A7649,'[1]Tissue Data'!$A:$A,'[1]Tissue Data'!$C:$C)</f>
        <v>Down</v>
      </c>
      <c r="C7649" s="2">
        <f>_xlfn.XLOOKUP(A7649,'[1]Tissue Data'!$A:$A,'[1]Tissue Data'!$D:$D)</f>
        <v>44393</v>
      </c>
      <c r="D7649" s="2" t="str">
        <f>_xlfn.XLOOKUP(A7649,'[1]Tissue Data'!$A:$A,'[1]Tissue Data'!$F:$F)</f>
        <v>Swallowtail Shiner</v>
      </c>
      <c r="E7649" t="str">
        <f>_xlfn.XLOOKUP(A7649,'[1]Tissue Data'!$A:$A,'[1]Tissue Data'!$H:$H)</f>
        <v>Notropis</v>
      </c>
      <c r="F7649" t="str">
        <f>_xlfn.XLOOKUP(A7649,'[1]Tissue Data'!$A:$A,'[1]Tissue Data'!$I:$I)</f>
        <v>procne</v>
      </c>
      <c r="G7649" t="str">
        <f>_xlfn.XLOOKUP(A7649,'[1]Tissue Data'!$A:$A,'[1]Tissue Data'!J:J)</f>
        <v>U</v>
      </c>
      <c r="H7649" t="str">
        <f>_xlfn.XLOOKUP(A7649,'[1]Tissue Data'!$A:$A,'[1]Tissue Data'!K:K)</f>
        <v>Whole Body</v>
      </c>
      <c r="I7649">
        <f>_xlfn.XLOOKUP(A7649,'[1]Tissue Data'!$A:$A,'[1]Tissue Data'!L:L)</f>
        <v>5.5</v>
      </c>
      <c r="J7649">
        <f>_xlfn.XLOOKUP(A7649,'[1]Tissue Data'!$A:$A,'[1]Tissue Data'!M:M)</f>
        <v>1.89</v>
      </c>
      <c r="K7649" t="s">
        <v>59</v>
      </c>
      <c r="L7649" t="str">
        <f>_xlfn.XLOOKUP(K7649,[2]analyte_order!$B:$B,[2]analyte_order!$C:$C)</f>
        <v>57677-95-9</v>
      </c>
      <c r="M7649">
        <f>_xlfn.XLOOKUP(L7649,[2]analyte_order!$C:$C,[2]analyte_order!$E:$E)</f>
        <v>46</v>
      </c>
      <c r="N7649">
        <v>0.42599999999999999</v>
      </c>
    </row>
    <row r="7650" spans="1:14">
      <c r="A7650" t="s">
        <v>205</v>
      </c>
      <c r="B7650" t="str">
        <f>_xlfn.XLOOKUP(A7650,'[1]Tissue Data'!$A:$A,'[1]Tissue Data'!$C:$C)</f>
        <v>Down</v>
      </c>
      <c r="C7650" s="2">
        <f>_xlfn.XLOOKUP(A7650,'[1]Tissue Data'!$A:$A,'[1]Tissue Data'!$D:$D)</f>
        <v>44393</v>
      </c>
      <c r="D7650" s="2" t="str">
        <f>_xlfn.XLOOKUP(A7650,'[1]Tissue Data'!$A:$A,'[1]Tissue Data'!$F:$F)</f>
        <v>Swallowtail Shiner</v>
      </c>
      <c r="E7650" t="str">
        <f>_xlfn.XLOOKUP(A7650,'[1]Tissue Data'!$A:$A,'[1]Tissue Data'!$H:$H)</f>
        <v>Notropis</v>
      </c>
      <c r="F7650" t="str">
        <f>_xlfn.XLOOKUP(A7650,'[1]Tissue Data'!$A:$A,'[1]Tissue Data'!$I:$I)</f>
        <v>procne</v>
      </c>
      <c r="G7650" t="str">
        <f>_xlfn.XLOOKUP(A7650,'[1]Tissue Data'!$A:$A,'[1]Tissue Data'!J:J)</f>
        <v>U</v>
      </c>
      <c r="H7650" t="str">
        <f>_xlfn.XLOOKUP(A7650,'[1]Tissue Data'!$A:$A,'[1]Tissue Data'!K:K)</f>
        <v>Whole Body</v>
      </c>
      <c r="I7650">
        <f>_xlfn.XLOOKUP(A7650,'[1]Tissue Data'!$A:$A,'[1]Tissue Data'!L:L)</f>
        <v>5.5</v>
      </c>
      <c r="J7650">
        <f>_xlfn.XLOOKUP(A7650,'[1]Tissue Data'!$A:$A,'[1]Tissue Data'!M:M)</f>
        <v>1.89</v>
      </c>
      <c r="K7650" t="s">
        <v>60</v>
      </c>
      <c r="L7650" t="str">
        <f>_xlfn.XLOOKUP(K7650,[2]analyte_order!$B:$B,[2]analyte_order!$C:$C)</f>
        <v>678-41-1</v>
      </c>
      <c r="M7650">
        <f>_xlfn.XLOOKUP(L7650,[2]analyte_order!$C:$C,[2]analyte_order!$E:$E)</f>
        <v>56</v>
      </c>
      <c r="N7650">
        <v>0.42599999999999999</v>
      </c>
    </row>
    <row r="7651" spans="1:14">
      <c r="A7651" t="s">
        <v>205</v>
      </c>
      <c r="B7651" t="str">
        <f>_xlfn.XLOOKUP(A7651,'[1]Tissue Data'!$A:$A,'[1]Tissue Data'!$C:$C)</f>
        <v>Down</v>
      </c>
      <c r="C7651" s="2">
        <f>_xlfn.XLOOKUP(A7651,'[1]Tissue Data'!$A:$A,'[1]Tissue Data'!$D:$D)</f>
        <v>44393</v>
      </c>
      <c r="D7651" s="2" t="str">
        <f>_xlfn.XLOOKUP(A7651,'[1]Tissue Data'!$A:$A,'[1]Tissue Data'!$F:$F)</f>
        <v>Swallowtail Shiner</v>
      </c>
      <c r="E7651" t="str">
        <f>_xlfn.XLOOKUP(A7651,'[1]Tissue Data'!$A:$A,'[1]Tissue Data'!$H:$H)</f>
        <v>Notropis</v>
      </c>
      <c r="F7651" t="str">
        <f>_xlfn.XLOOKUP(A7651,'[1]Tissue Data'!$A:$A,'[1]Tissue Data'!$I:$I)</f>
        <v>procne</v>
      </c>
      <c r="G7651" t="str">
        <f>_xlfn.XLOOKUP(A7651,'[1]Tissue Data'!$A:$A,'[1]Tissue Data'!J:J)</f>
        <v>U</v>
      </c>
      <c r="H7651" t="str">
        <f>_xlfn.XLOOKUP(A7651,'[1]Tissue Data'!$A:$A,'[1]Tissue Data'!K:K)</f>
        <v>Whole Body</v>
      </c>
      <c r="I7651">
        <f>_xlfn.XLOOKUP(A7651,'[1]Tissue Data'!$A:$A,'[1]Tissue Data'!L:L)</f>
        <v>5.5</v>
      </c>
      <c r="J7651">
        <f>_xlfn.XLOOKUP(A7651,'[1]Tissue Data'!$A:$A,'[1]Tissue Data'!M:M)</f>
        <v>1.89</v>
      </c>
      <c r="K7651" t="s">
        <v>61</v>
      </c>
      <c r="L7651" t="str">
        <f>_xlfn.XLOOKUP(K7651,[2]analyte_order!$B:$B,[2]analyte_order!$C:$C)</f>
        <v>2965-52-8</v>
      </c>
      <c r="M7651">
        <f>_xlfn.XLOOKUP(L7651,[2]analyte_order!$C:$C,[2]analyte_order!$E:$E)</f>
        <v>57</v>
      </c>
      <c r="N7651">
        <v>0.42599999999999999</v>
      </c>
    </row>
    <row r="7652" spans="1:14">
      <c r="A7652" t="s">
        <v>206</v>
      </c>
      <c r="B7652" t="str">
        <f>_xlfn.XLOOKUP(A7652,'[1]Tissue Data'!$A:$A,'[1]Tissue Data'!$C:$C)</f>
        <v>Down</v>
      </c>
      <c r="C7652" s="2">
        <f>_xlfn.XLOOKUP(A7652,'[1]Tissue Data'!$A:$A,'[1]Tissue Data'!$D:$D)</f>
        <v>44393</v>
      </c>
      <c r="D7652" s="2" t="str">
        <f>_xlfn.XLOOKUP(A7652,'[1]Tissue Data'!$A:$A,'[1]Tissue Data'!$F:$F)</f>
        <v>Swallowtail Shiner</v>
      </c>
      <c r="E7652" t="str">
        <f>_xlfn.XLOOKUP(A7652,'[1]Tissue Data'!$A:$A,'[1]Tissue Data'!$H:$H)</f>
        <v>Notropis</v>
      </c>
      <c r="F7652" t="str">
        <f>_xlfn.XLOOKUP(A7652,'[1]Tissue Data'!$A:$A,'[1]Tissue Data'!$I:$I)</f>
        <v>procne</v>
      </c>
      <c r="G7652" t="str">
        <f>_xlfn.XLOOKUP(A7652,'[1]Tissue Data'!$A:$A,'[1]Tissue Data'!J:J)</f>
        <v>U</v>
      </c>
      <c r="H7652" t="str">
        <f>_xlfn.XLOOKUP(A7652,'[1]Tissue Data'!$A:$A,'[1]Tissue Data'!K:K)</f>
        <v>Whole Body</v>
      </c>
      <c r="I7652">
        <f>_xlfn.XLOOKUP(A7652,'[1]Tissue Data'!$A:$A,'[1]Tissue Data'!L:L)</f>
        <v>5.5</v>
      </c>
      <c r="J7652">
        <f>_xlfn.XLOOKUP(A7652,'[1]Tissue Data'!$A:$A,'[1]Tissue Data'!M:M)</f>
        <v>2.2000000000000002</v>
      </c>
      <c r="K7652" t="s">
        <v>12</v>
      </c>
      <c r="L7652" t="str">
        <f>_xlfn.XLOOKUP(K7652,[2]analyte_order!$B:$B,[2]analyte_order!$C:$C)</f>
        <v>375-22-4</v>
      </c>
      <c r="M7652">
        <f>_xlfn.XLOOKUP(L7652,[2]analyte_order!$C:$C,[2]analyte_order!$E:$E)</f>
        <v>1</v>
      </c>
      <c r="N7652">
        <v>0.224</v>
      </c>
    </row>
    <row r="7653" spans="1:14">
      <c r="A7653" t="s">
        <v>206</v>
      </c>
      <c r="B7653" t="str">
        <f>_xlfn.XLOOKUP(A7653,'[1]Tissue Data'!$A:$A,'[1]Tissue Data'!$C:$C)</f>
        <v>Down</v>
      </c>
      <c r="C7653" s="2">
        <f>_xlfn.XLOOKUP(A7653,'[1]Tissue Data'!$A:$A,'[1]Tissue Data'!$D:$D)</f>
        <v>44393</v>
      </c>
      <c r="D7653" s="2" t="str">
        <f>_xlfn.XLOOKUP(A7653,'[1]Tissue Data'!$A:$A,'[1]Tissue Data'!$F:$F)</f>
        <v>Swallowtail Shiner</v>
      </c>
      <c r="E7653" t="str">
        <f>_xlfn.XLOOKUP(A7653,'[1]Tissue Data'!$A:$A,'[1]Tissue Data'!$H:$H)</f>
        <v>Notropis</v>
      </c>
      <c r="F7653" t="str">
        <f>_xlfn.XLOOKUP(A7653,'[1]Tissue Data'!$A:$A,'[1]Tissue Data'!$I:$I)</f>
        <v>procne</v>
      </c>
      <c r="G7653" t="str">
        <f>_xlfn.XLOOKUP(A7653,'[1]Tissue Data'!$A:$A,'[1]Tissue Data'!J:J)</f>
        <v>U</v>
      </c>
      <c r="H7653" t="str">
        <f>_xlfn.XLOOKUP(A7653,'[1]Tissue Data'!$A:$A,'[1]Tissue Data'!K:K)</f>
        <v>Whole Body</v>
      </c>
      <c r="I7653">
        <f>_xlfn.XLOOKUP(A7653,'[1]Tissue Data'!$A:$A,'[1]Tissue Data'!L:L)</f>
        <v>5.5</v>
      </c>
      <c r="J7653">
        <f>_xlfn.XLOOKUP(A7653,'[1]Tissue Data'!$A:$A,'[1]Tissue Data'!M:M)</f>
        <v>2.2000000000000002</v>
      </c>
      <c r="K7653" t="s">
        <v>13</v>
      </c>
      <c r="L7653" t="str">
        <f>_xlfn.XLOOKUP(K7653,[2]analyte_order!$B:$B,[2]analyte_order!$C:$C)</f>
        <v>2706-90-3</v>
      </c>
      <c r="M7653">
        <f>_xlfn.XLOOKUP(L7653,[2]analyte_order!$C:$C,[2]analyte_order!$E:$E)</f>
        <v>2</v>
      </c>
      <c r="N7653">
        <v>0.224</v>
      </c>
    </row>
    <row r="7654" spans="1:14">
      <c r="A7654" t="s">
        <v>206</v>
      </c>
      <c r="B7654" t="str">
        <f>_xlfn.XLOOKUP(A7654,'[1]Tissue Data'!$A:$A,'[1]Tissue Data'!$C:$C)</f>
        <v>Down</v>
      </c>
      <c r="C7654" s="2">
        <f>_xlfn.XLOOKUP(A7654,'[1]Tissue Data'!$A:$A,'[1]Tissue Data'!$D:$D)</f>
        <v>44393</v>
      </c>
      <c r="D7654" s="2" t="str">
        <f>_xlfn.XLOOKUP(A7654,'[1]Tissue Data'!$A:$A,'[1]Tissue Data'!$F:$F)</f>
        <v>Swallowtail Shiner</v>
      </c>
      <c r="E7654" t="str">
        <f>_xlfn.XLOOKUP(A7654,'[1]Tissue Data'!$A:$A,'[1]Tissue Data'!$H:$H)</f>
        <v>Notropis</v>
      </c>
      <c r="F7654" t="str">
        <f>_xlfn.XLOOKUP(A7654,'[1]Tissue Data'!$A:$A,'[1]Tissue Data'!$I:$I)</f>
        <v>procne</v>
      </c>
      <c r="G7654" t="str">
        <f>_xlfn.XLOOKUP(A7654,'[1]Tissue Data'!$A:$A,'[1]Tissue Data'!J:J)</f>
        <v>U</v>
      </c>
      <c r="H7654" t="str">
        <f>_xlfn.XLOOKUP(A7654,'[1]Tissue Data'!$A:$A,'[1]Tissue Data'!K:K)</f>
        <v>Whole Body</v>
      </c>
      <c r="I7654">
        <f>_xlfn.XLOOKUP(A7654,'[1]Tissue Data'!$A:$A,'[1]Tissue Data'!L:L)</f>
        <v>5.5</v>
      </c>
      <c r="J7654">
        <f>_xlfn.XLOOKUP(A7654,'[1]Tissue Data'!$A:$A,'[1]Tissue Data'!M:M)</f>
        <v>2.2000000000000002</v>
      </c>
      <c r="K7654" t="s">
        <v>14</v>
      </c>
      <c r="L7654" t="str">
        <f>_xlfn.XLOOKUP(K7654,[2]analyte_order!$B:$B,[2]analyte_order!$C:$C)</f>
        <v>307-24-4</v>
      </c>
      <c r="M7654">
        <f>_xlfn.XLOOKUP(L7654,[2]analyte_order!$C:$C,[2]analyte_order!$E:$E)</f>
        <v>3</v>
      </c>
      <c r="N7654">
        <v>0.121</v>
      </c>
    </row>
    <row r="7655" spans="1:14">
      <c r="A7655" t="s">
        <v>206</v>
      </c>
      <c r="B7655" t="str">
        <f>_xlfn.XLOOKUP(A7655,'[1]Tissue Data'!$A:$A,'[1]Tissue Data'!$C:$C)</f>
        <v>Down</v>
      </c>
      <c r="C7655" s="2">
        <f>_xlfn.XLOOKUP(A7655,'[1]Tissue Data'!$A:$A,'[1]Tissue Data'!$D:$D)</f>
        <v>44393</v>
      </c>
      <c r="D7655" s="2" t="str">
        <f>_xlfn.XLOOKUP(A7655,'[1]Tissue Data'!$A:$A,'[1]Tissue Data'!$F:$F)</f>
        <v>Swallowtail Shiner</v>
      </c>
      <c r="E7655" t="str">
        <f>_xlfn.XLOOKUP(A7655,'[1]Tissue Data'!$A:$A,'[1]Tissue Data'!$H:$H)</f>
        <v>Notropis</v>
      </c>
      <c r="F7655" t="str">
        <f>_xlfn.XLOOKUP(A7655,'[1]Tissue Data'!$A:$A,'[1]Tissue Data'!$I:$I)</f>
        <v>procne</v>
      </c>
      <c r="G7655" t="str">
        <f>_xlfn.XLOOKUP(A7655,'[1]Tissue Data'!$A:$A,'[1]Tissue Data'!J:J)</f>
        <v>U</v>
      </c>
      <c r="H7655" t="str">
        <f>_xlfn.XLOOKUP(A7655,'[1]Tissue Data'!$A:$A,'[1]Tissue Data'!K:K)</f>
        <v>Whole Body</v>
      </c>
      <c r="I7655">
        <f>_xlfn.XLOOKUP(A7655,'[1]Tissue Data'!$A:$A,'[1]Tissue Data'!L:L)</f>
        <v>5.5</v>
      </c>
      <c r="J7655">
        <f>_xlfn.XLOOKUP(A7655,'[1]Tissue Data'!$A:$A,'[1]Tissue Data'!M:M)</f>
        <v>2.2000000000000002</v>
      </c>
      <c r="K7655" t="s">
        <v>15</v>
      </c>
      <c r="L7655" t="str">
        <f>_xlfn.XLOOKUP(K7655,[2]analyte_order!$B:$B,[2]analyte_order!$C:$C)</f>
        <v>375-85-9</v>
      </c>
      <c r="M7655">
        <f>_xlfn.XLOOKUP(L7655,[2]analyte_order!$C:$C,[2]analyte_order!$E:$E)</f>
        <v>4</v>
      </c>
      <c r="N7655">
        <v>0.224</v>
      </c>
    </row>
    <row r="7656" spans="1:14">
      <c r="A7656" t="s">
        <v>206</v>
      </c>
      <c r="B7656" t="str">
        <f>_xlfn.XLOOKUP(A7656,'[1]Tissue Data'!$A:$A,'[1]Tissue Data'!$C:$C)</f>
        <v>Down</v>
      </c>
      <c r="C7656" s="2">
        <f>_xlfn.XLOOKUP(A7656,'[1]Tissue Data'!$A:$A,'[1]Tissue Data'!$D:$D)</f>
        <v>44393</v>
      </c>
      <c r="D7656" s="2" t="str">
        <f>_xlfn.XLOOKUP(A7656,'[1]Tissue Data'!$A:$A,'[1]Tissue Data'!$F:$F)</f>
        <v>Swallowtail Shiner</v>
      </c>
      <c r="E7656" t="str">
        <f>_xlfn.XLOOKUP(A7656,'[1]Tissue Data'!$A:$A,'[1]Tissue Data'!$H:$H)</f>
        <v>Notropis</v>
      </c>
      <c r="F7656" t="str">
        <f>_xlfn.XLOOKUP(A7656,'[1]Tissue Data'!$A:$A,'[1]Tissue Data'!$I:$I)</f>
        <v>procne</v>
      </c>
      <c r="G7656" t="str">
        <f>_xlfn.XLOOKUP(A7656,'[1]Tissue Data'!$A:$A,'[1]Tissue Data'!J:J)</f>
        <v>U</v>
      </c>
      <c r="H7656" t="str">
        <f>_xlfn.XLOOKUP(A7656,'[1]Tissue Data'!$A:$A,'[1]Tissue Data'!K:K)</f>
        <v>Whole Body</v>
      </c>
      <c r="I7656">
        <f>_xlfn.XLOOKUP(A7656,'[1]Tissue Data'!$A:$A,'[1]Tissue Data'!L:L)</f>
        <v>5.5</v>
      </c>
      <c r="J7656">
        <f>_xlfn.XLOOKUP(A7656,'[1]Tissue Data'!$A:$A,'[1]Tissue Data'!M:M)</f>
        <v>2.2000000000000002</v>
      </c>
      <c r="K7656" t="s">
        <v>16</v>
      </c>
      <c r="L7656" t="str">
        <f>_xlfn.XLOOKUP(K7656,[2]analyte_order!$B:$B,[2]analyte_order!$C:$C)</f>
        <v>335-67-1</v>
      </c>
      <c r="M7656">
        <f>_xlfn.XLOOKUP(L7656,[2]analyte_order!$C:$C,[2]analyte_order!$E:$E)</f>
        <v>5</v>
      </c>
      <c r="N7656">
        <v>1.2</v>
      </c>
    </row>
    <row r="7657" spans="1:14">
      <c r="A7657" t="s">
        <v>206</v>
      </c>
      <c r="B7657" t="str">
        <f>_xlfn.XLOOKUP(A7657,'[1]Tissue Data'!$A:$A,'[1]Tissue Data'!$C:$C)</f>
        <v>Down</v>
      </c>
      <c r="C7657" s="2">
        <f>_xlfn.XLOOKUP(A7657,'[1]Tissue Data'!$A:$A,'[1]Tissue Data'!$D:$D)</f>
        <v>44393</v>
      </c>
      <c r="D7657" s="2" t="str">
        <f>_xlfn.XLOOKUP(A7657,'[1]Tissue Data'!$A:$A,'[1]Tissue Data'!$F:$F)</f>
        <v>Swallowtail Shiner</v>
      </c>
      <c r="E7657" t="str">
        <f>_xlfn.XLOOKUP(A7657,'[1]Tissue Data'!$A:$A,'[1]Tissue Data'!$H:$H)</f>
        <v>Notropis</v>
      </c>
      <c r="F7657" t="str">
        <f>_xlfn.XLOOKUP(A7657,'[1]Tissue Data'!$A:$A,'[1]Tissue Data'!$I:$I)</f>
        <v>procne</v>
      </c>
      <c r="G7657" t="str">
        <f>_xlfn.XLOOKUP(A7657,'[1]Tissue Data'!$A:$A,'[1]Tissue Data'!J:J)</f>
        <v>U</v>
      </c>
      <c r="H7657" t="str">
        <f>_xlfn.XLOOKUP(A7657,'[1]Tissue Data'!$A:$A,'[1]Tissue Data'!K:K)</f>
        <v>Whole Body</v>
      </c>
      <c r="I7657">
        <f>_xlfn.XLOOKUP(A7657,'[1]Tissue Data'!$A:$A,'[1]Tissue Data'!L:L)</f>
        <v>5.5</v>
      </c>
      <c r="J7657">
        <f>_xlfn.XLOOKUP(A7657,'[1]Tissue Data'!$A:$A,'[1]Tissue Data'!M:M)</f>
        <v>2.2000000000000002</v>
      </c>
      <c r="K7657" t="s">
        <v>17</v>
      </c>
      <c r="L7657" t="str">
        <f>_xlfn.XLOOKUP(K7657,[2]analyte_order!$B:$B,[2]analyte_order!$C:$C)</f>
        <v>375-95-1</v>
      </c>
      <c r="M7657">
        <f>_xlfn.XLOOKUP(L7657,[2]analyte_order!$C:$C,[2]analyte_order!$E:$E)</f>
        <v>6</v>
      </c>
      <c r="N7657">
        <v>1.03</v>
      </c>
    </row>
    <row r="7658" spans="1:14">
      <c r="A7658" t="s">
        <v>206</v>
      </c>
      <c r="B7658" t="str">
        <f>_xlfn.XLOOKUP(A7658,'[1]Tissue Data'!$A:$A,'[1]Tissue Data'!$C:$C)</f>
        <v>Down</v>
      </c>
      <c r="C7658" s="2">
        <f>_xlfn.XLOOKUP(A7658,'[1]Tissue Data'!$A:$A,'[1]Tissue Data'!$D:$D)</f>
        <v>44393</v>
      </c>
      <c r="D7658" s="2" t="str">
        <f>_xlfn.XLOOKUP(A7658,'[1]Tissue Data'!$A:$A,'[1]Tissue Data'!$F:$F)</f>
        <v>Swallowtail Shiner</v>
      </c>
      <c r="E7658" t="str">
        <f>_xlfn.XLOOKUP(A7658,'[1]Tissue Data'!$A:$A,'[1]Tissue Data'!$H:$H)</f>
        <v>Notropis</v>
      </c>
      <c r="F7658" t="str">
        <f>_xlfn.XLOOKUP(A7658,'[1]Tissue Data'!$A:$A,'[1]Tissue Data'!$I:$I)</f>
        <v>procne</v>
      </c>
      <c r="G7658" t="str">
        <f>_xlfn.XLOOKUP(A7658,'[1]Tissue Data'!$A:$A,'[1]Tissue Data'!J:J)</f>
        <v>U</v>
      </c>
      <c r="H7658" t="str">
        <f>_xlfn.XLOOKUP(A7658,'[1]Tissue Data'!$A:$A,'[1]Tissue Data'!K:K)</f>
        <v>Whole Body</v>
      </c>
      <c r="I7658">
        <f>_xlfn.XLOOKUP(A7658,'[1]Tissue Data'!$A:$A,'[1]Tissue Data'!L:L)</f>
        <v>5.5</v>
      </c>
      <c r="J7658">
        <f>_xlfn.XLOOKUP(A7658,'[1]Tissue Data'!$A:$A,'[1]Tissue Data'!M:M)</f>
        <v>2.2000000000000002</v>
      </c>
      <c r="K7658" t="s">
        <v>18</v>
      </c>
      <c r="L7658" t="str">
        <f>_xlfn.XLOOKUP(K7658,[2]analyte_order!$B:$B,[2]analyte_order!$C:$C)</f>
        <v>335-76-2</v>
      </c>
      <c r="M7658">
        <f>_xlfn.XLOOKUP(L7658,[2]analyte_order!$C:$C,[2]analyte_order!$E:$E)</f>
        <v>7</v>
      </c>
      <c r="N7658">
        <v>3.07</v>
      </c>
    </row>
    <row r="7659" spans="1:14">
      <c r="A7659" t="s">
        <v>206</v>
      </c>
      <c r="B7659" t="str">
        <f>_xlfn.XLOOKUP(A7659,'[1]Tissue Data'!$A:$A,'[1]Tissue Data'!$C:$C)</f>
        <v>Down</v>
      </c>
      <c r="C7659" s="2">
        <f>_xlfn.XLOOKUP(A7659,'[1]Tissue Data'!$A:$A,'[1]Tissue Data'!$D:$D)</f>
        <v>44393</v>
      </c>
      <c r="D7659" s="2" t="str">
        <f>_xlfn.XLOOKUP(A7659,'[1]Tissue Data'!$A:$A,'[1]Tissue Data'!$F:$F)</f>
        <v>Swallowtail Shiner</v>
      </c>
      <c r="E7659" t="str">
        <f>_xlfn.XLOOKUP(A7659,'[1]Tissue Data'!$A:$A,'[1]Tissue Data'!$H:$H)</f>
        <v>Notropis</v>
      </c>
      <c r="F7659" t="str">
        <f>_xlfn.XLOOKUP(A7659,'[1]Tissue Data'!$A:$A,'[1]Tissue Data'!$I:$I)</f>
        <v>procne</v>
      </c>
      <c r="G7659" t="str">
        <f>_xlfn.XLOOKUP(A7659,'[1]Tissue Data'!$A:$A,'[1]Tissue Data'!J:J)</f>
        <v>U</v>
      </c>
      <c r="H7659" t="str">
        <f>_xlfn.XLOOKUP(A7659,'[1]Tissue Data'!$A:$A,'[1]Tissue Data'!K:K)</f>
        <v>Whole Body</v>
      </c>
      <c r="I7659">
        <f>_xlfn.XLOOKUP(A7659,'[1]Tissue Data'!$A:$A,'[1]Tissue Data'!L:L)</f>
        <v>5.5</v>
      </c>
      <c r="J7659">
        <f>_xlfn.XLOOKUP(A7659,'[1]Tissue Data'!$A:$A,'[1]Tissue Data'!M:M)</f>
        <v>2.2000000000000002</v>
      </c>
      <c r="K7659" t="s">
        <v>19</v>
      </c>
      <c r="L7659" t="str">
        <f>_xlfn.XLOOKUP(K7659,[2]analyte_order!$B:$B,[2]analyte_order!$C:$C)</f>
        <v>2058-94-8</v>
      </c>
      <c r="M7659">
        <f>_xlfn.XLOOKUP(L7659,[2]analyte_order!$C:$C,[2]analyte_order!$E:$E)</f>
        <v>8</v>
      </c>
      <c r="N7659">
        <v>2.4</v>
      </c>
    </row>
    <row r="7660" spans="1:14">
      <c r="A7660" t="s">
        <v>206</v>
      </c>
      <c r="B7660" t="str">
        <f>_xlfn.XLOOKUP(A7660,'[1]Tissue Data'!$A:$A,'[1]Tissue Data'!$C:$C)</f>
        <v>Down</v>
      </c>
      <c r="C7660" s="2">
        <f>_xlfn.XLOOKUP(A7660,'[1]Tissue Data'!$A:$A,'[1]Tissue Data'!$D:$D)</f>
        <v>44393</v>
      </c>
      <c r="D7660" s="2" t="str">
        <f>_xlfn.XLOOKUP(A7660,'[1]Tissue Data'!$A:$A,'[1]Tissue Data'!$F:$F)</f>
        <v>Swallowtail Shiner</v>
      </c>
      <c r="E7660" t="str">
        <f>_xlfn.XLOOKUP(A7660,'[1]Tissue Data'!$A:$A,'[1]Tissue Data'!$H:$H)</f>
        <v>Notropis</v>
      </c>
      <c r="F7660" t="str">
        <f>_xlfn.XLOOKUP(A7660,'[1]Tissue Data'!$A:$A,'[1]Tissue Data'!$I:$I)</f>
        <v>procne</v>
      </c>
      <c r="G7660" t="str">
        <f>_xlfn.XLOOKUP(A7660,'[1]Tissue Data'!$A:$A,'[1]Tissue Data'!J:J)</f>
        <v>U</v>
      </c>
      <c r="H7660" t="str">
        <f>_xlfn.XLOOKUP(A7660,'[1]Tissue Data'!$A:$A,'[1]Tissue Data'!K:K)</f>
        <v>Whole Body</v>
      </c>
      <c r="I7660">
        <f>_xlfn.XLOOKUP(A7660,'[1]Tissue Data'!$A:$A,'[1]Tissue Data'!L:L)</f>
        <v>5.5</v>
      </c>
      <c r="J7660">
        <f>_xlfn.XLOOKUP(A7660,'[1]Tissue Data'!$A:$A,'[1]Tissue Data'!M:M)</f>
        <v>2.2000000000000002</v>
      </c>
      <c r="K7660" t="s">
        <v>20</v>
      </c>
      <c r="L7660" t="str">
        <f>_xlfn.XLOOKUP(K7660,[2]analyte_order!$B:$B,[2]analyte_order!$C:$C)</f>
        <v>307-55-1</v>
      </c>
      <c r="M7660">
        <f>_xlfn.XLOOKUP(L7660,[2]analyte_order!$C:$C,[2]analyte_order!$E:$E)</f>
        <v>9</v>
      </c>
      <c r="N7660">
        <v>3.86</v>
      </c>
    </row>
    <row r="7661" spans="1:14">
      <c r="A7661" t="s">
        <v>206</v>
      </c>
      <c r="B7661" t="str">
        <f>_xlfn.XLOOKUP(A7661,'[1]Tissue Data'!$A:$A,'[1]Tissue Data'!$C:$C)</f>
        <v>Down</v>
      </c>
      <c r="C7661" s="2">
        <f>_xlfn.XLOOKUP(A7661,'[1]Tissue Data'!$A:$A,'[1]Tissue Data'!$D:$D)</f>
        <v>44393</v>
      </c>
      <c r="D7661" s="2" t="str">
        <f>_xlfn.XLOOKUP(A7661,'[1]Tissue Data'!$A:$A,'[1]Tissue Data'!$F:$F)</f>
        <v>Swallowtail Shiner</v>
      </c>
      <c r="E7661" t="str">
        <f>_xlfn.XLOOKUP(A7661,'[1]Tissue Data'!$A:$A,'[1]Tissue Data'!$H:$H)</f>
        <v>Notropis</v>
      </c>
      <c r="F7661" t="str">
        <f>_xlfn.XLOOKUP(A7661,'[1]Tissue Data'!$A:$A,'[1]Tissue Data'!$I:$I)</f>
        <v>procne</v>
      </c>
      <c r="G7661" t="str">
        <f>_xlfn.XLOOKUP(A7661,'[1]Tissue Data'!$A:$A,'[1]Tissue Data'!J:J)</f>
        <v>U</v>
      </c>
      <c r="H7661" t="str">
        <f>_xlfn.XLOOKUP(A7661,'[1]Tissue Data'!$A:$A,'[1]Tissue Data'!K:K)</f>
        <v>Whole Body</v>
      </c>
      <c r="I7661">
        <f>_xlfn.XLOOKUP(A7661,'[1]Tissue Data'!$A:$A,'[1]Tissue Data'!L:L)</f>
        <v>5.5</v>
      </c>
      <c r="J7661">
        <f>_xlfn.XLOOKUP(A7661,'[1]Tissue Data'!$A:$A,'[1]Tissue Data'!M:M)</f>
        <v>2.2000000000000002</v>
      </c>
      <c r="K7661" t="s">
        <v>21</v>
      </c>
      <c r="L7661" t="str">
        <f>_xlfn.XLOOKUP(K7661,[2]analyte_order!$B:$B,[2]analyte_order!$C:$C)</f>
        <v>72629-94-8</v>
      </c>
      <c r="M7661">
        <f>_xlfn.XLOOKUP(L7661,[2]analyte_order!$C:$C,[2]analyte_order!$E:$E)</f>
        <v>10</v>
      </c>
      <c r="N7661">
        <v>2.2400000000000002</v>
      </c>
    </row>
    <row r="7662" spans="1:14">
      <c r="A7662" t="s">
        <v>206</v>
      </c>
      <c r="B7662" t="str">
        <f>_xlfn.XLOOKUP(A7662,'[1]Tissue Data'!$A:$A,'[1]Tissue Data'!$C:$C)</f>
        <v>Down</v>
      </c>
      <c r="C7662" s="2">
        <f>_xlfn.XLOOKUP(A7662,'[1]Tissue Data'!$A:$A,'[1]Tissue Data'!$D:$D)</f>
        <v>44393</v>
      </c>
      <c r="D7662" s="2" t="str">
        <f>_xlfn.XLOOKUP(A7662,'[1]Tissue Data'!$A:$A,'[1]Tissue Data'!$F:$F)</f>
        <v>Swallowtail Shiner</v>
      </c>
      <c r="E7662" t="str">
        <f>_xlfn.XLOOKUP(A7662,'[1]Tissue Data'!$A:$A,'[1]Tissue Data'!$H:$H)</f>
        <v>Notropis</v>
      </c>
      <c r="F7662" t="str">
        <f>_xlfn.XLOOKUP(A7662,'[1]Tissue Data'!$A:$A,'[1]Tissue Data'!$I:$I)</f>
        <v>procne</v>
      </c>
      <c r="G7662" t="str">
        <f>_xlfn.XLOOKUP(A7662,'[1]Tissue Data'!$A:$A,'[1]Tissue Data'!J:J)</f>
        <v>U</v>
      </c>
      <c r="H7662" t="str">
        <f>_xlfn.XLOOKUP(A7662,'[1]Tissue Data'!$A:$A,'[1]Tissue Data'!K:K)</f>
        <v>Whole Body</v>
      </c>
      <c r="I7662">
        <f>_xlfn.XLOOKUP(A7662,'[1]Tissue Data'!$A:$A,'[1]Tissue Data'!L:L)</f>
        <v>5.5</v>
      </c>
      <c r="J7662">
        <f>_xlfn.XLOOKUP(A7662,'[1]Tissue Data'!$A:$A,'[1]Tissue Data'!M:M)</f>
        <v>2.2000000000000002</v>
      </c>
      <c r="K7662" t="s">
        <v>22</v>
      </c>
      <c r="L7662" t="str">
        <f>_xlfn.XLOOKUP(K7662,[2]analyte_order!$B:$B,[2]analyte_order!$C:$C)</f>
        <v>376-06-7</v>
      </c>
      <c r="M7662">
        <f>_xlfn.XLOOKUP(L7662,[2]analyte_order!$C:$C,[2]analyte_order!$E:$E)</f>
        <v>11</v>
      </c>
      <c r="N7662">
        <v>1.76</v>
      </c>
    </row>
    <row r="7663" spans="1:14">
      <c r="A7663" t="s">
        <v>206</v>
      </c>
      <c r="B7663" t="str">
        <f>_xlfn.XLOOKUP(A7663,'[1]Tissue Data'!$A:$A,'[1]Tissue Data'!$C:$C)</f>
        <v>Down</v>
      </c>
      <c r="C7663" s="2">
        <f>_xlfn.XLOOKUP(A7663,'[1]Tissue Data'!$A:$A,'[1]Tissue Data'!$D:$D)</f>
        <v>44393</v>
      </c>
      <c r="D7663" s="2" t="str">
        <f>_xlfn.XLOOKUP(A7663,'[1]Tissue Data'!$A:$A,'[1]Tissue Data'!$F:$F)</f>
        <v>Swallowtail Shiner</v>
      </c>
      <c r="E7663" t="str">
        <f>_xlfn.XLOOKUP(A7663,'[1]Tissue Data'!$A:$A,'[1]Tissue Data'!$H:$H)</f>
        <v>Notropis</v>
      </c>
      <c r="F7663" t="str">
        <f>_xlfn.XLOOKUP(A7663,'[1]Tissue Data'!$A:$A,'[1]Tissue Data'!$I:$I)</f>
        <v>procne</v>
      </c>
      <c r="G7663" t="str">
        <f>_xlfn.XLOOKUP(A7663,'[1]Tissue Data'!$A:$A,'[1]Tissue Data'!J:J)</f>
        <v>U</v>
      </c>
      <c r="H7663" t="str">
        <f>_xlfn.XLOOKUP(A7663,'[1]Tissue Data'!$A:$A,'[1]Tissue Data'!K:K)</f>
        <v>Whole Body</v>
      </c>
      <c r="I7663">
        <f>_xlfn.XLOOKUP(A7663,'[1]Tissue Data'!$A:$A,'[1]Tissue Data'!L:L)</f>
        <v>5.5</v>
      </c>
      <c r="J7663">
        <f>_xlfn.XLOOKUP(A7663,'[1]Tissue Data'!$A:$A,'[1]Tissue Data'!M:M)</f>
        <v>2.2000000000000002</v>
      </c>
      <c r="K7663" t="s">
        <v>23</v>
      </c>
      <c r="L7663" t="str">
        <f>_xlfn.XLOOKUP(K7663,[2]analyte_order!$B:$B,[2]analyte_order!$C:$C)</f>
        <v>67905-19-5</v>
      </c>
      <c r="M7663">
        <f>_xlfn.XLOOKUP(L7663,[2]analyte_order!$C:$C,[2]analyte_order!$E:$E)</f>
        <v>12</v>
      </c>
      <c r="N7663">
        <v>0.26700000000000002</v>
      </c>
    </row>
    <row r="7664" spans="1:14">
      <c r="A7664" t="s">
        <v>206</v>
      </c>
      <c r="B7664" t="str">
        <f>_xlfn.XLOOKUP(A7664,'[1]Tissue Data'!$A:$A,'[1]Tissue Data'!$C:$C)</f>
        <v>Down</v>
      </c>
      <c r="C7664" s="2">
        <f>_xlfn.XLOOKUP(A7664,'[1]Tissue Data'!$A:$A,'[1]Tissue Data'!$D:$D)</f>
        <v>44393</v>
      </c>
      <c r="D7664" s="2" t="str">
        <f>_xlfn.XLOOKUP(A7664,'[1]Tissue Data'!$A:$A,'[1]Tissue Data'!$F:$F)</f>
        <v>Swallowtail Shiner</v>
      </c>
      <c r="E7664" t="str">
        <f>_xlfn.XLOOKUP(A7664,'[1]Tissue Data'!$A:$A,'[1]Tissue Data'!$H:$H)</f>
        <v>Notropis</v>
      </c>
      <c r="F7664" t="str">
        <f>_xlfn.XLOOKUP(A7664,'[1]Tissue Data'!$A:$A,'[1]Tissue Data'!$I:$I)</f>
        <v>procne</v>
      </c>
      <c r="G7664" t="str">
        <f>_xlfn.XLOOKUP(A7664,'[1]Tissue Data'!$A:$A,'[1]Tissue Data'!J:J)</f>
        <v>U</v>
      </c>
      <c r="H7664" t="str">
        <f>_xlfn.XLOOKUP(A7664,'[1]Tissue Data'!$A:$A,'[1]Tissue Data'!K:K)</f>
        <v>Whole Body</v>
      </c>
      <c r="I7664">
        <f>_xlfn.XLOOKUP(A7664,'[1]Tissue Data'!$A:$A,'[1]Tissue Data'!L:L)</f>
        <v>5.5</v>
      </c>
      <c r="J7664">
        <f>_xlfn.XLOOKUP(A7664,'[1]Tissue Data'!$A:$A,'[1]Tissue Data'!M:M)</f>
        <v>2.2000000000000002</v>
      </c>
      <c r="K7664" t="s">
        <v>24</v>
      </c>
      <c r="L7664" t="str">
        <f>_xlfn.XLOOKUP(K7664,[2]analyte_order!$B:$B,[2]analyte_order!$C:$C)</f>
        <v>423-41-6</v>
      </c>
      <c r="M7664">
        <f>_xlfn.XLOOKUP(L7664,[2]analyte_order!$C:$C,[2]analyte_order!$E:$E)</f>
        <v>53</v>
      </c>
      <c r="N7664">
        <v>0.44800000000000001</v>
      </c>
    </row>
    <row r="7665" spans="1:14">
      <c r="A7665" t="s">
        <v>206</v>
      </c>
      <c r="B7665" t="str">
        <f>_xlfn.XLOOKUP(A7665,'[1]Tissue Data'!$A:$A,'[1]Tissue Data'!$C:$C)</f>
        <v>Down</v>
      </c>
      <c r="C7665" s="2">
        <f>_xlfn.XLOOKUP(A7665,'[1]Tissue Data'!$A:$A,'[1]Tissue Data'!$D:$D)</f>
        <v>44393</v>
      </c>
      <c r="D7665" s="2" t="str">
        <f>_xlfn.XLOOKUP(A7665,'[1]Tissue Data'!$A:$A,'[1]Tissue Data'!$F:$F)</f>
        <v>Swallowtail Shiner</v>
      </c>
      <c r="E7665" t="str">
        <f>_xlfn.XLOOKUP(A7665,'[1]Tissue Data'!$A:$A,'[1]Tissue Data'!$H:$H)</f>
        <v>Notropis</v>
      </c>
      <c r="F7665" t="str">
        <f>_xlfn.XLOOKUP(A7665,'[1]Tissue Data'!$A:$A,'[1]Tissue Data'!$I:$I)</f>
        <v>procne</v>
      </c>
      <c r="G7665" t="str">
        <f>_xlfn.XLOOKUP(A7665,'[1]Tissue Data'!$A:$A,'[1]Tissue Data'!J:J)</f>
        <v>U</v>
      </c>
      <c r="H7665" t="str">
        <f>_xlfn.XLOOKUP(A7665,'[1]Tissue Data'!$A:$A,'[1]Tissue Data'!K:K)</f>
        <v>Whole Body</v>
      </c>
      <c r="I7665">
        <f>_xlfn.XLOOKUP(A7665,'[1]Tissue Data'!$A:$A,'[1]Tissue Data'!L:L)</f>
        <v>5.5</v>
      </c>
      <c r="J7665">
        <f>_xlfn.XLOOKUP(A7665,'[1]Tissue Data'!$A:$A,'[1]Tissue Data'!M:M)</f>
        <v>2.2000000000000002</v>
      </c>
      <c r="K7665" t="s">
        <v>25</v>
      </c>
      <c r="L7665" t="str">
        <f>_xlfn.XLOOKUP(K7665,[2]analyte_order!$B:$B,[2]analyte_order!$C:$C)</f>
        <v>375-73-5</v>
      </c>
      <c r="M7665">
        <f>_xlfn.XLOOKUP(L7665,[2]analyte_order!$C:$C,[2]analyte_order!$E:$E)</f>
        <v>14</v>
      </c>
      <c r="N7665">
        <v>0.1525</v>
      </c>
    </row>
    <row r="7666" spans="1:14">
      <c r="A7666" t="s">
        <v>206</v>
      </c>
      <c r="B7666" t="str">
        <f>_xlfn.XLOOKUP(A7666,'[1]Tissue Data'!$A:$A,'[1]Tissue Data'!$C:$C)</f>
        <v>Down</v>
      </c>
      <c r="C7666" s="2">
        <f>_xlfn.XLOOKUP(A7666,'[1]Tissue Data'!$A:$A,'[1]Tissue Data'!$D:$D)</f>
        <v>44393</v>
      </c>
      <c r="D7666" s="2" t="str">
        <f>_xlfn.XLOOKUP(A7666,'[1]Tissue Data'!$A:$A,'[1]Tissue Data'!$F:$F)</f>
        <v>Swallowtail Shiner</v>
      </c>
      <c r="E7666" t="str">
        <f>_xlfn.XLOOKUP(A7666,'[1]Tissue Data'!$A:$A,'[1]Tissue Data'!$H:$H)</f>
        <v>Notropis</v>
      </c>
      <c r="F7666" t="str">
        <f>_xlfn.XLOOKUP(A7666,'[1]Tissue Data'!$A:$A,'[1]Tissue Data'!$I:$I)</f>
        <v>procne</v>
      </c>
      <c r="G7666" t="str">
        <f>_xlfn.XLOOKUP(A7666,'[1]Tissue Data'!$A:$A,'[1]Tissue Data'!J:J)</f>
        <v>U</v>
      </c>
      <c r="H7666" t="str">
        <f>_xlfn.XLOOKUP(A7666,'[1]Tissue Data'!$A:$A,'[1]Tissue Data'!K:K)</f>
        <v>Whole Body</v>
      </c>
      <c r="I7666">
        <f>_xlfn.XLOOKUP(A7666,'[1]Tissue Data'!$A:$A,'[1]Tissue Data'!L:L)</f>
        <v>5.5</v>
      </c>
      <c r="J7666">
        <f>_xlfn.XLOOKUP(A7666,'[1]Tissue Data'!$A:$A,'[1]Tissue Data'!M:M)</f>
        <v>2.2000000000000002</v>
      </c>
      <c r="K7666" t="s">
        <v>26</v>
      </c>
      <c r="L7666" t="str">
        <f>_xlfn.XLOOKUP(K7666,[2]analyte_order!$B:$B,[2]analyte_order!$C:$C)</f>
        <v>2706-91-4</v>
      </c>
      <c r="M7666">
        <f>_xlfn.XLOOKUP(L7666,[2]analyte_order!$C:$C,[2]analyte_order!$E:$E)</f>
        <v>15</v>
      </c>
      <c r="N7666">
        <v>0.373</v>
      </c>
    </row>
    <row r="7667" spans="1:14">
      <c r="A7667" t="s">
        <v>206</v>
      </c>
      <c r="B7667" t="str">
        <f>_xlfn.XLOOKUP(A7667,'[1]Tissue Data'!$A:$A,'[1]Tissue Data'!$C:$C)</f>
        <v>Down</v>
      </c>
      <c r="C7667" s="2">
        <f>_xlfn.XLOOKUP(A7667,'[1]Tissue Data'!$A:$A,'[1]Tissue Data'!$D:$D)</f>
        <v>44393</v>
      </c>
      <c r="D7667" s="2" t="str">
        <f>_xlfn.XLOOKUP(A7667,'[1]Tissue Data'!$A:$A,'[1]Tissue Data'!$F:$F)</f>
        <v>Swallowtail Shiner</v>
      </c>
      <c r="E7667" t="str">
        <f>_xlfn.XLOOKUP(A7667,'[1]Tissue Data'!$A:$A,'[1]Tissue Data'!$H:$H)</f>
        <v>Notropis</v>
      </c>
      <c r="F7667" t="str">
        <f>_xlfn.XLOOKUP(A7667,'[1]Tissue Data'!$A:$A,'[1]Tissue Data'!$I:$I)</f>
        <v>procne</v>
      </c>
      <c r="G7667" t="str">
        <f>_xlfn.XLOOKUP(A7667,'[1]Tissue Data'!$A:$A,'[1]Tissue Data'!J:J)</f>
        <v>U</v>
      </c>
      <c r="H7667" t="str">
        <f>_xlfn.XLOOKUP(A7667,'[1]Tissue Data'!$A:$A,'[1]Tissue Data'!K:K)</f>
        <v>Whole Body</v>
      </c>
      <c r="I7667">
        <f>_xlfn.XLOOKUP(A7667,'[1]Tissue Data'!$A:$A,'[1]Tissue Data'!L:L)</f>
        <v>5.5</v>
      </c>
      <c r="J7667">
        <f>_xlfn.XLOOKUP(A7667,'[1]Tissue Data'!$A:$A,'[1]Tissue Data'!M:M)</f>
        <v>2.2000000000000002</v>
      </c>
      <c r="K7667" t="s">
        <v>27</v>
      </c>
      <c r="L7667" t="str">
        <f>_xlfn.XLOOKUP(K7667,[2]analyte_order!$B:$B,[2]analyte_order!$C:$C)</f>
        <v>355-46-4</v>
      </c>
      <c r="M7667">
        <f>_xlfn.XLOOKUP(L7667,[2]analyte_order!$C:$C,[2]analyte_order!$E:$E)</f>
        <v>16</v>
      </c>
      <c r="N7667">
        <v>39.4</v>
      </c>
    </row>
    <row r="7668" spans="1:14">
      <c r="A7668" t="s">
        <v>206</v>
      </c>
      <c r="B7668" t="str">
        <f>_xlfn.XLOOKUP(A7668,'[1]Tissue Data'!$A:$A,'[1]Tissue Data'!$C:$C)</f>
        <v>Down</v>
      </c>
      <c r="C7668" s="2">
        <f>_xlfn.XLOOKUP(A7668,'[1]Tissue Data'!$A:$A,'[1]Tissue Data'!$D:$D)</f>
        <v>44393</v>
      </c>
      <c r="D7668" s="2" t="str">
        <f>_xlfn.XLOOKUP(A7668,'[1]Tissue Data'!$A:$A,'[1]Tissue Data'!$F:$F)</f>
        <v>Swallowtail Shiner</v>
      </c>
      <c r="E7668" t="str">
        <f>_xlfn.XLOOKUP(A7668,'[1]Tissue Data'!$A:$A,'[1]Tissue Data'!$H:$H)</f>
        <v>Notropis</v>
      </c>
      <c r="F7668" t="str">
        <f>_xlfn.XLOOKUP(A7668,'[1]Tissue Data'!$A:$A,'[1]Tissue Data'!$I:$I)</f>
        <v>procne</v>
      </c>
      <c r="G7668" t="str">
        <f>_xlfn.XLOOKUP(A7668,'[1]Tissue Data'!$A:$A,'[1]Tissue Data'!J:J)</f>
        <v>U</v>
      </c>
      <c r="H7668" t="str">
        <f>_xlfn.XLOOKUP(A7668,'[1]Tissue Data'!$A:$A,'[1]Tissue Data'!K:K)</f>
        <v>Whole Body</v>
      </c>
      <c r="I7668">
        <f>_xlfn.XLOOKUP(A7668,'[1]Tissue Data'!$A:$A,'[1]Tissue Data'!L:L)</f>
        <v>5.5</v>
      </c>
      <c r="J7668">
        <f>_xlfn.XLOOKUP(A7668,'[1]Tissue Data'!$A:$A,'[1]Tissue Data'!M:M)</f>
        <v>2.2000000000000002</v>
      </c>
      <c r="K7668" t="s">
        <v>28</v>
      </c>
      <c r="L7668" t="str">
        <f>_xlfn.XLOOKUP(K7668,[2]analyte_order!$B:$B,[2]analyte_order!$C:$C)</f>
        <v>375-92-8</v>
      </c>
      <c r="M7668">
        <f>_xlfn.XLOOKUP(L7668,[2]analyte_order!$C:$C,[2]analyte_order!$E:$E)</f>
        <v>17</v>
      </c>
      <c r="N7668">
        <v>3.02</v>
      </c>
    </row>
    <row r="7669" spans="1:14">
      <c r="A7669" t="s">
        <v>206</v>
      </c>
      <c r="B7669" t="str">
        <f>_xlfn.XLOOKUP(A7669,'[1]Tissue Data'!$A:$A,'[1]Tissue Data'!$C:$C)</f>
        <v>Down</v>
      </c>
      <c r="C7669" s="2">
        <f>_xlfn.XLOOKUP(A7669,'[1]Tissue Data'!$A:$A,'[1]Tissue Data'!$D:$D)</f>
        <v>44393</v>
      </c>
      <c r="D7669" s="2" t="str">
        <f>_xlfn.XLOOKUP(A7669,'[1]Tissue Data'!$A:$A,'[1]Tissue Data'!$F:$F)</f>
        <v>Swallowtail Shiner</v>
      </c>
      <c r="E7669" t="str">
        <f>_xlfn.XLOOKUP(A7669,'[1]Tissue Data'!$A:$A,'[1]Tissue Data'!$H:$H)</f>
        <v>Notropis</v>
      </c>
      <c r="F7669" t="str">
        <f>_xlfn.XLOOKUP(A7669,'[1]Tissue Data'!$A:$A,'[1]Tissue Data'!$I:$I)</f>
        <v>procne</v>
      </c>
      <c r="G7669" t="str">
        <f>_xlfn.XLOOKUP(A7669,'[1]Tissue Data'!$A:$A,'[1]Tissue Data'!J:J)</f>
        <v>U</v>
      </c>
      <c r="H7669" t="str">
        <f>_xlfn.XLOOKUP(A7669,'[1]Tissue Data'!$A:$A,'[1]Tissue Data'!K:K)</f>
        <v>Whole Body</v>
      </c>
      <c r="I7669">
        <f>_xlfn.XLOOKUP(A7669,'[1]Tissue Data'!$A:$A,'[1]Tissue Data'!L:L)</f>
        <v>5.5</v>
      </c>
      <c r="J7669">
        <f>_xlfn.XLOOKUP(A7669,'[1]Tissue Data'!$A:$A,'[1]Tissue Data'!M:M)</f>
        <v>2.2000000000000002</v>
      </c>
      <c r="K7669" t="s">
        <v>29</v>
      </c>
      <c r="L7669" t="str">
        <f>_xlfn.XLOOKUP(K7669,[2]analyte_order!$B:$B,[2]analyte_order!$C:$C)</f>
        <v>1763-23-1</v>
      </c>
      <c r="M7669">
        <f>_xlfn.XLOOKUP(L7669,[2]analyte_order!$C:$C,[2]analyte_order!$E:$E)</f>
        <v>18</v>
      </c>
      <c r="N7669">
        <v>380</v>
      </c>
    </row>
    <row r="7670" spans="1:14">
      <c r="A7670" t="s">
        <v>206</v>
      </c>
      <c r="B7670" t="str">
        <f>_xlfn.XLOOKUP(A7670,'[1]Tissue Data'!$A:$A,'[1]Tissue Data'!$C:$C)</f>
        <v>Down</v>
      </c>
      <c r="C7670" s="2">
        <f>_xlfn.XLOOKUP(A7670,'[1]Tissue Data'!$A:$A,'[1]Tissue Data'!$D:$D)</f>
        <v>44393</v>
      </c>
      <c r="D7670" s="2" t="str">
        <f>_xlfn.XLOOKUP(A7670,'[1]Tissue Data'!$A:$A,'[1]Tissue Data'!$F:$F)</f>
        <v>Swallowtail Shiner</v>
      </c>
      <c r="E7670" t="str">
        <f>_xlfn.XLOOKUP(A7670,'[1]Tissue Data'!$A:$A,'[1]Tissue Data'!$H:$H)</f>
        <v>Notropis</v>
      </c>
      <c r="F7670" t="str">
        <f>_xlfn.XLOOKUP(A7670,'[1]Tissue Data'!$A:$A,'[1]Tissue Data'!$I:$I)</f>
        <v>procne</v>
      </c>
      <c r="G7670" t="str">
        <f>_xlfn.XLOOKUP(A7670,'[1]Tissue Data'!$A:$A,'[1]Tissue Data'!J:J)</f>
        <v>U</v>
      </c>
      <c r="H7670" t="str">
        <f>_xlfn.XLOOKUP(A7670,'[1]Tissue Data'!$A:$A,'[1]Tissue Data'!K:K)</f>
        <v>Whole Body</v>
      </c>
      <c r="I7670">
        <f>_xlfn.XLOOKUP(A7670,'[1]Tissue Data'!$A:$A,'[1]Tissue Data'!L:L)</f>
        <v>5.5</v>
      </c>
      <c r="J7670">
        <f>_xlfn.XLOOKUP(A7670,'[1]Tissue Data'!$A:$A,'[1]Tissue Data'!M:M)</f>
        <v>2.2000000000000002</v>
      </c>
      <c r="K7670" t="s">
        <v>30</v>
      </c>
      <c r="L7670" t="str">
        <f>_xlfn.XLOOKUP(K7670,[2]analyte_order!$B:$B,[2]analyte_order!$C:$C)</f>
        <v>68259-12-1</v>
      </c>
      <c r="M7670">
        <f>_xlfn.XLOOKUP(L7670,[2]analyte_order!$C:$C,[2]analyte_order!$E:$E)</f>
        <v>19</v>
      </c>
      <c r="N7670">
        <v>0.224</v>
      </c>
    </row>
    <row r="7671" spans="1:14">
      <c r="A7671" t="s">
        <v>206</v>
      </c>
      <c r="B7671" t="str">
        <f>_xlfn.XLOOKUP(A7671,'[1]Tissue Data'!$A:$A,'[1]Tissue Data'!$C:$C)</f>
        <v>Down</v>
      </c>
      <c r="C7671" s="2">
        <f>_xlfn.XLOOKUP(A7671,'[1]Tissue Data'!$A:$A,'[1]Tissue Data'!$D:$D)</f>
        <v>44393</v>
      </c>
      <c r="D7671" s="2" t="str">
        <f>_xlfn.XLOOKUP(A7671,'[1]Tissue Data'!$A:$A,'[1]Tissue Data'!$F:$F)</f>
        <v>Swallowtail Shiner</v>
      </c>
      <c r="E7671" t="str">
        <f>_xlfn.XLOOKUP(A7671,'[1]Tissue Data'!$A:$A,'[1]Tissue Data'!$H:$H)</f>
        <v>Notropis</v>
      </c>
      <c r="F7671" t="str">
        <f>_xlfn.XLOOKUP(A7671,'[1]Tissue Data'!$A:$A,'[1]Tissue Data'!$I:$I)</f>
        <v>procne</v>
      </c>
      <c r="G7671" t="str">
        <f>_xlfn.XLOOKUP(A7671,'[1]Tissue Data'!$A:$A,'[1]Tissue Data'!J:J)</f>
        <v>U</v>
      </c>
      <c r="H7671" t="str">
        <f>_xlfn.XLOOKUP(A7671,'[1]Tissue Data'!$A:$A,'[1]Tissue Data'!K:K)</f>
        <v>Whole Body</v>
      </c>
      <c r="I7671">
        <f>_xlfn.XLOOKUP(A7671,'[1]Tissue Data'!$A:$A,'[1]Tissue Data'!L:L)</f>
        <v>5.5</v>
      </c>
      <c r="J7671">
        <f>_xlfn.XLOOKUP(A7671,'[1]Tissue Data'!$A:$A,'[1]Tissue Data'!M:M)</f>
        <v>2.2000000000000002</v>
      </c>
      <c r="K7671" t="s">
        <v>31</v>
      </c>
      <c r="L7671" t="str">
        <f>_xlfn.XLOOKUP(K7671,[2]analyte_order!$B:$B,[2]analyte_order!$C:$C)</f>
        <v>335-77-3</v>
      </c>
      <c r="M7671">
        <f>_xlfn.XLOOKUP(L7671,[2]analyte_order!$C:$C,[2]analyte_order!$E:$E)</f>
        <v>20</v>
      </c>
      <c r="N7671">
        <v>0.224</v>
      </c>
    </row>
    <row r="7672" spans="1:14">
      <c r="A7672" t="s">
        <v>206</v>
      </c>
      <c r="B7672" t="str">
        <f>_xlfn.XLOOKUP(A7672,'[1]Tissue Data'!$A:$A,'[1]Tissue Data'!$C:$C)</f>
        <v>Down</v>
      </c>
      <c r="C7672" s="2">
        <f>_xlfn.XLOOKUP(A7672,'[1]Tissue Data'!$A:$A,'[1]Tissue Data'!$D:$D)</f>
        <v>44393</v>
      </c>
      <c r="D7672" s="2" t="str">
        <f>_xlfn.XLOOKUP(A7672,'[1]Tissue Data'!$A:$A,'[1]Tissue Data'!$F:$F)</f>
        <v>Swallowtail Shiner</v>
      </c>
      <c r="E7672" t="str">
        <f>_xlfn.XLOOKUP(A7672,'[1]Tissue Data'!$A:$A,'[1]Tissue Data'!$H:$H)</f>
        <v>Notropis</v>
      </c>
      <c r="F7672" t="str">
        <f>_xlfn.XLOOKUP(A7672,'[1]Tissue Data'!$A:$A,'[1]Tissue Data'!$I:$I)</f>
        <v>procne</v>
      </c>
      <c r="G7672" t="str">
        <f>_xlfn.XLOOKUP(A7672,'[1]Tissue Data'!$A:$A,'[1]Tissue Data'!J:J)</f>
        <v>U</v>
      </c>
      <c r="H7672" t="str">
        <f>_xlfn.XLOOKUP(A7672,'[1]Tissue Data'!$A:$A,'[1]Tissue Data'!K:K)</f>
        <v>Whole Body</v>
      </c>
      <c r="I7672">
        <f>_xlfn.XLOOKUP(A7672,'[1]Tissue Data'!$A:$A,'[1]Tissue Data'!L:L)</f>
        <v>5.5</v>
      </c>
      <c r="J7672">
        <f>_xlfn.XLOOKUP(A7672,'[1]Tissue Data'!$A:$A,'[1]Tissue Data'!M:M)</f>
        <v>2.2000000000000002</v>
      </c>
      <c r="K7672" t="s">
        <v>32</v>
      </c>
      <c r="L7672" t="str">
        <f>_xlfn.XLOOKUP(K7672,[2]analyte_order!$B:$B,[2]analyte_order!$C:$C)</f>
        <v>79780-39-5</v>
      </c>
      <c r="M7672">
        <f>_xlfn.XLOOKUP(L7672,[2]analyte_order!$C:$C,[2]analyte_order!$E:$E)</f>
        <v>21</v>
      </c>
      <c r="N7672">
        <v>0.23949999999999999</v>
      </c>
    </row>
    <row r="7673" spans="1:14">
      <c r="A7673" t="s">
        <v>206</v>
      </c>
      <c r="B7673" t="str">
        <f>_xlfn.XLOOKUP(A7673,'[1]Tissue Data'!$A:$A,'[1]Tissue Data'!$C:$C)</f>
        <v>Down</v>
      </c>
      <c r="C7673" s="2">
        <f>_xlfn.XLOOKUP(A7673,'[1]Tissue Data'!$A:$A,'[1]Tissue Data'!$D:$D)</f>
        <v>44393</v>
      </c>
      <c r="D7673" s="2" t="str">
        <f>_xlfn.XLOOKUP(A7673,'[1]Tissue Data'!$A:$A,'[1]Tissue Data'!$F:$F)</f>
        <v>Swallowtail Shiner</v>
      </c>
      <c r="E7673" t="str">
        <f>_xlfn.XLOOKUP(A7673,'[1]Tissue Data'!$A:$A,'[1]Tissue Data'!$H:$H)</f>
        <v>Notropis</v>
      </c>
      <c r="F7673" t="str">
        <f>_xlfn.XLOOKUP(A7673,'[1]Tissue Data'!$A:$A,'[1]Tissue Data'!$I:$I)</f>
        <v>procne</v>
      </c>
      <c r="G7673" t="str">
        <f>_xlfn.XLOOKUP(A7673,'[1]Tissue Data'!$A:$A,'[1]Tissue Data'!J:J)</f>
        <v>U</v>
      </c>
      <c r="H7673" t="str">
        <f>_xlfn.XLOOKUP(A7673,'[1]Tissue Data'!$A:$A,'[1]Tissue Data'!K:K)</f>
        <v>Whole Body</v>
      </c>
      <c r="I7673">
        <f>_xlfn.XLOOKUP(A7673,'[1]Tissue Data'!$A:$A,'[1]Tissue Data'!L:L)</f>
        <v>5.5</v>
      </c>
      <c r="J7673">
        <f>_xlfn.XLOOKUP(A7673,'[1]Tissue Data'!$A:$A,'[1]Tissue Data'!M:M)</f>
        <v>2.2000000000000002</v>
      </c>
      <c r="K7673" t="s">
        <v>33</v>
      </c>
      <c r="L7673" t="str">
        <f>_xlfn.XLOOKUP(K7673,[2]analyte_order!$B:$B,[2]analyte_order!$C:$C)</f>
        <v>777011-38-8</v>
      </c>
      <c r="M7673">
        <f>_xlfn.XLOOKUP(L7673,[2]analyte_order!$C:$C,[2]analyte_order!$E:$E)</f>
        <v>54</v>
      </c>
      <c r="N7673">
        <v>0.13600000000000001</v>
      </c>
    </row>
    <row r="7674" spans="1:14">
      <c r="A7674" t="s">
        <v>206</v>
      </c>
      <c r="B7674" t="str">
        <f>_xlfn.XLOOKUP(A7674,'[1]Tissue Data'!$A:$A,'[1]Tissue Data'!$C:$C)</f>
        <v>Down</v>
      </c>
      <c r="C7674" s="2">
        <f>_xlfn.XLOOKUP(A7674,'[1]Tissue Data'!$A:$A,'[1]Tissue Data'!$D:$D)</f>
        <v>44393</v>
      </c>
      <c r="D7674" s="2" t="str">
        <f>_xlfn.XLOOKUP(A7674,'[1]Tissue Data'!$A:$A,'[1]Tissue Data'!$F:$F)</f>
        <v>Swallowtail Shiner</v>
      </c>
      <c r="E7674" t="str">
        <f>_xlfn.XLOOKUP(A7674,'[1]Tissue Data'!$A:$A,'[1]Tissue Data'!$H:$H)</f>
        <v>Notropis</v>
      </c>
      <c r="F7674" t="str">
        <f>_xlfn.XLOOKUP(A7674,'[1]Tissue Data'!$A:$A,'[1]Tissue Data'!$I:$I)</f>
        <v>procne</v>
      </c>
      <c r="G7674" t="str">
        <f>_xlfn.XLOOKUP(A7674,'[1]Tissue Data'!$A:$A,'[1]Tissue Data'!J:J)</f>
        <v>U</v>
      </c>
      <c r="H7674" t="str">
        <f>_xlfn.XLOOKUP(A7674,'[1]Tissue Data'!$A:$A,'[1]Tissue Data'!K:K)</f>
        <v>Whole Body</v>
      </c>
      <c r="I7674">
        <f>_xlfn.XLOOKUP(A7674,'[1]Tissue Data'!$A:$A,'[1]Tissue Data'!L:L)</f>
        <v>5.5</v>
      </c>
      <c r="J7674">
        <f>_xlfn.XLOOKUP(A7674,'[1]Tissue Data'!$A:$A,'[1]Tissue Data'!M:M)</f>
        <v>2.2000000000000002</v>
      </c>
      <c r="K7674" t="s">
        <v>34</v>
      </c>
      <c r="L7674" t="str">
        <f>_xlfn.XLOOKUP(K7674,[2]analyte_order!$B:$B,[2]analyte_order!$C:$C)</f>
        <v>646-83-3</v>
      </c>
      <c r="M7674">
        <f>_xlfn.XLOOKUP(L7674,[2]analyte_order!$C:$C,[2]analyte_order!$E:$E)</f>
        <v>55</v>
      </c>
      <c r="N7674">
        <v>8.9499999999999996E-2</v>
      </c>
    </row>
    <row r="7675" spans="1:14">
      <c r="A7675" t="s">
        <v>206</v>
      </c>
      <c r="B7675" t="str">
        <f>_xlfn.XLOOKUP(A7675,'[1]Tissue Data'!$A:$A,'[1]Tissue Data'!$C:$C)</f>
        <v>Down</v>
      </c>
      <c r="C7675" s="2">
        <f>_xlfn.XLOOKUP(A7675,'[1]Tissue Data'!$A:$A,'[1]Tissue Data'!$D:$D)</f>
        <v>44393</v>
      </c>
      <c r="D7675" s="2" t="str">
        <f>_xlfn.XLOOKUP(A7675,'[1]Tissue Data'!$A:$A,'[1]Tissue Data'!$F:$F)</f>
        <v>Swallowtail Shiner</v>
      </c>
      <c r="E7675" t="str">
        <f>_xlfn.XLOOKUP(A7675,'[1]Tissue Data'!$A:$A,'[1]Tissue Data'!$H:$H)</f>
        <v>Notropis</v>
      </c>
      <c r="F7675" t="str">
        <f>_xlfn.XLOOKUP(A7675,'[1]Tissue Data'!$A:$A,'[1]Tissue Data'!$I:$I)</f>
        <v>procne</v>
      </c>
      <c r="G7675" t="str">
        <f>_xlfn.XLOOKUP(A7675,'[1]Tissue Data'!$A:$A,'[1]Tissue Data'!J:J)</f>
        <v>U</v>
      </c>
      <c r="H7675" t="str">
        <f>_xlfn.XLOOKUP(A7675,'[1]Tissue Data'!$A:$A,'[1]Tissue Data'!K:K)</f>
        <v>Whole Body</v>
      </c>
      <c r="I7675">
        <f>_xlfn.XLOOKUP(A7675,'[1]Tissue Data'!$A:$A,'[1]Tissue Data'!L:L)</f>
        <v>5.5</v>
      </c>
      <c r="J7675">
        <f>_xlfn.XLOOKUP(A7675,'[1]Tissue Data'!$A:$A,'[1]Tissue Data'!M:M)</f>
        <v>2.2000000000000002</v>
      </c>
      <c r="K7675" t="s">
        <v>35</v>
      </c>
      <c r="L7675" t="str">
        <f>_xlfn.XLOOKUP(K7675,[2]analyte_order!$B:$B,[2]analyte_order!$C:$C)</f>
        <v>30334-69-1</v>
      </c>
      <c r="M7675">
        <f>_xlfn.XLOOKUP(L7675,[2]analyte_order!$C:$C,[2]analyte_order!$E:$E)</f>
        <v>51</v>
      </c>
      <c r="N7675">
        <v>76.099999999999994</v>
      </c>
    </row>
    <row r="7676" spans="1:14">
      <c r="A7676" t="s">
        <v>206</v>
      </c>
      <c r="B7676" t="str">
        <f>_xlfn.XLOOKUP(A7676,'[1]Tissue Data'!$A:$A,'[1]Tissue Data'!$C:$C)</f>
        <v>Down</v>
      </c>
      <c r="C7676" s="2">
        <f>_xlfn.XLOOKUP(A7676,'[1]Tissue Data'!$A:$A,'[1]Tissue Data'!$D:$D)</f>
        <v>44393</v>
      </c>
      <c r="D7676" s="2" t="str">
        <f>_xlfn.XLOOKUP(A7676,'[1]Tissue Data'!$A:$A,'[1]Tissue Data'!$F:$F)</f>
        <v>Swallowtail Shiner</v>
      </c>
      <c r="E7676" t="str">
        <f>_xlfn.XLOOKUP(A7676,'[1]Tissue Data'!$A:$A,'[1]Tissue Data'!$H:$H)</f>
        <v>Notropis</v>
      </c>
      <c r="F7676" t="str">
        <f>_xlfn.XLOOKUP(A7676,'[1]Tissue Data'!$A:$A,'[1]Tissue Data'!$I:$I)</f>
        <v>procne</v>
      </c>
      <c r="G7676" t="str">
        <f>_xlfn.XLOOKUP(A7676,'[1]Tissue Data'!$A:$A,'[1]Tissue Data'!J:J)</f>
        <v>U</v>
      </c>
      <c r="H7676" t="str">
        <f>_xlfn.XLOOKUP(A7676,'[1]Tissue Data'!$A:$A,'[1]Tissue Data'!K:K)</f>
        <v>Whole Body</v>
      </c>
      <c r="I7676">
        <f>_xlfn.XLOOKUP(A7676,'[1]Tissue Data'!$A:$A,'[1]Tissue Data'!L:L)</f>
        <v>5.5</v>
      </c>
      <c r="J7676">
        <f>_xlfn.XLOOKUP(A7676,'[1]Tissue Data'!$A:$A,'[1]Tissue Data'!M:M)</f>
        <v>2.2000000000000002</v>
      </c>
      <c r="K7676" t="s">
        <v>36</v>
      </c>
      <c r="L7676" t="str">
        <f>_xlfn.XLOOKUP(K7676,[2]analyte_order!$B:$B,[2]analyte_order!$C:$C)</f>
        <v>41997-13-1</v>
      </c>
      <c r="M7676">
        <f>_xlfn.XLOOKUP(L7676,[2]analyte_order!$C:$C,[2]analyte_order!$E:$E)</f>
        <v>52</v>
      </c>
      <c r="N7676">
        <v>416</v>
      </c>
    </row>
    <row r="7677" spans="1:14">
      <c r="A7677" t="s">
        <v>206</v>
      </c>
      <c r="B7677" t="str">
        <f>_xlfn.XLOOKUP(A7677,'[1]Tissue Data'!$A:$A,'[1]Tissue Data'!$C:$C)</f>
        <v>Down</v>
      </c>
      <c r="C7677" s="2">
        <f>_xlfn.XLOOKUP(A7677,'[1]Tissue Data'!$A:$A,'[1]Tissue Data'!$D:$D)</f>
        <v>44393</v>
      </c>
      <c r="D7677" s="2" t="str">
        <f>_xlfn.XLOOKUP(A7677,'[1]Tissue Data'!$A:$A,'[1]Tissue Data'!$F:$F)</f>
        <v>Swallowtail Shiner</v>
      </c>
      <c r="E7677" t="str">
        <f>_xlfn.XLOOKUP(A7677,'[1]Tissue Data'!$A:$A,'[1]Tissue Data'!$H:$H)</f>
        <v>Notropis</v>
      </c>
      <c r="F7677" t="str">
        <f>_xlfn.XLOOKUP(A7677,'[1]Tissue Data'!$A:$A,'[1]Tissue Data'!$I:$I)</f>
        <v>procne</v>
      </c>
      <c r="G7677" t="str">
        <f>_xlfn.XLOOKUP(A7677,'[1]Tissue Data'!$A:$A,'[1]Tissue Data'!J:J)</f>
        <v>U</v>
      </c>
      <c r="H7677" t="str">
        <f>_xlfn.XLOOKUP(A7677,'[1]Tissue Data'!$A:$A,'[1]Tissue Data'!K:K)</f>
        <v>Whole Body</v>
      </c>
      <c r="I7677">
        <f>_xlfn.XLOOKUP(A7677,'[1]Tissue Data'!$A:$A,'[1]Tissue Data'!L:L)</f>
        <v>5.5</v>
      </c>
      <c r="J7677">
        <f>_xlfn.XLOOKUP(A7677,'[1]Tissue Data'!$A:$A,'[1]Tissue Data'!M:M)</f>
        <v>2.2000000000000002</v>
      </c>
      <c r="K7677" t="s">
        <v>37</v>
      </c>
      <c r="L7677" t="str">
        <f>_xlfn.XLOOKUP(K7677,[2]analyte_order!$B:$B,[2]analyte_order!$C:$C)</f>
        <v>754-91-6</v>
      </c>
      <c r="M7677">
        <f>_xlfn.XLOOKUP(L7677,[2]analyte_order!$C:$C,[2]analyte_order!$E:$E)</f>
        <v>28</v>
      </c>
      <c r="N7677">
        <v>14.2</v>
      </c>
    </row>
    <row r="7678" spans="1:14">
      <c r="A7678" t="s">
        <v>206</v>
      </c>
      <c r="B7678" t="str">
        <f>_xlfn.XLOOKUP(A7678,'[1]Tissue Data'!$A:$A,'[1]Tissue Data'!$C:$C)</f>
        <v>Down</v>
      </c>
      <c r="C7678" s="2">
        <f>_xlfn.XLOOKUP(A7678,'[1]Tissue Data'!$A:$A,'[1]Tissue Data'!$D:$D)</f>
        <v>44393</v>
      </c>
      <c r="D7678" s="2" t="str">
        <f>_xlfn.XLOOKUP(A7678,'[1]Tissue Data'!$A:$A,'[1]Tissue Data'!$F:$F)</f>
        <v>Swallowtail Shiner</v>
      </c>
      <c r="E7678" t="str">
        <f>_xlfn.XLOOKUP(A7678,'[1]Tissue Data'!$A:$A,'[1]Tissue Data'!$H:$H)</f>
        <v>Notropis</v>
      </c>
      <c r="F7678" t="str">
        <f>_xlfn.XLOOKUP(A7678,'[1]Tissue Data'!$A:$A,'[1]Tissue Data'!$I:$I)</f>
        <v>procne</v>
      </c>
      <c r="G7678" t="str">
        <f>_xlfn.XLOOKUP(A7678,'[1]Tissue Data'!$A:$A,'[1]Tissue Data'!J:J)</f>
        <v>U</v>
      </c>
      <c r="H7678" t="str">
        <f>_xlfn.XLOOKUP(A7678,'[1]Tissue Data'!$A:$A,'[1]Tissue Data'!K:K)</f>
        <v>Whole Body</v>
      </c>
      <c r="I7678">
        <f>_xlfn.XLOOKUP(A7678,'[1]Tissue Data'!$A:$A,'[1]Tissue Data'!L:L)</f>
        <v>5.5</v>
      </c>
      <c r="J7678">
        <f>_xlfn.XLOOKUP(A7678,'[1]Tissue Data'!$A:$A,'[1]Tissue Data'!M:M)</f>
        <v>2.2000000000000002</v>
      </c>
      <c r="K7678" t="s">
        <v>38</v>
      </c>
      <c r="L7678" t="str">
        <f>_xlfn.XLOOKUP(K7678,[2]analyte_order!$B:$B,[2]analyte_order!$C:$C)</f>
        <v>31506-32-8</v>
      </c>
      <c r="M7678">
        <f>_xlfn.XLOOKUP(L7678,[2]analyte_order!$C:$C,[2]analyte_order!$E:$E)</f>
        <v>30</v>
      </c>
      <c r="N7678">
        <v>0.17249999999999999</v>
      </c>
    </row>
    <row r="7679" spans="1:14">
      <c r="A7679" t="s">
        <v>206</v>
      </c>
      <c r="B7679" t="str">
        <f>_xlfn.XLOOKUP(A7679,'[1]Tissue Data'!$A:$A,'[1]Tissue Data'!$C:$C)</f>
        <v>Down</v>
      </c>
      <c r="C7679" s="2">
        <f>_xlfn.XLOOKUP(A7679,'[1]Tissue Data'!$A:$A,'[1]Tissue Data'!$D:$D)</f>
        <v>44393</v>
      </c>
      <c r="D7679" s="2" t="str">
        <f>_xlfn.XLOOKUP(A7679,'[1]Tissue Data'!$A:$A,'[1]Tissue Data'!$F:$F)</f>
        <v>Swallowtail Shiner</v>
      </c>
      <c r="E7679" t="str">
        <f>_xlfn.XLOOKUP(A7679,'[1]Tissue Data'!$A:$A,'[1]Tissue Data'!$H:$H)</f>
        <v>Notropis</v>
      </c>
      <c r="F7679" t="str">
        <f>_xlfn.XLOOKUP(A7679,'[1]Tissue Data'!$A:$A,'[1]Tissue Data'!$I:$I)</f>
        <v>procne</v>
      </c>
      <c r="G7679" t="str">
        <f>_xlfn.XLOOKUP(A7679,'[1]Tissue Data'!$A:$A,'[1]Tissue Data'!J:J)</f>
        <v>U</v>
      </c>
      <c r="H7679" t="str">
        <f>_xlfn.XLOOKUP(A7679,'[1]Tissue Data'!$A:$A,'[1]Tissue Data'!K:K)</f>
        <v>Whole Body</v>
      </c>
      <c r="I7679">
        <f>_xlfn.XLOOKUP(A7679,'[1]Tissue Data'!$A:$A,'[1]Tissue Data'!L:L)</f>
        <v>5.5</v>
      </c>
      <c r="J7679">
        <f>_xlfn.XLOOKUP(A7679,'[1]Tissue Data'!$A:$A,'[1]Tissue Data'!M:M)</f>
        <v>2.2000000000000002</v>
      </c>
      <c r="K7679" t="s">
        <v>39</v>
      </c>
      <c r="L7679" t="str">
        <f>_xlfn.XLOOKUP(K7679,[2]analyte_order!$B:$B,[2]analyte_order!$C:$C)</f>
        <v>4151-50-2</v>
      </c>
      <c r="M7679">
        <f>_xlfn.XLOOKUP(L7679,[2]analyte_order!$C:$C,[2]analyte_order!$E:$E)</f>
        <v>31</v>
      </c>
      <c r="N7679">
        <v>0.44800000000000001</v>
      </c>
    </row>
    <row r="7680" spans="1:14">
      <c r="A7680" t="s">
        <v>206</v>
      </c>
      <c r="B7680" t="str">
        <f>_xlfn.XLOOKUP(A7680,'[1]Tissue Data'!$A:$A,'[1]Tissue Data'!$C:$C)</f>
        <v>Down</v>
      </c>
      <c r="C7680" s="2">
        <f>_xlfn.XLOOKUP(A7680,'[1]Tissue Data'!$A:$A,'[1]Tissue Data'!$D:$D)</f>
        <v>44393</v>
      </c>
      <c r="D7680" s="2" t="str">
        <f>_xlfn.XLOOKUP(A7680,'[1]Tissue Data'!$A:$A,'[1]Tissue Data'!$F:$F)</f>
        <v>Swallowtail Shiner</v>
      </c>
      <c r="E7680" t="str">
        <f>_xlfn.XLOOKUP(A7680,'[1]Tissue Data'!$A:$A,'[1]Tissue Data'!$H:$H)</f>
        <v>Notropis</v>
      </c>
      <c r="F7680" t="str">
        <f>_xlfn.XLOOKUP(A7680,'[1]Tissue Data'!$A:$A,'[1]Tissue Data'!$I:$I)</f>
        <v>procne</v>
      </c>
      <c r="G7680" t="str">
        <f>_xlfn.XLOOKUP(A7680,'[1]Tissue Data'!$A:$A,'[1]Tissue Data'!J:J)</f>
        <v>U</v>
      </c>
      <c r="H7680" t="str">
        <f>_xlfn.XLOOKUP(A7680,'[1]Tissue Data'!$A:$A,'[1]Tissue Data'!K:K)</f>
        <v>Whole Body</v>
      </c>
      <c r="I7680">
        <f>_xlfn.XLOOKUP(A7680,'[1]Tissue Data'!$A:$A,'[1]Tissue Data'!L:L)</f>
        <v>5.5</v>
      </c>
      <c r="J7680">
        <f>_xlfn.XLOOKUP(A7680,'[1]Tissue Data'!$A:$A,'[1]Tissue Data'!M:M)</f>
        <v>2.2000000000000002</v>
      </c>
      <c r="K7680" t="s">
        <v>40</v>
      </c>
      <c r="L7680" t="str">
        <f>_xlfn.XLOOKUP(K7680,[2]analyte_order!$B:$B,[2]analyte_order!$C:$C)</f>
        <v>2806-24-8</v>
      </c>
      <c r="M7680">
        <f>_xlfn.XLOOKUP(L7680,[2]analyte_order!$C:$C,[2]analyte_order!$E:$E)</f>
        <v>29</v>
      </c>
      <c r="N7680">
        <v>0.44800000000000001</v>
      </c>
    </row>
    <row r="7681" spans="1:14">
      <c r="A7681" t="s">
        <v>206</v>
      </c>
      <c r="B7681" t="str">
        <f>_xlfn.XLOOKUP(A7681,'[1]Tissue Data'!$A:$A,'[1]Tissue Data'!$C:$C)</f>
        <v>Down</v>
      </c>
      <c r="C7681" s="2">
        <f>_xlfn.XLOOKUP(A7681,'[1]Tissue Data'!$A:$A,'[1]Tissue Data'!$D:$D)</f>
        <v>44393</v>
      </c>
      <c r="D7681" s="2" t="str">
        <f>_xlfn.XLOOKUP(A7681,'[1]Tissue Data'!$A:$A,'[1]Tissue Data'!$F:$F)</f>
        <v>Swallowtail Shiner</v>
      </c>
      <c r="E7681" t="str">
        <f>_xlfn.XLOOKUP(A7681,'[1]Tissue Data'!$A:$A,'[1]Tissue Data'!$H:$H)</f>
        <v>Notropis</v>
      </c>
      <c r="F7681" t="str">
        <f>_xlfn.XLOOKUP(A7681,'[1]Tissue Data'!$A:$A,'[1]Tissue Data'!$I:$I)</f>
        <v>procne</v>
      </c>
      <c r="G7681" t="str">
        <f>_xlfn.XLOOKUP(A7681,'[1]Tissue Data'!$A:$A,'[1]Tissue Data'!J:J)</f>
        <v>U</v>
      </c>
      <c r="H7681" t="str">
        <f>_xlfn.XLOOKUP(A7681,'[1]Tissue Data'!$A:$A,'[1]Tissue Data'!K:K)</f>
        <v>Whole Body</v>
      </c>
      <c r="I7681">
        <f>_xlfn.XLOOKUP(A7681,'[1]Tissue Data'!$A:$A,'[1]Tissue Data'!L:L)</f>
        <v>5.5</v>
      </c>
      <c r="J7681">
        <f>_xlfn.XLOOKUP(A7681,'[1]Tissue Data'!$A:$A,'[1]Tissue Data'!M:M)</f>
        <v>2.2000000000000002</v>
      </c>
      <c r="K7681" t="s">
        <v>41</v>
      </c>
      <c r="L7681" t="str">
        <f>_xlfn.XLOOKUP(K7681,[2]analyte_order!$B:$B,[2]analyte_order!$C:$C)</f>
        <v>2355-31-9</v>
      </c>
      <c r="M7681">
        <f>_xlfn.XLOOKUP(L7681,[2]analyte_order!$C:$C,[2]analyte_order!$E:$E)</f>
        <v>26</v>
      </c>
      <c r="N7681">
        <v>0.22500000000000001</v>
      </c>
    </row>
    <row r="7682" spans="1:14">
      <c r="A7682" t="s">
        <v>206</v>
      </c>
      <c r="B7682" t="str">
        <f>_xlfn.XLOOKUP(A7682,'[1]Tissue Data'!$A:$A,'[1]Tissue Data'!$C:$C)</f>
        <v>Down</v>
      </c>
      <c r="C7682" s="2">
        <f>_xlfn.XLOOKUP(A7682,'[1]Tissue Data'!$A:$A,'[1]Tissue Data'!$D:$D)</f>
        <v>44393</v>
      </c>
      <c r="D7682" s="2" t="str">
        <f>_xlfn.XLOOKUP(A7682,'[1]Tissue Data'!$A:$A,'[1]Tissue Data'!$F:$F)</f>
        <v>Swallowtail Shiner</v>
      </c>
      <c r="E7682" t="str">
        <f>_xlfn.XLOOKUP(A7682,'[1]Tissue Data'!$A:$A,'[1]Tissue Data'!$H:$H)</f>
        <v>Notropis</v>
      </c>
      <c r="F7682" t="str">
        <f>_xlfn.XLOOKUP(A7682,'[1]Tissue Data'!$A:$A,'[1]Tissue Data'!$I:$I)</f>
        <v>procne</v>
      </c>
      <c r="G7682" t="str">
        <f>_xlfn.XLOOKUP(A7682,'[1]Tissue Data'!$A:$A,'[1]Tissue Data'!J:J)</f>
        <v>U</v>
      </c>
      <c r="H7682" t="str">
        <f>_xlfn.XLOOKUP(A7682,'[1]Tissue Data'!$A:$A,'[1]Tissue Data'!K:K)</f>
        <v>Whole Body</v>
      </c>
      <c r="I7682">
        <f>_xlfn.XLOOKUP(A7682,'[1]Tissue Data'!$A:$A,'[1]Tissue Data'!L:L)</f>
        <v>5.5</v>
      </c>
      <c r="J7682">
        <f>_xlfn.XLOOKUP(A7682,'[1]Tissue Data'!$A:$A,'[1]Tissue Data'!M:M)</f>
        <v>2.2000000000000002</v>
      </c>
      <c r="K7682" t="s">
        <v>42</v>
      </c>
      <c r="L7682" t="str">
        <f>_xlfn.XLOOKUP(K7682,[2]analyte_order!$B:$B,[2]analyte_order!$C:$C)</f>
        <v>2991-50-6</v>
      </c>
      <c r="M7682">
        <f>_xlfn.XLOOKUP(L7682,[2]analyte_order!$C:$C,[2]analyte_order!$E:$E)</f>
        <v>27</v>
      </c>
      <c r="N7682">
        <v>0.224</v>
      </c>
    </row>
    <row r="7683" spans="1:14">
      <c r="A7683" t="s">
        <v>206</v>
      </c>
      <c r="B7683" t="str">
        <f>_xlfn.XLOOKUP(A7683,'[1]Tissue Data'!$A:$A,'[1]Tissue Data'!$C:$C)</f>
        <v>Down</v>
      </c>
      <c r="C7683" s="2">
        <f>_xlfn.XLOOKUP(A7683,'[1]Tissue Data'!$A:$A,'[1]Tissue Data'!$D:$D)</f>
        <v>44393</v>
      </c>
      <c r="D7683" s="2" t="str">
        <f>_xlfn.XLOOKUP(A7683,'[1]Tissue Data'!$A:$A,'[1]Tissue Data'!$F:$F)</f>
        <v>Swallowtail Shiner</v>
      </c>
      <c r="E7683" t="str">
        <f>_xlfn.XLOOKUP(A7683,'[1]Tissue Data'!$A:$A,'[1]Tissue Data'!$H:$H)</f>
        <v>Notropis</v>
      </c>
      <c r="F7683" t="str">
        <f>_xlfn.XLOOKUP(A7683,'[1]Tissue Data'!$A:$A,'[1]Tissue Data'!$I:$I)</f>
        <v>procne</v>
      </c>
      <c r="G7683" t="str">
        <f>_xlfn.XLOOKUP(A7683,'[1]Tissue Data'!$A:$A,'[1]Tissue Data'!J:J)</f>
        <v>U</v>
      </c>
      <c r="H7683" t="str">
        <f>_xlfn.XLOOKUP(A7683,'[1]Tissue Data'!$A:$A,'[1]Tissue Data'!K:K)</f>
        <v>Whole Body</v>
      </c>
      <c r="I7683">
        <f>_xlfn.XLOOKUP(A7683,'[1]Tissue Data'!$A:$A,'[1]Tissue Data'!L:L)</f>
        <v>5.5</v>
      </c>
      <c r="J7683">
        <f>_xlfn.XLOOKUP(A7683,'[1]Tissue Data'!$A:$A,'[1]Tissue Data'!M:M)</f>
        <v>2.2000000000000002</v>
      </c>
      <c r="K7683" t="s">
        <v>43</v>
      </c>
      <c r="L7683" t="str">
        <f>_xlfn.XLOOKUP(K7683,[2]analyte_order!$B:$B,[2]analyte_order!$C:$C)</f>
        <v>757124-72-4</v>
      </c>
      <c r="M7683">
        <f>_xlfn.XLOOKUP(L7683,[2]analyte_order!$C:$C,[2]analyte_order!$E:$E)</f>
        <v>22</v>
      </c>
      <c r="N7683">
        <v>0.224</v>
      </c>
    </row>
    <row r="7684" spans="1:14">
      <c r="A7684" t="s">
        <v>206</v>
      </c>
      <c r="B7684" t="str">
        <f>_xlfn.XLOOKUP(A7684,'[1]Tissue Data'!$A:$A,'[1]Tissue Data'!$C:$C)</f>
        <v>Down</v>
      </c>
      <c r="C7684" s="2">
        <f>_xlfn.XLOOKUP(A7684,'[1]Tissue Data'!$A:$A,'[1]Tissue Data'!$D:$D)</f>
        <v>44393</v>
      </c>
      <c r="D7684" s="2" t="str">
        <f>_xlfn.XLOOKUP(A7684,'[1]Tissue Data'!$A:$A,'[1]Tissue Data'!$F:$F)</f>
        <v>Swallowtail Shiner</v>
      </c>
      <c r="E7684" t="str">
        <f>_xlfn.XLOOKUP(A7684,'[1]Tissue Data'!$A:$A,'[1]Tissue Data'!$H:$H)</f>
        <v>Notropis</v>
      </c>
      <c r="F7684" t="str">
        <f>_xlfn.XLOOKUP(A7684,'[1]Tissue Data'!$A:$A,'[1]Tissue Data'!$I:$I)</f>
        <v>procne</v>
      </c>
      <c r="G7684" t="str">
        <f>_xlfn.XLOOKUP(A7684,'[1]Tissue Data'!$A:$A,'[1]Tissue Data'!J:J)</f>
        <v>U</v>
      </c>
      <c r="H7684" t="str">
        <f>_xlfn.XLOOKUP(A7684,'[1]Tissue Data'!$A:$A,'[1]Tissue Data'!K:K)</f>
        <v>Whole Body</v>
      </c>
      <c r="I7684">
        <f>_xlfn.XLOOKUP(A7684,'[1]Tissue Data'!$A:$A,'[1]Tissue Data'!L:L)</f>
        <v>5.5</v>
      </c>
      <c r="J7684">
        <f>_xlfn.XLOOKUP(A7684,'[1]Tissue Data'!$A:$A,'[1]Tissue Data'!M:M)</f>
        <v>2.2000000000000002</v>
      </c>
      <c r="K7684" t="s">
        <v>44</v>
      </c>
      <c r="L7684" t="str">
        <f>_xlfn.XLOOKUP(K7684,[2]analyte_order!$B:$B,[2]analyte_order!$C:$C)</f>
        <v>27619-97-2</v>
      </c>
      <c r="M7684">
        <f>_xlfn.XLOOKUP(L7684,[2]analyte_order!$C:$C,[2]analyte_order!$E:$E)</f>
        <v>23</v>
      </c>
      <c r="N7684">
        <v>0.60099999999999998</v>
      </c>
    </row>
    <row r="7685" spans="1:14">
      <c r="A7685" t="s">
        <v>206</v>
      </c>
      <c r="B7685" t="str">
        <f>_xlfn.XLOOKUP(A7685,'[1]Tissue Data'!$A:$A,'[1]Tissue Data'!$C:$C)</f>
        <v>Down</v>
      </c>
      <c r="C7685" s="2">
        <f>_xlfn.XLOOKUP(A7685,'[1]Tissue Data'!$A:$A,'[1]Tissue Data'!$D:$D)</f>
        <v>44393</v>
      </c>
      <c r="D7685" s="2" t="str">
        <f>_xlfn.XLOOKUP(A7685,'[1]Tissue Data'!$A:$A,'[1]Tissue Data'!$F:$F)</f>
        <v>Swallowtail Shiner</v>
      </c>
      <c r="E7685" t="str">
        <f>_xlfn.XLOOKUP(A7685,'[1]Tissue Data'!$A:$A,'[1]Tissue Data'!$H:$H)</f>
        <v>Notropis</v>
      </c>
      <c r="F7685" t="str">
        <f>_xlfn.XLOOKUP(A7685,'[1]Tissue Data'!$A:$A,'[1]Tissue Data'!$I:$I)</f>
        <v>procne</v>
      </c>
      <c r="G7685" t="str">
        <f>_xlfn.XLOOKUP(A7685,'[1]Tissue Data'!$A:$A,'[1]Tissue Data'!J:J)</f>
        <v>U</v>
      </c>
      <c r="H7685" t="str">
        <f>_xlfn.XLOOKUP(A7685,'[1]Tissue Data'!$A:$A,'[1]Tissue Data'!K:K)</f>
        <v>Whole Body</v>
      </c>
      <c r="I7685">
        <f>_xlfn.XLOOKUP(A7685,'[1]Tissue Data'!$A:$A,'[1]Tissue Data'!L:L)</f>
        <v>5.5</v>
      </c>
      <c r="J7685">
        <f>_xlfn.XLOOKUP(A7685,'[1]Tissue Data'!$A:$A,'[1]Tissue Data'!M:M)</f>
        <v>2.2000000000000002</v>
      </c>
      <c r="K7685" t="s">
        <v>45</v>
      </c>
      <c r="L7685" t="str">
        <f>_xlfn.XLOOKUP(K7685,[2]analyte_order!$B:$B,[2]analyte_order!$C:$C)</f>
        <v>39108-34-4</v>
      </c>
      <c r="M7685">
        <f>_xlfn.XLOOKUP(L7685,[2]analyte_order!$C:$C,[2]analyte_order!$E:$E)</f>
        <v>24</v>
      </c>
      <c r="N7685">
        <v>12</v>
      </c>
    </row>
    <row r="7686" spans="1:14">
      <c r="A7686" t="s">
        <v>206</v>
      </c>
      <c r="B7686" t="str">
        <f>_xlfn.XLOOKUP(A7686,'[1]Tissue Data'!$A:$A,'[1]Tissue Data'!$C:$C)</f>
        <v>Down</v>
      </c>
      <c r="C7686" s="2">
        <f>_xlfn.XLOOKUP(A7686,'[1]Tissue Data'!$A:$A,'[1]Tissue Data'!$D:$D)</f>
        <v>44393</v>
      </c>
      <c r="D7686" s="2" t="str">
        <f>_xlfn.XLOOKUP(A7686,'[1]Tissue Data'!$A:$A,'[1]Tissue Data'!$F:$F)</f>
        <v>Swallowtail Shiner</v>
      </c>
      <c r="E7686" t="str">
        <f>_xlfn.XLOOKUP(A7686,'[1]Tissue Data'!$A:$A,'[1]Tissue Data'!$H:$H)</f>
        <v>Notropis</v>
      </c>
      <c r="F7686" t="str">
        <f>_xlfn.XLOOKUP(A7686,'[1]Tissue Data'!$A:$A,'[1]Tissue Data'!$I:$I)</f>
        <v>procne</v>
      </c>
      <c r="G7686" t="str">
        <f>_xlfn.XLOOKUP(A7686,'[1]Tissue Data'!$A:$A,'[1]Tissue Data'!J:J)</f>
        <v>U</v>
      </c>
      <c r="H7686" t="str">
        <f>_xlfn.XLOOKUP(A7686,'[1]Tissue Data'!$A:$A,'[1]Tissue Data'!K:K)</f>
        <v>Whole Body</v>
      </c>
      <c r="I7686">
        <f>_xlfn.XLOOKUP(A7686,'[1]Tissue Data'!$A:$A,'[1]Tissue Data'!L:L)</f>
        <v>5.5</v>
      </c>
      <c r="J7686">
        <f>_xlfn.XLOOKUP(A7686,'[1]Tissue Data'!$A:$A,'[1]Tissue Data'!M:M)</f>
        <v>2.2000000000000002</v>
      </c>
      <c r="K7686" t="s">
        <v>46</v>
      </c>
      <c r="L7686" t="str">
        <f>_xlfn.XLOOKUP(K7686,[2]analyte_order!$B:$B,[2]analyte_order!$C:$C)</f>
        <v>120226-60-0</v>
      </c>
      <c r="M7686">
        <f>_xlfn.XLOOKUP(L7686,[2]analyte_order!$C:$C,[2]analyte_order!$E:$E)</f>
        <v>25</v>
      </c>
      <c r="N7686">
        <v>0.44800000000000001</v>
      </c>
    </row>
    <row r="7687" spans="1:14">
      <c r="A7687" t="s">
        <v>206</v>
      </c>
      <c r="B7687" t="str">
        <f>_xlfn.XLOOKUP(A7687,'[1]Tissue Data'!$A:$A,'[1]Tissue Data'!$C:$C)</f>
        <v>Down</v>
      </c>
      <c r="C7687" s="2">
        <f>_xlfn.XLOOKUP(A7687,'[1]Tissue Data'!$A:$A,'[1]Tissue Data'!$D:$D)</f>
        <v>44393</v>
      </c>
      <c r="D7687" s="2" t="str">
        <f>_xlfn.XLOOKUP(A7687,'[1]Tissue Data'!$A:$A,'[1]Tissue Data'!$F:$F)</f>
        <v>Swallowtail Shiner</v>
      </c>
      <c r="E7687" t="str">
        <f>_xlfn.XLOOKUP(A7687,'[1]Tissue Data'!$A:$A,'[1]Tissue Data'!$H:$H)</f>
        <v>Notropis</v>
      </c>
      <c r="F7687" t="str">
        <f>_xlfn.XLOOKUP(A7687,'[1]Tissue Data'!$A:$A,'[1]Tissue Data'!$I:$I)</f>
        <v>procne</v>
      </c>
      <c r="G7687" t="str">
        <f>_xlfn.XLOOKUP(A7687,'[1]Tissue Data'!$A:$A,'[1]Tissue Data'!J:J)</f>
        <v>U</v>
      </c>
      <c r="H7687" t="str">
        <f>_xlfn.XLOOKUP(A7687,'[1]Tissue Data'!$A:$A,'[1]Tissue Data'!K:K)</f>
        <v>Whole Body</v>
      </c>
      <c r="I7687">
        <f>_xlfn.XLOOKUP(A7687,'[1]Tissue Data'!$A:$A,'[1]Tissue Data'!L:L)</f>
        <v>5.5</v>
      </c>
      <c r="J7687">
        <f>_xlfn.XLOOKUP(A7687,'[1]Tissue Data'!$A:$A,'[1]Tissue Data'!M:M)</f>
        <v>2.2000000000000002</v>
      </c>
      <c r="K7687" t="s">
        <v>47</v>
      </c>
      <c r="L7687" t="str">
        <f>_xlfn.XLOOKUP(K7687,[2]analyte_order!$B:$B,[2]analyte_order!$C:$C)</f>
        <v>356-02-5</v>
      </c>
      <c r="M7687">
        <f>_xlfn.XLOOKUP(L7687,[2]analyte_order!$C:$C,[2]analyte_order!$E:$E)</f>
        <v>38</v>
      </c>
      <c r="N7687">
        <v>0.25800000000000001</v>
      </c>
    </row>
    <row r="7688" spans="1:14">
      <c r="A7688" t="s">
        <v>206</v>
      </c>
      <c r="B7688" t="str">
        <f>_xlfn.XLOOKUP(A7688,'[1]Tissue Data'!$A:$A,'[1]Tissue Data'!$C:$C)</f>
        <v>Down</v>
      </c>
      <c r="C7688" s="2">
        <f>_xlfn.XLOOKUP(A7688,'[1]Tissue Data'!$A:$A,'[1]Tissue Data'!$D:$D)</f>
        <v>44393</v>
      </c>
      <c r="D7688" s="2" t="str">
        <f>_xlfn.XLOOKUP(A7688,'[1]Tissue Data'!$A:$A,'[1]Tissue Data'!$F:$F)</f>
        <v>Swallowtail Shiner</v>
      </c>
      <c r="E7688" t="str">
        <f>_xlfn.XLOOKUP(A7688,'[1]Tissue Data'!$A:$A,'[1]Tissue Data'!$H:$H)</f>
        <v>Notropis</v>
      </c>
      <c r="F7688" t="str">
        <f>_xlfn.XLOOKUP(A7688,'[1]Tissue Data'!$A:$A,'[1]Tissue Data'!$I:$I)</f>
        <v>procne</v>
      </c>
      <c r="G7688" t="str">
        <f>_xlfn.XLOOKUP(A7688,'[1]Tissue Data'!$A:$A,'[1]Tissue Data'!J:J)</f>
        <v>U</v>
      </c>
      <c r="H7688" t="str">
        <f>_xlfn.XLOOKUP(A7688,'[1]Tissue Data'!$A:$A,'[1]Tissue Data'!K:K)</f>
        <v>Whole Body</v>
      </c>
      <c r="I7688">
        <f>_xlfn.XLOOKUP(A7688,'[1]Tissue Data'!$A:$A,'[1]Tissue Data'!L:L)</f>
        <v>5.5</v>
      </c>
      <c r="J7688">
        <f>_xlfn.XLOOKUP(A7688,'[1]Tissue Data'!$A:$A,'[1]Tissue Data'!M:M)</f>
        <v>2.2000000000000002</v>
      </c>
      <c r="K7688" t="s">
        <v>48</v>
      </c>
      <c r="L7688" t="str">
        <f>_xlfn.XLOOKUP(K7688,[2]analyte_order!$B:$B,[2]analyte_order!$C:$C)</f>
        <v>914637-49-3</v>
      </c>
      <c r="M7688">
        <f>_xlfn.XLOOKUP(L7688,[2]analyte_order!$C:$C,[2]analyte_order!$E:$E)</f>
        <v>39</v>
      </c>
      <c r="N7688">
        <v>2.72</v>
      </c>
    </row>
    <row r="7689" spans="1:14">
      <c r="A7689" t="s">
        <v>206</v>
      </c>
      <c r="B7689" t="str">
        <f>_xlfn.XLOOKUP(A7689,'[1]Tissue Data'!$A:$A,'[1]Tissue Data'!$C:$C)</f>
        <v>Down</v>
      </c>
      <c r="C7689" s="2">
        <f>_xlfn.XLOOKUP(A7689,'[1]Tissue Data'!$A:$A,'[1]Tissue Data'!$D:$D)</f>
        <v>44393</v>
      </c>
      <c r="D7689" s="2" t="str">
        <f>_xlfn.XLOOKUP(A7689,'[1]Tissue Data'!$A:$A,'[1]Tissue Data'!$F:$F)</f>
        <v>Swallowtail Shiner</v>
      </c>
      <c r="E7689" t="str">
        <f>_xlfn.XLOOKUP(A7689,'[1]Tissue Data'!$A:$A,'[1]Tissue Data'!$H:$H)</f>
        <v>Notropis</v>
      </c>
      <c r="F7689" t="str">
        <f>_xlfn.XLOOKUP(A7689,'[1]Tissue Data'!$A:$A,'[1]Tissue Data'!$I:$I)</f>
        <v>procne</v>
      </c>
      <c r="G7689" t="str">
        <f>_xlfn.XLOOKUP(A7689,'[1]Tissue Data'!$A:$A,'[1]Tissue Data'!J:J)</f>
        <v>U</v>
      </c>
      <c r="H7689" t="str">
        <f>_xlfn.XLOOKUP(A7689,'[1]Tissue Data'!$A:$A,'[1]Tissue Data'!K:K)</f>
        <v>Whole Body</v>
      </c>
      <c r="I7689">
        <f>_xlfn.XLOOKUP(A7689,'[1]Tissue Data'!$A:$A,'[1]Tissue Data'!L:L)</f>
        <v>5.5</v>
      </c>
      <c r="J7689">
        <f>_xlfn.XLOOKUP(A7689,'[1]Tissue Data'!$A:$A,'[1]Tissue Data'!M:M)</f>
        <v>2.2000000000000002</v>
      </c>
      <c r="K7689" t="s">
        <v>49</v>
      </c>
      <c r="L7689" t="str">
        <f>_xlfn.XLOOKUP(K7689,[2]analyte_order!$B:$B,[2]analyte_order!$C:$C)</f>
        <v>812-70-4</v>
      </c>
      <c r="M7689">
        <f>_xlfn.XLOOKUP(L7689,[2]analyte_order!$C:$C,[2]analyte_order!$E:$E)</f>
        <v>40</v>
      </c>
      <c r="N7689">
        <v>13.7</v>
      </c>
    </row>
    <row r="7690" spans="1:14">
      <c r="A7690" t="s">
        <v>206</v>
      </c>
      <c r="B7690" t="str">
        <f>_xlfn.XLOOKUP(A7690,'[1]Tissue Data'!$A:$A,'[1]Tissue Data'!$C:$C)</f>
        <v>Down</v>
      </c>
      <c r="C7690" s="2">
        <f>_xlfn.XLOOKUP(A7690,'[1]Tissue Data'!$A:$A,'[1]Tissue Data'!$D:$D)</f>
        <v>44393</v>
      </c>
      <c r="D7690" s="2" t="str">
        <f>_xlfn.XLOOKUP(A7690,'[1]Tissue Data'!$A:$A,'[1]Tissue Data'!$F:$F)</f>
        <v>Swallowtail Shiner</v>
      </c>
      <c r="E7690" t="str">
        <f>_xlfn.XLOOKUP(A7690,'[1]Tissue Data'!$A:$A,'[1]Tissue Data'!$H:$H)</f>
        <v>Notropis</v>
      </c>
      <c r="F7690" t="str">
        <f>_xlfn.XLOOKUP(A7690,'[1]Tissue Data'!$A:$A,'[1]Tissue Data'!$I:$I)</f>
        <v>procne</v>
      </c>
      <c r="G7690" t="str">
        <f>_xlfn.XLOOKUP(A7690,'[1]Tissue Data'!$A:$A,'[1]Tissue Data'!J:J)</f>
        <v>U</v>
      </c>
      <c r="H7690" t="str">
        <f>_xlfn.XLOOKUP(A7690,'[1]Tissue Data'!$A:$A,'[1]Tissue Data'!K:K)</f>
        <v>Whole Body</v>
      </c>
      <c r="I7690">
        <f>_xlfn.XLOOKUP(A7690,'[1]Tissue Data'!$A:$A,'[1]Tissue Data'!L:L)</f>
        <v>5.5</v>
      </c>
      <c r="J7690">
        <f>_xlfn.XLOOKUP(A7690,'[1]Tissue Data'!$A:$A,'[1]Tissue Data'!M:M)</f>
        <v>2.2000000000000002</v>
      </c>
      <c r="K7690" t="s">
        <v>50</v>
      </c>
      <c r="L7690" t="str">
        <f>_xlfn.XLOOKUP(K7690,[2]analyte_order!$B:$B,[2]analyte_order!$C:$C)</f>
        <v>53826-12-3</v>
      </c>
      <c r="M7690">
        <f>_xlfn.XLOOKUP(L7690,[2]analyte_order!$C:$C,[2]analyte_order!$E:$E)</f>
        <v>41</v>
      </c>
      <c r="N7690">
        <v>0.44800000000000001</v>
      </c>
    </row>
    <row r="7691" spans="1:14">
      <c r="A7691" t="s">
        <v>206</v>
      </c>
      <c r="B7691" t="str">
        <f>_xlfn.XLOOKUP(A7691,'[1]Tissue Data'!$A:$A,'[1]Tissue Data'!$C:$C)</f>
        <v>Down</v>
      </c>
      <c r="C7691" s="2">
        <f>_xlfn.XLOOKUP(A7691,'[1]Tissue Data'!$A:$A,'[1]Tissue Data'!$D:$D)</f>
        <v>44393</v>
      </c>
      <c r="D7691" s="2" t="str">
        <f>_xlfn.XLOOKUP(A7691,'[1]Tissue Data'!$A:$A,'[1]Tissue Data'!$F:$F)</f>
        <v>Swallowtail Shiner</v>
      </c>
      <c r="E7691" t="str">
        <f>_xlfn.XLOOKUP(A7691,'[1]Tissue Data'!$A:$A,'[1]Tissue Data'!$H:$H)</f>
        <v>Notropis</v>
      </c>
      <c r="F7691" t="str">
        <f>_xlfn.XLOOKUP(A7691,'[1]Tissue Data'!$A:$A,'[1]Tissue Data'!$I:$I)</f>
        <v>procne</v>
      </c>
      <c r="G7691" t="str">
        <f>_xlfn.XLOOKUP(A7691,'[1]Tissue Data'!$A:$A,'[1]Tissue Data'!J:J)</f>
        <v>U</v>
      </c>
      <c r="H7691" t="str">
        <f>_xlfn.XLOOKUP(A7691,'[1]Tissue Data'!$A:$A,'[1]Tissue Data'!K:K)</f>
        <v>Whole Body</v>
      </c>
      <c r="I7691">
        <f>_xlfn.XLOOKUP(A7691,'[1]Tissue Data'!$A:$A,'[1]Tissue Data'!L:L)</f>
        <v>5.5</v>
      </c>
      <c r="J7691">
        <f>_xlfn.XLOOKUP(A7691,'[1]Tissue Data'!$A:$A,'[1]Tissue Data'!M:M)</f>
        <v>2.2000000000000002</v>
      </c>
      <c r="K7691" t="s">
        <v>51</v>
      </c>
      <c r="L7691" t="str">
        <f>_xlfn.XLOOKUP(K7691,[2]analyte_order!$B:$B,[2]analyte_order!$C:$C)</f>
        <v>27854-31-5</v>
      </c>
      <c r="M7691">
        <f>_xlfn.XLOOKUP(L7691,[2]analyte_order!$C:$C,[2]analyte_order!$E:$E)</f>
        <v>42</v>
      </c>
      <c r="N7691">
        <v>0.44800000000000001</v>
      </c>
    </row>
    <row r="7692" spans="1:14">
      <c r="A7692" t="s">
        <v>206</v>
      </c>
      <c r="B7692" t="str">
        <f>_xlfn.XLOOKUP(A7692,'[1]Tissue Data'!$A:$A,'[1]Tissue Data'!$C:$C)</f>
        <v>Down</v>
      </c>
      <c r="C7692" s="2">
        <f>_xlfn.XLOOKUP(A7692,'[1]Tissue Data'!$A:$A,'[1]Tissue Data'!$D:$D)</f>
        <v>44393</v>
      </c>
      <c r="D7692" s="2" t="str">
        <f>_xlfn.XLOOKUP(A7692,'[1]Tissue Data'!$A:$A,'[1]Tissue Data'!$F:$F)</f>
        <v>Swallowtail Shiner</v>
      </c>
      <c r="E7692" t="str">
        <f>_xlfn.XLOOKUP(A7692,'[1]Tissue Data'!$A:$A,'[1]Tissue Data'!$H:$H)</f>
        <v>Notropis</v>
      </c>
      <c r="F7692" t="str">
        <f>_xlfn.XLOOKUP(A7692,'[1]Tissue Data'!$A:$A,'[1]Tissue Data'!$I:$I)</f>
        <v>procne</v>
      </c>
      <c r="G7692" t="str">
        <f>_xlfn.XLOOKUP(A7692,'[1]Tissue Data'!$A:$A,'[1]Tissue Data'!J:J)</f>
        <v>U</v>
      </c>
      <c r="H7692" t="str">
        <f>_xlfn.XLOOKUP(A7692,'[1]Tissue Data'!$A:$A,'[1]Tissue Data'!K:K)</f>
        <v>Whole Body</v>
      </c>
      <c r="I7692">
        <f>_xlfn.XLOOKUP(A7692,'[1]Tissue Data'!$A:$A,'[1]Tissue Data'!L:L)</f>
        <v>5.5</v>
      </c>
      <c r="J7692">
        <f>_xlfn.XLOOKUP(A7692,'[1]Tissue Data'!$A:$A,'[1]Tissue Data'!M:M)</f>
        <v>2.2000000000000002</v>
      </c>
      <c r="K7692" t="s">
        <v>52</v>
      </c>
      <c r="L7692" t="str">
        <f>_xlfn.XLOOKUP(K7692,[2]analyte_order!$B:$B,[2]analyte_order!$C:$C)</f>
        <v>53826-13-4</v>
      </c>
      <c r="M7692">
        <f>_xlfn.XLOOKUP(L7692,[2]analyte_order!$C:$C,[2]analyte_order!$E:$E)</f>
        <v>43</v>
      </c>
      <c r="N7692">
        <v>0.44800000000000001</v>
      </c>
    </row>
    <row r="7693" spans="1:14">
      <c r="A7693" t="s">
        <v>206</v>
      </c>
      <c r="B7693" t="str">
        <f>_xlfn.XLOOKUP(A7693,'[1]Tissue Data'!$A:$A,'[1]Tissue Data'!$C:$C)</f>
        <v>Down</v>
      </c>
      <c r="C7693" s="2">
        <f>_xlfn.XLOOKUP(A7693,'[1]Tissue Data'!$A:$A,'[1]Tissue Data'!$D:$D)</f>
        <v>44393</v>
      </c>
      <c r="D7693" s="2" t="str">
        <f>_xlfn.XLOOKUP(A7693,'[1]Tissue Data'!$A:$A,'[1]Tissue Data'!$F:$F)</f>
        <v>Swallowtail Shiner</v>
      </c>
      <c r="E7693" t="str">
        <f>_xlfn.XLOOKUP(A7693,'[1]Tissue Data'!$A:$A,'[1]Tissue Data'!$H:$H)</f>
        <v>Notropis</v>
      </c>
      <c r="F7693" t="str">
        <f>_xlfn.XLOOKUP(A7693,'[1]Tissue Data'!$A:$A,'[1]Tissue Data'!$I:$I)</f>
        <v>procne</v>
      </c>
      <c r="G7693" t="str">
        <f>_xlfn.XLOOKUP(A7693,'[1]Tissue Data'!$A:$A,'[1]Tissue Data'!J:J)</f>
        <v>U</v>
      </c>
      <c r="H7693" t="str">
        <f>_xlfn.XLOOKUP(A7693,'[1]Tissue Data'!$A:$A,'[1]Tissue Data'!K:K)</f>
        <v>Whole Body</v>
      </c>
      <c r="I7693">
        <f>_xlfn.XLOOKUP(A7693,'[1]Tissue Data'!$A:$A,'[1]Tissue Data'!L:L)</f>
        <v>5.5</v>
      </c>
      <c r="J7693">
        <f>_xlfn.XLOOKUP(A7693,'[1]Tissue Data'!$A:$A,'[1]Tissue Data'!M:M)</f>
        <v>2.2000000000000002</v>
      </c>
      <c r="K7693" t="s">
        <v>53</v>
      </c>
      <c r="L7693" t="str">
        <f>_xlfn.XLOOKUP(K7693,[2]analyte_order!$B:$B,[2]analyte_order!$C:$C)</f>
        <v>161094-75-3</v>
      </c>
      <c r="M7693">
        <f>_xlfn.XLOOKUP(L7693,[2]analyte_order!$C:$C,[2]analyte_order!$E:$E)</f>
        <v>44</v>
      </c>
      <c r="N7693">
        <v>0.44800000000000001</v>
      </c>
    </row>
    <row r="7694" spans="1:14">
      <c r="A7694" t="s">
        <v>206</v>
      </c>
      <c r="B7694" t="str">
        <f>_xlfn.XLOOKUP(A7694,'[1]Tissue Data'!$A:$A,'[1]Tissue Data'!$C:$C)</f>
        <v>Down</v>
      </c>
      <c r="C7694" s="2">
        <f>_xlfn.XLOOKUP(A7694,'[1]Tissue Data'!$A:$A,'[1]Tissue Data'!$D:$D)</f>
        <v>44393</v>
      </c>
      <c r="D7694" s="2" t="str">
        <f>_xlfn.XLOOKUP(A7694,'[1]Tissue Data'!$A:$A,'[1]Tissue Data'!$F:$F)</f>
        <v>Swallowtail Shiner</v>
      </c>
      <c r="E7694" t="str">
        <f>_xlfn.XLOOKUP(A7694,'[1]Tissue Data'!$A:$A,'[1]Tissue Data'!$H:$H)</f>
        <v>Notropis</v>
      </c>
      <c r="F7694" t="str">
        <f>_xlfn.XLOOKUP(A7694,'[1]Tissue Data'!$A:$A,'[1]Tissue Data'!$I:$I)</f>
        <v>procne</v>
      </c>
      <c r="G7694" t="str">
        <f>_xlfn.XLOOKUP(A7694,'[1]Tissue Data'!$A:$A,'[1]Tissue Data'!J:J)</f>
        <v>U</v>
      </c>
      <c r="H7694" t="str">
        <f>_xlfn.XLOOKUP(A7694,'[1]Tissue Data'!$A:$A,'[1]Tissue Data'!K:K)</f>
        <v>Whole Body</v>
      </c>
      <c r="I7694">
        <f>_xlfn.XLOOKUP(A7694,'[1]Tissue Data'!$A:$A,'[1]Tissue Data'!L:L)</f>
        <v>5.5</v>
      </c>
      <c r="J7694">
        <f>_xlfn.XLOOKUP(A7694,'[1]Tissue Data'!$A:$A,'[1]Tissue Data'!M:M)</f>
        <v>2.2000000000000002</v>
      </c>
      <c r="K7694" t="s">
        <v>54</v>
      </c>
      <c r="L7694" t="str">
        <f>_xlfn.XLOOKUP(K7694,[2]analyte_order!$B:$B,[2]analyte_order!$C:$C)</f>
        <v>70887-84-2</v>
      </c>
      <c r="M7694">
        <f>_xlfn.XLOOKUP(L7694,[2]analyte_order!$C:$C,[2]analyte_order!$E:$E)</f>
        <v>45</v>
      </c>
      <c r="N7694">
        <v>0.44800000000000001</v>
      </c>
    </row>
    <row r="7695" spans="1:14">
      <c r="A7695" t="s">
        <v>206</v>
      </c>
      <c r="B7695" t="str">
        <f>_xlfn.XLOOKUP(A7695,'[1]Tissue Data'!$A:$A,'[1]Tissue Data'!$C:$C)</f>
        <v>Down</v>
      </c>
      <c r="C7695" s="2">
        <f>_xlfn.XLOOKUP(A7695,'[1]Tissue Data'!$A:$A,'[1]Tissue Data'!$D:$D)</f>
        <v>44393</v>
      </c>
      <c r="D7695" s="2" t="str">
        <f>_xlfn.XLOOKUP(A7695,'[1]Tissue Data'!$A:$A,'[1]Tissue Data'!$F:$F)</f>
        <v>Swallowtail Shiner</v>
      </c>
      <c r="E7695" t="str">
        <f>_xlfn.XLOOKUP(A7695,'[1]Tissue Data'!$A:$A,'[1]Tissue Data'!$H:$H)</f>
        <v>Notropis</v>
      </c>
      <c r="F7695" t="str">
        <f>_xlfn.XLOOKUP(A7695,'[1]Tissue Data'!$A:$A,'[1]Tissue Data'!$I:$I)</f>
        <v>procne</v>
      </c>
      <c r="G7695" t="str">
        <f>_xlfn.XLOOKUP(A7695,'[1]Tissue Data'!$A:$A,'[1]Tissue Data'!J:J)</f>
        <v>U</v>
      </c>
      <c r="H7695" t="str">
        <f>_xlfn.XLOOKUP(A7695,'[1]Tissue Data'!$A:$A,'[1]Tissue Data'!K:K)</f>
        <v>Whole Body</v>
      </c>
      <c r="I7695">
        <f>_xlfn.XLOOKUP(A7695,'[1]Tissue Data'!$A:$A,'[1]Tissue Data'!L:L)</f>
        <v>5.5</v>
      </c>
      <c r="J7695">
        <f>_xlfn.XLOOKUP(A7695,'[1]Tissue Data'!$A:$A,'[1]Tissue Data'!M:M)</f>
        <v>2.2000000000000002</v>
      </c>
      <c r="K7695" t="s">
        <v>55</v>
      </c>
      <c r="L7695" t="str">
        <f>_xlfn.XLOOKUP(K7695,[2]analyte_order!$B:$B,[2]analyte_order!$C:$C)</f>
        <v>919005-14-4</v>
      </c>
      <c r="M7695">
        <f>_xlfn.XLOOKUP(L7695,[2]analyte_order!$C:$C,[2]analyte_order!$E:$E)</f>
        <v>35</v>
      </c>
      <c r="N7695">
        <v>0.224</v>
      </c>
    </row>
    <row r="7696" spans="1:14">
      <c r="A7696" t="s">
        <v>206</v>
      </c>
      <c r="B7696" t="str">
        <f>_xlfn.XLOOKUP(A7696,'[1]Tissue Data'!$A:$A,'[1]Tissue Data'!$C:$C)</f>
        <v>Down</v>
      </c>
      <c r="C7696" s="2">
        <f>_xlfn.XLOOKUP(A7696,'[1]Tissue Data'!$A:$A,'[1]Tissue Data'!$D:$D)</f>
        <v>44393</v>
      </c>
      <c r="D7696" s="2" t="str">
        <f>_xlfn.XLOOKUP(A7696,'[1]Tissue Data'!$A:$A,'[1]Tissue Data'!$F:$F)</f>
        <v>Swallowtail Shiner</v>
      </c>
      <c r="E7696" t="str">
        <f>_xlfn.XLOOKUP(A7696,'[1]Tissue Data'!$A:$A,'[1]Tissue Data'!$H:$H)</f>
        <v>Notropis</v>
      </c>
      <c r="F7696" t="str">
        <f>_xlfn.XLOOKUP(A7696,'[1]Tissue Data'!$A:$A,'[1]Tissue Data'!$I:$I)</f>
        <v>procne</v>
      </c>
      <c r="G7696" t="str">
        <f>_xlfn.XLOOKUP(A7696,'[1]Tissue Data'!$A:$A,'[1]Tissue Data'!J:J)</f>
        <v>U</v>
      </c>
      <c r="H7696" t="str">
        <f>_xlfn.XLOOKUP(A7696,'[1]Tissue Data'!$A:$A,'[1]Tissue Data'!K:K)</f>
        <v>Whole Body</v>
      </c>
      <c r="I7696">
        <f>_xlfn.XLOOKUP(A7696,'[1]Tissue Data'!$A:$A,'[1]Tissue Data'!L:L)</f>
        <v>5.5</v>
      </c>
      <c r="J7696">
        <f>_xlfn.XLOOKUP(A7696,'[1]Tissue Data'!$A:$A,'[1]Tissue Data'!M:M)</f>
        <v>2.2000000000000002</v>
      </c>
      <c r="K7696" t="s">
        <v>56</v>
      </c>
      <c r="L7696" t="str">
        <f>_xlfn.XLOOKUP(K7696,[2]analyte_order!$B:$B,[2]analyte_order!$C:$C)</f>
        <v>756426-58-1</v>
      </c>
      <c r="M7696">
        <f>_xlfn.XLOOKUP(L7696,[2]analyte_order!$C:$C,[2]analyte_order!$E:$E)</f>
        <v>36</v>
      </c>
      <c r="N7696">
        <v>0.44800000000000001</v>
      </c>
    </row>
    <row r="7697" spans="1:14">
      <c r="A7697" t="s">
        <v>206</v>
      </c>
      <c r="B7697" t="str">
        <f>_xlfn.XLOOKUP(A7697,'[1]Tissue Data'!$A:$A,'[1]Tissue Data'!$C:$C)</f>
        <v>Down</v>
      </c>
      <c r="C7697" s="2">
        <f>_xlfn.XLOOKUP(A7697,'[1]Tissue Data'!$A:$A,'[1]Tissue Data'!$D:$D)</f>
        <v>44393</v>
      </c>
      <c r="D7697" s="2" t="str">
        <f>_xlfn.XLOOKUP(A7697,'[1]Tissue Data'!$A:$A,'[1]Tissue Data'!$F:$F)</f>
        <v>Swallowtail Shiner</v>
      </c>
      <c r="E7697" t="str">
        <f>_xlfn.XLOOKUP(A7697,'[1]Tissue Data'!$A:$A,'[1]Tissue Data'!$H:$H)</f>
        <v>Notropis</v>
      </c>
      <c r="F7697" t="str">
        <f>_xlfn.XLOOKUP(A7697,'[1]Tissue Data'!$A:$A,'[1]Tissue Data'!$I:$I)</f>
        <v>procne</v>
      </c>
      <c r="G7697" t="str">
        <f>_xlfn.XLOOKUP(A7697,'[1]Tissue Data'!$A:$A,'[1]Tissue Data'!J:J)</f>
        <v>U</v>
      </c>
      <c r="H7697" t="str">
        <f>_xlfn.XLOOKUP(A7697,'[1]Tissue Data'!$A:$A,'[1]Tissue Data'!K:K)</f>
        <v>Whole Body</v>
      </c>
      <c r="I7697">
        <f>_xlfn.XLOOKUP(A7697,'[1]Tissue Data'!$A:$A,'[1]Tissue Data'!L:L)</f>
        <v>5.5</v>
      </c>
      <c r="J7697">
        <f>_xlfn.XLOOKUP(A7697,'[1]Tissue Data'!$A:$A,'[1]Tissue Data'!M:M)</f>
        <v>2.2000000000000002</v>
      </c>
      <c r="K7697" t="s">
        <v>57</v>
      </c>
      <c r="L7697" t="str">
        <f>_xlfn.XLOOKUP(K7697,[2]analyte_order!$B:$B,[2]analyte_order!$C:$C)</f>
        <v>763051-92-9</v>
      </c>
      <c r="M7697">
        <f>_xlfn.XLOOKUP(L7697,[2]analyte_order!$C:$C,[2]analyte_order!$E:$E)</f>
        <v>37</v>
      </c>
      <c r="N7697">
        <v>0.44800000000000001</v>
      </c>
    </row>
    <row r="7698" spans="1:14">
      <c r="A7698" t="s">
        <v>206</v>
      </c>
      <c r="B7698" t="str">
        <f>_xlfn.XLOOKUP(A7698,'[1]Tissue Data'!$A:$A,'[1]Tissue Data'!$C:$C)</f>
        <v>Down</v>
      </c>
      <c r="C7698" s="2">
        <f>_xlfn.XLOOKUP(A7698,'[1]Tissue Data'!$A:$A,'[1]Tissue Data'!$D:$D)</f>
        <v>44393</v>
      </c>
      <c r="D7698" s="2" t="str">
        <f>_xlfn.XLOOKUP(A7698,'[1]Tissue Data'!$A:$A,'[1]Tissue Data'!$F:$F)</f>
        <v>Swallowtail Shiner</v>
      </c>
      <c r="E7698" t="str">
        <f>_xlfn.XLOOKUP(A7698,'[1]Tissue Data'!$A:$A,'[1]Tissue Data'!$H:$H)</f>
        <v>Notropis</v>
      </c>
      <c r="F7698" t="str">
        <f>_xlfn.XLOOKUP(A7698,'[1]Tissue Data'!$A:$A,'[1]Tissue Data'!$I:$I)</f>
        <v>procne</v>
      </c>
      <c r="G7698" t="str">
        <f>_xlfn.XLOOKUP(A7698,'[1]Tissue Data'!$A:$A,'[1]Tissue Data'!J:J)</f>
        <v>U</v>
      </c>
      <c r="H7698" t="str">
        <f>_xlfn.XLOOKUP(A7698,'[1]Tissue Data'!$A:$A,'[1]Tissue Data'!K:K)</f>
        <v>Whole Body</v>
      </c>
      <c r="I7698">
        <f>_xlfn.XLOOKUP(A7698,'[1]Tissue Data'!$A:$A,'[1]Tissue Data'!L:L)</f>
        <v>5.5</v>
      </c>
      <c r="J7698">
        <f>_xlfn.XLOOKUP(A7698,'[1]Tissue Data'!$A:$A,'[1]Tissue Data'!M:M)</f>
        <v>2.2000000000000002</v>
      </c>
      <c r="K7698" t="s">
        <v>58</v>
      </c>
      <c r="L7698" t="str">
        <f>_xlfn.XLOOKUP(K7698,[2]analyte_order!$B:$B,[2]analyte_order!$C:$C)</f>
        <v>13252-13-6</v>
      </c>
      <c r="M7698">
        <f>_xlfn.XLOOKUP(L7698,[2]analyte_order!$C:$C,[2]analyte_order!$E:$E)</f>
        <v>34</v>
      </c>
      <c r="N7698">
        <v>0.32150000000000001</v>
      </c>
    </row>
    <row r="7699" spans="1:14">
      <c r="A7699" t="s">
        <v>206</v>
      </c>
      <c r="B7699" t="str">
        <f>_xlfn.XLOOKUP(A7699,'[1]Tissue Data'!$A:$A,'[1]Tissue Data'!$C:$C)</f>
        <v>Down</v>
      </c>
      <c r="C7699" s="2">
        <f>_xlfn.XLOOKUP(A7699,'[1]Tissue Data'!$A:$A,'[1]Tissue Data'!$D:$D)</f>
        <v>44393</v>
      </c>
      <c r="D7699" s="2" t="str">
        <f>_xlfn.XLOOKUP(A7699,'[1]Tissue Data'!$A:$A,'[1]Tissue Data'!$F:$F)</f>
        <v>Swallowtail Shiner</v>
      </c>
      <c r="E7699" t="str">
        <f>_xlfn.XLOOKUP(A7699,'[1]Tissue Data'!$A:$A,'[1]Tissue Data'!$H:$H)</f>
        <v>Notropis</v>
      </c>
      <c r="F7699" t="str">
        <f>_xlfn.XLOOKUP(A7699,'[1]Tissue Data'!$A:$A,'[1]Tissue Data'!$I:$I)</f>
        <v>procne</v>
      </c>
      <c r="G7699" t="str">
        <f>_xlfn.XLOOKUP(A7699,'[1]Tissue Data'!$A:$A,'[1]Tissue Data'!J:J)</f>
        <v>U</v>
      </c>
      <c r="H7699" t="str">
        <f>_xlfn.XLOOKUP(A7699,'[1]Tissue Data'!$A:$A,'[1]Tissue Data'!K:K)</f>
        <v>Whole Body</v>
      </c>
      <c r="I7699">
        <f>_xlfn.XLOOKUP(A7699,'[1]Tissue Data'!$A:$A,'[1]Tissue Data'!L:L)</f>
        <v>5.5</v>
      </c>
      <c r="J7699">
        <f>_xlfn.XLOOKUP(A7699,'[1]Tissue Data'!$A:$A,'[1]Tissue Data'!M:M)</f>
        <v>2.2000000000000002</v>
      </c>
      <c r="K7699" t="s">
        <v>59</v>
      </c>
      <c r="L7699" t="str">
        <f>_xlfn.XLOOKUP(K7699,[2]analyte_order!$B:$B,[2]analyte_order!$C:$C)</f>
        <v>57677-95-9</v>
      </c>
      <c r="M7699">
        <f>_xlfn.XLOOKUP(L7699,[2]analyte_order!$C:$C,[2]analyte_order!$E:$E)</f>
        <v>46</v>
      </c>
      <c r="N7699">
        <v>0.44800000000000001</v>
      </c>
    </row>
    <row r="7700" spans="1:14">
      <c r="A7700" t="s">
        <v>206</v>
      </c>
      <c r="B7700" t="str">
        <f>_xlfn.XLOOKUP(A7700,'[1]Tissue Data'!$A:$A,'[1]Tissue Data'!$C:$C)</f>
        <v>Down</v>
      </c>
      <c r="C7700" s="2">
        <f>_xlfn.XLOOKUP(A7700,'[1]Tissue Data'!$A:$A,'[1]Tissue Data'!$D:$D)</f>
        <v>44393</v>
      </c>
      <c r="D7700" s="2" t="str">
        <f>_xlfn.XLOOKUP(A7700,'[1]Tissue Data'!$A:$A,'[1]Tissue Data'!$F:$F)</f>
        <v>Swallowtail Shiner</v>
      </c>
      <c r="E7700" t="str">
        <f>_xlfn.XLOOKUP(A7700,'[1]Tissue Data'!$A:$A,'[1]Tissue Data'!$H:$H)</f>
        <v>Notropis</v>
      </c>
      <c r="F7700" t="str">
        <f>_xlfn.XLOOKUP(A7700,'[1]Tissue Data'!$A:$A,'[1]Tissue Data'!$I:$I)</f>
        <v>procne</v>
      </c>
      <c r="G7700" t="str">
        <f>_xlfn.XLOOKUP(A7700,'[1]Tissue Data'!$A:$A,'[1]Tissue Data'!J:J)</f>
        <v>U</v>
      </c>
      <c r="H7700" t="str">
        <f>_xlfn.XLOOKUP(A7700,'[1]Tissue Data'!$A:$A,'[1]Tissue Data'!K:K)</f>
        <v>Whole Body</v>
      </c>
      <c r="I7700">
        <f>_xlfn.XLOOKUP(A7700,'[1]Tissue Data'!$A:$A,'[1]Tissue Data'!L:L)</f>
        <v>5.5</v>
      </c>
      <c r="J7700">
        <f>_xlfn.XLOOKUP(A7700,'[1]Tissue Data'!$A:$A,'[1]Tissue Data'!M:M)</f>
        <v>2.2000000000000002</v>
      </c>
      <c r="K7700" t="s">
        <v>60</v>
      </c>
      <c r="L7700" t="str">
        <f>_xlfn.XLOOKUP(K7700,[2]analyte_order!$B:$B,[2]analyte_order!$C:$C)</f>
        <v>678-41-1</v>
      </c>
      <c r="M7700">
        <f>_xlfn.XLOOKUP(L7700,[2]analyte_order!$C:$C,[2]analyte_order!$E:$E)</f>
        <v>56</v>
      </c>
      <c r="N7700">
        <v>0.44800000000000001</v>
      </c>
    </row>
    <row r="7701" spans="1:14">
      <c r="A7701" t="s">
        <v>206</v>
      </c>
      <c r="B7701" t="str">
        <f>_xlfn.XLOOKUP(A7701,'[1]Tissue Data'!$A:$A,'[1]Tissue Data'!$C:$C)</f>
        <v>Down</v>
      </c>
      <c r="C7701" s="2">
        <f>_xlfn.XLOOKUP(A7701,'[1]Tissue Data'!$A:$A,'[1]Tissue Data'!$D:$D)</f>
        <v>44393</v>
      </c>
      <c r="D7701" s="2" t="str">
        <f>_xlfn.XLOOKUP(A7701,'[1]Tissue Data'!$A:$A,'[1]Tissue Data'!$F:$F)</f>
        <v>Swallowtail Shiner</v>
      </c>
      <c r="E7701" t="str">
        <f>_xlfn.XLOOKUP(A7701,'[1]Tissue Data'!$A:$A,'[1]Tissue Data'!$H:$H)</f>
        <v>Notropis</v>
      </c>
      <c r="F7701" t="str">
        <f>_xlfn.XLOOKUP(A7701,'[1]Tissue Data'!$A:$A,'[1]Tissue Data'!$I:$I)</f>
        <v>procne</v>
      </c>
      <c r="G7701" t="str">
        <f>_xlfn.XLOOKUP(A7701,'[1]Tissue Data'!$A:$A,'[1]Tissue Data'!J:J)</f>
        <v>U</v>
      </c>
      <c r="H7701" t="str">
        <f>_xlfn.XLOOKUP(A7701,'[1]Tissue Data'!$A:$A,'[1]Tissue Data'!K:K)</f>
        <v>Whole Body</v>
      </c>
      <c r="I7701">
        <f>_xlfn.XLOOKUP(A7701,'[1]Tissue Data'!$A:$A,'[1]Tissue Data'!L:L)</f>
        <v>5.5</v>
      </c>
      <c r="J7701">
        <f>_xlfn.XLOOKUP(A7701,'[1]Tissue Data'!$A:$A,'[1]Tissue Data'!M:M)</f>
        <v>2.2000000000000002</v>
      </c>
      <c r="K7701" t="s">
        <v>61</v>
      </c>
      <c r="L7701" t="str">
        <f>_xlfn.XLOOKUP(K7701,[2]analyte_order!$B:$B,[2]analyte_order!$C:$C)</f>
        <v>2965-52-8</v>
      </c>
      <c r="M7701">
        <f>_xlfn.XLOOKUP(L7701,[2]analyte_order!$C:$C,[2]analyte_order!$E:$E)</f>
        <v>57</v>
      </c>
      <c r="N7701">
        <v>0.44800000000000001</v>
      </c>
    </row>
    <row r="7702" spans="1:14">
      <c r="A7702" t="s">
        <v>207</v>
      </c>
      <c r="B7702" t="str">
        <f>_xlfn.XLOOKUP(A7702,'[1]Tissue Data'!$A:$A,'[1]Tissue Data'!$C:$C)</f>
        <v>Down</v>
      </c>
      <c r="C7702" s="2">
        <f>_xlfn.XLOOKUP(A7702,'[1]Tissue Data'!$A:$A,'[1]Tissue Data'!$D:$D)</f>
        <v>44393</v>
      </c>
      <c r="D7702" s="2" t="str">
        <f>_xlfn.XLOOKUP(A7702,'[1]Tissue Data'!$A:$A,'[1]Tissue Data'!$F:$F)</f>
        <v>Swallowtail Shiner</v>
      </c>
      <c r="E7702" t="str">
        <f>_xlfn.XLOOKUP(A7702,'[1]Tissue Data'!$A:$A,'[1]Tissue Data'!$H:$H)</f>
        <v>Notropis</v>
      </c>
      <c r="F7702" t="str">
        <f>_xlfn.XLOOKUP(A7702,'[1]Tissue Data'!$A:$A,'[1]Tissue Data'!$I:$I)</f>
        <v>procne</v>
      </c>
      <c r="G7702" t="str">
        <f>_xlfn.XLOOKUP(A7702,'[1]Tissue Data'!$A:$A,'[1]Tissue Data'!J:J)</f>
        <v>U</v>
      </c>
      <c r="H7702" t="str">
        <f>_xlfn.XLOOKUP(A7702,'[1]Tissue Data'!$A:$A,'[1]Tissue Data'!K:K)</f>
        <v>Whole Body</v>
      </c>
      <c r="I7702">
        <f>_xlfn.XLOOKUP(A7702,'[1]Tissue Data'!$A:$A,'[1]Tissue Data'!L:L)</f>
        <v>5.5</v>
      </c>
      <c r="J7702">
        <f>_xlfn.XLOOKUP(A7702,'[1]Tissue Data'!$A:$A,'[1]Tissue Data'!M:M)</f>
        <v>1.93</v>
      </c>
      <c r="K7702" t="s">
        <v>12</v>
      </c>
      <c r="L7702" t="str">
        <f>_xlfn.XLOOKUP(K7702,[2]analyte_order!$B:$B,[2]analyte_order!$C:$C)</f>
        <v>375-22-4</v>
      </c>
      <c r="M7702">
        <f>_xlfn.XLOOKUP(L7702,[2]analyte_order!$C:$C,[2]analyte_order!$E:$E)</f>
        <v>1</v>
      </c>
      <c r="N7702">
        <v>0.248</v>
      </c>
    </row>
    <row r="7703" spans="1:14">
      <c r="A7703" t="s">
        <v>207</v>
      </c>
      <c r="B7703" t="str">
        <f>_xlfn.XLOOKUP(A7703,'[1]Tissue Data'!$A:$A,'[1]Tissue Data'!$C:$C)</f>
        <v>Down</v>
      </c>
      <c r="C7703" s="2">
        <f>_xlfn.XLOOKUP(A7703,'[1]Tissue Data'!$A:$A,'[1]Tissue Data'!$D:$D)</f>
        <v>44393</v>
      </c>
      <c r="D7703" s="2" t="str">
        <f>_xlfn.XLOOKUP(A7703,'[1]Tissue Data'!$A:$A,'[1]Tissue Data'!$F:$F)</f>
        <v>Swallowtail Shiner</v>
      </c>
      <c r="E7703" t="str">
        <f>_xlfn.XLOOKUP(A7703,'[1]Tissue Data'!$A:$A,'[1]Tissue Data'!$H:$H)</f>
        <v>Notropis</v>
      </c>
      <c r="F7703" t="str">
        <f>_xlfn.XLOOKUP(A7703,'[1]Tissue Data'!$A:$A,'[1]Tissue Data'!$I:$I)</f>
        <v>procne</v>
      </c>
      <c r="G7703" t="str">
        <f>_xlfn.XLOOKUP(A7703,'[1]Tissue Data'!$A:$A,'[1]Tissue Data'!J:J)</f>
        <v>U</v>
      </c>
      <c r="H7703" t="str">
        <f>_xlfn.XLOOKUP(A7703,'[1]Tissue Data'!$A:$A,'[1]Tissue Data'!K:K)</f>
        <v>Whole Body</v>
      </c>
      <c r="I7703">
        <f>_xlfn.XLOOKUP(A7703,'[1]Tissue Data'!$A:$A,'[1]Tissue Data'!L:L)</f>
        <v>5.5</v>
      </c>
      <c r="J7703">
        <f>_xlfn.XLOOKUP(A7703,'[1]Tissue Data'!$A:$A,'[1]Tissue Data'!M:M)</f>
        <v>1.93</v>
      </c>
      <c r="K7703" t="s">
        <v>13</v>
      </c>
      <c r="L7703" t="str">
        <f>_xlfn.XLOOKUP(K7703,[2]analyte_order!$B:$B,[2]analyte_order!$C:$C)</f>
        <v>2706-90-3</v>
      </c>
      <c r="M7703">
        <f>_xlfn.XLOOKUP(L7703,[2]analyte_order!$C:$C,[2]analyte_order!$E:$E)</f>
        <v>2</v>
      </c>
      <c r="N7703">
        <v>0.248</v>
      </c>
    </row>
    <row r="7704" spans="1:14">
      <c r="A7704" t="s">
        <v>207</v>
      </c>
      <c r="B7704" t="str">
        <f>_xlfn.XLOOKUP(A7704,'[1]Tissue Data'!$A:$A,'[1]Tissue Data'!$C:$C)</f>
        <v>Down</v>
      </c>
      <c r="C7704" s="2">
        <f>_xlfn.XLOOKUP(A7704,'[1]Tissue Data'!$A:$A,'[1]Tissue Data'!$D:$D)</f>
        <v>44393</v>
      </c>
      <c r="D7704" s="2" t="str">
        <f>_xlfn.XLOOKUP(A7704,'[1]Tissue Data'!$A:$A,'[1]Tissue Data'!$F:$F)</f>
        <v>Swallowtail Shiner</v>
      </c>
      <c r="E7704" t="str">
        <f>_xlfn.XLOOKUP(A7704,'[1]Tissue Data'!$A:$A,'[1]Tissue Data'!$H:$H)</f>
        <v>Notropis</v>
      </c>
      <c r="F7704" t="str">
        <f>_xlfn.XLOOKUP(A7704,'[1]Tissue Data'!$A:$A,'[1]Tissue Data'!$I:$I)</f>
        <v>procne</v>
      </c>
      <c r="G7704" t="str">
        <f>_xlfn.XLOOKUP(A7704,'[1]Tissue Data'!$A:$A,'[1]Tissue Data'!J:J)</f>
        <v>U</v>
      </c>
      <c r="H7704" t="str">
        <f>_xlfn.XLOOKUP(A7704,'[1]Tissue Data'!$A:$A,'[1]Tissue Data'!K:K)</f>
        <v>Whole Body</v>
      </c>
      <c r="I7704">
        <f>_xlfn.XLOOKUP(A7704,'[1]Tissue Data'!$A:$A,'[1]Tissue Data'!L:L)</f>
        <v>5.5</v>
      </c>
      <c r="J7704">
        <f>_xlfn.XLOOKUP(A7704,'[1]Tissue Data'!$A:$A,'[1]Tissue Data'!M:M)</f>
        <v>1.93</v>
      </c>
      <c r="K7704" t="s">
        <v>14</v>
      </c>
      <c r="L7704" t="str">
        <f>_xlfn.XLOOKUP(K7704,[2]analyte_order!$B:$B,[2]analyte_order!$C:$C)</f>
        <v>307-24-4</v>
      </c>
      <c r="M7704">
        <f>_xlfn.XLOOKUP(L7704,[2]analyte_order!$C:$C,[2]analyte_order!$E:$E)</f>
        <v>3</v>
      </c>
      <c r="N7704">
        <v>0.96499999999999997</v>
      </c>
    </row>
    <row r="7705" spans="1:14">
      <c r="A7705" t="s">
        <v>207</v>
      </c>
      <c r="B7705" t="str">
        <f>_xlfn.XLOOKUP(A7705,'[1]Tissue Data'!$A:$A,'[1]Tissue Data'!$C:$C)</f>
        <v>Down</v>
      </c>
      <c r="C7705" s="2">
        <f>_xlfn.XLOOKUP(A7705,'[1]Tissue Data'!$A:$A,'[1]Tissue Data'!$D:$D)</f>
        <v>44393</v>
      </c>
      <c r="D7705" s="2" t="str">
        <f>_xlfn.XLOOKUP(A7705,'[1]Tissue Data'!$A:$A,'[1]Tissue Data'!$F:$F)</f>
        <v>Swallowtail Shiner</v>
      </c>
      <c r="E7705" t="str">
        <f>_xlfn.XLOOKUP(A7705,'[1]Tissue Data'!$A:$A,'[1]Tissue Data'!$H:$H)</f>
        <v>Notropis</v>
      </c>
      <c r="F7705" t="str">
        <f>_xlfn.XLOOKUP(A7705,'[1]Tissue Data'!$A:$A,'[1]Tissue Data'!$I:$I)</f>
        <v>procne</v>
      </c>
      <c r="G7705" t="str">
        <f>_xlfn.XLOOKUP(A7705,'[1]Tissue Data'!$A:$A,'[1]Tissue Data'!J:J)</f>
        <v>U</v>
      </c>
      <c r="H7705" t="str">
        <f>_xlfn.XLOOKUP(A7705,'[1]Tissue Data'!$A:$A,'[1]Tissue Data'!K:K)</f>
        <v>Whole Body</v>
      </c>
      <c r="I7705">
        <f>_xlfn.XLOOKUP(A7705,'[1]Tissue Data'!$A:$A,'[1]Tissue Data'!L:L)</f>
        <v>5.5</v>
      </c>
      <c r="J7705">
        <f>_xlfn.XLOOKUP(A7705,'[1]Tissue Data'!$A:$A,'[1]Tissue Data'!M:M)</f>
        <v>1.93</v>
      </c>
      <c r="K7705" t="s">
        <v>15</v>
      </c>
      <c r="L7705" t="str">
        <f>_xlfn.XLOOKUP(K7705,[2]analyte_order!$B:$B,[2]analyte_order!$C:$C)</f>
        <v>375-85-9</v>
      </c>
      <c r="M7705">
        <f>_xlfn.XLOOKUP(L7705,[2]analyte_order!$C:$C,[2]analyte_order!$E:$E)</f>
        <v>4</v>
      </c>
      <c r="N7705">
        <v>0.248</v>
      </c>
    </row>
    <row r="7706" spans="1:14">
      <c r="A7706" t="s">
        <v>207</v>
      </c>
      <c r="B7706" t="str">
        <f>_xlfn.XLOOKUP(A7706,'[1]Tissue Data'!$A:$A,'[1]Tissue Data'!$C:$C)</f>
        <v>Down</v>
      </c>
      <c r="C7706" s="2">
        <f>_xlfn.XLOOKUP(A7706,'[1]Tissue Data'!$A:$A,'[1]Tissue Data'!$D:$D)</f>
        <v>44393</v>
      </c>
      <c r="D7706" s="2" t="str">
        <f>_xlfn.XLOOKUP(A7706,'[1]Tissue Data'!$A:$A,'[1]Tissue Data'!$F:$F)</f>
        <v>Swallowtail Shiner</v>
      </c>
      <c r="E7706" t="str">
        <f>_xlfn.XLOOKUP(A7706,'[1]Tissue Data'!$A:$A,'[1]Tissue Data'!$H:$H)</f>
        <v>Notropis</v>
      </c>
      <c r="F7706" t="str">
        <f>_xlfn.XLOOKUP(A7706,'[1]Tissue Data'!$A:$A,'[1]Tissue Data'!$I:$I)</f>
        <v>procne</v>
      </c>
      <c r="G7706" t="str">
        <f>_xlfn.XLOOKUP(A7706,'[1]Tissue Data'!$A:$A,'[1]Tissue Data'!J:J)</f>
        <v>U</v>
      </c>
      <c r="H7706" t="str">
        <f>_xlfn.XLOOKUP(A7706,'[1]Tissue Data'!$A:$A,'[1]Tissue Data'!K:K)</f>
        <v>Whole Body</v>
      </c>
      <c r="I7706">
        <f>_xlfn.XLOOKUP(A7706,'[1]Tissue Data'!$A:$A,'[1]Tissue Data'!L:L)</f>
        <v>5.5</v>
      </c>
      <c r="J7706">
        <f>_xlfn.XLOOKUP(A7706,'[1]Tissue Data'!$A:$A,'[1]Tissue Data'!M:M)</f>
        <v>1.93</v>
      </c>
      <c r="K7706" t="s">
        <v>16</v>
      </c>
      <c r="L7706" t="str">
        <f>_xlfn.XLOOKUP(K7706,[2]analyte_order!$B:$B,[2]analyte_order!$C:$C)</f>
        <v>335-67-1</v>
      </c>
      <c r="M7706">
        <f>_xlfn.XLOOKUP(L7706,[2]analyte_order!$C:$C,[2]analyte_order!$E:$E)</f>
        <v>5</v>
      </c>
      <c r="N7706">
        <v>2.3199999999999998</v>
      </c>
    </row>
    <row r="7707" spans="1:14">
      <c r="A7707" t="s">
        <v>207</v>
      </c>
      <c r="B7707" t="str">
        <f>_xlfn.XLOOKUP(A7707,'[1]Tissue Data'!$A:$A,'[1]Tissue Data'!$C:$C)</f>
        <v>Down</v>
      </c>
      <c r="C7707" s="2">
        <f>_xlfn.XLOOKUP(A7707,'[1]Tissue Data'!$A:$A,'[1]Tissue Data'!$D:$D)</f>
        <v>44393</v>
      </c>
      <c r="D7707" s="2" t="str">
        <f>_xlfn.XLOOKUP(A7707,'[1]Tissue Data'!$A:$A,'[1]Tissue Data'!$F:$F)</f>
        <v>Swallowtail Shiner</v>
      </c>
      <c r="E7707" t="str">
        <f>_xlfn.XLOOKUP(A7707,'[1]Tissue Data'!$A:$A,'[1]Tissue Data'!$H:$H)</f>
        <v>Notropis</v>
      </c>
      <c r="F7707" t="str">
        <f>_xlfn.XLOOKUP(A7707,'[1]Tissue Data'!$A:$A,'[1]Tissue Data'!$I:$I)</f>
        <v>procne</v>
      </c>
      <c r="G7707" t="str">
        <f>_xlfn.XLOOKUP(A7707,'[1]Tissue Data'!$A:$A,'[1]Tissue Data'!J:J)</f>
        <v>U</v>
      </c>
      <c r="H7707" t="str">
        <f>_xlfn.XLOOKUP(A7707,'[1]Tissue Data'!$A:$A,'[1]Tissue Data'!K:K)</f>
        <v>Whole Body</v>
      </c>
      <c r="I7707">
        <f>_xlfn.XLOOKUP(A7707,'[1]Tissue Data'!$A:$A,'[1]Tissue Data'!L:L)</f>
        <v>5.5</v>
      </c>
      <c r="J7707">
        <f>_xlfn.XLOOKUP(A7707,'[1]Tissue Data'!$A:$A,'[1]Tissue Data'!M:M)</f>
        <v>1.93</v>
      </c>
      <c r="K7707" t="s">
        <v>17</v>
      </c>
      <c r="L7707" t="str">
        <f>_xlfn.XLOOKUP(K7707,[2]analyte_order!$B:$B,[2]analyte_order!$C:$C)</f>
        <v>375-95-1</v>
      </c>
      <c r="M7707">
        <f>_xlfn.XLOOKUP(L7707,[2]analyte_order!$C:$C,[2]analyte_order!$E:$E)</f>
        <v>6</v>
      </c>
      <c r="N7707">
        <v>2.19</v>
      </c>
    </row>
    <row r="7708" spans="1:14">
      <c r="A7708" t="s">
        <v>207</v>
      </c>
      <c r="B7708" t="str">
        <f>_xlfn.XLOOKUP(A7708,'[1]Tissue Data'!$A:$A,'[1]Tissue Data'!$C:$C)</f>
        <v>Down</v>
      </c>
      <c r="C7708" s="2">
        <f>_xlfn.XLOOKUP(A7708,'[1]Tissue Data'!$A:$A,'[1]Tissue Data'!$D:$D)</f>
        <v>44393</v>
      </c>
      <c r="D7708" s="2" t="str">
        <f>_xlfn.XLOOKUP(A7708,'[1]Tissue Data'!$A:$A,'[1]Tissue Data'!$F:$F)</f>
        <v>Swallowtail Shiner</v>
      </c>
      <c r="E7708" t="str">
        <f>_xlfn.XLOOKUP(A7708,'[1]Tissue Data'!$A:$A,'[1]Tissue Data'!$H:$H)</f>
        <v>Notropis</v>
      </c>
      <c r="F7708" t="str">
        <f>_xlfn.XLOOKUP(A7708,'[1]Tissue Data'!$A:$A,'[1]Tissue Data'!$I:$I)</f>
        <v>procne</v>
      </c>
      <c r="G7708" t="str">
        <f>_xlfn.XLOOKUP(A7708,'[1]Tissue Data'!$A:$A,'[1]Tissue Data'!J:J)</f>
        <v>U</v>
      </c>
      <c r="H7708" t="str">
        <f>_xlfn.XLOOKUP(A7708,'[1]Tissue Data'!$A:$A,'[1]Tissue Data'!K:K)</f>
        <v>Whole Body</v>
      </c>
      <c r="I7708">
        <f>_xlfn.XLOOKUP(A7708,'[1]Tissue Data'!$A:$A,'[1]Tissue Data'!L:L)</f>
        <v>5.5</v>
      </c>
      <c r="J7708">
        <f>_xlfn.XLOOKUP(A7708,'[1]Tissue Data'!$A:$A,'[1]Tissue Data'!M:M)</f>
        <v>1.93</v>
      </c>
      <c r="K7708" t="s">
        <v>18</v>
      </c>
      <c r="L7708" t="str">
        <f>_xlfn.XLOOKUP(K7708,[2]analyte_order!$B:$B,[2]analyte_order!$C:$C)</f>
        <v>335-76-2</v>
      </c>
      <c r="M7708">
        <f>_xlfn.XLOOKUP(L7708,[2]analyte_order!$C:$C,[2]analyte_order!$E:$E)</f>
        <v>7</v>
      </c>
      <c r="N7708">
        <v>2.41</v>
      </c>
    </row>
    <row r="7709" spans="1:14">
      <c r="A7709" t="s">
        <v>207</v>
      </c>
      <c r="B7709" t="str">
        <f>_xlfn.XLOOKUP(A7709,'[1]Tissue Data'!$A:$A,'[1]Tissue Data'!$C:$C)</f>
        <v>Down</v>
      </c>
      <c r="C7709" s="2">
        <f>_xlfn.XLOOKUP(A7709,'[1]Tissue Data'!$A:$A,'[1]Tissue Data'!$D:$D)</f>
        <v>44393</v>
      </c>
      <c r="D7709" s="2" t="str">
        <f>_xlfn.XLOOKUP(A7709,'[1]Tissue Data'!$A:$A,'[1]Tissue Data'!$F:$F)</f>
        <v>Swallowtail Shiner</v>
      </c>
      <c r="E7709" t="str">
        <f>_xlfn.XLOOKUP(A7709,'[1]Tissue Data'!$A:$A,'[1]Tissue Data'!$H:$H)</f>
        <v>Notropis</v>
      </c>
      <c r="F7709" t="str">
        <f>_xlfn.XLOOKUP(A7709,'[1]Tissue Data'!$A:$A,'[1]Tissue Data'!$I:$I)</f>
        <v>procne</v>
      </c>
      <c r="G7709" t="str">
        <f>_xlfn.XLOOKUP(A7709,'[1]Tissue Data'!$A:$A,'[1]Tissue Data'!J:J)</f>
        <v>U</v>
      </c>
      <c r="H7709" t="str">
        <f>_xlfn.XLOOKUP(A7709,'[1]Tissue Data'!$A:$A,'[1]Tissue Data'!K:K)</f>
        <v>Whole Body</v>
      </c>
      <c r="I7709">
        <f>_xlfn.XLOOKUP(A7709,'[1]Tissue Data'!$A:$A,'[1]Tissue Data'!L:L)</f>
        <v>5.5</v>
      </c>
      <c r="J7709">
        <f>_xlfn.XLOOKUP(A7709,'[1]Tissue Data'!$A:$A,'[1]Tissue Data'!M:M)</f>
        <v>1.93</v>
      </c>
      <c r="K7709" t="s">
        <v>19</v>
      </c>
      <c r="L7709" t="str">
        <f>_xlfn.XLOOKUP(K7709,[2]analyte_order!$B:$B,[2]analyte_order!$C:$C)</f>
        <v>2058-94-8</v>
      </c>
      <c r="M7709">
        <f>_xlfn.XLOOKUP(L7709,[2]analyte_order!$C:$C,[2]analyte_order!$E:$E)</f>
        <v>8</v>
      </c>
      <c r="N7709">
        <v>3.11</v>
      </c>
    </row>
    <row r="7710" spans="1:14">
      <c r="A7710" t="s">
        <v>207</v>
      </c>
      <c r="B7710" t="str">
        <f>_xlfn.XLOOKUP(A7710,'[1]Tissue Data'!$A:$A,'[1]Tissue Data'!$C:$C)</f>
        <v>Down</v>
      </c>
      <c r="C7710" s="2">
        <f>_xlfn.XLOOKUP(A7710,'[1]Tissue Data'!$A:$A,'[1]Tissue Data'!$D:$D)</f>
        <v>44393</v>
      </c>
      <c r="D7710" s="2" t="str">
        <f>_xlfn.XLOOKUP(A7710,'[1]Tissue Data'!$A:$A,'[1]Tissue Data'!$F:$F)</f>
        <v>Swallowtail Shiner</v>
      </c>
      <c r="E7710" t="str">
        <f>_xlfn.XLOOKUP(A7710,'[1]Tissue Data'!$A:$A,'[1]Tissue Data'!$H:$H)</f>
        <v>Notropis</v>
      </c>
      <c r="F7710" t="str">
        <f>_xlfn.XLOOKUP(A7710,'[1]Tissue Data'!$A:$A,'[1]Tissue Data'!$I:$I)</f>
        <v>procne</v>
      </c>
      <c r="G7710" t="str">
        <f>_xlfn.XLOOKUP(A7710,'[1]Tissue Data'!$A:$A,'[1]Tissue Data'!J:J)</f>
        <v>U</v>
      </c>
      <c r="H7710" t="str">
        <f>_xlfn.XLOOKUP(A7710,'[1]Tissue Data'!$A:$A,'[1]Tissue Data'!K:K)</f>
        <v>Whole Body</v>
      </c>
      <c r="I7710">
        <f>_xlfn.XLOOKUP(A7710,'[1]Tissue Data'!$A:$A,'[1]Tissue Data'!L:L)</f>
        <v>5.5</v>
      </c>
      <c r="J7710">
        <f>_xlfn.XLOOKUP(A7710,'[1]Tissue Data'!$A:$A,'[1]Tissue Data'!M:M)</f>
        <v>1.93</v>
      </c>
      <c r="K7710" t="s">
        <v>20</v>
      </c>
      <c r="L7710" t="str">
        <f>_xlfn.XLOOKUP(K7710,[2]analyte_order!$B:$B,[2]analyte_order!$C:$C)</f>
        <v>307-55-1</v>
      </c>
      <c r="M7710">
        <f>_xlfn.XLOOKUP(L7710,[2]analyte_order!$C:$C,[2]analyte_order!$E:$E)</f>
        <v>9</v>
      </c>
      <c r="N7710">
        <v>3.62</v>
      </c>
    </row>
    <row r="7711" spans="1:14">
      <c r="A7711" t="s">
        <v>207</v>
      </c>
      <c r="B7711" t="str">
        <f>_xlfn.XLOOKUP(A7711,'[1]Tissue Data'!$A:$A,'[1]Tissue Data'!$C:$C)</f>
        <v>Down</v>
      </c>
      <c r="C7711" s="2">
        <f>_xlfn.XLOOKUP(A7711,'[1]Tissue Data'!$A:$A,'[1]Tissue Data'!$D:$D)</f>
        <v>44393</v>
      </c>
      <c r="D7711" s="2" t="str">
        <f>_xlfn.XLOOKUP(A7711,'[1]Tissue Data'!$A:$A,'[1]Tissue Data'!$F:$F)</f>
        <v>Swallowtail Shiner</v>
      </c>
      <c r="E7711" t="str">
        <f>_xlfn.XLOOKUP(A7711,'[1]Tissue Data'!$A:$A,'[1]Tissue Data'!$H:$H)</f>
        <v>Notropis</v>
      </c>
      <c r="F7711" t="str">
        <f>_xlfn.XLOOKUP(A7711,'[1]Tissue Data'!$A:$A,'[1]Tissue Data'!$I:$I)</f>
        <v>procne</v>
      </c>
      <c r="G7711" t="str">
        <f>_xlfn.XLOOKUP(A7711,'[1]Tissue Data'!$A:$A,'[1]Tissue Data'!J:J)</f>
        <v>U</v>
      </c>
      <c r="H7711" t="str">
        <f>_xlfn.XLOOKUP(A7711,'[1]Tissue Data'!$A:$A,'[1]Tissue Data'!K:K)</f>
        <v>Whole Body</v>
      </c>
      <c r="I7711">
        <f>_xlfn.XLOOKUP(A7711,'[1]Tissue Data'!$A:$A,'[1]Tissue Data'!L:L)</f>
        <v>5.5</v>
      </c>
      <c r="J7711">
        <f>_xlfn.XLOOKUP(A7711,'[1]Tissue Data'!$A:$A,'[1]Tissue Data'!M:M)</f>
        <v>1.93</v>
      </c>
      <c r="K7711" t="s">
        <v>21</v>
      </c>
      <c r="L7711" t="str">
        <f>_xlfn.XLOOKUP(K7711,[2]analyte_order!$B:$B,[2]analyte_order!$C:$C)</f>
        <v>72629-94-8</v>
      </c>
      <c r="M7711">
        <f>_xlfn.XLOOKUP(L7711,[2]analyte_order!$C:$C,[2]analyte_order!$E:$E)</f>
        <v>10</v>
      </c>
      <c r="N7711">
        <v>1.6</v>
      </c>
    </row>
    <row r="7712" spans="1:14">
      <c r="A7712" t="s">
        <v>207</v>
      </c>
      <c r="B7712" t="str">
        <f>_xlfn.XLOOKUP(A7712,'[1]Tissue Data'!$A:$A,'[1]Tissue Data'!$C:$C)</f>
        <v>Down</v>
      </c>
      <c r="C7712" s="2">
        <f>_xlfn.XLOOKUP(A7712,'[1]Tissue Data'!$A:$A,'[1]Tissue Data'!$D:$D)</f>
        <v>44393</v>
      </c>
      <c r="D7712" s="2" t="str">
        <f>_xlfn.XLOOKUP(A7712,'[1]Tissue Data'!$A:$A,'[1]Tissue Data'!$F:$F)</f>
        <v>Swallowtail Shiner</v>
      </c>
      <c r="E7712" t="str">
        <f>_xlfn.XLOOKUP(A7712,'[1]Tissue Data'!$A:$A,'[1]Tissue Data'!$H:$H)</f>
        <v>Notropis</v>
      </c>
      <c r="F7712" t="str">
        <f>_xlfn.XLOOKUP(A7712,'[1]Tissue Data'!$A:$A,'[1]Tissue Data'!$I:$I)</f>
        <v>procne</v>
      </c>
      <c r="G7712" t="str">
        <f>_xlfn.XLOOKUP(A7712,'[1]Tissue Data'!$A:$A,'[1]Tissue Data'!J:J)</f>
        <v>U</v>
      </c>
      <c r="H7712" t="str">
        <f>_xlfn.XLOOKUP(A7712,'[1]Tissue Data'!$A:$A,'[1]Tissue Data'!K:K)</f>
        <v>Whole Body</v>
      </c>
      <c r="I7712">
        <f>_xlfn.XLOOKUP(A7712,'[1]Tissue Data'!$A:$A,'[1]Tissue Data'!L:L)</f>
        <v>5.5</v>
      </c>
      <c r="J7712">
        <f>_xlfn.XLOOKUP(A7712,'[1]Tissue Data'!$A:$A,'[1]Tissue Data'!M:M)</f>
        <v>1.93</v>
      </c>
      <c r="K7712" t="s">
        <v>22</v>
      </c>
      <c r="L7712" t="str">
        <f>_xlfn.XLOOKUP(K7712,[2]analyte_order!$B:$B,[2]analyte_order!$C:$C)</f>
        <v>376-06-7</v>
      </c>
      <c r="M7712">
        <f>_xlfn.XLOOKUP(L7712,[2]analyte_order!$C:$C,[2]analyte_order!$E:$E)</f>
        <v>11</v>
      </c>
      <c r="N7712">
        <v>2.2200000000000002</v>
      </c>
    </row>
    <row r="7713" spans="1:14">
      <c r="A7713" t="s">
        <v>207</v>
      </c>
      <c r="B7713" t="str">
        <f>_xlfn.XLOOKUP(A7713,'[1]Tissue Data'!$A:$A,'[1]Tissue Data'!$C:$C)</f>
        <v>Down</v>
      </c>
      <c r="C7713" s="2">
        <f>_xlfn.XLOOKUP(A7713,'[1]Tissue Data'!$A:$A,'[1]Tissue Data'!$D:$D)</f>
        <v>44393</v>
      </c>
      <c r="D7713" s="2" t="str">
        <f>_xlfn.XLOOKUP(A7713,'[1]Tissue Data'!$A:$A,'[1]Tissue Data'!$F:$F)</f>
        <v>Swallowtail Shiner</v>
      </c>
      <c r="E7713" t="str">
        <f>_xlfn.XLOOKUP(A7713,'[1]Tissue Data'!$A:$A,'[1]Tissue Data'!$H:$H)</f>
        <v>Notropis</v>
      </c>
      <c r="F7713" t="str">
        <f>_xlfn.XLOOKUP(A7713,'[1]Tissue Data'!$A:$A,'[1]Tissue Data'!$I:$I)</f>
        <v>procne</v>
      </c>
      <c r="G7713" t="str">
        <f>_xlfn.XLOOKUP(A7713,'[1]Tissue Data'!$A:$A,'[1]Tissue Data'!J:J)</f>
        <v>U</v>
      </c>
      <c r="H7713" t="str">
        <f>_xlfn.XLOOKUP(A7713,'[1]Tissue Data'!$A:$A,'[1]Tissue Data'!K:K)</f>
        <v>Whole Body</v>
      </c>
      <c r="I7713">
        <f>_xlfn.XLOOKUP(A7713,'[1]Tissue Data'!$A:$A,'[1]Tissue Data'!L:L)</f>
        <v>5.5</v>
      </c>
      <c r="J7713">
        <f>_xlfn.XLOOKUP(A7713,'[1]Tissue Data'!$A:$A,'[1]Tissue Data'!M:M)</f>
        <v>1.93</v>
      </c>
      <c r="K7713" t="s">
        <v>23</v>
      </c>
      <c r="L7713" t="str">
        <f>_xlfn.XLOOKUP(K7713,[2]analyte_order!$B:$B,[2]analyte_order!$C:$C)</f>
        <v>67905-19-5</v>
      </c>
      <c r="M7713">
        <f>_xlfn.XLOOKUP(L7713,[2]analyte_order!$C:$C,[2]analyte_order!$E:$E)</f>
        <v>12</v>
      </c>
      <c r="N7713">
        <v>0.29599999999999999</v>
      </c>
    </row>
    <row r="7714" spans="1:14">
      <c r="A7714" t="s">
        <v>207</v>
      </c>
      <c r="B7714" t="str">
        <f>_xlfn.XLOOKUP(A7714,'[1]Tissue Data'!$A:$A,'[1]Tissue Data'!$C:$C)</f>
        <v>Down</v>
      </c>
      <c r="C7714" s="2">
        <f>_xlfn.XLOOKUP(A7714,'[1]Tissue Data'!$A:$A,'[1]Tissue Data'!$D:$D)</f>
        <v>44393</v>
      </c>
      <c r="D7714" s="2" t="str">
        <f>_xlfn.XLOOKUP(A7714,'[1]Tissue Data'!$A:$A,'[1]Tissue Data'!$F:$F)</f>
        <v>Swallowtail Shiner</v>
      </c>
      <c r="E7714" t="str">
        <f>_xlfn.XLOOKUP(A7714,'[1]Tissue Data'!$A:$A,'[1]Tissue Data'!$H:$H)</f>
        <v>Notropis</v>
      </c>
      <c r="F7714" t="str">
        <f>_xlfn.XLOOKUP(A7714,'[1]Tissue Data'!$A:$A,'[1]Tissue Data'!$I:$I)</f>
        <v>procne</v>
      </c>
      <c r="G7714" t="str">
        <f>_xlfn.XLOOKUP(A7714,'[1]Tissue Data'!$A:$A,'[1]Tissue Data'!J:J)</f>
        <v>U</v>
      </c>
      <c r="H7714" t="str">
        <f>_xlfn.XLOOKUP(A7714,'[1]Tissue Data'!$A:$A,'[1]Tissue Data'!K:K)</f>
        <v>Whole Body</v>
      </c>
      <c r="I7714">
        <f>_xlfn.XLOOKUP(A7714,'[1]Tissue Data'!$A:$A,'[1]Tissue Data'!L:L)</f>
        <v>5.5</v>
      </c>
      <c r="J7714">
        <f>_xlfn.XLOOKUP(A7714,'[1]Tissue Data'!$A:$A,'[1]Tissue Data'!M:M)</f>
        <v>1.93</v>
      </c>
      <c r="K7714" t="s">
        <v>24</v>
      </c>
      <c r="L7714" t="str">
        <f>_xlfn.XLOOKUP(K7714,[2]analyte_order!$B:$B,[2]analyte_order!$C:$C)</f>
        <v>423-41-6</v>
      </c>
      <c r="M7714">
        <f>_xlfn.XLOOKUP(L7714,[2]analyte_order!$C:$C,[2]analyte_order!$E:$E)</f>
        <v>53</v>
      </c>
      <c r="N7714">
        <v>0.4965</v>
      </c>
    </row>
    <row r="7715" spans="1:14">
      <c r="A7715" t="s">
        <v>207</v>
      </c>
      <c r="B7715" t="str">
        <f>_xlfn.XLOOKUP(A7715,'[1]Tissue Data'!$A:$A,'[1]Tissue Data'!$C:$C)</f>
        <v>Down</v>
      </c>
      <c r="C7715" s="2">
        <f>_xlfn.XLOOKUP(A7715,'[1]Tissue Data'!$A:$A,'[1]Tissue Data'!$D:$D)</f>
        <v>44393</v>
      </c>
      <c r="D7715" s="2" t="str">
        <f>_xlfn.XLOOKUP(A7715,'[1]Tissue Data'!$A:$A,'[1]Tissue Data'!$F:$F)</f>
        <v>Swallowtail Shiner</v>
      </c>
      <c r="E7715" t="str">
        <f>_xlfn.XLOOKUP(A7715,'[1]Tissue Data'!$A:$A,'[1]Tissue Data'!$H:$H)</f>
        <v>Notropis</v>
      </c>
      <c r="F7715" t="str">
        <f>_xlfn.XLOOKUP(A7715,'[1]Tissue Data'!$A:$A,'[1]Tissue Data'!$I:$I)</f>
        <v>procne</v>
      </c>
      <c r="G7715" t="str">
        <f>_xlfn.XLOOKUP(A7715,'[1]Tissue Data'!$A:$A,'[1]Tissue Data'!J:J)</f>
        <v>U</v>
      </c>
      <c r="H7715" t="str">
        <f>_xlfn.XLOOKUP(A7715,'[1]Tissue Data'!$A:$A,'[1]Tissue Data'!K:K)</f>
        <v>Whole Body</v>
      </c>
      <c r="I7715">
        <f>_xlfn.XLOOKUP(A7715,'[1]Tissue Data'!$A:$A,'[1]Tissue Data'!L:L)</f>
        <v>5.5</v>
      </c>
      <c r="J7715">
        <f>_xlfn.XLOOKUP(A7715,'[1]Tissue Data'!$A:$A,'[1]Tissue Data'!M:M)</f>
        <v>1.93</v>
      </c>
      <c r="K7715" t="s">
        <v>25</v>
      </c>
      <c r="L7715" t="str">
        <f>_xlfn.XLOOKUP(K7715,[2]analyte_order!$B:$B,[2]analyte_order!$C:$C)</f>
        <v>375-73-5</v>
      </c>
      <c r="M7715">
        <f>_xlfn.XLOOKUP(L7715,[2]analyte_order!$C:$C,[2]analyte_order!$E:$E)</f>
        <v>14</v>
      </c>
      <c r="N7715">
        <v>0.16900000000000001</v>
      </c>
    </row>
    <row r="7716" spans="1:14">
      <c r="A7716" t="s">
        <v>207</v>
      </c>
      <c r="B7716" t="str">
        <f>_xlfn.XLOOKUP(A7716,'[1]Tissue Data'!$A:$A,'[1]Tissue Data'!$C:$C)</f>
        <v>Down</v>
      </c>
      <c r="C7716" s="2">
        <f>_xlfn.XLOOKUP(A7716,'[1]Tissue Data'!$A:$A,'[1]Tissue Data'!$D:$D)</f>
        <v>44393</v>
      </c>
      <c r="D7716" s="2" t="str">
        <f>_xlfn.XLOOKUP(A7716,'[1]Tissue Data'!$A:$A,'[1]Tissue Data'!$F:$F)</f>
        <v>Swallowtail Shiner</v>
      </c>
      <c r="E7716" t="str">
        <f>_xlfn.XLOOKUP(A7716,'[1]Tissue Data'!$A:$A,'[1]Tissue Data'!$H:$H)</f>
        <v>Notropis</v>
      </c>
      <c r="F7716" t="str">
        <f>_xlfn.XLOOKUP(A7716,'[1]Tissue Data'!$A:$A,'[1]Tissue Data'!$I:$I)</f>
        <v>procne</v>
      </c>
      <c r="G7716" t="str">
        <f>_xlfn.XLOOKUP(A7716,'[1]Tissue Data'!$A:$A,'[1]Tissue Data'!J:J)</f>
        <v>U</v>
      </c>
      <c r="H7716" t="str">
        <f>_xlfn.XLOOKUP(A7716,'[1]Tissue Data'!$A:$A,'[1]Tissue Data'!K:K)</f>
        <v>Whole Body</v>
      </c>
      <c r="I7716">
        <f>_xlfn.XLOOKUP(A7716,'[1]Tissue Data'!$A:$A,'[1]Tissue Data'!L:L)</f>
        <v>5.5</v>
      </c>
      <c r="J7716">
        <f>_xlfn.XLOOKUP(A7716,'[1]Tissue Data'!$A:$A,'[1]Tissue Data'!M:M)</f>
        <v>1.93</v>
      </c>
      <c r="K7716" t="s">
        <v>26</v>
      </c>
      <c r="L7716" t="str">
        <f>_xlfn.XLOOKUP(K7716,[2]analyte_order!$B:$B,[2]analyte_order!$C:$C)</f>
        <v>2706-91-4</v>
      </c>
      <c r="M7716">
        <f>_xlfn.XLOOKUP(L7716,[2]analyte_order!$C:$C,[2]analyte_order!$E:$E)</f>
        <v>15</v>
      </c>
      <c r="N7716">
        <v>0.371</v>
      </c>
    </row>
    <row r="7717" spans="1:14">
      <c r="A7717" t="s">
        <v>207</v>
      </c>
      <c r="B7717" t="str">
        <f>_xlfn.XLOOKUP(A7717,'[1]Tissue Data'!$A:$A,'[1]Tissue Data'!$C:$C)</f>
        <v>Down</v>
      </c>
      <c r="C7717" s="2">
        <f>_xlfn.XLOOKUP(A7717,'[1]Tissue Data'!$A:$A,'[1]Tissue Data'!$D:$D)</f>
        <v>44393</v>
      </c>
      <c r="D7717" s="2" t="str">
        <f>_xlfn.XLOOKUP(A7717,'[1]Tissue Data'!$A:$A,'[1]Tissue Data'!$F:$F)</f>
        <v>Swallowtail Shiner</v>
      </c>
      <c r="E7717" t="str">
        <f>_xlfn.XLOOKUP(A7717,'[1]Tissue Data'!$A:$A,'[1]Tissue Data'!$H:$H)</f>
        <v>Notropis</v>
      </c>
      <c r="F7717" t="str">
        <f>_xlfn.XLOOKUP(A7717,'[1]Tissue Data'!$A:$A,'[1]Tissue Data'!$I:$I)</f>
        <v>procne</v>
      </c>
      <c r="G7717" t="str">
        <f>_xlfn.XLOOKUP(A7717,'[1]Tissue Data'!$A:$A,'[1]Tissue Data'!J:J)</f>
        <v>U</v>
      </c>
      <c r="H7717" t="str">
        <f>_xlfn.XLOOKUP(A7717,'[1]Tissue Data'!$A:$A,'[1]Tissue Data'!K:K)</f>
        <v>Whole Body</v>
      </c>
      <c r="I7717">
        <f>_xlfn.XLOOKUP(A7717,'[1]Tissue Data'!$A:$A,'[1]Tissue Data'!L:L)</f>
        <v>5.5</v>
      </c>
      <c r="J7717">
        <f>_xlfn.XLOOKUP(A7717,'[1]Tissue Data'!$A:$A,'[1]Tissue Data'!M:M)</f>
        <v>1.93</v>
      </c>
      <c r="K7717" t="s">
        <v>27</v>
      </c>
      <c r="L7717" t="str">
        <f>_xlfn.XLOOKUP(K7717,[2]analyte_order!$B:$B,[2]analyte_order!$C:$C)</f>
        <v>355-46-4</v>
      </c>
      <c r="M7717">
        <f>_xlfn.XLOOKUP(L7717,[2]analyte_order!$C:$C,[2]analyte_order!$E:$E)</f>
        <v>16</v>
      </c>
      <c r="N7717">
        <v>34.700000000000003</v>
      </c>
    </row>
    <row r="7718" spans="1:14">
      <c r="A7718" t="s">
        <v>207</v>
      </c>
      <c r="B7718" t="str">
        <f>_xlfn.XLOOKUP(A7718,'[1]Tissue Data'!$A:$A,'[1]Tissue Data'!$C:$C)</f>
        <v>Down</v>
      </c>
      <c r="C7718" s="2">
        <f>_xlfn.XLOOKUP(A7718,'[1]Tissue Data'!$A:$A,'[1]Tissue Data'!$D:$D)</f>
        <v>44393</v>
      </c>
      <c r="D7718" s="2" t="str">
        <f>_xlfn.XLOOKUP(A7718,'[1]Tissue Data'!$A:$A,'[1]Tissue Data'!$F:$F)</f>
        <v>Swallowtail Shiner</v>
      </c>
      <c r="E7718" t="str">
        <f>_xlfn.XLOOKUP(A7718,'[1]Tissue Data'!$A:$A,'[1]Tissue Data'!$H:$H)</f>
        <v>Notropis</v>
      </c>
      <c r="F7718" t="str">
        <f>_xlfn.XLOOKUP(A7718,'[1]Tissue Data'!$A:$A,'[1]Tissue Data'!$I:$I)</f>
        <v>procne</v>
      </c>
      <c r="G7718" t="str">
        <f>_xlfn.XLOOKUP(A7718,'[1]Tissue Data'!$A:$A,'[1]Tissue Data'!J:J)</f>
        <v>U</v>
      </c>
      <c r="H7718" t="str">
        <f>_xlfn.XLOOKUP(A7718,'[1]Tissue Data'!$A:$A,'[1]Tissue Data'!K:K)</f>
        <v>Whole Body</v>
      </c>
      <c r="I7718">
        <f>_xlfn.XLOOKUP(A7718,'[1]Tissue Data'!$A:$A,'[1]Tissue Data'!L:L)</f>
        <v>5.5</v>
      </c>
      <c r="J7718">
        <f>_xlfn.XLOOKUP(A7718,'[1]Tissue Data'!$A:$A,'[1]Tissue Data'!M:M)</f>
        <v>1.93</v>
      </c>
      <c r="K7718" t="s">
        <v>28</v>
      </c>
      <c r="L7718" t="str">
        <f>_xlfn.XLOOKUP(K7718,[2]analyte_order!$B:$B,[2]analyte_order!$C:$C)</f>
        <v>375-92-8</v>
      </c>
      <c r="M7718">
        <f>_xlfn.XLOOKUP(L7718,[2]analyte_order!$C:$C,[2]analyte_order!$E:$E)</f>
        <v>17</v>
      </c>
      <c r="N7718">
        <v>3.35</v>
      </c>
    </row>
    <row r="7719" spans="1:14">
      <c r="A7719" t="s">
        <v>207</v>
      </c>
      <c r="B7719" t="str">
        <f>_xlfn.XLOOKUP(A7719,'[1]Tissue Data'!$A:$A,'[1]Tissue Data'!$C:$C)</f>
        <v>Down</v>
      </c>
      <c r="C7719" s="2">
        <f>_xlfn.XLOOKUP(A7719,'[1]Tissue Data'!$A:$A,'[1]Tissue Data'!$D:$D)</f>
        <v>44393</v>
      </c>
      <c r="D7719" s="2" t="str">
        <f>_xlfn.XLOOKUP(A7719,'[1]Tissue Data'!$A:$A,'[1]Tissue Data'!$F:$F)</f>
        <v>Swallowtail Shiner</v>
      </c>
      <c r="E7719" t="str">
        <f>_xlfn.XLOOKUP(A7719,'[1]Tissue Data'!$A:$A,'[1]Tissue Data'!$H:$H)</f>
        <v>Notropis</v>
      </c>
      <c r="F7719" t="str">
        <f>_xlfn.XLOOKUP(A7719,'[1]Tissue Data'!$A:$A,'[1]Tissue Data'!$I:$I)</f>
        <v>procne</v>
      </c>
      <c r="G7719" t="str">
        <f>_xlfn.XLOOKUP(A7719,'[1]Tissue Data'!$A:$A,'[1]Tissue Data'!J:J)</f>
        <v>U</v>
      </c>
      <c r="H7719" t="str">
        <f>_xlfn.XLOOKUP(A7719,'[1]Tissue Data'!$A:$A,'[1]Tissue Data'!K:K)</f>
        <v>Whole Body</v>
      </c>
      <c r="I7719">
        <f>_xlfn.XLOOKUP(A7719,'[1]Tissue Data'!$A:$A,'[1]Tissue Data'!L:L)</f>
        <v>5.5</v>
      </c>
      <c r="J7719">
        <f>_xlfn.XLOOKUP(A7719,'[1]Tissue Data'!$A:$A,'[1]Tissue Data'!M:M)</f>
        <v>1.93</v>
      </c>
      <c r="K7719" t="s">
        <v>29</v>
      </c>
      <c r="L7719" t="str">
        <f>_xlfn.XLOOKUP(K7719,[2]analyte_order!$B:$B,[2]analyte_order!$C:$C)</f>
        <v>1763-23-1</v>
      </c>
      <c r="M7719">
        <f>_xlfn.XLOOKUP(L7719,[2]analyte_order!$C:$C,[2]analyte_order!$E:$E)</f>
        <v>18</v>
      </c>
      <c r="N7719">
        <v>419</v>
      </c>
    </row>
    <row r="7720" spans="1:14">
      <c r="A7720" t="s">
        <v>207</v>
      </c>
      <c r="B7720" t="str">
        <f>_xlfn.XLOOKUP(A7720,'[1]Tissue Data'!$A:$A,'[1]Tissue Data'!$C:$C)</f>
        <v>Down</v>
      </c>
      <c r="C7720" s="2">
        <f>_xlfn.XLOOKUP(A7720,'[1]Tissue Data'!$A:$A,'[1]Tissue Data'!$D:$D)</f>
        <v>44393</v>
      </c>
      <c r="D7720" s="2" t="str">
        <f>_xlfn.XLOOKUP(A7720,'[1]Tissue Data'!$A:$A,'[1]Tissue Data'!$F:$F)</f>
        <v>Swallowtail Shiner</v>
      </c>
      <c r="E7720" t="str">
        <f>_xlfn.XLOOKUP(A7720,'[1]Tissue Data'!$A:$A,'[1]Tissue Data'!$H:$H)</f>
        <v>Notropis</v>
      </c>
      <c r="F7720" t="str">
        <f>_xlfn.XLOOKUP(A7720,'[1]Tissue Data'!$A:$A,'[1]Tissue Data'!$I:$I)</f>
        <v>procne</v>
      </c>
      <c r="G7720" t="str">
        <f>_xlfn.XLOOKUP(A7720,'[1]Tissue Data'!$A:$A,'[1]Tissue Data'!J:J)</f>
        <v>U</v>
      </c>
      <c r="H7720" t="str">
        <f>_xlfn.XLOOKUP(A7720,'[1]Tissue Data'!$A:$A,'[1]Tissue Data'!K:K)</f>
        <v>Whole Body</v>
      </c>
      <c r="I7720">
        <f>_xlfn.XLOOKUP(A7720,'[1]Tissue Data'!$A:$A,'[1]Tissue Data'!L:L)</f>
        <v>5.5</v>
      </c>
      <c r="J7720">
        <f>_xlfn.XLOOKUP(A7720,'[1]Tissue Data'!$A:$A,'[1]Tissue Data'!M:M)</f>
        <v>1.93</v>
      </c>
      <c r="K7720" t="s">
        <v>30</v>
      </c>
      <c r="L7720" t="str">
        <f>_xlfn.XLOOKUP(K7720,[2]analyte_order!$B:$B,[2]analyte_order!$C:$C)</f>
        <v>68259-12-1</v>
      </c>
      <c r="M7720">
        <f>_xlfn.XLOOKUP(L7720,[2]analyte_order!$C:$C,[2]analyte_order!$E:$E)</f>
        <v>19</v>
      </c>
      <c r="N7720">
        <v>0.248</v>
      </c>
    </row>
    <row r="7721" spans="1:14">
      <c r="A7721" t="s">
        <v>207</v>
      </c>
      <c r="B7721" t="str">
        <f>_xlfn.XLOOKUP(A7721,'[1]Tissue Data'!$A:$A,'[1]Tissue Data'!$C:$C)</f>
        <v>Down</v>
      </c>
      <c r="C7721" s="2">
        <f>_xlfn.XLOOKUP(A7721,'[1]Tissue Data'!$A:$A,'[1]Tissue Data'!$D:$D)</f>
        <v>44393</v>
      </c>
      <c r="D7721" s="2" t="str">
        <f>_xlfn.XLOOKUP(A7721,'[1]Tissue Data'!$A:$A,'[1]Tissue Data'!$F:$F)</f>
        <v>Swallowtail Shiner</v>
      </c>
      <c r="E7721" t="str">
        <f>_xlfn.XLOOKUP(A7721,'[1]Tissue Data'!$A:$A,'[1]Tissue Data'!$H:$H)</f>
        <v>Notropis</v>
      </c>
      <c r="F7721" t="str">
        <f>_xlfn.XLOOKUP(A7721,'[1]Tissue Data'!$A:$A,'[1]Tissue Data'!$I:$I)</f>
        <v>procne</v>
      </c>
      <c r="G7721" t="str">
        <f>_xlfn.XLOOKUP(A7721,'[1]Tissue Data'!$A:$A,'[1]Tissue Data'!J:J)</f>
        <v>U</v>
      </c>
      <c r="H7721" t="str">
        <f>_xlfn.XLOOKUP(A7721,'[1]Tissue Data'!$A:$A,'[1]Tissue Data'!K:K)</f>
        <v>Whole Body</v>
      </c>
      <c r="I7721">
        <f>_xlfn.XLOOKUP(A7721,'[1]Tissue Data'!$A:$A,'[1]Tissue Data'!L:L)</f>
        <v>5.5</v>
      </c>
      <c r="J7721">
        <f>_xlfn.XLOOKUP(A7721,'[1]Tissue Data'!$A:$A,'[1]Tissue Data'!M:M)</f>
        <v>1.93</v>
      </c>
      <c r="K7721" t="s">
        <v>31</v>
      </c>
      <c r="L7721" t="str">
        <f>_xlfn.XLOOKUP(K7721,[2]analyte_order!$B:$B,[2]analyte_order!$C:$C)</f>
        <v>335-77-3</v>
      </c>
      <c r="M7721">
        <f>_xlfn.XLOOKUP(L7721,[2]analyte_order!$C:$C,[2]analyte_order!$E:$E)</f>
        <v>20</v>
      </c>
      <c r="N7721">
        <v>0.51500000000000001</v>
      </c>
    </row>
    <row r="7722" spans="1:14">
      <c r="A7722" t="s">
        <v>207</v>
      </c>
      <c r="B7722" t="str">
        <f>_xlfn.XLOOKUP(A7722,'[1]Tissue Data'!$A:$A,'[1]Tissue Data'!$C:$C)</f>
        <v>Down</v>
      </c>
      <c r="C7722" s="2">
        <f>_xlfn.XLOOKUP(A7722,'[1]Tissue Data'!$A:$A,'[1]Tissue Data'!$D:$D)</f>
        <v>44393</v>
      </c>
      <c r="D7722" s="2" t="str">
        <f>_xlfn.XLOOKUP(A7722,'[1]Tissue Data'!$A:$A,'[1]Tissue Data'!$F:$F)</f>
        <v>Swallowtail Shiner</v>
      </c>
      <c r="E7722" t="str">
        <f>_xlfn.XLOOKUP(A7722,'[1]Tissue Data'!$A:$A,'[1]Tissue Data'!$H:$H)</f>
        <v>Notropis</v>
      </c>
      <c r="F7722" t="str">
        <f>_xlfn.XLOOKUP(A7722,'[1]Tissue Data'!$A:$A,'[1]Tissue Data'!$I:$I)</f>
        <v>procne</v>
      </c>
      <c r="G7722" t="str">
        <f>_xlfn.XLOOKUP(A7722,'[1]Tissue Data'!$A:$A,'[1]Tissue Data'!J:J)</f>
        <v>U</v>
      </c>
      <c r="H7722" t="str">
        <f>_xlfn.XLOOKUP(A7722,'[1]Tissue Data'!$A:$A,'[1]Tissue Data'!K:K)</f>
        <v>Whole Body</v>
      </c>
      <c r="I7722">
        <f>_xlfn.XLOOKUP(A7722,'[1]Tissue Data'!$A:$A,'[1]Tissue Data'!L:L)</f>
        <v>5.5</v>
      </c>
      <c r="J7722">
        <f>_xlfn.XLOOKUP(A7722,'[1]Tissue Data'!$A:$A,'[1]Tissue Data'!M:M)</f>
        <v>1.93</v>
      </c>
      <c r="K7722" t="s">
        <v>32</v>
      </c>
      <c r="L7722" t="str">
        <f>_xlfn.XLOOKUP(K7722,[2]analyte_order!$B:$B,[2]analyte_order!$C:$C)</f>
        <v>79780-39-5</v>
      </c>
      <c r="M7722">
        <f>_xlfn.XLOOKUP(L7722,[2]analyte_order!$C:$C,[2]analyte_order!$E:$E)</f>
        <v>21</v>
      </c>
      <c r="N7722">
        <v>0.26550000000000001</v>
      </c>
    </row>
    <row r="7723" spans="1:14">
      <c r="A7723" t="s">
        <v>207</v>
      </c>
      <c r="B7723" t="str">
        <f>_xlfn.XLOOKUP(A7723,'[1]Tissue Data'!$A:$A,'[1]Tissue Data'!$C:$C)</f>
        <v>Down</v>
      </c>
      <c r="C7723" s="2">
        <f>_xlfn.XLOOKUP(A7723,'[1]Tissue Data'!$A:$A,'[1]Tissue Data'!$D:$D)</f>
        <v>44393</v>
      </c>
      <c r="D7723" s="2" t="str">
        <f>_xlfn.XLOOKUP(A7723,'[1]Tissue Data'!$A:$A,'[1]Tissue Data'!$F:$F)</f>
        <v>Swallowtail Shiner</v>
      </c>
      <c r="E7723" t="str">
        <f>_xlfn.XLOOKUP(A7723,'[1]Tissue Data'!$A:$A,'[1]Tissue Data'!$H:$H)</f>
        <v>Notropis</v>
      </c>
      <c r="F7723" t="str">
        <f>_xlfn.XLOOKUP(A7723,'[1]Tissue Data'!$A:$A,'[1]Tissue Data'!$I:$I)</f>
        <v>procne</v>
      </c>
      <c r="G7723" t="str">
        <f>_xlfn.XLOOKUP(A7723,'[1]Tissue Data'!$A:$A,'[1]Tissue Data'!J:J)</f>
        <v>U</v>
      </c>
      <c r="H7723" t="str">
        <f>_xlfn.XLOOKUP(A7723,'[1]Tissue Data'!$A:$A,'[1]Tissue Data'!K:K)</f>
        <v>Whole Body</v>
      </c>
      <c r="I7723">
        <f>_xlfn.XLOOKUP(A7723,'[1]Tissue Data'!$A:$A,'[1]Tissue Data'!L:L)</f>
        <v>5.5</v>
      </c>
      <c r="J7723">
        <f>_xlfn.XLOOKUP(A7723,'[1]Tissue Data'!$A:$A,'[1]Tissue Data'!M:M)</f>
        <v>1.93</v>
      </c>
      <c r="K7723" t="s">
        <v>33</v>
      </c>
      <c r="L7723" t="str">
        <f>_xlfn.XLOOKUP(K7723,[2]analyte_order!$B:$B,[2]analyte_order!$C:$C)</f>
        <v>777011-38-8</v>
      </c>
      <c r="M7723">
        <f>_xlfn.XLOOKUP(L7723,[2]analyte_order!$C:$C,[2]analyte_order!$E:$E)</f>
        <v>54</v>
      </c>
      <c r="N7723">
        <v>0.151</v>
      </c>
    </row>
    <row r="7724" spans="1:14">
      <c r="A7724" t="s">
        <v>207</v>
      </c>
      <c r="B7724" t="str">
        <f>_xlfn.XLOOKUP(A7724,'[1]Tissue Data'!$A:$A,'[1]Tissue Data'!$C:$C)</f>
        <v>Down</v>
      </c>
      <c r="C7724" s="2">
        <f>_xlfn.XLOOKUP(A7724,'[1]Tissue Data'!$A:$A,'[1]Tissue Data'!$D:$D)</f>
        <v>44393</v>
      </c>
      <c r="D7724" s="2" t="str">
        <f>_xlfn.XLOOKUP(A7724,'[1]Tissue Data'!$A:$A,'[1]Tissue Data'!$F:$F)</f>
        <v>Swallowtail Shiner</v>
      </c>
      <c r="E7724" t="str">
        <f>_xlfn.XLOOKUP(A7724,'[1]Tissue Data'!$A:$A,'[1]Tissue Data'!$H:$H)</f>
        <v>Notropis</v>
      </c>
      <c r="F7724" t="str">
        <f>_xlfn.XLOOKUP(A7724,'[1]Tissue Data'!$A:$A,'[1]Tissue Data'!$I:$I)</f>
        <v>procne</v>
      </c>
      <c r="G7724" t="str">
        <f>_xlfn.XLOOKUP(A7724,'[1]Tissue Data'!$A:$A,'[1]Tissue Data'!J:J)</f>
        <v>U</v>
      </c>
      <c r="H7724" t="str">
        <f>_xlfn.XLOOKUP(A7724,'[1]Tissue Data'!$A:$A,'[1]Tissue Data'!K:K)</f>
        <v>Whole Body</v>
      </c>
      <c r="I7724">
        <f>_xlfn.XLOOKUP(A7724,'[1]Tissue Data'!$A:$A,'[1]Tissue Data'!L:L)</f>
        <v>5.5</v>
      </c>
      <c r="J7724">
        <f>_xlfn.XLOOKUP(A7724,'[1]Tissue Data'!$A:$A,'[1]Tissue Data'!M:M)</f>
        <v>1.93</v>
      </c>
      <c r="K7724" t="s">
        <v>34</v>
      </c>
      <c r="L7724" t="str">
        <f>_xlfn.XLOOKUP(K7724,[2]analyte_order!$B:$B,[2]analyte_order!$C:$C)</f>
        <v>646-83-3</v>
      </c>
      <c r="M7724">
        <f>_xlfn.XLOOKUP(L7724,[2]analyte_order!$C:$C,[2]analyte_order!$E:$E)</f>
        <v>55</v>
      </c>
      <c r="N7724">
        <v>0.23400000000000001</v>
      </c>
    </row>
    <row r="7725" spans="1:14">
      <c r="A7725" t="s">
        <v>207</v>
      </c>
      <c r="B7725" t="str">
        <f>_xlfn.XLOOKUP(A7725,'[1]Tissue Data'!$A:$A,'[1]Tissue Data'!$C:$C)</f>
        <v>Down</v>
      </c>
      <c r="C7725" s="2">
        <f>_xlfn.XLOOKUP(A7725,'[1]Tissue Data'!$A:$A,'[1]Tissue Data'!$D:$D)</f>
        <v>44393</v>
      </c>
      <c r="D7725" s="2" t="str">
        <f>_xlfn.XLOOKUP(A7725,'[1]Tissue Data'!$A:$A,'[1]Tissue Data'!$F:$F)</f>
        <v>Swallowtail Shiner</v>
      </c>
      <c r="E7725" t="str">
        <f>_xlfn.XLOOKUP(A7725,'[1]Tissue Data'!$A:$A,'[1]Tissue Data'!$H:$H)</f>
        <v>Notropis</v>
      </c>
      <c r="F7725" t="str">
        <f>_xlfn.XLOOKUP(A7725,'[1]Tissue Data'!$A:$A,'[1]Tissue Data'!$I:$I)</f>
        <v>procne</v>
      </c>
      <c r="G7725" t="str">
        <f>_xlfn.XLOOKUP(A7725,'[1]Tissue Data'!$A:$A,'[1]Tissue Data'!J:J)</f>
        <v>U</v>
      </c>
      <c r="H7725" t="str">
        <f>_xlfn.XLOOKUP(A7725,'[1]Tissue Data'!$A:$A,'[1]Tissue Data'!K:K)</f>
        <v>Whole Body</v>
      </c>
      <c r="I7725">
        <f>_xlfn.XLOOKUP(A7725,'[1]Tissue Data'!$A:$A,'[1]Tissue Data'!L:L)</f>
        <v>5.5</v>
      </c>
      <c r="J7725">
        <f>_xlfn.XLOOKUP(A7725,'[1]Tissue Data'!$A:$A,'[1]Tissue Data'!M:M)</f>
        <v>1.93</v>
      </c>
      <c r="K7725" t="s">
        <v>35</v>
      </c>
      <c r="L7725" t="str">
        <f>_xlfn.XLOOKUP(K7725,[2]analyte_order!$B:$B,[2]analyte_order!$C:$C)</f>
        <v>30334-69-1</v>
      </c>
      <c r="M7725">
        <f>_xlfn.XLOOKUP(L7725,[2]analyte_order!$C:$C,[2]analyte_order!$E:$E)</f>
        <v>51</v>
      </c>
      <c r="N7725">
        <v>42.1</v>
      </c>
    </row>
    <row r="7726" spans="1:14">
      <c r="A7726" t="s">
        <v>207</v>
      </c>
      <c r="B7726" t="str">
        <f>_xlfn.XLOOKUP(A7726,'[1]Tissue Data'!$A:$A,'[1]Tissue Data'!$C:$C)</f>
        <v>Down</v>
      </c>
      <c r="C7726" s="2">
        <f>_xlfn.XLOOKUP(A7726,'[1]Tissue Data'!$A:$A,'[1]Tissue Data'!$D:$D)</f>
        <v>44393</v>
      </c>
      <c r="D7726" s="2" t="str">
        <f>_xlfn.XLOOKUP(A7726,'[1]Tissue Data'!$A:$A,'[1]Tissue Data'!$F:$F)</f>
        <v>Swallowtail Shiner</v>
      </c>
      <c r="E7726" t="str">
        <f>_xlfn.XLOOKUP(A7726,'[1]Tissue Data'!$A:$A,'[1]Tissue Data'!$H:$H)</f>
        <v>Notropis</v>
      </c>
      <c r="F7726" t="str">
        <f>_xlfn.XLOOKUP(A7726,'[1]Tissue Data'!$A:$A,'[1]Tissue Data'!$I:$I)</f>
        <v>procne</v>
      </c>
      <c r="G7726" t="str">
        <f>_xlfn.XLOOKUP(A7726,'[1]Tissue Data'!$A:$A,'[1]Tissue Data'!J:J)</f>
        <v>U</v>
      </c>
      <c r="H7726" t="str">
        <f>_xlfn.XLOOKUP(A7726,'[1]Tissue Data'!$A:$A,'[1]Tissue Data'!K:K)</f>
        <v>Whole Body</v>
      </c>
      <c r="I7726">
        <f>_xlfn.XLOOKUP(A7726,'[1]Tissue Data'!$A:$A,'[1]Tissue Data'!L:L)</f>
        <v>5.5</v>
      </c>
      <c r="J7726">
        <f>_xlfn.XLOOKUP(A7726,'[1]Tissue Data'!$A:$A,'[1]Tissue Data'!M:M)</f>
        <v>1.93</v>
      </c>
      <c r="K7726" t="s">
        <v>36</v>
      </c>
      <c r="L7726" t="str">
        <f>_xlfn.XLOOKUP(K7726,[2]analyte_order!$B:$B,[2]analyte_order!$C:$C)</f>
        <v>41997-13-1</v>
      </c>
      <c r="M7726">
        <f>_xlfn.XLOOKUP(L7726,[2]analyte_order!$C:$C,[2]analyte_order!$E:$E)</f>
        <v>52</v>
      </c>
      <c r="N7726">
        <v>264</v>
      </c>
    </row>
    <row r="7727" spans="1:14">
      <c r="A7727" t="s">
        <v>207</v>
      </c>
      <c r="B7727" t="str">
        <f>_xlfn.XLOOKUP(A7727,'[1]Tissue Data'!$A:$A,'[1]Tissue Data'!$C:$C)</f>
        <v>Down</v>
      </c>
      <c r="C7727" s="2">
        <f>_xlfn.XLOOKUP(A7727,'[1]Tissue Data'!$A:$A,'[1]Tissue Data'!$D:$D)</f>
        <v>44393</v>
      </c>
      <c r="D7727" s="2" t="str">
        <f>_xlfn.XLOOKUP(A7727,'[1]Tissue Data'!$A:$A,'[1]Tissue Data'!$F:$F)</f>
        <v>Swallowtail Shiner</v>
      </c>
      <c r="E7727" t="str">
        <f>_xlfn.XLOOKUP(A7727,'[1]Tissue Data'!$A:$A,'[1]Tissue Data'!$H:$H)</f>
        <v>Notropis</v>
      </c>
      <c r="F7727" t="str">
        <f>_xlfn.XLOOKUP(A7727,'[1]Tissue Data'!$A:$A,'[1]Tissue Data'!$I:$I)</f>
        <v>procne</v>
      </c>
      <c r="G7727" t="str">
        <f>_xlfn.XLOOKUP(A7727,'[1]Tissue Data'!$A:$A,'[1]Tissue Data'!J:J)</f>
        <v>U</v>
      </c>
      <c r="H7727" t="str">
        <f>_xlfn.XLOOKUP(A7727,'[1]Tissue Data'!$A:$A,'[1]Tissue Data'!K:K)</f>
        <v>Whole Body</v>
      </c>
      <c r="I7727">
        <f>_xlfn.XLOOKUP(A7727,'[1]Tissue Data'!$A:$A,'[1]Tissue Data'!L:L)</f>
        <v>5.5</v>
      </c>
      <c r="J7727">
        <f>_xlfn.XLOOKUP(A7727,'[1]Tissue Data'!$A:$A,'[1]Tissue Data'!M:M)</f>
        <v>1.93</v>
      </c>
      <c r="K7727" t="s">
        <v>37</v>
      </c>
      <c r="L7727" t="str">
        <f>_xlfn.XLOOKUP(K7727,[2]analyte_order!$B:$B,[2]analyte_order!$C:$C)</f>
        <v>754-91-6</v>
      </c>
      <c r="M7727">
        <f>_xlfn.XLOOKUP(L7727,[2]analyte_order!$C:$C,[2]analyte_order!$E:$E)</f>
        <v>28</v>
      </c>
      <c r="N7727">
        <v>16.3</v>
      </c>
    </row>
    <row r="7728" spans="1:14">
      <c r="A7728" t="s">
        <v>207</v>
      </c>
      <c r="B7728" t="str">
        <f>_xlfn.XLOOKUP(A7728,'[1]Tissue Data'!$A:$A,'[1]Tissue Data'!$C:$C)</f>
        <v>Down</v>
      </c>
      <c r="C7728" s="2">
        <f>_xlfn.XLOOKUP(A7728,'[1]Tissue Data'!$A:$A,'[1]Tissue Data'!$D:$D)</f>
        <v>44393</v>
      </c>
      <c r="D7728" s="2" t="str">
        <f>_xlfn.XLOOKUP(A7728,'[1]Tissue Data'!$A:$A,'[1]Tissue Data'!$F:$F)</f>
        <v>Swallowtail Shiner</v>
      </c>
      <c r="E7728" t="str">
        <f>_xlfn.XLOOKUP(A7728,'[1]Tissue Data'!$A:$A,'[1]Tissue Data'!$H:$H)</f>
        <v>Notropis</v>
      </c>
      <c r="F7728" t="str">
        <f>_xlfn.XLOOKUP(A7728,'[1]Tissue Data'!$A:$A,'[1]Tissue Data'!$I:$I)</f>
        <v>procne</v>
      </c>
      <c r="G7728" t="str">
        <f>_xlfn.XLOOKUP(A7728,'[1]Tissue Data'!$A:$A,'[1]Tissue Data'!J:J)</f>
        <v>U</v>
      </c>
      <c r="H7728" t="str">
        <f>_xlfn.XLOOKUP(A7728,'[1]Tissue Data'!$A:$A,'[1]Tissue Data'!K:K)</f>
        <v>Whole Body</v>
      </c>
      <c r="I7728">
        <f>_xlfn.XLOOKUP(A7728,'[1]Tissue Data'!$A:$A,'[1]Tissue Data'!L:L)</f>
        <v>5.5</v>
      </c>
      <c r="J7728">
        <f>_xlfn.XLOOKUP(A7728,'[1]Tissue Data'!$A:$A,'[1]Tissue Data'!M:M)</f>
        <v>1.93</v>
      </c>
      <c r="K7728" t="s">
        <v>38</v>
      </c>
      <c r="L7728" t="str">
        <f>_xlfn.XLOOKUP(K7728,[2]analyte_order!$B:$B,[2]analyte_order!$C:$C)</f>
        <v>31506-32-8</v>
      </c>
      <c r="M7728">
        <f>_xlfn.XLOOKUP(L7728,[2]analyte_order!$C:$C,[2]analyte_order!$E:$E)</f>
        <v>30</v>
      </c>
      <c r="N7728">
        <v>0.191</v>
      </c>
    </row>
    <row r="7729" spans="1:14">
      <c r="A7729" t="s">
        <v>207</v>
      </c>
      <c r="B7729" t="str">
        <f>_xlfn.XLOOKUP(A7729,'[1]Tissue Data'!$A:$A,'[1]Tissue Data'!$C:$C)</f>
        <v>Down</v>
      </c>
      <c r="C7729" s="2">
        <f>_xlfn.XLOOKUP(A7729,'[1]Tissue Data'!$A:$A,'[1]Tissue Data'!$D:$D)</f>
        <v>44393</v>
      </c>
      <c r="D7729" s="2" t="str">
        <f>_xlfn.XLOOKUP(A7729,'[1]Tissue Data'!$A:$A,'[1]Tissue Data'!$F:$F)</f>
        <v>Swallowtail Shiner</v>
      </c>
      <c r="E7729" t="str">
        <f>_xlfn.XLOOKUP(A7729,'[1]Tissue Data'!$A:$A,'[1]Tissue Data'!$H:$H)</f>
        <v>Notropis</v>
      </c>
      <c r="F7729" t="str">
        <f>_xlfn.XLOOKUP(A7729,'[1]Tissue Data'!$A:$A,'[1]Tissue Data'!$I:$I)</f>
        <v>procne</v>
      </c>
      <c r="G7729" t="str">
        <f>_xlfn.XLOOKUP(A7729,'[1]Tissue Data'!$A:$A,'[1]Tissue Data'!J:J)</f>
        <v>U</v>
      </c>
      <c r="H7729" t="str">
        <f>_xlfn.XLOOKUP(A7729,'[1]Tissue Data'!$A:$A,'[1]Tissue Data'!K:K)</f>
        <v>Whole Body</v>
      </c>
      <c r="I7729">
        <f>_xlfn.XLOOKUP(A7729,'[1]Tissue Data'!$A:$A,'[1]Tissue Data'!L:L)</f>
        <v>5.5</v>
      </c>
      <c r="J7729">
        <f>_xlfn.XLOOKUP(A7729,'[1]Tissue Data'!$A:$A,'[1]Tissue Data'!M:M)</f>
        <v>1.93</v>
      </c>
      <c r="K7729" t="s">
        <v>39</v>
      </c>
      <c r="L7729" t="str">
        <f>_xlfn.XLOOKUP(K7729,[2]analyte_order!$B:$B,[2]analyte_order!$C:$C)</f>
        <v>4151-50-2</v>
      </c>
      <c r="M7729">
        <f>_xlfn.XLOOKUP(L7729,[2]analyte_order!$C:$C,[2]analyte_order!$E:$E)</f>
        <v>31</v>
      </c>
      <c r="N7729">
        <v>0.4965</v>
      </c>
    </row>
    <row r="7730" spans="1:14">
      <c r="A7730" t="s">
        <v>207</v>
      </c>
      <c r="B7730" t="str">
        <f>_xlfn.XLOOKUP(A7730,'[1]Tissue Data'!$A:$A,'[1]Tissue Data'!$C:$C)</f>
        <v>Down</v>
      </c>
      <c r="C7730" s="2">
        <f>_xlfn.XLOOKUP(A7730,'[1]Tissue Data'!$A:$A,'[1]Tissue Data'!$D:$D)</f>
        <v>44393</v>
      </c>
      <c r="D7730" s="2" t="str">
        <f>_xlfn.XLOOKUP(A7730,'[1]Tissue Data'!$A:$A,'[1]Tissue Data'!$F:$F)</f>
        <v>Swallowtail Shiner</v>
      </c>
      <c r="E7730" t="str">
        <f>_xlfn.XLOOKUP(A7730,'[1]Tissue Data'!$A:$A,'[1]Tissue Data'!$H:$H)</f>
        <v>Notropis</v>
      </c>
      <c r="F7730" t="str">
        <f>_xlfn.XLOOKUP(A7730,'[1]Tissue Data'!$A:$A,'[1]Tissue Data'!$I:$I)</f>
        <v>procne</v>
      </c>
      <c r="G7730" t="str">
        <f>_xlfn.XLOOKUP(A7730,'[1]Tissue Data'!$A:$A,'[1]Tissue Data'!J:J)</f>
        <v>U</v>
      </c>
      <c r="H7730" t="str">
        <f>_xlfn.XLOOKUP(A7730,'[1]Tissue Data'!$A:$A,'[1]Tissue Data'!K:K)</f>
        <v>Whole Body</v>
      </c>
      <c r="I7730">
        <f>_xlfn.XLOOKUP(A7730,'[1]Tissue Data'!$A:$A,'[1]Tissue Data'!L:L)</f>
        <v>5.5</v>
      </c>
      <c r="J7730">
        <f>_xlfn.XLOOKUP(A7730,'[1]Tissue Data'!$A:$A,'[1]Tissue Data'!M:M)</f>
        <v>1.93</v>
      </c>
      <c r="K7730" t="s">
        <v>40</v>
      </c>
      <c r="L7730" t="str">
        <f>_xlfn.XLOOKUP(K7730,[2]analyte_order!$B:$B,[2]analyte_order!$C:$C)</f>
        <v>2806-24-8</v>
      </c>
      <c r="M7730">
        <f>_xlfn.XLOOKUP(L7730,[2]analyte_order!$C:$C,[2]analyte_order!$E:$E)</f>
        <v>29</v>
      </c>
      <c r="N7730">
        <v>0.4965</v>
      </c>
    </row>
    <row r="7731" spans="1:14">
      <c r="A7731" t="s">
        <v>207</v>
      </c>
      <c r="B7731" t="str">
        <f>_xlfn.XLOOKUP(A7731,'[1]Tissue Data'!$A:$A,'[1]Tissue Data'!$C:$C)</f>
        <v>Down</v>
      </c>
      <c r="C7731" s="2">
        <f>_xlfn.XLOOKUP(A7731,'[1]Tissue Data'!$A:$A,'[1]Tissue Data'!$D:$D)</f>
        <v>44393</v>
      </c>
      <c r="D7731" s="2" t="str">
        <f>_xlfn.XLOOKUP(A7731,'[1]Tissue Data'!$A:$A,'[1]Tissue Data'!$F:$F)</f>
        <v>Swallowtail Shiner</v>
      </c>
      <c r="E7731" t="str">
        <f>_xlfn.XLOOKUP(A7731,'[1]Tissue Data'!$A:$A,'[1]Tissue Data'!$H:$H)</f>
        <v>Notropis</v>
      </c>
      <c r="F7731" t="str">
        <f>_xlfn.XLOOKUP(A7731,'[1]Tissue Data'!$A:$A,'[1]Tissue Data'!$I:$I)</f>
        <v>procne</v>
      </c>
      <c r="G7731" t="str">
        <f>_xlfn.XLOOKUP(A7731,'[1]Tissue Data'!$A:$A,'[1]Tissue Data'!J:J)</f>
        <v>U</v>
      </c>
      <c r="H7731" t="str">
        <f>_xlfn.XLOOKUP(A7731,'[1]Tissue Data'!$A:$A,'[1]Tissue Data'!K:K)</f>
        <v>Whole Body</v>
      </c>
      <c r="I7731">
        <f>_xlfn.XLOOKUP(A7731,'[1]Tissue Data'!$A:$A,'[1]Tissue Data'!L:L)</f>
        <v>5.5</v>
      </c>
      <c r="J7731">
        <f>_xlfn.XLOOKUP(A7731,'[1]Tissue Data'!$A:$A,'[1]Tissue Data'!M:M)</f>
        <v>1.93</v>
      </c>
      <c r="K7731" t="s">
        <v>41</v>
      </c>
      <c r="L7731" t="str">
        <f>_xlfn.XLOOKUP(K7731,[2]analyte_order!$B:$B,[2]analyte_order!$C:$C)</f>
        <v>2355-31-9</v>
      </c>
      <c r="M7731">
        <f>_xlfn.XLOOKUP(L7731,[2]analyte_order!$C:$C,[2]analyte_order!$E:$E)</f>
        <v>26</v>
      </c>
      <c r="N7731">
        <v>0.2495</v>
      </c>
    </row>
    <row r="7732" spans="1:14">
      <c r="A7732" t="s">
        <v>207</v>
      </c>
      <c r="B7732" t="str">
        <f>_xlfn.XLOOKUP(A7732,'[1]Tissue Data'!$A:$A,'[1]Tissue Data'!$C:$C)</f>
        <v>Down</v>
      </c>
      <c r="C7732" s="2">
        <f>_xlfn.XLOOKUP(A7732,'[1]Tissue Data'!$A:$A,'[1]Tissue Data'!$D:$D)</f>
        <v>44393</v>
      </c>
      <c r="D7732" s="2" t="str">
        <f>_xlfn.XLOOKUP(A7732,'[1]Tissue Data'!$A:$A,'[1]Tissue Data'!$F:$F)</f>
        <v>Swallowtail Shiner</v>
      </c>
      <c r="E7732" t="str">
        <f>_xlfn.XLOOKUP(A7732,'[1]Tissue Data'!$A:$A,'[1]Tissue Data'!$H:$H)</f>
        <v>Notropis</v>
      </c>
      <c r="F7732" t="str">
        <f>_xlfn.XLOOKUP(A7732,'[1]Tissue Data'!$A:$A,'[1]Tissue Data'!$I:$I)</f>
        <v>procne</v>
      </c>
      <c r="G7732" t="str">
        <f>_xlfn.XLOOKUP(A7732,'[1]Tissue Data'!$A:$A,'[1]Tissue Data'!J:J)</f>
        <v>U</v>
      </c>
      <c r="H7732" t="str">
        <f>_xlfn.XLOOKUP(A7732,'[1]Tissue Data'!$A:$A,'[1]Tissue Data'!K:K)</f>
        <v>Whole Body</v>
      </c>
      <c r="I7732">
        <f>_xlfn.XLOOKUP(A7732,'[1]Tissue Data'!$A:$A,'[1]Tissue Data'!L:L)</f>
        <v>5.5</v>
      </c>
      <c r="J7732">
        <f>_xlfn.XLOOKUP(A7732,'[1]Tissue Data'!$A:$A,'[1]Tissue Data'!M:M)</f>
        <v>1.93</v>
      </c>
      <c r="K7732" t="s">
        <v>42</v>
      </c>
      <c r="L7732" t="str">
        <f>_xlfn.XLOOKUP(K7732,[2]analyte_order!$B:$B,[2]analyte_order!$C:$C)</f>
        <v>2991-50-6</v>
      </c>
      <c r="M7732">
        <f>_xlfn.XLOOKUP(L7732,[2]analyte_order!$C:$C,[2]analyte_order!$E:$E)</f>
        <v>27</v>
      </c>
      <c r="N7732">
        <v>0.248</v>
      </c>
    </row>
    <row r="7733" spans="1:14">
      <c r="A7733" t="s">
        <v>207</v>
      </c>
      <c r="B7733" t="str">
        <f>_xlfn.XLOOKUP(A7733,'[1]Tissue Data'!$A:$A,'[1]Tissue Data'!$C:$C)</f>
        <v>Down</v>
      </c>
      <c r="C7733" s="2">
        <f>_xlfn.XLOOKUP(A7733,'[1]Tissue Data'!$A:$A,'[1]Tissue Data'!$D:$D)</f>
        <v>44393</v>
      </c>
      <c r="D7733" s="2" t="str">
        <f>_xlfn.XLOOKUP(A7733,'[1]Tissue Data'!$A:$A,'[1]Tissue Data'!$F:$F)</f>
        <v>Swallowtail Shiner</v>
      </c>
      <c r="E7733" t="str">
        <f>_xlfn.XLOOKUP(A7733,'[1]Tissue Data'!$A:$A,'[1]Tissue Data'!$H:$H)</f>
        <v>Notropis</v>
      </c>
      <c r="F7733" t="str">
        <f>_xlfn.XLOOKUP(A7733,'[1]Tissue Data'!$A:$A,'[1]Tissue Data'!$I:$I)</f>
        <v>procne</v>
      </c>
      <c r="G7733" t="str">
        <f>_xlfn.XLOOKUP(A7733,'[1]Tissue Data'!$A:$A,'[1]Tissue Data'!J:J)</f>
        <v>U</v>
      </c>
      <c r="H7733" t="str">
        <f>_xlfn.XLOOKUP(A7733,'[1]Tissue Data'!$A:$A,'[1]Tissue Data'!K:K)</f>
        <v>Whole Body</v>
      </c>
      <c r="I7733">
        <f>_xlfn.XLOOKUP(A7733,'[1]Tissue Data'!$A:$A,'[1]Tissue Data'!L:L)</f>
        <v>5.5</v>
      </c>
      <c r="J7733">
        <f>_xlfn.XLOOKUP(A7733,'[1]Tissue Data'!$A:$A,'[1]Tissue Data'!M:M)</f>
        <v>1.93</v>
      </c>
      <c r="K7733" t="s">
        <v>43</v>
      </c>
      <c r="L7733" t="str">
        <f>_xlfn.XLOOKUP(K7733,[2]analyte_order!$B:$B,[2]analyte_order!$C:$C)</f>
        <v>757124-72-4</v>
      </c>
      <c r="M7733">
        <f>_xlfn.XLOOKUP(L7733,[2]analyte_order!$C:$C,[2]analyte_order!$E:$E)</f>
        <v>22</v>
      </c>
      <c r="N7733">
        <v>0.248</v>
      </c>
    </row>
    <row r="7734" spans="1:14">
      <c r="A7734" t="s">
        <v>207</v>
      </c>
      <c r="B7734" t="str">
        <f>_xlfn.XLOOKUP(A7734,'[1]Tissue Data'!$A:$A,'[1]Tissue Data'!$C:$C)</f>
        <v>Down</v>
      </c>
      <c r="C7734" s="2">
        <f>_xlfn.XLOOKUP(A7734,'[1]Tissue Data'!$A:$A,'[1]Tissue Data'!$D:$D)</f>
        <v>44393</v>
      </c>
      <c r="D7734" s="2" t="str">
        <f>_xlfn.XLOOKUP(A7734,'[1]Tissue Data'!$A:$A,'[1]Tissue Data'!$F:$F)</f>
        <v>Swallowtail Shiner</v>
      </c>
      <c r="E7734" t="str">
        <f>_xlfn.XLOOKUP(A7734,'[1]Tissue Data'!$A:$A,'[1]Tissue Data'!$H:$H)</f>
        <v>Notropis</v>
      </c>
      <c r="F7734" t="str">
        <f>_xlfn.XLOOKUP(A7734,'[1]Tissue Data'!$A:$A,'[1]Tissue Data'!$I:$I)</f>
        <v>procne</v>
      </c>
      <c r="G7734" t="str">
        <f>_xlfn.XLOOKUP(A7734,'[1]Tissue Data'!$A:$A,'[1]Tissue Data'!J:J)</f>
        <v>U</v>
      </c>
      <c r="H7734" t="str">
        <f>_xlfn.XLOOKUP(A7734,'[1]Tissue Data'!$A:$A,'[1]Tissue Data'!K:K)</f>
        <v>Whole Body</v>
      </c>
      <c r="I7734">
        <f>_xlfn.XLOOKUP(A7734,'[1]Tissue Data'!$A:$A,'[1]Tissue Data'!L:L)</f>
        <v>5.5</v>
      </c>
      <c r="J7734">
        <f>_xlfn.XLOOKUP(A7734,'[1]Tissue Data'!$A:$A,'[1]Tissue Data'!M:M)</f>
        <v>1.93</v>
      </c>
      <c r="K7734" t="s">
        <v>44</v>
      </c>
      <c r="L7734" t="str">
        <f>_xlfn.XLOOKUP(K7734,[2]analyte_order!$B:$B,[2]analyte_order!$C:$C)</f>
        <v>27619-97-2</v>
      </c>
      <c r="M7734">
        <f>_xlfn.XLOOKUP(L7734,[2]analyte_order!$C:$C,[2]analyte_order!$E:$E)</f>
        <v>23</v>
      </c>
      <c r="N7734">
        <v>0.86899999999999999</v>
      </c>
    </row>
    <row r="7735" spans="1:14">
      <c r="A7735" t="s">
        <v>207</v>
      </c>
      <c r="B7735" t="str">
        <f>_xlfn.XLOOKUP(A7735,'[1]Tissue Data'!$A:$A,'[1]Tissue Data'!$C:$C)</f>
        <v>Down</v>
      </c>
      <c r="C7735" s="2">
        <f>_xlfn.XLOOKUP(A7735,'[1]Tissue Data'!$A:$A,'[1]Tissue Data'!$D:$D)</f>
        <v>44393</v>
      </c>
      <c r="D7735" s="2" t="str">
        <f>_xlfn.XLOOKUP(A7735,'[1]Tissue Data'!$A:$A,'[1]Tissue Data'!$F:$F)</f>
        <v>Swallowtail Shiner</v>
      </c>
      <c r="E7735" t="str">
        <f>_xlfn.XLOOKUP(A7735,'[1]Tissue Data'!$A:$A,'[1]Tissue Data'!$H:$H)</f>
        <v>Notropis</v>
      </c>
      <c r="F7735" t="str">
        <f>_xlfn.XLOOKUP(A7735,'[1]Tissue Data'!$A:$A,'[1]Tissue Data'!$I:$I)</f>
        <v>procne</v>
      </c>
      <c r="G7735" t="str">
        <f>_xlfn.XLOOKUP(A7735,'[1]Tissue Data'!$A:$A,'[1]Tissue Data'!J:J)</f>
        <v>U</v>
      </c>
      <c r="H7735" t="str">
        <f>_xlfn.XLOOKUP(A7735,'[1]Tissue Data'!$A:$A,'[1]Tissue Data'!K:K)</f>
        <v>Whole Body</v>
      </c>
      <c r="I7735">
        <f>_xlfn.XLOOKUP(A7735,'[1]Tissue Data'!$A:$A,'[1]Tissue Data'!L:L)</f>
        <v>5.5</v>
      </c>
      <c r="J7735">
        <f>_xlfn.XLOOKUP(A7735,'[1]Tissue Data'!$A:$A,'[1]Tissue Data'!M:M)</f>
        <v>1.93</v>
      </c>
      <c r="K7735" t="s">
        <v>45</v>
      </c>
      <c r="L7735" t="str">
        <f>_xlfn.XLOOKUP(K7735,[2]analyte_order!$B:$B,[2]analyte_order!$C:$C)</f>
        <v>39108-34-4</v>
      </c>
      <c r="M7735">
        <f>_xlfn.XLOOKUP(L7735,[2]analyte_order!$C:$C,[2]analyte_order!$E:$E)</f>
        <v>24</v>
      </c>
      <c r="N7735">
        <v>11.8</v>
      </c>
    </row>
    <row r="7736" spans="1:14">
      <c r="A7736" t="s">
        <v>207</v>
      </c>
      <c r="B7736" t="str">
        <f>_xlfn.XLOOKUP(A7736,'[1]Tissue Data'!$A:$A,'[1]Tissue Data'!$C:$C)</f>
        <v>Down</v>
      </c>
      <c r="C7736" s="2">
        <f>_xlfn.XLOOKUP(A7736,'[1]Tissue Data'!$A:$A,'[1]Tissue Data'!$D:$D)</f>
        <v>44393</v>
      </c>
      <c r="D7736" s="2" t="str">
        <f>_xlfn.XLOOKUP(A7736,'[1]Tissue Data'!$A:$A,'[1]Tissue Data'!$F:$F)</f>
        <v>Swallowtail Shiner</v>
      </c>
      <c r="E7736" t="str">
        <f>_xlfn.XLOOKUP(A7736,'[1]Tissue Data'!$A:$A,'[1]Tissue Data'!$H:$H)</f>
        <v>Notropis</v>
      </c>
      <c r="F7736" t="str">
        <f>_xlfn.XLOOKUP(A7736,'[1]Tissue Data'!$A:$A,'[1]Tissue Data'!$I:$I)</f>
        <v>procne</v>
      </c>
      <c r="G7736" t="str">
        <f>_xlfn.XLOOKUP(A7736,'[1]Tissue Data'!$A:$A,'[1]Tissue Data'!J:J)</f>
        <v>U</v>
      </c>
      <c r="H7736" t="str">
        <f>_xlfn.XLOOKUP(A7736,'[1]Tissue Data'!$A:$A,'[1]Tissue Data'!K:K)</f>
        <v>Whole Body</v>
      </c>
      <c r="I7736">
        <f>_xlfn.XLOOKUP(A7736,'[1]Tissue Data'!$A:$A,'[1]Tissue Data'!L:L)</f>
        <v>5.5</v>
      </c>
      <c r="J7736">
        <f>_xlfn.XLOOKUP(A7736,'[1]Tissue Data'!$A:$A,'[1]Tissue Data'!M:M)</f>
        <v>1.93</v>
      </c>
      <c r="K7736" t="s">
        <v>46</v>
      </c>
      <c r="L7736" t="str">
        <f>_xlfn.XLOOKUP(K7736,[2]analyte_order!$B:$B,[2]analyte_order!$C:$C)</f>
        <v>120226-60-0</v>
      </c>
      <c r="M7736">
        <f>_xlfn.XLOOKUP(L7736,[2]analyte_order!$C:$C,[2]analyte_order!$E:$E)</f>
        <v>25</v>
      </c>
      <c r="N7736">
        <v>0.4965</v>
      </c>
    </row>
    <row r="7737" spans="1:14">
      <c r="A7737" t="s">
        <v>207</v>
      </c>
      <c r="B7737" t="str">
        <f>_xlfn.XLOOKUP(A7737,'[1]Tissue Data'!$A:$A,'[1]Tissue Data'!$C:$C)</f>
        <v>Down</v>
      </c>
      <c r="C7737" s="2">
        <f>_xlfn.XLOOKUP(A7737,'[1]Tissue Data'!$A:$A,'[1]Tissue Data'!$D:$D)</f>
        <v>44393</v>
      </c>
      <c r="D7737" s="2" t="str">
        <f>_xlfn.XLOOKUP(A7737,'[1]Tissue Data'!$A:$A,'[1]Tissue Data'!$F:$F)</f>
        <v>Swallowtail Shiner</v>
      </c>
      <c r="E7737" t="str">
        <f>_xlfn.XLOOKUP(A7737,'[1]Tissue Data'!$A:$A,'[1]Tissue Data'!$H:$H)</f>
        <v>Notropis</v>
      </c>
      <c r="F7737" t="str">
        <f>_xlfn.XLOOKUP(A7737,'[1]Tissue Data'!$A:$A,'[1]Tissue Data'!$I:$I)</f>
        <v>procne</v>
      </c>
      <c r="G7737" t="str">
        <f>_xlfn.XLOOKUP(A7737,'[1]Tissue Data'!$A:$A,'[1]Tissue Data'!J:J)</f>
        <v>U</v>
      </c>
      <c r="H7737" t="str">
        <f>_xlfn.XLOOKUP(A7737,'[1]Tissue Data'!$A:$A,'[1]Tissue Data'!K:K)</f>
        <v>Whole Body</v>
      </c>
      <c r="I7737">
        <f>_xlfn.XLOOKUP(A7737,'[1]Tissue Data'!$A:$A,'[1]Tissue Data'!L:L)</f>
        <v>5.5</v>
      </c>
      <c r="J7737">
        <f>_xlfn.XLOOKUP(A7737,'[1]Tissue Data'!$A:$A,'[1]Tissue Data'!M:M)</f>
        <v>1.93</v>
      </c>
      <c r="K7737" t="s">
        <v>47</v>
      </c>
      <c r="L7737" t="str">
        <f>_xlfn.XLOOKUP(K7737,[2]analyte_order!$B:$B,[2]analyte_order!$C:$C)</f>
        <v>356-02-5</v>
      </c>
      <c r="M7737">
        <f>_xlfn.XLOOKUP(L7737,[2]analyte_order!$C:$C,[2]analyte_order!$E:$E)</f>
        <v>38</v>
      </c>
      <c r="N7737">
        <v>0.28649999999999998</v>
      </c>
    </row>
    <row r="7738" spans="1:14">
      <c r="A7738" t="s">
        <v>207</v>
      </c>
      <c r="B7738" t="str">
        <f>_xlfn.XLOOKUP(A7738,'[1]Tissue Data'!$A:$A,'[1]Tissue Data'!$C:$C)</f>
        <v>Down</v>
      </c>
      <c r="C7738" s="2">
        <f>_xlfn.XLOOKUP(A7738,'[1]Tissue Data'!$A:$A,'[1]Tissue Data'!$D:$D)</f>
        <v>44393</v>
      </c>
      <c r="D7738" s="2" t="str">
        <f>_xlfn.XLOOKUP(A7738,'[1]Tissue Data'!$A:$A,'[1]Tissue Data'!$F:$F)</f>
        <v>Swallowtail Shiner</v>
      </c>
      <c r="E7738" t="str">
        <f>_xlfn.XLOOKUP(A7738,'[1]Tissue Data'!$A:$A,'[1]Tissue Data'!$H:$H)</f>
        <v>Notropis</v>
      </c>
      <c r="F7738" t="str">
        <f>_xlfn.XLOOKUP(A7738,'[1]Tissue Data'!$A:$A,'[1]Tissue Data'!$I:$I)</f>
        <v>procne</v>
      </c>
      <c r="G7738" t="str">
        <f>_xlfn.XLOOKUP(A7738,'[1]Tissue Data'!$A:$A,'[1]Tissue Data'!J:J)</f>
        <v>U</v>
      </c>
      <c r="H7738" t="str">
        <f>_xlfn.XLOOKUP(A7738,'[1]Tissue Data'!$A:$A,'[1]Tissue Data'!K:K)</f>
        <v>Whole Body</v>
      </c>
      <c r="I7738">
        <f>_xlfn.XLOOKUP(A7738,'[1]Tissue Data'!$A:$A,'[1]Tissue Data'!L:L)</f>
        <v>5.5</v>
      </c>
      <c r="J7738">
        <f>_xlfn.XLOOKUP(A7738,'[1]Tissue Data'!$A:$A,'[1]Tissue Data'!M:M)</f>
        <v>1.93</v>
      </c>
      <c r="K7738" t="s">
        <v>48</v>
      </c>
      <c r="L7738" t="str">
        <f>_xlfn.XLOOKUP(K7738,[2]analyte_order!$B:$B,[2]analyte_order!$C:$C)</f>
        <v>914637-49-3</v>
      </c>
      <c r="M7738">
        <f>_xlfn.XLOOKUP(L7738,[2]analyte_order!$C:$C,[2]analyte_order!$E:$E)</f>
        <v>39</v>
      </c>
      <c r="N7738">
        <v>0.248</v>
      </c>
    </row>
    <row r="7739" spans="1:14">
      <c r="A7739" t="s">
        <v>207</v>
      </c>
      <c r="B7739" t="str">
        <f>_xlfn.XLOOKUP(A7739,'[1]Tissue Data'!$A:$A,'[1]Tissue Data'!$C:$C)</f>
        <v>Down</v>
      </c>
      <c r="C7739" s="2">
        <f>_xlfn.XLOOKUP(A7739,'[1]Tissue Data'!$A:$A,'[1]Tissue Data'!$D:$D)</f>
        <v>44393</v>
      </c>
      <c r="D7739" s="2" t="str">
        <f>_xlfn.XLOOKUP(A7739,'[1]Tissue Data'!$A:$A,'[1]Tissue Data'!$F:$F)</f>
        <v>Swallowtail Shiner</v>
      </c>
      <c r="E7739" t="str">
        <f>_xlfn.XLOOKUP(A7739,'[1]Tissue Data'!$A:$A,'[1]Tissue Data'!$H:$H)</f>
        <v>Notropis</v>
      </c>
      <c r="F7739" t="str">
        <f>_xlfn.XLOOKUP(A7739,'[1]Tissue Data'!$A:$A,'[1]Tissue Data'!$I:$I)</f>
        <v>procne</v>
      </c>
      <c r="G7739" t="str">
        <f>_xlfn.XLOOKUP(A7739,'[1]Tissue Data'!$A:$A,'[1]Tissue Data'!J:J)</f>
        <v>U</v>
      </c>
      <c r="H7739" t="str">
        <f>_xlfn.XLOOKUP(A7739,'[1]Tissue Data'!$A:$A,'[1]Tissue Data'!K:K)</f>
        <v>Whole Body</v>
      </c>
      <c r="I7739">
        <f>_xlfn.XLOOKUP(A7739,'[1]Tissue Data'!$A:$A,'[1]Tissue Data'!L:L)</f>
        <v>5.5</v>
      </c>
      <c r="J7739">
        <f>_xlfn.XLOOKUP(A7739,'[1]Tissue Data'!$A:$A,'[1]Tissue Data'!M:M)</f>
        <v>1.93</v>
      </c>
      <c r="K7739" t="s">
        <v>49</v>
      </c>
      <c r="L7739" t="str">
        <f>_xlfn.XLOOKUP(K7739,[2]analyte_order!$B:$B,[2]analyte_order!$C:$C)</f>
        <v>812-70-4</v>
      </c>
      <c r="M7739">
        <f>_xlfn.XLOOKUP(L7739,[2]analyte_order!$C:$C,[2]analyte_order!$E:$E)</f>
        <v>40</v>
      </c>
      <c r="N7739">
        <v>20.100000000000001</v>
      </c>
    </row>
    <row r="7740" spans="1:14">
      <c r="A7740" t="s">
        <v>207</v>
      </c>
      <c r="B7740" t="str">
        <f>_xlfn.XLOOKUP(A7740,'[1]Tissue Data'!$A:$A,'[1]Tissue Data'!$C:$C)</f>
        <v>Down</v>
      </c>
      <c r="C7740" s="2">
        <f>_xlfn.XLOOKUP(A7740,'[1]Tissue Data'!$A:$A,'[1]Tissue Data'!$D:$D)</f>
        <v>44393</v>
      </c>
      <c r="D7740" s="2" t="str">
        <f>_xlfn.XLOOKUP(A7740,'[1]Tissue Data'!$A:$A,'[1]Tissue Data'!$F:$F)</f>
        <v>Swallowtail Shiner</v>
      </c>
      <c r="E7740" t="str">
        <f>_xlfn.XLOOKUP(A7740,'[1]Tissue Data'!$A:$A,'[1]Tissue Data'!$H:$H)</f>
        <v>Notropis</v>
      </c>
      <c r="F7740" t="str">
        <f>_xlfn.XLOOKUP(A7740,'[1]Tissue Data'!$A:$A,'[1]Tissue Data'!$I:$I)</f>
        <v>procne</v>
      </c>
      <c r="G7740" t="str">
        <f>_xlfn.XLOOKUP(A7740,'[1]Tissue Data'!$A:$A,'[1]Tissue Data'!J:J)</f>
        <v>U</v>
      </c>
      <c r="H7740" t="str">
        <f>_xlfn.XLOOKUP(A7740,'[1]Tissue Data'!$A:$A,'[1]Tissue Data'!K:K)</f>
        <v>Whole Body</v>
      </c>
      <c r="I7740">
        <f>_xlfn.XLOOKUP(A7740,'[1]Tissue Data'!$A:$A,'[1]Tissue Data'!L:L)</f>
        <v>5.5</v>
      </c>
      <c r="J7740">
        <f>_xlfn.XLOOKUP(A7740,'[1]Tissue Data'!$A:$A,'[1]Tissue Data'!M:M)</f>
        <v>1.93</v>
      </c>
      <c r="K7740" t="s">
        <v>50</v>
      </c>
      <c r="L7740" t="str">
        <f>_xlfn.XLOOKUP(K7740,[2]analyte_order!$B:$B,[2]analyte_order!$C:$C)</f>
        <v>53826-12-3</v>
      </c>
      <c r="M7740">
        <f>_xlfn.XLOOKUP(L7740,[2]analyte_order!$C:$C,[2]analyte_order!$E:$E)</f>
        <v>41</v>
      </c>
      <c r="N7740">
        <v>0.4965</v>
      </c>
    </row>
    <row r="7741" spans="1:14">
      <c r="A7741" t="s">
        <v>207</v>
      </c>
      <c r="B7741" t="str">
        <f>_xlfn.XLOOKUP(A7741,'[1]Tissue Data'!$A:$A,'[1]Tissue Data'!$C:$C)</f>
        <v>Down</v>
      </c>
      <c r="C7741" s="2">
        <f>_xlfn.XLOOKUP(A7741,'[1]Tissue Data'!$A:$A,'[1]Tissue Data'!$D:$D)</f>
        <v>44393</v>
      </c>
      <c r="D7741" s="2" t="str">
        <f>_xlfn.XLOOKUP(A7741,'[1]Tissue Data'!$A:$A,'[1]Tissue Data'!$F:$F)</f>
        <v>Swallowtail Shiner</v>
      </c>
      <c r="E7741" t="str">
        <f>_xlfn.XLOOKUP(A7741,'[1]Tissue Data'!$A:$A,'[1]Tissue Data'!$H:$H)</f>
        <v>Notropis</v>
      </c>
      <c r="F7741" t="str">
        <f>_xlfn.XLOOKUP(A7741,'[1]Tissue Data'!$A:$A,'[1]Tissue Data'!$I:$I)</f>
        <v>procne</v>
      </c>
      <c r="G7741" t="str">
        <f>_xlfn.XLOOKUP(A7741,'[1]Tissue Data'!$A:$A,'[1]Tissue Data'!J:J)</f>
        <v>U</v>
      </c>
      <c r="H7741" t="str">
        <f>_xlfn.XLOOKUP(A7741,'[1]Tissue Data'!$A:$A,'[1]Tissue Data'!K:K)</f>
        <v>Whole Body</v>
      </c>
      <c r="I7741">
        <f>_xlfn.XLOOKUP(A7741,'[1]Tissue Data'!$A:$A,'[1]Tissue Data'!L:L)</f>
        <v>5.5</v>
      </c>
      <c r="J7741">
        <f>_xlfn.XLOOKUP(A7741,'[1]Tissue Data'!$A:$A,'[1]Tissue Data'!M:M)</f>
        <v>1.93</v>
      </c>
      <c r="K7741" t="s">
        <v>51</v>
      </c>
      <c r="L7741" t="str">
        <f>_xlfn.XLOOKUP(K7741,[2]analyte_order!$B:$B,[2]analyte_order!$C:$C)</f>
        <v>27854-31-5</v>
      </c>
      <c r="M7741">
        <f>_xlfn.XLOOKUP(L7741,[2]analyte_order!$C:$C,[2]analyte_order!$E:$E)</f>
        <v>42</v>
      </c>
      <c r="N7741">
        <v>0.4965</v>
      </c>
    </row>
    <row r="7742" spans="1:14">
      <c r="A7742" t="s">
        <v>207</v>
      </c>
      <c r="B7742" t="str">
        <f>_xlfn.XLOOKUP(A7742,'[1]Tissue Data'!$A:$A,'[1]Tissue Data'!$C:$C)</f>
        <v>Down</v>
      </c>
      <c r="C7742" s="2">
        <f>_xlfn.XLOOKUP(A7742,'[1]Tissue Data'!$A:$A,'[1]Tissue Data'!$D:$D)</f>
        <v>44393</v>
      </c>
      <c r="D7742" s="2" t="str">
        <f>_xlfn.XLOOKUP(A7742,'[1]Tissue Data'!$A:$A,'[1]Tissue Data'!$F:$F)</f>
        <v>Swallowtail Shiner</v>
      </c>
      <c r="E7742" t="str">
        <f>_xlfn.XLOOKUP(A7742,'[1]Tissue Data'!$A:$A,'[1]Tissue Data'!$H:$H)</f>
        <v>Notropis</v>
      </c>
      <c r="F7742" t="str">
        <f>_xlfn.XLOOKUP(A7742,'[1]Tissue Data'!$A:$A,'[1]Tissue Data'!$I:$I)</f>
        <v>procne</v>
      </c>
      <c r="G7742" t="str">
        <f>_xlfn.XLOOKUP(A7742,'[1]Tissue Data'!$A:$A,'[1]Tissue Data'!J:J)</f>
        <v>U</v>
      </c>
      <c r="H7742" t="str">
        <f>_xlfn.XLOOKUP(A7742,'[1]Tissue Data'!$A:$A,'[1]Tissue Data'!K:K)</f>
        <v>Whole Body</v>
      </c>
      <c r="I7742">
        <f>_xlfn.XLOOKUP(A7742,'[1]Tissue Data'!$A:$A,'[1]Tissue Data'!L:L)</f>
        <v>5.5</v>
      </c>
      <c r="J7742">
        <f>_xlfn.XLOOKUP(A7742,'[1]Tissue Data'!$A:$A,'[1]Tissue Data'!M:M)</f>
        <v>1.93</v>
      </c>
      <c r="K7742" t="s">
        <v>52</v>
      </c>
      <c r="L7742" t="str">
        <f>_xlfn.XLOOKUP(K7742,[2]analyte_order!$B:$B,[2]analyte_order!$C:$C)</f>
        <v>53826-13-4</v>
      </c>
      <c r="M7742">
        <f>_xlfn.XLOOKUP(L7742,[2]analyte_order!$C:$C,[2]analyte_order!$E:$E)</f>
        <v>43</v>
      </c>
      <c r="N7742">
        <v>0.4965</v>
      </c>
    </row>
    <row r="7743" spans="1:14">
      <c r="A7743" t="s">
        <v>207</v>
      </c>
      <c r="B7743" t="str">
        <f>_xlfn.XLOOKUP(A7743,'[1]Tissue Data'!$A:$A,'[1]Tissue Data'!$C:$C)</f>
        <v>Down</v>
      </c>
      <c r="C7743" s="2">
        <f>_xlfn.XLOOKUP(A7743,'[1]Tissue Data'!$A:$A,'[1]Tissue Data'!$D:$D)</f>
        <v>44393</v>
      </c>
      <c r="D7743" s="2" t="str">
        <f>_xlfn.XLOOKUP(A7743,'[1]Tissue Data'!$A:$A,'[1]Tissue Data'!$F:$F)</f>
        <v>Swallowtail Shiner</v>
      </c>
      <c r="E7743" t="str">
        <f>_xlfn.XLOOKUP(A7743,'[1]Tissue Data'!$A:$A,'[1]Tissue Data'!$H:$H)</f>
        <v>Notropis</v>
      </c>
      <c r="F7743" t="str">
        <f>_xlfn.XLOOKUP(A7743,'[1]Tissue Data'!$A:$A,'[1]Tissue Data'!$I:$I)</f>
        <v>procne</v>
      </c>
      <c r="G7743" t="str">
        <f>_xlfn.XLOOKUP(A7743,'[1]Tissue Data'!$A:$A,'[1]Tissue Data'!J:J)</f>
        <v>U</v>
      </c>
      <c r="H7743" t="str">
        <f>_xlfn.XLOOKUP(A7743,'[1]Tissue Data'!$A:$A,'[1]Tissue Data'!K:K)</f>
        <v>Whole Body</v>
      </c>
      <c r="I7743">
        <f>_xlfn.XLOOKUP(A7743,'[1]Tissue Data'!$A:$A,'[1]Tissue Data'!L:L)</f>
        <v>5.5</v>
      </c>
      <c r="J7743">
        <f>_xlfn.XLOOKUP(A7743,'[1]Tissue Data'!$A:$A,'[1]Tissue Data'!M:M)</f>
        <v>1.93</v>
      </c>
      <c r="K7743" t="s">
        <v>53</v>
      </c>
      <c r="L7743" t="str">
        <f>_xlfn.XLOOKUP(K7743,[2]analyte_order!$B:$B,[2]analyte_order!$C:$C)</f>
        <v>161094-75-3</v>
      </c>
      <c r="M7743">
        <f>_xlfn.XLOOKUP(L7743,[2]analyte_order!$C:$C,[2]analyte_order!$E:$E)</f>
        <v>44</v>
      </c>
      <c r="N7743">
        <v>0.4965</v>
      </c>
    </row>
    <row r="7744" spans="1:14">
      <c r="A7744" t="s">
        <v>207</v>
      </c>
      <c r="B7744" t="str">
        <f>_xlfn.XLOOKUP(A7744,'[1]Tissue Data'!$A:$A,'[1]Tissue Data'!$C:$C)</f>
        <v>Down</v>
      </c>
      <c r="C7744" s="2">
        <f>_xlfn.XLOOKUP(A7744,'[1]Tissue Data'!$A:$A,'[1]Tissue Data'!$D:$D)</f>
        <v>44393</v>
      </c>
      <c r="D7744" s="2" t="str">
        <f>_xlfn.XLOOKUP(A7744,'[1]Tissue Data'!$A:$A,'[1]Tissue Data'!$F:$F)</f>
        <v>Swallowtail Shiner</v>
      </c>
      <c r="E7744" t="str">
        <f>_xlfn.XLOOKUP(A7744,'[1]Tissue Data'!$A:$A,'[1]Tissue Data'!$H:$H)</f>
        <v>Notropis</v>
      </c>
      <c r="F7744" t="str">
        <f>_xlfn.XLOOKUP(A7744,'[1]Tissue Data'!$A:$A,'[1]Tissue Data'!$I:$I)</f>
        <v>procne</v>
      </c>
      <c r="G7744" t="str">
        <f>_xlfn.XLOOKUP(A7744,'[1]Tissue Data'!$A:$A,'[1]Tissue Data'!J:J)</f>
        <v>U</v>
      </c>
      <c r="H7744" t="str">
        <f>_xlfn.XLOOKUP(A7744,'[1]Tissue Data'!$A:$A,'[1]Tissue Data'!K:K)</f>
        <v>Whole Body</v>
      </c>
      <c r="I7744">
        <f>_xlfn.XLOOKUP(A7744,'[1]Tissue Data'!$A:$A,'[1]Tissue Data'!L:L)</f>
        <v>5.5</v>
      </c>
      <c r="J7744">
        <f>_xlfn.XLOOKUP(A7744,'[1]Tissue Data'!$A:$A,'[1]Tissue Data'!M:M)</f>
        <v>1.93</v>
      </c>
      <c r="K7744" t="s">
        <v>54</v>
      </c>
      <c r="L7744" t="str">
        <f>_xlfn.XLOOKUP(K7744,[2]analyte_order!$B:$B,[2]analyte_order!$C:$C)</f>
        <v>70887-84-2</v>
      </c>
      <c r="M7744">
        <f>_xlfn.XLOOKUP(L7744,[2]analyte_order!$C:$C,[2]analyte_order!$E:$E)</f>
        <v>45</v>
      </c>
      <c r="N7744">
        <v>0.4965</v>
      </c>
    </row>
    <row r="7745" spans="1:14">
      <c r="A7745" t="s">
        <v>207</v>
      </c>
      <c r="B7745" t="str">
        <f>_xlfn.XLOOKUP(A7745,'[1]Tissue Data'!$A:$A,'[1]Tissue Data'!$C:$C)</f>
        <v>Down</v>
      </c>
      <c r="C7745" s="2">
        <f>_xlfn.XLOOKUP(A7745,'[1]Tissue Data'!$A:$A,'[1]Tissue Data'!$D:$D)</f>
        <v>44393</v>
      </c>
      <c r="D7745" s="2" t="str">
        <f>_xlfn.XLOOKUP(A7745,'[1]Tissue Data'!$A:$A,'[1]Tissue Data'!$F:$F)</f>
        <v>Swallowtail Shiner</v>
      </c>
      <c r="E7745" t="str">
        <f>_xlfn.XLOOKUP(A7745,'[1]Tissue Data'!$A:$A,'[1]Tissue Data'!$H:$H)</f>
        <v>Notropis</v>
      </c>
      <c r="F7745" t="str">
        <f>_xlfn.XLOOKUP(A7745,'[1]Tissue Data'!$A:$A,'[1]Tissue Data'!$I:$I)</f>
        <v>procne</v>
      </c>
      <c r="G7745" t="str">
        <f>_xlfn.XLOOKUP(A7745,'[1]Tissue Data'!$A:$A,'[1]Tissue Data'!J:J)</f>
        <v>U</v>
      </c>
      <c r="H7745" t="str">
        <f>_xlfn.XLOOKUP(A7745,'[1]Tissue Data'!$A:$A,'[1]Tissue Data'!K:K)</f>
        <v>Whole Body</v>
      </c>
      <c r="I7745">
        <f>_xlfn.XLOOKUP(A7745,'[1]Tissue Data'!$A:$A,'[1]Tissue Data'!L:L)</f>
        <v>5.5</v>
      </c>
      <c r="J7745">
        <f>_xlfn.XLOOKUP(A7745,'[1]Tissue Data'!$A:$A,'[1]Tissue Data'!M:M)</f>
        <v>1.93</v>
      </c>
      <c r="K7745" t="s">
        <v>55</v>
      </c>
      <c r="L7745" t="str">
        <f>_xlfn.XLOOKUP(K7745,[2]analyte_order!$B:$B,[2]analyte_order!$C:$C)</f>
        <v>919005-14-4</v>
      </c>
      <c r="M7745">
        <f>_xlfn.XLOOKUP(L7745,[2]analyte_order!$C:$C,[2]analyte_order!$E:$E)</f>
        <v>35</v>
      </c>
      <c r="N7745">
        <v>0.248</v>
      </c>
    </row>
    <row r="7746" spans="1:14">
      <c r="A7746" t="s">
        <v>207</v>
      </c>
      <c r="B7746" t="str">
        <f>_xlfn.XLOOKUP(A7746,'[1]Tissue Data'!$A:$A,'[1]Tissue Data'!$C:$C)</f>
        <v>Down</v>
      </c>
      <c r="C7746" s="2">
        <f>_xlfn.XLOOKUP(A7746,'[1]Tissue Data'!$A:$A,'[1]Tissue Data'!$D:$D)</f>
        <v>44393</v>
      </c>
      <c r="D7746" s="2" t="str">
        <f>_xlfn.XLOOKUP(A7746,'[1]Tissue Data'!$A:$A,'[1]Tissue Data'!$F:$F)</f>
        <v>Swallowtail Shiner</v>
      </c>
      <c r="E7746" t="str">
        <f>_xlfn.XLOOKUP(A7746,'[1]Tissue Data'!$A:$A,'[1]Tissue Data'!$H:$H)</f>
        <v>Notropis</v>
      </c>
      <c r="F7746" t="str">
        <f>_xlfn.XLOOKUP(A7746,'[1]Tissue Data'!$A:$A,'[1]Tissue Data'!$I:$I)</f>
        <v>procne</v>
      </c>
      <c r="G7746" t="str">
        <f>_xlfn.XLOOKUP(A7746,'[1]Tissue Data'!$A:$A,'[1]Tissue Data'!J:J)</f>
        <v>U</v>
      </c>
      <c r="H7746" t="str">
        <f>_xlfn.XLOOKUP(A7746,'[1]Tissue Data'!$A:$A,'[1]Tissue Data'!K:K)</f>
        <v>Whole Body</v>
      </c>
      <c r="I7746">
        <f>_xlfn.XLOOKUP(A7746,'[1]Tissue Data'!$A:$A,'[1]Tissue Data'!L:L)</f>
        <v>5.5</v>
      </c>
      <c r="J7746">
        <f>_xlfn.XLOOKUP(A7746,'[1]Tissue Data'!$A:$A,'[1]Tissue Data'!M:M)</f>
        <v>1.93</v>
      </c>
      <c r="K7746" t="s">
        <v>56</v>
      </c>
      <c r="L7746" t="str">
        <f>_xlfn.XLOOKUP(K7746,[2]analyte_order!$B:$B,[2]analyte_order!$C:$C)</f>
        <v>756426-58-1</v>
      </c>
      <c r="M7746">
        <f>_xlfn.XLOOKUP(L7746,[2]analyte_order!$C:$C,[2]analyte_order!$E:$E)</f>
        <v>36</v>
      </c>
      <c r="N7746">
        <v>0.4965</v>
      </c>
    </row>
    <row r="7747" spans="1:14">
      <c r="A7747" t="s">
        <v>207</v>
      </c>
      <c r="B7747" t="str">
        <f>_xlfn.XLOOKUP(A7747,'[1]Tissue Data'!$A:$A,'[1]Tissue Data'!$C:$C)</f>
        <v>Down</v>
      </c>
      <c r="C7747" s="2">
        <f>_xlfn.XLOOKUP(A7747,'[1]Tissue Data'!$A:$A,'[1]Tissue Data'!$D:$D)</f>
        <v>44393</v>
      </c>
      <c r="D7747" s="2" t="str">
        <f>_xlfn.XLOOKUP(A7747,'[1]Tissue Data'!$A:$A,'[1]Tissue Data'!$F:$F)</f>
        <v>Swallowtail Shiner</v>
      </c>
      <c r="E7747" t="str">
        <f>_xlfn.XLOOKUP(A7747,'[1]Tissue Data'!$A:$A,'[1]Tissue Data'!$H:$H)</f>
        <v>Notropis</v>
      </c>
      <c r="F7747" t="str">
        <f>_xlfn.XLOOKUP(A7747,'[1]Tissue Data'!$A:$A,'[1]Tissue Data'!$I:$I)</f>
        <v>procne</v>
      </c>
      <c r="G7747" t="str">
        <f>_xlfn.XLOOKUP(A7747,'[1]Tissue Data'!$A:$A,'[1]Tissue Data'!J:J)</f>
        <v>U</v>
      </c>
      <c r="H7747" t="str">
        <f>_xlfn.XLOOKUP(A7747,'[1]Tissue Data'!$A:$A,'[1]Tissue Data'!K:K)</f>
        <v>Whole Body</v>
      </c>
      <c r="I7747">
        <f>_xlfn.XLOOKUP(A7747,'[1]Tissue Data'!$A:$A,'[1]Tissue Data'!L:L)</f>
        <v>5.5</v>
      </c>
      <c r="J7747">
        <f>_xlfn.XLOOKUP(A7747,'[1]Tissue Data'!$A:$A,'[1]Tissue Data'!M:M)</f>
        <v>1.93</v>
      </c>
      <c r="K7747" t="s">
        <v>57</v>
      </c>
      <c r="L7747" t="str">
        <f>_xlfn.XLOOKUP(K7747,[2]analyte_order!$B:$B,[2]analyte_order!$C:$C)</f>
        <v>763051-92-9</v>
      </c>
      <c r="M7747">
        <f>_xlfn.XLOOKUP(L7747,[2]analyte_order!$C:$C,[2]analyte_order!$E:$E)</f>
        <v>37</v>
      </c>
      <c r="N7747">
        <v>0.4965</v>
      </c>
    </row>
    <row r="7748" spans="1:14">
      <c r="A7748" t="s">
        <v>207</v>
      </c>
      <c r="B7748" t="str">
        <f>_xlfn.XLOOKUP(A7748,'[1]Tissue Data'!$A:$A,'[1]Tissue Data'!$C:$C)</f>
        <v>Down</v>
      </c>
      <c r="C7748" s="2">
        <f>_xlfn.XLOOKUP(A7748,'[1]Tissue Data'!$A:$A,'[1]Tissue Data'!$D:$D)</f>
        <v>44393</v>
      </c>
      <c r="D7748" s="2" t="str">
        <f>_xlfn.XLOOKUP(A7748,'[1]Tissue Data'!$A:$A,'[1]Tissue Data'!$F:$F)</f>
        <v>Swallowtail Shiner</v>
      </c>
      <c r="E7748" t="str">
        <f>_xlfn.XLOOKUP(A7748,'[1]Tissue Data'!$A:$A,'[1]Tissue Data'!$H:$H)</f>
        <v>Notropis</v>
      </c>
      <c r="F7748" t="str">
        <f>_xlfn.XLOOKUP(A7748,'[1]Tissue Data'!$A:$A,'[1]Tissue Data'!$I:$I)</f>
        <v>procne</v>
      </c>
      <c r="G7748" t="str">
        <f>_xlfn.XLOOKUP(A7748,'[1]Tissue Data'!$A:$A,'[1]Tissue Data'!J:J)</f>
        <v>U</v>
      </c>
      <c r="H7748" t="str">
        <f>_xlfn.XLOOKUP(A7748,'[1]Tissue Data'!$A:$A,'[1]Tissue Data'!K:K)</f>
        <v>Whole Body</v>
      </c>
      <c r="I7748">
        <f>_xlfn.XLOOKUP(A7748,'[1]Tissue Data'!$A:$A,'[1]Tissue Data'!L:L)</f>
        <v>5.5</v>
      </c>
      <c r="J7748">
        <f>_xlfn.XLOOKUP(A7748,'[1]Tissue Data'!$A:$A,'[1]Tissue Data'!M:M)</f>
        <v>1.93</v>
      </c>
      <c r="K7748" t="s">
        <v>58</v>
      </c>
      <c r="L7748" t="str">
        <f>_xlfn.XLOOKUP(K7748,[2]analyte_order!$B:$B,[2]analyte_order!$C:$C)</f>
        <v>13252-13-6</v>
      </c>
      <c r="M7748">
        <f>_xlfn.XLOOKUP(L7748,[2]analyte_order!$C:$C,[2]analyte_order!$E:$E)</f>
        <v>34</v>
      </c>
      <c r="N7748">
        <v>0.35599999999999998</v>
      </c>
    </row>
    <row r="7749" spans="1:14">
      <c r="A7749" t="s">
        <v>207</v>
      </c>
      <c r="B7749" t="str">
        <f>_xlfn.XLOOKUP(A7749,'[1]Tissue Data'!$A:$A,'[1]Tissue Data'!$C:$C)</f>
        <v>Down</v>
      </c>
      <c r="C7749" s="2">
        <f>_xlfn.XLOOKUP(A7749,'[1]Tissue Data'!$A:$A,'[1]Tissue Data'!$D:$D)</f>
        <v>44393</v>
      </c>
      <c r="D7749" s="2" t="str">
        <f>_xlfn.XLOOKUP(A7749,'[1]Tissue Data'!$A:$A,'[1]Tissue Data'!$F:$F)</f>
        <v>Swallowtail Shiner</v>
      </c>
      <c r="E7749" t="str">
        <f>_xlfn.XLOOKUP(A7749,'[1]Tissue Data'!$A:$A,'[1]Tissue Data'!$H:$H)</f>
        <v>Notropis</v>
      </c>
      <c r="F7749" t="str">
        <f>_xlfn.XLOOKUP(A7749,'[1]Tissue Data'!$A:$A,'[1]Tissue Data'!$I:$I)</f>
        <v>procne</v>
      </c>
      <c r="G7749" t="str">
        <f>_xlfn.XLOOKUP(A7749,'[1]Tissue Data'!$A:$A,'[1]Tissue Data'!J:J)</f>
        <v>U</v>
      </c>
      <c r="H7749" t="str">
        <f>_xlfn.XLOOKUP(A7749,'[1]Tissue Data'!$A:$A,'[1]Tissue Data'!K:K)</f>
        <v>Whole Body</v>
      </c>
      <c r="I7749">
        <f>_xlfn.XLOOKUP(A7749,'[1]Tissue Data'!$A:$A,'[1]Tissue Data'!L:L)</f>
        <v>5.5</v>
      </c>
      <c r="J7749">
        <f>_xlfn.XLOOKUP(A7749,'[1]Tissue Data'!$A:$A,'[1]Tissue Data'!M:M)</f>
        <v>1.93</v>
      </c>
      <c r="K7749" t="s">
        <v>59</v>
      </c>
      <c r="L7749" t="str">
        <f>_xlfn.XLOOKUP(K7749,[2]analyte_order!$B:$B,[2]analyte_order!$C:$C)</f>
        <v>57677-95-9</v>
      </c>
      <c r="M7749">
        <f>_xlfn.XLOOKUP(L7749,[2]analyte_order!$C:$C,[2]analyte_order!$E:$E)</f>
        <v>46</v>
      </c>
      <c r="N7749">
        <v>0.4965</v>
      </c>
    </row>
    <row r="7750" spans="1:14">
      <c r="A7750" t="s">
        <v>207</v>
      </c>
      <c r="B7750" t="str">
        <f>_xlfn.XLOOKUP(A7750,'[1]Tissue Data'!$A:$A,'[1]Tissue Data'!$C:$C)</f>
        <v>Down</v>
      </c>
      <c r="C7750" s="2">
        <f>_xlfn.XLOOKUP(A7750,'[1]Tissue Data'!$A:$A,'[1]Tissue Data'!$D:$D)</f>
        <v>44393</v>
      </c>
      <c r="D7750" s="2" t="str">
        <f>_xlfn.XLOOKUP(A7750,'[1]Tissue Data'!$A:$A,'[1]Tissue Data'!$F:$F)</f>
        <v>Swallowtail Shiner</v>
      </c>
      <c r="E7750" t="str">
        <f>_xlfn.XLOOKUP(A7750,'[1]Tissue Data'!$A:$A,'[1]Tissue Data'!$H:$H)</f>
        <v>Notropis</v>
      </c>
      <c r="F7750" t="str">
        <f>_xlfn.XLOOKUP(A7750,'[1]Tissue Data'!$A:$A,'[1]Tissue Data'!$I:$I)</f>
        <v>procne</v>
      </c>
      <c r="G7750" t="str">
        <f>_xlfn.XLOOKUP(A7750,'[1]Tissue Data'!$A:$A,'[1]Tissue Data'!J:J)</f>
        <v>U</v>
      </c>
      <c r="H7750" t="str">
        <f>_xlfn.XLOOKUP(A7750,'[1]Tissue Data'!$A:$A,'[1]Tissue Data'!K:K)</f>
        <v>Whole Body</v>
      </c>
      <c r="I7750">
        <f>_xlfn.XLOOKUP(A7750,'[1]Tissue Data'!$A:$A,'[1]Tissue Data'!L:L)</f>
        <v>5.5</v>
      </c>
      <c r="J7750">
        <f>_xlfn.XLOOKUP(A7750,'[1]Tissue Data'!$A:$A,'[1]Tissue Data'!M:M)</f>
        <v>1.93</v>
      </c>
      <c r="K7750" t="s">
        <v>60</v>
      </c>
      <c r="L7750" t="str">
        <f>_xlfn.XLOOKUP(K7750,[2]analyte_order!$B:$B,[2]analyte_order!$C:$C)</f>
        <v>678-41-1</v>
      </c>
      <c r="M7750">
        <f>_xlfn.XLOOKUP(L7750,[2]analyte_order!$C:$C,[2]analyte_order!$E:$E)</f>
        <v>56</v>
      </c>
      <c r="N7750">
        <v>0.4965</v>
      </c>
    </row>
    <row r="7751" spans="1:14">
      <c r="A7751" t="s">
        <v>207</v>
      </c>
      <c r="B7751" t="str">
        <f>_xlfn.XLOOKUP(A7751,'[1]Tissue Data'!$A:$A,'[1]Tissue Data'!$C:$C)</f>
        <v>Down</v>
      </c>
      <c r="C7751" s="2">
        <f>_xlfn.XLOOKUP(A7751,'[1]Tissue Data'!$A:$A,'[1]Tissue Data'!$D:$D)</f>
        <v>44393</v>
      </c>
      <c r="D7751" s="2" t="str">
        <f>_xlfn.XLOOKUP(A7751,'[1]Tissue Data'!$A:$A,'[1]Tissue Data'!$F:$F)</f>
        <v>Swallowtail Shiner</v>
      </c>
      <c r="E7751" t="str">
        <f>_xlfn.XLOOKUP(A7751,'[1]Tissue Data'!$A:$A,'[1]Tissue Data'!$H:$H)</f>
        <v>Notropis</v>
      </c>
      <c r="F7751" t="str">
        <f>_xlfn.XLOOKUP(A7751,'[1]Tissue Data'!$A:$A,'[1]Tissue Data'!$I:$I)</f>
        <v>procne</v>
      </c>
      <c r="G7751" t="str">
        <f>_xlfn.XLOOKUP(A7751,'[1]Tissue Data'!$A:$A,'[1]Tissue Data'!J:J)</f>
        <v>U</v>
      </c>
      <c r="H7751" t="str">
        <f>_xlfn.XLOOKUP(A7751,'[1]Tissue Data'!$A:$A,'[1]Tissue Data'!K:K)</f>
        <v>Whole Body</v>
      </c>
      <c r="I7751">
        <f>_xlfn.XLOOKUP(A7751,'[1]Tissue Data'!$A:$A,'[1]Tissue Data'!L:L)</f>
        <v>5.5</v>
      </c>
      <c r="J7751">
        <f>_xlfn.XLOOKUP(A7751,'[1]Tissue Data'!$A:$A,'[1]Tissue Data'!M:M)</f>
        <v>1.93</v>
      </c>
      <c r="K7751" t="s">
        <v>61</v>
      </c>
      <c r="L7751" t="str">
        <f>_xlfn.XLOOKUP(K7751,[2]analyte_order!$B:$B,[2]analyte_order!$C:$C)</f>
        <v>2965-52-8</v>
      </c>
      <c r="M7751">
        <f>_xlfn.XLOOKUP(L7751,[2]analyte_order!$C:$C,[2]analyte_order!$E:$E)</f>
        <v>57</v>
      </c>
      <c r="N7751">
        <v>0.4965</v>
      </c>
    </row>
    <row r="7752" spans="1:14">
      <c r="A7752" t="s">
        <v>208</v>
      </c>
      <c r="B7752" t="str">
        <f>_xlfn.XLOOKUP(A7752,'[1]Tissue Data'!$A:$A,'[1]Tissue Data'!$C:$C)</f>
        <v>Down</v>
      </c>
      <c r="C7752" s="2">
        <f>_xlfn.XLOOKUP(A7752,'[1]Tissue Data'!$A:$A,'[1]Tissue Data'!$D:$D)</f>
        <v>44393</v>
      </c>
      <c r="D7752" s="2" t="str">
        <f>_xlfn.XLOOKUP(A7752,'[1]Tissue Data'!$A:$A,'[1]Tissue Data'!$F:$F)</f>
        <v>Swallowtail Shiner</v>
      </c>
      <c r="E7752" t="str">
        <f>_xlfn.XLOOKUP(A7752,'[1]Tissue Data'!$A:$A,'[1]Tissue Data'!$H:$H)</f>
        <v>Notropis</v>
      </c>
      <c r="F7752" t="str">
        <f>_xlfn.XLOOKUP(A7752,'[1]Tissue Data'!$A:$A,'[1]Tissue Data'!$I:$I)</f>
        <v>procne</v>
      </c>
      <c r="G7752" t="str">
        <f>_xlfn.XLOOKUP(A7752,'[1]Tissue Data'!$A:$A,'[1]Tissue Data'!J:J)</f>
        <v>U</v>
      </c>
      <c r="H7752" t="str">
        <f>_xlfn.XLOOKUP(A7752,'[1]Tissue Data'!$A:$A,'[1]Tissue Data'!K:K)</f>
        <v>Whole Body</v>
      </c>
      <c r="I7752">
        <f>_xlfn.XLOOKUP(A7752,'[1]Tissue Data'!$A:$A,'[1]Tissue Data'!L:L)</f>
        <v>6</v>
      </c>
      <c r="J7752">
        <f>_xlfn.XLOOKUP(A7752,'[1]Tissue Data'!$A:$A,'[1]Tissue Data'!M:M)</f>
        <v>2.4500000000000002</v>
      </c>
      <c r="K7752" t="s">
        <v>12</v>
      </c>
      <c r="L7752" t="str">
        <f>_xlfn.XLOOKUP(K7752,[2]analyte_order!$B:$B,[2]analyte_order!$C:$C)</f>
        <v>375-22-4</v>
      </c>
      <c r="M7752">
        <f>_xlfn.XLOOKUP(L7752,[2]analyte_order!$C:$C,[2]analyte_order!$E:$E)</f>
        <v>1</v>
      </c>
      <c r="N7752">
        <v>0.217</v>
      </c>
    </row>
    <row r="7753" spans="1:14">
      <c r="A7753" t="s">
        <v>208</v>
      </c>
      <c r="B7753" t="str">
        <f>_xlfn.XLOOKUP(A7753,'[1]Tissue Data'!$A:$A,'[1]Tissue Data'!$C:$C)</f>
        <v>Down</v>
      </c>
      <c r="C7753" s="2">
        <f>_xlfn.XLOOKUP(A7753,'[1]Tissue Data'!$A:$A,'[1]Tissue Data'!$D:$D)</f>
        <v>44393</v>
      </c>
      <c r="D7753" s="2" t="str">
        <f>_xlfn.XLOOKUP(A7753,'[1]Tissue Data'!$A:$A,'[1]Tissue Data'!$F:$F)</f>
        <v>Swallowtail Shiner</v>
      </c>
      <c r="E7753" t="str">
        <f>_xlfn.XLOOKUP(A7753,'[1]Tissue Data'!$A:$A,'[1]Tissue Data'!$H:$H)</f>
        <v>Notropis</v>
      </c>
      <c r="F7753" t="str">
        <f>_xlfn.XLOOKUP(A7753,'[1]Tissue Data'!$A:$A,'[1]Tissue Data'!$I:$I)</f>
        <v>procne</v>
      </c>
      <c r="G7753" t="str">
        <f>_xlfn.XLOOKUP(A7753,'[1]Tissue Data'!$A:$A,'[1]Tissue Data'!J:J)</f>
        <v>U</v>
      </c>
      <c r="H7753" t="str">
        <f>_xlfn.XLOOKUP(A7753,'[1]Tissue Data'!$A:$A,'[1]Tissue Data'!K:K)</f>
        <v>Whole Body</v>
      </c>
      <c r="I7753">
        <f>_xlfn.XLOOKUP(A7753,'[1]Tissue Data'!$A:$A,'[1]Tissue Data'!L:L)</f>
        <v>6</v>
      </c>
      <c r="J7753">
        <f>_xlfn.XLOOKUP(A7753,'[1]Tissue Data'!$A:$A,'[1]Tissue Data'!M:M)</f>
        <v>2.4500000000000002</v>
      </c>
      <c r="K7753" t="s">
        <v>13</v>
      </c>
      <c r="L7753" t="str">
        <f>_xlfn.XLOOKUP(K7753,[2]analyte_order!$B:$B,[2]analyte_order!$C:$C)</f>
        <v>2706-90-3</v>
      </c>
      <c r="M7753">
        <f>_xlfn.XLOOKUP(L7753,[2]analyte_order!$C:$C,[2]analyte_order!$E:$E)</f>
        <v>2</v>
      </c>
      <c r="N7753">
        <v>0.217</v>
      </c>
    </row>
    <row r="7754" spans="1:14">
      <c r="A7754" t="s">
        <v>208</v>
      </c>
      <c r="B7754" t="str">
        <f>_xlfn.XLOOKUP(A7754,'[1]Tissue Data'!$A:$A,'[1]Tissue Data'!$C:$C)</f>
        <v>Down</v>
      </c>
      <c r="C7754" s="2">
        <f>_xlfn.XLOOKUP(A7754,'[1]Tissue Data'!$A:$A,'[1]Tissue Data'!$D:$D)</f>
        <v>44393</v>
      </c>
      <c r="D7754" s="2" t="str">
        <f>_xlfn.XLOOKUP(A7754,'[1]Tissue Data'!$A:$A,'[1]Tissue Data'!$F:$F)</f>
        <v>Swallowtail Shiner</v>
      </c>
      <c r="E7754" t="str">
        <f>_xlfn.XLOOKUP(A7754,'[1]Tissue Data'!$A:$A,'[1]Tissue Data'!$H:$H)</f>
        <v>Notropis</v>
      </c>
      <c r="F7754" t="str">
        <f>_xlfn.XLOOKUP(A7754,'[1]Tissue Data'!$A:$A,'[1]Tissue Data'!$I:$I)</f>
        <v>procne</v>
      </c>
      <c r="G7754" t="str">
        <f>_xlfn.XLOOKUP(A7754,'[1]Tissue Data'!$A:$A,'[1]Tissue Data'!J:J)</f>
        <v>U</v>
      </c>
      <c r="H7754" t="str">
        <f>_xlfn.XLOOKUP(A7754,'[1]Tissue Data'!$A:$A,'[1]Tissue Data'!K:K)</f>
        <v>Whole Body</v>
      </c>
      <c r="I7754">
        <f>_xlfn.XLOOKUP(A7754,'[1]Tissue Data'!$A:$A,'[1]Tissue Data'!L:L)</f>
        <v>6</v>
      </c>
      <c r="J7754">
        <f>_xlfn.XLOOKUP(A7754,'[1]Tissue Data'!$A:$A,'[1]Tissue Data'!M:M)</f>
        <v>2.4500000000000002</v>
      </c>
      <c r="K7754" t="s">
        <v>14</v>
      </c>
      <c r="L7754" t="str">
        <f>_xlfn.XLOOKUP(K7754,[2]analyte_order!$B:$B,[2]analyte_order!$C:$C)</f>
        <v>307-24-4</v>
      </c>
      <c r="M7754">
        <f>_xlfn.XLOOKUP(L7754,[2]analyte_order!$C:$C,[2]analyte_order!$E:$E)</f>
        <v>3</v>
      </c>
      <c r="N7754">
        <v>0.11700000000000001</v>
      </c>
    </row>
    <row r="7755" spans="1:14">
      <c r="A7755" t="s">
        <v>208</v>
      </c>
      <c r="B7755" t="str">
        <f>_xlfn.XLOOKUP(A7755,'[1]Tissue Data'!$A:$A,'[1]Tissue Data'!$C:$C)</f>
        <v>Down</v>
      </c>
      <c r="C7755" s="2">
        <f>_xlfn.XLOOKUP(A7755,'[1]Tissue Data'!$A:$A,'[1]Tissue Data'!$D:$D)</f>
        <v>44393</v>
      </c>
      <c r="D7755" s="2" t="str">
        <f>_xlfn.XLOOKUP(A7755,'[1]Tissue Data'!$A:$A,'[1]Tissue Data'!$F:$F)</f>
        <v>Swallowtail Shiner</v>
      </c>
      <c r="E7755" t="str">
        <f>_xlfn.XLOOKUP(A7755,'[1]Tissue Data'!$A:$A,'[1]Tissue Data'!$H:$H)</f>
        <v>Notropis</v>
      </c>
      <c r="F7755" t="str">
        <f>_xlfn.XLOOKUP(A7755,'[1]Tissue Data'!$A:$A,'[1]Tissue Data'!$I:$I)</f>
        <v>procne</v>
      </c>
      <c r="G7755" t="str">
        <f>_xlfn.XLOOKUP(A7755,'[1]Tissue Data'!$A:$A,'[1]Tissue Data'!J:J)</f>
        <v>U</v>
      </c>
      <c r="H7755" t="str">
        <f>_xlfn.XLOOKUP(A7755,'[1]Tissue Data'!$A:$A,'[1]Tissue Data'!K:K)</f>
        <v>Whole Body</v>
      </c>
      <c r="I7755">
        <f>_xlfn.XLOOKUP(A7755,'[1]Tissue Data'!$A:$A,'[1]Tissue Data'!L:L)</f>
        <v>6</v>
      </c>
      <c r="J7755">
        <f>_xlfn.XLOOKUP(A7755,'[1]Tissue Data'!$A:$A,'[1]Tissue Data'!M:M)</f>
        <v>2.4500000000000002</v>
      </c>
      <c r="K7755" t="s">
        <v>15</v>
      </c>
      <c r="L7755" t="str">
        <f>_xlfn.XLOOKUP(K7755,[2]analyte_order!$B:$B,[2]analyte_order!$C:$C)</f>
        <v>375-85-9</v>
      </c>
      <c r="M7755">
        <f>_xlfn.XLOOKUP(L7755,[2]analyte_order!$C:$C,[2]analyte_order!$E:$E)</f>
        <v>4</v>
      </c>
      <c r="N7755">
        <v>0.217</v>
      </c>
    </row>
    <row r="7756" spans="1:14">
      <c r="A7756" t="s">
        <v>208</v>
      </c>
      <c r="B7756" t="str">
        <f>_xlfn.XLOOKUP(A7756,'[1]Tissue Data'!$A:$A,'[1]Tissue Data'!$C:$C)</f>
        <v>Down</v>
      </c>
      <c r="C7756" s="2">
        <f>_xlfn.XLOOKUP(A7756,'[1]Tissue Data'!$A:$A,'[1]Tissue Data'!$D:$D)</f>
        <v>44393</v>
      </c>
      <c r="D7756" s="2" t="str">
        <f>_xlfn.XLOOKUP(A7756,'[1]Tissue Data'!$A:$A,'[1]Tissue Data'!$F:$F)</f>
        <v>Swallowtail Shiner</v>
      </c>
      <c r="E7756" t="str">
        <f>_xlfn.XLOOKUP(A7756,'[1]Tissue Data'!$A:$A,'[1]Tissue Data'!$H:$H)</f>
        <v>Notropis</v>
      </c>
      <c r="F7756" t="str">
        <f>_xlfn.XLOOKUP(A7756,'[1]Tissue Data'!$A:$A,'[1]Tissue Data'!$I:$I)</f>
        <v>procne</v>
      </c>
      <c r="G7756" t="str">
        <f>_xlfn.XLOOKUP(A7756,'[1]Tissue Data'!$A:$A,'[1]Tissue Data'!J:J)</f>
        <v>U</v>
      </c>
      <c r="H7756" t="str">
        <f>_xlfn.XLOOKUP(A7756,'[1]Tissue Data'!$A:$A,'[1]Tissue Data'!K:K)</f>
        <v>Whole Body</v>
      </c>
      <c r="I7756">
        <f>_xlfn.XLOOKUP(A7756,'[1]Tissue Data'!$A:$A,'[1]Tissue Data'!L:L)</f>
        <v>6</v>
      </c>
      <c r="J7756">
        <f>_xlfn.XLOOKUP(A7756,'[1]Tissue Data'!$A:$A,'[1]Tissue Data'!M:M)</f>
        <v>2.4500000000000002</v>
      </c>
      <c r="K7756" t="s">
        <v>16</v>
      </c>
      <c r="L7756" t="str">
        <f>_xlfn.XLOOKUP(K7756,[2]analyte_order!$B:$B,[2]analyte_order!$C:$C)</f>
        <v>335-67-1</v>
      </c>
      <c r="M7756">
        <f>_xlfn.XLOOKUP(L7756,[2]analyte_order!$C:$C,[2]analyte_order!$E:$E)</f>
        <v>5</v>
      </c>
      <c r="N7756">
        <v>1.65</v>
      </c>
    </row>
    <row r="7757" spans="1:14">
      <c r="A7757" t="s">
        <v>208</v>
      </c>
      <c r="B7757" t="str">
        <f>_xlfn.XLOOKUP(A7757,'[1]Tissue Data'!$A:$A,'[1]Tissue Data'!$C:$C)</f>
        <v>Down</v>
      </c>
      <c r="C7757" s="2">
        <f>_xlfn.XLOOKUP(A7757,'[1]Tissue Data'!$A:$A,'[1]Tissue Data'!$D:$D)</f>
        <v>44393</v>
      </c>
      <c r="D7757" s="2" t="str">
        <f>_xlfn.XLOOKUP(A7757,'[1]Tissue Data'!$A:$A,'[1]Tissue Data'!$F:$F)</f>
        <v>Swallowtail Shiner</v>
      </c>
      <c r="E7757" t="str">
        <f>_xlfn.XLOOKUP(A7757,'[1]Tissue Data'!$A:$A,'[1]Tissue Data'!$H:$H)</f>
        <v>Notropis</v>
      </c>
      <c r="F7757" t="str">
        <f>_xlfn.XLOOKUP(A7757,'[1]Tissue Data'!$A:$A,'[1]Tissue Data'!$I:$I)</f>
        <v>procne</v>
      </c>
      <c r="G7757" t="str">
        <f>_xlfn.XLOOKUP(A7757,'[1]Tissue Data'!$A:$A,'[1]Tissue Data'!J:J)</f>
        <v>U</v>
      </c>
      <c r="H7757" t="str">
        <f>_xlfn.XLOOKUP(A7757,'[1]Tissue Data'!$A:$A,'[1]Tissue Data'!K:K)</f>
        <v>Whole Body</v>
      </c>
      <c r="I7757">
        <f>_xlfn.XLOOKUP(A7757,'[1]Tissue Data'!$A:$A,'[1]Tissue Data'!L:L)</f>
        <v>6</v>
      </c>
      <c r="J7757">
        <f>_xlfn.XLOOKUP(A7757,'[1]Tissue Data'!$A:$A,'[1]Tissue Data'!M:M)</f>
        <v>2.4500000000000002</v>
      </c>
      <c r="K7757" t="s">
        <v>17</v>
      </c>
      <c r="L7757" t="str">
        <f>_xlfn.XLOOKUP(K7757,[2]analyte_order!$B:$B,[2]analyte_order!$C:$C)</f>
        <v>375-95-1</v>
      </c>
      <c r="M7757">
        <f>_xlfn.XLOOKUP(L7757,[2]analyte_order!$C:$C,[2]analyte_order!$E:$E)</f>
        <v>6</v>
      </c>
      <c r="N7757">
        <v>1.67</v>
      </c>
    </row>
    <row r="7758" spans="1:14">
      <c r="A7758" t="s">
        <v>208</v>
      </c>
      <c r="B7758" t="str">
        <f>_xlfn.XLOOKUP(A7758,'[1]Tissue Data'!$A:$A,'[1]Tissue Data'!$C:$C)</f>
        <v>Down</v>
      </c>
      <c r="C7758" s="2">
        <f>_xlfn.XLOOKUP(A7758,'[1]Tissue Data'!$A:$A,'[1]Tissue Data'!$D:$D)</f>
        <v>44393</v>
      </c>
      <c r="D7758" s="2" t="str">
        <f>_xlfn.XLOOKUP(A7758,'[1]Tissue Data'!$A:$A,'[1]Tissue Data'!$F:$F)</f>
        <v>Swallowtail Shiner</v>
      </c>
      <c r="E7758" t="str">
        <f>_xlfn.XLOOKUP(A7758,'[1]Tissue Data'!$A:$A,'[1]Tissue Data'!$H:$H)</f>
        <v>Notropis</v>
      </c>
      <c r="F7758" t="str">
        <f>_xlfn.XLOOKUP(A7758,'[1]Tissue Data'!$A:$A,'[1]Tissue Data'!$I:$I)</f>
        <v>procne</v>
      </c>
      <c r="G7758" t="str">
        <f>_xlfn.XLOOKUP(A7758,'[1]Tissue Data'!$A:$A,'[1]Tissue Data'!J:J)</f>
        <v>U</v>
      </c>
      <c r="H7758" t="str">
        <f>_xlfn.XLOOKUP(A7758,'[1]Tissue Data'!$A:$A,'[1]Tissue Data'!K:K)</f>
        <v>Whole Body</v>
      </c>
      <c r="I7758">
        <f>_xlfn.XLOOKUP(A7758,'[1]Tissue Data'!$A:$A,'[1]Tissue Data'!L:L)</f>
        <v>6</v>
      </c>
      <c r="J7758">
        <f>_xlfn.XLOOKUP(A7758,'[1]Tissue Data'!$A:$A,'[1]Tissue Data'!M:M)</f>
        <v>2.4500000000000002</v>
      </c>
      <c r="K7758" t="s">
        <v>18</v>
      </c>
      <c r="L7758" t="str">
        <f>_xlfn.XLOOKUP(K7758,[2]analyte_order!$B:$B,[2]analyte_order!$C:$C)</f>
        <v>335-76-2</v>
      </c>
      <c r="M7758">
        <f>_xlfn.XLOOKUP(L7758,[2]analyte_order!$C:$C,[2]analyte_order!$E:$E)</f>
        <v>7</v>
      </c>
      <c r="N7758">
        <v>2.75</v>
      </c>
    </row>
    <row r="7759" spans="1:14">
      <c r="A7759" t="s">
        <v>208</v>
      </c>
      <c r="B7759" t="str">
        <f>_xlfn.XLOOKUP(A7759,'[1]Tissue Data'!$A:$A,'[1]Tissue Data'!$C:$C)</f>
        <v>Down</v>
      </c>
      <c r="C7759" s="2">
        <f>_xlfn.XLOOKUP(A7759,'[1]Tissue Data'!$A:$A,'[1]Tissue Data'!$D:$D)</f>
        <v>44393</v>
      </c>
      <c r="D7759" s="2" t="str">
        <f>_xlfn.XLOOKUP(A7759,'[1]Tissue Data'!$A:$A,'[1]Tissue Data'!$F:$F)</f>
        <v>Swallowtail Shiner</v>
      </c>
      <c r="E7759" t="str">
        <f>_xlfn.XLOOKUP(A7759,'[1]Tissue Data'!$A:$A,'[1]Tissue Data'!$H:$H)</f>
        <v>Notropis</v>
      </c>
      <c r="F7759" t="str">
        <f>_xlfn.XLOOKUP(A7759,'[1]Tissue Data'!$A:$A,'[1]Tissue Data'!$I:$I)</f>
        <v>procne</v>
      </c>
      <c r="G7759" t="str">
        <f>_xlfn.XLOOKUP(A7759,'[1]Tissue Data'!$A:$A,'[1]Tissue Data'!J:J)</f>
        <v>U</v>
      </c>
      <c r="H7759" t="str">
        <f>_xlfn.XLOOKUP(A7759,'[1]Tissue Data'!$A:$A,'[1]Tissue Data'!K:K)</f>
        <v>Whole Body</v>
      </c>
      <c r="I7759">
        <f>_xlfn.XLOOKUP(A7759,'[1]Tissue Data'!$A:$A,'[1]Tissue Data'!L:L)</f>
        <v>6</v>
      </c>
      <c r="J7759">
        <f>_xlfn.XLOOKUP(A7759,'[1]Tissue Data'!$A:$A,'[1]Tissue Data'!M:M)</f>
        <v>2.4500000000000002</v>
      </c>
      <c r="K7759" t="s">
        <v>19</v>
      </c>
      <c r="L7759" t="str">
        <f>_xlfn.XLOOKUP(K7759,[2]analyte_order!$B:$B,[2]analyte_order!$C:$C)</f>
        <v>2058-94-8</v>
      </c>
      <c r="M7759">
        <f>_xlfn.XLOOKUP(L7759,[2]analyte_order!$C:$C,[2]analyte_order!$E:$E)</f>
        <v>8</v>
      </c>
      <c r="N7759">
        <v>3.71</v>
      </c>
    </row>
    <row r="7760" spans="1:14">
      <c r="A7760" t="s">
        <v>208</v>
      </c>
      <c r="B7760" t="str">
        <f>_xlfn.XLOOKUP(A7760,'[1]Tissue Data'!$A:$A,'[1]Tissue Data'!$C:$C)</f>
        <v>Down</v>
      </c>
      <c r="C7760" s="2">
        <f>_xlfn.XLOOKUP(A7760,'[1]Tissue Data'!$A:$A,'[1]Tissue Data'!$D:$D)</f>
        <v>44393</v>
      </c>
      <c r="D7760" s="2" t="str">
        <f>_xlfn.XLOOKUP(A7760,'[1]Tissue Data'!$A:$A,'[1]Tissue Data'!$F:$F)</f>
        <v>Swallowtail Shiner</v>
      </c>
      <c r="E7760" t="str">
        <f>_xlfn.XLOOKUP(A7760,'[1]Tissue Data'!$A:$A,'[1]Tissue Data'!$H:$H)</f>
        <v>Notropis</v>
      </c>
      <c r="F7760" t="str">
        <f>_xlfn.XLOOKUP(A7760,'[1]Tissue Data'!$A:$A,'[1]Tissue Data'!$I:$I)</f>
        <v>procne</v>
      </c>
      <c r="G7760" t="str">
        <f>_xlfn.XLOOKUP(A7760,'[1]Tissue Data'!$A:$A,'[1]Tissue Data'!J:J)</f>
        <v>U</v>
      </c>
      <c r="H7760" t="str">
        <f>_xlfn.XLOOKUP(A7760,'[1]Tissue Data'!$A:$A,'[1]Tissue Data'!K:K)</f>
        <v>Whole Body</v>
      </c>
      <c r="I7760">
        <f>_xlfn.XLOOKUP(A7760,'[1]Tissue Data'!$A:$A,'[1]Tissue Data'!L:L)</f>
        <v>6</v>
      </c>
      <c r="J7760">
        <f>_xlfn.XLOOKUP(A7760,'[1]Tissue Data'!$A:$A,'[1]Tissue Data'!M:M)</f>
        <v>2.4500000000000002</v>
      </c>
      <c r="K7760" t="s">
        <v>20</v>
      </c>
      <c r="L7760" t="str">
        <f>_xlfn.XLOOKUP(K7760,[2]analyte_order!$B:$B,[2]analyte_order!$C:$C)</f>
        <v>307-55-1</v>
      </c>
      <c r="M7760">
        <f>_xlfn.XLOOKUP(L7760,[2]analyte_order!$C:$C,[2]analyte_order!$E:$E)</f>
        <v>9</v>
      </c>
      <c r="N7760">
        <v>6.21</v>
      </c>
    </row>
    <row r="7761" spans="1:14">
      <c r="A7761" t="s">
        <v>208</v>
      </c>
      <c r="B7761" t="str">
        <f>_xlfn.XLOOKUP(A7761,'[1]Tissue Data'!$A:$A,'[1]Tissue Data'!$C:$C)</f>
        <v>Down</v>
      </c>
      <c r="C7761" s="2">
        <f>_xlfn.XLOOKUP(A7761,'[1]Tissue Data'!$A:$A,'[1]Tissue Data'!$D:$D)</f>
        <v>44393</v>
      </c>
      <c r="D7761" s="2" t="str">
        <f>_xlfn.XLOOKUP(A7761,'[1]Tissue Data'!$A:$A,'[1]Tissue Data'!$F:$F)</f>
        <v>Swallowtail Shiner</v>
      </c>
      <c r="E7761" t="str">
        <f>_xlfn.XLOOKUP(A7761,'[1]Tissue Data'!$A:$A,'[1]Tissue Data'!$H:$H)</f>
        <v>Notropis</v>
      </c>
      <c r="F7761" t="str">
        <f>_xlfn.XLOOKUP(A7761,'[1]Tissue Data'!$A:$A,'[1]Tissue Data'!$I:$I)</f>
        <v>procne</v>
      </c>
      <c r="G7761" t="str">
        <f>_xlfn.XLOOKUP(A7761,'[1]Tissue Data'!$A:$A,'[1]Tissue Data'!J:J)</f>
        <v>U</v>
      </c>
      <c r="H7761" t="str">
        <f>_xlfn.XLOOKUP(A7761,'[1]Tissue Data'!$A:$A,'[1]Tissue Data'!K:K)</f>
        <v>Whole Body</v>
      </c>
      <c r="I7761">
        <f>_xlfn.XLOOKUP(A7761,'[1]Tissue Data'!$A:$A,'[1]Tissue Data'!L:L)</f>
        <v>6</v>
      </c>
      <c r="J7761">
        <f>_xlfn.XLOOKUP(A7761,'[1]Tissue Data'!$A:$A,'[1]Tissue Data'!M:M)</f>
        <v>2.4500000000000002</v>
      </c>
      <c r="K7761" t="s">
        <v>21</v>
      </c>
      <c r="L7761" t="str">
        <f>_xlfn.XLOOKUP(K7761,[2]analyte_order!$B:$B,[2]analyte_order!$C:$C)</f>
        <v>72629-94-8</v>
      </c>
      <c r="M7761">
        <f>_xlfn.XLOOKUP(L7761,[2]analyte_order!$C:$C,[2]analyte_order!$E:$E)</f>
        <v>10</v>
      </c>
      <c r="N7761">
        <v>2.2000000000000002</v>
      </c>
    </row>
    <row r="7762" spans="1:14">
      <c r="A7762" t="s">
        <v>208</v>
      </c>
      <c r="B7762" t="str">
        <f>_xlfn.XLOOKUP(A7762,'[1]Tissue Data'!$A:$A,'[1]Tissue Data'!$C:$C)</f>
        <v>Down</v>
      </c>
      <c r="C7762" s="2">
        <f>_xlfn.XLOOKUP(A7762,'[1]Tissue Data'!$A:$A,'[1]Tissue Data'!$D:$D)</f>
        <v>44393</v>
      </c>
      <c r="D7762" s="2" t="str">
        <f>_xlfn.XLOOKUP(A7762,'[1]Tissue Data'!$A:$A,'[1]Tissue Data'!$F:$F)</f>
        <v>Swallowtail Shiner</v>
      </c>
      <c r="E7762" t="str">
        <f>_xlfn.XLOOKUP(A7762,'[1]Tissue Data'!$A:$A,'[1]Tissue Data'!$H:$H)</f>
        <v>Notropis</v>
      </c>
      <c r="F7762" t="str">
        <f>_xlfn.XLOOKUP(A7762,'[1]Tissue Data'!$A:$A,'[1]Tissue Data'!$I:$I)</f>
        <v>procne</v>
      </c>
      <c r="G7762" t="str">
        <f>_xlfn.XLOOKUP(A7762,'[1]Tissue Data'!$A:$A,'[1]Tissue Data'!J:J)</f>
        <v>U</v>
      </c>
      <c r="H7762" t="str">
        <f>_xlfn.XLOOKUP(A7762,'[1]Tissue Data'!$A:$A,'[1]Tissue Data'!K:K)</f>
        <v>Whole Body</v>
      </c>
      <c r="I7762">
        <f>_xlfn.XLOOKUP(A7762,'[1]Tissue Data'!$A:$A,'[1]Tissue Data'!L:L)</f>
        <v>6</v>
      </c>
      <c r="J7762">
        <f>_xlfn.XLOOKUP(A7762,'[1]Tissue Data'!$A:$A,'[1]Tissue Data'!M:M)</f>
        <v>2.4500000000000002</v>
      </c>
      <c r="K7762" t="s">
        <v>22</v>
      </c>
      <c r="L7762" t="str">
        <f>_xlfn.XLOOKUP(K7762,[2]analyte_order!$B:$B,[2]analyte_order!$C:$C)</f>
        <v>376-06-7</v>
      </c>
      <c r="M7762">
        <f>_xlfn.XLOOKUP(L7762,[2]analyte_order!$C:$C,[2]analyte_order!$E:$E)</f>
        <v>11</v>
      </c>
      <c r="N7762">
        <v>4.08</v>
      </c>
    </row>
    <row r="7763" spans="1:14">
      <c r="A7763" t="s">
        <v>208</v>
      </c>
      <c r="B7763" t="str">
        <f>_xlfn.XLOOKUP(A7763,'[1]Tissue Data'!$A:$A,'[1]Tissue Data'!$C:$C)</f>
        <v>Down</v>
      </c>
      <c r="C7763" s="2">
        <f>_xlfn.XLOOKUP(A7763,'[1]Tissue Data'!$A:$A,'[1]Tissue Data'!$D:$D)</f>
        <v>44393</v>
      </c>
      <c r="D7763" s="2" t="str">
        <f>_xlfn.XLOOKUP(A7763,'[1]Tissue Data'!$A:$A,'[1]Tissue Data'!$F:$F)</f>
        <v>Swallowtail Shiner</v>
      </c>
      <c r="E7763" t="str">
        <f>_xlfn.XLOOKUP(A7763,'[1]Tissue Data'!$A:$A,'[1]Tissue Data'!$H:$H)</f>
        <v>Notropis</v>
      </c>
      <c r="F7763" t="str">
        <f>_xlfn.XLOOKUP(A7763,'[1]Tissue Data'!$A:$A,'[1]Tissue Data'!$I:$I)</f>
        <v>procne</v>
      </c>
      <c r="G7763" t="str">
        <f>_xlfn.XLOOKUP(A7763,'[1]Tissue Data'!$A:$A,'[1]Tissue Data'!J:J)</f>
        <v>U</v>
      </c>
      <c r="H7763" t="str">
        <f>_xlfn.XLOOKUP(A7763,'[1]Tissue Data'!$A:$A,'[1]Tissue Data'!K:K)</f>
        <v>Whole Body</v>
      </c>
      <c r="I7763">
        <f>_xlfn.XLOOKUP(A7763,'[1]Tissue Data'!$A:$A,'[1]Tissue Data'!L:L)</f>
        <v>6</v>
      </c>
      <c r="J7763">
        <f>_xlfn.XLOOKUP(A7763,'[1]Tissue Data'!$A:$A,'[1]Tissue Data'!M:M)</f>
        <v>2.4500000000000002</v>
      </c>
      <c r="K7763" t="s">
        <v>23</v>
      </c>
      <c r="L7763" t="str">
        <f>_xlfn.XLOOKUP(K7763,[2]analyte_order!$B:$B,[2]analyte_order!$C:$C)</f>
        <v>67905-19-5</v>
      </c>
      <c r="M7763">
        <f>_xlfn.XLOOKUP(L7763,[2]analyte_order!$C:$C,[2]analyte_order!$E:$E)</f>
        <v>12</v>
      </c>
      <c r="N7763">
        <v>0.25850000000000001</v>
      </c>
    </row>
    <row r="7764" spans="1:14">
      <c r="A7764" t="s">
        <v>208</v>
      </c>
      <c r="B7764" t="str">
        <f>_xlfn.XLOOKUP(A7764,'[1]Tissue Data'!$A:$A,'[1]Tissue Data'!$C:$C)</f>
        <v>Down</v>
      </c>
      <c r="C7764" s="2">
        <f>_xlfn.XLOOKUP(A7764,'[1]Tissue Data'!$A:$A,'[1]Tissue Data'!$D:$D)</f>
        <v>44393</v>
      </c>
      <c r="D7764" s="2" t="str">
        <f>_xlfn.XLOOKUP(A7764,'[1]Tissue Data'!$A:$A,'[1]Tissue Data'!$F:$F)</f>
        <v>Swallowtail Shiner</v>
      </c>
      <c r="E7764" t="str">
        <f>_xlfn.XLOOKUP(A7764,'[1]Tissue Data'!$A:$A,'[1]Tissue Data'!$H:$H)</f>
        <v>Notropis</v>
      </c>
      <c r="F7764" t="str">
        <f>_xlfn.XLOOKUP(A7764,'[1]Tissue Data'!$A:$A,'[1]Tissue Data'!$I:$I)</f>
        <v>procne</v>
      </c>
      <c r="G7764" t="str">
        <f>_xlfn.XLOOKUP(A7764,'[1]Tissue Data'!$A:$A,'[1]Tissue Data'!J:J)</f>
        <v>U</v>
      </c>
      <c r="H7764" t="str">
        <f>_xlfn.XLOOKUP(A7764,'[1]Tissue Data'!$A:$A,'[1]Tissue Data'!K:K)</f>
        <v>Whole Body</v>
      </c>
      <c r="I7764">
        <f>_xlfn.XLOOKUP(A7764,'[1]Tissue Data'!$A:$A,'[1]Tissue Data'!L:L)</f>
        <v>6</v>
      </c>
      <c r="J7764">
        <f>_xlfn.XLOOKUP(A7764,'[1]Tissue Data'!$A:$A,'[1]Tissue Data'!M:M)</f>
        <v>2.4500000000000002</v>
      </c>
      <c r="K7764" t="s">
        <v>24</v>
      </c>
      <c r="L7764" t="str">
        <f>_xlfn.XLOOKUP(K7764,[2]analyte_order!$B:$B,[2]analyte_order!$C:$C)</f>
        <v>423-41-6</v>
      </c>
      <c r="M7764">
        <f>_xlfn.XLOOKUP(L7764,[2]analyte_order!$C:$C,[2]analyte_order!$E:$E)</f>
        <v>53</v>
      </c>
      <c r="N7764">
        <v>0.4335</v>
      </c>
    </row>
    <row r="7765" spans="1:14">
      <c r="A7765" t="s">
        <v>208</v>
      </c>
      <c r="B7765" t="str">
        <f>_xlfn.XLOOKUP(A7765,'[1]Tissue Data'!$A:$A,'[1]Tissue Data'!$C:$C)</f>
        <v>Down</v>
      </c>
      <c r="C7765" s="2">
        <f>_xlfn.XLOOKUP(A7765,'[1]Tissue Data'!$A:$A,'[1]Tissue Data'!$D:$D)</f>
        <v>44393</v>
      </c>
      <c r="D7765" s="2" t="str">
        <f>_xlfn.XLOOKUP(A7765,'[1]Tissue Data'!$A:$A,'[1]Tissue Data'!$F:$F)</f>
        <v>Swallowtail Shiner</v>
      </c>
      <c r="E7765" t="str">
        <f>_xlfn.XLOOKUP(A7765,'[1]Tissue Data'!$A:$A,'[1]Tissue Data'!$H:$H)</f>
        <v>Notropis</v>
      </c>
      <c r="F7765" t="str">
        <f>_xlfn.XLOOKUP(A7765,'[1]Tissue Data'!$A:$A,'[1]Tissue Data'!$I:$I)</f>
        <v>procne</v>
      </c>
      <c r="G7765" t="str">
        <f>_xlfn.XLOOKUP(A7765,'[1]Tissue Data'!$A:$A,'[1]Tissue Data'!J:J)</f>
        <v>U</v>
      </c>
      <c r="H7765" t="str">
        <f>_xlfn.XLOOKUP(A7765,'[1]Tissue Data'!$A:$A,'[1]Tissue Data'!K:K)</f>
        <v>Whole Body</v>
      </c>
      <c r="I7765">
        <f>_xlfn.XLOOKUP(A7765,'[1]Tissue Data'!$A:$A,'[1]Tissue Data'!L:L)</f>
        <v>6</v>
      </c>
      <c r="J7765">
        <f>_xlfn.XLOOKUP(A7765,'[1]Tissue Data'!$A:$A,'[1]Tissue Data'!M:M)</f>
        <v>2.4500000000000002</v>
      </c>
      <c r="K7765" t="s">
        <v>25</v>
      </c>
      <c r="L7765" t="str">
        <f>_xlfn.XLOOKUP(K7765,[2]analyte_order!$B:$B,[2]analyte_order!$C:$C)</f>
        <v>375-73-5</v>
      </c>
      <c r="M7765">
        <f>_xlfn.XLOOKUP(L7765,[2]analyte_order!$C:$C,[2]analyte_order!$E:$E)</f>
        <v>14</v>
      </c>
      <c r="N7765">
        <v>0.14749999999999999</v>
      </c>
    </row>
    <row r="7766" spans="1:14">
      <c r="A7766" t="s">
        <v>208</v>
      </c>
      <c r="B7766" t="str">
        <f>_xlfn.XLOOKUP(A7766,'[1]Tissue Data'!$A:$A,'[1]Tissue Data'!$C:$C)</f>
        <v>Down</v>
      </c>
      <c r="C7766" s="2">
        <f>_xlfn.XLOOKUP(A7766,'[1]Tissue Data'!$A:$A,'[1]Tissue Data'!$D:$D)</f>
        <v>44393</v>
      </c>
      <c r="D7766" s="2" t="str">
        <f>_xlfn.XLOOKUP(A7766,'[1]Tissue Data'!$A:$A,'[1]Tissue Data'!$F:$F)</f>
        <v>Swallowtail Shiner</v>
      </c>
      <c r="E7766" t="str">
        <f>_xlfn.XLOOKUP(A7766,'[1]Tissue Data'!$A:$A,'[1]Tissue Data'!$H:$H)</f>
        <v>Notropis</v>
      </c>
      <c r="F7766" t="str">
        <f>_xlfn.XLOOKUP(A7766,'[1]Tissue Data'!$A:$A,'[1]Tissue Data'!$I:$I)</f>
        <v>procne</v>
      </c>
      <c r="G7766" t="str">
        <f>_xlfn.XLOOKUP(A7766,'[1]Tissue Data'!$A:$A,'[1]Tissue Data'!J:J)</f>
        <v>U</v>
      </c>
      <c r="H7766" t="str">
        <f>_xlfn.XLOOKUP(A7766,'[1]Tissue Data'!$A:$A,'[1]Tissue Data'!K:K)</f>
        <v>Whole Body</v>
      </c>
      <c r="I7766">
        <f>_xlfn.XLOOKUP(A7766,'[1]Tissue Data'!$A:$A,'[1]Tissue Data'!L:L)</f>
        <v>6</v>
      </c>
      <c r="J7766">
        <f>_xlfn.XLOOKUP(A7766,'[1]Tissue Data'!$A:$A,'[1]Tissue Data'!M:M)</f>
        <v>2.4500000000000002</v>
      </c>
      <c r="K7766" t="s">
        <v>26</v>
      </c>
      <c r="L7766" t="str">
        <f>_xlfn.XLOOKUP(K7766,[2]analyte_order!$B:$B,[2]analyte_order!$C:$C)</f>
        <v>2706-91-4</v>
      </c>
      <c r="M7766">
        <f>_xlfn.XLOOKUP(L7766,[2]analyte_order!$C:$C,[2]analyte_order!$E:$E)</f>
        <v>15</v>
      </c>
      <c r="N7766">
        <v>0.34300000000000003</v>
      </c>
    </row>
    <row r="7767" spans="1:14">
      <c r="A7767" t="s">
        <v>208</v>
      </c>
      <c r="B7767" t="str">
        <f>_xlfn.XLOOKUP(A7767,'[1]Tissue Data'!$A:$A,'[1]Tissue Data'!$C:$C)</f>
        <v>Down</v>
      </c>
      <c r="C7767" s="2">
        <f>_xlfn.XLOOKUP(A7767,'[1]Tissue Data'!$A:$A,'[1]Tissue Data'!$D:$D)</f>
        <v>44393</v>
      </c>
      <c r="D7767" s="2" t="str">
        <f>_xlfn.XLOOKUP(A7767,'[1]Tissue Data'!$A:$A,'[1]Tissue Data'!$F:$F)</f>
        <v>Swallowtail Shiner</v>
      </c>
      <c r="E7767" t="str">
        <f>_xlfn.XLOOKUP(A7767,'[1]Tissue Data'!$A:$A,'[1]Tissue Data'!$H:$H)</f>
        <v>Notropis</v>
      </c>
      <c r="F7767" t="str">
        <f>_xlfn.XLOOKUP(A7767,'[1]Tissue Data'!$A:$A,'[1]Tissue Data'!$I:$I)</f>
        <v>procne</v>
      </c>
      <c r="G7767" t="str">
        <f>_xlfn.XLOOKUP(A7767,'[1]Tissue Data'!$A:$A,'[1]Tissue Data'!J:J)</f>
        <v>U</v>
      </c>
      <c r="H7767" t="str">
        <f>_xlfn.XLOOKUP(A7767,'[1]Tissue Data'!$A:$A,'[1]Tissue Data'!K:K)</f>
        <v>Whole Body</v>
      </c>
      <c r="I7767">
        <f>_xlfn.XLOOKUP(A7767,'[1]Tissue Data'!$A:$A,'[1]Tissue Data'!L:L)</f>
        <v>6</v>
      </c>
      <c r="J7767">
        <f>_xlfn.XLOOKUP(A7767,'[1]Tissue Data'!$A:$A,'[1]Tissue Data'!M:M)</f>
        <v>2.4500000000000002</v>
      </c>
      <c r="K7767" t="s">
        <v>27</v>
      </c>
      <c r="L7767" t="str">
        <f>_xlfn.XLOOKUP(K7767,[2]analyte_order!$B:$B,[2]analyte_order!$C:$C)</f>
        <v>355-46-4</v>
      </c>
      <c r="M7767">
        <f>_xlfn.XLOOKUP(L7767,[2]analyte_order!$C:$C,[2]analyte_order!$E:$E)</f>
        <v>16</v>
      </c>
      <c r="N7767">
        <v>34.1</v>
      </c>
    </row>
    <row r="7768" spans="1:14">
      <c r="A7768" t="s">
        <v>208</v>
      </c>
      <c r="B7768" t="str">
        <f>_xlfn.XLOOKUP(A7768,'[1]Tissue Data'!$A:$A,'[1]Tissue Data'!$C:$C)</f>
        <v>Down</v>
      </c>
      <c r="C7768" s="2">
        <f>_xlfn.XLOOKUP(A7768,'[1]Tissue Data'!$A:$A,'[1]Tissue Data'!$D:$D)</f>
        <v>44393</v>
      </c>
      <c r="D7768" s="2" t="str">
        <f>_xlfn.XLOOKUP(A7768,'[1]Tissue Data'!$A:$A,'[1]Tissue Data'!$F:$F)</f>
        <v>Swallowtail Shiner</v>
      </c>
      <c r="E7768" t="str">
        <f>_xlfn.XLOOKUP(A7768,'[1]Tissue Data'!$A:$A,'[1]Tissue Data'!$H:$H)</f>
        <v>Notropis</v>
      </c>
      <c r="F7768" t="str">
        <f>_xlfn.XLOOKUP(A7768,'[1]Tissue Data'!$A:$A,'[1]Tissue Data'!$I:$I)</f>
        <v>procne</v>
      </c>
      <c r="G7768" t="str">
        <f>_xlfn.XLOOKUP(A7768,'[1]Tissue Data'!$A:$A,'[1]Tissue Data'!J:J)</f>
        <v>U</v>
      </c>
      <c r="H7768" t="str">
        <f>_xlfn.XLOOKUP(A7768,'[1]Tissue Data'!$A:$A,'[1]Tissue Data'!K:K)</f>
        <v>Whole Body</v>
      </c>
      <c r="I7768">
        <f>_xlfn.XLOOKUP(A7768,'[1]Tissue Data'!$A:$A,'[1]Tissue Data'!L:L)</f>
        <v>6</v>
      </c>
      <c r="J7768">
        <f>_xlfn.XLOOKUP(A7768,'[1]Tissue Data'!$A:$A,'[1]Tissue Data'!M:M)</f>
        <v>2.4500000000000002</v>
      </c>
      <c r="K7768" t="s">
        <v>28</v>
      </c>
      <c r="L7768" t="str">
        <f>_xlfn.XLOOKUP(K7768,[2]analyte_order!$B:$B,[2]analyte_order!$C:$C)</f>
        <v>375-92-8</v>
      </c>
      <c r="M7768">
        <f>_xlfn.XLOOKUP(L7768,[2]analyte_order!$C:$C,[2]analyte_order!$E:$E)</f>
        <v>17</v>
      </c>
      <c r="N7768">
        <v>2.73</v>
      </c>
    </row>
    <row r="7769" spans="1:14">
      <c r="A7769" t="s">
        <v>208</v>
      </c>
      <c r="B7769" t="str">
        <f>_xlfn.XLOOKUP(A7769,'[1]Tissue Data'!$A:$A,'[1]Tissue Data'!$C:$C)</f>
        <v>Down</v>
      </c>
      <c r="C7769" s="2">
        <f>_xlfn.XLOOKUP(A7769,'[1]Tissue Data'!$A:$A,'[1]Tissue Data'!$D:$D)</f>
        <v>44393</v>
      </c>
      <c r="D7769" s="2" t="str">
        <f>_xlfn.XLOOKUP(A7769,'[1]Tissue Data'!$A:$A,'[1]Tissue Data'!$F:$F)</f>
        <v>Swallowtail Shiner</v>
      </c>
      <c r="E7769" t="str">
        <f>_xlfn.XLOOKUP(A7769,'[1]Tissue Data'!$A:$A,'[1]Tissue Data'!$H:$H)</f>
        <v>Notropis</v>
      </c>
      <c r="F7769" t="str">
        <f>_xlfn.XLOOKUP(A7769,'[1]Tissue Data'!$A:$A,'[1]Tissue Data'!$I:$I)</f>
        <v>procne</v>
      </c>
      <c r="G7769" t="str">
        <f>_xlfn.XLOOKUP(A7769,'[1]Tissue Data'!$A:$A,'[1]Tissue Data'!J:J)</f>
        <v>U</v>
      </c>
      <c r="H7769" t="str">
        <f>_xlfn.XLOOKUP(A7769,'[1]Tissue Data'!$A:$A,'[1]Tissue Data'!K:K)</f>
        <v>Whole Body</v>
      </c>
      <c r="I7769">
        <f>_xlfn.XLOOKUP(A7769,'[1]Tissue Data'!$A:$A,'[1]Tissue Data'!L:L)</f>
        <v>6</v>
      </c>
      <c r="J7769">
        <f>_xlfn.XLOOKUP(A7769,'[1]Tissue Data'!$A:$A,'[1]Tissue Data'!M:M)</f>
        <v>2.4500000000000002</v>
      </c>
      <c r="K7769" t="s">
        <v>29</v>
      </c>
      <c r="L7769" t="str">
        <f>_xlfn.XLOOKUP(K7769,[2]analyte_order!$B:$B,[2]analyte_order!$C:$C)</f>
        <v>1763-23-1</v>
      </c>
      <c r="M7769">
        <f>_xlfn.XLOOKUP(L7769,[2]analyte_order!$C:$C,[2]analyte_order!$E:$E)</f>
        <v>18</v>
      </c>
      <c r="N7769">
        <v>330</v>
      </c>
    </row>
    <row r="7770" spans="1:14">
      <c r="A7770" t="s">
        <v>208</v>
      </c>
      <c r="B7770" t="str">
        <f>_xlfn.XLOOKUP(A7770,'[1]Tissue Data'!$A:$A,'[1]Tissue Data'!$C:$C)</f>
        <v>Down</v>
      </c>
      <c r="C7770" s="2">
        <f>_xlfn.XLOOKUP(A7770,'[1]Tissue Data'!$A:$A,'[1]Tissue Data'!$D:$D)</f>
        <v>44393</v>
      </c>
      <c r="D7770" s="2" t="str">
        <f>_xlfn.XLOOKUP(A7770,'[1]Tissue Data'!$A:$A,'[1]Tissue Data'!$F:$F)</f>
        <v>Swallowtail Shiner</v>
      </c>
      <c r="E7770" t="str">
        <f>_xlfn.XLOOKUP(A7770,'[1]Tissue Data'!$A:$A,'[1]Tissue Data'!$H:$H)</f>
        <v>Notropis</v>
      </c>
      <c r="F7770" t="str">
        <f>_xlfn.XLOOKUP(A7770,'[1]Tissue Data'!$A:$A,'[1]Tissue Data'!$I:$I)</f>
        <v>procne</v>
      </c>
      <c r="G7770" t="str">
        <f>_xlfn.XLOOKUP(A7770,'[1]Tissue Data'!$A:$A,'[1]Tissue Data'!J:J)</f>
        <v>U</v>
      </c>
      <c r="H7770" t="str">
        <f>_xlfn.XLOOKUP(A7770,'[1]Tissue Data'!$A:$A,'[1]Tissue Data'!K:K)</f>
        <v>Whole Body</v>
      </c>
      <c r="I7770">
        <f>_xlfn.XLOOKUP(A7770,'[1]Tissue Data'!$A:$A,'[1]Tissue Data'!L:L)</f>
        <v>6</v>
      </c>
      <c r="J7770">
        <f>_xlfn.XLOOKUP(A7770,'[1]Tissue Data'!$A:$A,'[1]Tissue Data'!M:M)</f>
        <v>2.4500000000000002</v>
      </c>
      <c r="K7770" t="s">
        <v>30</v>
      </c>
      <c r="L7770" t="str">
        <f>_xlfn.XLOOKUP(K7770,[2]analyte_order!$B:$B,[2]analyte_order!$C:$C)</f>
        <v>68259-12-1</v>
      </c>
      <c r="M7770">
        <f>_xlfn.XLOOKUP(L7770,[2]analyte_order!$C:$C,[2]analyte_order!$E:$E)</f>
        <v>19</v>
      </c>
      <c r="N7770">
        <v>0.217</v>
      </c>
    </row>
    <row r="7771" spans="1:14">
      <c r="A7771" t="s">
        <v>208</v>
      </c>
      <c r="B7771" t="str">
        <f>_xlfn.XLOOKUP(A7771,'[1]Tissue Data'!$A:$A,'[1]Tissue Data'!$C:$C)</f>
        <v>Down</v>
      </c>
      <c r="C7771" s="2">
        <f>_xlfn.XLOOKUP(A7771,'[1]Tissue Data'!$A:$A,'[1]Tissue Data'!$D:$D)</f>
        <v>44393</v>
      </c>
      <c r="D7771" s="2" t="str">
        <f>_xlfn.XLOOKUP(A7771,'[1]Tissue Data'!$A:$A,'[1]Tissue Data'!$F:$F)</f>
        <v>Swallowtail Shiner</v>
      </c>
      <c r="E7771" t="str">
        <f>_xlfn.XLOOKUP(A7771,'[1]Tissue Data'!$A:$A,'[1]Tissue Data'!$H:$H)</f>
        <v>Notropis</v>
      </c>
      <c r="F7771" t="str">
        <f>_xlfn.XLOOKUP(A7771,'[1]Tissue Data'!$A:$A,'[1]Tissue Data'!$I:$I)</f>
        <v>procne</v>
      </c>
      <c r="G7771" t="str">
        <f>_xlfn.XLOOKUP(A7771,'[1]Tissue Data'!$A:$A,'[1]Tissue Data'!J:J)</f>
        <v>U</v>
      </c>
      <c r="H7771" t="str">
        <f>_xlfn.XLOOKUP(A7771,'[1]Tissue Data'!$A:$A,'[1]Tissue Data'!K:K)</f>
        <v>Whole Body</v>
      </c>
      <c r="I7771">
        <f>_xlfn.XLOOKUP(A7771,'[1]Tissue Data'!$A:$A,'[1]Tissue Data'!L:L)</f>
        <v>6</v>
      </c>
      <c r="J7771">
        <f>_xlfn.XLOOKUP(A7771,'[1]Tissue Data'!$A:$A,'[1]Tissue Data'!M:M)</f>
        <v>2.4500000000000002</v>
      </c>
      <c r="K7771" t="s">
        <v>31</v>
      </c>
      <c r="L7771" t="str">
        <f>_xlfn.XLOOKUP(K7771,[2]analyte_order!$B:$B,[2]analyte_order!$C:$C)</f>
        <v>335-77-3</v>
      </c>
      <c r="M7771">
        <f>_xlfn.XLOOKUP(L7771,[2]analyte_order!$C:$C,[2]analyte_order!$E:$E)</f>
        <v>20</v>
      </c>
      <c r="N7771">
        <v>0.217</v>
      </c>
    </row>
    <row r="7772" spans="1:14">
      <c r="A7772" t="s">
        <v>208</v>
      </c>
      <c r="B7772" t="str">
        <f>_xlfn.XLOOKUP(A7772,'[1]Tissue Data'!$A:$A,'[1]Tissue Data'!$C:$C)</f>
        <v>Down</v>
      </c>
      <c r="C7772" s="2">
        <f>_xlfn.XLOOKUP(A7772,'[1]Tissue Data'!$A:$A,'[1]Tissue Data'!$D:$D)</f>
        <v>44393</v>
      </c>
      <c r="D7772" s="2" t="str">
        <f>_xlfn.XLOOKUP(A7772,'[1]Tissue Data'!$A:$A,'[1]Tissue Data'!$F:$F)</f>
        <v>Swallowtail Shiner</v>
      </c>
      <c r="E7772" t="str">
        <f>_xlfn.XLOOKUP(A7772,'[1]Tissue Data'!$A:$A,'[1]Tissue Data'!$H:$H)</f>
        <v>Notropis</v>
      </c>
      <c r="F7772" t="str">
        <f>_xlfn.XLOOKUP(A7772,'[1]Tissue Data'!$A:$A,'[1]Tissue Data'!$I:$I)</f>
        <v>procne</v>
      </c>
      <c r="G7772" t="str">
        <f>_xlfn.XLOOKUP(A7772,'[1]Tissue Data'!$A:$A,'[1]Tissue Data'!J:J)</f>
        <v>U</v>
      </c>
      <c r="H7772" t="str">
        <f>_xlfn.XLOOKUP(A7772,'[1]Tissue Data'!$A:$A,'[1]Tissue Data'!K:K)</f>
        <v>Whole Body</v>
      </c>
      <c r="I7772">
        <f>_xlfn.XLOOKUP(A7772,'[1]Tissue Data'!$A:$A,'[1]Tissue Data'!L:L)</f>
        <v>6</v>
      </c>
      <c r="J7772">
        <f>_xlfn.XLOOKUP(A7772,'[1]Tissue Data'!$A:$A,'[1]Tissue Data'!M:M)</f>
        <v>2.4500000000000002</v>
      </c>
      <c r="K7772" t="s">
        <v>32</v>
      </c>
      <c r="L7772" t="str">
        <f>_xlfn.XLOOKUP(K7772,[2]analyte_order!$B:$B,[2]analyte_order!$C:$C)</f>
        <v>79780-39-5</v>
      </c>
      <c r="M7772">
        <f>_xlfn.XLOOKUP(L7772,[2]analyte_order!$C:$C,[2]analyte_order!$E:$E)</f>
        <v>21</v>
      </c>
      <c r="N7772">
        <v>0.23200000000000001</v>
      </c>
    </row>
    <row r="7773" spans="1:14">
      <c r="A7773" t="s">
        <v>208</v>
      </c>
      <c r="B7773" t="str">
        <f>_xlfn.XLOOKUP(A7773,'[1]Tissue Data'!$A:$A,'[1]Tissue Data'!$C:$C)</f>
        <v>Down</v>
      </c>
      <c r="C7773" s="2">
        <f>_xlfn.XLOOKUP(A7773,'[1]Tissue Data'!$A:$A,'[1]Tissue Data'!$D:$D)</f>
        <v>44393</v>
      </c>
      <c r="D7773" s="2" t="str">
        <f>_xlfn.XLOOKUP(A7773,'[1]Tissue Data'!$A:$A,'[1]Tissue Data'!$F:$F)</f>
        <v>Swallowtail Shiner</v>
      </c>
      <c r="E7773" t="str">
        <f>_xlfn.XLOOKUP(A7773,'[1]Tissue Data'!$A:$A,'[1]Tissue Data'!$H:$H)</f>
        <v>Notropis</v>
      </c>
      <c r="F7773" t="str">
        <f>_xlfn.XLOOKUP(A7773,'[1]Tissue Data'!$A:$A,'[1]Tissue Data'!$I:$I)</f>
        <v>procne</v>
      </c>
      <c r="G7773" t="str">
        <f>_xlfn.XLOOKUP(A7773,'[1]Tissue Data'!$A:$A,'[1]Tissue Data'!J:J)</f>
        <v>U</v>
      </c>
      <c r="H7773" t="str">
        <f>_xlfn.XLOOKUP(A7773,'[1]Tissue Data'!$A:$A,'[1]Tissue Data'!K:K)</f>
        <v>Whole Body</v>
      </c>
      <c r="I7773">
        <f>_xlfn.XLOOKUP(A7773,'[1]Tissue Data'!$A:$A,'[1]Tissue Data'!L:L)</f>
        <v>6</v>
      </c>
      <c r="J7773">
        <f>_xlfn.XLOOKUP(A7773,'[1]Tissue Data'!$A:$A,'[1]Tissue Data'!M:M)</f>
        <v>2.4500000000000002</v>
      </c>
      <c r="K7773" t="s">
        <v>33</v>
      </c>
      <c r="L7773" t="str">
        <f>_xlfn.XLOOKUP(K7773,[2]analyte_order!$B:$B,[2]analyte_order!$C:$C)</f>
        <v>777011-38-8</v>
      </c>
      <c r="M7773">
        <f>_xlfn.XLOOKUP(L7773,[2]analyte_order!$C:$C,[2]analyte_order!$E:$E)</f>
        <v>54</v>
      </c>
      <c r="N7773">
        <v>0.13150000000000001</v>
      </c>
    </row>
    <row r="7774" spans="1:14">
      <c r="A7774" t="s">
        <v>208</v>
      </c>
      <c r="B7774" t="str">
        <f>_xlfn.XLOOKUP(A7774,'[1]Tissue Data'!$A:$A,'[1]Tissue Data'!$C:$C)</f>
        <v>Down</v>
      </c>
      <c r="C7774" s="2">
        <f>_xlfn.XLOOKUP(A7774,'[1]Tissue Data'!$A:$A,'[1]Tissue Data'!$D:$D)</f>
        <v>44393</v>
      </c>
      <c r="D7774" s="2" t="str">
        <f>_xlfn.XLOOKUP(A7774,'[1]Tissue Data'!$A:$A,'[1]Tissue Data'!$F:$F)</f>
        <v>Swallowtail Shiner</v>
      </c>
      <c r="E7774" t="str">
        <f>_xlfn.XLOOKUP(A7774,'[1]Tissue Data'!$A:$A,'[1]Tissue Data'!$H:$H)</f>
        <v>Notropis</v>
      </c>
      <c r="F7774" t="str">
        <f>_xlfn.XLOOKUP(A7774,'[1]Tissue Data'!$A:$A,'[1]Tissue Data'!$I:$I)</f>
        <v>procne</v>
      </c>
      <c r="G7774" t="str">
        <f>_xlfn.XLOOKUP(A7774,'[1]Tissue Data'!$A:$A,'[1]Tissue Data'!J:J)</f>
        <v>U</v>
      </c>
      <c r="H7774" t="str">
        <f>_xlfn.XLOOKUP(A7774,'[1]Tissue Data'!$A:$A,'[1]Tissue Data'!K:K)</f>
        <v>Whole Body</v>
      </c>
      <c r="I7774">
        <f>_xlfn.XLOOKUP(A7774,'[1]Tissue Data'!$A:$A,'[1]Tissue Data'!L:L)</f>
        <v>6</v>
      </c>
      <c r="J7774">
        <f>_xlfn.XLOOKUP(A7774,'[1]Tissue Data'!$A:$A,'[1]Tissue Data'!M:M)</f>
        <v>2.4500000000000002</v>
      </c>
      <c r="K7774" t="s">
        <v>34</v>
      </c>
      <c r="L7774" t="str">
        <f>_xlfn.XLOOKUP(K7774,[2]analyte_order!$B:$B,[2]analyte_order!$C:$C)</f>
        <v>646-83-3</v>
      </c>
      <c r="M7774">
        <f>_xlfn.XLOOKUP(L7774,[2]analyte_order!$C:$C,[2]analyte_order!$E:$E)</f>
        <v>55</v>
      </c>
      <c r="N7774">
        <v>8.6499999999999994E-2</v>
      </c>
    </row>
    <row r="7775" spans="1:14">
      <c r="A7775" t="s">
        <v>208</v>
      </c>
      <c r="B7775" t="str">
        <f>_xlfn.XLOOKUP(A7775,'[1]Tissue Data'!$A:$A,'[1]Tissue Data'!$C:$C)</f>
        <v>Down</v>
      </c>
      <c r="C7775" s="2">
        <f>_xlfn.XLOOKUP(A7775,'[1]Tissue Data'!$A:$A,'[1]Tissue Data'!$D:$D)</f>
        <v>44393</v>
      </c>
      <c r="D7775" s="2" t="str">
        <f>_xlfn.XLOOKUP(A7775,'[1]Tissue Data'!$A:$A,'[1]Tissue Data'!$F:$F)</f>
        <v>Swallowtail Shiner</v>
      </c>
      <c r="E7775" t="str">
        <f>_xlfn.XLOOKUP(A7775,'[1]Tissue Data'!$A:$A,'[1]Tissue Data'!$H:$H)</f>
        <v>Notropis</v>
      </c>
      <c r="F7775" t="str">
        <f>_xlfn.XLOOKUP(A7775,'[1]Tissue Data'!$A:$A,'[1]Tissue Data'!$I:$I)</f>
        <v>procne</v>
      </c>
      <c r="G7775" t="str">
        <f>_xlfn.XLOOKUP(A7775,'[1]Tissue Data'!$A:$A,'[1]Tissue Data'!J:J)</f>
        <v>U</v>
      </c>
      <c r="H7775" t="str">
        <f>_xlfn.XLOOKUP(A7775,'[1]Tissue Data'!$A:$A,'[1]Tissue Data'!K:K)</f>
        <v>Whole Body</v>
      </c>
      <c r="I7775">
        <f>_xlfn.XLOOKUP(A7775,'[1]Tissue Data'!$A:$A,'[1]Tissue Data'!L:L)</f>
        <v>6</v>
      </c>
      <c r="J7775">
        <f>_xlfn.XLOOKUP(A7775,'[1]Tissue Data'!$A:$A,'[1]Tissue Data'!M:M)</f>
        <v>2.4500000000000002</v>
      </c>
      <c r="K7775" t="s">
        <v>35</v>
      </c>
      <c r="L7775" t="str">
        <f>_xlfn.XLOOKUP(K7775,[2]analyte_order!$B:$B,[2]analyte_order!$C:$C)</f>
        <v>30334-69-1</v>
      </c>
      <c r="M7775">
        <f>_xlfn.XLOOKUP(L7775,[2]analyte_order!$C:$C,[2]analyte_order!$E:$E)</f>
        <v>51</v>
      </c>
      <c r="N7775">
        <v>56.2</v>
      </c>
    </row>
    <row r="7776" spans="1:14">
      <c r="A7776" t="s">
        <v>208</v>
      </c>
      <c r="B7776" t="str">
        <f>_xlfn.XLOOKUP(A7776,'[1]Tissue Data'!$A:$A,'[1]Tissue Data'!$C:$C)</f>
        <v>Down</v>
      </c>
      <c r="C7776" s="2">
        <f>_xlfn.XLOOKUP(A7776,'[1]Tissue Data'!$A:$A,'[1]Tissue Data'!$D:$D)</f>
        <v>44393</v>
      </c>
      <c r="D7776" s="2" t="str">
        <f>_xlfn.XLOOKUP(A7776,'[1]Tissue Data'!$A:$A,'[1]Tissue Data'!$F:$F)</f>
        <v>Swallowtail Shiner</v>
      </c>
      <c r="E7776" t="str">
        <f>_xlfn.XLOOKUP(A7776,'[1]Tissue Data'!$A:$A,'[1]Tissue Data'!$H:$H)</f>
        <v>Notropis</v>
      </c>
      <c r="F7776" t="str">
        <f>_xlfn.XLOOKUP(A7776,'[1]Tissue Data'!$A:$A,'[1]Tissue Data'!$I:$I)</f>
        <v>procne</v>
      </c>
      <c r="G7776" t="str">
        <f>_xlfn.XLOOKUP(A7776,'[1]Tissue Data'!$A:$A,'[1]Tissue Data'!J:J)</f>
        <v>U</v>
      </c>
      <c r="H7776" t="str">
        <f>_xlfn.XLOOKUP(A7776,'[1]Tissue Data'!$A:$A,'[1]Tissue Data'!K:K)</f>
        <v>Whole Body</v>
      </c>
      <c r="I7776">
        <f>_xlfn.XLOOKUP(A7776,'[1]Tissue Data'!$A:$A,'[1]Tissue Data'!L:L)</f>
        <v>6</v>
      </c>
      <c r="J7776">
        <f>_xlfn.XLOOKUP(A7776,'[1]Tissue Data'!$A:$A,'[1]Tissue Data'!M:M)</f>
        <v>2.4500000000000002</v>
      </c>
      <c r="K7776" t="s">
        <v>36</v>
      </c>
      <c r="L7776" t="str">
        <f>_xlfn.XLOOKUP(K7776,[2]analyte_order!$B:$B,[2]analyte_order!$C:$C)</f>
        <v>41997-13-1</v>
      </c>
      <c r="M7776">
        <f>_xlfn.XLOOKUP(L7776,[2]analyte_order!$C:$C,[2]analyte_order!$E:$E)</f>
        <v>52</v>
      </c>
      <c r="N7776">
        <v>354</v>
      </c>
    </row>
    <row r="7777" spans="1:14">
      <c r="A7777" t="s">
        <v>208</v>
      </c>
      <c r="B7777" t="str">
        <f>_xlfn.XLOOKUP(A7777,'[1]Tissue Data'!$A:$A,'[1]Tissue Data'!$C:$C)</f>
        <v>Down</v>
      </c>
      <c r="C7777" s="2">
        <f>_xlfn.XLOOKUP(A7777,'[1]Tissue Data'!$A:$A,'[1]Tissue Data'!$D:$D)</f>
        <v>44393</v>
      </c>
      <c r="D7777" s="2" t="str">
        <f>_xlfn.XLOOKUP(A7777,'[1]Tissue Data'!$A:$A,'[1]Tissue Data'!$F:$F)</f>
        <v>Swallowtail Shiner</v>
      </c>
      <c r="E7777" t="str">
        <f>_xlfn.XLOOKUP(A7777,'[1]Tissue Data'!$A:$A,'[1]Tissue Data'!$H:$H)</f>
        <v>Notropis</v>
      </c>
      <c r="F7777" t="str">
        <f>_xlfn.XLOOKUP(A7777,'[1]Tissue Data'!$A:$A,'[1]Tissue Data'!$I:$I)</f>
        <v>procne</v>
      </c>
      <c r="G7777" t="str">
        <f>_xlfn.XLOOKUP(A7777,'[1]Tissue Data'!$A:$A,'[1]Tissue Data'!J:J)</f>
        <v>U</v>
      </c>
      <c r="H7777" t="str">
        <f>_xlfn.XLOOKUP(A7777,'[1]Tissue Data'!$A:$A,'[1]Tissue Data'!K:K)</f>
        <v>Whole Body</v>
      </c>
      <c r="I7777">
        <f>_xlfn.XLOOKUP(A7777,'[1]Tissue Data'!$A:$A,'[1]Tissue Data'!L:L)</f>
        <v>6</v>
      </c>
      <c r="J7777">
        <f>_xlfn.XLOOKUP(A7777,'[1]Tissue Data'!$A:$A,'[1]Tissue Data'!M:M)</f>
        <v>2.4500000000000002</v>
      </c>
      <c r="K7777" t="s">
        <v>37</v>
      </c>
      <c r="L7777" t="str">
        <f>_xlfn.XLOOKUP(K7777,[2]analyte_order!$B:$B,[2]analyte_order!$C:$C)</f>
        <v>754-91-6</v>
      </c>
      <c r="M7777">
        <f>_xlfn.XLOOKUP(L7777,[2]analyte_order!$C:$C,[2]analyte_order!$E:$E)</f>
        <v>28</v>
      </c>
      <c r="N7777">
        <v>13.4</v>
      </c>
    </row>
    <row r="7778" spans="1:14">
      <c r="A7778" t="s">
        <v>208</v>
      </c>
      <c r="B7778" t="str">
        <f>_xlfn.XLOOKUP(A7778,'[1]Tissue Data'!$A:$A,'[1]Tissue Data'!$C:$C)</f>
        <v>Down</v>
      </c>
      <c r="C7778" s="2">
        <f>_xlfn.XLOOKUP(A7778,'[1]Tissue Data'!$A:$A,'[1]Tissue Data'!$D:$D)</f>
        <v>44393</v>
      </c>
      <c r="D7778" s="2" t="str">
        <f>_xlfn.XLOOKUP(A7778,'[1]Tissue Data'!$A:$A,'[1]Tissue Data'!$F:$F)</f>
        <v>Swallowtail Shiner</v>
      </c>
      <c r="E7778" t="str">
        <f>_xlfn.XLOOKUP(A7778,'[1]Tissue Data'!$A:$A,'[1]Tissue Data'!$H:$H)</f>
        <v>Notropis</v>
      </c>
      <c r="F7778" t="str">
        <f>_xlfn.XLOOKUP(A7778,'[1]Tissue Data'!$A:$A,'[1]Tissue Data'!$I:$I)</f>
        <v>procne</v>
      </c>
      <c r="G7778" t="str">
        <f>_xlfn.XLOOKUP(A7778,'[1]Tissue Data'!$A:$A,'[1]Tissue Data'!J:J)</f>
        <v>U</v>
      </c>
      <c r="H7778" t="str">
        <f>_xlfn.XLOOKUP(A7778,'[1]Tissue Data'!$A:$A,'[1]Tissue Data'!K:K)</f>
        <v>Whole Body</v>
      </c>
      <c r="I7778">
        <f>_xlfn.XLOOKUP(A7778,'[1]Tissue Data'!$A:$A,'[1]Tissue Data'!L:L)</f>
        <v>6</v>
      </c>
      <c r="J7778">
        <f>_xlfn.XLOOKUP(A7778,'[1]Tissue Data'!$A:$A,'[1]Tissue Data'!M:M)</f>
        <v>2.4500000000000002</v>
      </c>
      <c r="K7778" t="s">
        <v>38</v>
      </c>
      <c r="L7778" t="str">
        <f>_xlfn.XLOOKUP(K7778,[2]analyte_order!$B:$B,[2]analyte_order!$C:$C)</f>
        <v>31506-32-8</v>
      </c>
      <c r="M7778">
        <f>_xlfn.XLOOKUP(L7778,[2]analyte_order!$C:$C,[2]analyte_order!$E:$E)</f>
        <v>30</v>
      </c>
      <c r="N7778">
        <v>0.16700000000000001</v>
      </c>
    </row>
    <row r="7779" spans="1:14">
      <c r="A7779" t="s">
        <v>208</v>
      </c>
      <c r="B7779" t="str">
        <f>_xlfn.XLOOKUP(A7779,'[1]Tissue Data'!$A:$A,'[1]Tissue Data'!$C:$C)</f>
        <v>Down</v>
      </c>
      <c r="C7779" s="2">
        <f>_xlfn.XLOOKUP(A7779,'[1]Tissue Data'!$A:$A,'[1]Tissue Data'!$D:$D)</f>
        <v>44393</v>
      </c>
      <c r="D7779" s="2" t="str">
        <f>_xlfn.XLOOKUP(A7779,'[1]Tissue Data'!$A:$A,'[1]Tissue Data'!$F:$F)</f>
        <v>Swallowtail Shiner</v>
      </c>
      <c r="E7779" t="str">
        <f>_xlfn.XLOOKUP(A7779,'[1]Tissue Data'!$A:$A,'[1]Tissue Data'!$H:$H)</f>
        <v>Notropis</v>
      </c>
      <c r="F7779" t="str">
        <f>_xlfn.XLOOKUP(A7779,'[1]Tissue Data'!$A:$A,'[1]Tissue Data'!$I:$I)</f>
        <v>procne</v>
      </c>
      <c r="G7779" t="str">
        <f>_xlfn.XLOOKUP(A7779,'[1]Tissue Data'!$A:$A,'[1]Tissue Data'!J:J)</f>
        <v>U</v>
      </c>
      <c r="H7779" t="str">
        <f>_xlfn.XLOOKUP(A7779,'[1]Tissue Data'!$A:$A,'[1]Tissue Data'!K:K)</f>
        <v>Whole Body</v>
      </c>
      <c r="I7779">
        <f>_xlfn.XLOOKUP(A7779,'[1]Tissue Data'!$A:$A,'[1]Tissue Data'!L:L)</f>
        <v>6</v>
      </c>
      <c r="J7779">
        <f>_xlfn.XLOOKUP(A7779,'[1]Tissue Data'!$A:$A,'[1]Tissue Data'!M:M)</f>
        <v>2.4500000000000002</v>
      </c>
      <c r="K7779" t="s">
        <v>39</v>
      </c>
      <c r="L7779" t="str">
        <f>_xlfn.XLOOKUP(K7779,[2]analyte_order!$B:$B,[2]analyte_order!$C:$C)</f>
        <v>4151-50-2</v>
      </c>
      <c r="M7779">
        <f>_xlfn.XLOOKUP(L7779,[2]analyte_order!$C:$C,[2]analyte_order!$E:$E)</f>
        <v>31</v>
      </c>
      <c r="N7779">
        <v>0.4335</v>
      </c>
    </row>
    <row r="7780" spans="1:14">
      <c r="A7780" t="s">
        <v>208</v>
      </c>
      <c r="B7780" t="str">
        <f>_xlfn.XLOOKUP(A7780,'[1]Tissue Data'!$A:$A,'[1]Tissue Data'!$C:$C)</f>
        <v>Down</v>
      </c>
      <c r="C7780" s="2">
        <f>_xlfn.XLOOKUP(A7780,'[1]Tissue Data'!$A:$A,'[1]Tissue Data'!$D:$D)</f>
        <v>44393</v>
      </c>
      <c r="D7780" s="2" t="str">
        <f>_xlfn.XLOOKUP(A7780,'[1]Tissue Data'!$A:$A,'[1]Tissue Data'!$F:$F)</f>
        <v>Swallowtail Shiner</v>
      </c>
      <c r="E7780" t="str">
        <f>_xlfn.XLOOKUP(A7780,'[1]Tissue Data'!$A:$A,'[1]Tissue Data'!$H:$H)</f>
        <v>Notropis</v>
      </c>
      <c r="F7780" t="str">
        <f>_xlfn.XLOOKUP(A7780,'[1]Tissue Data'!$A:$A,'[1]Tissue Data'!$I:$I)</f>
        <v>procne</v>
      </c>
      <c r="G7780" t="str">
        <f>_xlfn.XLOOKUP(A7780,'[1]Tissue Data'!$A:$A,'[1]Tissue Data'!J:J)</f>
        <v>U</v>
      </c>
      <c r="H7780" t="str">
        <f>_xlfn.XLOOKUP(A7780,'[1]Tissue Data'!$A:$A,'[1]Tissue Data'!K:K)</f>
        <v>Whole Body</v>
      </c>
      <c r="I7780">
        <f>_xlfn.XLOOKUP(A7780,'[1]Tissue Data'!$A:$A,'[1]Tissue Data'!L:L)</f>
        <v>6</v>
      </c>
      <c r="J7780">
        <f>_xlfn.XLOOKUP(A7780,'[1]Tissue Data'!$A:$A,'[1]Tissue Data'!M:M)</f>
        <v>2.4500000000000002</v>
      </c>
      <c r="K7780" t="s">
        <v>40</v>
      </c>
      <c r="L7780" t="str">
        <f>_xlfn.XLOOKUP(K7780,[2]analyte_order!$B:$B,[2]analyte_order!$C:$C)</f>
        <v>2806-24-8</v>
      </c>
      <c r="M7780">
        <f>_xlfn.XLOOKUP(L7780,[2]analyte_order!$C:$C,[2]analyte_order!$E:$E)</f>
        <v>29</v>
      </c>
      <c r="N7780">
        <v>0.4335</v>
      </c>
    </row>
    <row r="7781" spans="1:14">
      <c r="A7781" t="s">
        <v>208</v>
      </c>
      <c r="B7781" t="str">
        <f>_xlfn.XLOOKUP(A7781,'[1]Tissue Data'!$A:$A,'[1]Tissue Data'!$C:$C)</f>
        <v>Down</v>
      </c>
      <c r="C7781" s="2">
        <f>_xlfn.XLOOKUP(A7781,'[1]Tissue Data'!$A:$A,'[1]Tissue Data'!$D:$D)</f>
        <v>44393</v>
      </c>
      <c r="D7781" s="2" t="str">
        <f>_xlfn.XLOOKUP(A7781,'[1]Tissue Data'!$A:$A,'[1]Tissue Data'!$F:$F)</f>
        <v>Swallowtail Shiner</v>
      </c>
      <c r="E7781" t="str">
        <f>_xlfn.XLOOKUP(A7781,'[1]Tissue Data'!$A:$A,'[1]Tissue Data'!$H:$H)</f>
        <v>Notropis</v>
      </c>
      <c r="F7781" t="str">
        <f>_xlfn.XLOOKUP(A7781,'[1]Tissue Data'!$A:$A,'[1]Tissue Data'!$I:$I)</f>
        <v>procne</v>
      </c>
      <c r="G7781" t="str">
        <f>_xlfn.XLOOKUP(A7781,'[1]Tissue Data'!$A:$A,'[1]Tissue Data'!J:J)</f>
        <v>U</v>
      </c>
      <c r="H7781" t="str">
        <f>_xlfn.XLOOKUP(A7781,'[1]Tissue Data'!$A:$A,'[1]Tissue Data'!K:K)</f>
        <v>Whole Body</v>
      </c>
      <c r="I7781">
        <f>_xlfn.XLOOKUP(A7781,'[1]Tissue Data'!$A:$A,'[1]Tissue Data'!L:L)</f>
        <v>6</v>
      </c>
      <c r="J7781">
        <f>_xlfn.XLOOKUP(A7781,'[1]Tissue Data'!$A:$A,'[1]Tissue Data'!M:M)</f>
        <v>2.4500000000000002</v>
      </c>
      <c r="K7781" t="s">
        <v>41</v>
      </c>
      <c r="L7781" t="str">
        <f>_xlfn.XLOOKUP(K7781,[2]analyte_order!$B:$B,[2]analyte_order!$C:$C)</f>
        <v>2355-31-9</v>
      </c>
      <c r="M7781">
        <f>_xlfn.XLOOKUP(L7781,[2]analyte_order!$C:$C,[2]analyte_order!$E:$E)</f>
        <v>26</v>
      </c>
      <c r="N7781">
        <v>0.218</v>
      </c>
    </row>
    <row r="7782" spans="1:14">
      <c r="A7782" t="s">
        <v>208</v>
      </c>
      <c r="B7782" t="str">
        <f>_xlfn.XLOOKUP(A7782,'[1]Tissue Data'!$A:$A,'[1]Tissue Data'!$C:$C)</f>
        <v>Down</v>
      </c>
      <c r="C7782" s="2">
        <f>_xlfn.XLOOKUP(A7782,'[1]Tissue Data'!$A:$A,'[1]Tissue Data'!$D:$D)</f>
        <v>44393</v>
      </c>
      <c r="D7782" s="2" t="str">
        <f>_xlfn.XLOOKUP(A7782,'[1]Tissue Data'!$A:$A,'[1]Tissue Data'!$F:$F)</f>
        <v>Swallowtail Shiner</v>
      </c>
      <c r="E7782" t="str">
        <f>_xlfn.XLOOKUP(A7782,'[1]Tissue Data'!$A:$A,'[1]Tissue Data'!$H:$H)</f>
        <v>Notropis</v>
      </c>
      <c r="F7782" t="str">
        <f>_xlfn.XLOOKUP(A7782,'[1]Tissue Data'!$A:$A,'[1]Tissue Data'!$I:$I)</f>
        <v>procne</v>
      </c>
      <c r="G7782" t="str">
        <f>_xlfn.XLOOKUP(A7782,'[1]Tissue Data'!$A:$A,'[1]Tissue Data'!J:J)</f>
        <v>U</v>
      </c>
      <c r="H7782" t="str">
        <f>_xlfn.XLOOKUP(A7782,'[1]Tissue Data'!$A:$A,'[1]Tissue Data'!K:K)</f>
        <v>Whole Body</v>
      </c>
      <c r="I7782">
        <f>_xlfn.XLOOKUP(A7782,'[1]Tissue Data'!$A:$A,'[1]Tissue Data'!L:L)</f>
        <v>6</v>
      </c>
      <c r="J7782">
        <f>_xlfn.XLOOKUP(A7782,'[1]Tissue Data'!$A:$A,'[1]Tissue Data'!M:M)</f>
        <v>2.4500000000000002</v>
      </c>
      <c r="K7782" t="s">
        <v>42</v>
      </c>
      <c r="L7782" t="str">
        <f>_xlfn.XLOOKUP(K7782,[2]analyte_order!$B:$B,[2]analyte_order!$C:$C)</f>
        <v>2991-50-6</v>
      </c>
      <c r="M7782">
        <f>_xlfn.XLOOKUP(L7782,[2]analyte_order!$C:$C,[2]analyte_order!$E:$E)</f>
        <v>27</v>
      </c>
      <c r="N7782">
        <v>0.217</v>
      </c>
    </row>
    <row r="7783" spans="1:14">
      <c r="A7783" t="s">
        <v>208</v>
      </c>
      <c r="B7783" t="str">
        <f>_xlfn.XLOOKUP(A7783,'[1]Tissue Data'!$A:$A,'[1]Tissue Data'!$C:$C)</f>
        <v>Down</v>
      </c>
      <c r="C7783" s="2">
        <f>_xlfn.XLOOKUP(A7783,'[1]Tissue Data'!$A:$A,'[1]Tissue Data'!$D:$D)</f>
        <v>44393</v>
      </c>
      <c r="D7783" s="2" t="str">
        <f>_xlfn.XLOOKUP(A7783,'[1]Tissue Data'!$A:$A,'[1]Tissue Data'!$F:$F)</f>
        <v>Swallowtail Shiner</v>
      </c>
      <c r="E7783" t="str">
        <f>_xlfn.XLOOKUP(A7783,'[1]Tissue Data'!$A:$A,'[1]Tissue Data'!$H:$H)</f>
        <v>Notropis</v>
      </c>
      <c r="F7783" t="str">
        <f>_xlfn.XLOOKUP(A7783,'[1]Tissue Data'!$A:$A,'[1]Tissue Data'!$I:$I)</f>
        <v>procne</v>
      </c>
      <c r="G7783" t="str">
        <f>_xlfn.XLOOKUP(A7783,'[1]Tissue Data'!$A:$A,'[1]Tissue Data'!J:J)</f>
        <v>U</v>
      </c>
      <c r="H7783" t="str">
        <f>_xlfn.XLOOKUP(A7783,'[1]Tissue Data'!$A:$A,'[1]Tissue Data'!K:K)</f>
        <v>Whole Body</v>
      </c>
      <c r="I7783">
        <f>_xlfn.XLOOKUP(A7783,'[1]Tissue Data'!$A:$A,'[1]Tissue Data'!L:L)</f>
        <v>6</v>
      </c>
      <c r="J7783">
        <f>_xlfn.XLOOKUP(A7783,'[1]Tissue Data'!$A:$A,'[1]Tissue Data'!M:M)</f>
        <v>2.4500000000000002</v>
      </c>
      <c r="K7783" t="s">
        <v>43</v>
      </c>
      <c r="L7783" t="str">
        <f>_xlfn.XLOOKUP(K7783,[2]analyte_order!$B:$B,[2]analyte_order!$C:$C)</f>
        <v>757124-72-4</v>
      </c>
      <c r="M7783">
        <f>_xlfn.XLOOKUP(L7783,[2]analyte_order!$C:$C,[2]analyte_order!$E:$E)</f>
        <v>22</v>
      </c>
      <c r="N7783">
        <v>0.217</v>
      </c>
    </row>
    <row r="7784" spans="1:14">
      <c r="A7784" t="s">
        <v>208</v>
      </c>
      <c r="B7784" t="str">
        <f>_xlfn.XLOOKUP(A7784,'[1]Tissue Data'!$A:$A,'[1]Tissue Data'!$C:$C)</f>
        <v>Down</v>
      </c>
      <c r="C7784" s="2">
        <f>_xlfn.XLOOKUP(A7784,'[1]Tissue Data'!$A:$A,'[1]Tissue Data'!$D:$D)</f>
        <v>44393</v>
      </c>
      <c r="D7784" s="2" t="str">
        <f>_xlfn.XLOOKUP(A7784,'[1]Tissue Data'!$A:$A,'[1]Tissue Data'!$F:$F)</f>
        <v>Swallowtail Shiner</v>
      </c>
      <c r="E7784" t="str">
        <f>_xlfn.XLOOKUP(A7784,'[1]Tissue Data'!$A:$A,'[1]Tissue Data'!$H:$H)</f>
        <v>Notropis</v>
      </c>
      <c r="F7784" t="str">
        <f>_xlfn.XLOOKUP(A7784,'[1]Tissue Data'!$A:$A,'[1]Tissue Data'!$I:$I)</f>
        <v>procne</v>
      </c>
      <c r="G7784" t="str">
        <f>_xlfn.XLOOKUP(A7784,'[1]Tissue Data'!$A:$A,'[1]Tissue Data'!J:J)</f>
        <v>U</v>
      </c>
      <c r="H7784" t="str">
        <f>_xlfn.XLOOKUP(A7784,'[1]Tissue Data'!$A:$A,'[1]Tissue Data'!K:K)</f>
        <v>Whole Body</v>
      </c>
      <c r="I7784">
        <f>_xlfn.XLOOKUP(A7784,'[1]Tissue Data'!$A:$A,'[1]Tissue Data'!L:L)</f>
        <v>6</v>
      </c>
      <c r="J7784">
        <f>_xlfn.XLOOKUP(A7784,'[1]Tissue Data'!$A:$A,'[1]Tissue Data'!M:M)</f>
        <v>2.4500000000000002</v>
      </c>
      <c r="K7784" t="s">
        <v>44</v>
      </c>
      <c r="L7784" t="str">
        <f>_xlfn.XLOOKUP(K7784,[2]analyte_order!$B:$B,[2]analyte_order!$C:$C)</f>
        <v>27619-97-2</v>
      </c>
      <c r="M7784">
        <f>_xlfn.XLOOKUP(L7784,[2]analyte_order!$C:$C,[2]analyte_order!$E:$E)</f>
        <v>23</v>
      </c>
      <c r="N7784">
        <v>0.46400000000000002</v>
      </c>
    </row>
    <row r="7785" spans="1:14">
      <c r="A7785" t="s">
        <v>208</v>
      </c>
      <c r="B7785" t="str">
        <f>_xlfn.XLOOKUP(A7785,'[1]Tissue Data'!$A:$A,'[1]Tissue Data'!$C:$C)</f>
        <v>Down</v>
      </c>
      <c r="C7785" s="2">
        <f>_xlfn.XLOOKUP(A7785,'[1]Tissue Data'!$A:$A,'[1]Tissue Data'!$D:$D)</f>
        <v>44393</v>
      </c>
      <c r="D7785" s="2" t="str">
        <f>_xlfn.XLOOKUP(A7785,'[1]Tissue Data'!$A:$A,'[1]Tissue Data'!$F:$F)</f>
        <v>Swallowtail Shiner</v>
      </c>
      <c r="E7785" t="str">
        <f>_xlfn.XLOOKUP(A7785,'[1]Tissue Data'!$A:$A,'[1]Tissue Data'!$H:$H)</f>
        <v>Notropis</v>
      </c>
      <c r="F7785" t="str">
        <f>_xlfn.XLOOKUP(A7785,'[1]Tissue Data'!$A:$A,'[1]Tissue Data'!$I:$I)</f>
        <v>procne</v>
      </c>
      <c r="G7785" t="str">
        <f>_xlfn.XLOOKUP(A7785,'[1]Tissue Data'!$A:$A,'[1]Tissue Data'!J:J)</f>
        <v>U</v>
      </c>
      <c r="H7785" t="str">
        <f>_xlfn.XLOOKUP(A7785,'[1]Tissue Data'!$A:$A,'[1]Tissue Data'!K:K)</f>
        <v>Whole Body</v>
      </c>
      <c r="I7785">
        <f>_xlfn.XLOOKUP(A7785,'[1]Tissue Data'!$A:$A,'[1]Tissue Data'!L:L)</f>
        <v>6</v>
      </c>
      <c r="J7785">
        <f>_xlfn.XLOOKUP(A7785,'[1]Tissue Data'!$A:$A,'[1]Tissue Data'!M:M)</f>
        <v>2.4500000000000002</v>
      </c>
      <c r="K7785" t="s">
        <v>45</v>
      </c>
      <c r="L7785" t="str">
        <f>_xlfn.XLOOKUP(K7785,[2]analyte_order!$B:$B,[2]analyte_order!$C:$C)</f>
        <v>39108-34-4</v>
      </c>
      <c r="M7785">
        <f>_xlfn.XLOOKUP(L7785,[2]analyte_order!$C:$C,[2]analyte_order!$E:$E)</f>
        <v>24</v>
      </c>
      <c r="N7785">
        <v>7.4</v>
      </c>
    </row>
    <row r="7786" spans="1:14">
      <c r="A7786" t="s">
        <v>208</v>
      </c>
      <c r="B7786" t="str">
        <f>_xlfn.XLOOKUP(A7786,'[1]Tissue Data'!$A:$A,'[1]Tissue Data'!$C:$C)</f>
        <v>Down</v>
      </c>
      <c r="C7786" s="2">
        <f>_xlfn.XLOOKUP(A7786,'[1]Tissue Data'!$A:$A,'[1]Tissue Data'!$D:$D)</f>
        <v>44393</v>
      </c>
      <c r="D7786" s="2" t="str">
        <f>_xlfn.XLOOKUP(A7786,'[1]Tissue Data'!$A:$A,'[1]Tissue Data'!$F:$F)</f>
        <v>Swallowtail Shiner</v>
      </c>
      <c r="E7786" t="str">
        <f>_xlfn.XLOOKUP(A7786,'[1]Tissue Data'!$A:$A,'[1]Tissue Data'!$H:$H)</f>
        <v>Notropis</v>
      </c>
      <c r="F7786" t="str">
        <f>_xlfn.XLOOKUP(A7786,'[1]Tissue Data'!$A:$A,'[1]Tissue Data'!$I:$I)</f>
        <v>procne</v>
      </c>
      <c r="G7786" t="str">
        <f>_xlfn.XLOOKUP(A7786,'[1]Tissue Data'!$A:$A,'[1]Tissue Data'!J:J)</f>
        <v>U</v>
      </c>
      <c r="H7786" t="str">
        <f>_xlfn.XLOOKUP(A7786,'[1]Tissue Data'!$A:$A,'[1]Tissue Data'!K:K)</f>
        <v>Whole Body</v>
      </c>
      <c r="I7786">
        <f>_xlfn.XLOOKUP(A7786,'[1]Tissue Data'!$A:$A,'[1]Tissue Data'!L:L)</f>
        <v>6</v>
      </c>
      <c r="J7786">
        <f>_xlfn.XLOOKUP(A7786,'[1]Tissue Data'!$A:$A,'[1]Tissue Data'!M:M)</f>
        <v>2.4500000000000002</v>
      </c>
      <c r="K7786" t="s">
        <v>46</v>
      </c>
      <c r="L7786" t="str">
        <f>_xlfn.XLOOKUP(K7786,[2]analyte_order!$B:$B,[2]analyte_order!$C:$C)</f>
        <v>120226-60-0</v>
      </c>
      <c r="M7786">
        <f>_xlfn.XLOOKUP(L7786,[2]analyte_order!$C:$C,[2]analyte_order!$E:$E)</f>
        <v>25</v>
      </c>
      <c r="N7786">
        <v>0.4335</v>
      </c>
    </row>
    <row r="7787" spans="1:14">
      <c r="A7787" t="s">
        <v>208</v>
      </c>
      <c r="B7787" t="str">
        <f>_xlfn.XLOOKUP(A7787,'[1]Tissue Data'!$A:$A,'[1]Tissue Data'!$C:$C)</f>
        <v>Down</v>
      </c>
      <c r="C7787" s="2">
        <f>_xlfn.XLOOKUP(A7787,'[1]Tissue Data'!$A:$A,'[1]Tissue Data'!$D:$D)</f>
        <v>44393</v>
      </c>
      <c r="D7787" s="2" t="str">
        <f>_xlfn.XLOOKUP(A7787,'[1]Tissue Data'!$A:$A,'[1]Tissue Data'!$F:$F)</f>
        <v>Swallowtail Shiner</v>
      </c>
      <c r="E7787" t="str">
        <f>_xlfn.XLOOKUP(A7787,'[1]Tissue Data'!$A:$A,'[1]Tissue Data'!$H:$H)</f>
        <v>Notropis</v>
      </c>
      <c r="F7787" t="str">
        <f>_xlfn.XLOOKUP(A7787,'[1]Tissue Data'!$A:$A,'[1]Tissue Data'!$I:$I)</f>
        <v>procne</v>
      </c>
      <c r="G7787" t="str">
        <f>_xlfn.XLOOKUP(A7787,'[1]Tissue Data'!$A:$A,'[1]Tissue Data'!J:J)</f>
        <v>U</v>
      </c>
      <c r="H7787" t="str">
        <f>_xlfn.XLOOKUP(A7787,'[1]Tissue Data'!$A:$A,'[1]Tissue Data'!K:K)</f>
        <v>Whole Body</v>
      </c>
      <c r="I7787">
        <f>_xlfn.XLOOKUP(A7787,'[1]Tissue Data'!$A:$A,'[1]Tissue Data'!L:L)</f>
        <v>6</v>
      </c>
      <c r="J7787">
        <f>_xlfn.XLOOKUP(A7787,'[1]Tissue Data'!$A:$A,'[1]Tissue Data'!M:M)</f>
        <v>2.4500000000000002</v>
      </c>
      <c r="K7787" t="s">
        <v>47</v>
      </c>
      <c r="L7787" t="str">
        <f>_xlfn.XLOOKUP(K7787,[2]analyte_order!$B:$B,[2]analyte_order!$C:$C)</f>
        <v>356-02-5</v>
      </c>
      <c r="M7787">
        <f>_xlfn.XLOOKUP(L7787,[2]analyte_order!$C:$C,[2]analyte_order!$E:$E)</f>
        <v>38</v>
      </c>
      <c r="N7787">
        <v>0.25</v>
      </c>
    </row>
    <row r="7788" spans="1:14">
      <c r="A7788" t="s">
        <v>208</v>
      </c>
      <c r="B7788" t="str">
        <f>_xlfn.XLOOKUP(A7788,'[1]Tissue Data'!$A:$A,'[1]Tissue Data'!$C:$C)</f>
        <v>Down</v>
      </c>
      <c r="C7788" s="2">
        <f>_xlfn.XLOOKUP(A7788,'[1]Tissue Data'!$A:$A,'[1]Tissue Data'!$D:$D)</f>
        <v>44393</v>
      </c>
      <c r="D7788" s="2" t="str">
        <f>_xlfn.XLOOKUP(A7788,'[1]Tissue Data'!$A:$A,'[1]Tissue Data'!$F:$F)</f>
        <v>Swallowtail Shiner</v>
      </c>
      <c r="E7788" t="str">
        <f>_xlfn.XLOOKUP(A7788,'[1]Tissue Data'!$A:$A,'[1]Tissue Data'!$H:$H)</f>
        <v>Notropis</v>
      </c>
      <c r="F7788" t="str">
        <f>_xlfn.XLOOKUP(A7788,'[1]Tissue Data'!$A:$A,'[1]Tissue Data'!$I:$I)</f>
        <v>procne</v>
      </c>
      <c r="G7788" t="str">
        <f>_xlfn.XLOOKUP(A7788,'[1]Tissue Data'!$A:$A,'[1]Tissue Data'!J:J)</f>
        <v>U</v>
      </c>
      <c r="H7788" t="str">
        <f>_xlfn.XLOOKUP(A7788,'[1]Tissue Data'!$A:$A,'[1]Tissue Data'!K:K)</f>
        <v>Whole Body</v>
      </c>
      <c r="I7788">
        <f>_xlfn.XLOOKUP(A7788,'[1]Tissue Data'!$A:$A,'[1]Tissue Data'!L:L)</f>
        <v>6</v>
      </c>
      <c r="J7788">
        <f>_xlfn.XLOOKUP(A7788,'[1]Tissue Data'!$A:$A,'[1]Tissue Data'!M:M)</f>
        <v>2.4500000000000002</v>
      </c>
      <c r="K7788" t="s">
        <v>48</v>
      </c>
      <c r="L7788" t="str">
        <f>_xlfn.XLOOKUP(K7788,[2]analyte_order!$B:$B,[2]analyte_order!$C:$C)</f>
        <v>914637-49-3</v>
      </c>
      <c r="M7788">
        <f>_xlfn.XLOOKUP(L7788,[2]analyte_order!$C:$C,[2]analyte_order!$E:$E)</f>
        <v>39</v>
      </c>
      <c r="N7788">
        <v>0.217</v>
      </c>
    </row>
    <row r="7789" spans="1:14">
      <c r="A7789" t="s">
        <v>208</v>
      </c>
      <c r="B7789" t="str">
        <f>_xlfn.XLOOKUP(A7789,'[1]Tissue Data'!$A:$A,'[1]Tissue Data'!$C:$C)</f>
        <v>Down</v>
      </c>
      <c r="C7789" s="2">
        <f>_xlfn.XLOOKUP(A7789,'[1]Tissue Data'!$A:$A,'[1]Tissue Data'!$D:$D)</f>
        <v>44393</v>
      </c>
      <c r="D7789" s="2" t="str">
        <f>_xlfn.XLOOKUP(A7789,'[1]Tissue Data'!$A:$A,'[1]Tissue Data'!$F:$F)</f>
        <v>Swallowtail Shiner</v>
      </c>
      <c r="E7789" t="str">
        <f>_xlfn.XLOOKUP(A7789,'[1]Tissue Data'!$A:$A,'[1]Tissue Data'!$H:$H)</f>
        <v>Notropis</v>
      </c>
      <c r="F7789" t="str">
        <f>_xlfn.XLOOKUP(A7789,'[1]Tissue Data'!$A:$A,'[1]Tissue Data'!$I:$I)</f>
        <v>procne</v>
      </c>
      <c r="G7789" t="str">
        <f>_xlfn.XLOOKUP(A7789,'[1]Tissue Data'!$A:$A,'[1]Tissue Data'!J:J)</f>
        <v>U</v>
      </c>
      <c r="H7789" t="str">
        <f>_xlfn.XLOOKUP(A7789,'[1]Tissue Data'!$A:$A,'[1]Tissue Data'!K:K)</f>
        <v>Whole Body</v>
      </c>
      <c r="I7789">
        <f>_xlfn.XLOOKUP(A7789,'[1]Tissue Data'!$A:$A,'[1]Tissue Data'!L:L)</f>
        <v>6</v>
      </c>
      <c r="J7789">
        <f>_xlfn.XLOOKUP(A7789,'[1]Tissue Data'!$A:$A,'[1]Tissue Data'!M:M)</f>
        <v>2.4500000000000002</v>
      </c>
      <c r="K7789" t="s">
        <v>49</v>
      </c>
      <c r="L7789" t="str">
        <f>_xlfn.XLOOKUP(K7789,[2]analyte_order!$B:$B,[2]analyte_order!$C:$C)</f>
        <v>812-70-4</v>
      </c>
      <c r="M7789">
        <f>_xlfn.XLOOKUP(L7789,[2]analyte_order!$C:$C,[2]analyte_order!$E:$E)</f>
        <v>40</v>
      </c>
      <c r="N7789">
        <v>10.7</v>
      </c>
    </row>
    <row r="7790" spans="1:14">
      <c r="A7790" t="s">
        <v>208</v>
      </c>
      <c r="B7790" t="str">
        <f>_xlfn.XLOOKUP(A7790,'[1]Tissue Data'!$A:$A,'[1]Tissue Data'!$C:$C)</f>
        <v>Down</v>
      </c>
      <c r="C7790" s="2">
        <f>_xlfn.XLOOKUP(A7790,'[1]Tissue Data'!$A:$A,'[1]Tissue Data'!$D:$D)</f>
        <v>44393</v>
      </c>
      <c r="D7790" s="2" t="str">
        <f>_xlfn.XLOOKUP(A7790,'[1]Tissue Data'!$A:$A,'[1]Tissue Data'!$F:$F)</f>
        <v>Swallowtail Shiner</v>
      </c>
      <c r="E7790" t="str">
        <f>_xlfn.XLOOKUP(A7790,'[1]Tissue Data'!$A:$A,'[1]Tissue Data'!$H:$H)</f>
        <v>Notropis</v>
      </c>
      <c r="F7790" t="str">
        <f>_xlfn.XLOOKUP(A7790,'[1]Tissue Data'!$A:$A,'[1]Tissue Data'!$I:$I)</f>
        <v>procne</v>
      </c>
      <c r="G7790" t="str">
        <f>_xlfn.XLOOKUP(A7790,'[1]Tissue Data'!$A:$A,'[1]Tissue Data'!J:J)</f>
        <v>U</v>
      </c>
      <c r="H7790" t="str">
        <f>_xlfn.XLOOKUP(A7790,'[1]Tissue Data'!$A:$A,'[1]Tissue Data'!K:K)</f>
        <v>Whole Body</v>
      </c>
      <c r="I7790">
        <f>_xlfn.XLOOKUP(A7790,'[1]Tissue Data'!$A:$A,'[1]Tissue Data'!L:L)</f>
        <v>6</v>
      </c>
      <c r="J7790">
        <f>_xlfn.XLOOKUP(A7790,'[1]Tissue Data'!$A:$A,'[1]Tissue Data'!M:M)</f>
        <v>2.4500000000000002</v>
      </c>
      <c r="K7790" t="s">
        <v>50</v>
      </c>
      <c r="L7790" t="str">
        <f>_xlfn.XLOOKUP(K7790,[2]analyte_order!$B:$B,[2]analyte_order!$C:$C)</f>
        <v>53826-12-3</v>
      </c>
      <c r="M7790">
        <f>_xlfn.XLOOKUP(L7790,[2]analyte_order!$C:$C,[2]analyte_order!$E:$E)</f>
        <v>41</v>
      </c>
      <c r="N7790">
        <v>0.4335</v>
      </c>
    </row>
    <row r="7791" spans="1:14">
      <c r="A7791" t="s">
        <v>208</v>
      </c>
      <c r="B7791" t="str">
        <f>_xlfn.XLOOKUP(A7791,'[1]Tissue Data'!$A:$A,'[1]Tissue Data'!$C:$C)</f>
        <v>Down</v>
      </c>
      <c r="C7791" s="2">
        <f>_xlfn.XLOOKUP(A7791,'[1]Tissue Data'!$A:$A,'[1]Tissue Data'!$D:$D)</f>
        <v>44393</v>
      </c>
      <c r="D7791" s="2" t="str">
        <f>_xlfn.XLOOKUP(A7791,'[1]Tissue Data'!$A:$A,'[1]Tissue Data'!$F:$F)</f>
        <v>Swallowtail Shiner</v>
      </c>
      <c r="E7791" t="str">
        <f>_xlfn.XLOOKUP(A7791,'[1]Tissue Data'!$A:$A,'[1]Tissue Data'!$H:$H)</f>
        <v>Notropis</v>
      </c>
      <c r="F7791" t="str">
        <f>_xlfn.XLOOKUP(A7791,'[1]Tissue Data'!$A:$A,'[1]Tissue Data'!$I:$I)</f>
        <v>procne</v>
      </c>
      <c r="G7791" t="str">
        <f>_xlfn.XLOOKUP(A7791,'[1]Tissue Data'!$A:$A,'[1]Tissue Data'!J:J)</f>
        <v>U</v>
      </c>
      <c r="H7791" t="str">
        <f>_xlfn.XLOOKUP(A7791,'[1]Tissue Data'!$A:$A,'[1]Tissue Data'!K:K)</f>
        <v>Whole Body</v>
      </c>
      <c r="I7791">
        <f>_xlfn.XLOOKUP(A7791,'[1]Tissue Data'!$A:$A,'[1]Tissue Data'!L:L)</f>
        <v>6</v>
      </c>
      <c r="J7791">
        <f>_xlfn.XLOOKUP(A7791,'[1]Tissue Data'!$A:$A,'[1]Tissue Data'!M:M)</f>
        <v>2.4500000000000002</v>
      </c>
      <c r="K7791" t="s">
        <v>51</v>
      </c>
      <c r="L7791" t="str">
        <f>_xlfn.XLOOKUP(K7791,[2]analyte_order!$B:$B,[2]analyte_order!$C:$C)</f>
        <v>27854-31-5</v>
      </c>
      <c r="M7791">
        <f>_xlfn.XLOOKUP(L7791,[2]analyte_order!$C:$C,[2]analyte_order!$E:$E)</f>
        <v>42</v>
      </c>
      <c r="N7791">
        <v>0.4335</v>
      </c>
    </row>
    <row r="7792" spans="1:14">
      <c r="A7792" t="s">
        <v>208</v>
      </c>
      <c r="B7792" t="str">
        <f>_xlfn.XLOOKUP(A7792,'[1]Tissue Data'!$A:$A,'[1]Tissue Data'!$C:$C)</f>
        <v>Down</v>
      </c>
      <c r="C7792" s="2">
        <f>_xlfn.XLOOKUP(A7792,'[1]Tissue Data'!$A:$A,'[1]Tissue Data'!$D:$D)</f>
        <v>44393</v>
      </c>
      <c r="D7792" s="2" t="str">
        <f>_xlfn.XLOOKUP(A7792,'[1]Tissue Data'!$A:$A,'[1]Tissue Data'!$F:$F)</f>
        <v>Swallowtail Shiner</v>
      </c>
      <c r="E7792" t="str">
        <f>_xlfn.XLOOKUP(A7792,'[1]Tissue Data'!$A:$A,'[1]Tissue Data'!$H:$H)</f>
        <v>Notropis</v>
      </c>
      <c r="F7792" t="str">
        <f>_xlfn.XLOOKUP(A7792,'[1]Tissue Data'!$A:$A,'[1]Tissue Data'!$I:$I)</f>
        <v>procne</v>
      </c>
      <c r="G7792" t="str">
        <f>_xlfn.XLOOKUP(A7792,'[1]Tissue Data'!$A:$A,'[1]Tissue Data'!J:J)</f>
        <v>U</v>
      </c>
      <c r="H7792" t="str">
        <f>_xlfn.XLOOKUP(A7792,'[1]Tissue Data'!$A:$A,'[1]Tissue Data'!K:K)</f>
        <v>Whole Body</v>
      </c>
      <c r="I7792">
        <f>_xlfn.XLOOKUP(A7792,'[1]Tissue Data'!$A:$A,'[1]Tissue Data'!L:L)</f>
        <v>6</v>
      </c>
      <c r="J7792">
        <f>_xlfn.XLOOKUP(A7792,'[1]Tissue Data'!$A:$A,'[1]Tissue Data'!M:M)</f>
        <v>2.4500000000000002</v>
      </c>
      <c r="K7792" t="s">
        <v>52</v>
      </c>
      <c r="L7792" t="str">
        <f>_xlfn.XLOOKUP(K7792,[2]analyte_order!$B:$B,[2]analyte_order!$C:$C)</f>
        <v>53826-13-4</v>
      </c>
      <c r="M7792">
        <f>_xlfn.XLOOKUP(L7792,[2]analyte_order!$C:$C,[2]analyte_order!$E:$E)</f>
        <v>43</v>
      </c>
      <c r="N7792">
        <v>0.4335</v>
      </c>
    </row>
    <row r="7793" spans="1:14">
      <c r="A7793" t="s">
        <v>208</v>
      </c>
      <c r="B7793" t="str">
        <f>_xlfn.XLOOKUP(A7793,'[1]Tissue Data'!$A:$A,'[1]Tissue Data'!$C:$C)</f>
        <v>Down</v>
      </c>
      <c r="C7793" s="2">
        <f>_xlfn.XLOOKUP(A7793,'[1]Tissue Data'!$A:$A,'[1]Tissue Data'!$D:$D)</f>
        <v>44393</v>
      </c>
      <c r="D7793" s="2" t="str">
        <f>_xlfn.XLOOKUP(A7793,'[1]Tissue Data'!$A:$A,'[1]Tissue Data'!$F:$F)</f>
        <v>Swallowtail Shiner</v>
      </c>
      <c r="E7793" t="str">
        <f>_xlfn.XLOOKUP(A7793,'[1]Tissue Data'!$A:$A,'[1]Tissue Data'!$H:$H)</f>
        <v>Notropis</v>
      </c>
      <c r="F7793" t="str">
        <f>_xlfn.XLOOKUP(A7793,'[1]Tissue Data'!$A:$A,'[1]Tissue Data'!$I:$I)</f>
        <v>procne</v>
      </c>
      <c r="G7793" t="str">
        <f>_xlfn.XLOOKUP(A7793,'[1]Tissue Data'!$A:$A,'[1]Tissue Data'!J:J)</f>
        <v>U</v>
      </c>
      <c r="H7793" t="str">
        <f>_xlfn.XLOOKUP(A7793,'[1]Tissue Data'!$A:$A,'[1]Tissue Data'!K:K)</f>
        <v>Whole Body</v>
      </c>
      <c r="I7793">
        <f>_xlfn.XLOOKUP(A7793,'[1]Tissue Data'!$A:$A,'[1]Tissue Data'!L:L)</f>
        <v>6</v>
      </c>
      <c r="J7793">
        <f>_xlfn.XLOOKUP(A7793,'[1]Tissue Data'!$A:$A,'[1]Tissue Data'!M:M)</f>
        <v>2.4500000000000002</v>
      </c>
      <c r="K7793" t="s">
        <v>53</v>
      </c>
      <c r="L7793" t="str">
        <f>_xlfn.XLOOKUP(K7793,[2]analyte_order!$B:$B,[2]analyte_order!$C:$C)</f>
        <v>161094-75-3</v>
      </c>
      <c r="M7793">
        <f>_xlfn.XLOOKUP(L7793,[2]analyte_order!$C:$C,[2]analyte_order!$E:$E)</f>
        <v>44</v>
      </c>
      <c r="N7793">
        <v>0.4335</v>
      </c>
    </row>
    <row r="7794" spans="1:14">
      <c r="A7794" t="s">
        <v>208</v>
      </c>
      <c r="B7794" t="str">
        <f>_xlfn.XLOOKUP(A7794,'[1]Tissue Data'!$A:$A,'[1]Tissue Data'!$C:$C)</f>
        <v>Down</v>
      </c>
      <c r="C7794" s="2">
        <f>_xlfn.XLOOKUP(A7794,'[1]Tissue Data'!$A:$A,'[1]Tissue Data'!$D:$D)</f>
        <v>44393</v>
      </c>
      <c r="D7794" s="2" t="str">
        <f>_xlfn.XLOOKUP(A7794,'[1]Tissue Data'!$A:$A,'[1]Tissue Data'!$F:$F)</f>
        <v>Swallowtail Shiner</v>
      </c>
      <c r="E7794" t="str">
        <f>_xlfn.XLOOKUP(A7794,'[1]Tissue Data'!$A:$A,'[1]Tissue Data'!$H:$H)</f>
        <v>Notropis</v>
      </c>
      <c r="F7794" t="str">
        <f>_xlfn.XLOOKUP(A7794,'[1]Tissue Data'!$A:$A,'[1]Tissue Data'!$I:$I)</f>
        <v>procne</v>
      </c>
      <c r="G7794" t="str">
        <f>_xlfn.XLOOKUP(A7794,'[1]Tissue Data'!$A:$A,'[1]Tissue Data'!J:J)</f>
        <v>U</v>
      </c>
      <c r="H7794" t="str">
        <f>_xlfn.XLOOKUP(A7794,'[1]Tissue Data'!$A:$A,'[1]Tissue Data'!K:K)</f>
        <v>Whole Body</v>
      </c>
      <c r="I7794">
        <f>_xlfn.XLOOKUP(A7794,'[1]Tissue Data'!$A:$A,'[1]Tissue Data'!L:L)</f>
        <v>6</v>
      </c>
      <c r="J7794">
        <f>_xlfn.XLOOKUP(A7794,'[1]Tissue Data'!$A:$A,'[1]Tissue Data'!M:M)</f>
        <v>2.4500000000000002</v>
      </c>
      <c r="K7794" t="s">
        <v>54</v>
      </c>
      <c r="L7794" t="str">
        <f>_xlfn.XLOOKUP(K7794,[2]analyte_order!$B:$B,[2]analyte_order!$C:$C)</f>
        <v>70887-84-2</v>
      </c>
      <c r="M7794">
        <f>_xlfn.XLOOKUP(L7794,[2]analyte_order!$C:$C,[2]analyte_order!$E:$E)</f>
        <v>45</v>
      </c>
      <c r="N7794">
        <v>0.4335</v>
      </c>
    </row>
    <row r="7795" spans="1:14">
      <c r="A7795" t="s">
        <v>208</v>
      </c>
      <c r="B7795" t="str">
        <f>_xlfn.XLOOKUP(A7795,'[1]Tissue Data'!$A:$A,'[1]Tissue Data'!$C:$C)</f>
        <v>Down</v>
      </c>
      <c r="C7795" s="2">
        <f>_xlfn.XLOOKUP(A7795,'[1]Tissue Data'!$A:$A,'[1]Tissue Data'!$D:$D)</f>
        <v>44393</v>
      </c>
      <c r="D7795" s="2" t="str">
        <f>_xlfn.XLOOKUP(A7795,'[1]Tissue Data'!$A:$A,'[1]Tissue Data'!$F:$F)</f>
        <v>Swallowtail Shiner</v>
      </c>
      <c r="E7795" t="str">
        <f>_xlfn.XLOOKUP(A7795,'[1]Tissue Data'!$A:$A,'[1]Tissue Data'!$H:$H)</f>
        <v>Notropis</v>
      </c>
      <c r="F7795" t="str">
        <f>_xlfn.XLOOKUP(A7795,'[1]Tissue Data'!$A:$A,'[1]Tissue Data'!$I:$I)</f>
        <v>procne</v>
      </c>
      <c r="G7795" t="str">
        <f>_xlfn.XLOOKUP(A7795,'[1]Tissue Data'!$A:$A,'[1]Tissue Data'!J:J)</f>
        <v>U</v>
      </c>
      <c r="H7795" t="str">
        <f>_xlfn.XLOOKUP(A7795,'[1]Tissue Data'!$A:$A,'[1]Tissue Data'!K:K)</f>
        <v>Whole Body</v>
      </c>
      <c r="I7795">
        <f>_xlfn.XLOOKUP(A7795,'[1]Tissue Data'!$A:$A,'[1]Tissue Data'!L:L)</f>
        <v>6</v>
      </c>
      <c r="J7795">
        <f>_xlfn.XLOOKUP(A7795,'[1]Tissue Data'!$A:$A,'[1]Tissue Data'!M:M)</f>
        <v>2.4500000000000002</v>
      </c>
      <c r="K7795" t="s">
        <v>55</v>
      </c>
      <c r="L7795" t="str">
        <f>_xlfn.XLOOKUP(K7795,[2]analyte_order!$B:$B,[2]analyte_order!$C:$C)</f>
        <v>919005-14-4</v>
      </c>
      <c r="M7795">
        <f>_xlfn.XLOOKUP(L7795,[2]analyte_order!$C:$C,[2]analyte_order!$E:$E)</f>
        <v>35</v>
      </c>
      <c r="N7795">
        <v>0.217</v>
      </c>
    </row>
    <row r="7796" spans="1:14">
      <c r="A7796" t="s">
        <v>208</v>
      </c>
      <c r="B7796" t="str">
        <f>_xlfn.XLOOKUP(A7796,'[1]Tissue Data'!$A:$A,'[1]Tissue Data'!$C:$C)</f>
        <v>Down</v>
      </c>
      <c r="C7796" s="2">
        <f>_xlfn.XLOOKUP(A7796,'[1]Tissue Data'!$A:$A,'[1]Tissue Data'!$D:$D)</f>
        <v>44393</v>
      </c>
      <c r="D7796" s="2" t="str">
        <f>_xlfn.XLOOKUP(A7796,'[1]Tissue Data'!$A:$A,'[1]Tissue Data'!$F:$F)</f>
        <v>Swallowtail Shiner</v>
      </c>
      <c r="E7796" t="str">
        <f>_xlfn.XLOOKUP(A7796,'[1]Tissue Data'!$A:$A,'[1]Tissue Data'!$H:$H)</f>
        <v>Notropis</v>
      </c>
      <c r="F7796" t="str">
        <f>_xlfn.XLOOKUP(A7796,'[1]Tissue Data'!$A:$A,'[1]Tissue Data'!$I:$I)</f>
        <v>procne</v>
      </c>
      <c r="G7796" t="str">
        <f>_xlfn.XLOOKUP(A7796,'[1]Tissue Data'!$A:$A,'[1]Tissue Data'!J:J)</f>
        <v>U</v>
      </c>
      <c r="H7796" t="str">
        <f>_xlfn.XLOOKUP(A7796,'[1]Tissue Data'!$A:$A,'[1]Tissue Data'!K:K)</f>
        <v>Whole Body</v>
      </c>
      <c r="I7796">
        <f>_xlfn.XLOOKUP(A7796,'[1]Tissue Data'!$A:$A,'[1]Tissue Data'!L:L)</f>
        <v>6</v>
      </c>
      <c r="J7796">
        <f>_xlfn.XLOOKUP(A7796,'[1]Tissue Data'!$A:$A,'[1]Tissue Data'!M:M)</f>
        <v>2.4500000000000002</v>
      </c>
      <c r="K7796" t="s">
        <v>56</v>
      </c>
      <c r="L7796" t="str">
        <f>_xlfn.XLOOKUP(K7796,[2]analyte_order!$B:$B,[2]analyte_order!$C:$C)</f>
        <v>756426-58-1</v>
      </c>
      <c r="M7796">
        <f>_xlfn.XLOOKUP(L7796,[2]analyte_order!$C:$C,[2]analyte_order!$E:$E)</f>
        <v>36</v>
      </c>
      <c r="N7796">
        <v>0.4335</v>
      </c>
    </row>
    <row r="7797" spans="1:14">
      <c r="A7797" t="s">
        <v>208</v>
      </c>
      <c r="B7797" t="str">
        <f>_xlfn.XLOOKUP(A7797,'[1]Tissue Data'!$A:$A,'[1]Tissue Data'!$C:$C)</f>
        <v>Down</v>
      </c>
      <c r="C7797" s="2">
        <f>_xlfn.XLOOKUP(A7797,'[1]Tissue Data'!$A:$A,'[1]Tissue Data'!$D:$D)</f>
        <v>44393</v>
      </c>
      <c r="D7797" s="2" t="str">
        <f>_xlfn.XLOOKUP(A7797,'[1]Tissue Data'!$A:$A,'[1]Tissue Data'!$F:$F)</f>
        <v>Swallowtail Shiner</v>
      </c>
      <c r="E7797" t="str">
        <f>_xlfn.XLOOKUP(A7797,'[1]Tissue Data'!$A:$A,'[1]Tissue Data'!$H:$H)</f>
        <v>Notropis</v>
      </c>
      <c r="F7797" t="str">
        <f>_xlfn.XLOOKUP(A7797,'[1]Tissue Data'!$A:$A,'[1]Tissue Data'!$I:$I)</f>
        <v>procne</v>
      </c>
      <c r="G7797" t="str">
        <f>_xlfn.XLOOKUP(A7797,'[1]Tissue Data'!$A:$A,'[1]Tissue Data'!J:J)</f>
        <v>U</v>
      </c>
      <c r="H7797" t="str">
        <f>_xlfn.XLOOKUP(A7797,'[1]Tissue Data'!$A:$A,'[1]Tissue Data'!K:K)</f>
        <v>Whole Body</v>
      </c>
      <c r="I7797">
        <f>_xlfn.XLOOKUP(A7797,'[1]Tissue Data'!$A:$A,'[1]Tissue Data'!L:L)</f>
        <v>6</v>
      </c>
      <c r="J7797">
        <f>_xlfn.XLOOKUP(A7797,'[1]Tissue Data'!$A:$A,'[1]Tissue Data'!M:M)</f>
        <v>2.4500000000000002</v>
      </c>
      <c r="K7797" t="s">
        <v>57</v>
      </c>
      <c r="L7797" t="str">
        <f>_xlfn.XLOOKUP(K7797,[2]analyte_order!$B:$B,[2]analyte_order!$C:$C)</f>
        <v>763051-92-9</v>
      </c>
      <c r="M7797">
        <f>_xlfn.XLOOKUP(L7797,[2]analyte_order!$C:$C,[2]analyte_order!$E:$E)</f>
        <v>37</v>
      </c>
      <c r="N7797">
        <v>0.4335</v>
      </c>
    </row>
    <row r="7798" spans="1:14">
      <c r="A7798" t="s">
        <v>208</v>
      </c>
      <c r="B7798" t="str">
        <f>_xlfn.XLOOKUP(A7798,'[1]Tissue Data'!$A:$A,'[1]Tissue Data'!$C:$C)</f>
        <v>Down</v>
      </c>
      <c r="C7798" s="2">
        <f>_xlfn.XLOOKUP(A7798,'[1]Tissue Data'!$A:$A,'[1]Tissue Data'!$D:$D)</f>
        <v>44393</v>
      </c>
      <c r="D7798" s="2" t="str">
        <f>_xlfn.XLOOKUP(A7798,'[1]Tissue Data'!$A:$A,'[1]Tissue Data'!$F:$F)</f>
        <v>Swallowtail Shiner</v>
      </c>
      <c r="E7798" t="str">
        <f>_xlfn.XLOOKUP(A7798,'[1]Tissue Data'!$A:$A,'[1]Tissue Data'!$H:$H)</f>
        <v>Notropis</v>
      </c>
      <c r="F7798" t="str">
        <f>_xlfn.XLOOKUP(A7798,'[1]Tissue Data'!$A:$A,'[1]Tissue Data'!$I:$I)</f>
        <v>procne</v>
      </c>
      <c r="G7798" t="str">
        <f>_xlfn.XLOOKUP(A7798,'[1]Tissue Data'!$A:$A,'[1]Tissue Data'!J:J)</f>
        <v>U</v>
      </c>
      <c r="H7798" t="str">
        <f>_xlfn.XLOOKUP(A7798,'[1]Tissue Data'!$A:$A,'[1]Tissue Data'!K:K)</f>
        <v>Whole Body</v>
      </c>
      <c r="I7798">
        <f>_xlfn.XLOOKUP(A7798,'[1]Tissue Data'!$A:$A,'[1]Tissue Data'!L:L)</f>
        <v>6</v>
      </c>
      <c r="J7798">
        <f>_xlfn.XLOOKUP(A7798,'[1]Tissue Data'!$A:$A,'[1]Tissue Data'!M:M)</f>
        <v>2.4500000000000002</v>
      </c>
      <c r="K7798" t="s">
        <v>58</v>
      </c>
      <c r="L7798" t="str">
        <f>_xlfn.XLOOKUP(K7798,[2]analyte_order!$B:$B,[2]analyte_order!$C:$C)</f>
        <v>13252-13-6</v>
      </c>
      <c r="M7798">
        <f>_xlfn.XLOOKUP(L7798,[2]analyte_order!$C:$C,[2]analyte_order!$E:$E)</f>
        <v>34</v>
      </c>
      <c r="N7798">
        <v>0.311</v>
      </c>
    </row>
    <row r="7799" spans="1:14">
      <c r="A7799" t="s">
        <v>208</v>
      </c>
      <c r="B7799" t="str">
        <f>_xlfn.XLOOKUP(A7799,'[1]Tissue Data'!$A:$A,'[1]Tissue Data'!$C:$C)</f>
        <v>Down</v>
      </c>
      <c r="C7799" s="2">
        <f>_xlfn.XLOOKUP(A7799,'[1]Tissue Data'!$A:$A,'[1]Tissue Data'!$D:$D)</f>
        <v>44393</v>
      </c>
      <c r="D7799" s="2" t="str">
        <f>_xlfn.XLOOKUP(A7799,'[1]Tissue Data'!$A:$A,'[1]Tissue Data'!$F:$F)</f>
        <v>Swallowtail Shiner</v>
      </c>
      <c r="E7799" t="str">
        <f>_xlfn.XLOOKUP(A7799,'[1]Tissue Data'!$A:$A,'[1]Tissue Data'!$H:$H)</f>
        <v>Notropis</v>
      </c>
      <c r="F7799" t="str">
        <f>_xlfn.XLOOKUP(A7799,'[1]Tissue Data'!$A:$A,'[1]Tissue Data'!$I:$I)</f>
        <v>procne</v>
      </c>
      <c r="G7799" t="str">
        <f>_xlfn.XLOOKUP(A7799,'[1]Tissue Data'!$A:$A,'[1]Tissue Data'!J:J)</f>
        <v>U</v>
      </c>
      <c r="H7799" t="str">
        <f>_xlfn.XLOOKUP(A7799,'[1]Tissue Data'!$A:$A,'[1]Tissue Data'!K:K)</f>
        <v>Whole Body</v>
      </c>
      <c r="I7799">
        <f>_xlfn.XLOOKUP(A7799,'[1]Tissue Data'!$A:$A,'[1]Tissue Data'!L:L)</f>
        <v>6</v>
      </c>
      <c r="J7799">
        <f>_xlfn.XLOOKUP(A7799,'[1]Tissue Data'!$A:$A,'[1]Tissue Data'!M:M)</f>
        <v>2.4500000000000002</v>
      </c>
      <c r="K7799" t="s">
        <v>59</v>
      </c>
      <c r="L7799" t="str">
        <f>_xlfn.XLOOKUP(K7799,[2]analyte_order!$B:$B,[2]analyte_order!$C:$C)</f>
        <v>57677-95-9</v>
      </c>
      <c r="M7799">
        <f>_xlfn.XLOOKUP(L7799,[2]analyte_order!$C:$C,[2]analyte_order!$E:$E)</f>
        <v>46</v>
      </c>
      <c r="N7799">
        <v>0.4335</v>
      </c>
    </row>
    <row r="7800" spans="1:14">
      <c r="A7800" t="s">
        <v>208</v>
      </c>
      <c r="B7800" t="str">
        <f>_xlfn.XLOOKUP(A7800,'[1]Tissue Data'!$A:$A,'[1]Tissue Data'!$C:$C)</f>
        <v>Down</v>
      </c>
      <c r="C7800" s="2">
        <f>_xlfn.XLOOKUP(A7800,'[1]Tissue Data'!$A:$A,'[1]Tissue Data'!$D:$D)</f>
        <v>44393</v>
      </c>
      <c r="D7800" s="2" t="str">
        <f>_xlfn.XLOOKUP(A7800,'[1]Tissue Data'!$A:$A,'[1]Tissue Data'!$F:$F)</f>
        <v>Swallowtail Shiner</v>
      </c>
      <c r="E7800" t="str">
        <f>_xlfn.XLOOKUP(A7800,'[1]Tissue Data'!$A:$A,'[1]Tissue Data'!$H:$H)</f>
        <v>Notropis</v>
      </c>
      <c r="F7800" t="str">
        <f>_xlfn.XLOOKUP(A7800,'[1]Tissue Data'!$A:$A,'[1]Tissue Data'!$I:$I)</f>
        <v>procne</v>
      </c>
      <c r="G7800" t="str">
        <f>_xlfn.XLOOKUP(A7800,'[1]Tissue Data'!$A:$A,'[1]Tissue Data'!J:J)</f>
        <v>U</v>
      </c>
      <c r="H7800" t="str">
        <f>_xlfn.XLOOKUP(A7800,'[1]Tissue Data'!$A:$A,'[1]Tissue Data'!K:K)</f>
        <v>Whole Body</v>
      </c>
      <c r="I7800">
        <f>_xlfn.XLOOKUP(A7800,'[1]Tissue Data'!$A:$A,'[1]Tissue Data'!L:L)</f>
        <v>6</v>
      </c>
      <c r="J7800">
        <f>_xlfn.XLOOKUP(A7800,'[1]Tissue Data'!$A:$A,'[1]Tissue Data'!M:M)</f>
        <v>2.4500000000000002</v>
      </c>
      <c r="K7800" t="s">
        <v>60</v>
      </c>
      <c r="L7800" t="str">
        <f>_xlfn.XLOOKUP(K7800,[2]analyte_order!$B:$B,[2]analyte_order!$C:$C)</f>
        <v>678-41-1</v>
      </c>
      <c r="M7800">
        <f>_xlfn.XLOOKUP(L7800,[2]analyte_order!$C:$C,[2]analyte_order!$E:$E)</f>
        <v>56</v>
      </c>
      <c r="N7800">
        <v>0.4335</v>
      </c>
    </row>
    <row r="7801" spans="1:14">
      <c r="A7801" t="s">
        <v>208</v>
      </c>
      <c r="B7801" t="str">
        <f>_xlfn.XLOOKUP(A7801,'[1]Tissue Data'!$A:$A,'[1]Tissue Data'!$C:$C)</f>
        <v>Down</v>
      </c>
      <c r="C7801" s="2">
        <f>_xlfn.XLOOKUP(A7801,'[1]Tissue Data'!$A:$A,'[1]Tissue Data'!$D:$D)</f>
        <v>44393</v>
      </c>
      <c r="D7801" s="2" t="str">
        <f>_xlfn.XLOOKUP(A7801,'[1]Tissue Data'!$A:$A,'[1]Tissue Data'!$F:$F)</f>
        <v>Swallowtail Shiner</v>
      </c>
      <c r="E7801" t="str">
        <f>_xlfn.XLOOKUP(A7801,'[1]Tissue Data'!$A:$A,'[1]Tissue Data'!$H:$H)</f>
        <v>Notropis</v>
      </c>
      <c r="F7801" t="str">
        <f>_xlfn.XLOOKUP(A7801,'[1]Tissue Data'!$A:$A,'[1]Tissue Data'!$I:$I)</f>
        <v>procne</v>
      </c>
      <c r="G7801" t="str">
        <f>_xlfn.XLOOKUP(A7801,'[1]Tissue Data'!$A:$A,'[1]Tissue Data'!J:J)</f>
        <v>U</v>
      </c>
      <c r="H7801" t="str">
        <f>_xlfn.XLOOKUP(A7801,'[1]Tissue Data'!$A:$A,'[1]Tissue Data'!K:K)</f>
        <v>Whole Body</v>
      </c>
      <c r="I7801">
        <f>_xlfn.XLOOKUP(A7801,'[1]Tissue Data'!$A:$A,'[1]Tissue Data'!L:L)</f>
        <v>6</v>
      </c>
      <c r="J7801">
        <f>_xlfn.XLOOKUP(A7801,'[1]Tissue Data'!$A:$A,'[1]Tissue Data'!M:M)</f>
        <v>2.4500000000000002</v>
      </c>
      <c r="K7801" t="s">
        <v>61</v>
      </c>
      <c r="L7801" t="str">
        <f>_xlfn.XLOOKUP(K7801,[2]analyte_order!$B:$B,[2]analyte_order!$C:$C)</f>
        <v>2965-52-8</v>
      </c>
      <c r="M7801">
        <f>_xlfn.XLOOKUP(L7801,[2]analyte_order!$C:$C,[2]analyte_order!$E:$E)</f>
        <v>57</v>
      </c>
      <c r="N7801">
        <v>0.4335</v>
      </c>
    </row>
    <row r="7802" spans="1:14">
      <c r="A7802" t="s">
        <v>213</v>
      </c>
      <c r="B7802" t="str">
        <f>_xlfn.XLOOKUP(A7802,'[1]Tissue Data'!$A:$A,'[1]Tissue Data'!$C:$C)</f>
        <v>Down</v>
      </c>
      <c r="C7802" s="2">
        <f>_xlfn.XLOOKUP(A7802,'[1]Tissue Data'!$A:$A,'[1]Tissue Data'!$D:$D)</f>
        <v>44393</v>
      </c>
      <c r="D7802" s="2" t="str">
        <f>_xlfn.XLOOKUP(A7802,'[1]Tissue Data'!$A:$A,'[1]Tissue Data'!$F:$F)</f>
        <v>Large Mouth Bass</v>
      </c>
      <c r="E7802" t="str">
        <f>_xlfn.XLOOKUP(A7802,'[1]Tissue Data'!$A:$A,'[1]Tissue Data'!$H:$H)</f>
        <v>Micropterus</v>
      </c>
      <c r="F7802" t="str">
        <f>_xlfn.XLOOKUP(A7802,'[1]Tissue Data'!$A:$A,'[1]Tissue Data'!$I:$I)</f>
        <v>salmoides</v>
      </c>
      <c r="G7802" t="str">
        <f>_xlfn.XLOOKUP(A7802,'[1]Tissue Data'!$A:$A,'[1]Tissue Data'!J:J)</f>
        <v>U</v>
      </c>
      <c r="H7802" t="str">
        <f>_xlfn.XLOOKUP(A7802,'[1]Tissue Data'!$A:$A,'[1]Tissue Data'!K:K)</f>
        <v>Whole Body</v>
      </c>
      <c r="I7802">
        <f>_xlfn.XLOOKUP(A7802,'[1]Tissue Data'!$A:$A,'[1]Tissue Data'!L:L)</f>
        <v>7</v>
      </c>
      <c r="J7802">
        <f>_xlfn.XLOOKUP(A7802,'[1]Tissue Data'!$A:$A,'[1]Tissue Data'!M:M)</f>
        <v>4.1500000000000004</v>
      </c>
      <c r="K7802" t="s">
        <v>12</v>
      </c>
      <c r="L7802" t="str">
        <f>_xlfn.XLOOKUP(K7802,[2]analyte_order!$B:$B,[2]analyte_order!$C:$C)</f>
        <v>375-22-4</v>
      </c>
      <c r="M7802">
        <f>_xlfn.XLOOKUP(L7802,[2]analyte_order!$C:$C,[2]analyte_order!$E:$E)</f>
        <v>1</v>
      </c>
      <c r="N7802">
        <v>0.223</v>
      </c>
    </row>
    <row r="7803" spans="1:14">
      <c r="A7803" t="s">
        <v>213</v>
      </c>
      <c r="B7803" t="str">
        <f>_xlfn.XLOOKUP(A7803,'[1]Tissue Data'!$A:$A,'[1]Tissue Data'!$C:$C)</f>
        <v>Down</v>
      </c>
      <c r="C7803" s="2">
        <f>_xlfn.XLOOKUP(A7803,'[1]Tissue Data'!$A:$A,'[1]Tissue Data'!$D:$D)</f>
        <v>44393</v>
      </c>
      <c r="D7803" s="2" t="str">
        <f>_xlfn.XLOOKUP(A7803,'[1]Tissue Data'!$A:$A,'[1]Tissue Data'!$F:$F)</f>
        <v>Large Mouth Bass</v>
      </c>
      <c r="E7803" t="str">
        <f>_xlfn.XLOOKUP(A7803,'[1]Tissue Data'!$A:$A,'[1]Tissue Data'!$H:$H)</f>
        <v>Micropterus</v>
      </c>
      <c r="F7803" t="str">
        <f>_xlfn.XLOOKUP(A7803,'[1]Tissue Data'!$A:$A,'[1]Tissue Data'!$I:$I)</f>
        <v>salmoides</v>
      </c>
      <c r="G7803" t="str">
        <f>_xlfn.XLOOKUP(A7803,'[1]Tissue Data'!$A:$A,'[1]Tissue Data'!J:J)</f>
        <v>U</v>
      </c>
      <c r="H7803" t="str">
        <f>_xlfn.XLOOKUP(A7803,'[1]Tissue Data'!$A:$A,'[1]Tissue Data'!K:K)</f>
        <v>Whole Body</v>
      </c>
      <c r="I7803">
        <f>_xlfn.XLOOKUP(A7803,'[1]Tissue Data'!$A:$A,'[1]Tissue Data'!L:L)</f>
        <v>7</v>
      </c>
      <c r="J7803">
        <f>_xlfn.XLOOKUP(A7803,'[1]Tissue Data'!$A:$A,'[1]Tissue Data'!M:M)</f>
        <v>4.1500000000000004</v>
      </c>
      <c r="K7803" t="s">
        <v>13</v>
      </c>
      <c r="L7803" t="str">
        <f>_xlfn.XLOOKUP(K7803,[2]analyte_order!$B:$B,[2]analyte_order!$C:$C)</f>
        <v>2706-90-3</v>
      </c>
      <c r="M7803">
        <f>_xlfn.XLOOKUP(L7803,[2]analyte_order!$C:$C,[2]analyte_order!$E:$E)</f>
        <v>2</v>
      </c>
      <c r="N7803">
        <v>0.223</v>
      </c>
    </row>
    <row r="7804" spans="1:14">
      <c r="A7804" t="s">
        <v>213</v>
      </c>
      <c r="B7804" t="str">
        <f>_xlfn.XLOOKUP(A7804,'[1]Tissue Data'!$A:$A,'[1]Tissue Data'!$C:$C)</f>
        <v>Down</v>
      </c>
      <c r="C7804" s="2">
        <f>_xlfn.XLOOKUP(A7804,'[1]Tissue Data'!$A:$A,'[1]Tissue Data'!$D:$D)</f>
        <v>44393</v>
      </c>
      <c r="D7804" s="2" t="str">
        <f>_xlfn.XLOOKUP(A7804,'[1]Tissue Data'!$A:$A,'[1]Tissue Data'!$F:$F)</f>
        <v>Large Mouth Bass</v>
      </c>
      <c r="E7804" t="str">
        <f>_xlfn.XLOOKUP(A7804,'[1]Tissue Data'!$A:$A,'[1]Tissue Data'!$H:$H)</f>
        <v>Micropterus</v>
      </c>
      <c r="F7804" t="str">
        <f>_xlfn.XLOOKUP(A7804,'[1]Tissue Data'!$A:$A,'[1]Tissue Data'!$I:$I)</f>
        <v>salmoides</v>
      </c>
      <c r="G7804" t="str">
        <f>_xlfn.XLOOKUP(A7804,'[1]Tissue Data'!$A:$A,'[1]Tissue Data'!J:J)</f>
        <v>U</v>
      </c>
      <c r="H7804" t="str">
        <f>_xlfn.XLOOKUP(A7804,'[1]Tissue Data'!$A:$A,'[1]Tissue Data'!K:K)</f>
        <v>Whole Body</v>
      </c>
      <c r="I7804">
        <f>_xlfn.XLOOKUP(A7804,'[1]Tissue Data'!$A:$A,'[1]Tissue Data'!L:L)</f>
        <v>7</v>
      </c>
      <c r="J7804">
        <f>_xlfn.XLOOKUP(A7804,'[1]Tissue Data'!$A:$A,'[1]Tissue Data'!M:M)</f>
        <v>4.1500000000000004</v>
      </c>
      <c r="K7804" t="s">
        <v>14</v>
      </c>
      <c r="L7804" t="str">
        <f>_xlfn.XLOOKUP(K7804,[2]analyte_order!$B:$B,[2]analyte_order!$C:$C)</f>
        <v>307-24-4</v>
      </c>
      <c r="M7804">
        <f>_xlfn.XLOOKUP(L7804,[2]analyte_order!$C:$C,[2]analyte_order!$E:$E)</f>
        <v>3</v>
      </c>
      <c r="N7804">
        <v>0.12</v>
      </c>
    </row>
    <row r="7805" spans="1:14">
      <c r="A7805" t="s">
        <v>213</v>
      </c>
      <c r="B7805" t="str">
        <f>_xlfn.XLOOKUP(A7805,'[1]Tissue Data'!$A:$A,'[1]Tissue Data'!$C:$C)</f>
        <v>Down</v>
      </c>
      <c r="C7805" s="2">
        <f>_xlfn.XLOOKUP(A7805,'[1]Tissue Data'!$A:$A,'[1]Tissue Data'!$D:$D)</f>
        <v>44393</v>
      </c>
      <c r="D7805" s="2" t="str">
        <f>_xlfn.XLOOKUP(A7805,'[1]Tissue Data'!$A:$A,'[1]Tissue Data'!$F:$F)</f>
        <v>Large Mouth Bass</v>
      </c>
      <c r="E7805" t="str">
        <f>_xlfn.XLOOKUP(A7805,'[1]Tissue Data'!$A:$A,'[1]Tissue Data'!$H:$H)</f>
        <v>Micropterus</v>
      </c>
      <c r="F7805" t="str">
        <f>_xlfn.XLOOKUP(A7805,'[1]Tissue Data'!$A:$A,'[1]Tissue Data'!$I:$I)</f>
        <v>salmoides</v>
      </c>
      <c r="G7805" t="str">
        <f>_xlfn.XLOOKUP(A7805,'[1]Tissue Data'!$A:$A,'[1]Tissue Data'!J:J)</f>
        <v>U</v>
      </c>
      <c r="H7805" t="str">
        <f>_xlfn.XLOOKUP(A7805,'[1]Tissue Data'!$A:$A,'[1]Tissue Data'!K:K)</f>
        <v>Whole Body</v>
      </c>
      <c r="I7805">
        <f>_xlfn.XLOOKUP(A7805,'[1]Tissue Data'!$A:$A,'[1]Tissue Data'!L:L)</f>
        <v>7</v>
      </c>
      <c r="J7805">
        <f>_xlfn.XLOOKUP(A7805,'[1]Tissue Data'!$A:$A,'[1]Tissue Data'!M:M)</f>
        <v>4.1500000000000004</v>
      </c>
      <c r="K7805" t="s">
        <v>15</v>
      </c>
      <c r="L7805" t="str">
        <f>_xlfn.XLOOKUP(K7805,[2]analyte_order!$B:$B,[2]analyte_order!$C:$C)</f>
        <v>375-85-9</v>
      </c>
      <c r="M7805">
        <f>_xlfn.XLOOKUP(L7805,[2]analyte_order!$C:$C,[2]analyte_order!$E:$E)</f>
        <v>4</v>
      </c>
      <c r="N7805">
        <v>0.223</v>
      </c>
    </row>
    <row r="7806" spans="1:14">
      <c r="A7806" t="s">
        <v>213</v>
      </c>
      <c r="B7806" t="str">
        <f>_xlfn.XLOOKUP(A7806,'[1]Tissue Data'!$A:$A,'[1]Tissue Data'!$C:$C)</f>
        <v>Down</v>
      </c>
      <c r="C7806" s="2">
        <f>_xlfn.XLOOKUP(A7806,'[1]Tissue Data'!$A:$A,'[1]Tissue Data'!$D:$D)</f>
        <v>44393</v>
      </c>
      <c r="D7806" s="2" t="str">
        <f>_xlfn.XLOOKUP(A7806,'[1]Tissue Data'!$A:$A,'[1]Tissue Data'!$F:$F)</f>
        <v>Large Mouth Bass</v>
      </c>
      <c r="E7806" t="str">
        <f>_xlfn.XLOOKUP(A7806,'[1]Tissue Data'!$A:$A,'[1]Tissue Data'!$H:$H)</f>
        <v>Micropterus</v>
      </c>
      <c r="F7806" t="str">
        <f>_xlfn.XLOOKUP(A7806,'[1]Tissue Data'!$A:$A,'[1]Tissue Data'!$I:$I)</f>
        <v>salmoides</v>
      </c>
      <c r="G7806" t="str">
        <f>_xlfn.XLOOKUP(A7806,'[1]Tissue Data'!$A:$A,'[1]Tissue Data'!J:J)</f>
        <v>U</v>
      </c>
      <c r="H7806" t="str">
        <f>_xlfn.XLOOKUP(A7806,'[1]Tissue Data'!$A:$A,'[1]Tissue Data'!K:K)</f>
        <v>Whole Body</v>
      </c>
      <c r="I7806">
        <f>_xlfn.XLOOKUP(A7806,'[1]Tissue Data'!$A:$A,'[1]Tissue Data'!L:L)</f>
        <v>7</v>
      </c>
      <c r="J7806">
        <f>_xlfn.XLOOKUP(A7806,'[1]Tissue Data'!$A:$A,'[1]Tissue Data'!M:M)</f>
        <v>4.1500000000000004</v>
      </c>
      <c r="K7806" t="s">
        <v>16</v>
      </c>
      <c r="L7806" t="str">
        <f>_xlfn.XLOOKUP(K7806,[2]analyte_order!$B:$B,[2]analyte_order!$C:$C)</f>
        <v>335-67-1</v>
      </c>
      <c r="M7806">
        <f>_xlfn.XLOOKUP(L7806,[2]analyte_order!$C:$C,[2]analyte_order!$E:$E)</f>
        <v>5</v>
      </c>
      <c r="N7806">
        <v>0.95699999999999996</v>
      </c>
    </row>
    <row r="7807" spans="1:14">
      <c r="A7807" t="s">
        <v>213</v>
      </c>
      <c r="B7807" t="str">
        <f>_xlfn.XLOOKUP(A7807,'[1]Tissue Data'!$A:$A,'[1]Tissue Data'!$C:$C)</f>
        <v>Down</v>
      </c>
      <c r="C7807" s="2">
        <f>_xlfn.XLOOKUP(A7807,'[1]Tissue Data'!$A:$A,'[1]Tissue Data'!$D:$D)</f>
        <v>44393</v>
      </c>
      <c r="D7807" s="2" t="str">
        <f>_xlfn.XLOOKUP(A7807,'[1]Tissue Data'!$A:$A,'[1]Tissue Data'!$F:$F)</f>
        <v>Large Mouth Bass</v>
      </c>
      <c r="E7807" t="str">
        <f>_xlfn.XLOOKUP(A7807,'[1]Tissue Data'!$A:$A,'[1]Tissue Data'!$H:$H)</f>
        <v>Micropterus</v>
      </c>
      <c r="F7807" t="str">
        <f>_xlfn.XLOOKUP(A7807,'[1]Tissue Data'!$A:$A,'[1]Tissue Data'!$I:$I)</f>
        <v>salmoides</v>
      </c>
      <c r="G7807" t="str">
        <f>_xlfn.XLOOKUP(A7807,'[1]Tissue Data'!$A:$A,'[1]Tissue Data'!J:J)</f>
        <v>U</v>
      </c>
      <c r="H7807" t="str">
        <f>_xlfn.XLOOKUP(A7807,'[1]Tissue Data'!$A:$A,'[1]Tissue Data'!K:K)</f>
        <v>Whole Body</v>
      </c>
      <c r="I7807">
        <f>_xlfn.XLOOKUP(A7807,'[1]Tissue Data'!$A:$A,'[1]Tissue Data'!L:L)</f>
        <v>7</v>
      </c>
      <c r="J7807">
        <f>_xlfn.XLOOKUP(A7807,'[1]Tissue Data'!$A:$A,'[1]Tissue Data'!M:M)</f>
        <v>4.1500000000000004</v>
      </c>
      <c r="K7807" t="s">
        <v>17</v>
      </c>
      <c r="L7807" t="str">
        <f>_xlfn.XLOOKUP(K7807,[2]analyte_order!$B:$B,[2]analyte_order!$C:$C)</f>
        <v>375-95-1</v>
      </c>
      <c r="M7807">
        <f>_xlfn.XLOOKUP(L7807,[2]analyte_order!$C:$C,[2]analyte_order!$E:$E)</f>
        <v>6</v>
      </c>
      <c r="N7807">
        <v>1.8</v>
      </c>
    </row>
    <row r="7808" spans="1:14">
      <c r="A7808" t="s">
        <v>213</v>
      </c>
      <c r="B7808" t="str">
        <f>_xlfn.XLOOKUP(A7808,'[1]Tissue Data'!$A:$A,'[1]Tissue Data'!$C:$C)</f>
        <v>Down</v>
      </c>
      <c r="C7808" s="2">
        <f>_xlfn.XLOOKUP(A7808,'[1]Tissue Data'!$A:$A,'[1]Tissue Data'!$D:$D)</f>
        <v>44393</v>
      </c>
      <c r="D7808" s="2" t="str">
        <f>_xlfn.XLOOKUP(A7808,'[1]Tissue Data'!$A:$A,'[1]Tissue Data'!$F:$F)</f>
        <v>Large Mouth Bass</v>
      </c>
      <c r="E7808" t="str">
        <f>_xlfn.XLOOKUP(A7808,'[1]Tissue Data'!$A:$A,'[1]Tissue Data'!$H:$H)</f>
        <v>Micropterus</v>
      </c>
      <c r="F7808" t="str">
        <f>_xlfn.XLOOKUP(A7808,'[1]Tissue Data'!$A:$A,'[1]Tissue Data'!$I:$I)</f>
        <v>salmoides</v>
      </c>
      <c r="G7808" t="str">
        <f>_xlfn.XLOOKUP(A7808,'[1]Tissue Data'!$A:$A,'[1]Tissue Data'!J:J)</f>
        <v>U</v>
      </c>
      <c r="H7808" t="str">
        <f>_xlfn.XLOOKUP(A7808,'[1]Tissue Data'!$A:$A,'[1]Tissue Data'!K:K)</f>
        <v>Whole Body</v>
      </c>
      <c r="I7808">
        <f>_xlfn.XLOOKUP(A7808,'[1]Tissue Data'!$A:$A,'[1]Tissue Data'!L:L)</f>
        <v>7</v>
      </c>
      <c r="J7808">
        <f>_xlfn.XLOOKUP(A7808,'[1]Tissue Data'!$A:$A,'[1]Tissue Data'!M:M)</f>
        <v>4.1500000000000004</v>
      </c>
      <c r="K7808" t="s">
        <v>18</v>
      </c>
      <c r="L7808" t="str">
        <f>_xlfn.XLOOKUP(K7808,[2]analyte_order!$B:$B,[2]analyte_order!$C:$C)</f>
        <v>335-76-2</v>
      </c>
      <c r="M7808">
        <f>_xlfn.XLOOKUP(L7808,[2]analyte_order!$C:$C,[2]analyte_order!$E:$E)</f>
        <v>7</v>
      </c>
      <c r="N7808">
        <v>10.1</v>
      </c>
    </row>
    <row r="7809" spans="1:14">
      <c r="A7809" t="s">
        <v>213</v>
      </c>
      <c r="B7809" t="str">
        <f>_xlfn.XLOOKUP(A7809,'[1]Tissue Data'!$A:$A,'[1]Tissue Data'!$C:$C)</f>
        <v>Down</v>
      </c>
      <c r="C7809" s="2">
        <f>_xlfn.XLOOKUP(A7809,'[1]Tissue Data'!$A:$A,'[1]Tissue Data'!$D:$D)</f>
        <v>44393</v>
      </c>
      <c r="D7809" s="2" t="str">
        <f>_xlfn.XLOOKUP(A7809,'[1]Tissue Data'!$A:$A,'[1]Tissue Data'!$F:$F)</f>
        <v>Large Mouth Bass</v>
      </c>
      <c r="E7809" t="str">
        <f>_xlfn.XLOOKUP(A7809,'[1]Tissue Data'!$A:$A,'[1]Tissue Data'!$H:$H)</f>
        <v>Micropterus</v>
      </c>
      <c r="F7809" t="str">
        <f>_xlfn.XLOOKUP(A7809,'[1]Tissue Data'!$A:$A,'[1]Tissue Data'!$I:$I)</f>
        <v>salmoides</v>
      </c>
      <c r="G7809" t="str">
        <f>_xlfn.XLOOKUP(A7809,'[1]Tissue Data'!$A:$A,'[1]Tissue Data'!J:J)</f>
        <v>U</v>
      </c>
      <c r="H7809" t="str">
        <f>_xlfn.XLOOKUP(A7809,'[1]Tissue Data'!$A:$A,'[1]Tissue Data'!K:K)</f>
        <v>Whole Body</v>
      </c>
      <c r="I7809">
        <f>_xlfn.XLOOKUP(A7809,'[1]Tissue Data'!$A:$A,'[1]Tissue Data'!L:L)</f>
        <v>7</v>
      </c>
      <c r="J7809">
        <f>_xlfn.XLOOKUP(A7809,'[1]Tissue Data'!$A:$A,'[1]Tissue Data'!M:M)</f>
        <v>4.1500000000000004</v>
      </c>
      <c r="K7809" t="s">
        <v>19</v>
      </c>
      <c r="L7809" t="str">
        <f>_xlfn.XLOOKUP(K7809,[2]analyte_order!$B:$B,[2]analyte_order!$C:$C)</f>
        <v>2058-94-8</v>
      </c>
      <c r="M7809">
        <f>_xlfn.XLOOKUP(L7809,[2]analyte_order!$C:$C,[2]analyte_order!$E:$E)</f>
        <v>8</v>
      </c>
      <c r="N7809">
        <v>12.2</v>
      </c>
    </row>
    <row r="7810" spans="1:14">
      <c r="A7810" t="s">
        <v>213</v>
      </c>
      <c r="B7810" t="str">
        <f>_xlfn.XLOOKUP(A7810,'[1]Tissue Data'!$A:$A,'[1]Tissue Data'!$C:$C)</f>
        <v>Down</v>
      </c>
      <c r="C7810" s="2">
        <f>_xlfn.XLOOKUP(A7810,'[1]Tissue Data'!$A:$A,'[1]Tissue Data'!$D:$D)</f>
        <v>44393</v>
      </c>
      <c r="D7810" s="2" t="str">
        <f>_xlfn.XLOOKUP(A7810,'[1]Tissue Data'!$A:$A,'[1]Tissue Data'!$F:$F)</f>
        <v>Large Mouth Bass</v>
      </c>
      <c r="E7810" t="str">
        <f>_xlfn.XLOOKUP(A7810,'[1]Tissue Data'!$A:$A,'[1]Tissue Data'!$H:$H)</f>
        <v>Micropterus</v>
      </c>
      <c r="F7810" t="str">
        <f>_xlfn.XLOOKUP(A7810,'[1]Tissue Data'!$A:$A,'[1]Tissue Data'!$I:$I)</f>
        <v>salmoides</v>
      </c>
      <c r="G7810" t="str">
        <f>_xlfn.XLOOKUP(A7810,'[1]Tissue Data'!$A:$A,'[1]Tissue Data'!J:J)</f>
        <v>U</v>
      </c>
      <c r="H7810" t="str">
        <f>_xlfn.XLOOKUP(A7810,'[1]Tissue Data'!$A:$A,'[1]Tissue Data'!K:K)</f>
        <v>Whole Body</v>
      </c>
      <c r="I7810">
        <f>_xlfn.XLOOKUP(A7810,'[1]Tissue Data'!$A:$A,'[1]Tissue Data'!L:L)</f>
        <v>7</v>
      </c>
      <c r="J7810">
        <f>_xlfn.XLOOKUP(A7810,'[1]Tissue Data'!$A:$A,'[1]Tissue Data'!M:M)</f>
        <v>4.1500000000000004</v>
      </c>
      <c r="K7810" t="s">
        <v>20</v>
      </c>
      <c r="L7810" t="str">
        <f>_xlfn.XLOOKUP(K7810,[2]analyte_order!$B:$B,[2]analyte_order!$C:$C)</f>
        <v>307-55-1</v>
      </c>
      <c r="M7810">
        <f>_xlfn.XLOOKUP(L7810,[2]analyte_order!$C:$C,[2]analyte_order!$E:$E)</f>
        <v>9</v>
      </c>
      <c r="N7810">
        <v>12.4</v>
      </c>
    </row>
    <row r="7811" spans="1:14">
      <c r="A7811" t="s">
        <v>213</v>
      </c>
      <c r="B7811" t="str">
        <f>_xlfn.XLOOKUP(A7811,'[1]Tissue Data'!$A:$A,'[1]Tissue Data'!$C:$C)</f>
        <v>Down</v>
      </c>
      <c r="C7811" s="2">
        <f>_xlfn.XLOOKUP(A7811,'[1]Tissue Data'!$A:$A,'[1]Tissue Data'!$D:$D)</f>
        <v>44393</v>
      </c>
      <c r="D7811" s="2" t="str">
        <f>_xlfn.XLOOKUP(A7811,'[1]Tissue Data'!$A:$A,'[1]Tissue Data'!$F:$F)</f>
        <v>Large Mouth Bass</v>
      </c>
      <c r="E7811" t="str">
        <f>_xlfn.XLOOKUP(A7811,'[1]Tissue Data'!$A:$A,'[1]Tissue Data'!$H:$H)</f>
        <v>Micropterus</v>
      </c>
      <c r="F7811" t="str">
        <f>_xlfn.XLOOKUP(A7811,'[1]Tissue Data'!$A:$A,'[1]Tissue Data'!$I:$I)</f>
        <v>salmoides</v>
      </c>
      <c r="G7811" t="str">
        <f>_xlfn.XLOOKUP(A7811,'[1]Tissue Data'!$A:$A,'[1]Tissue Data'!J:J)</f>
        <v>U</v>
      </c>
      <c r="H7811" t="str">
        <f>_xlfn.XLOOKUP(A7811,'[1]Tissue Data'!$A:$A,'[1]Tissue Data'!K:K)</f>
        <v>Whole Body</v>
      </c>
      <c r="I7811">
        <f>_xlfn.XLOOKUP(A7811,'[1]Tissue Data'!$A:$A,'[1]Tissue Data'!L:L)</f>
        <v>7</v>
      </c>
      <c r="J7811">
        <f>_xlfn.XLOOKUP(A7811,'[1]Tissue Data'!$A:$A,'[1]Tissue Data'!M:M)</f>
        <v>4.1500000000000004</v>
      </c>
      <c r="K7811" t="s">
        <v>21</v>
      </c>
      <c r="L7811" t="str">
        <f>_xlfn.XLOOKUP(K7811,[2]analyte_order!$B:$B,[2]analyte_order!$C:$C)</f>
        <v>72629-94-8</v>
      </c>
      <c r="M7811">
        <f>_xlfn.XLOOKUP(L7811,[2]analyte_order!$C:$C,[2]analyte_order!$E:$E)</f>
        <v>10</v>
      </c>
      <c r="N7811">
        <v>4.46</v>
      </c>
    </row>
    <row r="7812" spans="1:14">
      <c r="A7812" t="s">
        <v>213</v>
      </c>
      <c r="B7812" t="str">
        <f>_xlfn.XLOOKUP(A7812,'[1]Tissue Data'!$A:$A,'[1]Tissue Data'!$C:$C)</f>
        <v>Down</v>
      </c>
      <c r="C7812" s="2">
        <f>_xlfn.XLOOKUP(A7812,'[1]Tissue Data'!$A:$A,'[1]Tissue Data'!$D:$D)</f>
        <v>44393</v>
      </c>
      <c r="D7812" s="2" t="str">
        <f>_xlfn.XLOOKUP(A7812,'[1]Tissue Data'!$A:$A,'[1]Tissue Data'!$F:$F)</f>
        <v>Large Mouth Bass</v>
      </c>
      <c r="E7812" t="str">
        <f>_xlfn.XLOOKUP(A7812,'[1]Tissue Data'!$A:$A,'[1]Tissue Data'!$H:$H)</f>
        <v>Micropterus</v>
      </c>
      <c r="F7812" t="str">
        <f>_xlfn.XLOOKUP(A7812,'[1]Tissue Data'!$A:$A,'[1]Tissue Data'!$I:$I)</f>
        <v>salmoides</v>
      </c>
      <c r="G7812" t="str">
        <f>_xlfn.XLOOKUP(A7812,'[1]Tissue Data'!$A:$A,'[1]Tissue Data'!J:J)</f>
        <v>U</v>
      </c>
      <c r="H7812" t="str">
        <f>_xlfn.XLOOKUP(A7812,'[1]Tissue Data'!$A:$A,'[1]Tissue Data'!K:K)</f>
        <v>Whole Body</v>
      </c>
      <c r="I7812">
        <f>_xlfn.XLOOKUP(A7812,'[1]Tissue Data'!$A:$A,'[1]Tissue Data'!L:L)</f>
        <v>7</v>
      </c>
      <c r="J7812">
        <f>_xlfn.XLOOKUP(A7812,'[1]Tissue Data'!$A:$A,'[1]Tissue Data'!M:M)</f>
        <v>4.1500000000000004</v>
      </c>
      <c r="K7812" t="s">
        <v>22</v>
      </c>
      <c r="L7812" t="str">
        <f>_xlfn.XLOOKUP(K7812,[2]analyte_order!$B:$B,[2]analyte_order!$C:$C)</f>
        <v>376-06-7</v>
      </c>
      <c r="M7812">
        <f>_xlfn.XLOOKUP(L7812,[2]analyte_order!$C:$C,[2]analyte_order!$E:$E)</f>
        <v>11</v>
      </c>
      <c r="N7812">
        <v>5.0999999999999996</v>
      </c>
    </row>
    <row r="7813" spans="1:14">
      <c r="A7813" t="s">
        <v>213</v>
      </c>
      <c r="B7813" t="str">
        <f>_xlfn.XLOOKUP(A7813,'[1]Tissue Data'!$A:$A,'[1]Tissue Data'!$C:$C)</f>
        <v>Down</v>
      </c>
      <c r="C7813" s="2">
        <f>_xlfn.XLOOKUP(A7813,'[1]Tissue Data'!$A:$A,'[1]Tissue Data'!$D:$D)</f>
        <v>44393</v>
      </c>
      <c r="D7813" s="2" t="str">
        <f>_xlfn.XLOOKUP(A7813,'[1]Tissue Data'!$A:$A,'[1]Tissue Data'!$F:$F)</f>
        <v>Large Mouth Bass</v>
      </c>
      <c r="E7813" t="str">
        <f>_xlfn.XLOOKUP(A7813,'[1]Tissue Data'!$A:$A,'[1]Tissue Data'!$H:$H)</f>
        <v>Micropterus</v>
      </c>
      <c r="F7813" t="str">
        <f>_xlfn.XLOOKUP(A7813,'[1]Tissue Data'!$A:$A,'[1]Tissue Data'!$I:$I)</f>
        <v>salmoides</v>
      </c>
      <c r="G7813" t="str">
        <f>_xlfn.XLOOKUP(A7813,'[1]Tissue Data'!$A:$A,'[1]Tissue Data'!J:J)</f>
        <v>U</v>
      </c>
      <c r="H7813" t="str">
        <f>_xlfn.XLOOKUP(A7813,'[1]Tissue Data'!$A:$A,'[1]Tissue Data'!K:K)</f>
        <v>Whole Body</v>
      </c>
      <c r="I7813">
        <f>_xlfn.XLOOKUP(A7813,'[1]Tissue Data'!$A:$A,'[1]Tissue Data'!L:L)</f>
        <v>7</v>
      </c>
      <c r="J7813">
        <f>_xlfn.XLOOKUP(A7813,'[1]Tissue Data'!$A:$A,'[1]Tissue Data'!M:M)</f>
        <v>4.1500000000000004</v>
      </c>
      <c r="K7813" t="s">
        <v>23</v>
      </c>
      <c r="L7813" t="str">
        <f>_xlfn.XLOOKUP(K7813,[2]analyte_order!$B:$B,[2]analyte_order!$C:$C)</f>
        <v>67905-19-5</v>
      </c>
      <c r="M7813">
        <f>_xlfn.XLOOKUP(L7813,[2]analyte_order!$C:$C,[2]analyte_order!$E:$E)</f>
        <v>12</v>
      </c>
      <c r="N7813">
        <v>0.26550000000000001</v>
      </c>
    </row>
    <row r="7814" spans="1:14">
      <c r="A7814" t="s">
        <v>213</v>
      </c>
      <c r="B7814" t="str">
        <f>_xlfn.XLOOKUP(A7814,'[1]Tissue Data'!$A:$A,'[1]Tissue Data'!$C:$C)</f>
        <v>Down</v>
      </c>
      <c r="C7814" s="2">
        <f>_xlfn.XLOOKUP(A7814,'[1]Tissue Data'!$A:$A,'[1]Tissue Data'!$D:$D)</f>
        <v>44393</v>
      </c>
      <c r="D7814" s="2" t="str">
        <f>_xlfn.XLOOKUP(A7814,'[1]Tissue Data'!$A:$A,'[1]Tissue Data'!$F:$F)</f>
        <v>Large Mouth Bass</v>
      </c>
      <c r="E7814" t="str">
        <f>_xlfn.XLOOKUP(A7814,'[1]Tissue Data'!$A:$A,'[1]Tissue Data'!$H:$H)</f>
        <v>Micropterus</v>
      </c>
      <c r="F7814" t="str">
        <f>_xlfn.XLOOKUP(A7814,'[1]Tissue Data'!$A:$A,'[1]Tissue Data'!$I:$I)</f>
        <v>salmoides</v>
      </c>
      <c r="G7814" t="str">
        <f>_xlfn.XLOOKUP(A7814,'[1]Tissue Data'!$A:$A,'[1]Tissue Data'!J:J)</f>
        <v>U</v>
      </c>
      <c r="H7814" t="str">
        <f>_xlfn.XLOOKUP(A7814,'[1]Tissue Data'!$A:$A,'[1]Tissue Data'!K:K)</f>
        <v>Whole Body</v>
      </c>
      <c r="I7814">
        <f>_xlfn.XLOOKUP(A7814,'[1]Tissue Data'!$A:$A,'[1]Tissue Data'!L:L)</f>
        <v>7</v>
      </c>
      <c r="J7814">
        <f>_xlfn.XLOOKUP(A7814,'[1]Tissue Data'!$A:$A,'[1]Tissue Data'!M:M)</f>
        <v>4.1500000000000004</v>
      </c>
      <c r="K7814" t="s">
        <v>24</v>
      </c>
      <c r="L7814" t="str">
        <f>_xlfn.XLOOKUP(K7814,[2]analyte_order!$B:$B,[2]analyte_order!$C:$C)</f>
        <v>423-41-6</v>
      </c>
      <c r="M7814">
        <f>_xlfn.XLOOKUP(L7814,[2]analyte_order!$C:$C,[2]analyte_order!$E:$E)</f>
        <v>53</v>
      </c>
      <c r="N7814">
        <v>0.44550000000000001</v>
      </c>
    </row>
    <row r="7815" spans="1:14">
      <c r="A7815" t="s">
        <v>213</v>
      </c>
      <c r="B7815" t="str">
        <f>_xlfn.XLOOKUP(A7815,'[1]Tissue Data'!$A:$A,'[1]Tissue Data'!$C:$C)</f>
        <v>Down</v>
      </c>
      <c r="C7815" s="2">
        <f>_xlfn.XLOOKUP(A7815,'[1]Tissue Data'!$A:$A,'[1]Tissue Data'!$D:$D)</f>
        <v>44393</v>
      </c>
      <c r="D7815" s="2" t="str">
        <f>_xlfn.XLOOKUP(A7815,'[1]Tissue Data'!$A:$A,'[1]Tissue Data'!$F:$F)</f>
        <v>Large Mouth Bass</v>
      </c>
      <c r="E7815" t="str">
        <f>_xlfn.XLOOKUP(A7815,'[1]Tissue Data'!$A:$A,'[1]Tissue Data'!$H:$H)</f>
        <v>Micropterus</v>
      </c>
      <c r="F7815" t="str">
        <f>_xlfn.XLOOKUP(A7815,'[1]Tissue Data'!$A:$A,'[1]Tissue Data'!$I:$I)</f>
        <v>salmoides</v>
      </c>
      <c r="G7815" t="str">
        <f>_xlfn.XLOOKUP(A7815,'[1]Tissue Data'!$A:$A,'[1]Tissue Data'!J:J)</f>
        <v>U</v>
      </c>
      <c r="H7815" t="str">
        <f>_xlfn.XLOOKUP(A7815,'[1]Tissue Data'!$A:$A,'[1]Tissue Data'!K:K)</f>
        <v>Whole Body</v>
      </c>
      <c r="I7815">
        <f>_xlfn.XLOOKUP(A7815,'[1]Tissue Data'!$A:$A,'[1]Tissue Data'!L:L)</f>
        <v>7</v>
      </c>
      <c r="J7815">
        <f>_xlfn.XLOOKUP(A7815,'[1]Tissue Data'!$A:$A,'[1]Tissue Data'!M:M)</f>
        <v>4.1500000000000004</v>
      </c>
      <c r="K7815" t="s">
        <v>25</v>
      </c>
      <c r="L7815" t="str">
        <f>_xlfn.XLOOKUP(K7815,[2]analyte_order!$B:$B,[2]analyte_order!$C:$C)</f>
        <v>375-73-5</v>
      </c>
      <c r="M7815">
        <f>_xlfn.XLOOKUP(L7815,[2]analyte_order!$C:$C,[2]analyte_order!$E:$E)</f>
        <v>14</v>
      </c>
      <c r="N7815">
        <v>0.1515</v>
      </c>
    </row>
    <row r="7816" spans="1:14">
      <c r="A7816" t="s">
        <v>213</v>
      </c>
      <c r="B7816" t="str">
        <f>_xlfn.XLOOKUP(A7816,'[1]Tissue Data'!$A:$A,'[1]Tissue Data'!$C:$C)</f>
        <v>Down</v>
      </c>
      <c r="C7816" s="2">
        <f>_xlfn.XLOOKUP(A7816,'[1]Tissue Data'!$A:$A,'[1]Tissue Data'!$D:$D)</f>
        <v>44393</v>
      </c>
      <c r="D7816" s="2" t="str">
        <f>_xlfn.XLOOKUP(A7816,'[1]Tissue Data'!$A:$A,'[1]Tissue Data'!$F:$F)</f>
        <v>Large Mouth Bass</v>
      </c>
      <c r="E7816" t="str">
        <f>_xlfn.XLOOKUP(A7816,'[1]Tissue Data'!$A:$A,'[1]Tissue Data'!$H:$H)</f>
        <v>Micropterus</v>
      </c>
      <c r="F7816" t="str">
        <f>_xlfn.XLOOKUP(A7816,'[1]Tissue Data'!$A:$A,'[1]Tissue Data'!$I:$I)</f>
        <v>salmoides</v>
      </c>
      <c r="G7816" t="str">
        <f>_xlfn.XLOOKUP(A7816,'[1]Tissue Data'!$A:$A,'[1]Tissue Data'!J:J)</f>
        <v>U</v>
      </c>
      <c r="H7816" t="str">
        <f>_xlfn.XLOOKUP(A7816,'[1]Tissue Data'!$A:$A,'[1]Tissue Data'!K:K)</f>
        <v>Whole Body</v>
      </c>
      <c r="I7816">
        <f>_xlfn.XLOOKUP(A7816,'[1]Tissue Data'!$A:$A,'[1]Tissue Data'!L:L)</f>
        <v>7</v>
      </c>
      <c r="J7816">
        <f>_xlfn.XLOOKUP(A7816,'[1]Tissue Data'!$A:$A,'[1]Tissue Data'!M:M)</f>
        <v>4.1500000000000004</v>
      </c>
      <c r="K7816" t="s">
        <v>26</v>
      </c>
      <c r="L7816" t="str">
        <f>_xlfn.XLOOKUP(K7816,[2]analyte_order!$B:$B,[2]analyte_order!$C:$C)</f>
        <v>2706-91-4</v>
      </c>
      <c r="M7816">
        <f>_xlfn.XLOOKUP(L7816,[2]analyte_order!$C:$C,[2]analyte_order!$E:$E)</f>
        <v>15</v>
      </c>
      <c r="N7816">
        <v>0.26400000000000001</v>
      </c>
    </row>
    <row r="7817" spans="1:14">
      <c r="A7817" t="s">
        <v>213</v>
      </c>
      <c r="B7817" t="str">
        <f>_xlfn.XLOOKUP(A7817,'[1]Tissue Data'!$A:$A,'[1]Tissue Data'!$C:$C)</f>
        <v>Down</v>
      </c>
      <c r="C7817" s="2">
        <f>_xlfn.XLOOKUP(A7817,'[1]Tissue Data'!$A:$A,'[1]Tissue Data'!$D:$D)</f>
        <v>44393</v>
      </c>
      <c r="D7817" s="2" t="str">
        <f>_xlfn.XLOOKUP(A7817,'[1]Tissue Data'!$A:$A,'[1]Tissue Data'!$F:$F)</f>
        <v>Large Mouth Bass</v>
      </c>
      <c r="E7817" t="str">
        <f>_xlfn.XLOOKUP(A7817,'[1]Tissue Data'!$A:$A,'[1]Tissue Data'!$H:$H)</f>
        <v>Micropterus</v>
      </c>
      <c r="F7817" t="str">
        <f>_xlfn.XLOOKUP(A7817,'[1]Tissue Data'!$A:$A,'[1]Tissue Data'!$I:$I)</f>
        <v>salmoides</v>
      </c>
      <c r="G7817" t="str">
        <f>_xlfn.XLOOKUP(A7817,'[1]Tissue Data'!$A:$A,'[1]Tissue Data'!J:J)</f>
        <v>U</v>
      </c>
      <c r="H7817" t="str">
        <f>_xlfn.XLOOKUP(A7817,'[1]Tissue Data'!$A:$A,'[1]Tissue Data'!K:K)</f>
        <v>Whole Body</v>
      </c>
      <c r="I7817">
        <f>_xlfn.XLOOKUP(A7817,'[1]Tissue Data'!$A:$A,'[1]Tissue Data'!L:L)</f>
        <v>7</v>
      </c>
      <c r="J7817">
        <f>_xlfn.XLOOKUP(A7817,'[1]Tissue Data'!$A:$A,'[1]Tissue Data'!M:M)</f>
        <v>4.1500000000000004</v>
      </c>
      <c r="K7817" t="s">
        <v>27</v>
      </c>
      <c r="L7817" t="str">
        <f>_xlfn.XLOOKUP(K7817,[2]analyte_order!$B:$B,[2]analyte_order!$C:$C)</f>
        <v>355-46-4</v>
      </c>
      <c r="M7817">
        <f>_xlfn.XLOOKUP(L7817,[2]analyte_order!$C:$C,[2]analyte_order!$E:$E)</f>
        <v>16</v>
      </c>
      <c r="N7817">
        <v>42.9</v>
      </c>
    </row>
    <row r="7818" spans="1:14">
      <c r="A7818" t="s">
        <v>213</v>
      </c>
      <c r="B7818" t="str">
        <f>_xlfn.XLOOKUP(A7818,'[1]Tissue Data'!$A:$A,'[1]Tissue Data'!$C:$C)</f>
        <v>Down</v>
      </c>
      <c r="C7818" s="2">
        <f>_xlfn.XLOOKUP(A7818,'[1]Tissue Data'!$A:$A,'[1]Tissue Data'!$D:$D)</f>
        <v>44393</v>
      </c>
      <c r="D7818" s="2" t="str">
        <f>_xlfn.XLOOKUP(A7818,'[1]Tissue Data'!$A:$A,'[1]Tissue Data'!$F:$F)</f>
        <v>Large Mouth Bass</v>
      </c>
      <c r="E7818" t="str">
        <f>_xlfn.XLOOKUP(A7818,'[1]Tissue Data'!$A:$A,'[1]Tissue Data'!$H:$H)</f>
        <v>Micropterus</v>
      </c>
      <c r="F7818" t="str">
        <f>_xlfn.XLOOKUP(A7818,'[1]Tissue Data'!$A:$A,'[1]Tissue Data'!$I:$I)</f>
        <v>salmoides</v>
      </c>
      <c r="G7818" t="str">
        <f>_xlfn.XLOOKUP(A7818,'[1]Tissue Data'!$A:$A,'[1]Tissue Data'!J:J)</f>
        <v>U</v>
      </c>
      <c r="H7818" t="str">
        <f>_xlfn.XLOOKUP(A7818,'[1]Tissue Data'!$A:$A,'[1]Tissue Data'!K:K)</f>
        <v>Whole Body</v>
      </c>
      <c r="I7818">
        <f>_xlfn.XLOOKUP(A7818,'[1]Tissue Data'!$A:$A,'[1]Tissue Data'!L:L)</f>
        <v>7</v>
      </c>
      <c r="J7818">
        <f>_xlfn.XLOOKUP(A7818,'[1]Tissue Data'!$A:$A,'[1]Tissue Data'!M:M)</f>
        <v>4.1500000000000004</v>
      </c>
      <c r="K7818" t="s">
        <v>28</v>
      </c>
      <c r="L7818" t="str">
        <f>_xlfn.XLOOKUP(K7818,[2]analyte_order!$B:$B,[2]analyte_order!$C:$C)</f>
        <v>375-92-8</v>
      </c>
      <c r="M7818">
        <f>_xlfn.XLOOKUP(L7818,[2]analyte_order!$C:$C,[2]analyte_order!$E:$E)</f>
        <v>17</v>
      </c>
      <c r="N7818">
        <v>7.46</v>
      </c>
    </row>
    <row r="7819" spans="1:14">
      <c r="A7819" t="s">
        <v>213</v>
      </c>
      <c r="B7819" t="str">
        <f>_xlfn.XLOOKUP(A7819,'[1]Tissue Data'!$A:$A,'[1]Tissue Data'!$C:$C)</f>
        <v>Down</v>
      </c>
      <c r="C7819" s="2">
        <f>_xlfn.XLOOKUP(A7819,'[1]Tissue Data'!$A:$A,'[1]Tissue Data'!$D:$D)</f>
        <v>44393</v>
      </c>
      <c r="D7819" s="2" t="str">
        <f>_xlfn.XLOOKUP(A7819,'[1]Tissue Data'!$A:$A,'[1]Tissue Data'!$F:$F)</f>
        <v>Large Mouth Bass</v>
      </c>
      <c r="E7819" t="str">
        <f>_xlfn.XLOOKUP(A7819,'[1]Tissue Data'!$A:$A,'[1]Tissue Data'!$H:$H)</f>
        <v>Micropterus</v>
      </c>
      <c r="F7819" t="str">
        <f>_xlfn.XLOOKUP(A7819,'[1]Tissue Data'!$A:$A,'[1]Tissue Data'!$I:$I)</f>
        <v>salmoides</v>
      </c>
      <c r="G7819" t="str">
        <f>_xlfn.XLOOKUP(A7819,'[1]Tissue Data'!$A:$A,'[1]Tissue Data'!J:J)</f>
        <v>U</v>
      </c>
      <c r="H7819" t="str">
        <f>_xlfn.XLOOKUP(A7819,'[1]Tissue Data'!$A:$A,'[1]Tissue Data'!K:K)</f>
        <v>Whole Body</v>
      </c>
      <c r="I7819">
        <f>_xlfn.XLOOKUP(A7819,'[1]Tissue Data'!$A:$A,'[1]Tissue Data'!L:L)</f>
        <v>7</v>
      </c>
      <c r="J7819">
        <f>_xlfn.XLOOKUP(A7819,'[1]Tissue Data'!$A:$A,'[1]Tissue Data'!M:M)</f>
        <v>4.1500000000000004</v>
      </c>
      <c r="K7819" t="s">
        <v>29</v>
      </c>
      <c r="L7819" t="str">
        <f>_xlfn.XLOOKUP(K7819,[2]analyte_order!$B:$B,[2]analyte_order!$C:$C)</f>
        <v>1763-23-1</v>
      </c>
      <c r="M7819">
        <f>_xlfn.XLOOKUP(L7819,[2]analyte_order!$C:$C,[2]analyte_order!$E:$E)</f>
        <v>18</v>
      </c>
      <c r="N7819">
        <v>1690</v>
      </c>
    </row>
    <row r="7820" spans="1:14">
      <c r="A7820" t="s">
        <v>213</v>
      </c>
      <c r="B7820" t="str">
        <f>_xlfn.XLOOKUP(A7820,'[1]Tissue Data'!$A:$A,'[1]Tissue Data'!$C:$C)</f>
        <v>Down</v>
      </c>
      <c r="C7820" s="2">
        <f>_xlfn.XLOOKUP(A7820,'[1]Tissue Data'!$A:$A,'[1]Tissue Data'!$D:$D)</f>
        <v>44393</v>
      </c>
      <c r="D7820" s="2" t="str">
        <f>_xlfn.XLOOKUP(A7820,'[1]Tissue Data'!$A:$A,'[1]Tissue Data'!$F:$F)</f>
        <v>Large Mouth Bass</v>
      </c>
      <c r="E7820" t="str">
        <f>_xlfn.XLOOKUP(A7820,'[1]Tissue Data'!$A:$A,'[1]Tissue Data'!$H:$H)</f>
        <v>Micropterus</v>
      </c>
      <c r="F7820" t="str">
        <f>_xlfn.XLOOKUP(A7820,'[1]Tissue Data'!$A:$A,'[1]Tissue Data'!$I:$I)</f>
        <v>salmoides</v>
      </c>
      <c r="G7820" t="str">
        <f>_xlfn.XLOOKUP(A7820,'[1]Tissue Data'!$A:$A,'[1]Tissue Data'!J:J)</f>
        <v>U</v>
      </c>
      <c r="H7820" t="str">
        <f>_xlfn.XLOOKUP(A7820,'[1]Tissue Data'!$A:$A,'[1]Tissue Data'!K:K)</f>
        <v>Whole Body</v>
      </c>
      <c r="I7820">
        <f>_xlfn.XLOOKUP(A7820,'[1]Tissue Data'!$A:$A,'[1]Tissue Data'!L:L)</f>
        <v>7</v>
      </c>
      <c r="J7820">
        <f>_xlfn.XLOOKUP(A7820,'[1]Tissue Data'!$A:$A,'[1]Tissue Data'!M:M)</f>
        <v>4.1500000000000004</v>
      </c>
      <c r="K7820" t="s">
        <v>30</v>
      </c>
      <c r="L7820" t="str">
        <f>_xlfn.XLOOKUP(K7820,[2]analyte_order!$B:$B,[2]analyte_order!$C:$C)</f>
        <v>68259-12-1</v>
      </c>
      <c r="M7820">
        <f>_xlfn.XLOOKUP(L7820,[2]analyte_order!$C:$C,[2]analyte_order!$E:$E)</f>
        <v>19</v>
      </c>
      <c r="N7820">
        <v>2.64</v>
      </c>
    </row>
    <row r="7821" spans="1:14">
      <c r="A7821" t="s">
        <v>213</v>
      </c>
      <c r="B7821" t="str">
        <f>_xlfn.XLOOKUP(A7821,'[1]Tissue Data'!$A:$A,'[1]Tissue Data'!$C:$C)</f>
        <v>Down</v>
      </c>
      <c r="C7821" s="2">
        <f>_xlfn.XLOOKUP(A7821,'[1]Tissue Data'!$A:$A,'[1]Tissue Data'!$D:$D)</f>
        <v>44393</v>
      </c>
      <c r="D7821" s="2" t="str">
        <f>_xlfn.XLOOKUP(A7821,'[1]Tissue Data'!$A:$A,'[1]Tissue Data'!$F:$F)</f>
        <v>Large Mouth Bass</v>
      </c>
      <c r="E7821" t="str">
        <f>_xlfn.XLOOKUP(A7821,'[1]Tissue Data'!$A:$A,'[1]Tissue Data'!$H:$H)</f>
        <v>Micropterus</v>
      </c>
      <c r="F7821" t="str">
        <f>_xlfn.XLOOKUP(A7821,'[1]Tissue Data'!$A:$A,'[1]Tissue Data'!$I:$I)</f>
        <v>salmoides</v>
      </c>
      <c r="G7821" t="str">
        <f>_xlfn.XLOOKUP(A7821,'[1]Tissue Data'!$A:$A,'[1]Tissue Data'!J:J)</f>
        <v>U</v>
      </c>
      <c r="H7821" t="str">
        <f>_xlfn.XLOOKUP(A7821,'[1]Tissue Data'!$A:$A,'[1]Tissue Data'!K:K)</f>
        <v>Whole Body</v>
      </c>
      <c r="I7821">
        <f>_xlfn.XLOOKUP(A7821,'[1]Tissue Data'!$A:$A,'[1]Tissue Data'!L:L)</f>
        <v>7</v>
      </c>
      <c r="J7821">
        <f>_xlfn.XLOOKUP(A7821,'[1]Tissue Data'!$A:$A,'[1]Tissue Data'!M:M)</f>
        <v>4.1500000000000004</v>
      </c>
      <c r="K7821" t="s">
        <v>31</v>
      </c>
      <c r="L7821" t="str">
        <f>_xlfn.XLOOKUP(K7821,[2]analyte_order!$B:$B,[2]analyte_order!$C:$C)</f>
        <v>335-77-3</v>
      </c>
      <c r="M7821">
        <f>_xlfn.XLOOKUP(L7821,[2]analyte_order!$C:$C,[2]analyte_order!$E:$E)</f>
        <v>20</v>
      </c>
      <c r="N7821">
        <v>1.63</v>
      </c>
    </row>
    <row r="7822" spans="1:14">
      <c r="A7822" t="s">
        <v>213</v>
      </c>
      <c r="B7822" t="str">
        <f>_xlfn.XLOOKUP(A7822,'[1]Tissue Data'!$A:$A,'[1]Tissue Data'!$C:$C)</f>
        <v>Down</v>
      </c>
      <c r="C7822" s="2">
        <f>_xlfn.XLOOKUP(A7822,'[1]Tissue Data'!$A:$A,'[1]Tissue Data'!$D:$D)</f>
        <v>44393</v>
      </c>
      <c r="D7822" s="2" t="str">
        <f>_xlfn.XLOOKUP(A7822,'[1]Tissue Data'!$A:$A,'[1]Tissue Data'!$F:$F)</f>
        <v>Large Mouth Bass</v>
      </c>
      <c r="E7822" t="str">
        <f>_xlfn.XLOOKUP(A7822,'[1]Tissue Data'!$A:$A,'[1]Tissue Data'!$H:$H)</f>
        <v>Micropterus</v>
      </c>
      <c r="F7822" t="str">
        <f>_xlfn.XLOOKUP(A7822,'[1]Tissue Data'!$A:$A,'[1]Tissue Data'!$I:$I)</f>
        <v>salmoides</v>
      </c>
      <c r="G7822" t="str">
        <f>_xlfn.XLOOKUP(A7822,'[1]Tissue Data'!$A:$A,'[1]Tissue Data'!J:J)</f>
        <v>U</v>
      </c>
      <c r="H7822" t="str">
        <f>_xlfn.XLOOKUP(A7822,'[1]Tissue Data'!$A:$A,'[1]Tissue Data'!K:K)</f>
        <v>Whole Body</v>
      </c>
      <c r="I7822">
        <f>_xlfn.XLOOKUP(A7822,'[1]Tissue Data'!$A:$A,'[1]Tissue Data'!L:L)</f>
        <v>7</v>
      </c>
      <c r="J7822">
        <f>_xlfn.XLOOKUP(A7822,'[1]Tissue Data'!$A:$A,'[1]Tissue Data'!M:M)</f>
        <v>4.1500000000000004</v>
      </c>
      <c r="K7822" t="s">
        <v>32</v>
      </c>
      <c r="L7822" t="str">
        <f>_xlfn.XLOOKUP(K7822,[2]analyte_order!$B:$B,[2]analyte_order!$C:$C)</f>
        <v>79780-39-5</v>
      </c>
      <c r="M7822">
        <f>_xlfn.XLOOKUP(L7822,[2]analyte_order!$C:$C,[2]analyte_order!$E:$E)</f>
        <v>21</v>
      </c>
      <c r="N7822">
        <v>0.23799999999999999</v>
      </c>
    </row>
    <row r="7823" spans="1:14">
      <c r="A7823" t="s">
        <v>213</v>
      </c>
      <c r="B7823" t="str">
        <f>_xlfn.XLOOKUP(A7823,'[1]Tissue Data'!$A:$A,'[1]Tissue Data'!$C:$C)</f>
        <v>Down</v>
      </c>
      <c r="C7823" s="2">
        <f>_xlfn.XLOOKUP(A7823,'[1]Tissue Data'!$A:$A,'[1]Tissue Data'!$D:$D)</f>
        <v>44393</v>
      </c>
      <c r="D7823" s="2" t="str">
        <f>_xlfn.XLOOKUP(A7823,'[1]Tissue Data'!$A:$A,'[1]Tissue Data'!$F:$F)</f>
        <v>Large Mouth Bass</v>
      </c>
      <c r="E7823" t="str">
        <f>_xlfn.XLOOKUP(A7823,'[1]Tissue Data'!$A:$A,'[1]Tissue Data'!$H:$H)</f>
        <v>Micropterus</v>
      </c>
      <c r="F7823" t="str">
        <f>_xlfn.XLOOKUP(A7823,'[1]Tissue Data'!$A:$A,'[1]Tissue Data'!$I:$I)</f>
        <v>salmoides</v>
      </c>
      <c r="G7823" t="str">
        <f>_xlfn.XLOOKUP(A7823,'[1]Tissue Data'!$A:$A,'[1]Tissue Data'!J:J)</f>
        <v>U</v>
      </c>
      <c r="H7823" t="str">
        <f>_xlfn.XLOOKUP(A7823,'[1]Tissue Data'!$A:$A,'[1]Tissue Data'!K:K)</f>
        <v>Whole Body</v>
      </c>
      <c r="I7823">
        <f>_xlfn.XLOOKUP(A7823,'[1]Tissue Data'!$A:$A,'[1]Tissue Data'!L:L)</f>
        <v>7</v>
      </c>
      <c r="J7823">
        <f>_xlfn.XLOOKUP(A7823,'[1]Tissue Data'!$A:$A,'[1]Tissue Data'!M:M)</f>
        <v>4.1500000000000004</v>
      </c>
      <c r="K7823" t="s">
        <v>33</v>
      </c>
      <c r="L7823" t="str">
        <f>_xlfn.XLOOKUP(K7823,[2]analyte_order!$B:$B,[2]analyte_order!$C:$C)</f>
        <v>777011-38-8</v>
      </c>
      <c r="M7823">
        <f>_xlfn.XLOOKUP(L7823,[2]analyte_order!$C:$C,[2]analyte_order!$E:$E)</f>
        <v>54</v>
      </c>
      <c r="N7823">
        <v>0.48299999999999998</v>
      </c>
    </row>
    <row r="7824" spans="1:14">
      <c r="A7824" t="s">
        <v>213</v>
      </c>
      <c r="B7824" t="str">
        <f>_xlfn.XLOOKUP(A7824,'[1]Tissue Data'!$A:$A,'[1]Tissue Data'!$C:$C)</f>
        <v>Down</v>
      </c>
      <c r="C7824" s="2">
        <f>_xlfn.XLOOKUP(A7824,'[1]Tissue Data'!$A:$A,'[1]Tissue Data'!$D:$D)</f>
        <v>44393</v>
      </c>
      <c r="D7824" s="2" t="str">
        <f>_xlfn.XLOOKUP(A7824,'[1]Tissue Data'!$A:$A,'[1]Tissue Data'!$F:$F)</f>
        <v>Large Mouth Bass</v>
      </c>
      <c r="E7824" t="str">
        <f>_xlfn.XLOOKUP(A7824,'[1]Tissue Data'!$A:$A,'[1]Tissue Data'!$H:$H)</f>
        <v>Micropterus</v>
      </c>
      <c r="F7824" t="str">
        <f>_xlfn.XLOOKUP(A7824,'[1]Tissue Data'!$A:$A,'[1]Tissue Data'!$I:$I)</f>
        <v>salmoides</v>
      </c>
      <c r="G7824" t="str">
        <f>_xlfn.XLOOKUP(A7824,'[1]Tissue Data'!$A:$A,'[1]Tissue Data'!J:J)</f>
        <v>U</v>
      </c>
      <c r="H7824" t="str">
        <f>_xlfn.XLOOKUP(A7824,'[1]Tissue Data'!$A:$A,'[1]Tissue Data'!K:K)</f>
        <v>Whole Body</v>
      </c>
      <c r="I7824">
        <f>_xlfn.XLOOKUP(A7824,'[1]Tissue Data'!$A:$A,'[1]Tissue Data'!L:L)</f>
        <v>7</v>
      </c>
      <c r="J7824">
        <f>_xlfn.XLOOKUP(A7824,'[1]Tissue Data'!$A:$A,'[1]Tissue Data'!M:M)</f>
        <v>4.1500000000000004</v>
      </c>
      <c r="K7824" t="s">
        <v>34</v>
      </c>
      <c r="L7824" t="str">
        <f>_xlfn.XLOOKUP(K7824,[2]analyte_order!$B:$B,[2]analyte_order!$C:$C)</f>
        <v>646-83-3</v>
      </c>
      <c r="M7824">
        <f>_xlfn.XLOOKUP(L7824,[2]analyte_order!$C:$C,[2]analyte_order!$E:$E)</f>
        <v>55</v>
      </c>
      <c r="N7824">
        <v>0.44700000000000001</v>
      </c>
    </row>
    <row r="7825" spans="1:14">
      <c r="A7825" t="s">
        <v>213</v>
      </c>
      <c r="B7825" t="str">
        <f>_xlfn.XLOOKUP(A7825,'[1]Tissue Data'!$A:$A,'[1]Tissue Data'!$C:$C)</f>
        <v>Down</v>
      </c>
      <c r="C7825" s="2">
        <f>_xlfn.XLOOKUP(A7825,'[1]Tissue Data'!$A:$A,'[1]Tissue Data'!$D:$D)</f>
        <v>44393</v>
      </c>
      <c r="D7825" s="2" t="str">
        <f>_xlfn.XLOOKUP(A7825,'[1]Tissue Data'!$A:$A,'[1]Tissue Data'!$F:$F)</f>
        <v>Large Mouth Bass</v>
      </c>
      <c r="E7825" t="str">
        <f>_xlfn.XLOOKUP(A7825,'[1]Tissue Data'!$A:$A,'[1]Tissue Data'!$H:$H)</f>
        <v>Micropterus</v>
      </c>
      <c r="F7825" t="str">
        <f>_xlfn.XLOOKUP(A7825,'[1]Tissue Data'!$A:$A,'[1]Tissue Data'!$I:$I)</f>
        <v>salmoides</v>
      </c>
      <c r="G7825" t="str">
        <f>_xlfn.XLOOKUP(A7825,'[1]Tissue Data'!$A:$A,'[1]Tissue Data'!J:J)</f>
        <v>U</v>
      </c>
      <c r="H7825" t="str">
        <f>_xlfn.XLOOKUP(A7825,'[1]Tissue Data'!$A:$A,'[1]Tissue Data'!K:K)</f>
        <v>Whole Body</v>
      </c>
      <c r="I7825">
        <f>_xlfn.XLOOKUP(A7825,'[1]Tissue Data'!$A:$A,'[1]Tissue Data'!L:L)</f>
        <v>7</v>
      </c>
      <c r="J7825">
        <f>_xlfn.XLOOKUP(A7825,'[1]Tissue Data'!$A:$A,'[1]Tissue Data'!M:M)</f>
        <v>4.1500000000000004</v>
      </c>
      <c r="K7825" t="s">
        <v>35</v>
      </c>
      <c r="L7825" t="str">
        <f>_xlfn.XLOOKUP(K7825,[2]analyte_order!$B:$B,[2]analyte_order!$C:$C)</f>
        <v>30334-69-1</v>
      </c>
      <c r="M7825">
        <f>_xlfn.XLOOKUP(L7825,[2]analyte_order!$C:$C,[2]analyte_order!$E:$E)</f>
        <v>51</v>
      </c>
      <c r="N7825">
        <v>70.7</v>
      </c>
    </row>
    <row r="7826" spans="1:14">
      <c r="A7826" t="s">
        <v>213</v>
      </c>
      <c r="B7826" t="str">
        <f>_xlfn.XLOOKUP(A7826,'[1]Tissue Data'!$A:$A,'[1]Tissue Data'!$C:$C)</f>
        <v>Down</v>
      </c>
      <c r="C7826" s="2">
        <f>_xlfn.XLOOKUP(A7826,'[1]Tissue Data'!$A:$A,'[1]Tissue Data'!$D:$D)</f>
        <v>44393</v>
      </c>
      <c r="D7826" s="2" t="str">
        <f>_xlfn.XLOOKUP(A7826,'[1]Tissue Data'!$A:$A,'[1]Tissue Data'!$F:$F)</f>
        <v>Large Mouth Bass</v>
      </c>
      <c r="E7826" t="str">
        <f>_xlfn.XLOOKUP(A7826,'[1]Tissue Data'!$A:$A,'[1]Tissue Data'!$H:$H)</f>
        <v>Micropterus</v>
      </c>
      <c r="F7826" t="str">
        <f>_xlfn.XLOOKUP(A7826,'[1]Tissue Data'!$A:$A,'[1]Tissue Data'!$I:$I)</f>
        <v>salmoides</v>
      </c>
      <c r="G7826" t="str">
        <f>_xlfn.XLOOKUP(A7826,'[1]Tissue Data'!$A:$A,'[1]Tissue Data'!J:J)</f>
        <v>U</v>
      </c>
      <c r="H7826" t="str">
        <f>_xlfn.XLOOKUP(A7826,'[1]Tissue Data'!$A:$A,'[1]Tissue Data'!K:K)</f>
        <v>Whole Body</v>
      </c>
      <c r="I7826">
        <f>_xlfn.XLOOKUP(A7826,'[1]Tissue Data'!$A:$A,'[1]Tissue Data'!L:L)</f>
        <v>7</v>
      </c>
      <c r="J7826">
        <f>_xlfn.XLOOKUP(A7826,'[1]Tissue Data'!$A:$A,'[1]Tissue Data'!M:M)</f>
        <v>4.1500000000000004</v>
      </c>
      <c r="K7826" t="s">
        <v>36</v>
      </c>
      <c r="L7826" t="str">
        <f>_xlfn.XLOOKUP(K7826,[2]analyte_order!$B:$B,[2]analyte_order!$C:$C)</f>
        <v>41997-13-1</v>
      </c>
      <c r="M7826">
        <f>_xlfn.XLOOKUP(L7826,[2]analyte_order!$C:$C,[2]analyte_order!$E:$E)</f>
        <v>52</v>
      </c>
      <c r="N7826">
        <v>89.3</v>
      </c>
    </row>
    <row r="7827" spans="1:14">
      <c r="A7827" t="s">
        <v>213</v>
      </c>
      <c r="B7827" t="str">
        <f>_xlfn.XLOOKUP(A7827,'[1]Tissue Data'!$A:$A,'[1]Tissue Data'!$C:$C)</f>
        <v>Down</v>
      </c>
      <c r="C7827" s="2">
        <f>_xlfn.XLOOKUP(A7827,'[1]Tissue Data'!$A:$A,'[1]Tissue Data'!$D:$D)</f>
        <v>44393</v>
      </c>
      <c r="D7827" s="2" t="str">
        <f>_xlfn.XLOOKUP(A7827,'[1]Tissue Data'!$A:$A,'[1]Tissue Data'!$F:$F)</f>
        <v>Large Mouth Bass</v>
      </c>
      <c r="E7827" t="str">
        <f>_xlfn.XLOOKUP(A7827,'[1]Tissue Data'!$A:$A,'[1]Tissue Data'!$H:$H)</f>
        <v>Micropterus</v>
      </c>
      <c r="F7827" t="str">
        <f>_xlfn.XLOOKUP(A7827,'[1]Tissue Data'!$A:$A,'[1]Tissue Data'!$I:$I)</f>
        <v>salmoides</v>
      </c>
      <c r="G7827" t="str">
        <f>_xlfn.XLOOKUP(A7827,'[1]Tissue Data'!$A:$A,'[1]Tissue Data'!J:J)</f>
        <v>U</v>
      </c>
      <c r="H7827" t="str">
        <f>_xlfn.XLOOKUP(A7827,'[1]Tissue Data'!$A:$A,'[1]Tissue Data'!K:K)</f>
        <v>Whole Body</v>
      </c>
      <c r="I7827">
        <f>_xlfn.XLOOKUP(A7827,'[1]Tissue Data'!$A:$A,'[1]Tissue Data'!L:L)</f>
        <v>7</v>
      </c>
      <c r="J7827">
        <f>_xlfn.XLOOKUP(A7827,'[1]Tissue Data'!$A:$A,'[1]Tissue Data'!M:M)</f>
        <v>4.1500000000000004</v>
      </c>
      <c r="K7827" t="s">
        <v>37</v>
      </c>
      <c r="L7827" t="str">
        <f>_xlfn.XLOOKUP(K7827,[2]analyte_order!$B:$B,[2]analyte_order!$C:$C)</f>
        <v>754-91-6</v>
      </c>
      <c r="M7827">
        <f>_xlfn.XLOOKUP(L7827,[2]analyte_order!$C:$C,[2]analyte_order!$E:$E)</f>
        <v>28</v>
      </c>
      <c r="N7827">
        <v>16.8</v>
      </c>
    </row>
    <row r="7828" spans="1:14">
      <c r="A7828" t="s">
        <v>213</v>
      </c>
      <c r="B7828" t="str">
        <f>_xlfn.XLOOKUP(A7828,'[1]Tissue Data'!$A:$A,'[1]Tissue Data'!$C:$C)</f>
        <v>Down</v>
      </c>
      <c r="C7828" s="2">
        <f>_xlfn.XLOOKUP(A7828,'[1]Tissue Data'!$A:$A,'[1]Tissue Data'!$D:$D)</f>
        <v>44393</v>
      </c>
      <c r="D7828" s="2" t="str">
        <f>_xlfn.XLOOKUP(A7828,'[1]Tissue Data'!$A:$A,'[1]Tissue Data'!$F:$F)</f>
        <v>Large Mouth Bass</v>
      </c>
      <c r="E7828" t="str">
        <f>_xlfn.XLOOKUP(A7828,'[1]Tissue Data'!$A:$A,'[1]Tissue Data'!$H:$H)</f>
        <v>Micropterus</v>
      </c>
      <c r="F7828" t="str">
        <f>_xlfn.XLOOKUP(A7828,'[1]Tissue Data'!$A:$A,'[1]Tissue Data'!$I:$I)</f>
        <v>salmoides</v>
      </c>
      <c r="G7828" t="str">
        <f>_xlfn.XLOOKUP(A7828,'[1]Tissue Data'!$A:$A,'[1]Tissue Data'!J:J)</f>
        <v>U</v>
      </c>
      <c r="H7828" t="str">
        <f>_xlfn.XLOOKUP(A7828,'[1]Tissue Data'!$A:$A,'[1]Tissue Data'!K:K)</f>
        <v>Whole Body</v>
      </c>
      <c r="I7828">
        <f>_xlfn.XLOOKUP(A7828,'[1]Tissue Data'!$A:$A,'[1]Tissue Data'!L:L)</f>
        <v>7</v>
      </c>
      <c r="J7828">
        <f>_xlfn.XLOOKUP(A7828,'[1]Tissue Data'!$A:$A,'[1]Tissue Data'!M:M)</f>
        <v>4.1500000000000004</v>
      </c>
      <c r="K7828" t="s">
        <v>38</v>
      </c>
      <c r="L7828" t="str">
        <f>_xlfn.XLOOKUP(K7828,[2]analyte_order!$B:$B,[2]analyte_order!$C:$C)</f>
        <v>31506-32-8</v>
      </c>
      <c r="M7828">
        <f>_xlfn.XLOOKUP(L7828,[2]analyte_order!$C:$C,[2]analyte_order!$E:$E)</f>
        <v>30</v>
      </c>
      <c r="N7828">
        <v>0.17150000000000001</v>
      </c>
    </row>
    <row r="7829" spans="1:14">
      <c r="A7829" t="s">
        <v>213</v>
      </c>
      <c r="B7829" t="str">
        <f>_xlfn.XLOOKUP(A7829,'[1]Tissue Data'!$A:$A,'[1]Tissue Data'!$C:$C)</f>
        <v>Down</v>
      </c>
      <c r="C7829" s="2">
        <f>_xlfn.XLOOKUP(A7829,'[1]Tissue Data'!$A:$A,'[1]Tissue Data'!$D:$D)</f>
        <v>44393</v>
      </c>
      <c r="D7829" s="2" t="str">
        <f>_xlfn.XLOOKUP(A7829,'[1]Tissue Data'!$A:$A,'[1]Tissue Data'!$F:$F)</f>
        <v>Large Mouth Bass</v>
      </c>
      <c r="E7829" t="str">
        <f>_xlfn.XLOOKUP(A7829,'[1]Tissue Data'!$A:$A,'[1]Tissue Data'!$H:$H)</f>
        <v>Micropterus</v>
      </c>
      <c r="F7829" t="str">
        <f>_xlfn.XLOOKUP(A7829,'[1]Tissue Data'!$A:$A,'[1]Tissue Data'!$I:$I)</f>
        <v>salmoides</v>
      </c>
      <c r="G7829" t="str">
        <f>_xlfn.XLOOKUP(A7829,'[1]Tissue Data'!$A:$A,'[1]Tissue Data'!J:J)</f>
        <v>U</v>
      </c>
      <c r="H7829" t="str">
        <f>_xlfn.XLOOKUP(A7829,'[1]Tissue Data'!$A:$A,'[1]Tissue Data'!K:K)</f>
        <v>Whole Body</v>
      </c>
      <c r="I7829">
        <f>_xlfn.XLOOKUP(A7829,'[1]Tissue Data'!$A:$A,'[1]Tissue Data'!L:L)</f>
        <v>7</v>
      </c>
      <c r="J7829">
        <f>_xlfn.XLOOKUP(A7829,'[1]Tissue Data'!$A:$A,'[1]Tissue Data'!M:M)</f>
        <v>4.1500000000000004</v>
      </c>
      <c r="K7829" t="s">
        <v>39</v>
      </c>
      <c r="L7829" t="str">
        <f>_xlfn.XLOOKUP(K7829,[2]analyte_order!$B:$B,[2]analyte_order!$C:$C)</f>
        <v>4151-50-2</v>
      </c>
      <c r="M7829">
        <f>_xlfn.XLOOKUP(L7829,[2]analyte_order!$C:$C,[2]analyte_order!$E:$E)</f>
        <v>31</v>
      </c>
      <c r="N7829">
        <v>0.44550000000000001</v>
      </c>
    </row>
    <row r="7830" spans="1:14">
      <c r="A7830" t="s">
        <v>213</v>
      </c>
      <c r="B7830" t="str">
        <f>_xlfn.XLOOKUP(A7830,'[1]Tissue Data'!$A:$A,'[1]Tissue Data'!$C:$C)</f>
        <v>Down</v>
      </c>
      <c r="C7830" s="2">
        <f>_xlfn.XLOOKUP(A7830,'[1]Tissue Data'!$A:$A,'[1]Tissue Data'!$D:$D)</f>
        <v>44393</v>
      </c>
      <c r="D7830" s="2" t="str">
        <f>_xlfn.XLOOKUP(A7830,'[1]Tissue Data'!$A:$A,'[1]Tissue Data'!$F:$F)</f>
        <v>Large Mouth Bass</v>
      </c>
      <c r="E7830" t="str">
        <f>_xlfn.XLOOKUP(A7830,'[1]Tissue Data'!$A:$A,'[1]Tissue Data'!$H:$H)</f>
        <v>Micropterus</v>
      </c>
      <c r="F7830" t="str">
        <f>_xlfn.XLOOKUP(A7830,'[1]Tissue Data'!$A:$A,'[1]Tissue Data'!$I:$I)</f>
        <v>salmoides</v>
      </c>
      <c r="G7830" t="str">
        <f>_xlfn.XLOOKUP(A7830,'[1]Tissue Data'!$A:$A,'[1]Tissue Data'!J:J)</f>
        <v>U</v>
      </c>
      <c r="H7830" t="str">
        <f>_xlfn.XLOOKUP(A7830,'[1]Tissue Data'!$A:$A,'[1]Tissue Data'!K:K)</f>
        <v>Whole Body</v>
      </c>
      <c r="I7830">
        <f>_xlfn.XLOOKUP(A7830,'[1]Tissue Data'!$A:$A,'[1]Tissue Data'!L:L)</f>
        <v>7</v>
      </c>
      <c r="J7830">
        <f>_xlfn.XLOOKUP(A7830,'[1]Tissue Data'!$A:$A,'[1]Tissue Data'!M:M)</f>
        <v>4.1500000000000004</v>
      </c>
      <c r="K7830" t="s">
        <v>40</v>
      </c>
      <c r="L7830" t="str">
        <f>_xlfn.XLOOKUP(K7830,[2]analyte_order!$B:$B,[2]analyte_order!$C:$C)</f>
        <v>2806-24-8</v>
      </c>
      <c r="M7830">
        <f>_xlfn.XLOOKUP(L7830,[2]analyte_order!$C:$C,[2]analyte_order!$E:$E)</f>
        <v>29</v>
      </c>
      <c r="N7830">
        <v>0.44550000000000001</v>
      </c>
    </row>
    <row r="7831" spans="1:14">
      <c r="A7831" t="s">
        <v>213</v>
      </c>
      <c r="B7831" t="str">
        <f>_xlfn.XLOOKUP(A7831,'[1]Tissue Data'!$A:$A,'[1]Tissue Data'!$C:$C)</f>
        <v>Down</v>
      </c>
      <c r="C7831" s="2">
        <f>_xlfn.XLOOKUP(A7831,'[1]Tissue Data'!$A:$A,'[1]Tissue Data'!$D:$D)</f>
        <v>44393</v>
      </c>
      <c r="D7831" s="2" t="str">
        <f>_xlfn.XLOOKUP(A7831,'[1]Tissue Data'!$A:$A,'[1]Tissue Data'!$F:$F)</f>
        <v>Large Mouth Bass</v>
      </c>
      <c r="E7831" t="str">
        <f>_xlfn.XLOOKUP(A7831,'[1]Tissue Data'!$A:$A,'[1]Tissue Data'!$H:$H)</f>
        <v>Micropterus</v>
      </c>
      <c r="F7831" t="str">
        <f>_xlfn.XLOOKUP(A7831,'[1]Tissue Data'!$A:$A,'[1]Tissue Data'!$I:$I)</f>
        <v>salmoides</v>
      </c>
      <c r="G7831" t="str">
        <f>_xlfn.XLOOKUP(A7831,'[1]Tissue Data'!$A:$A,'[1]Tissue Data'!J:J)</f>
        <v>U</v>
      </c>
      <c r="H7831" t="str">
        <f>_xlfn.XLOOKUP(A7831,'[1]Tissue Data'!$A:$A,'[1]Tissue Data'!K:K)</f>
        <v>Whole Body</v>
      </c>
      <c r="I7831">
        <f>_xlfn.XLOOKUP(A7831,'[1]Tissue Data'!$A:$A,'[1]Tissue Data'!L:L)</f>
        <v>7</v>
      </c>
      <c r="J7831">
        <f>_xlfn.XLOOKUP(A7831,'[1]Tissue Data'!$A:$A,'[1]Tissue Data'!M:M)</f>
        <v>4.1500000000000004</v>
      </c>
      <c r="K7831" t="s">
        <v>41</v>
      </c>
      <c r="L7831" t="str">
        <f>_xlfn.XLOOKUP(K7831,[2]analyte_order!$B:$B,[2]analyte_order!$C:$C)</f>
        <v>2355-31-9</v>
      </c>
      <c r="M7831">
        <f>_xlfn.XLOOKUP(L7831,[2]analyte_order!$C:$C,[2]analyte_order!$E:$E)</f>
        <v>26</v>
      </c>
      <c r="N7831">
        <v>0.224</v>
      </c>
    </row>
    <row r="7832" spans="1:14">
      <c r="A7832" t="s">
        <v>213</v>
      </c>
      <c r="B7832" t="str">
        <f>_xlfn.XLOOKUP(A7832,'[1]Tissue Data'!$A:$A,'[1]Tissue Data'!$C:$C)</f>
        <v>Down</v>
      </c>
      <c r="C7832" s="2">
        <f>_xlfn.XLOOKUP(A7832,'[1]Tissue Data'!$A:$A,'[1]Tissue Data'!$D:$D)</f>
        <v>44393</v>
      </c>
      <c r="D7832" s="2" t="str">
        <f>_xlfn.XLOOKUP(A7832,'[1]Tissue Data'!$A:$A,'[1]Tissue Data'!$F:$F)</f>
        <v>Large Mouth Bass</v>
      </c>
      <c r="E7832" t="str">
        <f>_xlfn.XLOOKUP(A7832,'[1]Tissue Data'!$A:$A,'[1]Tissue Data'!$H:$H)</f>
        <v>Micropterus</v>
      </c>
      <c r="F7832" t="str">
        <f>_xlfn.XLOOKUP(A7832,'[1]Tissue Data'!$A:$A,'[1]Tissue Data'!$I:$I)</f>
        <v>salmoides</v>
      </c>
      <c r="G7832" t="str">
        <f>_xlfn.XLOOKUP(A7832,'[1]Tissue Data'!$A:$A,'[1]Tissue Data'!J:J)</f>
        <v>U</v>
      </c>
      <c r="H7832" t="str">
        <f>_xlfn.XLOOKUP(A7832,'[1]Tissue Data'!$A:$A,'[1]Tissue Data'!K:K)</f>
        <v>Whole Body</v>
      </c>
      <c r="I7832">
        <f>_xlfn.XLOOKUP(A7832,'[1]Tissue Data'!$A:$A,'[1]Tissue Data'!L:L)</f>
        <v>7</v>
      </c>
      <c r="J7832">
        <f>_xlfn.XLOOKUP(A7832,'[1]Tissue Data'!$A:$A,'[1]Tissue Data'!M:M)</f>
        <v>4.1500000000000004</v>
      </c>
      <c r="K7832" t="s">
        <v>42</v>
      </c>
      <c r="L7832" t="str">
        <f>_xlfn.XLOOKUP(K7832,[2]analyte_order!$B:$B,[2]analyte_order!$C:$C)</f>
        <v>2991-50-6</v>
      </c>
      <c r="M7832">
        <f>_xlfn.XLOOKUP(L7832,[2]analyte_order!$C:$C,[2]analyte_order!$E:$E)</f>
        <v>27</v>
      </c>
      <c r="N7832">
        <v>0.223</v>
      </c>
    </row>
    <row r="7833" spans="1:14">
      <c r="A7833" t="s">
        <v>213</v>
      </c>
      <c r="B7833" t="str">
        <f>_xlfn.XLOOKUP(A7833,'[1]Tissue Data'!$A:$A,'[1]Tissue Data'!$C:$C)</f>
        <v>Down</v>
      </c>
      <c r="C7833" s="2">
        <f>_xlfn.XLOOKUP(A7833,'[1]Tissue Data'!$A:$A,'[1]Tissue Data'!$D:$D)</f>
        <v>44393</v>
      </c>
      <c r="D7833" s="2" t="str">
        <f>_xlfn.XLOOKUP(A7833,'[1]Tissue Data'!$A:$A,'[1]Tissue Data'!$F:$F)</f>
        <v>Large Mouth Bass</v>
      </c>
      <c r="E7833" t="str">
        <f>_xlfn.XLOOKUP(A7833,'[1]Tissue Data'!$A:$A,'[1]Tissue Data'!$H:$H)</f>
        <v>Micropterus</v>
      </c>
      <c r="F7833" t="str">
        <f>_xlfn.XLOOKUP(A7833,'[1]Tissue Data'!$A:$A,'[1]Tissue Data'!$I:$I)</f>
        <v>salmoides</v>
      </c>
      <c r="G7833" t="str">
        <f>_xlfn.XLOOKUP(A7833,'[1]Tissue Data'!$A:$A,'[1]Tissue Data'!J:J)</f>
        <v>U</v>
      </c>
      <c r="H7833" t="str">
        <f>_xlfn.XLOOKUP(A7833,'[1]Tissue Data'!$A:$A,'[1]Tissue Data'!K:K)</f>
        <v>Whole Body</v>
      </c>
      <c r="I7833">
        <f>_xlfn.XLOOKUP(A7833,'[1]Tissue Data'!$A:$A,'[1]Tissue Data'!L:L)</f>
        <v>7</v>
      </c>
      <c r="J7833">
        <f>_xlfn.XLOOKUP(A7833,'[1]Tissue Data'!$A:$A,'[1]Tissue Data'!M:M)</f>
        <v>4.1500000000000004</v>
      </c>
      <c r="K7833" t="s">
        <v>43</v>
      </c>
      <c r="L7833" t="str">
        <f>_xlfn.XLOOKUP(K7833,[2]analyte_order!$B:$B,[2]analyte_order!$C:$C)</f>
        <v>757124-72-4</v>
      </c>
      <c r="M7833">
        <f>_xlfn.XLOOKUP(L7833,[2]analyte_order!$C:$C,[2]analyte_order!$E:$E)</f>
        <v>22</v>
      </c>
      <c r="N7833">
        <v>0.223</v>
      </c>
    </row>
    <row r="7834" spans="1:14">
      <c r="A7834" t="s">
        <v>213</v>
      </c>
      <c r="B7834" t="str">
        <f>_xlfn.XLOOKUP(A7834,'[1]Tissue Data'!$A:$A,'[1]Tissue Data'!$C:$C)</f>
        <v>Down</v>
      </c>
      <c r="C7834" s="2">
        <f>_xlfn.XLOOKUP(A7834,'[1]Tissue Data'!$A:$A,'[1]Tissue Data'!$D:$D)</f>
        <v>44393</v>
      </c>
      <c r="D7834" s="2" t="str">
        <f>_xlfn.XLOOKUP(A7834,'[1]Tissue Data'!$A:$A,'[1]Tissue Data'!$F:$F)</f>
        <v>Large Mouth Bass</v>
      </c>
      <c r="E7834" t="str">
        <f>_xlfn.XLOOKUP(A7834,'[1]Tissue Data'!$A:$A,'[1]Tissue Data'!$H:$H)</f>
        <v>Micropterus</v>
      </c>
      <c r="F7834" t="str">
        <f>_xlfn.XLOOKUP(A7834,'[1]Tissue Data'!$A:$A,'[1]Tissue Data'!$I:$I)</f>
        <v>salmoides</v>
      </c>
      <c r="G7834" t="str">
        <f>_xlfn.XLOOKUP(A7834,'[1]Tissue Data'!$A:$A,'[1]Tissue Data'!J:J)</f>
        <v>U</v>
      </c>
      <c r="H7834" t="str">
        <f>_xlfn.XLOOKUP(A7834,'[1]Tissue Data'!$A:$A,'[1]Tissue Data'!K:K)</f>
        <v>Whole Body</v>
      </c>
      <c r="I7834">
        <f>_xlfn.XLOOKUP(A7834,'[1]Tissue Data'!$A:$A,'[1]Tissue Data'!L:L)</f>
        <v>7</v>
      </c>
      <c r="J7834">
        <f>_xlfn.XLOOKUP(A7834,'[1]Tissue Data'!$A:$A,'[1]Tissue Data'!M:M)</f>
        <v>4.1500000000000004</v>
      </c>
      <c r="K7834" t="s">
        <v>44</v>
      </c>
      <c r="L7834" t="str">
        <f>_xlfn.XLOOKUP(K7834,[2]analyte_order!$B:$B,[2]analyte_order!$C:$C)</f>
        <v>27619-97-2</v>
      </c>
      <c r="M7834">
        <f>_xlfn.XLOOKUP(L7834,[2]analyte_order!$C:$C,[2]analyte_order!$E:$E)</f>
        <v>23</v>
      </c>
      <c r="N7834">
        <v>0.223</v>
      </c>
    </row>
    <row r="7835" spans="1:14">
      <c r="A7835" t="s">
        <v>213</v>
      </c>
      <c r="B7835" t="str">
        <f>_xlfn.XLOOKUP(A7835,'[1]Tissue Data'!$A:$A,'[1]Tissue Data'!$C:$C)</f>
        <v>Down</v>
      </c>
      <c r="C7835" s="2">
        <f>_xlfn.XLOOKUP(A7835,'[1]Tissue Data'!$A:$A,'[1]Tissue Data'!$D:$D)</f>
        <v>44393</v>
      </c>
      <c r="D7835" s="2" t="str">
        <f>_xlfn.XLOOKUP(A7835,'[1]Tissue Data'!$A:$A,'[1]Tissue Data'!$F:$F)</f>
        <v>Large Mouth Bass</v>
      </c>
      <c r="E7835" t="str">
        <f>_xlfn.XLOOKUP(A7835,'[1]Tissue Data'!$A:$A,'[1]Tissue Data'!$H:$H)</f>
        <v>Micropterus</v>
      </c>
      <c r="F7835" t="str">
        <f>_xlfn.XLOOKUP(A7835,'[1]Tissue Data'!$A:$A,'[1]Tissue Data'!$I:$I)</f>
        <v>salmoides</v>
      </c>
      <c r="G7835" t="str">
        <f>_xlfn.XLOOKUP(A7835,'[1]Tissue Data'!$A:$A,'[1]Tissue Data'!J:J)</f>
        <v>U</v>
      </c>
      <c r="H7835" t="str">
        <f>_xlfn.XLOOKUP(A7835,'[1]Tissue Data'!$A:$A,'[1]Tissue Data'!K:K)</f>
        <v>Whole Body</v>
      </c>
      <c r="I7835">
        <f>_xlfn.XLOOKUP(A7835,'[1]Tissue Data'!$A:$A,'[1]Tissue Data'!L:L)</f>
        <v>7</v>
      </c>
      <c r="J7835">
        <f>_xlfn.XLOOKUP(A7835,'[1]Tissue Data'!$A:$A,'[1]Tissue Data'!M:M)</f>
        <v>4.1500000000000004</v>
      </c>
      <c r="K7835" t="s">
        <v>45</v>
      </c>
      <c r="L7835" t="str">
        <f>_xlfn.XLOOKUP(K7835,[2]analyte_order!$B:$B,[2]analyte_order!$C:$C)</f>
        <v>39108-34-4</v>
      </c>
      <c r="M7835">
        <f>_xlfn.XLOOKUP(L7835,[2]analyte_order!$C:$C,[2]analyte_order!$E:$E)</f>
        <v>24</v>
      </c>
      <c r="N7835">
        <v>7.04</v>
      </c>
    </row>
    <row r="7836" spans="1:14">
      <c r="A7836" t="s">
        <v>213</v>
      </c>
      <c r="B7836" t="str">
        <f>_xlfn.XLOOKUP(A7836,'[1]Tissue Data'!$A:$A,'[1]Tissue Data'!$C:$C)</f>
        <v>Down</v>
      </c>
      <c r="C7836" s="2">
        <f>_xlfn.XLOOKUP(A7836,'[1]Tissue Data'!$A:$A,'[1]Tissue Data'!$D:$D)</f>
        <v>44393</v>
      </c>
      <c r="D7836" s="2" t="str">
        <f>_xlfn.XLOOKUP(A7836,'[1]Tissue Data'!$A:$A,'[1]Tissue Data'!$F:$F)</f>
        <v>Large Mouth Bass</v>
      </c>
      <c r="E7836" t="str">
        <f>_xlfn.XLOOKUP(A7836,'[1]Tissue Data'!$A:$A,'[1]Tissue Data'!$H:$H)</f>
        <v>Micropterus</v>
      </c>
      <c r="F7836" t="str">
        <f>_xlfn.XLOOKUP(A7836,'[1]Tissue Data'!$A:$A,'[1]Tissue Data'!$I:$I)</f>
        <v>salmoides</v>
      </c>
      <c r="G7836" t="str">
        <f>_xlfn.XLOOKUP(A7836,'[1]Tissue Data'!$A:$A,'[1]Tissue Data'!J:J)</f>
        <v>U</v>
      </c>
      <c r="H7836" t="str">
        <f>_xlfn.XLOOKUP(A7836,'[1]Tissue Data'!$A:$A,'[1]Tissue Data'!K:K)</f>
        <v>Whole Body</v>
      </c>
      <c r="I7836">
        <f>_xlfn.XLOOKUP(A7836,'[1]Tissue Data'!$A:$A,'[1]Tissue Data'!L:L)</f>
        <v>7</v>
      </c>
      <c r="J7836">
        <f>_xlfn.XLOOKUP(A7836,'[1]Tissue Data'!$A:$A,'[1]Tissue Data'!M:M)</f>
        <v>4.1500000000000004</v>
      </c>
      <c r="K7836" t="s">
        <v>46</v>
      </c>
      <c r="L7836" t="str">
        <f>_xlfn.XLOOKUP(K7836,[2]analyte_order!$B:$B,[2]analyte_order!$C:$C)</f>
        <v>120226-60-0</v>
      </c>
      <c r="M7836">
        <f>_xlfn.XLOOKUP(L7836,[2]analyte_order!$C:$C,[2]analyte_order!$E:$E)</f>
        <v>25</v>
      </c>
      <c r="N7836">
        <v>0.44550000000000001</v>
      </c>
    </row>
    <row r="7837" spans="1:14">
      <c r="A7837" t="s">
        <v>213</v>
      </c>
      <c r="B7837" t="str">
        <f>_xlfn.XLOOKUP(A7837,'[1]Tissue Data'!$A:$A,'[1]Tissue Data'!$C:$C)</f>
        <v>Down</v>
      </c>
      <c r="C7837" s="2">
        <f>_xlfn.XLOOKUP(A7837,'[1]Tissue Data'!$A:$A,'[1]Tissue Data'!$D:$D)</f>
        <v>44393</v>
      </c>
      <c r="D7837" s="2" t="str">
        <f>_xlfn.XLOOKUP(A7837,'[1]Tissue Data'!$A:$A,'[1]Tissue Data'!$F:$F)</f>
        <v>Large Mouth Bass</v>
      </c>
      <c r="E7837" t="str">
        <f>_xlfn.XLOOKUP(A7837,'[1]Tissue Data'!$A:$A,'[1]Tissue Data'!$H:$H)</f>
        <v>Micropterus</v>
      </c>
      <c r="F7837" t="str">
        <f>_xlfn.XLOOKUP(A7837,'[1]Tissue Data'!$A:$A,'[1]Tissue Data'!$I:$I)</f>
        <v>salmoides</v>
      </c>
      <c r="G7837" t="str">
        <f>_xlfn.XLOOKUP(A7837,'[1]Tissue Data'!$A:$A,'[1]Tissue Data'!J:J)</f>
        <v>U</v>
      </c>
      <c r="H7837" t="str">
        <f>_xlfn.XLOOKUP(A7837,'[1]Tissue Data'!$A:$A,'[1]Tissue Data'!K:K)</f>
        <v>Whole Body</v>
      </c>
      <c r="I7837">
        <f>_xlfn.XLOOKUP(A7837,'[1]Tissue Data'!$A:$A,'[1]Tissue Data'!L:L)</f>
        <v>7</v>
      </c>
      <c r="J7837">
        <f>_xlfn.XLOOKUP(A7837,'[1]Tissue Data'!$A:$A,'[1]Tissue Data'!M:M)</f>
        <v>4.1500000000000004</v>
      </c>
      <c r="K7837" t="s">
        <v>47</v>
      </c>
      <c r="L7837" t="str">
        <f>_xlfn.XLOOKUP(K7837,[2]analyte_order!$B:$B,[2]analyte_order!$C:$C)</f>
        <v>356-02-5</v>
      </c>
      <c r="M7837">
        <f>_xlfn.XLOOKUP(L7837,[2]analyte_order!$C:$C,[2]analyte_order!$E:$E)</f>
        <v>38</v>
      </c>
      <c r="N7837">
        <v>0.25700000000000001</v>
      </c>
    </row>
    <row r="7838" spans="1:14">
      <c r="A7838" t="s">
        <v>213</v>
      </c>
      <c r="B7838" t="str">
        <f>_xlfn.XLOOKUP(A7838,'[1]Tissue Data'!$A:$A,'[1]Tissue Data'!$C:$C)</f>
        <v>Down</v>
      </c>
      <c r="C7838" s="2">
        <f>_xlfn.XLOOKUP(A7838,'[1]Tissue Data'!$A:$A,'[1]Tissue Data'!$D:$D)</f>
        <v>44393</v>
      </c>
      <c r="D7838" s="2" t="str">
        <f>_xlfn.XLOOKUP(A7838,'[1]Tissue Data'!$A:$A,'[1]Tissue Data'!$F:$F)</f>
        <v>Large Mouth Bass</v>
      </c>
      <c r="E7838" t="str">
        <f>_xlfn.XLOOKUP(A7838,'[1]Tissue Data'!$A:$A,'[1]Tissue Data'!$H:$H)</f>
        <v>Micropterus</v>
      </c>
      <c r="F7838" t="str">
        <f>_xlfn.XLOOKUP(A7838,'[1]Tissue Data'!$A:$A,'[1]Tissue Data'!$I:$I)</f>
        <v>salmoides</v>
      </c>
      <c r="G7838" t="str">
        <f>_xlfn.XLOOKUP(A7838,'[1]Tissue Data'!$A:$A,'[1]Tissue Data'!J:J)</f>
        <v>U</v>
      </c>
      <c r="H7838" t="str">
        <f>_xlfn.XLOOKUP(A7838,'[1]Tissue Data'!$A:$A,'[1]Tissue Data'!K:K)</f>
        <v>Whole Body</v>
      </c>
      <c r="I7838">
        <f>_xlfn.XLOOKUP(A7838,'[1]Tissue Data'!$A:$A,'[1]Tissue Data'!L:L)</f>
        <v>7</v>
      </c>
      <c r="J7838">
        <f>_xlfn.XLOOKUP(A7838,'[1]Tissue Data'!$A:$A,'[1]Tissue Data'!M:M)</f>
        <v>4.1500000000000004</v>
      </c>
      <c r="K7838" t="s">
        <v>48</v>
      </c>
      <c r="L7838" t="str">
        <f>_xlfn.XLOOKUP(K7838,[2]analyte_order!$B:$B,[2]analyte_order!$C:$C)</f>
        <v>914637-49-3</v>
      </c>
      <c r="M7838">
        <f>_xlfn.XLOOKUP(L7838,[2]analyte_order!$C:$C,[2]analyte_order!$E:$E)</f>
        <v>39</v>
      </c>
      <c r="N7838">
        <v>0.223</v>
      </c>
    </row>
    <row r="7839" spans="1:14">
      <c r="A7839" t="s">
        <v>213</v>
      </c>
      <c r="B7839" t="str">
        <f>_xlfn.XLOOKUP(A7839,'[1]Tissue Data'!$A:$A,'[1]Tissue Data'!$C:$C)</f>
        <v>Down</v>
      </c>
      <c r="C7839" s="2">
        <f>_xlfn.XLOOKUP(A7839,'[1]Tissue Data'!$A:$A,'[1]Tissue Data'!$D:$D)</f>
        <v>44393</v>
      </c>
      <c r="D7839" s="2" t="str">
        <f>_xlfn.XLOOKUP(A7839,'[1]Tissue Data'!$A:$A,'[1]Tissue Data'!$F:$F)</f>
        <v>Large Mouth Bass</v>
      </c>
      <c r="E7839" t="str">
        <f>_xlfn.XLOOKUP(A7839,'[1]Tissue Data'!$A:$A,'[1]Tissue Data'!$H:$H)</f>
        <v>Micropterus</v>
      </c>
      <c r="F7839" t="str">
        <f>_xlfn.XLOOKUP(A7839,'[1]Tissue Data'!$A:$A,'[1]Tissue Data'!$I:$I)</f>
        <v>salmoides</v>
      </c>
      <c r="G7839" t="str">
        <f>_xlfn.XLOOKUP(A7839,'[1]Tissue Data'!$A:$A,'[1]Tissue Data'!J:J)</f>
        <v>U</v>
      </c>
      <c r="H7839" t="str">
        <f>_xlfn.XLOOKUP(A7839,'[1]Tissue Data'!$A:$A,'[1]Tissue Data'!K:K)</f>
        <v>Whole Body</v>
      </c>
      <c r="I7839">
        <f>_xlfn.XLOOKUP(A7839,'[1]Tissue Data'!$A:$A,'[1]Tissue Data'!L:L)</f>
        <v>7</v>
      </c>
      <c r="J7839">
        <f>_xlfn.XLOOKUP(A7839,'[1]Tissue Data'!$A:$A,'[1]Tissue Data'!M:M)</f>
        <v>4.1500000000000004</v>
      </c>
      <c r="K7839" t="s">
        <v>49</v>
      </c>
      <c r="L7839" t="str">
        <f>_xlfn.XLOOKUP(K7839,[2]analyte_order!$B:$B,[2]analyte_order!$C:$C)</f>
        <v>812-70-4</v>
      </c>
      <c r="M7839">
        <f>_xlfn.XLOOKUP(L7839,[2]analyte_order!$C:$C,[2]analyte_order!$E:$E)</f>
        <v>40</v>
      </c>
      <c r="N7839">
        <v>2.57</v>
      </c>
    </row>
    <row r="7840" spans="1:14">
      <c r="A7840" t="s">
        <v>213</v>
      </c>
      <c r="B7840" t="str">
        <f>_xlfn.XLOOKUP(A7840,'[1]Tissue Data'!$A:$A,'[1]Tissue Data'!$C:$C)</f>
        <v>Down</v>
      </c>
      <c r="C7840" s="2">
        <f>_xlfn.XLOOKUP(A7840,'[1]Tissue Data'!$A:$A,'[1]Tissue Data'!$D:$D)</f>
        <v>44393</v>
      </c>
      <c r="D7840" s="2" t="str">
        <f>_xlfn.XLOOKUP(A7840,'[1]Tissue Data'!$A:$A,'[1]Tissue Data'!$F:$F)</f>
        <v>Large Mouth Bass</v>
      </c>
      <c r="E7840" t="str">
        <f>_xlfn.XLOOKUP(A7840,'[1]Tissue Data'!$A:$A,'[1]Tissue Data'!$H:$H)</f>
        <v>Micropterus</v>
      </c>
      <c r="F7840" t="str">
        <f>_xlfn.XLOOKUP(A7840,'[1]Tissue Data'!$A:$A,'[1]Tissue Data'!$I:$I)</f>
        <v>salmoides</v>
      </c>
      <c r="G7840" t="str">
        <f>_xlfn.XLOOKUP(A7840,'[1]Tissue Data'!$A:$A,'[1]Tissue Data'!J:J)</f>
        <v>U</v>
      </c>
      <c r="H7840" t="str">
        <f>_xlfn.XLOOKUP(A7840,'[1]Tissue Data'!$A:$A,'[1]Tissue Data'!K:K)</f>
        <v>Whole Body</v>
      </c>
      <c r="I7840">
        <f>_xlfn.XLOOKUP(A7840,'[1]Tissue Data'!$A:$A,'[1]Tissue Data'!L:L)</f>
        <v>7</v>
      </c>
      <c r="J7840">
        <f>_xlfn.XLOOKUP(A7840,'[1]Tissue Data'!$A:$A,'[1]Tissue Data'!M:M)</f>
        <v>4.1500000000000004</v>
      </c>
      <c r="K7840" t="s">
        <v>50</v>
      </c>
      <c r="L7840" t="str">
        <f>_xlfn.XLOOKUP(K7840,[2]analyte_order!$B:$B,[2]analyte_order!$C:$C)</f>
        <v>53826-12-3</v>
      </c>
      <c r="M7840">
        <f>_xlfn.XLOOKUP(L7840,[2]analyte_order!$C:$C,[2]analyte_order!$E:$E)</f>
        <v>41</v>
      </c>
      <c r="N7840">
        <v>0.44550000000000001</v>
      </c>
    </row>
    <row r="7841" spans="1:14">
      <c r="A7841" t="s">
        <v>213</v>
      </c>
      <c r="B7841" t="str">
        <f>_xlfn.XLOOKUP(A7841,'[1]Tissue Data'!$A:$A,'[1]Tissue Data'!$C:$C)</f>
        <v>Down</v>
      </c>
      <c r="C7841" s="2">
        <f>_xlfn.XLOOKUP(A7841,'[1]Tissue Data'!$A:$A,'[1]Tissue Data'!$D:$D)</f>
        <v>44393</v>
      </c>
      <c r="D7841" s="2" t="str">
        <f>_xlfn.XLOOKUP(A7841,'[1]Tissue Data'!$A:$A,'[1]Tissue Data'!$F:$F)</f>
        <v>Large Mouth Bass</v>
      </c>
      <c r="E7841" t="str">
        <f>_xlfn.XLOOKUP(A7841,'[1]Tissue Data'!$A:$A,'[1]Tissue Data'!$H:$H)</f>
        <v>Micropterus</v>
      </c>
      <c r="F7841" t="str">
        <f>_xlfn.XLOOKUP(A7841,'[1]Tissue Data'!$A:$A,'[1]Tissue Data'!$I:$I)</f>
        <v>salmoides</v>
      </c>
      <c r="G7841" t="str">
        <f>_xlfn.XLOOKUP(A7841,'[1]Tissue Data'!$A:$A,'[1]Tissue Data'!J:J)</f>
        <v>U</v>
      </c>
      <c r="H7841" t="str">
        <f>_xlfn.XLOOKUP(A7841,'[1]Tissue Data'!$A:$A,'[1]Tissue Data'!K:K)</f>
        <v>Whole Body</v>
      </c>
      <c r="I7841">
        <f>_xlfn.XLOOKUP(A7841,'[1]Tissue Data'!$A:$A,'[1]Tissue Data'!L:L)</f>
        <v>7</v>
      </c>
      <c r="J7841">
        <f>_xlfn.XLOOKUP(A7841,'[1]Tissue Data'!$A:$A,'[1]Tissue Data'!M:M)</f>
        <v>4.1500000000000004</v>
      </c>
      <c r="K7841" t="s">
        <v>51</v>
      </c>
      <c r="L7841" t="str">
        <f>_xlfn.XLOOKUP(K7841,[2]analyte_order!$B:$B,[2]analyte_order!$C:$C)</f>
        <v>27854-31-5</v>
      </c>
      <c r="M7841">
        <f>_xlfn.XLOOKUP(L7841,[2]analyte_order!$C:$C,[2]analyte_order!$E:$E)</f>
        <v>42</v>
      </c>
      <c r="N7841">
        <v>0.44550000000000001</v>
      </c>
    </row>
    <row r="7842" spans="1:14">
      <c r="A7842" t="s">
        <v>213</v>
      </c>
      <c r="B7842" t="str">
        <f>_xlfn.XLOOKUP(A7842,'[1]Tissue Data'!$A:$A,'[1]Tissue Data'!$C:$C)</f>
        <v>Down</v>
      </c>
      <c r="C7842" s="2">
        <f>_xlfn.XLOOKUP(A7842,'[1]Tissue Data'!$A:$A,'[1]Tissue Data'!$D:$D)</f>
        <v>44393</v>
      </c>
      <c r="D7842" s="2" t="str">
        <f>_xlfn.XLOOKUP(A7842,'[1]Tissue Data'!$A:$A,'[1]Tissue Data'!$F:$F)</f>
        <v>Large Mouth Bass</v>
      </c>
      <c r="E7842" t="str">
        <f>_xlfn.XLOOKUP(A7842,'[1]Tissue Data'!$A:$A,'[1]Tissue Data'!$H:$H)</f>
        <v>Micropterus</v>
      </c>
      <c r="F7842" t="str">
        <f>_xlfn.XLOOKUP(A7842,'[1]Tissue Data'!$A:$A,'[1]Tissue Data'!$I:$I)</f>
        <v>salmoides</v>
      </c>
      <c r="G7842" t="str">
        <f>_xlfn.XLOOKUP(A7842,'[1]Tissue Data'!$A:$A,'[1]Tissue Data'!J:J)</f>
        <v>U</v>
      </c>
      <c r="H7842" t="str">
        <f>_xlfn.XLOOKUP(A7842,'[1]Tissue Data'!$A:$A,'[1]Tissue Data'!K:K)</f>
        <v>Whole Body</v>
      </c>
      <c r="I7842">
        <f>_xlfn.XLOOKUP(A7842,'[1]Tissue Data'!$A:$A,'[1]Tissue Data'!L:L)</f>
        <v>7</v>
      </c>
      <c r="J7842">
        <f>_xlfn.XLOOKUP(A7842,'[1]Tissue Data'!$A:$A,'[1]Tissue Data'!M:M)</f>
        <v>4.1500000000000004</v>
      </c>
      <c r="K7842" t="s">
        <v>52</v>
      </c>
      <c r="L7842" t="str">
        <f>_xlfn.XLOOKUP(K7842,[2]analyte_order!$B:$B,[2]analyte_order!$C:$C)</f>
        <v>53826-13-4</v>
      </c>
      <c r="M7842">
        <f>_xlfn.XLOOKUP(L7842,[2]analyte_order!$C:$C,[2]analyte_order!$E:$E)</f>
        <v>43</v>
      </c>
      <c r="N7842">
        <v>0.44550000000000001</v>
      </c>
    </row>
    <row r="7843" spans="1:14">
      <c r="A7843" t="s">
        <v>213</v>
      </c>
      <c r="B7843" t="str">
        <f>_xlfn.XLOOKUP(A7843,'[1]Tissue Data'!$A:$A,'[1]Tissue Data'!$C:$C)</f>
        <v>Down</v>
      </c>
      <c r="C7843" s="2">
        <f>_xlfn.XLOOKUP(A7843,'[1]Tissue Data'!$A:$A,'[1]Tissue Data'!$D:$D)</f>
        <v>44393</v>
      </c>
      <c r="D7843" s="2" t="str">
        <f>_xlfn.XLOOKUP(A7843,'[1]Tissue Data'!$A:$A,'[1]Tissue Data'!$F:$F)</f>
        <v>Large Mouth Bass</v>
      </c>
      <c r="E7843" t="str">
        <f>_xlfn.XLOOKUP(A7843,'[1]Tissue Data'!$A:$A,'[1]Tissue Data'!$H:$H)</f>
        <v>Micropterus</v>
      </c>
      <c r="F7843" t="str">
        <f>_xlfn.XLOOKUP(A7843,'[1]Tissue Data'!$A:$A,'[1]Tissue Data'!$I:$I)</f>
        <v>salmoides</v>
      </c>
      <c r="G7843" t="str">
        <f>_xlfn.XLOOKUP(A7843,'[1]Tissue Data'!$A:$A,'[1]Tissue Data'!J:J)</f>
        <v>U</v>
      </c>
      <c r="H7843" t="str">
        <f>_xlfn.XLOOKUP(A7843,'[1]Tissue Data'!$A:$A,'[1]Tissue Data'!K:K)</f>
        <v>Whole Body</v>
      </c>
      <c r="I7843">
        <f>_xlfn.XLOOKUP(A7843,'[1]Tissue Data'!$A:$A,'[1]Tissue Data'!L:L)</f>
        <v>7</v>
      </c>
      <c r="J7843">
        <f>_xlfn.XLOOKUP(A7843,'[1]Tissue Data'!$A:$A,'[1]Tissue Data'!M:M)</f>
        <v>4.1500000000000004</v>
      </c>
      <c r="K7843" t="s">
        <v>53</v>
      </c>
      <c r="L7843" t="str">
        <f>_xlfn.XLOOKUP(K7843,[2]analyte_order!$B:$B,[2]analyte_order!$C:$C)</f>
        <v>161094-75-3</v>
      </c>
      <c r="M7843">
        <f>_xlfn.XLOOKUP(L7843,[2]analyte_order!$C:$C,[2]analyte_order!$E:$E)</f>
        <v>44</v>
      </c>
      <c r="N7843">
        <v>0.44550000000000001</v>
      </c>
    </row>
    <row r="7844" spans="1:14">
      <c r="A7844" t="s">
        <v>213</v>
      </c>
      <c r="B7844" t="str">
        <f>_xlfn.XLOOKUP(A7844,'[1]Tissue Data'!$A:$A,'[1]Tissue Data'!$C:$C)</f>
        <v>Down</v>
      </c>
      <c r="C7844" s="2">
        <f>_xlfn.XLOOKUP(A7844,'[1]Tissue Data'!$A:$A,'[1]Tissue Data'!$D:$D)</f>
        <v>44393</v>
      </c>
      <c r="D7844" s="2" t="str">
        <f>_xlfn.XLOOKUP(A7844,'[1]Tissue Data'!$A:$A,'[1]Tissue Data'!$F:$F)</f>
        <v>Large Mouth Bass</v>
      </c>
      <c r="E7844" t="str">
        <f>_xlfn.XLOOKUP(A7844,'[1]Tissue Data'!$A:$A,'[1]Tissue Data'!$H:$H)</f>
        <v>Micropterus</v>
      </c>
      <c r="F7844" t="str">
        <f>_xlfn.XLOOKUP(A7844,'[1]Tissue Data'!$A:$A,'[1]Tissue Data'!$I:$I)</f>
        <v>salmoides</v>
      </c>
      <c r="G7844" t="str">
        <f>_xlfn.XLOOKUP(A7844,'[1]Tissue Data'!$A:$A,'[1]Tissue Data'!J:J)</f>
        <v>U</v>
      </c>
      <c r="H7844" t="str">
        <f>_xlfn.XLOOKUP(A7844,'[1]Tissue Data'!$A:$A,'[1]Tissue Data'!K:K)</f>
        <v>Whole Body</v>
      </c>
      <c r="I7844">
        <f>_xlfn.XLOOKUP(A7844,'[1]Tissue Data'!$A:$A,'[1]Tissue Data'!L:L)</f>
        <v>7</v>
      </c>
      <c r="J7844">
        <f>_xlfn.XLOOKUP(A7844,'[1]Tissue Data'!$A:$A,'[1]Tissue Data'!M:M)</f>
        <v>4.1500000000000004</v>
      </c>
      <c r="K7844" t="s">
        <v>54</v>
      </c>
      <c r="L7844" t="str">
        <f>_xlfn.XLOOKUP(K7844,[2]analyte_order!$B:$B,[2]analyte_order!$C:$C)</f>
        <v>70887-84-2</v>
      </c>
      <c r="M7844">
        <f>_xlfn.XLOOKUP(L7844,[2]analyte_order!$C:$C,[2]analyte_order!$E:$E)</f>
        <v>45</v>
      </c>
      <c r="N7844">
        <v>0.44550000000000001</v>
      </c>
    </row>
    <row r="7845" spans="1:14">
      <c r="A7845" t="s">
        <v>213</v>
      </c>
      <c r="B7845" t="str">
        <f>_xlfn.XLOOKUP(A7845,'[1]Tissue Data'!$A:$A,'[1]Tissue Data'!$C:$C)</f>
        <v>Down</v>
      </c>
      <c r="C7845" s="2">
        <f>_xlfn.XLOOKUP(A7845,'[1]Tissue Data'!$A:$A,'[1]Tissue Data'!$D:$D)</f>
        <v>44393</v>
      </c>
      <c r="D7845" s="2" t="str">
        <f>_xlfn.XLOOKUP(A7845,'[1]Tissue Data'!$A:$A,'[1]Tissue Data'!$F:$F)</f>
        <v>Large Mouth Bass</v>
      </c>
      <c r="E7845" t="str">
        <f>_xlfn.XLOOKUP(A7845,'[1]Tissue Data'!$A:$A,'[1]Tissue Data'!$H:$H)</f>
        <v>Micropterus</v>
      </c>
      <c r="F7845" t="str">
        <f>_xlfn.XLOOKUP(A7845,'[1]Tissue Data'!$A:$A,'[1]Tissue Data'!$I:$I)</f>
        <v>salmoides</v>
      </c>
      <c r="G7845" t="str">
        <f>_xlfn.XLOOKUP(A7845,'[1]Tissue Data'!$A:$A,'[1]Tissue Data'!J:J)</f>
        <v>U</v>
      </c>
      <c r="H7845" t="str">
        <f>_xlfn.XLOOKUP(A7845,'[1]Tissue Data'!$A:$A,'[1]Tissue Data'!K:K)</f>
        <v>Whole Body</v>
      </c>
      <c r="I7845">
        <f>_xlfn.XLOOKUP(A7845,'[1]Tissue Data'!$A:$A,'[1]Tissue Data'!L:L)</f>
        <v>7</v>
      </c>
      <c r="J7845">
        <f>_xlfn.XLOOKUP(A7845,'[1]Tissue Data'!$A:$A,'[1]Tissue Data'!M:M)</f>
        <v>4.1500000000000004</v>
      </c>
      <c r="K7845" t="s">
        <v>55</v>
      </c>
      <c r="L7845" t="str">
        <f>_xlfn.XLOOKUP(K7845,[2]analyte_order!$B:$B,[2]analyte_order!$C:$C)</f>
        <v>919005-14-4</v>
      </c>
      <c r="M7845">
        <f>_xlfn.XLOOKUP(L7845,[2]analyte_order!$C:$C,[2]analyte_order!$E:$E)</f>
        <v>35</v>
      </c>
      <c r="N7845">
        <v>0.89900000000000002</v>
      </c>
    </row>
    <row r="7846" spans="1:14">
      <c r="A7846" t="s">
        <v>213</v>
      </c>
      <c r="B7846" t="str">
        <f>_xlfn.XLOOKUP(A7846,'[1]Tissue Data'!$A:$A,'[1]Tissue Data'!$C:$C)</f>
        <v>Down</v>
      </c>
      <c r="C7846" s="2">
        <f>_xlfn.XLOOKUP(A7846,'[1]Tissue Data'!$A:$A,'[1]Tissue Data'!$D:$D)</f>
        <v>44393</v>
      </c>
      <c r="D7846" s="2" t="str">
        <f>_xlfn.XLOOKUP(A7846,'[1]Tissue Data'!$A:$A,'[1]Tissue Data'!$F:$F)</f>
        <v>Large Mouth Bass</v>
      </c>
      <c r="E7846" t="str">
        <f>_xlfn.XLOOKUP(A7846,'[1]Tissue Data'!$A:$A,'[1]Tissue Data'!$H:$H)</f>
        <v>Micropterus</v>
      </c>
      <c r="F7846" t="str">
        <f>_xlfn.XLOOKUP(A7846,'[1]Tissue Data'!$A:$A,'[1]Tissue Data'!$I:$I)</f>
        <v>salmoides</v>
      </c>
      <c r="G7846" t="str">
        <f>_xlfn.XLOOKUP(A7846,'[1]Tissue Data'!$A:$A,'[1]Tissue Data'!J:J)</f>
        <v>U</v>
      </c>
      <c r="H7846" t="str">
        <f>_xlfn.XLOOKUP(A7846,'[1]Tissue Data'!$A:$A,'[1]Tissue Data'!K:K)</f>
        <v>Whole Body</v>
      </c>
      <c r="I7846">
        <f>_xlfn.XLOOKUP(A7846,'[1]Tissue Data'!$A:$A,'[1]Tissue Data'!L:L)</f>
        <v>7</v>
      </c>
      <c r="J7846">
        <f>_xlfn.XLOOKUP(A7846,'[1]Tissue Data'!$A:$A,'[1]Tissue Data'!M:M)</f>
        <v>4.1500000000000004</v>
      </c>
      <c r="K7846" t="s">
        <v>56</v>
      </c>
      <c r="L7846" t="str">
        <f>_xlfn.XLOOKUP(K7846,[2]analyte_order!$B:$B,[2]analyte_order!$C:$C)</f>
        <v>756426-58-1</v>
      </c>
      <c r="M7846">
        <f>_xlfn.XLOOKUP(L7846,[2]analyte_order!$C:$C,[2]analyte_order!$E:$E)</f>
        <v>36</v>
      </c>
      <c r="N7846">
        <v>0.44550000000000001</v>
      </c>
    </row>
    <row r="7847" spans="1:14">
      <c r="A7847" t="s">
        <v>213</v>
      </c>
      <c r="B7847" t="str">
        <f>_xlfn.XLOOKUP(A7847,'[1]Tissue Data'!$A:$A,'[1]Tissue Data'!$C:$C)</f>
        <v>Down</v>
      </c>
      <c r="C7847" s="2">
        <f>_xlfn.XLOOKUP(A7847,'[1]Tissue Data'!$A:$A,'[1]Tissue Data'!$D:$D)</f>
        <v>44393</v>
      </c>
      <c r="D7847" s="2" t="str">
        <f>_xlfn.XLOOKUP(A7847,'[1]Tissue Data'!$A:$A,'[1]Tissue Data'!$F:$F)</f>
        <v>Large Mouth Bass</v>
      </c>
      <c r="E7847" t="str">
        <f>_xlfn.XLOOKUP(A7847,'[1]Tissue Data'!$A:$A,'[1]Tissue Data'!$H:$H)</f>
        <v>Micropterus</v>
      </c>
      <c r="F7847" t="str">
        <f>_xlfn.XLOOKUP(A7847,'[1]Tissue Data'!$A:$A,'[1]Tissue Data'!$I:$I)</f>
        <v>salmoides</v>
      </c>
      <c r="G7847" t="str">
        <f>_xlfn.XLOOKUP(A7847,'[1]Tissue Data'!$A:$A,'[1]Tissue Data'!J:J)</f>
        <v>U</v>
      </c>
      <c r="H7847" t="str">
        <f>_xlfn.XLOOKUP(A7847,'[1]Tissue Data'!$A:$A,'[1]Tissue Data'!K:K)</f>
        <v>Whole Body</v>
      </c>
      <c r="I7847">
        <f>_xlfn.XLOOKUP(A7847,'[1]Tissue Data'!$A:$A,'[1]Tissue Data'!L:L)</f>
        <v>7</v>
      </c>
      <c r="J7847">
        <f>_xlfn.XLOOKUP(A7847,'[1]Tissue Data'!$A:$A,'[1]Tissue Data'!M:M)</f>
        <v>4.1500000000000004</v>
      </c>
      <c r="K7847" t="s">
        <v>57</v>
      </c>
      <c r="L7847" t="str">
        <f>_xlfn.XLOOKUP(K7847,[2]analyte_order!$B:$B,[2]analyte_order!$C:$C)</f>
        <v>763051-92-9</v>
      </c>
      <c r="M7847">
        <f>_xlfn.XLOOKUP(L7847,[2]analyte_order!$C:$C,[2]analyte_order!$E:$E)</f>
        <v>37</v>
      </c>
      <c r="N7847">
        <v>0.44550000000000001</v>
      </c>
    </row>
    <row r="7848" spans="1:14">
      <c r="A7848" t="s">
        <v>213</v>
      </c>
      <c r="B7848" t="str">
        <f>_xlfn.XLOOKUP(A7848,'[1]Tissue Data'!$A:$A,'[1]Tissue Data'!$C:$C)</f>
        <v>Down</v>
      </c>
      <c r="C7848" s="2">
        <f>_xlfn.XLOOKUP(A7848,'[1]Tissue Data'!$A:$A,'[1]Tissue Data'!$D:$D)</f>
        <v>44393</v>
      </c>
      <c r="D7848" s="2" t="str">
        <f>_xlfn.XLOOKUP(A7848,'[1]Tissue Data'!$A:$A,'[1]Tissue Data'!$F:$F)</f>
        <v>Large Mouth Bass</v>
      </c>
      <c r="E7848" t="str">
        <f>_xlfn.XLOOKUP(A7848,'[1]Tissue Data'!$A:$A,'[1]Tissue Data'!$H:$H)</f>
        <v>Micropterus</v>
      </c>
      <c r="F7848" t="str">
        <f>_xlfn.XLOOKUP(A7848,'[1]Tissue Data'!$A:$A,'[1]Tissue Data'!$I:$I)</f>
        <v>salmoides</v>
      </c>
      <c r="G7848" t="str">
        <f>_xlfn.XLOOKUP(A7848,'[1]Tissue Data'!$A:$A,'[1]Tissue Data'!J:J)</f>
        <v>U</v>
      </c>
      <c r="H7848" t="str">
        <f>_xlfn.XLOOKUP(A7848,'[1]Tissue Data'!$A:$A,'[1]Tissue Data'!K:K)</f>
        <v>Whole Body</v>
      </c>
      <c r="I7848">
        <f>_xlfn.XLOOKUP(A7848,'[1]Tissue Data'!$A:$A,'[1]Tissue Data'!L:L)</f>
        <v>7</v>
      </c>
      <c r="J7848">
        <f>_xlfn.XLOOKUP(A7848,'[1]Tissue Data'!$A:$A,'[1]Tissue Data'!M:M)</f>
        <v>4.1500000000000004</v>
      </c>
      <c r="K7848" t="s">
        <v>58</v>
      </c>
      <c r="L7848" t="str">
        <f>_xlfn.XLOOKUP(K7848,[2]analyte_order!$B:$B,[2]analyte_order!$C:$C)</f>
        <v>13252-13-6</v>
      </c>
      <c r="M7848">
        <f>_xlfn.XLOOKUP(L7848,[2]analyte_order!$C:$C,[2]analyte_order!$E:$E)</f>
        <v>34</v>
      </c>
      <c r="N7848">
        <v>0.31950000000000001</v>
      </c>
    </row>
    <row r="7849" spans="1:14">
      <c r="A7849" t="s">
        <v>213</v>
      </c>
      <c r="B7849" t="str">
        <f>_xlfn.XLOOKUP(A7849,'[1]Tissue Data'!$A:$A,'[1]Tissue Data'!$C:$C)</f>
        <v>Down</v>
      </c>
      <c r="C7849" s="2">
        <f>_xlfn.XLOOKUP(A7849,'[1]Tissue Data'!$A:$A,'[1]Tissue Data'!$D:$D)</f>
        <v>44393</v>
      </c>
      <c r="D7849" s="2" t="str">
        <f>_xlfn.XLOOKUP(A7849,'[1]Tissue Data'!$A:$A,'[1]Tissue Data'!$F:$F)</f>
        <v>Large Mouth Bass</v>
      </c>
      <c r="E7849" t="str">
        <f>_xlfn.XLOOKUP(A7849,'[1]Tissue Data'!$A:$A,'[1]Tissue Data'!$H:$H)</f>
        <v>Micropterus</v>
      </c>
      <c r="F7849" t="str">
        <f>_xlfn.XLOOKUP(A7849,'[1]Tissue Data'!$A:$A,'[1]Tissue Data'!$I:$I)</f>
        <v>salmoides</v>
      </c>
      <c r="G7849" t="str">
        <f>_xlfn.XLOOKUP(A7849,'[1]Tissue Data'!$A:$A,'[1]Tissue Data'!J:J)</f>
        <v>U</v>
      </c>
      <c r="H7849" t="str">
        <f>_xlfn.XLOOKUP(A7849,'[1]Tissue Data'!$A:$A,'[1]Tissue Data'!K:K)</f>
        <v>Whole Body</v>
      </c>
      <c r="I7849">
        <f>_xlfn.XLOOKUP(A7849,'[1]Tissue Data'!$A:$A,'[1]Tissue Data'!L:L)</f>
        <v>7</v>
      </c>
      <c r="J7849">
        <f>_xlfn.XLOOKUP(A7849,'[1]Tissue Data'!$A:$A,'[1]Tissue Data'!M:M)</f>
        <v>4.1500000000000004</v>
      </c>
      <c r="K7849" t="s">
        <v>59</v>
      </c>
      <c r="L7849" t="str">
        <f>_xlfn.XLOOKUP(K7849,[2]analyte_order!$B:$B,[2]analyte_order!$C:$C)</f>
        <v>57677-95-9</v>
      </c>
      <c r="M7849">
        <f>_xlfn.XLOOKUP(L7849,[2]analyte_order!$C:$C,[2]analyte_order!$E:$E)</f>
        <v>46</v>
      </c>
      <c r="N7849">
        <v>0.44550000000000001</v>
      </c>
    </row>
    <row r="7850" spans="1:14">
      <c r="A7850" t="s">
        <v>213</v>
      </c>
      <c r="B7850" t="str">
        <f>_xlfn.XLOOKUP(A7850,'[1]Tissue Data'!$A:$A,'[1]Tissue Data'!$C:$C)</f>
        <v>Down</v>
      </c>
      <c r="C7850" s="2">
        <f>_xlfn.XLOOKUP(A7850,'[1]Tissue Data'!$A:$A,'[1]Tissue Data'!$D:$D)</f>
        <v>44393</v>
      </c>
      <c r="D7850" s="2" t="str">
        <f>_xlfn.XLOOKUP(A7850,'[1]Tissue Data'!$A:$A,'[1]Tissue Data'!$F:$F)</f>
        <v>Large Mouth Bass</v>
      </c>
      <c r="E7850" t="str">
        <f>_xlfn.XLOOKUP(A7850,'[1]Tissue Data'!$A:$A,'[1]Tissue Data'!$H:$H)</f>
        <v>Micropterus</v>
      </c>
      <c r="F7850" t="str">
        <f>_xlfn.XLOOKUP(A7850,'[1]Tissue Data'!$A:$A,'[1]Tissue Data'!$I:$I)</f>
        <v>salmoides</v>
      </c>
      <c r="G7850" t="str">
        <f>_xlfn.XLOOKUP(A7850,'[1]Tissue Data'!$A:$A,'[1]Tissue Data'!J:J)</f>
        <v>U</v>
      </c>
      <c r="H7850" t="str">
        <f>_xlfn.XLOOKUP(A7850,'[1]Tissue Data'!$A:$A,'[1]Tissue Data'!K:K)</f>
        <v>Whole Body</v>
      </c>
      <c r="I7850">
        <f>_xlfn.XLOOKUP(A7850,'[1]Tissue Data'!$A:$A,'[1]Tissue Data'!L:L)</f>
        <v>7</v>
      </c>
      <c r="J7850">
        <f>_xlfn.XLOOKUP(A7850,'[1]Tissue Data'!$A:$A,'[1]Tissue Data'!M:M)</f>
        <v>4.1500000000000004</v>
      </c>
      <c r="K7850" t="s">
        <v>60</v>
      </c>
      <c r="L7850" t="str">
        <f>_xlfn.XLOOKUP(K7850,[2]analyte_order!$B:$B,[2]analyte_order!$C:$C)</f>
        <v>678-41-1</v>
      </c>
      <c r="M7850">
        <f>_xlfn.XLOOKUP(L7850,[2]analyte_order!$C:$C,[2]analyte_order!$E:$E)</f>
        <v>56</v>
      </c>
      <c r="N7850">
        <v>0.44550000000000001</v>
      </c>
    </row>
    <row r="7851" spans="1:14">
      <c r="A7851" t="s">
        <v>213</v>
      </c>
      <c r="B7851" t="str">
        <f>_xlfn.XLOOKUP(A7851,'[1]Tissue Data'!$A:$A,'[1]Tissue Data'!$C:$C)</f>
        <v>Down</v>
      </c>
      <c r="C7851" s="2">
        <f>_xlfn.XLOOKUP(A7851,'[1]Tissue Data'!$A:$A,'[1]Tissue Data'!$D:$D)</f>
        <v>44393</v>
      </c>
      <c r="D7851" s="2" t="str">
        <f>_xlfn.XLOOKUP(A7851,'[1]Tissue Data'!$A:$A,'[1]Tissue Data'!$F:$F)</f>
        <v>Large Mouth Bass</v>
      </c>
      <c r="E7851" t="str">
        <f>_xlfn.XLOOKUP(A7851,'[1]Tissue Data'!$A:$A,'[1]Tissue Data'!$H:$H)</f>
        <v>Micropterus</v>
      </c>
      <c r="F7851" t="str">
        <f>_xlfn.XLOOKUP(A7851,'[1]Tissue Data'!$A:$A,'[1]Tissue Data'!$I:$I)</f>
        <v>salmoides</v>
      </c>
      <c r="G7851" t="str">
        <f>_xlfn.XLOOKUP(A7851,'[1]Tissue Data'!$A:$A,'[1]Tissue Data'!J:J)</f>
        <v>U</v>
      </c>
      <c r="H7851" t="str">
        <f>_xlfn.XLOOKUP(A7851,'[1]Tissue Data'!$A:$A,'[1]Tissue Data'!K:K)</f>
        <v>Whole Body</v>
      </c>
      <c r="I7851">
        <f>_xlfn.XLOOKUP(A7851,'[1]Tissue Data'!$A:$A,'[1]Tissue Data'!L:L)</f>
        <v>7</v>
      </c>
      <c r="J7851">
        <f>_xlfn.XLOOKUP(A7851,'[1]Tissue Data'!$A:$A,'[1]Tissue Data'!M:M)</f>
        <v>4.1500000000000004</v>
      </c>
      <c r="K7851" t="s">
        <v>61</v>
      </c>
      <c r="L7851" t="str">
        <f>_xlfn.XLOOKUP(K7851,[2]analyte_order!$B:$B,[2]analyte_order!$C:$C)</f>
        <v>2965-52-8</v>
      </c>
      <c r="M7851">
        <f>_xlfn.XLOOKUP(L7851,[2]analyte_order!$C:$C,[2]analyte_order!$E:$E)</f>
        <v>57</v>
      </c>
      <c r="N7851">
        <v>0.44550000000000001</v>
      </c>
    </row>
    <row r="7852" spans="1:14">
      <c r="A7852" t="s">
        <v>144</v>
      </c>
      <c r="B7852" t="str">
        <f>_xlfn.XLOOKUP(A7852,'[1]Tissue Data'!$A:$A,'[1]Tissue Data'!$C:$C)</f>
        <v>Down</v>
      </c>
      <c r="C7852" s="2">
        <f>_xlfn.XLOOKUP(A7852,'[1]Tissue Data'!$A:$A,'[1]Tissue Data'!$D:$D)</f>
        <v>44393</v>
      </c>
      <c r="D7852" s="2" t="s">
        <v>131</v>
      </c>
      <c r="E7852" t="str">
        <f>_xlfn.XLOOKUP(A7852,'[1]Tissue Data'!$A:$A,'[1]Tissue Data'!$H:$H)</f>
        <v>Rhinichthys</v>
      </c>
      <c r="F7852" t="str">
        <f>_xlfn.XLOOKUP(A7852,'[1]Tissue Data'!$A:$A,'[1]Tissue Data'!$I:$I)</f>
        <v>atratulus</v>
      </c>
      <c r="G7852" t="str">
        <f>_xlfn.XLOOKUP(A7852,'[1]Tissue Data'!$A:$A,'[1]Tissue Data'!J:J)</f>
        <v>U</v>
      </c>
      <c r="H7852" t="str">
        <f>_xlfn.XLOOKUP(A7852,'[1]Tissue Data'!$A:$A,'[1]Tissue Data'!K:K)</f>
        <v>Whole Body</v>
      </c>
      <c r="I7852">
        <f>_xlfn.XLOOKUP(A7852,'[1]Tissue Data'!$A:$A,'[1]Tissue Data'!L:L)</f>
        <v>8.5</v>
      </c>
      <c r="J7852">
        <f>_xlfn.XLOOKUP(A7852,'[1]Tissue Data'!$A:$A,'[1]Tissue Data'!M:M)</f>
        <v>7.6</v>
      </c>
      <c r="K7852" t="s">
        <v>12</v>
      </c>
      <c r="L7852" t="str">
        <f>_xlfn.XLOOKUP(K7852,[2]analyte_order!$B:$B,[2]analyte_order!$C:$C)</f>
        <v>375-22-4</v>
      </c>
      <c r="M7852">
        <f>_xlfn.XLOOKUP(L7852,[2]analyte_order!$C:$C,[2]analyte_order!$E:$E)</f>
        <v>1</v>
      </c>
      <c r="N7852">
        <v>0.23649999999999999</v>
      </c>
    </row>
    <row r="7853" spans="1:14">
      <c r="A7853" t="s">
        <v>144</v>
      </c>
      <c r="B7853" t="str">
        <f>_xlfn.XLOOKUP(A7853,'[1]Tissue Data'!$A:$A,'[1]Tissue Data'!$C:$C)</f>
        <v>Down</v>
      </c>
      <c r="C7853" s="2">
        <f>_xlfn.XLOOKUP(A7853,'[1]Tissue Data'!$A:$A,'[1]Tissue Data'!$D:$D)</f>
        <v>44393</v>
      </c>
      <c r="D7853" s="2" t="s">
        <v>131</v>
      </c>
      <c r="E7853" t="str">
        <f>_xlfn.XLOOKUP(A7853,'[1]Tissue Data'!$A:$A,'[1]Tissue Data'!$H:$H)</f>
        <v>Rhinichthys</v>
      </c>
      <c r="F7853" t="str">
        <f>_xlfn.XLOOKUP(A7853,'[1]Tissue Data'!$A:$A,'[1]Tissue Data'!$I:$I)</f>
        <v>atratulus</v>
      </c>
      <c r="G7853" t="str">
        <f>_xlfn.XLOOKUP(A7853,'[1]Tissue Data'!$A:$A,'[1]Tissue Data'!J:J)</f>
        <v>U</v>
      </c>
      <c r="H7853" t="str">
        <f>_xlfn.XLOOKUP(A7853,'[1]Tissue Data'!$A:$A,'[1]Tissue Data'!K:K)</f>
        <v>Whole Body</v>
      </c>
      <c r="I7853">
        <f>_xlfn.XLOOKUP(A7853,'[1]Tissue Data'!$A:$A,'[1]Tissue Data'!L:L)</f>
        <v>8.5</v>
      </c>
      <c r="J7853">
        <f>_xlfn.XLOOKUP(A7853,'[1]Tissue Data'!$A:$A,'[1]Tissue Data'!M:M)</f>
        <v>7.6</v>
      </c>
      <c r="K7853" t="s">
        <v>13</v>
      </c>
      <c r="L7853" t="str">
        <f>_xlfn.XLOOKUP(K7853,[2]analyte_order!$B:$B,[2]analyte_order!$C:$C)</f>
        <v>2706-90-3</v>
      </c>
      <c r="M7853">
        <f>_xlfn.XLOOKUP(L7853,[2]analyte_order!$C:$C,[2]analyte_order!$E:$E)</f>
        <v>2</v>
      </c>
      <c r="N7853">
        <v>0.23649999999999999</v>
      </c>
    </row>
    <row r="7854" spans="1:14">
      <c r="A7854" t="s">
        <v>144</v>
      </c>
      <c r="B7854" t="str">
        <f>_xlfn.XLOOKUP(A7854,'[1]Tissue Data'!$A:$A,'[1]Tissue Data'!$C:$C)</f>
        <v>Down</v>
      </c>
      <c r="C7854" s="2">
        <f>_xlfn.XLOOKUP(A7854,'[1]Tissue Data'!$A:$A,'[1]Tissue Data'!$D:$D)</f>
        <v>44393</v>
      </c>
      <c r="D7854" s="2" t="s">
        <v>131</v>
      </c>
      <c r="E7854" t="str">
        <f>_xlfn.XLOOKUP(A7854,'[1]Tissue Data'!$A:$A,'[1]Tissue Data'!$H:$H)</f>
        <v>Rhinichthys</v>
      </c>
      <c r="F7854" t="str">
        <f>_xlfn.XLOOKUP(A7854,'[1]Tissue Data'!$A:$A,'[1]Tissue Data'!$I:$I)</f>
        <v>atratulus</v>
      </c>
      <c r="G7854" t="str">
        <f>_xlfn.XLOOKUP(A7854,'[1]Tissue Data'!$A:$A,'[1]Tissue Data'!J:J)</f>
        <v>U</v>
      </c>
      <c r="H7854" t="str">
        <f>_xlfn.XLOOKUP(A7854,'[1]Tissue Data'!$A:$A,'[1]Tissue Data'!K:K)</f>
        <v>Whole Body</v>
      </c>
      <c r="I7854">
        <f>_xlfn.XLOOKUP(A7854,'[1]Tissue Data'!$A:$A,'[1]Tissue Data'!L:L)</f>
        <v>8.5</v>
      </c>
      <c r="J7854">
        <f>_xlfn.XLOOKUP(A7854,'[1]Tissue Data'!$A:$A,'[1]Tissue Data'!M:M)</f>
        <v>7.6</v>
      </c>
      <c r="K7854" t="s">
        <v>14</v>
      </c>
      <c r="L7854" t="str">
        <f>_xlfn.XLOOKUP(K7854,[2]analyte_order!$B:$B,[2]analyte_order!$C:$C)</f>
        <v>307-24-4</v>
      </c>
      <c r="M7854">
        <f>_xlfn.XLOOKUP(L7854,[2]analyte_order!$C:$C,[2]analyte_order!$E:$E)</f>
        <v>3</v>
      </c>
      <c r="N7854">
        <v>0.1275</v>
      </c>
    </row>
    <row r="7855" spans="1:14">
      <c r="A7855" t="s">
        <v>144</v>
      </c>
      <c r="B7855" t="str">
        <f>_xlfn.XLOOKUP(A7855,'[1]Tissue Data'!$A:$A,'[1]Tissue Data'!$C:$C)</f>
        <v>Down</v>
      </c>
      <c r="C7855" s="2">
        <f>_xlfn.XLOOKUP(A7855,'[1]Tissue Data'!$A:$A,'[1]Tissue Data'!$D:$D)</f>
        <v>44393</v>
      </c>
      <c r="D7855" s="2" t="s">
        <v>131</v>
      </c>
      <c r="E7855" t="str">
        <f>_xlfn.XLOOKUP(A7855,'[1]Tissue Data'!$A:$A,'[1]Tissue Data'!$H:$H)</f>
        <v>Rhinichthys</v>
      </c>
      <c r="F7855" t="str">
        <f>_xlfn.XLOOKUP(A7855,'[1]Tissue Data'!$A:$A,'[1]Tissue Data'!$I:$I)</f>
        <v>atratulus</v>
      </c>
      <c r="G7855" t="str">
        <f>_xlfn.XLOOKUP(A7855,'[1]Tissue Data'!$A:$A,'[1]Tissue Data'!J:J)</f>
        <v>U</v>
      </c>
      <c r="H7855" t="str">
        <f>_xlfn.XLOOKUP(A7855,'[1]Tissue Data'!$A:$A,'[1]Tissue Data'!K:K)</f>
        <v>Whole Body</v>
      </c>
      <c r="I7855">
        <f>_xlfn.XLOOKUP(A7855,'[1]Tissue Data'!$A:$A,'[1]Tissue Data'!L:L)</f>
        <v>8.5</v>
      </c>
      <c r="J7855">
        <f>_xlfn.XLOOKUP(A7855,'[1]Tissue Data'!$A:$A,'[1]Tissue Data'!M:M)</f>
        <v>7.6</v>
      </c>
      <c r="K7855" t="s">
        <v>15</v>
      </c>
      <c r="L7855" t="str">
        <f>_xlfn.XLOOKUP(K7855,[2]analyte_order!$B:$B,[2]analyte_order!$C:$C)</f>
        <v>375-85-9</v>
      </c>
      <c r="M7855">
        <f>_xlfn.XLOOKUP(L7855,[2]analyte_order!$C:$C,[2]analyte_order!$E:$E)</f>
        <v>4</v>
      </c>
      <c r="N7855">
        <v>0.23649999999999999</v>
      </c>
    </row>
    <row r="7856" spans="1:14">
      <c r="A7856" t="s">
        <v>144</v>
      </c>
      <c r="B7856" t="str">
        <f>_xlfn.XLOOKUP(A7856,'[1]Tissue Data'!$A:$A,'[1]Tissue Data'!$C:$C)</f>
        <v>Down</v>
      </c>
      <c r="C7856" s="2">
        <f>_xlfn.XLOOKUP(A7856,'[1]Tissue Data'!$A:$A,'[1]Tissue Data'!$D:$D)</f>
        <v>44393</v>
      </c>
      <c r="D7856" s="2" t="s">
        <v>131</v>
      </c>
      <c r="E7856" t="str">
        <f>_xlfn.XLOOKUP(A7856,'[1]Tissue Data'!$A:$A,'[1]Tissue Data'!$H:$H)</f>
        <v>Rhinichthys</v>
      </c>
      <c r="F7856" t="str">
        <f>_xlfn.XLOOKUP(A7856,'[1]Tissue Data'!$A:$A,'[1]Tissue Data'!$I:$I)</f>
        <v>atratulus</v>
      </c>
      <c r="G7856" t="str">
        <f>_xlfn.XLOOKUP(A7856,'[1]Tissue Data'!$A:$A,'[1]Tissue Data'!J:J)</f>
        <v>U</v>
      </c>
      <c r="H7856" t="str">
        <f>_xlfn.XLOOKUP(A7856,'[1]Tissue Data'!$A:$A,'[1]Tissue Data'!K:K)</f>
        <v>Whole Body</v>
      </c>
      <c r="I7856">
        <f>_xlfn.XLOOKUP(A7856,'[1]Tissue Data'!$A:$A,'[1]Tissue Data'!L:L)</f>
        <v>8.5</v>
      </c>
      <c r="J7856">
        <f>_xlfn.XLOOKUP(A7856,'[1]Tissue Data'!$A:$A,'[1]Tissue Data'!M:M)</f>
        <v>7.6</v>
      </c>
      <c r="K7856" t="s">
        <v>16</v>
      </c>
      <c r="L7856" t="str">
        <f>_xlfn.XLOOKUP(K7856,[2]analyte_order!$B:$B,[2]analyte_order!$C:$C)</f>
        <v>335-67-1</v>
      </c>
      <c r="M7856">
        <f>_xlfn.XLOOKUP(L7856,[2]analyte_order!$C:$C,[2]analyte_order!$E:$E)</f>
        <v>5</v>
      </c>
      <c r="N7856">
        <v>2.11</v>
      </c>
    </row>
    <row r="7857" spans="1:14">
      <c r="A7857" t="s">
        <v>144</v>
      </c>
      <c r="B7857" t="str">
        <f>_xlfn.XLOOKUP(A7857,'[1]Tissue Data'!$A:$A,'[1]Tissue Data'!$C:$C)</f>
        <v>Down</v>
      </c>
      <c r="C7857" s="2">
        <f>_xlfn.XLOOKUP(A7857,'[1]Tissue Data'!$A:$A,'[1]Tissue Data'!$D:$D)</f>
        <v>44393</v>
      </c>
      <c r="D7857" s="2" t="s">
        <v>131</v>
      </c>
      <c r="E7857" t="str">
        <f>_xlfn.XLOOKUP(A7857,'[1]Tissue Data'!$A:$A,'[1]Tissue Data'!$H:$H)</f>
        <v>Rhinichthys</v>
      </c>
      <c r="F7857" t="str">
        <f>_xlfn.XLOOKUP(A7857,'[1]Tissue Data'!$A:$A,'[1]Tissue Data'!$I:$I)</f>
        <v>atratulus</v>
      </c>
      <c r="G7857" t="str">
        <f>_xlfn.XLOOKUP(A7857,'[1]Tissue Data'!$A:$A,'[1]Tissue Data'!J:J)</f>
        <v>U</v>
      </c>
      <c r="H7857" t="str">
        <f>_xlfn.XLOOKUP(A7857,'[1]Tissue Data'!$A:$A,'[1]Tissue Data'!K:K)</f>
        <v>Whole Body</v>
      </c>
      <c r="I7857">
        <f>_xlfn.XLOOKUP(A7857,'[1]Tissue Data'!$A:$A,'[1]Tissue Data'!L:L)</f>
        <v>8.5</v>
      </c>
      <c r="J7857">
        <f>_xlfn.XLOOKUP(A7857,'[1]Tissue Data'!$A:$A,'[1]Tissue Data'!M:M)</f>
        <v>7.6</v>
      </c>
      <c r="K7857" t="s">
        <v>17</v>
      </c>
      <c r="L7857" t="str">
        <f>_xlfn.XLOOKUP(K7857,[2]analyte_order!$B:$B,[2]analyte_order!$C:$C)</f>
        <v>375-95-1</v>
      </c>
      <c r="M7857">
        <f>_xlfn.XLOOKUP(L7857,[2]analyte_order!$C:$C,[2]analyte_order!$E:$E)</f>
        <v>6</v>
      </c>
      <c r="N7857">
        <v>1.44</v>
      </c>
    </row>
    <row r="7858" spans="1:14">
      <c r="A7858" t="s">
        <v>144</v>
      </c>
      <c r="B7858" t="str">
        <f>_xlfn.XLOOKUP(A7858,'[1]Tissue Data'!$A:$A,'[1]Tissue Data'!$C:$C)</f>
        <v>Down</v>
      </c>
      <c r="C7858" s="2">
        <f>_xlfn.XLOOKUP(A7858,'[1]Tissue Data'!$A:$A,'[1]Tissue Data'!$D:$D)</f>
        <v>44393</v>
      </c>
      <c r="D7858" s="2" t="s">
        <v>131</v>
      </c>
      <c r="E7858" t="str">
        <f>_xlfn.XLOOKUP(A7858,'[1]Tissue Data'!$A:$A,'[1]Tissue Data'!$H:$H)</f>
        <v>Rhinichthys</v>
      </c>
      <c r="F7858" t="str">
        <f>_xlfn.XLOOKUP(A7858,'[1]Tissue Data'!$A:$A,'[1]Tissue Data'!$I:$I)</f>
        <v>atratulus</v>
      </c>
      <c r="G7858" t="str">
        <f>_xlfn.XLOOKUP(A7858,'[1]Tissue Data'!$A:$A,'[1]Tissue Data'!J:J)</f>
        <v>U</v>
      </c>
      <c r="H7858" t="str">
        <f>_xlfn.XLOOKUP(A7858,'[1]Tissue Data'!$A:$A,'[1]Tissue Data'!K:K)</f>
        <v>Whole Body</v>
      </c>
      <c r="I7858">
        <f>_xlfn.XLOOKUP(A7858,'[1]Tissue Data'!$A:$A,'[1]Tissue Data'!L:L)</f>
        <v>8.5</v>
      </c>
      <c r="J7858">
        <f>_xlfn.XLOOKUP(A7858,'[1]Tissue Data'!$A:$A,'[1]Tissue Data'!M:M)</f>
        <v>7.6</v>
      </c>
      <c r="K7858" t="s">
        <v>18</v>
      </c>
      <c r="L7858" t="str">
        <f>_xlfn.XLOOKUP(K7858,[2]analyte_order!$B:$B,[2]analyte_order!$C:$C)</f>
        <v>335-76-2</v>
      </c>
      <c r="M7858">
        <f>_xlfn.XLOOKUP(L7858,[2]analyte_order!$C:$C,[2]analyte_order!$E:$E)</f>
        <v>7</v>
      </c>
      <c r="N7858">
        <v>5.55</v>
      </c>
    </row>
    <row r="7859" spans="1:14">
      <c r="A7859" t="s">
        <v>144</v>
      </c>
      <c r="B7859" t="str">
        <f>_xlfn.XLOOKUP(A7859,'[1]Tissue Data'!$A:$A,'[1]Tissue Data'!$C:$C)</f>
        <v>Down</v>
      </c>
      <c r="C7859" s="2">
        <f>_xlfn.XLOOKUP(A7859,'[1]Tissue Data'!$A:$A,'[1]Tissue Data'!$D:$D)</f>
        <v>44393</v>
      </c>
      <c r="D7859" s="2" t="s">
        <v>131</v>
      </c>
      <c r="E7859" t="str">
        <f>_xlfn.XLOOKUP(A7859,'[1]Tissue Data'!$A:$A,'[1]Tissue Data'!$H:$H)</f>
        <v>Rhinichthys</v>
      </c>
      <c r="F7859" t="str">
        <f>_xlfn.XLOOKUP(A7859,'[1]Tissue Data'!$A:$A,'[1]Tissue Data'!$I:$I)</f>
        <v>atratulus</v>
      </c>
      <c r="G7859" t="str">
        <f>_xlfn.XLOOKUP(A7859,'[1]Tissue Data'!$A:$A,'[1]Tissue Data'!J:J)</f>
        <v>U</v>
      </c>
      <c r="H7859" t="str">
        <f>_xlfn.XLOOKUP(A7859,'[1]Tissue Data'!$A:$A,'[1]Tissue Data'!K:K)</f>
        <v>Whole Body</v>
      </c>
      <c r="I7859">
        <f>_xlfn.XLOOKUP(A7859,'[1]Tissue Data'!$A:$A,'[1]Tissue Data'!L:L)</f>
        <v>8.5</v>
      </c>
      <c r="J7859">
        <f>_xlfn.XLOOKUP(A7859,'[1]Tissue Data'!$A:$A,'[1]Tissue Data'!M:M)</f>
        <v>7.6</v>
      </c>
      <c r="K7859" t="s">
        <v>19</v>
      </c>
      <c r="L7859" t="str">
        <f>_xlfn.XLOOKUP(K7859,[2]analyte_order!$B:$B,[2]analyte_order!$C:$C)</f>
        <v>2058-94-8</v>
      </c>
      <c r="M7859">
        <f>_xlfn.XLOOKUP(L7859,[2]analyte_order!$C:$C,[2]analyte_order!$E:$E)</f>
        <v>8</v>
      </c>
      <c r="N7859">
        <v>8.93</v>
      </c>
    </row>
    <row r="7860" spans="1:14">
      <c r="A7860" t="s">
        <v>144</v>
      </c>
      <c r="B7860" t="str">
        <f>_xlfn.XLOOKUP(A7860,'[1]Tissue Data'!$A:$A,'[1]Tissue Data'!$C:$C)</f>
        <v>Down</v>
      </c>
      <c r="C7860" s="2">
        <f>_xlfn.XLOOKUP(A7860,'[1]Tissue Data'!$A:$A,'[1]Tissue Data'!$D:$D)</f>
        <v>44393</v>
      </c>
      <c r="D7860" s="2" t="s">
        <v>131</v>
      </c>
      <c r="E7860" t="str">
        <f>_xlfn.XLOOKUP(A7860,'[1]Tissue Data'!$A:$A,'[1]Tissue Data'!$H:$H)</f>
        <v>Rhinichthys</v>
      </c>
      <c r="F7860" t="str">
        <f>_xlfn.XLOOKUP(A7860,'[1]Tissue Data'!$A:$A,'[1]Tissue Data'!$I:$I)</f>
        <v>atratulus</v>
      </c>
      <c r="G7860" t="str">
        <f>_xlfn.XLOOKUP(A7860,'[1]Tissue Data'!$A:$A,'[1]Tissue Data'!J:J)</f>
        <v>U</v>
      </c>
      <c r="H7860" t="str">
        <f>_xlfn.XLOOKUP(A7860,'[1]Tissue Data'!$A:$A,'[1]Tissue Data'!K:K)</f>
        <v>Whole Body</v>
      </c>
      <c r="I7860">
        <f>_xlfn.XLOOKUP(A7860,'[1]Tissue Data'!$A:$A,'[1]Tissue Data'!L:L)</f>
        <v>8.5</v>
      </c>
      <c r="J7860">
        <f>_xlfn.XLOOKUP(A7860,'[1]Tissue Data'!$A:$A,'[1]Tissue Data'!M:M)</f>
        <v>7.6</v>
      </c>
      <c r="K7860" t="s">
        <v>20</v>
      </c>
      <c r="L7860" t="str">
        <f>_xlfn.XLOOKUP(K7860,[2]analyte_order!$B:$B,[2]analyte_order!$C:$C)</f>
        <v>307-55-1</v>
      </c>
      <c r="M7860">
        <f>_xlfn.XLOOKUP(L7860,[2]analyte_order!$C:$C,[2]analyte_order!$E:$E)</f>
        <v>9</v>
      </c>
      <c r="N7860">
        <v>22.4</v>
      </c>
    </row>
    <row r="7861" spans="1:14">
      <c r="A7861" t="s">
        <v>144</v>
      </c>
      <c r="B7861" t="str">
        <f>_xlfn.XLOOKUP(A7861,'[1]Tissue Data'!$A:$A,'[1]Tissue Data'!$C:$C)</f>
        <v>Down</v>
      </c>
      <c r="C7861" s="2">
        <f>_xlfn.XLOOKUP(A7861,'[1]Tissue Data'!$A:$A,'[1]Tissue Data'!$D:$D)</f>
        <v>44393</v>
      </c>
      <c r="D7861" s="2" t="s">
        <v>131</v>
      </c>
      <c r="E7861" t="str">
        <f>_xlfn.XLOOKUP(A7861,'[1]Tissue Data'!$A:$A,'[1]Tissue Data'!$H:$H)</f>
        <v>Rhinichthys</v>
      </c>
      <c r="F7861" t="str">
        <f>_xlfn.XLOOKUP(A7861,'[1]Tissue Data'!$A:$A,'[1]Tissue Data'!$I:$I)</f>
        <v>atratulus</v>
      </c>
      <c r="G7861" t="str">
        <f>_xlfn.XLOOKUP(A7861,'[1]Tissue Data'!$A:$A,'[1]Tissue Data'!J:J)</f>
        <v>U</v>
      </c>
      <c r="H7861" t="str">
        <f>_xlfn.XLOOKUP(A7861,'[1]Tissue Data'!$A:$A,'[1]Tissue Data'!K:K)</f>
        <v>Whole Body</v>
      </c>
      <c r="I7861">
        <f>_xlfn.XLOOKUP(A7861,'[1]Tissue Data'!$A:$A,'[1]Tissue Data'!L:L)</f>
        <v>8.5</v>
      </c>
      <c r="J7861">
        <f>_xlfn.XLOOKUP(A7861,'[1]Tissue Data'!$A:$A,'[1]Tissue Data'!M:M)</f>
        <v>7.6</v>
      </c>
      <c r="K7861" t="s">
        <v>21</v>
      </c>
      <c r="L7861" t="str">
        <f>_xlfn.XLOOKUP(K7861,[2]analyte_order!$B:$B,[2]analyte_order!$C:$C)</f>
        <v>72629-94-8</v>
      </c>
      <c r="M7861">
        <f>_xlfn.XLOOKUP(L7861,[2]analyte_order!$C:$C,[2]analyte_order!$E:$E)</f>
        <v>10</v>
      </c>
      <c r="N7861">
        <v>7.06</v>
      </c>
    </row>
    <row r="7862" spans="1:14">
      <c r="A7862" t="s">
        <v>144</v>
      </c>
      <c r="B7862" t="str">
        <f>_xlfn.XLOOKUP(A7862,'[1]Tissue Data'!$A:$A,'[1]Tissue Data'!$C:$C)</f>
        <v>Down</v>
      </c>
      <c r="C7862" s="2">
        <f>_xlfn.XLOOKUP(A7862,'[1]Tissue Data'!$A:$A,'[1]Tissue Data'!$D:$D)</f>
        <v>44393</v>
      </c>
      <c r="D7862" s="2" t="s">
        <v>131</v>
      </c>
      <c r="E7862" t="str">
        <f>_xlfn.XLOOKUP(A7862,'[1]Tissue Data'!$A:$A,'[1]Tissue Data'!$H:$H)</f>
        <v>Rhinichthys</v>
      </c>
      <c r="F7862" t="str">
        <f>_xlfn.XLOOKUP(A7862,'[1]Tissue Data'!$A:$A,'[1]Tissue Data'!$I:$I)</f>
        <v>atratulus</v>
      </c>
      <c r="G7862" t="str">
        <f>_xlfn.XLOOKUP(A7862,'[1]Tissue Data'!$A:$A,'[1]Tissue Data'!J:J)</f>
        <v>U</v>
      </c>
      <c r="H7862" t="str">
        <f>_xlfn.XLOOKUP(A7862,'[1]Tissue Data'!$A:$A,'[1]Tissue Data'!K:K)</f>
        <v>Whole Body</v>
      </c>
      <c r="I7862">
        <f>_xlfn.XLOOKUP(A7862,'[1]Tissue Data'!$A:$A,'[1]Tissue Data'!L:L)</f>
        <v>8.5</v>
      </c>
      <c r="J7862">
        <f>_xlfn.XLOOKUP(A7862,'[1]Tissue Data'!$A:$A,'[1]Tissue Data'!M:M)</f>
        <v>7.6</v>
      </c>
      <c r="K7862" t="s">
        <v>22</v>
      </c>
      <c r="L7862" t="str">
        <f>_xlfn.XLOOKUP(K7862,[2]analyte_order!$B:$B,[2]analyte_order!$C:$C)</f>
        <v>376-06-7</v>
      </c>
      <c r="M7862">
        <f>_xlfn.XLOOKUP(L7862,[2]analyte_order!$C:$C,[2]analyte_order!$E:$E)</f>
        <v>11</v>
      </c>
      <c r="N7862">
        <v>4.9800000000000004</v>
      </c>
    </row>
    <row r="7863" spans="1:14">
      <c r="A7863" t="s">
        <v>144</v>
      </c>
      <c r="B7863" t="str">
        <f>_xlfn.XLOOKUP(A7863,'[1]Tissue Data'!$A:$A,'[1]Tissue Data'!$C:$C)</f>
        <v>Down</v>
      </c>
      <c r="C7863" s="2">
        <f>_xlfn.XLOOKUP(A7863,'[1]Tissue Data'!$A:$A,'[1]Tissue Data'!$D:$D)</f>
        <v>44393</v>
      </c>
      <c r="D7863" s="2" t="s">
        <v>131</v>
      </c>
      <c r="E7863" t="str">
        <f>_xlfn.XLOOKUP(A7863,'[1]Tissue Data'!$A:$A,'[1]Tissue Data'!$H:$H)</f>
        <v>Rhinichthys</v>
      </c>
      <c r="F7863" t="str">
        <f>_xlfn.XLOOKUP(A7863,'[1]Tissue Data'!$A:$A,'[1]Tissue Data'!$I:$I)</f>
        <v>atratulus</v>
      </c>
      <c r="G7863" t="str">
        <f>_xlfn.XLOOKUP(A7863,'[1]Tissue Data'!$A:$A,'[1]Tissue Data'!J:J)</f>
        <v>U</v>
      </c>
      <c r="H7863" t="str">
        <f>_xlfn.XLOOKUP(A7863,'[1]Tissue Data'!$A:$A,'[1]Tissue Data'!K:K)</f>
        <v>Whole Body</v>
      </c>
      <c r="I7863">
        <f>_xlfn.XLOOKUP(A7863,'[1]Tissue Data'!$A:$A,'[1]Tissue Data'!L:L)</f>
        <v>8.5</v>
      </c>
      <c r="J7863">
        <f>_xlfn.XLOOKUP(A7863,'[1]Tissue Data'!$A:$A,'[1]Tissue Data'!M:M)</f>
        <v>7.6</v>
      </c>
      <c r="K7863" t="s">
        <v>23</v>
      </c>
      <c r="L7863" t="str">
        <f>_xlfn.XLOOKUP(K7863,[2]analyte_order!$B:$B,[2]analyte_order!$C:$C)</f>
        <v>67905-19-5</v>
      </c>
      <c r="M7863">
        <f>_xlfn.XLOOKUP(L7863,[2]analyte_order!$C:$C,[2]analyte_order!$E:$E)</f>
        <v>12</v>
      </c>
      <c r="N7863">
        <v>0.28199999999999997</v>
      </c>
    </row>
    <row r="7864" spans="1:14">
      <c r="A7864" t="s">
        <v>144</v>
      </c>
      <c r="B7864" t="str">
        <f>_xlfn.XLOOKUP(A7864,'[1]Tissue Data'!$A:$A,'[1]Tissue Data'!$C:$C)</f>
        <v>Down</v>
      </c>
      <c r="C7864" s="2">
        <f>_xlfn.XLOOKUP(A7864,'[1]Tissue Data'!$A:$A,'[1]Tissue Data'!$D:$D)</f>
        <v>44393</v>
      </c>
      <c r="D7864" s="2" t="s">
        <v>131</v>
      </c>
      <c r="E7864" t="str">
        <f>_xlfn.XLOOKUP(A7864,'[1]Tissue Data'!$A:$A,'[1]Tissue Data'!$H:$H)</f>
        <v>Rhinichthys</v>
      </c>
      <c r="F7864" t="str">
        <f>_xlfn.XLOOKUP(A7864,'[1]Tissue Data'!$A:$A,'[1]Tissue Data'!$I:$I)</f>
        <v>atratulus</v>
      </c>
      <c r="G7864" t="str">
        <f>_xlfn.XLOOKUP(A7864,'[1]Tissue Data'!$A:$A,'[1]Tissue Data'!J:J)</f>
        <v>U</v>
      </c>
      <c r="H7864" t="str">
        <f>_xlfn.XLOOKUP(A7864,'[1]Tissue Data'!$A:$A,'[1]Tissue Data'!K:K)</f>
        <v>Whole Body</v>
      </c>
      <c r="I7864">
        <f>_xlfn.XLOOKUP(A7864,'[1]Tissue Data'!$A:$A,'[1]Tissue Data'!L:L)</f>
        <v>8.5</v>
      </c>
      <c r="J7864">
        <f>_xlfn.XLOOKUP(A7864,'[1]Tissue Data'!$A:$A,'[1]Tissue Data'!M:M)</f>
        <v>7.6</v>
      </c>
      <c r="K7864" t="s">
        <v>24</v>
      </c>
      <c r="L7864" t="str">
        <f>_xlfn.XLOOKUP(K7864,[2]analyte_order!$B:$B,[2]analyte_order!$C:$C)</f>
        <v>423-41-6</v>
      </c>
      <c r="M7864">
        <f>_xlfn.XLOOKUP(L7864,[2]analyte_order!$C:$C,[2]analyte_order!$E:$E)</f>
        <v>53</v>
      </c>
      <c r="N7864">
        <v>0.47299999999999998</v>
      </c>
    </row>
    <row r="7865" spans="1:14">
      <c r="A7865" t="s">
        <v>144</v>
      </c>
      <c r="B7865" t="str">
        <f>_xlfn.XLOOKUP(A7865,'[1]Tissue Data'!$A:$A,'[1]Tissue Data'!$C:$C)</f>
        <v>Down</v>
      </c>
      <c r="C7865" s="2">
        <f>_xlfn.XLOOKUP(A7865,'[1]Tissue Data'!$A:$A,'[1]Tissue Data'!$D:$D)</f>
        <v>44393</v>
      </c>
      <c r="D7865" s="2" t="s">
        <v>131</v>
      </c>
      <c r="E7865" t="str">
        <f>_xlfn.XLOOKUP(A7865,'[1]Tissue Data'!$A:$A,'[1]Tissue Data'!$H:$H)</f>
        <v>Rhinichthys</v>
      </c>
      <c r="F7865" t="str">
        <f>_xlfn.XLOOKUP(A7865,'[1]Tissue Data'!$A:$A,'[1]Tissue Data'!$I:$I)</f>
        <v>atratulus</v>
      </c>
      <c r="G7865" t="str">
        <f>_xlfn.XLOOKUP(A7865,'[1]Tissue Data'!$A:$A,'[1]Tissue Data'!J:J)</f>
        <v>U</v>
      </c>
      <c r="H7865" t="str">
        <f>_xlfn.XLOOKUP(A7865,'[1]Tissue Data'!$A:$A,'[1]Tissue Data'!K:K)</f>
        <v>Whole Body</v>
      </c>
      <c r="I7865">
        <f>_xlfn.XLOOKUP(A7865,'[1]Tissue Data'!$A:$A,'[1]Tissue Data'!L:L)</f>
        <v>8.5</v>
      </c>
      <c r="J7865">
        <f>_xlfn.XLOOKUP(A7865,'[1]Tissue Data'!$A:$A,'[1]Tissue Data'!M:M)</f>
        <v>7.6</v>
      </c>
      <c r="K7865" t="s">
        <v>25</v>
      </c>
      <c r="L7865" t="str">
        <f>_xlfn.XLOOKUP(K7865,[2]analyte_order!$B:$B,[2]analyte_order!$C:$C)</f>
        <v>375-73-5</v>
      </c>
      <c r="M7865">
        <f>_xlfn.XLOOKUP(L7865,[2]analyte_order!$C:$C,[2]analyte_order!$E:$E)</f>
        <v>14</v>
      </c>
      <c r="N7865">
        <v>0.161</v>
      </c>
    </row>
    <row r="7866" spans="1:14">
      <c r="A7866" t="s">
        <v>144</v>
      </c>
      <c r="B7866" t="str">
        <f>_xlfn.XLOOKUP(A7866,'[1]Tissue Data'!$A:$A,'[1]Tissue Data'!$C:$C)</f>
        <v>Down</v>
      </c>
      <c r="C7866" s="2">
        <f>_xlfn.XLOOKUP(A7866,'[1]Tissue Data'!$A:$A,'[1]Tissue Data'!$D:$D)</f>
        <v>44393</v>
      </c>
      <c r="D7866" s="2" t="s">
        <v>131</v>
      </c>
      <c r="E7866" t="str">
        <f>_xlfn.XLOOKUP(A7866,'[1]Tissue Data'!$A:$A,'[1]Tissue Data'!$H:$H)</f>
        <v>Rhinichthys</v>
      </c>
      <c r="F7866" t="str">
        <f>_xlfn.XLOOKUP(A7866,'[1]Tissue Data'!$A:$A,'[1]Tissue Data'!$I:$I)</f>
        <v>atratulus</v>
      </c>
      <c r="G7866" t="str">
        <f>_xlfn.XLOOKUP(A7866,'[1]Tissue Data'!$A:$A,'[1]Tissue Data'!J:J)</f>
        <v>U</v>
      </c>
      <c r="H7866" t="str">
        <f>_xlfn.XLOOKUP(A7866,'[1]Tissue Data'!$A:$A,'[1]Tissue Data'!K:K)</f>
        <v>Whole Body</v>
      </c>
      <c r="I7866">
        <f>_xlfn.XLOOKUP(A7866,'[1]Tissue Data'!$A:$A,'[1]Tissue Data'!L:L)</f>
        <v>8.5</v>
      </c>
      <c r="J7866">
        <f>_xlfn.XLOOKUP(A7866,'[1]Tissue Data'!$A:$A,'[1]Tissue Data'!M:M)</f>
        <v>7.6</v>
      </c>
      <c r="K7866" t="s">
        <v>26</v>
      </c>
      <c r="L7866" t="str">
        <f>_xlfn.XLOOKUP(K7866,[2]analyte_order!$B:$B,[2]analyte_order!$C:$C)</f>
        <v>2706-91-4</v>
      </c>
      <c r="M7866">
        <f>_xlfn.XLOOKUP(L7866,[2]analyte_order!$C:$C,[2]analyte_order!$E:$E)</f>
        <v>15</v>
      </c>
      <c r="N7866">
        <v>0.64400000000000002</v>
      </c>
    </row>
    <row r="7867" spans="1:14">
      <c r="A7867" t="s">
        <v>144</v>
      </c>
      <c r="B7867" t="str">
        <f>_xlfn.XLOOKUP(A7867,'[1]Tissue Data'!$A:$A,'[1]Tissue Data'!$C:$C)</f>
        <v>Down</v>
      </c>
      <c r="C7867" s="2">
        <f>_xlfn.XLOOKUP(A7867,'[1]Tissue Data'!$A:$A,'[1]Tissue Data'!$D:$D)</f>
        <v>44393</v>
      </c>
      <c r="D7867" s="2" t="s">
        <v>131</v>
      </c>
      <c r="E7867" t="str">
        <f>_xlfn.XLOOKUP(A7867,'[1]Tissue Data'!$A:$A,'[1]Tissue Data'!$H:$H)</f>
        <v>Rhinichthys</v>
      </c>
      <c r="F7867" t="str">
        <f>_xlfn.XLOOKUP(A7867,'[1]Tissue Data'!$A:$A,'[1]Tissue Data'!$I:$I)</f>
        <v>atratulus</v>
      </c>
      <c r="G7867" t="str">
        <f>_xlfn.XLOOKUP(A7867,'[1]Tissue Data'!$A:$A,'[1]Tissue Data'!J:J)</f>
        <v>U</v>
      </c>
      <c r="H7867" t="str">
        <f>_xlfn.XLOOKUP(A7867,'[1]Tissue Data'!$A:$A,'[1]Tissue Data'!K:K)</f>
        <v>Whole Body</v>
      </c>
      <c r="I7867">
        <f>_xlfn.XLOOKUP(A7867,'[1]Tissue Data'!$A:$A,'[1]Tissue Data'!L:L)</f>
        <v>8.5</v>
      </c>
      <c r="J7867">
        <f>_xlfn.XLOOKUP(A7867,'[1]Tissue Data'!$A:$A,'[1]Tissue Data'!M:M)</f>
        <v>7.6</v>
      </c>
      <c r="K7867" t="s">
        <v>27</v>
      </c>
      <c r="L7867" t="str">
        <f>_xlfn.XLOOKUP(K7867,[2]analyte_order!$B:$B,[2]analyte_order!$C:$C)</f>
        <v>355-46-4</v>
      </c>
      <c r="M7867">
        <f>_xlfn.XLOOKUP(L7867,[2]analyte_order!$C:$C,[2]analyte_order!$E:$E)</f>
        <v>16</v>
      </c>
      <c r="N7867">
        <v>56.5</v>
      </c>
    </row>
    <row r="7868" spans="1:14">
      <c r="A7868" t="s">
        <v>144</v>
      </c>
      <c r="B7868" t="str">
        <f>_xlfn.XLOOKUP(A7868,'[1]Tissue Data'!$A:$A,'[1]Tissue Data'!$C:$C)</f>
        <v>Down</v>
      </c>
      <c r="C7868" s="2">
        <f>_xlfn.XLOOKUP(A7868,'[1]Tissue Data'!$A:$A,'[1]Tissue Data'!$D:$D)</f>
        <v>44393</v>
      </c>
      <c r="D7868" s="2" t="s">
        <v>131</v>
      </c>
      <c r="E7868" t="str">
        <f>_xlfn.XLOOKUP(A7868,'[1]Tissue Data'!$A:$A,'[1]Tissue Data'!$H:$H)</f>
        <v>Rhinichthys</v>
      </c>
      <c r="F7868" t="str">
        <f>_xlfn.XLOOKUP(A7868,'[1]Tissue Data'!$A:$A,'[1]Tissue Data'!$I:$I)</f>
        <v>atratulus</v>
      </c>
      <c r="G7868" t="str">
        <f>_xlfn.XLOOKUP(A7868,'[1]Tissue Data'!$A:$A,'[1]Tissue Data'!J:J)</f>
        <v>U</v>
      </c>
      <c r="H7868" t="str">
        <f>_xlfn.XLOOKUP(A7868,'[1]Tissue Data'!$A:$A,'[1]Tissue Data'!K:K)</f>
        <v>Whole Body</v>
      </c>
      <c r="I7868">
        <f>_xlfn.XLOOKUP(A7868,'[1]Tissue Data'!$A:$A,'[1]Tissue Data'!L:L)</f>
        <v>8.5</v>
      </c>
      <c r="J7868">
        <f>_xlfn.XLOOKUP(A7868,'[1]Tissue Data'!$A:$A,'[1]Tissue Data'!M:M)</f>
        <v>7.6</v>
      </c>
      <c r="K7868" t="s">
        <v>28</v>
      </c>
      <c r="L7868" t="str">
        <f>_xlfn.XLOOKUP(K7868,[2]analyte_order!$B:$B,[2]analyte_order!$C:$C)</f>
        <v>375-92-8</v>
      </c>
      <c r="M7868">
        <f>_xlfn.XLOOKUP(L7868,[2]analyte_order!$C:$C,[2]analyte_order!$E:$E)</f>
        <v>17</v>
      </c>
      <c r="N7868">
        <v>16.399999999999999</v>
      </c>
    </row>
    <row r="7869" spans="1:14">
      <c r="A7869" t="s">
        <v>144</v>
      </c>
      <c r="B7869" t="str">
        <f>_xlfn.XLOOKUP(A7869,'[1]Tissue Data'!$A:$A,'[1]Tissue Data'!$C:$C)</f>
        <v>Down</v>
      </c>
      <c r="C7869" s="2">
        <f>_xlfn.XLOOKUP(A7869,'[1]Tissue Data'!$A:$A,'[1]Tissue Data'!$D:$D)</f>
        <v>44393</v>
      </c>
      <c r="D7869" s="2" t="s">
        <v>131</v>
      </c>
      <c r="E7869" t="str">
        <f>_xlfn.XLOOKUP(A7869,'[1]Tissue Data'!$A:$A,'[1]Tissue Data'!$H:$H)</f>
        <v>Rhinichthys</v>
      </c>
      <c r="F7869" t="str">
        <f>_xlfn.XLOOKUP(A7869,'[1]Tissue Data'!$A:$A,'[1]Tissue Data'!$I:$I)</f>
        <v>atratulus</v>
      </c>
      <c r="G7869" t="str">
        <f>_xlfn.XLOOKUP(A7869,'[1]Tissue Data'!$A:$A,'[1]Tissue Data'!J:J)</f>
        <v>U</v>
      </c>
      <c r="H7869" t="str">
        <f>_xlfn.XLOOKUP(A7869,'[1]Tissue Data'!$A:$A,'[1]Tissue Data'!K:K)</f>
        <v>Whole Body</v>
      </c>
      <c r="I7869">
        <f>_xlfn.XLOOKUP(A7869,'[1]Tissue Data'!$A:$A,'[1]Tissue Data'!L:L)</f>
        <v>8.5</v>
      </c>
      <c r="J7869">
        <f>_xlfn.XLOOKUP(A7869,'[1]Tissue Data'!$A:$A,'[1]Tissue Data'!M:M)</f>
        <v>7.6</v>
      </c>
      <c r="K7869" t="s">
        <v>29</v>
      </c>
      <c r="L7869" t="str">
        <f>_xlfn.XLOOKUP(K7869,[2]analyte_order!$B:$B,[2]analyte_order!$C:$C)</f>
        <v>1763-23-1</v>
      </c>
      <c r="M7869">
        <f>_xlfn.XLOOKUP(L7869,[2]analyte_order!$C:$C,[2]analyte_order!$E:$E)</f>
        <v>18</v>
      </c>
      <c r="N7869">
        <v>917</v>
      </c>
    </row>
    <row r="7870" spans="1:14">
      <c r="A7870" t="s">
        <v>144</v>
      </c>
      <c r="B7870" t="str">
        <f>_xlfn.XLOOKUP(A7870,'[1]Tissue Data'!$A:$A,'[1]Tissue Data'!$C:$C)</f>
        <v>Down</v>
      </c>
      <c r="C7870" s="2">
        <f>_xlfn.XLOOKUP(A7870,'[1]Tissue Data'!$A:$A,'[1]Tissue Data'!$D:$D)</f>
        <v>44393</v>
      </c>
      <c r="D7870" s="2" t="s">
        <v>131</v>
      </c>
      <c r="E7870" t="str">
        <f>_xlfn.XLOOKUP(A7870,'[1]Tissue Data'!$A:$A,'[1]Tissue Data'!$H:$H)</f>
        <v>Rhinichthys</v>
      </c>
      <c r="F7870" t="str">
        <f>_xlfn.XLOOKUP(A7870,'[1]Tissue Data'!$A:$A,'[1]Tissue Data'!$I:$I)</f>
        <v>atratulus</v>
      </c>
      <c r="G7870" t="str">
        <f>_xlfn.XLOOKUP(A7870,'[1]Tissue Data'!$A:$A,'[1]Tissue Data'!J:J)</f>
        <v>U</v>
      </c>
      <c r="H7870" t="str">
        <f>_xlfn.XLOOKUP(A7870,'[1]Tissue Data'!$A:$A,'[1]Tissue Data'!K:K)</f>
        <v>Whole Body</v>
      </c>
      <c r="I7870">
        <f>_xlfn.XLOOKUP(A7870,'[1]Tissue Data'!$A:$A,'[1]Tissue Data'!L:L)</f>
        <v>8.5</v>
      </c>
      <c r="J7870">
        <f>_xlfn.XLOOKUP(A7870,'[1]Tissue Data'!$A:$A,'[1]Tissue Data'!M:M)</f>
        <v>7.6</v>
      </c>
      <c r="K7870" t="s">
        <v>30</v>
      </c>
      <c r="L7870" t="str">
        <f>_xlfn.XLOOKUP(K7870,[2]analyte_order!$B:$B,[2]analyte_order!$C:$C)</f>
        <v>68259-12-1</v>
      </c>
      <c r="M7870">
        <f>_xlfn.XLOOKUP(L7870,[2]analyte_order!$C:$C,[2]analyte_order!$E:$E)</f>
        <v>19</v>
      </c>
      <c r="N7870">
        <v>1.96</v>
      </c>
    </row>
    <row r="7871" spans="1:14">
      <c r="A7871" t="s">
        <v>144</v>
      </c>
      <c r="B7871" t="str">
        <f>_xlfn.XLOOKUP(A7871,'[1]Tissue Data'!$A:$A,'[1]Tissue Data'!$C:$C)</f>
        <v>Down</v>
      </c>
      <c r="C7871" s="2">
        <f>_xlfn.XLOOKUP(A7871,'[1]Tissue Data'!$A:$A,'[1]Tissue Data'!$D:$D)</f>
        <v>44393</v>
      </c>
      <c r="D7871" s="2" t="s">
        <v>131</v>
      </c>
      <c r="E7871" t="str">
        <f>_xlfn.XLOOKUP(A7871,'[1]Tissue Data'!$A:$A,'[1]Tissue Data'!$H:$H)</f>
        <v>Rhinichthys</v>
      </c>
      <c r="F7871" t="str">
        <f>_xlfn.XLOOKUP(A7871,'[1]Tissue Data'!$A:$A,'[1]Tissue Data'!$I:$I)</f>
        <v>atratulus</v>
      </c>
      <c r="G7871" t="str">
        <f>_xlfn.XLOOKUP(A7871,'[1]Tissue Data'!$A:$A,'[1]Tissue Data'!J:J)</f>
        <v>U</v>
      </c>
      <c r="H7871" t="str">
        <f>_xlfn.XLOOKUP(A7871,'[1]Tissue Data'!$A:$A,'[1]Tissue Data'!K:K)</f>
        <v>Whole Body</v>
      </c>
      <c r="I7871">
        <f>_xlfn.XLOOKUP(A7871,'[1]Tissue Data'!$A:$A,'[1]Tissue Data'!L:L)</f>
        <v>8.5</v>
      </c>
      <c r="J7871">
        <f>_xlfn.XLOOKUP(A7871,'[1]Tissue Data'!$A:$A,'[1]Tissue Data'!M:M)</f>
        <v>7.6</v>
      </c>
      <c r="K7871" t="s">
        <v>31</v>
      </c>
      <c r="L7871" t="str">
        <f>_xlfn.XLOOKUP(K7871,[2]analyte_order!$B:$B,[2]analyte_order!$C:$C)</f>
        <v>335-77-3</v>
      </c>
      <c r="M7871">
        <f>_xlfn.XLOOKUP(L7871,[2]analyte_order!$C:$C,[2]analyte_order!$E:$E)</f>
        <v>20</v>
      </c>
      <c r="N7871">
        <v>3.72</v>
      </c>
    </row>
    <row r="7872" spans="1:14">
      <c r="A7872" t="s">
        <v>144</v>
      </c>
      <c r="B7872" t="str">
        <f>_xlfn.XLOOKUP(A7872,'[1]Tissue Data'!$A:$A,'[1]Tissue Data'!$C:$C)</f>
        <v>Down</v>
      </c>
      <c r="C7872" s="2">
        <f>_xlfn.XLOOKUP(A7872,'[1]Tissue Data'!$A:$A,'[1]Tissue Data'!$D:$D)</f>
        <v>44393</v>
      </c>
      <c r="D7872" s="2" t="s">
        <v>131</v>
      </c>
      <c r="E7872" t="str">
        <f>_xlfn.XLOOKUP(A7872,'[1]Tissue Data'!$A:$A,'[1]Tissue Data'!$H:$H)</f>
        <v>Rhinichthys</v>
      </c>
      <c r="F7872" t="str">
        <f>_xlfn.XLOOKUP(A7872,'[1]Tissue Data'!$A:$A,'[1]Tissue Data'!$I:$I)</f>
        <v>atratulus</v>
      </c>
      <c r="G7872" t="str">
        <f>_xlfn.XLOOKUP(A7872,'[1]Tissue Data'!$A:$A,'[1]Tissue Data'!J:J)</f>
        <v>U</v>
      </c>
      <c r="H7872" t="str">
        <f>_xlfn.XLOOKUP(A7872,'[1]Tissue Data'!$A:$A,'[1]Tissue Data'!K:K)</f>
        <v>Whole Body</v>
      </c>
      <c r="I7872">
        <f>_xlfn.XLOOKUP(A7872,'[1]Tissue Data'!$A:$A,'[1]Tissue Data'!L:L)</f>
        <v>8.5</v>
      </c>
      <c r="J7872">
        <f>_xlfn.XLOOKUP(A7872,'[1]Tissue Data'!$A:$A,'[1]Tissue Data'!M:M)</f>
        <v>7.6</v>
      </c>
      <c r="K7872" t="s">
        <v>32</v>
      </c>
      <c r="L7872" t="str">
        <f>_xlfn.XLOOKUP(K7872,[2]analyte_order!$B:$B,[2]analyte_order!$C:$C)</f>
        <v>79780-39-5</v>
      </c>
      <c r="M7872">
        <f>_xlfn.XLOOKUP(L7872,[2]analyte_order!$C:$C,[2]analyte_order!$E:$E)</f>
        <v>21</v>
      </c>
      <c r="N7872">
        <v>2.67</v>
      </c>
    </row>
    <row r="7873" spans="1:14">
      <c r="A7873" t="s">
        <v>144</v>
      </c>
      <c r="B7873" t="str">
        <f>_xlfn.XLOOKUP(A7873,'[1]Tissue Data'!$A:$A,'[1]Tissue Data'!$C:$C)</f>
        <v>Down</v>
      </c>
      <c r="C7873" s="2">
        <f>_xlfn.XLOOKUP(A7873,'[1]Tissue Data'!$A:$A,'[1]Tissue Data'!$D:$D)</f>
        <v>44393</v>
      </c>
      <c r="D7873" s="2" t="s">
        <v>131</v>
      </c>
      <c r="E7873" t="str">
        <f>_xlfn.XLOOKUP(A7873,'[1]Tissue Data'!$A:$A,'[1]Tissue Data'!$H:$H)</f>
        <v>Rhinichthys</v>
      </c>
      <c r="F7873" t="str">
        <f>_xlfn.XLOOKUP(A7873,'[1]Tissue Data'!$A:$A,'[1]Tissue Data'!$I:$I)</f>
        <v>atratulus</v>
      </c>
      <c r="G7873" t="str">
        <f>_xlfn.XLOOKUP(A7873,'[1]Tissue Data'!$A:$A,'[1]Tissue Data'!J:J)</f>
        <v>U</v>
      </c>
      <c r="H7873" t="str">
        <f>_xlfn.XLOOKUP(A7873,'[1]Tissue Data'!$A:$A,'[1]Tissue Data'!K:K)</f>
        <v>Whole Body</v>
      </c>
      <c r="I7873">
        <f>_xlfn.XLOOKUP(A7873,'[1]Tissue Data'!$A:$A,'[1]Tissue Data'!L:L)</f>
        <v>8.5</v>
      </c>
      <c r="J7873">
        <f>_xlfn.XLOOKUP(A7873,'[1]Tissue Data'!$A:$A,'[1]Tissue Data'!M:M)</f>
        <v>7.6</v>
      </c>
      <c r="K7873" t="s">
        <v>33</v>
      </c>
      <c r="L7873" t="str">
        <f>_xlfn.XLOOKUP(K7873,[2]analyte_order!$B:$B,[2]analyte_order!$C:$C)</f>
        <v>777011-38-8</v>
      </c>
      <c r="M7873">
        <f>_xlfn.XLOOKUP(L7873,[2]analyte_order!$C:$C,[2]analyte_order!$E:$E)</f>
        <v>54</v>
      </c>
      <c r="N7873">
        <v>0.86299999999999999</v>
      </c>
    </row>
    <row r="7874" spans="1:14">
      <c r="A7874" t="s">
        <v>144</v>
      </c>
      <c r="B7874" t="str">
        <f>_xlfn.XLOOKUP(A7874,'[1]Tissue Data'!$A:$A,'[1]Tissue Data'!$C:$C)</f>
        <v>Down</v>
      </c>
      <c r="C7874" s="2">
        <f>_xlfn.XLOOKUP(A7874,'[1]Tissue Data'!$A:$A,'[1]Tissue Data'!$D:$D)</f>
        <v>44393</v>
      </c>
      <c r="D7874" s="2" t="s">
        <v>131</v>
      </c>
      <c r="E7874" t="str">
        <f>_xlfn.XLOOKUP(A7874,'[1]Tissue Data'!$A:$A,'[1]Tissue Data'!$H:$H)</f>
        <v>Rhinichthys</v>
      </c>
      <c r="F7874" t="str">
        <f>_xlfn.XLOOKUP(A7874,'[1]Tissue Data'!$A:$A,'[1]Tissue Data'!$I:$I)</f>
        <v>atratulus</v>
      </c>
      <c r="G7874" t="str">
        <f>_xlfn.XLOOKUP(A7874,'[1]Tissue Data'!$A:$A,'[1]Tissue Data'!J:J)</f>
        <v>U</v>
      </c>
      <c r="H7874" t="str">
        <f>_xlfn.XLOOKUP(A7874,'[1]Tissue Data'!$A:$A,'[1]Tissue Data'!K:K)</f>
        <v>Whole Body</v>
      </c>
      <c r="I7874">
        <f>_xlfn.XLOOKUP(A7874,'[1]Tissue Data'!$A:$A,'[1]Tissue Data'!L:L)</f>
        <v>8.5</v>
      </c>
      <c r="J7874">
        <f>_xlfn.XLOOKUP(A7874,'[1]Tissue Data'!$A:$A,'[1]Tissue Data'!M:M)</f>
        <v>7.6</v>
      </c>
      <c r="K7874" t="s">
        <v>34</v>
      </c>
      <c r="L7874" t="str">
        <f>_xlfn.XLOOKUP(K7874,[2]analyte_order!$B:$B,[2]analyte_order!$C:$C)</f>
        <v>646-83-3</v>
      </c>
      <c r="M7874">
        <f>_xlfn.XLOOKUP(L7874,[2]analyte_order!$C:$C,[2]analyte_order!$E:$E)</f>
        <v>55</v>
      </c>
      <c r="N7874">
        <v>0.57399999999999995</v>
      </c>
    </row>
    <row r="7875" spans="1:14">
      <c r="A7875" t="s">
        <v>144</v>
      </c>
      <c r="B7875" t="str">
        <f>_xlfn.XLOOKUP(A7875,'[1]Tissue Data'!$A:$A,'[1]Tissue Data'!$C:$C)</f>
        <v>Down</v>
      </c>
      <c r="C7875" s="2">
        <f>_xlfn.XLOOKUP(A7875,'[1]Tissue Data'!$A:$A,'[1]Tissue Data'!$D:$D)</f>
        <v>44393</v>
      </c>
      <c r="D7875" s="2" t="s">
        <v>131</v>
      </c>
      <c r="E7875" t="str">
        <f>_xlfn.XLOOKUP(A7875,'[1]Tissue Data'!$A:$A,'[1]Tissue Data'!$H:$H)</f>
        <v>Rhinichthys</v>
      </c>
      <c r="F7875" t="str">
        <f>_xlfn.XLOOKUP(A7875,'[1]Tissue Data'!$A:$A,'[1]Tissue Data'!$I:$I)</f>
        <v>atratulus</v>
      </c>
      <c r="G7875" t="str">
        <f>_xlfn.XLOOKUP(A7875,'[1]Tissue Data'!$A:$A,'[1]Tissue Data'!J:J)</f>
        <v>U</v>
      </c>
      <c r="H7875" t="str">
        <f>_xlfn.XLOOKUP(A7875,'[1]Tissue Data'!$A:$A,'[1]Tissue Data'!K:K)</f>
        <v>Whole Body</v>
      </c>
      <c r="I7875">
        <f>_xlfn.XLOOKUP(A7875,'[1]Tissue Data'!$A:$A,'[1]Tissue Data'!L:L)</f>
        <v>8.5</v>
      </c>
      <c r="J7875">
        <f>_xlfn.XLOOKUP(A7875,'[1]Tissue Data'!$A:$A,'[1]Tissue Data'!M:M)</f>
        <v>7.6</v>
      </c>
      <c r="K7875" t="s">
        <v>35</v>
      </c>
      <c r="L7875" t="str">
        <f>_xlfn.XLOOKUP(K7875,[2]analyte_order!$B:$B,[2]analyte_order!$C:$C)</f>
        <v>30334-69-1</v>
      </c>
      <c r="M7875">
        <f>_xlfn.XLOOKUP(L7875,[2]analyte_order!$C:$C,[2]analyte_order!$E:$E)</f>
        <v>51</v>
      </c>
      <c r="N7875">
        <v>15.5</v>
      </c>
    </row>
    <row r="7876" spans="1:14">
      <c r="A7876" t="s">
        <v>144</v>
      </c>
      <c r="B7876" t="str">
        <f>_xlfn.XLOOKUP(A7876,'[1]Tissue Data'!$A:$A,'[1]Tissue Data'!$C:$C)</f>
        <v>Down</v>
      </c>
      <c r="C7876" s="2">
        <f>_xlfn.XLOOKUP(A7876,'[1]Tissue Data'!$A:$A,'[1]Tissue Data'!$D:$D)</f>
        <v>44393</v>
      </c>
      <c r="D7876" s="2" t="s">
        <v>131</v>
      </c>
      <c r="E7876" t="str">
        <f>_xlfn.XLOOKUP(A7876,'[1]Tissue Data'!$A:$A,'[1]Tissue Data'!$H:$H)</f>
        <v>Rhinichthys</v>
      </c>
      <c r="F7876" t="str">
        <f>_xlfn.XLOOKUP(A7876,'[1]Tissue Data'!$A:$A,'[1]Tissue Data'!$I:$I)</f>
        <v>atratulus</v>
      </c>
      <c r="G7876" t="str">
        <f>_xlfn.XLOOKUP(A7876,'[1]Tissue Data'!$A:$A,'[1]Tissue Data'!J:J)</f>
        <v>U</v>
      </c>
      <c r="H7876" t="str">
        <f>_xlfn.XLOOKUP(A7876,'[1]Tissue Data'!$A:$A,'[1]Tissue Data'!K:K)</f>
        <v>Whole Body</v>
      </c>
      <c r="I7876">
        <f>_xlfn.XLOOKUP(A7876,'[1]Tissue Data'!$A:$A,'[1]Tissue Data'!L:L)</f>
        <v>8.5</v>
      </c>
      <c r="J7876">
        <f>_xlfn.XLOOKUP(A7876,'[1]Tissue Data'!$A:$A,'[1]Tissue Data'!M:M)</f>
        <v>7.6</v>
      </c>
      <c r="K7876" t="s">
        <v>36</v>
      </c>
      <c r="L7876" t="str">
        <f>_xlfn.XLOOKUP(K7876,[2]analyte_order!$B:$B,[2]analyte_order!$C:$C)</f>
        <v>41997-13-1</v>
      </c>
      <c r="M7876">
        <f>_xlfn.XLOOKUP(L7876,[2]analyte_order!$C:$C,[2]analyte_order!$E:$E)</f>
        <v>52</v>
      </c>
      <c r="N7876">
        <v>80.8</v>
      </c>
    </row>
    <row r="7877" spans="1:14">
      <c r="A7877" t="s">
        <v>144</v>
      </c>
      <c r="B7877" t="str">
        <f>_xlfn.XLOOKUP(A7877,'[1]Tissue Data'!$A:$A,'[1]Tissue Data'!$C:$C)</f>
        <v>Down</v>
      </c>
      <c r="C7877" s="2">
        <f>_xlfn.XLOOKUP(A7877,'[1]Tissue Data'!$A:$A,'[1]Tissue Data'!$D:$D)</f>
        <v>44393</v>
      </c>
      <c r="D7877" s="2" t="s">
        <v>131</v>
      </c>
      <c r="E7877" t="str">
        <f>_xlfn.XLOOKUP(A7877,'[1]Tissue Data'!$A:$A,'[1]Tissue Data'!$H:$H)</f>
        <v>Rhinichthys</v>
      </c>
      <c r="F7877" t="str">
        <f>_xlfn.XLOOKUP(A7877,'[1]Tissue Data'!$A:$A,'[1]Tissue Data'!$I:$I)</f>
        <v>atratulus</v>
      </c>
      <c r="G7877" t="str">
        <f>_xlfn.XLOOKUP(A7877,'[1]Tissue Data'!$A:$A,'[1]Tissue Data'!J:J)</f>
        <v>U</v>
      </c>
      <c r="H7877" t="str">
        <f>_xlfn.XLOOKUP(A7877,'[1]Tissue Data'!$A:$A,'[1]Tissue Data'!K:K)</f>
        <v>Whole Body</v>
      </c>
      <c r="I7877">
        <f>_xlfn.XLOOKUP(A7877,'[1]Tissue Data'!$A:$A,'[1]Tissue Data'!L:L)</f>
        <v>8.5</v>
      </c>
      <c r="J7877">
        <f>_xlfn.XLOOKUP(A7877,'[1]Tissue Data'!$A:$A,'[1]Tissue Data'!M:M)</f>
        <v>7.6</v>
      </c>
      <c r="K7877" t="s">
        <v>37</v>
      </c>
      <c r="L7877" t="str">
        <f>_xlfn.XLOOKUP(K7877,[2]analyte_order!$B:$B,[2]analyte_order!$C:$C)</f>
        <v>754-91-6</v>
      </c>
      <c r="M7877">
        <f>_xlfn.XLOOKUP(L7877,[2]analyte_order!$C:$C,[2]analyte_order!$E:$E)</f>
        <v>28</v>
      </c>
      <c r="N7877">
        <v>4.92</v>
      </c>
    </row>
    <row r="7878" spans="1:14">
      <c r="A7878" t="s">
        <v>144</v>
      </c>
      <c r="B7878" t="str">
        <f>_xlfn.XLOOKUP(A7878,'[1]Tissue Data'!$A:$A,'[1]Tissue Data'!$C:$C)</f>
        <v>Down</v>
      </c>
      <c r="C7878" s="2">
        <f>_xlfn.XLOOKUP(A7878,'[1]Tissue Data'!$A:$A,'[1]Tissue Data'!$D:$D)</f>
        <v>44393</v>
      </c>
      <c r="D7878" s="2" t="s">
        <v>131</v>
      </c>
      <c r="E7878" t="str">
        <f>_xlfn.XLOOKUP(A7878,'[1]Tissue Data'!$A:$A,'[1]Tissue Data'!$H:$H)</f>
        <v>Rhinichthys</v>
      </c>
      <c r="F7878" t="str">
        <f>_xlfn.XLOOKUP(A7878,'[1]Tissue Data'!$A:$A,'[1]Tissue Data'!$I:$I)</f>
        <v>atratulus</v>
      </c>
      <c r="G7878" t="str">
        <f>_xlfn.XLOOKUP(A7878,'[1]Tissue Data'!$A:$A,'[1]Tissue Data'!J:J)</f>
        <v>U</v>
      </c>
      <c r="H7878" t="str">
        <f>_xlfn.XLOOKUP(A7878,'[1]Tissue Data'!$A:$A,'[1]Tissue Data'!K:K)</f>
        <v>Whole Body</v>
      </c>
      <c r="I7878">
        <f>_xlfn.XLOOKUP(A7878,'[1]Tissue Data'!$A:$A,'[1]Tissue Data'!L:L)</f>
        <v>8.5</v>
      </c>
      <c r="J7878">
        <f>_xlfn.XLOOKUP(A7878,'[1]Tissue Data'!$A:$A,'[1]Tissue Data'!M:M)</f>
        <v>7.6</v>
      </c>
      <c r="K7878" t="s">
        <v>38</v>
      </c>
      <c r="L7878" t="str">
        <f>_xlfn.XLOOKUP(K7878,[2]analyte_order!$B:$B,[2]analyte_order!$C:$C)</f>
        <v>31506-32-8</v>
      </c>
      <c r="M7878">
        <f>_xlfn.XLOOKUP(L7878,[2]analyte_order!$C:$C,[2]analyte_order!$E:$E)</f>
        <v>30</v>
      </c>
      <c r="N7878">
        <v>0.182</v>
      </c>
    </row>
    <row r="7879" spans="1:14">
      <c r="A7879" t="s">
        <v>144</v>
      </c>
      <c r="B7879" t="str">
        <f>_xlfn.XLOOKUP(A7879,'[1]Tissue Data'!$A:$A,'[1]Tissue Data'!$C:$C)</f>
        <v>Down</v>
      </c>
      <c r="C7879" s="2">
        <f>_xlfn.XLOOKUP(A7879,'[1]Tissue Data'!$A:$A,'[1]Tissue Data'!$D:$D)</f>
        <v>44393</v>
      </c>
      <c r="D7879" s="2" t="s">
        <v>131</v>
      </c>
      <c r="E7879" t="str">
        <f>_xlfn.XLOOKUP(A7879,'[1]Tissue Data'!$A:$A,'[1]Tissue Data'!$H:$H)</f>
        <v>Rhinichthys</v>
      </c>
      <c r="F7879" t="str">
        <f>_xlfn.XLOOKUP(A7879,'[1]Tissue Data'!$A:$A,'[1]Tissue Data'!$I:$I)</f>
        <v>atratulus</v>
      </c>
      <c r="G7879" t="str">
        <f>_xlfn.XLOOKUP(A7879,'[1]Tissue Data'!$A:$A,'[1]Tissue Data'!J:J)</f>
        <v>U</v>
      </c>
      <c r="H7879" t="str">
        <f>_xlfn.XLOOKUP(A7879,'[1]Tissue Data'!$A:$A,'[1]Tissue Data'!K:K)</f>
        <v>Whole Body</v>
      </c>
      <c r="I7879">
        <f>_xlfn.XLOOKUP(A7879,'[1]Tissue Data'!$A:$A,'[1]Tissue Data'!L:L)</f>
        <v>8.5</v>
      </c>
      <c r="J7879">
        <f>_xlfn.XLOOKUP(A7879,'[1]Tissue Data'!$A:$A,'[1]Tissue Data'!M:M)</f>
        <v>7.6</v>
      </c>
      <c r="K7879" t="s">
        <v>39</v>
      </c>
      <c r="L7879" t="str">
        <f>_xlfn.XLOOKUP(K7879,[2]analyte_order!$B:$B,[2]analyte_order!$C:$C)</f>
        <v>4151-50-2</v>
      </c>
      <c r="M7879">
        <f>_xlfn.XLOOKUP(L7879,[2]analyte_order!$C:$C,[2]analyte_order!$E:$E)</f>
        <v>31</v>
      </c>
      <c r="N7879">
        <v>0.47299999999999998</v>
      </c>
    </row>
    <row r="7880" spans="1:14">
      <c r="A7880" t="s">
        <v>144</v>
      </c>
      <c r="B7880" t="str">
        <f>_xlfn.XLOOKUP(A7880,'[1]Tissue Data'!$A:$A,'[1]Tissue Data'!$C:$C)</f>
        <v>Down</v>
      </c>
      <c r="C7880" s="2">
        <f>_xlfn.XLOOKUP(A7880,'[1]Tissue Data'!$A:$A,'[1]Tissue Data'!$D:$D)</f>
        <v>44393</v>
      </c>
      <c r="D7880" s="2" t="s">
        <v>131</v>
      </c>
      <c r="E7880" t="str">
        <f>_xlfn.XLOOKUP(A7880,'[1]Tissue Data'!$A:$A,'[1]Tissue Data'!$H:$H)</f>
        <v>Rhinichthys</v>
      </c>
      <c r="F7880" t="str">
        <f>_xlfn.XLOOKUP(A7880,'[1]Tissue Data'!$A:$A,'[1]Tissue Data'!$I:$I)</f>
        <v>atratulus</v>
      </c>
      <c r="G7880" t="str">
        <f>_xlfn.XLOOKUP(A7880,'[1]Tissue Data'!$A:$A,'[1]Tissue Data'!J:J)</f>
        <v>U</v>
      </c>
      <c r="H7880" t="str">
        <f>_xlfn.XLOOKUP(A7880,'[1]Tissue Data'!$A:$A,'[1]Tissue Data'!K:K)</f>
        <v>Whole Body</v>
      </c>
      <c r="I7880">
        <f>_xlfn.XLOOKUP(A7880,'[1]Tissue Data'!$A:$A,'[1]Tissue Data'!L:L)</f>
        <v>8.5</v>
      </c>
      <c r="J7880">
        <f>_xlfn.XLOOKUP(A7880,'[1]Tissue Data'!$A:$A,'[1]Tissue Data'!M:M)</f>
        <v>7.6</v>
      </c>
      <c r="K7880" t="s">
        <v>40</v>
      </c>
      <c r="L7880" t="str">
        <f>_xlfn.XLOOKUP(K7880,[2]analyte_order!$B:$B,[2]analyte_order!$C:$C)</f>
        <v>2806-24-8</v>
      </c>
      <c r="M7880">
        <f>_xlfn.XLOOKUP(L7880,[2]analyte_order!$C:$C,[2]analyte_order!$E:$E)</f>
        <v>29</v>
      </c>
      <c r="N7880">
        <v>0.47299999999999998</v>
      </c>
    </row>
    <row r="7881" spans="1:14">
      <c r="A7881" t="s">
        <v>144</v>
      </c>
      <c r="B7881" t="str">
        <f>_xlfn.XLOOKUP(A7881,'[1]Tissue Data'!$A:$A,'[1]Tissue Data'!$C:$C)</f>
        <v>Down</v>
      </c>
      <c r="C7881" s="2">
        <f>_xlfn.XLOOKUP(A7881,'[1]Tissue Data'!$A:$A,'[1]Tissue Data'!$D:$D)</f>
        <v>44393</v>
      </c>
      <c r="D7881" s="2" t="s">
        <v>131</v>
      </c>
      <c r="E7881" t="str">
        <f>_xlfn.XLOOKUP(A7881,'[1]Tissue Data'!$A:$A,'[1]Tissue Data'!$H:$H)</f>
        <v>Rhinichthys</v>
      </c>
      <c r="F7881" t="str">
        <f>_xlfn.XLOOKUP(A7881,'[1]Tissue Data'!$A:$A,'[1]Tissue Data'!$I:$I)</f>
        <v>atratulus</v>
      </c>
      <c r="G7881" t="str">
        <f>_xlfn.XLOOKUP(A7881,'[1]Tissue Data'!$A:$A,'[1]Tissue Data'!J:J)</f>
        <v>U</v>
      </c>
      <c r="H7881" t="str">
        <f>_xlfn.XLOOKUP(A7881,'[1]Tissue Data'!$A:$A,'[1]Tissue Data'!K:K)</f>
        <v>Whole Body</v>
      </c>
      <c r="I7881">
        <f>_xlfn.XLOOKUP(A7881,'[1]Tissue Data'!$A:$A,'[1]Tissue Data'!L:L)</f>
        <v>8.5</v>
      </c>
      <c r="J7881">
        <f>_xlfn.XLOOKUP(A7881,'[1]Tissue Data'!$A:$A,'[1]Tissue Data'!M:M)</f>
        <v>7.6</v>
      </c>
      <c r="K7881" t="s">
        <v>41</v>
      </c>
      <c r="L7881" t="str">
        <f>_xlfn.XLOOKUP(K7881,[2]analyte_order!$B:$B,[2]analyte_order!$C:$C)</f>
        <v>2355-31-9</v>
      </c>
      <c r="M7881">
        <f>_xlfn.XLOOKUP(L7881,[2]analyte_order!$C:$C,[2]analyte_order!$E:$E)</f>
        <v>26</v>
      </c>
      <c r="N7881">
        <v>0.23799999999999999</v>
      </c>
    </row>
    <row r="7882" spans="1:14">
      <c r="A7882" t="s">
        <v>144</v>
      </c>
      <c r="B7882" t="str">
        <f>_xlfn.XLOOKUP(A7882,'[1]Tissue Data'!$A:$A,'[1]Tissue Data'!$C:$C)</f>
        <v>Down</v>
      </c>
      <c r="C7882" s="2">
        <f>_xlfn.XLOOKUP(A7882,'[1]Tissue Data'!$A:$A,'[1]Tissue Data'!$D:$D)</f>
        <v>44393</v>
      </c>
      <c r="D7882" s="2" t="s">
        <v>131</v>
      </c>
      <c r="E7882" t="str">
        <f>_xlfn.XLOOKUP(A7882,'[1]Tissue Data'!$A:$A,'[1]Tissue Data'!$H:$H)</f>
        <v>Rhinichthys</v>
      </c>
      <c r="F7882" t="str">
        <f>_xlfn.XLOOKUP(A7882,'[1]Tissue Data'!$A:$A,'[1]Tissue Data'!$I:$I)</f>
        <v>atratulus</v>
      </c>
      <c r="G7882" t="str">
        <f>_xlfn.XLOOKUP(A7882,'[1]Tissue Data'!$A:$A,'[1]Tissue Data'!J:J)</f>
        <v>U</v>
      </c>
      <c r="H7882" t="str">
        <f>_xlfn.XLOOKUP(A7882,'[1]Tissue Data'!$A:$A,'[1]Tissue Data'!K:K)</f>
        <v>Whole Body</v>
      </c>
      <c r="I7882">
        <f>_xlfn.XLOOKUP(A7882,'[1]Tissue Data'!$A:$A,'[1]Tissue Data'!L:L)</f>
        <v>8.5</v>
      </c>
      <c r="J7882">
        <f>_xlfn.XLOOKUP(A7882,'[1]Tissue Data'!$A:$A,'[1]Tissue Data'!M:M)</f>
        <v>7.6</v>
      </c>
      <c r="K7882" t="s">
        <v>42</v>
      </c>
      <c r="L7882" t="str">
        <f>_xlfn.XLOOKUP(K7882,[2]analyte_order!$B:$B,[2]analyte_order!$C:$C)</f>
        <v>2991-50-6</v>
      </c>
      <c r="M7882">
        <f>_xlfn.XLOOKUP(L7882,[2]analyte_order!$C:$C,[2]analyte_order!$E:$E)</f>
        <v>27</v>
      </c>
      <c r="N7882">
        <v>0.23649999999999999</v>
      </c>
    </row>
    <row r="7883" spans="1:14">
      <c r="A7883" t="s">
        <v>144</v>
      </c>
      <c r="B7883" t="str">
        <f>_xlfn.XLOOKUP(A7883,'[1]Tissue Data'!$A:$A,'[1]Tissue Data'!$C:$C)</f>
        <v>Down</v>
      </c>
      <c r="C7883" s="2">
        <f>_xlfn.XLOOKUP(A7883,'[1]Tissue Data'!$A:$A,'[1]Tissue Data'!$D:$D)</f>
        <v>44393</v>
      </c>
      <c r="D7883" s="2" t="s">
        <v>131</v>
      </c>
      <c r="E7883" t="str">
        <f>_xlfn.XLOOKUP(A7883,'[1]Tissue Data'!$A:$A,'[1]Tissue Data'!$H:$H)</f>
        <v>Rhinichthys</v>
      </c>
      <c r="F7883" t="str">
        <f>_xlfn.XLOOKUP(A7883,'[1]Tissue Data'!$A:$A,'[1]Tissue Data'!$I:$I)</f>
        <v>atratulus</v>
      </c>
      <c r="G7883" t="str">
        <f>_xlfn.XLOOKUP(A7883,'[1]Tissue Data'!$A:$A,'[1]Tissue Data'!J:J)</f>
        <v>U</v>
      </c>
      <c r="H7883" t="str">
        <f>_xlfn.XLOOKUP(A7883,'[1]Tissue Data'!$A:$A,'[1]Tissue Data'!K:K)</f>
        <v>Whole Body</v>
      </c>
      <c r="I7883">
        <f>_xlfn.XLOOKUP(A7883,'[1]Tissue Data'!$A:$A,'[1]Tissue Data'!L:L)</f>
        <v>8.5</v>
      </c>
      <c r="J7883">
        <f>_xlfn.XLOOKUP(A7883,'[1]Tissue Data'!$A:$A,'[1]Tissue Data'!M:M)</f>
        <v>7.6</v>
      </c>
      <c r="K7883" t="s">
        <v>43</v>
      </c>
      <c r="L7883" t="str">
        <f>_xlfn.XLOOKUP(K7883,[2]analyte_order!$B:$B,[2]analyte_order!$C:$C)</f>
        <v>757124-72-4</v>
      </c>
      <c r="M7883">
        <f>_xlfn.XLOOKUP(L7883,[2]analyte_order!$C:$C,[2]analyte_order!$E:$E)</f>
        <v>22</v>
      </c>
      <c r="N7883">
        <v>0.23649999999999999</v>
      </c>
    </row>
    <row r="7884" spans="1:14">
      <c r="A7884" t="s">
        <v>144</v>
      </c>
      <c r="B7884" t="str">
        <f>_xlfn.XLOOKUP(A7884,'[1]Tissue Data'!$A:$A,'[1]Tissue Data'!$C:$C)</f>
        <v>Down</v>
      </c>
      <c r="C7884" s="2">
        <f>_xlfn.XLOOKUP(A7884,'[1]Tissue Data'!$A:$A,'[1]Tissue Data'!$D:$D)</f>
        <v>44393</v>
      </c>
      <c r="D7884" s="2" t="s">
        <v>131</v>
      </c>
      <c r="E7884" t="str">
        <f>_xlfn.XLOOKUP(A7884,'[1]Tissue Data'!$A:$A,'[1]Tissue Data'!$H:$H)</f>
        <v>Rhinichthys</v>
      </c>
      <c r="F7884" t="str">
        <f>_xlfn.XLOOKUP(A7884,'[1]Tissue Data'!$A:$A,'[1]Tissue Data'!$I:$I)</f>
        <v>atratulus</v>
      </c>
      <c r="G7884" t="str">
        <f>_xlfn.XLOOKUP(A7884,'[1]Tissue Data'!$A:$A,'[1]Tissue Data'!J:J)</f>
        <v>U</v>
      </c>
      <c r="H7884" t="str">
        <f>_xlfn.XLOOKUP(A7884,'[1]Tissue Data'!$A:$A,'[1]Tissue Data'!K:K)</f>
        <v>Whole Body</v>
      </c>
      <c r="I7884">
        <f>_xlfn.XLOOKUP(A7884,'[1]Tissue Data'!$A:$A,'[1]Tissue Data'!L:L)</f>
        <v>8.5</v>
      </c>
      <c r="J7884">
        <f>_xlfn.XLOOKUP(A7884,'[1]Tissue Data'!$A:$A,'[1]Tissue Data'!M:M)</f>
        <v>7.6</v>
      </c>
      <c r="K7884" t="s">
        <v>44</v>
      </c>
      <c r="L7884" t="str">
        <f>_xlfn.XLOOKUP(K7884,[2]analyte_order!$B:$B,[2]analyte_order!$C:$C)</f>
        <v>27619-97-2</v>
      </c>
      <c r="M7884">
        <f>_xlfn.XLOOKUP(L7884,[2]analyte_order!$C:$C,[2]analyte_order!$E:$E)</f>
        <v>23</v>
      </c>
      <c r="N7884">
        <v>0.23649999999999999</v>
      </c>
    </row>
    <row r="7885" spans="1:14">
      <c r="A7885" t="s">
        <v>144</v>
      </c>
      <c r="B7885" t="str">
        <f>_xlfn.XLOOKUP(A7885,'[1]Tissue Data'!$A:$A,'[1]Tissue Data'!$C:$C)</f>
        <v>Down</v>
      </c>
      <c r="C7885" s="2">
        <f>_xlfn.XLOOKUP(A7885,'[1]Tissue Data'!$A:$A,'[1]Tissue Data'!$D:$D)</f>
        <v>44393</v>
      </c>
      <c r="D7885" s="2" t="s">
        <v>131</v>
      </c>
      <c r="E7885" t="str">
        <f>_xlfn.XLOOKUP(A7885,'[1]Tissue Data'!$A:$A,'[1]Tissue Data'!$H:$H)</f>
        <v>Rhinichthys</v>
      </c>
      <c r="F7885" t="str">
        <f>_xlfn.XLOOKUP(A7885,'[1]Tissue Data'!$A:$A,'[1]Tissue Data'!$I:$I)</f>
        <v>atratulus</v>
      </c>
      <c r="G7885" t="str">
        <f>_xlfn.XLOOKUP(A7885,'[1]Tissue Data'!$A:$A,'[1]Tissue Data'!J:J)</f>
        <v>U</v>
      </c>
      <c r="H7885" t="str">
        <f>_xlfn.XLOOKUP(A7885,'[1]Tissue Data'!$A:$A,'[1]Tissue Data'!K:K)</f>
        <v>Whole Body</v>
      </c>
      <c r="I7885">
        <f>_xlfn.XLOOKUP(A7885,'[1]Tissue Data'!$A:$A,'[1]Tissue Data'!L:L)</f>
        <v>8.5</v>
      </c>
      <c r="J7885">
        <f>_xlfn.XLOOKUP(A7885,'[1]Tissue Data'!$A:$A,'[1]Tissue Data'!M:M)</f>
        <v>7.6</v>
      </c>
      <c r="K7885" t="s">
        <v>45</v>
      </c>
      <c r="L7885" t="str">
        <f>_xlfn.XLOOKUP(K7885,[2]analyte_order!$B:$B,[2]analyte_order!$C:$C)</f>
        <v>39108-34-4</v>
      </c>
      <c r="M7885">
        <f>_xlfn.XLOOKUP(L7885,[2]analyte_order!$C:$C,[2]analyte_order!$E:$E)</f>
        <v>24</v>
      </c>
      <c r="N7885">
        <v>8.59</v>
      </c>
    </row>
    <row r="7886" spans="1:14">
      <c r="A7886" t="s">
        <v>144</v>
      </c>
      <c r="B7886" t="str">
        <f>_xlfn.XLOOKUP(A7886,'[1]Tissue Data'!$A:$A,'[1]Tissue Data'!$C:$C)</f>
        <v>Down</v>
      </c>
      <c r="C7886" s="2">
        <f>_xlfn.XLOOKUP(A7886,'[1]Tissue Data'!$A:$A,'[1]Tissue Data'!$D:$D)</f>
        <v>44393</v>
      </c>
      <c r="D7886" s="2" t="s">
        <v>131</v>
      </c>
      <c r="E7886" t="str">
        <f>_xlfn.XLOOKUP(A7886,'[1]Tissue Data'!$A:$A,'[1]Tissue Data'!$H:$H)</f>
        <v>Rhinichthys</v>
      </c>
      <c r="F7886" t="str">
        <f>_xlfn.XLOOKUP(A7886,'[1]Tissue Data'!$A:$A,'[1]Tissue Data'!$I:$I)</f>
        <v>atratulus</v>
      </c>
      <c r="G7886" t="str">
        <f>_xlfn.XLOOKUP(A7886,'[1]Tissue Data'!$A:$A,'[1]Tissue Data'!J:J)</f>
        <v>U</v>
      </c>
      <c r="H7886" t="str">
        <f>_xlfn.XLOOKUP(A7886,'[1]Tissue Data'!$A:$A,'[1]Tissue Data'!K:K)</f>
        <v>Whole Body</v>
      </c>
      <c r="I7886">
        <f>_xlfn.XLOOKUP(A7886,'[1]Tissue Data'!$A:$A,'[1]Tissue Data'!L:L)</f>
        <v>8.5</v>
      </c>
      <c r="J7886">
        <f>_xlfn.XLOOKUP(A7886,'[1]Tissue Data'!$A:$A,'[1]Tissue Data'!M:M)</f>
        <v>7.6</v>
      </c>
      <c r="K7886" t="s">
        <v>46</v>
      </c>
      <c r="L7886" t="str">
        <f>_xlfn.XLOOKUP(K7886,[2]analyte_order!$B:$B,[2]analyte_order!$C:$C)</f>
        <v>120226-60-0</v>
      </c>
      <c r="M7886">
        <f>_xlfn.XLOOKUP(L7886,[2]analyte_order!$C:$C,[2]analyte_order!$E:$E)</f>
        <v>25</v>
      </c>
      <c r="N7886">
        <v>0.47299999999999998</v>
      </c>
    </row>
    <row r="7887" spans="1:14">
      <c r="A7887" t="s">
        <v>144</v>
      </c>
      <c r="B7887" t="str">
        <f>_xlfn.XLOOKUP(A7887,'[1]Tissue Data'!$A:$A,'[1]Tissue Data'!$C:$C)</f>
        <v>Down</v>
      </c>
      <c r="C7887" s="2">
        <f>_xlfn.XLOOKUP(A7887,'[1]Tissue Data'!$A:$A,'[1]Tissue Data'!$D:$D)</f>
        <v>44393</v>
      </c>
      <c r="D7887" s="2" t="s">
        <v>131</v>
      </c>
      <c r="E7887" t="str">
        <f>_xlfn.XLOOKUP(A7887,'[1]Tissue Data'!$A:$A,'[1]Tissue Data'!$H:$H)</f>
        <v>Rhinichthys</v>
      </c>
      <c r="F7887" t="str">
        <f>_xlfn.XLOOKUP(A7887,'[1]Tissue Data'!$A:$A,'[1]Tissue Data'!$I:$I)</f>
        <v>atratulus</v>
      </c>
      <c r="G7887" t="str">
        <f>_xlfn.XLOOKUP(A7887,'[1]Tissue Data'!$A:$A,'[1]Tissue Data'!J:J)</f>
        <v>U</v>
      </c>
      <c r="H7887" t="str">
        <f>_xlfn.XLOOKUP(A7887,'[1]Tissue Data'!$A:$A,'[1]Tissue Data'!K:K)</f>
        <v>Whole Body</v>
      </c>
      <c r="I7887">
        <f>_xlfn.XLOOKUP(A7887,'[1]Tissue Data'!$A:$A,'[1]Tissue Data'!L:L)</f>
        <v>8.5</v>
      </c>
      <c r="J7887">
        <f>_xlfn.XLOOKUP(A7887,'[1]Tissue Data'!$A:$A,'[1]Tissue Data'!M:M)</f>
        <v>7.6</v>
      </c>
      <c r="K7887" t="s">
        <v>47</v>
      </c>
      <c r="L7887" t="str">
        <f>_xlfn.XLOOKUP(K7887,[2]analyte_order!$B:$B,[2]analyte_order!$C:$C)</f>
        <v>356-02-5</v>
      </c>
      <c r="M7887">
        <f>_xlfn.XLOOKUP(L7887,[2]analyte_order!$C:$C,[2]analyte_order!$E:$E)</f>
        <v>38</v>
      </c>
      <c r="N7887">
        <v>0.27300000000000002</v>
      </c>
    </row>
    <row r="7888" spans="1:14">
      <c r="A7888" t="s">
        <v>144</v>
      </c>
      <c r="B7888" t="str">
        <f>_xlfn.XLOOKUP(A7888,'[1]Tissue Data'!$A:$A,'[1]Tissue Data'!$C:$C)</f>
        <v>Down</v>
      </c>
      <c r="C7888" s="2">
        <f>_xlfn.XLOOKUP(A7888,'[1]Tissue Data'!$A:$A,'[1]Tissue Data'!$D:$D)</f>
        <v>44393</v>
      </c>
      <c r="D7888" s="2" t="s">
        <v>131</v>
      </c>
      <c r="E7888" t="str">
        <f>_xlfn.XLOOKUP(A7888,'[1]Tissue Data'!$A:$A,'[1]Tissue Data'!$H:$H)</f>
        <v>Rhinichthys</v>
      </c>
      <c r="F7888" t="str">
        <f>_xlfn.XLOOKUP(A7888,'[1]Tissue Data'!$A:$A,'[1]Tissue Data'!$I:$I)</f>
        <v>atratulus</v>
      </c>
      <c r="G7888" t="str">
        <f>_xlfn.XLOOKUP(A7888,'[1]Tissue Data'!$A:$A,'[1]Tissue Data'!J:J)</f>
        <v>U</v>
      </c>
      <c r="H7888" t="str">
        <f>_xlfn.XLOOKUP(A7888,'[1]Tissue Data'!$A:$A,'[1]Tissue Data'!K:K)</f>
        <v>Whole Body</v>
      </c>
      <c r="I7888">
        <f>_xlfn.XLOOKUP(A7888,'[1]Tissue Data'!$A:$A,'[1]Tissue Data'!L:L)</f>
        <v>8.5</v>
      </c>
      <c r="J7888">
        <f>_xlfn.XLOOKUP(A7888,'[1]Tissue Data'!$A:$A,'[1]Tissue Data'!M:M)</f>
        <v>7.6</v>
      </c>
      <c r="K7888" t="s">
        <v>48</v>
      </c>
      <c r="L7888" t="str">
        <f>_xlfn.XLOOKUP(K7888,[2]analyte_order!$B:$B,[2]analyte_order!$C:$C)</f>
        <v>914637-49-3</v>
      </c>
      <c r="M7888">
        <f>_xlfn.XLOOKUP(L7888,[2]analyte_order!$C:$C,[2]analyte_order!$E:$E)</f>
        <v>39</v>
      </c>
      <c r="N7888">
        <v>0.23649999999999999</v>
      </c>
    </row>
    <row r="7889" spans="1:14">
      <c r="A7889" t="s">
        <v>144</v>
      </c>
      <c r="B7889" t="str">
        <f>_xlfn.XLOOKUP(A7889,'[1]Tissue Data'!$A:$A,'[1]Tissue Data'!$C:$C)</f>
        <v>Down</v>
      </c>
      <c r="C7889" s="2">
        <f>_xlfn.XLOOKUP(A7889,'[1]Tissue Data'!$A:$A,'[1]Tissue Data'!$D:$D)</f>
        <v>44393</v>
      </c>
      <c r="D7889" s="2" t="s">
        <v>131</v>
      </c>
      <c r="E7889" t="str">
        <f>_xlfn.XLOOKUP(A7889,'[1]Tissue Data'!$A:$A,'[1]Tissue Data'!$H:$H)</f>
        <v>Rhinichthys</v>
      </c>
      <c r="F7889" t="str">
        <f>_xlfn.XLOOKUP(A7889,'[1]Tissue Data'!$A:$A,'[1]Tissue Data'!$I:$I)</f>
        <v>atratulus</v>
      </c>
      <c r="G7889" t="str">
        <f>_xlfn.XLOOKUP(A7889,'[1]Tissue Data'!$A:$A,'[1]Tissue Data'!J:J)</f>
        <v>U</v>
      </c>
      <c r="H7889" t="str">
        <f>_xlfn.XLOOKUP(A7889,'[1]Tissue Data'!$A:$A,'[1]Tissue Data'!K:K)</f>
        <v>Whole Body</v>
      </c>
      <c r="I7889">
        <f>_xlfn.XLOOKUP(A7889,'[1]Tissue Data'!$A:$A,'[1]Tissue Data'!L:L)</f>
        <v>8.5</v>
      </c>
      <c r="J7889">
        <f>_xlfn.XLOOKUP(A7889,'[1]Tissue Data'!$A:$A,'[1]Tissue Data'!M:M)</f>
        <v>7.6</v>
      </c>
      <c r="K7889" t="s">
        <v>49</v>
      </c>
      <c r="L7889" t="str">
        <f>_xlfn.XLOOKUP(K7889,[2]analyte_order!$B:$B,[2]analyte_order!$C:$C)</f>
        <v>812-70-4</v>
      </c>
      <c r="M7889">
        <f>_xlfn.XLOOKUP(L7889,[2]analyte_order!$C:$C,[2]analyte_order!$E:$E)</f>
        <v>40</v>
      </c>
      <c r="N7889">
        <v>0.23649999999999999</v>
      </c>
    </row>
    <row r="7890" spans="1:14">
      <c r="A7890" t="s">
        <v>144</v>
      </c>
      <c r="B7890" t="str">
        <f>_xlfn.XLOOKUP(A7890,'[1]Tissue Data'!$A:$A,'[1]Tissue Data'!$C:$C)</f>
        <v>Down</v>
      </c>
      <c r="C7890" s="2">
        <f>_xlfn.XLOOKUP(A7890,'[1]Tissue Data'!$A:$A,'[1]Tissue Data'!$D:$D)</f>
        <v>44393</v>
      </c>
      <c r="D7890" s="2" t="s">
        <v>131</v>
      </c>
      <c r="E7890" t="str">
        <f>_xlfn.XLOOKUP(A7890,'[1]Tissue Data'!$A:$A,'[1]Tissue Data'!$H:$H)</f>
        <v>Rhinichthys</v>
      </c>
      <c r="F7890" t="str">
        <f>_xlfn.XLOOKUP(A7890,'[1]Tissue Data'!$A:$A,'[1]Tissue Data'!$I:$I)</f>
        <v>atratulus</v>
      </c>
      <c r="G7890" t="str">
        <f>_xlfn.XLOOKUP(A7890,'[1]Tissue Data'!$A:$A,'[1]Tissue Data'!J:J)</f>
        <v>U</v>
      </c>
      <c r="H7890" t="str">
        <f>_xlfn.XLOOKUP(A7890,'[1]Tissue Data'!$A:$A,'[1]Tissue Data'!K:K)</f>
        <v>Whole Body</v>
      </c>
      <c r="I7890">
        <f>_xlfn.XLOOKUP(A7890,'[1]Tissue Data'!$A:$A,'[1]Tissue Data'!L:L)</f>
        <v>8.5</v>
      </c>
      <c r="J7890">
        <f>_xlfn.XLOOKUP(A7890,'[1]Tissue Data'!$A:$A,'[1]Tissue Data'!M:M)</f>
        <v>7.6</v>
      </c>
      <c r="K7890" t="s">
        <v>50</v>
      </c>
      <c r="L7890" t="str">
        <f>_xlfn.XLOOKUP(K7890,[2]analyte_order!$B:$B,[2]analyte_order!$C:$C)</f>
        <v>53826-12-3</v>
      </c>
      <c r="M7890">
        <f>_xlfn.XLOOKUP(L7890,[2]analyte_order!$C:$C,[2]analyte_order!$E:$E)</f>
        <v>41</v>
      </c>
      <c r="N7890">
        <v>0.47299999999999998</v>
      </c>
    </row>
    <row r="7891" spans="1:14">
      <c r="A7891" t="s">
        <v>144</v>
      </c>
      <c r="B7891" t="str">
        <f>_xlfn.XLOOKUP(A7891,'[1]Tissue Data'!$A:$A,'[1]Tissue Data'!$C:$C)</f>
        <v>Down</v>
      </c>
      <c r="C7891" s="2">
        <f>_xlfn.XLOOKUP(A7891,'[1]Tissue Data'!$A:$A,'[1]Tissue Data'!$D:$D)</f>
        <v>44393</v>
      </c>
      <c r="D7891" s="2" t="s">
        <v>131</v>
      </c>
      <c r="E7891" t="str">
        <f>_xlfn.XLOOKUP(A7891,'[1]Tissue Data'!$A:$A,'[1]Tissue Data'!$H:$H)</f>
        <v>Rhinichthys</v>
      </c>
      <c r="F7891" t="str">
        <f>_xlfn.XLOOKUP(A7891,'[1]Tissue Data'!$A:$A,'[1]Tissue Data'!$I:$I)</f>
        <v>atratulus</v>
      </c>
      <c r="G7891" t="str">
        <f>_xlfn.XLOOKUP(A7891,'[1]Tissue Data'!$A:$A,'[1]Tissue Data'!J:J)</f>
        <v>U</v>
      </c>
      <c r="H7891" t="str">
        <f>_xlfn.XLOOKUP(A7891,'[1]Tissue Data'!$A:$A,'[1]Tissue Data'!K:K)</f>
        <v>Whole Body</v>
      </c>
      <c r="I7891">
        <f>_xlfn.XLOOKUP(A7891,'[1]Tissue Data'!$A:$A,'[1]Tissue Data'!L:L)</f>
        <v>8.5</v>
      </c>
      <c r="J7891">
        <f>_xlfn.XLOOKUP(A7891,'[1]Tissue Data'!$A:$A,'[1]Tissue Data'!M:M)</f>
        <v>7.6</v>
      </c>
      <c r="K7891" t="s">
        <v>51</v>
      </c>
      <c r="L7891" t="str">
        <f>_xlfn.XLOOKUP(K7891,[2]analyte_order!$B:$B,[2]analyte_order!$C:$C)</f>
        <v>27854-31-5</v>
      </c>
      <c r="M7891">
        <f>_xlfn.XLOOKUP(L7891,[2]analyte_order!$C:$C,[2]analyte_order!$E:$E)</f>
        <v>42</v>
      </c>
      <c r="N7891">
        <v>0.47299999999999998</v>
      </c>
    </row>
    <row r="7892" spans="1:14">
      <c r="A7892" t="s">
        <v>144</v>
      </c>
      <c r="B7892" t="str">
        <f>_xlfn.XLOOKUP(A7892,'[1]Tissue Data'!$A:$A,'[1]Tissue Data'!$C:$C)</f>
        <v>Down</v>
      </c>
      <c r="C7892" s="2">
        <f>_xlfn.XLOOKUP(A7892,'[1]Tissue Data'!$A:$A,'[1]Tissue Data'!$D:$D)</f>
        <v>44393</v>
      </c>
      <c r="D7892" s="2" t="s">
        <v>131</v>
      </c>
      <c r="E7892" t="str">
        <f>_xlfn.XLOOKUP(A7892,'[1]Tissue Data'!$A:$A,'[1]Tissue Data'!$H:$H)</f>
        <v>Rhinichthys</v>
      </c>
      <c r="F7892" t="str">
        <f>_xlfn.XLOOKUP(A7892,'[1]Tissue Data'!$A:$A,'[1]Tissue Data'!$I:$I)</f>
        <v>atratulus</v>
      </c>
      <c r="G7892" t="str">
        <f>_xlfn.XLOOKUP(A7892,'[1]Tissue Data'!$A:$A,'[1]Tissue Data'!J:J)</f>
        <v>U</v>
      </c>
      <c r="H7892" t="str">
        <f>_xlfn.XLOOKUP(A7892,'[1]Tissue Data'!$A:$A,'[1]Tissue Data'!K:K)</f>
        <v>Whole Body</v>
      </c>
      <c r="I7892">
        <f>_xlfn.XLOOKUP(A7892,'[1]Tissue Data'!$A:$A,'[1]Tissue Data'!L:L)</f>
        <v>8.5</v>
      </c>
      <c r="J7892">
        <f>_xlfn.XLOOKUP(A7892,'[1]Tissue Data'!$A:$A,'[1]Tissue Data'!M:M)</f>
        <v>7.6</v>
      </c>
      <c r="K7892" t="s">
        <v>52</v>
      </c>
      <c r="L7892" t="str">
        <f>_xlfn.XLOOKUP(K7892,[2]analyte_order!$B:$B,[2]analyte_order!$C:$C)</f>
        <v>53826-13-4</v>
      </c>
      <c r="M7892">
        <f>_xlfn.XLOOKUP(L7892,[2]analyte_order!$C:$C,[2]analyte_order!$E:$E)</f>
        <v>43</v>
      </c>
      <c r="N7892">
        <v>0.47299999999999998</v>
      </c>
    </row>
    <row r="7893" spans="1:14">
      <c r="A7893" t="s">
        <v>144</v>
      </c>
      <c r="B7893" t="str">
        <f>_xlfn.XLOOKUP(A7893,'[1]Tissue Data'!$A:$A,'[1]Tissue Data'!$C:$C)</f>
        <v>Down</v>
      </c>
      <c r="C7893" s="2">
        <f>_xlfn.XLOOKUP(A7893,'[1]Tissue Data'!$A:$A,'[1]Tissue Data'!$D:$D)</f>
        <v>44393</v>
      </c>
      <c r="D7893" s="2" t="s">
        <v>131</v>
      </c>
      <c r="E7893" t="str">
        <f>_xlfn.XLOOKUP(A7893,'[1]Tissue Data'!$A:$A,'[1]Tissue Data'!$H:$H)</f>
        <v>Rhinichthys</v>
      </c>
      <c r="F7893" t="str">
        <f>_xlfn.XLOOKUP(A7893,'[1]Tissue Data'!$A:$A,'[1]Tissue Data'!$I:$I)</f>
        <v>atratulus</v>
      </c>
      <c r="G7893" t="str">
        <f>_xlfn.XLOOKUP(A7893,'[1]Tissue Data'!$A:$A,'[1]Tissue Data'!J:J)</f>
        <v>U</v>
      </c>
      <c r="H7893" t="str">
        <f>_xlfn.XLOOKUP(A7893,'[1]Tissue Data'!$A:$A,'[1]Tissue Data'!K:K)</f>
        <v>Whole Body</v>
      </c>
      <c r="I7893">
        <f>_xlfn.XLOOKUP(A7893,'[1]Tissue Data'!$A:$A,'[1]Tissue Data'!L:L)</f>
        <v>8.5</v>
      </c>
      <c r="J7893">
        <f>_xlfn.XLOOKUP(A7893,'[1]Tissue Data'!$A:$A,'[1]Tissue Data'!M:M)</f>
        <v>7.6</v>
      </c>
      <c r="K7893" t="s">
        <v>53</v>
      </c>
      <c r="L7893" t="str">
        <f>_xlfn.XLOOKUP(K7893,[2]analyte_order!$B:$B,[2]analyte_order!$C:$C)</f>
        <v>161094-75-3</v>
      </c>
      <c r="M7893">
        <f>_xlfn.XLOOKUP(L7893,[2]analyte_order!$C:$C,[2]analyte_order!$E:$E)</f>
        <v>44</v>
      </c>
      <c r="N7893">
        <v>0.47299999999999998</v>
      </c>
    </row>
    <row r="7894" spans="1:14">
      <c r="A7894" t="s">
        <v>144</v>
      </c>
      <c r="B7894" t="str">
        <f>_xlfn.XLOOKUP(A7894,'[1]Tissue Data'!$A:$A,'[1]Tissue Data'!$C:$C)</f>
        <v>Down</v>
      </c>
      <c r="C7894" s="2">
        <f>_xlfn.XLOOKUP(A7894,'[1]Tissue Data'!$A:$A,'[1]Tissue Data'!$D:$D)</f>
        <v>44393</v>
      </c>
      <c r="D7894" s="2" t="s">
        <v>131</v>
      </c>
      <c r="E7894" t="str">
        <f>_xlfn.XLOOKUP(A7894,'[1]Tissue Data'!$A:$A,'[1]Tissue Data'!$H:$H)</f>
        <v>Rhinichthys</v>
      </c>
      <c r="F7894" t="str">
        <f>_xlfn.XLOOKUP(A7894,'[1]Tissue Data'!$A:$A,'[1]Tissue Data'!$I:$I)</f>
        <v>atratulus</v>
      </c>
      <c r="G7894" t="str">
        <f>_xlfn.XLOOKUP(A7894,'[1]Tissue Data'!$A:$A,'[1]Tissue Data'!J:J)</f>
        <v>U</v>
      </c>
      <c r="H7894" t="str">
        <f>_xlfn.XLOOKUP(A7894,'[1]Tissue Data'!$A:$A,'[1]Tissue Data'!K:K)</f>
        <v>Whole Body</v>
      </c>
      <c r="I7894">
        <f>_xlfn.XLOOKUP(A7894,'[1]Tissue Data'!$A:$A,'[1]Tissue Data'!L:L)</f>
        <v>8.5</v>
      </c>
      <c r="J7894">
        <f>_xlfn.XLOOKUP(A7894,'[1]Tissue Data'!$A:$A,'[1]Tissue Data'!M:M)</f>
        <v>7.6</v>
      </c>
      <c r="K7894" t="s">
        <v>54</v>
      </c>
      <c r="L7894" t="str">
        <f>_xlfn.XLOOKUP(K7894,[2]analyte_order!$B:$B,[2]analyte_order!$C:$C)</f>
        <v>70887-84-2</v>
      </c>
      <c r="M7894">
        <f>_xlfn.XLOOKUP(L7894,[2]analyte_order!$C:$C,[2]analyte_order!$E:$E)</f>
        <v>45</v>
      </c>
      <c r="N7894">
        <v>0.47299999999999998</v>
      </c>
    </row>
    <row r="7895" spans="1:14">
      <c r="A7895" t="s">
        <v>144</v>
      </c>
      <c r="B7895" t="str">
        <f>_xlfn.XLOOKUP(A7895,'[1]Tissue Data'!$A:$A,'[1]Tissue Data'!$C:$C)</f>
        <v>Down</v>
      </c>
      <c r="C7895" s="2">
        <f>_xlfn.XLOOKUP(A7895,'[1]Tissue Data'!$A:$A,'[1]Tissue Data'!$D:$D)</f>
        <v>44393</v>
      </c>
      <c r="D7895" s="2" t="s">
        <v>131</v>
      </c>
      <c r="E7895" t="str">
        <f>_xlfn.XLOOKUP(A7895,'[1]Tissue Data'!$A:$A,'[1]Tissue Data'!$H:$H)</f>
        <v>Rhinichthys</v>
      </c>
      <c r="F7895" t="str">
        <f>_xlfn.XLOOKUP(A7895,'[1]Tissue Data'!$A:$A,'[1]Tissue Data'!$I:$I)</f>
        <v>atratulus</v>
      </c>
      <c r="G7895" t="str">
        <f>_xlfn.XLOOKUP(A7895,'[1]Tissue Data'!$A:$A,'[1]Tissue Data'!J:J)</f>
        <v>U</v>
      </c>
      <c r="H7895" t="str">
        <f>_xlfn.XLOOKUP(A7895,'[1]Tissue Data'!$A:$A,'[1]Tissue Data'!K:K)</f>
        <v>Whole Body</v>
      </c>
      <c r="I7895">
        <f>_xlfn.XLOOKUP(A7895,'[1]Tissue Data'!$A:$A,'[1]Tissue Data'!L:L)</f>
        <v>8.5</v>
      </c>
      <c r="J7895">
        <f>_xlfn.XLOOKUP(A7895,'[1]Tissue Data'!$A:$A,'[1]Tissue Data'!M:M)</f>
        <v>7.6</v>
      </c>
      <c r="K7895" t="s">
        <v>55</v>
      </c>
      <c r="L7895" t="str">
        <f>_xlfn.XLOOKUP(K7895,[2]analyte_order!$B:$B,[2]analyte_order!$C:$C)</f>
        <v>919005-14-4</v>
      </c>
      <c r="M7895">
        <f>_xlfn.XLOOKUP(L7895,[2]analyte_order!$C:$C,[2]analyte_order!$E:$E)</f>
        <v>35</v>
      </c>
      <c r="N7895">
        <v>0.23649999999999999</v>
      </c>
    </row>
    <row r="7896" spans="1:14">
      <c r="A7896" t="s">
        <v>144</v>
      </c>
      <c r="B7896" t="str">
        <f>_xlfn.XLOOKUP(A7896,'[1]Tissue Data'!$A:$A,'[1]Tissue Data'!$C:$C)</f>
        <v>Down</v>
      </c>
      <c r="C7896" s="2">
        <f>_xlfn.XLOOKUP(A7896,'[1]Tissue Data'!$A:$A,'[1]Tissue Data'!$D:$D)</f>
        <v>44393</v>
      </c>
      <c r="D7896" s="2" t="s">
        <v>131</v>
      </c>
      <c r="E7896" t="str">
        <f>_xlfn.XLOOKUP(A7896,'[1]Tissue Data'!$A:$A,'[1]Tissue Data'!$H:$H)</f>
        <v>Rhinichthys</v>
      </c>
      <c r="F7896" t="str">
        <f>_xlfn.XLOOKUP(A7896,'[1]Tissue Data'!$A:$A,'[1]Tissue Data'!$I:$I)</f>
        <v>atratulus</v>
      </c>
      <c r="G7896" t="str">
        <f>_xlfn.XLOOKUP(A7896,'[1]Tissue Data'!$A:$A,'[1]Tissue Data'!J:J)</f>
        <v>U</v>
      </c>
      <c r="H7896" t="str">
        <f>_xlfn.XLOOKUP(A7896,'[1]Tissue Data'!$A:$A,'[1]Tissue Data'!K:K)</f>
        <v>Whole Body</v>
      </c>
      <c r="I7896">
        <f>_xlfn.XLOOKUP(A7896,'[1]Tissue Data'!$A:$A,'[1]Tissue Data'!L:L)</f>
        <v>8.5</v>
      </c>
      <c r="J7896">
        <f>_xlfn.XLOOKUP(A7896,'[1]Tissue Data'!$A:$A,'[1]Tissue Data'!M:M)</f>
        <v>7.6</v>
      </c>
      <c r="K7896" t="s">
        <v>56</v>
      </c>
      <c r="L7896" t="str">
        <f>_xlfn.XLOOKUP(K7896,[2]analyte_order!$B:$B,[2]analyte_order!$C:$C)</f>
        <v>756426-58-1</v>
      </c>
      <c r="M7896">
        <f>_xlfn.XLOOKUP(L7896,[2]analyte_order!$C:$C,[2]analyte_order!$E:$E)</f>
        <v>36</v>
      </c>
      <c r="N7896">
        <v>0.47299999999999998</v>
      </c>
    </row>
    <row r="7897" spans="1:14">
      <c r="A7897" t="s">
        <v>144</v>
      </c>
      <c r="B7897" t="str">
        <f>_xlfn.XLOOKUP(A7897,'[1]Tissue Data'!$A:$A,'[1]Tissue Data'!$C:$C)</f>
        <v>Down</v>
      </c>
      <c r="C7897" s="2">
        <f>_xlfn.XLOOKUP(A7897,'[1]Tissue Data'!$A:$A,'[1]Tissue Data'!$D:$D)</f>
        <v>44393</v>
      </c>
      <c r="D7897" s="2" t="s">
        <v>131</v>
      </c>
      <c r="E7897" t="str">
        <f>_xlfn.XLOOKUP(A7897,'[1]Tissue Data'!$A:$A,'[1]Tissue Data'!$H:$H)</f>
        <v>Rhinichthys</v>
      </c>
      <c r="F7897" t="str">
        <f>_xlfn.XLOOKUP(A7897,'[1]Tissue Data'!$A:$A,'[1]Tissue Data'!$I:$I)</f>
        <v>atratulus</v>
      </c>
      <c r="G7897" t="str">
        <f>_xlfn.XLOOKUP(A7897,'[1]Tissue Data'!$A:$A,'[1]Tissue Data'!J:J)</f>
        <v>U</v>
      </c>
      <c r="H7897" t="str">
        <f>_xlfn.XLOOKUP(A7897,'[1]Tissue Data'!$A:$A,'[1]Tissue Data'!K:K)</f>
        <v>Whole Body</v>
      </c>
      <c r="I7897">
        <f>_xlfn.XLOOKUP(A7897,'[1]Tissue Data'!$A:$A,'[1]Tissue Data'!L:L)</f>
        <v>8.5</v>
      </c>
      <c r="J7897">
        <f>_xlfn.XLOOKUP(A7897,'[1]Tissue Data'!$A:$A,'[1]Tissue Data'!M:M)</f>
        <v>7.6</v>
      </c>
      <c r="K7897" t="s">
        <v>57</v>
      </c>
      <c r="L7897" t="str">
        <f>_xlfn.XLOOKUP(K7897,[2]analyte_order!$B:$B,[2]analyte_order!$C:$C)</f>
        <v>763051-92-9</v>
      </c>
      <c r="M7897">
        <f>_xlfn.XLOOKUP(L7897,[2]analyte_order!$C:$C,[2]analyte_order!$E:$E)</f>
        <v>37</v>
      </c>
      <c r="N7897">
        <v>0.47299999999999998</v>
      </c>
    </row>
    <row r="7898" spans="1:14">
      <c r="A7898" t="s">
        <v>144</v>
      </c>
      <c r="B7898" t="str">
        <f>_xlfn.XLOOKUP(A7898,'[1]Tissue Data'!$A:$A,'[1]Tissue Data'!$C:$C)</f>
        <v>Down</v>
      </c>
      <c r="C7898" s="2">
        <f>_xlfn.XLOOKUP(A7898,'[1]Tissue Data'!$A:$A,'[1]Tissue Data'!$D:$D)</f>
        <v>44393</v>
      </c>
      <c r="D7898" s="2" t="s">
        <v>131</v>
      </c>
      <c r="E7898" t="str">
        <f>_xlfn.XLOOKUP(A7898,'[1]Tissue Data'!$A:$A,'[1]Tissue Data'!$H:$H)</f>
        <v>Rhinichthys</v>
      </c>
      <c r="F7898" t="str">
        <f>_xlfn.XLOOKUP(A7898,'[1]Tissue Data'!$A:$A,'[1]Tissue Data'!$I:$I)</f>
        <v>atratulus</v>
      </c>
      <c r="G7898" t="str">
        <f>_xlfn.XLOOKUP(A7898,'[1]Tissue Data'!$A:$A,'[1]Tissue Data'!J:J)</f>
        <v>U</v>
      </c>
      <c r="H7898" t="str">
        <f>_xlfn.XLOOKUP(A7898,'[1]Tissue Data'!$A:$A,'[1]Tissue Data'!K:K)</f>
        <v>Whole Body</v>
      </c>
      <c r="I7898">
        <f>_xlfn.XLOOKUP(A7898,'[1]Tissue Data'!$A:$A,'[1]Tissue Data'!L:L)</f>
        <v>8.5</v>
      </c>
      <c r="J7898">
        <f>_xlfn.XLOOKUP(A7898,'[1]Tissue Data'!$A:$A,'[1]Tissue Data'!M:M)</f>
        <v>7.6</v>
      </c>
      <c r="K7898" t="s">
        <v>58</v>
      </c>
      <c r="L7898" t="str">
        <f>_xlfn.XLOOKUP(K7898,[2]analyte_order!$B:$B,[2]analyte_order!$C:$C)</f>
        <v>13252-13-6</v>
      </c>
      <c r="M7898">
        <f>_xlfn.XLOOKUP(L7898,[2]analyte_order!$C:$C,[2]analyte_order!$E:$E)</f>
        <v>34</v>
      </c>
      <c r="N7898">
        <v>0.33950000000000002</v>
      </c>
    </row>
    <row r="7899" spans="1:14">
      <c r="A7899" t="s">
        <v>144</v>
      </c>
      <c r="B7899" t="str">
        <f>_xlfn.XLOOKUP(A7899,'[1]Tissue Data'!$A:$A,'[1]Tissue Data'!$C:$C)</f>
        <v>Down</v>
      </c>
      <c r="C7899" s="2">
        <f>_xlfn.XLOOKUP(A7899,'[1]Tissue Data'!$A:$A,'[1]Tissue Data'!$D:$D)</f>
        <v>44393</v>
      </c>
      <c r="D7899" s="2" t="s">
        <v>131</v>
      </c>
      <c r="E7899" t="str">
        <f>_xlfn.XLOOKUP(A7899,'[1]Tissue Data'!$A:$A,'[1]Tissue Data'!$H:$H)</f>
        <v>Rhinichthys</v>
      </c>
      <c r="F7899" t="str">
        <f>_xlfn.XLOOKUP(A7899,'[1]Tissue Data'!$A:$A,'[1]Tissue Data'!$I:$I)</f>
        <v>atratulus</v>
      </c>
      <c r="G7899" t="str">
        <f>_xlfn.XLOOKUP(A7899,'[1]Tissue Data'!$A:$A,'[1]Tissue Data'!J:J)</f>
        <v>U</v>
      </c>
      <c r="H7899" t="str">
        <f>_xlfn.XLOOKUP(A7899,'[1]Tissue Data'!$A:$A,'[1]Tissue Data'!K:K)</f>
        <v>Whole Body</v>
      </c>
      <c r="I7899">
        <f>_xlfn.XLOOKUP(A7899,'[1]Tissue Data'!$A:$A,'[1]Tissue Data'!L:L)</f>
        <v>8.5</v>
      </c>
      <c r="J7899">
        <f>_xlfn.XLOOKUP(A7899,'[1]Tissue Data'!$A:$A,'[1]Tissue Data'!M:M)</f>
        <v>7.6</v>
      </c>
      <c r="K7899" t="s">
        <v>59</v>
      </c>
      <c r="L7899" t="str">
        <f>_xlfn.XLOOKUP(K7899,[2]analyte_order!$B:$B,[2]analyte_order!$C:$C)</f>
        <v>57677-95-9</v>
      </c>
      <c r="M7899">
        <f>_xlfn.XLOOKUP(L7899,[2]analyte_order!$C:$C,[2]analyte_order!$E:$E)</f>
        <v>46</v>
      </c>
      <c r="N7899">
        <v>0.47299999999999998</v>
      </c>
    </row>
    <row r="7900" spans="1:14">
      <c r="A7900" t="s">
        <v>144</v>
      </c>
      <c r="B7900" t="str">
        <f>_xlfn.XLOOKUP(A7900,'[1]Tissue Data'!$A:$A,'[1]Tissue Data'!$C:$C)</f>
        <v>Down</v>
      </c>
      <c r="C7900" s="2">
        <f>_xlfn.XLOOKUP(A7900,'[1]Tissue Data'!$A:$A,'[1]Tissue Data'!$D:$D)</f>
        <v>44393</v>
      </c>
      <c r="D7900" s="2" t="s">
        <v>131</v>
      </c>
      <c r="E7900" t="str">
        <f>_xlfn.XLOOKUP(A7900,'[1]Tissue Data'!$A:$A,'[1]Tissue Data'!$H:$H)</f>
        <v>Rhinichthys</v>
      </c>
      <c r="F7900" t="str">
        <f>_xlfn.XLOOKUP(A7900,'[1]Tissue Data'!$A:$A,'[1]Tissue Data'!$I:$I)</f>
        <v>atratulus</v>
      </c>
      <c r="G7900" t="str">
        <f>_xlfn.XLOOKUP(A7900,'[1]Tissue Data'!$A:$A,'[1]Tissue Data'!J:J)</f>
        <v>U</v>
      </c>
      <c r="H7900" t="str">
        <f>_xlfn.XLOOKUP(A7900,'[1]Tissue Data'!$A:$A,'[1]Tissue Data'!K:K)</f>
        <v>Whole Body</v>
      </c>
      <c r="I7900">
        <f>_xlfn.XLOOKUP(A7900,'[1]Tissue Data'!$A:$A,'[1]Tissue Data'!L:L)</f>
        <v>8.5</v>
      </c>
      <c r="J7900">
        <f>_xlfn.XLOOKUP(A7900,'[1]Tissue Data'!$A:$A,'[1]Tissue Data'!M:M)</f>
        <v>7.6</v>
      </c>
      <c r="K7900" t="s">
        <v>60</v>
      </c>
      <c r="L7900" t="str">
        <f>_xlfn.XLOOKUP(K7900,[2]analyte_order!$B:$B,[2]analyte_order!$C:$C)</f>
        <v>678-41-1</v>
      </c>
      <c r="M7900">
        <f>_xlfn.XLOOKUP(L7900,[2]analyte_order!$C:$C,[2]analyte_order!$E:$E)</f>
        <v>56</v>
      </c>
      <c r="N7900">
        <v>0.47299999999999998</v>
      </c>
    </row>
    <row r="7901" spans="1:14">
      <c r="A7901" t="s">
        <v>144</v>
      </c>
      <c r="B7901" t="str">
        <f>_xlfn.XLOOKUP(A7901,'[1]Tissue Data'!$A:$A,'[1]Tissue Data'!$C:$C)</f>
        <v>Down</v>
      </c>
      <c r="C7901" s="2">
        <f>_xlfn.XLOOKUP(A7901,'[1]Tissue Data'!$A:$A,'[1]Tissue Data'!$D:$D)</f>
        <v>44393</v>
      </c>
      <c r="D7901" s="2" t="s">
        <v>131</v>
      </c>
      <c r="E7901" t="str">
        <f>_xlfn.XLOOKUP(A7901,'[1]Tissue Data'!$A:$A,'[1]Tissue Data'!$H:$H)</f>
        <v>Rhinichthys</v>
      </c>
      <c r="F7901" t="str">
        <f>_xlfn.XLOOKUP(A7901,'[1]Tissue Data'!$A:$A,'[1]Tissue Data'!$I:$I)</f>
        <v>atratulus</v>
      </c>
      <c r="G7901" t="str">
        <f>_xlfn.XLOOKUP(A7901,'[1]Tissue Data'!$A:$A,'[1]Tissue Data'!J:J)</f>
        <v>U</v>
      </c>
      <c r="H7901" t="str">
        <f>_xlfn.XLOOKUP(A7901,'[1]Tissue Data'!$A:$A,'[1]Tissue Data'!K:K)</f>
        <v>Whole Body</v>
      </c>
      <c r="I7901">
        <f>_xlfn.XLOOKUP(A7901,'[1]Tissue Data'!$A:$A,'[1]Tissue Data'!L:L)</f>
        <v>8.5</v>
      </c>
      <c r="J7901">
        <f>_xlfn.XLOOKUP(A7901,'[1]Tissue Data'!$A:$A,'[1]Tissue Data'!M:M)</f>
        <v>7.6</v>
      </c>
      <c r="K7901" t="s">
        <v>61</v>
      </c>
      <c r="L7901" t="str">
        <f>_xlfn.XLOOKUP(K7901,[2]analyte_order!$B:$B,[2]analyte_order!$C:$C)</f>
        <v>2965-52-8</v>
      </c>
      <c r="M7901">
        <f>_xlfn.XLOOKUP(L7901,[2]analyte_order!$C:$C,[2]analyte_order!$E:$E)</f>
        <v>57</v>
      </c>
      <c r="N7901">
        <v>0.47299999999999998</v>
      </c>
    </row>
    <row r="7902" spans="1:14">
      <c r="A7902" t="s">
        <v>147</v>
      </c>
      <c r="B7902" t="str">
        <f>_xlfn.XLOOKUP(A7902,'[1]Tissue Data'!$A:$A,'[1]Tissue Data'!$C:$C)</f>
        <v>Down</v>
      </c>
      <c r="C7902" s="2">
        <f>_xlfn.XLOOKUP(A7902,'[1]Tissue Data'!$A:$A,'[1]Tissue Data'!$D:$D)</f>
        <v>44393</v>
      </c>
      <c r="D7902" s="2" t="s">
        <v>131</v>
      </c>
      <c r="E7902" t="str">
        <f>_xlfn.XLOOKUP(A7902,'[1]Tissue Data'!$A:$A,'[1]Tissue Data'!$H:$H)</f>
        <v>Rhinichthys</v>
      </c>
      <c r="F7902" t="str">
        <f>_xlfn.XLOOKUP(A7902,'[1]Tissue Data'!$A:$A,'[1]Tissue Data'!$I:$I)</f>
        <v>atratulus</v>
      </c>
      <c r="G7902" t="str">
        <f>_xlfn.XLOOKUP(A7902,'[1]Tissue Data'!$A:$A,'[1]Tissue Data'!J:J)</f>
        <v>U</v>
      </c>
      <c r="H7902" t="str">
        <f>_xlfn.XLOOKUP(A7902,'[1]Tissue Data'!$A:$A,'[1]Tissue Data'!K:K)</f>
        <v>Whole Body</v>
      </c>
      <c r="I7902">
        <f>_xlfn.XLOOKUP(A7902,'[1]Tissue Data'!$A:$A,'[1]Tissue Data'!L:L)</f>
        <v>7.5</v>
      </c>
      <c r="J7902">
        <f>_xlfn.XLOOKUP(A7902,'[1]Tissue Data'!$A:$A,'[1]Tissue Data'!M:M)</f>
        <v>4.16</v>
      </c>
      <c r="K7902" t="s">
        <v>12</v>
      </c>
      <c r="L7902" t="str">
        <f>_xlfn.XLOOKUP(K7902,[2]analyte_order!$B:$B,[2]analyte_order!$C:$C)</f>
        <v>375-22-4</v>
      </c>
      <c r="M7902">
        <f>_xlfn.XLOOKUP(L7902,[2]analyte_order!$C:$C,[2]analyte_order!$E:$E)</f>
        <v>1</v>
      </c>
      <c r="N7902">
        <v>0.21099999999999999</v>
      </c>
    </row>
    <row r="7903" spans="1:14">
      <c r="A7903" t="s">
        <v>147</v>
      </c>
      <c r="B7903" t="str">
        <f>_xlfn.XLOOKUP(A7903,'[1]Tissue Data'!$A:$A,'[1]Tissue Data'!$C:$C)</f>
        <v>Down</v>
      </c>
      <c r="C7903" s="2">
        <f>_xlfn.XLOOKUP(A7903,'[1]Tissue Data'!$A:$A,'[1]Tissue Data'!$D:$D)</f>
        <v>44393</v>
      </c>
      <c r="D7903" s="2" t="s">
        <v>131</v>
      </c>
      <c r="E7903" t="str">
        <f>_xlfn.XLOOKUP(A7903,'[1]Tissue Data'!$A:$A,'[1]Tissue Data'!$H:$H)</f>
        <v>Rhinichthys</v>
      </c>
      <c r="F7903" t="str">
        <f>_xlfn.XLOOKUP(A7903,'[1]Tissue Data'!$A:$A,'[1]Tissue Data'!$I:$I)</f>
        <v>atratulus</v>
      </c>
      <c r="G7903" t="str">
        <f>_xlfn.XLOOKUP(A7903,'[1]Tissue Data'!$A:$A,'[1]Tissue Data'!J:J)</f>
        <v>U</v>
      </c>
      <c r="H7903" t="str">
        <f>_xlfn.XLOOKUP(A7903,'[1]Tissue Data'!$A:$A,'[1]Tissue Data'!K:K)</f>
        <v>Whole Body</v>
      </c>
      <c r="I7903">
        <f>_xlfn.XLOOKUP(A7903,'[1]Tissue Data'!$A:$A,'[1]Tissue Data'!L:L)</f>
        <v>7.5</v>
      </c>
      <c r="J7903">
        <f>_xlfn.XLOOKUP(A7903,'[1]Tissue Data'!$A:$A,'[1]Tissue Data'!M:M)</f>
        <v>4.16</v>
      </c>
      <c r="K7903" t="s">
        <v>13</v>
      </c>
      <c r="L7903" t="str">
        <f>_xlfn.XLOOKUP(K7903,[2]analyte_order!$B:$B,[2]analyte_order!$C:$C)</f>
        <v>2706-90-3</v>
      </c>
      <c r="M7903">
        <f>_xlfn.XLOOKUP(L7903,[2]analyte_order!$C:$C,[2]analyte_order!$E:$E)</f>
        <v>2</v>
      </c>
      <c r="N7903">
        <v>0.21099999999999999</v>
      </c>
    </row>
    <row r="7904" spans="1:14">
      <c r="A7904" t="s">
        <v>147</v>
      </c>
      <c r="B7904" t="str">
        <f>_xlfn.XLOOKUP(A7904,'[1]Tissue Data'!$A:$A,'[1]Tissue Data'!$C:$C)</f>
        <v>Down</v>
      </c>
      <c r="C7904" s="2">
        <f>_xlfn.XLOOKUP(A7904,'[1]Tissue Data'!$A:$A,'[1]Tissue Data'!$D:$D)</f>
        <v>44393</v>
      </c>
      <c r="D7904" s="2" t="s">
        <v>131</v>
      </c>
      <c r="E7904" t="str">
        <f>_xlfn.XLOOKUP(A7904,'[1]Tissue Data'!$A:$A,'[1]Tissue Data'!$H:$H)</f>
        <v>Rhinichthys</v>
      </c>
      <c r="F7904" t="str">
        <f>_xlfn.XLOOKUP(A7904,'[1]Tissue Data'!$A:$A,'[1]Tissue Data'!$I:$I)</f>
        <v>atratulus</v>
      </c>
      <c r="G7904" t="str">
        <f>_xlfn.XLOOKUP(A7904,'[1]Tissue Data'!$A:$A,'[1]Tissue Data'!J:J)</f>
        <v>U</v>
      </c>
      <c r="H7904" t="str">
        <f>_xlfn.XLOOKUP(A7904,'[1]Tissue Data'!$A:$A,'[1]Tissue Data'!K:K)</f>
        <v>Whole Body</v>
      </c>
      <c r="I7904">
        <f>_xlfn.XLOOKUP(A7904,'[1]Tissue Data'!$A:$A,'[1]Tissue Data'!L:L)</f>
        <v>7.5</v>
      </c>
      <c r="J7904">
        <f>_xlfn.XLOOKUP(A7904,'[1]Tissue Data'!$A:$A,'[1]Tissue Data'!M:M)</f>
        <v>4.16</v>
      </c>
      <c r="K7904" t="s">
        <v>14</v>
      </c>
      <c r="L7904" t="str">
        <f>_xlfn.XLOOKUP(K7904,[2]analyte_order!$B:$B,[2]analyte_order!$C:$C)</f>
        <v>307-24-4</v>
      </c>
      <c r="M7904">
        <f>_xlfn.XLOOKUP(L7904,[2]analyte_order!$C:$C,[2]analyte_order!$E:$E)</f>
        <v>3</v>
      </c>
      <c r="N7904">
        <v>0.114</v>
      </c>
    </row>
    <row r="7905" spans="1:14">
      <c r="A7905" t="s">
        <v>147</v>
      </c>
      <c r="B7905" t="str">
        <f>_xlfn.XLOOKUP(A7905,'[1]Tissue Data'!$A:$A,'[1]Tissue Data'!$C:$C)</f>
        <v>Down</v>
      </c>
      <c r="C7905" s="2">
        <f>_xlfn.XLOOKUP(A7905,'[1]Tissue Data'!$A:$A,'[1]Tissue Data'!$D:$D)</f>
        <v>44393</v>
      </c>
      <c r="D7905" s="2" t="s">
        <v>131</v>
      </c>
      <c r="E7905" t="str">
        <f>_xlfn.XLOOKUP(A7905,'[1]Tissue Data'!$A:$A,'[1]Tissue Data'!$H:$H)</f>
        <v>Rhinichthys</v>
      </c>
      <c r="F7905" t="str">
        <f>_xlfn.XLOOKUP(A7905,'[1]Tissue Data'!$A:$A,'[1]Tissue Data'!$I:$I)</f>
        <v>atratulus</v>
      </c>
      <c r="G7905" t="str">
        <f>_xlfn.XLOOKUP(A7905,'[1]Tissue Data'!$A:$A,'[1]Tissue Data'!J:J)</f>
        <v>U</v>
      </c>
      <c r="H7905" t="str">
        <f>_xlfn.XLOOKUP(A7905,'[1]Tissue Data'!$A:$A,'[1]Tissue Data'!K:K)</f>
        <v>Whole Body</v>
      </c>
      <c r="I7905">
        <f>_xlfn.XLOOKUP(A7905,'[1]Tissue Data'!$A:$A,'[1]Tissue Data'!L:L)</f>
        <v>7.5</v>
      </c>
      <c r="J7905">
        <f>_xlfn.XLOOKUP(A7905,'[1]Tissue Data'!$A:$A,'[1]Tissue Data'!M:M)</f>
        <v>4.16</v>
      </c>
      <c r="K7905" t="s">
        <v>15</v>
      </c>
      <c r="L7905" t="str">
        <f>_xlfn.XLOOKUP(K7905,[2]analyte_order!$B:$B,[2]analyte_order!$C:$C)</f>
        <v>375-85-9</v>
      </c>
      <c r="M7905">
        <f>_xlfn.XLOOKUP(L7905,[2]analyte_order!$C:$C,[2]analyte_order!$E:$E)</f>
        <v>4</v>
      </c>
      <c r="N7905">
        <v>0.21099999999999999</v>
      </c>
    </row>
    <row r="7906" spans="1:14">
      <c r="A7906" t="s">
        <v>147</v>
      </c>
      <c r="B7906" t="str">
        <f>_xlfn.XLOOKUP(A7906,'[1]Tissue Data'!$A:$A,'[1]Tissue Data'!$C:$C)</f>
        <v>Down</v>
      </c>
      <c r="C7906" s="2">
        <f>_xlfn.XLOOKUP(A7906,'[1]Tissue Data'!$A:$A,'[1]Tissue Data'!$D:$D)</f>
        <v>44393</v>
      </c>
      <c r="D7906" s="2" t="s">
        <v>131</v>
      </c>
      <c r="E7906" t="str">
        <f>_xlfn.XLOOKUP(A7906,'[1]Tissue Data'!$A:$A,'[1]Tissue Data'!$H:$H)</f>
        <v>Rhinichthys</v>
      </c>
      <c r="F7906" t="str">
        <f>_xlfn.XLOOKUP(A7906,'[1]Tissue Data'!$A:$A,'[1]Tissue Data'!$I:$I)</f>
        <v>atratulus</v>
      </c>
      <c r="G7906" t="str">
        <f>_xlfn.XLOOKUP(A7906,'[1]Tissue Data'!$A:$A,'[1]Tissue Data'!J:J)</f>
        <v>U</v>
      </c>
      <c r="H7906" t="str">
        <f>_xlfn.XLOOKUP(A7906,'[1]Tissue Data'!$A:$A,'[1]Tissue Data'!K:K)</f>
        <v>Whole Body</v>
      </c>
      <c r="I7906">
        <f>_xlfn.XLOOKUP(A7906,'[1]Tissue Data'!$A:$A,'[1]Tissue Data'!L:L)</f>
        <v>7.5</v>
      </c>
      <c r="J7906">
        <f>_xlfn.XLOOKUP(A7906,'[1]Tissue Data'!$A:$A,'[1]Tissue Data'!M:M)</f>
        <v>4.16</v>
      </c>
      <c r="K7906" t="s">
        <v>16</v>
      </c>
      <c r="L7906" t="str">
        <f>_xlfn.XLOOKUP(K7906,[2]analyte_order!$B:$B,[2]analyte_order!$C:$C)</f>
        <v>335-67-1</v>
      </c>
      <c r="M7906">
        <f>_xlfn.XLOOKUP(L7906,[2]analyte_order!$C:$C,[2]analyte_order!$E:$E)</f>
        <v>5</v>
      </c>
      <c r="N7906">
        <v>1.17</v>
      </c>
    </row>
    <row r="7907" spans="1:14">
      <c r="A7907" t="s">
        <v>147</v>
      </c>
      <c r="B7907" t="str">
        <f>_xlfn.XLOOKUP(A7907,'[1]Tissue Data'!$A:$A,'[1]Tissue Data'!$C:$C)</f>
        <v>Down</v>
      </c>
      <c r="C7907" s="2">
        <f>_xlfn.XLOOKUP(A7907,'[1]Tissue Data'!$A:$A,'[1]Tissue Data'!$D:$D)</f>
        <v>44393</v>
      </c>
      <c r="D7907" s="2" t="s">
        <v>131</v>
      </c>
      <c r="E7907" t="str">
        <f>_xlfn.XLOOKUP(A7907,'[1]Tissue Data'!$A:$A,'[1]Tissue Data'!$H:$H)</f>
        <v>Rhinichthys</v>
      </c>
      <c r="F7907" t="str">
        <f>_xlfn.XLOOKUP(A7907,'[1]Tissue Data'!$A:$A,'[1]Tissue Data'!$I:$I)</f>
        <v>atratulus</v>
      </c>
      <c r="G7907" t="str">
        <f>_xlfn.XLOOKUP(A7907,'[1]Tissue Data'!$A:$A,'[1]Tissue Data'!J:J)</f>
        <v>U</v>
      </c>
      <c r="H7907" t="str">
        <f>_xlfn.XLOOKUP(A7907,'[1]Tissue Data'!$A:$A,'[1]Tissue Data'!K:K)</f>
        <v>Whole Body</v>
      </c>
      <c r="I7907">
        <f>_xlfn.XLOOKUP(A7907,'[1]Tissue Data'!$A:$A,'[1]Tissue Data'!L:L)</f>
        <v>7.5</v>
      </c>
      <c r="J7907">
        <f>_xlfn.XLOOKUP(A7907,'[1]Tissue Data'!$A:$A,'[1]Tissue Data'!M:M)</f>
        <v>4.16</v>
      </c>
      <c r="K7907" t="s">
        <v>17</v>
      </c>
      <c r="L7907" t="str">
        <f>_xlfn.XLOOKUP(K7907,[2]analyte_order!$B:$B,[2]analyte_order!$C:$C)</f>
        <v>375-95-1</v>
      </c>
      <c r="M7907">
        <f>_xlfn.XLOOKUP(L7907,[2]analyte_order!$C:$C,[2]analyte_order!$E:$E)</f>
        <v>6</v>
      </c>
      <c r="N7907">
        <v>1.04</v>
      </c>
    </row>
    <row r="7908" spans="1:14">
      <c r="A7908" t="s">
        <v>147</v>
      </c>
      <c r="B7908" t="str">
        <f>_xlfn.XLOOKUP(A7908,'[1]Tissue Data'!$A:$A,'[1]Tissue Data'!$C:$C)</f>
        <v>Down</v>
      </c>
      <c r="C7908" s="2">
        <f>_xlfn.XLOOKUP(A7908,'[1]Tissue Data'!$A:$A,'[1]Tissue Data'!$D:$D)</f>
        <v>44393</v>
      </c>
      <c r="D7908" s="2" t="s">
        <v>131</v>
      </c>
      <c r="E7908" t="str">
        <f>_xlfn.XLOOKUP(A7908,'[1]Tissue Data'!$A:$A,'[1]Tissue Data'!$H:$H)</f>
        <v>Rhinichthys</v>
      </c>
      <c r="F7908" t="str">
        <f>_xlfn.XLOOKUP(A7908,'[1]Tissue Data'!$A:$A,'[1]Tissue Data'!$I:$I)</f>
        <v>atratulus</v>
      </c>
      <c r="G7908" t="str">
        <f>_xlfn.XLOOKUP(A7908,'[1]Tissue Data'!$A:$A,'[1]Tissue Data'!J:J)</f>
        <v>U</v>
      </c>
      <c r="H7908" t="str">
        <f>_xlfn.XLOOKUP(A7908,'[1]Tissue Data'!$A:$A,'[1]Tissue Data'!K:K)</f>
        <v>Whole Body</v>
      </c>
      <c r="I7908">
        <f>_xlfn.XLOOKUP(A7908,'[1]Tissue Data'!$A:$A,'[1]Tissue Data'!L:L)</f>
        <v>7.5</v>
      </c>
      <c r="J7908">
        <f>_xlfn.XLOOKUP(A7908,'[1]Tissue Data'!$A:$A,'[1]Tissue Data'!M:M)</f>
        <v>4.16</v>
      </c>
      <c r="K7908" t="s">
        <v>18</v>
      </c>
      <c r="L7908" t="str">
        <f>_xlfn.XLOOKUP(K7908,[2]analyte_order!$B:$B,[2]analyte_order!$C:$C)</f>
        <v>335-76-2</v>
      </c>
      <c r="M7908">
        <f>_xlfn.XLOOKUP(L7908,[2]analyte_order!$C:$C,[2]analyte_order!$E:$E)</f>
        <v>7</v>
      </c>
      <c r="N7908">
        <v>4.87</v>
      </c>
    </row>
    <row r="7909" spans="1:14">
      <c r="A7909" t="s">
        <v>147</v>
      </c>
      <c r="B7909" t="str">
        <f>_xlfn.XLOOKUP(A7909,'[1]Tissue Data'!$A:$A,'[1]Tissue Data'!$C:$C)</f>
        <v>Down</v>
      </c>
      <c r="C7909" s="2">
        <f>_xlfn.XLOOKUP(A7909,'[1]Tissue Data'!$A:$A,'[1]Tissue Data'!$D:$D)</f>
        <v>44393</v>
      </c>
      <c r="D7909" s="2" t="s">
        <v>131</v>
      </c>
      <c r="E7909" t="str">
        <f>_xlfn.XLOOKUP(A7909,'[1]Tissue Data'!$A:$A,'[1]Tissue Data'!$H:$H)</f>
        <v>Rhinichthys</v>
      </c>
      <c r="F7909" t="str">
        <f>_xlfn.XLOOKUP(A7909,'[1]Tissue Data'!$A:$A,'[1]Tissue Data'!$I:$I)</f>
        <v>atratulus</v>
      </c>
      <c r="G7909" t="str">
        <f>_xlfn.XLOOKUP(A7909,'[1]Tissue Data'!$A:$A,'[1]Tissue Data'!J:J)</f>
        <v>U</v>
      </c>
      <c r="H7909" t="str">
        <f>_xlfn.XLOOKUP(A7909,'[1]Tissue Data'!$A:$A,'[1]Tissue Data'!K:K)</f>
        <v>Whole Body</v>
      </c>
      <c r="I7909">
        <f>_xlfn.XLOOKUP(A7909,'[1]Tissue Data'!$A:$A,'[1]Tissue Data'!L:L)</f>
        <v>7.5</v>
      </c>
      <c r="J7909">
        <f>_xlfn.XLOOKUP(A7909,'[1]Tissue Data'!$A:$A,'[1]Tissue Data'!M:M)</f>
        <v>4.16</v>
      </c>
      <c r="K7909" t="s">
        <v>19</v>
      </c>
      <c r="L7909" t="str">
        <f>_xlfn.XLOOKUP(K7909,[2]analyte_order!$B:$B,[2]analyte_order!$C:$C)</f>
        <v>2058-94-8</v>
      </c>
      <c r="M7909">
        <f>_xlfn.XLOOKUP(L7909,[2]analyte_order!$C:$C,[2]analyte_order!$E:$E)</f>
        <v>8</v>
      </c>
      <c r="N7909">
        <v>6.42</v>
      </c>
    </row>
    <row r="7910" spans="1:14">
      <c r="A7910" t="s">
        <v>147</v>
      </c>
      <c r="B7910" t="str">
        <f>_xlfn.XLOOKUP(A7910,'[1]Tissue Data'!$A:$A,'[1]Tissue Data'!$C:$C)</f>
        <v>Down</v>
      </c>
      <c r="C7910" s="2">
        <f>_xlfn.XLOOKUP(A7910,'[1]Tissue Data'!$A:$A,'[1]Tissue Data'!$D:$D)</f>
        <v>44393</v>
      </c>
      <c r="D7910" s="2" t="s">
        <v>131</v>
      </c>
      <c r="E7910" t="str">
        <f>_xlfn.XLOOKUP(A7910,'[1]Tissue Data'!$A:$A,'[1]Tissue Data'!$H:$H)</f>
        <v>Rhinichthys</v>
      </c>
      <c r="F7910" t="str">
        <f>_xlfn.XLOOKUP(A7910,'[1]Tissue Data'!$A:$A,'[1]Tissue Data'!$I:$I)</f>
        <v>atratulus</v>
      </c>
      <c r="G7910" t="str">
        <f>_xlfn.XLOOKUP(A7910,'[1]Tissue Data'!$A:$A,'[1]Tissue Data'!J:J)</f>
        <v>U</v>
      </c>
      <c r="H7910" t="str">
        <f>_xlfn.XLOOKUP(A7910,'[1]Tissue Data'!$A:$A,'[1]Tissue Data'!K:K)</f>
        <v>Whole Body</v>
      </c>
      <c r="I7910">
        <f>_xlfn.XLOOKUP(A7910,'[1]Tissue Data'!$A:$A,'[1]Tissue Data'!L:L)</f>
        <v>7.5</v>
      </c>
      <c r="J7910">
        <f>_xlfn.XLOOKUP(A7910,'[1]Tissue Data'!$A:$A,'[1]Tissue Data'!M:M)</f>
        <v>4.16</v>
      </c>
      <c r="K7910" t="s">
        <v>20</v>
      </c>
      <c r="L7910" t="str">
        <f>_xlfn.XLOOKUP(K7910,[2]analyte_order!$B:$B,[2]analyte_order!$C:$C)</f>
        <v>307-55-1</v>
      </c>
      <c r="M7910">
        <f>_xlfn.XLOOKUP(L7910,[2]analyte_order!$C:$C,[2]analyte_order!$E:$E)</f>
        <v>9</v>
      </c>
      <c r="N7910">
        <v>7.73</v>
      </c>
    </row>
    <row r="7911" spans="1:14">
      <c r="A7911" t="s">
        <v>147</v>
      </c>
      <c r="B7911" t="str">
        <f>_xlfn.XLOOKUP(A7911,'[1]Tissue Data'!$A:$A,'[1]Tissue Data'!$C:$C)</f>
        <v>Down</v>
      </c>
      <c r="C7911" s="2">
        <f>_xlfn.XLOOKUP(A7911,'[1]Tissue Data'!$A:$A,'[1]Tissue Data'!$D:$D)</f>
        <v>44393</v>
      </c>
      <c r="D7911" s="2" t="s">
        <v>131</v>
      </c>
      <c r="E7911" t="str">
        <f>_xlfn.XLOOKUP(A7911,'[1]Tissue Data'!$A:$A,'[1]Tissue Data'!$H:$H)</f>
        <v>Rhinichthys</v>
      </c>
      <c r="F7911" t="str">
        <f>_xlfn.XLOOKUP(A7911,'[1]Tissue Data'!$A:$A,'[1]Tissue Data'!$I:$I)</f>
        <v>atratulus</v>
      </c>
      <c r="G7911" t="str">
        <f>_xlfn.XLOOKUP(A7911,'[1]Tissue Data'!$A:$A,'[1]Tissue Data'!J:J)</f>
        <v>U</v>
      </c>
      <c r="H7911" t="str">
        <f>_xlfn.XLOOKUP(A7911,'[1]Tissue Data'!$A:$A,'[1]Tissue Data'!K:K)</f>
        <v>Whole Body</v>
      </c>
      <c r="I7911">
        <f>_xlfn.XLOOKUP(A7911,'[1]Tissue Data'!$A:$A,'[1]Tissue Data'!L:L)</f>
        <v>7.5</v>
      </c>
      <c r="J7911">
        <f>_xlfn.XLOOKUP(A7911,'[1]Tissue Data'!$A:$A,'[1]Tissue Data'!M:M)</f>
        <v>4.16</v>
      </c>
      <c r="K7911" t="s">
        <v>21</v>
      </c>
      <c r="L7911" t="str">
        <f>_xlfn.XLOOKUP(K7911,[2]analyte_order!$B:$B,[2]analyte_order!$C:$C)</f>
        <v>72629-94-8</v>
      </c>
      <c r="M7911">
        <f>_xlfn.XLOOKUP(L7911,[2]analyte_order!$C:$C,[2]analyte_order!$E:$E)</f>
        <v>10</v>
      </c>
      <c r="N7911">
        <v>3.02</v>
      </c>
    </row>
    <row r="7912" spans="1:14">
      <c r="A7912" t="s">
        <v>147</v>
      </c>
      <c r="B7912" t="str">
        <f>_xlfn.XLOOKUP(A7912,'[1]Tissue Data'!$A:$A,'[1]Tissue Data'!$C:$C)</f>
        <v>Down</v>
      </c>
      <c r="C7912" s="2">
        <f>_xlfn.XLOOKUP(A7912,'[1]Tissue Data'!$A:$A,'[1]Tissue Data'!$D:$D)</f>
        <v>44393</v>
      </c>
      <c r="D7912" s="2" t="s">
        <v>131</v>
      </c>
      <c r="E7912" t="str">
        <f>_xlfn.XLOOKUP(A7912,'[1]Tissue Data'!$A:$A,'[1]Tissue Data'!$H:$H)</f>
        <v>Rhinichthys</v>
      </c>
      <c r="F7912" t="str">
        <f>_xlfn.XLOOKUP(A7912,'[1]Tissue Data'!$A:$A,'[1]Tissue Data'!$I:$I)</f>
        <v>atratulus</v>
      </c>
      <c r="G7912" t="str">
        <f>_xlfn.XLOOKUP(A7912,'[1]Tissue Data'!$A:$A,'[1]Tissue Data'!J:J)</f>
        <v>U</v>
      </c>
      <c r="H7912" t="str">
        <f>_xlfn.XLOOKUP(A7912,'[1]Tissue Data'!$A:$A,'[1]Tissue Data'!K:K)</f>
        <v>Whole Body</v>
      </c>
      <c r="I7912">
        <f>_xlfn.XLOOKUP(A7912,'[1]Tissue Data'!$A:$A,'[1]Tissue Data'!L:L)</f>
        <v>7.5</v>
      </c>
      <c r="J7912">
        <f>_xlfn.XLOOKUP(A7912,'[1]Tissue Data'!$A:$A,'[1]Tissue Data'!M:M)</f>
        <v>4.16</v>
      </c>
      <c r="K7912" t="s">
        <v>22</v>
      </c>
      <c r="L7912" t="str">
        <f>_xlfn.XLOOKUP(K7912,[2]analyte_order!$B:$B,[2]analyte_order!$C:$C)</f>
        <v>376-06-7</v>
      </c>
      <c r="M7912">
        <f>_xlfn.XLOOKUP(L7912,[2]analyte_order!$C:$C,[2]analyte_order!$E:$E)</f>
        <v>11</v>
      </c>
      <c r="N7912">
        <v>3.93</v>
      </c>
    </row>
    <row r="7913" spans="1:14">
      <c r="A7913" t="s">
        <v>147</v>
      </c>
      <c r="B7913" t="str">
        <f>_xlfn.XLOOKUP(A7913,'[1]Tissue Data'!$A:$A,'[1]Tissue Data'!$C:$C)</f>
        <v>Down</v>
      </c>
      <c r="C7913" s="2">
        <f>_xlfn.XLOOKUP(A7913,'[1]Tissue Data'!$A:$A,'[1]Tissue Data'!$D:$D)</f>
        <v>44393</v>
      </c>
      <c r="D7913" s="2" t="s">
        <v>131</v>
      </c>
      <c r="E7913" t="str">
        <f>_xlfn.XLOOKUP(A7913,'[1]Tissue Data'!$A:$A,'[1]Tissue Data'!$H:$H)</f>
        <v>Rhinichthys</v>
      </c>
      <c r="F7913" t="str">
        <f>_xlfn.XLOOKUP(A7913,'[1]Tissue Data'!$A:$A,'[1]Tissue Data'!$I:$I)</f>
        <v>atratulus</v>
      </c>
      <c r="G7913" t="str">
        <f>_xlfn.XLOOKUP(A7913,'[1]Tissue Data'!$A:$A,'[1]Tissue Data'!J:J)</f>
        <v>U</v>
      </c>
      <c r="H7913" t="str">
        <f>_xlfn.XLOOKUP(A7913,'[1]Tissue Data'!$A:$A,'[1]Tissue Data'!K:K)</f>
        <v>Whole Body</v>
      </c>
      <c r="I7913">
        <f>_xlfn.XLOOKUP(A7913,'[1]Tissue Data'!$A:$A,'[1]Tissue Data'!L:L)</f>
        <v>7.5</v>
      </c>
      <c r="J7913">
        <f>_xlfn.XLOOKUP(A7913,'[1]Tissue Data'!$A:$A,'[1]Tissue Data'!M:M)</f>
        <v>4.16</v>
      </c>
      <c r="K7913" t="s">
        <v>23</v>
      </c>
      <c r="L7913" t="str">
        <f>_xlfn.XLOOKUP(K7913,[2]analyte_order!$B:$B,[2]analyte_order!$C:$C)</f>
        <v>67905-19-5</v>
      </c>
      <c r="M7913">
        <f>_xlfn.XLOOKUP(L7913,[2]analyte_order!$C:$C,[2]analyte_order!$E:$E)</f>
        <v>12</v>
      </c>
      <c r="N7913">
        <v>0.2515</v>
      </c>
    </row>
    <row r="7914" spans="1:14">
      <c r="A7914" t="s">
        <v>147</v>
      </c>
      <c r="B7914" t="str">
        <f>_xlfn.XLOOKUP(A7914,'[1]Tissue Data'!$A:$A,'[1]Tissue Data'!$C:$C)</f>
        <v>Down</v>
      </c>
      <c r="C7914" s="2">
        <f>_xlfn.XLOOKUP(A7914,'[1]Tissue Data'!$A:$A,'[1]Tissue Data'!$D:$D)</f>
        <v>44393</v>
      </c>
      <c r="D7914" s="2" t="s">
        <v>131</v>
      </c>
      <c r="E7914" t="str">
        <f>_xlfn.XLOOKUP(A7914,'[1]Tissue Data'!$A:$A,'[1]Tissue Data'!$H:$H)</f>
        <v>Rhinichthys</v>
      </c>
      <c r="F7914" t="str">
        <f>_xlfn.XLOOKUP(A7914,'[1]Tissue Data'!$A:$A,'[1]Tissue Data'!$I:$I)</f>
        <v>atratulus</v>
      </c>
      <c r="G7914" t="str">
        <f>_xlfn.XLOOKUP(A7914,'[1]Tissue Data'!$A:$A,'[1]Tissue Data'!J:J)</f>
        <v>U</v>
      </c>
      <c r="H7914" t="str">
        <f>_xlfn.XLOOKUP(A7914,'[1]Tissue Data'!$A:$A,'[1]Tissue Data'!K:K)</f>
        <v>Whole Body</v>
      </c>
      <c r="I7914">
        <f>_xlfn.XLOOKUP(A7914,'[1]Tissue Data'!$A:$A,'[1]Tissue Data'!L:L)</f>
        <v>7.5</v>
      </c>
      <c r="J7914">
        <f>_xlfn.XLOOKUP(A7914,'[1]Tissue Data'!$A:$A,'[1]Tissue Data'!M:M)</f>
        <v>4.16</v>
      </c>
      <c r="K7914" t="s">
        <v>24</v>
      </c>
      <c r="L7914" t="str">
        <f>_xlfn.XLOOKUP(K7914,[2]analyte_order!$B:$B,[2]analyte_order!$C:$C)</f>
        <v>423-41-6</v>
      </c>
      <c r="M7914">
        <f>_xlfn.XLOOKUP(L7914,[2]analyte_order!$C:$C,[2]analyte_order!$E:$E)</f>
        <v>53</v>
      </c>
      <c r="N7914">
        <v>0.42149999999999999</v>
      </c>
    </row>
    <row r="7915" spans="1:14">
      <c r="A7915" t="s">
        <v>147</v>
      </c>
      <c r="B7915" t="str">
        <f>_xlfn.XLOOKUP(A7915,'[1]Tissue Data'!$A:$A,'[1]Tissue Data'!$C:$C)</f>
        <v>Down</v>
      </c>
      <c r="C7915" s="2">
        <f>_xlfn.XLOOKUP(A7915,'[1]Tissue Data'!$A:$A,'[1]Tissue Data'!$D:$D)</f>
        <v>44393</v>
      </c>
      <c r="D7915" s="2" t="s">
        <v>131</v>
      </c>
      <c r="E7915" t="str">
        <f>_xlfn.XLOOKUP(A7915,'[1]Tissue Data'!$A:$A,'[1]Tissue Data'!$H:$H)</f>
        <v>Rhinichthys</v>
      </c>
      <c r="F7915" t="str">
        <f>_xlfn.XLOOKUP(A7915,'[1]Tissue Data'!$A:$A,'[1]Tissue Data'!$I:$I)</f>
        <v>atratulus</v>
      </c>
      <c r="G7915" t="str">
        <f>_xlfn.XLOOKUP(A7915,'[1]Tissue Data'!$A:$A,'[1]Tissue Data'!J:J)</f>
        <v>U</v>
      </c>
      <c r="H7915" t="str">
        <f>_xlfn.XLOOKUP(A7915,'[1]Tissue Data'!$A:$A,'[1]Tissue Data'!K:K)</f>
        <v>Whole Body</v>
      </c>
      <c r="I7915">
        <f>_xlfn.XLOOKUP(A7915,'[1]Tissue Data'!$A:$A,'[1]Tissue Data'!L:L)</f>
        <v>7.5</v>
      </c>
      <c r="J7915">
        <f>_xlfn.XLOOKUP(A7915,'[1]Tissue Data'!$A:$A,'[1]Tissue Data'!M:M)</f>
        <v>4.16</v>
      </c>
      <c r="K7915" t="s">
        <v>25</v>
      </c>
      <c r="L7915" t="str">
        <f>_xlfn.XLOOKUP(K7915,[2]analyte_order!$B:$B,[2]analyte_order!$C:$C)</f>
        <v>375-73-5</v>
      </c>
      <c r="M7915">
        <f>_xlfn.XLOOKUP(L7915,[2]analyte_order!$C:$C,[2]analyte_order!$E:$E)</f>
        <v>14</v>
      </c>
      <c r="N7915">
        <v>0.14349999999999999</v>
      </c>
    </row>
    <row r="7916" spans="1:14">
      <c r="A7916" t="s">
        <v>147</v>
      </c>
      <c r="B7916" t="str">
        <f>_xlfn.XLOOKUP(A7916,'[1]Tissue Data'!$A:$A,'[1]Tissue Data'!$C:$C)</f>
        <v>Down</v>
      </c>
      <c r="C7916" s="2">
        <f>_xlfn.XLOOKUP(A7916,'[1]Tissue Data'!$A:$A,'[1]Tissue Data'!$D:$D)</f>
        <v>44393</v>
      </c>
      <c r="D7916" s="2" t="s">
        <v>131</v>
      </c>
      <c r="E7916" t="str">
        <f>_xlfn.XLOOKUP(A7916,'[1]Tissue Data'!$A:$A,'[1]Tissue Data'!$H:$H)</f>
        <v>Rhinichthys</v>
      </c>
      <c r="F7916" t="str">
        <f>_xlfn.XLOOKUP(A7916,'[1]Tissue Data'!$A:$A,'[1]Tissue Data'!$I:$I)</f>
        <v>atratulus</v>
      </c>
      <c r="G7916" t="str">
        <f>_xlfn.XLOOKUP(A7916,'[1]Tissue Data'!$A:$A,'[1]Tissue Data'!J:J)</f>
        <v>U</v>
      </c>
      <c r="H7916" t="str">
        <f>_xlfn.XLOOKUP(A7916,'[1]Tissue Data'!$A:$A,'[1]Tissue Data'!K:K)</f>
        <v>Whole Body</v>
      </c>
      <c r="I7916">
        <f>_xlfn.XLOOKUP(A7916,'[1]Tissue Data'!$A:$A,'[1]Tissue Data'!L:L)</f>
        <v>7.5</v>
      </c>
      <c r="J7916">
        <f>_xlfn.XLOOKUP(A7916,'[1]Tissue Data'!$A:$A,'[1]Tissue Data'!M:M)</f>
        <v>4.16</v>
      </c>
      <c r="K7916" t="s">
        <v>26</v>
      </c>
      <c r="L7916" t="str">
        <f>_xlfn.XLOOKUP(K7916,[2]analyte_order!$B:$B,[2]analyte_order!$C:$C)</f>
        <v>2706-91-4</v>
      </c>
      <c r="M7916">
        <f>_xlfn.XLOOKUP(L7916,[2]analyte_order!$C:$C,[2]analyte_order!$E:$E)</f>
        <v>15</v>
      </c>
      <c r="N7916">
        <v>0.29799999999999999</v>
      </c>
    </row>
    <row r="7917" spans="1:14">
      <c r="A7917" t="s">
        <v>147</v>
      </c>
      <c r="B7917" t="str">
        <f>_xlfn.XLOOKUP(A7917,'[1]Tissue Data'!$A:$A,'[1]Tissue Data'!$C:$C)</f>
        <v>Down</v>
      </c>
      <c r="C7917" s="2">
        <f>_xlfn.XLOOKUP(A7917,'[1]Tissue Data'!$A:$A,'[1]Tissue Data'!$D:$D)</f>
        <v>44393</v>
      </c>
      <c r="D7917" s="2" t="s">
        <v>131</v>
      </c>
      <c r="E7917" t="str">
        <f>_xlfn.XLOOKUP(A7917,'[1]Tissue Data'!$A:$A,'[1]Tissue Data'!$H:$H)</f>
        <v>Rhinichthys</v>
      </c>
      <c r="F7917" t="str">
        <f>_xlfn.XLOOKUP(A7917,'[1]Tissue Data'!$A:$A,'[1]Tissue Data'!$I:$I)</f>
        <v>atratulus</v>
      </c>
      <c r="G7917" t="str">
        <f>_xlfn.XLOOKUP(A7917,'[1]Tissue Data'!$A:$A,'[1]Tissue Data'!J:J)</f>
        <v>U</v>
      </c>
      <c r="H7917" t="str">
        <f>_xlfn.XLOOKUP(A7917,'[1]Tissue Data'!$A:$A,'[1]Tissue Data'!K:K)</f>
        <v>Whole Body</v>
      </c>
      <c r="I7917">
        <f>_xlfn.XLOOKUP(A7917,'[1]Tissue Data'!$A:$A,'[1]Tissue Data'!L:L)</f>
        <v>7.5</v>
      </c>
      <c r="J7917">
        <f>_xlfn.XLOOKUP(A7917,'[1]Tissue Data'!$A:$A,'[1]Tissue Data'!M:M)</f>
        <v>4.16</v>
      </c>
      <c r="K7917" t="s">
        <v>27</v>
      </c>
      <c r="L7917" t="str">
        <f>_xlfn.XLOOKUP(K7917,[2]analyte_order!$B:$B,[2]analyte_order!$C:$C)</f>
        <v>355-46-4</v>
      </c>
      <c r="M7917">
        <f>_xlfn.XLOOKUP(L7917,[2]analyte_order!$C:$C,[2]analyte_order!$E:$E)</f>
        <v>16</v>
      </c>
      <c r="N7917">
        <v>27.3</v>
      </c>
    </row>
    <row r="7918" spans="1:14">
      <c r="A7918" t="s">
        <v>147</v>
      </c>
      <c r="B7918" t="str">
        <f>_xlfn.XLOOKUP(A7918,'[1]Tissue Data'!$A:$A,'[1]Tissue Data'!$C:$C)</f>
        <v>Down</v>
      </c>
      <c r="C7918" s="2">
        <f>_xlfn.XLOOKUP(A7918,'[1]Tissue Data'!$A:$A,'[1]Tissue Data'!$D:$D)</f>
        <v>44393</v>
      </c>
      <c r="D7918" s="2" t="s">
        <v>131</v>
      </c>
      <c r="E7918" t="str">
        <f>_xlfn.XLOOKUP(A7918,'[1]Tissue Data'!$A:$A,'[1]Tissue Data'!$H:$H)</f>
        <v>Rhinichthys</v>
      </c>
      <c r="F7918" t="str">
        <f>_xlfn.XLOOKUP(A7918,'[1]Tissue Data'!$A:$A,'[1]Tissue Data'!$I:$I)</f>
        <v>atratulus</v>
      </c>
      <c r="G7918" t="str">
        <f>_xlfn.XLOOKUP(A7918,'[1]Tissue Data'!$A:$A,'[1]Tissue Data'!J:J)</f>
        <v>U</v>
      </c>
      <c r="H7918" t="str">
        <f>_xlfn.XLOOKUP(A7918,'[1]Tissue Data'!$A:$A,'[1]Tissue Data'!K:K)</f>
        <v>Whole Body</v>
      </c>
      <c r="I7918">
        <f>_xlfn.XLOOKUP(A7918,'[1]Tissue Data'!$A:$A,'[1]Tissue Data'!L:L)</f>
        <v>7.5</v>
      </c>
      <c r="J7918">
        <f>_xlfn.XLOOKUP(A7918,'[1]Tissue Data'!$A:$A,'[1]Tissue Data'!M:M)</f>
        <v>4.16</v>
      </c>
      <c r="K7918" t="s">
        <v>28</v>
      </c>
      <c r="L7918" t="str">
        <f>_xlfn.XLOOKUP(K7918,[2]analyte_order!$B:$B,[2]analyte_order!$C:$C)</f>
        <v>375-92-8</v>
      </c>
      <c r="M7918">
        <f>_xlfn.XLOOKUP(L7918,[2]analyte_order!$C:$C,[2]analyte_order!$E:$E)</f>
        <v>17</v>
      </c>
      <c r="N7918">
        <v>7.73</v>
      </c>
    </row>
    <row r="7919" spans="1:14">
      <c r="A7919" t="s">
        <v>147</v>
      </c>
      <c r="B7919" t="str">
        <f>_xlfn.XLOOKUP(A7919,'[1]Tissue Data'!$A:$A,'[1]Tissue Data'!$C:$C)</f>
        <v>Down</v>
      </c>
      <c r="C7919" s="2">
        <f>_xlfn.XLOOKUP(A7919,'[1]Tissue Data'!$A:$A,'[1]Tissue Data'!$D:$D)</f>
        <v>44393</v>
      </c>
      <c r="D7919" s="2" t="s">
        <v>131</v>
      </c>
      <c r="E7919" t="str">
        <f>_xlfn.XLOOKUP(A7919,'[1]Tissue Data'!$A:$A,'[1]Tissue Data'!$H:$H)</f>
        <v>Rhinichthys</v>
      </c>
      <c r="F7919" t="str">
        <f>_xlfn.XLOOKUP(A7919,'[1]Tissue Data'!$A:$A,'[1]Tissue Data'!$I:$I)</f>
        <v>atratulus</v>
      </c>
      <c r="G7919" t="str">
        <f>_xlfn.XLOOKUP(A7919,'[1]Tissue Data'!$A:$A,'[1]Tissue Data'!J:J)</f>
        <v>U</v>
      </c>
      <c r="H7919" t="str">
        <f>_xlfn.XLOOKUP(A7919,'[1]Tissue Data'!$A:$A,'[1]Tissue Data'!K:K)</f>
        <v>Whole Body</v>
      </c>
      <c r="I7919">
        <f>_xlfn.XLOOKUP(A7919,'[1]Tissue Data'!$A:$A,'[1]Tissue Data'!L:L)</f>
        <v>7.5</v>
      </c>
      <c r="J7919">
        <f>_xlfn.XLOOKUP(A7919,'[1]Tissue Data'!$A:$A,'[1]Tissue Data'!M:M)</f>
        <v>4.16</v>
      </c>
      <c r="K7919" t="s">
        <v>29</v>
      </c>
      <c r="L7919" t="str">
        <f>_xlfn.XLOOKUP(K7919,[2]analyte_order!$B:$B,[2]analyte_order!$C:$C)</f>
        <v>1763-23-1</v>
      </c>
      <c r="M7919">
        <f>_xlfn.XLOOKUP(L7919,[2]analyte_order!$C:$C,[2]analyte_order!$E:$E)</f>
        <v>18</v>
      </c>
      <c r="N7919">
        <v>628</v>
      </c>
    </row>
    <row r="7920" spans="1:14">
      <c r="A7920" t="s">
        <v>147</v>
      </c>
      <c r="B7920" t="str">
        <f>_xlfn.XLOOKUP(A7920,'[1]Tissue Data'!$A:$A,'[1]Tissue Data'!$C:$C)</f>
        <v>Down</v>
      </c>
      <c r="C7920" s="2">
        <f>_xlfn.XLOOKUP(A7920,'[1]Tissue Data'!$A:$A,'[1]Tissue Data'!$D:$D)</f>
        <v>44393</v>
      </c>
      <c r="D7920" s="2" t="s">
        <v>131</v>
      </c>
      <c r="E7920" t="str">
        <f>_xlfn.XLOOKUP(A7920,'[1]Tissue Data'!$A:$A,'[1]Tissue Data'!$H:$H)</f>
        <v>Rhinichthys</v>
      </c>
      <c r="F7920" t="str">
        <f>_xlfn.XLOOKUP(A7920,'[1]Tissue Data'!$A:$A,'[1]Tissue Data'!$I:$I)</f>
        <v>atratulus</v>
      </c>
      <c r="G7920" t="str">
        <f>_xlfn.XLOOKUP(A7920,'[1]Tissue Data'!$A:$A,'[1]Tissue Data'!J:J)</f>
        <v>U</v>
      </c>
      <c r="H7920" t="str">
        <f>_xlfn.XLOOKUP(A7920,'[1]Tissue Data'!$A:$A,'[1]Tissue Data'!K:K)</f>
        <v>Whole Body</v>
      </c>
      <c r="I7920">
        <f>_xlfn.XLOOKUP(A7920,'[1]Tissue Data'!$A:$A,'[1]Tissue Data'!L:L)</f>
        <v>7.5</v>
      </c>
      <c r="J7920">
        <f>_xlfn.XLOOKUP(A7920,'[1]Tissue Data'!$A:$A,'[1]Tissue Data'!M:M)</f>
        <v>4.16</v>
      </c>
      <c r="K7920" t="s">
        <v>30</v>
      </c>
      <c r="L7920" t="str">
        <f>_xlfn.XLOOKUP(K7920,[2]analyte_order!$B:$B,[2]analyte_order!$C:$C)</f>
        <v>68259-12-1</v>
      </c>
      <c r="M7920">
        <f>_xlfn.XLOOKUP(L7920,[2]analyte_order!$C:$C,[2]analyte_order!$E:$E)</f>
        <v>19</v>
      </c>
      <c r="N7920">
        <v>0.46800000000000003</v>
      </c>
    </row>
    <row r="7921" spans="1:14">
      <c r="A7921" t="s">
        <v>147</v>
      </c>
      <c r="B7921" t="str">
        <f>_xlfn.XLOOKUP(A7921,'[1]Tissue Data'!$A:$A,'[1]Tissue Data'!$C:$C)</f>
        <v>Down</v>
      </c>
      <c r="C7921" s="2">
        <f>_xlfn.XLOOKUP(A7921,'[1]Tissue Data'!$A:$A,'[1]Tissue Data'!$D:$D)</f>
        <v>44393</v>
      </c>
      <c r="D7921" s="2" t="s">
        <v>131</v>
      </c>
      <c r="E7921" t="str">
        <f>_xlfn.XLOOKUP(A7921,'[1]Tissue Data'!$A:$A,'[1]Tissue Data'!$H:$H)</f>
        <v>Rhinichthys</v>
      </c>
      <c r="F7921" t="str">
        <f>_xlfn.XLOOKUP(A7921,'[1]Tissue Data'!$A:$A,'[1]Tissue Data'!$I:$I)</f>
        <v>atratulus</v>
      </c>
      <c r="G7921" t="str">
        <f>_xlfn.XLOOKUP(A7921,'[1]Tissue Data'!$A:$A,'[1]Tissue Data'!J:J)</f>
        <v>U</v>
      </c>
      <c r="H7921" t="str">
        <f>_xlfn.XLOOKUP(A7921,'[1]Tissue Data'!$A:$A,'[1]Tissue Data'!K:K)</f>
        <v>Whole Body</v>
      </c>
      <c r="I7921">
        <f>_xlfn.XLOOKUP(A7921,'[1]Tissue Data'!$A:$A,'[1]Tissue Data'!L:L)</f>
        <v>7.5</v>
      </c>
      <c r="J7921">
        <f>_xlfn.XLOOKUP(A7921,'[1]Tissue Data'!$A:$A,'[1]Tissue Data'!M:M)</f>
        <v>4.16</v>
      </c>
      <c r="K7921" t="s">
        <v>31</v>
      </c>
      <c r="L7921" t="str">
        <f>_xlfn.XLOOKUP(K7921,[2]analyte_order!$B:$B,[2]analyte_order!$C:$C)</f>
        <v>335-77-3</v>
      </c>
      <c r="M7921">
        <f>_xlfn.XLOOKUP(L7921,[2]analyte_order!$C:$C,[2]analyte_order!$E:$E)</f>
        <v>20</v>
      </c>
      <c r="N7921">
        <v>1.26</v>
      </c>
    </row>
    <row r="7922" spans="1:14">
      <c r="A7922" t="s">
        <v>147</v>
      </c>
      <c r="B7922" t="str">
        <f>_xlfn.XLOOKUP(A7922,'[1]Tissue Data'!$A:$A,'[1]Tissue Data'!$C:$C)</f>
        <v>Down</v>
      </c>
      <c r="C7922" s="2">
        <f>_xlfn.XLOOKUP(A7922,'[1]Tissue Data'!$A:$A,'[1]Tissue Data'!$D:$D)</f>
        <v>44393</v>
      </c>
      <c r="D7922" s="2" t="s">
        <v>131</v>
      </c>
      <c r="E7922" t="str">
        <f>_xlfn.XLOOKUP(A7922,'[1]Tissue Data'!$A:$A,'[1]Tissue Data'!$H:$H)</f>
        <v>Rhinichthys</v>
      </c>
      <c r="F7922" t="str">
        <f>_xlfn.XLOOKUP(A7922,'[1]Tissue Data'!$A:$A,'[1]Tissue Data'!$I:$I)</f>
        <v>atratulus</v>
      </c>
      <c r="G7922" t="str">
        <f>_xlfn.XLOOKUP(A7922,'[1]Tissue Data'!$A:$A,'[1]Tissue Data'!J:J)</f>
        <v>U</v>
      </c>
      <c r="H7922" t="str">
        <f>_xlfn.XLOOKUP(A7922,'[1]Tissue Data'!$A:$A,'[1]Tissue Data'!K:K)</f>
        <v>Whole Body</v>
      </c>
      <c r="I7922">
        <f>_xlfn.XLOOKUP(A7922,'[1]Tissue Data'!$A:$A,'[1]Tissue Data'!L:L)</f>
        <v>7.5</v>
      </c>
      <c r="J7922">
        <f>_xlfn.XLOOKUP(A7922,'[1]Tissue Data'!$A:$A,'[1]Tissue Data'!M:M)</f>
        <v>4.16</v>
      </c>
      <c r="K7922" t="s">
        <v>32</v>
      </c>
      <c r="L7922" t="str">
        <f>_xlfn.XLOOKUP(K7922,[2]analyte_order!$B:$B,[2]analyte_order!$C:$C)</f>
        <v>79780-39-5</v>
      </c>
      <c r="M7922">
        <f>_xlfn.XLOOKUP(L7922,[2]analyte_order!$C:$C,[2]analyte_order!$E:$E)</f>
        <v>21</v>
      </c>
      <c r="N7922">
        <v>0.50700000000000001</v>
      </c>
    </row>
    <row r="7923" spans="1:14">
      <c r="A7923" t="s">
        <v>147</v>
      </c>
      <c r="B7923" t="str">
        <f>_xlfn.XLOOKUP(A7923,'[1]Tissue Data'!$A:$A,'[1]Tissue Data'!$C:$C)</f>
        <v>Down</v>
      </c>
      <c r="C7923" s="2">
        <f>_xlfn.XLOOKUP(A7923,'[1]Tissue Data'!$A:$A,'[1]Tissue Data'!$D:$D)</f>
        <v>44393</v>
      </c>
      <c r="D7923" s="2" t="s">
        <v>131</v>
      </c>
      <c r="E7923" t="str">
        <f>_xlfn.XLOOKUP(A7923,'[1]Tissue Data'!$A:$A,'[1]Tissue Data'!$H:$H)</f>
        <v>Rhinichthys</v>
      </c>
      <c r="F7923" t="str">
        <f>_xlfn.XLOOKUP(A7923,'[1]Tissue Data'!$A:$A,'[1]Tissue Data'!$I:$I)</f>
        <v>atratulus</v>
      </c>
      <c r="G7923" t="str">
        <f>_xlfn.XLOOKUP(A7923,'[1]Tissue Data'!$A:$A,'[1]Tissue Data'!J:J)</f>
        <v>U</v>
      </c>
      <c r="H7923" t="str">
        <f>_xlfn.XLOOKUP(A7923,'[1]Tissue Data'!$A:$A,'[1]Tissue Data'!K:K)</f>
        <v>Whole Body</v>
      </c>
      <c r="I7923">
        <f>_xlfn.XLOOKUP(A7923,'[1]Tissue Data'!$A:$A,'[1]Tissue Data'!L:L)</f>
        <v>7.5</v>
      </c>
      <c r="J7923">
        <f>_xlfn.XLOOKUP(A7923,'[1]Tissue Data'!$A:$A,'[1]Tissue Data'!M:M)</f>
        <v>4.16</v>
      </c>
      <c r="K7923" t="s">
        <v>33</v>
      </c>
      <c r="L7923" t="str">
        <f>_xlfn.XLOOKUP(K7923,[2]analyte_order!$B:$B,[2]analyte_order!$C:$C)</f>
        <v>777011-38-8</v>
      </c>
      <c r="M7923">
        <f>_xlfn.XLOOKUP(L7923,[2]analyte_order!$C:$C,[2]analyte_order!$E:$E)</f>
        <v>54</v>
      </c>
      <c r="N7923">
        <v>0.45100000000000001</v>
      </c>
    </row>
    <row r="7924" spans="1:14">
      <c r="A7924" t="s">
        <v>147</v>
      </c>
      <c r="B7924" t="str">
        <f>_xlfn.XLOOKUP(A7924,'[1]Tissue Data'!$A:$A,'[1]Tissue Data'!$C:$C)</f>
        <v>Down</v>
      </c>
      <c r="C7924" s="2">
        <f>_xlfn.XLOOKUP(A7924,'[1]Tissue Data'!$A:$A,'[1]Tissue Data'!$D:$D)</f>
        <v>44393</v>
      </c>
      <c r="D7924" s="2" t="s">
        <v>131</v>
      </c>
      <c r="E7924" t="str">
        <f>_xlfn.XLOOKUP(A7924,'[1]Tissue Data'!$A:$A,'[1]Tissue Data'!$H:$H)</f>
        <v>Rhinichthys</v>
      </c>
      <c r="F7924" t="str">
        <f>_xlfn.XLOOKUP(A7924,'[1]Tissue Data'!$A:$A,'[1]Tissue Data'!$I:$I)</f>
        <v>atratulus</v>
      </c>
      <c r="G7924" t="str">
        <f>_xlfn.XLOOKUP(A7924,'[1]Tissue Data'!$A:$A,'[1]Tissue Data'!J:J)</f>
        <v>U</v>
      </c>
      <c r="H7924" t="str">
        <f>_xlfn.XLOOKUP(A7924,'[1]Tissue Data'!$A:$A,'[1]Tissue Data'!K:K)</f>
        <v>Whole Body</v>
      </c>
      <c r="I7924">
        <f>_xlfn.XLOOKUP(A7924,'[1]Tissue Data'!$A:$A,'[1]Tissue Data'!L:L)</f>
        <v>7.5</v>
      </c>
      <c r="J7924">
        <f>_xlfn.XLOOKUP(A7924,'[1]Tissue Data'!$A:$A,'[1]Tissue Data'!M:M)</f>
        <v>4.16</v>
      </c>
      <c r="K7924" t="s">
        <v>34</v>
      </c>
      <c r="L7924" t="str">
        <f>_xlfn.XLOOKUP(K7924,[2]analyte_order!$B:$B,[2]analyte_order!$C:$C)</f>
        <v>646-83-3</v>
      </c>
      <c r="M7924">
        <f>_xlfn.XLOOKUP(L7924,[2]analyte_order!$C:$C,[2]analyte_order!$E:$E)</f>
        <v>55</v>
      </c>
      <c r="N7924">
        <v>0.29599999999999999</v>
      </c>
    </row>
    <row r="7925" spans="1:14">
      <c r="A7925" t="s">
        <v>147</v>
      </c>
      <c r="B7925" t="str">
        <f>_xlfn.XLOOKUP(A7925,'[1]Tissue Data'!$A:$A,'[1]Tissue Data'!$C:$C)</f>
        <v>Down</v>
      </c>
      <c r="C7925" s="2">
        <f>_xlfn.XLOOKUP(A7925,'[1]Tissue Data'!$A:$A,'[1]Tissue Data'!$D:$D)</f>
        <v>44393</v>
      </c>
      <c r="D7925" s="2" t="s">
        <v>131</v>
      </c>
      <c r="E7925" t="str">
        <f>_xlfn.XLOOKUP(A7925,'[1]Tissue Data'!$A:$A,'[1]Tissue Data'!$H:$H)</f>
        <v>Rhinichthys</v>
      </c>
      <c r="F7925" t="str">
        <f>_xlfn.XLOOKUP(A7925,'[1]Tissue Data'!$A:$A,'[1]Tissue Data'!$I:$I)</f>
        <v>atratulus</v>
      </c>
      <c r="G7925" t="str">
        <f>_xlfn.XLOOKUP(A7925,'[1]Tissue Data'!$A:$A,'[1]Tissue Data'!J:J)</f>
        <v>U</v>
      </c>
      <c r="H7925" t="str">
        <f>_xlfn.XLOOKUP(A7925,'[1]Tissue Data'!$A:$A,'[1]Tissue Data'!K:K)</f>
        <v>Whole Body</v>
      </c>
      <c r="I7925">
        <f>_xlfn.XLOOKUP(A7925,'[1]Tissue Data'!$A:$A,'[1]Tissue Data'!L:L)</f>
        <v>7.5</v>
      </c>
      <c r="J7925">
        <f>_xlfn.XLOOKUP(A7925,'[1]Tissue Data'!$A:$A,'[1]Tissue Data'!M:M)</f>
        <v>4.16</v>
      </c>
      <c r="K7925" t="s">
        <v>35</v>
      </c>
      <c r="L7925" t="str">
        <f>_xlfn.XLOOKUP(K7925,[2]analyte_order!$B:$B,[2]analyte_order!$C:$C)</f>
        <v>30334-69-1</v>
      </c>
      <c r="M7925">
        <f>_xlfn.XLOOKUP(L7925,[2]analyte_order!$C:$C,[2]analyte_order!$E:$E)</f>
        <v>51</v>
      </c>
      <c r="N7925">
        <v>50.1</v>
      </c>
    </row>
    <row r="7926" spans="1:14">
      <c r="A7926" t="s">
        <v>147</v>
      </c>
      <c r="B7926" t="str">
        <f>_xlfn.XLOOKUP(A7926,'[1]Tissue Data'!$A:$A,'[1]Tissue Data'!$C:$C)</f>
        <v>Down</v>
      </c>
      <c r="C7926" s="2">
        <f>_xlfn.XLOOKUP(A7926,'[1]Tissue Data'!$A:$A,'[1]Tissue Data'!$D:$D)</f>
        <v>44393</v>
      </c>
      <c r="D7926" s="2" t="s">
        <v>131</v>
      </c>
      <c r="E7926" t="str">
        <f>_xlfn.XLOOKUP(A7926,'[1]Tissue Data'!$A:$A,'[1]Tissue Data'!$H:$H)</f>
        <v>Rhinichthys</v>
      </c>
      <c r="F7926" t="str">
        <f>_xlfn.XLOOKUP(A7926,'[1]Tissue Data'!$A:$A,'[1]Tissue Data'!$I:$I)</f>
        <v>atratulus</v>
      </c>
      <c r="G7926" t="str">
        <f>_xlfn.XLOOKUP(A7926,'[1]Tissue Data'!$A:$A,'[1]Tissue Data'!J:J)</f>
        <v>U</v>
      </c>
      <c r="H7926" t="str">
        <f>_xlfn.XLOOKUP(A7926,'[1]Tissue Data'!$A:$A,'[1]Tissue Data'!K:K)</f>
        <v>Whole Body</v>
      </c>
      <c r="I7926">
        <f>_xlfn.XLOOKUP(A7926,'[1]Tissue Data'!$A:$A,'[1]Tissue Data'!L:L)</f>
        <v>7.5</v>
      </c>
      <c r="J7926">
        <f>_xlfn.XLOOKUP(A7926,'[1]Tissue Data'!$A:$A,'[1]Tissue Data'!M:M)</f>
        <v>4.16</v>
      </c>
      <c r="K7926" t="s">
        <v>36</v>
      </c>
      <c r="L7926" t="str">
        <f>_xlfn.XLOOKUP(K7926,[2]analyte_order!$B:$B,[2]analyte_order!$C:$C)</f>
        <v>41997-13-1</v>
      </c>
      <c r="M7926">
        <f>_xlfn.XLOOKUP(L7926,[2]analyte_order!$C:$C,[2]analyte_order!$E:$E)</f>
        <v>52</v>
      </c>
      <c r="N7926">
        <v>417</v>
      </c>
    </row>
    <row r="7927" spans="1:14">
      <c r="A7927" t="s">
        <v>147</v>
      </c>
      <c r="B7927" t="str">
        <f>_xlfn.XLOOKUP(A7927,'[1]Tissue Data'!$A:$A,'[1]Tissue Data'!$C:$C)</f>
        <v>Down</v>
      </c>
      <c r="C7927" s="2">
        <f>_xlfn.XLOOKUP(A7927,'[1]Tissue Data'!$A:$A,'[1]Tissue Data'!$D:$D)</f>
        <v>44393</v>
      </c>
      <c r="D7927" s="2" t="s">
        <v>131</v>
      </c>
      <c r="E7927" t="str">
        <f>_xlfn.XLOOKUP(A7927,'[1]Tissue Data'!$A:$A,'[1]Tissue Data'!$H:$H)</f>
        <v>Rhinichthys</v>
      </c>
      <c r="F7927" t="str">
        <f>_xlfn.XLOOKUP(A7927,'[1]Tissue Data'!$A:$A,'[1]Tissue Data'!$I:$I)</f>
        <v>atratulus</v>
      </c>
      <c r="G7927" t="str">
        <f>_xlfn.XLOOKUP(A7927,'[1]Tissue Data'!$A:$A,'[1]Tissue Data'!J:J)</f>
        <v>U</v>
      </c>
      <c r="H7927" t="str">
        <f>_xlfn.XLOOKUP(A7927,'[1]Tissue Data'!$A:$A,'[1]Tissue Data'!K:K)</f>
        <v>Whole Body</v>
      </c>
      <c r="I7927">
        <f>_xlfn.XLOOKUP(A7927,'[1]Tissue Data'!$A:$A,'[1]Tissue Data'!L:L)</f>
        <v>7.5</v>
      </c>
      <c r="J7927">
        <f>_xlfn.XLOOKUP(A7927,'[1]Tissue Data'!$A:$A,'[1]Tissue Data'!M:M)</f>
        <v>4.16</v>
      </c>
      <c r="K7927" t="s">
        <v>37</v>
      </c>
      <c r="L7927" t="str">
        <f>_xlfn.XLOOKUP(K7927,[2]analyte_order!$B:$B,[2]analyte_order!$C:$C)</f>
        <v>754-91-6</v>
      </c>
      <c r="M7927">
        <f>_xlfn.XLOOKUP(L7927,[2]analyte_order!$C:$C,[2]analyte_order!$E:$E)</f>
        <v>28</v>
      </c>
      <c r="N7927">
        <v>18.7</v>
      </c>
    </row>
    <row r="7928" spans="1:14">
      <c r="A7928" t="s">
        <v>147</v>
      </c>
      <c r="B7928" t="str">
        <f>_xlfn.XLOOKUP(A7928,'[1]Tissue Data'!$A:$A,'[1]Tissue Data'!$C:$C)</f>
        <v>Down</v>
      </c>
      <c r="C7928" s="2">
        <f>_xlfn.XLOOKUP(A7928,'[1]Tissue Data'!$A:$A,'[1]Tissue Data'!$D:$D)</f>
        <v>44393</v>
      </c>
      <c r="D7928" s="2" t="s">
        <v>131</v>
      </c>
      <c r="E7928" t="str">
        <f>_xlfn.XLOOKUP(A7928,'[1]Tissue Data'!$A:$A,'[1]Tissue Data'!$H:$H)</f>
        <v>Rhinichthys</v>
      </c>
      <c r="F7928" t="str">
        <f>_xlfn.XLOOKUP(A7928,'[1]Tissue Data'!$A:$A,'[1]Tissue Data'!$I:$I)</f>
        <v>atratulus</v>
      </c>
      <c r="G7928" t="str">
        <f>_xlfn.XLOOKUP(A7928,'[1]Tissue Data'!$A:$A,'[1]Tissue Data'!J:J)</f>
        <v>U</v>
      </c>
      <c r="H7928" t="str">
        <f>_xlfn.XLOOKUP(A7928,'[1]Tissue Data'!$A:$A,'[1]Tissue Data'!K:K)</f>
        <v>Whole Body</v>
      </c>
      <c r="I7928">
        <f>_xlfn.XLOOKUP(A7928,'[1]Tissue Data'!$A:$A,'[1]Tissue Data'!L:L)</f>
        <v>7.5</v>
      </c>
      <c r="J7928">
        <f>_xlfn.XLOOKUP(A7928,'[1]Tissue Data'!$A:$A,'[1]Tissue Data'!M:M)</f>
        <v>4.16</v>
      </c>
      <c r="K7928" t="s">
        <v>38</v>
      </c>
      <c r="L7928" t="str">
        <f>_xlfn.XLOOKUP(K7928,[2]analyte_order!$B:$B,[2]analyte_order!$C:$C)</f>
        <v>31506-32-8</v>
      </c>
      <c r="M7928">
        <f>_xlfn.XLOOKUP(L7928,[2]analyte_order!$C:$C,[2]analyte_order!$E:$E)</f>
        <v>30</v>
      </c>
      <c r="N7928">
        <v>0.16250000000000001</v>
      </c>
    </row>
    <row r="7929" spans="1:14">
      <c r="A7929" t="s">
        <v>147</v>
      </c>
      <c r="B7929" t="str">
        <f>_xlfn.XLOOKUP(A7929,'[1]Tissue Data'!$A:$A,'[1]Tissue Data'!$C:$C)</f>
        <v>Down</v>
      </c>
      <c r="C7929" s="2">
        <f>_xlfn.XLOOKUP(A7929,'[1]Tissue Data'!$A:$A,'[1]Tissue Data'!$D:$D)</f>
        <v>44393</v>
      </c>
      <c r="D7929" s="2" t="s">
        <v>131</v>
      </c>
      <c r="E7929" t="str">
        <f>_xlfn.XLOOKUP(A7929,'[1]Tissue Data'!$A:$A,'[1]Tissue Data'!$H:$H)</f>
        <v>Rhinichthys</v>
      </c>
      <c r="F7929" t="str">
        <f>_xlfn.XLOOKUP(A7929,'[1]Tissue Data'!$A:$A,'[1]Tissue Data'!$I:$I)</f>
        <v>atratulus</v>
      </c>
      <c r="G7929" t="str">
        <f>_xlfn.XLOOKUP(A7929,'[1]Tissue Data'!$A:$A,'[1]Tissue Data'!J:J)</f>
        <v>U</v>
      </c>
      <c r="H7929" t="str">
        <f>_xlfn.XLOOKUP(A7929,'[1]Tissue Data'!$A:$A,'[1]Tissue Data'!K:K)</f>
        <v>Whole Body</v>
      </c>
      <c r="I7929">
        <f>_xlfn.XLOOKUP(A7929,'[1]Tissue Data'!$A:$A,'[1]Tissue Data'!L:L)</f>
        <v>7.5</v>
      </c>
      <c r="J7929">
        <f>_xlfn.XLOOKUP(A7929,'[1]Tissue Data'!$A:$A,'[1]Tissue Data'!M:M)</f>
        <v>4.16</v>
      </c>
      <c r="K7929" t="s">
        <v>39</v>
      </c>
      <c r="L7929" t="str">
        <f>_xlfn.XLOOKUP(K7929,[2]analyte_order!$B:$B,[2]analyte_order!$C:$C)</f>
        <v>4151-50-2</v>
      </c>
      <c r="M7929">
        <f>_xlfn.XLOOKUP(L7929,[2]analyte_order!$C:$C,[2]analyte_order!$E:$E)</f>
        <v>31</v>
      </c>
      <c r="N7929">
        <v>0.42149999999999999</v>
      </c>
    </row>
    <row r="7930" spans="1:14">
      <c r="A7930" t="s">
        <v>147</v>
      </c>
      <c r="B7930" t="str">
        <f>_xlfn.XLOOKUP(A7930,'[1]Tissue Data'!$A:$A,'[1]Tissue Data'!$C:$C)</f>
        <v>Down</v>
      </c>
      <c r="C7930" s="2">
        <f>_xlfn.XLOOKUP(A7930,'[1]Tissue Data'!$A:$A,'[1]Tissue Data'!$D:$D)</f>
        <v>44393</v>
      </c>
      <c r="D7930" s="2" t="s">
        <v>131</v>
      </c>
      <c r="E7930" t="str">
        <f>_xlfn.XLOOKUP(A7930,'[1]Tissue Data'!$A:$A,'[1]Tissue Data'!$H:$H)</f>
        <v>Rhinichthys</v>
      </c>
      <c r="F7930" t="str">
        <f>_xlfn.XLOOKUP(A7930,'[1]Tissue Data'!$A:$A,'[1]Tissue Data'!$I:$I)</f>
        <v>atratulus</v>
      </c>
      <c r="G7930" t="str">
        <f>_xlfn.XLOOKUP(A7930,'[1]Tissue Data'!$A:$A,'[1]Tissue Data'!J:J)</f>
        <v>U</v>
      </c>
      <c r="H7930" t="str">
        <f>_xlfn.XLOOKUP(A7930,'[1]Tissue Data'!$A:$A,'[1]Tissue Data'!K:K)</f>
        <v>Whole Body</v>
      </c>
      <c r="I7930">
        <f>_xlfn.XLOOKUP(A7930,'[1]Tissue Data'!$A:$A,'[1]Tissue Data'!L:L)</f>
        <v>7.5</v>
      </c>
      <c r="J7930">
        <f>_xlfn.XLOOKUP(A7930,'[1]Tissue Data'!$A:$A,'[1]Tissue Data'!M:M)</f>
        <v>4.16</v>
      </c>
      <c r="K7930" t="s">
        <v>40</v>
      </c>
      <c r="L7930" t="str">
        <f>_xlfn.XLOOKUP(K7930,[2]analyte_order!$B:$B,[2]analyte_order!$C:$C)</f>
        <v>2806-24-8</v>
      </c>
      <c r="M7930">
        <f>_xlfn.XLOOKUP(L7930,[2]analyte_order!$C:$C,[2]analyte_order!$E:$E)</f>
        <v>29</v>
      </c>
      <c r="N7930">
        <v>0.42149999999999999</v>
      </c>
    </row>
    <row r="7931" spans="1:14">
      <c r="A7931" t="s">
        <v>147</v>
      </c>
      <c r="B7931" t="str">
        <f>_xlfn.XLOOKUP(A7931,'[1]Tissue Data'!$A:$A,'[1]Tissue Data'!$C:$C)</f>
        <v>Down</v>
      </c>
      <c r="C7931" s="2">
        <f>_xlfn.XLOOKUP(A7931,'[1]Tissue Data'!$A:$A,'[1]Tissue Data'!$D:$D)</f>
        <v>44393</v>
      </c>
      <c r="D7931" s="2" t="s">
        <v>131</v>
      </c>
      <c r="E7931" t="str">
        <f>_xlfn.XLOOKUP(A7931,'[1]Tissue Data'!$A:$A,'[1]Tissue Data'!$H:$H)</f>
        <v>Rhinichthys</v>
      </c>
      <c r="F7931" t="str">
        <f>_xlfn.XLOOKUP(A7931,'[1]Tissue Data'!$A:$A,'[1]Tissue Data'!$I:$I)</f>
        <v>atratulus</v>
      </c>
      <c r="G7931" t="str">
        <f>_xlfn.XLOOKUP(A7931,'[1]Tissue Data'!$A:$A,'[1]Tissue Data'!J:J)</f>
        <v>U</v>
      </c>
      <c r="H7931" t="str">
        <f>_xlfn.XLOOKUP(A7931,'[1]Tissue Data'!$A:$A,'[1]Tissue Data'!K:K)</f>
        <v>Whole Body</v>
      </c>
      <c r="I7931">
        <f>_xlfn.XLOOKUP(A7931,'[1]Tissue Data'!$A:$A,'[1]Tissue Data'!L:L)</f>
        <v>7.5</v>
      </c>
      <c r="J7931">
        <f>_xlfn.XLOOKUP(A7931,'[1]Tissue Data'!$A:$A,'[1]Tissue Data'!M:M)</f>
        <v>4.16</v>
      </c>
      <c r="K7931" t="s">
        <v>41</v>
      </c>
      <c r="L7931" t="str">
        <f>_xlfn.XLOOKUP(K7931,[2]analyte_order!$B:$B,[2]analyte_order!$C:$C)</f>
        <v>2355-31-9</v>
      </c>
      <c r="M7931">
        <f>_xlfn.XLOOKUP(L7931,[2]analyte_order!$C:$C,[2]analyte_order!$E:$E)</f>
        <v>26</v>
      </c>
      <c r="N7931">
        <v>0.21199999999999999</v>
      </c>
    </row>
    <row r="7932" spans="1:14">
      <c r="A7932" t="s">
        <v>147</v>
      </c>
      <c r="B7932" t="str">
        <f>_xlfn.XLOOKUP(A7932,'[1]Tissue Data'!$A:$A,'[1]Tissue Data'!$C:$C)</f>
        <v>Down</v>
      </c>
      <c r="C7932" s="2">
        <f>_xlfn.XLOOKUP(A7932,'[1]Tissue Data'!$A:$A,'[1]Tissue Data'!$D:$D)</f>
        <v>44393</v>
      </c>
      <c r="D7932" s="2" t="s">
        <v>131</v>
      </c>
      <c r="E7932" t="str">
        <f>_xlfn.XLOOKUP(A7932,'[1]Tissue Data'!$A:$A,'[1]Tissue Data'!$H:$H)</f>
        <v>Rhinichthys</v>
      </c>
      <c r="F7932" t="str">
        <f>_xlfn.XLOOKUP(A7932,'[1]Tissue Data'!$A:$A,'[1]Tissue Data'!$I:$I)</f>
        <v>atratulus</v>
      </c>
      <c r="G7932" t="str">
        <f>_xlfn.XLOOKUP(A7932,'[1]Tissue Data'!$A:$A,'[1]Tissue Data'!J:J)</f>
        <v>U</v>
      </c>
      <c r="H7932" t="str">
        <f>_xlfn.XLOOKUP(A7932,'[1]Tissue Data'!$A:$A,'[1]Tissue Data'!K:K)</f>
        <v>Whole Body</v>
      </c>
      <c r="I7932">
        <f>_xlfn.XLOOKUP(A7932,'[1]Tissue Data'!$A:$A,'[1]Tissue Data'!L:L)</f>
        <v>7.5</v>
      </c>
      <c r="J7932">
        <f>_xlfn.XLOOKUP(A7932,'[1]Tissue Data'!$A:$A,'[1]Tissue Data'!M:M)</f>
        <v>4.16</v>
      </c>
      <c r="K7932" t="s">
        <v>42</v>
      </c>
      <c r="L7932" t="str">
        <f>_xlfn.XLOOKUP(K7932,[2]analyte_order!$B:$B,[2]analyte_order!$C:$C)</f>
        <v>2991-50-6</v>
      </c>
      <c r="M7932">
        <f>_xlfn.XLOOKUP(L7932,[2]analyte_order!$C:$C,[2]analyte_order!$E:$E)</f>
        <v>27</v>
      </c>
      <c r="N7932">
        <v>0.21099999999999999</v>
      </c>
    </row>
    <row r="7933" spans="1:14">
      <c r="A7933" t="s">
        <v>147</v>
      </c>
      <c r="B7933" t="str">
        <f>_xlfn.XLOOKUP(A7933,'[1]Tissue Data'!$A:$A,'[1]Tissue Data'!$C:$C)</f>
        <v>Down</v>
      </c>
      <c r="C7933" s="2">
        <f>_xlfn.XLOOKUP(A7933,'[1]Tissue Data'!$A:$A,'[1]Tissue Data'!$D:$D)</f>
        <v>44393</v>
      </c>
      <c r="D7933" s="2" t="s">
        <v>131</v>
      </c>
      <c r="E7933" t="str">
        <f>_xlfn.XLOOKUP(A7933,'[1]Tissue Data'!$A:$A,'[1]Tissue Data'!$H:$H)</f>
        <v>Rhinichthys</v>
      </c>
      <c r="F7933" t="str">
        <f>_xlfn.XLOOKUP(A7933,'[1]Tissue Data'!$A:$A,'[1]Tissue Data'!$I:$I)</f>
        <v>atratulus</v>
      </c>
      <c r="G7933" t="str">
        <f>_xlfn.XLOOKUP(A7933,'[1]Tissue Data'!$A:$A,'[1]Tissue Data'!J:J)</f>
        <v>U</v>
      </c>
      <c r="H7933" t="str">
        <f>_xlfn.XLOOKUP(A7933,'[1]Tissue Data'!$A:$A,'[1]Tissue Data'!K:K)</f>
        <v>Whole Body</v>
      </c>
      <c r="I7933">
        <f>_xlfn.XLOOKUP(A7933,'[1]Tissue Data'!$A:$A,'[1]Tissue Data'!L:L)</f>
        <v>7.5</v>
      </c>
      <c r="J7933">
        <f>_xlfn.XLOOKUP(A7933,'[1]Tissue Data'!$A:$A,'[1]Tissue Data'!M:M)</f>
        <v>4.16</v>
      </c>
      <c r="K7933" t="s">
        <v>43</v>
      </c>
      <c r="L7933" t="str">
        <f>_xlfn.XLOOKUP(K7933,[2]analyte_order!$B:$B,[2]analyte_order!$C:$C)</f>
        <v>757124-72-4</v>
      </c>
      <c r="M7933">
        <f>_xlfn.XLOOKUP(L7933,[2]analyte_order!$C:$C,[2]analyte_order!$E:$E)</f>
        <v>22</v>
      </c>
      <c r="N7933">
        <v>0.21099999999999999</v>
      </c>
    </row>
    <row r="7934" spans="1:14">
      <c r="A7934" t="s">
        <v>147</v>
      </c>
      <c r="B7934" t="str">
        <f>_xlfn.XLOOKUP(A7934,'[1]Tissue Data'!$A:$A,'[1]Tissue Data'!$C:$C)</f>
        <v>Down</v>
      </c>
      <c r="C7934" s="2">
        <f>_xlfn.XLOOKUP(A7934,'[1]Tissue Data'!$A:$A,'[1]Tissue Data'!$D:$D)</f>
        <v>44393</v>
      </c>
      <c r="D7934" s="2" t="s">
        <v>131</v>
      </c>
      <c r="E7934" t="str">
        <f>_xlfn.XLOOKUP(A7934,'[1]Tissue Data'!$A:$A,'[1]Tissue Data'!$H:$H)</f>
        <v>Rhinichthys</v>
      </c>
      <c r="F7934" t="str">
        <f>_xlfn.XLOOKUP(A7934,'[1]Tissue Data'!$A:$A,'[1]Tissue Data'!$I:$I)</f>
        <v>atratulus</v>
      </c>
      <c r="G7934" t="str">
        <f>_xlfn.XLOOKUP(A7934,'[1]Tissue Data'!$A:$A,'[1]Tissue Data'!J:J)</f>
        <v>U</v>
      </c>
      <c r="H7934" t="str">
        <f>_xlfn.XLOOKUP(A7934,'[1]Tissue Data'!$A:$A,'[1]Tissue Data'!K:K)</f>
        <v>Whole Body</v>
      </c>
      <c r="I7934">
        <f>_xlfn.XLOOKUP(A7934,'[1]Tissue Data'!$A:$A,'[1]Tissue Data'!L:L)</f>
        <v>7.5</v>
      </c>
      <c r="J7934">
        <f>_xlfn.XLOOKUP(A7934,'[1]Tissue Data'!$A:$A,'[1]Tissue Data'!M:M)</f>
        <v>4.16</v>
      </c>
      <c r="K7934" t="s">
        <v>44</v>
      </c>
      <c r="L7934" t="str">
        <f>_xlfn.XLOOKUP(K7934,[2]analyte_order!$B:$B,[2]analyte_order!$C:$C)</f>
        <v>27619-97-2</v>
      </c>
      <c r="M7934">
        <f>_xlfn.XLOOKUP(L7934,[2]analyte_order!$C:$C,[2]analyte_order!$E:$E)</f>
        <v>23</v>
      </c>
      <c r="N7934">
        <v>0.46</v>
      </c>
    </row>
    <row r="7935" spans="1:14">
      <c r="A7935" t="s">
        <v>147</v>
      </c>
      <c r="B7935" t="str">
        <f>_xlfn.XLOOKUP(A7935,'[1]Tissue Data'!$A:$A,'[1]Tissue Data'!$C:$C)</f>
        <v>Down</v>
      </c>
      <c r="C7935" s="2">
        <f>_xlfn.XLOOKUP(A7935,'[1]Tissue Data'!$A:$A,'[1]Tissue Data'!$D:$D)</f>
        <v>44393</v>
      </c>
      <c r="D7935" s="2" t="s">
        <v>131</v>
      </c>
      <c r="E7935" t="str">
        <f>_xlfn.XLOOKUP(A7935,'[1]Tissue Data'!$A:$A,'[1]Tissue Data'!$H:$H)</f>
        <v>Rhinichthys</v>
      </c>
      <c r="F7935" t="str">
        <f>_xlfn.XLOOKUP(A7935,'[1]Tissue Data'!$A:$A,'[1]Tissue Data'!$I:$I)</f>
        <v>atratulus</v>
      </c>
      <c r="G7935" t="str">
        <f>_xlfn.XLOOKUP(A7935,'[1]Tissue Data'!$A:$A,'[1]Tissue Data'!J:J)</f>
        <v>U</v>
      </c>
      <c r="H7935" t="str">
        <f>_xlfn.XLOOKUP(A7935,'[1]Tissue Data'!$A:$A,'[1]Tissue Data'!K:K)</f>
        <v>Whole Body</v>
      </c>
      <c r="I7935">
        <f>_xlfn.XLOOKUP(A7935,'[1]Tissue Data'!$A:$A,'[1]Tissue Data'!L:L)</f>
        <v>7.5</v>
      </c>
      <c r="J7935">
        <f>_xlfn.XLOOKUP(A7935,'[1]Tissue Data'!$A:$A,'[1]Tissue Data'!M:M)</f>
        <v>4.16</v>
      </c>
      <c r="K7935" t="s">
        <v>45</v>
      </c>
      <c r="L7935" t="str">
        <f>_xlfn.XLOOKUP(K7935,[2]analyte_order!$B:$B,[2]analyte_order!$C:$C)</f>
        <v>39108-34-4</v>
      </c>
      <c r="M7935">
        <f>_xlfn.XLOOKUP(L7935,[2]analyte_order!$C:$C,[2]analyte_order!$E:$E)</f>
        <v>24</v>
      </c>
      <c r="N7935">
        <v>16.3</v>
      </c>
    </row>
    <row r="7936" spans="1:14">
      <c r="A7936" t="s">
        <v>147</v>
      </c>
      <c r="B7936" t="str">
        <f>_xlfn.XLOOKUP(A7936,'[1]Tissue Data'!$A:$A,'[1]Tissue Data'!$C:$C)</f>
        <v>Down</v>
      </c>
      <c r="C7936" s="2">
        <f>_xlfn.XLOOKUP(A7936,'[1]Tissue Data'!$A:$A,'[1]Tissue Data'!$D:$D)</f>
        <v>44393</v>
      </c>
      <c r="D7936" s="2" t="s">
        <v>131</v>
      </c>
      <c r="E7936" t="str">
        <f>_xlfn.XLOOKUP(A7936,'[1]Tissue Data'!$A:$A,'[1]Tissue Data'!$H:$H)</f>
        <v>Rhinichthys</v>
      </c>
      <c r="F7936" t="str">
        <f>_xlfn.XLOOKUP(A7936,'[1]Tissue Data'!$A:$A,'[1]Tissue Data'!$I:$I)</f>
        <v>atratulus</v>
      </c>
      <c r="G7936" t="str">
        <f>_xlfn.XLOOKUP(A7936,'[1]Tissue Data'!$A:$A,'[1]Tissue Data'!J:J)</f>
        <v>U</v>
      </c>
      <c r="H7936" t="str">
        <f>_xlfn.XLOOKUP(A7936,'[1]Tissue Data'!$A:$A,'[1]Tissue Data'!K:K)</f>
        <v>Whole Body</v>
      </c>
      <c r="I7936">
        <f>_xlfn.XLOOKUP(A7936,'[1]Tissue Data'!$A:$A,'[1]Tissue Data'!L:L)</f>
        <v>7.5</v>
      </c>
      <c r="J7936">
        <f>_xlfn.XLOOKUP(A7936,'[1]Tissue Data'!$A:$A,'[1]Tissue Data'!M:M)</f>
        <v>4.16</v>
      </c>
      <c r="K7936" t="s">
        <v>46</v>
      </c>
      <c r="L7936" t="str">
        <f>_xlfn.XLOOKUP(K7936,[2]analyte_order!$B:$B,[2]analyte_order!$C:$C)</f>
        <v>120226-60-0</v>
      </c>
      <c r="M7936">
        <f>_xlfn.XLOOKUP(L7936,[2]analyte_order!$C:$C,[2]analyte_order!$E:$E)</f>
        <v>25</v>
      </c>
      <c r="N7936">
        <v>0.42149999999999999</v>
      </c>
    </row>
    <row r="7937" spans="1:14">
      <c r="A7937" t="s">
        <v>147</v>
      </c>
      <c r="B7937" t="str">
        <f>_xlfn.XLOOKUP(A7937,'[1]Tissue Data'!$A:$A,'[1]Tissue Data'!$C:$C)</f>
        <v>Down</v>
      </c>
      <c r="C7937" s="2">
        <f>_xlfn.XLOOKUP(A7937,'[1]Tissue Data'!$A:$A,'[1]Tissue Data'!$D:$D)</f>
        <v>44393</v>
      </c>
      <c r="D7937" s="2" t="s">
        <v>131</v>
      </c>
      <c r="E7937" t="str">
        <f>_xlfn.XLOOKUP(A7937,'[1]Tissue Data'!$A:$A,'[1]Tissue Data'!$H:$H)</f>
        <v>Rhinichthys</v>
      </c>
      <c r="F7937" t="str">
        <f>_xlfn.XLOOKUP(A7937,'[1]Tissue Data'!$A:$A,'[1]Tissue Data'!$I:$I)</f>
        <v>atratulus</v>
      </c>
      <c r="G7937" t="str">
        <f>_xlfn.XLOOKUP(A7937,'[1]Tissue Data'!$A:$A,'[1]Tissue Data'!J:J)</f>
        <v>U</v>
      </c>
      <c r="H7937" t="str">
        <f>_xlfn.XLOOKUP(A7937,'[1]Tissue Data'!$A:$A,'[1]Tissue Data'!K:K)</f>
        <v>Whole Body</v>
      </c>
      <c r="I7937">
        <f>_xlfn.XLOOKUP(A7937,'[1]Tissue Data'!$A:$A,'[1]Tissue Data'!L:L)</f>
        <v>7.5</v>
      </c>
      <c r="J7937">
        <f>_xlfn.XLOOKUP(A7937,'[1]Tissue Data'!$A:$A,'[1]Tissue Data'!M:M)</f>
        <v>4.16</v>
      </c>
      <c r="K7937" t="s">
        <v>47</v>
      </c>
      <c r="L7937" t="str">
        <f>_xlfn.XLOOKUP(K7937,[2]analyte_order!$B:$B,[2]analyte_order!$C:$C)</f>
        <v>356-02-5</v>
      </c>
      <c r="M7937">
        <f>_xlfn.XLOOKUP(L7937,[2]analyte_order!$C:$C,[2]analyte_order!$E:$E)</f>
        <v>38</v>
      </c>
      <c r="N7937">
        <v>0.24299999999999999</v>
      </c>
    </row>
    <row r="7938" spans="1:14">
      <c r="A7938" t="s">
        <v>147</v>
      </c>
      <c r="B7938" t="str">
        <f>_xlfn.XLOOKUP(A7938,'[1]Tissue Data'!$A:$A,'[1]Tissue Data'!$C:$C)</f>
        <v>Down</v>
      </c>
      <c r="C7938" s="2">
        <f>_xlfn.XLOOKUP(A7938,'[1]Tissue Data'!$A:$A,'[1]Tissue Data'!$D:$D)</f>
        <v>44393</v>
      </c>
      <c r="D7938" s="2" t="s">
        <v>131</v>
      </c>
      <c r="E7938" t="str">
        <f>_xlfn.XLOOKUP(A7938,'[1]Tissue Data'!$A:$A,'[1]Tissue Data'!$H:$H)</f>
        <v>Rhinichthys</v>
      </c>
      <c r="F7938" t="str">
        <f>_xlfn.XLOOKUP(A7938,'[1]Tissue Data'!$A:$A,'[1]Tissue Data'!$I:$I)</f>
        <v>atratulus</v>
      </c>
      <c r="G7938" t="str">
        <f>_xlfn.XLOOKUP(A7938,'[1]Tissue Data'!$A:$A,'[1]Tissue Data'!J:J)</f>
        <v>U</v>
      </c>
      <c r="H7938" t="str">
        <f>_xlfn.XLOOKUP(A7938,'[1]Tissue Data'!$A:$A,'[1]Tissue Data'!K:K)</f>
        <v>Whole Body</v>
      </c>
      <c r="I7938">
        <f>_xlfn.XLOOKUP(A7938,'[1]Tissue Data'!$A:$A,'[1]Tissue Data'!L:L)</f>
        <v>7.5</v>
      </c>
      <c r="J7938">
        <f>_xlfn.XLOOKUP(A7938,'[1]Tissue Data'!$A:$A,'[1]Tissue Data'!M:M)</f>
        <v>4.16</v>
      </c>
      <c r="K7938" t="s">
        <v>48</v>
      </c>
      <c r="L7938" t="str">
        <f>_xlfn.XLOOKUP(K7938,[2]analyte_order!$B:$B,[2]analyte_order!$C:$C)</f>
        <v>914637-49-3</v>
      </c>
      <c r="M7938">
        <f>_xlfn.XLOOKUP(L7938,[2]analyte_order!$C:$C,[2]analyte_order!$E:$E)</f>
        <v>39</v>
      </c>
      <c r="N7938">
        <v>0.21099999999999999</v>
      </c>
    </row>
    <row r="7939" spans="1:14">
      <c r="A7939" t="s">
        <v>147</v>
      </c>
      <c r="B7939" t="str">
        <f>_xlfn.XLOOKUP(A7939,'[1]Tissue Data'!$A:$A,'[1]Tissue Data'!$C:$C)</f>
        <v>Down</v>
      </c>
      <c r="C7939" s="2">
        <f>_xlfn.XLOOKUP(A7939,'[1]Tissue Data'!$A:$A,'[1]Tissue Data'!$D:$D)</f>
        <v>44393</v>
      </c>
      <c r="D7939" s="2" t="s">
        <v>131</v>
      </c>
      <c r="E7939" t="str">
        <f>_xlfn.XLOOKUP(A7939,'[1]Tissue Data'!$A:$A,'[1]Tissue Data'!$H:$H)</f>
        <v>Rhinichthys</v>
      </c>
      <c r="F7939" t="str">
        <f>_xlfn.XLOOKUP(A7939,'[1]Tissue Data'!$A:$A,'[1]Tissue Data'!$I:$I)</f>
        <v>atratulus</v>
      </c>
      <c r="G7939" t="str">
        <f>_xlfn.XLOOKUP(A7939,'[1]Tissue Data'!$A:$A,'[1]Tissue Data'!J:J)</f>
        <v>U</v>
      </c>
      <c r="H7939" t="str">
        <f>_xlfn.XLOOKUP(A7939,'[1]Tissue Data'!$A:$A,'[1]Tissue Data'!K:K)</f>
        <v>Whole Body</v>
      </c>
      <c r="I7939">
        <f>_xlfn.XLOOKUP(A7939,'[1]Tissue Data'!$A:$A,'[1]Tissue Data'!L:L)</f>
        <v>7.5</v>
      </c>
      <c r="J7939">
        <f>_xlfn.XLOOKUP(A7939,'[1]Tissue Data'!$A:$A,'[1]Tissue Data'!M:M)</f>
        <v>4.16</v>
      </c>
      <c r="K7939" t="s">
        <v>49</v>
      </c>
      <c r="L7939" t="str">
        <f>_xlfn.XLOOKUP(K7939,[2]analyte_order!$B:$B,[2]analyte_order!$C:$C)</f>
        <v>812-70-4</v>
      </c>
      <c r="M7939">
        <f>_xlfn.XLOOKUP(L7939,[2]analyte_order!$C:$C,[2]analyte_order!$E:$E)</f>
        <v>40</v>
      </c>
      <c r="N7939">
        <v>1.18</v>
      </c>
    </row>
    <row r="7940" spans="1:14">
      <c r="A7940" t="s">
        <v>147</v>
      </c>
      <c r="B7940" t="str">
        <f>_xlfn.XLOOKUP(A7940,'[1]Tissue Data'!$A:$A,'[1]Tissue Data'!$C:$C)</f>
        <v>Down</v>
      </c>
      <c r="C7940" s="2">
        <f>_xlfn.XLOOKUP(A7940,'[1]Tissue Data'!$A:$A,'[1]Tissue Data'!$D:$D)</f>
        <v>44393</v>
      </c>
      <c r="D7940" s="2" t="s">
        <v>131</v>
      </c>
      <c r="E7940" t="str">
        <f>_xlfn.XLOOKUP(A7940,'[1]Tissue Data'!$A:$A,'[1]Tissue Data'!$H:$H)</f>
        <v>Rhinichthys</v>
      </c>
      <c r="F7940" t="str">
        <f>_xlfn.XLOOKUP(A7940,'[1]Tissue Data'!$A:$A,'[1]Tissue Data'!$I:$I)</f>
        <v>atratulus</v>
      </c>
      <c r="G7940" t="str">
        <f>_xlfn.XLOOKUP(A7940,'[1]Tissue Data'!$A:$A,'[1]Tissue Data'!J:J)</f>
        <v>U</v>
      </c>
      <c r="H7940" t="str">
        <f>_xlfn.XLOOKUP(A7940,'[1]Tissue Data'!$A:$A,'[1]Tissue Data'!K:K)</f>
        <v>Whole Body</v>
      </c>
      <c r="I7940">
        <f>_xlfn.XLOOKUP(A7940,'[1]Tissue Data'!$A:$A,'[1]Tissue Data'!L:L)</f>
        <v>7.5</v>
      </c>
      <c r="J7940">
        <f>_xlfn.XLOOKUP(A7940,'[1]Tissue Data'!$A:$A,'[1]Tissue Data'!M:M)</f>
        <v>4.16</v>
      </c>
      <c r="K7940" t="s">
        <v>50</v>
      </c>
      <c r="L7940" t="str">
        <f>_xlfn.XLOOKUP(K7940,[2]analyte_order!$B:$B,[2]analyte_order!$C:$C)</f>
        <v>53826-12-3</v>
      </c>
      <c r="M7940">
        <f>_xlfn.XLOOKUP(L7940,[2]analyte_order!$C:$C,[2]analyte_order!$E:$E)</f>
        <v>41</v>
      </c>
      <c r="N7940">
        <v>0.42149999999999999</v>
      </c>
    </row>
    <row r="7941" spans="1:14">
      <c r="A7941" t="s">
        <v>147</v>
      </c>
      <c r="B7941" t="str">
        <f>_xlfn.XLOOKUP(A7941,'[1]Tissue Data'!$A:$A,'[1]Tissue Data'!$C:$C)</f>
        <v>Down</v>
      </c>
      <c r="C7941" s="2">
        <f>_xlfn.XLOOKUP(A7941,'[1]Tissue Data'!$A:$A,'[1]Tissue Data'!$D:$D)</f>
        <v>44393</v>
      </c>
      <c r="D7941" s="2" t="s">
        <v>131</v>
      </c>
      <c r="E7941" t="str">
        <f>_xlfn.XLOOKUP(A7941,'[1]Tissue Data'!$A:$A,'[1]Tissue Data'!$H:$H)</f>
        <v>Rhinichthys</v>
      </c>
      <c r="F7941" t="str">
        <f>_xlfn.XLOOKUP(A7941,'[1]Tissue Data'!$A:$A,'[1]Tissue Data'!$I:$I)</f>
        <v>atratulus</v>
      </c>
      <c r="G7941" t="str">
        <f>_xlfn.XLOOKUP(A7941,'[1]Tissue Data'!$A:$A,'[1]Tissue Data'!J:J)</f>
        <v>U</v>
      </c>
      <c r="H7941" t="str">
        <f>_xlfn.XLOOKUP(A7941,'[1]Tissue Data'!$A:$A,'[1]Tissue Data'!K:K)</f>
        <v>Whole Body</v>
      </c>
      <c r="I7941">
        <f>_xlfn.XLOOKUP(A7941,'[1]Tissue Data'!$A:$A,'[1]Tissue Data'!L:L)</f>
        <v>7.5</v>
      </c>
      <c r="J7941">
        <f>_xlfn.XLOOKUP(A7941,'[1]Tissue Data'!$A:$A,'[1]Tissue Data'!M:M)</f>
        <v>4.16</v>
      </c>
      <c r="K7941" t="s">
        <v>51</v>
      </c>
      <c r="L7941" t="str">
        <f>_xlfn.XLOOKUP(K7941,[2]analyte_order!$B:$B,[2]analyte_order!$C:$C)</f>
        <v>27854-31-5</v>
      </c>
      <c r="M7941">
        <f>_xlfn.XLOOKUP(L7941,[2]analyte_order!$C:$C,[2]analyte_order!$E:$E)</f>
        <v>42</v>
      </c>
      <c r="N7941">
        <v>0.42149999999999999</v>
      </c>
    </row>
    <row r="7942" spans="1:14">
      <c r="A7942" t="s">
        <v>147</v>
      </c>
      <c r="B7942" t="str">
        <f>_xlfn.XLOOKUP(A7942,'[1]Tissue Data'!$A:$A,'[1]Tissue Data'!$C:$C)</f>
        <v>Down</v>
      </c>
      <c r="C7942" s="2">
        <f>_xlfn.XLOOKUP(A7942,'[1]Tissue Data'!$A:$A,'[1]Tissue Data'!$D:$D)</f>
        <v>44393</v>
      </c>
      <c r="D7942" s="2" t="s">
        <v>131</v>
      </c>
      <c r="E7942" t="str">
        <f>_xlfn.XLOOKUP(A7942,'[1]Tissue Data'!$A:$A,'[1]Tissue Data'!$H:$H)</f>
        <v>Rhinichthys</v>
      </c>
      <c r="F7942" t="str">
        <f>_xlfn.XLOOKUP(A7942,'[1]Tissue Data'!$A:$A,'[1]Tissue Data'!$I:$I)</f>
        <v>atratulus</v>
      </c>
      <c r="G7942" t="str">
        <f>_xlfn.XLOOKUP(A7942,'[1]Tissue Data'!$A:$A,'[1]Tissue Data'!J:J)</f>
        <v>U</v>
      </c>
      <c r="H7942" t="str">
        <f>_xlfn.XLOOKUP(A7942,'[1]Tissue Data'!$A:$A,'[1]Tissue Data'!K:K)</f>
        <v>Whole Body</v>
      </c>
      <c r="I7942">
        <f>_xlfn.XLOOKUP(A7942,'[1]Tissue Data'!$A:$A,'[1]Tissue Data'!L:L)</f>
        <v>7.5</v>
      </c>
      <c r="J7942">
        <f>_xlfn.XLOOKUP(A7942,'[1]Tissue Data'!$A:$A,'[1]Tissue Data'!M:M)</f>
        <v>4.16</v>
      </c>
      <c r="K7942" t="s">
        <v>52</v>
      </c>
      <c r="L7942" t="str">
        <f>_xlfn.XLOOKUP(K7942,[2]analyte_order!$B:$B,[2]analyte_order!$C:$C)</f>
        <v>53826-13-4</v>
      </c>
      <c r="M7942">
        <f>_xlfn.XLOOKUP(L7942,[2]analyte_order!$C:$C,[2]analyte_order!$E:$E)</f>
        <v>43</v>
      </c>
      <c r="N7942">
        <v>0.42149999999999999</v>
      </c>
    </row>
    <row r="7943" spans="1:14">
      <c r="A7943" t="s">
        <v>147</v>
      </c>
      <c r="B7943" t="str">
        <f>_xlfn.XLOOKUP(A7943,'[1]Tissue Data'!$A:$A,'[1]Tissue Data'!$C:$C)</f>
        <v>Down</v>
      </c>
      <c r="C7943" s="2">
        <f>_xlfn.XLOOKUP(A7943,'[1]Tissue Data'!$A:$A,'[1]Tissue Data'!$D:$D)</f>
        <v>44393</v>
      </c>
      <c r="D7943" s="2" t="s">
        <v>131</v>
      </c>
      <c r="E7943" t="str">
        <f>_xlfn.XLOOKUP(A7943,'[1]Tissue Data'!$A:$A,'[1]Tissue Data'!$H:$H)</f>
        <v>Rhinichthys</v>
      </c>
      <c r="F7943" t="str">
        <f>_xlfn.XLOOKUP(A7943,'[1]Tissue Data'!$A:$A,'[1]Tissue Data'!$I:$I)</f>
        <v>atratulus</v>
      </c>
      <c r="G7943" t="str">
        <f>_xlfn.XLOOKUP(A7943,'[1]Tissue Data'!$A:$A,'[1]Tissue Data'!J:J)</f>
        <v>U</v>
      </c>
      <c r="H7943" t="str">
        <f>_xlfn.XLOOKUP(A7943,'[1]Tissue Data'!$A:$A,'[1]Tissue Data'!K:K)</f>
        <v>Whole Body</v>
      </c>
      <c r="I7943">
        <f>_xlfn.XLOOKUP(A7943,'[1]Tissue Data'!$A:$A,'[1]Tissue Data'!L:L)</f>
        <v>7.5</v>
      </c>
      <c r="J7943">
        <f>_xlfn.XLOOKUP(A7943,'[1]Tissue Data'!$A:$A,'[1]Tissue Data'!M:M)</f>
        <v>4.16</v>
      </c>
      <c r="K7943" t="s">
        <v>53</v>
      </c>
      <c r="L7943" t="str">
        <f>_xlfn.XLOOKUP(K7943,[2]analyte_order!$B:$B,[2]analyte_order!$C:$C)</f>
        <v>161094-75-3</v>
      </c>
      <c r="M7943">
        <f>_xlfn.XLOOKUP(L7943,[2]analyte_order!$C:$C,[2]analyte_order!$E:$E)</f>
        <v>44</v>
      </c>
      <c r="N7943">
        <v>0.42149999999999999</v>
      </c>
    </row>
    <row r="7944" spans="1:14">
      <c r="A7944" t="s">
        <v>147</v>
      </c>
      <c r="B7944" t="str">
        <f>_xlfn.XLOOKUP(A7944,'[1]Tissue Data'!$A:$A,'[1]Tissue Data'!$C:$C)</f>
        <v>Down</v>
      </c>
      <c r="C7944" s="2">
        <f>_xlfn.XLOOKUP(A7944,'[1]Tissue Data'!$A:$A,'[1]Tissue Data'!$D:$D)</f>
        <v>44393</v>
      </c>
      <c r="D7944" s="2" t="s">
        <v>131</v>
      </c>
      <c r="E7944" t="str">
        <f>_xlfn.XLOOKUP(A7944,'[1]Tissue Data'!$A:$A,'[1]Tissue Data'!$H:$H)</f>
        <v>Rhinichthys</v>
      </c>
      <c r="F7944" t="str">
        <f>_xlfn.XLOOKUP(A7944,'[1]Tissue Data'!$A:$A,'[1]Tissue Data'!$I:$I)</f>
        <v>atratulus</v>
      </c>
      <c r="G7944" t="str">
        <f>_xlfn.XLOOKUP(A7944,'[1]Tissue Data'!$A:$A,'[1]Tissue Data'!J:J)</f>
        <v>U</v>
      </c>
      <c r="H7944" t="str">
        <f>_xlfn.XLOOKUP(A7944,'[1]Tissue Data'!$A:$A,'[1]Tissue Data'!K:K)</f>
        <v>Whole Body</v>
      </c>
      <c r="I7944">
        <f>_xlfn.XLOOKUP(A7944,'[1]Tissue Data'!$A:$A,'[1]Tissue Data'!L:L)</f>
        <v>7.5</v>
      </c>
      <c r="J7944">
        <f>_xlfn.XLOOKUP(A7944,'[1]Tissue Data'!$A:$A,'[1]Tissue Data'!M:M)</f>
        <v>4.16</v>
      </c>
      <c r="K7944" t="s">
        <v>54</v>
      </c>
      <c r="L7944" t="str">
        <f>_xlfn.XLOOKUP(K7944,[2]analyte_order!$B:$B,[2]analyte_order!$C:$C)</f>
        <v>70887-84-2</v>
      </c>
      <c r="M7944">
        <f>_xlfn.XLOOKUP(L7944,[2]analyte_order!$C:$C,[2]analyte_order!$E:$E)</f>
        <v>45</v>
      </c>
      <c r="N7944">
        <v>0.42149999999999999</v>
      </c>
    </row>
    <row r="7945" spans="1:14">
      <c r="A7945" t="s">
        <v>147</v>
      </c>
      <c r="B7945" t="str">
        <f>_xlfn.XLOOKUP(A7945,'[1]Tissue Data'!$A:$A,'[1]Tissue Data'!$C:$C)</f>
        <v>Down</v>
      </c>
      <c r="C7945" s="2">
        <f>_xlfn.XLOOKUP(A7945,'[1]Tissue Data'!$A:$A,'[1]Tissue Data'!$D:$D)</f>
        <v>44393</v>
      </c>
      <c r="D7945" s="2" t="s">
        <v>131</v>
      </c>
      <c r="E7945" t="str">
        <f>_xlfn.XLOOKUP(A7945,'[1]Tissue Data'!$A:$A,'[1]Tissue Data'!$H:$H)</f>
        <v>Rhinichthys</v>
      </c>
      <c r="F7945" t="str">
        <f>_xlfn.XLOOKUP(A7945,'[1]Tissue Data'!$A:$A,'[1]Tissue Data'!$I:$I)</f>
        <v>atratulus</v>
      </c>
      <c r="G7945" t="str">
        <f>_xlfn.XLOOKUP(A7945,'[1]Tissue Data'!$A:$A,'[1]Tissue Data'!J:J)</f>
        <v>U</v>
      </c>
      <c r="H7945" t="str">
        <f>_xlfn.XLOOKUP(A7945,'[1]Tissue Data'!$A:$A,'[1]Tissue Data'!K:K)</f>
        <v>Whole Body</v>
      </c>
      <c r="I7945">
        <f>_xlfn.XLOOKUP(A7945,'[1]Tissue Data'!$A:$A,'[1]Tissue Data'!L:L)</f>
        <v>7.5</v>
      </c>
      <c r="J7945">
        <f>_xlfn.XLOOKUP(A7945,'[1]Tissue Data'!$A:$A,'[1]Tissue Data'!M:M)</f>
        <v>4.16</v>
      </c>
      <c r="K7945" t="s">
        <v>55</v>
      </c>
      <c r="L7945" t="str">
        <f>_xlfn.XLOOKUP(K7945,[2]analyte_order!$B:$B,[2]analyte_order!$C:$C)</f>
        <v>919005-14-4</v>
      </c>
      <c r="M7945">
        <f>_xlfn.XLOOKUP(L7945,[2]analyte_order!$C:$C,[2]analyte_order!$E:$E)</f>
        <v>35</v>
      </c>
      <c r="N7945">
        <v>0.21099999999999999</v>
      </c>
    </row>
    <row r="7946" spans="1:14">
      <c r="A7946" t="s">
        <v>147</v>
      </c>
      <c r="B7946" t="str">
        <f>_xlfn.XLOOKUP(A7946,'[1]Tissue Data'!$A:$A,'[1]Tissue Data'!$C:$C)</f>
        <v>Down</v>
      </c>
      <c r="C7946" s="2">
        <f>_xlfn.XLOOKUP(A7946,'[1]Tissue Data'!$A:$A,'[1]Tissue Data'!$D:$D)</f>
        <v>44393</v>
      </c>
      <c r="D7946" s="2" t="s">
        <v>131</v>
      </c>
      <c r="E7946" t="str">
        <f>_xlfn.XLOOKUP(A7946,'[1]Tissue Data'!$A:$A,'[1]Tissue Data'!$H:$H)</f>
        <v>Rhinichthys</v>
      </c>
      <c r="F7946" t="str">
        <f>_xlfn.XLOOKUP(A7946,'[1]Tissue Data'!$A:$A,'[1]Tissue Data'!$I:$I)</f>
        <v>atratulus</v>
      </c>
      <c r="G7946" t="str">
        <f>_xlfn.XLOOKUP(A7946,'[1]Tissue Data'!$A:$A,'[1]Tissue Data'!J:J)</f>
        <v>U</v>
      </c>
      <c r="H7946" t="str">
        <f>_xlfn.XLOOKUP(A7946,'[1]Tissue Data'!$A:$A,'[1]Tissue Data'!K:K)</f>
        <v>Whole Body</v>
      </c>
      <c r="I7946">
        <f>_xlfn.XLOOKUP(A7946,'[1]Tissue Data'!$A:$A,'[1]Tissue Data'!L:L)</f>
        <v>7.5</v>
      </c>
      <c r="J7946">
        <f>_xlfn.XLOOKUP(A7946,'[1]Tissue Data'!$A:$A,'[1]Tissue Data'!M:M)</f>
        <v>4.16</v>
      </c>
      <c r="K7946" t="s">
        <v>56</v>
      </c>
      <c r="L7946" t="str">
        <f>_xlfn.XLOOKUP(K7946,[2]analyte_order!$B:$B,[2]analyte_order!$C:$C)</f>
        <v>756426-58-1</v>
      </c>
      <c r="M7946">
        <f>_xlfn.XLOOKUP(L7946,[2]analyte_order!$C:$C,[2]analyte_order!$E:$E)</f>
        <v>36</v>
      </c>
      <c r="N7946">
        <v>0.42149999999999999</v>
      </c>
    </row>
    <row r="7947" spans="1:14">
      <c r="A7947" t="s">
        <v>147</v>
      </c>
      <c r="B7947" t="str">
        <f>_xlfn.XLOOKUP(A7947,'[1]Tissue Data'!$A:$A,'[1]Tissue Data'!$C:$C)</f>
        <v>Down</v>
      </c>
      <c r="C7947" s="2">
        <f>_xlfn.XLOOKUP(A7947,'[1]Tissue Data'!$A:$A,'[1]Tissue Data'!$D:$D)</f>
        <v>44393</v>
      </c>
      <c r="D7947" s="2" t="s">
        <v>131</v>
      </c>
      <c r="E7947" t="str">
        <f>_xlfn.XLOOKUP(A7947,'[1]Tissue Data'!$A:$A,'[1]Tissue Data'!$H:$H)</f>
        <v>Rhinichthys</v>
      </c>
      <c r="F7947" t="str">
        <f>_xlfn.XLOOKUP(A7947,'[1]Tissue Data'!$A:$A,'[1]Tissue Data'!$I:$I)</f>
        <v>atratulus</v>
      </c>
      <c r="G7947" t="str">
        <f>_xlfn.XLOOKUP(A7947,'[1]Tissue Data'!$A:$A,'[1]Tissue Data'!J:J)</f>
        <v>U</v>
      </c>
      <c r="H7947" t="str">
        <f>_xlfn.XLOOKUP(A7947,'[1]Tissue Data'!$A:$A,'[1]Tissue Data'!K:K)</f>
        <v>Whole Body</v>
      </c>
      <c r="I7947">
        <f>_xlfn.XLOOKUP(A7947,'[1]Tissue Data'!$A:$A,'[1]Tissue Data'!L:L)</f>
        <v>7.5</v>
      </c>
      <c r="J7947">
        <f>_xlfn.XLOOKUP(A7947,'[1]Tissue Data'!$A:$A,'[1]Tissue Data'!M:M)</f>
        <v>4.16</v>
      </c>
      <c r="K7947" t="s">
        <v>57</v>
      </c>
      <c r="L7947" t="str">
        <f>_xlfn.XLOOKUP(K7947,[2]analyte_order!$B:$B,[2]analyte_order!$C:$C)</f>
        <v>763051-92-9</v>
      </c>
      <c r="M7947">
        <f>_xlfn.XLOOKUP(L7947,[2]analyte_order!$C:$C,[2]analyte_order!$E:$E)</f>
        <v>37</v>
      </c>
      <c r="N7947">
        <v>0.42149999999999999</v>
      </c>
    </row>
    <row r="7948" spans="1:14">
      <c r="A7948" t="s">
        <v>147</v>
      </c>
      <c r="B7948" t="str">
        <f>_xlfn.XLOOKUP(A7948,'[1]Tissue Data'!$A:$A,'[1]Tissue Data'!$C:$C)</f>
        <v>Down</v>
      </c>
      <c r="C7948" s="2">
        <f>_xlfn.XLOOKUP(A7948,'[1]Tissue Data'!$A:$A,'[1]Tissue Data'!$D:$D)</f>
        <v>44393</v>
      </c>
      <c r="D7948" s="2" t="s">
        <v>131</v>
      </c>
      <c r="E7948" t="str">
        <f>_xlfn.XLOOKUP(A7948,'[1]Tissue Data'!$A:$A,'[1]Tissue Data'!$H:$H)</f>
        <v>Rhinichthys</v>
      </c>
      <c r="F7948" t="str">
        <f>_xlfn.XLOOKUP(A7948,'[1]Tissue Data'!$A:$A,'[1]Tissue Data'!$I:$I)</f>
        <v>atratulus</v>
      </c>
      <c r="G7948" t="str">
        <f>_xlfn.XLOOKUP(A7948,'[1]Tissue Data'!$A:$A,'[1]Tissue Data'!J:J)</f>
        <v>U</v>
      </c>
      <c r="H7948" t="str">
        <f>_xlfn.XLOOKUP(A7948,'[1]Tissue Data'!$A:$A,'[1]Tissue Data'!K:K)</f>
        <v>Whole Body</v>
      </c>
      <c r="I7948">
        <f>_xlfn.XLOOKUP(A7948,'[1]Tissue Data'!$A:$A,'[1]Tissue Data'!L:L)</f>
        <v>7.5</v>
      </c>
      <c r="J7948">
        <f>_xlfn.XLOOKUP(A7948,'[1]Tissue Data'!$A:$A,'[1]Tissue Data'!M:M)</f>
        <v>4.16</v>
      </c>
      <c r="K7948" t="s">
        <v>58</v>
      </c>
      <c r="L7948" t="str">
        <f>_xlfn.XLOOKUP(K7948,[2]analyte_order!$B:$B,[2]analyte_order!$C:$C)</f>
        <v>13252-13-6</v>
      </c>
      <c r="M7948">
        <f>_xlfn.XLOOKUP(L7948,[2]analyte_order!$C:$C,[2]analyte_order!$E:$E)</f>
        <v>34</v>
      </c>
      <c r="N7948">
        <v>0.30249999999999999</v>
      </c>
    </row>
    <row r="7949" spans="1:14">
      <c r="A7949" t="s">
        <v>147</v>
      </c>
      <c r="B7949" t="str">
        <f>_xlfn.XLOOKUP(A7949,'[1]Tissue Data'!$A:$A,'[1]Tissue Data'!$C:$C)</f>
        <v>Down</v>
      </c>
      <c r="C7949" s="2">
        <f>_xlfn.XLOOKUP(A7949,'[1]Tissue Data'!$A:$A,'[1]Tissue Data'!$D:$D)</f>
        <v>44393</v>
      </c>
      <c r="D7949" s="2" t="s">
        <v>131</v>
      </c>
      <c r="E7949" t="str">
        <f>_xlfn.XLOOKUP(A7949,'[1]Tissue Data'!$A:$A,'[1]Tissue Data'!$H:$H)</f>
        <v>Rhinichthys</v>
      </c>
      <c r="F7949" t="str">
        <f>_xlfn.XLOOKUP(A7949,'[1]Tissue Data'!$A:$A,'[1]Tissue Data'!$I:$I)</f>
        <v>atratulus</v>
      </c>
      <c r="G7949" t="str">
        <f>_xlfn.XLOOKUP(A7949,'[1]Tissue Data'!$A:$A,'[1]Tissue Data'!J:J)</f>
        <v>U</v>
      </c>
      <c r="H7949" t="str">
        <f>_xlfn.XLOOKUP(A7949,'[1]Tissue Data'!$A:$A,'[1]Tissue Data'!K:K)</f>
        <v>Whole Body</v>
      </c>
      <c r="I7949">
        <f>_xlfn.XLOOKUP(A7949,'[1]Tissue Data'!$A:$A,'[1]Tissue Data'!L:L)</f>
        <v>7.5</v>
      </c>
      <c r="J7949">
        <f>_xlfn.XLOOKUP(A7949,'[1]Tissue Data'!$A:$A,'[1]Tissue Data'!M:M)</f>
        <v>4.16</v>
      </c>
      <c r="K7949" t="s">
        <v>59</v>
      </c>
      <c r="L7949" t="str">
        <f>_xlfn.XLOOKUP(K7949,[2]analyte_order!$B:$B,[2]analyte_order!$C:$C)</f>
        <v>57677-95-9</v>
      </c>
      <c r="M7949">
        <f>_xlfn.XLOOKUP(L7949,[2]analyte_order!$C:$C,[2]analyte_order!$E:$E)</f>
        <v>46</v>
      </c>
      <c r="N7949">
        <v>0.42149999999999999</v>
      </c>
    </row>
    <row r="7950" spans="1:14">
      <c r="A7950" t="s">
        <v>147</v>
      </c>
      <c r="B7950" t="str">
        <f>_xlfn.XLOOKUP(A7950,'[1]Tissue Data'!$A:$A,'[1]Tissue Data'!$C:$C)</f>
        <v>Down</v>
      </c>
      <c r="C7950" s="2">
        <f>_xlfn.XLOOKUP(A7950,'[1]Tissue Data'!$A:$A,'[1]Tissue Data'!$D:$D)</f>
        <v>44393</v>
      </c>
      <c r="D7950" s="2" t="s">
        <v>131</v>
      </c>
      <c r="E7950" t="str">
        <f>_xlfn.XLOOKUP(A7950,'[1]Tissue Data'!$A:$A,'[1]Tissue Data'!$H:$H)</f>
        <v>Rhinichthys</v>
      </c>
      <c r="F7950" t="str">
        <f>_xlfn.XLOOKUP(A7950,'[1]Tissue Data'!$A:$A,'[1]Tissue Data'!$I:$I)</f>
        <v>atratulus</v>
      </c>
      <c r="G7950" t="str">
        <f>_xlfn.XLOOKUP(A7950,'[1]Tissue Data'!$A:$A,'[1]Tissue Data'!J:J)</f>
        <v>U</v>
      </c>
      <c r="H7950" t="str">
        <f>_xlfn.XLOOKUP(A7950,'[1]Tissue Data'!$A:$A,'[1]Tissue Data'!K:K)</f>
        <v>Whole Body</v>
      </c>
      <c r="I7950">
        <f>_xlfn.XLOOKUP(A7950,'[1]Tissue Data'!$A:$A,'[1]Tissue Data'!L:L)</f>
        <v>7.5</v>
      </c>
      <c r="J7950">
        <f>_xlfn.XLOOKUP(A7950,'[1]Tissue Data'!$A:$A,'[1]Tissue Data'!M:M)</f>
        <v>4.16</v>
      </c>
      <c r="K7950" t="s">
        <v>60</v>
      </c>
      <c r="L7950" t="str">
        <f>_xlfn.XLOOKUP(K7950,[2]analyte_order!$B:$B,[2]analyte_order!$C:$C)</f>
        <v>678-41-1</v>
      </c>
      <c r="M7950">
        <f>_xlfn.XLOOKUP(L7950,[2]analyte_order!$C:$C,[2]analyte_order!$E:$E)</f>
        <v>56</v>
      </c>
      <c r="N7950">
        <v>0.42149999999999999</v>
      </c>
    </row>
    <row r="7951" spans="1:14">
      <c r="A7951" t="s">
        <v>147</v>
      </c>
      <c r="B7951" t="str">
        <f>_xlfn.XLOOKUP(A7951,'[1]Tissue Data'!$A:$A,'[1]Tissue Data'!$C:$C)</f>
        <v>Down</v>
      </c>
      <c r="C7951" s="2">
        <f>_xlfn.XLOOKUP(A7951,'[1]Tissue Data'!$A:$A,'[1]Tissue Data'!$D:$D)</f>
        <v>44393</v>
      </c>
      <c r="D7951" s="2" t="s">
        <v>131</v>
      </c>
      <c r="E7951" t="str">
        <f>_xlfn.XLOOKUP(A7951,'[1]Tissue Data'!$A:$A,'[1]Tissue Data'!$H:$H)</f>
        <v>Rhinichthys</v>
      </c>
      <c r="F7951" t="str">
        <f>_xlfn.XLOOKUP(A7951,'[1]Tissue Data'!$A:$A,'[1]Tissue Data'!$I:$I)</f>
        <v>atratulus</v>
      </c>
      <c r="G7951" t="str">
        <f>_xlfn.XLOOKUP(A7951,'[1]Tissue Data'!$A:$A,'[1]Tissue Data'!J:J)</f>
        <v>U</v>
      </c>
      <c r="H7951" t="str">
        <f>_xlfn.XLOOKUP(A7951,'[1]Tissue Data'!$A:$A,'[1]Tissue Data'!K:K)</f>
        <v>Whole Body</v>
      </c>
      <c r="I7951">
        <f>_xlfn.XLOOKUP(A7951,'[1]Tissue Data'!$A:$A,'[1]Tissue Data'!L:L)</f>
        <v>7.5</v>
      </c>
      <c r="J7951">
        <f>_xlfn.XLOOKUP(A7951,'[1]Tissue Data'!$A:$A,'[1]Tissue Data'!M:M)</f>
        <v>4.16</v>
      </c>
      <c r="K7951" t="s">
        <v>61</v>
      </c>
      <c r="L7951" t="str">
        <f>_xlfn.XLOOKUP(K7951,[2]analyte_order!$B:$B,[2]analyte_order!$C:$C)</f>
        <v>2965-52-8</v>
      </c>
      <c r="M7951">
        <f>_xlfn.XLOOKUP(L7951,[2]analyte_order!$C:$C,[2]analyte_order!$E:$E)</f>
        <v>57</v>
      </c>
      <c r="N7951">
        <v>0.42149999999999999</v>
      </c>
    </row>
    <row r="7952" spans="1:14">
      <c r="A7952" t="s">
        <v>148</v>
      </c>
      <c r="B7952" t="str">
        <f>_xlfn.XLOOKUP(A7952,'[1]Tissue Data'!$A:$A,'[1]Tissue Data'!$C:$C)</f>
        <v>Down</v>
      </c>
      <c r="C7952" s="2">
        <f>_xlfn.XLOOKUP(A7952,'[1]Tissue Data'!$A:$A,'[1]Tissue Data'!$D:$D)</f>
        <v>44393</v>
      </c>
      <c r="D7952" s="2" t="s">
        <v>131</v>
      </c>
      <c r="E7952" t="str">
        <f>_xlfn.XLOOKUP(A7952,'[1]Tissue Data'!$A:$A,'[1]Tissue Data'!$H:$H)</f>
        <v>Rhinichthys</v>
      </c>
      <c r="F7952" t="str">
        <f>_xlfn.XLOOKUP(A7952,'[1]Tissue Data'!$A:$A,'[1]Tissue Data'!$I:$I)</f>
        <v>atratulus</v>
      </c>
      <c r="G7952" t="str">
        <f>_xlfn.XLOOKUP(A7952,'[1]Tissue Data'!$A:$A,'[1]Tissue Data'!J:J)</f>
        <v>U</v>
      </c>
      <c r="H7952" t="str">
        <f>_xlfn.XLOOKUP(A7952,'[1]Tissue Data'!$A:$A,'[1]Tissue Data'!K:K)</f>
        <v>Whole Body</v>
      </c>
      <c r="I7952">
        <f>_xlfn.XLOOKUP(A7952,'[1]Tissue Data'!$A:$A,'[1]Tissue Data'!L:L)</f>
        <v>8</v>
      </c>
      <c r="J7952">
        <f>_xlfn.XLOOKUP(A7952,'[1]Tissue Data'!$A:$A,'[1]Tissue Data'!M:M)</f>
        <v>6.17</v>
      </c>
      <c r="K7952" t="s">
        <v>12</v>
      </c>
      <c r="L7952" t="str">
        <f>_xlfn.XLOOKUP(K7952,[2]analyte_order!$B:$B,[2]analyte_order!$C:$C)</f>
        <v>375-22-4</v>
      </c>
      <c r="M7952">
        <f>_xlfn.XLOOKUP(L7952,[2]analyte_order!$C:$C,[2]analyte_order!$E:$E)</f>
        <v>1</v>
      </c>
      <c r="N7952">
        <v>0.2175</v>
      </c>
    </row>
    <row r="7953" spans="1:14">
      <c r="A7953" t="s">
        <v>148</v>
      </c>
      <c r="B7953" t="str">
        <f>_xlfn.XLOOKUP(A7953,'[1]Tissue Data'!$A:$A,'[1]Tissue Data'!$C:$C)</f>
        <v>Down</v>
      </c>
      <c r="C7953" s="2">
        <f>_xlfn.XLOOKUP(A7953,'[1]Tissue Data'!$A:$A,'[1]Tissue Data'!$D:$D)</f>
        <v>44393</v>
      </c>
      <c r="D7953" s="2" t="s">
        <v>131</v>
      </c>
      <c r="E7953" t="str">
        <f>_xlfn.XLOOKUP(A7953,'[1]Tissue Data'!$A:$A,'[1]Tissue Data'!$H:$H)</f>
        <v>Rhinichthys</v>
      </c>
      <c r="F7953" t="str">
        <f>_xlfn.XLOOKUP(A7953,'[1]Tissue Data'!$A:$A,'[1]Tissue Data'!$I:$I)</f>
        <v>atratulus</v>
      </c>
      <c r="G7953" t="str">
        <f>_xlfn.XLOOKUP(A7953,'[1]Tissue Data'!$A:$A,'[1]Tissue Data'!J:J)</f>
        <v>U</v>
      </c>
      <c r="H7953" t="str">
        <f>_xlfn.XLOOKUP(A7953,'[1]Tissue Data'!$A:$A,'[1]Tissue Data'!K:K)</f>
        <v>Whole Body</v>
      </c>
      <c r="I7953">
        <f>_xlfn.XLOOKUP(A7953,'[1]Tissue Data'!$A:$A,'[1]Tissue Data'!L:L)</f>
        <v>8</v>
      </c>
      <c r="J7953">
        <f>_xlfn.XLOOKUP(A7953,'[1]Tissue Data'!$A:$A,'[1]Tissue Data'!M:M)</f>
        <v>6.17</v>
      </c>
      <c r="K7953" t="s">
        <v>13</v>
      </c>
      <c r="L7953" t="str">
        <f>_xlfn.XLOOKUP(K7953,[2]analyte_order!$B:$B,[2]analyte_order!$C:$C)</f>
        <v>2706-90-3</v>
      </c>
      <c r="M7953">
        <f>_xlfn.XLOOKUP(L7953,[2]analyte_order!$C:$C,[2]analyte_order!$E:$E)</f>
        <v>2</v>
      </c>
      <c r="N7953">
        <v>0.2175</v>
      </c>
    </row>
    <row r="7954" spans="1:14">
      <c r="A7954" t="s">
        <v>148</v>
      </c>
      <c r="B7954" t="str">
        <f>_xlfn.XLOOKUP(A7954,'[1]Tissue Data'!$A:$A,'[1]Tissue Data'!$C:$C)</f>
        <v>Down</v>
      </c>
      <c r="C7954" s="2">
        <f>_xlfn.XLOOKUP(A7954,'[1]Tissue Data'!$A:$A,'[1]Tissue Data'!$D:$D)</f>
        <v>44393</v>
      </c>
      <c r="D7954" s="2" t="s">
        <v>131</v>
      </c>
      <c r="E7954" t="str">
        <f>_xlfn.XLOOKUP(A7954,'[1]Tissue Data'!$A:$A,'[1]Tissue Data'!$H:$H)</f>
        <v>Rhinichthys</v>
      </c>
      <c r="F7954" t="str">
        <f>_xlfn.XLOOKUP(A7954,'[1]Tissue Data'!$A:$A,'[1]Tissue Data'!$I:$I)</f>
        <v>atratulus</v>
      </c>
      <c r="G7954" t="str">
        <f>_xlfn.XLOOKUP(A7954,'[1]Tissue Data'!$A:$A,'[1]Tissue Data'!J:J)</f>
        <v>U</v>
      </c>
      <c r="H7954" t="str">
        <f>_xlfn.XLOOKUP(A7954,'[1]Tissue Data'!$A:$A,'[1]Tissue Data'!K:K)</f>
        <v>Whole Body</v>
      </c>
      <c r="I7954">
        <f>_xlfn.XLOOKUP(A7954,'[1]Tissue Data'!$A:$A,'[1]Tissue Data'!L:L)</f>
        <v>8</v>
      </c>
      <c r="J7954">
        <f>_xlfn.XLOOKUP(A7954,'[1]Tissue Data'!$A:$A,'[1]Tissue Data'!M:M)</f>
        <v>6.17</v>
      </c>
      <c r="K7954" t="s">
        <v>14</v>
      </c>
      <c r="L7954" t="str">
        <f>_xlfn.XLOOKUP(K7954,[2]analyte_order!$B:$B,[2]analyte_order!$C:$C)</f>
        <v>307-24-4</v>
      </c>
      <c r="M7954">
        <f>_xlfn.XLOOKUP(L7954,[2]analyte_order!$C:$C,[2]analyte_order!$E:$E)</f>
        <v>3</v>
      </c>
      <c r="N7954">
        <v>0.11749999999999999</v>
      </c>
    </row>
    <row r="7955" spans="1:14">
      <c r="A7955" t="s">
        <v>148</v>
      </c>
      <c r="B7955" t="str">
        <f>_xlfn.XLOOKUP(A7955,'[1]Tissue Data'!$A:$A,'[1]Tissue Data'!$C:$C)</f>
        <v>Down</v>
      </c>
      <c r="C7955" s="2">
        <f>_xlfn.XLOOKUP(A7955,'[1]Tissue Data'!$A:$A,'[1]Tissue Data'!$D:$D)</f>
        <v>44393</v>
      </c>
      <c r="D7955" s="2" t="s">
        <v>131</v>
      </c>
      <c r="E7955" t="str">
        <f>_xlfn.XLOOKUP(A7955,'[1]Tissue Data'!$A:$A,'[1]Tissue Data'!$H:$H)</f>
        <v>Rhinichthys</v>
      </c>
      <c r="F7955" t="str">
        <f>_xlfn.XLOOKUP(A7955,'[1]Tissue Data'!$A:$A,'[1]Tissue Data'!$I:$I)</f>
        <v>atratulus</v>
      </c>
      <c r="G7955" t="str">
        <f>_xlfn.XLOOKUP(A7955,'[1]Tissue Data'!$A:$A,'[1]Tissue Data'!J:J)</f>
        <v>U</v>
      </c>
      <c r="H7955" t="str">
        <f>_xlfn.XLOOKUP(A7955,'[1]Tissue Data'!$A:$A,'[1]Tissue Data'!K:K)</f>
        <v>Whole Body</v>
      </c>
      <c r="I7955">
        <f>_xlfn.XLOOKUP(A7955,'[1]Tissue Data'!$A:$A,'[1]Tissue Data'!L:L)</f>
        <v>8</v>
      </c>
      <c r="J7955">
        <f>_xlfn.XLOOKUP(A7955,'[1]Tissue Data'!$A:$A,'[1]Tissue Data'!M:M)</f>
        <v>6.17</v>
      </c>
      <c r="K7955" t="s">
        <v>15</v>
      </c>
      <c r="L7955" t="str">
        <f>_xlfn.XLOOKUP(K7955,[2]analyte_order!$B:$B,[2]analyte_order!$C:$C)</f>
        <v>375-85-9</v>
      </c>
      <c r="M7955">
        <f>_xlfn.XLOOKUP(L7955,[2]analyte_order!$C:$C,[2]analyte_order!$E:$E)</f>
        <v>4</v>
      </c>
      <c r="N7955">
        <v>0.2175</v>
      </c>
    </row>
    <row r="7956" spans="1:14">
      <c r="A7956" t="s">
        <v>148</v>
      </c>
      <c r="B7956" t="str">
        <f>_xlfn.XLOOKUP(A7956,'[1]Tissue Data'!$A:$A,'[1]Tissue Data'!$C:$C)</f>
        <v>Down</v>
      </c>
      <c r="C7956" s="2">
        <f>_xlfn.XLOOKUP(A7956,'[1]Tissue Data'!$A:$A,'[1]Tissue Data'!$D:$D)</f>
        <v>44393</v>
      </c>
      <c r="D7956" s="2" t="s">
        <v>131</v>
      </c>
      <c r="E7956" t="str">
        <f>_xlfn.XLOOKUP(A7956,'[1]Tissue Data'!$A:$A,'[1]Tissue Data'!$H:$H)</f>
        <v>Rhinichthys</v>
      </c>
      <c r="F7956" t="str">
        <f>_xlfn.XLOOKUP(A7956,'[1]Tissue Data'!$A:$A,'[1]Tissue Data'!$I:$I)</f>
        <v>atratulus</v>
      </c>
      <c r="G7956" t="str">
        <f>_xlfn.XLOOKUP(A7956,'[1]Tissue Data'!$A:$A,'[1]Tissue Data'!J:J)</f>
        <v>U</v>
      </c>
      <c r="H7956" t="str">
        <f>_xlfn.XLOOKUP(A7956,'[1]Tissue Data'!$A:$A,'[1]Tissue Data'!K:K)</f>
        <v>Whole Body</v>
      </c>
      <c r="I7956">
        <f>_xlfn.XLOOKUP(A7956,'[1]Tissue Data'!$A:$A,'[1]Tissue Data'!L:L)</f>
        <v>8</v>
      </c>
      <c r="J7956">
        <f>_xlfn.XLOOKUP(A7956,'[1]Tissue Data'!$A:$A,'[1]Tissue Data'!M:M)</f>
        <v>6.17</v>
      </c>
      <c r="K7956" t="s">
        <v>16</v>
      </c>
      <c r="L7956" t="str">
        <f>_xlfn.XLOOKUP(K7956,[2]analyte_order!$B:$B,[2]analyte_order!$C:$C)</f>
        <v>335-67-1</v>
      </c>
      <c r="M7956">
        <f>_xlfn.XLOOKUP(L7956,[2]analyte_order!$C:$C,[2]analyte_order!$E:$E)</f>
        <v>5</v>
      </c>
      <c r="N7956">
        <v>2.08</v>
      </c>
    </row>
    <row r="7957" spans="1:14">
      <c r="A7957" t="s">
        <v>148</v>
      </c>
      <c r="B7957" t="str">
        <f>_xlfn.XLOOKUP(A7957,'[1]Tissue Data'!$A:$A,'[1]Tissue Data'!$C:$C)</f>
        <v>Down</v>
      </c>
      <c r="C7957" s="2">
        <f>_xlfn.XLOOKUP(A7957,'[1]Tissue Data'!$A:$A,'[1]Tissue Data'!$D:$D)</f>
        <v>44393</v>
      </c>
      <c r="D7957" s="2" t="s">
        <v>131</v>
      </c>
      <c r="E7957" t="str">
        <f>_xlfn.XLOOKUP(A7957,'[1]Tissue Data'!$A:$A,'[1]Tissue Data'!$H:$H)</f>
        <v>Rhinichthys</v>
      </c>
      <c r="F7957" t="str">
        <f>_xlfn.XLOOKUP(A7957,'[1]Tissue Data'!$A:$A,'[1]Tissue Data'!$I:$I)</f>
        <v>atratulus</v>
      </c>
      <c r="G7957" t="str">
        <f>_xlfn.XLOOKUP(A7957,'[1]Tissue Data'!$A:$A,'[1]Tissue Data'!J:J)</f>
        <v>U</v>
      </c>
      <c r="H7957" t="str">
        <f>_xlfn.XLOOKUP(A7957,'[1]Tissue Data'!$A:$A,'[1]Tissue Data'!K:K)</f>
        <v>Whole Body</v>
      </c>
      <c r="I7957">
        <f>_xlfn.XLOOKUP(A7957,'[1]Tissue Data'!$A:$A,'[1]Tissue Data'!L:L)</f>
        <v>8</v>
      </c>
      <c r="J7957">
        <f>_xlfn.XLOOKUP(A7957,'[1]Tissue Data'!$A:$A,'[1]Tissue Data'!M:M)</f>
        <v>6.17</v>
      </c>
      <c r="K7957" t="s">
        <v>17</v>
      </c>
      <c r="L7957" t="str">
        <f>_xlfn.XLOOKUP(K7957,[2]analyte_order!$B:$B,[2]analyte_order!$C:$C)</f>
        <v>375-95-1</v>
      </c>
      <c r="M7957">
        <f>_xlfn.XLOOKUP(L7957,[2]analyte_order!$C:$C,[2]analyte_order!$E:$E)</f>
        <v>6</v>
      </c>
      <c r="N7957">
        <v>2.77</v>
      </c>
    </row>
    <row r="7958" spans="1:14">
      <c r="A7958" t="s">
        <v>148</v>
      </c>
      <c r="B7958" t="str">
        <f>_xlfn.XLOOKUP(A7958,'[1]Tissue Data'!$A:$A,'[1]Tissue Data'!$C:$C)</f>
        <v>Down</v>
      </c>
      <c r="C7958" s="2">
        <f>_xlfn.XLOOKUP(A7958,'[1]Tissue Data'!$A:$A,'[1]Tissue Data'!$D:$D)</f>
        <v>44393</v>
      </c>
      <c r="D7958" s="2" t="s">
        <v>131</v>
      </c>
      <c r="E7958" t="str">
        <f>_xlfn.XLOOKUP(A7958,'[1]Tissue Data'!$A:$A,'[1]Tissue Data'!$H:$H)</f>
        <v>Rhinichthys</v>
      </c>
      <c r="F7958" t="str">
        <f>_xlfn.XLOOKUP(A7958,'[1]Tissue Data'!$A:$A,'[1]Tissue Data'!$I:$I)</f>
        <v>atratulus</v>
      </c>
      <c r="G7958" t="str">
        <f>_xlfn.XLOOKUP(A7958,'[1]Tissue Data'!$A:$A,'[1]Tissue Data'!J:J)</f>
        <v>U</v>
      </c>
      <c r="H7958" t="str">
        <f>_xlfn.XLOOKUP(A7958,'[1]Tissue Data'!$A:$A,'[1]Tissue Data'!K:K)</f>
        <v>Whole Body</v>
      </c>
      <c r="I7958">
        <f>_xlfn.XLOOKUP(A7958,'[1]Tissue Data'!$A:$A,'[1]Tissue Data'!L:L)</f>
        <v>8</v>
      </c>
      <c r="J7958">
        <f>_xlfn.XLOOKUP(A7958,'[1]Tissue Data'!$A:$A,'[1]Tissue Data'!M:M)</f>
        <v>6.17</v>
      </c>
      <c r="K7958" t="s">
        <v>18</v>
      </c>
      <c r="L7958" t="str">
        <f>_xlfn.XLOOKUP(K7958,[2]analyte_order!$B:$B,[2]analyte_order!$C:$C)</f>
        <v>335-76-2</v>
      </c>
      <c r="M7958">
        <f>_xlfn.XLOOKUP(L7958,[2]analyte_order!$C:$C,[2]analyte_order!$E:$E)</f>
        <v>7</v>
      </c>
      <c r="N7958">
        <v>9.5</v>
      </c>
    </row>
    <row r="7959" spans="1:14">
      <c r="A7959" t="s">
        <v>148</v>
      </c>
      <c r="B7959" t="str">
        <f>_xlfn.XLOOKUP(A7959,'[1]Tissue Data'!$A:$A,'[1]Tissue Data'!$C:$C)</f>
        <v>Down</v>
      </c>
      <c r="C7959" s="2">
        <f>_xlfn.XLOOKUP(A7959,'[1]Tissue Data'!$A:$A,'[1]Tissue Data'!$D:$D)</f>
        <v>44393</v>
      </c>
      <c r="D7959" s="2" t="s">
        <v>131</v>
      </c>
      <c r="E7959" t="str">
        <f>_xlfn.XLOOKUP(A7959,'[1]Tissue Data'!$A:$A,'[1]Tissue Data'!$H:$H)</f>
        <v>Rhinichthys</v>
      </c>
      <c r="F7959" t="str">
        <f>_xlfn.XLOOKUP(A7959,'[1]Tissue Data'!$A:$A,'[1]Tissue Data'!$I:$I)</f>
        <v>atratulus</v>
      </c>
      <c r="G7959" t="str">
        <f>_xlfn.XLOOKUP(A7959,'[1]Tissue Data'!$A:$A,'[1]Tissue Data'!J:J)</f>
        <v>U</v>
      </c>
      <c r="H7959" t="str">
        <f>_xlfn.XLOOKUP(A7959,'[1]Tissue Data'!$A:$A,'[1]Tissue Data'!K:K)</f>
        <v>Whole Body</v>
      </c>
      <c r="I7959">
        <f>_xlfn.XLOOKUP(A7959,'[1]Tissue Data'!$A:$A,'[1]Tissue Data'!L:L)</f>
        <v>8</v>
      </c>
      <c r="J7959">
        <f>_xlfn.XLOOKUP(A7959,'[1]Tissue Data'!$A:$A,'[1]Tissue Data'!M:M)</f>
        <v>6.17</v>
      </c>
      <c r="K7959" t="s">
        <v>19</v>
      </c>
      <c r="L7959" t="str">
        <f>_xlfn.XLOOKUP(K7959,[2]analyte_order!$B:$B,[2]analyte_order!$C:$C)</f>
        <v>2058-94-8</v>
      </c>
      <c r="M7959">
        <f>_xlfn.XLOOKUP(L7959,[2]analyte_order!$C:$C,[2]analyte_order!$E:$E)</f>
        <v>8</v>
      </c>
      <c r="N7959">
        <v>8.49</v>
      </c>
    </row>
    <row r="7960" spans="1:14">
      <c r="A7960" t="s">
        <v>148</v>
      </c>
      <c r="B7960" t="str">
        <f>_xlfn.XLOOKUP(A7960,'[1]Tissue Data'!$A:$A,'[1]Tissue Data'!$C:$C)</f>
        <v>Down</v>
      </c>
      <c r="C7960" s="2">
        <f>_xlfn.XLOOKUP(A7960,'[1]Tissue Data'!$A:$A,'[1]Tissue Data'!$D:$D)</f>
        <v>44393</v>
      </c>
      <c r="D7960" s="2" t="s">
        <v>131</v>
      </c>
      <c r="E7960" t="str">
        <f>_xlfn.XLOOKUP(A7960,'[1]Tissue Data'!$A:$A,'[1]Tissue Data'!$H:$H)</f>
        <v>Rhinichthys</v>
      </c>
      <c r="F7960" t="str">
        <f>_xlfn.XLOOKUP(A7960,'[1]Tissue Data'!$A:$A,'[1]Tissue Data'!$I:$I)</f>
        <v>atratulus</v>
      </c>
      <c r="G7960" t="str">
        <f>_xlfn.XLOOKUP(A7960,'[1]Tissue Data'!$A:$A,'[1]Tissue Data'!J:J)</f>
        <v>U</v>
      </c>
      <c r="H7960" t="str">
        <f>_xlfn.XLOOKUP(A7960,'[1]Tissue Data'!$A:$A,'[1]Tissue Data'!K:K)</f>
        <v>Whole Body</v>
      </c>
      <c r="I7960">
        <f>_xlfn.XLOOKUP(A7960,'[1]Tissue Data'!$A:$A,'[1]Tissue Data'!L:L)</f>
        <v>8</v>
      </c>
      <c r="J7960">
        <f>_xlfn.XLOOKUP(A7960,'[1]Tissue Data'!$A:$A,'[1]Tissue Data'!M:M)</f>
        <v>6.17</v>
      </c>
      <c r="K7960" t="s">
        <v>20</v>
      </c>
      <c r="L7960" t="str">
        <f>_xlfn.XLOOKUP(K7960,[2]analyte_order!$B:$B,[2]analyte_order!$C:$C)</f>
        <v>307-55-1</v>
      </c>
      <c r="M7960">
        <f>_xlfn.XLOOKUP(L7960,[2]analyte_order!$C:$C,[2]analyte_order!$E:$E)</f>
        <v>9</v>
      </c>
      <c r="N7960">
        <v>16.100000000000001</v>
      </c>
    </row>
    <row r="7961" spans="1:14">
      <c r="A7961" t="s">
        <v>148</v>
      </c>
      <c r="B7961" t="str">
        <f>_xlfn.XLOOKUP(A7961,'[1]Tissue Data'!$A:$A,'[1]Tissue Data'!$C:$C)</f>
        <v>Down</v>
      </c>
      <c r="C7961" s="2">
        <f>_xlfn.XLOOKUP(A7961,'[1]Tissue Data'!$A:$A,'[1]Tissue Data'!$D:$D)</f>
        <v>44393</v>
      </c>
      <c r="D7961" s="2" t="s">
        <v>131</v>
      </c>
      <c r="E7961" t="str">
        <f>_xlfn.XLOOKUP(A7961,'[1]Tissue Data'!$A:$A,'[1]Tissue Data'!$H:$H)</f>
        <v>Rhinichthys</v>
      </c>
      <c r="F7961" t="str">
        <f>_xlfn.XLOOKUP(A7961,'[1]Tissue Data'!$A:$A,'[1]Tissue Data'!$I:$I)</f>
        <v>atratulus</v>
      </c>
      <c r="G7961" t="str">
        <f>_xlfn.XLOOKUP(A7961,'[1]Tissue Data'!$A:$A,'[1]Tissue Data'!J:J)</f>
        <v>U</v>
      </c>
      <c r="H7961" t="str">
        <f>_xlfn.XLOOKUP(A7961,'[1]Tissue Data'!$A:$A,'[1]Tissue Data'!K:K)</f>
        <v>Whole Body</v>
      </c>
      <c r="I7961">
        <f>_xlfn.XLOOKUP(A7961,'[1]Tissue Data'!$A:$A,'[1]Tissue Data'!L:L)</f>
        <v>8</v>
      </c>
      <c r="J7961">
        <f>_xlfn.XLOOKUP(A7961,'[1]Tissue Data'!$A:$A,'[1]Tissue Data'!M:M)</f>
        <v>6.17</v>
      </c>
      <c r="K7961" t="s">
        <v>21</v>
      </c>
      <c r="L7961" t="str">
        <f>_xlfn.XLOOKUP(K7961,[2]analyte_order!$B:$B,[2]analyte_order!$C:$C)</f>
        <v>72629-94-8</v>
      </c>
      <c r="M7961">
        <f>_xlfn.XLOOKUP(L7961,[2]analyte_order!$C:$C,[2]analyte_order!$E:$E)</f>
        <v>10</v>
      </c>
      <c r="N7961">
        <v>4.3499999999999996</v>
      </c>
    </row>
    <row r="7962" spans="1:14">
      <c r="A7962" t="s">
        <v>148</v>
      </c>
      <c r="B7962" t="str">
        <f>_xlfn.XLOOKUP(A7962,'[1]Tissue Data'!$A:$A,'[1]Tissue Data'!$C:$C)</f>
        <v>Down</v>
      </c>
      <c r="C7962" s="2">
        <f>_xlfn.XLOOKUP(A7962,'[1]Tissue Data'!$A:$A,'[1]Tissue Data'!$D:$D)</f>
        <v>44393</v>
      </c>
      <c r="D7962" s="2" t="s">
        <v>131</v>
      </c>
      <c r="E7962" t="str">
        <f>_xlfn.XLOOKUP(A7962,'[1]Tissue Data'!$A:$A,'[1]Tissue Data'!$H:$H)</f>
        <v>Rhinichthys</v>
      </c>
      <c r="F7962" t="str">
        <f>_xlfn.XLOOKUP(A7962,'[1]Tissue Data'!$A:$A,'[1]Tissue Data'!$I:$I)</f>
        <v>atratulus</v>
      </c>
      <c r="G7962" t="str">
        <f>_xlfn.XLOOKUP(A7962,'[1]Tissue Data'!$A:$A,'[1]Tissue Data'!J:J)</f>
        <v>U</v>
      </c>
      <c r="H7962" t="str">
        <f>_xlfn.XLOOKUP(A7962,'[1]Tissue Data'!$A:$A,'[1]Tissue Data'!K:K)</f>
        <v>Whole Body</v>
      </c>
      <c r="I7962">
        <f>_xlfn.XLOOKUP(A7962,'[1]Tissue Data'!$A:$A,'[1]Tissue Data'!L:L)</f>
        <v>8</v>
      </c>
      <c r="J7962">
        <f>_xlfn.XLOOKUP(A7962,'[1]Tissue Data'!$A:$A,'[1]Tissue Data'!M:M)</f>
        <v>6.17</v>
      </c>
      <c r="K7962" t="s">
        <v>22</v>
      </c>
      <c r="L7962" t="str">
        <f>_xlfn.XLOOKUP(K7962,[2]analyte_order!$B:$B,[2]analyte_order!$C:$C)</f>
        <v>376-06-7</v>
      </c>
      <c r="M7962">
        <f>_xlfn.XLOOKUP(L7962,[2]analyte_order!$C:$C,[2]analyte_order!$E:$E)</f>
        <v>11</v>
      </c>
      <c r="N7962">
        <v>10.6</v>
      </c>
    </row>
    <row r="7963" spans="1:14">
      <c r="A7963" t="s">
        <v>148</v>
      </c>
      <c r="B7963" t="str">
        <f>_xlfn.XLOOKUP(A7963,'[1]Tissue Data'!$A:$A,'[1]Tissue Data'!$C:$C)</f>
        <v>Down</v>
      </c>
      <c r="C7963" s="2">
        <f>_xlfn.XLOOKUP(A7963,'[1]Tissue Data'!$A:$A,'[1]Tissue Data'!$D:$D)</f>
        <v>44393</v>
      </c>
      <c r="D7963" s="2" t="s">
        <v>131</v>
      </c>
      <c r="E7963" t="str">
        <f>_xlfn.XLOOKUP(A7963,'[1]Tissue Data'!$A:$A,'[1]Tissue Data'!$H:$H)</f>
        <v>Rhinichthys</v>
      </c>
      <c r="F7963" t="str">
        <f>_xlfn.XLOOKUP(A7963,'[1]Tissue Data'!$A:$A,'[1]Tissue Data'!$I:$I)</f>
        <v>atratulus</v>
      </c>
      <c r="G7963" t="str">
        <f>_xlfn.XLOOKUP(A7963,'[1]Tissue Data'!$A:$A,'[1]Tissue Data'!J:J)</f>
        <v>U</v>
      </c>
      <c r="H7963" t="str">
        <f>_xlfn.XLOOKUP(A7963,'[1]Tissue Data'!$A:$A,'[1]Tissue Data'!K:K)</f>
        <v>Whole Body</v>
      </c>
      <c r="I7963">
        <f>_xlfn.XLOOKUP(A7963,'[1]Tissue Data'!$A:$A,'[1]Tissue Data'!L:L)</f>
        <v>8</v>
      </c>
      <c r="J7963">
        <f>_xlfn.XLOOKUP(A7963,'[1]Tissue Data'!$A:$A,'[1]Tissue Data'!M:M)</f>
        <v>6.17</v>
      </c>
      <c r="K7963" t="s">
        <v>23</v>
      </c>
      <c r="L7963" t="str">
        <f>_xlfn.XLOOKUP(K7963,[2]analyte_order!$B:$B,[2]analyte_order!$C:$C)</f>
        <v>67905-19-5</v>
      </c>
      <c r="M7963">
        <f>_xlfn.XLOOKUP(L7963,[2]analyte_order!$C:$C,[2]analyte_order!$E:$E)</f>
        <v>12</v>
      </c>
      <c r="N7963">
        <v>0.25950000000000001</v>
      </c>
    </row>
    <row r="7964" spans="1:14">
      <c r="A7964" t="s">
        <v>148</v>
      </c>
      <c r="B7964" t="str">
        <f>_xlfn.XLOOKUP(A7964,'[1]Tissue Data'!$A:$A,'[1]Tissue Data'!$C:$C)</f>
        <v>Down</v>
      </c>
      <c r="C7964" s="2">
        <f>_xlfn.XLOOKUP(A7964,'[1]Tissue Data'!$A:$A,'[1]Tissue Data'!$D:$D)</f>
        <v>44393</v>
      </c>
      <c r="D7964" s="2" t="s">
        <v>131</v>
      </c>
      <c r="E7964" t="str">
        <f>_xlfn.XLOOKUP(A7964,'[1]Tissue Data'!$A:$A,'[1]Tissue Data'!$H:$H)</f>
        <v>Rhinichthys</v>
      </c>
      <c r="F7964" t="str">
        <f>_xlfn.XLOOKUP(A7964,'[1]Tissue Data'!$A:$A,'[1]Tissue Data'!$I:$I)</f>
        <v>atratulus</v>
      </c>
      <c r="G7964" t="str">
        <f>_xlfn.XLOOKUP(A7964,'[1]Tissue Data'!$A:$A,'[1]Tissue Data'!J:J)</f>
        <v>U</v>
      </c>
      <c r="H7964" t="str">
        <f>_xlfn.XLOOKUP(A7964,'[1]Tissue Data'!$A:$A,'[1]Tissue Data'!K:K)</f>
        <v>Whole Body</v>
      </c>
      <c r="I7964">
        <f>_xlfn.XLOOKUP(A7964,'[1]Tissue Data'!$A:$A,'[1]Tissue Data'!L:L)</f>
        <v>8</v>
      </c>
      <c r="J7964">
        <f>_xlfn.XLOOKUP(A7964,'[1]Tissue Data'!$A:$A,'[1]Tissue Data'!M:M)</f>
        <v>6.17</v>
      </c>
      <c r="K7964" t="s">
        <v>24</v>
      </c>
      <c r="L7964" t="str">
        <f>_xlfn.XLOOKUP(K7964,[2]analyte_order!$B:$B,[2]analyte_order!$C:$C)</f>
        <v>423-41-6</v>
      </c>
      <c r="M7964">
        <f>_xlfn.XLOOKUP(L7964,[2]analyte_order!$C:$C,[2]analyte_order!$E:$E)</f>
        <v>53</v>
      </c>
      <c r="N7964">
        <v>0.4355</v>
      </c>
    </row>
    <row r="7965" spans="1:14">
      <c r="A7965" t="s">
        <v>148</v>
      </c>
      <c r="B7965" t="str">
        <f>_xlfn.XLOOKUP(A7965,'[1]Tissue Data'!$A:$A,'[1]Tissue Data'!$C:$C)</f>
        <v>Down</v>
      </c>
      <c r="C7965" s="2">
        <f>_xlfn.XLOOKUP(A7965,'[1]Tissue Data'!$A:$A,'[1]Tissue Data'!$D:$D)</f>
        <v>44393</v>
      </c>
      <c r="D7965" s="2" t="s">
        <v>131</v>
      </c>
      <c r="E7965" t="str">
        <f>_xlfn.XLOOKUP(A7965,'[1]Tissue Data'!$A:$A,'[1]Tissue Data'!$H:$H)</f>
        <v>Rhinichthys</v>
      </c>
      <c r="F7965" t="str">
        <f>_xlfn.XLOOKUP(A7965,'[1]Tissue Data'!$A:$A,'[1]Tissue Data'!$I:$I)</f>
        <v>atratulus</v>
      </c>
      <c r="G7965" t="str">
        <f>_xlfn.XLOOKUP(A7965,'[1]Tissue Data'!$A:$A,'[1]Tissue Data'!J:J)</f>
        <v>U</v>
      </c>
      <c r="H7965" t="str">
        <f>_xlfn.XLOOKUP(A7965,'[1]Tissue Data'!$A:$A,'[1]Tissue Data'!K:K)</f>
        <v>Whole Body</v>
      </c>
      <c r="I7965">
        <f>_xlfn.XLOOKUP(A7965,'[1]Tissue Data'!$A:$A,'[1]Tissue Data'!L:L)</f>
        <v>8</v>
      </c>
      <c r="J7965">
        <f>_xlfn.XLOOKUP(A7965,'[1]Tissue Data'!$A:$A,'[1]Tissue Data'!M:M)</f>
        <v>6.17</v>
      </c>
      <c r="K7965" t="s">
        <v>25</v>
      </c>
      <c r="L7965" t="str">
        <f>_xlfn.XLOOKUP(K7965,[2]analyte_order!$B:$B,[2]analyte_order!$C:$C)</f>
        <v>375-73-5</v>
      </c>
      <c r="M7965">
        <f>_xlfn.XLOOKUP(L7965,[2]analyte_order!$C:$C,[2]analyte_order!$E:$E)</f>
        <v>14</v>
      </c>
      <c r="N7965">
        <v>0.14799999999999999</v>
      </c>
    </row>
    <row r="7966" spans="1:14">
      <c r="A7966" t="s">
        <v>148</v>
      </c>
      <c r="B7966" t="str">
        <f>_xlfn.XLOOKUP(A7966,'[1]Tissue Data'!$A:$A,'[1]Tissue Data'!$C:$C)</f>
        <v>Down</v>
      </c>
      <c r="C7966" s="2">
        <f>_xlfn.XLOOKUP(A7966,'[1]Tissue Data'!$A:$A,'[1]Tissue Data'!$D:$D)</f>
        <v>44393</v>
      </c>
      <c r="D7966" s="2" t="s">
        <v>131</v>
      </c>
      <c r="E7966" t="str">
        <f>_xlfn.XLOOKUP(A7966,'[1]Tissue Data'!$A:$A,'[1]Tissue Data'!$H:$H)</f>
        <v>Rhinichthys</v>
      </c>
      <c r="F7966" t="str">
        <f>_xlfn.XLOOKUP(A7966,'[1]Tissue Data'!$A:$A,'[1]Tissue Data'!$I:$I)</f>
        <v>atratulus</v>
      </c>
      <c r="G7966" t="str">
        <f>_xlfn.XLOOKUP(A7966,'[1]Tissue Data'!$A:$A,'[1]Tissue Data'!J:J)</f>
        <v>U</v>
      </c>
      <c r="H7966" t="str">
        <f>_xlfn.XLOOKUP(A7966,'[1]Tissue Data'!$A:$A,'[1]Tissue Data'!K:K)</f>
        <v>Whole Body</v>
      </c>
      <c r="I7966">
        <f>_xlfn.XLOOKUP(A7966,'[1]Tissue Data'!$A:$A,'[1]Tissue Data'!L:L)</f>
        <v>8</v>
      </c>
      <c r="J7966">
        <f>_xlfn.XLOOKUP(A7966,'[1]Tissue Data'!$A:$A,'[1]Tissue Data'!M:M)</f>
        <v>6.17</v>
      </c>
      <c r="K7966" t="s">
        <v>26</v>
      </c>
      <c r="L7966" t="str">
        <f>_xlfn.XLOOKUP(K7966,[2]analyte_order!$B:$B,[2]analyte_order!$C:$C)</f>
        <v>2706-91-4</v>
      </c>
      <c r="M7966">
        <f>_xlfn.XLOOKUP(L7966,[2]analyte_order!$C:$C,[2]analyte_order!$E:$E)</f>
        <v>15</v>
      </c>
      <c r="N7966">
        <v>0.51900000000000002</v>
      </c>
    </row>
    <row r="7967" spans="1:14">
      <c r="A7967" t="s">
        <v>148</v>
      </c>
      <c r="B7967" t="str">
        <f>_xlfn.XLOOKUP(A7967,'[1]Tissue Data'!$A:$A,'[1]Tissue Data'!$C:$C)</f>
        <v>Down</v>
      </c>
      <c r="C7967" s="2">
        <f>_xlfn.XLOOKUP(A7967,'[1]Tissue Data'!$A:$A,'[1]Tissue Data'!$D:$D)</f>
        <v>44393</v>
      </c>
      <c r="D7967" s="2" t="s">
        <v>131</v>
      </c>
      <c r="E7967" t="str">
        <f>_xlfn.XLOOKUP(A7967,'[1]Tissue Data'!$A:$A,'[1]Tissue Data'!$H:$H)</f>
        <v>Rhinichthys</v>
      </c>
      <c r="F7967" t="str">
        <f>_xlfn.XLOOKUP(A7967,'[1]Tissue Data'!$A:$A,'[1]Tissue Data'!$I:$I)</f>
        <v>atratulus</v>
      </c>
      <c r="G7967" t="str">
        <f>_xlfn.XLOOKUP(A7967,'[1]Tissue Data'!$A:$A,'[1]Tissue Data'!J:J)</f>
        <v>U</v>
      </c>
      <c r="H7967" t="str">
        <f>_xlfn.XLOOKUP(A7967,'[1]Tissue Data'!$A:$A,'[1]Tissue Data'!K:K)</f>
        <v>Whole Body</v>
      </c>
      <c r="I7967">
        <f>_xlfn.XLOOKUP(A7967,'[1]Tissue Data'!$A:$A,'[1]Tissue Data'!L:L)</f>
        <v>8</v>
      </c>
      <c r="J7967">
        <f>_xlfn.XLOOKUP(A7967,'[1]Tissue Data'!$A:$A,'[1]Tissue Data'!M:M)</f>
        <v>6.17</v>
      </c>
      <c r="K7967" t="s">
        <v>27</v>
      </c>
      <c r="L7967" t="str">
        <f>_xlfn.XLOOKUP(K7967,[2]analyte_order!$B:$B,[2]analyte_order!$C:$C)</f>
        <v>355-46-4</v>
      </c>
      <c r="M7967">
        <f>_xlfn.XLOOKUP(L7967,[2]analyte_order!$C:$C,[2]analyte_order!$E:$E)</f>
        <v>16</v>
      </c>
      <c r="N7967">
        <v>90.1</v>
      </c>
    </row>
    <row r="7968" spans="1:14">
      <c r="A7968" t="s">
        <v>148</v>
      </c>
      <c r="B7968" t="str">
        <f>_xlfn.XLOOKUP(A7968,'[1]Tissue Data'!$A:$A,'[1]Tissue Data'!$C:$C)</f>
        <v>Down</v>
      </c>
      <c r="C7968" s="2">
        <f>_xlfn.XLOOKUP(A7968,'[1]Tissue Data'!$A:$A,'[1]Tissue Data'!$D:$D)</f>
        <v>44393</v>
      </c>
      <c r="D7968" s="2" t="s">
        <v>131</v>
      </c>
      <c r="E7968" t="str">
        <f>_xlfn.XLOOKUP(A7968,'[1]Tissue Data'!$A:$A,'[1]Tissue Data'!$H:$H)</f>
        <v>Rhinichthys</v>
      </c>
      <c r="F7968" t="str">
        <f>_xlfn.XLOOKUP(A7968,'[1]Tissue Data'!$A:$A,'[1]Tissue Data'!$I:$I)</f>
        <v>atratulus</v>
      </c>
      <c r="G7968" t="str">
        <f>_xlfn.XLOOKUP(A7968,'[1]Tissue Data'!$A:$A,'[1]Tissue Data'!J:J)</f>
        <v>U</v>
      </c>
      <c r="H7968" t="str">
        <f>_xlfn.XLOOKUP(A7968,'[1]Tissue Data'!$A:$A,'[1]Tissue Data'!K:K)</f>
        <v>Whole Body</v>
      </c>
      <c r="I7968">
        <f>_xlfn.XLOOKUP(A7968,'[1]Tissue Data'!$A:$A,'[1]Tissue Data'!L:L)</f>
        <v>8</v>
      </c>
      <c r="J7968">
        <f>_xlfn.XLOOKUP(A7968,'[1]Tissue Data'!$A:$A,'[1]Tissue Data'!M:M)</f>
        <v>6.17</v>
      </c>
      <c r="K7968" t="s">
        <v>28</v>
      </c>
      <c r="L7968" t="str">
        <f>_xlfn.XLOOKUP(K7968,[2]analyte_order!$B:$B,[2]analyte_order!$C:$C)</f>
        <v>375-92-8</v>
      </c>
      <c r="M7968">
        <f>_xlfn.XLOOKUP(L7968,[2]analyte_order!$C:$C,[2]analyte_order!$E:$E)</f>
        <v>17</v>
      </c>
      <c r="N7968">
        <v>0.2175</v>
      </c>
    </row>
    <row r="7969" spans="1:14">
      <c r="A7969" t="s">
        <v>148</v>
      </c>
      <c r="B7969" t="str">
        <f>_xlfn.XLOOKUP(A7969,'[1]Tissue Data'!$A:$A,'[1]Tissue Data'!$C:$C)</f>
        <v>Down</v>
      </c>
      <c r="C7969" s="2">
        <f>_xlfn.XLOOKUP(A7969,'[1]Tissue Data'!$A:$A,'[1]Tissue Data'!$D:$D)</f>
        <v>44393</v>
      </c>
      <c r="D7969" s="2" t="s">
        <v>131</v>
      </c>
      <c r="E7969" t="str">
        <f>_xlfn.XLOOKUP(A7969,'[1]Tissue Data'!$A:$A,'[1]Tissue Data'!$H:$H)</f>
        <v>Rhinichthys</v>
      </c>
      <c r="F7969" t="str">
        <f>_xlfn.XLOOKUP(A7969,'[1]Tissue Data'!$A:$A,'[1]Tissue Data'!$I:$I)</f>
        <v>atratulus</v>
      </c>
      <c r="G7969" t="str">
        <f>_xlfn.XLOOKUP(A7969,'[1]Tissue Data'!$A:$A,'[1]Tissue Data'!J:J)</f>
        <v>U</v>
      </c>
      <c r="H7969" t="str">
        <f>_xlfn.XLOOKUP(A7969,'[1]Tissue Data'!$A:$A,'[1]Tissue Data'!K:K)</f>
        <v>Whole Body</v>
      </c>
      <c r="I7969">
        <f>_xlfn.XLOOKUP(A7969,'[1]Tissue Data'!$A:$A,'[1]Tissue Data'!L:L)</f>
        <v>8</v>
      </c>
      <c r="J7969">
        <f>_xlfn.XLOOKUP(A7969,'[1]Tissue Data'!$A:$A,'[1]Tissue Data'!M:M)</f>
        <v>6.17</v>
      </c>
      <c r="K7969" t="s">
        <v>29</v>
      </c>
      <c r="L7969" t="str">
        <f>_xlfn.XLOOKUP(K7969,[2]analyte_order!$B:$B,[2]analyte_order!$C:$C)</f>
        <v>1763-23-1</v>
      </c>
      <c r="M7969">
        <f>_xlfn.XLOOKUP(L7969,[2]analyte_order!$C:$C,[2]analyte_order!$E:$E)</f>
        <v>18</v>
      </c>
      <c r="N7969">
        <v>1020</v>
      </c>
    </row>
    <row r="7970" spans="1:14">
      <c r="A7970" t="s">
        <v>148</v>
      </c>
      <c r="B7970" t="str">
        <f>_xlfn.XLOOKUP(A7970,'[1]Tissue Data'!$A:$A,'[1]Tissue Data'!$C:$C)</f>
        <v>Down</v>
      </c>
      <c r="C7970" s="2">
        <f>_xlfn.XLOOKUP(A7970,'[1]Tissue Data'!$A:$A,'[1]Tissue Data'!$D:$D)</f>
        <v>44393</v>
      </c>
      <c r="D7970" s="2" t="s">
        <v>131</v>
      </c>
      <c r="E7970" t="str">
        <f>_xlfn.XLOOKUP(A7970,'[1]Tissue Data'!$A:$A,'[1]Tissue Data'!$H:$H)</f>
        <v>Rhinichthys</v>
      </c>
      <c r="F7970" t="str">
        <f>_xlfn.XLOOKUP(A7970,'[1]Tissue Data'!$A:$A,'[1]Tissue Data'!$I:$I)</f>
        <v>atratulus</v>
      </c>
      <c r="G7970" t="str">
        <f>_xlfn.XLOOKUP(A7970,'[1]Tissue Data'!$A:$A,'[1]Tissue Data'!J:J)</f>
        <v>U</v>
      </c>
      <c r="H7970" t="str">
        <f>_xlfn.XLOOKUP(A7970,'[1]Tissue Data'!$A:$A,'[1]Tissue Data'!K:K)</f>
        <v>Whole Body</v>
      </c>
      <c r="I7970">
        <f>_xlfn.XLOOKUP(A7970,'[1]Tissue Data'!$A:$A,'[1]Tissue Data'!L:L)</f>
        <v>8</v>
      </c>
      <c r="J7970">
        <f>_xlfn.XLOOKUP(A7970,'[1]Tissue Data'!$A:$A,'[1]Tissue Data'!M:M)</f>
        <v>6.17</v>
      </c>
      <c r="K7970" t="s">
        <v>30</v>
      </c>
      <c r="L7970" t="str">
        <f>_xlfn.XLOOKUP(K7970,[2]analyte_order!$B:$B,[2]analyte_order!$C:$C)</f>
        <v>68259-12-1</v>
      </c>
      <c r="M7970">
        <f>_xlfn.XLOOKUP(L7970,[2]analyte_order!$C:$C,[2]analyte_order!$E:$E)</f>
        <v>19</v>
      </c>
      <c r="N7970">
        <v>1.22</v>
      </c>
    </row>
    <row r="7971" spans="1:14">
      <c r="A7971" t="s">
        <v>148</v>
      </c>
      <c r="B7971" t="str">
        <f>_xlfn.XLOOKUP(A7971,'[1]Tissue Data'!$A:$A,'[1]Tissue Data'!$C:$C)</f>
        <v>Down</v>
      </c>
      <c r="C7971" s="2">
        <f>_xlfn.XLOOKUP(A7971,'[1]Tissue Data'!$A:$A,'[1]Tissue Data'!$D:$D)</f>
        <v>44393</v>
      </c>
      <c r="D7971" s="2" t="s">
        <v>131</v>
      </c>
      <c r="E7971" t="str">
        <f>_xlfn.XLOOKUP(A7971,'[1]Tissue Data'!$A:$A,'[1]Tissue Data'!$H:$H)</f>
        <v>Rhinichthys</v>
      </c>
      <c r="F7971" t="str">
        <f>_xlfn.XLOOKUP(A7971,'[1]Tissue Data'!$A:$A,'[1]Tissue Data'!$I:$I)</f>
        <v>atratulus</v>
      </c>
      <c r="G7971" t="str">
        <f>_xlfn.XLOOKUP(A7971,'[1]Tissue Data'!$A:$A,'[1]Tissue Data'!J:J)</f>
        <v>U</v>
      </c>
      <c r="H7971" t="str">
        <f>_xlfn.XLOOKUP(A7971,'[1]Tissue Data'!$A:$A,'[1]Tissue Data'!K:K)</f>
        <v>Whole Body</v>
      </c>
      <c r="I7971">
        <f>_xlfn.XLOOKUP(A7971,'[1]Tissue Data'!$A:$A,'[1]Tissue Data'!L:L)</f>
        <v>8</v>
      </c>
      <c r="J7971">
        <f>_xlfn.XLOOKUP(A7971,'[1]Tissue Data'!$A:$A,'[1]Tissue Data'!M:M)</f>
        <v>6.17</v>
      </c>
      <c r="K7971" t="s">
        <v>31</v>
      </c>
      <c r="L7971" t="str">
        <f>_xlfn.XLOOKUP(K7971,[2]analyte_order!$B:$B,[2]analyte_order!$C:$C)</f>
        <v>335-77-3</v>
      </c>
      <c r="M7971">
        <f>_xlfn.XLOOKUP(L7971,[2]analyte_order!$C:$C,[2]analyte_order!$E:$E)</f>
        <v>20</v>
      </c>
      <c r="N7971">
        <v>1.26</v>
      </c>
    </row>
    <row r="7972" spans="1:14">
      <c r="A7972" t="s">
        <v>148</v>
      </c>
      <c r="B7972" t="str">
        <f>_xlfn.XLOOKUP(A7972,'[1]Tissue Data'!$A:$A,'[1]Tissue Data'!$C:$C)</f>
        <v>Down</v>
      </c>
      <c r="C7972" s="2">
        <f>_xlfn.XLOOKUP(A7972,'[1]Tissue Data'!$A:$A,'[1]Tissue Data'!$D:$D)</f>
        <v>44393</v>
      </c>
      <c r="D7972" s="2" t="s">
        <v>131</v>
      </c>
      <c r="E7972" t="str">
        <f>_xlfn.XLOOKUP(A7972,'[1]Tissue Data'!$A:$A,'[1]Tissue Data'!$H:$H)</f>
        <v>Rhinichthys</v>
      </c>
      <c r="F7972" t="str">
        <f>_xlfn.XLOOKUP(A7972,'[1]Tissue Data'!$A:$A,'[1]Tissue Data'!$I:$I)</f>
        <v>atratulus</v>
      </c>
      <c r="G7972" t="str">
        <f>_xlfn.XLOOKUP(A7972,'[1]Tissue Data'!$A:$A,'[1]Tissue Data'!J:J)</f>
        <v>U</v>
      </c>
      <c r="H7972" t="str">
        <f>_xlfn.XLOOKUP(A7972,'[1]Tissue Data'!$A:$A,'[1]Tissue Data'!K:K)</f>
        <v>Whole Body</v>
      </c>
      <c r="I7972">
        <f>_xlfn.XLOOKUP(A7972,'[1]Tissue Data'!$A:$A,'[1]Tissue Data'!L:L)</f>
        <v>8</v>
      </c>
      <c r="J7972">
        <f>_xlfn.XLOOKUP(A7972,'[1]Tissue Data'!$A:$A,'[1]Tissue Data'!M:M)</f>
        <v>6.17</v>
      </c>
      <c r="K7972" t="s">
        <v>32</v>
      </c>
      <c r="L7972" t="str">
        <f>_xlfn.XLOOKUP(K7972,[2]analyte_order!$B:$B,[2]analyte_order!$C:$C)</f>
        <v>79780-39-5</v>
      </c>
      <c r="M7972">
        <f>_xlfn.XLOOKUP(L7972,[2]analyte_order!$C:$C,[2]analyte_order!$E:$E)</f>
        <v>21</v>
      </c>
      <c r="N7972">
        <v>1.33</v>
      </c>
    </row>
    <row r="7973" spans="1:14">
      <c r="A7973" t="s">
        <v>148</v>
      </c>
      <c r="B7973" t="str">
        <f>_xlfn.XLOOKUP(A7973,'[1]Tissue Data'!$A:$A,'[1]Tissue Data'!$C:$C)</f>
        <v>Down</v>
      </c>
      <c r="C7973" s="2">
        <f>_xlfn.XLOOKUP(A7973,'[1]Tissue Data'!$A:$A,'[1]Tissue Data'!$D:$D)</f>
        <v>44393</v>
      </c>
      <c r="D7973" s="2" t="s">
        <v>131</v>
      </c>
      <c r="E7973" t="str">
        <f>_xlfn.XLOOKUP(A7973,'[1]Tissue Data'!$A:$A,'[1]Tissue Data'!$H:$H)</f>
        <v>Rhinichthys</v>
      </c>
      <c r="F7973" t="str">
        <f>_xlfn.XLOOKUP(A7973,'[1]Tissue Data'!$A:$A,'[1]Tissue Data'!$I:$I)</f>
        <v>atratulus</v>
      </c>
      <c r="G7973" t="str">
        <f>_xlfn.XLOOKUP(A7973,'[1]Tissue Data'!$A:$A,'[1]Tissue Data'!J:J)</f>
        <v>U</v>
      </c>
      <c r="H7973" t="str">
        <f>_xlfn.XLOOKUP(A7973,'[1]Tissue Data'!$A:$A,'[1]Tissue Data'!K:K)</f>
        <v>Whole Body</v>
      </c>
      <c r="I7973">
        <f>_xlfn.XLOOKUP(A7973,'[1]Tissue Data'!$A:$A,'[1]Tissue Data'!L:L)</f>
        <v>8</v>
      </c>
      <c r="J7973">
        <f>_xlfn.XLOOKUP(A7973,'[1]Tissue Data'!$A:$A,'[1]Tissue Data'!M:M)</f>
        <v>6.17</v>
      </c>
      <c r="K7973" t="s">
        <v>33</v>
      </c>
      <c r="L7973" t="str">
        <f>_xlfn.XLOOKUP(K7973,[2]analyte_order!$B:$B,[2]analyte_order!$C:$C)</f>
        <v>777011-38-8</v>
      </c>
      <c r="M7973">
        <f>_xlfn.XLOOKUP(L7973,[2]analyte_order!$C:$C,[2]analyte_order!$E:$E)</f>
        <v>54</v>
      </c>
      <c r="N7973">
        <v>0.45600000000000002</v>
      </c>
    </row>
    <row r="7974" spans="1:14">
      <c r="A7974" t="s">
        <v>148</v>
      </c>
      <c r="B7974" t="str">
        <f>_xlfn.XLOOKUP(A7974,'[1]Tissue Data'!$A:$A,'[1]Tissue Data'!$C:$C)</f>
        <v>Down</v>
      </c>
      <c r="C7974" s="2">
        <f>_xlfn.XLOOKUP(A7974,'[1]Tissue Data'!$A:$A,'[1]Tissue Data'!$D:$D)</f>
        <v>44393</v>
      </c>
      <c r="D7974" s="2" t="s">
        <v>131</v>
      </c>
      <c r="E7974" t="str">
        <f>_xlfn.XLOOKUP(A7974,'[1]Tissue Data'!$A:$A,'[1]Tissue Data'!$H:$H)</f>
        <v>Rhinichthys</v>
      </c>
      <c r="F7974" t="str">
        <f>_xlfn.XLOOKUP(A7974,'[1]Tissue Data'!$A:$A,'[1]Tissue Data'!$I:$I)</f>
        <v>atratulus</v>
      </c>
      <c r="G7974" t="str">
        <f>_xlfn.XLOOKUP(A7974,'[1]Tissue Data'!$A:$A,'[1]Tissue Data'!J:J)</f>
        <v>U</v>
      </c>
      <c r="H7974" t="str">
        <f>_xlfn.XLOOKUP(A7974,'[1]Tissue Data'!$A:$A,'[1]Tissue Data'!K:K)</f>
        <v>Whole Body</v>
      </c>
      <c r="I7974">
        <f>_xlfn.XLOOKUP(A7974,'[1]Tissue Data'!$A:$A,'[1]Tissue Data'!L:L)</f>
        <v>8</v>
      </c>
      <c r="J7974">
        <f>_xlfn.XLOOKUP(A7974,'[1]Tissue Data'!$A:$A,'[1]Tissue Data'!M:M)</f>
        <v>6.17</v>
      </c>
      <c r="K7974" t="s">
        <v>34</v>
      </c>
      <c r="L7974" t="str">
        <f>_xlfn.XLOOKUP(K7974,[2]analyte_order!$B:$B,[2]analyte_order!$C:$C)</f>
        <v>646-83-3</v>
      </c>
      <c r="M7974">
        <f>_xlfn.XLOOKUP(L7974,[2]analyte_order!$C:$C,[2]analyte_order!$E:$E)</f>
        <v>55</v>
      </c>
      <c r="N7974">
        <v>0.248</v>
      </c>
    </row>
    <row r="7975" spans="1:14">
      <c r="A7975" t="s">
        <v>148</v>
      </c>
      <c r="B7975" t="str">
        <f>_xlfn.XLOOKUP(A7975,'[1]Tissue Data'!$A:$A,'[1]Tissue Data'!$C:$C)</f>
        <v>Down</v>
      </c>
      <c r="C7975" s="2">
        <f>_xlfn.XLOOKUP(A7975,'[1]Tissue Data'!$A:$A,'[1]Tissue Data'!$D:$D)</f>
        <v>44393</v>
      </c>
      <c r="D7975" s="2" t="s">
        <v>131</v>
      </c>
      <c r="E7975" t="str">
        <f>_xlfn.XLOOKUP(A7975,'[1]Tissue Data'!$A:$A,'[1]Tissue Data'!$H:$H)</f>
        <v>Rhinichthys</v>
      </c>
      <c r="F7975" t="str">
        <f>_xlfn.XLOOKUP(A7975,'[1]Tissue Data'!$A:$A,'[1]Tissue Data'!$I:$I)</f>
        <v>atratulus</v>
      </c>
      <c r="G7975" t="str">
        <f>_xlfn.XLOOKUP(A7975,'[1]Tissue Data'!$A:$A,'[1]Tissue Data'!J:J)</f>
        <v>U</v>
      </c>
      <c r="H7975" t="str">
        <f>_xlfn.XLOOKUP(A7975,'[1]Tissue Data'!$A:$A,'[1]Tissue Data'!K:K)</f>
        <v>Whole Body</v>
      </c>
      <c r="I7975">
        <f>_xlfn.XLOOKUP(A7975,'[1]Tissue Data'!$A:$A,'[1]Tissue Data'!L:L)</f>
        <v>8</v>
      </c>
      <c r="J7975">
        <f>_xlfn.XLOOKUP(A7975,'[1]Tissue Data'!$A:$A,'[1]Tissue Data'!M:M)</f>
        <v>6.17</v>
      </c>
      <c r="K7975" t="s">
        <v>35</v>
      </c>
      <c r="L7975" t="str">
        <f>_xlfn.XLOOKUP(K7975,[2]analyte_order!$B:$B,[2]analyte_order!$C:$C)</f>
        <v>30334-69-1</v>
      </c>
      <c r="M7975">
        <f>_xlfn.XLOOKUP(L7975,[2]analyte_order!$C:$C,[2]analyte_order!$E:$E)</f>
        <v>51</v>
      </c>
      <c r="N7975">
        <v>54.6</v>
      </c>
    </row>
    <row r="7976" spans="1:14">
      <c r="A7976" t="s">
        <v>148</v>
      </c>
      <c r="B7976" t="str">
        <f>_xlfn.XLOOKUP(A7976,'[1]Tissue Data'!$A:$A,'[1]Tissue Data'!$C:$C)</f>
        <v>Down</v>
      </c>
      <c r="C7976" s="2">
        <f>_xlfn.XLOOKUP(A7976,'[1]Tissue Data'!$A:$A,'[1]Tissue Data'!$D:$D)</f>
        <v>44393</v>
      </c>
      <c r="D7976" s="2" t="s">
        <v>131</v>
      </c>
      <c r="E7976" t="str">
        <f>_xlfn.XLOOKUP(A7976,'[1]Tissue Data'!$A:$A,'[1]Tissue Data'!$H:$H)</f>
        <v>Rhinichthys</v>
      </c>
      <c r="F7976" t="str">
        <f>_xlfn.XLOOKUP(A7976,'[1]Tissue Data'!$A:$A,'[1]Tissue Data'!$I:$I)</f>
        <v>atratulus</v>
      </c>
      <c r="G7976" t="str">
        <f>_xlfn.XLOOKUP(A7976,'[1]Tissue Data'!$A:$A,'[1]Tissue Data'!J:J)</f>
        <v>U</v>
      </c>
      <c r="H7976" t="str">
        <f>_xlfn.XLOOKUP(A7976,'[1]Tissue Data'!$A:$A,'[1]Tissue Data'!K:K)</f>
        <v>Whole Body</v>
      </c>
      <c r="I7976">
        <f>_xlfn.XLOOKUP(A7976,'[1]Tissue Data'!$A:$A,'[1]Tissue Data'!L:L)</f>
        <v>8</v>
      </c>
      <c r="J7976">
        <f>_xlfn.XLOOKUP(A7976,'[1]Tissue Data'!$A:$A,'[1]Tissue Data'!M:M)</f>
        <v>6.17</v>
      </c>
      <c r="K7976" t="s">
        <v>36</v>
      </c>
      <c r="L7976" t="str">
        <f>_xlfn.XLOOKUP(K7976,[2]analyte_order!$B:$B,[2]analyte_order!$C:$C)</f>
        <v>41997-13-1</v>
      </c>
      <c r="M7976">
        <f>_xlfn.XLOOKUP(L7976,[2]analyte_order!$C:$C,[2]analyte_order!$E:$E)</f>
        <v>52</v>
      </c>
      <c r="N7976">
        <v>157</v>
      </c>
    </row>
    <row r="7977" spans="1:14">
      <c r="A7977" t="s">
        <v>148</v>
      </c>
      <c r="B7977" t="str">
        <f>_xlfn.XLOOKUP(A7977,'[1]Tissue Data'!$A:$A,'[1]Tissue Data'!$C:$C)</f>
        <v>Down</v>
      </c>
      <c r="C7977" s="2">
        <f>_xlfn.XLOOKUP(A7977,'[1]Tissue Data'!$A:$A,'[1]Tissue Data'!$D:$D)</f>
        <v>44393</v>
      </c>
      <c r="D7977" s="2" t="s">
        <v>131</v>
      </c>
      <c r="E7977" t="str">
        <f>_xlfn.XLOOKUP(A7977,'[1]Tissue Data'!$A:$A,'[1]Tissue Data'!$H:$H)</f>
        <v>Rhinichthys</v>
      </c>
      <c r="F7977" t="str">
        <f>_xlfn.XLOOKUP(A7977,'[1]Tissue Data'!$A:$A,'[1]Tissue Data'!$I:$I)</f>
        <v>atratulus</v>
      </c>
      <c r="G7977" t="str">
        <f>_xlfn.XLOOKUP(A7977,'[1]Tissue Data'!$A:$A,'[1]Tissue Data'!J:J)</f>
        <v>U</v>
      </c>
      <c r="H7977" t="str">
        <f>_xlfn.XLOOKUP(A7977,'[1]Tissue Data'!$A:$A,'[1]Tissue Data'!K:K)</f>
        <v>Whole Body</v>
      </c>
      <c r="I7977">
        <f>_xlfn.XLOOKUP(A7977,'[1]Tissue Data'!$A:$A,'[1]Tissue Data'!L:L)</f>
        <v>8</v>
      </c>
      <c r="J7977">
        <f>_xlfn.XLOOKUP(A7977,'[1]Tissue Data'!$A:$A,'[1]Tissue Data'!M:M)</f>
        <v>6.17</v>
      </c>
      <c r="K7977" t="s">
        <v>37</v>
      </c>
      <c r="L7977" t="str">
        <f>_xlfn.XLOOKUP(K7977,[2]analyte_order!$B:$B,[2]analyte_order!$C:$C)</f>
        <v>754-91-6</v>
      </c>
      <c r="M7977">
        <f>_xlfn.XLOOKUP(L7977,[2]analyte_order!$C:$C,[2]analyte_order!$E:$E)</f>
        <v>28</v>
      </c>
      <c r="N7977">
        <v>8.26</v>
      </c>
    </row>
    <row r="7978" spans="1:14">
      <c r="A7978" t="s">
        <v>148</v>
      </c>
      <c r="B7978" t="str">
        <f>_xlfn.XLOOKUP(A7978,'[1]Tissue Data'!$A:$A,'[1]Tissue Data'!$C:$C)</f>
        <v>Down</v>
      </c>
      <c r="C7978" s="2">
        <f>_xlfn.XLOOKUP(A7978,'[1]Tissue Data'!$A:$A,'[1]Tissue Data'!$D:$D)</f>
        <v>44393</v>
      </c>
      <c r="D7978" s="2" t="s">
        <v>131</v>
      </c>
      <c r="E7978" t="str">
        <f>_xlfn.XLOOKUP(A7978,'[1]Tissue Data'!$A:$A,'[1]Tissue Data'!$H:$H)</f>
        <v>Rhinichthys</v>
      </c>
      <c r="F7978" t="str">
        <f>_xlfn.XLOOKUP(A7978,'[1]Tissue Data'!$A:$A,'[1]Tissue Data'!$I:$I)</f>
        <v>atratulus</v>
      </c>
      <c r="G7978" t="str">
        <f>_xlfn.XLOOKUP(A7978,'[1]Tissue Data'!$A:$A,'[1]Tissue Data'!J:J)</f>
        <v>U</v>
      </c>
      <c r="H7978" t="str">
        <f>_xlfn.XLOOKUP(A7978,'[1]Tissue Data'!$A:$A,'[1]Tissue Data'!K:K)</f>
        <v>Whole Body</v>
      </c>
      <c r="I7978">
        <f>_xlfn.XLOOKUP(A7978,'[1]Tissue Data'!$A:$A,'[1]Tissue Data'!L:L)</f>
        <v>8</v>
      </c>
      <c r="J7978">
        <f>_xlfn.XLOOKUP(A7978,'[1]Tissue Data'!$A:$A,'[1]Tissue Data'!M:M)</f>
        <v>6.17</v>
      </c>
      <c r="K7978" t="s">
        <v>38</v>
      </c>
      <c r="L7978" t="str">
        <f>_xlfn.XLOOKUP(K7978,[2]analyte_order!$B:$B,[2]analyte_order!$C:$C)</f>
        <v>31506-32-8</v>
      </c>
      <c r="M7978">
        <f>_xlfn.XLOOKUP(L7978,[2]analyte_order!$C:$C,[2]analyte_order!$E:$E)</f>
        <v>30</v>
      </c>
      <c r="N7978">
        <v>0.16750000000000001</v>
      </c>
    </row>
    <row r="7979" spans="1:14">
      <c r="A7979" t="s">
        <v>148</v>
      </c>
      <c r="B7979" t="str">
        <f>_xlfn.XLOOKUP(A7979,'[1]Tissue Data'!$A:$A,'[1]Tissue Data'!$C:$C)</f>
        <v>Down</v>
      </c>
      <c r="C7979" s="2">
        <f>_xlfn.XLOOKUP(A7979,'[1]Tissue Data'!$A:$A,'[1]Tissue Data'!$D:$D)</f>
        <v>44393</v>
      </c>
      <c r="D7979" s="2" t="s">
        <v>131</v>
      </c>
      <c r="E7979" t="str">
        <f>_xlfn.XLOOKUP(A7979,'[1]Tissue Data'!$A:$A,'[1]Tissue Data'!$H:$H)</f>
        <v>Rhinichthys</v>
      </c>
      <c r="F7979" t="str">
        <f>_xlfn.XLOOKUP(A7979,'[1]Tissue Data'!$A:$A,'[1]Tissue Data'!$I:$I)</f>
        <v>atratulus</v>
      </c>
      <c r="G7979" t="str">
        <f>_xlfn.XLOOKUP(A7979,'[1]Tissue Data'!$A:$A,'[1]Tissue Data'!J:J)</f>
        <v>U</v>
      </c>
      <c r="H7979" t="str">
        <f>_xlfn.XLOOKUP(A7979,'[1]Tissue Data'!$A:$A,'[1]Tissue Data'!K:K)</f>
        <v>Whole Body</v>
      </c>
      <c r="I7979">
        <f>_xlfn.XLOOKUP(A7979,'[1]Tissue Data'!$A:$A,'[1]Tissue Data'!L:L)</f>
        <v>8</v>
      </c>
      <c r="J7979">
        <f>_xlfn.XLOOKUP(A7979,'[1]Tissue Data'!$A:$A,'[1]Tissue Data'!M:M)</f>
        <v>6.17</v>
      </c>
      <c r="K7979" t="s">
        <v>39</v>
      </c>
      <c r="L7979" t="str">
        <f>_xlfn.XLOOKUP(K7979,[2]analyte_order!$B:$B,[2]analyte_order!$C:$C)</f>
        <v>4151-50-2</v>
      </c>
      <c r="M7979">
        <f>_xlfn.XLOOKUP(L7979,[2]analyte_order!$C:$C,[2]analyte_order!$E:$E)</f>
        <v>31</v>
      </c>
      <c r="N7979">
        <v>0.4355</v>
      </c>
    </row>
    <row r="7980" spans="1:14">
      <c r="A7980" t="s">
        <v>148</v>
      </c>
      <c r="B7980" t="str">
        <f>_xlfn.XLOOKUP(A7980,'[1]Tissue Data'!$A:$A,'[1]Tissue Data'!$C:$C)</f>
        <v>Down</v>
      </c>
      <c r="C7980" s="2">
        <f>_xlfn.XLOOKUP(A7980,'[1]Tissue Data'!$A:$A,'[1]Tissue Data'!$D:$D)</f>
        <v>44393</v>
      </c>
      <c r="D7980" s="2" t="s">
        <v>131</v>
      </c>
      <c r="E7980" t="str">
        <f>_xlfn.XLOOKUP(A7980,'[1]Tissue Data'!$A:$A,'[1]Tissue Data'!$H:$H)</f>
        <v>Rhinichthys</v>
      </c>
      <c r="F7980" t="str">
        <f>_xlfn.XLOOKUP(A7980,'[1]Tissue Data'!$A:$A,'[1]Tissue Data'!$I:$I)</f>
        <v>atratulus</v>
      </c>
      <c r="G7980" t="str">
        <f>_xlfn.XLOOKUP(A7980,'[1]Tissue Data'!$A:$A,'[1]Tissue Data'!J:J)</f>
        <v>U</v>
      </c>
      <c r="H7980" t="str">
        <f>_xlfn.XLOOKUP(A7980,'[1]Tissue Data'!$A:$A,'[1]Tissue Data'!K:K)</f>
        <v>Whole Body</v>
      </c>
      <c r="I7980">
        <f>_xlfn.XLOOKUP(A7980,'[1]Tissue Data'!$A:$A,'[1]Tissue Data'!L:L)</f>
        <v>8</v>
      </c>
      <c r="J7980">
        <f>_xlfn.XLOOKUP(A7980,'[1]Tissue Data'!$A:$A,'[1]Tissue Data'!M:M)</f>
        <v>6.17</v>
      </c>
      <c r="K7980" t="s">
        <v>40</v>
      </c>
      <c r="L7980" t="str">
        <f>_xlfn.XLOOKUP(K7980,[2]analyte_order!$B:$B,[2]analyte_order!$C:$C)</f>
        <v>2806-24-8</v>
      </c>
      <c r="M7980">
        <f>_xlfn.XLOOKUP(L7980,[2]analyte_order!$C:$C,[2]analyte_order!$E:$E)</f>
        <v>29</v>
      </c>
      <c r="N7980">
        <v>0.4355</v>
      </c>
    </row>
    <row r="7981" spans="1:14">
      <c r="A7981" t="s">
        <v>148</v>
      </c>
      <c r="B7981" t="str">
        <f>_xlfn.XLOOKUP(A7981,'[1]Tissue Data'!$A:$A,'[1]Tissue Data'!$C:$C)</f>
        <v>Down</v>
      </c>
      <c r="C7981" s="2">
        <f>_xlfn.XLOOKUP(A7981,'[1]Tissue Data'!$A:$A,'[1]Tissue Data'!$D:$D)</f>
        <v>44393</v>
      </c>
      <c r="D7981" s="2" t="s">
        <v>131</v>
      </c>
      <c r="E7981" t="str">
        <f>_xlfn.XLOOKUP(A7981,'[1]Tissue Data'!$A:$A,'[1]Tissue Data'!$H:$H)</f>
        <v>Rhinichthys</v>
      </c>
      <c r="F7981" t="str">
        <f>_xlfn.XLOOKUP(A7981,'[1]Tissue Data'!$A:$A,'[1]Tissue Data'!$I:$I)</f>
        <v>atratulus</v>
      </c>
      <c r="G7981" t="str">
        <f>_xlfn.XLOOKUP(A7981,'[1]Tissue Data'!$A:$A,'[1]Tissue Data'!J:J)</f>
        <v>U</v>
      </c>
      <c r="H7981" t="str">
        <f>_xlfn.XLOOKUP(A7981,'[1]Tissue Data'!$A:$A,'[1]Tissue Data'!K:K)</f>
        <v>Whole Body</v>
      </c>
      <c r="I7981">
        <f>_xlfn.XLOOKUP(A7981,'[1]Tissue Data'!$A:$A,'[1]Tissue Data'!L:L)</f>
        <v>8</v>
      </c>
      <c r="J7981">
        <f>_xlfn.XLOOKUP(A7981,'[1]Tissue Data'!$A:$A,'[1]Tissue Data'!M:M)</f>
        <v>6.17</v>
      </c>
      <c r="K7981" t="s">
        <v>41</v>
      </c>
      <c r="L7981" t="str">
        <f>_xlfn.XLOOKUP(K7981,[2]analyte_order!$B:$B,[2]analyte_order!$C:$C)</f>
        <v>2355-31-9</v>
      </c>
      <c r="M7981">
        <f>_xlfn.XLOOKUP(L7981,[2]analyte_order!$C:$C,[2]analyte_order!$E:$E)</f>
        <v>26</v>
      </c>
      <c r="N7981">
        <v>0.219</v>
      </c>
    </row>
    <row r="7982" spans="1:14">
      <c r="A7982" t="s">
        <v>148</v>
      </c>
      <c r="B7982" t="str">
        <f>_xlfn.XLOOKUP(A7982,'[1]Tissue Data'!$A:$A,'[1]Tissue Data'!$C:$C)</f>
        <v>Down</v>
      </c>
      <c r="C7982" s="2">
        <f>_xlfn.XLOOKUP(A7982,'[1]Tissue Data'!$A:$A,'[1]Tissue Data'!$D:$D)</f>
        <v>44393</v>
      </c>
      <c r="D7982" s="2" t="s">
        <v>131</v>
      </c>
      <c r="E7982" t="str">
        <f>_xlfn.XLOOKUP(A7982,'[1]Tissue Data'!$A:$A,'[1]Tissue Data'!$H:$H)</f>
        <v>Rhinichthys</v>
      </c>
      <c r="F7982" t="str">
        <f>_xlfn.XLOOKUP(A7982,'[1]Tissue Data'!$A:$A,'[1]Tissue Data'!$I:$I)</f>
        <v>atratulus</v>
      </c>
      <c r="G7982" t="str">
        <f>_xlfn.XLOOKUP(A7982,'[1]Tissue Data'!$A:$A,'[1]Tissue Data'!J:J)</f>
        <v>U</v>
      </c>
      <c r="H7982" t="str">
        <f>_xlfn.XLOOKUP(A7982,'[1]Tissue Data'!$A:$A,'[1]Tissue Data'!K:K)</f>
        <v>Whole Body</v>
      </c>
      <c r="I7982">
        <f>_xlfn.XLOOKUP(A7982,'[1]Tissue Data'!$A:$A,'[1]Tissue Data'!L:L)</f>
        <v>8</v>
      </c>
      <c r="J7982">
        <f>_xlfn.XLOOKUP(A7982,'[1]Tissue Data'!$A:$A,'[1]Tissue Data'!M:M)</f>
        <v>6.17</v>
      </c>
      <c r="K7982" t="s">
        <v>42</v>
      </c>
      <c r="L7982" t="str">
        <f>_xlfn.XLOOKUP(K7982,[2]analyte_order!$B:$B,[2]analyte_order!$C:$C)</f>
        <v>2991-50-6</v>
      </c>
      <c r="M7982">
        <f>_xlfn.XLOOKUP(L7982,[2]analyte_order!$C:$C,[2]analyte_order!$E:$E)</f>
        <v>27</v>
      </c>
      <c r="N7982">
        <v>0.2175</v>
      </c>
    </row>
    <row r="7983" spans="1:14">
      <c r="A7983" t="s">
        <v>148</v>
      </c>
      <c r="B7983" t="str">
        <f>_xlfn.XLOOKUP(A7983,'[1]Tissue Data'!$A:$A,'[1]Tissue Data'!$C:$C)</f>
        <v>Down</v>
      </c>
      <c r="C7983" s="2">
        <f>_xlfn.XLOOKUP(A7983,'[1]Tissue Data'!$A:$A,'[1]Tissue Data'!$D:$D)</f>
        <v>44393</v>
      </c>
      <c r="D7983" s="2" t="s">
        <v>131</v>
      </c>
      <c r="E7983" t="str">
        <f>_xlfn.XLOOKUP(A7983,'[1]Tissue Data'!$A:$A,'[1]Tissue Data'!$H:$H)</f>
        <v>Rhinichthys</v>
      </c>
      <c r="F7983" t="str">
        <f>_xlfn.XLOOKUP(A7983,'[1]Tissue Data'!$A:$A,'[1]Tissue Data'!$I:$I)</f>
        <v>atratulus</v>
      </c>
      <c r="G7983" t="str">
        <f>_xlfn.XLOOKUP(A7983,'[1]Tissue Data'!$A:$A,'[1]Tissue Data'!J:J)</f>
        <v>U</v>
      </c>
      <c r="H7983" t="str">
        <f>_xlfn.XLOOKUP(A7983,'[1]Tissue Data'!$A:$A,'[1]Tissue Data'!K:K)</f>
        <v>Whole Body</v>
      </c>
      <c r="I7983">
        <f>_xlfn.XLOOKUP(A7983,'[1]Tissue Data'!$A:$A,'[1]Tissue Data'!L:L)</f>
        <v>8</v>
      </c>
      <c r="J7983">
        <f>_xlfn.XLOOKUP(A7983,'[1]Tissue Data'!$A:$A,'[1]Tissue Data'!M:M)</f>
        <v>6.17</v>
      </c>
      <c r="K7983" t="s">
        <v>43</v>
      </c>
      <c r="L7983" t="str">
        <f>_xlfn.XLOOKUP(K7983,[2]analyte_order!$B:$B,[2]analyte_order!$C:$C)</f>
        <v>757124-72-4</v>
      </c>
      <c r="M7983">
        <f>_xlfn.XLOOKUP(L7983,[2]analyte_order!$C:$C,[2]analyte_order!$E:$E)</f>
        <v>22</v>
      </c>
      <c r="N7983">
        <v>0.2175</v>
      </c>
    </row>
    <row r="7984" spans="1:14">
      <c r="A7984" t="s">
        <v>148</v>
      </c>
      <c r="B7984" t="str">
        <f>_xlfn.XLOOKUP(A7984,'[1]Tissue Data'!$A:$A,'[1]Tissue Data'!$C:$C)</f>
        <v>Down</v>
      </c>
      <c r="C7984" s="2">
        <f>_xlfn.XLOOKUP(A7984,'[1]Tissue Data'!$A:$A,'[1]Tissue Data'!$D:$D)</f>
        <v>44393</v>
      </c>
      <c r="D7984" s="2" t="s">
        <v>131</v>
      </c>
      <c r="E7984" t="str">
        <f>_xlfn.XLOOKUP(A7984,'[1]Tissue Data'!$A:$A,'[1]Tissue Data'!$H:$H)</f>
        <v>Rhinichthys</v>
      </c>
      <c r="F7984" t="str">
        <f>_xlfn.XLOOKUP(A7984,'[1]Tissue Data'!$A:$A,'[1]Tissue Data'!$I:$I)</f>
        <v>atratulus</v>
      </c>
      <c r="G7984" t="str">
        <f>_xlfn.XLOOKUP(A7984,'[1]Tissue Data'!$A:$A,'[1]Tissue Data'!J:J)</f>
        <v>U</v>
      </c>
      <c r="H7984" t="str">
        <f>_xlfn.XLOOKUP(A7984,'[1]Tissue Data'!$A:$A,'[1]Tissue Data'!K:K)</f>
        <v>Whole Body</v>
      </c>
      <c r="I7984">
        <f>_xlfn.XLOOKUP(A7984,'[1]Tissue Data'!$A:$A,'[1]Tissue Data'!L:L)</f>
        <v>8</v>
      </c>
      <c r="J7984">
        <f>_xlfn.XLOOKUP(A7984,'[1]Tissue Data'!$A:$A,'[1]Tissue Data'!M:M)</f>
        <v>6.17</v>
      </c>
      <c r="K7984" t="s">
        <v>44</v>
      </c>
      <c r="L7984" t="str">
        <f>_xlfn.XLOOKUP(K7984,[2]analyte_order!$B:$B,[2]analyte_order!$C:$C)</f>
        <v>27619-97-2</v>
      </c>
      <c r="M7984">
        <f>_xlfn.XLOOKUP(L7984,[2]analyte_order!$C:$C,[2]analyte_order!$E:$E)</f>
        <v>23</v>
      </c>
      <c r="N7984">
        <v>0.2175</v>
      </c>
    </row>
    <row r="7985" spans="1:14">
      <c r="A7985" t="s">
        <v>148</v>
      </c>
      <c r="B7985" t="str">
        <f>_xlfn.XLOOKUP(A7985,'[1]Tissue Data'!$A:$A,'[1]Tissue Data'!$C:$C)</f>
        <v>Down</v>
      </c>
      <c r="C7985" s="2">
        <f>_xlfn.XLOOKUP(A7985,'[1]Tissue Data'!$A:$A,'[1]Tissue Data'!$D:$D)</f>
        <v>44393</v>
      </c>
      <c r="D7985" s="2" t="s">
        <v>131</v>
      </c>
      <c r="E7985" t="str">
        <f>_xlfn.XLOOKUP(A7985,'[1]Tissue Data'!$A:$A,'[1]Tissue Data'!$H:$H)</f>
        <v>Rhinichthys</v>
      </c>
      <c r="F7985" t="str">
        <f>_xlfn.XLOOKUP(A7985,'[1]Tissue Data'!$A:$A,'[1]Tissue Data'!$I:$I)</f>
        <v>atratulus</v>
      </c>
      <c r="G7985" t="str">
        <f>_xlfn.XLOOKUP(A7985,'[1]Tissue Data'!$A:$A,'[1]Tissue Data'!J:J)</f>
        <v>U</v>
      </c>
      <c r="H7985" t="str">
        <f>_xlfn.XLOOKUP(A7985,'[1]Tissue Data'!$A:$A,'[1]Tissue Data'!K:K)</f>
        <v>Whole Body</v>
      </c>
      <c r="I7985">
        <f>_xlfn.XLOOKUP(A7985,'[1]Tissue Data'!$A:$A,'[1]Tissue Data'!L:L)</f>
        <v>8</v>
      </c>
      <c r="J7985">
        <f>_xlfn.XLOOKUP(A7985,'[1]Tissue Data'!$A:$A,'[1]Tissue Data'!M:M)</f>
        <v>6.17</v>
      </c>
      <c r="K7985" t="s">
        <v>45</v>
      </c>
      <c r="L7985" t="str">
        <f>_xlfn.XLOOKUP(K7985,[2]analyte_order!$B:$B,[2]analyte_order!$C:$C)</f>
        <v>39108-34-4</v>
      </c>
      <c r="M7985">
        <f>_xlfn.XLOOKUP(L7985,[2]analyte_order!$C:$C,[2]analyte_order!$E:$E)</f>
        <v>24</v>
      </c>
      <c r="N7985">
        <v>11.1</v>
      </c>
    </row>
    <row r="7986" spans="1:14">
      <c r="A7986" t="s">
        <v>148</v>
      </c>
      <c r="B7986" t="str">
        <f>_xlfn.XLOOKUP(A7986,'[1]Tissue Data'!$A:$A,'[1]Tissue Data'!$C:$C)</f>
        <v>Down</v>
      </c>
      <c r="C7986" s="2">
        <f>_xlfn.XLOOKUP(A7986,'[1]Tissue Data'!$A:$A,'[1]Tissue Data'!$D:$D)</f>
        <v>44393</v>
      </c>
      <c r="D7986" s="2" t="s">
        <v>131</v>
      </c>
      <c r="E7986" t="str">
        <f>_xlfn.XLOOKUP(A7986,'[1]Tissue Data'!$A:$A,'[1]Tissue Data'!$H:$H)</f>
        <v>Rhinichthys</v>
      </c>
      <c r="F7986" t="str">
        <f>_xlfn.XLOOKUP(A7986,'[1]Tissue Data'!$A:$A,'[1]Tissue Data'!$I:$I)</f>
        <v>atratulus</v>
      </c>
      <c r="G7986" t="str">
        <f>_xlfn.XLOOKUP(A7986,'[1]Tissue Data'!$A:$A,'[1]Tissue Data'!J:J)</f>
        <v>U</v>
      </c>
      <c r="H7986" t="str">
        <f>_xlfn.XLOOKUP(A7986,'[1]Tissue Data'!$A:$A,'[1]Tissue Data'!K:K)</f>
        <v>Whole Body</v>
      </c>
      <c r="I7986">
        <f>_xlfn.XLOOKUP(A7986,'[1]Tissue Data'!$A:$A,'[1]Tissue Data'!L:L)</f>
        <v>8</v>
      </c>
      <c r="J7986">
        <f>_xlfn.XLOOKUP(A7986,'[1]Tissue Data'!$A:$A,'[1]Tissue Data'!M:M)</f>
        <v>6.17</v>
      </c>
      <c r="K7986" t="s">
        <v>46</v>
      </c>
      <c r="L7986" t="str">
        <f>_xlfn.XLOOKUP(K7986,[2]analyte_order!$B:$B,[2]analyte_order!$C:$C)</f>
        <v>120226-60-0</v>
      </c>
      <c r="M7986">
        <f>_xlfn.XLOOKUP(L7986,[2]analyte_order!$C:$C,[2]analyte_order!$E:$E)</f>
        <v>25</v>
      </c>
      <c r="N7986">
        <v>1.56</v>
      </c>
    </row>
    <row r="7987" spans="1:14">
      <c r="A7987" t="s">
        <v>148</v>
      </c>
      <c r="B7987" t="str">
        <f>_xlfn.XLOOKUP(A7987,'[1]Tissue Data'!$A:$A,'[1]Tissue Data'!$C:$C)</f>
        <v>Down</v>
      </c>
      <c r="C7987" s="2">
        <f>_xlfn.XLOOKUP(A7987,'[1]Tissue Data'!$A:$A,'[1]Tissue Data'!$D:$D)</f>
        <v>44393</v>
      </c>
      <c r="D7987" s="2" t="s">
        <v>131</v>
      </c>
      <c r="E7987" t="str">
        <f>_xlfn.XLOOKUP(A7987,'[1]Tissue Data'!$A:$A,'[1]Tissue Data'!$H:$H)</f>
        <v>Rhinichthys</v>
      </c>
      <c r="F7987" t="str">
        <f>_xlfn.XLOOKUP(A7987,'[1]Tissue Data'!$A:$A,'[1]Tissue Data'!$I:$I)</f>
        <v>atratulus</v>
      </c>
      <c r="G7987" t="str">
        <f>_xlfn.XLOOKUP(A7987,'[1]Tissue Data'!$A:$A,'[1]Tissue Data'!J:J)</f>
        <v>U</v>
      </c>
      <c r="H7987" t="str">
        <f>_xlfn.XLOOKUP(A7987,'[1]Tissue Data'!$A:$A,'[1]Tissue Data'!K:K)</f>
        <v>Whole Body</v>
      </c>
      <c r="I7987">
        <f>_xlfn.XLOOKUP(A7987,'[1]Tissue Data'!$A:$A,'[1]Tissue Data'!L:L)</f>
        <v>8</v>
      </c>
      <c r="J7987">
        <f>_xlfn.XLOOKUP(A7987,'[1]Tissue Data'!$A:$A,'[1]Tissue Data'!M:M)</f>
        <v>6.17</v>
      </c>
      <c r="K7987" t="s">
        <v>47</v>
      </c>
      <c r="L7987" t="str">
        <f>_xlfn.XLOOKUP(K7987,[2]analyte_order!$B:$B,[2]analyte_order!$C:$C)</f>
        <v>356-02-5</v>
      </c>
      <c r="M7987">
        <f>_xlfn.XLOOKUP(L7987,[2]analyte_order!$C:$C,[2]analyte_order!$E:$E)</f>
        <v>38</v>
      </c>
      <c r="N7987">
        <v>0.251</v>
      </c>
    </row>
    <row r="7988" spans="1:14">
      <c r="A7988" t="s">
        <v>148</v>
      </c>
      <c r="B7988" t="str">
        <f>_xlfn.XLOOKUP(A7988,'[1]Tissue Data'!$A:$A,'[1]Tissue Data'!$C:$C)</f>
        <v>Down</v>
      </c>
      <c r="C7988" s="2">
        <f>_xlfn.XLOOKUP(A7988,'[1]Tissue Data'!$A:$A,'[1]Tissue Data'!$D:$D)</f>
        <v>44393</v>
      </c>
      <c r="D7988" s="2" t="s">
        <v>131</v>
      </c>
      <c r="E7988" t="str">
        <f>_xlfn.XLOOKUP(A7988,'[1]Tissue Data'!$A:$A,'[1]Tissue Data'!$H:$H)</f>
        <v>Rhinichthys</v>
      </c>
      <c r="F7988" t="str">
        <f>_xlfn.XLOOKUP(A7988,'[1]Tissue Data'!$A:$A,'[1]Tissue Data'!$I:$I)</f>
        <v>atratulus</v>
      </c>
      <c r="G7988" t="str">
        <f>_xlfn.XLOOKUP(A7988,'[1]Tissue Data'!$A:$A,'[1]Tissue Data'!J:J)</f>
        <v>U</v>
      </c>
      <c r="H7988" t="str">
        <f>_xlfn.XLOOKUP(A7988,'[1]Tissue Data'!$A:$A,'[1]Tissue Data'!K:K)</f>
        <v>Whole Body</v>
      </c>
      <c r="I7988">
        <f>_xlfn.XLOOKUP(A7988,'[1]Tissue Data'!$A:$A,'[1]Tissue Data'!L:L)</f>
        <v>8</v>
      </c>
      <c r="J7988">
        <f>_xlfn.XLOOKUP(A7988,'[1]Tissue Data'!$A:$A,'[1]Tissue Data'!M:M)</f>
        <v>6.17</v>
      </c>
      <c r="K7988" t="s">
        <v>48</v>
      </c>
      <c r="L7988" t="str">
        <f>_xlfn.XLOOKUP(K7988,[2]analyte_order!$B:$B,[2]analyte_order!$C:$C)</f>
        <v>914637-49-3</v>
      </c>
      <c r="M7988">
        <f>_xlfn.XLOOKUP(L7988,[2]analyte_order!$C:$C,[2]analyte_order!$E:$E)</f>
        <v>39</v>
      </c>
      <c r="N7988">
        <v>0.2175</v>
      </c>
    </row>
    <row r="7989" spans="1:14">
      <c r="A7989" t="s">
        <v>148</v>
      </c>
      <c r="B7989" t="str">
        <f>_xlfn.XLOOKUP(A7989,'[1]Tissue Data'!$A:$A,'[1]Tissue Data'!$C:$C)</f>
        <v>Down</v>
      </c>
      <c r="C7989" s="2">
        <f>_xlfn.XLOOKUP(A7989,'[1]Tissue Data'!$A:$A,'[1]Tissue Data'!$D:$D)</f>
        <v>44393</v>
      </c>
      <c r="D7989" s="2" t="s">
        <v>131</v>
      </c>
      <c r="E7989" t="str">
        <f>_xlfn.XLOOKUP(A7989,'[1]Tissue Data'!$A:$A,'[1]Tissue Data'!$H:$H)</f>
        <v>Rhinichthys</v>
      </c>
      <c r="F7989" t="str">
        <f>_xlfn.XLOOKUP(A7989,'[1]Tissue Data'!$A:$A,'[1]Tissue Data'!$I:$I)</f>
        <v>atratulus</v>
      </c>
      <c r="G7989" t="str">
        <f>_xlfn.XLOOKUP(A7989,'[1]Tissue Data'!$A:$A,'[1]Tissue Data'!J:J)</f>
        <v>U</v>
      </c>
      <c r="H7989" t="str">
        <f>_xlfn.XLOOKUP(A7989,'[1]Tissue Data'!$A:$A,'[1]Tissue Data'!K:K)</f>
        <v>Whole Body</v>
      </c>
      <c r="I7989">
        <f>_xlfn.XLOOKUP(A7989,'[1]Tissue Data'!$A:$A,'[1]Tissue Data'!L:L)</f>
        <v>8</v>
      </c>
      <c r="J7989">
        <f>_xlfn.XLOOKUP(A7989,'[1]Tissue Data'!$A:$A,'[1]Tissue Data'!M:M)</f>
        <v>6.17</v>
      </c>
      <c r="K7989" t="s">
        <v>49</v>
      </c>
      <c r="L7989" t="str">
        <f>_xlfn.XLOOKUP(K7989,[2]analyte_order!$B:$B,[2]analyte_order!$C:$C)</f>
        <v>812-70-4</v>
      </c>
      <c r="M7989">
        <f>_xlfn.XLOOKUP(L7989,[2]analyte_order!$C:$C,[2]analyte_order!$E:$E)</f>
        <v>40</v>
      </c>
      <c r="N7989">
        <v>3.63</v>
      </c>
    </row>
    <row r="7990" spans="1:14">
      <c r="A7990" t="s">
        <v>148</v>
      </c>
      <c r="B7990" t="str">
        <f>_xlfn.XLOOKUP(A7990,'[1]Tissue Data'!$A:$A,'[1]Tissue Data'!$C:$C)</f>
        <v>Down</v>
      </c>
      <c r="C7990" s="2">
        <f>_xlfn.XLOOKUP(A7990,'[1]Tissue Data'!$A:$A,'[1]Tissue Data'!$D:$D)</f>
        <v>44393</v>
      </c>
      <c r="D7990" s="2" t="s">
        <v>131</v>
      </c>
      <c r="E7990" t="str">
        <f>_xlfn.XLOOKUP(A7990,'[1]Tissue Data'!$A:$A,'[1]Tissue Data'!$H:$H)</f>
        <v>Rhinichthys</v>
      </c>
      <c r="F7990" t="str">
        <f>_xlfn.XLOOKUP(A7990,'[1]Tissue Data'!$A:$A,'[1]Tissue Data'!$I:$I)</f>
        <v>atratulus</v>
      </c>
      <c r="G7990" t="str">
        <f>_xlfn.XLOOKUP(A7990,'[1]Tissue Data'!$A:$A,'[1]Tissue Data'!J:J)</f>
        <v>U</v>
      </c>
      <c r="H7990" t="str">
        <f>_xlfn.XLOOKUP(A7990,'[1]Tissue Data'!$A:$A,'[1]Tissue Data'!K:K)</f>
        <v>Whole Body</v>
      </c>
      <c r="I7990">
        <f>_xlfn.XLOOKUP(A7990,'[1]Tissue Data'!$A:$A,'[1]Tissue Data'!L:L)</f>
        <v>8</v>
      </c>
      <c r="J7990">
        <f>_xlfn.XLOOKUP(A7990,'[1]Tissue Data'!$A:$A,'[1]Tissue Data'!M:M)</f>
        <v>6.17</v>
      </c>
      <c r="K7990" t="s">
        <v>50</v>
      </c>
      <c r="L7990" t="str">
        <f>_xlfn.XLOOKUP(K7990,[2]analyte_order!$B:$B,[2]analyte_order!$C:$C)</f>
        <v>53826-12-3</v>
      </c>
      <c r="M7990">
        <f>_xlfn.XLOOKUP(L7990,[2]analyte_order!$C:$C,[2]analyte_order!$E:$E)</f>
        <v>41</v>
      </c>
      <c r="N7990">
        <v>0.4355</v>
      </c>
    </row>
    <row r="7991" spans="1:14">
      <c r="A7991" t="s">
        <v>148</v>
      </c>
      <c r="B7991" t="str">
        <f>_xlfn.XLOOKUP(A7991,'[1]Tissue Data'!$A:$A,'[1]Tissue Data'!$C:$C)</f>
        <v>Down</v>
      </c>
      <c r="C7991" s="2">
        <f>_xlfn.XLOOKUP(A7991,'[1]Tissue Data'!$A:$A,'[1]Tissue Data'!$D:$D)</f>
        <v>44393</v>
      </c>
      <c r="D7991" s="2" t="s">
        <v>131</v>
      </c>
      <c r="E7991" t="str">
        <f>_xlfn.XLOOKUP(A7991,'[1]Tissue Data'!$A:$A,'[1]Tissue Data'!$H:$H)</f>
        <v>Rhinichthys</v>
      </c>
      <c r="F7991" t="str">
        <f>_xlfn.XLOOKUP(A7991,'[1]Tissue Data'!$A:$A,'[1]Tissue Data'!$I:$I)</f>
        <v>atratulus</v>
      </c>
      <c r="G7991" t="str">
        <f>_xlfn.XLOOKUP(A7991,'[1]Tissue Data'!$A:$A,'[1]Tissue Data'!J:J)</f>
        <v>U</v>
      </c>
      <c r="H7991" t="str">
        <f>_xlfn.XLOOKUP(A7991,'[1]Tissue Data'!$A:$A,'[1]Tissue Data'!K:K)</f>
        <v>Whole Body</v>
      </c>
      <c r="I7991">
        <f>_xlfn.XLOOKUP(A7991,'[1]Tissue Data'!$A:$A,'[1]Tissue Data'!L:L)</f>
        <v>8</v>
      </c>
      <c r="J7991">
        <f>_xlfn.XLOOKUP(A7991,'[1]Tissue Data'!$A:$A,'[1]Tissue Data'!M:M)</f>
        <v>6.17</v>
      </c>
      <c r="K7991" t="s">
        <v>51</v>
      </c>
      <c r="L7991" t="str">
        <f>_xlfn.XLOOKUP(K7991,[2]analyte_order!$B:$B,[2]analyte_order!$C:$C)</f>
        <v>27854-31-5</v>
      </c>
      <c r="M7991">
        <f>_xlfn.XLOOKUP(L7991,[2]analyte_order!$C:$C,[2]analyte_order!$E:$E)</f>
        <v>42</v>
      </c>
      <c r="N7991">
        <v>0.4355</v>
      </c>
    </row>
    <row r="7992" spans="1:14">
      <c r="A7992" t="s">
        <v>148</v>
      </c>
      <c r="B7992" t="str">
        <f>_xlfn.XLOOKUP(A7992,'[1]Tissue Data'!$A:$A,'[1]Tissue Data'!$C:$C)</f>
        <v>Down</v>
      </c>
      <c r="C7992" s="2">
        <f>_xlfn.XLOOKUP(A7992,'[1]Tissue Data'!$A:$A,'[1]Tissue Data'!$D:$D)</f>
        <v>44393</v>
      </c>
      <c r="D7992" s="2" t="s">
        <v>131</v>
      </c>
      <c r="E7992" t="str">
        <f>_xlfn.XLOOKUP(A7992,'[1]Tissue Data'!$A:$A,'[1]Tissue Data'!$H:$H)</f>
        <v>Rhinichthys</v>
      </c>
      <c r="F7992" t="str">
        <f>_xlfn.XLOOKUP(A7992,'[1]Tissue Data'!$A:$A,'[1]Tissue Data'!$I:$I)</f>
        <v>atratulus</v>
      </c>
      <c r="G7992" t="str">
        <f>_xlfn.XLOOKUP(A7992,'[1]Tissue Data'!$A:$A,'[1]Tissue Data'!J:J)</f>
        <v>U</v>
      </c>
      <c r="H7992" t="str">
        <f>_xlfn.XLOOKUP(A7992,'[1]Tissue Data'!$A:$A,'[1]Tissue Data'!K:K)</f>
        <v>Whole Body</v>
      </c>
      <c r="I7992">
        <f>_xlfn.XLOOKUP(A7992,'[1]Tissue Data'!$A:$A,'[1]Tissue Data'!L:L)</f>
        <v>8</v>
      </c>
      <c r="J7992">
        <f>_xlfn.XLOOKUP(A7992,'[1]Tissue Data'!$A:$A,'[1]Tissue Data'!M:M)</f>
        <v>6.17</v>
      </c>
      <c r="K7992" t="s">
        <v>52</v>
      </c>
      <c r="L7992" t="str">
        <f>_xlfn.XLOOKUP(K7992,[2]analyte_order!$B:$B,[2]analyte_order!$C:$C)</f>
        <v>53826-13-4</v>
      </c>
      <c r="M7992">
        <f>_xlfn.XLOOKUP(L7992,[2]analyte_order!$C:$C,[2]analyte_order!$E:$E)</f>
        <v>43</v>
      </c>
      <c r="N7992">
        <v>0.4355</v>
      </c>
    </row>
    <row r="7993" spans="1:14">
      <c r="A7993" t="s">
        <v>148</v>
      </c>
      <c r="B7993" t="str">
        <f>_xlfn.XLOOKUP(A7993,'[1]Tissue Data'!$A:$A,'[1]Tissue Data'!$C:$C)</f>
        <v>Down</v>
      </c>
      <c r="C7993" s="2">
        <f>_xlfn.XLOOKUP(A7993,'[1]Tissue Data'!$A:$A,'[1]Tissue Data'!$D:$D)</f>
        <v>44393</v>
      </c>
      <c r="D7993" s="2" t="s">
        <v>131</v>
      </c>
      <c r="E7993" t="str">
        <f>_xlfn.XLOOKUP(A7993,'[1]Tissue Data'!$A:$A,'[1]Tissue Data'!$H:$H)</f>
        <v>Rhinichthys</v>
      </c>
      <c r="F7993" t="str">
        <f>_xlfn.XLOOKUP(A7993,'[1]Tissue Data'!$A:$A,'[1]Tissue Data'!$I:$I)</f>
        <v>atratulus</v>
      </c>
      <c r="G7993" t="str">
        <f>_xlfn.XLOOKUP(A7993,'[1]Tissue Data'!$A:$A,'[1]Tissue Data'!J:J)</f>
        <v>U</v>
      </c>
      <c r="H7993" t="str">
        <f>_xlfn.XLOOKUP(A7993,'[1]Tissue Data'!$A:$A,'[1]Tissue Data'!K:K)</f>
        <v>Whole Body</v>
      </c>
      <c r="I7993">
        <f>_xlfn.XLOOKUP(A7993,'[1]Tissue Data'!$A:$A,'[1]Tissue Data'!L:L)</f>
        <v>8</v>
      </c>
      <c r="J7993">
        <f>_xlfn.XLOOKUP(A7993,'[1]Tissue Data'!$A:$A,'[1]Tissue Data'!M:M)</f>
        <v>6.17</v>
      </c>
      <c r="K7993" t="s">
        <v>53</v>
      </c>
      <c r="L7993" t="str">
        <f>_xlfn.XLOOKUP(K7993,[2]analyte_order!$B:$B,[2]analyte_order!$C:$C)</f>
        <v>161094-75-3</v>
      </c>
      <c r="M7993">
        <f>_xlfn.XLOOKUP(L7993,[2]analyte_order!$C:$C,[2]analyte_order!$E:$E)</f>
        <v>44</v>
      </c>
      <c r="N7993">
        <v>0.4355</v>
      </c>
    </row>
    <row r="7994" spans="1:14">
      <c r="A7994" t="s">
        <v>148</v>
      </c>
      <c r="B7994" t="str">
        <f>_xlfn.XLOOKUP(A7994,'[1]Tissue Data'!$A:$A,'[1]Tissue Data'!$C:$C)</f>
        <v>Down</v>
      </c>
      <c r="C7994" s="2">
        <f>_xlfn.XLOOKUP(A7994,'[1]Tissue Data'!$A:$A,'[1]Tissue Data'!$D:$D)</f>
        <v>44393</v>
      </c>
      <c r="D7994" s="2" t="s">
        <v>131</v>
      </c>
      <c r="E7994" t="str">
        <f>_xlfn.XLOOKUP(A7994,'[1]Tissue Data'!$A:$A,'[1]Tissue Data'!$H:$H)</f>
        <v>Rhinichthys</v>
      </c>
      <c r="F7994" t="str">
        <f>_xlfn.XLOOKUP(A7994,'[1]Tissue Data'!$A:$A,'[1]Tissue Data'!$I:$I)</f>
        <v>atratulus</v>
      </c>
      <c r="G7994" t="str">
        <f>_xlfn.XLOOKUP(A7994,'[1]Tissue Data'!$A:$A,'[1]Tissue Data'!J:J)</f>
        <v>U</v>
      </c>
      <c r="H7994" t="str">
        <f>_xlfn.XLOOKUP(A7994,'[1]Tissue Data'!$A:$A,'[1]Tissue Data'!K:K)</f>
        <v>Whole Body</v>
      </c>
      <c r="I7994">
        <f>_xlfn.XLOOKUP(A7994,'[1]Tissue Data'!$A:$A,'[1]Tissue Data'!L:L)</f>
        <v>8</v>
      </c>
      <c r="J7994">
        <f>_xlfn.XLOOKUP(A7994,'[1]Tissue Data'!$A:$A,'[1]Tissue Data'!M:M)</f>
        <v>6.17</v>
      </c>
      <c r="K7994" t="s">
        <v>54</v>
      </c>
      <c r="L7994" t="str">
        <f>_xlfn.XLOOKUP(K7994,[2]analyte_order!$B:$B,[2]analyte_order!$C:$C)</f>
        <v>70887-84-2</v>
      </c>
      <c r="M7994">
        <f>_xlfn.XLOOKUP(L7994,[2]analyte_order!$C:$C,[2]analyte_order!$E:$E)</f>
        <v>45</v>
      </c>
      <c r="N7994">
        <v>0.4355</v>
      </c>
    </row>
    <row r="7995" spans="1:14">
      <c r="A7995" t="s">
        <v>148</v>
      </c>
      <c r="B7995" t="str">
        <f>_xlfn.XLOOKUP(A7995,'[1]Tissue Data'!$A:$A,'[1]Tissue Data'!$C:$C)</f>
        <v>Down</v>
      </c>
      <c r="C7995" s="2">
        <f>_xlfn.XLOOKUP(A7995,'[1]Tissue Data'!$A:$A,'[1]Tissue Data'!$D:$D)</f>
        <v>44393</v>
      </c>
      <c r="D7995" s="2" t="s">
        <v>131</v>
      </c>
      <c r="E7995" t="str">
        <f>_xlfn.XLOOKUP(A7995,'[1]Tissue Data'!$A:$A,'[1]Tissue Data'!$H:$H)</f>
        <v>Rhinichthys</v>
      </c>
      <c r="F7995" t="str">
        <f>_xlfn.XLOOKUP(A7995,'[1]Tissue Data'!$A:$A,'[1]Tissue Data'!$I:$I)</f>
        <v>atratulus</v>
      </c>
      <c r="G7995" t="str">
        <f>_xlfn.XLOOKUP(A7995,'[1]Tissue Data'!$A:$A,'[1]Tissue Data'!J:J)</f>
        <v>U</v>
      </c>
      <c r="H7995" t="str">
        <f>_xlfn.XLOOKUP(A7995,'[1]Tissue Data'!$A:$A,'[1]Tissue Data'!K:K)</f>
        <v>Whole Body</v>
      </c>
      <c r="I7995">
        <f>_xlfn.XLOOKUP(A7995,'[1]Tissue Data'!$A:$A,'[1]Tissue Data'!L:L)</f>
        <v>8</v>
      </c>
      <c r="J7995">
        <f>_xlfn.XLOOKUP(A7995,'[1]Tissue Data'!$A:$A,'[1]Tissue Data'!M:M)</f>
        <v>6.17</v>
      </c>
      <c r="K7995" t="s">
        <v>55</v>
      </c>
      <c r="L7995" t="str">
        <f>_xlfn.XLOOKUP(K7995,[2]analyte_order!$B:$B,[2]analyte_order!$C:$C)</f>
        <v>919005-14-4</v>
      </c>
      <c r="M7995">
        <f>_xlfn.XLOOKUP(L7995,[2]analyte_order!$C:$C,[2]analyte_order!$E:$E)</f>
        <v>35</v>
      </c>
      <c r="N7995">
        <v>1.6</v>
      </c>
    </row>
    <row r="7996" spans="1:14">
      <c r="A7996" t="s">
        <v>148</v>
      </c>
      <c r="B7996" t="str">
        <f>_xlfn.XLOOKUP(A7996,'[1]Tissue Data'!$A:$A,'[1]Tissue Data'!$C:$C)</f>
        <v>Down</v>
      </c>
      <c r="C7996" s="2">
        <f>_xlfn.XLOOKUP(A7996,'[1]Tissue Data'!$A:$A,'[1]Tissue Data'!$D:$D)</f>
        <v>44393</v>
      </c>
      <c r="D7996" s="2" t="s">
        <v>131</v>
      </c>
      <c r="E7996" t="str">
        <f>_xlfn.XLOOKUP(A7996,'[1]Tissue Data'!$A:$A,'[1]Tissue Data'!$H:$H)</f>
        <v>Rhinichthys</v>
      </c>
      <c r="F7996" t="str">
        <f>_xlfn.XLOOKUP(A7996,'[1]Tissue Data'!$A:$A,'[1]Tissue Data'!$I:$I)</f>
        <v>atratulus</v>
      </c>
      <c r="G7996" t="str">
        <f>_xlfn.XLOOKUP(A7996,'[1]Tissue Data'!$A:$A,'[1]Tissue Data'!J:J)</f>
        <v>U</v>
      </c>
      <c r="H7996" t="str">
        <f>_xlfn.XLOOKUP(A7996,'[1]Tissue Data'!$A:$A,'[1]Tissue Data'!K:K)</f>
        <v>Whole Body</v>
      </c>
      <c r="I7996">
        <f>_xlfn.XLOOKUP(A7996,'[1]Tissue Data'!$A:$A,'[1]Tissue Data'!L:L)</f>
        <v>8</v>
      </c>
      <c r="J7996">
        <f>_xlfn.XLOOKUP(A7996,'[1]Tissue Data'!$A:$A,'[1]Tissue Data'!M:M)</f>
        <v>6.17</v>
      </c>
      <c r="K7996" t="s">
        <v>56</v>
      </c>
      <c r="L7996" t="str">
        <f>_xlfn.XLOOKUP(K7996,[2]analyte_order!$B:$B,[2]analyte_order!$C:$C)</f>
        <v>756426-58-1</v>
      </c>
      <c r="M7996">
        <f>_xlfn.XLOOKUP(L7996,[2]analyte_order!$C:$C,[2]analyte_order!$E:$E)</f>
        <v>36</v>
      </c>
      <c r="N7996">
        <v>0.4355</v>
      </c>
    </row>
    <row r="7997" spans="1:14">
      <c r="A7997" t="s">
        <v>148</v>
      </c>
      <c r="B7997" t="str">
        <f>_xlfn.XLOOKUP(A7997,'[1]Tissue Data'!$A:$A,'[1]Tissue Data'!$C:$C)</f>
        <v>Down</v>
      </c>
      <c r="C7997" s="2">
        <f>_xlfn.XLOOKUP(A7997,'[1]Tissue Data'!$A:$A,'[1]Tissue Data'!$D:$D)</f>
        <v>44393</v>
      </c>
      <c r="D7997" s="2" t="s">
        <v>131</v>
      </c>
      <c r="E7997" t="str">
        <f>_xlfn.XLOOKUP(A7997,'[1]Tissue Data'!$A:$A,'[1]Tissue Data'!$H:$H)</f>
        <v>Rhinichthys</v>
      </c>
      <c r="F7997" t="str">
        <f>_xlfn.XLOOKUP(A7997,'[1]Tissue Data'!$A:$A,'[1]Tissue Data'!$I:$I)</f>
        <v>atratulus</v>
      </c>
      <c r="G7997" t="str">
        <f>_xlfn.XLOOKUP(A7997,'[1]Tissue Data'!$A:$A,'[1]Tissue Data'!J:J)</f>
        <v>U</v>
      </c>
      <c r="H7997" t="str">
        <f>_xlfn.XLOOKUP(A7997,'[1]Tissue Data'!$A:$A,'[1]Tissue Data'!K:K)</f>
        <v>Whole Body</v>
      </c>
      <c r="I7997">
        <f>_xlfn.XLOOKUP(A7997,'[1]Tissue Data'!$A:$A,'[1]Tissue Data'!L:L)</f>
        <v>8</v>
      </c>
      <c r="J7997">
        <f>_xlfn.XLOOKUP(A7997,'[1]Tissue Data'!$A:$A,'[1]Tissue Data'!M:M)</f>
        <v>6.17</v>
      </c>
      <c r="K7997" t="s">
        <v>57</v>
      </c>
      <c r="L7997" t="str">
        <f>_xlfn.XLOOKUP(K7997,[2]analyte_order!$B:$B,[2]analyte_order!$C:$C)</f>
        <v>763051-92-9</v>
      </c>
      <c r="M7997">
        <f>_xlfn.XLOOKUP(L7997,[2]analyte_order!$C:$C,[2]analyte_order!$E:$E)</f>
        <v>37</v>
      </c>
      <c r="N7997">
        <v>0.4355</v>
      </c>
    </row>
    <row r="7998" spans="1:14">
      <c r="A7998" t="s">
        <v>148</v>
      </c>
      <c r="B7998" t="str">
        <f>_xlfn.XLOOKUP(A7998,'[1]Tissue Data'!$A:$A,'[1]Tissue Data'!$C:$C)</f>
        <v>Down</v>
      </c>
      <c r="C7998" s="2">
        <f>_xlfn.XLOOKUP(A7998,'[1]Tissue Data'!$A:$A,'[1]Tissue Data'!$D:$D)</f>
        <v>44393</v>
      </c>
      <c r="D7998" s="2" t="s">
        <v>131</v>
      </c>
      <c r="E7998" t="str">
        <f>_xlfn.XLOOKUP(A7998,'[1]Tissue Data'!$A:$A,'[1]Tissue Data'!$H:$H)</f>
        <v>Rhinichthys</v>
      </c>
      <c r="F7998" t="str">
        <f>_xlfn.XLOOKUP(A7998,'[1]Tissue Data'!$A:$A,'[1]Tissue Data'!$I:$I)</f>
        <v>atratulus</v>
      </c>
      <c r="G7998" t="str">
        <f>_xlfn.XLOOKUP(A7998,'[1]Tissue Data'!$A:$A,'[1]Tissue Data'!J:J)</f>
        <v>U</v>
      </c>
      <c r="H7998" t="str">
        <f>_xlfn.XLOOKUP(A7998,'[1]Tissue Data'!$A:$A,'[1]Tissue Data'!K:K)</f>
        <v>Whole Body</v>
      </c>
      <c r="I7998">
        <f>_xlfn.XLOOKUP(A7998,'[1]Tissue Data'!$A:$A,'[1]Tissue Data'!L:L)</f>
        <v>8</v>
      </c>
      <c r="J7998">
        <f>_xlfn.XLOOKUP(A7998,'[1]Tissue Data'!$A:$A,'[1]Tissue Data'!M:M)</f>
        <v>6.17</v>
      </c>
      <c r="K7998" t="s">
        <v>58</v>
      </c>
      <c r="L7998" t="str">
        <f>_xlfn.XLOOKUP(K7998,[2]analyte_order!$B:$B,[2]analyte_order!$C:$C)</f>
        <v>13252-13-6</v>
      </c>
      <c r="M7998">
        <f>_xlfn.XLOOKUP(L7998,[2]analyte_order!$C:$C,[2]analyte_order!$E:$E)</f>
        <v>34</v>
      </c>
      <c r="N7998">
        <v>0.3125</v>
      </c>
    </row>
    <row r="7999" spans="1:14">
      <c r="A7999" t="s">
        <v>148</v>
      </c>
      <c r="B7999" t="str">
        <f>_xlfn.XLOOKUP(A7999,'[1]Tissue Data'!$A:$A,'[1]Tissue Data'!$C:$C)</f>
        <v>Down</v>
      </c>
      <c r="C7999" s="2">
        <f>_xlfn.XLOOKUP(A7999,'[1]Tissue Data'!$A:$A,'[1]Tissue Data'!$D:$D)</f>
        <v>44393</v>
      </c>
      <c r="D7999" s="2" t="s">
        <v>131</v>
      </c>
      <c r="E7999" t="str">
        <f>_xlfn.XLOOKUP(A7999,'[1]Tissue Data'!$A:$A,'[1]Tissue Data'!$H:$H)</f>
        <v>Rhinichthys</v>
      </c>
      <c r="F7999" t="str">
        <f>_xlfn.XLOOKUP(A7999,'[1]Tissue Data'!$A:$A,'[1]Tissue Data'!$I:$I)</f>
        <v>atratulus</v>
      </c>
      <c r="G7999" t="str">
        <f>_xlfn.XLOOKUP(A7999,'[1]Tissue Data'!$A:$A,'[1]Tissue Data'!J:J)</f>
        <v>U</v>
      </c>
      <c r="H7999" t="str">
        <f>_xlfn.XLOOKUP(A7999,'[1]Tissue Data'!$A:$A,'[1]Tissue Data'!K:K)</f>
        <v>Whole Body</v>
      </c>
      <c r="I7999">
        <f>_xlfn.XLOOKUP(A7999,'[1]Tissue Data'!$A:$A,'[1]Tissue Data'!L:L)</f>
        <v>8</v>
      </c>
      <c r="J7999">
        <f>_xlfn.XLOOKUP(A7999,'[1]Tissue Data'!$A:$A,'[1]Tissue Data'!M:M)</f>
        <v>6.17</v>
      </c>
      <c r="K7999" t="s">
        <v>59</v>
      </c>
      <c r="L7999" t="str">
        <f>_xlfn.XLOOKUP(K7999,[2]analyte_order!$B:$B,[2]analyte_order!$C:$C)</f>
        <v>57677-95-9</v>
      </c>
      <c r="M7999">
        <f>_xlfn.XLOOKUP(L7999,[2]analyte_order!$C:$C,[2]analyte_order!$E:$E)</f>
        <v>46</v>
      </c>
      <c r="N7999">
        <v>0.4355</v>
      </c>
    </row>
    <row r="8000" spans="1:14">
      <c r="A8000" t="s">
        <v>148</v>
      </c>
      <c r="B8000" t="str">
        <f>_xlfn.XLOOKUP(A8000,'[1]Tissue Data'!$A:$A,'[1]Tissue Data'!$C:$C)</f>
        <v>Down</v>
      </c>
      <c r="C8000" s="2">
        <f>_xlfn.XLOOKUP(A8000,'[1]Tissue Data'!$A:$A,'[1]Tissue Data'!$D:$D)</f>
        <v>44393</v>
      </c>
      <c r="D8000" s="2" t="s">
        <v>131</v>
      </c>
      <c r="E8000" t="str">
        <f>_xlfn.XLOOKUP(A8000,'[1]Tissue Data'!$A:$A,'[1]Tissue Data'!$H:$H)</f>
        <v>Rhinichthys</v>
      </c>
      <c r="F8000" t="str">
        <f>_xlfn.XLOOKUP(A8000,'[1]Tissue Data'!$A:$A,'[1]Tissue Data'!$I:$I)</f>
        <v>atratulus</v>
      </c>
      <c r="G8000" t="str">
        <f>_xlfn.XLOOKUP(A8000,'[1]Tissue Data'!$A:$A,'[1]Tissue Data'!J:J)</f>
        <v>U</v>
      </c>
      <c r="H8000" t="str">
        <f>_xlfn.XLOOKUP(A8000,'[1]Tissue Data'!$A:$A,'[1]Tissue Data'!K:K)</f>
        <v>Whole Body</v>
      </c>
      <c r="I8000">
        <f>_xlfn.XLOOKUP(A8000,'[1]Tissue Data'!$A:$A,'[1]Tissue Data'!L:L)</f>
        <v>8</v>
      </c>
      <c r="J8000">
        <f>_xlfn.XLOOKUP(A8000,'[1]Tissue Data'!$A:$A,'[1]Tissue Data'!M:M)</f>
        <v>6.17</v>
      </c>
      <c r="K8000" t="s">
        <v>60</v>
      </c>
      <c r="L8000" t="str">
        <f>_xlfn.XLOOKUP(K8000,[2]analyte_order!$B:$B,[2]analyte_order!$C:$C)</f>
        <v>678-41-1</v>
      </c>
      <c r="M8000">
        <f>_xlfn.XLOOKUP(L8000,[2]analyte_order!$C:$C,[2]analyte_order!$E:$E)</f>
        <v>56</v>
      </c>
      <c r="N8000">
        <v>0.4355</v>
      </c>
    </row>
    <row r="8001" spans="1:14">
      <c r="A8001" t="s">
        <v>148</v>
      </c>
      <c r="B8001" t="str">
        <f>_xlfn.XLOOKUP(A8001,'[1]Tissue Data'!$A:$A,'[1]Tissue Data'!$C:$C)</f>
        <v>Down</v>
      </c>
      <c r="C8001" s="2">
        <f>_xlfn.XLOOKUP(A8001,'[1]Tissue Data'!$A:$A,'[1]Tissue Data'!$D:$D)</f>
        <v>44393</v>
      </c>
      <c r="D8001" s="2" t="s">
        <v>131</v>
      </c>
      <c r="E8001" t="str">
        <f>_xlfn.XLOOKUP(A8001,'[1]Tissue Data'!$A:$A,'[1]Tissue Data'!$H:$H)</f>
        <v>Rhinichthys</v>
      </c>
      <c r="F8001" t="str">
        <f>_xlfn.XLOOKUP(A8001,'[1]Tissue Data'!$A:$A,'[1]Tissue Data'!$I:$I)</f>
        <v>atratulus</v>
      </c>
      <c r="G8001" t="str">
        <f>_xlfn.XLOOKUP(A8001,'[1]Tissue Data'!$A:$A,'[1]Tissue Data'!J:J)</f>
        <v>U</v>
      </c>
      <c r="H8001" t="str">
        <f>_xlfn.XLOOKUP(A8001,'[1]Tissue Data'!$A:$A,'[1]Tissue Data'!K:K)</f>
        <v>Whole Body</v>
      </c>
      <c r="I8001">
        <f>_xlfn.XLOOKUP(A8001,'[1]Tissue Data'!$A:$A,'[1]Tissue Data'!L:L)</f>
        <v>8</v>
      </c>
      <c r="J8001">
        <f>_xlfn.XLOOKUP(A8001,'[1]Tissue Data'!$A:$A,'[1]Tissue Data'!M:M)</f>
        <v>6.17</v>
      </c>
      <c r="K8001" t="s">
        <v>61</v>
      </c>
      <c r="L8001" t="str">
        <f>_xlfn.XLOOKUP(K8001,[2]analyte_order!$B:$B,[2]analyte_order!$C:$C)</f>
        <v>2965-52-8</v>
      </c>
      <c r="M8001">
        <f>_xlfn.XLOOKUP(L8001,[2]analyte_order!$C:$C,[2]analyte_order!$E:$E)</f>
        <v>57</v>
      </c>
      <c r="N8001">
        <v>0.4355</v>
      </c>
    </row>
    <row r="8002" spans="1:14">
      <c r="A8002" t="s">
        <v>149</v>
      </c>
      <c r="B8002" t="str">
        <f>_xlfn.XLOOKUP(A8002,'[1]Tissue Data'!$A:$A,'[1]Tissue Data'!$C:$C)</f>
        <v>Down</v>
      </c>
      <c r="C8002" s="2">
        <f>_xlfn.XLOOKUP(A8002,'[1]Tissue Data'!$A:$A,'[1]Tissue Data'!$D:$D)</f>
        <v>44393</v>
      </c>
      <c r="D8002" s="2" t="s">
        <v>131</v>
      </c>
      <c r="E8002" t="str">
        <f>_xlfn.XLOOKUP(A8002,'[1]Tissue Data'!$A:$A,'[1]Tissue Data'!$H:$H)</f>
        <v>Rhinichthys</v>
      </c>
      <c r="F8002" t="str">
        <f>_xlfn.XLOOKUP(A8002,'[1]Tissue Data'!$A:$A,'[1]Tissue Data'!$I:$I)</f>
        <v>atratulus</v>
      </c>
      <c r="G8002" t="str">
        <f>_xlfn.XLOOKUP(A8002,'[1]Tissue Data'!$A:$A,'[1]Tissue Data'!J:J)</f>
        <v>U</v>
      </c>
      <c r="H8002" t="str">
        <f>_xlfn.XLOOKUP(A8002,'[1]Tissue Data'!$A:$A,'[1]Tissue Data'!K:K)</f>
        <v>Whole Body</v>
      </c>
      <c r="I8002">
        <f>_xlfn.XLOOKUP(A8002,'[1]Tissue Data'!$A:$A,'[1]Tissue Data'!L:L)</f>
        <v>11</v>
      </c>
      <c r="J8002">
        <f>_xlfn.XLOOKUP(A8002,'[1]Tissue Data'!$A:$A,'[1]Tissue Data'!M:M)</f>
        <v>14.56</v>
      </c>
      <c r="K8002" t="s">
        <v>12</v>
      </c>
      <c r="L8002" t="str">
        <f>_xlfn.XLOOKUP(K8002,[2]analyte_order!$B:$B,[2]analyte_order!$C:$C)</f>
        <v>375-22-4</v>
      </c>
      <c r="M8002">
        <f>_xlfn.XLOOKUP(L8002,[2]analyte_order!$C:$C,[2]analyte_order!$E:$E)</f>
        <v>1</v>
      </c>
      <c r="N8002">
        <v>0.23400000000000001</v>
      </c>
    </row>
    <row r="8003" spans="1:14">
      <c r="A8003" t="s">
        <v>149</v>
      </c>
      <c r="B8003" t="str">
        <f>_xlfn.XLOOKUP(A8003,'[1]Tissue Data'!$A:$A,'[1]Tissue Data'!$C:$C)</f>
        <v>Down</v>
      </c>
      <c r="C8003" s="2">
        <f>_xlfn.XLOOKUP(A8003,'[1]Tissue Data'!$A:$A,'[1]Tissue Data'!$D:$D)</f>
        <v>44393</v>
      </c>
      <c r="D8003" s="2" t="s">
        <v>131</v>
      </c>
      <c r="E8003" t="str">
        <f>_xlfn.XLOOKUP(A8003,'[1]Tissue Data'!$A:$A,'[1]Tissue Data'!$H:$H)</f>
        <v>Rhinichthys</v>
      </c>
      <c r="F8003" t="str">
        <f>_xlfn.XLOOKUP(A8003,'[1]Tissue Data'!$A:$A,'[1]Tissue Data'!$I:$I)</f>
        <v>atratulus</v>
      </c>
      <c r="G8003" t="str">
        <f>_xlfn.XLOOKUP(A8003,'[1]Tissue Data'!$A:$A,'[1]Tissue Data'!J:J)</f>
        <v>U</v>
      </c>
      <c r="H8003" t="str">
        <f>_xlfn.XLOOKUP(A8003,'[1]Tissue Data'!$A:$A,'[1]Tissue Data'!K:K)</f>
        <v>Whole Body</v>
      </c>
      <c r="I8003">
        <f>_xlfn.XLOOKUP(A8003,'[1]Tissue Data'!$A:$A,'[1]Tissue Data'!L:L)</f>
        <v>11</v>
      </c>
      <c r="J8003">
        <f>_xlfn.XLOOKUP(A8003,'[1]Tissue Data'!$A:$A,'[1]Tissue Data'!M:M)</f>
        <v>14.56</v>
      </c>
      <c r="K8003" t="s">
        <v>13</v>
      </c>
      <c r="L8003" t="str">
        <f>_xlfn.XLOOKUP(K8003,[2]analyte_order!$B:$B,[2]analyte_order!$C:$C)</f>
        <v>2706-90-3</v>
      </c>
      <c r="M8003">
        <f>_xlfn.XLOOKUP(L8003,[2]analyte_order!$C:$C,[2]analyte_order!$E:$E)</f>
        <v>2</v>
      </c>
      <c r="N8003">
        <v>0.23400000000000001</v>
      </c>
    </row>
    <row r="8004" spans="1:14">
      <c r="A8004" t="s">
        <v>149</v>
      </c>
      <c r="B8004" t="str">
        <f>_xlfn.XLOOKUP(A8004,'[1]Tissue Data'!$A:$A,'[1]Tissue Data'!$C:$C)</f>
        <v>Down</v>
      </c>
      <c r="C8004" s="2">
        <f>_xlfn.XLOOKUP(A8004,'[1]Tissue Data'!$A:$A,'[1]Tissue Data'!$D:$D)</f>
        <v>44393</v>
      </c>
      <c r="D8004" s="2" t="s">
        <v>131</v>
      </c>
      <c r="E8004" t="str">
        <f>_xlfn.XLOOKUP(A8004,'[1]Tissue Data'!$A:$A,'[1]Tissue Data'!$H:$H)</f>
        <v>Rhinichthys</v>
      </c>
      <c r="F8004" t="str">
        <f>_xlfn.XLOOKUP(A8004,'[1]Tissue Data'!$A:$A,'[1]Tissue Data'!$I:$I)</f>
        <v>atratulus</v>
      </c>
      <c r="G8004" t="str">
        <f>_xlfn.XLOOKUP(A8004,'[1]Tissue Data'!$A:$A,'[1]Tissue Data'!J:J)</f>
        <v>U</v>
      </c>
      <c r="H8004" t="str">
        <f>_xlfn.XLOOKUP(A8004,'[1]Tissue Data'!$A:$A,'[1]Tissue Data'!K:K)</f>
        <v>Whole Body</v>
      </c>
      <c r="I8004">
        <f>_xlfn.XLOOKUP(A8004,'[1]Tissue Data'!$A:$A,'[1]Tissue Data'!L:L)</f>
        <v>11</v>
      </c>
      <c r="J8004">
        <f>_xlfn.XLOOKUP(A8004,'[1]Tissue Data'!$A:$A,'[1]Tissue Data'!M:M)</f>
        <v>14.56</v>
      </c>
      <c r="K8004" t="s">
        <v>14</v>
      </c>
      <c r="L8004" t="str">
        <f>_xlfn.XLOOKUP(K8004,[2]analyte_order!$B:$B,[2]analyte_order!$C:$C)</f>
        <v>307-24-4</v>
      </c>
      <c r="M8004">
        <f>_xlfn.XLOOKUP(L8004,[2]analyte_order!$C:$C,[2]analyte_order!$E:$E)</f>
        <v>3</v>
      </c>
      <c r="N8004">
        <v>0.1265</v>
      </c>
    </row>
    <row r="8005" spans="1:14">
      <c r="A8005" t="s">
        <v>149</v>
      </c>
      <c r="B8005" t="str">
        <f>_xlfn.XLOOKUP(A8005,'[1]Tissue Data'!$A:$A,'[1]Tissue Data'!$C:$C)</f>
        <v>Down</v>
      </c>
      <c r="C8005" s="2">
        <f>_xlfn.XLOOKUP(A8005,'[1]Tissue Data'!$A:$A,'[1]Tissue Data'!$D:$D)</f>
        <v>44393</v>
      </c>
      <c r="D8005" s="2" t="s">
        <v>131</v>
      </c>
      <c r="E8005" t="str">
        <f>_xlfn.XLOOKUP(A8005,'[1]Tissue Data'!$A:$A,'[1]Tissue Data'!$H:$H)</f>
        <v>Rhinichthys</v>
      </c>
      <c r="F8005" t="str">
        <f>_xlfn.XLOOKUP(A8005,'[1]Tissue Data'!$A:$A,'[1]Tissue Data'!$I:$I)</f>
        <v>atratulus</v>
      </c>
      <c r="G8005" t="str">
        <f>_xlfn.XLOOKUP(A8005,'[1]Tissue Data'!$A:$A,'[1]Tissue Data'!J:J)</f>
        <v>U</v>
      </c>
      <c r="H8005" t="str">
        <f>_xlfn.XLOOKUP(A8005,'[1]Tissue Data'!$A:$A,'[1]Tissue Data'!K:K)</f>
        <v>Whole Body</v>
      </c>
      <c r="I8005">
        <f>_xlfn.XLOOKUP(A8005,'[1]Tissue Data'!$A:$A,'[1]Tissue Data'!L:L)</f>
        <v>11</v>
      </c>
      <c r="J8005">
        <f>_xlfn.XLOOKUP(A8005,'[1]Tissue Data'!$A:$A,'[1]Tissue Data'!M:M)</f>
        <v>14.56</v>
      </c>
      <c r="K8005" t="s">
        <v>15</v>
      </c>
      <c r="L8005" t="str">
        <f>_xlfn.XLOOKUP(K8005,[2]analyte_order!$B:$B,[2]analyte_order!$C:$C)</f>
        <v>375-85-9</v>
      </c>
      <c r="M8005">
        <f>_xlfn.XLOOKUP(L8005,[2]analyte_order!$C:$C,[2]analyte_order!$E:$E)</f>
        <v>4</v>
      </c>
      <c r="N8005">
        <v>0.23400000000000001</v>
      </c>
    </row>
    <row r="8006" spans="1:14">
      <c r="A8006" t="s">
        <v>149</v>
      </c>
      <c r="B8006" t="str">
        <f>_xlfn.XLOOKUP(A8006,'[1]Tissue Data'!$A:$A,'[1]Tissue Data'!$C:$C)</f>
        <v>Down</v>
      </c>
      <c r="C8006" s="2">
        <f>_xlfn.XLOOKUP(A8006,'[1]Tissue Data'!$A:$A,'[1]Tissue Data'!$D:$D)</f>
        <v>44393</v>
      </c>
      <c r="D8006" s="2" t="s">
        <v>131</v>
      </c>
      <c r="E8006" t="str">
        <f>_xlfn.XLOOKUP(A8006,'[1]Tissue Data'!$A:$A,'[1]Tissue Data'!$H:$H)</f>
        <v>Rhinichthys</v>
      </c>
      <c r="F8006" t="str">
        <f>_xlfn.XLOOKUP(A8006,'[1]Tissue Data'!$A:$A,'[1]Tissue Data'!$I:$I)</f>
        <v>atratulus</v>
      </c>
      <c r="G8006" t="str">
        <f>_xlfn.XLOOKUP(A8006,'[1]Tissue Data'!$A:$A,'[1]Tissue Data'!J:J)</f>
        <v>U</v>
      </c>
      <c r="H8006" t="str">
        <f>_xlfn.XLOOKUP(A8006,'[1]Tissue Data'!$A:$A,'[1]Tissue Data'!K:K)</f>
        <v>Whole Body</v>
      </c>
      <c r="I8006">
        <f>_xlfn.XLOOKUP(A8006,'[1]Tissue Data'!$A:$A,'[1]Tissue Data'!L:L)</f>
        <v>11</v>
      </c>
      <c r="J8006">
        <f>_xlfn.XLOOKUP(A8006,'[1]Tissue Data'!$A:$A,'[1]Tissue Data'!M:M)</f>
        <v>14.56</v>
      </c>
      <c r="K8006" t="s">
        <v>16</v>
      </c>
      <c r="L8006" t="str">
        <f>_xlfn.XLOOKUP(K8006,[2]analyte_order!$B:$B,[2]analyte_order!$C:$C)</f>
        <v>335-67-1</v>
      </c>
      <c r="M8006">
        <f>_xlfn.XLOOKUP(L8006,[2]analyte_order!$C:$C,[2]analyte_order!$E:$E)</f>
        <v>5</v>
      </c>
      <c r="N8006">
        <v>1.68</v>
      </c>
    </row>
    <row r="8007" spans="1:14">
      <c r="A8007" t="s">
        <v>149</v>
      </c>
      <c r="B8007" t="str">
        <f>_xlfn.XLOOKUP(A8007,'[1]Tissue Data'!$A:$A,'[1]Tissue Data'!$C:$C)</f>
        <v>Down</v>
      </c>
      <c r="C8007" s="2">
        <f>_xlfn.XLOOKUP(A8007,'[1]Tissue Data'!$A:$A,'[1]Tissue Data'!$D:$D)</f>
        <v>44393</v>
      </c>
      <c r="D8007" s="2" t="s">
        <v>131</v>
      </c>
      <c r="E8007" t="str">
        <f>_xlfn.XLOOKUP(A8007,'[1]Tissue Data'!$A:$A,'[1]Tissue Data'!$H:$H)</f>
        <v>Rhinichthys</v>
      </c>
      <c r="F8007" t="str">
        <f>_xlfn.XLOOKUP(A8007,'[1]Tissue Data'!$A:$A,'[1]Tissue Data'!$I:$I)</f>
        <v>atratulus</v>
      </c>
      <c r="G8007" t="str">
        <f>_xlfn.XLOOKUP(A8007,'[1]Tissue Data'!$A:$A,'[1]Tissue Data'!J:J)</f>
        <v>U</v>
      </c>
      <c r="H8007" t="str">
        <f>_xlfn.XLOOKUP(A8007,'[1]Tissue Data'!$A:$A,'[1]Tissue Data'!K:K)</f>
        <v>Whole Body</v>
      </c>
      <c r="I8007">
        <f>_xlfn.XLOOKUP(A8007,'[1]Tissue Data'!$A:$A,'[1]Tissue Data'!L:L)</f>
        <v>11</v>
      </c>
      <c r="J8007">
        <f>_xlfn.XLOOKUP(A8007,'[1]Tissue Data'!$A:$A,'[1]Tissue Data'!M:M)</f>
        <v>14.56</v>
      </c>
      <c r="K8007" t="s">
        <v>17</v>
      </c>
      <c r="L8007" t="str">
        <f>_xlfn.XLOOKUP(K8007,[2]analyte_order!$B:$B,[2]analyte_order!$C:$C)</f>
        <v>375-95-1</v>
      </c>
      <c r="M8007">
        <f>_xlfn.XLOOKUP(L8007,[2]analyte_order!$C:$C,[2]analyte_order!$E:$E)</f>
        <v>6</v>
      </c>
      <c r="N8007">
        <v>1.0900000000000001</v>
      </c>
    </row>
    <row r="8008" spans="1:14">
      <c r="A8008" t="s">
        <v>149</v>
      </c>
      <c r="B8008" t="str">
        <f>_xlfn.XLOOKUP(A8008,'[1]Tissue Data'!$A:$A,'[1]Tissue Data'!$C:$C)</f>
        <v>Down</v>
      </c>
      <c r="C8008" s="2">
        <f>_xlfn.XLOOKUP(A8008,'[1]Tissue Data'!$A:$A,'[1]Tissue Data'!$D:$D)</f>
        <v>44393</v>
      </c>
      <c r="D8008" s="2" t="s">
        <v>131</v>
      </c>
      <c r="E8008" t="str">
        <f>_xlfn.XLOOKUP(A8008,'[1]Tissue Data'!$A:$A,'[1]Tissue Data'!$H:$H)</f>
        <v>Rhinichthys</v>
      </c>
      <c r="F8008" t="str">
        <f>_xlfn.XLOOKUP(A8008,'[1]Tissue Data'!$A:$A,'[1]Tissue Data'!$I:$I)</f>
        <v>atratulus</v>
      </c>
      <c r="G8008" t="str">
        <f>_xlfn.XLOOKUP(A8008,'[1]Tissue Data'!$A:$A,'[1]Tissue Data'!J:J)</f>
        <v>U</v>
      </c>
      <c r="H8008" t="str">
        <f>_xlfn.XLOOKUP(A8008,'[1]Tissue Data'!$A:$A,'[1]Tissue Data'!K:K)</f>
        <v>Whole Body</v>
      </c>
      <c r="I8008">
        <f>_xlfn.XLOOKUP(A8008,'[1]Tissue Data'!$A:$A,'[1]Tissue Data'!L:L)</f>
        <v>11</v>
      </c>
      <c r="J8008">
        <f>_xlfn.XLOOKUP(A8008,'[1]Tissue Data'!$A:$A,'[1]Tissue Data'!M:M)</f>
        <v>14.56</v>
      </c>
      <c r="K8008" t="s">
        <v>18</v>
      </c>
      <c r="L8008" t="str">
        <f>_xlfn.XLOOKUP(K8008,[2]analyte_order!$B:$B,[2]analyte_order!$C:$C)</f>
        <v>335-76-2</v>
      </c>
      <c r="M8008">
        <f>_xlfn.XLOOKUP(L8008,[2]analyte_order!$C:$C,[2]analyte_order!$E:$E)</f>
        <v>7</v>
      </c>
      <c r="N8008">
        <v>9.57</v>
      </c>
    </row>
    <row r="8009" spans="1:14">
      <c r="A8009" t="s">
        <v>149</v>
      </c>
      <c r="B8009" t="str">
        <f>_xlfn.XLOOKUP(A8009,'[1]Tissue Data'!$A:$A,'[1]Tissue Data'!$C:$C)</f>
        <v>Down</v>
      </c>
      <c r="C8009" s="2">
        <f>_xlfn.XLOOKUP(A8009,'[1]Tissue Data'!$A:$A,'[1]Tissue Data'!$D:$D)</f>
        <v>44393</v>
      </c>
      <c r="D8009" s="2" t="s">
        <v>131</v>
      </c>
      <c r="E8009" t="str">
        <f>_xlfn.XLOOKUP(A8009,'[1]Tissue Data'!$A:$A,'[1]Tissue Data'!$H:$H)</f>
        <v>Rhinichthys</v>
      </c>
      <c r="F8009" t="str">
        <f>_xlfn.XLOOKUP(A8009,'[1]Tissue Data'!$A:$A,'[1]Tissue Data'!$I:$I)</f>
        <v>atratulus</v>
      </c>
      <c r="G8009" t="str">
        <f>_xlfn.XLOOKUP(A8009,'[1]Tissue Data'!$A:$A,'[1]Tissue Data'!J:J)</f>
        <v>U</v>
      </c>
      <c r="H8009" t="str">
        <f>_xlfn.XLOOKUP(A8009,'[1]Tissue Data'!$A:$A,'[1]Tissue Data'!K:K)</f>
        <v>Whole Body</v>
      </c>
      <c r="I8009">
        <f>_xlfn.XLOOKUP(A8009,'[1]Tissue Data'!$A:$A,'[1]Tissue Data'!L:L)</f>
        <v>11</v>
      </c>
      <c r="J8009">
        <f>_xlfn.XLOOKUP(A8009,'[1]Tissue Data'!$A:$A,'[1]Tissue Data'!M:M)</f>
        <v>14.56</v>
      </c>
      <c r="K8009" t="s">
        <v>19</v>
      </c>
      <c r="L8009" t="str">
        <f>_xlfn.XLOOKUP(K8009,[2]analyte_order!$B:$B,[2]analyte_order!$C:$C)</f>
        <v>2058-94-8</v>
      </c>
      <c r="M8009">
        <f>_xlfn.XLOOKUP(L8009,[2]analyte_order!$C:$C,[2]analyte_order!$E:$E)</f>
        <v>8</v>
      </c>
      <c r="N8009">
        <v>10.1</v>
      </c>
    </row>
    <row r="8010" spans="1:14">
      <c r="A8010" t="s">
        <v>149</v>
      </c>
      <c r="B8010" t="str">
        <f>_xlfn.XLOOKUP(A8010,'[1]Tissue Data'!$A:$A,'[1]Tissue Data'!$C:$C)</f>
        <v>Down</v>
      </c>
      <c r="C8010" s="2">
        <f>_xlfn.XLOOKUP(A8010,'[1]Tissue Data'!$A:$A,'[1]Tissue Data'!$D:$D)</f>
        <v>44393</v>
      </c>
      <c r="D8010" s="2" t="s">
        <v>131</v>
      </c>
      <c r="E8010" t="str">
        <f>_xlfn.XLOOKUP(A8010,'[1]Tissue Data'!$A:$A,'[1]Tissue Data'!$H:$H)</f>
        <v>Rhinichthys</v>
      </c>
      <c r="F8010" t="str">
        <f>_xlfn.XLOOKUP(A8010,'[1]Tissue Data'!$A:$A,'[1]Tissue Data'!$I:$I)</f>
        <v>atratulus</v>
      </c>
      <c r="G8010" t="str">
        <f>_xlfn.XLOOKUP(A8010,'[1]Tissue Data'!$A:$A,'[1]Tissue Data'!J:J)</f>
        <v>U</v>
      </c>
      <c r="H8010" t="str">
        <f>_xlfn.XLOOKUP(A8010,'[1]Tissue Data'!$A:$A,'[1]Tissue Data'!K:K)</f>
        <v>Whole Body</v>
      </c>
      <c r="I8010">
        <f>_xlfn.XLOOKUP(A8010,'[1]Tissue Data'!$A:$A,'[1]Tissue Data'!L:L)</f>
        <v>11</v>
      </c>
      <c r="J8010">
        <f>_xlfn.XLOOKUP(A8010,'[1]Tissue Data'!$A:$A,'[1]Tissue Data'!M:M)</f>
        <v>14.56</v>
      </c>
      <c r="K8010" t="s">
        <v>20</v>
      </c>
      <c r="L8010" t="str">
        <f>_xlfn.XLOOKUP(K8010,[2]analyte_order!$B:$B,[2]analyte_order!$C:$C)</f>
        <v>307-55-1</v>
      </c>
      <c r="M8010">
        <f>_xlfn.XLOOKUP(L8010,[2]analyte_order!$C:$C,[2]analyte_order!$E:$E)</f>
        <v>9</v>
      </c>
      <c r="N8010">
        <v>15.4</v>
      </c>
    </row>
    <row r="8011" spans="1:14">
      <c r="A8011" t="s">
        <v>149</v>
      </c>
      <c r="B8011" t="str">
        <f>_xlfn.XLOOKUP(A8011,'[1]Tissue Data'!$A:$A,'[1]Tissue Data'!$C:$C)</f>
        <v>Down</v>
      </c>
      <c r="C8011" s="2">
        <f>_xlfn.XLOOKUP(A8011,'[1]Tissue Data'!$A:$A,'[1]Tissue Data'!$D:$D)</f>
        <v>44393</v>
      </c>
      <c r="D8011" s="2" t="s">
        <v>131</v>
      </c>
      <c r="E8011" t="str">
        <f>_xlfn.XLOOKUP(A8011,'[1]Tissue Data'!$A:$A,'[1]Tissue Data'!$H:$H)</f>
        <v>Rhinichthys</v>
      </c>
      <c r="F8011" t="str">
        <f>_xlfn.XLOOKUP(A8011,'[1]Tissue Data'!$A:$A,'[1]Tissue Data'!$I:$I)</f>
        <v>atratulus</v>
      </c>
      <c r="G8011" t="str">
        <f>_xlfn.XLOOKUP(A8011,'[1]Tissue Data'!$A:$A,'[1]Tissue Data'!J:J)</f>
        <v>U</v>
      </c>
      <c r="H8011" t="str">
        <f>_xlfn.XLOOKUP(A8011,'[1]Tissue Data'!$A:$A,'[1]Tissue Data'!K:K)</f>
        <v>Whole Body</v>
      </c>
      <c r="I8011">
        <f>_xlfn.XLOOKUP(A8011,'[1]Tissue Data'!$A:$A,'[1]Tissue Data'!L:L)</f>
        <v>11</v>
      </c>
      <c r="J8011">
        <f>_xlfn.XLOOKUP(A8011,'[1]Tissue Data'!$A:$A,'[1]Tissue Data'!M:M)</f>
        <v>14.56</v>
      </c>
      <c r="K8011" t="s">
        <v>21</v>
      </c>
      <c r="L8011" t="str">
        <f>_xlfn.XLOOKUP(K8011,[2]analyte_order!$B:$B,[2]analyte_order!$C:$C)</f>
        <v>72629-94-8</v>
      </c>
      <c r="M8011">
        <f>_xlfn.XLOOKUP(L8011,[2]analyte_order!$C:$C,[2]analyte_order!$E:$E)</f>
        <v>10</v>
      </c>
      <c r="N8011">
        <v>5.0599999999999996</v>
      </c>
    </row>
    <row r="8012" spans="1:14">
      <c r="A8012" t="s">
        <v>149</v>
      </c>
      <c r="B8012" t="str">
        <f>_xlfn.XLOOKUP(A8012,'[1]Tissue Data'!$A:$A,'[1]Tissue Data'!$C:$C)</f>
        <v>Down</v>
      </c>
      <c r="C8012" s="2">
        <f>_xlfn.XLOOKUP(A8012,'[1]Tissue Data'!$A:$A,'[1]Tissue Data'!$D:$D)</f>
        <v>44393</v>
      </c>
      <c r="D8012" s="2" t="s">
        <v>131</v>
      </c>
      <c r="E8012" t="str">
        <f>_xlfn.XLOOKUP(A8012,'[1]Tissue Data'!$A:$A,'[1]Tissue Data'!$H:$H)</f>
        <v>Rhinichthys</v>
      </c>
      <c r="F8012" t="str">
        <f>_xlfn.XLOOKUP(A8012,'[1]Tissue Data'!$A:$A,'[1]Tissue Data'!$I:$I)</f>
        <v>atratulus</v>
      </c>
      <c r="G8012" t="str">
        <f>_xlfn.XLOOKUP(A8012,'[1]Tissue Data'!$A:$A,'[1]Tissue Data'!J:J)</f>
        <v>U</v>
      </c>
      <c r="H8012" t="str">
        <f>_xlfn.XLOOKUP(A8012,'[1]Tissue Data'!$A:$A,'[1]Tissue Data'!K:K)</f>
        <v>Whole Body</v>
      </c>
      <c r="I8012">
        <f>_xlfn.XLOOKUP(A8012,'[1]Tissue Data'!$A:$A,'[1]Tissue Data'!L:L)</f>
        <v>11</v>
      </c>
      <c r="J8012">
        <f>_xlfn.XLOOKUP(A8012,'[1]Tissue Data'!$A:$A,'[1]Tissue Data'!M:M)</f>
        <v>14.56</v>
      </c>
      <c r="K8012" t="s">
        <v>22</v>
      </c>
      <c r="L8012" t="str">
        <f>_xlfn.XLOOKUP(K8012,[2]analyte_order!$B:$B,[2]analyte_order!$C:$C)</f>
        <v>376-06-7</v>
      </c>
      <c r="M8012">
        <f>_xlfn.XLOOKUP(L8012,[2]analyte_order!$C:$C,[2]analyte_order!$E:$E)</f>
        <v>11</v>
      </c>
      <c r="N8012">
        <v>10.7</v>
      </c>
    </row>
    <row r="8013" spans="1:14">
      <c r="A8013" t="s">
        <v>149</v>
      </c>
      <c r="B8013" t="str">
        <f>_xlfn.XLOOKUP(A8013,'[1]Tissue Data'!$A:$A,'[1]Tissue Data'!$C:$C)</f>
        <v>Down</v>
      </c>
      <c r="C8013" s="2">
        <f>_xlfn.XLOOKUP(A8013,'[1]Tissue Data'!$A:$A,'[1]Tissue Data'!$D:$D)</f>
        <v>44393</v>
      </c>
      <c r="D8013" s="2" t="s">
        <v>131</v>
      </c>
      <c r="E8013" t="str">
        <f>_xlfn.XLOOKUP(A8013,'[1]Tissue Data'!$A:$A,'[1]Tissue Data'!$H:$H)</f>
        <v>Rhinichthys</v>
      </c>
      <c r="F8013" t="str">
        <f>_xlfn.XLOOKUP(A8013,'[1]Tissue Data'!$A:$A,'[1]Tissue Data'!$I:$I)</f>
        <v>atratulus</v>
      </c>
      <c r="G8013" t="str">
        <f>_xlfn.XLOOKUP(A8013,'[1]Tissue Data'!$A:$A,'[1]Tissue Data'!J:J)</f>
        <v>U</v>
      </c>
      <c r="H8013" t="str">
        <f>_xlfn.XLOOKUP(A8013,'[1]Tissue Data'!$A:$A,'[1]Tissue Data'!K:K)</f>
        <v>Whole Body</v>
      </c>
      <c r="I8013">
        <f>_xlfn.XLOOKUP(A8013,'[1]Tissue Data'!$A:$A,'[1]Tissue Data'!L:L)</f>
        <v>11</v>
      </c>
      <c r="J8013">
        <f>_xlfn.XLOOKUP(A8013,'[1]Tissue Data'!$A:$A,'[1]Tissue Data'!M:M)</f>
        <v>14.56</v>
      </c>
      <c r="K8013" t="s">
        <v>23</v>
      </c>
      <c r="L8013" t="str">
        <f>_xlfn.XLOOKUP(K8013,[2]analyte_order!$B:$B,[2]analyte_order!$C:$C)</f>
        <v>67905-19-5</v>
      </c>
      <c r="M8013">
        <f>_xlfn.XLOOKUP(L8013,[2]analyte_order!$C:$C,[2]analyte_order!$E:$E)</f>
        <v>12</v>
      </c>
      <c r="N8013">
        <v>0.27900000000000003</v>
      </c>
    </row>
    <row r="8014" spans="1:14">
      <c r="A8014" t="s">
        <v>149</v>
      </c>
      <c r="B8014" t="str">
        <f>_xlfn.XLOOKUP(A8014,'[1]Tissue Data'!$A:$A,'[1]Tissue Data'!$C:$C)</f>
        <v>Down</v>
      </c>
      <c r="C8014" s="2">
        <f>_xlfn.XLOOKUP(A8014,'[1]Tissue Data'!$A:$A,'[1]Tissue Data'!$D:$D)</f>
        <v>44393</v>
      </c>
      <c r="D8014" s="2" t="s">
        <v>131</v>
      </c>
      <c r="E8014" t="str">
        <f>_xlfn.XLOOKUP(A8014,'[1]Tissue Data'!$A:$A,'[1]Tissue Data'!$H:$H)</f>
        <v>Rhinichthys</v>
      </c>
      <c r="F8014" t="str">
        <f>_xlfn.XLOOKUP(A8014,'[1]Tissue Data'!$A:$A,'[1]Tissue Data'!$I:$I)</f>
        <v>atratulus</v>
      </c>
      <c r="G8014" t="str">
        <f>_xlfn.XLOOKUP(A8014,'[1]Tissue Data'!$A:$A,'[1]Tissue Data'!J:J)</f>
        <v>U</v>
      </c>
      <c r="H8014" t="str">
        <f>_xlfn.XLOOKUP(A8014,'[1]Tissue Data'!$A:$A,'[1]Tissue Data'!K:K)</f>
        <v>Whole Body</v>
      </c>
      <c r="I8014">
        <f>_xlfn.XLOOKUP(A8014,'[1]Tissue Data'!$A:$A,'[1]Tissue Data'!L:L)</f>
        <v>11</v>
      </c>
      <c r="J8014">
        <f>_xlfn.XLOOKUP(A8014,'[1]Tissue Data'!$A:$A,'[1]Tissue Data'!M:M)</f>
        <v>14.56</v>
      </c>
      <c r="K8014" t="s">
        <v>24</v>
      </c>
      <c r="L8014" t="str">
        <f>_xlfn.XLOOKUP(K8014,[2]analyte_order!$B:$B,[2]analyte_order!$C:$C)</f>
        <v>423-41-6</v>
      </c>
      <c r="M8014">
        <f>_xlfn.XLOOKUP(L8014,[2]analyte_order!$C:$C,[2]analyte_order!$E:$E)</f>
        <v>53</v>
      </c>
      <c r="N8014">
        <v>0.46850000000000003</v>
      </c>
    </row>
    <row r="8015" spans="1:14">
      <c r="A8015" t="s">
        <v>149</v>
      </c>
      <c r="B8015" t="str">
        <f>_xlfn.XLOOKUP(A8015,'[1]Tissue Data'!$A:$A,'[1]Tissue Data'!$C:$C)</f>
        <v>Down</v>
      </c>
      <c r="C8015" s="2">
        <f>_xlfn.XLOOKUP(A8015,'[1]Tissue Data'!$A:$A,'[1]Tissue Data'!$D:$D)</f>
        <v>44393</v>
      </c>
      <c r="D8015" s="2" t="s">
        <v>131</v>
      </c>
      <c r="E8015" t="str">
        <f>_xlfn.XLOOKUP(A8015,'[1]Tissue Data'!$A:$A,'[1]Tissue Data'!$H:$H)</f>
        <v>Rhinichthys</v>
      </c>
      <c r="F8015" t="str">
        <f>_xlfn.XLOOKUP(A8015,'[1]Tissue Data'!$A:$A,'[1]Tissue Data'!$I:$I)</f>
        <v>atratulus</v>
      </c>
      <c r="G8015" t="str">
        <f>_xlfn.XLOOKUP(A8015,'[1]Tissue Data'!$A:$A,'[1]Tissue Data'!J:J)</f>
        <v>U</v>
      </c>
      <c r="H8015" t="str">
        <f>_xlfn.XLOOKUP(A8015,'[1]Tissue Data'!$A:$A,'[1]Tissue Data'!K:K)</f>
        <v>Whole Body</v>
      </c>
      <c r="I8015">
        <f>_xlfn.XLOOKUP(A8015,'[1]Tissue Data'!$A:$A,'[1]Tissue Data'!L:L)</f>
        <v>11</v>
      </c>
      <c r="J8015">
        <f>_xlfn.XLOOKUP(A8015,'[1]Tissue Data'!$A:$A,'[1]Tissue Data'!M:M)</f>
        <v>14.56</v>
      </c>
      <c r="K8015" t="s">
        <v>25</v>
      </c>
      <c r="L8015" t="str">
        <f>_xlfn.XLOOKUP(K8015,[2]analyte_order!$B:$B,[2]analyte_order!$C:$C)</f>
        <v>375-73-5</v>
      </c>
      <c r="M8015">
        <f>_xlfn.XLOOKUP(L8015,[2]analyte_order!$C:$C,[2]analyte_order!$E:$E)</f>
        <v>14</v>
      </c>
      <c r="N8015">
        <v>0.1595</v>
      </c>
    </row>
    <row r="8016" spans="1:14">
      <c r="A8016" t="s">
        <v>149</v>
      </c>
      <c r="B8016" t="str">
        <f>_xlfn.XLOOKUP(A8016,'[1]Tissue Data'!$A:$A,'[1]Tissue Data'!$C:$C)</f>
        <v>Down</v>
      </c>
      <c r="C8016" s="2">
        <f>_xlfn.XLOOKUP(A8016,'[1]Tissue Data'!$A:$A,'[1]Tissue Data'!$D:$D)</f>
        <v>44393</v>
      </c>
      <c r="D8016" s="2" t="s">
        <v>131</v>
      </c>
      <c r="E8016" t="str">
        <f>_xlfn.XLOOKUP(A8016,'[1]Tissue Data'!$A:$A,'[1]Tissue Data'!$H:$H)</f>
        <v>Rhinichthys</v>
      </c>
      <c r="F8016" t="str">
        <f>_xlfn.XLOOKUP(A8016,'[1]Tissue Data'!$A:$A,'[1]Tissue Data'!$I:$I)</f>
        <v>atratulus</v>
      </c>
      <c r="G8016" t="str">
        <f>_xlfn.XLOOKUP(A8016,'[1]Tissue Data'!$A:$A,'[1]Tissue Data'!J:J)</f>
        <v>U</v>
      </c>
      <c r="H8016" t="str">
        <f>_xlfn.XLOOKUP(A8016,'[1]Tissue Data'!$A:$A,'[1]Tissue Data'!K:K)</f>
        <v>Whole Body</v>
      </c>
      <c r="I8016">
        <f>_xlfn.XLOOKUP(A8016,'[1]Tissue Data'!$A:$A,'[1]Tissue Data'!L:L)</f>
        <v>11</v>
      </c>
      <c r="J8016">
        <f>_xlfn.XLOOKUP(A8016,'[1]Tissue Data'!$A:$A,'[1]Tissue Data'!M:M)</f>
        <v>14.56</v>
      </c>
      <c r="K8016" t="s">
        <v>26</v>
      </c>
      <c r="L8016" t="str">
        <f>_xlfn.XLOOKUP(K8016,[2]analyte_order!$B:$B,[2]analyte_order!$C:$C)</f>
        <v>2706-91-4</v>
      </c>
      <c r="M8016">
        <f>_xlfn.XLOOKUP(L8016,[2]analyte_order!$C:$C,[2]analyte_order!$E:$E)</f>
        <v>15</v>
      </c>
      <c r="N8016">
        <v>0.503</v>
      </c>
    </row>
    <row r="8017" spans="1:14">
      <c r="A8017" t="s">
        <v>149</v>
      </c>
      <c r="B8017" t="str">
        <f>_xlfn.XLOOKUP(A8017,'[1]Tissue Data'!$A:$A,'[1]Tissue Data'!$C:$C)</f>
        <v>Down</v>
      </c>
      <c r="C8017" s="2">
        <f>_xlfn.XLOOKUP(A8017,'[1]Tissue Data'!$A:$A,'[1]Tissue Data'!$D:$D)</f>
        <v>44393</v>
      </c>
      <c r="D8017" s="2" t="s">
        <v>131</v>
      </c>
      <c r="E8017" t="str">
        <f>_xlfn.XLOOKUP(A8017,'[1]Tissue Data'!$A:$A,'[1]Tissue Data'!$H:$H)</f>
        <v>Rhinichthys</v>
      </c>
      <c r="F8017" t="str">
        <f>_xlfn.XLOOKUP(A8017,'[1]Tissue Data'!$A:$A,'[1]Tissue Data'!$I:$I)</f>
        <v>atratulus</v>
      </c>
      <c r="G8017" t="str">
        <f>_xlfn.XLOOKUP(A8017,'[1]Tissue Data'!$A:$A,'[1]Tissue Data'!J:J)</f>
        <v>U</v>
      </c>
      <c r="H8017" t="str">
        <f>_xlfn.XLOOKUP(A8017,'[1]Tissue Data'!$A:$A,'[1]Tissue Data'!K:K)</f>
        <v>Whole Body</v>
      </c>
      <c r="I8017">
        <f>_xlfn.XLOOKUP(A8017,'[1]Tissue Data'!$A:$A,'[1]Tissue Data'!L:L)</f>
        <v>11</v>
      </c>
      <c r="J8017">
        <f>_xlfn.XLOOKUP(A8017,'[1]Tissue Data'!$A:$A,'[1]Tissue Data'!M:M)</f>
        <v>14.56</v>
      </c>
      <c r="K8017" t="s">
        <v>27</v>
      </c>
      <c r="L8017" t="str">
        <f>_xlfn.XLOOKUP(K8017,[2]analyte_order!$B:$B,[2]analyte_order!$C:$C)</f>
        <v>355-46-4</v>
      </c>
      <c r="M8017">
        <f>_xlfn.XLOOKUP(L8017,[2]analyte_order!$C:$C,[2]analyte_order!$E:$E)</f>
        <v>16</v>
      </c>
      <c r="N8017">
        <v>30.4</v>
      </c>
    </row>
    <row r="8018" spans="1:14">
      <c r="A8018" t="s">
        <v>149</v>
      </c>
      <c r="B8018" t="str">
        <f>_xlfn.XLOOKUP(A8018,'[1]Tissue Data'!$A:$A,'[1]Tissue Data'!$C:$C)</f>
        <v>Down</v>
      </c>
      <c r="C8018" s="2">
        <f>_xlfn.XLOOKUP(A8018,'[1]Tissue Data'!$A:$A,'[1]Tissue Data'!$D:$D)</f>
        <v>44393</v>
      </c>
      <c r="D8018" s="2" t="s">
        <v>131</v>
      </c>
      <c r="E8018" t="str">
        <f>_xlfn.XLOOKUP(A8018,'[1]Tissue Data'!$A:$A,'[1]Tissue Data'!$H:$H)</f>
        <v>Rhinichthys</v>
      </c>
      <c r="F8018" t="str">
        <f>_xlfn.XLOOKUP(A8018,'[1]Tissue Data'!$A:$A,'[1]Tissue Data'!$I:$I)</f>
        <v>atratulus</v>
      </c>
      <c r="G8018" t="str">
        <f>_xlfn.XLOOKUP(A8018,'[1]Tissue Data'!$A:$A,'[1]Tissue Data'!J:J)</f>
        <v>U</v>
      </c>
      <c r="H8018" t="str">
        <f>_xlfn.XLOOKUP(A8018,'[1]Tissue Data'!$A:$A,'[1]Tissue Data'!K:K)</f>
        <v>Whole Body</v>
      </c>
      <c r="I8018">
        <f>_xlfn.XLOOKUP(A8018,'[1]Tissue Data'!$A:$A,'[1]Tissue Data'!L:L)</f>
        <v>11</v>
      </c>
      <c r="J8018">
        <f>_xlfn.XLOOKUP(A8018,'[1]Tissue Data'!$A:$A,'[1]Tissue Data'!M:M)</f>
        <v>14.56</v>
      </c>
      <c r="K8018" t="s">
        <v>28</v>
      </c>
      <c r="L8018" t="str">
        <f>_xlfn.XLOOKUP(K8018,[2]analyte_order!$B:$B,[2]analyte_order!$C:$C)</f>
        <v>375-92-8</v>
      </c>
      <c r="M8018">
        <f>_xlfn.XLOOKUP(L8018,[2]analyte_order!$C:$C,[2]analyte_order!$E:$E)</f>
        <v>17</v>
      </c>
      <c r="N8018">
        <v>10.5</v>
      </c>
    </row>
    <row r="8019" spans="1:14">
      <c r="A8019" t="s">
        <v>149</v>
      </c>
      <c r="B8019" t="str">
        <f>_xlfn.XLOOKUP(A8019,'[1]Tissue Data'!$A:$A,'[1]Tissue Data'!$C:$C)</f>
        <v>Down</v>
      </c>
      <c r="C8019" s="2">
        <f>_xlfn.XLOOKUP(A8019,'[1]Tissue Data'!$A:$A,'[1]Tissue Data'!$D:$D)</f>
        <v>44393</v>
      </c>
      <c r="D8019" s="2" t="s">
        <v>131</v>
      </c>
      <c r="E8019" t="str">
        <f>_xlfn.XLOOKUP(A8019,'[1]Tissue Data'!$A:$A,'[1]Tissue Data'!$H:$H)</f>
        <v>Rhinichthys</v>
      </c>
      <c r="F8019" t="str">
        <f>_xlfn.XLOOKUP(A8019,'[1]Tissue Data'!$A:$A,'[1]Tissue Data'!$I:$I)</f>
        <v>atratulus</v>
      </c>
      <c r="G8019" t="str">
        <f>_xlfn.XLOOKUP(A8019,'[1]Tissue Data'!$A:$A,'[1]Tissue Data'!J:J)</f>
        <v>U</v>
      </c>
      <c r="H8019" t="str">
        <f>_xlfn.XLOOKUP(A8019,'[1]Tissue Data'!$A:$A,'[1]Tissue Data'!K:K)</f>
        <v>Whole Body</v>
      </c>
      <c r="I8019">
        <f>_xlfn.XLOOKUP(A8019,'[1]Tissue Data'!$A:$A,'[1]Tissue Data'!L:L)</f>
        <v>11</v>
      </c>
      <c r="J8019">
        <f>_xlfn.XLOOKUP(A8019,'[1]Tissue Data'!$A:$A,'[1]Tissue Data'!M:M)</f>
        <v>14.56</v>
      </c>
      <c r="K8019" t="s">
        <v>29</v>
      </c>
      <c r="L8019" t="str">
        <f>_xlfn.XLOOKUP(K8019,[2]analyte_order!$B:$B,[2]analyte_order!$C:$C)</f>
        <v>1763-23-1</v>
      </c>
      <c r="M8019">
        <f>_xlfn.XLOOKUP(L8019,[2]analyte_order!$C:$C,[2]analyte_order!$E:$E)</f>
        <v>18</v>
      </c>
      <c r="N8019">
        <v>815</v>
      </c>
    </row>
    <row r="8020" spans="1:14">
      <c r="A8020" t="s">
        <v>149</v>
      </c>
      <c r="B8020" t="str">
        <f>_xlfn.XLOOKUP(A8020,'[1]Tissue Data'!$A:$A,'[1]Tissue Data'!$C:$C)</f>
        <v>Down</v>
      </c>
      <c r="C8020" s="2">
        <f>_xlfn.XLOOKUP(A8020,'[1]Tissue Data'!$A:$A,'[1]Tissue Data'!$D:$D)</f>
        <v>44393</v>
      </c>
      <c r="D8020" s="2" t="s">
        <v>131</v>
      </c>
      <c r="E8020" t="str">
        <f>_xlfn.XLOOKUP(A8020,'[1]Tissue Data'!$A:$A,'[1]Tissue Data'!$H:$H)</f>
        <v>Rhinichthys</v>
      </c>
      <c r="F8020" t="str">
        <f>_xlfn.XLOOKUP(A8020,'[1]Tissue Data'!$A:$A,'[1]Tissue Data'!$I:$I)</f>
        <v>atratulus</v>
      </c>
      <c r="G8020" t="str">
        <f>_xlfn.XLOOKUP(A8020,'[1]Tissue Data'!$A:$A,'[1]Tissue Data'!J:J)</f>
        <v>U</v>
      </c>
      <c r="H8020" t="str">
        <f>_xlfn.XLOOKUP(A8020,'[1]Tissue Data'!$A:$A,'[1]Tissue Data'!K:K)</f>
        <v>Whole Body</v>
      </c>
      <c r="I8020">
        <f>_xlfn.XLOOKUP(A8020,'[1]Tissue Data'!$A:$A,'[1]Tissue Data'!L:L)</f>
        <v>11</v>
      </c>
      <c r="J8020">
        <f>_xlfn.XLOOKUP(A8020,'[1]Tissue Data'!$A:$A,'[1]Tissue Data'!M:M)</f>
        <v>14.56</v>
      </c>
      <c r="K8020" t="s">
        <v>30</v>
      </c>
      <c r="L8020" t="str">
        <f>_xlfn.XLOOKUP(K8020,[2]analyte_order!$B:$B,[2]analyte_order!$C:$C)</f>
        <v>68259-12-1</v>
      </c>
      <c r="M8020">
        <f>_xlfn.XLOOKUP(L8020,[2]analyte_order!$C:$C,[2]analyte_order!$E:$E)</f>
        <v>19</v>
      </c>
      <c r="N8020">
        <v>1.36</v>
      </c>
    </row>
    <row r="8021" spans="1:14">
      <c r="A8021" t="s">
        <v>149</v>
      </c>
      <c r="B8021" t="str">
        <f>_xlfn.XLOOKUP(A8021,'[1]Tissue Data'!$A:$A,'[1]Tissue Data'!$C:$C)</f>
        <v>Down</v>
      </c>
      <c r="C8021" s="2">
        <f>_xlfn.XLOOKUP(A8021,'[1]Tissue Data'!$A:$A,'[1]Tissue Data'!$D:$D)</f>
        <v>44393</v>
      </c>
      <c r="D8021" s="2" t="s">
        <v>131</v>
      </c>
      <c r="E8021" t="str">
        <f>_xlfn.XLOOKUP(A8021,'[1]Tissue Data'!$A:$A,'[1]Tissue Data'!$H:$H)</f>
        <v>Rhinichthys</v>
      </c>
      <c r="F8021" t="str">
        <f>_xlfn.XLOOKUP(A8021,'[1]Tissue Data'!$A:$A,'[1]Tissue Data'!$I:$I)</f>
        <v>atratulus</v>
      </c>
      <c r="G8021" t="str">
        <f>_xlfn.XLOOKUP(A8021,'[1]Tissue Data'!$A:$A,'[1]Tissue Data'!J:J)</f>
        <v>U</v>
      </c>
      <c r="H8021" t="str">
        <f>_xlfn.XLOOKUP(A8021,'[1]Tissue Data'!$A:$A,'[1]Tissue Data'!K:K)</f>
        <v>Whole Body</v>
      </c>
      <c r="I8021">
        <f>_xlfn.XLOOKUP(A8021,'[1]Tissue Data'!$A:$A,'[1]Tissue Data'!L:L)</f>
        <v>11</v>
      </c>
      <c r="J8021">
        <f>_xlfn.XLOOKUP(A8021,'[1]Tissue Data'!$A:$A,'[1]Tissue Data'!M:M)</f>
        <v>14.56</v>
      </c>
      <c r="K8021" t="s">
        <v>31</v>
      </c>
      <c r="L8021" t="str">
        <f>_xlfn.XLOOKUP(K8021,[2]analyte_order!$B:$B,[2]analyte_order!$C:$C)</f>
        <v>335-77-3</v>
      </c>
      <c r="M8021">
        <f>_xlfn.XLOOKUP(L8021,[2]analyte_order!$C:$C,[2]analyte_order!$E:$E)</f>
        <v>20</v>
      </c>
      <c r="N8021">
        <v>2.2200000000000002</v>
      </c>
    </row>
    <row r="8022" spans="1:14">
      <c r="A8022" t="s">
        <v>149</v>
      </c>
      <c r="B8022" t="str">
        <f>_xlfn.XLOOKUP(A8022,'[1]Tissue Data'!$A:$A,'[1]Tissue Data'!$C:$C)</f>
        <v>Down</v>
      </c>
      <c r="C8022" s="2">
        <f>_xlfn.XLOOKUP(A8022,'[1]Tissue Data'!$A:$A,'[1]Tissue Data'!$D:$D)</f>
        <v>44393</v>
      </c>
      <c r="D8022" s="2" t="s">
        <v>131</v>
      </c>
      <c r="E8022" t="str">
        <f>_xlfn.XLOOKUP(A8022,'[1]Tissue Data'!$A:$A,'[1]Tissue Data'!$H:$H)</f>
        <v>Rhinichthys</v>
      </c>
      <c r="F8022" t="str">
        <f>_xlfn.XLOOKUP(A8022,'[1]Tissue Data'!$A:$A,'[1]Tissue Data'!$I:$I)</f>
        <v>atratulus</v>
      </c>
      <c r="G8022" t="str">
        <f>_xlfn.XLOOKUP(A8022,'[1]Tissue Data'!$A:$A,'[1]Tissue Data'!J:J)</f>
        <v>U</v>
      </c>
      <c r="H8022" t="str">
        <f>_xlfn.XLOOKUP(A8022,'[1]Tissue Data'!$A:$A,'[1]Tissue Data'!K:K)</f>
        <v>Whole Body</v>
      </c>
      <c r="I8022">
        <f>_xlfn.XLOOKUP(A8022,'[1]Tissue Data'!$A:$A,'[1]Tissue Data'!L:L)</f>
        <v>11</v>
      </c>
      <c r="J8022">
        <f>_xlfn.XLOOKUP(A8022,'[1]Tissue Data'!$A:$A,'[1]Tissue Data'!M:M)</f>
        <v>14.56</v>
      </c>
      <c r="K8022" t="s">
        <v>32</v>
      </c>
      <c r="L8022" t="str">
        <f>_xlfn.XLOOKUP(K8022,[2]analyte_order!$B:$B,[2]analyte_order!$C:$C)</f>
        <v>79780-39-5</v>
      </c>
      <c r="M8022">
        <f>_xlfn.XLOOKUP(L8022,[2]analyte_order!$C:$C,[2]analyte_order!$E:$E)</f>
        <v>21</v>
      </c>
      <c r="N8022">
        <v>1.1200000000000001</v>
      </c>
    </row>
    <row r="8023" spans="1:14">
      <c r="A8023" t="s">
        <v>149</v>
      </c>
      <c r="B8023" t="str">
        <f>_xlfn.XLOOKUP(A8023,'[1]Tissue Data'!$A:$A,'[1]Tissue Data'!$C:$C)</f>
        <v>Down</v>
      </c>
      <c r="C8023" s="2">
        <f>_xlfn.XLOOKUP(A8023,'[1]Tissue Data'!$A:$A,'[1]Tissue Data'!$D:$D)</f>
        <v>44393</v>
      </c>
      <c r="D8023" s="2" t="s">
        <v>131</v>
      </c>
      <c r="E8023" t="str">
        <f>_xlfn.XLOOKUP(A8023,'[1]Tissue Data'!$A:$A,'[1]Tissue Data'!$H:$H)</f>
        <v>Rhinichthys</v>
      </c>
      <c r="F8023" t="str">
        <f>_xlfn.XLOOKUP(A8023,'[1]Tissue Data'!$A:$A,'[1]Tissue Data'!$I:$I)</f>
        <v>atratulus</v>
      </c>
      <c r="G8023" t="str">
        <f>_xlfn.XLOOKUP(A8023,'[1]Tissue Data'!$A:$A,'[1]Tissue Data'!J:J)</f>
        <v>U</v>
      </c>
      <c r="H8023" t="str">
        <f>_xlfn.XLOOKUP(A8023,'[1]Tissue Data'!$A:$A,'[1]Tissue Data'!K:K)</f>
        <v>Whole Body</v>
      </c>
      <c r="I8023">
        <f>_xlfn.XLOOKUP(A8023,'[1]Tissue Data'!$A:$A,'[1]Tissue Data'!L:L)</f>
        <v>11</v>
      </c>
      <c r="J8023">
        <f>_xlfn.XLOOKUP(A8023,'[1]Tissue Data'!$A:$A,'[1]Tissue Data'!M:M)</f>
        <v>14.56</v>
      </c>
      <c r="K8023" t="s">
        <v>33</v>
      </c>
      <c r="L8023" t="str">
        <f>_xlfn.XLOOKUP(K8023,[2]analyte_order!$B:$B,[2]analyte_order!$C:$C)</f>
        <v>777011-38-8</v>
      </c>
      <c r="M8023">
        <f>_xlfn.XLOOKUP(L8023,[2]analyte_order!$C:$C,[2]analyte_order!$E:$E)</f>
        <v>54</v>
      </c>
      <c r="N8023">
        <v>1.1399999999999999</v>
      </c>
    </row>
    <row r="8024" spans="1:14">
      <c r="A8024" t="s">
        <v>149</v>
      </c>
      <c r="B8024" t="str">
        <f>_xlfn.XLOOKUP(A8024,'[1]Tissue Data'!$A:$A,'[1]Tissue Data'!$C:$C)</f>
        <v>Down</v>
      </c>
      <c r="C8024" s="2">
        <f>_xlfn.XLOOKUP(A8024,'[1]Tissue Data'!$A:$A,'[1]Tissue Data'!$D:$D)</f>
        <v>44393</v>
      </c>
      <c r="D8024" s="2" t="s">
        <v>131</v>
      </c>
      <c r="E8024" t="str">
        <f>_xlfn.XLOOKUP(A8024,'[1]Tissue Data'!$A:$A,'[1]Tissue Data'!$H:$H)</f>
        <v>Rhinichthys</v>
      </c>
      <c r="F8024" t="str">
        <f>_xlfn.XLOOKUP(A8024,'[1]Tissue Data'!$A:$A,'[1]Tissue Data'!$I:$I)</f>
        <v>atratulus</v>
      </c>
      <c r="G8024" t="str">
        <f>_xlfn.XLOOKUP(A8024,'[1]Tissue Data'!$A:$A,'[1]Tissue Data'!J:J)</f>
        <v>U</v>
      </c>
      <c r="H8024" t="str">
        <f>_xlfn.XLOOKUP(A8024,'[1]Tissue Data'!$A:$A,'[1]Tissue Data'!K:K)</f>
        <v>Whole Body</v>
      </c>
      <c r="I8024">
        <f>_xlfn.XLOOKUP(A8024,'[1]Tissue Data'!$A:$A,'[1]Tissue Data'!L:L)</f>
        <v>11</v>
      </c>
      <c r="J8024">
        <f>_xlfn.XLOOKUP(A8024,'[1]Tissue Data'!$A:$A,'[1]Tissue Data'!M:M)</f>
        <v>14.56</v>
      </c>
      <c r="K8024" t="s">
        <v>34</v>
      </c>
      <c r="L8024" t="str">
        <f>_xlfn.XLOOKUP(K8024,[2]analyte_order!$B:$B,[2]analyte_order!$C:$C)</f>
        <v>646-83-3</v>
      </c>
      <c r="M8024">
        <f>_xlfn.XLOOKUP(L8024,[2]analyte_order!$C:$C,[2]analyte_order!$E:$E)</f>
        <v>55</v>
      </c>
      <c r="N8024">
        <v>0.61699999999999999</v>
      </c>
    </row>
    <row r="8025" spans="1:14">
      <c r="A8025" t="s">
        <v>149</v>
      </c>
      <c r="B8025" t="str">
        <f>_xlfn.XLOOKUP(A8025,'[1]Tissue Data'!$A:$A,'[1]Tissue Data'!$C:$C)</f>
        <v>Down</v>
      </c>
      <c r="C8025" s="2">
        <f>_xlfn.XLOOKUP(A8025,'[1]Tissue Data'!$A:$A,'[1]Tissue Data'!$D:$D)</f>
        <v>44393</v>
      </c>
      <c r="D8025" s="2" t="s">
        <v>131</v>
      </c>
      <c r="E8025" t="str">
        <f>_xlfn.XLOOKUP(A8025,'[1]Tissue Data'!$A:$A,'[1]Tissue Data'!$H:$H)</f>
        <v>Rhinichthys</v>
      </c>
      <c r="F8025" t="str">
        <f>_xlfn.XLOOKUP(A8025,'[1]Tissue Data'!$A:$A,'[1]Tissue Data'!$I:$I)</f>
        <v>atratulus</v>
      </c>
      <c r="G8025" t="str">
        <f>_xlfn.XLOOKUP(A8025,'[1]Tissue Data'!$A:$A,'[1]Tissue Data'!J:J)</f>
        <v>U</v>
      </c>
      <c r="H8025" t="str">
        <f>_xlfn.XLOOKUP(A8025,'[1]Tissue Data'!$A:$A,'[1]Tissue Data'!K:K)</f>
        <v>Whole Body</v>
      </c>
      <c r="I8025">
        <f>_xlfn.XLOOKUP(A8025,'[1]Tissue Data'!$A:$A,'[1]Tissue Data'!L:L)</f>
        <v>11</v>
      </c>
      <c r="J8025">
        <f>_xlfn.XLOOKUP(A8025,'[1]Tissue Data'!$A:$A,'[1]Tissue Data'!M:M)</f>
        <v>14.56</v>
      </c>
      <c r="K8025" t="s">
        <v>35</v>
      </c>
      <c r="L8025" t="str">
        <f>_xlfn.XLOOKUP(K8025,[2]analyte_order!$B:$B,[2]analyte_order!$C:$C)</f>
        <v>30334-69-1</v>
      </c>
      <c r="M8025">
        <f>_xlfn.XLOOKUP(L8025,[2]analyte_order!$C:$C,[2]analyte_order!$E:$E)</f>
        <v>51</v>
      </c>
      <c r="N8025">
        <v>58.3</v>
      </c>
    </row>
    <row r="8026" spans="1:14">
      <c r="A8026" t="s">
        <v>149</v>
      </c>
      <c r="B8026" t="str">
        <f>_xlfn.XLOOKUP(A8026,'[1]Tissue Data'!$A:$A,'[1]Tissue Data'!$C:$C)</f>
        <v>Down</v>
      </c>
      <c r="C8026" s="2">
        <f>_xlfn.XLOOKUP(A8026,'[1]Tissue Data'!$A:$A,'[1]Tissue Data'!$D:$D)</f>
        <v>44393</v>
      </c>
      <c r="D8026" s="2" t="s">
        <v>131</v>
      </c>
      <c r="E8026" t="str">
        <f>_xlfn.XLOOKUP(A8026,'[1]Tissue Data'!$A:$A,'[1]Tissue Data'!$H:$H)</f>
        <v>Rhinichthys</v>
      </c>
      <c r="F8026" t="str">
        <f>_xlfn.XLOOKUP(A8026,'[1]Tissue Data'!$A:$A,'[1]Tissue Data'!$I:$I)</f>
        <v>atratulus</v>
      </c>
      <c r="G8026" t="str">
        <f>_xlfn.XLOOKUP(A8026,'[1]Tissue Data'!$A:$A,'[1]Tissue Data'!J:J)</f>
        <v>U</v>
      </c>
      <c r="H8026" t="str">
        <f>_xlfn.XLOOKUP(A8026,'[1]Tissue Data'!$A:$A,'[1]Tissue Data'!K:K)</f>
        <v>Whole Body</v>
      </c>
      <c r="I8026">
        <f>_xlfn.XLOOKUP(A8026,'[1]Tissue Data'!$A:$A,'[1]Tissue Data'!L:L)</f>
        <v>11</v>
      </c>
      <c r="J8026">
        <f>_xlfn.XLOOKUP(A8026,'[1]Tissue Data'!$A:$A,'[1]Tissue Data'!M:M)</f>
        <v>14.56</v>
      </c>
      <c r="K8026" t="s">
        <v>36</v>
      </c>
      <c r="L8026" t="str">
        <f>_xlfn.XLOOKUP(K8026,[2]analyte_order!$B:$B,[2]analyte_order!$C:$C)</f>
        <v>41997-13-1</v>
      </c>
      <c r="M8026">
        <f>_xlfn.XLOOKUP(L8026,[2]analyte_order!$C:$C,[2]analyte_order!$E:$E)</f>
        <v>52</v>
      </c>
      <c r="N8026">
        <v>287</v>
      </c>
    </row>
    <row r="8027" spans="1:14">
      <c r="A8027" t="s">
        <v>149</v>
      </c>
      <c r="B8027" t="str">
        <f>_xlfn.XLOOKUP(A8027,'[1]Tissue Data'!$A:$A,'[1]Tissue Data'!$C:$C)</f>
        <v>Down</v>
      </c>
      <c r="C8027" s="2">
        <f>_xlfn.XLOOKUP(A8027,'[1]Tissue Data'!$A:$A,'[1]Tissue Data'!$D:$D)</f>
        <v>44393</v>
      </c>
      <c r="D8027" s="2" t="s">
        <v>131</v>
      </c>
      <c r="E8027" t="str">
        <f>_xlfn.XLOOKUP(A8027,'[1]Tissue Data'!$A:$A,'[1]Tissue Data'!$H:$H)</f>
        <v>Rhinichthys</v>
      </c>
      <c r="F8027" t="str">
        <f>_xlfn.XLOOKUP(A8027,'[1]Tissue Data'!$A:$A,'[1]Tissue Data'!$I:$I)</f>
        <v>atratulus</v>
      </c>
      <c r="G8027" t="str">
        <f>_xlfn.XLOOKUP(A8027,'[1]Tissue Data'!$A:$A,'[1]Tissue Data'!J:J)</f>
        <v>U</v>
      </c>
      <c r="H8027" t="str">
        <f>_xlfn.XLOOKUP(A8027,'[1]Tissue Data'!$A:$A,'[1]Tissue Data'!K:K)</f>
        <v>Whole Body</v>
      </c>
      <c r="I8027">
        <f>_xlfn.XLOOKUP(A8027,'[1]Tissue Data'!$A:$A,'[1]Tissue Data'!L:L)</f>
        <v>11</v>
      </c>
      <c r="J8027">
        <f>_xlfn.XLOOKUP(A8027,'[1]Tissue Data'!$A:$A,'[1]Tissue Data'!M:M)</f>
        <v>14.56</v>
      </c>
      <c r="K8027" t="s">
        <v>37</v>
      </c>
      <c r="L8027" t="str">
        <f>_xlfn.XLOOKUP(K8027,[2]analyte_order!$B:$B,[2]analyte_order!$C:$C)</f>
        <v>754-91-6</v>
      </c>
      <c r="M8027">
        <f>_xlfn.XLOOKUP(L8027,[2]analyte_order!$C:$C,[2]analyte_order!$E:$E)</f>
        <v>28</v>
      </c>
      <c r="N8027">
        <v>13.6</v>
      </c>
    </row>
    <row r="8028" spans="1:14">
      <c r="A8028" t="s">
        <v>149</v>
      </c>
      <c r="B8028" t="str">
        <f>_xlfn.XLOOKUP(A8028,'[1]Tissue Data'!$A:$A,'[1]Tissue Data'!$C:$C)</f>
        <v>Down</v>
      </c>
      <c r="C8028" s="2">
        <f>_xlfn.XLOOKUP(A8028,'[1]Tissue Data'!$A:$A,'[1]Tissue Data'!$D:$D)</f>
        <v>44393</v>
      </c>
      <c r="D8028" s="2" t="s">
        <v>131</v>
      </c>
      <c r="E8028" t="str">
        <f>_xlfn.XLOOKUP(A8028,'[1]Tissue Data'!$A:$A,'[1]Tissue Data'!$H:$H)</f>
        <v>Rhinichthys</v>
      </c>
      <c r="F8028" t="str">
        <f>_xlfn.XLOOKUP(A8028,'[1]Tissue Data'!$A:$A,'[1]Tissue Data'!$I:$I)</f>
        <v>atratulus</v>
      </c>
      <c r="G8028" t="str">
        <f>_xlfn.XLOOKUP(A8028,'[1]Tissue Data'!$A:$A,'[1]Tissue Data'!J:J)</f>
        <v>U</v>
      </c>
      <c r="H8028" t="str">
        <f>_xlfn.XLOOKUP(A8028,'[1]Tissue Data'!$A:$A,'[1]Tissue Data'!K:K)</f>
        <v>Whole Body</v>
      </c>
      <c r="I8028">
        <f>_xlfn.XLOOKUP(A8028,'[1]Tissue Data'!$A:$A,'[1]Tissue Data'!L:L)</f>
        <v>11</v>
      </c>
      <c r="J8028">
        <f>_xlfn.XLOOKUP(A8028,'[1]Tissue Data'!$A:$A,'[1]Tissue Data'!M:M)</f>
        <v>14.56</v>
      </c>
      <c r="K8028" t="s">
        <v>38</v>
      </c>
      <c r="L8028" t="str">
        <f>_xlfn.XLOOKUP(K8028,[2]analyte_order!$B:$B,[2]analyte_order!$C:$C)</f>
        <v>31506-32-8</v>
      </c>
      <c r="M8028">
        <f>_xlfn.XLOOKUP(L8028,[2]analyte_order!$C:$C,[2]analyte_order!$E:$E)</f>
        <v>30</v>
      </c>
      <c r="N8028">
        <v>0.18049999999999999</v>
      </c>
    </row>
    <row r="8029" spans="1:14">
      <c r="A8029" t="s">
        <v>149</v>
      </c>
      <c r="B8029" t="str">
        <f>_xlfn.XLOOKUP(A8029,'[1]Tissue Data'!$A:$A,'[1]Tissue Data'!$C:$C)</f>
        <v>Down</v>
      </c>
      <c r="C8029" s="2">
        <f>_xlfn.XLOOKUP(A8029,'[1]Tissue Data'!$A:$A,'[1]Tissue Data'!$D:$D)</f>
        <v>44393</v>
      </c>
      <c r="D8029" s="2" t="s">
        <v>131</v>
      </c>
      <c r="E8029" t="str">
        <f>_xlfn.XLOOKUP(A8029,'[1]Tissue Data'!$A:$A,'[1]Tissue Data'!$H:$H)</f>
        <v>Rhinichthys</v>
      </c>
      <c r="F8029" t="str">
        <f>_xlfn.XLOOKUP(A8029,'[1]Tissue Data'!$A:$A,'[1]Tissue Data'!$I:$I)</f>
        <v>atratulus</v>
      </c>
      <c r="G8029" t="str">
        <f>_xlfn.XLOOKUP(A8029,'[1]Tissue Data'!$A:$A,'[1]Tissue Data'!J:J)</f>
        <v>U</v>
      </c>
      <c r="H8029" t="str">
        <f>_xlfn.XLOOKUP(A8029,'[1]Tissue Data'!$A:$A,'[1]Tissue Data'!K:K)</f>
        <v>Whole Body</v>
      </c>
      <c r="I8029">
        <f>_xlfn.XLOOKUP(A8029,'[1]Tissue Data'!$A:$A,'[1]Tissue Data'!L:L)</f>
        <v>11</v>
      </c>
      <c r="J8029">
        <f>_xlfn.XLOOKUP(A8029,'[1]Tissue Data'!$A:$A,'[1]Tissue Data'!M:M)</f>
        <v>14.56</v>
      </c>
      <c r="K8029" t="s">
        <v>39</v>
      </c>
      <c r="L8029" t="str">
        <f>_xlfn.XLOOKUP(K8029,[2]analyte_order!$B:$B,[2]analyte_order!$C:$C)</f>
        <v>4151-50-2</v>
      </c>
      <c r="M8029">
        <f>_xlfn.XLOOKUP(L8029,[2]analyte_order!$C:$C,[2]analyte_order!$E:$E)</f>
        <v>31</v>
      </c>
      <c r="N8029">
        <v>0.46850000000000003</v>
      </c>
    </row>
    <row r="8030" spans="1:14">
      <c r="A8030" t="s">
        <v>149</v>
      </c>
      <c r="B8030" t="str">
        <f>_xlfn.XLOOKUP(A8030,'[1]Tissue Data'!$A:$A,'[1]Tissue Data'!$C:$C)</f>
        <v>Down</v>
      </c>
      <c r="C8030" s="2">
        <f>_xlfn.XLOOKUP(A8030,'[1]Tissue Data'!$A:$A,'[1]Tissue Data'!$D:$D)</f>
        <v>44393</v>
      </c>
      <c r="D8030" s="2" t="s">
        <v>131</v>
      </c>
      <c r="E8030" t="str">
        <f>_xlfn.XLOOKUP(A8030,'[1]Tissue Data'!$A:$A,'[1]Tissue Data'!$H:$H)</f>
        <v>Rhinichthys</v>
      </c>
      <c r="F8030" t="str">
        <f>_xlfn.XLOOKUP(A8030,'[1]Tissue Data'!$A:$A,'[1]Tissue Data'!$I:$I)</f>
        <v>atratulus</v>
      </c>
      <c r="G8030" t="str">
        <f>_xlfn.XLOOKUP(A8030,'[1]Tissue Data'!$A:$A,'[1]Tissue Data'!J:J)</f>
        <v>U</v>
      </c>
      <c r="H8030" t="str">
        <f>_xlfn.XLOOKUP(A8030,'[1]Tissue Data'!$A:$A,'[1]Tissue Data'!K:K)</f>
        <v>Whole Body</v>
      </c>
      <c r="I8030">
        <f>_xlfn.XLOOKUP(A8030,'[1]Tissue Data'!$A:$A,'[1]Tissue Data'!L:L)</f>
        <v>11</v>
      </c>
      <c r="J8030">
        <f>_xlfn.XLOOKUP(A8030,'[1]Tissue Data'!$A:$A,'[1]Tissue Data'!M:M)</f>
        <v>14.56</v>
      </c>
      <c r="K8030" t="s">
        <v>40</v>
      </c>
      <c r="L8030" t="str">
        <f>_xlfn.XLOOKUP(K8030,[2]analyte_order!$B:$B,[2]analyte_order!$C:$C)</f>
        <v>2806-24-8</v>
      </c>
      <c r="M8030">
        <f>_xlfn.XLOOKUP(L8030,[2]analyte_order!$C:$C,[2]analyte_order!$E:$E)</f>
        <v>29</v>
      </c>
      <c r="N8030">
        <v>0.46850000000000003</v>
      </c>
    </row>
    <row r="8031" spans="1:14">
      <c r="A8031" t="s">
        <v>149</v>
      </c>
      <c r="B8031" t="str">
        <f>_xlfn.XLOOKUP(A8031,'[1]Tissue Data'!$A:$A,'[1]Tissue Data'!$C:$C)</f>
        <v>Down</v>
      </c>
      <c r="C8031" s="2">
        <f>_xlfn.XLOOKUP(A8031,'[1]Tissue Data'!$A:$A,'[1]Tissue Data'!$D:$D)</f>
        <v>44393</v>
      </c>
      <c r="D8031" s="2" t="s">
        <v>131</v>
      </c>
      <c r="E8031" t="str">
        <f>_xlfn.XLOOKUP(A8031,'[1]Tissue Data'!$A:$A,'[1]Tissue Data'!$H:$H)</f>
        <v>Rhinichthys</v>
      </c>
      <c r="F8031" t="str">
        <f>_xlfn.XLOOKUP(A8031,'[1]Tissue Data'!$A:$A,'[1]Tissue Data'!$I:$I)</f>
        <v>atratulus</v>
      </c>
      <c r="G8031" t="str">
        <f>_xlfn.XLOOKUP(A8031,'[1]Tissue Data'!$A:$A,'[1]Tissue Data'!J:J)</f>
        <v>U</v>
      </c>
      <c r="H8031" t="str">
        <f>_xlfn.XLOOKUP(A8031,'[1]Tissue Data'!$A:$A,'[1]Tissue Data'!K:K)</f>
        <v>Whole Body</v>
      </c>
      <c r="I8031">
        <f>_xlfn.XLOOKUP(A8031,'[1]Tissue Data'!$A:$A,'[1]Tissue Data'!L:L)</f>
        <v>11</v>
      </c>
      <c r="J8031">
        <f>_xlfn.XLOOKUP(A8031,'[1]Tissue Data'!$A:$A,'[1]Tissue Data'!M:M)</f>
        <v>14.56</v>
      </c>
      <c r="K8031" t="s">
        <v>41</v>
      </c>
      <c r="L8031" t="str">
        <f>_xlfn.XLOOKUP(K8031,[2]analyte_order!$B:$B,[2]analyte_order!$C:$C)</f>
        <v>2355-31-9</v>
      </c>
      <c r="M8031">
        <f>_xlfn.XLOOKUP(L8031,[2]analyte_order!$C:$C,[2]analyte_order!$E:$E)</f>
        <v>26</v>
      </c>
      <c r="N8031">
        <v>0.23549999999999999</v>
      </c>
    </row>
    <row r="8032" spans="1:14">
      <c r="A8032" t="s">
        <v>149</v>
      </c>
      <c r="B8032" t="str">
        <f>_xlfn.XLOOKUP(A8032,'[1]Tissue Data'!$A:$A,'[1]Tissue Data'!$C:$C)</f>
        <v>Down</v>
      </c>
      <c r="C8032" s="2">
        <f>_xlfn.XLOOKUP(A8032,'[1]Tissue Data'!$A:$A,'[1]Tissue Data'!$D:$D)</f>
        <v>44393</v>
      </c>
      <c r="D8032" s="2" t="s">
        <v>131</v>
      </c>
      <c r="E8032" t="str">
        <f>_xlfn.XLOOKUP(A8032,'[1]Tissue Data'!$A:$A,'[1]Tissue Data'!$H:$H)</f>
        <v>Rhinichthys</v>
      </c>
      <c r="F8032" t="str">
        <f>_xlfn.XLOOKUP(A8032,'[1]Tissue Data'!$A:$A,'[1]Tissue Data'!$I:$I)</f>
        <v>atratulus</v>
      </c>
      <c r="G8032" t="str">
        <f>_xlfn.XLOOKUP(A8032,'[1]Tissue Data'!$A:$A,'[1]Tissue Data'!J:J)</f>
        <v>U</v>
      </c>
      <c r="H8032" t="str">
        <f>_xlfn.XLOOKUP(A8032,'[1]Tissue Data'!$A:$A,'[1]Tissue Data'!K:K)</f>
        <v>Whole Body</v>
      </c>
      <c r="I8032">
        <f>_xlfn.XLOOKUP(A8032,'[1]Tissue Data'!$A:$A,'[1]Tissue Data'!L:L)</f>
        <v>11</v>
      </c>
      <c r="J8032">
        <f>_xlfn.XLOOKUP(A8032,'[1]Tissue Data'!$A:$A,'[1]Tissue Data'!M:M)</f>
        <v>14.56</v>
      </c>
      <c r="K8032" t="s">
        <v>42</v>
      </c>
      <c r="L8032" t="str">
        <f>_xlfn.XLOOKUP(K8032,[2]analyte_order!$B:$B,[2]analyte_order!$C:$C)</f>
        <v>2991-50-6</v>
      </c>
      <c r="M8032">
        <f>_xlfn.XLOOKUP(L8032,[2]analyte_order!$C:$C,[2]analyte_order!$E:$E)</f>
        <v>27</v>
      </c>
      <c r="N8032">
        <v>0.23400000000000001</v>
      </c>
    </row>
    <row r="8033" spans="1:14">
      <c r="A8033" t="s">
        <v>149</v>
      </c>
      <c r="B8033" t="str">
        <f>_xlfn.XLOOKUP(A8033,'[1]Tissue Data'!$A:$A,'[1]Tissue Data'!$C:$C)</f>
        <v>Down</v>
      </c>
      <c r="C8033" s="2">
        <f>_xlfn.XLOOKUP(A8033,'[1]Tissue Data'!$A:$A,'[1]Tissue Data'!$D:$D)</f>
        <v>44393</v>
      </c>
      <c r="D8033" s="2" t="s">
        <v>131</v>
      </c>
      <c r="E8033" t="str">
        <f>_xlfn.XLOOKUP(A8033,'[1]Tissue Data'!$A:$A,'[1]Tissue Data'!$H:$H)</f>
        <v>Rhinichthys</v>
      </c>
      <c r="F8033" t="str">
        <f>_xlfn.XLOOKUP(A8033,'[1]Tissue Data'!$A:$A,'[1]Tissue Data'!$I:$I)</f>
        <v>atratulus</v>
      </c>
      <c r="G8033" t="str">
        <f>_xlfn.XLOOKUP(A8033,'[1]Tissue Data'!$A:$A,'[1]Tissue Data'!J:J)</f>
        <v>U</v>
      </c>
      <c r="H8033" t="str">
        <f>_xlfn.XLOOKUP(A8033,'[1]Tissue Data'!$A:$A,'[1]Tissue Data'!K:K)</f>
        <v>Whole Body</v>
      </c>
      <c r="I8033">
        <f>_xlfn.XLOOKUP(A8033,'[1]Tissue Data'!$A:$A,'[1]Tissue Data'!L:L)</f>
        <v>11</v>
      </c>
      <c r="J8033">
        <f>_xlfn.XLOOKUP(A8033,'[1]Tissue Data'!$A:$A,'[1]Tissue Data'!M:M)</f>
        <v>14.56</v>
      </c>
      <c r="K8033" t="s">
        <v>43</v>
      </c>
      <c r="L8033" t="str">
        <f>_xlfn.XLOOKUP(K8033,[2]analyte_order!$B:$B,[2]analyte_order!$C:$C)</f>
        <v>757124-72-4</v>
      </c>
      <c r="M8033">
        <f>_xlfn.XLOOKUP(L8033,[2]analyte_order!$C:$C,[2]analyte_order!$E:$E)</f>
        <v>22</v>
      </c>
      <c r="N8033">
        <v>0.23400000000000001</v>
      </c>
    </row>
    <row r="8034" spans="1:14">
      <c r="A8034" t="s">
        <v>149</v>
      </c>
      <c r="B8034" t="str">
        <f>_xlfn.XLOOKUP(A8034,'[1]Tissue Data'!$A:$A,'[1]Tissue Data'!$C:$C)</f>
        <v>Down</v>
      </c>
      <c r="C8034" s="2">
        <f>_xlfn.XLOOKUP(A8034,'[1]Tissue Data'!$A:$A,'[1]Tissue Data'!$D:$D)</f>
        <v>44393</v>
      </c>
      <c r="D8034" s="2" t="s">
        <v>131</v>
      </c>
      <c r="E8034" t="str">
        <f>_xlfn.XLOOKUP(A8034,'[1]Tissue Data'!$A:$A,'[1]Tissue Data'!$H:$H)</f>
        <v>Rhinichthys</v>
      </c>
      <c r="F8034" t="str">
        <f>_xlfn.XLOOKUP(A8034,'[1]Tissue Data'!$A:$A,'[1]Tissue Data'!$I:$I)</f>
        <v>atratulus</v>
      </c>
      <c r="G8034" t="str">
        <f>_xlfn.XLOOKUP(A8034,'[1]Tissue Data'!$A:$A,'[1]Tissue Data'!J:J)</f>
        <v>U</v>
      </c>
      <c r="H8034" t="str">
        <f>_xlfn.XLOOKUP(A8034,'[1]Tissue Data'!$A:$A,'[1]Tissue Data'!K:K)</f>
        <v>Whole Body</v>
      </c>
      <c r="I8034">
        <f>_xlfn.XLOOKUP(A8034,'[1]Tissue Data'!$A:$A,'[1]Tissue Data'!L:L)</f>
        <v>11</v>
      </c>
      <c r="J8034">
        <f>_xlfn.XLOOKUP(A8034,'[1]Tissue Data'!$A:$A,'[1]Tissue Data'!M:M)</f>
        <v>14.56</v>
      </c>
      <c r="K8034" t="s">
        <v>44</v>
      </c>
      <c r="L8034" t="str">
        <f>_xlfn.XLOOKUP(K8034,[2]analyte_order!$B:$B,[2]analyte_order!$C:$C)</f>
        <v>27619-97-2</v>
      </c>
      <c r="M8034">
        <f>_xlfn.XLOOKUP(L8034,[2]analyte_order!$C:$C,[2]analyte_order!$E:$E)</f>
        <v>23</v>
      </c>
      <c r="N8034">
        <v>0.23400000000000001</v>
      </c>
    </row>
    <row r="8035" spans="1:14">
      <c r="A8035" t="s">
        <v>149</v>
      </c>
      <c r="B8035" t="str">
        <f>_xlfn.XLOOKUP(A8035,'[1]Tissue Data'!$A:$A,'[1]Tissue Data'!$C:$C)</f>
        <v>Down</v>
      </c>
      <c r="C8035" s="2">
        <f>_xlfn.XLOOKUP(A8035,'[1]Tissue Data'!$A:$A,'[1]Tissue Data'!$D:$D)</f>
        <v>44393</v>
      </c>
      <c r="D8035" s="2" t="s">
        <v>131</v>
      </c>
      <c r="E8035" t="str">
        <f>_xlfn.XLOOKUP(A8035,'[1]Tissue Data'!$A:$A,'[1]Tissue Data'!$H:$H)</f>
        <v>Rhinichthys</v>
      </c>
      <c r="F8035" t="str">
        <f>_xlfn.XLOOKUP(A8035,'[1]Tissue Data'!$A:$A,'[1]Tissue Data'!$I:$I)</f>
        <v>atratulus</v>
      </c>
      <c r="G8035" t="str">
        <f>_xlfn.XLOOKUP(A8035,'[1]Tissue Data'!$A:$A,'[1]Tissue Data'!J:J)</f>
        <v>U</v>
      </c>
      <c r="H8035" t="str">
        <f>_xlfn.XLOOKUP(A8035,'[1]Tissue Data'!$A:$A,'[1]Tissue Data'!K:K)</f>
        <v>Whole Body</v>
      </c>
      <c r="I8035">
        <f>_xlfn.XLOOKUP(A8035,'[1]Tissue Data'!$A:$A,'[1]Tissue Data'!L:L)</f>
        <v>11</v>
      </c>
      <c r="J8035">
        <f>_xlfn.XLOOKUP(A8035,'[1]Tissue Data'!$A:$A,'[1]Tissue Data'!M:M)</f>
        <v>14.56</v>
      </c>
      <c r="K8035" t="s">
        <v>45</v>
      </c>
      <c r="L8035" t="str">
        <f>_xlfn.XLOOKUP(K8035,[2]analyte_order!$B:$B,[2]analyte_order!$C:$C)</f>
        <v>39108-34-4</v>
      </c>
      <c r="M8035">
        <f>_xlfn.XLOOKUP(L8035,[2]analyte_order!$C:$C,[2]analyte_order!$E:$E)</f>
        <v>24</v>
      </c>
      <c r="N8035">
        <v>12.1</v>
      </c>
    </row>
    <row r="8036" spans="1:14">
      <c r="A8036" t="s">
        <v>149</v>
      </c>
      <c r="B8036" t="str">
        <f>_xlfn.XLOOKUP(A8036,'[1]Tissue Data'!$A:$A,'[1]Tissue Data'!$C:$C)</f>
        <v>Down</v>
      </c>
      <c r="C8036" s="2">
        <f>_xlfn.XLOOKUP(A8036,'[1]Tissue Data'!$A:$A,'[1]Tissue Data'!$D:$D)</f>
        <v>44393</v>
      </c>
      <c r="D8036" s="2" t="s">
        <v>131</v>
      </c>
      <c r="E8036" t="str">
        <f>_xlfn.XLOOKUP(A8036,'[1]Tissue Data'!$A:$A,'[1]Tissue Data'!$H:$H)</f>
        <v>Rhinichthys</v>
      </c>
      <c r="F8036" t="str">
        <f>_xlfn.XLOOKUP(A8036,'[1]Tissue Data'!$A:$A,'[1]Tissue Data'!$I:$I)</f>
        <v>atratulus</v>
      </c>
      <c r="G8036" t="str">
        <f>_xlfn.XLOOKUP(A8036,'[1]Tissue Data'!$A:$A,'[1]Tissue Data'!J:J)</f>
        <v>U</v>
      </c>
      <c r="H8036" t="str">
        <f>_xlfn.XLOOKUP(A8036,'[1]Tissue Data'!$A:$A,'[1]Tissue Data'!K:K)</f>
        <v>Whole Body</v>
      </c>
      <c r="I8036">
        <f>_xlfn.XLOOKUP(A8036,'[1]Tissue Data'!$A:$A,'[1]Tissue Data'!L:L)</f>
        <v>11</v>
      </c>
      <c r="J8036">
        <f>_xlfn.XLOOKUP(A8036,'[1]Tissue Data'!$A:$A,'[1]Tissue Data'!M:M)</f>
        <v>14.56</v>
      </c>
      <c r="K8036" t="s">
        <v>46</v>
      </c>
      <c r="L8036" t="str">
        <f>_xlfn.XLOOKUP(K8036,[2]analyte_order!$B:$B,[2]analyte_order!$C:$C)</f>
        <v>120226-60-0</v>
      </c>
      <c r="M8036">
        <f>_xlfn.XLOOKUP(L8036,[2]analyte_order!$C:$C,[2]analyte_order!$E:$E)</f>
        <v>25</v>
      </c>
      <c r="N8036">
        <v>0.46850000000000003</v>
      </c>
    </row>
    <row r="8037" spans="1:14">
      <c r="A8037" t="s">
        <v>149</v>
      </c>
      <c r="B8037" t="str">
        <f>_xlfn.XLOOKUP(A8037,'[1]Tissue Data'!$A:$A,'[1]Tissue Data'!$C:$C)</f>
        <v>Down</v>
      </c>
      <c r="C8037" s="2">
        <f>_xlfn.XLOOKUP(A8037,'[1]Tissue Data'!$A:$A,'[1]Tissue Data'!$D:$D)</f>
        <v>44393</v>
      </c>
      <c r="D8037" s="2" t="s">
        <v>131</v>
      </c>
      <c r="E8037" t="str">
        <f>_xlfn.XLOOKUP(A8037,'[1]Tissue Data'!$A:$A,'[1]Tissue Data'!$H:$H)</f>
        <v>Rhinichthys</v>
      </c>
      <c r="F8037" t="str">
        <f>_xlfn.XLOOKUP(A8037,'[1]Tissue Data'!$A:$A,'[1]Tissue Data'!$I:$I)</f>
        <v>atratulus</v>
      </c>
      <c r="G8037" t="str">
        <f>_xlfn.XLOOKUP(A8037,'[1]Tissue Data'!$A:$A,'[1]Tissue Data'!J:J)</f>
        <v>U</v>
      </c>
      <c r="H8037" t="str">
        <f>_xlfn.XLOOKUP(A8037,'[1]Tissue Data'!$A:$A,'[1]Tissue Data'!K:K)</f>
        <v>Whole Body</v>
      </c>
      <c r="I8037">
        <f>_xlfn.XLOOKUP(A8037,'[1]Tissue Data'!$A:$A,'[1]Tissue Data'!L:L)</f>
        <v>11</v>
      </c>
      <c r="J8037">
        <f>_xlfn.XLOOKUP(A8037,'[1]Tissue Data'!$A:$A,'[1]Tissue Data'!M:M)</f>
        <v>14.56</v>
      </c>
      <c r="K8037" t="s">
        <v>47</v>
      </c>
      <c r="L8037" t="str">
        <f>_xlfn.XLOOKUP(K8037,[2]analyte_order!$B:$B,[2]analyte_order!$C:$C)</f>
        <v>356-02-5</v>
      </c>
      <c r="M8037">
        <f>_xlfn.XLOOKUP(L8037,[2]analyte_order!$C:$C,[2]analyte_order!$E:$E)</f>
        <v>38</v>
      </c>
      <c r="N8037">
        <v>0.27</v>
      </c>
    </row>
    <row r="8038" spans="1:14">
      <c r="A8038" t="s">
        <v>149</v>
      </c>
      <c r="B8038" t="str">
        <f>_xlfn.XLOOKUP(A8038,'[1]Tissue Data'!$A:$A,'[1]Tissue Data'!$C:$C)</f>
        <v>Down</v>
      </c>
      <c r="C8038" s="2">
        <f>_xlfn.XLOOKUP(A8038,'[1]Tissue Data'!$A:$A,'[1]Tissue Data'!$D:$D)</f>
        <v>44393</v>
      </c>
      <c r="D8038" s="2" t="s">
        <v>131</v>
      </c>
      <c r="E8038" t="str">
        <f>_xlfn.XLOOKUP(A8038,'[1]Tissue Data'!$A:$A,'[1]Tissue Data'!$H:$H)</f>
        <v>Rhinichthys</v>
      </c>
      <c r="F8038" t="str">
        <f>_xlfn.XLOOKUP(A8038,'[1]Tissue Data'!$A:$A,'[1]Tissue Data'!$I:$I)</f>
        <v>atratulus</v>
      </c>
      <c r="G8038" t="str">
        <f>_xlfn.XLOOKUP(A8038,'[1]Tissue Data'!$A:$A,'[1]Tissue Data'!J:J)</f>
        <v>U</v>
      </c>
      <c r="H8038" t="str">
        <f>_xlfn.XLOOKUP(A8038,'[1]Tissue Data'!$A:$A,'[1]Tissue Data'!K:K)</f>
        <v>Whole Body</v>
      </c>
      <c r="I8038">
        <f>_xlfn.XLOOKUP(A8038,'[1]Tissue Data'!$A:$A,'[1]Tissue Data'!L:L)</f>
        <v>11</v>
      </c>
      <c r="J8038">
        <f>_xlfn.XLOOKUP(A8038,'[1]Tissue Data'!$A:$A,'[1]Tissue Data'!M:M)</f>
        <v>14.56</v>
      </c>
      <c r="K8038" t="s">
        <v>48</v>
      </c>
      <c r="L8038" t="str">
        <f>_xlfn.XLOOKUP(K8038,[2]analyte_order!$B:$B,[2]analyte_order!$C:$C)</f>
        <v>914637-49-3</v>
      </c>
      <c r="M8038">
        <f>_xlfn.XLOOKUP(L8038,[2]analyte_order!$C:$C,[2]analyte_order!$E:$E)</f>
        <v>39</v>
      </c>
      <c r="N8038">
        <v>20.2</v>
      </c>
    </row>
    <row r="8039" spans="1:14">
      <c r="A8039" t="s">
        <v>149</v>
      </c>
      <c r="B8039" t="str">
        <f>_xlfn.XLOOKUP(A8039,'[1]Tissue Data'!$A:$A,'[1]Tissue Data'!$C:$C)</f>
        <v>Down</v>
      </c>
      <c r="C8039" s="2">
        <f>_xlfn.XLOOKUP(A8039,'[1]Tissue Data'!$A:$A,'[1]Tissue Data'!$D:$D)</f>
        <v>44393</v>
      </c>
      <c r="D8039" s="2" t="s">
        <v>131</v>
      </c>
      <c r="E8039" t="str">
        <f>_xlfn.XLOOKUP(A8039,'[1]Tissue Data'!$A:$A,'[1]Tissue Data'!$H:$H)</f>
        <v>Rhinichthys</v>
      </c>
      <c r="F8039" t="str">
        <f>_xlfn.XLOOKUP(A8039,'[1]Tissue Data'!$A:$A,'[1]Tissue Data'!$I:$I)</f>
        <v>atratulus</v>
      </c>
      <c r="G8039" t="str">
        <f>_xlfn.XLOOKUP(A8039,'[1]Tissue Data'!$A:$A,'[1]Tissue Data'!J:J)</f>
        <v>U</v>
      </c>
      <c r="H8039" t="str">
        <f>_xlfn.XLOOKUP(A8039,'[1]Tissue Data'!$A:$A,'[1]Tissue Data'!K:K)</f>
        <v>Whole Body</v>
      </c>
      <c r="I8039">
        <f>_xlfn.XLOOKUP(A8039,'[1]Tissue Data'!$A:$A,'[1]Tissue Data'!L:L)</f>
        <v>11</v>
      </c>
      <c r="J8039">
        <f>_xlfn.XLOOKUP(A8039,'[1]Tissue Data'!$A:$A,'[1]Tissue Data'!M:M)</f>
        <v>14.56</v>
      </c>
      <c r="K8039" t="s">
        <v>49</v>
      </c>
      <c r="L8039" t="str">
        <f>_xlfn.XLOOKUP(K8039,[2]analyte_order!$B:$B,[2]analyte_order!$C:$C)</f>
        <v>812-70-4</v>
      </c>
      <c r="M8039">
        <f>_xlfn.XLOOKUP(L8039,[2]analyte_order!$C:$C,[2]analyte_order!$E:$E)</f>
        <v>40</v>
      </c>
      <c r="N8039">
        <v>0.23400000000000001</v>
      </c>
    </row>
    <row r="8040" spans="1:14">
      <c r="A8040" t="s">
        <v>149</v>
      </c>
      <c r="B8040" t="str">
        <f>_xlfn.XLOOKUP(A8040,'[1]Tissue Data'!$A:$A,'[1]Tissue Data'!$C:$C)</f>
        <v>Down</v>
      </c>
      <c r="C8040" s="2">
        <f>_xlfn.XLOOKUP(A8040,'[1]Tissue Data'!$A:$A,'[1]Tissue Data'!$D:$D)</f>
        <v>44393</v>
      </c>
      <c r="D8040" s="2" t="s">
        <v>131</v>
      </c>
      <c r="E8040" t="str">
        <f>_xlfn.XLOOKUP(A8040,'[1]Tissue Data'!$A:$A,'[1]Tissue Data'!$H:$H)</f>
        <v>Rhinichthys</v>
      </c>
      <c r="F8040" t="str">
        <f>_xlfn.XLOOKUP(A8040,'[1]Tissue Data'!$A:$A,'[1]Tissue Data'!$I:$I)</f>
        <v>atratulus</v>
      </c>
      <c r="G8040" t="str">
        <f>_xlfn.XLOOKUP(A8040,'[1]Tissue Data'!$A:$A,'[1]Tissue Data'!J:J)</f>
        <v>U</v>
      </c>
      <c r="H8040" t="str">
        <f>_xlfn.XLOOKUP(A8040,'[1]Tissue Data'!$A:$A,'[1]Tissue Data'!K:K)</f>
        <v>Whole Body</v>
      </c>
      <c r="I8040">
        <f>_xlfn.XLOOKUP(A8040,'[1]Tissue Data'!$A:$A,'[1]Tissue Data'!L:L)</f>
        <v>11</v>
      </c>
      <c r="J8040">
        <f>_xlfn.XLOOKUP(A8040,'[1]Tissue Data'!$A:$A,'[1]Tissue Data'!M:M)</f>
        <v>14.56</v>
      </c>
      <c r="K8040" t="s">
        <v>50</v>
      </c>
      <c r="L8040" t="str">
        <f>_xlfn.XLOOKUP(K8040,[2]analyte_order!$B:$B,[2]analyte_order!$C:$C)</f>
        <v>53826-12-3</v>
      </c>
      <c r="M8040">
        <f>_xlfn.XLOOKUP(L8040,[2]analyte_order!$C:$C,[2]analyte_order!$E:$E)</f>
        <v>41</v>
      </c>
      <c r="N8040">
        <v>0.46850000000000003</v>
      </c>
    </row>
    <row r="8041" spans="1:14">
      <c r="A8041" t="s">
        <v>149</v>
      </c>
      <c r="B8041" t="str">
        <f>_xlfn.XLOOKUP(A8041,'[1]Tissue Data'!$A:$A,'[1]Tissue Data'!$C:$C)</f>
        <v>Down</v>
      </c>
      <c r="C8041" s="2">
        <f>_xlfn.XLOOKUP(A8041,'[1]Tissue Data'!$A:$A,'[1]Tissue Data'!$D:$D)</f>
        <v>44393</v>
      </c>
      <c r="D8041" s="2" t="s">
        <v>131</v>
      </c>
      <c r="E8041" t="str">
        <f>_xlfn.XLOOKUP(A8041,'[1]Tissue Data'!$A:$A,'[1]Tissue Data'!$H:$H)</f>
        <v>Rhinichthys</v>
      </c>
      <c r="F8041" t="str">
        <f>_xlfn.XLOOKUP(A8041,'[1]Tissue Data'!$A:$A,'[1]Tissue Data'!$I:$I)</f>
        <v>atratulus</v>
      </c>
      <c r="G8041" t="str">
        <f>_xlfn.XLOOKUP(A8041,'[1]Tissue Data'!$A:$A,'[1]Tissue Data'!J:J)</f>
        <v>U</v>
      </c>
      <c r="H8041" t="str">
        <f>_xlfn.XLOOKUP(A8041,'[1]Tissue Data'!$A:$A,'[1]Tissue Data'!K:K)</f>
        <v>Whole Body</v>
      </c>
      <c r="I8041">
        <f>_xlfn.XLOOKUP(A8041,'[1]Tissue Data'!$A:$A,'[1]Tissue Data'!L:L)</f>
        <v>11</v>
      </c>
      <c r="J8041">
        <f>_xlfn.XLOOKUP(A8041,'[1]Tissue Data'!$A:$A,'[1]Tissue Data'!M:M)</f>
        <v>14.56</v>
      </c>
      <c r="K8041" t="s">
        <v>51</v>
      </c>
      <c r="L8041" t="str">
        <f>_xlfn.XLOOKUP(K8041,[2]analyte_order!$B:$B,[2]analyte_order!$C:$C)</f>
        <v>27854-31-5</v>
      </c>
      <c r="M8041">
        <f>_xlfn.XLOOKUP(L8041,[2]analyte_order!$C:$C,[2]analyte_order!$E:$E)</f>
        <v>42</v>
      </c>
      <c r="N8041">
        <v>0.46850000000000003</v>
      </c>
    </row>
    <row r="8042" spans="1:14">
      <c r="A8042" t="s">
        <v>149</v>
      </c>
      <c r="B8042" t="str">
        <f>_xlfn.XLOOKUP(A8042,'[1]Tissue Data'!$A:$A,'[1]Tissue Data'!$C:$C)</f>
        <v>Down</v>
      </c>
      <c r="C8042" s="2">
        <f>_xlfn.XLOOKUP(A8042,'[1]Tissue Data'!$A:$A,'[1]Tissue Data'!$D:$D)</f>
        <v>44393</v>
      </c>
      <c r="D8042" s="2" t="s">
        <v>131</v>
      </c>
      <c r="E8042" t="str">
        <f>_xlfn.XLOOKUP(A8042,'[1]Tissue Data'!$A:$A,'[1]Tissue Data'!$H:$H)</f>
        <v>Rhinichthys</v>
      </c>
      <c r="F8042" t="str">
        <f>_xlfn.XLOOKUP(A8042,'[1]Tissue Data'!$A:$A,'[1]Tissue Data'!$I:$I)</f>
        <v>atratulus</v>
      </c>
      <c r="G8042" t="str">
        <f>_xlfn.XLOOKUP(A8042,'[1]Tissue Data'!$A:$A,'[1]Tissue Data'!J:J)</f>
        <v>U</v>
      </c>
      <c r="H8042" t="str">
        <f>_xlfn.XLOOKUP(A8042,'[1]Tissue Data'!$A:$A,'[1]Tissue Data'!K:K)</f>
        <v>Whole Body</v>
      </c>
      <c r="I8042">
        <f>_xlfn.XLOOKUP(A8042,'[1]Tissue Data'!$A:$A,'[1]Tissue Data'!L:L)</f>
        <v>11</v>
      </c>
      <c r="J8042">
        <f>_xlfn.XLOOKUP(A8042,'[1]Tissue Data'!$A:$A,'[1]Tissue Data'!M:M)</f>
        <v>14.56</v>
      </c>
      <c r="K8042" t="s">
        <v>52</v>
      </c>
      <c r="L8042" t="str">
        <f>_xlfn.XLOOKUP(K8042,[2]analyte_order!$B:$B,[2]analyte_order!$C:$C)</f>
        <v>53826-13-4</v>
      </c>
      <c r="M8042">
        <f>_xlfn.XLOOKUP(L8042,[2]analyte_order!$C:$C,[2]analyte_order!$E:$E)</f>
        <v>43</v>
      </c>
      <c r="N8042">
        <v>0.46850000000000003</v>
      </c>
    </row>
    <row r="8043" spans="1:14">
      <c r="A8043" t="s">
        <v>149</v>
      </c>
      <c r="B8043" t="str">
        <f>_xlfn.XLOOKUP(A8043,'[1]Tissue Data'!$A:$A,'[1]Tissue Data'!$C:$C)</f>
        <v>Down</v>
      </c>
      <c r="C8043" s="2">
        <f>_xlfn.XLOOKUP(A8043,'[1]Tissue Data'!$A:$A,'[1]Tissue Data'!$D:$D)</f>
        <v>44393</v>
      </c>
      <c r="D8043" s="2" t="s">
        <v>131</v>
      </c>
      <c r="E8043" t="str">
        <f>_xlfn.XLOOKUP(A8043,'[1]Tissue Data'!$A:$A,'[1]Tissue Data'!$H:$H)</f>
        <v>Rhinichthys</v>
      </c>
      <c r="F8043" t="str">
        <f>_xlfn.XLOOKUP(A8043,'[1]Tissue Data'!$A:$A,'[1]Tissue Data'!$I:$I)</f>
        <v>atratulus</v>
      </c>
      <c r="G8043" t="str">
        <f>_xlfn.XLOOKUP(A8043,'[1]Tissue Data'!$A:$A,'[1]Tissue Data'!J:J)</f>
        <v>U</v>
      </c>
      <c r="H8043" t="str">
        <f>_xlfn.XLOOKUP(A8043,'[1]Tissue Data'!$A:$A,'[1]Tissue Data'!K:K)</f>
        <v>Whole Body</v>
      </c>
      <c r="I8043">
        <f>_xlfn.XLOOKUP(A8043,'[1]Tissue Data'!$A:$A,'[1]Tissue Data'!L:L)</f>
        <v>11</v>
      </c>
      <c r="J8043">
        <f>_xlfn.XLOOKUP(A8043,'[1]Tissue Data'!$A:$A,'[1]Tissue Data'!M:M)</f>
        <v>14.56</v>
      </c>
      <c r="K8043" t="s">
        <v>53</v>
      </c>
      <c r="L8043" t="str">
        <f>_xlfn.XLOOKUP(K8043,[2]analyte_order!$B:$B,[2]analyte_order!$C:$C)</f>
        <v>161094-75-3</v>
      </c>
      <c r="M8043">
        <f>_xlfn.XLOOKUP(L8043,[2]analyte_order!$C:$C,[2]analyte_order!$E:$E)</f>
        <v>44</v>
      </c>
      <c r="N8043">
        <v>0.46850000000000003</v>
      </c>
    </row>
    <row r="8044" spans="1:14">
      <c r="A8044" t="s">
        <v>149</v>
      </c>
      <c r="B8044" t="str">
        <f>_xlfn.XLOOKUP(A8044,'[1]Tissue Data'!$A:$A,'[1]Tissue Data'!$C:$C)</f>
        <v>Down</v>
      </c>
      <c r="C8044" s="2">
        <f>_xlfn.XLOOKUP(A8044,'[1]Tissue Data'!$A:$A,'[1]Tissue Data'!$D:$D)</f>
        <v>44393</v>
      </c>
      <c r="D8044" s="2" t="s">
        <v>131</v>
      </c>
      <c r="E8044" t="str">
        <f>_xlfn.XLOOKUP(A8044,'[1]Tissue Data'!$A:$A,'[1]Tissue Data'!$H:$H)</f>
        <v>Rhinichthys</v>
      </c>
      <c r="F8044" t="str">
        <f>_xlfn.XLOOKUP(A8044,'[1]Tissue Data'!$A:$A,'[1]Tissue Data'!$I:$I)</f>
        <v>atratulus</v>
      </c>
      <c r="G8044" t="str">
        <f>_xlfn.XLOOKUP(A8044,'[1]Tissue Data'!$A:$A,'[1]Tissue Data'!J:J)</f>
        <v>U</v>
      </c>
      <c r="H8044" t="str">
        <f>_xlfn.XLOOKUP(A8044,'[1]Tissue Data'!$A:$A,'[1]Tissue Data'!K:K)</f>
        <v>Whole Body</v>
      </c>
      <c r="I8044">
        <f>_xlfn.XLOOKUP(A8044,'[1]Tissue Data'!$A:$A,'[1]Tissue Data'!L:L)</f>
        <v>11</v>
      </c>
      <c r="J8044">
        <f>_xlfn.XLOOKUP(A8044,'[1]Tissue Data'!$A:$A,'[1]Tissue Data'!M:M)</f>
        <v>14.56</v>
      </c>
      <c r="K8044" t="s">
        <v>54</v>
      </c>
      <c r="L8044" t="str">
        <f>_xlfn.XLOOKUP(K8044,[2]analyte_order!$B:$B,[2]analyte_order!$C:$C)</f>
        <v>70887-84-2</v>
      </c>
      <c r="M8044">
        <f>_xlfn.XLOOKUP(L8044,[2]analyte_order!$C:$C,[2]analyte_order!$E:$E)</f>
        <v>45</v>
      </c>
      <c r="N8044">
        <v>0.46850000000000003</v>
      </c>
    </row>
    <row r="8045" spans="1:14">
      <c r="A8045" t="s">
        <v>149</v>
      </c>
      <c r="B8045" t="str">
        <f>_xlfn.XLOOKUP(A8045,'[1]Tissue Data'!$A:$A,'[1]Tissue Data'!$C:$C)</f>
        <v>Down</v>
      </c>
      <c r="C8045" s="2">
        <f>_xlfn.XLOOKUP(A8045,'[1]Tissue Data'!$A:$A,'[1]Tissue Data'!$D:$D)</f>
        <v>44393</v>
      </c>
      <c r="D8045" s="2" t="s">
        <v>131</v>
      </c>
      <c r="E8045" t="str">
        <f>_xlfn.XLOOKUP(A8045,'[1]Tissue Data'!$A:$A,'[1]Tissue Data'!$H:$H)</f>
        <v>Rhinichthys</v>
      </c>
      <c r="F8045" t="str">
        <f>_xlfn.XLOOKUP(A8045,'[1]Tissue Data'!$A:$A,'[1]Tissue Data'!$I:$I)</f>
        <v>atratulus</v>
      </c>
      <c r="G8045" t="str">
        <f>_xlfn.XLOOKUP(A8045,'[1]Tissue Data'!$A:$A,'[1]Tissue Data'!J:J)</f>
        <v>U</v>
      </c>
      <c r="H8045" t="str">
        <f>_xlfn.XLOOKUP(A8045,'[1]Tissue Data'!$A:$A,'[1]Tissue Data'!K:K)</f>
        <v>Whole Body</v>
      </c>
      <c r="I8045">
        <f>_xlfn.XLOOKUP(A8045,'[1]Tissue Data'!$A:$A,'[1]Tissue Data'!L:L)</f>
        <v>11</v>
      </c>
      <c r="J8045">
        <f>_xlfn.XLOOKUP(A8045,'[1]Tissue Data'!$A:$A,'[1]Tissue Data'!M:M)</f>
        <v>14.56</v>
      </c>
      <c r="K8045" t="s">
        <v>55</v>
      </c>
      <c r="L8045" t="str">
        <f>_xlfn.XLOOKUP(K8045,[2]analyte_order!$B:$B,[2]analyte_order!$C:$C)</f>
        <v>919005-14-4</v>
      </c>
      <c r="M8045">
        <f>_xlfn.XLOOKUP(L8045,[2]analyte_order!$C:$C,[2]analyte_order!$E:$E)</f>
        <v>35</v>
      </c>
      <c r="N8045">
        <v>0.23400000000000001</v>
      </c>
    </row>
    <row r="8046" spans="1:14">
      <c r="A8046" t="s">
        <v>149</v>
      </c>
      <c r="B8046" t="str">
        <f>_xlfn.XLOOKUP(A8046,'[1]Tissue Data'!$A:$A,'[1]Tissue Data'!$C:$C)</f>
        <v>Down</v>
      </c>
      <c r="C8046" s="2">
        <f>_xlfn.XLOOKUP(A8046,'[1]Tissue Data'!$A:$A,'[1]Tissue Data'!$D:$D)</f>
        <v>44393</v>
      </c>
      <c r="D8046" s="2" t="s">
        <v>131</v>
      </c>
      <c r="E8046" t="str">
        <f>_xlfn.XLOOKUP(A8046,'[1]Tissue Data'!$A:$A,'[1]Tissue Data'!$H:$H)</f>
        <v>Rhinichthys</v>
      </c>
      <c r="F8046" t="str">
        <f>_xlfn.XLOOKUP(A8046,'[1]Tissue Data'!$A:$A,'[1]Tissue Data'!$I:$I)</f>
        <v>atratulus</v>
      </c>
      <c r="G8046" t="str">
        <f>_xlfn.XLOOKUP(A8046,'[1]Tissue Data'!$A:$A,'[1]Tissue Data'!J:J)</f>
        <v>U</v>
      </c>
      <c r="H8046" t="str">
        <f>_xlfn.XLOOKUP(A8046,'[1]Tissue Data'!$A:$A,'[1]Tissue Data'!K:K)</f>
        <v>Whole Body</v>
      </c>
      <c r="I8046">
        <f>_xlfn.XLOOKUP(A8046,'[1]Tissue Data'!$A:$A,'[1]Tissue Data'!L:L)</f>
        <v>11</v>
      </c>
      <c r="J8046">
        <f>_xlfn.XLOOKUP(A8046,'[1]Tissue Data'!$A:$A,'[1]Tissue Data'!M:M)</f>
        <v>14.56</v>
      </c>
      <c r="K8046" t="s">
        <v>56</v>
      </c>
      <c r="L8046" t="str">
        <f>_xlfn.XLOOKUP(K8046,[2]analyte_order!$B:$B,[2]analyte_order!$C:$C)</f>
        <v>756426-58-1</v>
      </c>
      <c r="M8046">
        <f>_xlfn.XLOOKUP(L8046,[2]analyte_order!$C:$C,[2]analyte_order!$E:$E)</f>
        <v>36</v>
      </c>
      <c r="N8046">
        <v>0.46850000000000003</v>
      </c>
    </row>
    <row r="8047" spans="1:14">
      <c r="A8047" t="s">
        <v>149</v>
      </c>
      <c r="B8047" t="str">
        <f>_xlfn.XLOOKUP(A8047,'[1]Tissue Data'!$A:$A,'[1]Tissue Data'!$C:$C)</f>
        <v>Down</v>
      </c>
      <c r="C8047" s="2">
        <f>_xlfn.XLOOKUP(A8047,'[1]Tissue Data'!$A:$A,'[1]Tissue Data'!$D:$D)</f>
        <v>44393</v>
      </c>
      <c r="D8047" s="2" t="s">
        <v>131</v>
      </c>
      <c r="E8047" t="str">
        <f>_xlfn.XLOOKUP(A8047,'[1]Tissue Data'!$A:$A,'[1]Tissue Data'!$H:$H)</f>
        <v>Rhinichthys</v>
      </c>
      <c r="F8047" t="str">
        <f>_xlfn.XLOOKUP(A8047,'[1]Tissue Data'!$A:$A,'[1]Tissue Data'!$I:$I)</f>
        <v>atratulus</v>
      </c>
      <c r="G8047" t="str">
        <f>_xlfn.XLOOKUP(A8047,'[1]Tissue Data'!$A:$A,'[1]Tissue Data'!J:J)</f>
        <v>U</v>
      </c>
      <c r="H8047" t="str">
        <f>_xlfn.XLOOKUP(A8047,'[1]Tissue Data'!$A:$A,'[1]Tissue Data'!K:K)</f>
        <v>Whole Body</v>
      </c>
      <c r="I8047">
        <f>_xlfn.XLOOKUP(A8047,'[1]Tissue Data'!$A:$A,'[1]Tissue Data'!L:L)</f>
        <v>11</v>
      </c>
      <c r="J8047">
        <f>_xlfn.XLOOKUP(A8047,'[1]Tissue Data'!$A:$A,'[1]Tissue Data'!M:M)</f>
        <v>14.56</v>
      </c>
      <c r="K8047" t="s">
        <v>57</v>
      </c>
      <c r="L8047" t="str">
        <f>_xlfn.XLOOKUP(K8047,[2]analyte_order!$B:$B,[2]analyte_order!$C:$C)</f>
        <v>763051-92-9</v>
      </c>
      <c r="M8047">
        <f>_xlfn.XLOOKUP(L8047,[2]analyte_order!$C:$C,[2]analyte_order!$E:$E)</f>
        <v>37</v>
      </c>
      <c r="N8047">
        <v>0.46850000000000003</v>
      </c>
    </row>
    <row r="8048" spans="1:14">
      <c r="A8048" t="s">
        <v>149</v>
      </c>
      <c r="B8048" t="str">
        <f>_xlfn.XLOOKUP(A8048,'[1]Tissue Data'!$A:$A,'[1]Tissue Data'!$C:$C)</f>
        <v>Down</v>
      </c>
      <c r="C8048" s="2">
        <f>_xlfn.XLOOKUP(A8048,'[1]Tissue Data'!$A:$A,'[1]Tissue Data'!$D:$D)</f>
        <v>44393</v>
      </c>
      <c r="D8048" s="2" t="s">
        <v>131</v>
      </c>
      <c r="E8048" t="str">
        <f>_xlfn.XLOOKUP(A8048,'[1]Tissue Data'!$A:$A,'[1]Tissue Data'!$H:$H)</f>
        <v>Rhinichthys</v>
      </c>
      <c r="F8048" t="str">
        <f>_xlfn.XLOOKUP(A8048,'[1]Tissue Data'!$A:$A,'[1]Tissue Data'!$I:$I)</f>
        <v>atratulus</v>
      </c>
      <c r="G8048" t="str">
        <f>_xlfn.XLOOKUP(A8048,'[1]Tissue Data'!$A:$A,'[1]Tissue Data'!J:J)</f>
        <v>U</v>
      </c>
      <c r="H8048" t="str">
        <f>_xlfn.XLOOKUP(A8048,'[1]Tissue Data'!$A:$A,'[1]Tissue Data'!K:K)</f>
        <v>Whole Body</v>
      </c>
      <c r="I8048">
        <f>_xlfn.XLOOKUP(A8048,'[1]Tissue Data'!$A:$A,'[1]Tissue Data'!L:L)</f>
        <v>11</v>
      </c>
      <c r="J8048">
        <f>_xlfn.XLOOKUP(A8048,'[1]Tissue Data'!$A:$A,'[1]Tissue Data'!M:M)</f>
        <v>14.56</v>
      </c>
      <c r="K8048" t="s">
        <v>58</v>
      </c>
      <c r="L8048" t="str">
        <f>_xlfn.XLOOKUP(K8048,[2]analyte_order!$B:$B,[2]analyte_order!$C:$C)</f>
        <v>13252-13-6</v>
      </c>
      <c r="M8048">
        <f>_xlfn.XLOOKUP(L8048,[2]analyte_order!$C:$C,[2]analyte_order!$E:$E)</f>
        <v>34</v>
      </c>
      <c r="N8048">
        <v>0.33600000000000002</v>
      </c>
    </row>
    <row r="8049" spans="1:14">
      <c r="A8049" t="s">
        <v>149</v>
      </c>
      <c r="B8049" t="str">
        <f>_xlfn.XLOOKUP(A8049,'[1]Tissue Data'!$A:$A,'[1]Tissue Data'!$C:$C)</f>
        <v>Down</v>
      </c>
      <c r="C8049" s="2">
        <f>_xlfn.XLOOKUP(A8049,'[1]Tissue Data'!$A:$A,'[1]Tissue Data'!$D:$D)</f>
        <v>44393</v>
      </c>
      <c r="D8049" s="2" t="s">
        <v>131</v>
      </c>
      <c r="E8049" t="str">
        <f>_xlfn.XLOOKUP(A8049,'[1]Tissue Data'!$A:$A,'[1]Tissue Data'!$H:$H)</f>
        <v>Rhinichthys</v>
      </c>
      <c r="F8049" t="str">
        <f>_xlfn.XLOOKUP(A8049,'[1]Tissue Data'!$A:$A,'[1]Tissue Data'!$I:$I)</f>
        <v>atratulus</v>
      </c>
      <c r="G8049" t="str">
        <f>_xlfn.XLOOKUP(A8049,'[1]Tissue Data'!$A:$A,'[1]Tissue Data'!J:J)</f>
        <v>U</v>
      </c>
      <c r="H8049" t="str">
        <f>_xlfn.XLOOKUP(A8049,'[1]Tissue Data'!$A:$A,'[1]Tissue Data'!K:K)</f>
        <v>Whole Body</v>
      </c>
      <c r="I8049">
        <f>_xlfn.XLOOKUP(A8049,'[1]Tissue Data'!$A:$A,'[1]Tissue Data'!L:L)</f>
        <v>11</v>
      </c>
      <c r="J8049">
        <f>_xlfn.XLOOKUP(A8049,'[1]Tissue Data'!$A:$A,'[1]Tissue Data'!M:M)</f>
        <v>14.56</v>
      </c>
      <c r="K8049" t="s">
        <v>59</v>
      </c>
      <c r="L8049" t="str">
        <f>_xlfn.XLOOKUP(K8049,[2]analyte_order!$B:$B,[2]analyte_order!$C:$C)</f>
        <v>57677-95-9</v>
      </c>
      <c r="M8049">
        <f>_xlfn.XLOOKUP(L8049,[2]analyte_order!$C:$C,[2]analyte_order!$E:$E)</f>
        <v>46</v>
      </c>
      <c r="N8049">
        <v>0.46850000000000003</v>
      </c>
    </row>
    <row r="8050" spans="1:14">
      <c r="A8050" t="s">
        <v>149</v>
      </c>
      <c r="B8050" t="str">
        <f>_xlfn.XLOOKUP(A8050,'[1]Tissue Data'!$A:$A,'[1]Tissue Data'!$C:$C)</f>
        <v>Down</v>
      </c>
      <c r="C8050" s="2">
        <f>_xlfn.XLOOKUP(A8050,'[1]Tissue Data'!$A:$A,'[1]Tissue Data'!$D:$D)</f>
        <v>44393</v>
      </c>
      <c r="D8050" s="2" t="s">
        <v>131</v>
      </c>
      <c r="E8050" t="str">
        <f>_xlfn.XLOOKUP(A8050,'[1]Tissue Data'!$A:$A,'[1]Tissue Data'!$H:$H)</f>
        <v>Rhinichthys</v>
      </c>
      <c r="F8050" t="str">
        <f>_xlfn.XLOOKUP(A8050,'[1]Tissue Data'!$A:$A,'[1]Tissue Data'!$I:$I)</f>
        <v>atratulus</v>
      </c>
      <c r="G8050" t="str">
        <f>_xlfn.XLOOKUP(A8050,'[1]Tissue Data'!$A:$A,'[1]Tissue Data'!J:J)</f>
        <v>U</v>
      </c>
      <c r="H8050" t="str">
        <f>_xlfn.XLOOKUP(A8050,'[1]Tissue Data'!$A:$A,'[1]Tissue Data'!K:K)</f>
        <v>Whole Body</v>
      </c>
      <c r="I8050">
        <f>_xlfn.XLOOKUP(A8050,'[1]Tissue Data'!$A:$A,'[1]Tissue Data'!L:L)</f>
        <v>11</v>
      </c>
      <c r="J8050">
        <f>_xlfn.XLOOKUP(A8050,'[1]Tissue Data'!$A:$A,'[1]Tissue Data'!M:M)</f>
        <v>14.56</v>
      </c>
      <c r="K8050" t="s">
        <v>60</v>
      </c>
      <c r="L8050" t="str">
        <f>_xlfn.XLOOKUP(K8050,[2]analyte_order!$B:$B,[2]analyte_order!$C:$C)</f>
        <v>678-41-1</v>
      </c>
      <c r="M8050">
        <f>_xlfn.XLOOKUP(L8050,[2]analyte_order!$C:$C,[2]analyte_order!$E:$E)</f>
        <v>56</v>
      </c>
      <c r="N8050">
        <v>0.46850000000000003</v>
      </c>
    </row>
    <row r="8051" spans="1:14">
      <c r="A8051" t="s">
        <v>149</v>
      </c>
      <c r="B8051" t="str">
        <f>_xlfn.XLOOKUP(A8051,'[1]Tissue Data'!$A:$A,'[1]Tissue Data'!$C:$C)</f>
        <v>Down</v>
      </c>
      <c r="C8051" s="2">
        <f>_xlfn.XLOOKUP(A8051,'[1]Tissue Data'!$A:$A,'[1]Tissue Data'!$D:$D)</f>
        <v>44393</v>
      </c>
      <c r="D8051" s="2" t="s">
        <v>131</v>
      </c>
      <c r="E8051" t="str">
        <f>_xlfn.XLOOKUP(A8051,'[1]Tissue Data'!$A:$A,'[1]Tissue Data'!$H:$H)</f>
        <v>Rhinichthys</v>
      </c>
      <c r="F8051" t="str">
        <f>_xlfn.XLOOKUP(A8051,'[1]Tissue Data'!$A:$A,'[1]Tissue Data'!$I:$I)</f>
        <v>atratulus</v>
      </c>
      <c r="G8051" t="str">
        <f>_xlfn.XLOOKUP(A8051,'[1]Tissue Data'!$A:$A,'[1]Tissue Data'!J:J)</f>
        <v>U</v>
      </c>
      <c r="H8051" t="str">
        <f>_xlfn.XLOOKUP(A8051,'[1]Tissue Data'!$A:$A,'[1]Tissue Data'!K:K)</f>
        <v>Whole Body</v>
      </c>
      <c r="I8051">
        <f>_xlfn.XLOOKUP(A8051,'[1]Tissue Data'!$A:$A,'[1]Tissue Data'!L:L)</f>
        <v>11</v>
      </c>
      <c r="J8051">
        <f>_xlfn.XLOOKUP(A8051,'[1]Tissue Data'!$A:$A,'[1]Tissue Data'!M:M)</f>
        <v>14.56</v>
      </c>
      <c r="K8051" t="s">
        <v>61</v>
      </c>
      <c r="L8051" t="str">
        <f>_xlfn.XLOOKUP(K8051,[2]analyte_order!$B:$B,[2]analyte_order!$C:$C)</f>
        <v>2965-52-8</v>
      </c>
      <c r="M8051">
        <f>_xlfn.XLOOKUP(L8051,[2]analyte_order!$C:$C,[2]analyte_order!$E:$E)</f>
        <v>57</v>
      </c>
      <c r="N8051">
        <v>0.46850000000000003</v>
      </c>
    </row>
    <row r="8052" spans="1:14">
      <c r="A8052" t="s">
        <v>150</v>
      </c>
      <c r="B8052" t="str">
        <f>_xlfn.XLOOKUP(A8052,'[1]Tissue Data'!$A:$A,'[1]Tissue Data'!$C:$C)</f>
        <v>Down</v>
      </c>
      <c r="C8052" s="2">
        <f>_xlfn.XLOOKUP(A8052,'[1]Tissue Data'!$A:$A,'[1]Tissue Data'!$D:$D)</f>
        <v>44393</v>
      </c>
      <c r="D8052" s="2" t="s">
        <v>131</v>
      </c>
      <c r="E8052" t="str">
        <f>_xlfn.XLOOKUP(A8052,'[1]Tissue Data'!$A:$A,'[1]Tissue Data'!$H:$H)</f>
        <v>Rhinichthys</v>
      </c>
      <c r="F8052" t="str">
        <f>_xlfn.XLOOKUP(A8052,'[1]Tissue Data'!$A:$A,'[1]Tissue Data'!$I:$I)</f>
        <v>atratulus</v>
      </c>
      <c r="G8052" t="str">
        <f>_xlfn.XLOOKUP(A8052,'[1]Tissue Data'!$A:$A,'[1]Tissue Data'!J:J)</f>
        <v>U</v>
      </c>
      <c r="H8052" t="str">
        <f>_xlfn.XLOOKUP(A8052,'[1]Tissue Data'!$A:$A,'[1]Tissue Data'!K:K)</f>
        <v>Whole Body</v>
      </c>
      <c r="I8052">
        <f>_xlfn.XLOOKUP(A8052,'[1]Tissue Data'!$A:$A,'[1]Tissue Data'!L:L)</f>
        <v>10</v>
      </c>
      <c r="J8052">
        <f>_xlfn.XLOOKUP(A8052,'[1]Tissue Data'!$A:$A,'[1]Tissue Data'!M:M)</f>
        <v>9.0500000000000007</v>
      </c>
      <c r="K8052" t="s">
        <v>12</v>
      </c>
      <c r="L8052" t="str">
        <f>_xlfn.XLOOKUP(K8052,[2]analyte_order!$B:$B,[2]analyte_order!$C:$C)</f>
        <v>375-22-4</v>
      </c>
      <c r="M8052">
        <f>_xlfn.XLOOKUP(L8052,[2]analyte_order!$C:$C,[2]analyte_order!$E:$E)</f>
        <v>1</v>
      </c>
      <c r="N8052">
        <v>0.22550000000000001</v>
      </c>
    </row>
    <row r="8053" spans="1:14">
      <c r="A8053" t="s">
        <v>150</v>
      </c>
      <c r="B8053" t="str">
        <f>_xlfn.XLOOKUP(A8053,'[1]Tissue Data'!$A:$A,'[1]Tissue Data'!$C:$C)</f>
        <v>Down</v>
      </c>
      <c r="C8053" s="2">
        <f>_xlfn.XLOOKUP(A8053,'[1]Tissue Data'!$A:$A,'[1]Tissue Data'!$D:$D)</f>
        <v>44393</v>
      </c>
      <c r="D8053" s="2" t="s">
        <v>131</v>
      </c>
      <c r="E8053" t="str">
        <f>_xlfn.XLOOKUP(A8053,'[1]Tissue Data'!$A:$A,'[1]Tissue Data'!$H:$H)</f>
        <v>Rhinichthys</v>
      </c>
      <c r="F8053" t="str">
        <f>_xlfn.XLOOKUP(A8053,'[1]Tissue Data'!$A:$A,'[1]Tissue Data'!$I:$I)</f>
        <v>atratulus</v>
      </c>
      <c r="G8053" t="str">
        <f>_xlfn.XLOOKUP(A8053,'[1]Tissue Data'!$A:$A,'[1]Tissue Data'!J:J)</f>
        <v>U</v>
      </c>
      <c r="H8053" t="str">
        <f>_xlfn.XLOOKUP(A8053,'[1]Tissue Data'!$A:$A,'[1]Tissue Data'!K:K)</f>
        <v>Whole Body</v>
      </c>
      <c r="I8053">
        <f>_xlfn.XLOOKUP(A8053,'[1]Tissue Data'!$A:$A,'[1]Tissue Data'!L:L)</f>
        <v>10</v>
      </c>
      <c r="J8053">
        <f>_xlfn.XLOOKUP(A8053,'[1]Tissue Data'!$A:$A,'[1]Tissue Data'!M:M)</f>
        <v>9.0500000000000007</v>
      </c>
      <c r="K8053" t="s">
        <v>13</v>
      </c>
      <c r="L8053" t="str">
        <f>_xlfn.XLOOKUP(K8053,[2]analyte_order!$B:$B,[2]analyte_order!$C:$C)</f>
        <v>2706-90-3</v>
      </c>
      <c r="M8053">
        <f>_xlfn.XLOOKUP(L8053,[2]analyte_order!$C:$C,[2]analyte_order!$E:$E)</f>
        <v>2</v>
      </c>
      <c r="N8053">
        <v>0.22550000000000001</v>
      </c>
    </row>
    <row r="8054" spans="1:14">
      <c r="A8054" t="s">
        <v>150</v>
      </c>
      <c r="B8054" t="str">
        <f>_xlfn.XLOOKUP(A8054,'[1]Tissue Data'!$A:$A,'[1]Tissue Data'!$C:$C)</f>
        <v>Down</v>
      </c>
      <c r="C8054" s="2">
        <f>_xlfn.XLOOKUP(A8054,'[1]Tissue Data'!$A:$A,'[1]Tissue Data'!$D:$D)</f>
        <v>44393</v>
      </c>
      <c r="D8054" s="2" t="s">
        <v>131</v>
      </c>
      <c r="E8054" t="str">
        <f>_xlfn.XLOOKUP(A8054,'[1]Tissue Data'!$A:$A,'[1]Tissue Data'!$H:$H)</f>
        <v>Rhinichthys</v>
      </c>
      <c r="F8054" t="str">
        <f>_xlfn.XLOOKUP(A8054,'[1]Tissue Data'!$A:$A,'[1]Tissue Data'!$I:$I)</f>
        <v>atratulus</v>
      </c>
      <c r="G8054" t="str">
        <f>_xlfn.XLOOKUP(A8054,'[1]Tissue Data'!$A:$A,'[1]Tissue Data'!J:J)</f>
        <v>U</v>
      </c>
      <c r="H8054" t="str">
        <f>_xlfn.XLOOKUP(A8054,'[1]Tissue Data'!$A:$A,'[1]Tissue Data'!K:K)</f>
        <v>Whole Body</v>
      </c>
      <c r="I8054">
        <f>_xlfn.XLOOKUP(A8054,'[1]Tissue Data'!$A:$A,'[1]Tissue Data'!L:L)</f>
        <v>10</v>
      </c>
      <c r="J8054">
        <f>_xlfn.XLOOKUP(A8054,'[1]Tissue Data'!$A:$A,'[1]Tissue Data'!M:M)</f>
        <v>9.0500000000000007</v>
      </c>
      <c r="K8054" t="s">
        <v>14</v>
      </c>
      <c r="L8054" t="str">
        <f>_xlfn.XLOOKUP(K8054,[2]analyte_order!$B:$B,[2]analyte_order!$C:$C)</f>
        <v>307-24-4</v>
      </c>
      <c r="M8054">
        <f>_xlfn.XLOOKUP(L8054,[2]analyte_order!$C:$C,[2]analyte_order!$E:$E)</f>
        <v>3</v>
      </c>
      <c r="N8054">
        <v>0.1215</v>
      </c>
    </row>
    <row r="8055" spans="1:14">
      <c r="A8055" t="s">
        <v>150</v>
      </c>
      <c r="B8055" t="str">
        <f>_xlfn.XLOOKUP(A8055,'[1]Tissue Data'!$A:$A,'[1]Tissue Data'!$C:$C)</f>
        <v>Down</v>
      </c>
      <c r="C8055" s="2">
        <f>_xlfn.XLOOKUP(A8055,'[1]Tissue Data'!$A:$A,'[1]Tissue Data'!$D:$D)</f>
        <v>44393</v>
      </c>
      <c r="D8055" s="2" t="s">
        <v>131</v>
      </c>
      <c r="E8055" t="str">
        <f>_xlfn.XLOOKUP(A8055,'[1]Tissue Data'!$A:$A,'[1]Tissue Data'!$H:$H)</f>
        <v>Rhinichthys</v>
      </c>
      <c r="F8055" t="str">
        <f>_xlfn.XLOOKUP(A8055,'[1]Tissue Data'!$A:$A,'[1]Tissue Data'!$I:$I)</f>
        <v>atratulus</v>
      </c>
      <c r="G8055" t="str">
        <f>_xlfn.XLOOKUP(A8055,'[1]Tissue Data'!$A:$A,'[1]Tissue Data'!J:J)</f>
        <v>U</v>
      </c>
      <c r="H8055" t="str">
        <f>_xlfn.XLOOKUP(A8055,'[1]Tissue Data'!$A:$A,'[1]Tissue Data'!K:K)</f>
        <v>Whole Body</v>
      </c>
      <c r="I8055">
        <f>_xlfn.XLOOKUP(A8055,'[1]Tissue Data'!$A:$A,'[1]Tissue Data'!L:L)</f>
        <v>10</v>
      </c>
      <c r="J8055">
        <f>_xlfn.XLOOKUP(A8055,'[1]Tissue Data'!$A:$A,'[1]Tissue Data'!M:M)</f>
        <v>9.0500000000000007</v>
      </c>
      <c r="K8055" t="s">
        <v>15</v>
      </c>
      <c r="L8055" t="str">
        <f>_xlfn.XLOOKUP(K8055,[2]analyte_order!$B:$B,[2]analyte_order!$C:$C)</f>
        <v>375-85-9</v>
      </c>
      <c r="M8055">
        <f>_xlfn.XLOOKUP(L8055,[2]analyte_order!$C:$C,[2]analyte_order!$E:$E)</f>
        <v>4</v>
      </c>
      <c r="N8055">
        <v>0.22550000000000001</v>
      </c>
    </row>
    <row r="8056" spans="1:14">
      <c r="A8056" t="s">
        <v>150</v>
      </c>
      <c r="B8056" t="str">
        <f>_xlfn.XLOOKUP(A8056,'[1]Tissue Data'!$A:$A,'[1]Tissue Data'!$C:$C)</f>
        <v>Down</v>
      </c>
      <c r="C8056" s="2">
        <f>_xlfn.XLOOKUP(A8056,'[1]Tissue Data'!$A:$A,'[1]Tissue Data'!$D:$D)</f>
        <v>44393</v>
      </c>
      <c r="D8056" s="2" t="s">
        <v>131</v>
      </c>
      <c r="E8056" t="str">
        <f>_xlfn.XLOOKUP(A8056,'[1]Tissue Data'!$A:$A,'[1]Tissue Data'!$H:$H)</f>
        <v>Rhinichthys</v>
      </c>
      <c r="F8056" t="str">
        <f>_xlfn.XLOOKUP(A8056,'[1]Tissue Data'!$A:$A,'[1]Tissue Data'!$I:$I)</f>
        <v>atratulus</v>
      </c>
      <c r="G8056" t="str">
        <f>_xlfn.XLOOKUP(A8056,'[1]Tissue Data'!$A:$A,'[1]Tissue Data'!J:J)</f>
        <v>U</v>
      </c>
      <c r="H8056" t="str">
        <f>_xlfn.XLOOKUP(A8056,'[1]Tissue Data'!$A:$A,'[1]Tissue Data'!K:K)</f>
        <v>Whole Body</v>
      </c>
      <c r="I8056">
        <f>_xlfn.XLOOKUP(A8056,'[1]Tissue Data'!$A:$A,'[1]Tissue Data'!L:L)</f>
        <v>10</v>
      </c>
      <c r="J8056">
        <f>_xlfn.XLOOKUP(A8056,'[1]Tissue Data'!$A:$A,'[1]Tissue Data'!M:M)</f>
        <v>9.0500000000000007</v>
      </c>
      <c r="K8056" t="s">
        <v>16</v>
      </c>
      <c r="L8056" t="str">
        <f>_xlfn.XLOOKUP(K8056,[2]analyte_order!$B:$B,[2]analyte_order!$C:$C)</f>
        <v>335-67-1</v>
      </c>
      <c r="M8056">
        <f>_xlfn.XLOOKUP(L8056,[2]analyte_order!$C:$C,[2]analyte_order!$E:$E)</f>
        <v>5</v>
      </c>
      <c r="N8056">
        <v>1.24</v>
      </c>
    </row>
    <row r="8057" spans="1:14">
      <c r="A8057" t="s">
        <v>150</v>
      </c>
      <c r="B8057" t="str">
        <f>_xlfn.XLOOKUP(A8057,'[1]Tissue Data'!$A:$A,'[1]Tissue Data'!$C:$C)</f>
        <v>Down</v>
      </c>
      <c r="C8057" s="2">
        <f>_xlfn.XLOOKUP(A8057,'[1]Tissue Data'!$A:$A,'[1]Tissue Data'!$D:$D)</f>
        <v>44393</v>
      </c>
      <c r="D8057" s="2" t="s">
        <v>131</v>
      </c>
      <c r="E8057" t="str">
        <f>_xlfn.XLOOKUP(A8057,'[1]Tissue Data'!$A:$A,'[1]Tissue Data'!$H:$H)</f>
        <v>Rhinichthys</v>
      </c>
      <c r="F8057" t="str">
        <f>_xlfn.XLOOKUP(A8057,'[1]Tissue Data'!$A:$A,'[1]Tissue Data'!$I:$I)</f>
        <v>atratulus</v>
      </c>
      <c r="G8057" t="str">
        <f>_xlfn.XLOOKUP(A8057,'[1]Tissue Data'!$A:$A,'[1]Tissue Data'!J:J)</f>
        <v>U</v>
      </c>
      <c r="H8057" t="str">
        <f>_xlfn.XLOOKUP(A8057,'[1]Tissue Data'!$A:$A,'[1]Tissue Data'!K:K)</f>
        <v>Whole Body</v>
      </c>
      <c r="I8057">
        <f>_xlfn.XLOOKUP(A8057,'[1]Tissue Data'!$A:$A,'[1]Tissue Data'!L:L)</f>
        <v>10</v>
      </c>
      <c r="J8057">
        <f>_xlfn.XLOOKUP(A8057,'[1]Tissue Data'!$A:$A,'[1]Tissue Data'!M:M)</f>
        <v>9.0500000000000007</v>
      </c>
      <c r="K8057" t="s">
        <v>17</v>
      </c>
      <c r="L8057" t="str">
        <f>_xlfn.XLOOKUP(K8057,[2]analyte_order!$B:$B,[2]analyte_order!$C:$C)</f>
        <v>375-95-1</v>
      </c>
      <c r="M8057">
        <f>_xlfn.XLOOKUP(L8057,[2]analyte_order!$C:$C,[2]analyte_order!$E:$E)</f>
        <v>6</v>
      </c>
      <c r="N8057">
        <v>0.93899999999999995</v>
      </c>
    </row>
    <row r="8058" spans="1:14">
      <c r="A8058" t="s">
        <v>150</v>
      </c>
      <c r="B8058" t="str">
        <f>_xlfn.XLOOKUP(A8058,'[1]Tissue Data'!$A:$A,'[1]Tissue Data'!$C:$C)</f>
        <v>Down</v>
      </c>
      <c r="C8058" s="2">
        <f>_xlfn.XLOOKUP(A8058,'[1]Tissue Data'!$A:$A,'[1]Tissue Data'!$D:$D)</f>
        <v>44393</v>
      </c>
      <c r="D8058" s="2" t="s">
        <v>131</v>
      </c>
      <c r="E8058" t="str">
        <f>_xlfn.XLOOKUP(A8058,'[1]Tissue Data'!$A:$A,'[1]Tissue Data'!$H:$H)</f>
        <v>Rhinichthys</v>
      </c>
      <c r="F8058" t="str">
        <f>_xlfn.XLOOKUP(A8058,'[1]Tissue Data'!$A:$A,'[1]Tissue Data'!$I:$I)</f>
        <v>atratulus</v>
      </c>
      <c r="G8058" t="str">
        <f>_xlfn.XLOOKUP(A8058,'[1]Tissue Data'!$A:$A,'[1]Tissue Data'!J:J)</f>
        <v>U</v>
      </c>
      <c r="H8058" t="str">
        <f>_xlfn.XLOOKUP(A8058,'[1]Tissue Data'!$A:$A,'[1]Tissue Data'!K:K)</f>
        <v>Whole Body</v>
      </c>
      <c r="I8058">
        <f>_xlfn.XLOOKUP(A8058,'[1]Tissue Data'!$A:$A,'[1]Tissue Data'!L:L)</f>
        <v>10</v>
      </c>
      <c r="J8058">
        <f>_xlfn.XLOOKUP(A8058,'[1]Tissue Data'!$A:$A,'[1]Tissue Data'!M:M)</f>
        <v>9.0500000000000007</v>
      </c>
      <c r="K8058" t="s">
        <v>18</v>
      </c>
      <c r="L8058" t="str">
        <f>_xlfn.XLOOKUP(K8058,[2]analyte_order!$B:$B,[2]analyte_order!$C:$C)</f>
        <v>335-76-2</v>
      </c>
      <c r="M8058">
        <f>_xlfn.XLOOKUP(L8058,[2]analyte_order!$C:$C,[2]analyte_order!$E:$E)</f>
        <v>7</v>
      </c>
      <c r="N8058">
        <v>4.53</v>
      </c>
    </row>
    <row r="8059" spans="1:14">
      <c r="A8059" t="s">
        <v>150</v>
      </c>
      <c r="B8059" t="str">
        <f>_xlfn.XLOOKUP(A8059,'[1]Tissue Data'!$A:$A,'[1]Tissue Data'!$C:$C)</f>
        <v>Down</v>
      </c>
      <c r="C8059" s="2">
        <f>_xlfn.XLOOKUP(A8059,'[1]Tissue Data'!$A:$A,'[1]Tissue Data'!$D:$D)</f>
        <v>44393</v>
      </c>
      <c r="D8059" s="2" t="s">
        <v>131</v>
      </c>
      <c r="E8059" t="str">
        <f>_xlfn.XLOOKUP(A8059,'[1]Tissue Data'!$A:$A,'[1]Tissue Data'!$H:$H)</f>
        <v>Rhinichthys</v>
      </c>
      <c r="F8059" t="str">
        <f>_xlfn.XLOOKUP(A8059,'[1]Tissue Data'!$A:$A,'[1]Tissue Data'!$I:$I)</f>
        <v>atratulus</v>
      </c>
      <c r="G8059" t="str">
        <f>_xlfn.XLOOKUP(A8059,'[1]Tissue Data'!$A:$A,'[1]Tissue Data'!J:J)</f>
        <v>U</v>
      </c>
      <c r="H8059" t="str">
        <f>_xlfn.XLOOKUP(A8059,'[1]Tissue Data'!$A:$A,'[1]Tissue Data'!K:K)</f>
        <v>Whole Body</v>
      </c>
      <c r="I8059">
        <f>_xlfn.XLOOKUP(A8059,'[1]Tissue Data'!$A:$A,'[1]Tissue Data'!L:L)</f>
        <v>10</v>
      </c>
      <c r="J8059">
        <f>_xlfn.XLOOKUP(A8059,'[1]Tissue Data'!$A:$A,'[1]Tissue Data'!M:M)</f>
        <v>9.0500000000000007</v>
      </c>
      <c r="K8059" t="s">
        <v>19</v>
      </c>
      <c r="L8059" t="str">
        <f>_xlfn.XLOOKUP(K8059,[2]analyte_order!$B:$B,[2]analyte_order!$C:$C)</f>
        <v>2058-94-8</v>
      </c>
      <c r="M8059">
        <f>_xlfn.XLOOKUP(L8059,[2]analyte_order!$C:$C,[2]analyte_order!$E:$E)</f>
        <v>8</v>
      </c>
      <c r="N8059">
        <v>7.48</v>
      </c>
    </row>
    <row r="8060" spans="1:14">
      <c r="A8060" t="s">
        <v>150</v>
      </c>
      <c r="B8060" t="str">
        <f>_xlfn.XLOOKUP(A8060,'[1]Tissue Data'!$A:$A,'[1]Tissue Data'!$C:$C)</f>
        <v>Down</v>
      </c>
      <c r="C8060" s="2">
        <f>_xlfn.XLOOKUP(A8060,'[1]Tissue Data'!$A:$A,'[1]Tissue Data'!$D:$D)</f>
        <v>44393</v>
      </c>
      <c r="D8060" s="2" t="s">
        <v>131</v>
      </c>
      <c r="E8060" t="str">
        <f>_xlfn.XLOOKUP(A8060,'[1]Tissue Data'!$A:$A,'[1]Tissue Data'!$H:$H)</f>
        <v>Rhinichthys</v>
      </c>
      <c r="F8060" t="str">
        <f>_xlfn.XLOOKUP(A8060,'[1]Tissue Data'!$A:$A,'[1]Tissue Data'!$I:$I)</f>
        <v>atratulus</v>
      </c>
      <c r="G8060" t="str">
        <f>_xlfn.XLOOKUP(A8060,'[1]Tissue Data'!$A:$A,'[1]Tissue Data'!J:J)</f>
        <v>U</v>
      </c>
      <c r="H8060" t="str">
        <f>_xlfn.XLOOKUP(A8060,'[1]Tissue Data'!$A:$A,'[1]Tissue Data'!K:K)</f>
        <v>Whole Body</v>
      </c>
      <c r="I8060">
        <f>_xlfn.XLOOKUP(A8060,'[1]Tissue Data'!$A:$A,'[1]Tissue Data'!L:L)</f>
        <v>10</v>
      </c>
      <c r="J8060">
        <f>_xlfn.XLOOKUP(A8060,'[1]Tissue Data'!$A:$A,'[1]Tissue Data'!M:M)</f>
        <v>9.0500000000000007</v>
      </c>
      <c r="K8060" t="s">
        <v>20</v>
      </c>
      <c r="L8060" t="str">
        <f>_xlfn.XLOOKUP(K8060,[2]analyte_order!$B:$B,[2]analyte_order!$C:$C)</f>
        <v>307-55-1</v>
      </c>
      <c r="M8060">
        <f>_xlfn.XLOOKUP(L8060,[2]analyte_order!$C:$C,[2]analyte_order!$E:$E)</f>
        <v>9</v>
      </c>
      <c r="N8060">
        <v>14.6</v>
      </c>
    </row>
    <row r="8061" spans="1:14">
      <c r="A8061" t="s">
        <v>150</v>
      </c>
      <c r="B8061" t="str">
        <f>_xlfn.XLOOKUP(A8061,'[1]Tissue Data'!$A:$A,'[1]Tissue Data'!$C:$C)</f>
        <v>Down</v>
      </c>
      <c r="C8061" s="2">
        <f>_xlfn.XLOOKUP(A8061,'[1]Tissue Data'!$A:$A,'[1]Tissue Data'!$D:$D)</f>
        <v>44393</v>
      </c>
      <c r="D8061" s="2" t="s">
        <v>131</v>
      </c>
      <c r="E8061" t="str">
        <f>_xlfn.XLOOKUP(A8061,'[1]Tissue Data'!$A:$A,'[1]Tissue Data'!$H:$H)</f>
        <v>Rhinichthys</v>
      </c>
      <c r="F8061" t="str">
        <f>_xlfn.XLOOKUP(A8061,'[1]Tissue Data'!$A:$A,'[1]Tissue Data'!$I:$I)</f>
        <v>atratulus</v>
      </c>
      <c r="G8061" t="str">
        <f>_xlfn.XLOOKUP(A8061,'[1]Tissue Data'!$A:$A,'[1]Tissue Data'!J:J)</f>
        <v>U</v>
      </c>
      <c r="H8061" t="str">
        <f>_xlfn.XLOOKUP(A8061,'[1]Tissue Data'!$A:$A,'[1]Tissue Data'!K:K)</f>
        <v>Whole Body</v>
      </c>
      <c r="I8061">
        <f>_xlfn.XLOOKUP(A8061,'[1]Tissue Data'!$A:$A,'[1]Tissue Data'!L:L)</f>
        <v>10</v>
      </c>
      <c r="J8061">
        <f>_xlfn.XLOOKUP(A8061,'[1]Tissue Data'!$A:$A,'[1]Tissue Data'!M:M)</f>
        <v>9.0500000000000007</v>
      </c>
      <c r="K8061" t="s">
        <v>21</v>
      </c>
      <c r="L8061" t="str">
        <f>_xlfn.XLOOKUP(K8061,[2]analyte_order!$B:$B,[2]analyte_order!$C:$C)</f>
        <v>72629-94-8</v>
      </c>
      <c r="M8061">
        <f>_xlfn.XLOOKUP(L8061,[2]analyte_order!$C:$C,[2]analyte_order!$E:$E)</f>
        <v>10</v>
      </c>
      <c r="N8061">
        <v>6.59</v>
      </c>
    </row>
    <row r="8062" spans="1:14">
      <c r="A8062" t="s">
        <v>150</v>
      </c>
      <c r="B8062" t="str">
        <f>_xlfn.XLOOKUP(A8062,'[1]Tissue Data'!$A:$A,'[1]Tissue Data'!$C:$C)</f>
        <v>Down</v>
      </c>
      <c r="C8062" s="2">
        <f>_xlfn.XLOOKUP(A8062,'[1]Tissue Data'!$A:$A,'[1]Tissue Data'!$D:$D)</f>
        <v>44393</v>
      </c>
      <c r="D8062" s="2" t="s">
        <v>131</v>
      </c>
      <c r="E8062" t="str">
        <f>_xlfn.XLOOKUP(A8062,'[1]Tissue Data'!$A:$A,'[1]Tissue Data'!$H:$H)</f>
        <v>Rhinichthys</v>
      </c>
      <c r="F8062" t="str">
        <f>_xlfn.XLOOKUP(A8062,'[1]Tissue Data'!$A:$A,'[1]Tissue Data'!$I:$I)</f>
        <v>atratulus</v>
      </c>
      <c r="G8062" t="str">
        <f>_xlfn.XLOOKUP(A8062,'[1]Tissue Data'!$A:$A,'[1]Tissue Data'!J:J)</f>
        <v>U</v>
      </c>
      <c r="H8062" t="str">
        <f>_xlfn.XLOOKUP(A8062,'[1]Tissue Data'!$A:$A,'[1]Tissue Data'!K:K)</f>
        <v>Whole Body</v>
      </c>
      <c r="I8062">
        <f>_xlfn.XLOOKUP(A8062,'[1]Tissue Data'!$A:$A,'[1]Tissue Data'!L:L)</f>
        <v>10</v>
      </c>
      <c r="J8062">
        <f>_xlfn.XLOOKUP(A8062,'[1]Tissue Data'!$A:$A,'[1]Tissue Data'!M:M)</f>
        <v>9.0500000000000007</v>
      </c>
      <c r="K8062" t="s">
        <v>22</v>
      </c>
      <c r="L8062" t="str">
        <f>_xlfn.XLOOKUP(K8062,[2]analyte_order!$B:$B,[2]analyte_order!$C:$C)</f>
        <v>376-06-7</v>
      </c>
      <c r="M8062">
        <f>_xlfn.XLOOKUP(L8062,[2]analyte_order!$C:$C,[2]analyte_order!$E:$E)</f>
        <v>11</v>
      </c>
      <c r="N8062">
        <v>8.85</v>
      </c>
    </row>
    <row r="8063" spans="1:14">
      <c r="A8063" t="s">
        <v>150</v>
      </c>
      <c r="B8063" t="str">
        <f>_xlfn.XLOOKUP(A8063,'[1]Tissue Data'!$A:$A,'[1]Tissue Data'!$C:$C)</f>
        <v>Down</v>
      </c>
      <c r="C8063" s="2">
        <f>_xlfn.XLOOKUP(A8063,'[1]Tissue Data'!$A:$A,'[1]Tissue Data'!$D:$D)</f>
        <v>44393</v>
      </c>
      <c r="D8063" s="2" t="s">
        <v>131</v>
      </c>
      <c r="E8063" t="str">
        <f>_xlfn.XLOOKUP(A8063,'[1]Tissue Data'!$A:$A,'[1]Tissue Data'!$H:$H)</f>
        <v>Rhinichthys</v>
      </c>
      <c r="F8063" t="str">
        <f>_xlfn.XLOOKUP(A8063,'[1]Tissue Data'!$A:$A,'[1]Tissue Data'!$I:$I)</f>
        <v>atratulus</v>
      </c>
      <c r="G8063" t="str">
        <f>_xlfn.XLOOKUP(A8063,'[1]Tissue Data'!$A:$A,'[1]Tissue Data'!J:J)</f>
        <v>U</v>
      </c>
      <c r="H8063" t="str">
        <f>_xlfn.XLOOKUP(A8063,'[1]Tissue Data'!$A:$A,'[1]Tissue Data'!K:K)</f>
        <v>Whole Body</v>
      </c>
      <c r="I8063">
        <f>_xlfn.XLOOKUP(A8063,'[1]Tissue Data'!$A:$A,'[1]Tissue Data'!L:L)</f>
        <v>10</v>
      </c>
      <c r="J8063">
        <f>_xlfn.XLOOKUP(A8063,'[1]Tissue Data'!$A:$A,'[1]Tissue Data'!M:M)</f>
        <v>9.0500000000000007</v>
      </c>
      <c r="K8063" t="s">
        <v>23</v>
      </c>
      <c r="L8063" t="str">
        <f>_xlfn.XLOOKUP(K8063,[2]analyte_order!$B:$B,[2]analyte_order!$C:$C)</f>
        <v>67905-19-5</v>
      </c>
      <c r="M8063">
        <f>_xlfn.XLOOKUP(L8063,[2]analyte_order!$C:$C,[2]analyte_order!$E:$E)</f>
        <v>12</v>
      </c>
      <c r="N8063">
        <v>0.26850000000000002</v>
      </c>
    </row>
    <row r="8064" spans="1:14">
      <c r="A8064" t="s">
        <v>150</v>
      </c>
      <c r="B8064" t="str">
        <f>_xlfn.XLOOKUP(A8064,'[1]Tissue Data'!$A:$A,'[1]Tissue Data'!$C:$C)</f>
        <v>Down</v>
      </c>
      <c r="C8064" s="2">
        <f>_xlfn.XLOOKUP(A8064,'[1]Tissue Data'!$A:$A,'[1]Tissue Data'!$D:$D)</f>
        <v>44393</v>
      </c>
      <c r="D8064" s="2" t="s">
        <v>131</v>
      </c>
      <c r="E8064" t="str">
        <f>_xlfn.XLOOKUP(A8064,'[1]Tissue Data'!$A:$A,'[1]Tissue Data'!$H:$H)</f>
        <v>Rhinichthys</v>
      </c>
      <c r="F8064" t="str">
        <f>_xlfn.XLOOKUP(A8064,'[1]Tissue Data'!$A:$A,'[1]Tissue Data'!$I:$I)</f>
        <v>atratulus</v>
      </c>
      <c r="G8064" t="str">
        <f>_xlfn.XLOOKUP(A8064,'[1]Tissue Data'!$A:$A,'[1]Tissue Data'!J:J)</f>
        <v>U</v>
      </c>
      <c r="H8064" t="str">
        <f>_xlfn.XLOOKUP(A8064,'[1]Tissue Data'!$A:$A,'[1]Tissue Data'!K:K)</f>
        <v>Whole Body</v>
      </c>
      <c r="I8064">
        <f>_xlfn.XLOOKUP(A8064,'[1]Tissue Data'!$A:$A,'[1]Tissue Data'!L:L)</f>
        <v>10</v>
      </c>
      <c r="J8064">
        <f>_xlfn.XLOOKUP(A8064,'[1]Tissue Data'!$A:$A,'[1]Tissue Data'!M:M)</f>
        <v>9.0500000000000007</v>
      </c>
      <c r="K8064" t="s">
        <v>24</v>
      </c>
      <c r="L8064" t="str">
        <f>_xlfn.XLOOKUP(K8064,[2]analyte_order!$B:$B,[2]analyte_order!$C:$C)</f>
        <v>423-41-6</v>
      </c>
      <c r="M8064">
        <f>_xlfn.XLOOKUP(L8064,[2]analyte_order!$C:$C,[2]analyte_order!$E:$E)</f>
        <v>53</v>
      </c>
      <c r="N8064">
        <v>0.45050000000000001</v>
      </c>
    </row>
    <row r="8065" spans="1:14">
      <c r="A8065" t="s">
        <v>150</v>
      </c>
      <c r="B8065" t="str">
        <f>_xlfn.XLOOKUP(A8065,'[1]Tissue Data'!$A:$A,'[1]Tissue Data'!$C:$C)</f>
        <v>Down</v>
      </c>
      <c r="C8065" s="2">
        <f>_xlfn.XLOOKUP(A8065,'[1]Tissue Data'!$A:$A,'[1]Tissue Data'!$D:$D)</f>
        <v>44393</v>
      </c>
      <c r="D8065" s="2" t="s">
        <v>131</v>
      </c>
      <c r="E8065" t="str">
        <f>_xlfn.XLOOKUP(A8065,'[1]Tissue Data'!$A:$A,'[1]Tissue Data'!$H:$H)</f>
        <v>Rhinichthys</v>
      </c>
      <c r="F8065" t="str">
        <f>_xlfn.XLOOKUP(A8065,'[1]Tissue Data'!$A:$A,'[1]Tissue Data'!$I:$I)</f>
        <v>atratulus</v>
      </c>
      <c r="G8065" t="str">
        <f>_xlfn.XLOOKUP(A8065,'[1]Tissue Data'!$A:$A,'[1]Tissue Data'!J:J)</f>
        <v>U</v>
      </c>
      <c r="H8065" t="str">
        <f>_xlfn.XLOOKUP(A8065,'[1]Tissue Data'!$A:$A,'[1]Tissue Data'!K:K)</f>
        <v>Whole Body</v>
      </c>
      <c r="I8065">
        <f>_xlfn.XLOOKUP(A8065,'[1]Tissue Data'!$A:$A,'[1]Tissue Data'!L:L)</f>
        <v>10</v>
      </c>
      <c r="J8065">
        <f>_xlfn.XLOOKUP(A8065,'[1]Tissue Data'!$A:$A,'[1]Tissue Data'!M:M)</f>
        <v>9.0500000000000007</v>
      </c>
      <c r="K8065" t="s">
        <v>25</v>
      </c>
      <c r="L8065" t="str">
        <f>_xlfn.XLOOKUP(K8065,[2]analyte_order!$B:$B,[2]analyte_order!$C:$C)</f>
        <v>375-73-5</v>
      </c>
      <c r="M8065">
        <f>_xlfn.XLOOKUP(L8065,[2]analyte_order!$C:$C,[2]analyte_order!$E:$E)</f>
        <v>14</v>
      </c>
      <c r="N8065">
        <v>0.1535</v>
      </c>
    </row>
    <row r="8066" spans="1:14">
      <c r="A8066" t="s">
        <v>150</v>
      </c>
      <c r="B8066" t="str">
        <f>_xlfn.XLOOKUP(A8066,'[1]Tissue Data'!$A:$A,'[1]Tissue Data'!$C:$C)</f>
        <v>Down</v>
      </c>
      <c r="C8066" s="2">
        <f>_xlfn.XLOOKUP(A8066,'[1]Tissue Data'!$A:$A,'[1]Tissue Data'!$D:$D)</f>
        <v>44393</v>
      </c>
      <c r="D8066" s="2" t="s">
        <v>131</v>
      </c>
      <c r="E8066" t="str">
        <f>_xlfn.XLOOKUP(A8066,'[1]Tissue Data'!$A:$A,'[1]Tissue Data'!$H:$H)</f>
        <v>Rhinichthys</v>
      </c>
      <c r="F8066" t="str">
        <f>_xlfn.XLOOKUP(A8066,'[1]Tissue Data'!$A:$A,'[1]Tissue Data'!$I:$I)</f>
        <v>atratulus</v>
      </c>
      <c r="G8066" t="str">
        <f>_xlfn.XLOOKUP(A8066,'[1]Tissue Data'!$A:$A,'[1]Tissue Data'!J:J)</f>
        <v>U</v>
      </c>
      <c r="H8066" t="str">
        <f>_xlfn.XLOOKUP(A8066,'[1]Tissue Data'!$A:$A,'[1]Tissue Data'!K:K)</f>
        <v>Whole Body</v>
      </c>
      <c r="I8066">
        <f>_xlfn.XLOOKUP(A8066,'[1]Tissue Data'!$A:$A,'[1]Tissue Data'!L:L)</f>
        <v>10</v>
      </c>
      <c r="J8066">
        <f>_xlfn.XLOOKUP(A8066,'[1]Tissue Data'!$A:$A,'[1]Tissue Data'!M:M)</f>
        <v>9.0500000000000007</v>
      </c>
      <c r="K8066" t="s">
        <v>26</v>
      </c>
      <c r="L8066" t="str">
        <f>_xlfn.XLOOKUP(K8066,[2]analyte_order!$B:$B,[2]analyte_order!$C:$C)</f>
        <v>2706-91-4</v>
      </c>
      <c r="M8066">
        <f>_xlfn.XLOOKUP(L8066,[2]analyte_order!$C:$C,[2]analyte_order!$E:$E)</f>
        <v>15</v>
      </c>
      <c r="N8066">
        <v>0.61799999999999999</v>
      </c>
    </row>
    <row r="8067" spans="1:14">
      <c r="A8067" t="s">
        <v>150</v>
      </c>
      <c r="B8067" t="str">
        <f>_xlfn.XLOOKUP(A8067,'[1]Tissue Data'!$A:$A,'[1]Tissue Data'!$C:$C)</f>
        <v>Down</v>
      </c>
      <c r="C8067" s="2">
        <f>_xlfn.XLOOKUP(A8067,'[1]Tissue Data'!$A:$A,'[1]Tissue Data'!$D:$D)</f>
        <v>44393</v>
      </c>
      <c r="D8067" s="2" t="s">
        <v>131</v>
      </c>
      <c r="E8067" t="str">
        <f>_xlfn.XLOOKUP(A8067,'[1]Tissue Data'!$A:$A,'[1]Tissue Data'!$H:$H)</f>
        <v>Rhinichthys</v>
      </c>
      <c r="F8067" t="str">
        <f>_xlfn.XLOOKUP(A8067,'[1]Tissue Data'!$A:$A,'[1]Tissue Data'!$I:$I)</f>
        <v>atratulus</v>
      </c>
      <c r="G8067" t="str">
        <f>_xlfn.XLOOKUP(A8067,'[1]Tissue Data'!$A:$A,'[1]Tissue Data'!J:J)</f>
        <v>U</v>
      </c>
      <c r="H8067" t="str">
        <f>_xlfn.XLOOKUP(A8067,'[1]Tissue Data'!$A:$A,'[1]Tissue Data'!K:K)</f>
        <v>Whole Body</v>
      </c>
      <c r="I8067">
        <f>_xlfn.XLOOKUP(A8067,'[1]Tissue Data'!$A:$A,'[1]Tissue Data'!L:L)</f>
        <v>10</v>
      </c>
      <c r="J8067">
        <f>_xlfn.XLOOKUP(A8067,'[1]Tissue Data'!$A:$A,'[1]Tissue Data'!M:M)</f>
        <v>9.0500000000000007</v>
      </c>
      <c r="K8067" t="s">
        <v>27</v>
      </c>
      <c r="L8067" t="str">
        <f>_xlfn.XLOOKUP(K8067,[2]analyte_order!$B:$B,[2]analyte_order!$C:$C)</f>
        <v>355-46-4</v>
      </c>
      <c r="M8067">
        <f>_xlfn.XLOOKUP(L8067,[2]analyte_order!$C:$C,[2]analyte_order!$E:$E)</f>
        <v>16</v>
      </c>
      <c r="N8067">
        <v>49.1</v>
      </c>
    </row>
    <row r="8068" spans="1:14">
      <c r="A8068" t="s">
        <v>150</v>
      </c>
      <c r="B8068" t="str">
        <f>_xlfn.XLOOKUP(A8068,'[1]Tissue Data'!$A:$A,'[1]Tissue Data'!$C:$C)</f>
        <v>Down</v>
      </c>
      <c r="C8068" s="2">
        <f>_xlfn.XLOOKUP(A8068,'[1]Tissue Data'!$A:$A,'[1]Tissue Data'!$D:$D)</f>
        <v>44393</v>
      </c>
      <c r="D8068" s="2" t="s">
        <v>131</v>
      </c>
      <c r="E8068" t="str">
        <f>_xlfn.XLOOKUP(A8068,'[1]Tissue Data'!$A:$A,'[1]Tissue Data'!$H:$H)</f>
        <v>Rhinichthys</v>
      </c>
      <c r="F8068" t="str">
        <f>_xlfn.XLOOKUP(A8068,'[1]Tissue Data'!$A:$A,'[1]Tissue Data'!$I:$I)</f>
        <v>atratulus</v>
      </c>
      <c r="G8068" t="str">
        <f>_xlfn.XLOOKUP(A8068,'[1]Tissue Data'!$A:$A,'[1]Tissue Data'!J:J)</f>
        <v>U</v>
      </c>
      <c r="H8068" t="str">
        <f>_xlfn.XLOOKUP(A8068,'[1]Tissue Data'!$A:$A,'[1]Tissue Data'!K:K)</f>
        <v>Whole Body</v>
      </c>
      <c r="I8068">
        <f>_xlfn.XLOOKUP(A8068,'[1]Tissue Data'!$A:$A,'[1]Tissue Data'!L:L)</f>
        <v>10</v>
      </c>
      <c r="J8068">
        <f>_xlfn.XLOOKUP(A8068,'[1]Tissue Data'!$A:$A,'[1]Tissue Data'!M:M)</f>
        <v>9.0500000000000007</v>
      </c>
      <c r="K8068" t="s">
        <v>28</v>
      </c>
      <c r="L8068" t="str">
        <f>_xlfn.XLOOKUP(K8068,[2]analyte_order!$B:$B,[2]analyte_order!$C:$C)</f>
        <v>375-92-8</v>
      </c>
      <c r="M8068">
        <f>_xlfn.XLOOKUP(L8068,[2]analyte_order!$C:$C,[2]analyte_order!$E:$E)</f>
        <v>17</v>
      </c>
      <c r="N8068">
        <v>6.1</v>
      </c>
    </row>
    <row r="8069" spans="1:14">
      <c r="A8069" t="s">
        <v>150</v>
      </c>
      <c r="B8069" t="str">
        <f>_xlfn.XLOOKUP(A8069,'[1]Tissue Data'!$A:$A,'[1]Tissue Data'!$C:$C)</f>
        <v>Down</v>
      </c>
      <c r="C8069" s="2">
        <f>_xlfn.XLOOKUP(A8069,'[1]Tissue Data'!$A:$A,'[1]Tissue Data'!$D:$D)</f>
        <v>44393</v>
      </c>
      <c r="D8069" s="2" t="s">
        <v>131</v>
      </c>
      <c r="E8069" t="str">
        <f>_xlfn.XLOOKUP(A8069,'[1]Tissue Data'!$A:$A,'[1]Tissue Data'!$H:$H)</f>
        <v>Rhinichthys</v>
      </c>
      <c r="F8069" t="str">
        <f>_xlfn.XLOOKUP(A8069,'[1]Tissue Data'!$A:$A,'[1]Tissue Data'!$I:$I)</f>
        <v>atratulus</v>
      </c>
      <c r="G8069" t="str">
        <f>_xlfn.XLOOKUP(A8069,'[1]Tissue Data'!$A:$A,'[1]Tissue Data'!J:J)</f>
        <v>U</v>
      </c>
      <c r="H8069" t="str">
        <f>_xlfn.XLOOKUP(A8069,'[1]Tissue Data'!$A:$A,'[1]Tissue Data'!K:K)</f>
        <v>Whole Body</v>
      </c>
      <c r="I8069">
        <f>_xlfn.XLOOKUP(A8069,'[1]Tissue Data'!$A:$A,'[1]Tissue Data'!L:L)</f>
        <v>10</v>
      </c>
      <c r="J8069">
        <f>_xlfn.XLOOKUP(A8069,'[1]Tissue Data'!$A:$A,'[1]Tissue Data'!M:M)</f>
        <v>9.0500000000000007</v>
      </c>
      <c r="K8069" t="s">
        <v>29</v>
      </c>
      <c r="L8069" t="str">
        <f>_xlfn.XLOOKUP(K8069,[2]analyte_order!$B:$B,[2]analyte_order!$C:$C)</f>
        <v>1763-23-1</v>
      </c>
      <c r="M8069">
        <f>_xlfn.XLOOKUP(L8069,[2]analyte_order!$C:$C,[2]analyte_order!$E:$E)</f>
        <v>18</v>
      </c>
      <c r="N8069">
        <v>642</v>
      </c>
    </row>
    <row r="8070" spans="1:14">
      <c r="A8070" t="s">
        <v>150</v>
      </c>
      <c r="B8070" t="str">
        <f>_xlfn.XLOOKUP(A8070,'[1]Tissue Data'!$A:$A,'[1]Tissue Data'!$C:$C)</f>
        <v>Down</v>
      </c>
      <c r="C8070" s="2">
        <f>_xlfn.XLOOKUP(A8070,'[1]Tissue Data'!$A:$A,'[1]Tissue Data'!$D:$D)</f>
        <v>44393</v>
      </c>
      <c r="D8070" s="2" t="s">
        <v>131</v>
      </c>
      <c r="E8070" t="str">
        <f>_xlfn.XLOOKUP(A8070,'[1]Tissue Data'!$A:$A,'[1]Tissue Data'!$H:$H)</f>
        <v>Rhinichthys</v>
      </c>
      <c r="F8070" t="str">
        <f>_xlfn.XLOOKUP(A8070,'[1]Tissue Data'!$A:$A,'[1]Tissue Data'!$I:$I)</f>
        <v>atratulus</v>
      </c>
      <c r="G8070" t="str">
        <f>_xlfn.XLOOKUP(A8070,'[1]Tissue Data'!$A:$A,'[1]Tissue Data'!J:J)</f>
        <v>U</v>
      </c>
      <c r="H8070" t="str">
        <f>_xlfn.XLOOKUP(A8070,'[1]Tissue Data'!$A:$A,'[1]Tissue Data'!K:K)</f>
        <v>Whole Body</v>
      </c>
      <c r="I8070">
        <f>_xlfn.XLOOKUP(A8070,'[1]Tissue Data'!$A:$A,'[1]Tissue Data'!L:L)</f>
        <v>10</v>
      </c>
      <c r="J8070">
        <f>_xlfn.XLOOKUP(A8070,'[1]Tissue Data'!$A:$A,'[1]Tissue Data'!M:M)</f>
        <v>9.0500000000000007</v>
      </c>
      <c r="K8070" t="s">
        <v>30</v>
      </c>
      <c r="L8070" t="str">
        <f>_xlfn.XLOOKUP(K8070,[2]analyte_order!$B:$B,[2]analyte_order!$C:$C)</f>
        <v>68259-12-1</v>
      </c>
      <c r="M8070">
        <f>_xlfn.XLOOKUP(L8070,[2]analyte_order!$C:$C,[2]analyte_order!$E:$E)</f>
        <v>19</v>
      </c>
      <c r="N8070">
        <v>0.76900000000000002</v>
      </c>
    </row>
    <row r="8071" spans="1:14">
      <c r="A8071" t="s">
        <v>150</v>
      </c>
      <c r="B8071" t="str">
        <f>_xlfn.XLOOKUP(A8071,'[1]Tissue Data'!$A:$A,'[1]Tissue Data'!$C:$C)</f>
        <v>Down</v>
      </c>
      <c r="C8071" s="2">
        <f>_xlfn.XLOOKUP(A8071,'[1]Tissue Data'!$A:$A,'[1]Tissue Data'!$D:$D)</f>
        <v>44393</v>
      </c>
      <c r="D8071" s="2" t="s">
        <v>131</v>
      </c>
      <c r="E8071" t="str">
        <f>_xlfn.XLOOKUP(A8071,'[1]Tissue Data'!$A:$A,'[1]Tissue Data'!$H:$H)</f>
        <v>Rhinichthys</v>
      </c>
      <c r="F8071" t="str">
        <f>_xlfn.XLOOKUP(A8071,'[1]Tissue Data'!$A:$A,'[1]Tissue Data'!$I:$I)</f>
        <v>atratulus</v>
      </c>
      <c r="G8071" t="str">
        <f>_xlfn.XLOOKUP(A8071,'[1]Tissue Data'!$A:$A,'[1]Tissue Data'!J:J)</f>
        <v>U</v>
      </c>
      <c r="H8071" t="str">
        <f>_xlfn.XLOOKUP(A8071,'[1]Tissue Data'!$A:$A,'[1]Tissue Data'!K:K)</f>
        <v>Whole Body</v>
      </c>
      <c r="I8071">
        <f>_xlfn.XLOOKUP(A8071,'[1]Tissue Data'!$A:$A,'[1]Tissue Data'!L:L)</f>
        <v>10</v>
      </c>
      <c r="J8071">
        <f>_xlfn.XLOOKUP(A8071,'[1]Tissue Data'!$A:$A,'[1]Tissue Data'!M:M)</f>
        <v>9.0500000000000007</v>
      </c>
      <c r="K8071" t="s">
        <v>31</v>
      </c>
      <c r="L8071" t="str">
        <f>_xlfn.XLOOKUP(K8071,[2]analyte_order!$B:$B,[2]analyte_order!$C:$C)</f>
        <v>335-77-3</v>
      </c>
      <c r="M8071">
        <f>_xlfn.XLOOKUP(L8071,[2]analyte_order!$C:$C,[2]analyte_order!$E:$E)</f>
        <v>20</v>
      </c>
      <c r="N8071">
        <v>1.34</v>
      </c>
    </row>
    <row r="8072" spans="1:14">
      <c r="A8072" t="s">
        <v>150</v>
      </c>
      <c r="B8072" t="str">
        <f>_xlfn.XLOOKUP(A8072,'[1]Tissue Data'!$A:$A,'[1]Tissue Data'!$C:$C)</f>
        <v>Down</v>
      </c>
      <c r="C8072" s="2">
        <f>_xlfn.XLOOKUP(A8072,'[1]Tissue Data'!$A:$A,'[1]Tissue Data'!$D:$D)</f>
        <v>44393</v>
      </c>
      <c r="D8072" s="2" t="s">
        <v>131</v>
      </c>
      <c r="E8072" t="str">
        <f>_xlfn.XLOOKUP(A8072,'[1]Tissue Data'!$A:$A,'[1]Tissue Data'!$H:$H)</f>
        <v>Rhinichthys</v>
      </c>
      <c r="F8072" t="str">
        <f>_xlfn.XLOOKUP(A8072,'[1]Tissue Data'!$A:$A,'[1]Tissue Data'!$I:$I)</f>
        <v>atratulus</v>
      </c>
      <c r="G8072" t="str">
        <f>_xlfn.XLOOKUP(A8072,'[1]Tissue Data'!$A:$A,'[1]Tissue Data'!J:J)</f>
        <v>U</v>
      </c>
      <c r="H8072" t="str">
        <f>_xlfn.XLOOKUP(A8072,'[1]Tissue Data'!$A:$A,'[1]Tissue Data'!K:K)</f>
        <v>Whole Body</v>
      </c>
      <c r="I8072">
        <f>_xlfn.XLOOKUP(A8072,'[1]Tissue Data'!$A:$A,'[1]Tissue Data'!L:L)</f>
        <v>10</v>
      </c>
      <c r="J8072">
        <f>_xlfn.XLOOKUP(A8072,'[1]Tissue Data'!$A:$A,'[1]Tissue Data'!M:M)</f>
        <v>9.0500000000000007</v>
      </c>
      <c r="K8072" t="s">
        <v>32</v>
      </c>
      <c r="L8072" t="str">
        <f>_xlfn.XLOOKUP(K8072,[2]analyte_order!$B:$B,[2]analyte_order!$C:$C)</f>
        <v>79780-39-5</v>
      </c>
      <c r="M8072">
        <f>_xlfn.XLOOKUP(L8072,[2]analyte_order!$C:$C,[2]analyte_order!$E:$E)</f>
        <v>21</v>
      </c>
      <c r="N8072">
        <v>0.51200000000000001</v>
      </c>
    </row>
    <row r="8073" spans="1:14">
      <c r="A8073" t="s">
        <v>150</v>
      </c>
      <c r="B8073" t="str">
        <f>_xlfn.XLOOKUP(A8073,'[1]Tissue Data'!$A:$A,'[1]Tissue Data'!$C:$C)</f>
        <v>Down</v>
      </c>
      <c r="C8073" s="2">
        <f>_xlfn.XLOOKUP(A8073,'[1]Tissue Data'!$A:$A,'[1]Tissue Data'!$D:$D)</f>
        <v>44393</v>
      </c>
      <c r="D8073" s="2" t="s">
        <v>131</v>
      </c>
      <c r="E8073" t="str">
        <f>_xlfn.XLOOKUP(A8073,'[1]Tissue Data'!$A:$A,'[1]Tissue Data'!$H:$H)</f>
        <v>Rhinichthys</v>
      </c>
      <c r="F8073" t="str">
        <f>_xlfn.XLOOKUP(A8073,'[1]Tissue Data'!$A:$A,'[1]Tissue Data'!$I:$I)</f>
        <v>atratulus</v>
      </c>
      <c r="G8073" t="str">
        <f>_xlfn.XLOOKUP(A8073,'[1]Tissue Data'!$A:$A,'[1]Tissue Data'!J:J)</f>
        <v>U</v>
      </c>
      <c r="H8073" t="str">
        <f>_xlfn.XLOOKUP(A8073,'[1]Tissue Data'!$A:$A,'[1]Tissue Data'!K:K)</f>
        <v>Whole Body</v>
      </c>
      <c r="I8073">
        <f>_xlfn.XLOOKUP(A8073,'[1]Tissue Data'!$A:$A,'[1]Tissue Data'!L:L)</f>
        <v>10</v>
      </c>
      <c r="J8073">
        <f>_xlfn.XLOOKUP(A8073,'[1]Tissue Data'!$A:$A,'[1]Tissue Data'!M:M)</f>
        <v>9.0500000000000007</v>
      </c>
      <c r="K8073" t="s">
        <v>33</v>
      </c>
      <c r="L8073" t="str">
        <f>_xlfn.XLOOKUP(K8073,[2]analyte_order!$B:$B,[2]analyte_order!$C:$C)</f>
        <v>777011-38-8</v>
      </c>
      <c r="M8073">
        <f>_xlfn.XLOOKUP(L8073,[2]analyte_order!$C:$C,[2]analyte_order!$E:$E)</f>
        <v>54</v>
      </c>
      <c r="N8073">
        <v>0.13700000000000001</v>
      </c>
    </row>
    <row r="8074" spans="1:14">
      <c r="A8074" t="s">
        <v>150</v>
      </c>
      <c r="B8074" t="str">
        <f>_xlfn.XLOOKUP(A8074,'[1]Tissue Data'!$A:$A,'[1]Tissue Data'!$C:$C)</f>
        <v>Down</v>
      </c>
      <c r="C8074" s="2">
        <f>_xlfn.XLOOKUP(A8074,'[1]Tissue Data'!$A:$A,'[1]Tissue Data'!$D:$D)</f>
        <v>44393</v>
      </c>
      <c r="D8074" s="2" t="s">
        <v>131</v>
      </c>
      <c r="E8074" t="str">
        <f>_xlfn.XLOOKUP(A8074,'[1]Tissue Data'!$A:$A,'[1]Tissue Data'!$H:$H)</f>
        <v>Rhinichthys</v>
      </c>
      <c r="F8074" t="str">
        <f>_xlfn.XLOOKUP(A8074,'[1]Tissue Data'!$A:$A,'[1]Tissue Data'!$I:$I)</f>
        <v>atratulus</v>
      </c>
      <c r="G8074" t="str">
        <f>_xlfn.XLOOKUP(A8074,'[1]Tissue Data'!$A:$A,'[1]Tissue Data'!J:J)</f>
        <v>U</v>
      </c>
      <c r="H8074" t="str">
        <f>_xlfn.XLOOKUP(A8074,'[1]Tissue Data'!$A:$A,'[1]Tissue Data'!K:K)</f>
        <v>Whole Body</v>
      </c>
      <c r="I8074">
        <f>_xlfn.XLOOKUP(A8074,'[1]Tissue Data'!$A:$A,'[1]Tissue Data'!L:L)</f>
        <v>10</v>
      </c>
      <c r="J8074">
        <f>_xlfn.XLOOKUP(A8074,'[1]Tissue Data'!$A:$A,'[1]Tissue Data'!M:M)</f>
        <v>9.0500000000000007</v>
      </c>
      <c r="K8074" t="s">
        <v>34</v>
      </c>
      <c r="L8074" t="str">
        <f>_xlfn.XLOOKUP(K8074,[2]analyte_order!$B:$B,[2]analyte_order!$C:$C)</f>
        <v>646-83-3</v>
      </c>
      <c r="M8074">
        <f>_xlfn.XLOOKUP(L8074,[2]analyte_order!$C:$C,[2]analyte_order!$E:$E)</f>
        <v>55</v>
      </c>
      <c r="N8074">
        <v>0.27700000000000002</v>
      </c>
    </row>
    <row r="8075" spans="1:14">
      <c r="A8075" t="s">
        <v>150</v>
      </c>
      <c r="B8075" t="str">
        <f>_xlfn.XLOOKUP(A8075,'[1]Tissue Data'!$A:$A,'[1]Tissue Data'!$C:$C)</f>
        <v>Down</v>
      </c>
      <c r="C8075" s="2">
        <f>_xlfn.XLOOKUP(A8075,'[1]Tissue Data'!$A:$A,'[1]Tissue Data'!$D:$D)</f>
        <v>44393</v>
      </c>
      <c r="D8075" s="2" t="s">
        <v>131</v>
      </c>
      <c r="E8075" t="str">
        <f>_xlfn.XLOOKUP(A8075,'[1]Tissue Data'!$A:$A,'[1]Tissue Data'!$H:$H)</f>
        <v>Rhinichthys</v>
      </c>
      <c r="F8075" t="str">
        <f>_xlfn.XLOOKUP(A8075,'[1]Tissue Data'!$A:$A,'[1]Tissue Data'!$I:$I)</f>
        <v>atratulus</v>
      </c>
      <c r="G8075" t="str">
        <f>_xlfn.XLOOKUP(A8075,'[1]Tissue Data'!$A:$A,'[1]Tissue Data'!J:J)</f>
        <v>U</v>
      </c>
      <c r="H8075" t="str">
        <f>_xlfn.XLOOKUP(A8075,'[1]Tissue Data'!$A:$A,'[1]Tissue Data'!K:K)</f>
        <v>Whole Body</v>
      </c>
      <c r="I8075">
        <f>_xlfn.XLOOKUP(A8075,'[1]Tissue Data'!$A:$A,'[1]Tissue Data'!L:L)</f>
        <v>10</v>
      </c>
      <c r="J8075">
        <f>_xlfn.XLOOKUP(A8075,'[1]Tissue Data'!$A:$A,'[1]Tissue Data'!M:M)</f>
        <v>9.0500000000000007</v>
      </c>
      <c r="K8075" t="s">
        <v>35</v>
      </c>
      <c r="L8075" t="str">
        <f>_xlfn.XLOOKUP(K8075,[2]analyte_order!$B:$B,[2]analyte_order!$C:$C)</f>
        <v>30334-69-1</v>
      </c>
      <c r="M8075">
        <f>_xlfn.XLOOKUP(L8075,[2]analyte_order!$C:$C,[2]analyte_order!$E:$E)</f>
        <v>51</v>
      </c>
      <c r="N8075">
        <v>67.8</v>
      </c>
    </row>
    <row r="8076" spans="1:14">
      <c r="A8076" t="s">
        <v>150</v>
      </c>
      <c r="B8076" t="str">
        <f>_xlfn.XLOOKUP(A8076,'[1]Tissue Data'!$A:$A,'[1]Tissue Data'!$C:$C)</f>
        <v>Down</v>
      </c>
      <c r="C8076" s="2">
        <f>_xlfn.XLOOKUP(A8076,'[1]Tissue Data'!$A:$A,'[1]Tissue Data'!$D:$D)</f>
        <v>44393</v>
      </c>
      <c r="D8076" s="2" t="s">
        <v>131</v>
      </c>
      <c r="E8076" t="str">
        <f>_xlfn.XLOOKUP(A8076,'[1]Tissue Data'!$A:$A,'[1]Tissue Data'!$H:$H)</f>
        <v>Rhinichthys</v>
      </c>
      <c r="F8076" t="str">
        <f>_xlfn.XLOOKUP(A8076,'[1]Tissue Data'!$A:$A,'[1]Tissue Data'!$I:$I)</f>
        <v>atratulus</v>
      </c>
      <c r="G8076" t="str">
        <f>_xlfn.XLOOKUP(A8076,'[1]Tissue Data'!$A:$A,'[1]Tissue Data'!J:J)</f>
        <v>U</v>
      </c>
      <c r="H8076" t="str">
        <f>_xlfn.XLOOKUP(A8076,'[1]Tissue Data'!$A:$A,'[1]Tissue Data'!K:K)</f>
        <v>Whole Body</v>
      </c>
      <c r="I8076">
        <f>_xlfn.XLOOKUP(A8076,'[1]Tissue Data'!$A:$A,'[1]Tissue Data'!L:L)</f>
        <v>10</v>
      </c>
      <c r="J8076">
        <f>_xlfn.XLOOKUP(A8076,'[1]Tissue Data'!$A:$A,'[1]Tissue Data'!M:M)</f>
        <v>9.0500000000000007</v>
      </c>
      <c r="K8076" t="s">
        <v>36</v>
      </c>
      <c r="L8076" t="str">
        <f>_xlfn.XLOOKUP(K8076,[2]analyte_order!$B:$B,[2]analyte_order!$C:$C)</f>
        <v>41997-13-1</v>
      </c>
      <c r="M8076">
        <f>_xlfn.XLOOKUP(L8076,[2]analyte_order!$C:$C,[2]analyte_order!$E:$E)</f>
        <v>52</v>
      </c>
      <c r="N8076">
        <v>122</v>
      </c>
    </row>
    <row r="8077" spans="1:14">
      <c r="A8077" t="s">
        <v>150</v>
      </c>
      <c r="B8077" t="str">
        <f>_xlfn.XLOOKUP(A8077,'[1]Tissue Data'!$A:$A,'[1]Tissue Data'!$C:$C)</f>
        <v>Down</v>
      </c>
      <c r="C8077" s="2">
        <f>_xlfn.XLOOKUP(A8077,'[1]Tissue Data'!$A:$A,'[1]Tissue Data'!$D:$D)</f>
        <v>44393</v>
      </c>
      <c r="D8077" s="2" t="s">
        <v>131</v>
      </c>
      <c r="E8077" t="str">
        <f>_xlfn.XLOOKUP(A8077,'[1]Tissue Data'!$A:$A,'[1]Tissue Data'!$H:$H)</f>
        <v>Rhinichthys</v>
      </c>
      <c r="F8077" t="str">
        <f>_xlfn.XLOOKUP(A8077,'[1]Tissue Data'!$A:$A,'[1]Tissue Data'!$I:$I)</f>
        <v>atratulus</v>
      </c>
      <c r="G8077" t="str">
        <f>_xlfn.XLOOKUP(A8077,'[1]Tissue Data'!$A:$A,'[1]Tissue Data'!J:J)</f>
        <v>U</v>
      </c>
      <c r="H8077" t="str">
        <f>_xlfn.XLOOKUP(A8077,'[1]Tissue Data'!$A:$A,'[1]Tissue Data'!K:K)</f>
        <v>Whole Body</v>
      </c>
      <c r="I8077">
        <f>_xlfn.XLOOKUP(A8077,'[1]Tissue Data'!$A:$A,'[1]Tissue Data'!L:L)</f>
        <v>10</v>
      </c>
      <c r="J8077">
        <f>_xlfn.XLOOKUP(A8077,'[1]Tissue Data'!$A:$A,'[1]Tissue Data'!M:M)</f>
        <v>9.0500000000000007</v>
      </c>
      <c r="K8077" t="s">
        <v>37</v>
      </c>
      <c r="L8077" t="str">
        <f>_xlfn.XLOOKUP(K8077,[2]analyte_order!$B:$B,[2]analyte_order!$C:$C)</f>
        <v>754-91-6</v>
      </c>
      <c r="M8077">
        <f>_xlfn.XLOOKUP(L8077,[2]analyte_order!$C:$C,[2]analyte_order!$E:$E)</f>
        <v>28</v>
      </c>
      <c r="N8077">
        <v>5.67</v>
      </c>
    </row>
    <row r="8078" spans="1:14">
      <c r="A8078" t="s">
        <v>150</v>
      </c>
      <c r="B8078" t="str">
        <f>_xlfn.XLOOKUP(A8078,'[1]Tissue Data'!$A:$A,'[1]Tissue Data'!$C:$C)</f>
        <v>Down</v>
      </c>
      <c r="C8078" s="2">
        <f>_xlfn.XLOOKUP(A8078,'[1]Tissue Data'!$A:$A,'[1]Tissue Data'!$D:$D)</f>
        <v>44393</v>
      </c>
      <c r="D8078" s="2" t="s">
        <v>131</v>
      </c>
      <c r="E8078" t="str">
        <f>_xlfn.XLOOKUP(A8078,'[1]Tissue Data'!$A:$A,'[1]Tissue Data'!$H:$H)</f>
        <v>Rhinichthys</v>
      </c>
      <c r="F8078" t="str">
        <f>_xlfn.XLOOKUP(A8078,'[1]Tissue Data'!$A:$A,'[1]Tissue Data'!$I:$I)</f>
        <v>atratulus</v>
      </c>
      <c r="G8078" t="str">
        <f>_xlfn.XLOOKUP(A8078,'[1]Tissue Data'!$A:$A,'[1]Tissue Data'!J:J)</f>
        <v>U</v>
      </c>
      <c r="H8078" t="str">
        <f>_xlfn.XLOOKUP(A8078,'[1]Tissue Data'!$A:$A,'[1]Tissue Data'!K:K)</f>
        <v>Whole Body</v>
      </c>
      <c r="I8078">
        <f>_xlfn.XLOOKUP(A8078,'[1]Tissue Data'!$A:$A,'[1]Tissue Data'!L:L)</f>
        <v>10</v>
      </c>
      <c r="J8078">
        <f>_xlfn.XLOOKUP(A8078,'[1]Tissue Data'!$A:$A,'[1]Tissue Data'!M:M)</f>
        <v>9.0500000000000007</v>
      </c>
      <c r="K8078" t="s">
        <v>38</v>
      </c>
      <c r="L8078" t="str">
        <f>_xlfn.XLOOKUP(K8078,[2]analyte_order!$B:$B,[2]analyte_order!$C:$C)</f>
        <v>31506-32-8</v>
      </c>
      <c r="M8078">
        <f>_xlfn.XLOOKUP(L8078,[2]analyte_order!$C:$C,[2]analyte_order!$E:$E)</f>
        <v>30</v>
      </c>
      <c r="N8078">
        <v>0.17349999999999999</v>
      </c>
    </row>
    <row r="8079" spans="1:14">
      <c r="A8079" t="s">
        <v>150</v>
      </c>
      <c r="B8079" t="str">
        <f>_xlfn.XLOOKUP(A8079,'[1]Tissue Data'!$A:$A,'[1]Tissue Data'!$C:$C)</f>
        <v>Down</v>
      </c>
      <c r="C8079" s="2">
        <f>_xlfn.XLOOKUP(A8079,'[1]Tissue Data'!$A:$A,'[1]Tissue Data'!$D:$D)</f>
        <v>44393</v>
      </c>
      <c r="D8079" s="2" t="s">
        <v>131</v>
      </c>
      <c r="E8079" t="str">
        <f>_xlfn.XLOOKUP(A8079,'[1]Tissue Data'!$A:$A,'[1]Tissue Data'!$H:$H)</f>
        <v>Rhinichthys</v>
      </c>
      <c r="F8079" t="str">
        <f>_xlfn.XLOOKUP(A8079,'[1]Tissue Data'!$A:$A,'[1]Tissue Data'!$I:$I)</f>
        <v>atratulus</v>
      </c>
      <c r="G8079" t="str">
        <f>_xlfn.XLOOKUP(A8079,'[1]Tissue Data'!$A:$A,'[1]Tissue Data'!J:J)</f>
        <v>U</v>
      </c>
      <c r="H8079" t="str">
        <f>_xlfn.XLOOKUP(A8079,'[1]Tissue Data'!$A:$A,'[1]Tissue Data'!K:K)</f>
        <v>Whole Body</v>
      </c>
      <c r="I8079">
        <f>_xlfn.XLOOKUP(A8079,'[1]Tissue Data'!$A:$A,'[1]Tissue Data'!L:L)</f>
        <v>10</v>
      </c>
      <c r="J8079">
        <f>_xlfn.XLOOKUP(A8079,'[1]Tissue Data'!$A:$A,'[1]Tissue Data'!M:M)</f>
        <v>9.0500000000000007</v>
      </c>
      <c r="K8079" t="s">
        <v>39</v>
      </c>
      <c r="L8079" t="str">
        <f>_xlfn.XLOOKUP(K8079,[2]analyte_order!$B:$B,[2]analyte_order!$C:$C)</f>
        <v>4151-50-2</v>
      </c>
      <c r="M8079">
        <f>_xlfn.XLOOKUP(L8079,[2]analyte_order!$C:$C,[2]analyte_order!$E:$E)</f>
        <v>31</v>
      </c>
      <c r="N8079">
        <v>0.45050000000000001</v>
      </c>
    </row>
    <row r="8080" spans="1:14">
      <c r="A8080" t="s">
        <v>150</v>
      </c>
      <c r="B8080" t="str">
        <f>_xlfn.XLOOKUP(A8080,'[1]Tissue Data'!$A:$A,'[1]Tissue Data'!$C:$C)</f>
        <v>Down</v>
      </c>
      <c r="C8080" s="2">
        <f>_xlfn.XLOOKUP(A8080,'[1]Tissue Data'!$A:$A,'[1]Tissue Data'!$D:$D)</f>
        <v>44393</v>
      </c>
      <c r="D8080" s="2" t="s">
        <v>131</v>
      </c>
      <c r="E8080" t="str">
        <f>_xlfn.XLOOKUP(A8080,'[1]Tissue Data'!$A:$A,'[1]Tissue Data'!$H:$H)</f>
        <v>Rhinichthys</v>
      </c>
      <c r="F8080" t="str">
        <f>_xlfn.XLOOKUP(A8080,'[1]Tissue Data'!$A:$A,'[1]Tissue Data'!$I:$I)</f>
        <v>atratulus</v>
      </c>
      <c r="G8080" t="str">
        <f>_xlfn.XLOOKUP(A8080,'[1]Tissue Data'!$A:$A,'[1]Tissue Data'!J:J)</f>
        <v>U</v>
      </c>
      <c r="H8080" t="str">
        <f>_xlfn.XLOOKUP(A8080,'[1]Tissue Data'!$A:$A,'[1]Tissue Data'!K:K)</f>
        <v>Whole Body</v>
      </c>
      <c r="I8080">
        <f>_xlfn.XLOOKUP(A8080,'[1]Tissue Data'!$A:$A,'[1]Tissue Data'!L:L)</f>
        <v>10</v>
      </c>
      <c r="J8080">
        <f>_xlfn.XLOOKUP(A8080,'[1]Tissue Data'!$A:$A,'[1]Tissue Data'!M:M)</f>
        <v>9.0500000000000007</v>
      </c>
      <c r="K8080" t="s">
        <v>40</v>
      </c>
      <c r="L8080" t="str">
        <f>_xlfn.XLOOKUP(K8080,[2]analyte_order!$B:$B,[2]analyte_order!$C:$C)</f>
        <v>2806-24-8</v>
      </c>
      <c r="M8080">
        <f>_xlfn.XLOOKUP(L8080,[2]analyte_order!$C:$C,[2]analyte_order!$E:$E)</f>
        <v>29</v>
      </c>
      <c r="N8080">
        <v>0.45050000000000001</v>
      </c>
    </row>
    <row r="8081" spans="1:14">
      <c r="A8081" t="s">
        <v>150</v>
      </c>
      <c r="B8081" t="str">
        <f>_xlfn.XLOOKUP(A8081,'[1]Tissue Data'!$A:$A,'[1]Tissue Data'!$C:$C)</f>
        <v>Down</v>
      </c>
      <c r="C8081" s="2">
        <f>_xlfn.XLOOKUP(A8081,'[1]Tissue Data'!$A:$A,'[1]Tissue Data'!$D:$D)</f>
        <v>44393</v>
      </c>
      <c r="D8081" s="2" t="s">
        <v>131</v>
      </c>
      <c r="E8081" t="str">
        <f>_xlfn.XLOOKUP(A8081,'[1]Tissue Data'!$A:$A,'[1]Tissue Data'!$H:$H)</f>
        <v>Rhinichthys</v>
      </c>
      <c r="F8081" t="str">
        <f>_xlfn.XLOOKUP(A8081,'[1]Tissue Data'!$A:$A,'[1]Tissue Data'!$I:$I)</f>
        <v>atratulus</v>
      </c>
      <c r="G8081" t="str">
        <f>_xlfn.XLOOKUP(A8081,'[1]Tissue Data'!$A:$A,'[1]Tissue Data'!J:J)</f>
        <v>U</v>
      </c>
      <c r="H8081" t="str">
        <f>_xlfn.XLOOKUP(A8081,'[1]Tissue Data'!$A:$A,'[1]Tissue Data'!K:K)</f>
        <v>Whole Body</v>
      </c>
      <c r="I8081">
        <f>_xlfn.XLOOKUP(A8081,'[1]Tissue Data'!$A:$A,'[1]Tissue Data'!L:L)</f>
        <v>10</v>
      </c>
      <c r="J8081">
        <f>_xlfn.XLOOKUP(A8081,'[1]Tissue Data'!$A:$A,'[1]Tissue Data'!M:M)</f>
        <v>9.0500000000000007</v>
      </c>
      <c r="K8081" t="s">
        <v>41</v>
      </c>
      <c r="L8081" t="str">
        <f>_xlfn.XLOOKUP(K8081,[2]analyte_order!$B:$B,[2]analyte_order!$C:$C)</f>
        <v>2355-31-9</v>
      </c>
      <c r="M8081">
        <f>_xlfn.XLOOKUP(L8081,[2]analyte_order!$C:$C,[2]analyte_order!$E:$E)</f>
        <v>26</v>
      </c>
      <c r="N8081">
        <v>0.22650000000000001</v>
      </c>
    </row>
    <row r="8082" spans="1:14">
      <c r="A8082" t="s">
        <v>150</v>
      </c>
      <c r="B8082" t="str">
        <f>_xlfn.XLOOKUP(A8082,'[1]Tissue Data'!$A:$A,'[1]Tissue Data'!$C:$C)</f>
        <v>Down</v>
      </c>
      <c r="C8082" s="2">
        <f>_xlfn.XLOOKUP(A8082,'[1]Tissue Data'!$A:$A,'[1]Tissue Data'!$D:$D)</f>
        <v>44393</v>
      </c>
      <c r="D8082" s="2" t="s">
        <v>131</v>
      </c>
      <c r="E8082" t="str">
        <f>_xlfn.XLOOKUP(A8082,'[1]Tissue Data'!$A:$A,'[1]Tissue Data'!$H:$H)</f>
        <v>Rhinichthys</v>
      </c>
      <c r="F8082" t="str">
        <f>_xlfn.XLOOKUP(A8082,'[1]Tissue Data'!$A:$A,'[1]Tissue Data'!$I:$I)</f>
        <v>atratulus</v>
      </c>
      <c r="G8082" t="str">
        <f>_xlfn.XLOOKUP(A8082,'[1]Tissue Data'!$A:$A,'[1]Tissue Data'!J:J)</f>
        <v>U</v>
      </c>
      <c r="H8082" t="str">
        <f>_xlfn.XLOOKUP(A8082,'[1]Tissue Data'!$A:$A,'[1]Tissue Data'!K:K)</f>
        <v>Whole Body</v>
      </c>
      <c r="I8082">
        <f>_xlfn.XLOOKUP(A8082,'[1]Tissue Data'!$A:$A,'[1]Tissue Data'!L:L)</f>
        <v>10</v>
      </c>
      <c r="J8082">
        <f>_xlfn.XLOOKUP(A8082,'[1]Tissue Data'!$A:$A,'[1]Tissue Data'!M:M)</f>
        <v>9.0500000000000007</v>
      </c>
      <c r="K8082" t="s">
        <v>42</v>
      </c>
      <c r="L8082" t="str">
        <f>_xlfn.XLOOKUP(K8082,[2]analyte_order!$B:$B,[2]analyte_order!$C:$C)</f>
        <v>2991-50-6</v>
      </c>
      <c r="M8082">
        <f>_xlfn.XLOOKUP(L8082,[2]analyte_order!$C:$C,[2]analyte_order!$E:$E)</f>
        <v>27</v>
      </c>
      <c r="N8082">
        <v>0.22550000000000001</v>
      </c>
    </row>
    <row r="8083" spans="1:14">
      <c r="A8083" t="s">
        <v>150</v>
      </c>
      <c r="B8083" t="str">
        <f>_xlfn.XLOOKUP(A8083,'[1]Tissue Data'!$A:$A,'[1]Tissue Data'!$C:$C)</f>
        <v>Down</v>
      </c>
      <c r="C8083" s="2">
        <f>_xlfn.XLOOKUP(A8083,'[1]Tissue Data'!$A:$A,'[1]Tissue Data'!$D:$D)</f>
        <v>44393</v>
      </c>
      <c r="D8083" s="2" t="s">
        <v>131</v>
      </c>
      <c r="E8083" t="str">
        <f>_xlfn.XLOOKUP(A8083,'[1]Tissue Data'!$A:$A,'[1]Tissue Data'!$H:$H)</f>
        <v>Rhinichthys</v>
      </c>
      <c r="F8083" t="str">
        <f>_xlfn.XLOOKUP(A8083,'[1]Tissue Data'!$A:$A,'[1]Tissue Data'!$I:$I)</f>
        <v>atratulus</v>
      </c>
      <c r="G8083" t="str">
        <f>_xlfn.XLOOKUP(A8083,'[1]Tissue Data'!$A:$A,'[1]Tissue Data'!J:J)</f>
        <v>U</v>
      </c>
      <c r="H8083" t="str">
        <f>_xlfn.XLOOKUP(A8083,'[1]Tissue Data'!$A:$A,'[1]Tissue Data'!K:K)</f>
        <v>Whole Body</v>
      </c>
      <c r="I8083">
        <f>_xlfn.XLOOKUP(A8083,'[1]Tissue Data'!$A:$A,'[1]Tissue Data'!L:L)</f>
        <v>10</v>
      </c>
      <c r="J8083">
        <f>_xlfn.XLOOKUP(A8083,'[1]Tissue Data'!$A:$A,'[1]Tissue Data'!M:M)</f>
        <v>9.0500000000000007</v>
      </c>
      <c r="K8083" t="s">
        <v>43</v>
      </c>
      <c r="L8083" t="str">
        <f>_xlfn.XLOOKUP(K8083,[2]analyte_order!$B:$B,[2]analyte_order!$C:$C)</f>
        <v>757124-72-4</v>
      </c>
      <c r="M8083">
        <f>_xlfn.XLOOKUP(L8083,[2]analyte_order!$C:$C,[2]analyte_order!$E:$E)</f>
        <v>22</v>
      </c>
      <c r="N8083">
        <v>0.22550000000000001</v>
      </c>
    </row>
    <row r="8084" spans="1:14">
      <c r="A8084" t="s">
        <v>150</v>
      </c>
      <c r="B8084" t="str">
        <f>_xlfn.XLOOKUP(A8084,'[1]Tissue Data'!$A:$A,'[1]Tissue Data'!$C:$C)</f>
        <v>Down</v>
      </c>
      <c r="C8084" s="2">
        <f>_xlfn.XLOOKUP(A8084,'[1]Tissue Data'!$A:$A,'[1]Tissue Data'!$D:$D)</f>
        <v>44393</v>
      </c>
      <c r="D8084" s="2" t="s">
        <v>131</v>
      </c>
      <c r="E8084" t="str">
        <f>_xlfn.XLOOKUP(A8084,'[1]Tissue Data'!$A:$A,'[1]Tissue Data'!$H:$H)</f>
        <v>Rhinichthys</v>
      </c>
      <c r="F8084" t="str">
        <f>_xlfn.XLOOKUP(A8084,'[1]Tissue Data'!$A:$A,'[1]Tissue Data'!$I:$I)</f>
        <v>atratulus</v>
      </c>
      <c r="G8084" t="str">
        <f>_xlfn.XLOOKUP(A8084,'[1]Tissue Data'!$A:$A,'[1]Tissue Data'!J:J)</f>
        <v>U</v>
      </c>
      <c r="H8084" t="str">
        <f>_xlfn.XLOOKUP(A8084,'[1]Tissue Data'!$A:$A,'[1]Tissue Data'!K:K)</f>
        <v>Whole Body</v>
      </c>
      <c r="I8084">
        <f>_xlfn.XLOOKUP(A8084,'[1]Tissue Data'!$A:$A,'[1]Tissue Data'!L:L)</f>
        <v>10</v>
      </c>
      <c r="J8084">
        <f>_xlfn.XLOOKUP(A8084,'[1]Tissue Data'!$A:$A,'[1]Tissue Data'!M:M)</f>
        <v>9.0500000000000007</v>
      </c>
      <c r="K8084" t="s">
        <v>44</v>
      </c>
      <c r="L8084" t="str">
        <f>_xlfn.XLOOKUP(K8084,[2]analyte_order!$B:$B,[2]analyte_order!$C:$C)</f>
        <v>27619-97-2</v>
      </c>
      <c r="M8084">
        <f>_xlfn.XLOOKUP(L8084,[2]analyte_order!$C:$C,[2]analyte_order!$E:$E)</f>
        <v>23</v>
      </c>
      <c r="N8084">
        <v>0.22550000000000001</v>
      </c>
    </row>
    <row r="8085" spans="1:14">
      <c r="A8085" t="s">
        <v>150</v>
      </c>
      <c r="B8085" t="str">
        <f>_xlfn.XLOOKUP(A8085,'[1]Tissue Data'!$A:$A,'[1]Tissue Data'!$C:$C)</f>
        <v>Down</v>
      </c>
      <c r="C8085" s="2">
        <f>_xlfn.XLOOKUP(A8085,'[1]Tissue Data'!$A:$A,'[1]Tissue Data'!$D:$D)</f>
        <v>44393</v>
      </c>
      <c r="D8085" s="2" t="s">
        <v>131</v>
      </c>
      <c r="E8085" t="str">
        <f>_xlfn.XLOOKUP(A8085,'[1]Tissue Data'!$A:$A,'[1]Tissue Data'!$H:$H)</f>
        <v>Rhinichthys</v>
      </c>
      <c r="F8085" t="str">
        <f>_xlfn.XLOOKUP(A8085,'[1]Tissue Data'!$A:$A,'[1]Tissue Data'!$I:$I)</f>
        <v>atratulus</v>
      </c>
      <c r="G8085" t="str">
        <f>_xlfn.XLOOKUP(A8085,'[1]Tissue Data'!$A:$A,'[1]Tissue Data'!J:J)</f>
        <v>U</v>
      </c>
      <c r="H8085" t="str">
        <f>_xlfn.XLOOKUP(A8085,'[1]Tissue Data'!$A:$A,'[1]Tissue Data'!K:K)</f>
        <v>Whole Body</v>
      </c>
      <c r="I8085">
        <f>_xlfn.XLOOKUP(A8085,'[1]Tissue Data'!$A:$A,'[1]Tissue Data'!L:L)</f>
        <v>10</v>
      </c>
      <c r="J8085">
        <f>_xlfn.XLOOKUP(A8085,'[1]Tissue Data'!$A:$A,'[1]Tissue Data'!M:M)</f>
        <v>9.0500000000000007</v>
      </c>
      <c r="K8085" t="s">
        <v>45</v>
      </c>
      <c r="L8085" t="str">
        <f>_xlfn.XLOOKUP(K8085,[2]analyte_order!$B:$B,[2]analyte_order!$C:$C)</f>
        <v>39108-34-4</v>
      </c>
      <c r="M8085">
        <f>_xlfn.XLOOKUP(L8085,[2]analyte_order!$C:$C,[2]analyte_order!$E:$E)</f>
        <v>24</v>
      </c>
      <c r="N8085">
        <v>7.18</v>
      </c>
    </row>
    <row r="8086" spans="1:14">
      <c r="A8086" t="s">
        <v>150</v>
      </c>
      <c r="B8086" t="str">
        <f>_xlfn.XLOOKUP(A8086,'[1]Tissue Data'!$A:$A,'[1]Tissue Data'!$C:$C)</f>
        <v>Down</v>
      </c>
      <c r="C8086" s="2">
        <f>_xlfn.XLOOKUP(A8086,'[1]Tissue Data'!$A:$A,'[1]Tissue Data'!$D:$D)</f>
        <v>44393</v>
      </c>
      <c r="D8086" s="2" t="s">
        <v>131</v>
      </c>
      <c r="E8086" t="str">
        <f>_xlfn.XLOOKUP(A8086,'[1]Tissue Data'!$A:$A,'[1]Tissue Data'!$H:$H)</f>
        <v>Rhinichthys</v>
      </c>
      <c r="F8086" t="str">
        <f>_xlfn.XLOOKUP(A8086,'[1]Tissue Data'!$A:$A,'[1]Tissue Data'!$I:$I)</f>
        <v>atratulus</v>
      </c>
      <c r="G8086" t="str">
        <f>_xlfn.XLOOKUP(A8086,'[1]Tissue Data'!$A:$A,'[1]Tissue Data'!J:J)</f>
        <v>U</v>
      </c>
      <c r="H8086" t="str">
        <f>_xlfn.XLOOKUP(A8086,'[1]Tissue Data'!$A:$A,'[1]Tissue Data'!K:K)</f>
        <v>Whole Body</v>
      </c>
      <c r="I8086">
        <f>_xlfn.XLOOKUP(A8086,'[1]Tissue Data'!$A:$A,'[1]Tissue Data'!L:L)</f>
        <v>10</v>
      </c>
      <c r="J8086">
        <f>_xlfn.XLOOKUP(A8086,'[1]Tissue Data'!$A:$A,'[1]Tissue Data'!M:M)</f>
        <v>9.0500000000000007</v>
      </c>
      <c r="K8086" t="s">
        <v>46</v>
      </c>
      <c r="L8086" t="str">
        <f>_xlfn.XLOOKUP(K8086,[2]analyte_order!$B:$B,[2]analyte_order!$C:$C)</f>
        <v>120226-60-0</v>
      </c>
      <c r="M8086">
        <f>_xlfn.XLOOKUP(L8086,[2]analyte_order!$C:$C,[2]analyte_order!$E:$E)</f>
        <v>25</v>
      </c>
      <c r="N8086">
        <v>0.45050000000000001</v>
      </c>
    </row>
    <row r="8087" spans="1:14">
      <c r="A8087" t="s">
        <v>150</v>
      </c>
      <c r="B8087" t="str">
        <f>_xlfn.XLOOKUP(A8087,'[1]Tissue Data'!$A:$A,'[1]Tissue Data'!$C:$C)</f>
        <v>Down</v>
      </c>
      <c r="C8087" s="2">
        <f>_xlfn.XLOOKUP(A8087,'[1]Tissue Data'!$A:$A,'[1]Tissue Data'!$D:$D)</f>
        <v>44393</v>
      </c>
      <c r="D8087" s="2" t="s">
        <v>131</v>
      </c>
      <c r="E8087" t="str">
        <f>_xlfn.XLOOKUP(A8087,'[1]Tissue Data'!$A:$A,'[1]Tissue Data'!$H:$H)</f>
        <v>Rhinichthys</v>
      </c>
      <c r="F8087" t="str">
        <f>_xlfn.XLOOKUP(A8087,'[1]Tissue Data'!$A:$A,'[1]Tissue Data'!$I:$I)</f>
        <v>atratulus</v>
      </c>
      <c r="G8087" t="str">
        <f>_xlfn.XLOOKUP(A8087,'[1]Tissue Data'!$A:$A,'[1]Tissue Data'!J:J)</f>
        <v>U</v>
      </c>
      <c r="H8087" t="str">
        <f>_xlfn.XLOOKUP(A8087,'[1]Tissue Data'!$A:$A,'[1]Tissue Data'!K:K)</f>
        <v>Whole Body</v>
      </c>
      <c r="I8087">
        <f>_xlfn.XLOOKUP(A8087,'[1]Tissue Data'!$A:$A,'[1]Tissue Data'!L:L)</f>
        <v>10</v>
      </c>
      <c r="J8087">
        <f>_xlfn.XLOOKUP(A8087,'[1]Tissue Data'!$A:$A,'[1]Tissue Data'!M:M)</f>
        <v>9.0500000000000007</v>
      </c>
      <c r="K8087" t="s">
        <v>47</v>
      </c>
      <c r="L8087" t="str">
        <f>_xlfn.XLOOKUP(K8087,[2]analyte_order!$B:$B,[2]analyte_order!$C:$C)</f>
        <v>356-02-5</v>
      </c>
      <c r="M8087">
        <f>_xlfn.XLOOKUP(L8087,[2]analyte_order!$C:$C,[2]analyte_order!$E:$E)</f>
        <v>38</v>
      </c>
      <c r="N8087">
        <v>0.26</v>
      </c>
    </row>
    <row r="8088" spans="1:14">
      <c r="A8088" t="s">
        <v>150</v>
      </c>
      <c r="B8088" t="str">
        <f>_xlfn.XLOOKUP(A8088,'[1]Tissue Data'!$A:$A,'[1]Tissue Data'!$C:$C)</f>
        <v>Down</v>
      </c>
      <c r="C8088" s="2">
        <f>_xlfn.XLOOKUP(A8088,'[1]Tissue Data'!$A:$A,'[1]Tissue Data'!$D:$D)</f>
        <v>44393</v>
      </c>
      <c r="D8088" s="2" t="s">
        <v>131</v>
      </c>
      <c r="E8088" t="str">
        <f>_xlfn.XLOOKUP(A8088,'[1]Tissue Data'!$A:$A,'[1]Tissue Data'!$H:$H)</f>
        <v>Rhinichthys</v>
      </c>
      <c r="F8088" t="str">
        <f>_xlfn.XLOOKUP(A8088,'[1]Tissue Data'!$A:$A,'[1]Tissue Data'!$I:$I)</f>
        <v>atratulus</v>
      </c>
      <c r="G8088" t="str">
        <f>_xlfn.XLOOKUP(A8088,'[1]Tissue Data'!$A:$A,'[1]Tissue Data'!J:J)</f>
        <v>U</v>
      </c>
      <c r="H8088" t="str">
        <f>_xlfn.XLOOKUP(A8088,'[1]Tissue Data'!$A:$A,'[1]Tissue Data'!K:K)</f>
        <v>Whole Body</v>
      </c>
      <c r="I8088">
        <f>_xlfn.XLOOKUP(A8088,'[1]Tissue Data'!$A:$A,'[1]Tissue Data'!L:L)</f>
        <v>10</v>
      </c>
      <c r="J8088">
        <f>_xlfn.XLOOKUP(A8088,'[1]Tissue Data'!$A:$A,'[1]Tissue Data'!M:M)</f>
        <v>9.0500000000000007</v>
      </c>
      <c r="K8088" t="s">
        <v>48</v>
      </c>
      <c r="L8088" t="str">
        <f>_xlfn.XLOOKUP(K8088,[2]analyte_order!$B:$B,[2]analyte_order!$C:$C)</f>
        <v>914637-49-3</v>
      </c>
      <c r="M8088">
        <f>_xlfn.XLOOKUP(L8088,[2]analyte_order!$C:$C,[2]analyte_order!$E:$E)</f>
        <v>39</v>
      </c>
      <c r="N8088">
        <v>0.22550000000000001</v>
      </c>
    </row>
    <row r="8089" spans="1:14">
      <c r="A8089" t="s">
        <v>150</v>
      </c>
      <c r="B8089" t="str">
        <f>_xlfn.XLOOKUP(A8089,'[1]Tissue Data'!$A:$A,'[1]Tissue Data'!$C:$C)</f>
        <v>Down</v>
      </c>
      <c r="C8089" s="2">
        <f>_xlfn.XLOOKUP(A8089,'[1]Tissue Data'!$A:$A,'[1]Tissue Data'!$D:$D)</f>
        <v>44393</v>
      </c>
      <c r="D8089" s="2" t="s">
        <v>131</v>
      </c>
      <c r="E8089" t="str">
        <f>_xlfn.XLOOKUP(A8089,'[1]Tissue Data'!$A:$A,'[1]Tissue Data'!$H:$H)</f>
        <v>Rhinichthys</v>
      </c>
      <c r="F8089" t="str">
        <f>_xlfn.XLOOKUP(A8089,'[1]Tissue Data'!$A:$A,'[1]Tissue Data'!$I:$I)</f>
        <v>atratulus</v>
      </c>
      <c r="G8089" t="str">
        <f>_xlfn.XLOOKUP(A8089,'[1]Tissue Data'!$A:$A,'[1]Tissue Data'!J:J)</f>
        <v>U</v>
      </c>
      <c r="H8089" t="str">
        <f>_xlfn.XLOOKUP(A8089,'[1]Tissue Data'!$A:$A,'[1]Tissue Data'!K:K)</f>
        <v>Whole Body</v>
      </c>
      <c r="I8089">
        <f>_xlfn.XLOOKUP(A8089,'[1]Tissue Data'!$A:$A,'[1]Tissue Data'!L:L)</f>
        <v>10</v>
      </c>
      <c r="J8089">
        <f>_xlfn.XLOOKUP(A8089,'[1]Tissue Data'!$A:$A,'[1]Tissue Data'!M:M)</f>
        <v>9.0500000000000007</v>
      </c>
      <c r="K8089" t="s">
        <v>49</v>
      </c>
      <c r="L8089" t="str">
        <f>_xlfn.XLOOKUP(K8089,[2]analyte_order!$B:$B,[2]analyte_order!$C:$C)</f>
        <v>812-70-4</v>
      </c>
      <c r="M8089">
        <f>_xlfn.XLOOKUP(L8089,[2]analyte_order!$C:$C,[2]analyte_order!$E:$E)</f>
        <v>40</v>
      </c>
      <c r="N8089">
        <v>0.22550000000000001</v>
      </c>
    </row>
    <row r="8090" spans="1:14">
      <c r="A8090" t="s">
        <v>150</v>
      </c>
      <c r="B8090" t="str">
        <f>_xlfn.XLOOKUP(A8090,'[1]Tissue Data'!$A:$A,'[1]Tissue Data'!$C:$C)</f>
        <v>Down</v>
      </c>
      <c r="C8090" s="2">
        <f>_xlfn.XLOOKUP(A8090,'[1]Tissue Data'!$A:$A,'[1]Tissue Data'!$D:$D)</f>
        <v>44393</v>
      </c>
      <c r="D8090" s="2" t="s">
        <v>131</v>
      </c>
      <c r="E8090" t="str">
        <f>_xlfn.XLOOKUP(A8090,'[1]Tissue Data'!$A:$A,'[1]Tissue Data'!$H:$H)</f>
        <v>Rhinichthys</v>
      </c>
      <c r="F8090" t="str">
        <f>_xlfn.XLOOKUP(A8090,'[1]Tissue Data'!$A:$A,'[1]Tissue Data'!$I:$I)</f>
        <v>atratulus</v>
      </c>
      <c r="G8090" t="str">
        <f>_xlfn.XLOOKUP(A8090,'[1]Tissue Data'!$A:$A,'[1]Tissue Data'!J:J)</f>
        <v>U</v>
      </c>
      <c r="H8090" t="str">
        <f>_xlfn.XLOOKUP(A8090,'[1]Tissue Data'!$A:$A,'[1]Tissue Data'!K:K)</f>
        <v>Whole Body</v>
      </c>
      <c r="I8090">
        <f>_xlfn.XLOOKUP(A8090,'[1]Tissue Data'!$A:$A,'[1]Tissue Data'!L:L)</f>
        <v>10</v>
      </c>
      <c r="J8090">
        <f>_xlfn.XLOOKUP(A8090,'[1]Tissue Data'!$A:$A,'[1]Tissue Data'!M:M)</f>
        <v>9.0500000000000007</v>
      </c>
      <c r="K8090" t="s">
        <v>50</v>
      </c>
      <c r="L8090" t="str">
        <f>_xlfn.XLOOKUP(K8090,[2]analyte_order!$B:$B,[2]analyte_order!$C:$C)</f>
        <v>53826-12-3</v>
      </c>
      <c r="M8090">
        <f>_xlfn.XLOOKUP(L8090,[2]analyte_order!$C:$C,[2]analyte_order!$E:$E)</f>
        <v>41</v>
      </c>
      <c r="N8090">
        <v>0.45050000000000001</v>
      </c>
    </row>
    <row r="8091" spans="1:14">
      <c r="A8091" t="s">
        <v>150</v>
      </c>
      <c r="B8091" t="str">
        <f>_xlfn.XLOOKUP(A8091,'[1]Tissue Data'!$A:$A,'[1]Tissue Data'!$C:$C)</f>
        <v>Down</v>
      </c>
      <c r="C8091" s="2">
        <f>_xlfn.XLOOKUP(A8091,'[1]Tissue Data'!$A:$A,'[1]Tissue Data'!$D:$D)</f>
        <v>44393</v>
      </c>
      <c r="D8091" s="2" t="s">
        <v>131</v>
      </c>
      <c r="E8091" t="str">
        <f>_xlfn.XLOOKUP(A8091,'[1]Tissue Data'!$A:$A,'[1]Tissue Data'!$H:$H)</f>
        <v>Rhinichthys</v>
      </c>
      <c r="F8091" t="str">
        <f>_xlfn.XLOOKUP(A8091,'[1]Tissue Data'!$A:$A,'[1]Tissue Data'!$I:$I)</f>
        <v>atratulus</v>
      </c>
      <c r="G8091" t="str">
        <f>_xlfn.XLOOKUP(A8091,'[1]Tissue Data'!$A:$A,'[1]Tissue Data'!J:J)</f>
        <v>U</v>
      </c>
      <c r="H8091" t="str">
        <f>_xlfn.XLOOKUP(A8091,'[1]Tissue Data'!$A:$A,'[1]Tissue Data'!K:K)</f>
        <v>Whole Body</v>
      </c>
      <c r="I8091">
        <f>_xlfn.XLOOKUP(A8091,'[1]Tissue Data'!$A:$A,'[1]Tissue Data'!L:L)</f>
        <v>10</v>
      </c>
      <c r="J8091">
        <f>_xlfn.XLOOKUP(A8091,'[1]Tissue Data'!$A:$A,'[1]Tissue Data'!M:M)</f>
        <v>9.0500000000000007</v>
      </c>
      <c r="K8091" t="s">
        <v>51</v>
      </c>
      <c r="L8091" t="str">
        <f>_xlfn.XLOOKUP(K8091,[2]analyte_order!$B:$B,[2]analyte_order!$C:$C)</f>
        <v>27854-31-5</v>
      </c>
      <c r="M8091">
        <f>_xlfn.XLOOKUP(L8091,[2]analyte_order!$C:$C,[2]analyte_order!$E:$E)</f>
        <v>42</v>
      </c>
      <c r="N8091">
        <v>0.45050000000000001</v>
      </c>
    </row>
    <row r="8092" spans="1:14">
      <c r="A8092" t="s">
        <v>150</v>
      </c>
      <c r="B8092" t="str">
        <f>_xlfn.XLOOKUP(A8092,'[1]Tissue Data'!$A:$A,'[1]Tissue Data'!$C:$C)</f>
        <v>Down</v>
      </c>
      <c r="C8092" s="2">
        <f>_xlfn.XLOOKUP(A8092,'[1]Tissue Data'!$A:$A,'[1]Tissue Data'!$D:$D)</f>
        <v>44393</v>
      </c>
      <c r="D8092" s="2" t="s">
        <v>131</v>
      </c>
      <c r="E8092" t="str">
        <f>_xlfn.XLOOKUP(A8092,'[1]Tissue Data'!$A:$A,'[1]Tissue Data'!$H:$H)</f>
        <v>Rhinichthys</v>
      </c>
      <c r="F8092" t="str">
        <f>_xlfn.XLOOKUP(A8092,'[1]Tissue Data'!$A:$A,'[1]Tissue Data'!$I:$I)</f>
        <v>atratulus</v>
      </c>
      <c r="G8092" t="str">
        <f>_xlfn.XLOOKUP(A8092,'[1]Tissue Data'!$A:$A,'[1]Tissue Data'!J:J)</f>
        <v>U</v>
      </c>
      <c r="H8092" t="str">
        <f>_xlfn.XLOOKUP(A8092,'[1]Tissue Data'!$A:$A,'[1]Tissue Data'!K:K)</f>
        <v>Whole Body</v>
      </c>
      <c r="I8092">
        <f>_xlfn.XLOOKUP(A8092,'[1]Tissue Data'!$A:$A,'[1]Tissue Data'!L:L)</f>
        <v>10</v>
      </c>
      <c r="J8092">
        <f>_xlfn.XLOOKUP(A8092,'[1]Tissue Data'!$A:$A,'[1]Tissue Data'!M:M)</f>
        <v>9.0500000000000007</v>
      </c>
      <c r="K8092" t="s">
        <v>52</v>
      </c>
      <c r="L8092" t="str">
        <f>_xlfn.XLOOKUP(K8092,[2]analyte_order!$B:$B,[2]analyte_order!$C:$C)</f>
        <v>53826-13-4</v>
      </c>
      <c r="M8092">
        <f>_xlfn.XLOOKUP(L8092,[2]analyte_order!$C:$C,[2]analyte_order!$E:$E)</f>
        <v>43</v>
      </c>
      <c r="N8092">
        <v>0.45050000000000001</v>
      </c>
    </row>
    <row r="8093" spans="1:14">
      <c r="A8093" t="s">
        <v>150</v>
      </c>
      <c r="B8093" t="str">
        <f>_xlfn.XLOOKUP(A8093,'[1]Tissue Data'!$A:$A,'[1]Tissue Data'!$C:$C)</f>
        <v>Down</v>
      </c>
      <c r="C8093" s="2">
        <f>_xlfn.XLOOKUP(A8093,'[1]Tissue Data'!$A:$A,'[1]Tissue Data'!$D:$D)</f>
        <v>44393</v>
      </c>
      <c r="D8093" s="2" t="s">
        <v>131</v>
      </c>
      <c r="E8093" t="str">
        <f>_xlfn.XLOOKUP(A8093,'[1]Tissue Data'!$A:$A,'[1]Tissue Data'!$H:$H)</f>
        <v>Rhinichthys</v>
      </c>
      <c r="F8093" t="str">
        <f>_xlfn.XLOOKUP(A8093,'[1]Tissue Data'!$A:$A,'[1]Tissue Data'!$I:$I)</f>
        <v>atratulus</v>
      </c>
      <c r="G8093" t="str">
        <f>_xlfn.XLOOKUP(A8093,'[1]Tissue Data'!$A:$A,'[1]Tissue Data'!J:J)</f>
        <v>U</v>
      </c>
      <c r="H8093" t="str">
        <f>_xlfn.XLOOKUP(A8093,'[1]Tissue Data'!$A:$A,'[1]Tissue Data'!K:K)</f>
        <v>Whole Body</v>
      </c>
      <c r="I8093">
        <f>_xlfn.XLOOKUP(A8093,'[1]Tissue Data'!$A:$A,'[1]Tissue Data'!L:L)</f>
        <v>10</v>
      </c>
      <c r="J8093">
        <f>_xlfn.XLOOKUP(A8093,'[1]Tissue Data'!$A:$A,'[1]Tissue Data'!M:M)</f>
        <v>9.0500000000000007</v>
      </c>
      <c r="K8093" t="s">
        <v>53</v>
      </c>
      <c r="L8093" t="str">
        <f>_xlfn.XLOOKUP(K8093,[2]analyte_order!$B:$B,[2]analyte_order!$C:$C)</f>
        <v>161094-75-3</v>
      </c>
      <c r="M8093">
        <f>_xlfn.XLOOKUP(L8093,[2]analyte_order!$C:$C,[2]analyte_order!$E:$E)</f>
        <v>44</v>
      </c>
      <c r="N8093">
        <v>0.45050000000000001</v>
      </c>
    </row>
    <row r="8094" spans="1:14">
      <c r="A8094" t="s">
        <v>150</v>
      </c>
      <c r="B8094" t="str">
        <f>_xlfn.XLOOKUP(A8094,'[1]Tissue Data'!$A:$A,'[1]Tissue Data'!$C:$C)</f>
        <v>Down</v>
      </c>
      <c r="C8094" s="2">
        <f>_xlfn.XLOOKUP(A8094,'[1]Tissue Data'!$A:$A,'[1]Tissue Data'!$D:$D)</f>
        <v>44393</v>
      </c>
      <c r="D8094" s="2" t="s">
        <v>131</v>
      </c>
      <c r="E8094" t="str">
        <f>_xlfn.XLOOKUP(A8094,'[1]Tissue Data'!$A:$A,'[1]Tissue Data'!$H:$H)</f>
        <v>Rhinichthys</v>
      </c>
      <c r="F8094" t="str">
        <f>_xlfn.XLOOKUP(A8094,'[1]Tissue Data'!$A:$A,'[1]Tissue Data'!$I:$I)</f>
        <v>atratulus</v>
      </c>
      <c r="G8094" t="str">
        <f>_xlfn.XLOOKUP(A8094,'[1]Tissue Data'!$A:$A,'[1]Tissue Data'!J:J)</f>
        <v>U</v>
      </c>
      <c r="H8094" t="str">
        <f>_xlfn.XLOOKUP(A8094,'[1]Tissue Data'!$A:$A,'[1]Tissue Data'!K:K)</f>
        <v>Whole Body</v>
      </c>
      <c r="I8094">
        <f>_xlfn.XLOOKUP(A8094,'[1]Tissue Data'!$A:$A,'[1]Tissue Data'!L:L)</f>
        <v>10</v>
      </c>
      <c r="J8094">
        <f>_xlfn.XLOOKUP(A8094,'[1]Tissue Data'!$A:$A,'[1]Tissue Data'!M:M)</f>
        <v>9.0500000000000007</v>
      </c>
      <c r="K8094" t="s">
        <v>54</v>
      </c>
      <c r="L8094" t="str">
        <f>_xlfn.XLOOKUP(K8094,[2]analyte_order!$B:$B,[2]analyte_order!$C:$C)</f>
        <v>70887-84-2</v>
      </c>
      <c r="M8094">
        <f>_xlfn.XLOOKUP(L8094,[2]analyte_order!$C:$C,[2]analyte_order!$E:$E)</f>
        <v>45</v>
      </c>
      <c r="N8094">
        <v>0.45050000000000001</v>
      </c>
    </row>
    <row r="8095" spans="1:14">
      <c r="A8095" t="s">
        <v>150</v>
      </c>
      <c r="B8095" t="str">
        <f>_xlfn.XLOOKUP(A8095,'[1]Tissue Data'!$A:$A,'[1]Tissue Data'!$C:$C)</f>
        <v>Down</v>
      </c>
      <c r="C8095" s="2">
        <f>_xlfn.XLOOKUP(A8095,'[1]Tissue Data'!$A:$A,'[1]Tissue Data'!$D:$D)</f>
        <v>44393</v>
      </c>
      <c r="D8095" s="2" t="s">
        <v>131</v>
      </c>
      <c r="E8095" t="str">
        <f>_xlfn.XLOOKUP(A8095,'[1]Tissue Data'!$A:$A,'[1]Tissue Data'!$H:$H)</f>
        <v>Rhinichthys</v>
      </c>
      <c r="F8095" t="str">
        <f>_xlfn.XLOOKUP(A8095,'[1]Tissue Data'!$A:$A,'[1]Tissue Data'!$I:$I)</f>
        <v>atratulus</v>
      </c>
      <c r="G8095" t="str">
        <f>_xlfn.XLOOKUP(A8095,'[1]Tissue Data'!$A:$A,'[1]Tissue Data'!J:J)</f>
        <v>U</v>
      </c>
      <c r="H8095" t="str">
        <f>_xlfn.XLOOKUP(A8095,'[1]Tissue Data'!$A:$A,'[1]Tissue Data'!K:K)</f>
        <v>Whole Body</v>
      </c>
      <c r="I8095">
        <f>_xlfn.XLOOKUP(A8095,'[1]Tissue Data'!$A:$A,'[1]Tissue Data'!L:L)</f>
        <v>10</v>
      </c>
      <c r="J8095">
        <f>_xlfn.XLOOKUP(A8095,'[1]Tissue Data'!$A:$A,'[1]Tissue Data'!M:M)</f>
        <v>9.0500000000000007</v>
      </c>
      <c r="K8095" t="s">
        <v>55</v>
      </c>
      <c r="L8095" t="str">
        <f>_xlfn.XLOOKUP(K8095,[2]analyte_order!$B:$B,[2]analyte_order!$C:$C)</f>
        <v>919005-14-4</v>
      </c>
      <c r="M8095">
        <f>_xlfn.XLOOKUP(L8095,[2]analyte_order!$C:$C,[2]analyte_order!$E:$E)</f>
        <v>35</v>
      </c>
      <c r="N8095">
        <v>0.22550000000000001</v>
      </c>
    </row>
    <row r="8096" spans="1:14">
      <c r="A8096" t="s">
        <v>150</v>
      </c>
      <c r="B8096" t="str">
        <f>_xlfn.XLOOKUP(A8096,'[1]Tissue Data'!$A:$A,'[1]Tissue Data'!$C:$C)</f>
        <v>Down</v>
      </c>
      <c r="C8096" s="2">
        <f>_xlfn.XLOOKUP(A8096,'[1]Tissue Data'!$A:$A,'[1]Tissue Data'!$D:$D)</f>
        <v>44393</v>
      </c>
      <c r="D8096" s="2" t="s">
        <v>131</v>
      </c>
      <c r="E8096" t="str">
        <f>_xlfn.XLOOKUP(A8096,'[1]Tissue Data'!$A:$A,'[1]Tissue Data'!$H:$H)</f>
        <v>Rhinichthys</v>
      </c>
      <c r="F8096" t="str">
        <f>_xlfn.XLOOKUP(A8096,'[1]Tissue Data'!$A:$A,'[1]Tissue Data'!$I:$I)</f>
        <v>atratulus</v>
      </c>
      <c r="G8096" t="str">
        <f>_xlfn.XLOOKUP(A8096,'[1]Tissue Data'!$A:$A,'[1]Tissue Data'!J:J)</f>
        <v>U</v>
      </c>
      <c r="H8096" t="str">
        <f>_xlfn.XLOOKUP(A8096,'[1]Tissue Data'!$A:$A,'[1]Tissue Data'!K:K)</f>
        <v>Whole Body</v>
      </c>
      <c r="I8096">
        <f>_xlfn.XLOOKUP(A8096,'[1]Tissue Data'!$A:$A,'[1]Tissue Data'!L:L)</f>
        <v>10</v>
      </c>
      <c r="J8096">
        <f>_xlfn.XLOOKUP(A8096,'[1]Tissue Data'!$A:$A,'[1]Tissue Data'!M:M)</f>
        <v>9.0500000000000007</v>
      </c>
      <c r="K8096" t="s">
        <v>56</v>
      </c>
      <c r="L8096" t="str">
        <f>_xlfn.XLOOKUP(K8096,[2]analyte_order!$B:$B,[2]analyte_order!$C:$C)</f>
        <v>756426-58-1</v>
      </c>
      <c r="M8096">
        <f>_xlfn.XLOOKUP(L8096,[2]analyte_order!$C:$C,[2]analyte_order!$E:$E)</f>
        <v>36</v>
      </c>
      <c r="N8096">
        <v>0.45050000000000001</v>
      </c>
    </row>
    <row r="8097" spans="1:14">
      <c r="A8097" t="s">
        <v>150</v>
      </c>
      <c r="B8097" t="str">
        <f>_xlfn.XLOOKUP(A8097,'[1]Tissue Data'!$A:$A,'[1]Tissue Data'!$C:$C)</f>
        <v>Down</v>
      </c>
      <c r="C8097" s="2">
        <f>_xlfn.XLOOKUP(A8097,'[1]Tissue Data'!$A:$A,'[1]Tissue Data'!$D:$D)</f>
        <v>44393</v>
      </c>
      <c r="D8097" s="2" t="s">
        <v>131</v>
      </c>
      <c r="E8097" t="str">
        <f>_xlfn.XLOOKUP(A8097,'[1]Tissue Data'!$A:$A,'[1]Tissue Data'!$H:$H)</f>
        <v>Rhinichthys</v>
      </c>
      <c r="F8097" t="str">
        <f>_xlfn.XLOOKUP(A8097,'[1]Tissue Data'!$A:$A,'[1]Tissue Data'!$I:$I)</f>
        <v>atratulus</v>
      </c>
      <c r="G8097" t="str">
        <f>_xlfn.XLOOKUP(A8097,'[1]Tissue Data'!$A:$A,'[1]Tissue Data'!J:J)</f>
        <v>U</v>
      </c>
      <c r="H8097" t="str">
        <f>_xlfn.XLOOKUP(A8097,'[1]Tissue Data'!$A:$A,'[1]Tissue Data'!K:K)</f>
        <v>Whole Body</v>
      </c>
      <c r="I8097">
        <f>_xlfn.XLOOKUP(A8097,'[1]Tissue Data'!$A:$A,'[1]Tissue Data'!L:L)</f>
        <v>10</v>
      </c>
      <c r="J8097">
        <f>_xlfn.XLOOKUP(A8097,'[1]Tissue Data'!$A:$A,'[1]Tissue Data'!M:M)</f>
        <v>9.0500000000000007</v>
      </c>
      <c r="K8097" t="s">
        <v>57</v>
      </c>
      <c r="L8097" t="str">
        <f>_xlfn.XLOOKUP(K8097,[2]analyte_order!$B:$B,[2]analyte_order!$C:$C)</f>
        <v>763051-92-9</v>
      </c>
      <c r="M8097">
        <f>_xlfn.XLOOKUP(L8097,[2]analyte_order!$C:$C,[2]analyte_order!$E:$E)</f>
        <v>37</v>
      </c>
      <c r="N8097">
        <v>0.45050000000000001</v>
      </c>
    </row>
    <row r="8098" spans="1:14">
      <c r="A8098" t="s">
        <v>150</v>
      </c>
      <c r="B8098" t="str">
        <f>_xlfn.XLOOKUP(A8098,'[1]Tissue Data'!$A:$A,'[1]Tissue Data'!$C:$C)</f>
        <v>Down</v>
      </c>
      <c r="C8098" s="2">
        <f>_xlfn.XLOOKUP(A8098,'[1]Tissue Data'!$A:$A,'[1]Tissue Data'!$D:$D)</f>
        <v>44393</v>
      </c>
      <c r="D8098" s="2" t="s">
        <v>131</v>
      </c>
      <c r="E8098" t="str">
        <f>_xlfn.XLOOKUP(A8098,'[1]Tissue Data'!$A:$A,'[1]Tissue Data'!$H:$H)</f>
        <v>Rhinichthys</v>
      </c>
      <c r="F8098" t="str">
        <f>_xlfn.XLOOKUP(A8098,'[1]Tissue Data'!$A:$A,'[1]Tissue Data'!$I:$I)</f>
        <v>atratulus</v>
      </c>
      <c r="G8098" t="str">
        <f>_xlfn.XLOOKUP(A8098,'[1]Tissue Data'!$A:$A,'[1]Tissue Data'!J:J)</f>
        <v>U</v>
      </c>
      <c r="H8098" t="str">
        <f>_xlfn.XLOOKUP(A8098,'[1]Tissue Data'!$A:$A,'[1]Tissue Data'!K:K)</f>
        <v>Whole Body</v>
      </c>
      <c r="I8098">
        <f>_xlfn.XLOOKUP(A8098,'[1]Tissue Data'!$A:$A,'[1]Tissue Data'!L:L)</f>
        <v>10</v>
      </c>
      <c r="J8098">
        <f>_xlfn.XLOOKUP(A8098,'[1]Tissue Data'!$A:$A,'[1]Tissue Data'!M:M)</f>
        <v>9.0500000000000007</v>
      </c>
      <c r="K8098" t="s">
        <v>58</v>
      </c>
      <c r="L8098" t="str">
        <f>_xlfn.XLOOKUP(K8098,[2]analyte_order!$B:$B,[2]analyte_order!$C:$C)</f>
        <v>13252-13-6</v>
      </c>
      <c r="M8098">
        <f>_xlfn.XLOOKUP(L8098,[2]analyte_order!$C:$C,[2]analyte_order!$E:$E)</f>
        <v>34</v>
      </c>
      <c r="N8098">
        <v>0.32350000000000001</v>
      </c>
    </row>
    <row r="8099" spans="1:14">
      <c r="A8099" t="s">
        <v>150</v>
      </c>
      <c r="B8099" t="str">
        <f>_xlfn.XLOOKUP(A8099,'[1]Tissue Data'!$A:$A,'[1]Tissue Data'!$C:$C)</f>
        <v>Down</v>
      </c>
      <c r="C8099" s="2">
        <f>_xlfn.XLOOKUP(A8099,'[1]Tissue Data'!$A:$A,'[1]Tissue Data'!$D:$D)</f>
        <v>44393</v>
      </c>
      <c r="D8099" s="2" t="s">
        <v>131</v>
      </c>
      <c r="E8099" t="str">
        <f>_xlfn.XLOOKUP(A8099,'[1]Tissue Data'!$A:$A,'[1]Tissue Data'!$H:$H)</f>
        <v>Rhinichthys</v>
      </c>
      <c r="F8099" t="str">
        <f>_xlfn.XLOOKUP(A8099,'[1]Tissue Data'!$A:$A,'[1]Tissue Data'!$I:$I)</f>
        <v>atratulus</v>
      </c>
      <c r="G8099" t="str">
        <f>_xlfn.XLOOKUP(A8099,'[1]Tissue Data'!$A:$A,'[1]Tissue Data'!J:J)</f>
        <v>U</v>
      </c>
      <c r="H8099" t="str">
        <f>_xlfn.XLOOKUP(A8099,'[1]Tissue Data'!$A:$A,'[1]Tissue Data'!K:K)</f>
        <v>Whole Body</v>
      </c>
      <c r="I8099">
        <f>_xlfn.XLOOKUP(A8099,'[1]Tissue Data'!$A:$A,'[1]Tissue Data'!L:L)</f>
        <v>10</v>
      </c>
      <c r="J8099">
        <f>_xlfn.XLOOKUP(A8099,'[1]Tissue Data'!$A:$A,'[1]Tissue Data'!M:M)</f>
        <v>9.0500000000000007</v>
      </c>
      <c r="K8099" t="s">
        <v>59</v>
      </c>
      <c r="L8099" t="str">
        <f>_xlfn.XLOOKUP(K8099,[2]analyte_order!$B:$B,[2]analyte_order!$C:$C)</f>
        <v>57677-95-9</v>
      </c>
      <c r="M8099">
        <f>_xlfn.XLOOKUP(L8099,[2]analyte_order!$C:$C,[2]analyte_order!$E:$E)</f>
        <v>46</v>
      </c>
      <c r="N8099">
        <v>0.45050000000000001</v>
      </c>
    </row>
    <row r="8100" spans="1:14">
      <c r="A8100" t="s">
        <v>150</v>
      </c>
      <c r="B8100" t="str">
        <f>_xlfn.XLOOKUP(A8100,'[1]Tissue Data'!$A:$A,'[1]Tissue Data'!$C:$C)</f>
        <v>Down</v>
      </c>
      <c r="C8100" s="2">
        <f>_xlfn.XLOOKUP(A8100,'[1]Tissue Data'!$A:$A,'[1]Tissue Data'!$D:$D)</f>
        <v>44393</v>
      </c>
      <c r="D8100" s="2" t="s">
        <v>131</v>
      </c>
      <c r="E8100" t="str">
        <f>_xlfn.XLOOKUP(A8100,'[1]Tissue Data'!$A:$A,'[1]Tissue Data'!$H:$H)</f>
        <v>Rhinichthys</v>
      </c>
      <c r="F8100" t="str">
        <f>_xlfn.XLOOKUP(A8100,'[1]Tissue Data'!$A:$A,'[1]Tissue Data'!$I:$I)</f>
        <v>atratulus</v>
      </c>
      <c r="G8100" t="str">
        <f>_xlfn.XLOOKUP(A8100,'[1]Tissue Data'!$A:$A,'[1]Tissue Data'!J:J)</f>
        <v>U</v>
      </c>
      <c r="H8100" t="str">
        <f>_xlfn.XLOOKUP(A8100,'[1]Tissue Data'!$A:$A,'[1]Tissue Data'!K:K)</f>
        <v>Whole Body</v>
      </c>
      <c r="I8100">
        <f>_xlfn.XLOOKUP(A8100,'[1]Tissue Data'!$A:$A,'[1]Tissue Data'!L:L)</f>
        <v>10</v>
      </c>
      <c r="J8100">
        <f>_xlfn.XLOOKUP(A8100,'[1]Tissue Data'!$A:$A,'[1]Tissue Data'!M:M)</f>
        <v>9.0500000000000007</v>
      </c>
      <c r="K8100" t="s">
        <v>60</v>
      </c>
      <c r="L8100" t="str">
        <f>_xlfn.XLOOKUP(K8100,[2]analyte_order!$B:$B,[2]analyte_order!$C:$C)</f>
        <v>678-41-1</v>
      </c>
      <c r="M8100">
        <f>_xlfn.XLOOKUP(L8100,[2]analyte_order!$C:$C,[2]analyte_order!$E:$E)</f>
        <v>56</v>
      </c>
      <c r="N8100">
        <v>0.45050000000000001</v>
      </c>
    </row>
    <row r="8101" spans="1:14">
      <c r="A8101" t="s">
        <v>150</v>
      </c>
      <c r="B8101" t="str">
        <f>_xlfn.XLOOKUP(A8101,'[1]Tissue Data'!$A:$A,'[1]Tissue Data'!$C:$C)</f>
        <v>Down</v>
      </c>
      <c r="C8101" s="2">
        <f>_xlfn.XLOOKUP(A8101,'[1]Tissue Data'!$A:$A,'[1]Tissue Data'!$D:$D)</f>
        <v>44393</v>
      </c>
      <c r="D8101" s="2" t="s">
        <v>131</v>
      </c>
      <c r="E8101" t="str">
        <f>_xlfn.XLOOKUP(A8101,'[1]Tissue Data'!$A:$A,'[1]Tissue Data'!$H:$H)</f>
        <v>Rhinichthys</v>
      </c>
      <c r="F8101" t="str">
        <f>_xlfn.XLOOKUP(A8101,'[1]Tissue Data'!$A:$A,'[1]Tissue Data'!$I:$I)</f>
        <v>atratulus</v>
      </c>
      <c r="G8101" t="str">
        <f>_xlfn.XLOOKUP(A8101,'[1]Tissue Data'!$A:$A,'[1]Tissue Data'!J:J)</f>
        <v>U</v>
      </c>
      <c r="H8101" t="str">
        <f>_xlfn.XLOOKUP(A8101,'[1]Tissue Data'!$A:$A,'[1]Tissue Data'!K:K)</f>
        <v>Whole Body</v>
      </c>
      <c r="I8101">
        <f>_xlfn.XLOOKUP(A8101,'[1]Tissue Data'!$A:$A,'[1]Tissue Data'!L:L)</f>
        <v>10</v>
      </c>
      <c r="J8101">
        <f>_xlfn.XLOOKUP(A8101,'[1]Tissue Data'!$A:$A,'[1]Tissue Data'!M:M)</f>
        <v>9.0500000000000007</v>
      </c>
      <c r="K8101" t="s">
        <v>61</v>
      </c>
      <c r="L8101" t="str">
        <f>_xlfn.XLOOKUP(K8101,[2]analyte_order!$B:$B,[2]analyte_order!$C:$C)</f>
        <v>2965-52-8</v>
      </c>
      <c r="M8101">
        <f>_xlfn.XLOOKUP(L8101,[2]analyte_order!$C:$C,[2]analyte_order!$E:$E)</f>
        <v>57</v>
      </c>
      <c r="N8101">
        <v>0.45050000000000001</v>
      </c>
    </row>
    <row r="8102" spans="1:14">
      <c r="A8102" t="s">
        <v>151</v>
      </c>
      <c r="B8102" t="str">
        <f>_xlfn.XLOOKUP(A8102,'[1]Tissue Data'!$A:$A,'[1]Tissue Data'!$C:$C)</f>
        <v>Down</v>
      </c>
      <c r="C8102" s="2">
        <f>_xlfn.XLOOKUP(A8102,'[1]Tissue Data'!$A:$A,'[1]Tissue Data'!$D:$D)</f>
        <v>44393</v>
      </c>
      <c r="D8102" s="2" t="s">
        <v>131</v>
      </c>
      <c r="E8102" t="str">
        <f>_xlfn.XLOOKUP(A8102,'[1]Tissue Data'!$A:$A,'[1]Tissue Data'!$H:$H)</f>
        <v>Rhinichthys</v>
      </c>
      <c r="F8102" t="str">
        <f>_xlfn.XLOOKUP(A8102,'[1]Tissue Data'!$A:$A,'[1]Tissue Data'!$I:$I)</f>
        <v>atratulus</v>
      </c>
      <c r="G8102" t="str">
        <f>_xlfn.XLOOKUP(A8102,'[1]Tissue Data'!$A:$A,'[1]Tissue Data'!J:J)</f>
        <v>U</v>
      </c>
      <c r="H8102" t="str">
        <f>_xlfn.XLOOKUP(A8102,'[1]Tissue Data'!$A:$A,'[1]Tissue Data'!K:K)</f>
        <v>Whole Body</v>
      </c>
      <c r="I8102">
        <f>_xlfn.XLOOKUP(A8102,'[1]Tissue Data'!$A:$A,'[1]Tissue Data'!L:L)</f>
        <v>6</v>
      </c>
      <c r="J8102">
        <f>_xlfn.XLOOKUP(A8102,'[1]Tissue Data'!$A:$A,'[1]Tissue Data'!M:M)</f>
        <v>2.0299999999999998</v>
      </c>
      <c r="K8102" t="s">
        <v>12</v>
      </c>
      <c r="L8102" t="str">
        <f>_xlfn.XLOOKUP(K8102,[2]analyte_order!$B:$B,[2]analyte_order!$C:$C)</f>
        <v>375-22-4</v>
      </c>
      <c r="M8102">
        <f>_xlfn.XLOOKUP(L8102,[2]analyte_order!$C:$C,[2]analyte_order!$E:$E)</f>
        <v>1</v>
      </c>
      <c r="N8102">
        <v>0.223</v>
      </c>
    </row>
    <row r="8103" spans="1:14">
      <c r="A8103" t="s">
        <v>151</v>
      </c>
      <c r="B8103" t="str">
        <f>_xlfn.XLOOKUP(A8103,'[1]Tissue Data'!$A:$A,'[1]Tissue Data'!$C:$C)</f>
        <v>Down</v>
      </c>
      <c r="C8103" s="2">
        <f>_xlfn.XLOOKUP(A8103,'[1]Tissue Data'!$A:$A,'[1]Tissue Data'!$D:$D)</f>
        <v>44393</v>
      </c>
      <c r="D8103" s="2" t="s">
        <v>131</v>
      </c>
      <c r="E8103" t="str">
        <f>_xlfn.XLOOKUP(A8103,'[1]Tissue Data'!$A:$A,'[1]Tissue Data'!$H:$H)</f>
        <v>Rhinichthys</v>
      </c>
      <c r="F8103" t="str">
        <f>_xlfn.XLOOKUP(A8103,'[1]Tissue Data'!$A:$A,'[1]Tissue Data'!$I:$I)</f>
        <v>atratulus</v>
      </c>
      <c r="G8103" t="str">
        <f>_xlfn.XLOOKUP(A8103,'[1]Tissue Data'!$A:$A,'[1]Tissue Data'!J:J)</f>
        <v>U</v>
      </c>
      <c r="H8103" t="str">
        <f>_xlfn.XLOOKUP(A8103,'[1]Tissue Data'!$A:$A,'[1]Tissue Data'!K:K)</f>
        <v>Whole Body</v>
      </c>
      <c r="I8103">
        <f>_xlfn.XLOOKUP(A8103,'[1]Tissue Data'!$A:$A,'[1]Tissue Data'!L:L)</f>
        <v>6</v>
      </c>
      <c r="J8103">
        <f>_xlfn.XLOOKUP(A8103,'[1]Tissue Data'!$A:$A,'[1]Tissue Data'!M:M)</f>
        <v>2.0299999999999998</v>
      </c>
      <c r="K8103" t="s">
        <v>13</v>
      </c>
      <c r="L8103" t="str">
        <f>_xlfn.XLOOKUP(K8103,[2]analyte_order!$B:$B,[2]analyte_order!$C:$C)</f>
        <v>2706-90-3</v>
      </c>
      <c r="M8103">
        <f>_xlfn.XLOOKUP(L8103,[2]analyte_order!$C:$C,[2]analyte_order!$E:$E)</f>
        <v>2</v>
      </c>
      <c r="N8103">
        <v>0.223</v>
      </c>
    </row>
    <row r="8104" spans="1:14">
      <c r="A8104" t="s">
        <v>151</v>
      </c>
      <c r="B8104" t="str">
        <f>_xlfn.XLOOKUP(A8104,'[1]Tissue Data'!$A:$A,'[1]Tissue Data'!$C:$C)</f>
        <v>Down</v>
      </c>
      <c r="C8104" s="2">
        <f>_xlfn.XLOOKUP(A8104,'[1]Tissue Data'!$A:$A,'[1]Tissue Data'!$D:$D)</f>
        <v>44393</v>
      </c>
      <c r="D8104" s="2" t="s">
        <v>131</v>
      </c>
      <c r="E8104" t="str">
        <f>_xlfn.XLOOKUP(A8104,'[1]Tissue Data'!$A:$A,'[1]Tissue Data'!$H:$H)</f>
        <v>Rhinichthys</v>
      </c>
      <c r="F8104" t="str">
        <f>_xlfn.XLOOKUP(A8104,'[1]Tissue Data'!$A:$A,'[1]Tissue Data'!$I:$I)</f>
        <v>atratulus</v>
      </c>
      <c r="G8104" t="str">
        <f>_xlfn.XLOOKUP(A8104,'[1]Tissue Data'!$A:$A,'[1]Tissue Data'!J:J)</f>
        <v>U</v>
      </c>
      <c r="H8104" t="str">
        <f>_xlfn.XLOOKUP(A8104,'[1]Tissue Data'!$A:$A,'[1]Tissue Data'!K:K)</f>
        <v>Whole Body</v>
      </c>
      <c r="I8104">
        <f>_xlfn.XLOOKUP(A8104,'[1]Tissue Data'!$A:$A,'[1]Tissue Data'!L:L)</f>
        <v>6</v>
      </c>
      <c r="J8104">
        <f>_xlfn.XLOOKUP(A8104,'[1]Tissue Data'!$A:$A,'[1]Tissue Data'!M:M)</f>
        <v>2.0299999999999998</v>
      </c>
      <c r="K8104" t="s">
        <v>14</v>
      </c>
      <c r="L8104" t="str">
        <f>_xlfn.XLOOKUP(K8104,[2]analyte_order!$B:$B,[2]analyte_order!$C:$C)</f>
        <v>307-24-4</v>
      </c>
      <c r="M8104">
        <f>_xlfn.XLOOKUP(L8104,[2]analyte_order!$C:$C,[2]analyte_order!$E:$E)</f>
        <v>3</v>
      </c>
      <c r="N8104">
        <v>0.12</v>
      </c>
    </row>
    <row r="8105" spans="1:14">
      <c r="A8105" t="s">
        <v>151</v>
      </c>
      <c r="B8105" t="str">
        <f>_xlfn.XLOOKUP(A8105,'[1]Tissue Data'!$A:$A,'[1]Tissue Data'!$C:$C)</f>
        <v>Down</v>
      </c>
      <c r="C8105" s="2">
        <f>_xlfn.XLOOKUP(A8105,'[1]Tissue Data'!$A:$A,'[1]Tissue Data'!$D:$D)</f>
        <v>44393</v>
      </c>
      <c r="D8105" s="2" t="s">
        <v>131</v>
      </c>
      <c r="E8105" t="str">
        <f>_xlfn.XLOOKUP(A8105,'[1]Tissue Data'!$A:$A,'[1]Tissue Data'!$H:$H)</f>
        <v>Rhinichthys</v>
      </c>
      <c r="F8105" t="str">
        <f>_xlfn.XLOOKUP(A8105,'[1]Tissue Data'!$A:$A,'[1]Tissue Data'!$I:$I)</f>
        <v>atratulus</v>
      </c>
      <c r="G8105" t="str">
        <f>_xlfn.XLOOKUP(A8105,'[1]Tissue Data'!$A:$A,'[1]Tissue Data'!J:J)</f>
        <v>U</v>
      </c>
      <c r="H8105" t="str">
        <f>_xlfn.XLOOKUP(A8105,'[1]Tissue Data'!$A:$A,'[1]Tissue Data'!K:K)</f>
        <v>Whole Body</v>
      </c>
      <c r="I8105">
        <f>_xlfn.XLOOKUP(A8105,'[1]Tissue Data'!$A:$A,'[1]Tissue Data'!L:L)</f>
        <v>6</v>
      </c>
      <c r="J8105">
        <f>_xlfn.XLOOKUP(A8105,'[1]Tissue Data'!$A:$A,'[1]Tissue Data'!M:M)</f>
        <v>2.0299999999999998</v>
      </c>
      <c r="K8105" t="s">
        <v>15</v>
      </c>
      <c r="L8105" t="str">
        <f>_xlfn.XLOOKUP(K8105,[2]analyte_order!$B:$B,[2]analyte_order!$C:$C)</f>
        <v>375-85-9</v>
      </c>
      <c r="M8105">
        <f>_xlfn.XLOOKUP(L8105,[2]analyte_order!$C:$C,[2]analyte_order!$E:$E)</f>
        <v>4</v>
      </c>
      <c r="N8105">
        <v>0.223</v>
      </c>
    </row>
    <row r="8106" spans="1:14">
      <c r="A8106" t="s">
        <v>151</v>
      </c>
      <c r="B8106" t="str">
        <f>_xlfn.XLOOKUP(A8106,'[1]Tissue Data'!$A:$A,'[1]Tissue Data'!$C:$C)</f>
        <v>Down</v>
      </c>
      <c r="C8106" s="2">
        <f>_xlfn.XLOOKUP(A8106,'[1]Tissue Data'!$A:$A,'[1]Tissue Data'!$D:$D)</f>
        <v>44393</v>
      </c>
      <c r="D8106" s="2" t="s">
        <v>131</v>
      </c>
      <c r="E8106" t="str">
        <f>_xlfn.XLOOKUP(A8106,'[1]Tissue Data'!$A:$A,'[1]Tissue Data'!$H:$H)</f>
        <v>Rhinichthys</v>
      </c>
      <c r="F8106" t="str">
        <f>_xlfn.XLOOKUP(A8106,'[1]Tissue Data'!$A:$A,'[1]Tissue Data'!$I:$I)</f>
        <v>atratulus</v>
      </c>
      <c r="G8106" t="str">
        <f>_xlfn.XLOOKUP(A8106,'[1]Tissue Data'!$A:$A,'[1]Tissue Data'!J:J)</f>
        <v>U</v>
      </c>
      <c r="H8106" t="str">
        <f>_xlfn.XLOOKUP(A8106,'[1]Tissue Data'!$A:$A,'[1]Tissue Data'!K:K)</f>
        <v>Whole Body</v>
      </c>
      <c r="I8106">
        <f>_xlfn.XLOOKUP(A8106,'[1]Tissue Data'!$A:$A,'[1]Tissue Data'!L:L)</f>
        <v>6</v>
      </c>
      <c r="J8106">
        <f>_xlfn.XLOOKUP(A8106,'[1]Tissue Data'!$A:$A,'[1]Tissue Data'!M:M)</f>
        <v>2.0299999999999998</v>
      </c>
      <c r="K8106" t="s">
        <v>16</v>
      </c>
      <c r="L8106" t="str">
        <f>_xlfn.XLOOKUP(K8106,[2]analyte_order!$B:$B,[2]analyte_order!$C:$C)</f>
        <v>335-67-1</v>
      </c>
      <c r="M8106">
        <f>_xlfn.XLOOKUP(L8106,[2]analyte_order!$C:$C,[2]analyte_order!$E:$E)</f>
        <v>5</v>
      </c>
      <c r="N8106">
        <v>2.77</v>
      </c>
    </row>
    <row r="8107" spans="1:14">
      <c r="A8107" t="s">
        <v>151</v>
      </c>
      <c r="B8107" t="str">
        <f>_xlfn.XLOOKUP(A8107,'[1]Tissue Data'!$A:$A,'[1]Tissue Data'!$C:$C)</f>
        <v>Down</v>
      </c>
      <c r="C8107" s="2">
        <f>_xlfn.XLOOKUP(A8107,'[1]Tissue Data'!$A:$A,'[1]Tissue Data'!$D:$D)</f>
        <v>44393</v>
      </c>
      <c r="D8107" s="2" t="s">
        <v>131</v>
      </c>
      <c r="E8107" t="str">
        <f>_xlfn.XLOOKUP(A8107,'[1]Tissue Data'!$A:$A,'[1]Tissue Data'!$H:$H)</f>
        <v>Rhinichthys</v>
      </c>
      <c r="F8107" t="str">
        <f>_xlfn.XLOOKUP(A8107,'[1]Tissue Data'!$A:$A,'[1]Tissue Data'!$I:$I)</f>
        <v>atratulus</v>
      </c>
      <c r="G8107" t="str">
        <f>_xlfn.XLOOKUP(A8107,'[1]Tissue Data'!$A:$A,'[1]Tissue Data'!J:J)</f>
        <v>U</v>
      </c>
      <c r="H8107" t="str">
        <f>_xlfn.XLOOKUP(A8107,'[1]Tissue Data'!$A:$A,'[1]Tissue Data'!K:K)</f>
        <v>Whole Body</v>
      </c>
      <c r="I8107">
        <f>_xlfn.XLOOKUP(A8107,'[1]Tissue Data'!$A:$A,'[1]Tissue Data'!L:L)</f>
        <v>6</v>
      </c>
      <c r="J8107">
        <f>_xlfn.XLOOKUP(A8107,'[1]Tissue Data'!$A:$A,'[1]Tissue Data'!M:M)</f>
        <v>2.0299999999999998</v>
      </c>
      <c r="K8107" t="s">
        <v>17</v>
      </c>
      <c r="L8107" t="str">
        <f>_xlfn.XLOOKUP(K8107,[2]analyte_order!$B:$B,[2]analyte_order!$C:$C)</f>
        <v>375-95-1</v>
      </c>
      <c r="M8107">
        <f>_xlfn.XLOOKUP(L8107,[2]analyte_order!$C:$C,[2]analyte_order!$E:$E)</f>
        <v>6</v>
      </c>
      <c r="N8107">
        <v>9.73</v>
      </c>
    </row>
    <row r="8108" spans="1:14">
      <c r="A8108" t="s">
        <v>151</v>
      </c>
      <c r="B8108" t="str">
        <f>_xlfn.XLOOKUP(A8108,'[1]Tissue Data'!$A:$A,'[1]Tissue Data'!$C:$C)</f>
        <v>Down</v>
      </c>
      <c r="C8108" s="2">
        <f>_xlfn.XLOOKUP(A8108,'[1]Tissue Data'!$A:$A,'[1]Tissue Data'!$D:$D)</f>
        <v>44393</v>
      </c>
      <c r="D8108" s="2" t="s">
        <v>131</v>
      </c>
      <c r="E8108" t="str">
        <f>_xlfn.XLOOKUP(A8108,'[1]Tissue Data'!$A:$A,'[1]Tissue Data'!$H:$H)</f>
        <v>Rhinichthys</v>
      </c>
      <c r="F8108" t="str">
        <f>_xlfn.XLOOKUP(A8108,'[1]Tissue Data'!$A:$A,'[1]Tissue Data'!$I:$I)</f>
        <v>atratulus</v>
      </c>
      <c r="G8108" t="str">
        <f>_xlfn.XLOOKUP(A8108,'[1]Tissue Data'!$A:$A,'[1]Tissue Data'!J:J)</f>
        <v>U</v>
      </c>
      <c r="H8108" t="str">
        <f>_xlfn.XLOOKUP(A8108,'[1]Tissue Data'!$A:$A,'[1]Tissue Data'!K:K)</f>
        <v>Whole Body</v>
      </c>
      <c r="I8108">
        <f>_xlfn.XLOOKUP(A8108,'[1]Tissue Data'!$A:$A,'[1]Tissue Data'!L:L)</f>
        <v>6</v>
      </c>
      <c r="J8108">
        <f>_xlfn.XLOOKUP(A8108,'[1]Tissue Data'!$A:$A,'[1]Tissue Data'!M:M)</f>
        <v>2.0299999999999998</v>
      </c>
      <c r="K8108" t="s">
        <v>18</v>
      </c>
      <c r="L8108" t="str">
        <f>_xlfn.XLOOKUP(K8108,[2]analyte_order!$B:$B,[2]analyte_order!$C:$C)</f>
        <v>335-76-2</v>
      </c>
      <c r="M8108">
        <f>_xlfn.XLOOKUP(L8108,[2]analyte_order!$C:$C,[2]analyte_order!$E:$E)</f>
        <v>7</v>
      </c>
      <c r="N8108">
        <v>6.19</v>
      </c>
    </row>
    <row r="8109" spans="1:14">
      <c r="A8109" t="s">
        <v>151</v>
      </c>
      <c r="B8109" t="str">
        <f>_xlfn.XLOOKUP(A8109,'[1]Tissue Data'!$A:$A,'[1]Tissue Data'!$C:$C)</f>
        <v>Down</v>
      </c>
      <c r="C8109" s="2">
        <f>_xlfn.XLOOKUP(A8109,'[1]Tissue Data'!$A:$A,'[1]Tissue Data'!$D:$D)</f>
        <v>44393</v>
      </c>
      <c r="D8109" s="2" t="s">
        <v>131</v>
      </c>
      <c r="E8109" t="str">
        <f>_xlfn.XLOOKUP(A8109,'[1]Tissue Data'!$A:$A,'[1]Tissue Data'!$H:$H)</f>
        <v>Rhinichthys</v>
      </c>
      <c r="F8109" t="str">
        <f>_xlfn.XLOOKUP(A8109,'[1]Tissue Data'!$A:$A,'[1]Tissue Data'!$I:$I)</f>
        <v>atratulus</v>
      </c>
      <c r="G8109" t="str">
        <f>_xlfn.XLOOKUP(A8109,'[1]Tissue Data'!$A:$A,'[1]Tissue Data'!J:J)</f>
        <v>U</v>
      </c>
      <c r="H8109" t="str">
        <f>_xlfn.XLOOKUP(A8109,'[1]Tissue Data'!$A:$A,'[1]Tissue Data'!K:K)</f>
        <v>Whole Body</v>
      </c>
      <c r="I8109">
        <f>_xlfn.XLOOKUP(A8109,'[1]Tissue Data'!$A:$A,'[1]Tissue Data'!L:L)</f>
        <v>6</v>
      </c>
      <c r="J8109">
        <f>_xlfn.XLOOKUP(A8109,'[1]Tissue Data'!$A:$A,'[1]Tissue Data'!M:M)</f>
        <v>2.0299999999999998</v>
      </c>
      <c r="K8109" t="s">
        <v>19</v>
      </c>
      <c r="L8109" t="str">
        <f>_xlfn.XLOOKUP(K8109,[2]analyte_order!$B:$B,[2]analyte_order!$C:$C)</f>
        <v>2058-94-8</v>
      </c>
      <c r="M8109">
        <f>_xlfn.XLOOKUP(L8109,[2]analyte_order!$C:$C,[2]analyte_order!$E:$E)</f>
        <v>8</v>
      </c>
      <c r="N8109">
        <v>7.76</v>
      </c>
    </row>
    <row r="8110" spans="1:14">
      <c r="A8110" t="s">
        <v>151</v>
      </c>
      <c r="B8110" t="str">
        <f>_xlfn.XLOOKUP(A8110,'[1]Tissue Data'!$A:$A,'[1]Tissue Data'!$C:$C)</f>
        <v>Down</v>
      </c>
      <c r="C8110" s="2">
        <f>_xlfn.XLOOKUP(A8110,'[1]Tissue Data'!$A:$A,'[1]Tissue Data'!$D:$D)</f>
        <v>44393</v>
      </c>
      <c r="D8110" s="2" t="s">
        <v>131</v>
      </c>
      <c r="E8110" t="str">
        <f>_xlfn.XLOOKUP(A8110,'[1]Tissue Data'!$A:$A,'[1]Tissue Data'!$H:$H)</f>
        <v>Rhinichthys</v>
      </c>
      <c r="F8110" t="str">
        <f>_xlfn.XLOOKUP(A8110,'[1]Tissue Data'!$A:$A,'[1]Tissue Data'!$I:$I)</f>
        <v>atratulus</v>
      </c>
      <c r="G8110" t="str">
        <f>_xlfn.XLOOKUP(A8110,'[1]Tissue Data'!$A:$A,'[1]Tissue Data'!J:J)</f>
        <v>U</v>
      </c>
      <c r="H8110" t="str">
        <f>_xlfn.XLOOKUP(A8110,'[1]Tissue Data'!$A:$A,'[1]Tissue Data'!K:K)</f>
        <v>Whole Body</v>
      </c>
      <c r="I8110">
        <f>_xlfn.XLOOKUP(A8110,'[1]Tissue Data'!$A:$A,'[1]Tissue Data'!L:L)</f>
        <v>6</v>
      </c>
      <c r="J8110">
        <f>_xlfn.XLOOKUP(A8110,'[1]Tissue Data'!$A:$A,'[1]Tissue Data'!M:M)</f>
        <v>2.0299999999999998</v>
      </c>
      <c r="K8110" t="s">
        <v>20</v>
      </c>
      <c r="L8110" t="str">
        <f>_xlfn.XLOOKUP(K8110,[2]analyte_order!$B:$B,[2]analyte_order!$C:$C)</f>
        <v>307-55-1</v>
      </c>
      <c r="M8110">
        <f>_xlfn.XLOOKUP(L8110,[2]analyte_order!$C:$C,[2]analyte_order!$E:$E)</f>
        <v>9</v>
      </c>
      <c r="N8110">
        <v>8.93</v>
      </c>
    </row>
    <row r="8111" spans="1:14">
      <c r="A8111" t="s">
        <v>151</v>
      </c>
      <c r="B8111" t="str">
        <f>_xlfn.XLOOKUP(A8111,'[1]Tissue Data'!$A:$A,'[1]Tissue Data'!$C:$C)</f>
        <v>Down</v>
      </c>
      <c r="C8111" s="2">
        <f>_xlfn.XLOOKUP(A8111,'[1]Tissue Data'!$A:$A,'[1]Tissue Data'!$D:$D)</f>
        <v>44393</v>
      </c>
      <c r="D8111" s="2" t="s">
        <v>131</v>
      </c>
      <c r="E8111" t="str">
        <f>_xlfn.XLOOKUP(A8111,'[1]Tissue Data'!$A:$A,'[1]Tissue Data'!$H:$H)</f>
        <v>Rhinichthys</v>
      </c>
      <c r="F8111" t="str">
        <f>_xlfn.XLOOKUP(A8111,'[1]Tissue Data'!$A:$A,'[1]Tissue Data'!$I:$I)</f>
        <v>atratulus</v>
      </c>
      <c r="G8111" t="str">
        <f>_xlfn.XLOOKUP(A8111,'[1]Tissue Data'!$A:$A,'[1]Tissue Data'!J:J)</f>
        <v>U</v>
      </c>
      <c r="H8111" t="str">
        <f>_xlfn.XLOOKUP(A8111,'[1]Tissue Data'!$A:$A,'[1]Tissue Data'!K:K)</f>
        <v>Whole Body</v>
      </c>
      <c r="I8111">
        <f>_xlfn.XLOOKUP(A8111,'[1]Tissue Data'!$A:$A,'[1]Tissue Data'!L:L)</f>
        <v>6</v>
      </c>
      <c r="J8111">
        <f>_xlfn.XLOOKUP(A8111,'[1]Tissue Data'!$A:$A,'[1]Tissue Data'!M:M)</f>
        <v>2.0299999999999998</v>
      </c>
      <c r="K8111" t="s">
        <v>21</v>
      </c>
      <c r="L8111" t="str">
        <f>_xlfn.XLOOKUP(K8111,[2]analyte_order!$B:$B,[2]analyte_order!$C:$C)</f>
        <v>72629-94-8</v>
      </c>
      <c r="M8111">
        <f>_xlfn.XLOOKUP(L8111,[2]analyte_order!$C:$C,[2]analyte_order!$E:$E)</f>
        <v>10</v>
      </c>
      <c r="N8111">
        <v>2.41</v>
      </c>
    </row>
    <row r="8112" spans="1:14">
      <c r="A8112" t="s">
        <v>151</v>
      </c>
      <c r="B8112" t="str">
        <f>_xlfn.XLOOKUP(A8112,'[1]Tissue Data'!$A:$A,'[1]Tissue Data'!$C:$C)</f>
        <v>Down</v>
      </c>
      <c r="C8112" s="2">
        <f>_xlfn.XLOOKUP(A8112,'[1]Tissue Data'!$A:$A,'[1]Tissue Data'!$D:$D)</f>
        <v>44393</v>
      </c>
      <c r="D8112" s="2" t="s">
        <v>131</v>
      </c>
      <c r="E8112" t="str">
        <f>_xlfn.XLOOKUP(A8112,'[1]Tissue Data'!$A:$A,'[1]Tissue Data'!$H:$H)</f>
        <v>Rhinichthys</v>
      </c>
      <c r="F8112" t="str">
        <f>_xlfn.XLOOKUP(A8112,'[1]Tissue Data'!$A:$A,'[1]Tissue Data'!$I:$I)</f>
        <v>atratulus</v>
      </c>
      <c r="G8112" t="str">
        <f>_xlfn.XLOOKUP(A8112,'[1]Tissue Data'!$A:$A,'[1]Tissue Data'!J:J)</f>
        <v>U</v>
      </c>
      <c r="H8112" t="str">
        <f>_xlfn.XLOOKUP(A8112,'[1]Tissue Data'!$A:$A,'[1]Tissue Data'!K:K)</f>
        <v>Whole Body</v>
      </c>
      <c r="I8112">
        <f>_xlfn.XLOOKUP(A8112,'[1]Tissue Data'!$A:$A,'[1]Tissue Data'!L:L)</f>
        <v>6</v>
      </c>
      <c r="J8112">
        <f>_xlfn.XLOOKUP(A8112,'[1]Tissue Data'!$A:$A,'[1]Tissue Data'!M:M)</f>
        <v>2.0299999999999998</v>
      </c>
      <c r="K8112" t="s">
        <v>22</v>
      </c>
      <c r="L8112" t="str">
        <f>_xlfn.XLOOKUP(K8112,[2]analyte_order!$B:$B,[2]analyte_order!$C:$C)</f>
        <v>376-06-7</v>
      </c>
      <c r="M8112">
        <f>_xlfn.XLOOKUP(L8112,[2]analyte_order!$C:$C,[2]analyte_order!$E:$E)</f>
        <v>11</v>
      </c>
      <c r="N8112">
        <v>6.22</v>
      </c>
    </row>
    <row r="8113" spans="1:14">
      <c r="A8113" t="s">
        <v>151</v>
      </c>
      <c r="B8113" t="str">
        <f>_xlfn.XLOOKUP(A8113,'[1]Tissue Data'!$A:$A,'[1]Tissue Data'!$C:$C)</f>
        <v>Down</v>
      </c>
      <c r="C8113" s="2">
        <f>_xlfn.XLOOKUP(A8113,'[1]Tissue Data'!$A:$A,'[1]Tissue Data'!$D:$D)</f>
        <v>44393</v>
      </c>
      <c r="D8113" s="2" t="s">
        <v>131</v>
      </c>
      <c r="E8113" t="str">
        <f>_xlfn.XLOOKUP(A8113,'[1]Tissue Data'!$A:$A,'[1]Tissue Data'!$H:$H)</f>
        <v>Rhinichthys</v>
      </c>
      <c r="F8113" t="str">
        <f>_xlfn.XLOOKUP(A8113,'[1]Tissue Data'!$A:$A,'[1]Tissue Data'!$I:$I)</f>
        <v>atratulus</v>
      </c>
      <c r="G8113" t="str">
        <f>_xlfn.XLOOKUP(A8113,'[1]Tissue Data'!$A:$A,'[1]Tissue Data'!J:J)</f>
        <v>U</v>
      </c>
      <c r="H8113" t="str">
        <f>_xlfn.XLOOKUP(A8113,'[1]Tissue Data'!$A:$A,'[1]Tissue Data'!K:K)</f>
        <v>Whole Body</v>
      </c>
      <c r="I8113">
        <f>_xlfn.XLOOKUP(A8113,'[1]Tissue Data'!$A:$A,'[1]Tissue Data'!L:L)</f>
        <v>6</v>
      </c>
      <c r="J8113">
        <f>_xlfn.XLOOKUP(A8113,'[1]Tissue Data'!$A:$A,'[1]Tissue Data'!M:M)</f>
        <v>2.0299999999999998</v>
      </c>
      <c r="K8113" t="s">
        <v>23</v>
      </c>
      <c r="L8113" t="str">
        <f>_xlfn.XLOOKUP(K8113,[2]analyte_order!$B:$B,[2]analyte_order!$C:$C)</f>
        <v>67905-19-5</v>
      </c>
      <c r="M8113">
        <f>_xlfn.XLOOKUP(L8113,[2]analyte_order!$C:$C,[2]analyte_order!$E:$E)</f>
        <v>12</v>
      </c>
      <c r="N8113">
        <v>0.26550000000000001</v>
      </c>
    </row>
    <row r="8114" spans="1:14">
      <c r="A8114" t="s">
        <v>151</v>
      </c>
      <c r="B8114" t="str">
        <f>_xlfn.XLOOKUP(A8114,'[1]Tissue Data'!$A:$A,'[1]Tissue Data'!$C:$C)</f>
        <v>Down</v>
      </c>
      <c r="C8114" s="2">
        <f>_xlfn.XLOOKUP(A8114,'[1]Tissue Data'!$A:$A,'[1]Tissue Data'!$D:$D)</f>
        <v>44393</v>
      </c>
      <c r="D8114" s="2" t="s">
        <v>131</v>
      </c>
      <c r="E8114" t="str">
        <f>_xlfn.XLOOKUP(A8114,'[1]Tissue Data'!$A:$A,'[1]Tissue Data'!$H:$H)</f>
        <v>Rhinichthys</v>
      </c>
      <c r="F8114" t="str">
        <f>_xlfn.XLOOKUP(A8114,'[1]Tissue Data'!$A:$A,'[1]Tissue Data'!$I:$I)</f>
        <v>atratulus</v>
      </c>
      <c r="G8114" t="str">
        <f>_xlfn.XLOOKUP(A8114,'[1]Tissue Data'!$A:$A,'[1]Tissue Data'!J:J)</f>
        <v>U</v>
      </c>
      <c r="H8114" t="str">
        <f>_xlfn.XLOOKUP(A8114,'[1]Tissue Data'!$A:$A,'[1]Tissue Data'!K:K)</f>
        <v>Whole Body</v>
      </c>
      <c r="I8114">
        <f>_xlfn.XLOOKUP(A8114,'[1]Tissue Data'!$A:$A,'[1]Tissue Data'!L:L)</f>
        <v>6</v>
      </c>
      <c r="J8114">
        <f>_xlfn.XLOOKUP(A8114,'[1]Tissue Data'!$A:$A,'[1]Tissue Data'!M:M)</f>
        <v>2.0299999999999998</v>
      </c>
      <c r="K8114" t="s">
        <v>24</v>
      </c>
      <c r="L8114" t="str">
        <f>_xlfn.XLOOKUP(K8114,[2]analyte_order!$B:$B,[2]analyte_order!$C:$C)</f>
        <v>423-41-6</v>
      </c>
      <c r="M8114">
        <f>_xlfn.XLOOKUP(L8114,[2]analyte_order!$C:$C,[2]analyte_order!$E:$E)</f>
        <v>53</v>
      </c>
      <c r="N8114">
        <v>0.44550000000000001</v>
      </c>
    </row>
    <row r="8115" spans="1:14">
      <c r="A8115" t="s">
        <v>151</v>
      </c>
      <c r="B8115" t="str">
        <f>_xlfn.XLOOKUP(A8115,'[1]Tissue Data'!$A:$A,'[1]Tissue Data'!$C:$C)</f>
        <v>Down</v>
      </c>
      <c r="C8115" s="2">
        <f>_xlfn.XLOOKUP(A8115,'[1]Tissue Data'!$A:$A,'[1]Tissue Data'!$D:$D)</f>
        <v>44393</v>
      </c>
      <c r="D8115" s="2" t="s">
        <v>131</v>
      </c>
      <c r="E8115" t="str">
        <f>_xlfn.XLOOKUP(A8115,'[1]Tissue Data'!$A:$A,'[1]Tissue Data'!$H:$H)</f>
        <v>Rhinichthys</v>
      </c>
      <c r="F8115" t="str">
        <f>_xlfn.XLOOKUP(A8115,'[1]Tissue Data'!$A:$A,'[1]Tissue Data'!$I:$I)</f>
        <v>atratulus</v>
      </c>
      <c r="G8115" t="str">
        <f>_xlfn.XLOOKUP(A8115,'[1]Tissue Data'!$A:$A,'[1]Tissue Data'!J:J)</f>
        <v>U</v>
      </c>
      <c r="H8115" t="str">
        <f>_xlfn.XLOOKUP(A8115,'[1]Tissue Data'!$A:$A,'[1]Tissue Data'!K:K)</f>
        <v>Whole Body</v>
      </c>
      <c r="I8115">
        <f>_xlfn.XLOOKUP(A8115,'[1]Tissue Data'!$A:$A,'[1]Tissue Data'!L:L)</f>
        <v>6</v>
      </c>
      <c r="J8115">
        <f>_xlfn.XLOOKUP(A8115,'[1]Tissue Data'!$A:$A,'[1]Tissue Data'!M:M)</f>
        <v>2.0299999999999998</v>
      </c>
      <c r="K8115" t="s">
        <v>25</v>
      </c>
      <c r="L8115" t="str">
        <f>_xlfn.XLOOKUP(K8115,[2]analyte_order!$B:$B,[2]analyte_order!$C:$C)</f>
        <v>375-73-5</v>
      </c>
      <c r="M8115">
        <f>_xlfn.XLOOKUP(L8115,[2]analyte_order!$C:$C,[2]analyte_order!$E:$E)</f>
        <v>14</v>
      </c>
      <c r="N8115">
        <v>0.1515</v>
      </c>
    </row>
    <row r="8116" spans="1:14">
      <c r="A8116" t="s">
        <v>151</v>
      </c>
      <c r="B8116" t="str">
        <f>_xlfn.XLOOKUP(A8116,'[1]Tissue Data'!$A:$A,'[1]Tissue Data'!$C:$C)</f>
        <v>Down</v>
      </c>
      <c r="C8116" s="2">
        <f>_xlfn.XLOOKUP(A8116,'[1]Tissue Data'!$A:$A,'[1]Tissue Data'!$D:$D)</f>
        <v>44393</v>
      </c>
      <c r="D8116" s="2" t="s">
        <v>131</v>
      </c>
      <c r="E8116" t="str">
        <f>_xlfn.XLOOKUP(A8116,'[1]Tissue Data'!$A:$A,'[1]Tissue Data'!$H:$H)</f>
        <v>Rhinichthys</v>
      </c>
      <c r="F8116" t="str">
        <f>_xlfn.XLOOKUP(A8116,'[1]Tissue Data'!$A:$A,'[1]Tissue Data'!$I:$I)</f>
        <v>atratulus</v>
      </c>
      <c r="G8116" t="str">
        <f>_xlfn.XLOOKUP(A8116,'[1]Tissue Data'!$A:$A,'[1]Tissue Data'!J:J)</f>
        <v>U</v>
      </c>
      <c r="H8116" t="str">
        <f>_xlfn.XLOOKUP(A8116,'[1]Tissue Data'!$A:$A,'[1]Tissue Data'!K:K)</f>
        <v>Whole Body</v>
      </c>
      <c r="I8116">
        <f>_xlfn.XLOOKUP(A8116,'[1]Tissue Data'!$A:$A,'[1]Tissue Data'!L:L)</f>
        <v>6</v>
      </c>
      <c r="J8116">
        <f>_xlfn.XLOOKUP(A8116,'[1]Tissue Data'!$A:$A,'[1]Tissue Data'!M:M)</f>
        <v>2.0299999999999998</v>
      </c>
      <c r="K8116" t="s">
        <v>26</v>
      </c>
      <c r="L8116" t="str">
        <f>_xlfn.XLOOKUP(K8116,[2]analyte_order!$B:$B,[2]analyte_order!$C:$C)</f>
        <v>2706-91-4</v>
      </c>
      <c r="M8116">
        <f>_xlfn.XLOOKUP(L8116,[2]analyte_order!$C:$C,[2]analyte_order!$E:$E)</f>
        <v>15</v>
      </c>
      <c r="N8116">
        <v>0.26100000000000001</v>
      </c>
    </row>
    <row r="8117" spans="1:14">
      <c r="A8117" t="s">
        <v>151</v>
      </c>
      <c r="B8117" t="str">
        <f>_xlfn.XLOOKUP(A8117,'[1]Tissue Data'!$A:$A,'[1]Tissue Data'!$C:$C)</f>
        <v>Down</v>
      </c>
      <c r="C8117" s="2">
        <f>_xlfn.XLOOKUP(A8117,'[1]Tissue Data'!$A:$A,'[1]Tissue Data'!$D:$D)</f>
        <v>44393</v>
      </c>
      <c r="D8117" s="2" t="s">
        <v>131</v>
      </c>
      <c r="E8117" t="str">
        <f>_xlfn.XLOOKUP(A8117,'[1]Tissue Data'!$A:$A,'[1]Tissue Data'!$H:$H)</f>
        <v>Rhinichthys</v>
      </c>
      <c r="F8117" t="str">
        <f>_xlfn.XLOOKUP(A8117,'[1]Tissue Data'!$A:$A,'[1]Tissue Data'!$I:$I)</f>
        <v>atratulus</v>
      </c>
      <c r="G8117" t="str">
        <f>_xlfn.XLOOKUP(A8117,'[1]Tissue Data'!$A:$A,'[1]Tissue Data'!J:J)</f>
        <v>U</v>
      </c>
      <c r="H8117" t="str">
        <f>_xlfn.XLOOKUP(A8117,'[1]Tissue Data'!$A:$A,'[1]Tissue Data'!K:K)</f>
        <v>Whole Body</v>
      </c>
      <c r="I8117">
        <f>_xlfn.XLOOKUP(A8117,'[1]Tissue Data'!$A:$A,'[1]Tissue Data'!L:L)</f>
        <v>6</v>
      </c>
      <c r="J8117">
        <f>_xlfn.XLOOKUP(A8117,'[1]Tissue Data'!$A:$A,'[1]Tissue Data'!M:M)</f>
        <v>2.0299999999999998</v>
      </c>
      <c r="K8117" t="s">
        <v>27</v>
      </c>
      <c r="L8117" t="str">
        <f>_xlfn.XLOOKUP(K8117,[2]analyte_order!$B:$B,[2]analyte_order!$C:$C)</f>
        <v>355-46-4</v>
      </c>
      <c r="M8117">
        <f>_xlfn.XLOOKUP(L8117,[2]analyte_order!$C:$C,[2]analyte_order!$E:$E)</f>
        <v>16</v>
      </c>
      <c r="N8117">
        <v>29</v>
      </c>
    </row>
    <row r="8118" spans="1:14">
      <c r="A8118" t="s">
        <v>151</v>
      </c>
      <c r="B8118" t="str">
        <f>_xlfn.XLOOKUP(A8118,'[1]Tissue Data'!$A:$A,'[1]Tissue Data'!$C:$C)</f>
        <v>Down</v>
      </c>
      <c r="C8118" s="2">
        <f>_xlfn.XLOOKUP(A8118,'[1]Tissue Data'!$A:$A,'[1]Tissue Data'!$D:$D)</f>
        <v>44393</v>
      </c>
      <c r="D8118" s="2" t="s">
        <v>131</v>
      </c>
      <c r="E8118" t="str">
        <f>_xlfn.XLOOKUP(A8118,'[1]Tissue Data'!$A:$A,'[1]Tissue Data'!$H:$H)</f>
        <v>Rhinichthys</v>
      </c>
      <c r="F8118" t="str">
        <f>_xlfn.XLOOKUP(A8118,'[1]Tissue Data'!$A:$A,'[1]Tissue Data'!$I:$I)</f>
        <v>atratulus</v>
      </c>
      <c r="G8118" t="str">
        <f>_xlfn.XLOOKUP(A8118,'[1]Tissue Data'!$A:$A,'[1]Tissue Data'!J:J)</f>
        <v>U</v>
      </c>
      <c r="H8118" t="str">
        <f>_xlfn.XLOOKUP(A8118,'[1]Tissue Data'!$A:$A,'[1]Tissue Data'!K:K)</f>
        <v>Whole Body</v>
      </c>
      <c r="I8118">
        <f>_xlfn.XLOOKUP(A8118,'[1]Tissue Data'!$A:$A,'[1]Tissue Data'!L:L)</f>
        <v>6</v>
      </c>
      <c r="J8118">
        <f>_xlfn.XLOOKUP(A8118,'[1]Tissue Data'!$A:$A,'[1]Tissue Data'!M:M)</f>
        <v>2.0299999999999998</v>
      </c>
      <c r="K8118" t="s">
        <v>28</v>
      </c>
      <c r="L8118" t="str">
        <f>_xlfn.XLOOKUP(K8118,[2]analyte_order!$B:$B,[2]analyte_order!$C:$C)</f>
        <v>375-92-8</v>
      </c>
      <c r="M8118">
        <f>_xlfn.XLOOKUP(L8118,[2]analyte_order!$C:$C,[2]analyte_order!$E:$E)</f>
        <v>17</v>
      </c>
      <c r="N8118">
        <v>12.8</v>
      </c>
    </row>
    <row r="8119" spans="1:14">
      <c r="A8119" t="s">
        <v>151</v>
      </c>
      <c r="B8119" t="str">
        <f>_xlfn.XLOOKUP(A8119,'[1]Tissue Data'!$A:$A,'[1]Tissue Data'!$C:$C)</f>
        <v>Down</v>
      </c>
      <c r="C8119" s="2">
        <f>_xlfn.XLOOKUP(A8119,'[1]Tissue Data'!$A:$A,'[1]Tissue Data'!$D:$D)</f>
        <v>44393</v>
      </c>
      <c r="D8119" s="2" t="s">
        <v>131</v>
      </c>
      <c r="E8119" t="str">
        <f>_xlfn.XLOOKUP(A8119,'[1]Tissue Data'!$A:$A,'[1]Tissue Data'!$H:$H)</f>
        <v>Rhinichthys</v>
      </c>
      <c r="F8119" t="str">
        <f>_xlfn.XLOOKUP(A8119,'[1]Tissue Data'!$A:$A,'[1]Tissue Data'!$I:$I)</f>
        <v>atratulus</v>
      </c>
      <c r="G8119" t="str">
        <f>_xlfn.XLOOKUP(A8119,'[1]Tissue Data'!$A:$A,'[1]Tissue Data'!J:J)</f>
        <v>U</v>
      </c>
      <c r="H8119" t="str">
        <f>_xlfn.XLOOKUP(A8119,'[1]Tissue Data'!$A:$A,'[1]Tissue Data'!K:K)</f>
        <v>Whole Body</v>
      </c>
      <c r="I8119">
        <f>_xlfn.XLOOKUP(A8119,'[1]Tissue Data'!$A:$A,'[1]Tissue Data'!L:L)</f>
        <v>6</v>
      </c>
      <c r="J8119">
        <f>_xlfn.XLOOKUP(A8119,'[1]Tissue Data'!$A:$A,'[1]Tissue Data'!M:M)</f>
        <v>2.0299999999999998</v>
      </c>
      <c r="K8119" t="s">
        <v>29</v>
      </c>
      <c r="L8119" t="str">
        <f>_xlfn.XLOOKUP(K8119,[2]analyte_order!$B:$B,[2]analyte_order!$C:$C)</f>
        <v>1763-23-1</v>
      </c>
      <c r="M8119">
        <f>_xlfn.XLOOKUP(L8119,[2]analyte_order!$C:$C,[2]analyte_order!$E:$E)</f>
        <v>18</v>
      </c>
      <c r="N8119">
        <v>930</v>
      </c>
    </row>
    <row r="8120" spans="1:14">
      <c r="A8120" t="s">
        <v>151</v>
      </c>
      <c r="B8120" t="str">
        <f>_xlfn.XLOOKUP(A8120,'[1]Tissue Data'!$A:$A,'[1]Tissue Data'!$C:$C)</f>
        <v>Down</v>
      </c>
      <c r="C8120" s="2">
        <f>_xlfn.XLOOKUP(A8120,'[1]Tissue Data'!$A:$A,'[1]Tissue Data'!$D:$D)</f>
        <v>44393</v>
      </c>
      <c r="D8120" s="2" t="s">
        <v>131</v>
      </c>
      <c r="E8120" t="str">
        <f>_xlfn.XLOOKUP(A8120,'[1]Tissue Data'!$A:$A,'[1]Tissue Data'!$H:$H)</f>
        <v>Rhinichthys</v>
      </c>
      <c r="F8120" t="str">
        <f>_xlfn.XLOOKUP(A8120,'[1]Tissue Data'!$A:$A,'[1]Tissue Data'!$I:$I)</f>
        <v>atratulus</v>
      </c>
      <c r="G8120" t="str">
        <f>_xlfn.XLOOKUP(A8120,'[1]Tissue Data'!$A:$A,'[1]Tissue Data'!J:J)</f>
        <v>U</v>
      </c>
      <c r="H8120" t="str">
        <f>_xlfn.XLOOKUP(A8120,'[1]Tissue Data'!$A:$A,'[1]Tissue Data'!K:K)</f>
        <v>Whole Body</v>
      </c>
      <c r="I8120">
        <f>_xlfn.XLOOKUP(A8120,'[1]Tissue Data'!$A:$A,'[1]Tissue Data'!L:L)</f>
        <v>6</v>
      </c>
      <c r="J8120">
        <f>_xlfn.XLOOKUP(A8120,'[1]Tissue Data'!$A:$A,'[1]Tissue Data'!M:M)</f>
        <v>2.0299999999999998</v>
      </c>
      <c r="K8120" t="s">
        <v>30</v>
      </c>
      <c r="L8120" t="str">
        <f>_xlfn.XLOOKUP(K8120,[2]analyte_order!$B:$B,[2]analyte_order!$C:$C)</f>
        <v>68259-12-1</v>
      </c>
      <c r="M8120">
        <f>_xlfn.XLOOKUP(L8120,[2]analyte_order!$C:$C,[2]analyte_order!$E:$E)</f>
        <v>19</v>
      </c>
      <c r="N8120">
        <v>1.24</v>
      </c>
    </row>
    <row r="8121" spans="1:14">
      <c r="A8121" t="s">
        <v>151</v>
      </c>
      <c r="B8121" t="str">
        <f>_xlfn.XLOOKUP(A8121,'[1]Tissue Data'!$A:$A,'[1]Tissue Data'!$C:$C)</f>
        <v>Down</v>
      </c>
      <c r="C8121" s="2">
        <f>_xlfn.XLOOKUP(A8121,'[1]Tissue Data'!$A:$A,'[1]Tissue Data'!$D:$D)</f>
        <v>44393</v>
      </c>
      <c r="D8121" s="2" t="s">
        <v>131</v>
      </c>
      <c r="E8121" t="str">
        <f>_xlfn.XLOOKUP(A8121,'[1]Tissue Data'!$A:$A,'[1]Tissue Data'!$H:$H)</f>
        <v>Rhinichthys</v>
      </c>
      <c r="F8121" t="str">
        <f>_xlfn.XLOOKUP(A8121,'[1]Tissue Data'!$A:$A,'[1]Tissue Data'!$I:$I)</f>
        <v>atratulus</v>
      </c>
      <c r="G8121" t="str">
        <f>_xlfn.XLOOKUP(A8121,'[1]Tissue Data'!$A:$A,'[1]Tissue Data'!J:J)</f>
        <v>U</v>
      </c>
      <c r="H8121" t="str">
        <f>_xlfn.XLOOKUP(A8121,'[1]Tissue Data'!$A:$A,'[1]Tissue Data'!K:K)</f>
        <v>Whole Body</v>
      </c>
      <c r="I8121">
        <f>_xlfn.XLOOKUP(A8121,'[1]Tissue Data'!$A:$A,'[1]Tissue Data'!L:L)</f>
        <v>6</v>
      </c>
      <c r="J8121">
        <f>_xlfn.XLOOKUP(A8121,'[1]Tissue Data'!$A:$A,'[1]Tissue Data'!M:M)</f>
        <v>2.0299999999999998</v>
      </c>
      <c r="K8121" t="s">
        <v>31</v>
      </c>
      <c r="L8121" t="str">
        <f>_xlfn.XLOOKUP(K8121,[2]analyte_order!$B:$B,[2]analyte_order!$C:$C)</f>
        <v>335-77-3</v>
      </c>
      <c r="M8121">
        <f>_xlfn.XLOOKUP(L8121,[2]analyte_order!$C:$C,[2]analyte_order!$E:$E)</f>
        <v>20</v>
      </c>
      <c r="N8121">
        <v>2.25</v>
      </c>
    </row>
    <row r="8122" spans="1:14">
      <c r="A8122" t="s">
        <v>151</v>
      </c>
      <c r="B8122" t="str">
        <f>_xlfn.XLOOKUP(A8122,'[1]Tissue Data'!$A:$A,'[1]Tissue Data'!$C:$C)</f>
        <v>Down</v>
      </c>
      <c r="C8122" s="2">
        <f>_xlfn.XLOOKUP(A8122,'[1]Tissue Data'!$A:$A,'[1]Tissue Data'!$D:$D)</f>
        <v>44393</v>
      </c>
      <c r="D8122" s="2" t="s">
        <v>131</v>
      </c>
      <c r="E8122" t="str">
        <f>_xlfn.XLOOKUP(A8122,'[1]Tissue Data'!$A:$A,'[1]Tissue Data'!$H:$H)</f>
        <v>Rhinichthys</v>
      </c>
      <c r="F8122" t="str">
        <f>_xlfn.XLOOKUP(A8122,'[1]Tissue Data'!$A:$A,'[1]Tissue Data'!$I:$I)</f>
        <v>atratulus</v>
      </c>
      <c r="G8122" t="str">
        <f>_xlfn.XLOOKUP(A8122,'[1]Tissue Data'!$A:$A,'[1]Tissue Data'!J:J)</f>
        <v>U</v>
      </c>
      <c r="H8122" t="str">
        <f>_xlfn.XLOOKUP(A8122,'[1]Tissue Data'!$A:$A,'[1]Tissue Data'!K:K)</f>
        <v>Whole Body</v>
      </c>
      <c r="I8122">
        <f>_xlfn.XLOOKUP(A8122,'[1]Tissue Data'!$A:$A,'[1]Tissue Data'!L:L)</f>
        <v>6</v>
      </c>
      <c r="J8122">
        <f>_xlfn.XLOOKUP(A8122,'[1]Tissue Data'!$A:$A,'[1]Tissue Data'!M:M)</f>
        <v>2.0299999999999998</v>
      </c>
      <c r="K8122" t="s">
        <v>32</v>
      </c>
      <c r="L8122" t="str">
        <f>_xlfn.XLOOKUP(K8122,[2]analyte_order!$B:$B,[2]analyte_order!$C:$C)</f>
        <v>79780-39-5</v>
      </c>
      <c r="M8122">
        <f>_xlfn.XLOOKUP(L8122,[2]analyte_order!$C:$C,[2]analyte_order!$E:$E)</f>
        <v>21</v>
      </c>
      <c r="N8122">
        <v>0.626</v>
      </c>
    </row>
    <row r="8123" spans="1:14">
      <c r="A8123" t="s">
        <v>151</v>
      </c>
      <c r="B8123" t="str">
        <f>_xlfn.XLOOKUP(A8123,'[1]Tissue Data'!$A:$A,'[1]Tissue Data'!$C:$C)</f>
        <v>Down</v>
      </c>
      <c r="C8123" s="2">
        <f>_xlfn.XLOOKUP(A8123,'[1]Tissue Data'!$A:$A,'[1]Tissue Data'!$D:$D)</f>
        <v>44393</v>
      </c>
      <c r="D8123" s="2" t="s">
        <v>131</v>
      </c>
      <c r="E8123" t="str">
        <f>_xlfn.XLOOKUP(A8123,'[1]Tissue Data'!$A:$A,'[1]Tissue Data'!$H:$H)</f>
        <v>Rhinichthys</v>
      </c>
      <c r="F8123" t="str">
        <f>_xlfn.XLOOKUP(A8123,'[1]Tissue Data'!$A:$A,'[1]Tissue Data'!$I:$I)</f>
        <v>atratulus</v>
      </c>
      <c r="G8123" t="str">
        <f>_xlfn.XLOOKUP(A8123,'[1]Tissue Data'!$A:$A,'[1]Tissue Data'!J:J)</f>
        <v>U</v>
      </c>
      <c r="H8123" t="str">
        <f>_xlfn.XLOOKUP(A8123,'[1]Tissue Data'!$A:$A,'[1]Tissue Data'!K:K)</f>
        <v>Whole Body</v>
      </c>
      <c r="I8123">
        <f>_xlfn.XLOOKUP(A8123,'[1]Tissue Data'!$A:$A,'[1]Tissue Data'!L:L)</f>
        <v>6</v>
      </c>
      <c r="J8123">
        <f>_xlfn.XLOOKUP(A8123,'[1]Tissue Data'!$A:$A,'[1]Tissue Data'!M:M)</f>
        <v>2.0299999999999998</v>
      </c>
      <c r="K8123" t="s">
        <v>33</v>
      </c>
      <c r="L8123" t="str">
        <f>_xlfn.XLOOKUP(K8123,[2]analyte_order!$B:$B,[2]analyte_order!$C:$C)</f>
        <v>777011-38-8</v>
      </c>
      <c r="M8123">
        <f>_xlfn.XLOOKUP(L8123,[2]analyte_order!$C:$C,[2]analyte_order!$E:$E)</f>
        <v>54</v>
      </c>
      <c r="N8123">
        <v>1.43</v>
      </c>
    </row>
    <row r="8124" spans="1:14">
      <c r="A8124" t="s">
        <v>151</v>
      </c>
      <c r="B8124" t="str">
        <f>_xlfn.XLOOKUP(A8124,'[1]Tissue Data'!$A:$A,'[1]Tissue Data'!$C:$C)</f>
        <v>Down</v>
      </c>
      <c r="C8124" s="2">
        <f>_xlfn.XLOOKUP(A8124,'[1]Tissue Data'!$A:$A,'[1]Tissue Data'!$D:$D)</f>
        <v>44393</v>
      </c>
      <c r="D8124" s="2" t="s">
        <v>131</v>
      </c>
      <c r="E8124" t="str">
        <f>_xlfn.XLOOKUP(A8124,'[1]Tissue Data'!$A:$A,'[1]Tissue Data'!$H:$H)</f>
        <v>Rhinichthys</v>
      </c>
      <c r="F8124" t="str">
        <f>_xlfn.XLOOKUP(A8124,'[1]Tissue Data'!$A:$A,'[1]Tissue Data'!$I:$I)</f>
        <v>atratulus</v>
      </c>
      <c r="G8124" t="str">
        <f>_xlfn.XLOOKUP(A8124,'[1]Tissue Data'!$A:$A,'[1]Tissue Data'!J:J)</f>
        <v>U</v>
      </c>
      <c r="H8124" t="str">
        <f>_xlfn.XLOOKUP(A8124,'[1]Tissue Data'!$A:$A,'[1]Tissue Data'!K:K)</f>
        <v>Whole Body</v>
      </c>
      <c r="I8124">
        <f>_xlfn.XLOOKUP(A8124,'[1]Tissue Data'!$A:$A,'[1]Tissue Data'!L:L)</f>
        <v>6</v>
      </c>
      <c r="J8124">
        <f>_xlfn.XLOOKUP(A8124,'[1]Tissue Data'!$A:$A,'[1]Tissue Data'!M:M)</f>
        <v>2.0299999999999998</v>
      </c>
      <c r="K8124" t="s">
        <v>34</v>
      </c>
      <c r="L8124" t="str">
        <f>_xlfn.XLOOKUP(K8124,[2]analyte_order!$B:$B,[2]analyte_order!$C:$C)</f>
        <v>646-83-3</v>
      </c>
      <c r="M8124">
        <f>_xlfn.XLOOKUP(L8124,[2]analyte_order!$C:$C,[2]analyte_order!$E:$E)</f>
        <v>55</v>
      </c>
      <c r="N8124">
        <v>0.64300000000000002</v>
      </c>
    </row>
    <row r="8125" spans="1:14">
      <c r="A8125" t="s">
        <v>151</v>
      </c>
      <c r="B8125" t="str">
        <f>_xlfn.XLOOKUP(A8125,'[1]Tissue Data'!$A:$A,'[1]Tissue Data'!$C:$C)</f>
        <v>Down</v>
      </c>
      <c r="C8125" s="2">
        <f>_xlfn.XLOOKUP(A8125,'[1]Tissue Data'!$A:$A,'[1]Tissue Data'!$D:$D)</f>
        <v>44393</v>
      </c>
      <c r="D8125" s="2" t="s">
        <v>131</v>
      </c>
      <c r="E8125" t="str">
        <f>_xlfn.XLOOKUP(A8125,'[1]Tissue Data'!$A:$A,'[1]Tissue Data'!$H:$H)</f>
        <v>Rhinichthys</v>
      </c>
      <c r="F8125" t="str">
        <f>_xlfn.XLOOKUP(A8125,'[1]Tissue Data'!$A:$A,'[1]Tissue Data'!$I:$I)</f>
        <v>atratulus</v>
      </c>
      <c r="G8125" t="str">
        <f>_xlfn.XLOOKUP(A8125,'[1]Tissue Data'!$A:$A,'[1]Tissue Data'!J:J)</f>
        <v>U</v>
      </c>
      <c r="H8125" t="str">
        <f>_xlfn.XLOOKUP(A8125,'[1]Tissue Data'!$A:$A,'[1]Tissue Data'!K:K)</f>
        <v>Whole Body</v>
      </c>
      <c r="I8125">
        <f>_xlfn.XLOOKUP(A8125,'[1]Tissue Data'!$A:$A,'[1]Tissue Data'!L:L)</f>
        <v>6</v>
      </c>
      <c r="J8125">
        <f>_xlfn.XLOOKUP(A8125,'[1]Tissue Data'!$A:$A,'[1]Tissue Data'!M:M)</f>
        <v>2.0299999999999998</v>
      </c>
      <c r="K8125" t="s">
        <v>35</v>
      </c>
      <c r="L8125" t="str">
        <f>_xlfn.XLOOKUP(K8125,[2]analyte_order!$B:$B,[2]analyte_order!$C:$C)</f>
        <v>30334-69-1</v>
      </c>
      <c r="M8125">
        <f>_xlfn.XLOOKUP(L8125,[2]analyte_order!$C:$C,[2]analyte_order!$E:$E)</f>
        <v>51</v>
      </c>
      <c r="N8125">
        <v>38.200000000000003</v>
      </c>
    </row>
    <row r="8126" spans="1:14">
      <c r="A8126" t="s">
        <v>151</v>
      </c>
      <c r="B8126" t="str">
        <f>_xlfn.XLOOKUP(A8126,'[1]Tissue Data'!$A:$A,'[1]Tissue Data'!$C:$C)</f>
        <v>Down</v>
      </c>
      <c r="C8126" s="2">
        <f>_xlfn.XLOOKUP(A8126,'[1]Tissue Data'!$A:$A,'[1]Tissue Data'!$D:$D)</f>
        <v>44393</v>
      </c>
      <c r="D8126" s="2" t="s">
        <v>131</v>
      </c>
      <c r="E8126" t="str">
        <f>_xlfn.XLOOKUP(A8126,'[1]Tissue Data'!$A:$A,'[1]Tissue Data'!$H:$H)</f>
        <v>Rhinichthys</v>
      </c>
      <c r="F8126" t="str">
        <f>_xlfn.XLOOKUP(A8126,'[1]Tissue Data'!$A:$A,'[1]Tissue Data'!$I:$I)</f>
        <v>atratulus</v>
      </c>
      <c r="G8126" t="str">
        <f>_xlfn.XLOOKUP(A8126,'[1]Tissue Data'!$A:$A,'[1]Tissue Data'!J:J)</f>
        <v>U</v>
      </c>
      <c r="H8126" t="str">
        <f>_xlfn.XLOOKUP(A8126,'[1]Tissue Data'!$A:$A,'[1]Tissue Data'!K:K)</f>
        <v>Whole Body</v>
      </c>
      <c r="I8126">
        <f>_xlfn.XLOOKUP(A8126,'[1]Tissue Data'!$A:$A,'[1]Tissue Data'!L:L)</f>
        <v>6</v>
      </c>
      <c r="J8126">
        <f>_xlfn.XLOOKUP(A8126,'[1]Tissue Data'!$A:$A,'[1]Tissue Data'!M:M)</f>
        <v>2.0299999999999998</v>
      </c>
      <c r="K8126" t="s">
        <v>36</v>
      </c>
      <c r="L8126" t="str">
        <f>_xlfn.XLOOKUP(K8126,[2]analyte_order!$B:$B,[2]analyte_order!$C:$C)</f>
        <v>41997-13-1</v>
      </c>
      <c r="M8126">
        <f>_xlfn.XLOOKUP(L8126,[2]analyte_order!$C:$C,[2]analyte_order!$E:$E)</f>
        <v>52</v>
      </c>
      <c r="N8126">
        <v>401</v>
      </c>
    </row>
    <row r="8127" spans="1:14">
      <c r="A8127" t="s">
        <v>151</v>
      </c>
      <c r="B8127" t="str">
        <f>_xlfn.XLOOKUP(A8127,'[1]Tissue Data'!$A:$A,'[1]Tissue Data'!$C:$C)</f>
        <v>Down</v>
      </c>
      <c r="C8127" s="2">
        <f>_xlfn.XLOOKUP(A8127,'[1]Tissue Data'!$A:$A,'[1]Tissue Data'!$D:$D)</f>
        <v>44393</v>
      </c>
      <c r="D8127" s="2" t="s">
        <v>131</v>
      </c>
      <c r="E8127" t="str">
        <f>_xlfn.XLOOKUP(A8127,'[1]Tissue Data'!$A:$A,'[1]Tissue Data'!$H:$H)</f>
        <v>Rhinichthys</v>
      </c>
      <c r="F8127" t="str">
        <f>_xlfn.XLOOKUP(A8127,'[1]Tissue Data'!$A:$A,'[1]Tissue Data'!$I:$I)</f>
        <v>atratulus</v>
      </c>
      <c r="G8127" t="str">
        <f>_xlfn.XLOOKUP(A8127,'[1]Tissue Data'!$A:$A,'[1]Tissue Data'!J:J)</f>
        <v>U</v>
      </c>
      <c r="H8127" t="str">
        <f>_xlfn.XLOOKUP(A8127,'[1]Tissue Data'!$A:$A,'[1]Tissue Data'!K:K)</f>
        <v>Whole Body</v>
      </c>
      <c r="I8127">
        <f>_xlfn.XLOOKUP(A8127,'[1]Tissue Data'!$A:$A,'[1]Tissue Data'!L:L)</f>
        <v>6</v>
      </c>
      <c r="J8127">
        <f>_xlfn.XLOOKUP(A8127,'[1]Tissue Data'!$A:$A,'[1]Tissue Data'!M:M)</f>
        <v>2.0299999999999998</v>
      </c>
      <c r="K8127" t="s">
        <v>37</v>
      </c>
      <c r="L8127" t="str">
        <f>_xlfn.XLOOKUP(K8127,[2]analyte_order!$B:$B,[2]analyte_order!$C:$C)</f>
        <v>754-91-6</v>
      </c>
      <c r="M8127">
        <f>_xlfn.XLOOKUP(L8127,[2]analyte_order!$C:$C,[2]analyte_order!$E:$E)</f>
        <v>28</v>
      </c>
      <c r="N8127">
        <v>22.2</v>
      </c>
    </row>
    <row r="8128" spans="1:14">
      <c r="A8128" t="s">
        <v>151</v>
      </c>
      <c r="B8128" t="str">
        <f>_xlfn.XLOOKUP(A8128,'[1]Tissue Data'!$A:$A,'[1]Tissue Data'!$C:$C)</f>
        <v>Down</v>
      </c>
      <c r="C8128" s="2">
        <f>_xlfn.XLOOKUP(A8128,'[1]Tissue Data'!$A:$A,'[1]Tissue Data'!$D:$D)</f>
        <v>44393</v>
      </c>
      <c r="D8128" s="2" t="s">
        <v>131</v>
      </c>
      <c r="E8128" t="str">
        <f>_xlfn.XLOOKUP(A8128,'[1]Tissue Data'!$A:$A,'[1]Tissue Data'!$H:$H)</f>
        <v>Rhinichthys</v>
      </c>
      <c r="F8128" t="str">
        <f>_xlfn.XLOOKUP(A8128,'[1]Tissue Data'!$A:$A,'[1]Tissue Data'!$I:$I)</f>
        <v>atratulus</v>
      </c>
      <c r="G8128" t="str">
        <f>_xlfn.XLOOKUP(A8128,'[1]Tissue Data'!$A:$A,'[1]Tissue Data'!J:J)</f>
        <v>U</v>
      </c>
      <c r="H8128" t="str">
        <f>_xlfn.XLOOKUP(A8128,'[1]Tissue Data'!$A:$A,'[1]Tissue Data'!K:K)</f>
        <v>Whole Body</v>
      </c>
      <c r="I8128">
        <f>_xlfn.XLOOKUP(A8128,'[1]Tissue Data'!$A:$A,'[1]Tissue Data'!L:L)</f>
        <v>6</v>
      </c>
      <c r="J8128">
        <f>_xlfn.XLOOKUP(A8128,'[1]Tissue Data'!$A:$A,'[1]Tissue Data'!M:M)</f>
        <v>2.0299999999999998</v>
      </c>
      <c r="K8128" t="s">
        <v>38</v>
      </c>
      <c r="L8128" t="str">
        <f>_xlfn.XLOOKUP(K8128,[2]analyte_order!$B:$B,[2]analyte_order!$C:$C)</f>
        <v>31506-32-8</v>
      </c>
      <c r="M8128">
        <f>_xlfn.XLOOKUP(L8128,[2]analyte_order!$C:$C,[2]analyte_order!$E:$E)</f>
        <v>30</v>
      </c>
      <c r="N8128">
        <v>0.17150000000000001</v>
      </c>
    </row>
    <row r="8129" spans="1:14">
      <c r="A8129" t="s">
        <v>151</v>
      </c>
      <c r="B8129" t="str">
        <f>_xlfn.XLOOKUP(A8129,'[1]Tissue Data'!$A:$A,'[1]Tissue Data'!$C:$C)</f>
        <v>Down</v>
      </c>
      <c r="C8129" s="2">
        <f>_xlfn.XLOOKUP(A8129,'[1]Tissue Data'!$A:$A,'[1]Tissue Data'!$D:$D)</f>
        <v>44393</v>
      </c>
      <c r="D8129" s="2" t="s">
        <v>131</v>
      </c>
      <c r="E8129" t="str">
        <f>_xlfn.XLOOKUP(A8129,'[1]Tissue Data'!$A:$A,'[1]Tissue Data'!$H:$H)</f>
        <v>Rhinichthys</v>
      </c>
      <c r="F8129" t="str">
        <f>_xlfn.XLOOKUP(A8129,'[1]Tissue Data'!$A:$A,'[1]Tissue Data'!$I:$I)</f>
        <v>atratulus</v>
      </c>
      <c r="G8129" t="str">
        <f>_xlfn.XLOOKUP(A8129,'[1]Tissue Data'!$A:$A,'[1]Tissue Data'!J:J)</f>
        <v>U</v>
      </c>
      <c r="H8129" t="str">
        <f>_xlfn.XLOOKUP(A8129,'[1]Tissue Data'!$A:$A,'[1]Tissue Data'!K:K)</f>
        <v>Whole Body</v>
      </c>
      <c r="I8129">
        <f>_xlfn.XLOOKUP(A8129,'[1]Tissue Data'!$A:$A,'[1]Tissue Data'!L:L)</f>
        <v>6</v>
      </c>
      <c r="J8129">
        <f>_xlfn.XLOOKUP(A8129,'[1]Tissue Data'!$A:$A,'[1]Tissue Data'!M:M)</f>
        <v>2.0299999999999998</v>
      </c>
      <c r="K8129" t="s">
        <v>39</v>
      </c>
      <c r="L8129" t="str">
        <f>_xlfn.XLOOKUP(K8129,[2]analyte_order!$B:$B,[2]analyte_order!$C:$C)</f>
        <v>4151-50-2</v>
      </c>
      <c r="M8129">
        <f>_xlfn.XLOOKUP(L8129,[2]analyte_order!$C:$C,[2]analyte_order!$E:$E)</f>
        <v>31</v>
      </c>
      <c r="N8129">
        <v>0.44550000000000001</v>
      </c>
    </row>
    <row r="8130" spans="1:14">
      <c r="A8130" t="s">
        <v>151</v>
      </c>
      <c r="B8130" t="str">
        <f>_xlfn.XLOOKUP(A8130,'[1]Tissue Data'!$A:$A,'[1]Tissue Data'!$C:$C)</f>
        <v>Down</v>
      </c>
      <c r="C8130" s="2">
        <f>_xlfn.XLOOKUP(A8130,'[1]Tissue Data'!$A:$A,'[1]Tissue Data'!$D:$D)</f>
        <v>44393</v>
      </c>
      <c r="D8130" s="2" t="s">
        <v>131</v>
      </c>
      <c r="E8130" t="str">
        <f>_xlfn.XLOOKUP(A8130,'[1]Tissue Data'!$A:$A,'[1]Tissue Data'!$H:$H)</f>
        <v>Rhinichthys</v>
      </c>
      <c r="F8130" t="str">
        <f>_xlfn.XLOOKUP(A8130,'[1]Tissue Data'!$A:$A,'[1]Tissue Data'!$I:$I)</f>
        <v>atratulus</v>
      </c>
      <c r="G8130" t="str">
        <f>_xlfn.XLOOKUP(A8130,'[1]Tissue Data'!$A:$A,'[1]Tissue Data'!J:J)</f>
        <v>U</v>
      </c>
      <c r="H8130" t="str">
        <f>_xlfn.XLOOKUP(A8130,'[1]Tissue Data'!$A:$A,'[1]Tissue Data'!K:K)</f>
        <v>Whole Body</v>
      </c>
      <c r="I8130">
        <f>_xlfn.XLOOKUP(A8130,'[1]Tissue Data'!$A:$A,'[1]Tissue Data'!L:L)</f>
        <v>6</v>
      </c>
      <c r="J8130">
        <f>_xlfn.XLOOKUP(A8130,'[1]Tissue Data'!$A:$A,'[1]Tissue Data'!M:M)</f>
        <v>2.0299999999999998</v>
      </c>
      <c r="K8130" t="s">
        <v>40</v>
      </c>
      <c r="L8130" t="str">
        <f>_xlfn.XLOOKUP(K8130,[2]analyte_order!$B:$B,[2]analyte_order!$C:$C)</f>
        <v>2806-24-8</v>
      </c>
      <c r="M8130">
        <f>_xlfn.XLOOKUP(L8130,[2]analyte_order!$C:$C,[2]analyte_order!$E:$E)</f>
        <v>29</v>
      </c>
      <c r="N8130">
        <v>0.44550000000000001</v>
      </c>
    </row>
    <row r="8131" spans="1:14">
      <c r="A8131" t="s">
        <v>151</v>
      </c>
      <c r="B8131" t="str">
        <f>_xlfn.XLOOKUP(A8131,'[1]Tissue Data'!$A:$A,'[1]Tissue Data'!$C:$C)</f>
        <v>Down</v>
      </c>
      <c r="C8131" s="2">
        <f>_xlfn.XLOOKUP(A8131,'[1]Tissue Data'!$A:$A,'[1]Tissue Data'!$D:$D)</f>
        <v>44393</v>
      </c>
      <c r="D8131" s="2" t="s">
        <v>131</v>
      </c>
      <c r="E8131" t="str">
        <f>_xlfn.XLOOKUP(A8131,'[1]Tissue Data'!$A:$A,'[1]Tissue Data'!$H:$H)</f>
        <v>Rhinichthys</v>
      </c>
      <c r="F8131" t="str">
        <f>_xlfn.XLOOKUP(A8131,'[1]Tissue Data'!$A:$A,'[1]Tissue Data'!$I:$I)</f>
        <v>atratulus</v>
      </c>
      <c r="G8131" t="str">
        <f>_xlfn.XLOOKUP(A8131,'[1]Tissue Data'!$A:$A,'[1]Tissue Data'!J:J)</f>
        <v>U</v>
      </c>
      <c r="H8131" t="str">
        <f>_xlfn.XLOOKUP(A8131,'[1]Tissue Data'!$A:$A,'[1]Tissue Data'!K:K)</f>
        <v>Whole Body</v>
      </c>
      <c r="I8131">
        <f>_xlfn.XLOOKUP(A8131,'[1]Tissue Data'!$A:$A,'[1]Tissue Data'!L:L)</f>
        <v>6</v>
      </c>
      <c r="J8131">
        <f>_xlfn.XLOOKUP(A8131,'[1]Tissue Data'!$A:$A,'[1]Tissue Data'!M:M)</f>
        <v>2.0299999999999998</v>
      </c>
      <c r="K8131" t="s">
        <v>41</v>
      </c>
      <c r="L8131" t="str">
        <f>_xlfn.XLOOKUP(K8131,[2]analyte_order!$B:$B,[2]analyte_order!$C:$C)</f>
        <v>2355-31-9</v>
      </c>
      <c r="M8131">
        <f>_xlfn.XLOOKUP(L8131,[2]analyte_order!$C:$C,[2]analyte_order!$E:$E)</f>
        <v>26</v>
      </c>
      <c r="N8131">
        <v>0.224</v>
      </c>
    </row>
    <row r="8132" spans="1:14">
      <c r="A8132" t="s">
        <v>151</v>
      </c>
      <c r="B8132" t="str">
        <f>_xlfn.XLOOKUP(A8132,'[1]Tissue Data'!$A:$A,'[1]Tissue Data'!$C:$C)</f>
        <v>Down</v>
      </c>
      <c r="C8132" s="2">
        <f>_xlfn.XLOOKUP(A8132,'[1]Tissue Data'!$A:$A,'[1]Tissue Data'!$D:$D)</f>
        <v>44393</v>
      </c>
      <c r="D8132" s="2" t="s">
        <v>131</v>
      </c>
      <c r="E8132" t="str">
        <f>_xlfn.XLOOKUP(A8132,'[1]Tissue Data'!$A:$A,'[1]Tissue Data'!$H:$H)</f>
        <v>Rhinichthys</v>
      </c>
      <c r="F8132" t="str">
        <f>_xlfn.XLOOKUP(A8132,'[1]Tissue Data'!$A:$A,'[1]Tissue Data'!$I:$I)</f>
        <v>atratulus</v>
      </c>
      <c r="G8132" t="str">
        <f>_xlfn.XLOOKUP(A8132,'[1]Tissue Data'!$A:$A,'[1]Tissue Data'!J:J)</f>
        <v>U</v>
      </c>
      <c r="H8132" t="str">
        <f>_xlfn.XLOOKUP(A8132,'[1]Tissue Data'!$A:$A,'[1]Tissue Data'!K:K)</f>
        <v>Whole Body</v>
      </c>
      <c r="I8132">
        <f>_xlfn.XLOOKUP(A8132,'[1]Tissue Data'!$A:$A,'[1]Tissue Data'!L:L)</f>
        <v>6</v>
      </c>
      <c r="J8132">
        <f>_xlfn.XLOOKUP(A8132,'[1]Tissue Data'!$A:$A,'[1]Tissue Data'!M:M)</f>
        <v>2.0299999999999998</v>
      </c>
      <c r="K8132" t="s">
        <v>42</v>
      </c>
      <c r="L8132" t="str">
        <f>_xlfn.XLOOKUP(K8132,[2]analyte_order!$B:$B,[2]analyte_order!$C:$C)</f>
        <v>2991-50-6</v>
      </c>
      <c r="M8132">
        <f>_xlfn.XLOOKUP(L8132,[2]analyte_order!$C:$C,[2]analyte_order!$E:$E)</f>
        <v>27</v>
      </c>
      <c r="N8132">
        <v>0.223</v>
      </c>
    </row>
    <row r="8133" spans="1:14">
      <c r="A8133" t="s">
        <v>151</v>
      </c>
      <c r="B8133" t="str">
        <f>_xlfn.XLOOKUP(A8133,'[1]Tissue Data'!$A:$A,'[1]Tissue Data'!$C:$C)</f>
        <v>Down</v>
      </c>
      <c r="C8133" s="2">
        <f>_xlfn.XLOOKUP(A8133,'[1]Tissue Data'!$A:$A,'[1]Tissue Data'!$D:$D)</f>
        <v>44393</v>
      </c>
      <c r="D8133" s="2" t="s">
        <v>131</v>
      </c>
      <c r="E8133" t="str">
        <f>_xlfn.XLOOKUP(A8133,'[1]Tissue Data'!$A:$A,'[1]Tissue Data'!$H:$H)</f>
        <v>Rhinichthys</v>
      </c>
      <c r="F8133" t="str">
        <f>_xlfn.XLOOKUP(A8133,'[1]Tissue Data'!$A:$A,'[1]Tissue Data'!$I:$I)</f>
        <v>atratulus</v>
      </c>
      <c r="G8133" t="str">
        <f>_xlfn.XLOOKUP(A8133,'[1]Tissue Data'!$A:$A,'[1]Tissue Data'!J:J)</f>
        <v>U</v>
      </c>
      <c r="H8133" t="str">
        <f>_xlfn.XLOOKUP(A8133,'[1]Tissue Data'!$A:$A,'[1]Tissue Data'!K:K)</f>
        <v>Whole Body</v>
      </c>
      <c r="I8133">
        <f>_xlfn.XLOOKUP(A8133,'[1]Tissue Data'!$A:$A,'[1]Tissue Data'!L:L)</f>
        <v>6</v>
      </c>
      <c r="J8133">
        <f>_xlfn.XLOOKUP(A8133,'[1]Tissue Data'!$A:$A,'[1]Tissue Data'!M:M)</f>
        <v>2.0299999999999998</v>
      </c>
      <c r="K8133" t="s">
        <v>43</v>
      </c>
      <c r="L8133" t="str">
        <f>_xlfn.XLOOKUP(K8133,[2]analyte_order!$B:$B,[2]analyte_order!$C:$C)</f>
        <v>757124-72-4</v>
      </c>
      <c r="M8133">
        <f>_xlfn.XLOOKUP(L8133,[2]analyte_order!$C:$C,[2]analyte_order!$E:$E)</f>
        <v>22</v>
      </c>
      <c r="N8133">
        <v>0.223</v>
      </c>
    </row>
    <row r="8134" spans="1:14">
      <c r="A8134" t="s">
        <v>151</v>
      </c>
      <c r="B8134" t="str">
        <f>_xlfn.XLOOKUP(A8134,'[1]Tissue Data'!$A:$A,'[1]Tissue Data'!$C:$C)</f>
        <v>Down</v>
      </c>
      <c r="C8134" s="2">
        <f>_xlfn.XLOOKUP(A8134,'[1]Tissue Data'!$A:$A,'[1]Tissue Data'!$D:$D)</f>
        <v>44393</v>
      </c>
      <c r="D8134" s="2" t="s">
        <v>131</v>
      </c>
      <c r="E8134" t="str">
        <f>_xlfn.XLOOKUP(A8134,'[1]Tissue Data'!$A:$A,'[1]Tissue Data'!$H:$H)</f>
        <v>Rhinichthys</v>
      </c>
      <c r="F8134" t="str">
        <f>_xlfn.XLOOKUP(A8134,'[1]Tissue Data'!$A:$A,'[1]Tissue Data'!$I:$I)</f>
        <v>atratulus</v>
      </c>
      <c r="G8134" t="str">
        <f>_xlfn.XLOOKUP(A8134,'[1]Tissue Data'!$A:$A,'[1]Tissue Data'!J:J)</f>
        <v>U</v>
      </c>
      <c r="H8134" t="str">
        <f>_xlfn.XLOOKUP(A8134,'[1]Tissue Data'!$A:$A,'[1]Tissue Data'!K:K)</f>
        <v>Whole Body</v>
      </c>
      <c r="I8134">
        <f>_xlfn.XLOOKUP(A8134,'[1]Tissue Data'!$A:$A,'[1]Tissue Data'!L:L)</f>
        <v>6</v>
      </c>
      <c r="J8134">
        <f>_xlfn.XLOOKUP(A8134,'[1]Tissue Data'!$A:$A,'[1]Tissue Data'!M:M)</f>
        <v>2.0299999999999998</v>
      </c>
      <c r="K8134" t="s">
        <v>44</v>
      </c>
      <c r="L8134" t="str">
        <f>_xlfn.XLOOKUP(K8134,[2]analyte_order!$B:$B,[2]analyte_order!$C:$C)</f>
        <v>27619-97-2</v>
      </c>
      <c r="M8134">
        <f>_xlfn.XLOOKUP(L8134,[2]analyte_order!$C:$C,[2]analyte_order!$E:$E)</f>
        <v>23</v>
      </c>
      <c r="N8134">
        <v>2.0499999999999998</v>
      </c>
    </row>
    <row r="8135" spans="1:14">
      <c r="A8135" t="s">
        <v>151</v>
      </c>
      <c r="B8135" t="str">
        <f>_xlfn.XLOOKUP(A8135,'[1]Tissue Data'!$A:$A,'[1]Tissue Data'!$C:$C)</f>
        <v>Down</v>
      </c>
      <c r="C8135" s="2">
        <f>_xlfn.XLOOKUP(A8135,'[1]Tissue Data'!$A:$A,'[1]Tissue Data'!$D:$D)</f>
        <v>44393</v>
      </c>
      <c r="D8135" s="2" t="s">
        <v>131</v>
      </c>
      <c r="E8135" t="str">
        <f>_xlfn.XLOOKUP(A8135,'[1]Tissue Data'!$A:$A,'[1]Tissue Data'!$H:$H)</f>
        <v>Rhinichthys</v>
      </c>
      <c r="F8135" t="str">
        <f>_xlfn.XLOOKUP(A8135,'[1]Tissue Data'!$A:$A,'[1]Tissue Data'!$I:$I)</f>
        <v>atratulus</v>
      </c>
      <c r="G8135" t="str">
        <f>_xlfn.XLOOKUP(A8135,'[1]Tissue Data'!$A:$A,'[1]Tissue Data'!J:J)</f>
        <v>U</v>
      </c>
      <c r="H8135" t="str">
        <f>_xlfn.XLOOKUP(A8135,'[1]Tissue Data'!$A:$A,'[1]Tissue Data'!K:K)</f>
        <v>Whole Body</v>
      </c>
      <c r="I8135">
        <f>_xlfn.XLOOKUP(A8135,'[1]Tissue Data'!$A:$A,'[1]Tissue Data'!L:L)</f>
        <v>6</v>
      </c>
      <c r="J8135">
        <f>_xlfn.XLOOKUP(A8135,'[1]Tissue Data'!$A:$A,'[1]Tissue Data'!M:M)</f>
        <v>2.0299999999999998</v>
      </c>
      <c r="K8135" t="s">
        <v>45</v>
      </c>
      <c r="L8135" t="str">
        <f>_xlfn.XLOOKUP(K8135,[2]analyte_order!$B:$B,[2]analyte_order!$C:$C)</f>
        <v>39108-34-4</v>
      </c>
      <c r="M8135">
        <f>_xlfn.XLOOKUP(L8135,[2]analyte_order!$C:$C,[2]analyte_order!$E:$E)</f>
        <v>24</v>
      </c>
      <c r="N8135">
        <v>24.7</v>
      </c>
    </row>
    <row r="8136" spans="1:14">
      <c r="A8136" t="s">
        <v>151</v>
      </c>
      <c r="B8136" t="str">
        <f>_xlfn.XLOOKUP(A8136,'[1]Tissue Data'!$A:$A,'[1]Tissue Data'!$C:$C)</f>
        <v>Down</v>
      </c>
      <c r="C8136" s="2">
        <f>_xlfn.XLOOKUP(A8136,'[1]Tissue Data'!$A:$A,'[1]Tissue Data'!$D:$D)</f>
        <v>44393</v>
      </c>
      <c r="D8136" s="2" t="s">
        <v>131</v>
      </c>
      <c r="E8136" t="str">
        <f>_xlfn.XLOOKUP(A8136,'[1]Tissue Data'!$A:$A,'[1]Tissue Data'!$H:$H)</f>
        <v>Rhinichthys</v>
      </c>
      <c r="F8136" t="str">
        <f>_xlfn.XLOOKUP(A8136,'[1]Tissue Data'!$A:$A,'[1]Tissue Data'!$I:$I)</f>
        <v>atratulus</v>
      </c>
      <c r="G8136" t="str">
        <f>_xlfn.XLOOKUP(A8136,'[1]Tissue Data'!$A:$A,'[1]Tissue Data'!J:J)</f>
        <v>U</v>
      </c>
      <c r="H8136" t="str">
        <f>_xlfn.XLOOKUP(A8136,'[1]Tissue Data'!$A:$A,'[1]Tissue Data'!K:K)</f>
        <v>Whole Body</v>
      </c>
      <c r="I8136">
        <f>_xlfn.XLOOKUP(A8136,'[1]Tissue Data'!$A:$A,'[1]Tissue Data'!L:L)</f>
        <v>6</v>
      </c>
      <c r="J8136">
        <f>_xlfn.XLOOKUP(A8136,'[1]Tissue Data'!$A:$A,'[1]Tissue Data'!M:M)</f>
        <v>2.0299999999999998</v>
      </c>
      <c r="K8136" t="s">
        <v>46</v>
      </c>
      <c r="L8136" t="str">
        <f>_xlfn.XLOOKUP(K8136,[2]analyte_order!$B:$B,[2]analyte_order!$C:$C)</f>
        <v>120226-60-0</v>
      </c>
      <c r="M8136">
        <f>_xlfn.XLOOKUP(L8136,[2]analyte_order!$C:$C,[2]analyte_order!$E:$E)</f>
        <v>25</v>
      </c>
      <c r="N8136">
        <v>0.44550000000000001</v>
      </c>
    </row>
    <row r="8137" spans="1:14">
      <c r="A8137" t="s">
        <v>151</v>
      </c>
      <c r="B8137" t="str">
        <f>_xlfn.XLOOKUP(A8137,'[1]Tissue Data'!$A:$A,'[1]Tissue Data'!$C:$C)</f>
        <v>Down</v>
      </c>
      <c r="C8137" s="2">
        <f>_xlfn.XLOOKUP(A8137,'[1]Tissue Data'!$A:$A,'[1]Tissue Data'!$D:$D)</f>
        <v>44393</v>
      </c>
      <c r="D8137" s="2" t="s">
        <v>131</v>
      </c>
      <c r="E8137" t="str">
        <f>_xlfn.XLOOKUP(A8137,'[1]Tissue Data'!$A:$A,'[1]Tissue Data'!$H:$H)</f>
        <v>Rhinichthys</v>
      </c>
      <c r="F8137" t="str">
        <f>_xlfn.XLOOKUP(A8137,'[1]Tissue Data'!$A:$A,'[1]Tissue Data'!$I:$I)</f>
        <v>atratulus</v>
      </c>
      <c r="G8137" t="str">
        <f>_xlfn.XLOOKUP(A8137,'[1]Tissue Data'!$A:$A,'[1]Tissue Data'!J:J)</f>
        <v>U</v>
      </c>
      <c r="H8137" t="str">
        <f>_xlfn.XLOOKUP(A8137,'[1]Tissue Data'!$A:$A,'[1]Tissue Data'!K:K)</f>
        <v>Whole Body</v>
      </c>
      <c r="I8137">
        <f>_xlfn.XLOOKUP(A8137,'[1]Tissue Data'!$A:$A,'[1]Tissue Data'!L:L)</f>
        <v>6</v>
      </c>
      <c r="J8137">
        <f>_xlfn.XLOOKUP(A8137,'[1]Tissue Data'!$A:$A,'[1]Tissue Data'!M:M)</f>
        <v>2.0299999999999998</v>
      </c>
      <c r="K8137" t="s">
        <v>47</v>
      </c>
      <c r="L8137" t="str">
        <f>_xlfn.XLOOKUP(K8137,[2]analyte_order!$B:$B,[2]analyte_order!$C:$C)</f>
        <v>356-02-5</v>
      </c>
      <c r="M8137">
        <f>_xlfn.XLOOKUP(L8137,[2]analyte_order!$C:$C,[2]analyte_order!$E:$E)</f>
        <v>38</v>
      </c>
      <c r="N8137">
        <v>0.25700000000000001</v>
      </c>
    </row>
    <row r="8138" spans="1:14">
      <c r="A8138" t="s">
        <v>151</v>
      </c>
      <c r="B8138" t="str">
        <f>_xlfn.XLOOKUP(A8138,'[1]Tissue Data'!$A:$A,'[1]Tissue Data'!$C:$C)</f>
        <v>Down</v>
      </c>
      <c r="C8138" s="2">
        <f>_xlfn.XLOOKUP(A8138,'[1]Tissue Data'!$A:$A,'[1]Tissue Data'!$D:$D)</f>
        <v>44393</v>
      </c>
      <c r="D8138" s="2" t="s">
        <v>131</v>
      </c>
      <c r="E8138" t="str">
        <f>_xlfn.XLOOKUP(A8138,'[1]Tissue Data'!$A:$A,'[1]Tissue Data'!$H:$H)</f>
        <v>Rhinichthys</v>
      </c>
      <c r="F8138" t="str">
        <f>_xlfn.XLOOKUP(A8138,'[1]Tissue Data'!$A:$A,'[1]Tissue Data'!$I:$I)</f>
        <v>atratulus</v>
      </c>
      <c r="G8138" t="str">
        <f>_xlfn.XLOOKUP(A8138,'[1]Tissue Data'!$A:$A,'[1]Tissue Data'!J:J)</f>
        <v>U</v>
      </c>
      <c r="H8138" t="str">
        <f>_xlfn.XLOOKUP(A8138,'[1]Tissue Data'!$A:$A,'[1]Tissue Data'!K:K)</f>
        <v>Whole Body</v>
      </c>
      <c r="I8138">
        <f>_xlfn.XLOOKUP(A8138,'[1]Tissue Data'!$A:$A,'[1]Tissue Data'!L:L)</f>
        <v>6</v>
      </c>
      <c r="J8138">
        <f>_xlfn.XLOOKUP(A8138,'[1]Tissue Data'!$A:$A,'[1]Tissue Data'!M:M)</f>
        <v>2.0299999999999998</v>
      </c>
      <c r="K8138" t="s">
        <v>48</v>
      </c>
      <c r="L8138" t="str">
        <f>_xlfn.XLOOKUP(K8138,[2]analyte_order!$B:$B,[2]analyte_order!$C:$C)</f>
        <v>914637-49-3</v>
      </c>
      <c r="M8138">
        <f>_xlfn.XLOOKUP(L8138,[2]analyte_order!$C:$C,[2]analyte_order!$E:$E)</f>
        <v>39</v>
      </c>
      <c r="N8138">
        <v>0.56599999999999995</v>
      </c>
    </row>
    <row r="8139" spans="1:14">
      <c r="A8139" t="s">
        <v>151</v>
      </c>
      <c r="B8139" t="str">
        <f>_xlfn.XLOOKUP(A8139,'[1]Tissue Data'!$A:$A,'[1]Tissue Data'!$C:$C)</f>
        <v>Down</v>
      </c>
      <c r="C8139" s="2">
        <f>_xlfn.XLOOKUP(A8139,'[1]Tissue Data'!$A:$A,'[1]Tissue Data'!$D:$D)</f>
        <v>44393</v>
      </c>
      <c r="D8139" s="2" t="s">
        <v>131</v>
      </c>
      <c r="E8139" t="str">
        <f>_xlfn.XLOOKUP(A8139,'[1]Tissue Data'!$A:$A,'[1]Tissue Data'!$H:$H)</f>
        <v>Rhinichthys</v>
      </c>
      <c r="F8139" t="str">
        <f>_xlfn.XLOOKUP(A8139,'[1]Tissue Data'!$A:$A,'[1]Tissue Data'!$I:$I)</f>
        <v>atratulus</v>
      </c>
      <c r="G8139" t="str">
        <f>_xlfn.XLOOKUP(A8139,'[1]Tissue Data'!$A:$A,'[1]Tissue Data'!J:J)</f>
        <v>U</v>
      </c>
      <c r="H8139" t="str">
        <f>_xlfn.XLOOKUP(A8139,'[1]Tissue Data'!$A:$A,'[1]Tissue Data'!K:K)</f>
        <v>Whole Body</v>
      </c>
      <c r="I8139">
        <f>_xlfn.XLOOKUP(A8139,'[1]Tissue Data'!$A:$A,'[1]Tissue Data'!L:L)</f>
        <v>6</v>
      </c>
      <c r="J8139">
        <f>_xlfn.XLOOKUP(A8139,'[1]Tissue Data'!$A:$A,'[1]Tissue Data'!M:M)</f>
        <v>2.0299999999999998</v>
      </c>
      <c r="K8139" t="s">
        <v>49</v>
      </c>
      <c r="L8139" t="str">
        <f>_xlfn.XLOOKUP(K8139,[2]analyte_order!$B:$B,[2]analyte_order!$C:$C)</f>
        <v>812-70-4</v>
      </c>
      <c r="M8139">
        <f>_xlfn.XLOOKUP(L8139,[2]analyte_order!$C:$C,[2]analyte_order!$E:$E)</f>
        <v>40</v>
      </c>
      <c r="N8139">
        <v>5.09</v>
      </c>
    </row>
    <row r="8140" spans="1:14">
      <c r="A8140" t="s">
        <v>151</v>
      </c>
      <c r="B8140" t="str">
        <f>_xlfn.XLOOKUP(A8140,'[1]Tissue Data'!$A:$A,'[1]Tissue Data'!$C:$C)</f>
        <v>Down</v>
      </c>
      <c r="C8140" s="2">
        <f>_xlfn.XLOOKUP(A8140,'[1]Tissue Data'!$A:$A,'[1]Tissue Data'!$D:$D)</f>
        <v>44393</v>
      </c>
      <c r="D8140" s="2" t="s">
        <v>131</v>
      </c>
      <c r="E8140" t="str">
        <f>_xlfn.XLOOKUP(A8140,'[1]Tissue Data'!$A:$A,'[1]Tissue Data'!$H:$H)</f>
        <v>Rhinichthys</v>
      </c>
      <c r="F8140" t="str">
        <f>_xlfn.XLOOKUP(A8140,'[1]Tissue Data'!$A:$A,'[1]Tissue Data'!$I:$I)</f>
        <v>atratulus</v>
      </c>
      <c r="G8140" t="str">
        <f>_xlfn.XLOOKUP(A8140,'[1]Tissue Data'!$A:$A,'[1]Tissue Data'!J:J)</f>
        <v>U</v>
      </c>
      <c r="H8140" t="str">
        <f>_xlfn.XLOOKUP(A8140,'[1]Tissue Data'!$A:$A,'[1]Tissue Data'!K:K)</f>
        <v>Whole Body</v>
      </c>
      <c r="I8140">
        <f>_xlfn.XLOOKUP(A8140,'[1]Tissue Data'!$A:$A,'[1]Tissue Data'!L:L)</f>
        <v>6</v>
      </c>
      <c r="J8140">
        <f>_xlfn.XLOOKUP(A8140,'[1]Tissue Data'!$A:$A,'[1]Tissue Data'!M:M)</f>
        <v>2.0299999999999998</v>
      </c>
      <c r="K8140" t="s">
        <v>50</v>
      </c>
      <c r="L8140" t="str">
        <f>_xlfn.XLOOKUP(K8140,[2]analyte_order!$B:$B,[2]analyte_order!$C:$C)</f>
        <v>53826-12-3</v>
      </c>
      <c r="M8140">
        <f>_xlfn.XLOOKUP(L8140,[2]analyte_order!$C:$C,[2]analyte_order!$E:$E)</f>
        <v>41</v>
      </c>
      <c r="N8140">
        <v>0.44550000000000001</v>
      </c>
    </row>
    <row r="8141" spans="1:14">
      <c r="A8141" t="s">
        <v>151</v>
      </c>
      <c r="B8141" t="str">
        <f>_xlfn.XLOOKUP(A8141,'[1]Tissue Data'!$A:$A,'[1]Tissue Data'!$C:$C)</f>
        <v>Down</v>
      </c>
      <c r="C8141" s="2">
        <f>_xlfn.XLOOKUP(A8141,'[1]Tissue Data'!$A:$A,'[1]Tissue Data'!$D:$D)</f>
        <v>44393</v>
      </c>
      <c r="D8141" s="2" t="s">
        <v>131</v>
      </c>
      <c r="E8141" t="str">
        <f>_xlfn.XLOOKUP(A8141,'[1]Tissue Data'!$A:$A,'[1]Tissue Data'!$H:$H)</f>
        <v>Rhinichthys</v>
      </c>
      <c r="F8141" t="str">
        <f>_xlfn.XLOOKUP(A8141,'[1]Tissue Data'!$A:$A,'[1]Tissue Data'!$I:$I)</f>
        <v>atratulus</v>
      </c>
      <c r="G8141" t="str">
        <f>_xlfn.XLOOKUP(A8141,'[1]Tissue Data'!$A:$A,'[1]Tissue Data'!J:J)</f>
        <v>U</v>
      </c>
      <c r="H8141" t="str">
        <f>_xlfn.XLOOKUP(A8141,'[1]Tissue Data'!$A:$A,'[1]Tissue Data'!K:K)</f>
        <v>Whole Body</v>
      </c>
      <c r="I8141">
        <f>_xlfn.XLOOKUP(A8141,'[1]Tissue Data'!$A:$A,'[1]Tissue Data'!L:L)</f>
        <v>6</v>
      </c>
      <c r="J8141">
        <f>_xlfn.XLOOKUP(A8141,'[1]Tissue Data'!$A:$A,'[1]Tissue Data'!M:M)</f>
        <v>2.0299999999999998</v>
      </c>
      <c r="K8141" t="s">
        <v>51</v>
      </c>
      <c r="L8141" t="str">
        <f>_xlfn.XLOOKUP(K8141,[2]analyte_order!$B:$B,[2]analyte_order!$C:$C)</f>
        <v>27854-31-5</v>
      </c>
      <c r="M8141">
        <f>_xlfn.XLOOKUP(L8141,[2]analyte_order!$C:$C,[2]analyte_order!$E:$E)</f>
        <v>42</v>
      </c>
      <c r="N8141">
        <v>0.44550000000000001</v>
      </c>
    </row>
    <row r="8142" spans="1:14">
      <c r="A8142" t="s">
        <v>151</v>
      </c>
      <c r="B8142" t="str">
        <f>_xlfn.XLOOKUP(A8142,'[1]Tissue Data'!$A:$A,'[1]Tissue Data'!$C:$C)</f>
        <v>Down</v>
      </c>
      <c r="C8142" s="2">
        <f>_xlfn.XLOOKUP(A8142,'[1]Tissue Data'!$A:$A,'[1]Tissue Data'!$D:$D)</f>
        <v>44393</v>
      </c>
      <c r="D8142" s="2" t="s">
        <v>131</v>
      </c>
      <c r="E8142" t="str">
        <f>_xlfn.XLOOKUP(A8142,'[1]Tissue Data'!$A:$A,'[1]Tissue Data'!$H:$H)</f>
        <v>Rhinichthys</v>
      </c>
      <c r="F8142" t="str">
        <f>_xlfn.XLOOKUP(A8142,'[1]Tissue Data'!$A:$A,'[1]Tissue Data'!$I:$I)</f>
        <v>atratulus</v>
      </c>
      <c r="G8142" t="str">
        <f>_xlfn.XLOOKUP(A8142,'[1]Tissue Data'!$A:$A,'[1]Tissue Data'!J:J)</f>
        <v>U</v>
      </c>
      <c r="H8142" t="str">
        <f>_xlfn.XLOOKUP(A8142,'[1]Tissue Data'!$A:$A,'[1]Tissue Data'!K:K)</f>
        <v>Whole Body</v>
      </c>
      <c r="I8142">
        <f>_xlfn.XLOOKUP(A8142,'[1]Tissue Data'!$A:$A,'[1]Tissue Data'!L:L)</f>
        <v>6</v>
      </c>
      <c r="J8142">
        <f>_xlfn.XLOOKUP(A8142,'[1]Tissue Data'!$A:$A,'[1]Tissue Data'!M:M)</f>
        <v>2.0299999999999998</v>
      </c>
      <c r="K8142" t="s">
        <v>52</v>
      </c>
      <c r="L8142" t="str">
        <f>_xlfn.XLOOKUP(K8142,[2]analyte_order!$B:$B,[2]analyte_order!$C:$C)</f>
        <v>53826-13-4</v>
      </c>
      <c r="M8142">
        <f>_xlfn.XLOOKUP(L8142,[2]analyte_order!$C:$C,[2]analyte_order!$E:$E)</f>
        <v>43</v>
      </c>
      <c r="N8142">
        <v>0.44550000000000001</v>
      </c>
    </row>
    <row r="8143" spans="1:14">
      <c r="A8143" t="s">
        <v>151</v>
      </c>
      <c r="B8143" t="str">
        <f>_xlfn.XLOOKUP(A8143,'[1]Tissue Data'!$A:$A,'[1]Tissue Data'!$C:$C)</f>
        <v>Down</v>
      </c>
      <c r="C8143" s="2">
        <f>_xlfn.XLOOKUP(A8143,'[1]Tissue Data'!$A:$A,'[1]Tissue Data'!$D:$D)</f>
        <v>44393</v>
      </c>
      <c r="D8143" s="2" t="s">
        <v>131</v>
      </c>
      <c r="E8143" t="str">
        <f>_xlfn.XLOOKUP(A8143,'[1]Tissue Data'!$A:$A,'[1]Tissue Data'!$H:$H)</f>
        <v>Rhinichthys</v>
      </c>
      <c r="F8143" t="str">
        <f>_xlfn.XLOOKUP(A8143,'[1]Tissue Data'!$A:$A,'[1]Tissue Data'!$I:$I)</f>
        <v>atratulus</v>
      </c>
      <c r="G8143" t="str">
        <f>_xlfn.XLOOKUP(A8143,'[1]Tissue Data'!$A:$A,'[1]Tissue Data'!J:J)</f>
        <v>U</v>
      </c>
      <c r="H8143" t="str">
        <f>_xlfn.XLOOKUP(A8143,'[1]Tissue Data'!$A:$A,'[1]Tissue Data'!K:K)</f>
        <v>Whole Body</v>
      </c>
      <c r="I8143">
        <f>_xlfn.XLOOKUP(A8143,'[1]Tissue Data'!$A:$A,'[1]Tissue Data'!L:L)</f>
        <v>6</v>
      </c>
      <c r="J8143">
        <f>_xlfn.XLOOKUP(A8143,'[1]Tissue Data'!$A:$A,'[1]Tissue Data'!M:M)</f>
        <v>2.0299999999999998</v>
      </c>
      <c r="K8143" t="s">
        <v>53</v>
      </c>
      <c r="L8143" t="str">
        <f>_xlfn.XLOOKUP(K8143,[2]analyte_order!$B:$B,[2]analyte_order!$C:$C)</f>
        <v>161094-75-3</v>
      </c>
      <c r="M8143">
        <f>_xlfn.XLOOKUP(L8143,[2]analyte_order!$C:$C,[2]analyte_order!$E:$E)</f>
        <v>44</v>
      </c>
      <c r="N8143">
        <v>0.44550000000000001</v>
      </c>
    </row>
    <row r="8144" spans="1:14">
      <c r="A8144" t="s">
        <v>151</v>
      </c>
      <c r="B8144" t="str">
        <f>_xlfn.XLOOKUP(A8144,'[1]Tissue Data'!$A:$A,'[1]Tissue Data'!$C:$C)</f>
        <v>Down</v>
      </c>
      <c r="C8144" s="2">
        <f>_xlfn.XLOOKUP(A8144,'[1]Tissue Data'!$A:$A,'[1]Tissue Data'!$D:$D)</f>
        <v>44393</v>
      </c>
      <c r="D8144" s="2" t="s">
        <v>131</v>
      </c>
      <c r="E8144" t="str">
        <f>_xlfn.XLOOKUP(A8144,'[1]Tissue Data'!$A:$A,'[1]Tissue Data'!$H:$H)</f>
        <v>Rhinichthys</v>
      </c>
      <c r="F8144" t="str">
        <f>_xlfn.XLOOKUP(A8144,'[1]Tissue Data'!$A:$A,'[1]Tissue Data'!$I:$I)</f>
        <v>atratulus</v>
      </c>
      <c r="G8144" t="str">
        <f>_xlfn.XLOOKUP(A8144,'[1]Tissue Data'!$A:$A,'[1]Tissue Data'!J:J)</f>
        <v>U</v>
      </c>
      <c r="H8144" t="str">
        <f>_xlfn.XLOOKUP(A8144,'[1]Tissue Data'!$A:$A,'[1]Tissue Data'!K:K)</f>
        <v>Whole Body</v>
      </c>
      <c r="I8144">
        <f>_xlfn.XLOOKUP(A8144,'[1]Tissue Data'!$A:$A,'[1]Tissue Data'!L:L)</f>
        <v>6</v>
      </c>
      <c r="J8144">
        <f>_xlfn.XLOOKUP(A8144,'[1]Tissue Data'!$A:$A,'[1]Tissue Data'!M:M)</f>
        <v>2.0299999999999998</v>
      </c>
      <c r="K8144" t="s">
        <v>54</v>
      </c>
      <c r="L8144" t="str">
        <f>_xlfn.XLOOKUP(K8144,[2]analyte_order!$B:$B,[2]analyte_order!$C:$C)</f>
        <v>70887-84-2</v>
      </c>
      <c r="M8144">
        <f>_xlfn.XLOOKUP(L8144,[2]analyte_order!$C:$C,[2]analyte_order!$E:$E)</f>
        <v>45</v>
      </c>
      <c r="N8144">
        <v>0.44550000000000001</v>
      </c>
    </row>
    <row r="8145" spans="1:14">
      <c r="A8145" t="s">
        <v>151</v>
      </c>
      <c r="B8145" t="str">
        <f>_xlfn.XLOOKUP(A8145,'[1]Tissue Data'!$A:$A,'[1]Tissue Data'!$C:$C)</f>
        <v>Down</v>
      </c>
      <c r="C8145" s="2">
        <f>_xlfn.XLOOKUP(A8145,'[1]Tissue Data'!$A:$A,'[1]Tissue Data'!$D:$D)</f>
        <v>44393</v>
      </c>
      <c r="D8145" s="2" t="s">
        <v>131</v>
      </c>
      <c r="E8145" t="str">
        <f>_xlfn.XLOOKUP(A8145,'[1]Tissue Data'!$A:$A,'[1]Tissue Data'!$H:$H)</f>
        <v>Rhinichthys</v>
      </c>
      <c r="F8145" t="str">
        <f>_xlfn.XLOOKUP(A8145,'[1]Tissue Data'!$A:$A,'[1]Tissue Data'!$I:$I)</f>
        <v>atratulus</v>
      </c>
      <c r="G8145" t="str">
        <f>_xlfn.XLOOKUP(A8145,'[1]Tissue Data'!$A:$A,'[1]Tissue Data'!J:J)</f>
        <v>U</v>
      </c>
      <c r="H8145" t="str">
        <f>_xlfn.XLOOKUP(A8145,'[1]Tissue Data'!$A:$A,'[1]Tissue Data'!K:K)</f>
        <v>Whole Body</v>
      </c>
      <c r="I8145">
        <f>_xlfn.XLOOKUP(A8145,'[1]Tissue Data'!$A:$A,'[1]Tissue Data'!L:L)</f>
        <v>6</v>
      </c>
      <c r="J8145">
        <f>_xlfn.XLOOKUP(A8145,'[1]Tissue Data'!$A:$A,'[1]Tissue Data'!M:M)</f>
        <v>2.0299999999999998</v>
      </c>
      <c r="K8145" t="s">
        <v>55</v>
      </c>
      <c r="L8145" t="str">
        <f>_xlfn.XLOOKUP(K8145,[2]analyte_order!$B:$B,[2]analyte_order!$C:$C)</f>
        <v>919005-14-4</v>
      </c>
      <c r="M8145">
        <f>_xlfn.XLOOKUP(L8145,[2]analyte_order!$C:$C,[2]analyte_order!$E:$E)</f>
        <v>35</v>
      </c>
      <c r="N8145">
        <v>0.223</v>
      </c>
    </row>
    <row r="8146" spans="1:14">
      <c r="A8146" t="s">
        <v>151</v>
      </c>
      <c r="B8146" t="str">
        <f>_xlfn.XLOOKUP(A8146,'[1]Tissue Data'!$A:$A,'[1]Tissue Data'!$C:$C)</f>
        <v>Down</v>
      </c>
      <c r="C8146" s="2">
        <f>_xlfn.XLOOKUP(A8146,'[1]Tissue Data'!$A:$A,'[1]Tissue Data'!$D:$D)</f>
        <v>44393</v>
      </c>
      <c r="D8146" s="2" t="s">
        <v>131</v>
      </c>
      <c r="E8146" t="str">
        <f>_xlfn.XLOOKUP(A8146,'[1]Tissue Data'!$A:$A,'[1]Tissue Data'!$H:$H)</f>
        <v>Rhinichthys</v>
      </c>
      <c r="F8146" t="str">
        <f>_xlfn.XLOOKUP(A8146,'[1]Tissue Data'!$A:$A,'[1]Tissue Data'!$I:$I)</f>
        <v>atratulus</v>
      </c>
      <c r="G8146" t="str">
        <f>_xlfn.XLOOKUP(A8146,'[1]Tissue Data'!$A:$A,'[1]Tissue Data'!J:J)</f>
        <v>U</v>
      </c>
      <c r="H8146" t="str">
        <f>_xlfn.XLOOKUP(A8146,'[1]Tissue Data'!$A:$A,'[1]Tissue Data'!K:K)</f>
        <v>Whole Body</v>
      </c>
      <c r="I8146">
        <f>_xlfn.XLOOKUP(A8146,'[1]Tissue Data'!$A:$A,'[1]Tissue Data'!L:L)</f>
        <v>6</v>
      </c>
      <c r="J8146">
        <f>_xlfn.XLOOKUP(A8146,'[1]Tissue Data'!$A:$A,'[1]Tissue Data'!M:M)</f>
        <v>2.0299999999999998</v>
      </c>
      <c r="K8146" t="s">
        <v>56</v>
      </c>
      <c r="L8146" t="str">
        <f>_xlfn.XLOOKUP(K8146,[2]analyte_order!$B:$B,[2]analyte_order!$C:$C)</f>
        <v>756426-58-1</v>
      </c>
      <c r="M8146">
        <f>_xlfn.XLOOKUP(L8146,[2]analyte_order!$C:$C,[2]analyte_order!$E:$E)</f>
        <v>36</v>
      </c>
      <c r="N8146">
        <v>0.44550000000000001</v>
      </c>
    </row>
    <row r="8147" spans="1:14">
      <c r="A8147" t="s">
        <v>151</v>
      </c>
      <c r="B8147" t="str">
        <f>_xlfn.XLOOKUP(A8147,'[1]Tissue Data'!$A:$A,'[1]Tissue Data'!$C:$C)</f>
        <v>Down</v>
      </c>
      <c r="C8147" s="2">
        <f>_xlfn.XLOOKUP(A8147,'[1]Tissue Data'!$A:$A,'[1]Tissue Data'!$D:$D)</f>
        <v>44393</v>
      </c>
      <c r="D8147" s="2" t="s">
        <v>131</v>
      </c>
      <c r="E8147" t="str">
        <f>_xlfn.XLOOKUP(A8147,'[1]Tissue Data'!$A:$A,'[1]Tissue Data'!$H:$H)</f>
        <v>Rhinichthys</v>
      </c>
      <c r="F8147" t="str">
        <f>_xlfn.XLOOKUP(A8147,'[1]Tissue Data'!$A:$A,'[1]Tissue Data'!$I:$I)</f>
        <v>atratulus</v>
      </c>
      <c r="G8147" t="str">
        <f>_xlfn.XLOOKUP(A8147,'[1]Tissue Data'!$A:$A,'[1]Tissue Data'!J:J)</f>
        <v>U</v>
      </c>
      <c r="H8147" t="str">
        <f>_xlfn.XLOOKUP(A8147,'[1]Tissue Data'!$A:$A,'[1]Tissue Data'!K:K)</f>
        <v>Whole Body</v>
      </c>
      <c r="I8147">
        <f>_xlfn.XLOOKUP(A8147,'[1]Tissue Data'!$A:$A,'[1]Tissue Data'!L:L)</f>
        <v>6</v>
      </c>
      <c r="J8147">
        <f>_xlfn.XLOOKUP(A8147,'[1]Tissue Data'!$A:$A,'[1]Tissue Data'!M:M)</f>
        <v>2.0299999999999998</v>
      </c>
      <c r="K8147" t="s">
        <v>57</v>
      </c>
      <c r="L8147" t="str">
        <f>_xlfn.XLOOKUP(K8147,[2]analyte_order!$B:$B,[2]analyte_order!$C:$C)</f>
        <v>763051-92-9</v>
      </c>
      <c r="M8147">
        <f>_xlfn.XLOOKUP(L8147,[2]analyte_order!$C:$C,[2]analyte_order!$E:$E)</f>
        <v>37</v>
      </c>
      <c r="N8147">
        <v>0.44550000000000001</v>
      </c>
    </row>
    <row r="8148" spans="1:14">
      <c r="A8148" t="s">
        <v>151</v>
      </c>
      <c r="B8148" t="str">
        <f>_xlfn.XLOOKUP(A8148,'[1]Tissue Data'!$A:$A,'[1]Tissue Data'!$C:$C)</f>
        <v>Down</v>
      </c>
      <c r="C8148" s="2">
        <f>_xlfn.XLOOKUP(A8148,'[1]Tissue Data'!$A:$A,'[1]Tissue Data'!$D:$D)</f>
        <v>44393</v>
      </c>
      <c r="D8148" s="2" t="s">
        <v>131</v>
      </c>
      <c r="E8148" t="str">
        <f>_xlfn.XLOOKUP(A8148,'[1]Tissue Data'!$A:$A,'[1]Tissue Data'!$H:$H)</f>
        <v>Rhinichthys</v>
      </c>
      <c r="F8148" t="str">
        <f>_xlfn.XLOOKUP(A8148,'[1]Tissue Data'!$A:$A,'[1]Tissue Data'!$I:$I)</f>
        <v>atratulus</v>
      </c>
      <c r="G8148" t="str">
        <f>_xlfn.XLOOKUP(A8148,'[1]Tissue Data'!$A:$A,'[1]Tissue Data'!J:J)</f>
        <v>U</v>
      </c>
      <c r="H8148" t="str">
        <f>_xlfn.XLOOKUP(A8148,'[1]Tissue Data'!$A:$A,'[1]Tissue Data'!K:K)</f>
        <v>Whole Body</v>
      </c>
      <c r="I8148">
        <f>_xlfn.XLOOKUP(A8148,'[1]Tissue Data'!$A:$A,'[1]Tissue Data'!L:L)</f>
        <v>6</v>
      </c>
      <c r="J8148">
        <f>_xlfn.XLOOKUP(A8148,'[1]Tissue Data'!$A:$A,'[1]Tissue Data'!M:M)</f>
        <v>2.0299999999999998</v>
      </c>
      <c r="K8148" t="s">
        <v>58</v>
      </c>
      <c r="L8148" t="str">
        <f>_xlfn.XLOOKUP(K8148,[2]analyte_order!$B:$B,[2]analyte_order!$C:$C)</f>
        <v>13252-13-6</v>
      </c>
      <c r="M8148">
        <f>_xlfn.XLOOKUP(L8148,[2]analyte_order!$C:$C,[2]analyte_order!$E:$E)</f>
        <v>34</v>
      </c>
      <c r="N8148">
        <v>0.31950000000000001</v>
      </c>
    </row>
    <row r="8149" spans="1:14">
      <c r="A8149" t="s">
        <v>151</v>
      </c>
      <c r="B8149" t="str">
        <f>_xlfn.XLOOKUP(A8149,'[1]Tissue Data'!$A:$A,'[1]Tissue Data'!$C:$C)</f>
        <v>Down</v>
      </c>
      <c r="C8149" s="2">
        <f>_xlfn.XLOOKUP(A8149,'[1]Tissue Data'!$A:$A,'[1]Tissue Data'!$D:$D)</f>
        <v>44393</v>
      </c>
      <c r="D8149" s="2" t="s">
        <v>131</v>
      </c>
      <c r="E8149" t="str">
        <f>_xlfn.XLOOKUP(A8149,'[1]Tissue Data'!$A:$A,'[1]Tissue Data'!$H:$H)</f>
        <v>Rhinichthys</v>
      </c>
      <c r="F8149" t="str">
        <f>_xlfn.XLOOKUP(A8149,'[1]Tissue Data'!$A:$A,'[1]Tissue Data'!$I:$I)</f>
        <v>atratulus</v>
      </c>
      <c r="G8149" t="str">
        <f>_xlfn.XLOOKUP(A8149,'[1]Tissue Data'!$A:$A,'[1]Tissue Data'!J:J)</f>
        <v>U</v>
      </c>
      <c r="H8149" t="str">
        <f>_xlfn.XLOOKUP(A8149,'[1]Tissue Data'!$A:$A,'[1]Tissue Data'!K:K)</f>
        <v>Whole Body</v>
      </c>
      <c r="I8149">
        <f>_xlfn.XLOOKUP(A8149,'[1]Tissue Data'!$A:$A,'[1]Tissue Data'!L:L)</f>
        <v>6</v>
      </c>
      <c r="J8149">
        <f>_xlfn.XLOOKUP(A8149,'[1]Tissue Data'!$A:$A,'[1]Tissue Data'!M:M)</f>
        <v>2.0299999999999998</v>
      </c>
      <c r="K8149" t="s">
        <v>59</v>
      </c>
      <c r="L8149" t="str">
        <f>_xlfn.XLOOKUP(K8149,[2]analyte_order!$B:$B,[2]analyte_order!$C:$C)</f>
        <v>57677-95-9</v>
      </c>
      <c r="M8149">
        <f>_xlfn.XLOOKUP(L8149,[2]analyte_order!$C:$C,[2]analyte_order!$E:$E)</f>
        <v>46</v>
      </c>
      <c r="N8149">
        <v>0.44550000000000001</v>
      </c>
    </row>
    <row r="8150" spans="1:14">
      <c r="A8150" t="s">
        <v>151</v>
      </c>
      <c r="B8150" t="str">
        <f>_xlfn.XLOOKUP(A8150,'[1]Tissue Data'!$A:$A,'[1]Tissue Data'!$C:$C)</f>
        <v>Down</v>
      </c>
      <c r="C8150" s="2">
        <f>_xlfn.XLOOKUP(A8150,'[1]Tissue Data'!$A:$A,'[1]Tissue Data'!$D:$D)</f>
        <v>44393</v>
      </c>
      <c r="D8150" s="2" t="s">
        <v>131</v>
      </c>
      <c r="E8150" t="str">
        <f>_xlfn.XLOOKUP(A8150,'[1]Tissue Data'!$A:$A,'[1]Tissue Data'!$H:$H)</f>
        <v>Rhinichthys</v>
      </c>
      <c r="F8150" t="str">
        <f>_xlfn.XLOOKUP(A8150,'[1]Tissue Data'!$A:$A,'[1]Tissue Data'!$I:$I)</f>
        <v>atratulus</v>
      </c>
      <c r="G8150" t="str">
        <f>_xlfn.XLOOKUP(A8150,'[1]Tissue Data'!$A:$A,'[1]Tissue Data'!J:J)</f>
        <v>U</v>
      </c>
      <c r="H8150" t="str">
        <f>_xlfn.XLOOKUP(A8150,'[1]Tissue Data'!$A:$A,'[1]Tissue Data'!K:K)</f>
        <v>Whole Body</v>
      </c>
      <c r="I8150">
        <f>_xlfn.XLOOKUP(A8150,'[1]Tissue Data'!$A:$A,'[1]Tissue Data'!L:L)</f>
        <v>6</v>
      </c>
      <c r="J8150">
        <f>_xlfn.XLOOKUP(A8150,'[1]Tissue Data'!$A:$A,'[1]Tissue Data'!M:M)</f>
        <v>2.0299999999999998</v>
      </c>
      <c r="K8150" t="s">
        <v>60</v>
      </c>
      <c r="L8150" t="str">
        <f>_xlfn.XLOOKUP(K8150,[2]analyte_order!$B:$B,[2]analyte_order!$C:$C)</f>
        <v>678-41-1</v>
      </c>
      <c r="M8150">
        <f>_xlfn.XLOOKUP(L8150,[2]analyte_order!$C:$C,[2]analyte_order!$E:$E)</f>
        <v>56</v>
      </c>
      <c r="N8150">
        <v>0.44550000000000001</v>
      </c>
    </row>
    <row r="8151" spans="1:14">
      <c r="A8151" t="s">
        <v>151</v>
      </c>
      <c r="B8151" t="str">
        <f>_xlfn.XLOOKUP(A8151,'[1]Tissue Data'!$A:$A,'[1]Tissue Data'!$C:$C)</f>
        <v>Down</v>
      </c>
      <c r="C8151" s="2">
        <f>_xlfn.XLOOKUP(A8151,'[1]Tissue Data'!$A:$A,'[1]Tissue Data'!$D:$D)</f>
        <v>44393</v>
      </c>
      <c r="D8151" s="2" t="s">
        <v>131</v>
      </c>
      <c r="E8151" t="str">
        <f>_xlfn.XLOOKUP(A8151,'[1]Tissue Data'!$A:$A,'[1]Tissue Data'!$H:$H)</f>
        <v>Rhinichthys</v>
      </c>
      <c r="F8151" t="str">
        <f>_xlfn.XLOOKUP(A8151,'[1]Tissue Data'!$A:$A,'[1]Tissue Data'!$I:$I)</f>
        <v>atratulus</v>
      </c>
      <c r="G8151" t="str">
        <f>_xlfn.XLOOKUP(A8151,'[1]Tissue Data'!$A:$A,'[1]Tissue Data'!J:J)</f>
        <v>U</v>
      </c>
      <c r="H8151" t="str">
        <f>_xlfn.XLOOKUP(A8151,'[1]Tissue Data'!$A:$A,'[1]Tissue Data'!K:K)</f>
        <v>Whole Body</v>
      </c>
      <c r="I8151">
        <f>_xlfn.XLOOKUP(A8151,'[1]Tissue Data'!$A:$A,'[1]Tissue Data'!L:L)</f>
        <v>6</v>
      </c>
      <c r="J8151">
        <f>_xlfn.XLOOKUP(A8151,'[1]Tissue Data'!$A:$A,'[1]Tissue Data'!M:M)</f>
        <v>2.0299999999999998</v>
      </c>
      <c r="K8151" t="s">
        <v>61</v>
      </c>
      <c r="L8151" t="str">
        <f>_xlfn.XLOOKUP(K8151,[2]analyte_order!$B:$B,[2]analyte_order!$C:$C)</f>
        <v>2965-52-8</v>
      </c>
      <c r="M8151">
        <f>_xlfn.XLOOKUP(L8151,[2]analyte_order!$C:$C,[2]analyte_order!$E:$E)</f>
        <v>57</v>
      </c>
      <c r="N8151">
        <v>0.44550000000000001</v>
      </c>
    </row>
    <row r="8152" spans="1:14">
      <c r="A8152" t="s">
        <v>152</v>
      </c>
      <c r="B8152" t="str">
        <f>_xlfn.XLOOKUP(A8152,'[1]Tissue Data'!$A:$A,'[1]Tissue Data'!$C:$C)</f>
        <v>Down</v>
      </c>
      <c r="C8152" s="2">
        <f>_xlfn.XLOOKUP(A8152,'[1]Tissue Data'!$A:$A,'[1]Tissue Data'!$D:$D)</f>
        <v>44393</v>
      </c>
      <c r="D8152" s="2" t="s">
        <v>131</v>
      </c>
      <c r="E8152" t="str">
        <f>_xlfn.XLOOKUP(A8152,'[1]Tissue Data'!$A:$A,'[1]Tissue Data'!$H:$H)</f>
        <v>Rhinichthys</v>
      </c>
      <c r="F8152" t="str">
        <f>_xlfn.XLOOKUP(A8152,'[1]Tissue Data'!$A:$A,'[1]Tissue Data'!$I:$I)</f>
        <v>atratulus</v>
      </c>
      <c r="G8152" t="str">
        <f>_xlfn.XLOOKUP(A8152,'[1]Tissue Data'!$A:$A,'[1]Tissue Data'!J:J)</f>
        <v>U</v>
      </c>
      <c r="H8152" t="str">
        <f>_xlfn.XLOOKUP(A8152,'[1]Tissue Data'!$A:$A,'[1]Tissue Data'!K:K)</f>
        <v>Whole Body</v>
      </c>
      <c r="I8152">
        <f>_xlfn.XLOOKUP(A8152,'[1]Tissue Data'!$A:$A,'[1]Tissue Data'!L:L)</f>
        <v>5</v>
      </c>
      <c r="J8152">
        <f>_xlfn.XLOOKUP(A8152,'[1]Tissue Data'!$A:$A,'[1]Tissue Data'!M:M)</f>
        <v>1.63</v>
      </c>
      <c r="K8152" t="s">
        <v>12</v>
      </c>
      <c r="L8152" t="str">
        <f>_xlfn.XLOOKUP(K8152,[2]analyte_order!$B:$B,[2]analyte_order!$C:$C)</f>
        <v>375-22-4</v>
      </c>
      <c r="M8152">
        <f>_xlfn.XLOOKUP(L8152,[2]analyte_order!$C:$C,[2]analyte_order!$E:$E)</f>
        <v>1</v>
      </c>
      <c r="N8152">
        <v>0.21</v>
      </c>
    </row>
    <row r="8153" spans="1:14">
      <c r="A8153" t="s">
        <v>152</v>
      </c>
      <c r="B8153" t="str">
        <f>_xlfn.XLOOKUP(A8153,'[1]Tissue Data'!$A:$A,'[1]Tissue Data'!$C:$C)</f>
        <v>Down</v>
      </c>
      <c r="C8153" s="2">
        <f>_xlfn.XLOOKUP(A8153,'[1]Tissue Data'!$A:$A,'[1]Tissue Data'!$D:$D)</f>
        <v>44393</v>
      </c>
      <c r="D8153" s="2" t="s">
        <v>131</v>
      </c>
      <c r="E8153" t="str">
        <f>_xlfn.XLOOKUP(A8153,'[1]Tissue Data'!$A:$A,'[1]Tissue Data'!$H:$H)</f>
        <v>Rhinichthys</v>
      </c>
      <c r="F8153" t="str">
        <f>_xlfn.XLOOKUP(A8153,'[1]Tissue Data'!$A:$A,'[1]Tissue Data'!$I:$I)</f>
        <v>atratulus</v>
      </c>
      <c r="G8153" t="str">
        <f>_xlfn.XLOOKUP(A8153,'[1]Tissue Data'!$A:$A,'[1]Tissue Data'!J:J)</f>
        <v>U</v>
      </c>
      <c r="H8153" t="str">
        <f>_xlfn.XLOOKUP(A8153,'[1]Tissue Data'!$A:$A,'[1]Tissue Data'!K:K)</f>
        <v>Whole Body</v>
      </c>
      <c r="I8153">
        <f>_xlfn.XLOOKUP(A8153,'[1]Tissue Data'!$A:$A,'[1]Tissue Data'!L:L)</f>
        <v>5</v>
      </c>
      <c r="J8153">
        <f>_xlfn.XLOOKUP(A8153,'[1]Tissue Data'!$A:$A,'[1]Tissue Data'!M:M)</f>
        <v>1.63</v>
      </c>
      <c r="K8153" t="s">
        <v>13</v>
      </c>
      <c r="L8153" t="str">
        <f>_xlfn.XLOOKUP(K8153,[2]analyte_order!$B:$B,[2]analyte_order!$C:$C)</f>
        <v>2706-90-3</v>
      </c>
      <c r="M8153">
        <f>_xlfn.XLOOKUP(L8153,[2]analyte_order!$C:$C,[2]analyte_order!$E:$E)</f>
        <v>2</v>
      </c>
      <c r="N8153">
        <v>0.21</v>
      </c>
    </row>
    <row r="8154" spans="1:14">
      <c r="A8154" t="s">
        <v>152</v>
      </c>
      <c r="B8154" t="str">
        <f>_xlfn.XLOOKUP(A8154,'[1]Tissue Data'!$A:$A,'[1]Tissue Data'!$C:$C)</f>
        <v>Down</v>
      </c>
      <c r="C8154" s="2">
        <f>_xlfn.XLOOKUP(A8154,'[1]Tissue Data'!$A:$A,'[1]Tissue Data'!$D:$D)</f>
        <v>44393</v>
      </c>
      <c r="D8154" s="2" t="s">
        <v>131</v>
      </c>
      <c r="E8154" t="str">
        <f>_xlfn.XLOOKUP(A8154,'[1]Tissue Data'!$A:$A,'[1]Tissue Data'!$H:$H)</f>
        <v>Rhinichthys</v>
      </c>
      <c r="F8154" t="str">
        <f>_xlfn.XLOOKUP(A8154,'[1]Tissue Data'!$A:$A,'[1]Tissue Data'!$I:$I)</f>
        <v>atratulus</v>
      </c>
      <c r="G8154" t="str">
        <f>_xlfn.XLOOKUP(A8154,'[1]Tissue Data'!$A:$A,'[1]Tissue Data'!J:J)</f>
        <v>U</v>
      </c>
      <c r="H8154" t="str">
        <f>_xlfn.XLOOKUP(A8154,'[1]Tissue Data'!$A:$A,'[1]Tissue Data'!K:K)</f>
        <v>Whole Body</v>
      </c>
      <c r="I8154">
        <f>_xlfn.XLOOKUP(A8154,'[1]Tissue Data'!$A:$A,'[1]Tissue Data'!L:L)</f>
        <v>5</v>
      </c>
      <c r="J8154">
        <f>_xlfn.XLOOKUP(A8154,'[1]Tissue Data'!$A:$A,'[1]Tissue Data'!M:M)</f>
        <v>1.63</v>
      </c>
      <c r="K8154" t="s">
        <v>14</v>
      </c>
      <c r="L8154" t="str">
        <f>_xlfn.XLOOKUP(K8154,[2]analyte_order!$B:$B,[2]analyte_order!$C:$C)</f>
        <v>307-24-4</v>
      </c>
      <c r="M8154">
        <f>_xlfn.XLOOKUP(L8154,[2]analyte_order!$C:$C,[2]analyte_order!$E:$E)</f>
        <v>3</v>
      </c>
      <c r="N8154">
        <v>0.1135</v>
      </c>
    </row>
    <row r="8155" spans="1:14">
      <c r="A8155" t="s">
        <v>152</v>
      </c>
      <c r="B8155" t="str">
        <f>_xlfn.XLOOKUP(A8155,'[1]Tissue Data'!$A:$A,'[1]Tissue Data'!$C:$C)</f>
        <v>Down</v>
      </c>
      <c r="C8155" s="2">
        <f>_xlfn.XLOOKUP(A8155,'[1]Tissue Data'!$A:$A,'[1]Tissue Data'!$D:$D)</f>
        <v>44393</v>
      </c>
      <c r="D8155" s="2" t="s">
        <v>131</v>
      </c>
      <c r="E8155" t="str">
        <f>_xlfn.XLOOKUP(A8155,'[1]Tissue Data'!$A:$A,'[1]Tissue Data'!$H:$H)</f>
        <v>Rhinichthys</v>
      </c>
      <c r="F8155" t="str">
        <f>_xlfn.XLOOKUP(A8155,'[1]Tissue Data'!$A:$A,'[1]Tissue Data'!$I:$I)</f>
        <v>atratulus</v>
      </c>
      <c r="G8155" t="str">
        <f>_xlfn.XLOOKUP(A8155,'[1]Tissue Data'!$A:$A,'[1]Tissue Data'!J:J)</f>
        <v>U</v>
      </c>
      <c r="H8155" t="str">
        <f>_xlfn.XLOOKUP(A8155,'[1]Tissue Data'!$A:$A,'[1]Tissue Data'!K:K)</f>
        <v>Whole Body</v>
      </c>
      <c r="I8155">
        <f>_xlfn.XLOOKUP(A8155,'[1]Tissue Data'!$A:$A,'[1]Tissue Data'!L:L)</f>
        <v>5</v>
      </c>
      <c r="J8155">
        <f>_xlfn.XLOOKUP(A8155,'[1]Tissue Data'!$A:$A,'[1]Tissue Data'!M:M)</f>
        <v>1.63</v>
      </c>
      <c r="K8155" t="s">
        <v>15</v>
      </c>
      <c r="L8155" t="str">
        <f>_xlfn.XLOOKUP(K8155,[2]analyte_order!$B:$B,[2]analyte_order!$C:$C)</f>
        <v>375-85-9</v>
      </c>
      <c r="M8155">
        <f>_xlfn.XLOOKUP(L8155,[2]analyte_order!$C:$C,[2]analyte_order!$E:$E)</f>
        <v>4</v>
      </c>
      <c r="N8155">
        <v>0.21</v>
      </c>
    </row>
    <row r="8156" spans="1:14">
      <c r="A8156" t="s">
        <v>152</v>
      </c>
      <c r="B8156" t="str">
        <f>_xlfn.XLOOKUP(A8156,'[1]Tissue Data'!$A:$A,'[1]Tissue Data'!$C:$C)</f>
        <v>Down</v>
      </c>
      <c r="C8156" s="2">
        <f>_xlfn.XLOOKUP(A8156,'[1]Tissue Data'!$A:$A,'[1]Tissue Data'!$D:$D)</f>
        <v>44393</v>
      </c>
      <c r="D8156" s="2" t="s">
        <v>131</v>
      </c>
      <c r="E8156" t="str">
        <f>_xlfn.XLOOKUP(A8156,'[1]Tissue Data'!$A:$A,'[1]Tissue Data'!$H:$H)</f>
        <v>Rhinichthys</v>
      </c>
      <c r="F8156" t="str">
        <f>_xlfn.XLOOKUP(A8156,'[1]Tissue Data'!$A:$A,'[1]Tissue Data'!$I:$I)</f>
        <v>atratulus</v>
      </c>
      <c r="G8156" t="str">
        <f>_xlfn.XLOOKUP(A8156,'[1]Tissue Data'!$A:$A,'[1]Tissue Data'!J:J)</f>
        <v>U</v>
      </c>
      <c r="H8156" t="str">
        <f>_xlfn.XLOOKUP(A8156,'[1]Tissue Data'!$A:$A,'[1]Tissue Data'!K:K)</f>
        <v>Whole Body</v>
      </c>
      <c r="I8156">
        <f>_xlfn.XLOOKUP(A8156,'[1]Tissue Data'!$A:$A,'[1]Tissue Data'!L:L)</f>
        <v>5</v>
      </c>
      <c r="J8156">
        <f>_xlfn.XLOOKUP(A8156,'[1]Tissue Data'!$A:$A,'[1]Tissue Data'!M:M)</f>
        <v>1.63</v>
      </c>
      <c r="K8156" t="s">
        <v>16</v>
      </c>
      <c r="L8156" t="str">
        <f>_xlfn.XLOOKUP(K8156,[2]analyte_order!$B:$B,[2]analyte_order!$C:$C)</f>
        <v>335-67-1</v>
      </c>
      <c r="M8156">
        <f>_xlfn.XLOOKUP(L8156,[2]analyte_order!$C:$C,[2]analyte_order!$E:$E)</f>
        <v>5</v>
      </c>
      <c r="N8156">
        <v>2.17</v>
      </c>
    </row>
    <row r="8157" spans="1:14">
      <c r="A8157" t="s">
        <v>152</v>
      </c>
      <c r="B8157" t="str">
        <f>_xlfn.XLOOKUP(A8157,'[1]Tissue Data'!$A:$A,'[1]Tissue Data'!$C:$C)</f>
        <v>Down</v>
      </c>
      <c r="C8157" s="2">
        <f>_xlfn.XLOOKUP(A8157,'[1]Tissue Data'!$A:$A,'[1]Tissue Data'!$D:$D)</f>
        <v>44393</v>
      </c>
      <c r="D8157" s="2" t="s">
        <v>131</v>
      </c>
      <c r="E8157" t="str">
        <f>_xlfn.XLOOKUP(A8157,'[1]Tissue Data'!$A:$A,'[1]Tissue Data'!$H:$H)</f>
        <v>Rhinichthys</v>
      </c>
      <c r="F8157" t="str">
        <f>_xlfn.XLOOKUP(A8157,'[1]Tissue Data'!$A:$A,'[1]Tissue Data'!$I:$I)</f>
        <v>atratulus</v>
      </c>
      <c r="G8157" t="str">
        <f>_xlfn.XLOOKUP(A8157,'[1]Tissue Data'!$A:$A,'[1]Tissue Data'!J:J)</f>
        <v>U</v>
      </c>
      <c r="H8157" t="str">
        <f>_xlfn.XLOOKUP(A8157,'[1]Tissue Data'!$A:$A,'[1]Tissue Data'!K:K)</f>
        <v>Whole Body</v>
      </c>
      <c r="I8157">
        <f>_xlfn.XLOOKUP(A8157,'[1]Tissue Data'!$A:$A,'[1]Tissue Data'!L:L)</f>
        <v>5</v>
      </c>
      <c r="J8157">
        <f>_xlfn.XLOOKUP(A8157,'[1]Tissue Data'!$A:$A,'[1]Tissue Data'!M:M)</f>
        <v>1.63</v>
      </c>
      <c r="K8157" t="s">
        <v>17</v>
      </c>
      <c r="L8157" t="str">
        <f>_xlfn.XLOOKUP(K8157,[2]analyte_order!$B:$B,[2]analyte_order!$C:$C)</f>
        <v>375-95-1</v>
      </c>
      <c r="M8157">
        <f>_xlfn.XLOOKUP(L8157,[2]analyte_order!$C:$C,[2]analyte_order!$E:$E)</f>
        <v>6</v>
      </c>
      <c r="N8157">
        <v>2.16</v>
      </c>
    </row>
    <row r="8158" spans="1:14">
      <c r="A8158" t="s">
        <v>152</v>
      </c>
      <c r="B8158" t="str">
        <f>_xlfn.XLOOKUP(A8158,'[1]Tissue Data'!$A:$A,'[1]Tissue Data'!$C:$C)</f>
        <v>Down</v>
      </c>
      <c r="C8158" s="2">
        <f>_xlfn.XLOOKUP(A8158,'[1]Tissue Data'!$A:$A,'[1]Tissue Data'!$D:$D)</f>
        <v>44393</v>
      </c>
      <c r="D8158" s="2" t="s">
        <v>131</v>
      </c>
      <c r="E8158" t="str">
        <f>_xlfn.XLOOKUP(A8158,'[1]Tissue Data'!$A:$A,'[1]Tissue Data'!$H:$H)</f>
        <v>Rhinichthys</v>
      </c>
      <c r="F8158" t="str">
        <f>_xlfn.XLOOKUP(A8158,'[1]Tissue Data'!$A:$A,'[1]Tissue Data'!$I:$I)</f>
        <v>atratulus</v>
      </c>
      <c r="G8158" t="str">
        <f>_xlfn.XLOOKUP(A8158,'[1]Tissue Data'!$A:$A,'[1]Tissue Data'!J:J)</f>
        <v>U</v>
      </c>
      <c r="H8158" t="str">
        <f>_xlfn.XLOOKUP(A8158,'[1]Tissue Data'!$A:$A,'[1]Tissue Data'!K:K)</f>
        <v>Whole Body</v>
      </c>
      <c r="I8158">
        <f>_xlfn.XLOOKUP(A8158,'[1]Tissue Data'!$A:$A,'[1]Tissue Data'!L:L)</f>
        <v>5</v>
      </c>
      <c r="J8158">
        <f>_xlfn.XLOOKUP(A8158,'[1]Tissue Data'!$A:$A,'[1]Tissue Data'!M:M)</f>
        <v>1.63</v>
      </c>
      <c r="K8158" t="s">
        <v>18</v>
      </c>
      <c r="L8158" t="str">
        <f>_xlfn.XLOOKUP(K8158,[2]analyte_order!$B:$B,[2]analyte_order!$C:$C)</f>
        <v>335-76-2</v>
      </c>
      <c r="M8158">
        <f>_xlfn.XLOOKUP(L8158,[2]analyte_order!$C:$C,[2]analyte_order!$E:$E)</f>
        <v>7</v>
      </c>
      <c r="N8158">
        <v>7.48</v>
      </c>
    </row>
    <row r="8159" spans="1:14">
      <c r="A8159" t="s">
        <v>152</v>
      </c>
      <c r="B8159" t="str">
        <f>_xlfn.XLOOKUP(A8159,'[1]Tissue Data'!$A:$A,'[1]Tissue Data'!$C:$C)</f>
        <v>Down</v>
      </c>
      <c r="C8159" s="2">
        <f>_xlfn.XLOOKUP(A8159,'[1]Tissue Data'!$A:$A,'[1]Tissue Data'!$D:$D)</f>
        <v>44393</v>
      </c>
      <c r="D8159" s="2" t="s">
        <v>131</v>
      </c>
      <c r="E8159" t="str">
        <f>_xlfn.XLOOKUP(A8159,'[1]Tissue Data'!$A:$A,'[1]Tissue Data'!$H:$H)</f>
        <v>Rhinichthys</v>
      </c>
      <c r="F8159" t="str">
        <f>_xlfn.XLOOKUP(A8159,'[1]Tissue Data'!$A:$A,'[1]Tissue Data'!$I:$I)</f>
        <v>atratulus</v>
      </c>
      <c r="G8159" t="str">
        <f>_xlfn.XLOOKUP(A8159,'[1]Tissue Data'!$A:$A,'[1]Tissue Data'!J:J)</f>
        <v>U</v>
      </c>
      <c r="H8159" t="str">
        <f>_xlfn.XLOOKUP(A8159,'[1]Tissue Data'!$A:$A,'[1]Tissue Data'!K:K)</f>
        <v>Whole Body</v>
      </c>
      <c r="I8159">
        <f>_xlfn.XLOOKUP(A8159,'[1]Tissue Data'!$A:$A,'[1]Tissue Data'!L:L)</f>
        <v>5</v>
      </c>
      <c r="J8159">
        <f>_xlfn.XLOOKUP(A8159,'[1]Tissue Data'!$A:$A,'[1]Tissue Data'!M:M)</f>
        <v>1.63</v>
      </c>
      <c r="K8159" t="s">
        <v>19</v>
      </c>
      <c r="L8159" t="str">
        <f>_xlfn.XLOOKUP(K8159,[2]analyte_order!$B:$B,[2]analyte_order!$C:$C)</f>
        <v>2058-94-8</v>
      </c>
      <c r="M8159">
        <f>_xlfn.XLOOKUP(L8159,[2]analyte_order!$C:$C,[2]analyte_order!$E:$E)</f>
        <v>8</v>
      </c>
      <c r="N8159">
        <v>10.1</v>
      </c>
    </row>
    <row r="8160" spans="1:14">
      <c r="A8160" t="s">
        <v>152</v>
      </c>
      <c r="B8160" t="str">
        <f>_xlfn.XLOOKUP(A8160,'[1]Tissue Data'!$A:$A,'[1]Tissue Data'!$C:$C)</f>
        <v>Down</v>
      </c>
      <c r="C8160" s="2">
        <f>_xlfn.XLOOKUP(A8160,'[1]Tissue Data'!$A:$A,'[1]Tissue Data'!$D:$D)</f>
        <v>44393</v>
      </c>
      <c r="D8160" s="2" t="s">
        <v>131</v>
      </c>
      <c r="E8160" t="str">
        <f>_xlfn.XLOOKUP(A8160,'[1]Tissue Data'!$A:$A,'[1]Tissue Data'!$H:$H)</f>
        <v>Rhinichthys</v>
      </c>
      <c r="F8160" t="str">
        <f>_xlfn.XLOOKUP(A8160,'[1]Tissue Data'!$A:$A,'[1]Tissue Data'!$I:$I)</f>
        <v>atratulus</v>
      </c>
      <c r="G8160" t="str">
        <f>_xlfn.XLOOKUP(A8160,'[1]Tissue Data'!$A:$A,'[1]Tissue Data'!J:J)</f>
        <v>U</v>
      </c>
      <c r="H8160" t="str">
        <f>_xlfn.XLOOKUP(A8160,'[1]Tissue Data'!$A:$A,'[1]Tissue Data'!K:K)</f>
        <v>Whole Body</v>
      </c>
      <c r="I8160">
        <f>_xlfn.XLOOKUP(A8160,'[1]Tissue Data'!$A:$A,'[1]Tissue Data'!L:L)</f>
        <v>5</v>
      </c>
      <c r="J8160">
        <f>_xlfn.XLOOKUP(A8160,'[1]Tissue Data'!$A:$A,'[1]Tissue Data'!M:M)</f>
        <v>1.63</v>
      </c>
      <c r="K8160" t="s">
        <v>20</v>
      </c>
      <c r="L8160" t="str">
        <f>_xlfn.XLOOKUP(K8160,[2]analyte_order!$B:$B,[2]analyte_order!$C:$C)</f>
        <v>307-55-1</v>
      </c>
      <c r="M8160">
        <f>_xlfn.XLOOKUP(L8160,[2]analyte_order!$C:$C,[2]analyte_order!$E:$E)</f>
        <v>9</v>
      </c>
      <c r="N8160">
        <v>18.600000000000001</v>
      </c>
    </row>
    <row r="8161" spans="1:14">
      <c r="A8161" t="s">
        <v>152</v>
      </c>
      <c r="B8161" t="str">
        <f>_xlfn.XLOOKUP(A8161,'[1]Tissue Data'!$A:$A,'[1]Tissue Data'!$C:$C)</f>
        <v>Down</v>
      </c>
      <c r="C8161" s="2">
        <f>_xlfn.XLOOKUP(A8161,'[1]Tissue Data'!$A:$A,'[1]Tissue Data'!$D:$D)</f>
        <v>44393</v>
      </c>
      <c r="D8161" s="2" t="s">
        <v>131</v>
      </c>
      <c r="E8161" t="str">
        <f>_xlfn.XLOOKUP(A8161,'[1]Tissue Data'!$A:$A,'[1]Tissue Data'!$H:$H)</f>
        <v>Rhinichthys</v>
      </c>
      <c r="F8161" t="str">
        <f>_xlfn.XLOOKUP(A8161,'[1]Tissue Data'!$A:$A,'[1]Tissue Data'!$I:$I)</f>
        <v>atratulus</v>
      </c>
      <c r="G8161" t="str">
        <f>_xlfn.XLOOKUP(A8161,'[1]Tissue Data'!$A:$A,'[1]Tissue Data'!J:J)</f>
        <v>U</v>
      </c>
      <c r="H8161" t="str">
        <f>_xlfn.XLOOKUP(A8161,'[1]Tissue Data'!$A:$A,'[1]Tissue Data'!K:K)</f>
        <v>Whole Body</v>
      </c>
      <c r="I8161">
        <f>_xlfn.XLOOKUP(A8161,'[1]Tissue Data'!$A:$A,'[1]Tissue Data'!L:L)</f>
        <v>5</v>
      </c>
      <c r="J8161">
        <f>_xlfn.XLOOKUP(A8161,'[1]Tissue Data'!$A:$A,'[1]Tissue Data'!M:M)</f>
        <v>1.63</v>
      </c>
      <c r="K8161" t="s">
        <v>21</v>
      </c>
      <c r="L8161" t="str">
        <f>_xlfn.XLOOKUP(K8161,[2]analyte_order!$B:$B,[2]analyte_order!$C:$C)</f>
        <v>72629-94-8</v>
      </c>
      <c r="M8161">
        <f>_xlfn.XLOOKUP(L8161,[2]analyte_order!$C:$C,[2]analyte_order!$E:$E)</f>
        <v>10</v>
      </c>
      <c r="N8161">
        <v>7.22</v>
      </c>
    </row>
    <row r="8162" spans="1:14">
      <c r="A8162" t="s">
        <v>152</v>
      </c>
      <c r="B8162" t="str">
        <f>_xlfn.XLOOKUP(A8162,'[1]Tissue Data'!$A:$A,'[1]Tissue Data'!$C:$C)</f>
        <v>Down</v>
      </c>
      <c r="C8162" s="2">
        <f>_xlfn.XLOOKUP(A8162,'[1]Tissue Data'!$A:$A,'[1]Tissue Data'!$D:$D)</f>
        <v>44393</v>
      </c>
      <c r="D8162" s="2" t="s">
        <v>131</v>
      </c>
      <c r="E8162" t="str">
        <f>_xlfn.XLOOKUP(A8162,'[1]Tissue Data'!$A:$A,'[1]Tissue Data'!$H:$H)</f>
        <v>Rhinichthys</v>
      </c>
      <c r="F8162" t="str">
        <f>_xlfn.XLOOKUP(A8162,'[1]Tissue Data'!$A:$A,'[1]Tissue Data'!$I:$I)</f>
        <v>atratulus</v>
      </c>
      <c r="G8162" t="str">
        <f>_xlfn.XLOOKUP(A8162,'[1]Tissue Data'!$A:$A,'[1]Tissue Data'!J:J)</f>
        <v>U</v>
      </c>
      <c r="H8162" t="str">
        <f>_xlfn.XLOOKUP(A8162,'[1]Tissue Data'!$A:$A,'[1]Tissue Data'!K:K)</f>
        <v>Whole Body</v>
      </c>
      <c r="I8162">
        <f>_xlfn.XLOOKUP(A8162,'[1]Tissue Data'!$A:$A,'[1]Tissue Data'!L:L)</f>
        <v>5</v>
      </c>
      <c r="J8162">
        <f>_xlfn.XLOOKUP(A8162,'[1]Tissue Data'!$A:$A,'[1]Tissue Data'!M:M)</f>
        <v>1.63</v>
      </c>
      <c r="K8162" t="s">
        <v>22</v>
      </c>
      <c r="L8162" t="str">
        <f>_xlfn.XLOOKUP(K8162,[2]analyte_order!$B:$B,[2]analyte_order!$C:$C)</f>
        <v>376-06-7</v>
      </c>
      <c r="M8162">
        <f>_xlfn.XLOOKUP(L8162,[2]analyte_order!$C:$C,[2]analyte_order!$E:$E)</f>
        <v>11</v>
      </c>
      <c r="N8162">
        <v>7.3</v>
      </c>
    </row>
    <row r="8163" spans="1:14">
      <c r="A8163" t="s">
        <v>152</v>
      </c>
      <c r="B8163" t="str">
        <f>_xlfn.XLOOKUP(A8163,'[1]Tissue Data'!$A:$A,'[1]Tissue Data'!$C:$C)</f>
        <v>Down</v>
      </c>
      <c r="C8163" s="2">
        <f>_xlfn.XLOOKUP(A8163,'[1]Tissue Data'!$A:$A,'[1]Tissue Data'!$D:$D)</f>
        <v>44393</v>
      </c>
      <c r="D8163" s="2" t="s">
        <v>131</v>
      </c>
      <c r="E8163" t="str">
        <f>_xlfn.XLOOKUP(A8163,'[1]Tissue Data'!$A:$A,'[1]Tissue Data'!$H:$H)</f>
        <v>Rhinichthys</v>
      </c>
      <c r="F8163" t="str">
        <f>_xlfn.XLOOKUP(A8163,'[1]Tissue Data'!$A:$A,'[1]Tissue Data'!$I:$I)</f>
        <v>atratulus</v>
      </c>
      <c r="G8163" t="str">
        <f>_xlfn.XLOOKUP(A8163,'[1]Tissue Data'!$A:$A,'[1]Tissue Data'!J:J)</f>
        <v>U</v>
      </c>
      <c r="H8163" t="str">
        <f>_xlfn.XLOOKUP(A8163,'[1]Tissue Data'!$A:$A,'[1]Tissue Data'!K:K)</f>
        <v>Whole Body</v>
      </c>
      <c r="I8163">
        <f>_xlfn.XLOOKUP(A8163,'[1]Tissue Data'!$A:$A,'[1]Tissue Data'!L:L)</f>
        <v>5</v>
      </c>
      <c r="J8163">
        <f>_xlfn.XLOOKUP(A8163,'[1]Tissue Data'!$A:$A,'[1]Tissue Data'!M:M)</f>
        <v>1.63</v>
      </c>
      <c r="K8163" t="s">
        <v>23</v>
      </c>
      <c r="L8163" t="str">
        <f>_xlfn.XLOOKUP(K8163,[2]analyte_order!$B:$B,[2]analyte_order!$C:$C)</f>
        <v>67905-19-5</v>
      </c>
      <c r="M8163">
        <f>_xlfn.XLOOKUP(L8163,[2]analyte_order!$C:$C,[2]analyte_order!$E:$E)</f>
        <v>12</v>
      </c>
      <c r="N8163">
        <v>0.25</v>
      </c>
    </row>
    <row r="8164" spans="1:14">
      <c r="A8164" t="s">
        <v>152</v>
      </c>
      <c r="B8164" t="str">
        <f>_xlfn.XLOOKUP(A8164,'[1]Tissue Data'!$A:$A,'[1]Tissue Data'!$C:$C)</f>
        <v>Down</v>
      </c>
      <c r="C8164" s="2">
        <f>_xlfn.XLOOKUP(A8164,'[1]Tissue Data'!$A:$A,'[1]Tissue Data'!$D:$D)</f>
        <v>44393</v>
      </c>
      <c r="D8164" s="2" t="s">
        <v>131</v>
      </c>
      <c r="E8164" t="str">
        <f>_xlfn.XLOOKUP(A8164,'[1]Tissue Data'!$A:$A,'[1]Tissue Data'!$H:$H)</f>
        <v>Rhinichthys</v>
      </c>
      <c r="F8164" t="str">
        <f>_xlfn.XLOOKUP(A8164,'[1]Tissue Data'!$A:$A,'[1]Tissue Data'!$I:$I)</f>
        <v>atratulus</v>
      </c>
      <c r="G8164" t="str">
        <f>_xlfn.XLOOKUP(A8164,'[1]Tissue Data'!$A:$A,'[1]Tissue Data'!J:J)</f>
        <v>U</v>
      </c>
      <c r="H8164" t="str">
        <f>_xlfn.XLOOKUP(A8164,'[1]Tissue Data'!$A:$A,'[1]Tissue Data'!K:K)</f>
        <v>Whole Body</v>
      </c>
      <c r="I8164">
        <f>_xlfn.XLOOKUP(A8164,'[1]Tissue Data'!$A:$A,'[1]Tissue Data'!L:L)</f>
        <v>5</v>
      </c>
      <c r="J8164">
        <f>_xlfn.XLOOKUP(A8164,'[1]Tissue Data'!$A:$A,'[1]Tissue Data'!M:M)</f>
        <v>1.63</v>
      </c>
      <c r="K8164" t="s">
        <v>24</v>
      </c>
      <c r="L8164" t="str">
        <f>_xlfn.XLOOKUP(K8164,[2]analyte_order!$B:$B,[2]analyte_order!$C:$C)</f>
        <v>423-41-6</v>
      </c>
      <c r="M8164">
        <f>_xlfn.XLOOKUP(L8164,[2]analyte_order!$C:$C,[2]analyte_order!$E:$E)</f>
        <v>53</v>
      </c>
      <c r="N8164">
        <v>0.42</v>
      </c>
    </row>
    <row r="8165" spans="1:14">
      <c r="A8165" t="s">
        <v>152</v>
      </c>
      <c r="B8165" t="str">
        <f>_xlfn.XLOOKUP(A8165,'[1]Tissue Data'!$A:$A,'[1]Tissue Data'!$C:$C)</f>
        <v>Down</v>
      </c>
      <c r="C8165" s="2">
        <f>_xlfn.XLOOKUP(A8165,'[1]Tissue Data'!$A:$A,'[1]Tissue Data'!$D:$D)</f>
        <v>44393</v>
      </c>
      <c r="D8165" s="2" t="s">
        <v>131</v>
      </c>
      <c r="E8165" t="str">
        <f>_xlfn.XLOOKUP(A8165,'[1]Tissue Data'!$A:$A,'[1]Tissue Data'!$H:$H)</f>
        <v>Rhinichthys</v>
      </c>
      <c r="F8165" t="str">
        <f>_xlfn.XLOOKUP(A8165,'[1]Tissue Data'!$A:$A,'[1]Tissue Data'!$I:$I)</f>
        <v>atratulus</v>
      </c>
      <c r="G8165" t="str">
        <f>_xlfn.XLOOKUP(A8165,'[1]Tissue Data'!$A:$A,'[1]Tissue Data'!J:J)</f>
        <v>U</v>
      </c>
      <c r="H8165" t="str">
        <f>_xlfn.XLOOKUP(A8165,'[1]Tissue Data'!$A:$A,'[1]Tissue Data'!K:K)</f>
        <v>Whole Body</v>
      </c>
      <c r="I8165">
        <f>_xlfn.XLOOKUP(A8165,'[1]Tissue Data'!$A:$A,'[1]Tissue Data'!L:L)</f>
        <v>5</v>
      </c>
      <c r="J8165">
        <f>_xlfn.XLOOKUP(A8165,'[1]Tissue Data'!$A:$A,'[1]Tissue Data'!M:M)</f>
        <v>1.63</v>
      </c>
      <c r="K8165" t="s">
        <v>25</v>
      </c>
      <c r="L8165" t="str">
        <f>_xlfn.XLOOKUP(K8165,[2]analyte_order!$B:$B,[2]analyte_order!$C:$C)</f>
        <v>375-73-5</v>
      </c>
      <c r="M8165">
        <f>_xlfn.XLOOKUP(L8165,[2]analyte_order!$C:$C,[2]analyte_order!$E:$E)</f>
        <v>14</v>
      </c>
      <c r="N8165">
        <v>0.14299999999999999</v>
      </c>
    </row>
    <row r="8166" spans="1:14">
      <c r="A8166" t="s">
        <v>152</v>
      </c>
      <c r="B8166" t="str">
        <f>_xlfn.XLOOKUP(A8166,'[1]Tissue Data'!$A:$A,'[1]Tissue Data'!$C:$C)</f>
        <v>Down</v>
      </c>
      <c r="C8166" s="2">
        <f>_xlfn.XLOOKUP(A8166,'[1]Tissue Data'!$A:$A,'[1]Tissue Data'!$D:$D)</f>
        <v>44393</v>
      </c>
      <c r="D8166" s="2" t="s">
        <v>131</v>
      </c>
      <c r="E8166" t="str">
        <f>_xlfn.XLOOKUP(A8166,'[1]Tissue Data'!$A:$A,'[1]Tissue Data'!$H:$H)</f>
        <v>Rhinichthys</v>
      </c>
      <c r="F8166" t="str">
        <f>_xlfn.XLOOKUP(A8166,'[1]Tissue Data'!$A:$A,'[1]Tissue Data'!$I:$I)</f>
        <v>atratulus</v>
      </c>
      <c r="G8166" t="str">
        <f>_xlfn.XLOOKUP(A8166,'[1]Tissue Data'!$A:$A,'[1]Tissue Data'!J:J)</f>
        <v>U</v>
      </c>
      <c r="H8166" t="str">
        <f>_xlfn.XLOOKUP(A8166,'[1]Tissue Data'!$A:$A,'[1]Tissue Data'!K:K)</f>
        <v>Whole Body</v>
      </c>
      <c r="I8166">
        <f>_xlfn.XLOOKUP(A8166,'[1]Tissue Data'!$A:$A,'[1]Tissue Data'!L:L)</f>
        <v>5</v>
      </c>
      <c r="J8166">
        <f>_xlfn.XLOOKUP(A8166,'[1]Tissue Data'!$A:$A,'[1]Tissue Data'!M:M)</f>
        <v>1.63</v>
      </c>
      <c r="K8166" t="s">
        <v>26</v>
      </c>
      <c r="L8166" t="str">
        <f>_xlfn.XLOOKUP(K8166,[2]analyte_order!$B:$B,[2]analyte_order!$C:$C)</f>
        <v>2706-91-4</v>
      </c>
      <c r="M8166">
        <f>_xlfn.XLOOKUP(L8166,[2]analyte_order!$C:$C,[2]analyte_order!$E:$E)</f>
        <v>15</v>
      </c>
      <c r="N8166">
        <v>0.33400000000000002</v>
      </c>
    </row>
    <row r="8167" spans="1:14">
      <c r="A8167" t="s">
        <v>152</v>
      </c>
      <c r="B8167" t="str">
        <f>_xlfn.XLOOKUP(A8167,'[1]Tissue Data'!$A:$A,'[1]Tissue Data'!$C:$C)</f>
        <v>Down</v>
      </c>
      <c r="C8167" s="2">
        <f>_xlfn.XLOOKUP(A8167,'[1]Tissue Data'!$A:$A,'[1]Tissue Data'!$D:$D)</f>
        <v>44393</v>
      </c>
      <c r="D8167" s="2" t="s">
        <v>131</v>
      </c>
      <c r="E8167" t="str">
        <f>_xlfn.XLOOKUP(A8167,'[1]Tissue Data'!$A:$A,'[1]Tissue Data'!$H:$H)</f>
        <v>Rhinichthys</v>
      </c>
      <c r="F8167" t="str">
        <f>_xlfn.XLOOKUP(A8167,'[1]Tissue Data'!$A:$A,'[1]Tissue Data'!$I:$I)</f>
        <v>atratulus</v>
      </c>
      <c r="G8167" t="str">
        <f>_xlfn.XLOOKUP(A8167,'[1]Tissue Data'!$A:$A,'[1]Tissue Data'!J:J)</f>
        <v>U</v>
      </c>
      <c r="H8167" t="str">
        <f>_xlfn.XLOOKUP(A8167,'[1]Tissue Data'!$A:$A,'[1]Tissue Data'!K:K)</f>
        <v>Whole Body</v>
      </c>
      <c r="I8167">
        <f>_xlfn.XLOOKUP(A8167,'[1]Tissue Data'!$A:$A,'[1]Tissue Data'!L:L)</f>
        <v>5</v>
      </c>
      <c r="J8167">
        <f>_xlfn.XLOOKUP(A8167,'[1]Tissue Data'!$A:$A,'[1]Tissue Data'!M:M)</f>
        <v>1.63</v>
      </c>
      <c r="K8167" t="s">
        <v>27</v>
      </c>
      <c r="L8167" t="str">
        <f>_xlfn.XLOOKUP(K8167,[2]analyte_order!$B:$B,[2]analyte_order!$C:$C)</f>
        <v>355-46-4</v>
      </c>
      <c r="M8167">
        <f>_xlfn.XLOOKUP(L8167,[2]analyte_order!$C:$C,[2]analyte_order!$E:$E)</f>
        <v>16</v>
      </c>
      <c r="N8167">
        <v>19.899999999999999</v>
      </c>
    </row>
    <row r="8168" spans="1:14">
      <c r="A8168" t="s">
        <v>152</v>
      </c>
      <c r="B8168" t="str">
        <f>_xlfn.XLOOKUP(A8168,'[1]Tissue Data'!$A:$A,'[1]Tissue Data'!$C:$C)</f>
        <v>Down</v>
      </c>
      <c r="C8168" s="2">
        <f>_xlfn.XLOOKUP(A8168,'[1]Tissue Data'!$A:$A,'[1]Tissue Data'!$D:$D)</f>
        <v>44393</v>
      </c>
      <c r="D8168" s="2" t="s">
        <v>131</v>
      </c>
      <c r="E8168" t="str">
        <f>_xlfn.XLOOKUP(A8168,'[1]Tissue Data'!$A:$A,'[1]Tissue Data'!$H:$H)</f>
        <v>Rhinichthys</v>
      </c>
      <c r="F8168" t="str">
        <f>_xlfn.XLOOKUP(A8168,'[1]Tissue Data'!$A:$A,'[1]Tissue Data'!$I:$I)</f>
        <v>atratulus</v>
      </c>
      <c r="G8168" t="str">
        <f>_xlfn.XLOOKUP(A8168,'[1]Tissue Data'!$A:$A,'[1]Tissue Data'!J:J)</f>
        <v>U</v>
      </c>
      <c r="H8168" t="str">
        <f>_xlfn.XLOOKUP(A8168,'[1]Tissue Data'!$A:$A,'[1]Tissue Data'!K:K)</f>
        <v>Whole Body</v>
      </c>
      <c r="I8168">
        <f>_xlfn.XLOOKUP(A8168,'[1]Tissue Data'!$A:$A,'[1]Tissue Data'!L:L)</f>
        <v>5</v>
      </c>
      <c r="J8168">
        <f>_xlfn.XLOOKUP(A8168,'[1]Tissue Data'!$A:$A,'[1]Tissue Data'!M:M)</f>
        <v>1.63</v>
      </c>
      <c r="K8168" t="s">
        <v>28</v>
      </c>
      <c r="L8168" t="str">
        <f>_xlfn.XLOOKUP(K8168,[2]analyte_order!$B:$B,[2]analyte_order!$C:$C)</f>
        <v>375-92-8</v>
      </c>
      <c r="M8168">
        <f>_xlfn.XLOOKUP(L8168,[2]analyte_order!$C:$C,[2]analyte_order!$E:$E)</f>
        <v>17</v>
      </c>
      <c r="N8168">
        <v>5.1100000000000003</v>
      </c>
    </row>
    <row r="8169" spans="1:14">
      <c r="A8169" t="s">
        <v>152</v>
      </c>
      <c r="B8169" t="str">
        <f>_xlfn.XLOOKUP(A8169,'[1]Tissue Data'!$A:$A,'[1]Tissue Data'!$C:$C)</f>
        <v>Down</v>
      </c>
      <c r="C8169" s="2">
        <f>_xlfn.XLOOKUP(A8169,'[1]Tissue Data'!$A:$A,'[1]Tissue Data'!$D:$D)</f>
        <v>44393</v>
      </c>
      <c r="D8169" s="2" t="s">
        <v>131</v>
      </c>
      <c r="E8169" t="str">
        <f>_xlfn.XLOOKUP(A8169,'[1]Tissue Data'!$A:$A,'[1]Tissue Data'!$H:$H)</f>
        <v>Rhinichthys</v>
      </c>
      <c r="F8169" t="str">
        <f>_xlfn.XLOOKUP(A8169,'[1]Tissue Data'!$A:$A,'[1]Tissue Data'!$I:$I)</f>
        <v>atratulus</v>
      </c>
      <c r="G8169" t="str">
        <f>_xlfn.XLOOKUP(A8169,'[1]Tissue Data'!$A:$A,'[1]Tissue Data'!J:J)</f>
        <v>U</v>
      </c>
      <c r="H8169" t="str">
        <f>_xlfn.XLOOKUP(A8169,'[1]Tissue Data'!$A:$A,'[1]Tissue Data'!K:K)</f>
        <v>Whole Body</v>
      </c>
      <c r="I8169">
        <f>_xlfn.XLOOKUP(A8169,'[1]Tissue Data'!$A:$A,'[1]Tissue Data'!L:L)</f>
        <v>5</v>
      </c>
      <c r="J8169">
        <f>_xlfn.XLOOKUP(A8169,'[1]Tissue Data'!$A:$A,'[1]Tissue Data'!M:M)</f>
        <v>1.63</v>
      </c>
      <c r="K8169" t="s">
        <v>29</v>
      </c>
      <c r="L8169" t="str">
        <f>_xlfn.XLOOKUP(K8169,[2]analyte_order!$B:$B,[2]analyte_order!$C:$C)</f>
        <v>1763-23-1</v>
      </c>
      <c r="M8169">
        <f>_xlfn.XLOOKUP(L8169,[2]analyte_order!$C:$C,[2]analyte_order!$E:$E)</f>
        <v>18</v>
      </c>
      <c r="N8169">
        <v>934</v>
      </c>
    </row>
    <row r="8170" spans="1:14">
      <c r="A8170" t="s">
        <v>152</v>
      </c>
      <c r="B8170" t="str">
        <f>_xlfn.XLOOKUP(A8170,'[1]Tissue Data'!$A:$A,'[1]Tissue Data'!$C:$C)</f>
        <v>Down</v>
      </c>
      <c r="C8170" s="2">
        <f>_xlfn.XLOOKUP(A8170,'[1]Tissue Data'!$A:$A,'[1]Tissue Data'!$D:$D)</f>
        <v>44393</v>
      </c>
      <c r="D8170" s="2" t="s">
        <v>131</v>
      </c>
      <c r="E8170" t="str">
        <f>_xlfn.XLOOKUP(A8170,'[1]Tissue Data'!$A:$A,'[1]Tissue Data'!$H:$H)</f>
        <v>Rhinichthys</v>
      </c>
      <c r="F8170" t="str">
        <f>_xlfn.XLOOKUP(A8170,'[1]Tissue Data'!$A:$A,'[1]Tissue Data'!$I:$I)</f>
        <v>atratulus</v>
      </c>
      <c r="G8170" t="str">
        <f>_xlfn.XLOOKUP(A8170,'[1]Tissue Data'!$A:$A,'[1]Tissue Data'!J:J)</f>
        <v>U</v>
      </c>
      <c r="H8170" t="str">
        <f>_xlfn.XLOOKUP(A8170,'[1]Tissue Data'!$A:$A,'[1]Tissue Data'!K:K)</f>
        <v>Whole Body</v>
      </c>
      <c r="I8170">
        <f>_xlfn.XLOOKUP(A8170,'[1]Tissue Data'!$A:$A,'[1]Tissue Data'!L:L)</f>
        <v>5</v>
      </c>
      <c r="J8170">
        <f>_xlfn.XLOOKUP(A8170,'[1]Tissue Data'!$A:$A,'[1]Tissue Data'!M:M)</f>
        <v>1.63</v>
      </c>
      <c r="K8170" t="s">
        <v>30</v>
      </c>
      <c r="L8170" t="str">
        <f>_xlfn.XLOOKUP(K8170,[2]analyte_order!$B:$B,[2]analyte_order!$C:$C)</f>
        <v>68259-12-1</v>
      </c>
      <c r="M8170">
        <f>_xlfn.XLOOKUP(L8170,[2]analyte_order!$C:$C,[2]analyte_order!$E:$E)</f>
        <v>19</v>
      </c>
      <c r="N8170">
        <v>0.99</v>
      </c>
    </row>
    <row r="8171" spans="1:14">
      <c r="A8171" t="s">
        <v>152</v>
      </c>
      <c r="B8171" t="str">
        <f>_xlfn.XLOOKUP(A8171,'[1]Tissue Data'!$A:$A,'[1]Tissue Data'!$C:$C)</f>
        <v>Down</v>
      </c>
      <c r="C8171" s="2">
        <f>_xlfn.XLOOKUP(A8171,'[1]Tissue Data'!$A:$A,'[1]Tissue Data'!$D:$D)</f>
        <v>44393</v>
      </c>
      <c r="D8171" s="2" t="s">
        <v>131</v>
      </c>
      <c r="E8171" t="str">
        <f>_xlfn.XLOOKUP(A8171,'[1]Tissue Data'!$A:$A,'[1]Tissue Data'!$H:$H)</f>
        <v>Rhinichthys</v>
      </c>
      <c r="F8171" t="str">
        <f>_xlfn.XLOOKUP(A8171,'[1]Tissue Data'!$A:$A,'[1]Tissue Data'!$I:$I)</f>
        <v>atratulus</v>
      </c>
      <c r="G8171" t="str">
        <f>_xlfn.XLOOKUP(A8171,'[1]Tissue Data'!$A:$A,'[1]Tissue Data'!J:J)</f>
        <v>U</v>
      </c>
      <c r="H8171" t="str">
        <f>_xlfn.XLOOKUP(A8171,'[1]Tissue Data'!$A:$A,'[1]Tissue Data'!K:K)</f>
        <v>Whole Body</v>
      </c>
      <c r="I8171">
        <f>_xlfn.XLOOKUP(A8171,'[1]Tissue Data'!$A:$A,'[1]Tissue Data'!L:L)</f>
        <v>5</v>
      </c>
      <c r="J8171">
        <f>_xlfn.XLOOKUP(A8171,'[1]Tissue Data'!$A:$A,'[1]Tissue Data'!M:M)</f>
        <v>1.63</v>
      </c>
      <c r="K8171" t="s">
        <v>31</v>
      </c>
      <c r="L8171" t="str">
        <f>_xlfn.XLOOKUP(K8171,[2]analyte_order!$B:$B,[2]analyte_order!$C:$C)</f>
        <v>335-77-3</v>
      </c>
      <c r="M8171">
        <f>_xlfn.XLOOKUP(L8171,[2]analyte_order!$C:$C,[2]analyte_order!$E:$E)</f>
        <v>20</v>
      </c>
      <c r="N8171">
        <v>1.68</v>
      </c>
    </row>
    <row r="8172" spans="1:14">
      <c r="A8172" t="s">
        <v>152</v>
      </c>
      <c r="B8172" t="str">
        <f>_xlfn.XLOOKUP(A8172,'[1]Tissue Data'!$A:$A,'[1]Tissue Data'!$C:$C)</f>
        <v>Down</v>
      </c>
      <c r="C8172" s="2">
        <f>_xlfn.XLOOKUP(A8172,'[1]Tissue Data'!$A:$A,'[1]Tissue Data'!$D:$D)</f>
        <v>44393</v>
      </c>
      <c r="D8172" s="2" t="s">
        <v>131</v>
      </c>
      <c r="E8172" t="str">
        <f>_xlfn.XLOOKUP(A8172,'[1]Tissue Data'!$A:$A,'[1]Tissue Data'!$H:$H)</f>
        <v>Rhinichthys</v>
      </c>
      <c r="F8172" t="str">
        <f>_xlfn.XLOOKUP(A8172,'[1]Tissue Data'!$A:$A,'[1]Tissue Data'!$I:$I)</f>
        <v>atratulus</v>
      </c>
      <c r="G8172" t="str">
        <f>_xlfn.XLOOKUP(A8172,'[1]Tissue Data'!$A:$A,'[1]Tissue Data'!J:J)</f>
        <v>U</v>
      </c>
      <c r="H8172" t="str">
        <f>_xlfn.XLOOKUP(A8172,'[1]Tissue Data'!$A:$A,'[1]Tissue Data'!K:K)</f>
        <v>Whole Body</v>
      </c>
      <c r="I8172">
        <f>_xlfn.XLOOKUP(A8172,'[1]Tissue Data'!$A:$A,'[1]Tissue Data'!L:L)</f>
        <v>5</v>
      </c>
      <c r="J8172">
        <f>_xlfn.XLOOKUP(A8172,'[1]Tissue Data'!$A:$A,'[1]Tissue Data'!M:M)</f>
        <v>1.63</v>
      </c>
      <c r="K8172" t="s">
        <v>32</v>
      </c>
      <c r="L8172" t="str">
        <f>_xlfn.XLOOKUP(K8172,[2]analyte_order!$B:$B,[2]analyte_order!$C:$C)</f>
        <v>79780-39-5</v>
      </c>
      <c r="M8172">
        <f>_xlfn.XLOOKUP(L8172,[2]analyte_order!$C:$C,[2]analyte_order!$E:$E)</f>
        <v>21</v>
      </c>
      <c r="N8172">
        <v>0.52300000000000002</v>
      </c>
    </row>
    <row r="8173" spans="1:14">
      <c r="A8173" t="s">
        <v>152</v>
      </c>
      <c r="B8173" t="str">
        <f>_xlfn.XLOOKUP(A8173,'[1]Tissue Data'!$A:$A,'[1]Tissue Data'!$C:$C)</f>
        <v>Down</v>
      </c>
      <c r="C8173" s="2">
        <f>_xlfn.XLOOKUP(A8173,'[1]Tissue Data'!$A:$A,'[1]Tissue Data'!$D:$D)</f>
        <v>44393</v>
      </c>
      <c r="D8173" s="2" t="s">
        <v>131</v>
      </c>
      <c r="E8173" t="str">
        <f>_xlfn.XLOOKUP(A8173,'[1]Tissue Data'!$A:$A,'[1]Tissue Data'!$H:$H)</f>
        <v>Rhinichthys</v>
      </c>
      <c r="F8173" t="str">
        <f>_xlfn.XLOOKUP(A8173,'[1]Tissue Data'!$A:$A,'[1]Tissue Data'!$I:$I)</f>
        <v>atratulus</v>
      </c>
      <c r="G8173" t="str">
        <f>_xlfn.XLOOKUP(A8173,'[1]Tissue Data'!$A:$A,'[1]Tissue Data'!J:J)</f>
        <v>U</v>
      </c>
      <c r="H8173" t="str">
        <f>_xlfn.XLOOKUP(A8173,'[1]Tissue Data'!$A:$A,'[1]Tissue Data'!K:K)</f>
        <v>Whole Body</v>
      </c>
      <c r="I8173">
        <f>_xlfn.XLOOKUP(A8173,'[1]Tissue Data'!$A:$A,'[1]Tissue Data'!L:L)</f>
        <v>5</v>
      </c>
      <c r="J8173">
        <f>_xlfn.XLOOKUP(A8173,'[1]Tissue Data'!$A:$A,'[1]Tissue Data'!M:M)</f>
        <v>1.63</v>
      </c>
      <c r="K8173" t="s">
        <v>33</v>
      </c>
      <c r="L8173" t="str">
        <f>_xlfn.XLOOKUP(K8173,[2]analyte_order!$B:$B,[2]analyte_order!$C:$C)</f>
        <v>777011-38-8</v>
      </c>
      <c r="M8173">
        <f>_xlfn.XLOOKUP(L8173,[2]analyte_order!$C:$C,[2]analyte_order!$E:$E)</f>
        <v>54</v>
      </c>
      <c r="N8173">
        <v>1.2</v>
      </c>
    </row>
    <row r="8174" spans="1:14">
      <c r="A8174" t="s">
        <v>152</v>
      </c>
      <c r="B8174" t="str">
        <f>_xlfn.XLOOKUP(A8174,'[1]Tissue Data'!$A:$A,'[1]Tissue Data'!$C:$C)</f>
        <v>Down</v>
      </c>
      <c r="C8174" s="2">
        <f>_xlfn.XLOOKUP(A8174,'[1]Tissue Data'!$A:$A,'[1]Tissue Data'!$D:$D)</f>
        <v>44393</v>
      </c>
      <c r="D8174" s="2" t="s">
        <v>131</v>
      </c>
      <c r="E8174" t="str">
        <f>_xlfn.XLOOKUP(A8174,'[1]Tissue Data'!$A:$A,'[1]Tissue Data'!$H:$H)</f>
        <v>Rhinichthys</v>
      </c>
      <c r="F8174" t="str">
        <f>_xlfn.XLOOKUP(A8174,'[1]Tissue Data'!$A:$A,'[1]Tissue Data'!$I:$I)</f>
        <v>atratulus</v>
      </c>
      <c r="G8174" t="str">
        <f>_xlfn.XLOOKUP(A8174,'[1]Tissue Data'!$A:$A,'[1]Tissue Data'!J:J)</f>
        <v>U</v>
      </c>
      <c r="H8174" t="str">
        <f>_xlfn.XLOOKUP(A8174,'[1]Tissue Data'!$A:$A,'[1]Tissue Data'!K:K)</f>
        <v>Whole Body</v>
      </c>
      <c r="I8174">
        <f>_xlfn.XLOOKUP(A8174,'[1]Tissue Data'!$A:$A,'[1]Tissue Data'!L:L)</f>
        <v>5</v>
      </c>
      <c r="J8174">
        <f>_xlfn.XLOOKUP(A8174,'[1]Tissue Data'!$A:$A,'[1]Tissue Data'!M:M)</f>
        <v>1.63</v>
      </c>
      <c r="K8174" t="s">
        <v>34</v>
      </c>
      <c r="L8174" t="str">
        <f>_xlfn.XLOOKUP(K8174,[2]analyte_order!$B:$B,[2]analyte_order!$C:$C)</f>
        <v>646-83-3</v>
      </c>
      <c r="M8174">
        <f>_xlfn.XLOOKUP(L8174,[2]analyte_order!$C:$C,[2]analyte_order!$E:$E)</f>
        <v>55</v>
      </c>
      <c r="N8174">
        <v>0.433</v>
      </c>
    </row>
    <row r="8175" spans="1:14">
      <c r="A8175" t="s">
        <v>152</v>
      </c>
      <c r="B8175" t="str">
        <f>_xlfn.XLOOKUP(A8175,'[1]Tissue Data'!$A:$A,'[1]Tissue Data'!$C:$C)</f>
        <v>Down</v>
      </c>
      <c r="C8175" s="2">
        <f>_xlfn.XLOOKUP(A8175,'[1]Tissue Data'!$A:$A,'[1]Tissue Data'!$D:$D)</f>
        <v>44393</v>
      </c>
      <c r="D8175" s="2" t="s">
        <v>131</v>
      </c>
      <c r="E8175" t="str">
        <f>_xlfn.XLOOKUP(A8175,'[1]Tissue Data'!$A:$A,'[1]Tissue Data'!$H:$H)</f>
        <v>Rhinichthys</v>
      </c>
      <c r="F8175" t="str">
        <f>_xlfn.XLOOKUP(A8175,'[1]Tissue Data'!$A:$A,'[1]Tissue Data'!$I:$I)</f>
        <v>atratulus</v>
      </c>
      <c r="G8175" t="str">
        <f>_xlfn.XLOOKUP(A8175,'[1]Tissue Data'!$A:$A,'[1]Tissue Data'!J:J)</f>
        <v>U</v>
      </c>
      <c r="H8175" t="str">
        <f>_xlfn.XLOOKUP(A8175,'[1]Tissue Data'!$A:$A,'[1]Tissue Data'!K:K)</f>
        <v>Whole Body</v>
      </c>
      <c r="I8175">
        <f>_xlfn.XLOOKUP(A8175,'[1]Tissue Data'!$A:$A,'[1]Tissue Data'!L:L)</f>
        <v>5</v>
      </c>
      <c r="J8175">
        <f>_xlfn.XLOOKUP(A8175,'[1]Tissue Data'!$A:$A,'[1]Tissue Data'!M:M)</f>
        <v>1.63</v>
      </c>
      <c r="K8175" t="s">
        <v>35</v>
      </c>
      <c r="L8175" t="str">
        <f>_xlfn.XLOOKUP(K8175,[2]analyte_order!$B:$B,[2]analyte_order!$C:$C)</f>
        <v>30334-69-1</v>
      </c>
      <c r="M8175">
        <f>_xlfn.XLOOKUP(L8175,[2]analyte_order!$C:$C,[2]analyte_order!$E:$E)</f>
        <v>51</v>
      </c>
      <c r="N8175">
        <v>30.6</v>
      </c>
    </row>
    <row r="8176" spans="1:14">
      <c r="A8176" t="s">
        <v>152</v>
      </c>
      <c r="B8176" t="str">
        <f>_xlfn.XLOOKUP(A8176,'[1]Tissue Data'!$A:$A,'[1]Tissue Data'!$C:$C)</f>
        <v>Down</v>
      </c>
      <c r="C8176" s="2">
        <f>_xlfn.XLOOKUP(A8176,'[1]Tissue Data'!$A:$A,'[1]Tissue Data'!$D:$D)</f>
        <v>44393</v>
      </c>
      <c r="D8176" s="2" t="s">
        <v>131</v>
      </c>
      <c r="E8176" t="str">
        <f>_xlfn.XLOOKUP(A8176,'[1]Tissue Data'!$A:$A,'[1]Tissue Data'!$H:$H)</f>
        <v>Rhinichthys</v>
      </c>
      <c r="F8176" t="str">
        <f>_xlfn.XLOOKUP(A8176,'[1]Tissue Data'!$A:$A,'[1]Tissue Data'!$I:$I)</f>
        <v>atratulus</v>
      </c>
      <c r="G8176" t="str">
        <f>_xlfn.XLOOKUP(A8176,'[1]Tissue Data'!$A:$A,'[1]Tissue Data'!J:J)</f>
        <v>U</v>
      </c>
      <c r="H8176" t="str">
        <f>_xlfn.XLOOKUP(A8176,'[1]Tissue Data'!$A:$A,'[1]Tissue Data'!K:K)</f>
        <v>Whole Body</v>
      </c>
      <c r="I8176">
        <f>_xlfn.XLOOKUP(A8176,'[1]Tissue Data'!$A:$A,'[1]Tissue Data'!L:L)</f>
        <v>5</v>
      </c>
      <c r="J8176">
        <f>_xlfn.XLOOKUP(A8176,'[1]Tissue Data'!$A:$A,'[1]Tissue Data'!M:M)</f>
        <v>1.63</v>
      </c>
      <c r="K8176" t="s">
        <v>36</v>
      </c>
      <c r="L8176" t="str">
        <f>_xlfn.XLOOKUP(K8176,[2]analyte_order!$B:$B,[2]analyte_order!$C:$C)</f>
        <v>41997-13-1</v>
      </c>
      <c r="M8176">
        <f>_xlfn.XLOOKUP(L8176,[2]analyte_order!$C:$C,[2]analyte_order!$E:$E)</f>
        <v>52</v>
      </c>
      <c r="N8176">
        <v>160</v>
      </c>
    </row>
    <row r="8177" spans="1:14">
      <c r="A8177" t="s">
        <v>152</v>
      </c>
      <c r="B8177" t="str">
        <f>_xlfn.XLOOKUP(A8177,'[1]Tissue Data'!$A:$A,'[1]Tissue Data'!$C:$C)</f>
        <v>Down</v>
      </c>
      <c r="C8177" s="2">
        <f>_xlfn.XLOOKUP(A8177,'[1]Tissue Data'!$A:$A,'[1]Tissue Data'!$D:$D)</f>
        <v>44393</v>
      </c>
      <c r="D8177" s="2" t="s">
        <v>131</v>
      </c>
      <c r="E8177" t="str">
        <f>_xlfn.XLOOKUP(A8177,'[1]Tissue Data'!$A:$A,'[1]Tissue Data'!$H:$H)</f>
        <v>Rhinichthys</v>
      </c>
      <c r="F8177" t="str">
        <f>_xlfn.XLOOKUP(A8177,'[1]Tissue Data'!$A:$A,'[1]Tissue Data'!$I:$I)</f>
        <v>atratulus</v>
      </c>
      <c r="G8177" t="str">
        <f>_xlfn.XLOOKUP(A8177,'[1]Tissue Data'!$A:$A,'[1]Tissue Data'!J:J)</f>
        <v>U</v>
      </c>
      <c r="H8177" t="str">
        <f>_xlfn.XLOOKUP(A8177,'[1]Tissue Data'!$A:$A,'[1]Tissue Data'!K:K)</f>
        <v>Whole Body</v>
      </c>
      <c r="I8177">
        <f>_xlfn.XLOOKUP(A8177,'[1]Tissue Data'!$A:$A,'[1]Tissue Data'!L:L)</f>
        <v>5</v>
      </c>
      <c r="J8177">
        <f>_xlfn.XLOOKUP(A8177,'[1]Tissue Data'!$A:$A,'[1]Tissue Data'!M:M)</f>
        <v>1.63</v>
      </c>
      <c r="K8177" t="s">
        <v>37</v>
      </c>
      <c r="L8177" t="str">
        <f>_xlfn.XLOOKUP(K8177,[2]analyte_order!$B:$B,[2]analyte_order!$C:$C)</f>
        <v>754-91-6</v>
      </c>
      <c r="M8177">
        <f>_xlfn.XLOOKUP(L8177,[2]analyte_order!$C:$C,[2]analyte_order!$E:$E)</f>
        <v>28</v>
      </c>
      <c r="N8177">
        <v>13.7</v>
      </c>
    </row>
    <row r="8178" spans="1:14">
      <c r="A8178" t="s">
        <v>152</v>
      </c>
      <c r="B8178" t="str">
        <f>_xlfn.XLOOKUP(A8178,'[1]Tissue Data'!$A:$A,'[1]Tissue Data'!$C:$C)</f>
        <v>Down</v>
      </c>
      <c r="C8178" s="2">
        <f>_xlfn.XLOOKUP(A8178,'[1]Tissue Data'!$A:$A,'[1]Tissue Data'!$D:$D)</f>
        <v>44393</v>
      </c>
      <c r="D8178" s="2" t="s">
        <v>131</v>
      </c>
      <c r="E8178" t="str">
        <f>_xlfn.XLOOKUP(A8178,'[1]Tissue Data'!$A:$A,'[1]Tissue Data'!$H:$H)</f>
        <v>Rhinichthys</v>
      </c>
      <c r="F8178" t="str">
        <f>_xlfn.XLOOKUP(A8178,'[1]Tissue Data'!$A:$A,'[1]Tissue Data'!$I:$I)</f>
        <v>atratulus</v>
      </c>
      <c r="G8178" t="str">
        <f>_xlfn.XLOOKUP(A8178,'[1]Tissue Data'!$A:$A,'[1]Tissue Data'!J:J)</f>
        <v>U</v>
      </c>
      <c r="H8178" t="str">
        <f>_xlfn.XLOOKUP(A8178,'[1]Tissue Data'!$A:$A,'[1]Tissue Data'!K:K)</f>
        <v>Whole Body</v>
      </c>
      <c r="I8178">
        <f>_xlfn.XLOOKUP(A8178,'[1]Tissue Data'!$A:$A,'[1]Tissue Data'!L:L)</f>
        <v>5</v>
      </c>
      <c r="J8178">
        <f>_xlfn.XLOOKUP(A8178,'[1]Tissue Data'!$A:$A,'[1]Tissue Data'!M:M)</f>
        <v>1.63</v>
      </c>
      <c r="K8178" t="s">
        <v>38</v>
      </c>
      <c r="L8178" t="str">
        <f>_xlfn.XLOOKUP(K8178,[2]analyte_order!$B:$B,[2]analyte_order!$C:$C)</f>
        <v>31506-32-8</v>
      </c>
      <c r="M8178">
        <f>_xlfn.XLOOKUP(L8178,[2]analyte_order!$C:$C,[2]analyte_order!$E:$E)</f>
        <v>30</v>
      </c>
      <c r="N8178">
        <v>0.1615</v>
      </c>
    </row>
    <row r="8179" spans="1:14">
      <c r="A8179" t="s">
        <v>152</v>
      </c>
      <c r="B8179" t="str">
        <f>_xlfn.XLOOKUP(A8179,'[1]Tissue Data'!$A:$A,'[1]Tissue Data'!$C:$C)</f>
        <v>Down</v>
      </c>
      <c r="C8179" s="2">
        <f>_xlfn.XLOOKUP(A8179,'[1]Tissue Data'!$A:$A,'[1]Tissue Data'!$D:$D)</f>
        <v>44393</v>
      </c>
      <c r="D8179" s="2" t="s">
        <v>131</v>
      </c>
      <c r="E8179" t="str">
        <f>_xlfn.XLOOKUP(A8179,'[1]Tissue Data'!$A:$A,'[1]Tissue Data'!$H:$H)</f>
        <v>Rhinichthys</v>
      </c>
      <c r="F8179" t="str">
        <f>_xlfn.XLOOKUP(A8179,'[1]Tissue Data'!$A:$A,'[1]Tissue Data'!$I:$I)</f>
        <v>atratulus</v>
      </c>
      <c r="G8179" t="str">
        <f>_xlfn.XLOOKUP(A8179,'[1]Tissue Data'!$A:$A,'[1]Tissue Data'!J:J)</f>
        <v>U</v>
      </c>
      <c r="H8179" t="str">
        <f>_xlfn.XLOOKUP(A8179,'[1]Tissue Data'!$A:$A,'[1]Tissue Data'!K:K)</f>
        <v>Whole Body</v>
      </c>
      <c r="I8179">
        <f>_xlfn.XLOOKUP(A8179,'[1]Tissue Data'!$A:$A,'[1]Tissue Data'!L:L)</f>
        <v>5</v>
      </c>
      <c r="J8179">
        <f>_xlfn.XLOOKUP(A8179,'[1]Tissue Data'!$A:$A,'[1]Tissue Data'!M:M)</f>
        <v>1.63</v>
      </c>
      <c r="K8179" t="s">
        <v>39</v>
      </c>
      <c r="L8179" t="str">
        <f>_xlfn.XLOOKUP(K8179,[2]analyte_order!$B:$B,[2]analyte_order!$C:$C)</f>
        <v>4151-50-2</v>
      </c>
      <c r="M8179">
        <f>_xlfn.XLOOKUP(L8179,[2]analyte_order!$C:$C,[2]analyte_order!$E:$E)</f>
        <v>31</v>
      </c>
      <c r="N8179">
        <v>0.42</v>
      </c>
    </row>
    <row r="8180" spans="1:14">
      <c r="A8180" t="s">
        <v>152</v>
      </c>
      <c r="B8180" t="str">
        <f>_xlfn.XLOOKUP(A8180,'[1]Tissue Data'!$A:$A,'[1]Tissue Data'!$C:$C)</f>
        <v>Down</v>
      </c>
      <c r="C8180" s="2">
        <f>_xlfn.XLOOKUP(A8180,'[1]Tissue Data'!$A:$A,'[1]Tissue Data'!$D:$D)</f>
        <v>44393</v>
      </c>
      <c r="D8180" s="2" t="s">
        <v>131</v>
      </c>
      <c r="E8180" t="str">
        <f>_xlfn.XLOOKUP(A8180,'[1]Tissue Data'!$A:$A,'[1]Tissue Data'!$H:$H)</f>
        <v>Rhinichthys</v>
      </c>
      <c r="F8180" t="str">
        <f>_xlfn.XLOOKUP(A8180,'[1]Tissue Data'!$A:$A,'[1]Tissue Data'!$I:$I)</f>
        <v>atratulus</v>
      </c>
      <c r="G8180" t="str">
        <f>_xlfn.XLOOKUP(A8180,'[1]Tissue Data'!$A:$A,'[1]Tissue Data'!J:J)</f>
        <v>U</v>
      </c>
      <c r="H8180" t="str">
        <f>_xlfn.XLOOKUP(A8180,'[1]Tissue Data'!$A:$A,'[1]Tissue Data'!K:K)</f>
        <v>Whole Body</v>
      </c>
      <c r="I8180">
        <f>_xlfn.XLOOKUP(A8180,'[1]Tissue Data'!$A:$A,'[1]Tissue Data'!L:L)</f>
        <v>5</v>
      </c>
      <c r="J8180">
        <f>_xlfn.XLOOKUP(A8180,'[1]Tissue Data'!$A:$A,'[1]Tissue Data'!M:M)</f>
        <v>1.63</v>
      </c>
      <c r="K8180" t="s">
        <v>40</v>
      </c>
      <c r="L8180" t="str">
        <f>_xlfn.XLOOKUP(K8180,[2]analyte_order!$B:$B,[2]analyte_order!$C:$C)</f>
        <v>2806-24-8</v>
      </c>
      <c r="M8180">
        <f>_xlfn.XLOOKUP(L8180,[2]analyte_order!$C:$C,[2]analyte_order!$E:$E)</f>
        <v>29</v>
      </c>
      <c r="N8180">
        <v>0.42</v>
      </c>
    </row>
    <row r="8181" spans="1:14">
      <c r="A8181" t="s">
        <v>152</v>
      </c>
      <c r="B8181" t="str">
        <f>_xlfn.XLOOKUP(A8181,'[1]Tissue Data'!$A:$A,'[1]Tissue Data'!$C:$C)</f>
        <v>Down</v>
      </c>
      <c r="C8181" s="2">
        <f>_xlfn.XLOOKUP(A8181,'[1]Tissue Data'!$A:$A,'[1]Tissue Data'!$D:$D)</f>
        <v>44393</v>
      </c>
      <c r="D8181" s="2" t="s">
        <v>131</v>
      </c>
      <c r="E8181" t="str">
        <f>_xlfn.XLOOKUP(A8181,'[1]Tissue Data'!$A:$A,'[1]Tissue Data'!$H:$H)</f>
        <v>Rhinichthys</v>
      </c>
      <c r="F8181" t="str">
        <f>_xlfn.XLOOKUP(A8181,'[1]Tissue Data'!$A:$A,'[1]Tissue Data'!$I:$I)</f>
        <v>atratulus</v>
      </c>
      <c r="G8181" t="str">
        <f>_xlfn.XLOOKUP(A8181,'[1]Tissue Data'!$A:$A,'[1]Tissue Data'!J:J)</f>
        <v>U</v>
      </c>
      <c r="H8181" t="str">
        <f>_xlfn.XLOOKUP(A8181,'[1]Tissue Data'!$A:$A,'[1]Tissue Data'!K:K)</f>
        <v>Whole Body</v>
      </c>
      <c r="I8181">
        <f>_xlfn.XLOOKUP(A8181,'[1]Tissue Data'!$A:$A,'[1]Tissue Data'!L:L)</f>
        <v>5</v>
      </c>
      <c r="J8181">
        <f>_xlfn.XLOOKUP(A8181,'[1]Tissue Data'!$A:$A,'[1]Tissue Data'!M:M)</f>
        <v>1.63</v>
      </c>
      <c r="K8181" t="s">
        <v>41</v>
      </c>
      <c r="L8181" t="str">
        <f>_xlfn.XLOOKUP(K8181,[2]analyte_order!$B:$B,[2]analyte_order!$C:$C)</f>
        <v>2355-31-9</v>
      </c>
      <c r="M8181">
        <f>_xlfn.XLOOKUP(L8181,[2]analyte_order!$C:$C,[2]analyte_order!$E:$E)</f>
        <v>26</v>
      </c>
      <c r="N8181">
        <v>0.21099999999999999</v>
      </c>
    </row>
    <row r="8182" spans="1:14">
      <c r="A8182" t="s">
        <v>152</v>
      </c>
      <c r="B8182" t="str">
        <f>_xlfn.XLOOKUP(A8182,'[1]Tissue Data'!$A:$A,'[1]Tissue Data'!$C:$C)</f>
        <v>Down</v>
      </c>
      <c r="C8182" s="2">
        <f>_xlfn.XLOOKUP(A8182,'[1]Tissue Data'!$A:$A,'[1]Tissue Data'!$D:$D)</f>
        <v>44393</v>
      </c>
      <c r="D8182" s="2" t="s">
        <v>131</v>
      </c>
      <c r="E8182" t="str">
        <f>_xlfn.XLOOKUP(A8182,'[1]Tissue Data'!$A:$A,'[1]Tissue Data'!$H:$H)</f>
        <v>Rhinichthys</v>
      </c>
      <c r="F8182" t="str">
        <f>_xlfn.XLOOKUP(A8182,'[1]Tissue Data'!$A:$A,'[1]Tissue Data'!$I:$I)</f>
        <v>atratulus</v>
      </c>
      <c r="G8182" t="str">
        <f>_xlfn.XLOOKUP(A8182,'[1]Tissue Data'!$A:$A,'[1]Tissue Data'!J:J)</f>
        <v>U</v>
      </c>
      <c r="H8182" t="str">
        <f>_xlfn.XLOOKUP(A8182,'[1]Tissue Data'!$A:$A,'[1]Tissue Data'!K:K)</f>
        <v>Whole Body</v>
      </c>
      <c r="I8182">
        <f>_xlfn.XLOOKUP(A8182,'[1]Tissue Data'!$A:$A,'[1]Tissue Data'!L:L)</f>
        <v>5</v>
      </c>
      <c r="J8182">
        <f>_xlfn.XLOOKUP(A8182,'[1]Tissue Data'!$A:$A,'[1]Tissue Data'!M:M)</f>
        <v>1.63</v>
      </c>
      <c r="K8182" t="s">
        <v>42</v>
      </c>
      <c r="L8182" t="str">
        <f>_xlfn.XLOOKUP(K8182,[2]analyte_order!$B:$B,[2]analyte_order!$C:$C)</f>
        <v>2991-50-6</v>
      </c>
      <c r="M8182">
        <f>_xlfn.XLOOKUP(L8182,[2]analyte_order!$C:$C,[2]analyte_order!$E:$E)</f>
        <v>27</v>
      </c>
      <c r="N8182">
        <v>0.21</v>
      </c>
    </row>
    <row r="8183" spans="1:14">
      <c r="A8183" t="s">
        <v>152</v>
      </c>
      <c r="B8183" t="str">
        <f>_xlfn.XLOOKUP(A8183,'[1]Tissue Data'!$A:$A,'[1]Tissue Data'!$C:$C)</f>
        <v>Down</v>
      </c>
      <c r="C8183" s="2">
        <f>_xlfn.XLOOKUP(A8183,'[1]Tissue Data'!$A:$A,'[1]Tissue Data'!$D:$D)</f>
        <v>44393</v>
      </c>
      <c r="D8183" s="2" t="s">
        <v>131</v>
      </c>
      <c r="E8183" t="str">
        <f>_xlfn.XLOOKUP(A8183,'[1]Tissue Data'!$A:$A,'[1]Tissue Data'!$H:$H)</f>
        <v>Rhinichthys</v>
      </c>
      <c r="F8183" t="str">
        <f>_xlfn.XLOOKUP(A8183,'[1]Tissue Data'!$A:$A,'[1]Tissue Data'!$I:$I)</f>
        <v>atratulus</v>
      </c>
      <c r="G8183" t="str">
        <f>_xlfn.XLOOKUP(A8183,'[1]Tissue Data'!$A:$A,'[1]Tissue Data'!J:J)</f>
        <v>U</v>
      </c>
      <c r="H8183" t="str">
        <f>_xlfn.XLOOKUP(A8183,'[1]Tissue Data'!$A:$A,'[1]Tissue Data'!K:K)</f>
        <v>Whole Body</v>
      </c>
      <c r="I8183">
        <f>_xlfn.XLOOKUP(A8183,'[1]Tissue Data'!$A:$A,'[1]Tissue Data'!L:L)</f>
        <v>5</v>
      </c>
      <c r="J8183">
        <f>_xlfn.XLOOKUP(A8183,'[1]Tissue Data'!$A:$A,'[1]Tissue Data'!M:M)</f>
        <v>1.63</v>
      </c>
      <c r="K8183" t="s">
        <v>43</v>
      </c>
      <c r="L8183" t="str">
        <f>_xlfn.XLOOKUP(K8183,[2]analyte_order!$B:$B,[2]analyte_order!$C:$C)</f>
        <v>757124-72-4</v>
      </c>
      <c r="M8183">
        <f>_xlfn.XLOOKUP(L8183,[2]analyte_order!$C:$C,[2]analyte_order!$E:$E)</f>
        <v>22</v>
      </c>
      <c r="N8183">
        <v>0.21</v>
      </c>
    </row>
    <row r="8184" spans="1:14">
      <c r="A8184" t="s">
        <v>152</v>
      </c>
      <c r="B8184" t="str">
        <f>_xlfn.XLOOKUP(A8184,'[1]Tissue Data'!$A:$A,'[1]Tissue Data'!$C:$C)</f>
        <v>Down</v>
      </c>
      <c r="C8184" s="2">
        <f>_xlfn.XLOOKUP(A8184,'[1]Tissue Data'!$A:$A,'[1]Tissue Data'!$D:$D)</f>
        <v>44393</v>
      </c>
      <c r="D8184" s="2" t="s">
        <v>131</v>
      </c>
      <c r="E8184" t="str">
        <f>_xlfn.XLOOKUP(A8184,'[1]Tissue Data'!$A:$A,'[1]Tissue Data'!$H:$H)</f>
        <v>Rhinichthys</v>
      </c>
      <c r="F8184" t="str">
        <f>_xlfn.XLOOKUP(A8184,'[1]Tissue Data'!$A:$A,'[1]Tissue Data'!$I:$I)</f>
        <v>atratulus</v>
      </c>
      <c r="G8184" t="str">
        <f>_xlfn.XLOOKUP(A8184,'[1]Tissue Data'!$A:$A,'[1]Tissue Data'!J:J)</f>
        <v>U</v>
      </c>
      <c r="H8184" t="str">
        <f>_xlfn.XLOOKUP(A8184,'[1]Tissue Data'!$A:$A,'[1]Tissue Data'!K:K)</f>
        <v>Whole Body</v>
      </c>
      <c r="I8184">
        <f>_xlfn.XLOOKUP(A8184,'[1]Tissue Data'!$A:$A,'[1]Tissue Data'!L:L)</f>
        <v>5</v>
      </c>
      <c r="J8184">
        <f>_xlfn.XLOOKUP(A8184,'[1]Tissue Data'!$A:$A,'[1]Tissue Data'!M:M)</f>
        <v>1.63</v>
      </c>
      <c r="K8184" t="s">
        <v>44</v>
      </c>
      <c r="L8184" t="str">
        <f>_xlfn.XLOOKUP(K8184,[2]analyte_order!$B:$B,[2]analyte_order!$C:$C)</f>
        <v>27619-97-2</v>
      </c>
      <c r="M8184">
        <f>_xlfn.XLOOKUP(L8184,[2]analyte_order!$C:$C,[2]analyte_order!$E:$E)</f>
        <v>23</v>
      </c>
      <c r="N8184">
        <v>1.3</v>
      </c>
    </row>
    <row r="8185" spans="1:14">
      <c r="A8185" t="s">
        <v>152</v>
      </c>
      <c r="B8185" t="str">
        <f>_xlfn.XLOOKUP(A8185,'[1]Tissue Data'!$A:$A,'[1]Tissue Data'!$C:$C)</f>
        <v>Down</v>
      </c>
      <c r="C8185" s="2">
        <f>_xlfn.XLOOKUP(A8185,'[1]Tissue Data'!$A:$A,'[1]Tissue Data'!$D:$D)</f>
        <v>44393</v>
      </c>
      <c r="D8185" s="2" t="s">
        <v>131</v>
      </c>
      <c r="E8185" t="str">
        <f>_xlfn.XLOOKUP(A8185,'[1]Tissue Data'!$A:$A,'[1]Tissue Data'!$H:$H)</f>
        <v>Rhinichthys</v>
      </c>
      <c r="F8185" t="str">
        <f>_xlfn.XLOOKUP(A8185,'[1]Tissue Data'!$A:$A,'[1]Tissue Data'!$I:$I)</f>
        <v>atratulus</v>
      </c>
      <c r="G8185" t="str">
        <f>_xlfn.XLOOKUP(A8185,'[1]Tissue Data'!$A:$A,'[1]Tissue Data'!J:J)</f>
        <v>U</v>
      </c>
      <c r="H8185" t="str">
        <f>_xlfn.XLOOKUP(A8185,'[1]Tissue Data'!$A:$A,'[1]Tissue Data'!K:K)</f>
        <v>Whole Body</v>
      </c>
      <c r="I8185">
        <f>_xlfn.XLOOKUP(A8185,'[1]Tissue Data'!$A:$A,'[1]Tissue Data'!L:L)</f>
        <v>5</v>
      </c>
      <c r="J8185">
        <f>_xlfn.XLOOKUP(A8185,'[1]Tissue Data'!$A:$A,'[1]Tissue Data'!M:M)</f>
        <v>1.63</v>
      </c>
      <c r="K8185" t="s">
        <v>45</v>
      </c>
      <c r="L8185" t="str">
        <f>_xlfn.XLOOKUP(K8185,[2]analyte_order!$B:$B,[2]analyte_order!$C:$C)</f>
        <v>39108-34-4</v>
      </c>
      <c r="M8185">
        <f>_xlfn.XLOOKUP(L8185,[2]analyte_order!$C:$C,[2]analyte_order!$E:$E)</f>
        <v>24</v>
      </c>
      <c r="N8185">
        <v>23.2</v>
      </c>
    </row>
    <row r="8186" spans="1:14">
      <c r="A8186" t="s">
        <v>152</v>
      </c>
      <c r="B8186" t="str">
        <f>_xlfn.XLOOKUP(A8186,'[1]Tissue Data'!$A:$A,'[1]Tissue Data'!$C:$C)</f>
        <v>Down</v>
      </c>
      <c r="C8186" s="2">
        <f>_xlfn.XLOOKUP(A8186,'[1]Tissue Data'!$A:$A,'[1]Tissue Data'!$D:$D)</f>
        <v>44393</v>
      </c>
      <c r="D8186" s="2" t="s">
        <v>131</v>
      </c>
      <c r="E8186" t="str">
        <f>_xlfn.XLOOKUP(A8186,'[1]Tissue Data'!$A:$A,'[1]Tissue Data'!$H:$H)</f>
        <v>Rhinichthys</v>
      </c>
      <c r="F8186" t="str">
        <f>_xlfn.XLOOKUP(A8186,'[1]Tissue Data'!$A:$A,'[1]Tissue Data'!$I:$I)</f>
        <v>atratulus</v>
      </c>
      <c r="G8186" t="str">
        <f>_xlfn.XLOOKUP(A8186,'[1]Tissue Data'!$A:$A,'[1]Tissue Data'!J:J)</f>
        <v>U</v>
      </c>
      <c r="H8186" t="str">
        <f>_xlfn.XLOOKUP(A8186,'[1]Tissue Data'!$A:$A,'[1]Tissue Data'!K:K)</f>
        <v>Whole Body</v>
      </c>
      <c r="I8186">
        <f>_xlfn.XLOOKUP(A8186,'[1]Tissue Data'!$A:$A,'[1]Tissue Data'!L:L)</f>
        <v>5</v>
      </c>
      <c r="J8186">
        <f>_xlfn.XLOOKUP(A8186,'[1]Tissue Data'!$A:$A,'[1]Tissue Data'!M:M)</f>
        <v>1.63</v>
      </c>
      <c r="K8186" t="s">
        <v>46</v>
      </c>
      <c r="L8186" t="str">
        <f>_xlfn.XLOOKUP(K8186,[2]analyte_order!$B:$B,[2]analyte_order!$C:$C)</f>
        <v>120226-60-0</v>
      </c>
      <c r="M8186">
        <f>_xlfn.XLOOKUP(L8186,[2]analyte_order!$C:$C,[2]analyte_order!$E:$E)</f>
        <v>25</v>
      </c>
      <c r="N8186">
        <v>0.42</v>
      </c>
    </row>
    <row r="8187" spans="1:14">
      <c r="A8187" t="s">
        <v>152</v>
      </c>
      <c r="B8187" t="str">
        <f>_xlfn.XLOOKUP(A8187,'[1]Tissue Data'!$A:$A,'[1]Tissue Data'!$C:$C)</f>
        <v>Down</v>
      </c>
      <c r="C8187" s="2">
        <f>_xlfn.XLOOKUP(A8187,'[1]Tissue Data'!$A:$A,'[1]Tissue Data'!$D:$D)</f>
        <v>44393</v>
      </c>
      <c r="D8187" s="2" t="s">
        <v>131</v>
      </c>
      <c r="E8187" t="str">
        <f>_xlfn.XLOOKUP(A8187,'[1]Tissue Data'!$A:$A,'[1]Tissue Data'!$H:$H)</f>
        <v>Rhinichthys</v>
      </c>
      <c r="F8187" t="str">
        <f>_xlfn.XLOOKUP(A8187,'[1]Tissue Data'!$A:$A,'[1]Tissue Data'!$I:$I)</f>
        <v>atratulus</v>
      </c>
      <c r="G8187" t="str">
        <f>_xlfn.XLOOKUP(A8187,'[1]Tissue Data'!$A:$A,'[1]Tissue Data'!J:J)</f>
        <v>U</v>
      </c>
      <c r="H8187" t="str">
        <f>_xlfn.XLOOKUP(A8187,'[1]Tissue Data'!$A:$A,'[1]Tissue Data'!K:K)</f>
        <v>Whole Body</v>
      </c>
      <c r="I8187">
        <f>_xlfn.XLOOKUP(A8187,'[1]Tissue Data'!$A:$A,'[1]Tissue Data'!L:L)</f>
        <v>5</v>
      </c>
      <c r="J8187">
        <f>_xlfn.XLOOKUP(A8187,'[1]Tissue Data'!$A:$A,'[1]Tissue Data'!M:M)</f>
        <v>1.63</v>
      </c>
      <c r="K8187" t="s">
        <v>47</v>
      </c>
      <c r="L8187" t="str">
        <f>_xlfn.XLOOKUP(K8187,[2]analyte_order!$B:$B,[2]analyte_order!$C:$C)</f>
        <v>356-02-5</v>
      </c>
      <c r="M8187">
        <f>_xlfn.XLOOKUP(L8187,[2]analyte_order!$C:$C,[2]analyte_order!$E:$E)</f>
        <v>38</v>
      </c>
      <c r="N8187">
        <v>0.24199999999999999</v>
      </c>
    </row>
    <row r="8188" spans="1:14">
      <c r="A8188" t="s">
        <v>152</v>
      </c>
      <c r="B8188" t="str">
        <f>_xlfn.XLOOKUP(A8188,'[1]Tissue Data'!$A:$A,'[1]Tissue Data'!$C:$C)</f>
        <v>Down</v>
      </c>
      <c r="C8188" s="2">
        <f>_xlfn.XLOOKUP(A8188,'[1]Tissue Data'!$A:$A,'[1]Tissue Data'!$D:$D)</f>
        <v>44393</v>
      </c>
      <c r="D8188" s="2" t="s">
        <v>131</v>
      </c>
      <c r="E8188" t="str">
        <f>_xlfn.XLOOKUP(A8188,'[1]Tissue Data'!$A:$A,'[1]Tissue Data'!$H:$H)</f>
        <v>Rhinichthys</v>
      </c>
      <c r="F8188" t="str">
        <f>_xlfn.XLOOKUP(A8188,'[1]Tissue Data'!$A:$A,'[1]Tissue Data'!$I:$I)</f>
        <v>atratulus</v>
      </c>
      <c r="G8188" t="str">
        <f>_xlfn.XLOOKUP(A8188,'[1]Tissue Data'!$A:$A,'[1]Tissue Data'!J:J)</f>
        <v>U</v>
      </c>
      <c r="H8188" t="str">
        <f>_xlfn.XLOOKUP(A8188,'[1]Tissue Data'!$A:$A,'[1]Tissue Data'!K:K)</f>
        <v>Whole Body</v>
      </c>
      <c r="I8188">
        <f>_xlfn.XLOOKUP(A8188,'[1]Tissue Data'!$A:$A,'[1]Tissue Data'!L:L)</f>
        <v>5</v>
      </c>
      <c r="J8188">
        <f>_xlfn.XLOOKUP(A8188,'[1]Tissue Data'!$A:$A,'[1]Tissue Data'!M:M)</f>
        <v>1.63</v>
      </c>
      <c r="K8188" t="s">
        <v>48</v>
      </c>
      <c r="L8188" t="str">
        <f>_xlfn.XLOOKUP(K8188,[2]analyte_order!$B:$B,[2]analyte_order!$C:$C)</f>
        <v>914637-49-3</v>
      </c>
      <c r="M8188">
        <f>_xlfn.XLOOKUP(L8188,[2]analyte_order!$C:$C,[2]analyte_order!$E:$E)</f>
        <v>39</v>
      </c>
      <c r="N8188">
        <v>0.21</v>
      </c>
    </row>
    <row r="8189" spans="1:14">
      <c r="A8189" t="s">
        <v>152</v>
      </c>
      <c r="B8189" t="str">
        <f>_xlfn.XLOOKUP(A8189,'[1]Tissue Data'!$A:$A,'[1]Tissue Data'!$C:$C)</f>
        <v>Down</v>
      </c>
      <c r="C8189" s="2">
        <f>_xlfn.XLOOKUP(A8189,'[1]Tissue Data'!$A:$A,'[1]Tissue Data'!$D:$D)</f>
        <v>44393</v>
      </c>
      <c r="D8189" s="2" t="s">
        <v>131</v>
      </c>
      <c r="E8189" t="str">
        <f>_xlfn.XLOOKUP(A8189,'[1]Tissue Data'!$A:$A,'[1]Tissue Data'!$H:$H)</f>
        <v>Rhinichthys</v>
      </c>
      <c r="F8189" t="str">
        <f>_xlfn.XLOOKUP(A8189,'[1]Tissue Data'!$A:$A,'[1]Tissue Data'!$I:$I)</f>
        <v>atratulus</v>
      </c>
      <c r="G8189" t="str">
        <f>_xlfn.XLOOKUP(A8189,'[1]Tissue Data'!$A:$A,'[1]Tissue Data'!J:J)</f>
        <v>U</v>
      </c>
      <c r="H8189" t="str">
        <f>_xlfn.XLOOKUP(A8189,'[1]Tissue Data'!$A:$A,'[1]Tissue Data'!K:K)</f>
        <v>Whole Body</v>
      </c>
      <c r="I8189">
        <f>_xlfn.XLOOKUP(A8189,'[1]Tissue Data'!$A:$A,'[1]Tissue Data'!L:L)</f>
        <v>5</v>
      </c>
      <c r="J8189">
        <f>_xlfn.XLOOKUP(A8189,'[1]Tissue Data'!$A:$A,'[1]Tissue Data'!M:M)</f>
        <v>1.63</v>
      </c>
      <c r="K8189" t="s">
        <v>49</v>
      </c>
      <c r="L8189" t="str">
        <f>_xlfn.XLOOKUP(K8189,[2]analyte_order!$B:$B,[2]analyte_order!$C:$C)</f>
        <v>812-70-4</v>
      </c>
      <c r="M8189">
        <f>_xlfn.XLOOKUP(L8189,[2]analyte_order!$C:$C,[2]analyte_order!$E:$E)</f>
        <v>40</v>
      </c>
      <c r="N8189">
        <v>4.1900000000000004</v>
      </c>
    </row>
    <row r="8190" spans="1:14">
      <c r="A8190" t="s">
        <v>152</v>
      </c>
      <c r="B8190" t="str">
        <f>_xlfn.XLOOKUP(A8190,'[1]Tissue Data'!$A:$A,'[1]Tissue Data'!$C:$C)</f>
        <v>Down</v>
      </c>
      <c r="C8190" s="2">
        <f>_xlfn.XLOOKUP(A8190,'[1]Tissue Data'!$A:$A,'[1]Tissue Data'!$D:$D)</f>
        <v>44393</v>
      </c>
      <c r="D8190" s="2" t="s">
        <v>131</v>
      </c>
      <c r="E8190" t="str">
        <f>_xlfn.XLOOKUP(A8190,'[1]Tissue Data'!$A:$A,'[1]Tissue Data'!$H:$H)</f>
        <v>Rhinichthys</v>
      </c>
      <c r="F8190" t="str">
        <f>_xlfn.XLOOKUP(A8190,'[1]Tissue Data'!$A:$A,'[1]Tissue Data'!$I:$I)</f>
        <v>atratulus</v>
      </c>
      <c r="G8190" t="str">
        <f>_xlfn.XLOOKUP(A8190,'[1]Tissue Data'!$A:$A,'[1]Tissue Data'!J:J)</f>
        <v>U</v>
      </c>
      <c r="H8190" t="str">
        <f>_xlfn.XLOOKUP(A8190,'[1]Tissue Data'!$A:$A,'[1]Tissue Data'!K:K)</f>
        <v>Whole Body</v>
      </c>
      <c r="I8190">
        <f>_xlfn.XLOOKUP(A8190,'[1]Tissue Data'!$A:$A,'[1]Tissue Data'!L:L)</f>
        <v>5</v>
      </c>
      <c r="J8190">
        <f>_xlfn.XLOOKUP(A8190,'[1]Tissue Data'!$A:$A,'[1]Tissue Data'!M:M)</f>
        <v>1.63</v>
      </c>
      <c r="K8190" t="s">
        <v>50</v>
      </c>
      <c r="L8190" t="str">
        <f>_xlfn.XLOOKUP(K8190,[2]analyte_order!$B:$B,[2]analyte_order!$C:$C)</f>
        <v>53826-12-3</v>
      </c>
      <c r="M8190">
        <f>_xlfn.XLOOKUP(L8190,[2]analyte_order!$C:$C,[2]analyte_order!$E:$E)</f>
        <v>41</v>
      </c>
      <c r="N8190">
        <v>0.42</v>
      </c>
    </row>
    <row r="8191" spans="1:14">
      <c r="A8191" t="s">
        <v>152</v>
      </c>
      <c r="B8191" t="str">
        <f>_xlfn.XLOOKUP(A8191,'[1]Tissue Data'!$A:$A,'[1]Tissue Data'!$C:$C)</f>
        <v>Down</v>
      </c>
      <c r="C8191" s="2">
        <f>_xlfn.XLOOKUP(A8191,'[1]Tissue Data'!$A:$A,'[1]Tissue Data'!$D:$D)</f>
        <v>44393</v>
      </c>
      <c r="D8191" s="2" t="s">
        <v>131</v>
      </c>
      <c r="E8191" t="str">
        <f>_xlfn.XLOOKUP(A8191,'[1]Tissue Data'!$A:$A,'[1]Tissue Data'!$H:$H)</f>
        <v>Rhinichthys</v>
      </c>
      <c r="F8191" t="str">
        <f>_xlfn.XLOOKUP(A8191,'[1]Tissue Data'!$A:$A,'[1]Tissue Data'!$I:$I)</f>
        <v>atratulus</v>
      </c>
      <c r="G8191" t="str">
        <f>_xlfn.XLOOKUP(A8191,'[1]Tissue Data'!$A:$A,'[1]Tissue Data'!J:J)</f>
        <v>U</v>
      </c>
      <c r="H8191" t="str">
        <f>_xlfn.XLOOKUP(A8191,'[1]Tissue Data'!$A:$A,'[1]Tissue Data'!K:K)</f>
        <v>Whole Body</v>
      </c>
      <c r="I8191">
        <f>_xlfn.XLOOKUP(A8191,'[1]Tissue Data'!$A:$A,'[1]Tissue Data'!L:L)</f>
        <v>5</v>
      </c>
      <c r="J8191">
        <f>_xlfn.XLOOKUP(A8191,'[1]Tissue Data'!$A:$A,'[1]Tissue Data'!M:M)</f>
        <v>1.63</v>
      </c>
      <c r="K8191" t="s">
        <v>51</v>
      </c>
      <c r="L8191" t="str">
        <f>_xlfn.XLOOKUP(K8191,[2]analyte_order!$B:$B,[2]analyte_order!$C:$C)</f>
        <v>27854-31-5</v>
      </c>
      <c r="M8191">
        <f>_xlfn.XLOOKUP(L8191,[2]analyte_order!$C:$C,[2]analyte_order!$E:$E)</f>
        <v>42</v>
      </c>
      <c r="N8191">
        <v>0.42</v>
      </c>
    </row>
    <row r="8192" spans="1:14">
      <c r="A8192" t="s">
        <v>152</v>
      </c>
      <c r="B8192" t="str">
        <f>_xlfn.XLOOKUP(A8192,'[1]Tissue Data'!$A:$A,'[1]Tissue Data'!$C:$C)</f>
        <v>Down</v>
      </c>
      <c r="C8192" s="2">
        <f>_xlfn.XLOOKUP(A8192,'[1]Tissue Data'!$A:$A,'[1]Tissue Data'!$D:$D)</f>
        <v>44393</v>
      </c>
      <c r="D8192" s="2" t="s">
        <v>131</v>
      </c>
      <c r="E8192" t="str">
        <f>_xlfn.XLOOKUP(A8192,'[1]Tissue Data'!$A:$A,'[1]Tissue Data'!$H:$H)</f>
        <v>Rhinichthys</v>
      </c>
      <c r="F8192" t="str">
        <f>_xlfn.XLOOKUP(A8192,'[1]Tissue Data'!$A:$A,'[1]Tissue Data'!$I:$I)</f>
        <v>atratulus</v>
      </c>
      <c r="G8192" t="str">
        <f>_xlfn.XLOOKUP(A8192,'[1]Tissue Data'!$A:$A,'[1]Tissue Data'!J:J)</f>
        <v>U</v>
      </c>
      <c r="H8192" t="str">
        <f>_xlfn.XLOOKUP(A8192,'[1]Tissue Data'!$A:$A,'[1]Tissue Data'!K:K)</f>
        <v>Whole Body</v>
      </c>
      <c r="I8192">
        <f>_xlfn.XLOOKUP(A8192,'[1]Tissue Data'!$A:$A,'[1]Tissue Data'!L:L)</f>
        <v>5</v>
      </c>
      <c r="J8192">
        <f>_xlfn.XLOOKUP(A8192,'[1]Tissue Data'!$A:$A,'[1]Tissue Data'!M:M)</f>
        <v>1.63</v>
      </c>
      <c r="K8192" t="s">
        <v>52</v>
      </c>
      <c r="L8192" t="str">
        <f>_xlfn.XLOOKUP(K8192,[2]analyte_order!$B:$B,[2]analyte_order!$C:$C)</f>
        <v>53826-13-4</v>
      </c>
      <c r="M8192">
        <f>_xlfn.XLOOKUP(L8192,[2]analyte_order!$C:$C,[2]analyte_order!$E:$E)</f>
        <v>43</v>
      </c>
      <c r="N8192">
        <v>0.42</v>
      </c>
    </row>
    <row r="8193" spans="1:14">
      <c r="A8193" t="s">
        <v>152</v>
      </c>
      <c r="B8193" t="str">
        <f>_xlfn.XLOOKUP(A8193,'[1]Tissue Data'!$A:$A,'[1]Tissue Data'!$C:$C)</f>
        <v>Down</v>
      </c>
      <c r="C8193" s="2">
        <f>_xlfn.XLOOKUP(A8193,'[1]Tissue Data'!$A:$A,'[1]Tissue Data'!$D:$D)</f>
        <v>44393</v>
      </c>
      <c r="D8193" s="2" t="s">
        <v>131</v>
      </c>
      <c r="E8193" t="str">
        <f>_xlfn.XLOOKUP(A8193,'[1]Tissue Data'!$A:$A,'[1]Tissue Data'!$H:$H)</f>
        <v>Rhinichthys</v>
      </c>
      <c r="F8193" t="str">
        <f>_xlfn.XLOOKUP(A8193,'[1]Tissue Data'!$A:$A,'[1]Tissue Data'!$I:$I)</f>
        <v>atratulus</v>
      </c>
      <c r="G8193" t="str">
        <f>_xlfn.XLOOKUP(A8193,'[1]Tissue Data'!$A:$A,'[1]Tissue Data'!J:J)</f>
        <v>U</v>
      </c>
      <c r="H8193" t="str">
        <f>_xlfn.XLOOKUP(A8193,'[1]Tissue Data'!$A:$A,'[1]Tissue Data'!K:K)</f>
        <v>Whole Body</v>
      </c>
      <c r="I8193">
        <f>_xlfn.XLOOKUP(A8193,'[1]Tissue Data'!$A:$A,'[1]Tissue Data'!L:L)</f>
        <v>5</v>
      </c>
      <c r="J8193">
        <f>_xlfn.XLOOKUP(A8193,'[1]Tissue Data'!$A:$A,'[1]Tissue Data'!M:M)</f>
        <v>1.63</v>
      </c>
      <c r="K8193" t="s">
        <v>53</v>
      </c>
      <c r="L8193" t="str">
        <f>_xlfn.XLOOKUP(K8193,[2]analyte_order!$B:$B,[2]analyte_order!$C:$C)</f>
        <v>161094-75-3</v>
      </c>
      <c r="M8193">
        <f>_xlfn.XLOOKUP(L8193,[2]analyte_order!$C:$C,[2]analyte_order!$E:$E)</f>
        <v>44</v>
      </c>
      <c r="N8193">
        <v>0.42</v>
      </c>
    </row>
    <row r="8194" spans="1:14">
      <c r="A8194" t="s">
        <v>152</v>
      </c>
      <c r="B8194" t="str">
        <f>_xlfn.XLOOKUP(A8194,'[1]Tissue Data'!$A:$A,'[1]Tissue Data'!$C:$C)</f>
        <v>Down</v>
      </c>
      <c r="C8194" s="2">
        <f>_xlfn.XLOOKUP(A8194,'[1]Tissue Data'!$A:$A,'[1]Tissue Data'!$D:$D)</f>
        <v>44393</v>
      </c>
      <c r="D8194" s="2" t="s">
        <v>131</v>
      </c>
      <c r="E8194" t="str">
        <f>_xlfn.XLOOKUP(A8194,'[1]Tissue Data'!$A:$A,'[1]Tissue Data'!$H:$H)</f>
        <v>Rhinichthys</v>
      </c>
      <c r="F8194" t="str">
        <f>_xlfn.XLOOKUP(A8194,'[1]Tissue Data'!$A:$A,'[1]Tissue Data'!$I:$I)</f>
        <v>atratulus</v>
      </c>
      <c r="G8194" t="str">
        <f>_xlfn.XLOOKUP(A8194,'[1]Tissue Data'!$A:$A,'[1]Tissue Data'!J:J)</f>
        <v>U</v>
      </c>
      <c r="H8194" t="str">
        <f>_xlfn.XLOOKUP(A8194,'[1]Tissue Data'!$A:$A,'[1]Tissue Data'!K:K)</f>
        <v>Whole Body</v>
      </c>
      <c r="I8194">
        <f>_xlfn.XLOOKUP(A8194,'[1]Tissue Data'!$A:$A,'[1]Tissue Data'!L:L)</f>
        <v>5</v>
      </c>
      <c r="J8194">
        <f>_xlfn.XLOOKUP(A8194,'[1]Tissue Data'!$A:$A,'[1]Tissue Data'!M:M)</f>
        <v>1.63</v>
      </c>
      <c r="K8194" t="s">
        <v>54</v>
      </c>
      <c r="L8194" t="str">
        <f>_xlfn.XLOOKUP(K8194,[2]analyte_order!$B:$B,[2]analyte_order!$C:$C)</f>
        <v>70887-84-2</v>
      </c>
      <c r="M8194">
        <f>_xlfn.XLOOKUP(L8194,[2]analyte_order!$C:$C,[2]analyte_order!$E:$E)</f>
        <v>45</v>
      </c>
      <c r="N8194">
        <v>0.42</v>
      </c>
    </row>
    <row r="8195" spans="1:14">
      <c r="A8195" t="s">
        <v>152</v>
      </c>
      <c r="B8195" t="str">
        <f>_xlfn.XLOOKUP(A8195,'[1]Tissue Data'!$A:$A,'[1]Tissue Data'!$C:$C)</f>
        <v>Down</v>
      </c>
      <c r="C8195" s="2">
        <f>_xlfn.XLOOKUP(A8195,'[1]Tissue Data'!$A:$A,'[1]Tissue Data'!$D:$D)</f>
        <v>44393</v>
      </c>
      <c r="D8195" s="2" t="s">
        <v>131</v>
      </c>
      <c r="E8195" t="str">
        <f>_xlfn.XLOOKUP(A8195,'[1]Tissue Data'!$A:$A,'[1]Tissue Data'!$H:$H)</f>
        <v>Rhinichthys</v>
      </c>
      <c r="F8195" t="str">
        <f>_xlfn.XLOOKUP(A8195,'[1]Tissue Data'!$A:$A,'[1]Tissue Data'!$I:$I)</f>
        <v>atratulus</v>
      </c>
      <c r="G8195" t="str">
        <f>_xlfn.XLOOKUP(A8195,'[1]Tissue Data'!$A:$A,'[1]Tissue Data'!J:J)</f>
        <v>U</v>
      </c>
      <c r="H8195" t="str">
        <f>_xlfn.XLOOKUP(A8195,'[1]Tissue Data'!$A:$A,'[1]Tissue Data'!K:K)</f>
        <v>Whole Body</v>
      </c>
      <c r="I8195">
        <f>_xlfn.XLOOKUP(A8195,'[1]Tissue Data'!$A:$A,'[1]Tissue Data'!L:L)</f>
        <v>5</v>
      </c>
      <c r="J8195">
        <f>_xlfn.XLOOKUP(A8195,'[1]Tissue Data'!$A:$A,'[1]Tissue Data'!M:M)</f>
        <v>1.63</v>
      </c>
      <c r="K8195" t="s">
        <v>55</v>
      </c>
      <c r="L8195" t="str">
        <f>_xlfn.XLOOKUP(K8195,[2]analyte_order!$B:$B,[2]analyte_order!$C:$C)</f>
        <v>919005-14-4</v>
      </c>
      <c r="M8195">
        <f>_xlfn.XLOOKUP(L8195,[2]analyte_order!$C:$C,[2]analyte_order!$E:$E)</f>
        <v>35</v>
      </c>
      <c r="N8195">
        <v>0.21</v>
      </c>
    </row>
    <row r="8196" spans="1:14">
      <c r="A8196" t="s">
        <v>152</v>
      </c>
      <c r="B8196" t="str">
        <f>_xlfn.XLOOKUP(A8196,'[1]Tissue Data'!$A:$A,'[1]Tissue Data'!$C:$C)</f>
        <v>Down</v>
      </c>
      <c r="C8196" s="2">
        <f>_xlfn.XLOOKUP(A8196,'[1]Tissue Data'!$A:$A,'[1]Tissue Data'!$D:$D)</f>
        <v>44393</v>
      </c>
      <c r="D8196" s="2" t="s">
        <v>131</v>
      </c>
      <c r="E8196" t="str">
        <f>_xlfn.XLOOKUP(A8196,'[1]Tissue Data'!$A:$A,'[1]Tissue Data'!$H:$H)</f>
        <v>Rhinichthys</v>
      </c>
      <c r="F8196" t="str">
        <f>_xlfn.XLOOKUP(A8196,'[1]Tissue Data'!$A:$A,'[1]Tissue Data'!$I:$I)</f>
        <v>atratulus</v>
      </c>
      <c r="G8196" t="str">
        <f>_xlfn.XLOOKUP(A8196,'[1]Tissue Data'!$A:$A,'[1]Tissue Data'!J:J)</f>
        <v>U</v>
      </c>
      <c r="H8196" t="str">
        <f>_xlfn.XLOOKUP(A8196,'[1]Tissue Data'!$A:$A,'[1]Tissue Data'!K:K)</f>
        <v>Whole Body</v>
      </c>
      <c r="I8196">
        <f>_xlfn.XLOOKUP(A8196,'[1]Tissue Data'!$A:$A,'[1]Tissue Data'!L:L)</f>
        <v>5</v>
      </c>
      <c r="J8196">
        <f>_xlfn.XLOOKUP(A8196,'[1]Tissue Data'!$A:$A,'[1]Tissue Data'!M:M)</f>
        <v>1.63</v>
      </c>
      <c r="K8196" t="s">
        <v>56</v>
      </c>
      <c r="L8196" t="str">
        <f>_xlfn.XLOOKUP(K8196,[2]analyte_order!$B:$B,[2]analyte_order!$C:$C)</f>
        <v>756426-58-1</v>
      </c>
      <c r="M8196">
        <f>_xlfn.XLOOKUP(L8196,[2]analyte_order!$C:$C,[2]analyte_order!$E:$E)</f>
        <v>36</v>
      </c>
      <c r="N8196">
        <v>0.42</v>
      </c>
    </row>
    <row r="8197" spans="1:14">
      <c r="A8197" t="s">
        <v>152</v>
      </c>
      <c r="B8197" t="str">
        <f>_xlfn.XLOOKUP(A8197,'[1]Tissue Data'!$A:$A,'[1]Tissue Data'!$C:$C)</f>
        <v>Down</v>
      </c>
      <c r="C8197" s="2">
        <f>_xlfn.XLOOKUP(A8197,'[1]Tissue Data'!$A:$A,'[1]Tissue Data'!$D:$D)</f>
        <v>44393</v>
      </c>
      <c r="D8197" s="2" t="s">
        <v>131</v>
      </c>
      <c r="E8197" t="str">
        <f>_xlfn.XLOOKUP(A8197,'[1]Tissue Data'!$A:$A,'[1]Tissue Data'!$H:$H)</f>
        <v>Rhinichthys</v>
      </c>
      <c r="F8197" t="str">
        <f>_xlfn.XLOOKUP(A8197,'[1]Tissue Data'!$A:$A,'[1]Tissue Data'!$I:$I)</f>
        <v>atratulus</v>
      </c>
      <c r="G8197" t="str">
        <f>_xlfn.XLOOKUP(A8197,'[1]Tissue Data'!$A:$A,'[1]Tissue Data'!J:J)</f>
        <v>U</v>
      </c>
      <c r="H8197" t="str">
        <f>_xlfn.XLOOKUP(A8197,'[1]Tissue Data'!$A:$A,'[1]Tissue Data'!K:K)</f>
        <v>Whole Body</v>
      </c>
      <c r="I8197">
        <f>_xlfn.XLOOKUP(A8197,'[1]Tissue Data'!$A:$A,'[1]Tissue Data'!L:L)</f>
        <v>5</v>
      </c>
      <c r="J8197">
        <f>_xlfn.XLOOKUP(A8197,'[1]Tissue Data'!$A:$A,'[1]Tissue Data'!M:M)</f>
        <v>1.63</v>
      </c>
      <c r="K8197" t="s">
        <v>57</v>
      </c>
      <c r="L8197" t="str">
        <f>_xlfn.XLOOKUP(K8197,[2]analyte_order!$B:$B,[2]analyte_order!$C:$C)</f>
        <v>763051-92-9</v>
      </c>
      <c r="M8197">
        <f>_xlfn.XLOOKUP(L8197,[2]analyte_order!$C:$C,[2]analyte_order!$E:$E)</f>
        <v>37</v>
      </c>
      <c r="N8197">
        <v>0.42</v>
      </c>
    </row>
    <row r="8198" spans="1:14">
      <c r="A8198" t="s">
        <v>152</v>
      </c>
      <c r="B8198" t="str">
        <f>_xlfn.XLOOKUP(A8198,'[1]Tissue Data'!$A:$A,'[1]Tissue Data'!$C:$C)</f>
        <v>Down</v>
      </c>
      <c r="C8198" s="2">
        <f>_xlfn.XLOOKUP(A8198,'[1]Tissue Data'!$A:$A,'[1]Tissue Data'!$D:$D)</f>
        <v>44393</v>
      </c>
      <c r="D8198" s="2" t="s">
        <v>131</v>
      </c>
      <c r="E8198" t="str">
        <f>_xlfn.XLOOKUP(A8198,'[1]Tissue Data'!$A:$A,'[1]Tissue Data'!$H:$H)</f>
        <v>Rhinichthys</v>
      </c>
      <c r="F8198" t="str">
        <f>_xlfn.XLOOKUP(A8198,'[1]Tissue Data'!$A:$A,'[1]Tissue Data'!$I:$I)</f>
        <v>atratulus</v>
      </c>
      <c r="G8198" t="str">
        <f>_xlfn.XLOOKUP(A8198,'[1]Tissue Data'!$A:$A,'[1]Tissue Data'!J:J)</f>
        <v>U</v>
      </c>
      <c r="H8198" t="str">
        <f>_xlfn.XLOOKUP(A8198,'[1]Tissue Data'!$A:$A,'[1]Tissue Data'!K:K)</f>
        <v>Whole Body</v>
      </c>
      <c r="I8198">
        <f>_xlfn.XLOOKUP(A8198,'[1]Tissue Data'!$A:$A,'[1]Tissue Data'!L:L)</f>
        <v>5</v>
      </c>
      <c r="J8198">
        <f>_xlfn.XLOOKUP(A8198,'[1]Tissue Data'!$A:$A,'[1]Tissue Data'!M:M)</f>
        <v>1.63</v>
      </c>
      <c r="K8198" t="s">
        <v>58</v>
      </c>
      <c r="L8198" t="str">
        <f>_xlfn.XLOOKUP(K8198,[2]analyte_order!$B:$B,[2]analyte_order!$C:$C)</f>
        <v>13252-13-6</v>
      </c>
      <c r="M8198">
        <f>_xlfn.XLOOKUP(L8198,[2]analyte_order!$C:$C,[2]analyte_order!$E:$E)</f>
        <v>34</v>
      </c>
      <c r="N8198">
        <v>0.30099999999999999</v>
      </c>
    </row>
    <row r="8199" spans="1:14">
      <c r="A8199" t="s">
        <v>152</v>
      </c>
      <c r="B8199" t="str">
        <f>_xlfn.XLOOKUP(A8199,'[1]Tissue Data'!$A:$A,'[1]Tissue Data'!$C:$C)</f>
        <v>Down</v>
      </c>
      <c r="C8199" s="2">
        <f>_xlfn.XLOOKUP(A8199,'[1]Tissue Data'!$A:$A,'[1]Tissue Data'!$D:$D)</f>
        <v>44393</v>
      </c>
      <c r="D8199" s="2" t="s">
        <v>131</v>
      </c>
      <c r="E8199" t="str">
        <f>_xlfn.XLOOKUP(A8199,'[1]Tissue Data'!$A:$A,'[1]Tissue Data'!$H:$H)</f>
        <v>Rhinichthys</v>
      </c>
      <c r="F8199" t="str">
        <f>_xlfn.XLOOKUP(A8199,'[1]Tissue Data'!$A:$A,'[1]Tissue Data'!$I:$I)</f>
        <v>atratulus</v>
      </c>
      <c r="G8199" t="str">
        <f>_xlfn.XLOOKUP(A8199,'[1]Tissue Data'!$A:$A,'[1]Tissue Data'!J:J)</f>
        <v>U</v>
      </c>
      <c r="H8199" t="str">
        <f>_xlfn.XLOOKUP(A8199,'[1]Tissue Data'!$A:$A,'[1]Tissue Data'!K:K)</f>
        <v>Whole Body</v>
      </c>
      <c r="I8199">
        <f>_xlfn.XLOOKUP(A8199,'[1]Tissue Data'!$A:$A,'[1]Tissue Data'!L:L)</f>
        <v>5</v>
      </c>
      <c r="J8199">
        <f>_xlfn.XLOOKUP(A8199,'[1]Tissue Data'!$A:$A,'[1]Tissue Data'!M:M)</f>
        <v>1.63</v>
      </c>
      <c r="K8199" t="s">
        <v>59</v>
      </c>
      <c r="L8199" t="str">
        <f>_xlfn.XLOOKUP(K8199,[2]analyte_order!$B:$B,[2]analyte_order!$C:$C)</f>
        <v>57677-95-9</v>
      </c>
      <c r="M8199">
        <f>_xlfn.XLOOKUP(L8199,[2]analyte_order!$C:$C,[2]analyte_order!$E:$E)</f>
        <v>46</v>
      </c>
      <c r="N8199">
        <v>0.42</v>
      </c>
    </row>
    <row r="8200" spans="1:14">
      <c r="A8200" t="s">
        <v>152</v>
      </c>
      <c r="B8200" t="str">
        <f>_xlfn.XLOOKUP(A8200,'[1]Tissue Data'!$A:$A,'[1]Tissue Data'!$C:$C)</f>
        <v>Down</v>
      </c>
      <c r="C8200" s="2">
        <f>_xlfn.XLOOKUP(A8200,'[1]Tissue Data'!$A:$A,'[1]Tissue Data'!$D:$D)</f>
        <v>44393</v>
      </c>
      <c r="D8200" s="2" t="s">
        <v>131</v>
      </c>
      <c r="E8200" t="str">
        <f>_xlfn.XLOOKUP(A8200,'[1]Tissue Data'!$A:$A,'[1]Tissue Data'!$H:$H)</f>
        <v>Rhinichthys</v>
      </c>
      <c r="F8200" t="str">
        <f>_xlfn.XLOOKUP(A8200,'[1]Tissue Data'!$A:$A,'[1]Tissue Data'!$I:$I)</f>
        <v>atratulus</v>
      </c>
      <c r="G8200" t="str">
        <f>_xlfn.XLOOKUP(A8200,'[1]Tissue Data'!$A:$A,'[1]Tissue Data'!J:J)</f>
        <v>U</v>
      </c>
      <c r="H8200" t="str">
        <f>_xlfn.XLOOKUP(A8200,'[1]Tissue Data'!$A:$A,'[1]Tissue Data'!K:K)</f>
        <v>Whole Body</v>
      </c>
      <c r="I8200">
        <f>_xlfn.XLOOKUP(A8200,'[1]Tissue Data'!$A:$A,'[1]Tissue Data'!L:L)</f>
        <v>5</v>
      </c>
      <c r="J8200">
        <f>_xlfn.XLOOKUP(A8200,'[1]Tissue Data'!$A:$A,'[1]Tissue Data'!M:M)</f>
        <v>1.63</v>
      </c>
      <c r="K8200" t="s">
        <v>60</v>
      </c>
      <c r="L8200" t="str">
        <f>_xlfn.XLOOKUP(K8200,[2]analyte_order!$B:$B,[2]analyte_order!$C:$C)</f>
        <v>678-41-1</v>
      </c>
      <c r="M8200">
        <f>_xlfn.XLOOKUP(L8200,[2]analyte_order!$C:$C,[2]analyte_order!$E:$E)</f>
        <v>56</v>
      </c>
      <c r="N8200">
        <v>0.42</v>
      </c>
    </row>
    <row r="8201" spans="1:14">
      <c r="A8201" t="s">
        <v>152</v>
      </c>
      <c r="B8201" t="str">
        <f>_xlfn.XLOOKUP(A8201,'[1]Tissue Data'!$A:$A,'[1]Tissue Data'!$C:$C)</f>
        <v>Down</v>
      </c>
      <c r="C8201" s="2">
        <f>_xlfn.XLOOKUP(A8201,'[1]Tissue Data'!$A:$A,'[1]Tissue Data'!$D:$D)</f>
        <v>44393</v>
      </c>
      <c r="D8201" s="2" t="s">
        <v>131</v>
      </c>
      <c r="E8201" t="str">
        <f>_xlfn.XLOOKUP(A8201,'[1]Tissue Data'!$A:$A,'[1]Tissue Data'!$H:$H)</f>
        <v>Rhinichthys</v>
      </c>
      <c r="F8201" t="str">
        <f>_xlfn.XLOOKUP(A8201,'[1]Tissue Data'!$A:$A,'[1]Tissue Data'!$I:$I)</f>
        <v>atratulus</v>
      </c>
      <c r="G8201" t="str">
        <f>_xlfn.XLOOKUP(A8201,'[1]Tissue Data'!$A:$A,'[1]Tissue Data'!J:J)</f>
        <v>U</v>
      </c>
      <c r="H8201" t="str">
        <f>_xlfn.XLOOKUP(A8201,'[1]Tissue Data'!$A:$A,'[1]Tissue Data'!K:K)</f>
        <v>Whole Body</v>
      </c>
      <c r="I8201">
        <f>_xlfn.XLOOKUP(A8201,'[1]Tissue Data'!$A:$A,'[1]Tissue Data'!L:L)</f>
        <v>5</v>
      </c>
      <c r="J8201">
        <f>_xlfn.XLOOKUP(A8201,'[1]Tissue Data'!$A:$A,'[1]Tissue Data'!M:M)</f>
        <v>1.63</v>
      </c>
      <c r="K8201" t="s">
        <v>61</v>
      </c>
      <c r="L8201" t="str">
        <f>_xlfn.XLOOKUP(K8201,[2]analyte_order!$B:$B,[2]analyte_order!$C:$C)</f>
        <v>2965-52-8</v>
      </c>
      <c r="M8201">
        <f>_xlfn.XLOOKUP(L8201,[2]analyte_order!$C:$C,[2]analyte_order!$E:$E)</f>
        <v>57</v>
      </c>
      <c r="N8201">
        <v>0.42</v>
      </c>
    </row>
    <row r="8202" spans="1:14">
      <c r="A8202" t="s">
        <v>153</v>
      </c>
      <c r="B8202" t="str">
        <f>_xlfn.XLOOKUP(A8202,'[1]Tissue Data'!$A:$A,'[1]Tissue Data'!$C:$C)</f>
        <v>Down</v>
      </c>
      <c r="C8202" s="2">
        <f>_xlfn.XLOOKUP(A8202,'[1]Tissue Data'!$A:$A,'[1]Tissue Data'!$D:$D)</f>
        <v>44393</v>
      </c>
      <c r="D8202" s="2" t="s">
        <v>131</v>
      </c>
      <c r="E8202" t="str">
        <f>_xlfn.XLOOKUP(A8202,'[1]Tissue Data'!$A:$A,'[1]Tissue Data'!$H:$H)</f>
        <v>Rhinichthys</v>
      </c>
      <c r="F8202" t="str">
        <f>_xlfn.XLOOKUP(A8202,'[1]Tissue Data'!$A:$A,'[1]Tissue Data'!$I:$I)</f>
        <v>atratulus</v>
      </c>
      <c r="G8202" t="str">
        <f>_xlfn.XLOOKUP(A8202,'[1]Tissue Data'!$A:$A,'[1]Tissue Data'!J:J)</f>
        <v>U</v>
      </c>
      <c r="H8202" t="str">
        <f>_xlfn.XLOOKUP(A8202,'[1]Tissue Data'!$A:$A,'[1]Tissue Data'!K:K)</f>
        <v>Whole Body</v>
      </c>
      <c r="I8202">
        <f>_xlfn.XLOOKUP(A8202,'[1]Tissue Data'!$A:$A,'[1]Tissue Data'!L:L)</f>
        <v>4.5</v>
      </c>
      <c r="J8202">
        <f>_xlfn.XLOOKUP(A8202,'[1]Tissue Data'!$A:$A,'[1]Tissue Data'!M:M)</f>
        <v>1.63</v>
      </c>
      <c r="K8202" t="s">
        <v>12</v>
      </c>
      <c r="L8202" t="str">
        <f>_xlfn.XLOOKUP(K8202,[2]analyte_order!$B:$B,[2]analyte_order!$C:$C)</f>
        <v>375-22-4</v>
      </c>
      <c r="M8202">
        <f>_xlfn.XLOOKUP(L8202,[2]analyte_order!$C:$C,[2]analyte_order!$E:$E)</f>
        <v>1</v>
      </c>
      <c r="N8202">
        <v>0.23200000000000001</v>
      </c>
    </row>
    <row r="8203" spans="1:14">
      <c r="A8203" t="s">
        <v>153</v>
      </c>
      <c r="B8203" t="str">
        <f>_xlfn.XLOOKUP(A8203,'[1]Tissue Data'!$A:$A,'[1]Tissue Data'!$C:$C)</f>
        <v>Down</v>
      </c>
      <c r="C8203" s="2">
        <f>_xlfn.XLOOKUP(A8203,'[1]Tissue Data'!$A:$A,'[1]Tissue Data'!$D:$D)</f>
        <v>44393</v>
      </c>
      <c r="D8203" s="2" t="s">
        <v>131</v>
      </c>
      <c r="E8203" t="str">
        <f>_xlfn.XLOOKUP(A8203,'[1]Tissue Data'!$A:$A,'[1]Tissue Data'!$H:$H)</f>
        <v>Rhinichthys</v>
      </c>
      <c r="F8203" t="str">
        <f>_xlfn.XLOOKUP(A8203,'[1]Tissue Data'!$A:$A,'[1]Tissue Data'!$I:$I)</f>
        <v>atratulus</v>
      </c>
      <c r="G8203" t="str">
        <f>_xlfn.XLOOKUP(A8203,'[1]Tissue Data'!$A:$A,'[1]Tissue Data'!J:J)</f>
        <v>U</v>
      </c>
      <c r="H8203" t="str">
        <f>_xlfn.XLOOKUP(A8203,'[1]Tissue Data'!$A:$A,'[1]Tissue Data'!K:K)</f>
        <v>Whole Body</v>
      </c>
      <c r="I8203">
        <f>_xlfn.XLOOKUP(A8203,'[1]Tissue Data'!$A:$A,'[1]Tissue Data'!L:L)</f>
        <v>4.5</v>
      </c>
      <c r="J8203">
        <f>_xlfn.XLOOKUP(A8203,'[1]Tissue Data'!$A:$A,'[1]Tissue Data'!M:M)</f>
        <v>1.63</v>
      </c>
      <c r="K8203" t="s">
        <v>13</v>
      </c>
      <c r="L8203" t="str">
        <f>_xlfn.XLOOKUP(K8203,[2]analyte_order!$B:$B,[2]analyte_order!$C:$C)</f>
        <v>2706-90-3</v>
      </c>
      <c r="M8203">
        <f>_xlfn.XLOOKUP(L8203,[2]analyte_order!$C:$C,[2]analyte_order!$E:$E)</f>
        <v>2</v>
      </c>
      <c r="N8203">
        <v>0.23200000000000001</v>
      </c>
    </row>
    <row r="8204" spans="1:14">
      <c r="A8204" t="s">
        <v>153</v>
      </c>
      <c r="B8204" t="str">
        <f>_xlfn.XLOOKUP(A8204,'[1]Tissue Data'!$A:$A,'[1]Tissue Data'!$C:$C)</f>
        <v>Down</v>
      </c>
      <c r="C8204" s="2">
        <f>_xlfn.XLOOKUP(A8204,'[1]Tissue Data'!$A:$A,'[1]Tissue Data'!$D:$D)</f>
        <v>44393</v>
      </c>
      <c r="D8204" s="2" t="s">
        <v>131</v>
      </c>
      <c r="E8204" t="str">
        <f>_xlfn.XLOOKUP(A8204,'[1]Tissue Data'!$A:$A,'[1]Tissue Data'!$H:$H)</f>
        <v>Rhinichthys</v>
      </c>
      <c r="F8204" t="str">
        <f>_xlfn.XLOOKUP(A8204,'[1]Tissue Data'!$A:$A,'[1]Tissue Data'!$I:$I)</f>
        <v>atratulus</v>
      </c>
      <c r="G8204" t="str">
        <f>_xlfn.XLOOKUP(A8204,'[1]Tissue Data'!$A:$A,'[1]Tissue Data'!J:J)</f>
        <v>U</v>
      </c>
      <c r="H8204" t="str">
        <f>_xlfn.XLOOKUP(A8204,'[1]Tissue Data'!$A:$A,'[1]Tissue Data'!K:K)</f>
        <v>Whole Body</v>
      </c>
      <c r="I8204">
        <f>_xlfn.XLOOKUP(A8204,'[1]Tissue Data'!$A:$A,'[1]Tissue Data'!L:L)</f>
        <v>4.5</v>
      </c>
      <c r="J8204">
        <f>_xlfn.XLOOKUP(A8204,'[1]Tissue Data'!$A:$A,'[1]Tissue Data'!M:M)</f>
        <v>1.63</v>
      </c>
      <c r="K8204" t="s">
        <v>14</v>
      </c>
      <c r="L8204" t="str">
        <f>_xlfn.XLOOKUP(K8204,[2]analyte_order!$B:$B,[2]analyte_order!$C:$C)</f>
        <v>307-24-4</v>
      </c>
      <c r="M8204">
        <f>_xlfn.XLOOKUP(L8204,[2]analyte_order!$C:$C,[2]analyte_order!$E:$E)</f>
        <v>3</v>
      </c>
      <c r="N8204">
        <v>0.1255</v>
      </c>
    </row>
    <row r="8205" spans="1:14">
      <c r="A8205" t="s">
        <v>153</v>
      </c>
      <c r="B8205" t="str">
        <f>_xlfn.XLOOKUP(A8205,'[1]Tissue Data'!$A:$A,'[1]Tissue Data'!$C:$C)</f>
        <v>Down</v>
      </c>
      <c r="C8205" s="2">
        <f>_xlfn.XLOOKUP(A8205,'[1]Tissue Data'!$A:$A,'[1]Tissue Data'!$D:$D)</f>
        <v>44393</v>
      </c>
      <c r="D8205" s="2" t="s">
        <v>131</v>
      </c>
      <c r="E8205" t="str">
        <f>_xlfn.XLOOKUP(A8205,'[1]Tissue Data'!$A:$A,'[1]Tissue Data'!$H:$H)</f>
        <v>Rhinichthys</v>
      </c>
      <c r="F8205" t="str">
        <f>_xlfn.XLOOKUP(A8205,'[1]Tissue Data'!$A:$A,'[1]Tissue Data'!$I:$I)</f>
        <v>atratulus</v>
      </c>
      <c r="G8205" t="str">
        <f>_xlfn.XLOOKUP(A8205,'[1]Tissue Data'!$A:$A,'[1]Tissue Data'!J:J)</f>
        <v>U</v>
      </c>
      <c r="H8205" t="str">
        <f>_xlfn.XLOOKUP(A8205,'[1]Tissue Data'!$A:$A,'[1]Tissue Data'!K:K)</f>
        <v>Whole Body</v>
      </c>
      <c r="I8205">
        <f>_xlfn.XLOOKUP(A8205,'[1]Tissue Data'!$A:$A,'[1]Tissue Data'!L:L)</f>
        <v>4.5</v>
      </c>
      <c r="J8205">
        <f>_xlfn.XLOOKUP(A8205,'[1]Tissue Data'!$A:$A,'[1]Tissue Data'!M:M)</f>
        <v>1.63</v>
      </c>
      <c r="K8205" t="s">
        <v>15</v>
      </c>
      <c r="L8205" t="str">
        <f>_xlfn.XLOOKUP(K8205,[2]analyte_order!$B:$B,[2]analyte_order!$C:$C)</f>
        <v>375-85-9</v>
      </c>
      <c r="M8205">
        <f>_xlfn.XLOOKUP(L8205,[2]analyte_order!$C:$C,[2]analyte_order!$E:$E)</f>
        <v>4</v>
      </c>
      <c r="N8205">
        <v>0.23200000000000001</v>
      </c>
    </row>
    <row r="8206" spans="1:14">
      <c r="A8206" t="s">
        <v>153</v>
      </c>
      <c r="B8206" t="str">
        <f>_xlfn.XLOOKUP(A8206,'[1]Tissue Data'!$A:$A,'[1]Tissue Data'!$C:$C)</f>
        <v>Down</v>
      </c>
      <c r="C8206" s="2">
        <f>_xlfn.XLOOKUP(A8206,'[1]Tissue Data'!$A:$A,'[1]Tissue Data'!$D:$D)</f>
        <v>44393</v>
      </c>
      <c r="D8206" s="2" t="s">
        <v>131</v>
      </c>
      <c r="E8206" t="str">
        <f>_xlfn.XLOOKUP(A8206,'[1]Tissue Data'!$A:$A,'[1]Tissue Data'!$H:$H)</f>
        <v>Rhinichthys</v>
      </c>
      <c r="F8206" t="str">
        <f>_xlfn.XLOOKUP(A8206,'[1]Tissue Data'!$A:$A,'[1]Tissue Data'!$I:$I)</f>
        <v>atratulus</v>
      </c>
      <c r="G8206" t="str">
        <f>_xlfn.XLOOKUP(A8206,'[1]Tissue Data'!$A:$A,'[1]Tissue Data'!J:J)</f>
        <v>U</v>
      </c>
      <c r="H8206" t="str">
        <f>_xlfn.XLOOKUP(A8206,'[1]Tissue Data'!$A:$A,'[1]Tissue Data'!K:K)</f>
        <v>Whole Body</v>
      </c>
      <c r="I8206">
        <f>_xlfn.XLOOKUP(A8206,'[1]Tissue Data'!$A:$A,'[1]Tissue Data'!L:L)</f>
        <v>4.5</v>
      </c>
      <c r="J8206">
        <f>_xlfn.XLOOKUP(A8206,'[1]Tissue Data'!$A:$A,'[1]Tissue Data'!M:M)</f>
        <v>1.63</v>
      </c>
      <c r="K8206" t="s">
        <v>16</v>
      </c>
      <c r="L8206" t="str">
        <f>_xlfn.XLOOKUP(K8206,[2]analyte_order!$B:$B,[2]analyte_order!$C:$C)</f>
        <v>335-67-1</v>
      </c>
      <c r="M8206">
        <f>_xlfn.XLOOKUP(L8206,[2]analyte_order!$C:$C,[2]analyte_order!$E:$E)</f>
        <v>5</v>
      </c>
      <c r="N8206">
        <v>2.42</v>
      </c>
    </row>
    <row r="8207" spans="1:14">
      <c r="A8207" t="s">
        <v>153</v>
      </c>
      <c r="B8207" t="str">
        <f>_xlfn.XLOOKUP(A8207,'[1]Tissue Data'!$A:$A,'[1]Tissue Data'!$C:$C)</f>
        <v>Down</v>
      </c>
      <c r="C8207" s="2">
        <f>_xlfn.XLOOKUP(A8207,'[1]Tissue Data'!$A:$A,'[1]Tissue Data'!$D:$D)</f>
        <v>44393</v>
      </c>
      <c r="D8207" s="2" t="s">
        <v>131</v>
      </c>
      <c r="E8207" t="str">
        <f>_xlfn.XLOOKUP(A8207,'[1]Tissue Data'!$A:$A,'[1]Tissue Data'!$H:$H)</f>
        <v>Rhinichthys</v>
      </c>
      <c r="F8207" t="str">
        <f>_xlfn.XLOOKUP(A8207,'[1]Tissue Data'!$A:$A,'[1]Tissue Data'!$I:$I)</f>
        <v>atratulus</v>
      </c>
      <c r="G8207" t="str">
        <f>_xlfn.XLOOKUP(A8207,'[1]Tissue Data'!$A:$A,'[1]Tissue Data'!J:J)</f>
        <v>U</v>
      </c>
      <c r="H8207" t="str">
        <f>_xlfn.XLOOKUP(A8207,'[1]Tissue Data'!$A:$A,'[1]Tissue Data'!K:K)</f>
        <v>Whole Body</v>
      </c>
      <c r="I8207">
        <f>_xlfn.XLOOKUP(A8207,'[1]Tissue Data'!$A:$A,'[1]Tissue Data'!L:L)</f>
        <v>4.5</v>
      </c>
      <c r="J8207">
        <f>_xlfn.XLOOKUP(A8207,'[1]Tissue Data'!$A:$A,'[1]Tissue Data'!M:M)</f>
        <v>1.63</v>
      </c>
      <c r="K8207" t="s">
        <v>17</v>
      </c>
      <c r="L8207" t="str">
        <f>_xlfn.XLOOKUP(K8207,[2]analyte_order!$B:$B,[2]analyte_order!$C:$C)</f>
        <v>375-95-1</v>
      </c>
      <c r="M8207">
        <f>_xlfn.XLOOKUP(L8207,[2]analyte_order!$C:$C,[2]analyte_order!$E:$E)</f>
        <v>6</v>
      </c>
      <c r="N8207">
        <v>2.0099999999999998</v>
      </c>
    </row>
    <row r="8208" spans="1:14">
      <c r="A8208" t="s">
        <v>153</v>
      </c>
      <c r="B8208" t="str">
        <f>_xlfn.XLOOKUP(A8208,'[1]Tissue Data'!$A:$A,'[1]Tissue Data'!$C:$C)</f>
        <v>Down</v>
      </c>
      <c r="C8208" s="2">
        <f>_xlfn.XLOOKUP(A8208,'[1]Tissue Data'!$A:$A,'[1]Tissue Data'!$D:$D)</f>
        <v>44393</v>
      </c>
      <c r="D8208" s="2" t="s">
        <v>131</v>
      </c>
      <c r="E8208" t="str">
        <f>_xlfn.XLOOKUP(A8208,'[1]Tissue Data'!$A:$A,'[1]Tissue Data'!$H:$H)</f>
        <v>Rhinichthys</v>
      </c>
      <c r="F8208" t="str">
        <f>_xlfn.XLOOKUP(A8208,'[1]Tissue Data'!$A:$A,'[1]Tissue Data'!$I:$I)</f>
        <v>atratulus</v>
      </c>
      <c r="G8208" t="str">
        <f>_xlfn.XLOOKUP(A8208,'[1]Tissue Data'!$A:$A,'[1]Tissue Data'!J:J)</f>
        <v>U</v>
      </c>
      <c r="H8208" t="str">
        <f>_xlfn.XLOOKUP(A8208,'[1]Tissue Data'!$A:$A,'[1]Tissue Data'!K:K)</f>
        <v>Whole Body</v>
      </c>
      <c r="I8208">
        <f>_xlfn.XLOOKUP(A8208,'[1]Tissue Data'!$A:$A,'[1]Tissue Data'!L:L)</f>
        <v>4.5</v>
      </c>
      <c r="J8208">
        <f>_xlfn.XLOOKUP(A8208,'[1]Tissue Data'!$A:$A,'[1]Tissue Data'!M:M)</f>
        <v>1.63</v>
      </c>
      <c r="K8208" t="s">
        <v>18</v>
      </c>
      <c r="L8208" t="str">
        <f>_xlfn.XLOOKUP(K8208,[2]analyte_order!$B:$B,[2]analyte_order!$C:$C)</f>
        <v>335-76-2</v>
      </c>
      <c r="M8208">
        <f>_xlfn.XLOOKUP(L8208,[2]analyte_order!$C:$C,[2]analyte_order!$E:$E)</f>
        <v>7</v>
      </c>
      <c r="N8208">
        <v>5.28</v>
      </c>
    </row>
    <row r="8209" spans="1:14">
      <c r="A8209" t="s">
        <v>153</v>
      </c>
      <c r="B8209" t="str">
        <f>_xlfn.XLOOKUP(A8209,'[1]Tissue Data'!$A:$A,'[1]Tissue Data'!$C:$C)</f>
        <v>Down</v>
      </c>
      <c r="C8209" s="2">
        <f>_xlfn.XLOOKUP(A8209,'[1]Tissue Data'!$A:$A,'[1]Tissue Data'!$D:$D)</f>
        <v>44393</v>
      </c>
      <c r="D8209" s="2" t="s">
        <v>131</v>
      </c>
      <c r="E8209" t="str">
        <f>_xlfn.XLOOKUP(A8209,'[1]Tissue Data'!$A:$A,'[1]Tissue Data'!$H:$H)</f>
        <v>Rhinichthys</v>
      </c>
      <c r="F8209" t="str">
        <f>_xlfn.XLOOKUP(A8209,'[1]Tissue Data'!$A:$A,'[1]Tissue Data'!$I:$I)</f>
        <v>atratulus</v>
      </c>
      <c r="G8209" t="str">
        <f>_xlfn.XLOOKUP(A8209,'[1]Tissue Data'!$A:$A,'[1]Tissue Data'!J:J)</f>
        <v>U</v>
      </c>
      <c r="H8209" t="str">
        <f>_xlfn.XLOOKUP(A8209,'[1]Tissue Data'!$A:$A,'[1]Tissue Data'!K:K)</f>
        <v>Whole Body</v>
      </c>
      <c r="I8209">
        <f>_xlfn.XLOOKUP(A8209,'[1]Tissue Data'!$A:$A,'[1]Tissue Data'!L:L)</f>
        <v>4.5</v>
      </c>
      <c r="J8209">
        <f>_xlfn.XLOOKUP(A8209,'[1]Tissue Data'!$A:$A,'[1]Tissue Data'!M:M)</f>
        <v>1.63</v>
      </c>
      <c r="K8209" t="s">
        <v>19</v>
      </c>
      <c r="L8209" t="str">
        <f>_xlfn.XLOOKUP(K8209,[2]analyte_order!$B:$B,[2]analyte_order!$C:$C)</f>
        <v>2058-94-8</v>
      </c>
      <c r="M8209">
        <f>_xlfn.XLOOKUP(L8209,[2]analyte_order!$C:$C,[2]analyte_order!$E:$E)</f>
        <v>8</v>
      </c>
      <c r="N8209">
        <v>8.9600000000000009</v>
      </c>
    </row>
    <row r="8210" spans="1:14">
      <c r="A8210" t="s">
        <v>153</v>
      </c>
      <c r="B8210" t="str">
        <f>_xlfn.XLOOKUP(A8210,'[1]Tissue Data'!$A:$A,'[1]Tissue Data'!$C:$C)</f>
        <v>Down</v>
      </c>
      <c r="C8210" s="2">
        <f>_xlfn.XLOOKUP(A8210,'[1]Tissue Data'!$A:$A,'[1]Tissue Data'!$D:$D)</f>
        <v>44393</v>
      </c>
      <c r="D8210" s="2" t="s">
        <v>131</v>
      </c>
      <c r="E8210" t="str">
        <f>_xlfn.XLOOKUP(A8210,'[1]Tissue Data'!$A:$A,'[1]Tissue Data'!$H:$H)</f>
        <v>Rhinichthys</v>
      </c>
      <c r="F8210" t="str">
        <f>_xlfn.XLOOKUP(A8210,'[1]Tissue Data'!$A:$A,'[1]Tissue Data'!$I:$I)</f>
        <v>atratulus</v>
      </c>
      <c r="G8210" t="str">
        <f>_xlfn.XLOOKUP(A8210,'[1]Tissue Data'!$A:$A,'[1]Tissue Data'!J:J)</f>
        <v>U</v>
      </c>
      <c r="H8210" t="str">
        <f>_xlfn.XLOOKUP(A8210,'[1]Tissue Data'!$A:$A,'[1]Tissue Data'!K:K)</f>
        <v>Whole Body</v>
      </c>
      <c r="I8210">
        <f>_xlfn.XLOOKUP(A8210,'[1]Tissue Data'!$A:$A,'[1]Tissue Data'!L:L)</f>
        <v>4.5</v>
      </c>
      <c r="J8210">
        <f>_xlfn.XLOOKUP(A8210,'[1]Tissue Data'!$A:$A,'[1]Tissue Data'!M:M)</f>
        <v>1.63</v>
      </c>
      <c r="K8210" t="s">
        <v>20</v>
      </c>
      <c r="L8210" t="str">
        <f>_xlfn.XLOOKUP(K8210,[2]analyte_order!$B:$B,[2]analyte_order!$C:$C)</f>
        <v>307-55-1</v>
      </c>
      <c r="M8210">
        <f>_xlfn.XLOOKUP(L8210,[2]analyte_order!$C:$C,[2]analyte_order!$E:$E)</f>
        <v>9</v>
      </c>
      <c r="N8210">
        <v>10.1</v>
      </c>
    </row>
    <row r="8211" spans="1:14">
      <c r="A8211" t="s">
        <v>153</v>
      </c>
      <c r="B8211" t="str">
        <f>_xlfn.XLOOKUP(A8211,'[1]Tissue Data'!$A:$A,'[1]Tissue Data'!$C:$C)</f>
        <v>Down</v>
      </c>
      <c r="C8211" s="2">
        <f>_xlfn.XLOOKUP(A8211,'[1]Tissue Data'!$A:$A,'[1]Tissue Data'!$D:$D)</f>
        <v>44393</v>
      </c>
      <c r="D8211" s="2" t="s">
        <v>131</v>
      </c>
      <c r="E8211" t="str">
        <f>_xlfn.XLOOKUP(A8211,'[1]Tissue Data'!$A:$A,'[1]Tissue Data'!$H:$H)</f>
        <v>Rhinichthys</v>
      </c>
      <c r="F8211" t="str">
        <f>_xlfn.XLOOKUP(A8211,'[1]Tissue Data'!$A:$A,'[1]Tissue Data'!$I:$I)</f>
        <v>atratulus</v>
      </c>
      <c r="G8211" t="str">
        <f>_xlfn.XLOOKUP(A8211,'[1]Tissue Data'!$A:$A,'[1]Tissue Data'!J:J)</f>
        <v>U</v>
      </c>
      <c r="H8211" t="str">
        <f>_xlfn.XLOOKUP(A8211,'[1]Tissue Data'!$A:$A,'[1]Tissue Data'!K:K)</f>
        <v>Whole Body</v>
      </c>
      <c r="I8211">
        <f>_xlfn.XLOOKUP(A8211,'[1]Tissue Data'!$A:$A,'[1]Tissue Data'!L:L)</f>
        <v>4.5</v>
      </c>
      <c r="J8211">
        <f>_xlfn.XLOOKUP(A8211,'[1]Tissue Data'!$A:$A,'[1]Tissue Data'!M:M)</f>
        <v>1.63</v>
      </c>
      <c r="K8211" t="s">
        <v>21</v>
      </c>
      <c r="L8211" t="str">
        <f>_xlfn.XLOOKUP(K8211,[2]analyte_order!$B:$B,[2]analyte_order!$C:$C)</f>
        <v>72629-94-8</v>
      </c>
      <c r="M8211">
        <f>_xlfn.XLOOKUP(L8211,[2]analyte_order!$C:$C,[2]analyte_order!$E:$E)</f>
        <v>10</v>
      </c>
      <c r="N8211">
        <v>2.76</v>
      </c>
    </row>
    <row r="8212" spans="1:14">
      <c r="A8212" t="s">
        <v>153</v>
      </c>
      <c r="B8212" t="str">
        <f>_xlfn.XLOOKUP(A8212,'[1]Tissue Data'!$A:$A,'[1]Tissue Data'!$C:$C)</f>
        <v>Down</v>
      </c>
      <c r="C8212" s="2">
        <f>_xlfn.XLOOKUP(A8212,'[1]Tissue Data'!$A:$A,'[1]Tissue Data'!$D:$D)</f>
        <v>44393</v>
      </c>
      <c r="D8212" s="2" t="s">
        <v>131</v>
      </c>
      <c r="E8212" t="str">
        <f>_xlfn.XLOOKUP(A8212,'[1]Tissue Data'!$A:$A,'[1]Tissue Data'!$H:$H)</f>
        <v>Rhinichthys</v>
      </c>
      <c r="F8212" t="str">
        <f>_xlfn.XLOOKUP(A8212,'[1]Tissue Data'!$A:$A,'[1]Tissue Data'!$I:$I)</f>
        <v>atratulus</v>
      </c>
      <c r="G8212" t="str">
        <f>_xlfn.XLOOKUP(A8212,'[1]Tissue Data'!$A:$A,'[1]Tissue Data'!J:J)</f>
        <v>U</v>
      </c>
      <c r="H8212" t="str">
        <f>_xlfn.XLOOKUP(A8212,'[1]Tissue Data'!$A:$A,'[1]Tissue Data'!K:K)</f>
        <v>Whole Body</v>
      </c>
      <c r="I8212">
        <f>_xlfn.XLOOKUP(A8212,'[1]Tissue Data'!$A:$A,'[1]Tissue Data'!L:L)</f>
        <v>4.5</v>
      </c>
      <c r="J8212">
        <f>_xlfn.XLOOKUP(A8212,'[1]Tissue Data'!$A:$A,'[1]Tissue Data'!M:M)</f>
        <v>1.63</v>
      </c>
      <c r="K8212" t="s">
        <v>22</v>
      </c>
      <c r="L8212" t="str">
        <f>_xlfn.XLOOKUP(K8212,[2]analyte_order!$B:$B,[2]analyte_order!$C:$C)</f>
        <v>376-06-7</v>
      </c>
      <c r="M8212">
        <f>_xlfn.XLOOKUP(L8212,[2]analyte_order!$C:$C,[2]analyte_order!$E:$E)</f>
        <v>11</v>
      </c>
      <c r="N8212">
        <v>3.5</v>
      </c>
    </row>
    <row r="8213" spans="1:14">
      <c r="A8213" t="s">
        <v>153</v>
      </c>
      <c r="B8213" t="str">
        <f>_xlfn.XLOOKUP(A8213,'[1]Tissue Data'!$A:$A,'[1]Tissue Data'!$C:$C)</f>
        <v>Down</v>
      </c>
      <c r="C8213" s="2">
        <f>_xlfn.XLOOKUP(A8213,'[1]Tissue Data'!$A:$A,'[1]Tissue Data'!$D:$D)</f>
        <v>44393</v>
      </c>
      <c r="D8213" s="2" t="s">
        <v>131</v>
      </c>
      <c r="E8213" t="str">
        <f>_xlfn.XLOOKUP(A8213,'[1]Tissue Data'!$A:$A,'[1]Tissue Data'!$H:$H)</f>
        <v>Rhinichthys</v>
      </c>
      <c r="F8213" t="str">
        <f>_xlfn.XLOOKUP(A8213,'[1]Tissue Data'!$A:$A,'[1]Tissue Data'!$I:$I)</f>
        <v>atratulus</v>
      </c>
      <c r="G8213" t="str">
        <f>_xlfn.XLOOKUP(A8213,'[1]Tissue Data'!$A:$A,'[1]Tissue Data'!J:J)</f>
        <v>U</v>
      </c>
      <c r="H8213" t="str">
        <f>_xlfn.XLOOKUP(A8213,'[1]Tissue Data'!$A:$A,'[1]Tissue Data'!K:K)</f>
        <v>Whole Body</v>
      </c>
      <c r="I8213">
        <f>_xlfn.XLOOKUP(A8213,'[1]Tissue Data'!$A:$A,'[1]Tissue Data'!L:L)</f>
        <v>4.5</v>
      </c>
      <c r="J8213">
        <f>_xlfn.XLOOKUP(A8213,'[1]Tissue Data'!$A:$A,'[1]Tissue Data'!M:M)</f>
        <v>1.63</v>
      </c>
      <c r="K8213" t="s">
        <v>23</v>
      </c>
      <c r="L8213" t="str">
        <f>_xlfn.XLOOKUP(K8213,[2]analyte_order!$B:$B,[2]analyte_order!$C:$C)</f>
        <v>67905-19-5</v>
      </c>
      <c r="M8213">
        <f>_xlfn.XLOOKUP(L8213,[2]analyte_order!$C:$C,[2]analyte_order!$E:$E)</f>
        <v>12</v>
      </c>
      <c r="N8213">
        <v>0.27650000000000002</v>
      </c>
    </row>
    <row r="8214" spans="1:14">
      <c r="A8214" t="s">
        <v>153</v>
      </c>
      <c r="B8214" t="str">
        <f>_xlfn.XLOOKUP(A8214,'[1]Tissue Data'!$A:$A,'[1]Tissue Data'!$C:$C)</f>
        <v>Down</v>
      </c>
      <c r="C8214" s="2">
        <f>_xlfn.XLOOKUP(A8214,'[1]Tissue Data'!$A:$A,'[1]Tissue Data'!$D:$D)</f>
        <v>44393</v>
      </c>
      <c r="D8214" s="2" t="s">
        <v>131</v>
      </c>
      <c r="E8214" t="str">
        <f>_xlfn.XLOOKUP(A8214,'[1]Tissue Data'!$A:$A,'[1]Tissue Data'!$H:$H)</f>
        <v>Rhinichthys</v>
      </c>
      <c r="F8214" t="str">
        <f>_xlfn.XLOOKUP(A8214,'[1]Tissue Data'!$A:$A,'[1]Tissue Data'!$I:$I)</f>
        <v>atratulus</v>
      </c>
      <c r="G8214" t="str">
        <f>_xlfn.XLOOKUP(A8214,'[1]Tissue Data'!$A:$A,'[1]Tissue Data'!J:J)</f>
        <v>U</v>
      </c>
      <c r="H8214" t="str">
        <f>_xlfn.XLOOKUP(A8214,'[1]Tissue Data'!$A:$A,'[1]Tissue Data'!K:K)</f>
        <v>Whole Body</v>
      </c>
      <c r="I8214">
        <f>_xlfn.XLOOKUP(A8214,'[1]Tissue Data'!$A:$A,'[1]Tissue Data'!L:L)</f>
        <v>4.5</v>
      </c>
      <c r="J8214">
        <f>_xlfn.XLOOKUP(A8214,'[1]Tissue Data'!$A:$A,'[1]Tissue Data'!M:M)</f>
        <v>1.63</v>
      </c>
      <c r="K8214" t="s">
        <v>24</v>
      </c>
      <c r="L8214" t="str">
        <f>_xlfn.XLOOKUP(K8214,[2]analyte_order!$B:$B,[2]analyte_order!$C:$C)</f>
        <v>423-41-6</v>
      </c>
      <c r="M8214">
        <f>_xlfn.XLOOKUP(L8214,[2]analyte_order!$C:$C,[2]analyte_order!$E:$E)</f>
        <v>53</v>
      </c>
      <c r="N8214">
        <v>0.46450000000000002</v>
      </c>
    </row>
    <row r="8215" spans="1:14">
      <c r="A8215" t="s">
        <v>153</v>
      </c>
      <c r="B8215" t="str">
        <f>_xlfn.XLOOKUP(A8215,'[1]Tissue Data'!$A:$A,'[1]Tissue Data'!$C:$C)</f>
        <v>Down</v>
      </c>
      <c r="C8215" s="2">
        <f>_xlfn.XLOOKUP(A8215,'[1]Tissue Data'!$A:$A,'[1]Tissue Data'!$D:$D)</f>
        <v>44393</v>
      </c>
      <c r="D8215" s="2" t="s">
        <v>131</v>
      </c>
      <c r="E8215" t="str">
        <f>_xlfn.XLOOKUP(A8215,'[1]Tissue Data'!$A:$A,'[1]Tissue Data'!$H:$H)</f>
        <v>Rhinichthys</v>
      </c>
      <c r="F8215" t="str">
        <f>_xlfn.XLOOKUP(A8215,'[1]Tissue Data'!$A:$A,'[1]Tissue Data'!$I:$I)</f>
        <v>atratulus</v>
      </c>
      <c r="G8215" t="str">
        <f>_xlfn.XLOOKUP(A8215,'[1]Tissue Data'!$A:$A,'[1]Tissue Data'!J:J)</f>
        <v>U</v>
      </c>
      <c r="H8215" t="str">
        <f>_xlfn.XLOOKUP(A8215,'[1]Tissue Data'!$A:$A,'[1]Tissue Data'!K:K)</f>
        <v>Whole Body</v>
      </c>
      <c r="I8215">
        <f>_xlfn.XLOOKUP(A8215,'[1]Tissue Data'!$A:$A,'[1]Tissue Data'!L:L)</f>
        <v>4.5</v>
      </c>
      <c r="J8215">
        <f>_xlfn.XLOOKUP(A8215,'[1]Tissue Data'!$A:$A,'[1]Tissue Data'!M:M)</f>
        <v>1.63</v>
      </c>
      <c r="K8215" t="s">
        <v>25</v>
      </c>
      <c r="L8215" t="str">
        <f>_xlfn.XLOOKUP(K8215,[2]analyte_order!$B:$B,[2]analyte_order!$C:$C)</f>
        <v>375-73-5</v>
      </c>
      <c r="M8215">
        <f>_xlfn.XLOOKUP(L8215,[2]analyte_order!$C:$C,[2]analyte_order!$E:$E)</f>
        <v>14</v>
      </c>
      <c r="N8215">
        <v>0.158</v>
      </c>
    </row>
    <row r="8216" spans="1:14">
      <c r="A8216" t="s">
        <v>153</v>
      </c>
      <c r="B8216" t="str">
        <f>_xlfn.XLOOKUP(A8216,'[1]Tissue Data'!$A:$A,'[1]Tissue Data'!$C:$C)</f>
        <v>Down</v>
      </c>
      <c r="C8216" s="2">
        <f>_xlfn.XLOOKUP(A8216,'[1]Tissue Data'!$A:$A,'[1]Tissue Data'!$D:$D)</f>
        <v>44393</v>
      </c>
      <c r="D8216" s="2" t="s">
        <v>131</v>
      </c>
      <c r="E8216" t="str">
        <f>_xlfn.XLOOKUP(A8216,'[1]Tissue Data'!$A:$A,'[1]Tissue Data'!$H:$H)</f>
        <v>Rhinichthys</v>
      </c>
      <c r="F8216" t="str">
        <f>_xlfn.XLOOKUP(A8216,'[1]Tissue Data'!$A:$A,'[1]Tissue Data'!$I:$I)</f>
        <v>atratulus</v>
      </c>
      <c r="G8216" t="str">
        <f>_xlfn.XLOOKUP(A8216,'[1]Tissue Data'!$A:$A,'[1]Tissue Data'!J:J)</f>
        <v>U</v>
      </c>
      <c r="H8216" t="str">
        <f>_xlfn.XLOOKUP(A8216,'[1]Tissue Data'!$A:$A,'[1]Tissue Data'!K:K)</f>
        <v>Whole Body</v>
      </c>
      <c r="I8216">
        <f>_xlfn.XLOOKUP(A8216,'[1]Tissue Data'!$A:$A,'[1]Tissue Data'!L:L)</f>
        <v>4.5</v>
      </c>
      <c r="J8216">
        <f>_xlfn.XLOOKUP(A8216,'[1]Tissue Data'!$A:$A,'[1]Tissue Data'!M:M)</f>
        <v>1.63</v>
      </c>
      <c r="K8216" t="s">
        <v>26</v>
      </c>
      <c r="L8216" t="str">
        <f>_xlfn.XLOOKUP(K8216,[2]analyte_order!$B:$B,[2]analyte_order!$C:$C)</f>
        <v>2706-91-4</v>
      </c>
      <c r="M8216">
        <f>_xlfn.XLOOKUP(L8216,[2]analyte_order!$C:$C,[2]analyte_order!$E:$E)</f>
        <v>15</v>
      </c>
      <c r="N8216">
        <v>0.123</v>
      </c>
    </row>
    <row r="8217" spans="1:14">
      <c r="A8217" t="s">
        <v>153</v>
      </c>
      <c r="B8217" t="str">
        <f>_xlfn.XLOOKUP(A8217,'[1]Tissue Data'!$A:$A,'[1]Tissue Data'!$C:$C)</f>
        <v>Down</v>
      </c>
      <c r="C8217" s="2">
        <f>_xlfn.XLOOKUP(A8217,'[1]Tissue Data'!$A:$A,'[1]Tissue Data'!$D:$D)</f>
        <v>44393</v>
      </c>
      <c r="D8217" s="2" t="s">
        <v>131</v>
      </c>
      <c r="E8217" t="str">
        <f>_xlfn.XLOOKUP(A8217,'[1]Tissue Data'!$A:$A,'[1]Tissue Data'!$H:$H)</f>
        <v>Rhinichthys</v>
      </c>
      <c r="F8217" t="str">
        <f>_xlfn.XLOOKUP(A8217,'[1]Tissue Data'!$A:$A,'[1]Tissue Data'!$I:$I)</f>
        <v>atratulus</v>
      </c>
      <c r="G8217" t="str">
        <f>_xlfn.XLOOKUP(A8217,'[1]Tissue Data'!$A:$A,'[1]Tissue Data'!J:J)</f>
        <v>U</v>
      </c>
      <c r="H8217" t="str">
        <f>_xlfn.XLOOKUP(A8217,'[1]Tissue Data'!$A:$A,'[1]Tissue Data'!K:K)</f>
        <v>Whole Body</v>
      </c>
      <c r="I8217">
        <f>_xlfn.XLOOKUP(A8217,'[1]Tissue Data'!$A:$A,'[1]Tissue Data'!L:L)</f>
        <v>4.5</v>
      </c>
      <c r="J8217">
        <f>_xlfn.XLOOKUP(A8217,'[1]Tissue Data'!$A:$A,'[1]Tissue Data'!M:M)</f>
        <v>1.63</v>
      </c>
      <c r="K8217" t="s">
        <v>27</v>
      </c>
      <c r="L8217" t="str">
        <f>_xlfn.XLOOKUP(K8217,[2]analyte_order!$B:$B,[2]analyte_order!$C:$C)</f>
        <v>355-46-4</v>
      </c>
      <c r="M8217">
        <f>_xlfn.XLOOKUP(L8217,[2]analyte_order!$C:$C,[2]analyte_order!$E:$E)</f>
        <v>16</v>
      </c>
      <c r="N8217">
        <v>30.1</v>
      </c>
    </row>
    <row r="8218" spans="1:14">
      <c r="A8218" t="s">
        <v>153</v>
      </c>
      <c r="B8218" t="str">
        <f>_xlfn.XLOOKUP(A8218,'[1]Tissue Data'!$A:$A,'[1]Tissue Data'!$C:$C)</f>
        <v>Down</v>
      </c>
      <c r="C8218" s="2">
        <f>_xlfn.XLOOKUP(A8218,'[1]Tissue Data'!$A:$A,'[1]Tissue Data'!$D:$D)</f>
        <v>44393</v>
      </c>
      <c r="D8218" s="2" t="s">
        <v>131</v>
      </c>
      <c r="E8218" t="str">
        <f>_xlfn.XLOOKUP(A8218,'[1]Tissue Data'!$A:$A,'[1]Tissue Data'!$H:$H)</f>
        <v>Rhinichthys</v>
      </c>
      <c r="F8218" t="str">
        <f>_xlfn.XLOOKUP(A8218,'[1]Tissue Data'!$A:$A,'[1]Tissue Data'!$I:$I)</f>
        <v>atratulus</v>
      </c>
      <c r="G8218" t="str">
        <f>_xlfn.XLOOKUP(A8218,'[1]Tissue Data'!$A:$A,'[1]Tissue Data'!J:J)</f>
        <v>U</v>
      </c>
      <c r="H8218" t="str">
        <f>_xlfn.XLOOKUP(A8218,'[1]Tissue Data'!$A:$A,'[1]Tissue Data'!K:K)</f>
        <v>Whole Body</v>
      </c>
      <c r="I8218">
        <f>_xlfn.XLOOKUP(A8218,'[1]Tissue Data'!$A:$A,'[1]Tissue Data'!L:L)</f>
        <v>4.5</v>
      </c>
      <c r="J8218">
        <f>_xlfn.XLOOKUP(A8218,'[1]Tissue Data'!$A:$A,'[1]Tissue Data'!M:M)</f>
        <v>1.63</v>
      </c>
      <c r="K8218" t="s">
        <v>28</v>
      </c>
      <c r="L8218" t="str">
        <f>_xlfn.XLOOKUP(K8218,[2]analyte_order!$B:$B,[2]analyte_order!$C:$C)</f>
        <v>375-92-8</v>
      </c>
      <c r="M8218">
        <f>_xlfn.XLOOKUP(L8218,[2]analyte_order!$C:$C,[2]analyte_order!$E:$E)</f>
        <v>17</v>
      </c>
      <c r="N8218">
        <v>13.8</v>
      </c>
    </row>
    <row r="8219" spans="1:14">
      <c r="A8219" t="s">
        <v>153</v>
      </c>
      <c r="B8219" t="str">
        <f>_xlfn.XLOOKUP(A8219,'[1]Tissue Data'!$A:$A,'[1]Tissue Data'!$C:$C)</f>
        <v>Down</v>
      </c>
      <c r="C8219" s="2">
        <f>_xlfn.XLOOKUP(A8219,'[1]Tissue Data'!$A:$A,'[1]Tissue Data'!$D:$D)</f>
        <v>44393</v>
      </c>
      <c r="D8219" s="2" t="s">
        <v>131</v>
      </c>
      <c r="E8219" t="str">
        <f>_xlfn.XLOOKUP(A8219,'[1]Tissue Data'!$A:$A,'[1]Tissue Data'!$H:$H)</f>
        <v>Rhinichthys</v>
      </c>
      <c r="F8219" t="str">
        <f>_xlfn.XLOOKUP(A8219,'[1]Tissue Data'!$A:$A,'[1]Tissue Data'!$I:$I)</f>
        <v>atratulus</v>
      </c>
      <c r="G8219" t="str">
        <f>_xlfn.XLOOKUP(A8219,'[1]Tissue Data'!$A:$A,'[1]Tissue Data'!J:J)</f>
        <v>U</v>
      </c>
      <c r="H8219" t="str">
        <f>_xlfn.XLOOKUP(A8219,'[1]Tissue Data'!$A:$A,'[1]Tissue Data'!K:K)</f>
        <v>Whole Body</v>
      </c>
      <c r="I8219">
        <f>_xlfn.XLOOKUP(A8219,'[1]Tissue Data'!$A:$A,'[1]Tissue Data'!L:L)</f>
        <v>4.5</v>
      </c>
      <c r="J8219">
        <f>_xlfn.XLOOKUP(A8219,'[1]Tissue Data'!$A:$A,'[1]Tissue Data'!M:M)</f>
        <v>1.63</v>
      </c>
      <c r="K8219" t="s">
        <v>29</v>
      </c>
      <c r="L8219" t="str">
        <f>_xlfn.XLOOKUP(K8219,[2]analyte_order!$B:$B,[2]analyte_order!$C:$C)</f>
        <v>1763-23-1</v>
      </c>
      <c r="M8219">
        <f>_xlfn.XLOOKUP(L8219,[2]analyte_order!$C:$C,[2]analyte_order!$E:$E)</f>
        <v>18</v>
      </c>
      <c r="N8219">
        <v>682</v>
      </c>
    </row>
    <row r="8220" spans="1:14">
      <c r="A8220" t="s">
        <v>153</v>
      </c>
      <c r="B8220" t="str">
        <f>_xlfn.XLOOKUP(A8220,'[1]Tissue Data'!$A:$A,'[1]Tissue Data'!$C:$C)</f>
        <v>Down</v>
      </c>
      <c r="C8220" s="2">
        <f>_xlfn.XLOOKUP(A8220,'[1]Tissue Data'!$A:$A,'[1]Tissue Data'!$D:$D)</f>
        <v>44393</v>
      </c>
      <c r="D8220" s="2" t="s">
        <v>131</v>
      </c>
      <c r="E8220" t="str">
        <f>_xlfn.XLOOKUP(A8220,'[1]Tissue Data'!$A:$A,'[1]Tissue Data'!$H:$H)</f>
        <v>Rhinichthys</v>
      </c>
      <c r="F8220" t="str">
        <f>_xlfn.XLOOKUP(A8220,'[1]Tissue Data'!$A:$A,'[1]Tissue Data'!$I:$I)</f>
        <v>atratulus</v>
      </c>
      <c r="G8220" t="str">
        <f>_xlfn.XLOOKUP(A8220,'[1]Tissue Data'!$A:$A,'[1]Tissue Data'!J:J)</f>
        <v>U</v>
      </c>
      <c r="H8220" t="str">
        <f>_xlfn.XLOOKUP(A8220,'[1]Tissue Data'!$A:$A,'[1]Tissue Data'!K:K)</f>
        <v>Whole Body</v>
      </c>
      <c r="I8220">
        <f>_xlfn.XLOOKUP(A8220,'[1]Tissue Data'!$A:$A,'[1]Tissue Data'!L:L)</f>
        <v>4.5</v>
      </c>
      <c r="J8220">
        <f>_xlfn.XLOOKUP(A8220,'[1]Tissue Data'!$A:$A,'[1]Tissue Data'!M:M)</f>
        <v>1.63</v>
      </c>
      <c r="K8220" t="s">
        <v>30</v>
      </c>
      <c r="L8220" t="str">
        <f>_xlfn.XLOOKUP(K8220,[2]analyte_order!$B:$B,[2]analyte_order!$C:$C)</f>
        <v>68259-12-1</v>
      </c>
      <c r="M8220">
        <f>_xlfn.XLOOKUP(L8220,[2]analyte_order!$C:$C,[2]analyte_order!$E:$E)</f>
        <v>19</v>
      </c>
      <c r="N8220">
        <v>1.33</v>
      </c>
    </row>
    <row r="8221" spans="1:14">
      <c r="A8221" t="s">
        <v>153</v>
      </c>
      <c r="B8221" t="str">
        <f>_xlfn.XLOOKUP(A8221,'[1]Tissue Data'!$A:$A,'[1]Tissue Data'!$C:$C)</f>
        <v>Down</v>
      </c>
      <c r="C8221" s="2">
        <f>_xlfn.XLOOKUP(A8221,'[1]Tissue Data'!$A:$A,'[1]Tissue Data'!$D:$D)</f>
        <v>44393</v>
      </c>
      <c r="D8221" s="2" t="s">
        <v>131</v>
      </c>
      <c r="E8221" t="str">
        <f>_xlfn.XLOOKUP(A8221,'[1]Tissue Data'!$A:$A,'[1]Tissue Data'!$H:$H)</f>
        <v>Rhinichthys</v>
      </c>
      <c r="F8221" t="str">
        <f>_xlfn.XLOOKUP(A8221,'[1]Tissue Data'!$A:$A,'[1]Tissue Data'!$I:$I)</f>
        <v>atratulus</v>
      </c>
      <c r="G8221" t="str">
        <f>_xlfn.XLOOKUP(A8221,'[1]Tissue Data'!$A:$A,'[1]Tissue Data'!J:J)</f>
        <v>U</v>
      </c>
      <c r="H8221" t="str">
        <f>_xlfn.XLOOKUP(A8221,'[1]Tissue Data'!$A:$A,'[1]Tissue Data'!K:K)</f>
        <v>Whole Body</v>
      </c>
      <c r="I8221">
        <f>_xlfn.XLOOKUP(A8221,'[1]Tissue Data'!$A:$A,'[1]Tissue Data'!L:L)</f>
        <v>4.5</v>
      </c>
      <c r="J8221">
        <f>_xlfn.XLOOKUP(A8221,'[1]Tissue Data'!$A:$A,'[1]Tissue Data'!M:M)</f>
        <v>1.63</v>
      </c>
      <c r="K8221" t="s">
        <v>31</v>
      </c>
      <c r="L8221" t="str">
        <f>_xlfn.XLOOKUP(K8221,[2]analyte_order!$B:$B,[2]analyte_order!$C:$C)</f>
        <v>335-77-3</v>
      </c>
      <c r="M8221">
        <f>_xlfn.XLOOKUP(L8221,[2]analyte_order!$C:$C,[2]analyte_order!$E:$E)</f>
        <v>20</v>
      </c>
      <c r="N8221">
        <v>2.84</v>
      </c>
    </row>
    <row r="8222" spans="1:14">
      <c r="A8222" t="s">
        <v>153</v>
      </c>
      <c r="B8222" t="str">
        <f>_xlfn.XLOOKUP(A8222,'[1]Tissue Data'!$A:$A,'[1]Tissue Data'!$C:$C)</f>
        <v>Down</v>
      </c>
      <c r="C8222" s="2">
        <f>_xlfn.XLOOKUP(A8222,'[1]Tissue Data'!$A:$A,'[1]Tissue Data'!$D:$D)</f>
        <v>44393</v>
      </c>
      <c r="D8222" s="2" t="s">
        <v>131</v>
      </c>
      <c r="E8222" t="str">
        <f>_xlfn.XLOOKUP(A8222,'[1]Tissue Data'!$A:$A,'[1]Tissue Data'!$H:$H)</f>
        <v>Rhinichthys</v>
      </c>
      <c r="F8222" t="str">
        <f>_xlfn.XLOOKUP(A8222,'[1]Tissue Data'!$A:$A,'[1]Tissue Data'!$I:$I)</f>
        <v>atratulus</v>
      </c>
      <c r="G8222" t="str">
        <f>_xlfn.XLOOKUP(A8222,'[1]Tissue Data'!$A:$A,'[1]Tissue Data'!J:J)</f>
        <v>U</v>
      </c>
      <c r="H8222" t="str">
        <f>_xlfn.XLOOKUP(A8222,'[1]Tissue Data'!$A:$A,'[1]Tissue Data'!K:K)</f>
        <v>Whole Body</v>
      </c>
      <c r="I8222">
        <f>_xlfn.XLOOKUP(A8222,'[1]Tissue Data'!$A:$A,'[1]Tissue Data'!L:L)</f>
        <v>4.5</v>
      </c>
      <c r="J8222">
        <f>_xlfn.XLOOKUP(A8222,'[1]Tissue Data'!$A:$A,'[1]Tissue Data'!M:M)</f>
        <v>1.63</v>
      </c>
      <c r="K8222" t="s">
        <v>32</v>
      </c>
      <c r="L8222" t="str">
        <f>_xlfn.XLOOKUP(K8222,[2]analyte_order!$B:$B,[2]analyte_order!$C:$C)</f>
        <v>79780-39-5</v>
      </c>
      <c r="M8222">
        <f>_xlfn.XLOOKUP(L8222,[2]analyte_order!$C:$C,[2]analyte_order!$E:$E)</f>
        <v>21</v>
      </c>
      <c r="N8222">
        <v>0.95499999999999996</v>
      </c>
    </row>
    <row r="8223" spans="1:14">
      <c r="A8223" t="s">
        <v>153</v>
      </c>
      <c r="B8223" t="str">
        <f>_xlfn.XLOOKUP(A8223,'[1]Tissue Data'!$A:$A,'[1]Tissue Data'!$C:$C)</f>
        <v>Down</v>
      </c>
      <c r="C8223" s="2">
        <f>_xlfn.XLOOKUP(A8223,'[1]Tissue Data'!$A:$A,'[1]Tissue Data'!$D:$D)</f>
        <v>44393</v>
      </c>
      <c r="D8223" s="2" t="s">
        <v>131</v>
      </c>
      <c r="E8223" t="str">
        <f>_xlfn.XLOOKUP(A8223,'[1]Tissue Data'!$A:$A,'[1]Tissue Data'!$H:$H)</f>
        <v>Rhinichthys</v>
      </c>
      <c r="F8223" t="str">
        <f>_xlfn.XLOOKUP(A8223,'[1]Tissue Data'!$A:$A,'[1]Tissue Data'!$I:$I)</f>
        <v>atratulus</v>
      </c>
      <c r="G8223" t="str">
        <f>_xlfn.XLOOKUP(A8223,'[1]Tissue Data'!$A:$A,'[1]Tissue Data'!J:J)</f>
        <v>U</v>
      </c>
      <c r="H8223" t="str">
        <f>_xlfn.XLOOKUP(A8223,'[1]Tissue Data'!$A:$A,'[1]Tissue Data'!K:K)</f>
        <v>Whole Body</v>
      </c>
      <c r="I8223">
        <f>_xlfn.XLOOKUP(A8223,'[1]Tissue Data'!$A:$A,'[1]Tissue Data'!L:L)</f>
        <v>4.5</v>
      </c>
      <c r="J8223">
        <f>_xlfn.XLOOKUP(A8223,'[1]Tissue Data'!$A:$A,'[1]Tissue Data'!M:M)</f>
        <v>1.63</v>
      </c>
      <c r="K8223" t="s">
        <v>33</v>
      </c>
      <c r="L8223" t="str">
        <f>_xlfn.XLOOKUP(K8223,[2]analyte_order!$B:$B,[2]analyte_order!$C:$C)</f>
        <v>777011-38-8</v>
      </c>
      <c r="M8223">
        <f>_xlfn.XLOOKUP(L8223,[2]analyte_order!$C:$C,[2]analyte_order!$E:$E)</f>
        <v>54</v>
      </c>
      <c r="N8223">
        <v>0.77100000000000002</v>
      </c>
    </row>
    <row r="8224" spans="1:14">
      <c r="A8224" t="s">
        <v>153</v>
      </c>
      <c r="B8224" t="str">
        <f>_xlfn.XLOOKUP(A8224,'[1]Tissue Data'!$A:$A,'[1]Tissue Data'!$C:$C)</f>
        <v>Down</v>
      </c>
      <c r="C8224" s="2">
        <f>_xlfn.XLOOKUP(A8224,'[1]Tissue Data'!$A:$A,'[1]Tissue Data'!$D:$D)</f>
        <v>44393</v>
      </c>
      <c r="D8224" s="2" t="s">
        <v>131</v>
      </c>
      <c r="E8224" t="str">
        <f>_xlfn.XLOOKUP(A8224,'[1]Tissue Data'!$A:$A,'[1]Tissue Data'!$H:$H)</f>
        <v>Rhinichthys</v>
      </c>
      <c r="F8224" t="str">
        <f>_xlfn.XLOOKUP(A8224,'[1]Tissue Data'!$A:$A,'[1]Tissue Data'!$I:$I)</f>
        <v>atratulus</v>
      </c>
      <c r="G8224" t="str">
        <f>_xlfn.XLOOKUP(A8224,'[1]Tissue Data'!$A:$A,'[1]Tissue Data'!J:J)</f>
        <v>U</v>
      </c>
      <c r="H8224" t="str">
        <f>_xlfn.XLOOKUP(A8224,'[1]Tissue Data'!$A:$A,'[1]Tissue Data'!K:K)</f>
        <v>Whole Body</v>
      </c>
      <c r="I8224">
        <f>_xlfn.XLOOKUP(A8224,'[1]Tissue Data'!$A:$A,'[1]Tissue Data'!L:L)</f>
        <v>4.5</v>
      </c>
      <c r="J8224">
        <f>_xlfn.XLOOKUP(A8224,'[1]Tissue Data'!$A:$A,'[1]Tissue Data'!M:M)</f>
        <v>1.63</v>
      </c>
      <c r="K8224" t="s">
        <v>34</v>
      </c>
      <c r="L8224" t="str">
        <f>_xlfn.XLOOKUP(K8224,[2]analyte_order!$B:$B,[2]analyte_order!$C:$C)</f>
        <v>646-83-3</v>
      </c>
      <c r="M8224">
        <f>_xlfn.XLOOKUP(L8224,[2]analyte_order!$C:$C,[2]analyte_order!$E:$E)</f>
        <v>55</v>
      </c>
      <c r="N8224">
        <v>0.56699999999999995</v>
      </c>
    </row>
    <row r="8225" spans="1:14">
      <c r="A8225" t="s">
        <v>153</v>
      </c>
      <c r="B8225" t="str">
        <f>_xlfn.XLOOKUP(A8225,'[1]Tissue Data'!$A:$A,'[1]Tissue Data'!$C:$C)</f>
        <v>Down</v>
      </c>
      <c r="C8225" s="2">
        <f>_xlfn.XLOOKUP(A8225,'[1]Tissue Data'!$A:$A,'[1]Tissue Data'!$D:$D)</f>
        <v>44393</v>
      </c>
      <c r="D8225" s="2" t="s">
        <v>131</v>
      </c>
      <c r="E8225" t="str">
        <f>_xlfn.XLOOKUP(A8225,'[1]Tissue Data'!$A:$A,'[1]Tissue Data'!$H:$H)</f>
        <v>Rhinichthys</v>
      </c>
      <c r="F8225" t="str">
        <f>_xlfn.XLOOKUP(A8225,'[1]Tissue Data'!$A:$A,'[1]Tissue Data'!$I:$I)</f>
        <v>atratulus</v>
      </c>
      <c r="G8225" t="str">
        <f>_xlfn.XLOOKUP(A8225,'[1]Tissue Data'!$A:$A,'[1]Tissue Data'!J:J)</f>
        <v>U</v>
      </c>
      <c r="H8225" t="str">
        <f>_xlfn.XLOOKUP(A8225,'[1]Tissue Data'!$A:$A,'[1]Tissue Data'!K:K)</f>
        <v>Whole Body</v>
      </c>
      <c r="I8225">
        <f>_xlfn.XLOOKUP(A8225,'[1]Tissue Data'!$A:$A,'[1]Tissue Data'!L:L)</f>
        <v>4.5</v>
      </c>
      <c r="J8225">
        <f>_xlfn.XLOOKUP(A8225,'[1]Tissue Data'!$A:$A,'[1]Tissue Data'!M:M)</f>
        <v>1.63</v>
      </c>
      <c r="K8225" t="s">
        <v>35</v>
      </c>
      <c r="L8225" t="str">
        <f>_xlfn.XLOOKUP(K8225,[2]analyte_order!$B:$B,[2]analyte_order!$C:$C)</f>
        <v>30334-69-1</v>
      </c>
      <c r="M8225">
        <f>_xlfn.XLOOKUP(L8225,[2]analyte_order!$C:$C,[2]analyte_order!$E:$E)</f>
        <v>51</v>
      </c>
      <c r="N8225">
        <v>35.200000000000003</v>
      </c>
    </row>
    <row r="8226" spans="1:14">
      <c r="A8226" t="s">
        <v>153</v>
      </c>
      <c r="B8226" t="str">
        <f>_xlfn.XLOOKUP(A8226,'[1]Tissue Data'!$A:$A,'[1]Tissue Data'!$C:$C)</f>
        <v>Down</v>
      </c>
      <c r="C8226" s="2">
        <f>_xlfn.XLOOKUP(A8226,'[1]Tissue Data'!$A:$A,'[1]Tissue Data'!$D:$D)</f>
        <v>44393</v>
      </c>
      <c r="D8226" s="2" t="s">
        <v>131</v>
      </c>
      <c r="E8226" t="str">
        <f>_xlfn.XLOOKUP(A8226,'[1]Tissue Data'!$A:$A,'[1]Tissue Data'!$H:$H)</f>
        <v>Rhinichthys</v>
      </c>
      <c r="F8226" t="str">
        <f>_xlfn.XLOOKUP(A8226,'[1]Tissue Data'!$A:$A,'[1]Tissue Data'!$I:$I)</f>
        <v>atratulus</v>
      </c>
      <c r="G8226" t="str">
        <f>_xlfn.XLOOKUP(A8226,'[1]Tissue Data'!$A:$A,'[1]Tissue Data'!J:J)</f>
        <v>U</v>
      </c>
      <c r="H8226" t="str">
        <f>_xlfn.XLOOKUP(A8226,'[1]Tissue Data'!$A:$A,'[1]Tissue Data'!K:K)</f>
        <v>Whole Body</v>
      </c>
      <c r="I8226">
        <f>_xlfn.XLOOKUP(A8226,'[1]Tissue Data'!$A:$A,'[1]Tissue Data'!L:L)</f>
        <v>4.5</v>
      </c>
      <c r="J8226">
        <f>_xlfn.XLOOKUP(A8226,'[1]Tissue Data'!$A:$A,'[1]Tissue Data'!M:M)</f>
        <v>1.63</v>
      </c>
      <c r="K8226" t="s">
        <v>36</v>
      </c>
      <c r="L8226" t="str">
        <f>_xlfn.XLOOKUP(K8226,[2]analyte_order!$B:$B,[2]analyte_order!$C:$C)</f>
        <v>41997-13-1</v>
      </c>
      <c r="M8226">
        <f>_xlfn.XLOOKUP(L8226,[2]analyte_order!$C:$C,[2]analyte_order!$E:$E)</f>
        <v>52</v>
      </c>
      <c r="N8226">
        <v>257</v>
      </c>
    </row>
    <row r="8227" spans="1:14">
      <c r="A8227" t="s">
        <v>153</v>
      </c>
      <c r="B8227" t="str">
        <f>_xlfn.XLOOKUP(A8227,'[1]Tissue Data'!$A:$A,'[1]Tissue Data'!$C:$C)</f>
        <v>Down</v>
      </c>
      <c r="C8227" s="2">
        <f>_xlfn.XLOOKUP(A8227,'[1]Tissue Data'!$A:$A,'[1]Tissue Data'!$D:$D)</f>
        <v>44393</v>
      </c>
      <c r="D8227" s="2" t="s">
        <v>131</v>
      </c>
      <c r="E8227" t="str">
        <f>_xlfn.XLOOKUP(A8227,'[1]Tissue Data'!$A:$A,'[1]Tissue Data'!$H:$H)</f>
        <v>Rhinichthys</v>
      </c>
      <c r="F8227" t="str">
        <f>_xlfn.XLOOKUP(A8227,'[1]Tissue Data'!$A:$A,'[1]Tissue Data'!$I:$I)</f>
        <v>atratulus</v>
      </c>
      <c r="G8227" t="str">
        <f>_xlfn.XLOOKUP(A8227,'[1]Tissue Data'!$A:$A,'[1]Tissue Data'!J:J)</f>
        <v>U</v>
      </c>
      <c r="H8227" t="str">
        <f>_xlfn.XLOOKUP(A8227,'[1]Tissue Data'!$A:$A,'[1]Tissue Data'!K:K)</f>
        <v>Whole Body</v>
      </c>
      <c r="I8227">
        <f>_xlfn.XLOOKUP(A8227,'[1]Tissue Data'!$A:$A,'[1]Tissue Data'!L:L)</f>
        <v>4.5</v>
      </c>
      <c r="J8227">
        <f>_xlfn.XLOOKUP(A8227,'[1]Tissue Data'!$A:$A,'[1]Tissue Data'!M:M)</f>
        <v>1.63</v>
      </c>
      <c r="K8227" t="s">
        <v>37</v>
      </c>
      <c r="L8227" t="str">
        <f>_xlfn.XLOOKUP(K8227,[2]analyte_order!$B:$B,[2]analyte_order!$C:$C)</f>
        <v>754-91-6</v>
      </c>
      <c r="M8227">
        <f>_xlfn.XLOOKUP(L8227,[2]analyte_order!$C:$C,[2]analyte_order!$E:$E)</f>
        <v>28</v>
      </c>
      <c r="N8227">
        <v>17.5</v>
      </c>
    </row>
    <row r="8228" spans="1:14">
      <c r="A8228" t="s">
        <v>153</v>
      </c>
      <c r="B8228" t="str">
        <f>_xlfn.XLOOKUP(A8228,'[1]Tissue Data'!$A:$A,'[1]Tissue Data'!$C:$C)</f>
        <v>Down</v>
      </c>
      <c r="C8228" s="2">
        <f>_xlfn.XLOOKUP(A8228,'[1]Tissue Data'!$A:$A,'[1]Tissue Data'!$D:$D)</f>
        <v>44393</v>
      </c>
      <c r="D8228" s="2" t="s">
        <v>131</v>
      </c>
      <c r="E8228" t="str">
        <f>_xlfn.XLOOKUP(A8228,'[1]Tissue Data'!$A:$A,'[1]Tissue Data'!$H:$H)</f>
        <v>Rhinichthys</v>
      </c>
      <c r="F8228" t="str">
        <f>_xlfn.XLOOKUP(A8228,'[1]Tissue Data'!$A:$A,'[1]Tissue Data'!$I:$I)</f>
        <v>atratulus</v>
      </c>
      <c r="G8228" t="str">
        <f>_xlfn.XLOOKUP(A8228,'[1]Tissue Data'!$A:$A,'[1]Tissue Data'!J:J)</f>
        <v>U</v>
      </c>
      <c r="H8228" t="str">
        <f>_xlfn.XLOOKUP(A8228,'[1]Tissue Data'!$A:$A,'[1]Tissue Data'!K:K)</f>
        <v>Whole Body</v>
      </c>
      <c r="I8228">
        <f>_xlfn.XLOOKUP(A8228,'[1]Tissue Data'!$A:$A,'[1]Tissue Data'!L:L)</f>
        <v>4.5</v>
      </c>
      <c r="J8228">
        <f>_xlfn.XLOOKUP(A8228,'[1]Tissue Data'!$A:$A,'[1]Tissue Data'!M:M)</f>
        <v>1.63</v>
      </c>
      <c r="K8228" t="s">
        <v>38</v>
      </c>
      <c r="L8228" t="str">
        <f>_xlfn.XLOOKUP(K8228,[2]analyte_order!$B:$B,[2]analyte_order!$C:$C)</f>
        <v>31506-32-8</v>
      </c>
      <c r="M8228">
        <f>_xlfn.XLOOKUP(L8228,[2]analyte_order!$C:$C,[2]analyte_order!$E:$E)</f>
        <v>30</v>
      </c>
      <c r="N8228">
        <v>0.17899999999999999</v>
      </c>
    </row>
    <row r="8229" spans="1:14">
      <c r="A8229" t="s">
        <v>153</v>
      </c>
      <c r="B8229" t="str">
        <f>_xlfn.XLOOKUP(A8229,'[1]Tissue Data'!$A:$A,'[1]Tissue Data'!$C:$C)</f>
        <v>Down</v>
      </c>
      <c r="C8229" s="2">
        <f>_xlfn.XLOOKUP(A8229,'[1]Tissue Data'!$A:$A,'[1]Tissue Data'!$D:$D)</f>
        <v>44393</v>
      </c>
      <c r="D8229" s="2" t="s">
        <v>131</v>
      </c>
      <c r="E8229" t="str">
        <f>_xlfn.XLOOKUP(A8229,'[1]Tissue Data'!$A:$A,'[1]Tissue Data'!$H:$H)</f>
        <v>Rhinichthys</v>
      </c>
      <c r="F8229" t="str">
        <f>_xlfn.XLOOKUP(A8229,'[1]Tissue Data'!$A:$A,'[1]Tissue Data'!$I:$I)</f>
        <v>atratulus</v>
      </c>
      <c r="G8229" t="str">
        <f>_xlfn.XLOOKUP(A8229,'[1]Tissue Data'!$A:$A,'[1]Tissue Data'!J:J)</f>
        <v>U</v>
      </c>
      <c r="H8229" t="str">
        <f>_xlfn.XLOOKUP(A8229,'[1]Tissue Data'!$A:$A,'[1]Tissue Data'!K:K)</f>
        <v>Whole Body</v>
      </c>
      <c r="I8229">
        <f>_xlfn.XLOOKUP(A8229,'[1]Tissue Data'!$A:$A,'[1]Tissue Data'!L:L)</f>
        <v>4.5</v>
      </c>
      <c r="J8229">
        <f>_xlfn.XLOOKUP(A8229,'[1]Tissue Data'!$A:$A,'[1]Tissue Data'!M:M)</f>
        <v>1.63</v>
      </c>
      <c r="K8229" t="s">
        <v>39</v>
      </c>
      <c r="L8229" t="str">
        <f>_xlfn.XLOOKUP(K8229,[2]analyte_order!$B:$B,[2]analyte_order!$C:$C)</f>
        <v>4151-50-2</v>
      </c>
      <c r="M8229">
        <f>_xlfn.XLOOKUP(L8229,[2]analyte_order!$C:$C,[2]analyte_order!$E:$E)</f>
        <v>31</v>
      </c>
      <c r="N8229">
        <v>0.46450000000000002</v>
      </c>
    </row>
    <row r="8230" spans="1:14">
      <c r="A8230" t="s">
        <v>153</v>
      </c>
      <c r="B8230" t="str">
        <f>_xlfn.XLOOKUP(A8230,'[1]Tissue Data'!$A:$A,'[1]Tissue Data'!$C:$C)</f>
        <v>Down</v>
      </c>
      <c r="C8230" s="2">
        <f>_xlfn.XLOOKUP(A8230,'[1]Tissue Data'!$A:$A,'[1]Tissue Data'!$D:$D)</f>
        <v>44393</v>
      </c>
      <c r="D8230" s="2" t="s">
        <v>131</v>
      </c>
      <c r="E8230" t="str">
        <f>_xlfn.XLOOKUP(A8230,'[1]Tissue Data'!$A:$A,'[1]Tissue Data'!$H:$H)</f>
        <v>Rhinichthys</v>
      </c>
      <c r="F8230" t="str">
        <f>_xlfn.XLOOKUP(A8230,'[1]Tissue Data'!$A:$A,'[1]Tissue Data'!$I:$I)</f>
        <v>atratulus</v>
      </c>
      <c r="G8230" t="str">
        <f>_xlfn.XLOOKUP(A8230,'[1]Tissue Data'!$A:$A,'[1]Tissue Data'!J:J)</f>
        <v>U</v>
      </c>
      <c r="H8230" t="str">
        <f>_xlfn.XLOOKUP(A8230,'[1]Tissue Data'!$A:$A,'[1]Tissue Data'!K:K)</f>
        <v>Whole Body</v>
      </c>
      <c r="I8230">
        <f>_xlfn.XLOOKUP(A8230,'[1]Tissue Data'!$A:$A,'[1]Tissue Data'!L:L)</f>
        <v>4.5</v>
      </c>
      <c r="J8230">
        <f>_xlfn.XLOOKUP(A8230,'[1]Tissue Data'!$A:$A,'[1]Tissue Data'!M:M)</f>
        <v>1.63</v>
      </c>
      <c r="K8230" t="s">
        <v>40</v>
      </c>
      <c r="L8230" t="str">
        <f>_xlfn.XLOOKUP(K8230,[2]analyte_order!$B:$B,[2]analyte_order!$C:$C)</f>
        <v>2806-24-8</v>
      </c>
      <c r="M8230">
        <f>_xlfn.XLOOKUP(L8230,[2]analyte_order!$C:$C,[2]analyte_order!$E:$E)</f>
        <v>29</v>
      </c>
      <c r="N8230">
        <v>0.46450000000000002</v>
      </c>
    </row>
    <row r="8231" spans="1:14">
      <c r="A8231" t="s">
        <v>153</v>
      </c>
      <c r="B8231" t="str">
        <f>_xlfn.XLOOKUP(A8231,'[1]Tissue Data'!$A:$A,'[1]Tissue Data'!$C:$C)</f>
        <v>Down</v>
      </c>
      <c r="C8231" s="2">
        <f>_xlfn.XLOOKUP(A8231,'[1]Tissue Data'!$A:$A,'[1]Tissue Data'!$D:$D)</f>
        <v>44393</v>
      </c>
      <c r="D8231" s="2" t="s">
        <v>131</v>
      </c>
      <c r="E8231" t="str">
        <f>_xlfn.XLOOKUP(A8231,'[1]Tissue Data'!$A:$A,'[1]Tissue Data'!$H:$H)</f>
        <v>Rhinichthys</v>
      </c>
      <c r="F8231" t="str">
        <f>_xlfn.XLOOKUP(A8231,'[1]Tissue Data'!$A:$A,'[1]Tissue Data'!$I:$I)</f>
        <v>atratulus</v>
      </c>
      <c r="G8231" t="str">
        <f>_xlfn.XLOOKUP(A8231,'[1]Tissue Data'!$A:$A,'[1]Tissue Data'!J:J)</f>
        <v>U</v>
      </c>
      <c r="H8231" t="str">
        <f>_xlfn.XLOOKUP(A8231,'[1]Tissue Data'!$A:$A,'[1]Tissue Data'!K:K)</f>
        <v>Whole Body</v>
      </c>
      <c r="I8231">
        <f>_xlfn.XLOOKUP(A8231,'[1]Tissue Data'!$A:$A,'[1]Tissue Data'!L:L)</f>
        <v>4.5</v>
      </c>
      <c r="J8231">
        <f>_xlfn.XLOOKUP(A8231,'[1]Tissue Data'!$A:$A,'[1]Tissue Data'!M:M)</f>
        <v>1.63</v>
      </c>
      <c r="K8231" t="s">
        <v>41</v>
      </c>
      <c r="L8231" t="str">
        <f>_xlfn.XLOOKUP(K8231,[2]analyte_order!$B:$B,[2]analyte_order!$C:$C)</f>
        <v>2355-31-9</v>
      </c>
      <c r="M8231">
        <f>_xlfn.XLOOKUP(L8231,[2]analyte_order!$C:$C,[2]analyte_order!$E:$E)</f>
        <v>26</v>
      </c>
      <c r="N8231">
        <v>0.23350000000000001</v>
      </c>
    </row>
    <row r="8232" spans="1:14">
      <c r="A8232" t="s">
        <v>153</v>
      </c>
      <c r="B8232" t="str">
        <f>_xlfn.XLOOKUP(A8232,'[1]Tissue Data'!$A:$A,'[1]Tissue Data'!$C:$C)</f>
        <v>Down</v>
      </c>
      <c r="C8232" s="2">
        <f>_xlfn.XLOOKUP(A8232,'[1]Tissue Data'!$A:$A,'[1]Tissue Data'!$D:$D)</f>
        <v>44393</v>
      </c>
      <c r="D8232" s="2" t="s">
        <v>131</v>
      </c>
      <c r="E8232" t="str">
        <f>_xlfn.XLOOKUP(A8232,'[1]Tissue Data'!$A:$A,'[1]Tissue Data'!$H:$H)</f>
        <v>Rhinichthys</v>
      </c>
      <c r="F8232" t="str">
        <f>_xlfn.XLOOKUP(A8232,'[1]Tissue Data'!$A:$A,'[1]Tissue Data'!$I:$I)</f>
        <v>atratulus</v>
      </c>
      <c r="G8232" t="str">
        <f>_xlfn.XLOOKUP(A8232,'[1]Tissue Data'!$A:$A,'[1]Tissue Data'!J:J)</f>
        <v>U</v>
      </c>
      <c r="H8232" t="str">
        <f>_xlfn.XLOOKUP(A8232,'[1]Tissue Data'!$A:$A,'[1]Tissue Data'!K:K)</f>
        <v>Whole Body</v>
      </c>
      <c r="I8232">
        <f>_xlfn.XLOOKUP(A8232,'[1]Tissue Data'!$A:$A,'[1]Tissue Data'!L:L)</f>
        <v>4.5</v>
      </c>
      <c r="J8232">
        <f>_xlfn.XLOOKUP(A8232,'[1]Tissue Data'!$A:$A,'[1]Tissue Data'!M:M)</f>
        <v>1.63</v>
      </c>
      <c r="K8232" t="s">
        <v>42</v>
      </c>
      <c r="L8232" t="str">
        <f>_xlfn.XLOOKUP(K8232,[2]analyte_order!$B:$B,[2]analyte_order!$C:$C)</f>
        <v>2991-50-6</v>
      </c>
      <c r="M8232">
        <f>_xlfn.XLOOKUP(L8232,[2]analyte_order!$C:$C,[2]analyte_order!$E:$E)</f>
        <v>27</v>
      </c>
      <c r="N8232">
        <v>0.23200000000000001</v>
      </c>
    </row>
    <row r="8233" spans="1:14">
      <c r="A8233" t="s">
        <v>153</v>
      </c>
      <c r="B8233" t="str">
        <f>_xlfn.XLOOKUP(A8233,'[1]Tissue Data'!$A:$A,'[1]Tissue Data'!$C:$C)</f>
        <v>Down</v>
      </c>
      <c r="C8233" s="2">
        <f>_xlfn.XLOOKUP(A8233,'[1]Tissue Data'!$A:$A,'[1]Tissue Data'!$D:$D)</f>
        <v>44393</v>
      </c>
      <c r="D8233" s="2" t="s">
        <v>131</v>
      </c>
      <c r="E8233" t="str">
        <f>_xlfn.XLOOKUP(A8233,'[1]Tissue Data'!$A:$A,'[1]Tissue Data'!$H:$H)</f>
        <v>Rhinichthys</v>
      </c>
      <c r="F8233" t="str">
        <f>_xlfn.XLOOKUP(A8233,'[1]Tissue Data'!$A:$A,'[1]Tissue Data'!$I:$I)</f>
        <v>atratulus</v>
      </c>
      <c r="G8233" t="str">
        <f>_xlfn.XLOOKUP(A8233,'[1]Tissue Data'!$A:$A,'[1]Tissue Data'!J:J)</f>
        <v>U</v>
      </c>
      <c r="H8233" t="str">
        <f>_xlfn.XLOOKUP(A8233,'[1]Tissue Data'!$A:$A,'[1]Tissue Data'!K:K)</f>
        <v>Whole Body</v>
      </c>
      <c r="I8233">
        <f>_xlfn.XLOOKUP(A8233,'[1]Tissue Data'!$A:$A,'[1]Tissue Data'!L:L)</f>
        <v>4.5</v>
      </c>
      <c r="J8233">
        <f>_xlfn.XLOOKUP(A8233,'[1]Tissue Data'!$A:$A,'[1]Tissue Data'!M:M)</f>
        <v>1.63</v>
      </c>
      <c r="K8233" t="s">
        <v>43</v>
      </c>
      <c r="L8233" t="str">
        <f>_xlfn.XLOOKUP(K8233,[2]analyte_order!$B:$B,[2]analyte_order!$C:$C)</f>
        <v>757124-72-4</v>
      </c>
      <c r="M8233">
        <f>_xlfn.XLOOKUP(L8233,[2]analyte_order!$C:$C,[2]analyte_order!$E:$E)</f>
        <v>22</v>
      </c>
      <c r="N8233">
        <v>0.23200000000000001</v>
      </c>
    </row>
    <row r="8234" spans="1:14">
      <c r="A8234" t="s">
        <v>153</v>
      </c>
      <c r="B8234" t="str">
        <f>_xlfn.XLOOKUP(A8234,'[1]Tissue Data'!$A:$A,'[1]Tissue Data'!$C:$C)</f>
        <v>Down</v>
      </c>
      <c r="C8234" s="2">
        <f>_xlfn.XLOOKUP(A8234,'[1]Tissue Data'!$A:$A,'[1]Tissue Data'!$D:$D)</f>
        <v>44393</v>
      </c>
      <c r="D8234" s="2" t="s">
        <v>131</v>
      </c>
      <c r="E8234" t="str">
        <f>_xlfn.XLOOKUP(A8234,'[1]Tissue Data'!$A:$A,'[1]Tissue Data'!$H:$H)</f>
        <v>Rhinichthys</v>
      </c>
      <c r="F8234" t="str">
        <f>_xlfn.XLOOKUP(A8234,'[1]Tissue Data'!$A:$A,'[1]Tissue Data'!$I:$I)</f>
        <v>atratulus</v>
      </c>
      <c r="G8234" t="str">
        <f>_xlfn.XLOOKUP(A8234,'[1]Tissue Data'!$A:$A,'[1]Tissue Data'!J:J)</f>
        <v>U</v>
      </c>
      <c r="H8234" t="str">
        <f>_xlfn.XLOOKUP(A8234,'[1]Tissue Data'!$A:$A,'[1]Tissue Data'!K:K)</f>
        <v>Whole Body</v>
      </c>
      <c r="I8234">
        <f>_xlfn.XLOOKUP(A8234,'[1]Tissue Data'!$A:$A,'[1]Tissue Data'!L:L)</f>
        <v>4.5</v>
      </c>
      <c r="J8234">
        <f>_xlfn.XLOOKUP(A8234,'[1]Tissue Data'!$A:$A,'[1]Tissue Data'!M:M)</f>
        <v>1.63</v>
      </c>
      <c r="K8234" t="s">
        <v>44</v>
      </c>
      <c r="L8234" t="str">
        <f>_xlfn.XLOOKUP(K8234,[2]analyte_order!$B:$B,[2]analyte_order!$C:$C)</f>
        <v>27619-97-2</v>
      </c>
      <c r="M8234">
        <f>_xlfn.XLOOKUP(L8234,[2]analyte_order!$C:$C,[2]analyte_order!$E:$E)</f>
        <v>23</v>
      </c>
      <c r="N8234">
        <v>1.44</v>
      </c>
    </row>
    <row r="8235" spans="1:14">
      <c r="A8235" t="s">
        <v>153</v>
      </c>
      <c r="B8235" t="str">
        <f>_xlfn.XLOOKUP(A8235,'[1]Tissue Data'!$A:$A,'[1]Tissue Data'!$C:$C)</f>
        <v>Down</v>
      </c>
      <c r="C8235" s="2">
        <f>_xlfn.XLOOKUP(A8235,'[1]Tissue Data'!$A:$A,'[1]Tissue Data'!$D:$D)</f>
        <v>44393</v>
      </c>
      <c r="D8235" s="2" t="s">
        <v>131</v>
      </c>
      <c r="E8235" t="str">
        <f>_xlfn.XLOOKUP(A8235,'[1]Tissue Data'!$A:$A,'[1]Tissue Data'!$H:$H)</f>
        <v>Rhinichthys</v>
      </c>
      <c r="F8235" t="str">
        <f>_xlfn.XLOOKUP(A8235,'[1]Tissue Data'!$A:$A,'[1]Tissue Data'!$I:$I)</f>
        <v>atratulus</v>
      </c>
      <c r="G8235" t="str">
        <f>_xlfn.XLOOKUP(A8235,'[1]Tissue Data'!$A:$A,'[1]Tissue Data'!J:J)</f>
        <v>U</v>
      </c>
      <c r="H8235" t="str">
        <f>_xlfn.XLOOKUP(A8235,'[1]Tissue Data'!$A:$A,'[1]Tissue Data'!K:K)</f>
        <v>Whole Body</v>
      </c>
      <c r="I8235">
        <f>_xlfn.XLOOKUP(A8235,'[1]Tissue Data'!$A:$A,'[1]Tissue Data'!L:L)</f>
        <v>4.5</v>
      </c>
      <c r="J8235">
        <f>_xlfn.XLOOKUP(A8235,'[1]Tissue Data'!$A:$A,'[1]Tissue Data'!M:M)</f>
        <v>1.63</v>
      </c>
      <c r="K8235" t="s">
        <v>45</v>
      </c>
      <c r="L8235" t="str">
        <f>_xlfn.XLOOKUP(K8235,[2]analyte_order!$B:$B,[2]analyte_order!$C:$C)</f>
        <v>39108-34-4</v>
      </c>
      <c r="M8235">
        <f>_xlfn.XLOOKUP(L8235,[2]analyte_order!$C:$C,[2]analyte_order!$E:$E)</f>
        <v>24</v>
      </c>
      <c r="N8235">
        <v>19</v>
      </c>
    </row>
    <row r="8236" spans="1:14">
      <c r="A8236" t="s">
        <v>153</v>
      </c>
      <c r="B8236" t="str">
        <f>_xlfn.XLOOKUP(A8236,'[1]Tissue Data'!$A:$A,'[1]Tissue Data'!$C:$C)</f>
        <v>Down</v>
      </c>
      <c r="C8236" s="2">
        <f>_xlfn.XLOOKUP(A8236,'[1]Tissue Data'!$A:$A,'[1]Tissue Data'!$D:$D)</f>
        <v>44393</v>
      </c>
      <c r="D8236" s="2" t="s">
        <v>131</v>
      </c>
      <c r="E8236" t="str">
        <f>_xlfn.XLOOKUP(A8236,'[1]Tissue Data'!$A:$A,'[1]Tissue Data'!$H:$H)</f>
        <v>Rhinichthys</v>
      </c>
      <c r="F8236" t="str">
        <f>_xlfn.XLOOKUP(A8236,'[1]Tissue Data'!$A:$A,'[1]Tissue Data'!$I:$I)</f>
        <v>atratulus</v>
      </c>
      <c r="G8236" t="str">
        <f>_xlfn.XLOOKUP(A8236,'[1]Tissue Data'!$A:$A,'[1]Tissue Data'!J:J)</f>
        <v>U</v>
      </c>
      <c r="H8236" t="str">
        <f>_xlfn.XLOOKUP(A8236,'[1]Tissue Data'!$A:$A,'[1]Tissue Data'!K:K)</f>
        <v>Whole Body</v>
      </c>
      <c r="I8236">
        <f>_xlfn.XLOOKUP(A8236,'[1]Tissue Data'!$A:$A,'[1]Tissue Data'!L:L)</f>
        <v>4.5</v>
      </c>
      <c r="J8236">
        <f>_xlfn.XLOOKUP(A8236,'[1]Tissue Data'!$A:$A,'[1]Tissue Data'!M:M)</f>
        <v>1.63</v>
      </c>
      <c r="K8236" t="s">
        <v>46</v>
      </c>
      <c r="L8236" t="str">
        <f>_xlfn.XLOOKUP(K8236,[2]analyte_order!$B:$B,[2]analyte_order!$C:$C)</f>
        <v>120226-60-0</v>
      </c>
      <c r="M8236">
        <f>_xlfn.XLOOKUP(L8236,[2]analyte_order!$C:$C,[2]analyte_order!$E:$E)</f>
        <v>25</v>
      </c>
      <c r="N8236">
        <v>0.46450000000000002</v>
      </c>
    </row>
    <row r="8237" spans="1:14">
      <c r="A8237" t="s">
        <v>153</v>
      </c>
      <c r="B8237" t="str">
        <f>_xlfn.XLOOKUP(A8237,'[1]Tissue Data'!$A:$A,'[1]Tissue Data'!$C:$C)</f>
        <v>Down</v>
      </c>
      <c r="C8237" s="2">
        <f>_xlfn.XLOOKUP(A8237,'[1]Tissue Data'!$A:$A,'[1]Tissue Data'!$D:$D)</f>
        <v>44393</v>
      </c>
      <c r="D8237" s="2" t="s">
        <v>131</v>
      </c>
      <c r="E8237" t="str">
        <f>_xlfn.XLOOKUP(A8237,'[1]Tissue Data'!$A:$A,'[1]Tissue Data'!$H:$H)</f>
        <v>Rhinichthys</v>
      </c>
      <c r="F8237" t="str">
        <f>_xlfn.XLOOKUP(A8237,'[1]Tissue Data'!$A:$A,'[1]Tissue Data'!$I:$I)</f>
        <v>atratulus</v>
      </c>
      <c r="G8237" t="str">
        <f>_xlfn.XLOOKUP(A8237,'[1]Tissue Data'!$A:$A,'[1]Tissue Data'!J:J)</f>
        <v>U</v>
      </c>
      <c r="H8237" t="str">
        <f>_xlfn.XLOOKUP(A8237,'[1]Tissue Data'!$A:$A,'[1]Tissue Data'!K:K)</f>
        <v>Whole Body</v>
      </c>
      <c r="I8237">
        <f>_xlfn.XLOOKUP(A8237,'[1]Tissue Data'!$A:$A,'[1]Tissue Data'!L:L)</f>
        <v>4.5</v>
      </c>
      <c r="J8237">
        <f>_xlfn.XLOOKUP(A8237,'[1]Tissue Data'!$A:$A,'[1]Tissue Data'!M:M)</f>
        <v>1.63</v>
      </c>
      <c r="K8237" t="s">
        <v>47</v>
      </c>
      <c r="L8237" t="str">
        <f>_xlfn.XLOOKUP(K8237,[2]analyte_order!$B:$B,[2]analyte_order!$C:$C)</f>
        <v>356-02-5</v>
      </c>
      <c r="M8237">
        <f>_xlfn.XLOOKUP(L8237,[2]analyte_order!$C:$C,[2]analyte_order!$E:$E)</f>
        <v>38</v>
      </c>
      <c r="N8237">
        <v>0.26800000000000002</v>
      </c>
    </row>
    <row r="8238" spans="1:14">
      <c r="A8238" t="s">
        <v>153</v>
      </c>
      <c r="B8238" t="str">
        <f>_xlfn.XLOOKUP(A8238,'[1]Tissue Data'!$A:$A,'[1]Tissue Data'!$C:$C)</f>
        <v>Down</v>
      </c>
      <c r="C8238" s="2">
        <f>_xlfn.XLOOKUP(A8238,'[1]Tissue Data'!$A:$A,'[1]Tissue Data'!$D:$D)</f>
        <v>44393</v>
      </c>
      <c r="D8238" s="2" t="s">
        <v>131</v>
      </c>
      <c r="E8238" t="str">
        <f>_xlfn.XLOOKUP(A8238,'[1]Tissue Data'!$A:$A,'[1]Tissue Data'!$H:$H)</f>
        <v>Rhinichthys</v>
      </c>
      <c r="F8238" t="str">
        <f>_xlfn.XLOOKUP(A8238,'[1]Tissue Data'!$A:$A,'[1]Tissue Data'!$I:$I)</f>
        <v>atratulus</v>
      </c>
      <c r="G8238" t="str">
        <f>_xlfn.XLOOKUP(A8238,'[1]Tissue Data'!$A:$A,'[1]Tissue Data'!J:J)</f>
        <v>U</v>
      </c>
      <c r="H8238" t="str">
        <f>_xlfn.XLOOKUP(A8238,'[1]Tissue Data'!$A:$A,'[1]Tissue Data'!K:K)</f>
        <v>Whole Body</v>
      </c>
      <c r="I8238">
        <f>_xlfn.XLOOKUP(A8238,'[1]Tissue Data'!$A:$A,'[1]Tissue Data'!L:L)</f>
        <v>4.5</v>
      </c>
      <c r="J8238">
        <f>_xlfn.XLOOKUP(A8238,'[1]Tissue Data'!$A:$A,'[1]Tissue Data'!M:M)</f>
        <v>1.63</v>
      </c>
      <c r="K8238" t="s">
        <v>48</v>
      </c>
      <c r="L8238" t="str">
        <f>_xlfn.XLOOKUP(K8238,[2]analyte_order!$B:$B,[2]analyte_order!$C:$C)</f>
        <v>914637-49-3</v>
      </c>
      <c r="M8238">
        <f>_xlfn.XLOOKUP(L8238,[2]analyte_order!$C:$C,[2]analyte_order!$E:$E)</f>
        <v>39</v>
      </c>
      <c r="N8238">
        <v>0.23200000000000001</v>
      </c>
    </row>
    <row r="8239" spans="1:14">
      <c r="A8239" t="s">
        <v>153</v>
      </c>
      <c r="B8239" t="str">
        <f>_xlfn.XLOOKUP(A8239,'[1]Tissue Data'!$A:$A,'[1]Tissue Data'!$C:$C)</f>
        <v>Down</v>
      </c>
      <c r="C8239" s="2">
        <f>_xlfn.XLOOKUP(A8239,'[1]Tissue Data'!$A:$A,'[1]Tissue Data'!$D:$D)</f>
        <v>44393</v>
      </c>
      <c r="D8239" s="2" t="s">
        <v>131</v>
      </c>
      <c r="E8239" t="str">
        <f>_xlfn.XLOOKUP(A8239,'[1]Tissue Data'!$A:$A,'[1]Tissue Data'!$H:$H)</f>
        <v>Rhinichthys</v>
      </c>
      <c r="F8239" t="str">
        <f>_xlfn.XLOOKUP(A8239,'[1]Tissue Data'!$A:$A,'[1]Tissue Data'!$I:$I)</f>
        <v>atratulus</v>
      </c>
      <c r="G8239" t="str">
        <f>_xlfn.XLOOKUP(A8239,'[1]Tissue Data'!$A:$A,'[1]Tissue Data'!J:J)</f>
        <v>U</v>
      </c>
      <c r="H8239" t="str">
        <f>_xlfn.XLOOKUP(A8239,'[1]Tissue Data'!$A:$A,'[1]Tissue Data'!K:K)</f>
        <v>Whole Body</v>
      </c>
      <c r="I8239">
        <f>_xlfn.XLOOKUP(A8239,'[1]Tissue Data'!$A:$A,'[1]Tissue Data'!L:L)</f>
        <v>4.5</v>
      </c>
      <c r="J8239">
        <f>_xlfn.XLOOKUP(A8239,'[1]Tissue Data'!$A:$A,'[1]Tissue Data'!M:M)</f>
        <v>1.63</v>
      </c>
      <c r="K8239" t="s">
        <v>49</v>
      </c>
      <c r="L8239" t="str">
        <f>_xlfn.XLOOKUP(K8239,[2]analyte_order!$B:$B,[2]analyte_order!$C:$C)</f>
        <v>812-70-4</v>
      </c>
      <c r="M8239">
        <f>_xlfn.XLOOKUP(L8239,[2]analyte_order!$C:$C,[2]analyte_order!$E:$E)</f>
        <v>40</v>
      </c>
      <c r="N8239">
        <v>11.2</v>
      </c>
    </row>
    <row r="8240" spans="1:14">
      <c r="A8240" t="s">
        <v>153</v>
      </c>
      <c r="B8240" t="str">
        <f>_xlfn.XLOOKUP(A8240,'[1]Tissue Data'!$A:$A,'[1]Tissue Data'!$C:$C)</f>
        <v>Down</v>
      </c>
      <c r="C8240" s="2">
        <f>_xlfn.XLOOKUP(A8240,'[1]Tissue Data'!$A:$A,'[1]Tissue Data'!$D:$D)</f>
        <v>44393</v>
      </c>
      <c r="D8240" s="2" t="s">
        <v>131</v>
      </c>
      <c r="E8240" t="str">
        <f>_xlfn.XLOOKUP(A8240,'[1]Tissue Data'!$A:$A,'[1]Tissue Data'!$H:$H)</f>
        <v>Rhinichthys</v>
      </c>
      <c r="F8240" t="str">
        <f>_xlfn.XLOOKUP(A8240,'[1]Tissue Data'!$A:$A,'[1]Tissue Data'!$I:$I)</f>
        <v>atratulus</v>
      </c>
      <c r="G8240" t="str">
        <f>_xlfn.XLOOKUP(A8240,'[1]Tissue Data'!$A:$A,'[1]Tissue Data'!J:J)</f>
        <v>U</v>
      </c>
      <c r="H8240" t="str">
        <f>_xlfn.XLOOKUP(A8240,'[1]Tissue Data'!$A:$A,'[1]Tissue Data'!K:K)</f>
        <v>Whole Body</v>
      </c>
      <c r="I8240">
        <f>_xlfn.XLOOKUP(A8240,'[1]Tissue Data'!$A:$A,'[1]Tissue Data'!L:L)</f>
        <v>4.5</v>
      </c>
      <c r="J8240">
        <f>_xlfn.XLOOKUP(A8240,'[1]Tissue Data'!$A:$A,'[1]Tissue Data'!M:M)</f>
        <v>1.63</v>
      </c>
      <c r="K8240" t="s">
        <v>50</v>
      </c>
      <c r="L8240" t="str">
        <f>_xlfn.XLOOKUP(K8240,[2]analyte_order!$B:$B,[2]analyte_order!$C:$C)</f>
        <v>53826-12-3</v>
      </c>
      <c r="M8240">
        <f>_xlfn.XLOOKUP(L8240,[2]analyte_order!$C:$C,[2]analyte_order!$E:$E)</f>
        <v>41</v>
      </c>
      <c r="N8240">
        <v>0.46450000000000002</v>
      </c>
    </row>
    <row r="8241" spans="1:14">
      <c r="A8241" t="s">
        <v>153</v>
      </c>
      <c r="B8241" t="str">
        <f>_xlfn.XLOOKUP(A8241,'[1]Tissue Data'!$A:$A,'[1]Tissue Data'!$C:$C)</f>
        <v>Down</v>
      </c>
      <c r="C8241" s="2">
        <f>_xlfn.XLOOKUP(A8241,'[1]Tissue Data'!$A:$A,'[1]Tissue Data'!$D:$D)</f>
        <v>44393</v>
      </c>
      <c r="D8241" s="2" t="s">
        <v>131</v>
      </c>
      <c r="E8241" t="str">
        <f>_xlfn.XLOOKUP(A8241,'[1]Tissue Data'!$A:$A,'[1]Tissue Data'!$H:$H)</f>
        <v>Rhinichthys</v>
      </c>
      <c r="F8241" t="str">
        <f>_xlfn.XLOOKUP(A8241,'[1]Tissue Data'!$A:$A,'[1]Tissue Data'!$I:$I)</f>
        <v>atratulus</v>
      </c>
      <c r="G8241" t="str">
        <f>_xlfn.XLOOKUP(A8241,'[1]Tissue Data'!$A:$A,'[1]Tissue Data'!J:J)</f>
        <v>U</v>
      </c>
      <c r="H8241" t="str">
        <f>_xlfn.XLOOKUP(A8241,'[1]Tissue Data'!$A:$A,'[1]Tissue Data'!K:K)</f>
        <v>Whole Body</v>
      </c>
      <c r="I8241">
        <f>_xlfn.XLOOKUP(A8241,'[1]Tissue Data'!$A:$A,'[1]Tissue Data'!L:L)</f>
        <v>4.5</v>
      </c>
      <c r="J8241">
        <f>_xlfn.XLOOKUP(A8241,'[1]Tissue Data'!$A:$A,'[1]Tissue Data'!M:M)</f>
        <v>1.63</v>
      </c>
      <c r="K8241" t="s">
        <v>51</v>
      </c>
      <c r="L8241" t="str">
        <f>_xlfn.XLOOKUP(K8241,[2]analyte_order!$B:$B,[2]analyte_order!$C:$C)</f>
        <v>27854-31-5</v>
      </c>
      <c r="M8241">
        <f>_xlfn.XLOOKUP(L8241,[2]analyte_order!$C:$C,[2]analyte_order!$E:$E)</f>
        <v>42</v>
      </c>
      <c r="N8241">
        <v>0.46450000000000002</v>
      </c>
    </row>
    <row r="8242" spans="1:14">
      <c r="A8242" t="s">
        <v>153</v>
      </c>
      <c r="B8242" t="str">
        <f>_xlfn.XLOOKUP(A8242,'[1]Tissue Data'!$A:$A,'[1]Tissue Data'!$C:$C)</f>
        <v>Down</v>
      </c>
      <c r="C8242" s="2">
        <f>_xlfn.XLOOKUP(A8242,'[1]Tissue Data'!$A:$A,'[1]Tissue Data'!$D:$D)</f>
        <v>44393</v>
      </c>
      <c r="D8242" s="2" t="s">
        <v>131</v>
      </c>
      <c r="E8242" t="str">
        <f>_xlfn.XLOOKUP(A8242,'[1]Tissue Data'!$A:$A,'[1]Tissue Data'!$H:$H)</f>
        <v>Rhinichthys</v>
      </c>
      <c r="F8242" t="str">
        <f>_xlfn.XLOOKUP(A8242,'[1]Tissue Data'!$A:$A,'[1]Tissue Data'!$I:$I)</f>
        <v>atratulus</v>
      </c>
      <c r="G8242" t="str">
        <f>_xlfn.XLOOKUP(A8242,'[1]Tissue Data'!$A:$A,'[1]Tissue Data'!J:J)</f>
        <v>U</v>
      </c>
      <c r="H8242" t="str">
        <f>_xlfn.XLOOKUP(A8242,'[1]Tissue Data'!$A:$A,'[1]Tissue Data'!K:K)</f>
        <v>Whole Body</v>
      </c>
      <c r="I8242">
        <f>_xlfn.XLOOKUP(A8242,'[1]Tissue Data'!$A:$A,'[1]Tissue Data'!L:L)</f>
        <v>4.5</v>
      </c>
      <c r="J8242">
        <f>_xlfn.XLOOKUP(A8242,'[1]Tissue Data'!$A:$A,'[1]Tissue Data'!M:M)</f>
        <v>1.63</v>
      </c>
      <c r="K8242" t="s">
        <v>52</v>
      </c>
      <c r="L8242" t="str">
        <f>_xlfn.XLOOKUP(K8242,[2]analyte_order!$B:$B,[2]analyte_order!$C:$C)</f>
        <v>53826-13-4</v>
      </c>
      <c r="M8242">
        <f>_xlfn.XLOOKUP(L8242,[2]analyte_order!$C:$C,[2]analyte_order!$E:$E)</f>
        <v>43</v>
      </c>
      <c r="N8242">
        <v>0.46450000000000002</v>
      </c>
    </row>
    <row r="8243" spans="1:14">
      <c r="A8243" t="s">
        <v>153</v>
      </c>
      <c r="B8243" t="str">
        <f>_xlfn.XLOOKUP(A8243,'[1]Tissue Data'!$A:$A,'[1]Tissue Data'!$C:$C)</f>
        <v>Down</v>
      </c>
      <c r="C8243" s="2">
        <f>_xlfn.XLOOKUP(A8243,'[1]Tissue Data'!$A:$A,'[1]Tissue Data'!$D:$D)</f>
        <v>44393</v>
      </c>
      <c r="D8243" s="2" t="s">
        <v>131</v>
      </c>
      <c r="E8243" t="str">
        <f>_xlfn.XLOOKUP(A8243,'[1]Tissue Data'!$A:$A,'[1]Tissue Data'!$H:$H)</f>
        <v>Rhinichthys</v>
      </c>
      <c r="F8243" t="str">
        <f>_xlfn.XLOOKUP(A8243,'[1]Tissue Data'!$A:$A,'[1]Tissue Data'!$I:$I)</f>
        <v>atratulus</v>
      </c>
      <c r="G8243" t="str">
        <f>_xlfn.XLOOKUP(A8243,'[1]Tissue Data'!$A:$A,'[1]Tissue Data'!J:J)</f>
        <v>U</v>
      </c>
      <c r="H8243" t="str">
        <f>_xlfn.XLOOKUP(A8243,'[1]Tissue Data'!$A:$A,'[1]Tissue Data'!K:K)</f>
        <v>Whole Body</v>
      </c>
      <c r="I8243">
        <f>_xlfn.XLOOKUP(A8243,'[1]Tissue Data'!$A:$A,'[1]Tissue Data'!L:L)</f>
        <v>4.5</v>
      </c>
      <c r="J8243">
        <f>_xlfn.XLOOKUP(A8243,'[1]Tissue Data'!$A:$A,'[1]Tissue Data'!M:M)</f>
        <v>1.63</v>
      </c>
      <c r="K8243" t="s">
        <v>53</v>
      </c>
      <c r="L8243" t="str">
        <f>_xlfn.XLOOKUP(K8243,[2]analyte_order!$B:$B,[2]analyte_order!$C:$C)</f>
        <v>161094-75-3</v>
      </c>
      <c r="M8243">
        <f>_xlfn.XLOOKUP(L8243,[2]analyte_order!$C:$C,[2]analyte_order!$E:$E)</f>
        <v>44</v>
      </c>
      <c r="N8243">
        <v>0.46450000000000002</v>
      </c>
    </row>
    <row r="8244" spans="1:14">
      <c r="A8244" t="s">
        <v>153</v>
      </c>
      <c r="B8244" t="str">
        <f>_xlfn.XLOOKUP(A8244,'[1]Tissue Data'!$A:$A,'[1]Tissue Data'!$C:$C)</f>
        <v>Down</v>
      </c>
      <c r="C8244" s="2">
        <f>_xlfn.XLOOKUP(A8244,'[1]Tissue Data'!$A:$A,'[1]Tissue Data'!$D:$D)</f>
        <v>44393</v>
      </c>
      <c r="D8244" s="2" t="s">
        <v>131</v>
      </c>
      <c r="E8244" t="str">
        <f>_xlfn.XLOOKUP(A8244,'[1]Tissue Data'!$A:$A,'[1]Tissue Data'!$H:$H)</f>
        <v>Rhinichthys</v>
      </c>
      <c r="F8244" t="str">
        <f>_xlfn.XLOOKUP(A8244,'[1]Tissue Data'!$A:$A,'[1]Tissue Data'!$I:$I)</f>
        <v>atratulus</v>
      </c>
      <c r="G8244" t="str">
        <f>_xlfn.XLOOKUP(A8244,'[1]Tissue Data'!$A:$A,'[1]Tissue Data'!J:J)</f>
        <v>U</v>
      </c>
      <c r="H8244" t="str">
        <f>_xlfn.XLOOKUP(A8244,'[1]Tissue Data'!$A:$A,'[1]Tissue Data'!K:K)</f>
        <v>Whole Body</v>
      </c>
      <c r="I8244">
        <f>_xlfn.XLOOKUP(A8244,'[1]Tissue Data'!$A:$A,'[1]Tissue Data'!L:L)</f>
        <v>4.5</v>
      </c>
      <c r="J8244">
        <f>_xlfn.XLOOKUP(A8244,'[1]Tissue Data'!$A:$A,'[1]Tissue Data'!M:M)</f>
        <v>1.63</v>
      </c>
      <c r="K8244" t="s">
        <v>54</v>
      </c>
      <c r="L8244" t="str">
        <f>_xlfn.XLOOKUP(K8244,[2]analyte_order!$B:$B,[2]analyte_order!$C:$C)</f>
        <v>70887-84-2</v>
      </c>
      <c r="M8244">
        <f>_xlfn.XLOOKUP(L8244,[2]analyte_order!$C:$C,[2]analyte_order!$E:$E)</f>
        <v>45</v>
      </c>
      <c r="N8244">
        <v>0.46450000000000002</v>
      </c>
    </row>
    <row r="8245" spans="1:14">
      <c r="A8245" t="s">
        <v>153</v>
      </c>
      <c r="B8245" t="str">
        <f>_xlfn.XLOOKUP(A8245,'[1]Tissue Data'!$A:$A,'[1]Tissue Data'!$C:$C)</f>
        <v>Down</v>
      </c>
      <c r="C8245" s="2">
        <f>_xlfn.XLOOKUP(A8245,'[1]Tissue Data'!$A:$A,'[1]Tissue Data'!$D:$D)</f>
        <v>44393</v>
      </c>
      <c r="D8245" s="2" t="s">
        <v>131</v>
      </c>
      <c r="E8245" t="str">
        <f>_xlfn.XLOOKUP(A8245,'[1]Tissue Data'!$A:$A,'[1]Tissue Data'!$H:$H)</f>
        <v>Rhinichthys</v>
      </c>
      <c r="F8245" t="str">
        <f>_xlfn.XLOOKUP(A8245,'[1]Tissue Data'!$A:$A,'[1]Tissue Data'!$I:$I)</f>
        <v>atratulus</v>
      </c>
      <c r="G8245" t="str">
        <f>_xlfn.XLOOKUP(A8245,'[1]Tissue Data'!$A:$A,'[1]Tissue Data'!J:J)</f>
        <v>U</v>
      </c>
      <c r="H8245" t="str">
        <f>_xlfn.XLOOKUP(A8245,'[1]Tissue Data'!$A:$A,'[1]Tissue Data'!K:K)</f>
        <v>Whole Body</v>
      </c>
      <c r="I8245">
        <f>_xlfn.XLOOKUP(A8245,'[1]Tissue Data'!$A:$A,'[1]Tissue Data'!L:L)</f>
        <v>4.5</v>
      </c>
      <c r="J8245">
        <f>_xlfn.XLOOKUP(A8245,'[1]Tissue Data'!$A:$A,'[1]Tissue Data'!M:M)</f>
        <v>1.63</v>
      </c>
      <c r="K8245" t="s">
        <v>55</v>
      </c>
      <c r="L8245" t="str">
        <f>_xlfn.XLOOKUP(K8245,[2]analyte_order!$B:$B,[2]analyte_order!$C:$C)</f>
        <v>919005-14-4</v>
      </c>
      <c r="M8245">
        <f>_xlfn.XLOOKUP(L8245,[2]analyte_order!$C:$C,[2]analyte_order!$E:$E)</f>
        <v>35</v>
      </c>
      <c r="N8245">
        <v>0.23200000000000001</v>
      </c>
    </row>
    <row r="8246" spans="1:14">
      <c r="A8246" t="s">
        <v>153</v>
      </c>
      <c r="B8246" t="str">
        <f>_xlfn.XLOOKUP(A8246,'[1]Tissue Data'!$A:$A,'[1]Tissue Data'!$C:$C)</f>
        <v>Down</v>
      </c>
      <c r="C8246" s="2">
        <f>_xlfn.XLOOKUP(A8246,'[1]Tissue Data'!$A:$A,'[1]Tissue Data'!$D:$D)</f>
        <v>44393</v>
      </c>
      <c r="D8246" s="2" t="s">
        <v>131</v>
      </c>
      <c r="E8246" t="str">
        <f>_xlfn.XLOOKUP(A8246,'[1]Tissue Data'!$A:$A,'[1]Tissue Data'!$H:$H)</f>
        <v>Rhinichthys</v>
      </c>
      <c r="F8246" t="str">
        <f>_xlfn.XLOOKUP(A8246,'[1]Tissue Data'!$A:$A,'[1]Tissue Data'!$I:$I)</f>
        <v>atratulus</v>
      </c>
      <c r="G8246" t="str">
        <f>_xlfn.XLOOKUP(A8246,'[1]Tissue Data'!$A:$A,'[1]Tissue Data'!J:J)</f>
        <v>U</v>
      </c>
      <c r="H8246" t="str">
        <f>_xlfn.XLOOKUP(A8246,'[1]Tissue Data'!$A:$A,'[1]Tissue Data'!K:K)</f>
        <v>Whole Body</v>
      </c>
      <c r="I8246">
        <f>_xlfn.XLOOKUP(A8246,'[1]Tissue Data'!$A:$A,'[1]Tissue Data'!L:L)</f>
        <v>4.5</v>
      </c>
      <c r="J8246">
        <f>_xlfn.XLOOKUP(A8246,'[1]Tissue Data'!$A:$A,'[1]Tissue Data'!M:M)</f>
        <v>1.63</v>
      </c>
      <c r="K8246" t="s">
        <v>56</v>
      </c>
      <c r="L8246" t="str">
        <f>_xlfn.XLOOKUP(K8246,[2]analyte_order!$B:$B,[2]analyte_order!$C:$C)</f>
        <v>756426-58-1</v>
      </c>
      <c r="M8246">
        <f>_xlfn.XLOOKUP(L8246,[2]analyte_order!$C:$C,[2]analyte_order!$E:$E)</f>
        <v>36</v>
      </c>
      <c r="N8246">
        <v>0.46450000000000002</v>
      </c>
    </row>
    <row r="8247" spans="1:14">
      <c r="A8247" t="s">
        <v>153</v>
      </c>
      <c r="B8247" t="str">
        <f>_xlfn.XLOOKUP(A8247,'[1]Tissue Data'!$A:$A,'[1]Tissue Data'!$C:$C)</f>
        <v>Down</v>
      </c>
      <c r="C8247" s="2">
        <f>_xlfn.XLOOKUP(A8247,'[1]Tissue Data'!$A:$A,'[1]Tissue Data'!$D:$D)</f>
        <v>44393</v>
      </c>
      <c r="D8247" s="2" t="s">
        <v>131</v>
      </c>
      <c r="E8247" t="str">
        <f>_xlfn.XLOOKUP(A8247,'[1]Tissue Data'!$A:$A,'[1]Tissue Data'!$H:$H)</f>
        <v>Rhinichthys</v>
      </c>
      <c r="F8247" t="str">
        <f>_xlfn.XLOOKUP(A8247,'[1]Tissue Data'!$A:$A,'[1]Tissue Data'!$I:$I)</f>
        <v>atratulus</v>
      </c>
      <c r="G8247" t="str">
        <f>_xlfn.XLOOKUP(A8247,'[1]Tissue Data'!$A:$A,'[1]Tissue Data'!J:J)</f>
        <v>U</v>
      </c>
      <c r="H8247" t="str">
        <f>_xlfn.XLOOKUP(A8247,'[1]Tissue Data'!$A:$A,'[1]Tissue Data'!K:K)</f>
        <v>Whole Body</v>
      </c>
      <c r="I8247">
        <f>_xlfn.XLOOKUP(A8247,'[1]Tissue Data'!$A:$A,'[1]Tissue Data'!L:L)</f>
        <v>4.5</v>
      </c>
      <c r="J8247">
        <f>_xlfn.XLOOKUP(A8247,'[1]Tissue Data'!$A:$A,'[1]Tissue Data'!M:M)</f>
        <v>1.63</v>
      </c>
      <c r="K8247" t="s">
        <v>57</v>
      </c>
      <c r="L8247" t="str">
        <f>_xlfn.XLOOKUP(K8247,[2]analyte_order!$B:$B,[2]analyte_order!$C:$C)</f>
        <v>763051-92-9</v>
      </c>
      <c r="M8247">
        <f>_xlfn.XLOOKUP(L8247,[2]analyte_order!$C:$C,[2]analyte_order!$E:$E)</f>
        <v>37</v>
      </c>
      <c r="N8247">
        <v>0.46450000000000002</v>
      </c>
    </row>
    <row r="8248" spans="1:14">
      <c r="A8248" t="s">
        <v>153</v>
      </c>
      <c r="B8248" t="str">
        <f>_xlfn.XLOOKUP(A8248,'[1]Tissue Data'!$A:$A,'[1]Tissue Data'!$C:$C)</f>
        <v>Down</v>
      </c>
      <c r="C8248" s="2">
        <f>_xlfn.XLOOKUP(A8248,'[1]Tissue Data'!$A:$A,'[1]Tissue Data'!$D:$D)</f>
        <v>44393</v>
      </c>
      <c r="D8248" s="2" t="s">
        <v>131</v>
      </c>
      <c r="E8248" t="str">
        <f>_xlfn.XLOOKUP(A8248,'[1]Tissue Data'!$A:$A,'[1]Tissue Data'!$H:$H)</f>
        <v>Rhinichthys</v>
      </c>
      <c r="F8248" t="str">
        <f>_xlfn.XLOOKUP(A8248,'[1]Tissue Data'!$A:$A,'[1]Tissue Data'!$I:$I)</f>
        <v>atratulus</v>
      </c>
      <c r="G8248" t="str">
        <f>_xlfn.XLOOKUP(A8248,'[1]Tissue Data'!$A:$A,'[1]Tissue Data'!J:J)</f>
        <v>U</v>
      </c>
      <c r="H8248" t="str">
        <f>_xlfn.XLOOKUP(A8248,'[1]Tissue Data'!$A:$A,'[1]Tissue Data'!K:K)</f>
        <v>Whole Body</v>
      </c>
      <c r="I8248">
        <f>_xlfn.XLOOKUP(A8248,'[1]Tissue Data'!$A:$A,'[1]Tissue Data'!L:L)</f>
        <v>4.5</v>
      </c>
      <c r="J8248">
        <f>_xlfn.XLOOKUP(A8248,'[1]Tissue Data'!$A:$A,'[1]Tissue Data'!M:M)</f>
        <v>1.63</v>
      </c>
      <c r="K8248" t="s">
        <v>58</v>
      </c>
      <c r="L8248" t="str">
        <f>_xlfn.XLOOKUP(K8248,[2]analyte_order!$B:$B,[2]analyte_order!$C:$C)</f>
        <v>13252-13-6</v>
      </c>
      <c r="M8248">
        <f>_xlfn.XLOOKUP(L8248,[2]analyte_order!$C:$C,[2]analyte_order!$E:$E)</f>
        <v>34</v>
      </c>
      <c r="N8248">
        <v>0.33300000000000002</v>
      </c>
    </row>
    <row r="8249" spans="1:14">
      <c r="A8249" t="s">
        <v>153</v>
      </c>
      <c r="B8249" t="str">
        <f>_xlfn.XLOOKUP(A8249,'[1]Tissue Data'!$A:$A,'[1]Tissue Data'!$C:$C)</f>
        <v>Down</v>
      </c>
      <c r="C8249" s="2">
        <f>_xlfn.XLOOKUP(A8249,'[1]Tissue Data'!$A:$A,'[1]Tissue Data'!$D:$D)</f>
        <v>44393</v>
      </c>
      <c r="D8249" s="2" t="s">
        <v>131</v>
      </c>
      <c r="E8249" t="str">
        <f>_xlfn.XLOOKUP(A8249,'[1]Tissue Data'!$A:$A,'[1]Tissue Data'!$H:$H)</f>
        <v>Rhinichthys</v>
      </c>
      <c r="F8249" t="str">
        <f>_xlfn.XLOOKUP(A8249,'[1]Tissue Data'!$A:$A,'[1]Tissue Data'!$I:$I)</f>
        <v>atratulus</v>
      </c>
      <c r="G8249" t="str">
        <f>_xlfn.XLOOKUP(A8249,'[1]Tissue Data'!$A:$A,'[1]Tissue Data'!J:J)</f>
        <v>U</v>
      </c>
      <c r="H8249" t="str">
        <f>_xlfn.XLOOKUP(A8249,'[1]Tissue Data'!$A:$A,'[1]Tissue Data'!K:K)</f>
        <v>Whole Body</v>
      </c>
      <c r="I8249">
        <f>_xlfn.XLOOKUP(A8249,'[1]Tissue Data'!$A:$A,'[1]Tissue Data'!L:L)</f>
        <v>4.5</v>
      </c>
      <c r="J8249">
        <f>_xlfn.XLOOKUP(A8249,'[1]Tissue Data'!$A:$A,'[1]Tissue Data'!M:M)</f>
        <v>1.63</v>
      </c>
      <c r="K8249" t="s">
        <v>59</v>
      </c>
      <c r="L8249" t="str">
        <f>_xlfn.XLOOKUP(K8249,[2]analyte_order!$B:$B,[2]analyte_order!$C:$C)</f>
        <v>57677-95-9</v>
      </c>
      <c r="M8249">
        <f>_xlfn.XLOOKUP(L8249,[2]analyte_order!$C:$C,[2]analyte_order!$E:$E)</f>
        <v>46</v>
      </c>
      <c r="N8249">
        <v>0.46450000000000002</v>
      </c>
    </row>
    <row r="8250" spans="1:14">
      <c r="A8250" t="s">
        <v>153</v>
      </c>
      <c r="B8250" t="str">
        <f>_xlfn.XLOOKUP(A8250,'[1]Tissue Data'!$A:$A,'[1]Tissue Data'!$C:$C)</f>
        <v>Down</v>
      </c>
      <c r="C8250" s="2">
        <f>_xlfn.XLOOKUP(A8250,'[1]Tissue Data'!$A:$A,'[1]Tissue Data'!$D:$D)</f>
        <v>44393</v>
      </c>
      <c r="D8250" s="2" t="s">
        <v>131</v>
      </c>
      <c r="E8250" t="str">
        <f>_xlfn.XLOOKUP(A8250,'[1]Tissue Data'!$A:$A,'[1]Tissue Data'!$H:$H)</f>
        <v>Rhinichthys</v>
      </c>
      <c r="F8250" t="str">
        <f>_xlfn.XLOOKUP(A8250,'[1]Tissue Data'!$A:$A,'[1]Tissue Data'!$I:$I)</f>
        <v>atratulus</v>
      </c>
      <c r="G8250" t="str">
        <f>_xlfn.XLOOKUP(A8250,'[1]Tissue Data'!$A:$A,'[1]Tissue Data'!J:J)</f>
        <v>U</v>
      </c>
      <c r="H8250" t="str">
        <f>_xlfn.XLOOKUP(A8250,'[1]Tissue Data'!$A:$A,'[1]Tissue Data'!K:K)</f>
        <v>Whole Body</v>
      </c>
      <c r="I8250">
        <f>_xlfn.XLOOKUP(A8250,'[1]Tissue Data'!$A:$A,'[1]Tissue Data'!L:L)</f>
        <v>4.5</v>
      </c>
      <c r="J8250">
        <f>_xlfn.XLOOKUP(A8250,'[1]Tissue Data'!$A:$A,'[1]Tissue Data'!M:M)</f>
        <v>1.63</v>
      </c>
      <c r="K8250" t="s">
        <v>60</v>
      </c>
      <c r="L8250" t="str">
        <f>_xlfn.XLOOKUP(K8250,[2]analyte_order!$B:$B,[2]analyte_order!$C:$C)</f>
        <v>678-41-1</v>
      </c>
      <c r="M8250">
        <f>_xlfn.XLOOKUP(L8250,[2]analyte_order!$C:$C,[2]analyte_order!$E:$E)</f>
        <v>56</v>
      </c>
      <c r="N8250">
        <v>0.46450000000000002</v>
      </c>
    </row>
    <row r="8251" spans="1:14">
      <c r="A8251" t="s">
        <v>153</v>
      </c>
      <c r="B8251" t="str">
        <f>_xlfn.XLOOKUP(A8251,'[1]Tissue Data'!$A:$A,'[1]Tissue Data'!$C:$C)</f>
        <v>Down</v>
      </c>
      <c r="C8251" s="2">
        <f>_xlfn.XLOOKUP(A8251,'[1]Tissue Data'!$A:$A,'[1]Tissue Data'!$D:$D)</f>
        <v>44393</v>
      </c>
      <c r="D8251" s="2" t="s">
        <v>131</v>
      </c>
      <c r="E8251" t="str">
        <f>_xlfn.XLOOKUP(A8251,'[1]Tissue Data'!$A:$A,'[1]Tissue Data'!$H:$H)</f>
        <v>Rhinichthys</v>
      </c>
      <c r="F8251" t="str">
        <f>_xlfn.XLOOKUP(A8251,'[1]Tissue Data'!$A:$A,'[1]Tissue Data'!$I:$I)</f>
        <v>atratulus</v>
      </c>
      <c r="G8251" t="str">
        <f>_xlfn.XLOOKUP(A8251,'[1]Tissue Data'!$A:$A,'[1]Tissue Data'!J:J)</f>
        <v>U</v>
      </c>
      <c r="H8251" t="str">
        <f>_xlfn.XLOOKUP(A8251,'[1]Tissue Data'!$A:$A,'[1]Tissue Data'!K:K)</f>
        <v>Whole Body</v>
      </c>
      <c r="I8251">
        <f>_xlfn.XLOOKUP(A8251,'[1]Tissue Data'!$A:$A,'[1]Tissue Data'!L:L)</f>
        <v>4.5</v>
      </c>
      <c r="J8251">
        <f>_xlfn.XLOOKUP(A8251,'[1]Tissue Data'!$A:$A,'[1]Tissue Data'!M:M)</f>
        <v>1.63</v>
      </c>
      <c r="K8251" t="s">
        <v>61</v>
      </c>
      <c r="L8251" t="str">
        <f>_xlfn.XLOOKUP(K8251,[2]analyte_order!$B:$B,[2]analyte_order!$C:$C)</f>
        <v>2965-52-8</v>
      </c>
      <c r="M8251">
        <f>_xlfn.XLOOKUP(L8251,[2]analyte_order!$C:$C,[2]analyte_order!$E:$E)</f>
        <v>57</v>
      </c>
      <c r="N8251">
        <v>0.46450000000000002</v>
      </c>
    </row>
    <row r="8252" spans="1:14">
      <c r="A8252" t="s">
        <v>319</v>
      </c>
      <c r="B8252" t="str">
        <f>_xlfn.XLOOKUP(A8252,'[1]Tissue Data'!$A:$A,'[1]Tissue Data'!$C:$C)</f>
        <v>Down</v>
      </c>
      <c r="C8252" s="2">
        <f>_xlfn.XLOOKUP(A8252,'[1]Tissue Data'!$A:$A,'[1]Tissue Data'!$D:$D)</f>
        <v>44393</v>
      </c>
      <c r="D8252" s="2" t="s">
        <v>131</v>
      </c>
      <c r="E8252" t="str">
        <f>_xlfn.XLOOKUP(A8252,'[1]Tissue Data'!$A:$A,'[1]Tissue Data'!$H:$H)</f>
        <v>Clinostomus</v>
      </c>
      <c r="F8252" t="str">
        <f>_xlfn.XLOOKUP(A8252,'[1]Tissue Data'!$A:$A,'[1]Tissue Data'!$I:$I)</f>
        <v>funduloides</v>
      </c>
      <c r="G8252" t="str">
        <f>_xlfn.XLOOKUP(A8252,'[1]Tissue Data'!$A:$A,'[1]Tissue Data'!J:J)</f>
        <v>U</v>
      </c>
      <c r="H8252" t="str">
        <f>_xlfn.XLOOKUP(A8252,'[1]Tissue Data'!$A:$A,'[1]Tissue Data'!K:K)</f>
        <v>Whole Body</v>
      </c>
      <c r="I8252">
        <f>_xlfn.XLOOKUP(A8252,'[1]Tissue Data'!$A:$A,'[1]Tissue Data'!L:L)</f>
        <v>4</v>
      </c>
      <c r="J8252">
        <f>_xlfn.XLOOKUP(A8252,'[1]Tissue Data'!$A:$A,'[1]Tissue Data'!M:M)</f>
        <v>1.79</v>
      </c>
      <c r="K8252" t="s">
        <v>12</v>
      </c>
      <c r="L8252" t="str">
        <f>_xlfn.XLOOKUP(K8252,[2]analyte_order!$B:$B,[2]analyte_order!$C:$C)</f>
        <v>375-22-4</v>
      </c>
      <c r="M8252">
        <f>_xlfn.XLOOKUP(L8252,[2]analyte_order!$C:$C,[2]analyte_order!$E:$E)</f>
        <v>1</v>
      </c>
      <c r="N8252">
        <v>0.2155</v>
      </c>
    </row>
    <row r="8253" spans="1:14">
      <c r="A8253" t="s">
        <v>319</v>
      </c>
      <c r="B8253" t="str">
        <f>_xlfn.XLOOKUP(A8253,'[1]Tissue Data'!$A:$A,'[1]Tissue Data'!$C:$C)</f>
        <v>Down</v>
      </c>
      <c r="C8253" s="2">
        <f>_xlfn.XLOOKUP(A8253,'[1]Tissue Data'!$A:$A,'[1]Tissue Data'!$D:$D)</f>
        <v>44393</v>
      </c>
      <c r="D8253" s="2" t="s">
        <v>131</v>
      </c>
      <c r="E8253" t="str">
        <f>_xlfn.XLOOKUP(A8253,'[1]Tissue Data'!$A:$A,'[1]Tissue Data'!$H:$H)</f>
        <v>Clinostomus</v>
      </c>
      <c r="F8253" t="str">
        <f>_xlfn.XLOOKUP(A8253,'[1]Tissue Data'!$A:$A,'[1]Tissue Data'!$I:$I)</f>
        <v>funduloides</v>
      </c>
      <c r="G8253" t="str">
        <f>_xlfn.XLOOKUP(A8253,'[1]Tissue Data'!$A:$A,'[1]Tissue Data'!J:J)</f>
        <v>U</v>
      </c>
      <c r="H8253" t="str">
        <f>_xlfn.XLOOKUP(A8253,'[1]Tissue Data'!$A:$A,'[1]Tissue Data'!K:K)</f>
        <v>Whole Body</v>
      </c>
      <c r="I8253">
        <f>_xlfn.XLOOKUP(A8253,'[1]Tissue Data'!$A:$A,'[1]Tissue Data'!L:L)</f>
        <v>4</v>
      </c>
      <c r="J8253">
        <f>_xlfn.XLOOKUP(A8253,'[1]Tissue Data'!$A:$A,'[1]Tissue Data'!M:M)</f>
        <v>1.79</v>
      </c>
      <c r="K8253" t="s">
        <v>13</v>
      </c>
      <c r="L8253" t="str">
        <f>_xlfn.XLOOKUP(K8253,[2]analyte_order!$B:$B,[2]analyte_order!$C:$C)</f>
        <v>2706-90-3</v>
      </c>
      <c r="M8253">
        <f>_xlfn.XLOOKUP(L8253,[2]analyte_order!$C:$C,[2]analyte_order!$E:$E)</f>
        <v>2</v>
      </c>
      <c r="N8253">
        <v>0.2155</v>
      </c>
    </row>
    <row r="8254" spans="1:14">
      <c r="A8254" t="s">
        <v>319</v>
      </c>
      <c r="B8254" t="str">
        <f>_xlfn.XLOOKUP(A8254,'[1]Tissue Data'!$A:$A,'[1]Tissue Data'!$C:$C)</f>
        <v>Down</v>
      </c>
      <c r="C8254" s="2">
        <f>_xlfn.XLOOKUP(A8254,'[1]Tissue Data'!$A:$A,'[1]Tissue Data'!$D:$D)</f>
        <v>44393</v>
      </c>
      <c r="D8254" s="2" t="s">
        <v>131</v>
      </c>
      <c r="E8254" t="str">
        <f>_xlfn.XLOOKUP(A8254,'[1]Tissue Data'!$A:$A,'[1]Tissue Data'!$H:$H)</f>
        <v>Clinostomus</v>
      </c>
      <c r="F8254" t="str">
        <f>_xlfn.XLOOKUP(A8254,'[1]Tissue Data'!$A:$A,'[1]Tissue Data'!$I:$I)</f>
        <v>funduloides</v>
      </c>
      <c r="G8254" t="str">
        <f>_xlfn.XLOOKUP(A8254,'[1]Tissue Data'!$A:$A,'[1]Tissue Data'!J:J)</f>
        <v>U</v>
      </c>
      <c r="H8254" t="str">
        <f>_xlfn.XLOOKUP(A8254,'[1]Tissue Data'!$A:$A,'[1]Tissue Data'!K:K)</f>
        <v>Whole Body</v>
      </c>
      <c r="I8254">
        <f>_xlfn.XLOOKUP(A8254,'[1]Tissue Data'!$A:$A,'[1]Tissue Data'!L:L)</f>
        <v>4</v>
      </c>
      <c r="J8254">
        <f>_xlfn.XLOOKUP(A8254,'[1]Tissue Data'!$A:$A,'[1]Tissue Data'!M:M)</f>
        <v>1.79</v>
      </c>
      <c r="K8254" t="s">
        <v>14</v>
      </c>
      <c r="L8254" t="str">
        <f>_xlfn.XLOOKUP(K8254,[2]analyte_order!$B:$B,[2]analyte_order!$C:$C)</f>
        <v>307-24-4</v>
      </c>
      <c r="M8254">
        <f>_xlfn.XLOOKUP(L8254,[2]analyte_order!$C:$C,[2]analyte_order!$E:$E)</f>
        <v>3</v>
      </c>
      <c r="N8254">
        <v>0.11600000000000001</v>
      </c>
    </row>
    <row r="8255" spans="1:14">
      <c r="A8255" t="s">
        <v>319</v>
      </c>
      <c r="B8255" t="str">
        <f>_xlfn.XLOOKUP(A8255,'[1]Tissue Data'!$A:$A,'[1]Tissue Data'!$C:$C)</f>
        <v>Down</v>
      </c>
      <c r="C8255" s="2">
        <f>_xlfn.XLOOKUP(A8255,'[1]Tissue Data'!$A:$A,'[1]Tissue Data'!$D:$D)</f>
        <v>44393</v>
      </c>
      <c r="D8255" s="2" t="s">
        <v>131</v>
      </c>
      <c r="E8255" t="str">
        <f>_xlfn.XLOOKUP(A8255,'[1]Tissue Data'!$A:$A,'[1]Tissue Data'!$H:$H)</f>
        <v>Clinostomus</v>
      </c>
      <c r="F8255" t="str">
        <f>_xlfn.XLOOKUP(A8255,'[1]Tissue Data'!$A:$A,'[1]Tissue Data'!$I:$I)</f>
        <v>funduloides</v>
      </c>
      <c r="G8255" t="str">
        <f>_xlfn.XLOOKUP(A8255,'[1]Tissue Data'!$A:$A,'[1]Tissue Data'!J:J)</f>
        <v>U</v>
      </c>
      <c r="H8255" t="str">
        <f>_xlfn.XLOOKUP(A8255,'[1]Tissue Data'!$A:$A,'[1]Tissue Data'!K:K)</f>
        <v>Whole Body</v>
      </c>
      <c r="I8255">
        <f>_xlfn.XLOOKUP(A8255,'[1]Tissue Data'!$A:$A,'[1]Tissue Data'!L:L)</f>
        <v>4</v>
      </c>
      <c r="J8255">
        <f>_xlfn.XLOOKUP(A8255,'[1]Tissue Data'!$A:$A,'[1]Tissue Data'!M:M)</f>
        <v>1.79</v>
      </c>
      <c r="K8255" t="s">
        <v>15</v>
      </c>
      <c r="L8255" t="str">
        <f>_xlfn.XLOOKUP(K8255,[2]analyte_order!$B:$B,[2]analyte_order!$C:$C)</f>
        <v>375-85-9</v>
      </c>
      <c r="M8255">
        <f>_xlfn.XLOOKUP(L8255,[2]analyte_order!$C:$C,[2]analyte_order!$E:$E)</f>
        <v>4</v>
      </c>
      <c r="N8255">
        <v>0.2155</v>
      </c>
    </row>
    <row r="8256" spans="1:14">
      <c r="A8256" t="s">
        <v>319</v>
      </c>
      <c r="B8256" t="str">
        <f>_xlfn.XLOOKUP(A8256,'[1]Tissue Data'!$A:$A,'[1]Tissue Data'!$C:$C)</f>
        <v>Down</v>
      </c>
      <c r="C8256" s="2">
        <f>_xlfn.XLOOKUP(A8256,'[1]Tissue Data'!$A:$A,'[1]Tissue Data'!$D:$D)</f>
        <v>44393</v>
      </c>
      <c r="D8256" s="2" t="s">
        <v>131</v>
      </c>
      <c r="E8256" t="str">
        <f>_xlfn.XLOOKUP(A8256,'[1]Tissue Data'!$A:$A,'[1]Tissue Data'!$H:$H)</f>
        <v>Clinostomus</v>
      </c>
      <c r="F8256" t="str">
        <f>_xlfn.XLOOKUP(A8256,'[1]Tissue Data'!$A:$A,'[1]Tissue Data'!$I:$I)</f>
        <v>funduloides</v>
      </c>
      <c r="G8256" t="str">
        <f>_xlfn.XLOOKUP(A8256,'[1]Tissue Data'!$A:$A,'[1]Tissue Data'!J:J)</f>
        <v>U</v>
      </c>
      <c r="H8256" t="str">
        <f>_xlfn.XLOOKUP(A8256,'[1]Tissue Data'!$A:$A,'[1]Tissue Data'!K:K)</f>
        <v>Whole Body</v>
      </c>
      <c r="I8256">
        <f>_xlfn.XLOOKUP(A8256,'[1]Tissue Data'!$A:$A,'[1]Tissue Data'!L:L)</f>
        <v>4</v>
      </c>
      <c r="J8256">
        <f>_xlfn.XLOOKUP(A8256,'[1]Tissue Data'!$A:$A,'[1]Tissue Data'!M:M)</f>
        <v>1.79</v>
      </c>
      <c r="K8256" t="s">
        <v>16</v>
      </c>
      <c r="L8256" t="str">
        <f>_xlfn.XLOOKUP(K8256,[2]analyte_order!$B:$B,[2]analyte_order!$C:$C)</f>
        <v>335-67-1</v>
      </c>
      <c r="M8256">
        <f>_xlfn.XLOOKUP(L8256,[2]analyte_order!$C:$C,[2]analyte_order!$E:$E)</f>
        <v>5</v>
      </c>
      <c r="N8256">
        <v>2.09</v>
      </c>
    </row>
    <row r="8257" spans="1:14">
      <c r="A8257" t="s">
        <v>319</v>
      </c>
      <c r="B8257" t="str">
        <f>_xlfn.XLOOKUP(A8257,'[1]Tissue Data'!$A:$A,'[1]Tissue Data'!$C:$C)</f>
        <v>Down</v>
      </c>
      <c r="C8257" s="2">
        <f>_xlfn.XLOOKUP(A8257,'[1]Tissue Data'!$A:$A,'[1]Tissue Data'!$D:$D)</f>
        <v>44393</v>
      </c>
      <c r="D8257" s="2" t="s">
        <v>131</v>
      </c>
      <c r="E8257" t="str">
        <f>_xlfn.XLOOKUP(A8257,'[1]Tissue Data'!$A:$A,'[1]Tissue Data'!$H:$H)</f>
        <v>Clinostomus</v>
      </c>
      <c r="F8257" t="str">
        <f>_xlfn.XLOOKUP(A8257,'[1]Tissue Data'!$A:$A,'[1]Tissue Data'!$I:$I)</f>
        <v>funduloides</v>
      </c>
      <c r="G8257" t="str">
        <f>_xlfn.XLOOKUP(A8257,'[1]Tissue Data'!$A:$A,'[1]Tissue Data'!J:J)</f>
        <v>U</v>
      </c>
      <c r="H8257" t="str">
        <f>_xlfn.XLOOKUP(A8257,'[1]Tissue Data'!$A:$A,'[1]Tissue Data'!K:K)</f>
        <v>Whole Body</v>
      </c>
      <c r="I8257">
        <f>_xlfn.XLOOKUP(A8257,'[1]Tissue Data'!$A:$A,'[1]Tissue Data'!L:L)</f>
        <v>4</v>
      </c>
      <c r="J8257">
        <f>_xlfn.XLOOKUP(A8257,'[1]Tissue Data'!$A:$A,'[1]Tissue Data'!M:M)</f>
        <v>1.79</v>
      </c>
      <c r="K8257" t="s">
        <v>17</v>
      </c>
      <c r="L8257" t="str">
        <f>_xlfn.XLOOKUP(K8257,[2]analyte_order!$B:$B,[2]analyte_order!$C:$C)</f>
        <v>375-95-1</v>
      </c>
      <c r="M8257">
        <f>_xlfn.XLOOKUP(L8257,[2]analyte_order!$C:$C,[2]analyte_order!$E:$E)</f>
        <v>6</v>
      </c>
      <c r="N8257">
        <v>3.62</v>
      </c>
    </row>
    <row r="8258" spans="1:14">
      <c r="A8258" t="s">
        <v>319</v>
      </c>
      <c r="B8258" t="str">
        <f>_xlfn.XLOOKUP(A8258,'[1]Tissue Data'!$A:$A,'[1]Tissue Data'!$C:$C)</f>
        <v>Down</v>
      </c>
      <c r="C8258" s="2">
        <f>_xlfn.XLOOKUP(A8258,'[1]Tissue Data'!$A:$A,'[1]Tissue Data'!$D:$D)</f>
        <v>44393</v>
      </c>
      <c r="D8258" s="2" t="s">
        <v>131</v>
      </c>
      <c r="E8258" t="str">
        <f>_xlfn.XLOOKUP(A8258,'[1]Tissue Data'!$A:$A,'[1]Tissue Data'!$H:$H)</f>
        <v>Clinostomus</v>
      </c>
      <c r="F8258" t="str">
        <f>_xlfn.XLOOKUP(A8258,'[1]Tissue Data'!$A:$A,'[1]Tissue Data'!$I:$I)</f>
        <v>funduloides</v>
      </c>
      <c r="G8258" t="str">
        <f>_xlfn.XLOOKUP(A8258,'[1]Tissue Data'!$A:$A,'[1]Tissue Data'!J:J)</f>
        <v>U</v>
      </c>
      <c r="H8258" t="str">
        <f>_xlfn.XLOOKUP(A8258,'[1]Tissue Data'!$A:$A,'[1]Tissue Data'!K:K)</f>
        <v>Whole Body</v>
      </c>
      <c r="I8258">
        <f>_xlfn.XLOOKUP(A8258,'[1]Tissue Data'!$A:$A,'[1]Tissue Data'!L:L)</f>
        <v>4</v>
      </c>
      <c r="J8258">
        <f>_xlfn.XLOOKUP(A8258,'[1]Tissue Data'!$A:$A,'[1]Tissue Data'!M:M)</f>
        <v>1.79</v>
      </c>
      <c r="K8258" t="s">
        <v>18</v>
      </c>
      <c r="L8258" t="str">
        <f>_xlfn.XLOOKUP(K8258,[2]analyte_order!$B:$B,[2]analyte_order!$C:$C)</f>
        <v>335-76-2</v>
      </c>
      <c r="M8258">
        <f>_xlfn.XLOOKUP(L8258,[2]analyte_order!$C:$C,[2]analyte_order!$E:$E)</f>
        <v>7</v>
      </c>
      <c r="N8258">
        <v>5.03</v>
      </c>
    </row>
    <row r="8259" spans="1:14">
      <c r="A8259" t="s">
        <v>319</v>
      </c>
      <c r="B8259" t="str">
        <f>_xlfn.XLOOKUP(A8259,'[1]Tissue Data'!$A:$A,'[1]Tissue Data'!$C:$C)</f>
        <v>Down</v>
      </c>
      <c r="C8259" s="2">
        <f>_xlfn.XLOOKUP(A8259,'[1]Tissue Data'!$A:$A,'[1]Tissue Data'!$D:$D)</f>
        <v>44393</v>
      </c>
      <c r="D8259" s="2" t="s">
        <v>131</v>
      </c>
      <c r="E8259" t="str">
        <f>_xlfn.XLOOKUP(A8259,'[1]Tissue Data'!$A:$A,'[1]Tissue Data'!$H:$H)</f>
        <v>Clinostomus</v>
      </c>
      <c r="F8259" t="str">
        <f>_xlfn.XLOOKUP(A8259,'[1]Tissue Data'!$A:$A,'[1]Tissue Data'!$I:$I)</f>
        <v>funduloides</v>
      </c>
      <c r="G8259" t="str">
        <f>_xlfn.XLOOKUP(A8259,'[1]Tissue Data'!$A:$A,'[1]Tissue Data'!J:J)</f>
        <v>U</v>
      </c>
      <c r="H8259" t="str">
        <f>_xlfn.XLOOKUP(A8259,'[1]Tissue Data'!$A:$A,'[1]Tissue Data'!K:K)</f>
        <v>Whole Body</v>
      </c>
      <c r="I8259">
        <f>_xlfn.XLOOKUP(A8259,'[1]Tissue Data'!$A:$A,'[1]Tissue Data'!L:L)</f>
        <v>4</v>
      </c>
      <c r="J8259">
        <f>_xlfn.XLOOKUP(A8259,'[1]Tissue Data'!$A:$A,'[1]Tissue Data'!M:M)</f>
        <v>1.79</v>
      </c>
      <c r="K8259" t="s">
        <v>19</v>
      </c>
      <c r="L8259" t="str">
        <f>_xlfn.XLOOKUP(K8259,[2]analyte_order!$B:$B,[2]analyte_order!$C:$C)</f>
        <v>2058-94-8</v>
      </c>
      <c r="M8259">
        <f>_xlfn.XLOOKUP(L8259,[2]analyte_order!$C:$C,[2]analyte_order!$E:$E)</f>
        <v>8</v>
      </c>
      <c r="N8259">
        <v>8.4600000000000009</v>
      </c>
    </row>
    <row r="8260" spans="1:14">
      <c r="A8260" t="s">
        <v>319</v>
      </c>
      <c r="B8260" t="str">
        <f>_xlfn.XLOOKUP(A8260,'[1]Tissue Data'!$A:$A,'[1]Tissue Data'!$C:$C)</f>
        <v>Down</v>
      </c>
      <c r="C8260" s="2">
        <f>_xlfn.XLOOKUP(A8260,'[1]Tissue Data'!$A:$A,'[1]Tissue Data'!$D:$D)</f>
        <v>44393</v>
      </c>
      <c r="D8260" s="2" t="s">
        <v>131</v>
      </c>
      <c r="E8260" t="str">
        <f>_xlfn.XLOOKUP(A8260,'[1]Tissue Data'!$A:$A,'[1]Tissue Data'!$H:$H)</f>
        <v>Clinostomus</v>
      </c>
      <c r="F8260" t="str">
        <f>_xlfn.XLOOKUP(A8260,'[1]Tissue Data'!$A:$A,'[1]Tissue Data'!$I:$I)</f>
        <v>funduloides</v>
      </c>
      <c r="G8260" t="str">
        <f>_xlfn.XLOOKUP(A8260,'[1]Tissue Data'!$A:$A,'[1]Tissue Data'!J:J)</f>
        <v>U</v>
      </c>
      <c r="H8260" t="str">
        <f>_xlfn.XLOOKUP(A8260,'[1]Tissue Data'!$A:$A,'[1]Tissue Data'!K:K)</f>
        <v>Whole Body</v>
      </c>
      <c r="I8260">
        <f>_xlfn.XLOOKUP(A8260,'[1]Tissue Data'!$A:$A,'[1]Tissue Data'!L:L)</f>
        <v>4</v>
      </c>
      <c r="J8260">
        <f>_xlfn.XLOOKUP(A8260,'[1]Tissue Data'!$A:$A,'[1]Tissue Data'!M:M)</f>
        <v>1.79</v>
      </c>
      <c r="K8260" t="s">
        <v>20</v>
      </c>
      <c r="L8260" t="str">
        <f>_xlfn.XLOOKUP(K8260,[2]analyte_order!$B:$B,[2]analyte_order!$C:$C)</f>
        <v>307-55-1</v>
      </c>
      <c r="M8260">
        <f>_xlfn.XLOOKUP(L8260,[2]analyte_order!$C:$C,[2]analyte_order!$E:$E)</f>
        <v>9</v>
      </c>
      <c r="N8260">
        <v>9.19</v>
      </c>
    </row>
    <row r="8261" spans="1:14">
      <c r="A8261" t="s">
        <v>319</v>
      </c>
      <c r="B8261" t="str">
        <f>_xlfn.XLOOKUP(A8261,'[1]Tissue Data'!$A:$A,'[1]Tissue Data'!$C:$C)</f>
        <v>Down</v>
      </c>
      <c r="C8261" s="2">
        <f>_xlfn.XLOOKUP(A8261,'[1]Tissue Data'!$A:$A,'[1]Tissue Data'!$D:$D)</f>
        <v>44393</v>
      </c>
      <c r="D8261" s="2" t="s">
        <v>131</v>
      </c>
      <c r="E8261" t="str">
        <f>_xlfn.XLOOKUP(A8261,'[1]Tissue Data'!$A:$A,'[1]Tissue Data'!$H:$H)</f>
        <v>Clinostomus</v>
      </c>
      <c r="F8261" t="str">
        <f>_xlfn.XLOOKUP(A8261,'[1]Tissue Data'!$A:$A,'[1]Tissue Data'!$I:$I)</f>
        <v>funduloides</v>
      </c>
      <c r="G8261" t="str">
        <f>_xlfn.XLOOKUP(A8261,'[1]Tissue Data'!$A:$A,'[1]Tissue Data'!J:J)</f>
        <v>U</v>
      </c>
      <c r="H8261" t="str">
        <f>_xlfn.XLOOKUP(A8261,'[1]Tissue Data'!$A:$A,'[1]Tissue Data'!K:K)</f>
        <v>Whole Body</v>
      </c>
      <c r="I8261">
        <f>_xlfn.XLOOKUP(A8261,'[1]Tissue Data'!$A:$A,'[1]Tissue Data'!L:L)</f>
        <v>4</v>
      </c>
      <c r="J8261">
        <f>_xlfn.XLOOKUP(A8261,'[1]Tissue Data'!$A:$A,'[1]Tissue Data'!M:M)</f>
        <v>1.79</v>
      </c>
      <c r="K8261" t="s">
        <v>21</v>
      </c>
      <c r="L8261" t="str">
        <f>_xlfn.XLOOKUP(K8261,[2]analyte_order!$B:$B,[2]analyte_order!$C:$C)</f>
        <v>72629-94-8</v>
      </c>
      <c r="M8261">
        <f>_xlfn.XLOOKUP(L8261,[2]analyte_order!$C:$C,[2]analyte_order!$E:$E)</f>
        <v>10</v>
      </c>
      <c r="N8261">
        <v>2.59</v>
      </c>
    </row>
    <row r="8262" spans="1:14">
      <c r="A8262" t="s">
        <v>319</v>
      </c>
      <c r="B8262" t="str">
        <f>_xlfn.XLOOKUP(A8262,'[1]Tissue Data'!$A:$A,'[1]Tissue Data'!$C:$C)</f>
        <v>Down</v>
      </c>
      <c r="C8262" s="2">
        <f>_xlfn.XLOOKUP(A8262,'[1]Tissue Data'!$A:$A,'[1]Tissue Data'!$D:$D)</f>
        <v>44393</v>
      </c>
      <c r="D8262" s="2" t="s">
        <v>131</v>
      </c>
      <c r="E8262" t="str">
        <f>_xlfn.XLOOKUP(A8262,'[1]Tissue Data'!$A:$A,'[1]Tissue Data'!$H:$H)</f>
        <v>Clinostomus</v>
      </c>
      <c r="F8262" t="str">
        <f>_xlfn.XLOOKUP(A8262,'[1]Tissue Data'!$A:$A,'[1]Tissue Data'!$I:$I)</f>
        <v>funduloides</v>
      </c>
      <c r="G8262" t="str">
        <f>_xlfn.XLOOKUP(A8262,'[1]Tissue Data'!$A:$A,'[1]Tissue Data'!J:J)</f>
        <v>U</v>
      </c>
      <c r="H8262" t="str">
        <f>_xlfn.XLOOKUP(A8262,'[1]Tissue Data'!$A:$A,'[1]Tissue Data'!K:K)</f>
        <v>Whole Body</v>
      </c>
      <c r="I8262">
        <f>_xlfn.XLOOKUP(A8262,'[1]Tissue Data'!$A:$A,'[1]Tissue Data'!L:L)</f>
        <v>4</v>
      </c>
      <c r="J8262">
        <f>_xlfn.XLOOKUP(A8262,'[1]Tissue Data'!$A:$A,'[1]Tissue Data'!M:M)</f>
        <v>1.79</v>
      </c>
      <c r="K8262" t="s">
        <v>22</v>
      </c>
      <c r="L8262" t="str">
        <f>_xlfn.XLOOKUP(K8262,[2]analyte_order!$B:$B,[2]analyte_order!$C:$C)</f>
        <v>376-06-7</v>
      </c>
      <c r="M8262">
        <f>_xlfn.XLOOKUP(L8262,[2]analyte_order!$C:$C,[2]analyte_order!$E:$E)</f>
        <v>11</v>
      </c>
      <c r="N8262">
        <v>5.59</v>
      </c>
    </row>
    <row r="8263" spans="1:14">
      <c r="A8263" t="s">
        <v>319</v>
      </c>
      <c r="B8263" t="str">
        <f>_xlfn.XLOOKUP(A8263,'[1]Tissue Data'!$A:$A,'[1]Tissue Data'!$C:$C)</f>
        <v>Down</v>
      </c>
      <c r="C8263" s="2">
        <f>_xlfn.XLOOKUP(A8263,'[1]Tissue Data'!$A:$A,'[1]Tissue Data'!$D:$D)</f>
        <v>44393</v>
      </c>
      <c r="D8263" s="2" t="s">
        <v>131</v>
      </c>
      <c r="E8263" t="str">
        <f>_xlfn.XLOOKUP(A8263,'[1]Tissue Data'!$A:$A,'[1]Tissue Data'!$H:$H)</f>
        <v>Clinostomus</v>
      </c>
      <c r="F8263" t="str">
        <f>_xlfn.XLOOKUP(A8263,'[1]Tissue Data'!$A:$A,'[1]Tissue Data'!$I:$I)</f>
        <v>funduloides</v>
      </c>
      <c r="G8263" t="str">
        <f>_xlfn.XLOOKUP(A8263,'[1]Tissue Data'!$A:$A,'[1]Tissue Data'!J:J)</f>
        <v>U</v>
      </c>
      <c r="H8263" t="str">
        <f>_xlfn.XLOOKUP(A8263,'[1]Tissue Data'!$A:$A,'[1]Tissue Data'!K:K)</f>
        <v>Whole Body</v>
      </c>
      <c r="I8263">
        <f>_xlfn.XLOOKUP(A8263,'[1]Tissue Data'!$A:$A,'[1]Tissue Data'!L:L)</f>
        <v>4</v>
      </c>
      <c r="J8263">
        <f>_xlfn.XLOOKUP(A8263,'[1]Tissue Data'!$A:$A,'[1]Tissue Data'!M:M)</f>
        <v>1.79</v>
      </c>
      <c r="K8263" t="s">
        <v>23</v>
      </c>
      <c r="L8263" t="str">
        <f>_xlfn.XLOOKUP(K8263,[2]analyte_order!$B:$B,[2]analyte_order!$C:$C)</f>
        <v>67905-19-5</v>
      </c>
      <c r="M8263">
        <f>_xlfn.XLOOKUP(L8263,[2]analyte_order!$C:$C,[2]analyte_order!$E:$E)</f>
        <v>12</v>
      </c>
      <c r="N8263">
        <v>0.25650000000000001</v>
      </c>
    </row>
    <row r="8264" spans="1:14">
      <c r="A8264" t="s">
        <v>319</v>
      </c>
      <c r="B8264" t="str">
        <f>_xlfn.XLOOKUP(A8264,'[1]Tissue Data'!$A:$A,'[1]Tissue Data'!$C:$C)</f>
        <v>Down</v>
      </c>
      <c r="C8264" s="2">
        <f>_xlfn.XLOOKUP(A8264,'[1]Tissue Data'!$A:$A,'[1]Tissue Data'!$D:$D)</f>
        <v>44393</v>
      </c>
      <c r="D8264" s="2" t="s">
        <v>131</v>
      </c>
      <c r="E8264" t="str">
        <f>_xlfn.XLOOKUP(A8264,'[1]Tissue Data'!$A:$A,'[1]Tissue Data'!$H:$H)</f>
        <v>Clinostomus</v>
      </c>
      <c r="F8264" t="str">
        <f>_xlfn.XLOOKUP(A8264,'[1]Tissue Data'!$A:$A,'[1]Tissue Data'!$I:$I)</f>
        <v>funduloides</v>
      </c>
      <c r="G8264" t="str">
        <f>_xlfn.XLOOKUP(A8264,'[1]Tissue Data'!$A:$A,'[1]Tissue Data'!J:J)</f>
        <v>U</v>
      </c>
      <c r="H8264" t="str">
        <f>_xlfn.XLOOKUP(A8264,'[1]Tissue Data'!$A:$A,'[1]Tissue Data'!K:K)</f>
        <v>Whole Body</v>
      </c>
      <c r="I8264">
        <f>_xlfn.XLOOKUP(A8264,'[1]Tissue Data'!$A:$A,'[1]Tissue Data'!L:L)</f>
        <v>4</v>
      </c>
      <c r="J8264">
        <f>_xlfn.XLOOKUP(A8264,'[1]Tissue Data'!$A:$A,'[1]Tissue Data'!M:M)</f>
        <v>1.79</v>
      </c>
      <c r="K8264" t="s">
        <v>24</v>
      </c>
      <c r="L8264" t="str">
        <f>_xlfn.XLOOKUP(K8264,[2]analyte_order!$B:$B,[2]analyte_order!$C:$C)</f>
        <v>423-41-6</v>
      </c>
      <c r="M8264">
        <f>_xlfn.XLOOKUP(L8264,[2]analyte_order!$C:$C,[2]analyte_order!$E:$E)</f>
        <v>53</v>
      </c>
      <c r="N8264">
        <v>0.43099999999999999</v>
      </c>
    </row>
    <row r="8265" spans="1:14">
      <c r="A8265" t="s">
        <v>319</v>
      </c>
      <c r="B8265" t="str">
        <f>_xlfn.XLOOKUP(A8265,'[1]Tissue Data'!$A:$A,'[1]Tissue Data'!$C:$C)</f>
        <v>Down</v>
      </c>
      <c r="C8265" s="2">
        <f>_xlfn.XLOOKUP(A8265,'[1]Tissue Data'!$A:$A,'[1]Tissue Data'!$D:$D)</f>
        <v>44393</v>
      </c>
      <c r="D8265" s="2" t="s">
        <v>131</v>
      </c>
      <c r="E8265" t="str">
        <f>_xlfn.XLOOKUP(A8265,'[1]Tissue Data'!$A:$A,'[1]Tissue Data'!$H:$H)</f>
        <v>Clinostomus</v>
      </c>
      <c r="F8265" t="str">
        <f>_xlfn.XLOOKUP(A8265,'[1]Tissue Data'!$A:$A,'[1]Tissue Data'!$I:$I)</f>
        <v>funduloides</v>
      </c>
      <c r="G8265" t="str">
        <f>_xlfn.XLOOKUP(A8265,'[1]Tissue Data'!$A:$A,'[1]Tissue Data'!J:J)</f>
        <v>U</v>
      </c>
      <c r="H8265" t="str">
        <f>_xlfn.XLOOKUP(A8265,'[1]Tissue Data'!$A:$A,'[1]Tissue Data'!K:K)</f>
        <v>Whole Body</v>
      </c>
      <c r="I8265">
        <f>_xlfn.XLOOKUP(A8265,'[1]Tissue Data'!$A:$A,'[1]Tissue Data'!L:L)</f>
        <v>4</v>
      </c>
      <c r="J8265">
        <f>_xlfn.XLOOKUP(A8265,'[1]Tissue Data'!$A:$A,'[1]Tissue Data'!M:M)</f>
        <v>1.79</v>
      </c>
      <c r="K8265" t="s">
        <v>25</v>
      </c>
      <c r="L8265" t="str">
        <f>_xlfn.XLOOKUP(K8265,[2]analyte_order!$B:$B,[2]analyte_order!$C:$C)</f>
        <v>375-73-5</v>
      </c>
      <c r="M8265">
        <f>_xlfn.XLOOKUP(L8265,[2]analyte_order!$C:$C,[2]analyte_order!$E:$E)</f>
        <v>14</v>
      </c>
      <c r="N8265">
        <v>0.14649999999999999</v>
      </c>
    </row>
    <row r="8266" spans="1:14">
      <c r="A8266" t="s">
        <v>319</v>
      </c>
      <c r="B8266" t="str">
        <f>_xlfn.XLOOKUP(A8266,'[1]Tissue Data'!$A:$A,'[1]Tissue Data'!$C:$C)</f>
        <v>Down</v>
      </c>
      <c r="C8266" s="2">
        <f>_xlfn.XLOOKUP(A8266,'[1]Tissue Data'!$A:$A,'[1]Tissue Data'!$D:$D)</f>
        <v>44393</v>
      </c>
      <c r="D8266" s="2" t="s">
        <v>131</v>
      </c>
      <c r="E8266" t="str">
        <f>_xlfn.XLOOKUP(A8266,'[1]Tissue Data'!$A:$A,'[1]Tissue Data'!$H:$H)</f>
        <v>Clinostomus</v>
      </c>
      <c r="F8266" t="str">
        <f>_xlfn.XLOOKUP(A8266,'[1]Tissue Data'!$A:$A,'[1]Tissue Data'!$I:$I)</f>
        <v>funduloides</v>
      </c>
      <c r="G8266" t="str">
        <f>_xlfn.XLOOKUP(A8266,'[1]Tissue Data'!$A:$A,'[1]Tissue Data'!J:J)</f>
        <v>U</v>
      </c>
      <c r="H8266" t="str">
        <f>_xlfn.XLOOKUP(A8266,'[1]Tissue Data'!$A:$A,'[1]Tissue Data'!K:K)</f>
        <v>Whole Body</v>
      </c>
      <c r="I8266">
        <f>_xlfn.XLOOKUP(A8266,'[1]Tissue Data'!$A:$A,'[1]Tissue Data'!L:L)</f>
        <v>4</v>
      </c>
      <c r="J8266">
        <f>_xlfn.XLOOKUP(A8266,'[1]Tissue Data'!$A:$A,'[1]Tissue Data'!M:M)</f>
        <v>1.79</v>
      </c>
      <c r="K8266" t="s">
        <v>26</v>
      </c>
      <c r="L8266" t="str">
        <f>_xlfn.XLOOKUP(K8266,[2]analyte_order!$B:$B,[2]analyte_order!$C:$C)</f>
        <v>2706-91-4</v>
      </c>
      <c r="M8266">
        <f>_xlfn.XLOOKUP(L8266,[2]analyte_order!$C:$C,[2]analyte_order!$E:$E)</f>
        <v>15</v>
      </c>
      <c r="N8266">
        <v>0.114</v>
      </c>
    </row>
    <row r="8267" spans="1:14">
      <c r="A8267" t="s">
        <v>319</v>
      </c>
      <c r="B8267" t="str">
        <f>_xlfn.XLOOKUP(A8267,'[1]Tissue Data'!$A:$A,'[1]Tissue Data'!$C:$C)</f>
        <v>Down</v>
      </c>
      <c r="C8267" s="2">
        <f>_xlfn.XLOOKUP(A8267,'[1]Tissue Data'!$A:$A,'[1]Tissue Data'!$D:$D)</f>
        <v>44393</v>
      </c>
      <c r="D8267" s="2" t="s">
        <v>131</v>
      </c>
      <c r="E8267" t="str">
        <f>_xlfn.XLOOKUP(A8267,'[1]Tissue Data'!$A:$A,'[1]Tissue Data'!$H:$H)</f>
        <v>Clinostomus</v>
      </c>
      <c r="F8267" t="str">
        <f>_xlfn.XLOOKUP(A8267,'[1]Tissue Data'!$A:$A,'[1]Tissue Data'!$I:$I)</f>
        <v>funduloides</v>
      </c>
      <c r="G8267" t="str">
        <f>_xlfn.XLOOKUP(A8267,'[1]Tissue Data'!$A:$A,'[1]Tissue Data'!J:J)</f>
        <v>U</v>
      </c>
      <c r="H8267" t="str">
        <f>_xlfn.XLOOKUP(A8267,'[1]Tissue Data'!$A:$A,'[1]Tissue Data'!K:K)</f>
        <v>Whole Body</v>
      </c>
      <c r="I8267">
        <f>_xlfn.XLOOKUP(A8267,'[1]Tissue Data'!$A:$A,'[1]Tissue Data'!L:L)</f>
        <v>4</v>
      </c>
      <c r="J8267">
        <f>_xlfn.XLOOKUP(A8267,'[1]Tissue Data'!$A:$A,'[1]Tissue Data'!M:M)</f>
        <v>1.79</v>
      </c>
      <c r="K8267" t="s">
        <v>27</v>
      </c>
      <c r="L8267" t="str">
        <f>_xlfn.XLOOKUP(K8267,[2]analyte_order!$B:$B,[2]analyte_order!$C:$C)</f>
        <v>355-46-4</v>
      </c>
      <c r="M8267">
        <f>_xlfn.XLOOKUP(L8267,[2]analyte_order!$C:$C,[2]analyte_order!$E:$E)</f>
        <v>16</v>
      </c>
      <c r="N8267">
        <v>42</v>
      </c>
    </row>
    <row r="8268" spans="1:14">
      <c r="A8268" t="s">
        <v>319</v>
      </c>
      <c r="B8268" t="str">
        <f>_xlfn.XLOOKUP(A8268,'[1]Tissue Data'!$A:$A,'[1]Tissue Data'!$C:$C)</f>
        <v>Down</v>
      </c>
      <c r="C8268" s="2">
        <f>_xlfn.XLOOKUP(A8268,'[1]Tissue Data'!$A:$A,'[1]Tissue Data'!$D:$D)</f>
        <v>44393</v>
      </c>
      <c r="D8268" s="2" t="s">
        <v>131</v>
      </c>
      <c r="E8268" t="str">
        <f>_xlfn.XLOOKUP(A8268,'[1]Tissue Data'!$A:$A,'[1]Tissue Data'!$H:$H)</f>
        <v>Clinostomus</v>
      </c>
      <c r="F8268" t="str">
        <f>_xlfn.XLOOKUP(A8268,'[1]Tissue Data'!$A:$A,'[1]Tissue Data'!$I:$I)</f>
        <v>funduloides</v>
      </c>
      <c r="G8268" t="str">
        <f>_xlfn.XLOOKUP(A8268,'[1]Tissue Data'!$A:$A,'[1]Tissue Data'!J:J)</f>
        <v>U</v>
      </c>
      <c r="H8268" t="str">
        <f>_xlfn.XLOOKUP(A8268,'[1]Tissue Data'!$A:$A,'[1]Tissue Data'!K:K)</f>
        <v>Whole Body</v>
      </c>
      <c r="I8268">
        <f>_xlfn.XLOOKUP(A8268,'[1]Tissue Data'!$A:$A,'[1]Tissue Data'!L:L)</f>
        <v>4</v>
      </c>
      <c r="J8268">
        <f>_xlfn.XLOOKUP(A8268,'[1]Tissue Data'!$A:$A,'[1]Tissue Data'!M:M)</f>
        <v>1.79</v>
      </c>
      <c r="K8268" t="s">
        <v>28</v>
      </c>
      <c r="L8268" t="str">
        <f>_xlfn.XLOOKUP(K8268,[2]analyte_order!$B:$B,[2]analyte_order!$C:$C)</f>
        <v>375-92-8</v>
      </c>
      <c r="M8268">
        <f>_xlfn.XLOOKUP(L8268,[2]analyte_order!$C:$C,[2]analyte_order!$E:$E)</f>
        <v>17</v>
      </c>
      <c r="N8268">
        <v>3.64</v>
      </c>
    </row>
    <row r="8269" spans="1:14">
      <c r="A8269" t="s">
        <v>319</v>
      </c>
      <c r="B8269" t="str">
        <f>_xlfn.XLOOKUP(A8269,'[1]Tissue Data'!$A:$A,'[1]Tissue Data'!$C:$C)</f>
        <v>Down</v>
      </c>
      <c r="C8269" s="2">
        <f>_xlfn.XLOOKUP(A8269,'[1]Tissue Data'!$A:$A,'[1]Tissue Data'!$D:$D)</f>
        <v>44393</v>
      </c>
      <c r="D8269" s="2" t="s">
        <v>131</v>
      </c>
      <c r="E8269" t="str">
        <f>_xlfn.XLOOKUP(A8269,'[1]Tissue Data'!$A:$A,'[1]Tissue Data'!$H:$H)</f>
        <v>Clinostomus</v>
      </c>
      <c r="F8269" t="str">
        <f>_xlfn.XLOOKUP(A8269,'[1]Tissue Data'!$A:$A,'[1]Tissue Data'!$I:$I)</f>
        <v>funduloides</v>
      </c>
      <c r="G8269" t="str">
        <f>_xlfn.XLOOKUP(A8269,'[1]Tissue Data'!$A:$A,'[1]Tissue Data'!J:J)</f>
        <v>U</v>
      </c>
      <c r="H8269" t="str">
        <f>_xlfn.XLOOKUP(A8269,'[1]Tissue Data'!$A:$A,'[1]Tissue Data'!K:K)</f>
        <v>Whole Body</v>
      </c>
      <c r="I8269">
        <f>_xlfn.XLOOKUP(A8269,'[1]Tissue Data'!$A:$A,'[1]Tissue Data'!L:L)</f>
        <v>4</v>
      </c>
      <c r="J8269">
        <f>_xlfn.XLOOKUP(A8269,'[1]Tissue Data'!$A:$A,'[1]Tissue Data'!M:M)</f>
        <v>1.79</v>
      </c>
      <c r="K8269" t="s">
        <v>29</v>
      </c>
      <c r="L8269" t="str">
        <f>_xlfn.XLOOKUP(K8269,[2]analyte_order!$B:$B,[2]analyte_order!$C:$C)</f>
        <v>1763-23-1</v>
      </c>
      <c r="M8269">
        <f>_xlfn.XLOOKUP(L8269,[2]analyte_order!$C:$C,[2]analyte_order!$E:$E)</f>
        <v>18</v>
      </c>
      <c r="N8269">
        <v>707</v>
      </c>
    </row>
    <row r="8270" spans="1:14">
      <c r="A8270" t="s">
        <v>319</v>
      </c>
      <c r="B8270" t="str">
        <f>_xlfn.XLOOKUP(A8270,'[1]Tissue Data'!$A:$A,'[1]Tissue Data'!$C:$C)</f>
        <v>Down</v>
      </c>
      <c r="C8270" s="2">
        <f>_xlfn.XLOOKUP(A8270,'[1]Tissue Data'!$A:$A,'[1]Tissue Data'!$D:$D)</f>
        <v>44393</v>
      </c>
      <c r="D8270" s="2" t="s">
        <v>131</v>
      </c>
      <c r="E8270" t="str">
        <f>_xlfn.XLOOKUP(A8270,'[1]Tissue Data'!$A:$A,'[1]Tissue Data'!$H:$H)</f>
        <v>Clinostomus</v>
      </c>
      <c r="F8270" t="str">
        <f>_xlfn.XLOOKUP(A8270,'[1]Tissue Data'!$A:$A,'[1]Tissue Data'!$I:$I)</f>
        <v>funduloides</v>
      </c>
      <c r="G8270" t="str">
        <f>_xlfn.XLOOKUP(A8270,'[1]Tissue Data'!$A:$A,'[1]Tissue Data'!J:J)</f>
        <v>U</v>
      </c>
      <c r="H8270" t="str">
        <f>_xlfn.XLOOKUP(A8270,'[1]Tissue Data'!$A:$A,'[1]Tissue Data'!K:K)</f>
        <v>Whole Body</v>
      </c>
      <c r="I8270">
        <f>_xlfn.XLOOKUP(A8270,'[1]Tissue Data'!$A:$A,'[1]Tissue Data'!L:L)</f>
        <v>4</v>
      </c>
      <c r="J8270">
        <f>_xlfn.XLOOKUP(A8270,'[1]Tissue Data'!$A:$A,'[1]Tissue Data'!M:M)</f>
        <v>1.79</v>
      </c>
      <c r="K8270" t="s">
        <v>30</v>
      </c>
      <c r="L8270" t="str">
        <f>_xlfn.XLOOKUP(K8270,[2]analyte_order!$B:$B,[2]analyte_order!$C:$C)</f>
        <v>68259-12-1</v>
      </c>
      <c r="M8270">
        <f>_xlfn.XLOOKUP(L8270,[2]analyte_order!$C:$C,[2]analyte_order!$E:$E)</f>
        <v>19</v>
      </c>
      <c r="N8270">
        <v>0.65700000000000003</v>
      </c>
    </row>
    <row r="8271" spans="1:14">
      <c r="A8271" t="s">
        <v>319</v>
      </c>
      <c r="B8271" t="str">
        <f>_xlfn.XLOOKUP(A8271,'[1]Tissue Data'!$A:$A,'[1]Tissue Data'!$C:$C)</f>
        <v>Down</v>
      </c>
      <c r="C8271" s="2">
        <f>_xlfn.XLOOKUP(A8271,'[1]Tissue Data'!$A:$A,'[1]Tissue Data'!$D:$D)</f>
        <v>44393</v>
      </c>
      <c r="D8271" s="2" t="s">
        <v>131</v>
      </c>
      <c r="E8271" t="str">
        <f>_xlfn.XLOOKUP(A8271,'[1]Tissue Data'!$A:$A,'[1]Tissue Data'!$H:$H)</f>
        <v>Clinostomus</v>
      </c>
      <c r="F8271" t="str">
        <f>_xlfn.XLOOKUP(A8271,'[1]Tissue Data'!$A:$A,'[1]Tissue Data'!$I:$I)</f>
        <v>funduloides</v>
      </c>
      <c r="G8271" t="str">
        <f>_xlfn.XLOOKUP(A8271,'[1]Tissue Data'!$A:$A,'[1]Tissue Data'!J:J)</f>
        <v>U</v>
      </c>
      <c r="H8271" t="str">
        <f>_xlfn.XLOOKUP(A8271,'[1]Tissue Data'!$A:$A,'[1]Tissue Data'!K:K)</f>
        <v>Whole Body</v>
      </c>
      <c r="I8271">
        <f>_xlfn.XLOOKUP(A8271,'[1]Tissue Data'!$A:$A,'[1]Tissue Data'!L:L)</f>
        <v>4</v>
      </c>
      <c r="J8271">
        <f>_xlfn.XLOOKUP(A8271,'[1]Tissue Data'!$A:$A,'[1]Tissue Data'!M:M)</f>
        <v>1.79</v>
      </c>
      <c r="K8271" t="s">
        <v>31</v>
      </c>
      <c r="L8271" t="str">
        <f>_xlfn.XLOOKUP(K8271,[2]analyte_order!$B:$B,[2]analyte_order!$C:$C)</f>
        <v>335-77-3</v>
      </c>
      <c r="M8271">
        <f>_xlfn.XLOOKUP(L8271,[2]analyte_order!$C:$C,[2]analyte_order!$E:$E)</f>
        <v>20</v>
      </c>
      <c r="N8271">
        <v>1.01</v>
      </c>
    </row>
    <row r="8272" spans="1:14">
      <c r="A8272" t="s">
        <v>319</v>
      </c>
      <c r="B8272" t="str">
        <f>_xlfn.XLOOKUP(A8272,'[1]Tissue Data'!$A:$A,'[1]Tissue Data'!$C:$C)</f>
        <v>Down</v>
      </c>
      <c r="C8272" s="2">
        <f>_xlfn.XLOOKUP(A8272,'[1]Tissue Data'!$A:$A,'[1]Tissue Data'!$D:$D)</f>
        <v>44393</v>
      </c>
      <c r="D8272" s="2" t="s">
        <v>131</v>
      </c>
      <c r="E8272" t="str">
        <f>_xlfn.XLOOKUP(A8272,'[1]Tissue Data'!$A:$A,'[1]Tissue Data'!$H:$H)</f>
        <v>Clinostomus</v>
      </c>
      <c r="F8272" t="str">
        <f>_xlfn.XLOOKUP(A8272,'[1]Tissue Data'!$A:$A,'[1]Tissue Data'!$I:$I)</f>
        <v>funduloides</v>
      </c>
      <c r="G8272" t="str">
        <f>_xlfn.XLOOKUP(A8272,'[1]Tissue Data'!$A:$A,'[1]Tissue Data'!J:J)</f>
        <v>U</v>
      </c>
      <c r="H8272" t="str">
        <f>_xlfn.XLOOKUP(A8272,'[1]Tissue Data'!$A:$A,'[1]Tissue Data'!K:K)</f>
        <v>Whole Body</v>
      </c>
      <c r="I8272">
        <f>_xlfn.XLOOKUP(A8272,'[1]Tissue Data'!$A:$A,'[1]Tissue Data'!L:L)</f>
        <v>4</v>
      </c>
      <c r="J8272">
        <f>_xlfn.XLOOKUP(A8272,'[1]Tissue Data'!$A:$A,'[1]Tissue Data'!M:M)</f>
        <v>1.79</v>
      </c>
      <c r="K8272" t="s">
        <v>32</v>
      </c>
      <c r="L8272" t="str">
        <f>_xlfn.XLOOKUP(K8272,[2]analyte_order!$B:$B,[2]analyte_order!$C:$C)</f>
        <v>79780-39-5</v>
      </c>
      <c r="M8272">
        <f>_xlfn.XLOOKUP(L8272,[2]analyte_order!$C:$C,[2]analyte_order!$E:$E)</f>
        <v>21</v>
      </c>
      <c r="N8272">
        <v>0.51</v>
      </c>
    </row>
    <row r="8273" spans="1:14">
      <c r="A8273" t="s">
        <v>319</v>
      </c>
      <c r="B8273" t="str">
        <f>_xlfn.XLOOKUP(A8273,'[1]Tissue Data'!$A:$A,'[1]Tissue Data'!$C:$C)</f>
        <v>Down</v>
      </c>
      <c r="C8273" s="2">
        <f>_xlfn.XLOOKUP(A8273,'[1]Tissue Data'!$A:$A,'[1]Tissue Data'!$D:$D)</f>
        <v>44393</v>
      </c>
      <c r="D8273" s="2" t="s">
        <v>131</v>
      </c>
      <c r="E8273" t="str">
        <f>_xlfn.XLOOKUP(A8273,'[1]Tissue Data'!$A:$A,'[1]Tissue Data'!$H:$H)</f>
        <v>Clinostomus</v>
      </c>
      <c r="F8273" t="str">
        <f>_xlfn.XLOOKUP(A8273,'[1]Tissue Data'!$A:$A,'[1]Tissue Data'!$I:$I)</f>
        <v>funduloides</v>
      </c>
      <c r="G8273" t="str">
        <f>_xlfn.XLOOKUP(A8273,'[1]Tissue Data'!$A:$A,'[1]Tissue Data'!J:J)</f>
        <v>U</v>
      </c>
      <c r="H8273" t="str">
        <f>_xlfn.XLOOKUP(A8273,'[1]Tissue Data'!$A:$A,'[1]Tissue Data'!K:K)</f>
        <v>Whole Body</v>
      </c>
      <c r="I8273">
        <f>_xlfn.XLOOKUP(A8273,'[1]Tissue Data'!$A:$A,'[1]Tissue Data'!L:L)</f>
        <v>4</v>
      </c>
      <c r="J8273">
        <f>_xlfn.XLOOKUP(A8273,'[1]Tissue Data'!$A:$A,'[1]Tissue Data'!M:M)</f>
        <v>1.79</v>
      </c>
      <c r="K8273" t="s">
        <v>33</v>
      </c>
      <c r="L8273" t="str">
        <f>_xlfn.XLOOKUP(K8273,[2]analyte_order!$B:$B,[2]analyte_order!$C:$C)</f>
        <v>777011-38-8</v>
      </c>
      <c r="M8273">
        <f>_xlfn.XLOOKUP(L8273,[2]analyte_order!$C:$C,[2]analyte_order!$E:$E)</f>
        <v>54</v>
      </c>
      <c r="N8273">
        <v>0.13100000000000001</v>
      </c>
    </row>
    <row r="8274" spans="1:14">
      <c r="A8274" t="s">
        <v>319</v>
      </c>
      <c r="B8274" t="str">
        <f>_xlfn.XLOOKUP(A8274,'[1]Tissue Data'!$A:$A,'[1]Tissue Data'!$C:$C)</f>
        <v>Down</v>
      </c>
      <c r="C8274" s="2">
        <f>_xlfn.XLOOKUP(A8274,'[1]Tissue Data'!$A:$A,'[1]Tissue Data'!$D:$D)</f>
        <v>44393</v>
      </c>
      <c r="D8274" s="2" t="s">
        <v>131</v>
      </c>
      <c r="E8274" t="str">
        <f>_xlfn.XLOOKUP(A8274,'[1]Tissue Data'!$A:$A,'[1]Tissue Data'!$H:$H)</f>
        <v>Clinostomus</v>
      </c>
      <c r="F8274" t="str">
        <f>_xlfn.XLOOKUP(A8274,'[1]Tissue Data'!$A:$A,'[1]Tissue Data'!$I:$I)</f>
        <v>funduloides</v>
      </c>
      <c r="G8274" t="str">
        <f>_xlfn.XLOOKUP(A8274,'[1]Tissue Data'!$A:$A,'[1]Tissue Data'!J:J)</f>
        <v>U</v>
      </c>
      <c r="H8274" t="str">
        <f>_xlfn.XLOOKUP(A8274,'[1]Tissue Data'!$A:$A,'[1]Tissue Data'!K:K)</f>
        <v>Whole Body</v>
      </c>
      <c r="I8274">
        <f>_xlfn.XLOOKUP(A8274,'[1]Tissue Data'!$A:$A,'[1]Tissue Data'!L:L)</f>
        <v>4</v>
      </c>
      <c r="J8274">
        <f>_xlfn.XLOOKUP(A8274,'[1]Tissue Data'!$A:$A,'[1]Tissue Data'!M:M)</f>
        <v>1.79</v>
      </c>
      <c r="K8274" t="s">
        <v>34</v>
      </c>
      <c r="L8274" t="str">
        <f>_xlfn.XLOOKUP(K8274,[2]analyte_order!$B:$B,[2]analyte_order!$C:$C)</f>
        <v>646-83-3</v>
      </c>
      <c r="M8274">
        <f>_xlfn.XLOOKUP(L8274,[2]analyte_order!$C:$C,[2]analyte_order!$E:$E)</f>
        <v>55</v>
      </c>
      <c r="N8274">
        <v>0.23100000000000001</v>
      </c>
    </row>
    <row r="8275" spans="1:14">
      <c r="A8275" t="s">
        <v>319</v>
      </c>
      <c r="B8275" t="str">
        <f>_xlfn.XLOOKUP(A8275,'[1]Tissue Data'!$A:$A,'[1]Tissue Data'!$C:$C)</f>
        <v>Down</v>
      </c>
      <c r="C8275" s="2">
        <f>_xlfn.XLOOKUP(A8275,'[1]Tissue Data'!$A:$A,'[1]Tissue Data'!$D:$D)</f>
        <v>44393</v>
      </c>
      <c r="D8275" s="2" t="s">
        <v>131</v>
      </c>
      <c r="E8275" t="str">
        <f>_xlfn.XLOOKUP(A8275,'[1]Tissue Data'!$A:$A,'[1]Tissue Data'!$H:$H)</f>
        <v>Clinostomus</v>
      </c>
      <c r="F8275" t="str">
        <f>_xlfn.XLOOKUP(A8275,'[1]Tissue Data'!$A:$A,'[1]Tissue Data'!$I:$I)</f>
        <v>funduloides</v>
      </c>
      <c r="G8275" t="str">
        <f>_xlfn.XLOOKUP(A8275,'[1]Tissue Data'!$A:$A,'[1]Tissue Data'!J:J)</f>
        <v>U</v>
      </c>
      <c r="H8275" t="str">
        <f>_xlfn.XLOOKUP(A8275,'[1]Tissue Data'!$A:$A,'[1]Tissue Data'!K:K)</f>
        <v>Whole Body</v>
      </c>
      <c r="I8275">
        <f>_xlfn.XLOOKUP(A8275,'[1]Tissue Data'!$A:$A,'[1]Tissue Data'!L:L)</f>
        <v>4</v>
      </c>
      <c r="J8275">
        <f>_xlfn.XLOOKUP(A8275,'[1]Tissue Data'!$A:$A,'[1]Tissue Data'!M:M)</f>
        <v>1.79</v>
      </c>
      <c r="K8275" t="s">
        <v>35</v>
      </c>
      <c r="L8275" t="str">
        <f>_xlfn.XLOOKUP(K8275,[2]analyte_order!$B:$B,[2]analyte_order!$C:$C)</f>
        <v>30334-69-1</v>
      </c>
      <c r="M8275">
        <f>_xlfn.XLOOKUP(L8275,[2]analyte_order!$C:$C,[2]analyte_order!$E:$E)</f>
        <v>51</v>
      </c>
      <c r="N8275">
        <v>17.8</v>
      </c>
    </row>
    <row r="8276" spans="1:14">
      <c r="A8276" t="s">
        <v>319</v>
      </c>
      <c r="B8276" t="str">
        <f>_xlfn.XLOOKUP(A8276,'[1]Tissue Data'!$A:$A,'[1]Tissue Data'!$C:$C)</f>
        <v>Down</v>
      </c>
      <c r="C8276" s="2">
        <f>_xlfn.XLOOKUP(A8276,'[1]Tissue Data'!$A:$A,'[1]Tissue Data'!$D:$D)</f>
        <v>44393</v>
      </c>
      <c r="D8276" s="2" t="s">
        <v>131</v>
      </c>
      <c r="E8276" t="str">
        <f>_xlfn.XLOOKUP(A8276,'[1]Tissue Data'!$A:$A,'[1]Tissue Data'!$H:$H)</f>
        <v>Clinostomus</v>
      </c>
      <c r="F8276" t="str">
        <f>_xlfn.XLOOKUP(A8276,'[1]Tissue Data'!$A:$A,'[1]Tissue Data'!$I:$I)</f>
        <v>funduloides</v>
      </c>
      <c r="G8276" t="str">
        <f>_xlfn.XLOOKUP(A8276,'[1]Tissue Data'!$A:$A,'[1]Tissue Data'!J:J)</f>
        <v>U</v>
      </c>
      <c r="H8276" t="str">
        <f>_xlfn.XLOOKUP(A8276,'[1]Tissue Data'!$A:$A,'[1]Tissue Data'!K:K)</f>
        <v>Whole Body</v>
      </c>
      <c r="I8276">
        <f>_xlfn.XLOOKUP(A8276,'[1]Tissue Data'!$A:$A,'[1]Tissue Data'!L:L)</f>
        <v>4</v>
      </c>
      <c r="J8276">
        <f>_xlfn.XLOOKUP(A8276,'[1]Tissue Data'!$A:$A,'[1]Tissue Data'!M:M)</f>
        <v>1.79</v>
      </c>
      <c r="K8276" t="s">
        <v>36</v>
      </c>
      <c r="L8276" t="str">
        <f>_xlfn.XLOOKUP(K8276,[2]analyte_order!$B:$B,[2]analyte_order!$C:$C)</f>
        <v>41997-13-1</v>
      </c>
      <c r="M8276">
        <f>_xlfn.XLOOKUP(L8276,[2]analyte_order!$C:$C,[2]analyte_order!$E:$E)</f>
        <v>52</v>
      </c>
      <c r="N8276">
        <v>57.3</v>
      </c>
    </row>
    <row r="8277" spans="1:14">
      <c r="A8277" t="s">
        <v>319</v>
      </c>
      <c r="B8277" t="str">
        <f>_xlfn.XLOOKUP(A8277,'[1]Tissue Data'!$A:$A,'[1]Tissue Data'!$C:$C)</f>
        <v>Down</v>
      </c>
      <c r="C8277" s="2">
        <f>_xlfn.XLOOKUP(A8277,'[1]Tissue Data'!$A:$A,'[1]Tissue Data'!$D:$D)</f>
        <v>44393</v>
      </c>
      <c r="D8277" s="2" t="s">
        <v>131</v>
      </c>
      <c r="E8277" t="str">
        <f>_xlfn.XLOOKUP(A8277,'[1]Tissue Data'!$A:$A,'[1]Tissue Data'!$H:$H)</f>
        <v>Clinostomus</v>
      </c>
      <c r="F8277" t="str">
        <f>_xlfn.XLOOKUP(A8277,'[1]Tissue Data'!$A:$A,'[1]Tissue Data'!$I:$I)</f>
        <v>funduloides</v>
      </c>
      <c r="G8277" t="str">
        <f>_xlfn.XLOOKUP(A8277,'[1]Tissue Data'!$A:$A,'[1]Tissue Data'!J:J)</f>
        <v>U</v>
      </c>
      <c r="H8277" t="str">
        <f>_xlfn.XLOOKUP(A8277,'[1]Tissue Data'!$A:$A,'[1]Tissue Data'!K:K)</f>
        <v>Whole Body</v>
      </c>
      <c r="I8277">
        <f>_xlfn.XLOOKUP(A8277,'[1]Tissue Data'!$A:$A,'[1]Tissue Data'!L:L)</f>
        <v>4</v>
      </c>
      <c r="J8277">
        <f>_xlfn.XLOOKUP(A8277,'[1]Tissue Data'!$A:$A,'[1]Tissue Data'!M:M)</f>
        <v>1.79</v>
      </c>
      <c r="K8277" t="s">
        <v>37</v>
      </c>
      <c r="L8277" t="str">
        <f>_xlfn.XLOOKUP(K8277,[2]analyte_order!$B:$B,[2]analyte_order!$C:$C)</f>
        <v>754-91-6</v>
      </c>
      <c r="M8277">
        <f>_xlfn.XLOOKUP(L8277,[2]analyte_order!$C:$C,[2]analyte_order!$E:$E)</f>
        <v>28</v>
      </c>
      <c r="N8277">
        <v>7.14</v>
      </c>
    </row>
    <row r="8278" spans="1:14">
      <c r="A8278" t="s">
        <v>319</v>
      </c>
      <c r="B8278" t="str">
        <f>_xlfn.XLOOKUP(A8278,'[1]Tissue Data'!$A:$A,'[1]Tissue Data'!$C:$C)</f>
        <v>Down</v>
      </c>
      <c r="C8278" s="2">
        <f>_xlfn.XLOOKUP(A8278,'[1]Tissue Data'!$A:$A,'[1]Tissue Data'!$D:$D)</f>
        <v>44393</v>
      </c>
      <c r="D8278" s="2" t="s">
        <v>131</v>
      </c>
      <c r="E8278" t="str">
        <f>_xlfn.XLOOKUP(A8278,'[1]Tissue Data'!$A:$A,'[1]Tissue Data'!$H:$H)</f>
        <v>Clinostomus</v>
      </c>
      <c r="F8278" t="str">
        <f>_xlfn.XLOOKUP(A8278,'[1]Tissue Data'!$A:$A,'[1]Tissue Data'!$I:$I)</f>
        <v>funduloides</v>
      </c>
      <c r="G8278" t="str">
        <f>_xlfn.XLOOKUP(A8278,'[1]Tissue Data'!$A:$A,'[1]Tissue Data'!J:J)</f>
        <v>U</v>
      </c>
      <c r="H8278" t="str">
        <f>_xlfn.XLOOKUP(A8278,'[1]Tissue Data'!$A:$A,'[1]Tissue Data'!K:K)</f>
        <v>Whole Body</v>
      </c>
      <c r="I8278">
        <f>_xlfn.XLOOKUP(A8278,'[1]Tissue Data'!$A:$A,'[1]Tissue Data'!L:L)</f>
        <v>4</v>
      </c>
      <c r="J8278">
        <f>_xlfn.XLOOKUP(A8278,'[1]Tissue Data'!$A:$A,'[1]Tissue Data'!M:M)</f>
        <v>1.79</v>
      </c>
      <c r="K8278" t="s">
        <v>38</v>
      </c>
      <c r="L8278" t="str">
        <f>_xlfn.XLOOKUP(K8278,[2]analyte_order!$B:$B,[2]analyte_order!$C:$C)</f>
        <v>31506-32-8</v>
      </c>
      <c r="M8278">
        <f>_xlfn.XLOOKUP(L8278,[2]analyte_order!$C:$C,[2]analyte_order!$E:$E)</f>
        <v>30</v>
      </c>
      <c r="N8278">
        <v>0.16600000000000001</v>
      </c>
    </row>
    <row r="8279" spans="1:14">
      <c r="A8279" t="s">
        <v>319</v>
      </c>
      <c r="B8279" t="str">
        <f>_xlfn.XLOOKUP(A8279,'[1]Tissue Data'!$A:$A,'[1]Tissue Data'!$C:$C)</f>
        <v>Down</v>
      </c>
      <c r="C8279" s="2">
        <f>_xlfn.XLOOKUP(A8279,'[1]Tissue Data'!$A:$A,'[1]Tissue Data'!$D:$D)</f>
        <v>44393</v>
      </c>
      <c r="D8279" s="2" t="s">
        <v>131</v>
      </c>
      <c r="E8279" t="str">
        <f>_xlfn.XLOOKUP(A8279,'[1]Tissue Data'!$A:$A,'[1]Tissue Data'!$H:$H)</f>
        <v>Clinostomus</v>
      </c>
      <c r="F8279" t="str">
        <f>_xlfn.XLOOKUP(A8279,'[1]Tissue Data'!$A:$A,'[1]Tissue Data'!$I:$I)</f>
        <v>funduloides</v>
      </c>
      <c r="G8279" t="str">
        <f>_xlfn.XLOOKUP(A8279,'[1]Tissue Data'!$A:$A,'[1]Tissue Data'!J:J)</f>
        <v>U</v>
      </c>
      <c r="H8279" t="str">
        <f>_xlfn.XLOOKUP(A8279,'[1]Tissue Data'!$A:$A,'[1]Tissue Data'!K:K)</f>
        <v>Whole Body</v>
      </c>
      <c r="I8279">
        <f>_xlfn.XLOOKUP(A8279,'[1]Tissue Data'!$A:$A,'[1]Tissue Data'!L:L)</f>
        <v>4</v>
      </c>
      <c r="J8279">
        <f>_xlfn.XLOOKUP(A8279,'[1]Tissue Data'!$A:$A,'[1]Tissue Data'!M:M)</f>
        <v>1.79</v>
      </c>
      <c r="K8279" t="s">
        <v>39</v>
      </c>
      <c r="L8279" t="str">
        <f>_xlfn.XLOOKUP(K8279,[2]analyte_order!$B:$B,[2]analyte_order!$C:$C)</f>
        <v>4151-50-2</v>
      </c>
      <c r="M8279">
        <f>_xlfn.XLOOKUP(L8279,[2]analyte_order!$C:$C,[2]analyte_order!$E:$E)</f>
        <v>31</v>
      </c>
      <c r="N8279">
        <v>0.43099999999999999</v>
      </c>
    </row>
    <row r="8280" spans="1:14">
      <c r="A8280" t="s">
        <v>319</v>
      </c>
      <c r="B8280" t="str">
        <f>_xlfn.XLOOKUP(A8280,'[1]Tissue Data'!$A:$A,'[1]Tissue Data'!$C:$C)</f>
        <v>Down</v>
      </c>
      <c r="C8280" s="2">
        <f>_xlfn.XLOOKUP(A8280,'[1]Tissue Data'!$A:$A,'[1]Tissue Data'!$D:$D)</f>
        <v>44393</v>
      </c>
      <c r="D8280" s="2" t="s">
        <v>131</v>
      </c>
      <c r="E8280" t="str">
        <f>_xlfn.XLOOKUP(A8280,'[1]Tissue Data'!$A:$A,'[1]Tissue Data'!$H:$H)</f>
        <v>Clinostomus</v>
      </c>
      <c r="F8280" t="str">
        <f>_xlfn.XLOOKUP(A8280,'[1]Tissue Data'!$A:$A,'[1]Tissue Data'!$I:$I)</f>
        <v>funduloides</v>
      </c>
      <c r="G8280" t="str">
        <f>_xlfn.XLOOKUP(A8280,'[1]Tissue Data'!$A:$A,'[1]Tissue Data'!J:J)</f>
        <v>U</v>
      </c>
      <c r="H8280" t="str">
        <f>_xlfn.XLOOKUP(A8280,'[1]Tissue Data'!$A:$A,'[1]Tissue Data'!K:K)</f>
        <v>Whole Body</v>
      </c>
      <c r="I8280">
        <f>_xlfn.XLOOKUP(A8280,'[1]Tissue Data'!$A:$A,'[1]Tissue Data'!L:L)</f>
        <v>4</v>
      </c>
      <c r="J8280">
        <f>_xlfn.XLOOKUP(A8280,'[1]Tissue Data'!$A:$A,'[1]Tissue Data'!M:M)</f>
        <v>1.79</v>
      </c>
      <c r="K8280" t="s">
        <v>40</v>
      </c>
      <c r="L8280" t="str">
        <f>_xlfn.XLOOKUP(K8280,[2]analyte_order!$B:$B,[2]analyte_order!$C:$C)</f>
        <v>2806-24-8</v>
      </c>
      <c r="M8280">
        <f>_xlfn.XLOOKUP(L8280,[2]analyte_order!$C:$C,[2]analyte_order!$E:$E)</f>
        <v>29</v>
      </c>
      <c r="N8280">
        <v>0.43099999999999999</v>
      </c>
    </row>
    <row r="8281" spans="1:14">
      <c r="A8281" t="s">
        <v>319</v>
      </c>
      <c r="B8281" t="str">
        <f>_xlfn.XLOOKUP(A8281,'[1]Tissue Data'!$A:$A,'[1]Tissue Data'!$C:$C)</f>
        <v>Down</v>
      </c>
      <c r="C8281" s="2">
        <f>_xlfn.XLOOKUP(A8281,'[1]Tissue Data'!$A:$A,'[1]Tissue Data'!$D:$D)</f>
        <v>44393</v>
      </c>
      <c r="D8281" s="2" t="s">
        <v>131</v>
      </c>
      <c r="E8281" t="str">
        <f>_xlfn.XLOOKUP(A8281,'[1]Tissue Data'!$A:$A,'[1]Tissue Data'!$H:$H)</f>
        <v>Clinostomus</v>
      </c>
      <c r="F8281" t="str">
        <f>_xlfn.XLOOKUP(A8281,'[1]Tissue Data'!$A:$A,'[1]Tissue Data'!$I:$I)</f>
        <v>funduloides</v>
      </c>
      <c r="G8281" t="str">
        <f>_xlfn.XLOOKUP(A8281,'[1]Tissue Data'!$A:$A,'[1]Tissue Data'!J:J)</f>
        <v>U</v>
      </c>
      <c r="H8281" t="str">
        <f>_xlfn.XLOOKUP(A8281,'[1]Tissue Data'!$A:$A,'[1]Tissue Data'!K:K)</f>
        <v>Whole Body</v>
      </c>
      <c r="I8281">
        <f>_xlfn.XLOOKUP(A8281,'[1]Tissue Data'!$A:$A,'[1]Tissue Data'!L:L)</f>
        <v>4</v>
      </c>
      <c r="J8281">
        <f>_xlfn.XLOOKUP(A8281,'[1]Tissue Data'!$A:$A,'[1]Tissue Data'!M:M)</f>
        <v>1.79</v>
      </c>
      <c r="K8281" t="s">
        <v>41</v>
      </c>
      <c r="L8281" t="str">
        <f>_xlfn.XLOOKUP(K8281,[2]analyte_order!$B:$B,[2]analyte_order!$C:$C)</f>
        <v>2355-31-9</v>
      </c>
      <c r="M8281">
        <f>_xlfn.XLOOKUP(L8281,[2]analyte_order!$C:$C,[2]analyte_order!$E:$E)</f>
        <v>26</v>
      </c>
      <c r="N8281">
        <v>0.2165</v>
      </c>
    </row>
    <row r="8282" spans="1:14">
      <c r="A8282" t="s">
        <v>319</v>
      </c>
      <c r="B8282" t="str">
        <f>_xlfn.XLOOKUP(A8282,'[1]Tissue Data'!$A:$A,'[1]Tissue Data'!$C:$C)</f>
        <v>Down</v>
      </c>
      <c r="C8282" s="2">
        <f>_xlfn.XLOOKUP(A8282,'[1]Tissue Data'!$A:$A,'[1]Tissue Data'!$D:$D)</f>
        <v>44393</v>
      </c>
      <c r="D8282" s="2" t="s">
        <v>131</v>
      </c>
      <c r="E8282" t="str">
        <f>_xlfn.XLOOKUP(A8282,'[1]Tissue Data'!$A:$A,'[1]Tissue Data'!$H:$H)</f>
        <v>Clinostomus</v>
      </c>
      <c r="F8282" t="str">
        <f>_xlfn.XLOOKUP(A8282,'[1]Tissue Data'!$A:$A,'[1]Tissue Data'!$I:$I)</f>
        <v>funduloides</v>
      </c>
      <c r="G8282" t="str">
        <f>_xlfn.XLOOKUP(A8282,'[1]Tissue Data'!$A:$A,'[1]Tissue Data'!J:J)</f>
        <v>U</v>
      </c>
      <c r="H8282" t="str">
        <f>_xlfn.XLOOKUP(A8282,'[1]Tissue Data'!$A:$A,'[1]Tissue Data'!K:K)</f>
        <v>Whole Body</v>
      </c>
      <c r="I8282">
        <f>_xlfn.XLOOKUP(A8282,'[1]Tissue Data'!$A:$A,'[1]Tissue Data'!L:L)</f>
        <v>4</v>
      </c>
      <c r="J8282">
        <f>_xlfn.XLOOKUP(A8282,'[1]Tissue Data'!$A:$A,'[1]Tissue Data'!M:M)</f>
        <v>1.79</v>
      </c>
      <c r="K8282" t="s">
        <v>42</v>
      </c>
      <c r="L8282" t="str">
        <f>_xlfn.XLOOKUP(K8282,[2]analyte_order!$B:$B,[2]analyte_order!$C:$C)</f>
        <v>2991-50-6</v>
      </c>
      <c r="M8282">
        <f>_xlfn.XLOOKUP(L8282,[2]analyte_order!$C:$C,[2]analyte_order!$E:$E)</f>
        <v>27</v>
      </c>
      <c r="N8282">
        <v>0.2155</v>
      </c>
    </row>
    <row r="8283" spans="1:14">
      <c r="A8283" t="s">
        <v>319</v>
      </c>
      <c r="B8283" t="str">
        <f>_xlfn.XLOOKUP(A8283,'[1]Tissue Data'!$A:$A,'[1]Tissue Data'!$C:$C)</f>
        <v>Down</v>
      </c>
      <c r="C8283" s="2">
        <f>_xlfn.XLOOKUP(A8283,'[1]Tissue Data'!$A:$A,'[1]Tissue Data'!$D:$D)</f>
        <v>44393</v>
      </c>
      <c r="D8283" s="2" t="s">
        <v>131</v>
      </c>
      <c r="E8283" t="str">
        <f>_xlfn.XLOOKUP(A8283,'[1]Tissue Data'!$A:$A,'[1]Tissue Data'!$H:$H)</f>
        <v>Clinostomus</v>
      </c>
      <c r="F8283" t="str">
        <f>_xlfn.XLOOKUP(A8283,'[1]Tissue Data'!$A:$A,'[1]Tissue Data'!$I:$I)</f>
        <v>funduloides</v>
      </c>
      <c r="G8283" t="str">
        <f>_xlfn.XLOOKUP(A8283,'[1]Tissue Data'!$A:$A,'[1]Tissue Data'!J:J)</f>
        <v>U</v>
      </c>
      <c r="H8283" t="str">
        <f>_xlfn.XLOOKUP(A8283,'[1]Tissue Data'!$A:$A,'[1]Tissue Data'!K:K)</f>
        <v>Whole Body</v>
      </c>
      <c r="I8283">
        <f>_xlfn.XLOOKUP(A8283,'[1]Tissue Data'!$A:$A,'[1]Tissue Data'!L:L)</f>
        <v>4</v>
      </c>
      <c r="J8283">
        <f>_xlfn.XLOOKUP(A8283,'[1]Tissue Data'!$A:$A,'[1]Tissue Data'!M:M)</f>
        <v>1.79</v>
      </c>
      <c r="K8283" t="s">
        <v>43</v>
      </c>
      <c r="L8283" t="str">
        <f>_xlfn.XLOOKUP(K8283,[2]analyte_order!$B:$B,[2]analyte_order!$C:$C)</f>
        <v>757124-72-4</v>
      </c>
      <c r="M8283">
        <f>_xlfn.XLOOKUP(L8283,[2]analyte_order!$C:$C,[2]analyte_order!$E:$E)</f>
        <v>22</v>
      </c>
      <c r="N8283">
        <v>0.2155</v>
      </c>
    </row>
    <row r="8284" spans="1:14">
      <c r="A8284" t="s">
        <v>319</v>
      </c>
      <c r="B8284" t="str">
        <f>_xlfn.XLOOKUP(A8284,'[1]Tissue Data'!$A:$A,'[1]Tissue Data'!$C:$C)</f>
        <v>Down</v>
      </c>
      <c r="C8284" s="2">
        <f>_xlfn.XLOOKUP(A8284,'[1]Tissue Data'!$A:$A,'[1]Tissue Data'!$D:$D)</f>
        <v>44393</v>
      </c>
      <c r="D8284" s="2" t="s">
        <v>131</v>
      </c>
      <c r="E8284" t="str">
        <f>_xlfn.XLOOKUP(A8284,'[1]Tissue Data'!$A:$A,'[1]Tissue Data'!$H:$H)</f>
        <v>Clinostomus</v>
      </c>
      <c r="F8284" t="str">
        <f>_xlfn.XLOOKUP(A8284,'[1]Tissue Data'!$A:$A,'[1]Tissue Data'!$I:$I)</f>
        <v>funduloides</v>
      </c>
      <c r="G8284" t="str">
        <f>_xlfn.XLOOKUP(A8284,'[1]Tissue Data'!$A:$A,'[1]Tissue Data'!J:J)</f>
        <v>U</v>
      </c>
      <c r="H8284" t="str">
        <f>_xlfn.XLOOKUP(A8284,'[1]Tissue Data'!$A:$A,'[1]Tissue Data'!K:K)</f>
        <v>Whole Body</v>
      </c>
      <c r="I8284">
        <f>_xlfn.XLOOKUP(A8284,'[1]Tissue Data'!$A:$A,'[1]Tissue Data'!L:L)</f>
        <v>4</v>
      </c>
      <c r="J8284">
        <f>_xlfn.XLOOKUP(A8284,'[1]Tissue Data'!$A:$A,'[1]Tissue Data'!M:M)</f>
        <v>1.79</v>
      </c>
      <c r="K8284" t="s">
        <v>44</v>
      </c>
      <c r="L8284" t="str">
        <f>_xlfn.XLOOKUP(K8284,[2]analyte_order!$B:$B,[2]analyte_order!$C:$C)</f>
        <v>27619-97-2</v>
      </c>
      <c r="M8284">
        <f>_xlfn.XLOOKUP(L8284,[2]analyte_order!$C:$C,[2]analyte_order!$E:$E)</f>
        <v>23</v>
      </c>
      <c r="N8284">
        <v>0.51500000000000001</v>
      </c>
    </row>
    <row r="8285" spans="1:14">
      <c r="A8285" t="s">
        <v>319</v>
      </c>
      <c r="B8285" t="str">
        <f>_xlfn.XLOOKUP(A8285,'[1]Tissue Data'!$A:$A,'[1]Tissue Data'!$C:$C)</f>
        <v>Down</v>
      </c>
      <c r="C8285" s="2">
        <f>_xlfn.XLOOKUP(A8285,'[1]Tissue Data'!$A:$A,'[1]Tissue Data'!$D:$D)</f>
        <v>44393</v>
      </c>
      <c r="D8285" s="2" t="s">
        <v>131</v>
      </c>
      <c r="E8285" t="str">
        <f>_xlfn.XLOOKUP(A8285,'[1]Tissue Data'!$A:$A,'[1]Tissue Data'!$H:$H)</f>
        <v>Clinostomus</v>
      </c>
      <c r="F8285" t="str">
        <f>_xlfn.XLOOKUP(A8285,'[1]Tissue Data'!$A:$A,'[1]Tissue Data'!$I:$I)</f>
        <v>funduloides</v>
      </c>
      <c r="G8285" t="str">
        <f>_xlfn.XLOOKUP(A8285,'[1]Tissue Data'!$A:$A,'[1]Tissue Data'!J:J)</f>
        <v>U</v>
      </c>
      <c r="H8285" t="str">
        <f>_xlfn.XLOOKUP(A8285,'[1]Tissue Data'!$A:$A,'[1]Tissue Data'!K:K)</f>
        <v>Whole Body</v>
      </c>
      <c r="I8285">
        <f>_xlfn.XLOOKUP(A8285,'[1]Tissue Data'!$A:$A,'[1]Tissue Data'!L:L)</f>
        <v>4</v>
      </c>
      <c r="J8285">
        <f>_xlfn.XLOOKUP(A8285,'[1]Tissue Data'!$A:$A,'[1]Tissue Data'!M:M)</f>
        <v>1.79</v>
      </c>
      <c r="K8285" t="s">
        <v>45</v>
      </c>
      <c r="L8285" t="str">
        <f>_xlfn.XLOOKUP(K8285,[2]analyte_order!$B:$B,[2]analyte_order!$C:$C)</f>
        <v>39108-34-4</v>
      </c>
      <c r="M8285">
        <f>_xlfn.XLOOKUP(L8285,[2]analyte_order!$C:$C,[2]analyte_order!$E:$E)</f>
        <v>24</v>
      </c>
      <c r="N8285">
        <v>14.5</v>
      </c>
    </row>
    <row r="8286" spans="1:14">
      <c r="A8286" t="s">
        <v>319</v>
      </c>
      <c r="B8286" t="str">
        <f>_xlfn.XLOOKUP(A8286,'[1]Tissue Data'!$A:$A,'[1]Tissue Data'!$C:$C)</f>
        <v>Down</v>
      </c>
      <c r="C8286" s="2">
        <f>_xlfn.XLOOKUP(A8286,'[1]Tissue Data'!$A:$A,'[1]Tissue Data'!$D:$D)</f>
        <v>44393</v>
      </c>
      <c r="D8286" s="2" t="s">
        <v>131</v>
      </c>
      <c r="E8286" t="str">
        <f>_xlfn.XLOOKUP(A8286,'[1]Tissue Data'!$A:$A,'[1]Tissue Data'!$H:$H)</f>
        <v>Clinostomus</v>
      </c>
      <c r="F8286" t="str">
        <f>_xlfn.XLOOKUP(A8286,'[1]Tissue Data'!$A:$A,'[1]Tissue Data'!$I:$I)</f>
        <v>funduloides</v>
      </c>
      <c r="G8286" t="str">
        <f>_xlfn.XLOOKUP(A8286,'[1]Tissue Data'!$A:$A,'[1]Tissue Data'!J:J)</f>
        <v>U</v>
      </c>
      <c r="H8286" t="str">
        <f>_xlfn.XLOOKUP(A8286,'[1]Tissue Data'!$A:$A,'[1]Tissue Data'!K:K)</f>
        <v>Whole Body</v>
      </c>
      <c r="I8286">
        <f>_xlfn.XLOOKUP(A8286,'[1]Tissue Data'!$A:$A,'[1]Tissue Data'!L:L)</f>
        <v>4</v>
      </c>
      <c r="J8286">
        <f>_xlfn.XLOOKUP(A8286,'[1]Tissue Data'!$A:$A,'[1]Tissue Data'!M:M)</f>
        <v>1.79</v>
      </c>
      <c r="K8286" t="s">
        <v>46</v>
      </c>
      <c r="L8286" t="str">
        <f>_xlfn.XLOOKUP(K8286,[2]analyte_order!$B:$B,[2]analyte_order!$C:$C)</f>
        <v>120226-60-0</v>
      </c>
      <c r="M8286">
        <f>_xlfn.XLOOKUP(L8286,[2]analyte_order!$C:$C,[2]analyte_order!$E:$E)</f>
        <v>25</v>
      </c>
      <c r="N8286">
        <v>1.04</v>
      </c>
    </row>
    <row r="8287" spans="1:14">
      <c r="A8287" t="s">
        <v>319</v>
      </c>
      <c r="B8287" t="str">
        <f>_xlfn.XLOOKUP(A8287,'[1]Tissue Data'!$A:$A,'[1]Tissue Data'!$C:$C)</f>
        <v>Down</v>
      </c>
      <c r="C8287" s="2">
        <f>_xlfn.XLOOKUP(A8287,'[1]Tissue Data'!$A:$A,'[1]Tissue Data'!$D:$D)</f>
        <v>44393</v>
      </c>
      <c r="D8287" s="2" t="s">
        <v>131</v>
      </c>
      <c r="E8287" t="str">
        <f>_xlfn.XLOOKUP(A8287,'[1]Tissue Data'!$A:$A,'[1]Tissue Data'!$H:$H)</f>
        <v>Clinostomus</v>
      </c>
      <c r="F8287" t="str">
        <f>_xlfn.XLOOKUP(A8287,'[1]Tissue Data'!$A:$A,'[1]Tissue Data'!$I:$I)</f>
        <v>funduloides</v>
      </c>
      <c r="G8287" t="str">
        <f>_xlfn.XLOOKUP(A8287,'[1]Tissue Data'!$A:$A,'[1]Tissue Data'!J:J)</f>
        <v>U</v>
      </c>
      <c r="H8287" t="str">
        <f>_xlfn.XLOOKUP(A8287,'[1]Tissue Data'!$A:$A,'[1]Tissue Data'!K:K)</f>
        <v>Whole Body</v>
      </c>
      <c r="I8287">
        <f>_xlfn.XLOOKUP(A8287,'[1]Tissue Data'!$A:$A,'[1]Tissue Data'!L:L)</f>
        <v>4</v>
      </c>
      <c r="J8287">
        <f>_xlfn.XLOOKUP(A8287,'[1]Tissue Data'!$A:$A,'[1]Tissue Data'!M:M)</f>
        <v>1.79</v>
      </c>
      <c r="K8287" t="s">
        <v>47</v>
      </c>
      <c r="L8287" t="str">
        <f>_xlfn.XLOOKUP(K8287,[2]analyte_order!$B:$B,[2]analyte_order!$C:$C)</f>
        <v>356-02-5</v>
      </c>
      <c r="M8287">
        <f>_xlfn.XLOOKUP(L8287,[2]analyte_order!$C:$C,[2]analyte_order!$E:$E)</f>
        <v>38</v>
      </c>
      <c r="N8287">
        <v>0.2485</v>
      </c>
    </row>
    <row r="8288" spans="1:14">
      <c r="A8288" t="s">
        <v>319</v>
      </c>
      <c r="B8288" t="str">
        <f>_xlfn.XLOOKUP(A8288,'[1]Tissue Data'!$A:$A,'[1]Tissue Data'!$C:$C)</f>
        <v>Down</v>
      </c>
      <c r="C8288" s="2">
        <f>_xlfn.XLOOKUP(A8288,'[1]Tissue Data'!$A:$A,'[1]Tissue Data'!$D:$D)</f>
        <v>44393</v>
      </c>
      <c r="D8288" s="2" t="s">
        <v>131</v>
      </c>
      <c r="E8288" t="str">
        <f>_xlfn.XLOOKUP(A8288,'[1]Tissue Data'!$A:$A,'[1]Tissue Data'!$H:$H)</f>
        <v>Clinostomus</v>
      </c>
      <c r="F8288" t="str">
        <f>_xlfn.XLOOKUP(A8288,'[1]Tissue Data'!$A:$A,'[1]Tissue Data'!$I:$I)</f>
        <v>funduloides</v>
      </c>
      <c r="G8288" t="str">
        <f>_xlfn.XLOOKUP(A8288,'[1]Tissue Data'!$A:$A,'[1]Tissue Data'!J:J)</f>
        <v>U</v>
      </c>
      <c r="H8288" t="str">
        <f>_xlfn.XLOOKUP(A8288,'[1]Tissue Data'!$A:$A,'[1]Tissue Data'!K:K)</f>
        <v>Whole Body</v>
      </c>
      <c r="I8288">
        <f>_xlfn.XLOOKUP(A8288,'[1]Tissue Data'!$A:$A,'[1]Tissue Data'!L:L)</f>
        <v>4</v>
      </c>
      <c r="J8288">
        <f>_xlfn.XLOOKUP(A8288,'[1]Tissue Data'!$A:$A,'[1]Tissue Data'!M:M)</f>
        <v>1.79</v>
      </c>
      <c r="K8288" t="s">
        <v>48</v>
      </c>
      <c r="L8288" t="str">
        <f>_xlfn.XLOOKUP(K8288,[2]analyte_order!$B:$B,[2]analyte_order!$C:$C)</f>
        <v>914637-49-3</v>
      </c>
      <c r="M8288">
        <f>_xlfn.XLOOKUP(L8288,[2]analyte_order!$C:$C,[2]analyte_order!$E:$E)</f>
        <v>39</v>
      </c>
      <c r="N8288">
        <v>0.2155</v>
      </c>
    </row>
    <row r="8289" spans="1:14">
      <c r="A8289" t="s">
        <v>319</v>
      </c>
      <c r="B8289" t="str">
        <f>_xlfn.XLOOKUP(A8289,'[1]Tissue Data'!$A:$A,'[1]Tissue Data'!$C:$C)</f>
        <v>Down</v>
      </c>
      <c r="C8289" s="2">
        <f>_xlfn.XLOOKUP(A8289,'[1]Tissue Data'!$A:$A,'[1]Tissue Data'!$D:$D)</f>
        <v>44393</v>
      </c>
      <c r="D8289" s="2" t="s">
        <v>131</v>
      </c>
      <c r="E8289" t="str">
        <f>_xlfn.XLOOKUP(A8289,'[1]Tissue Data'!$A:$A,'[1]Tissue Data'!$H:$H)</f>
        <v>Clinostomus</v>
      </c>
      <c r="F8289" t="str">
        <f>_xlfn.XLOOKUP(A8289,'[1]Tissue Data'!$A:$A,'[1]Tissue Data'!$I:$I)</f>
        <v>funduloides</v>
      </c>
      <c r="G8289" t="str">
        <f>_xlfn.XLOOKUP(A8289,'[1]Tissue Data'!$A:$A,'[1]Tissue Data'!J:J)</f>
        <v>U</v>
      </c>
      <c r="H8289" t="str">
        <f>_xlfn.XLOOKUP(A8289,'[1]Tissue Data'!$A:$A,'[1]Tissue Data'!K:K)</f>
        <v>Whole Body</v>
      </c>
      <c r="I8289">
        <f>_xlfn.XLOOKUP(A8289,'[1]Tissue Data'!$A:$A,'[1]Tissue Data'!L:L)</f>
        <v>4</v>
      </c>
      <c r="J8289">
        <f>_xlfn.XLOOKUP(A8289,'[1]Tissue Data'!$A:$A,'[1]Tissue Data'!M:M)</f>
        <v>1.79</v>
      </c>
      <c r="K8289" t="s">
        <v>49</v>
      </c>
      <c r="L8289" t="str">
        <f>_xlfn.XLOOKUP(K8289,[2]analyte_order!$B:$B,[2]analyte_order!$C:$C)</f>
        <v>812-70-4</v>
      </c>
      <c r="M8289">
        <f>_xlfn.XLOOKUP(L8289,[2]analyte_order!$C:$C,[2]analyte_order!$E:$E)</f>
        <v>40</v>
      </c>
      <c r="N8289">
        <v>10.6</v>
      </c>
    </row>
    <row r="8290" spans="1:14">
      <c r="A8290" t="s">
        <v>319</v>
      </c>
      <c r="B8290" t="str">
        <f>_xlfn.XLOOKUP(A8290,'[1]Tissue Data'!$A:$A,'[1]Tissue Data'!$C:$C)</f>
        <v>Down</v>
      </c>
      <c r="C8290" s="2">
        <f>_xlfn.XLOOKUP(A8290,'[1]Tissue Data'!$A:$A,'[1]Tissue Data'!$D:$D)</f>
        <v>44393</v>
      </c>
      <c r="D8290" s="2" t="s">
        <v>131</v>
      </c>
      <c r="E8290" t="str">
        <f>_xlfn.XLOOKUP(A8290,'[1]Tissue Data'!$A:$A,'[1]Tissue Data'!$H:$H)</f>
        <v>Clinostomus</v>
      </c>
      <c r="F8290" t="str">
        <f>_xlfn.XLOOKUP(A8290,'[1]Tissue Data'!$A:$A,'[1]Tissue Data'!$I:$I)</f>
        <v>funduloides</v>
      </c>
      <c r="G8290" t="str">
        <f>_xlfn.XLOOKUP(A8290,'[1]Tissue Data'!$A:$A,'[1]Tissue Data'!J:J)</f>
        <v>U</v>
      </c>
      <c r="H8290" t="str">
        <f>_xlfn.XLOOKUP(A8290,'[1]Tissue Data'!$A:$A,'[1]Tissue Data'!K:K)</f>
        <v>Whole Body</v>
      </c>
      <c r="I8290">
        <f>_xlfn.XLOOKUP(A8290,'[1]Tissue Data'!$A:$A,'[1]Tissue Data'!L:L)</f>
        <v>4</v>
      </c>
      <c r="J8290">
        <f>_xlfn.XLOOKUP(A8290,'[1]Tissue Data'!$A:$A,'[1]Tissue Data'!M:M)</f>
        <v>1.79</v>
      </c>
      <c r="K8290" t="s">
        <v>50</v>
      </c>
      <c r="L8290" t="str">
        <f>_xlfn.XLOOKUP(K8290,[2]analyte_order!$B:$B,[2]analyte_order!$C:$C)</f>
        <v>53826-12-3</v>
      </c>
      <c r="M8290">
        <f>_xlfn.XLOOKUP(L8290,[2]analyte_order!$C:$C,[2]analyte_order!$E:$E)</f>
        <v>41</v>
      </c>
      <c r="N8290">
        <v>0.43099999999999999</v>
      </c>
    </row>
    <row r="8291" spans="1:14">
      <c r="A8291" t="s">
        <v>319</v>
      </c>
      <c r="B8291" t="str">
        <f>_xlfn.XLOOKUP(A8291,'[1]Tissue Data'!$A:$A,'[1]Tissue Data'!$C:$C)</f>
        <v>Down</v>
      </c>
      <c r="C8291" s="2">
        <f>_xlfn.XLOOKUP(A8291,'[1]Tissue Data'!$A:$A,'[1]Tissue Data'!$D:$D)</f>
        <v>44393</v>
      </c>
      <c r="D8291" s="2" t="s">
        <v>131</v>
      </c>
      <c r="E8291" t="str">
        <f>_xlfn.XLOOKUP(A8291,'[1]Tissue Data'!$A:$A,'[1]Tissue Data'!$H:$H)</f>
        <v>Clinostomus</v>
      </c>
      <c r="F8291" t="str">
        <f>_xlfn.XLOOKUP(A8291,'[1]Tissue Data'!$A:$A,'[1]Tissue Data'!$I:$I)</f>
        <v>funduloides</v>
      </c>
      <c r="G8291" t="str">
        <f>_xlfn.XLOOKUP(A8291,'[1]Tissue Data'!$A:$A,'[1]Tissue Data'!J:J)</f>
        <v>U</v>
      </c>
      <c r="H8291" t="str">
        <f>_xlfn.XLOOKUP(A8291,'[1]Tissue Data'!$A:$A,'[1]Tissue Data'!K:K)</f>
        <v>Whole Body</v>
      </c>
      <c r="I8291">
        <f>_xlfn.XLOOKUP(A8291,'[1]Tissue Data'!$A:$A,'[1]Tissue Data'!L:L)</f>
        <v>4</v>
      </c>
      <c r="J8291">
        <f>_xlfn.XLOOKUP(A8291,'[1]Tissue Data'!$A:$A,'[1]Tissue Data'!M:M)</f>
        <v>1.79</v>
      </c>
      <c r="K8291" t="s">
        <v>51</v>
      </c>
      <c r="L8291" t="str">
        <f>_xlfn.XLOOKUP(K8291,[2]analyte_order!$B:$B,[2]analyte_order!$C:$C)</f>
        <v>27854-31-5</v>
      </c>
      <c r="M8291">
        <f>_xlfn.XLOOKUP(L8291,[2]analyte_order!$C:$C,[2]analyte_order!$E:$E)</f>
        <v>42</v>
      </c>
      <c r="N8291">
        <v>0.43099999999999999</v>
      </c>
    </row>
    <row r="8292" spans="1:14">
      <c r="A8292" t="s">
        <v>319</v>
      </c>
      <c r="B8292" t="str">
        <f>_xlfn.XLOOKUP(A8292,'[1]Tissue Data'!$A:$A,'[1]Tissue Data'!$C:$C)</f>
        <v>Down</v>
      </c>
      <c r="C8292" s="2">
        <f>_xlfn.XLOOKUP(A8292,'[1]Tissue Data'!$A:$A,'[1]Tissue Data'!$D:$D)</f>
        <v>44393</v>
      </c>
      <c r="D8292" s="2" t="s">
        <v>131</v>
      </c>
      <c r="E8292" t="str">
        <f>_xlfn.XLOOKUP(A8292,'[1]Tissue Data'!$A:$A,'[1]Tissue Data'!$H:$H)</f>
        <v>Clinostomus</v>
      </c>
      <c r="F8292" t="str">
        <f>_xlfn.XLOOKUP(A8292,'[1]Tissue Data'!$A:$A,'[1]Tissue Data'!$I:$I)</f>
        <v>funduloides</v>
      </c>
      <c r="G8292" t="str">
        <f>_xlfn.XLOOKUP(A8292,'[1]Tissue Data'!$A:$A,'[1]Tissue Data'!J:J)</f>
        <v>U</v>
      </c>
      <c r="H8292" t="str">
        <f>_xlfn.XLOOKUP(A8292,'[1]Tissue Data'!$A:$A,'[1]Tissue Data'!K:K)</f>
        <v>Whole Body</v>
      </c>
      <c r="I8292">
        <f>_xlfn.XLOOKUP(A8292,'[1]Tissue Data'!$A:$A,'[1]Tissue Data'!L:L)</f>
        <v>4</v>
      </c>
      <c r="J8292">
        <f>_xlfn.XLOOKUP(A8292,'[1]Tissue Data'!$A:$A,'[1]Tissue Data'!M:M)</f>
        <v>1.79</v>
      </c>
      <c r="K8292" t="s">
        <v>52</v>
      </c>
      <c r="L8292" t="str">
        <f>_xlfn.XLOOKUP(K8292,[2]analyte_order!$B:$B,[2]analyte_order!$C:$C)</f>
        <v>53826-13-4</v>
      </c>
      <c r="M8292">
        <f>_xlfn.XLOOKUP(L8292,[2]analyte_order!$C:$C,[2]analyte_order!$E:$E)</f>
        <v>43</v>
      </c>
      <c r="N8292">
        <v>0.43099999999999999</v>
      </c>
    </row>
    <row r="8293" spans="1:14">
      <c r="A8293" t="s">
        <v>319</v>
      </c>
      <c r="B8293" t="str">
        <f>_xlfn.XLOOKUP(A8293,'[1]Tissue Data'!$A:$A,'[1]Tissue Data'!$C:$C)</f>
        <v>Down</v>
      </c>
      <c r="C8293" s="2">
        <f>_xlfn.XLOOKUP(A8293,'[1]Tissue Data'!$A:$A,'[1]Tissue Data'!$D:$D)</f>
        <v>44393</v>
      </c>
      <c r="D8293" s="2" t="s">
        <v>131</v>
      </c>
      <c r="E8293" t="str">
        <f>_xlfn.XLOOKUP(A8293,'[1]Tissue Data'!$A:$A,'[1]Tissue Data'!$H:$H)</f>
        <v>Clinostomus</v>
      </c>
      <c r="F8293" t="str">
        <f>_xlfn.XLOOKUP(A8293,'[1]Tissue Data'!$A:$A,'[1]Tissue Data'!$I:$I)</f>
        <v>funduloides</v>
      </c>
      <c r="G8293" t="str">
        <f>_xlfn.XLOOKUP(A8293,'[1]Tissue Data'!$A:$A,'[1]Tissue Data'!J:J)</f>
        <v>U</v>
      </c>
      <c r="H8293" t="str">
        <f>_xlfn.XLOOKUP(A8293,'[1]Tissue Data'!$A:$A,'[1]Tissue Data'!K:K)</f>
        <v>Whole Body</v>
      </c>
      <c r="I8293">
        <f>_xlfn.XLOOKUP(A8293,'[1]Tissue Data'!$A:$A,'[1]Tissue Data'!L:L)</f>
        <v>4</v>
      </c>
      <c r="J8293">
        <f>_xlfn.XLOOKUP(A8293,'[1]Tissue Data'!$A:$A,'[1]Tissue Data'!M:M)</f>
        <v>1.79</v>
      </c>
      <c r="K8293" t="s">
        <v>53</v>
      </c>
      <c r="L8293" t="str">
        <f>_xlfn.XLOOKUP(K8293,[2]analyte_order!$B:$B,[2]analyte_order!$C:$C)</f>
        <v>161094-75-3</v>
      </c>
      <c r="M8293">
        <f>_xlfn.XLOOKUP(L8293,[2]analyte_order!$C:$C,[2]analyte_order!$E:$E)</f>
        <v>44</v>
      </c>
      <c r="N8293">
        <v>0.43099999999999999</v>
      </c>
    </row>
    <row r="8294" spans="1:14">
      <c r="A8294" t="s">
        <v>319</v>
      </c>
      <c r="B8294" t="str">
        <f>_xlfn.XLOOKUP(A8294,'[1]Tissue Data'!$A:$A,'[1]Tissue Data'!$C:$C)</f>
        <v>Down</v>
      </c>
      <c r="C8294" s="2">
        <f>_xlfn.XLOOKUP(A8294,'[1]Tissue Data'!$A:$A,'[1]Tissue Data'!$D:$D)</f>
        <v>44393</v>
      </c>
      <c r="D8294" s="2" t="s">
        <v>131</v>
      </c>
      <c r="E8294" t="str">
        <f>_xlfn.XLOOKUP(A8294,'[1]Tissue Data'!$A:$A,'[1]Tissue Data'!$H:$H)</f>
        <v>Clinostomus</v>
      </c>
      <c r="F8294" t="str">
        <f>_xlfn.XLOOKUP(A8294,'[1]Tissue Data'!$A:$A,'[1]Tissue Data'!$I:$I)</f>
        <v>funduloides</v>
      </c>
      <c r="G8294" t="str">
        <f>_xlfn.XLOOKUP(A8294,'[1]Tissue Data'!$A:$A,'[1]Tissue Data'!J:J)</f>
        <v>U</v>
      </c>
      <c r="H8294" t="str">
        <f>_xlfn.XLOOKUP(A8294,'[1]Tissue Data'!$A:$A,'[1]Tissue Data'!K:K)</f>
        <v>Whole Body</v>
      </c>
      <c r="I8294">
        <f>_xlfn.XLOOKUP(A8294,'[1]Tissue Data'!$A:$A,'[1]Tissue Data'!L:L)</f>
        <v>4</v>
      </c>
      <c r="J8294">
        <f>_xlfn.XLOOKUP(A8294,'[1]Tissue Data'!$A:$A,'[1]Tissue Data'!M:M)</f>
        <v>1.79</v>
      </c>
      <c r="K8294" t="s">
        <v>54</v>
      </c>
      <c r="L8294" t="str">
        <f>_xlfn.XLOOKUP(K8294,[2]analyte_order!$B:$B,[2]analyte_order!$C:$C)</f>
        <v>70887-84-2</v>
      </c>
      <c r="M8294">
        <f>_xlfn.XLOOKUP(L8294,[2]analyte_order!$C:$C,[2]analyte_order!$E:$E)</f>
        <v>45</v>
      </c>
      <c r="N8294">
        <v>0.43099999999999999</v>
      </c>
    </row>
    <row r="8295" spans="1:14">
      <c r="A8295" t="s">
        <v>319</v>
      </c>
      <c r="B8295" t="str">
        <f>_xlfn.XLOOKUP(A8295,'[1]Tissue Data'!$A:$A,'[1]Tissue Data'!$C:$C)</f>
        <v>Down</v>
      </c>
      <c r="C8295" s="2">
        <f>_xlfn.XLOOKUP(A8295,'[1]Tissue Data'!$A:$A,'[1]Tissue Data'!$D:$D)</f>
        <v>44393</v>
      </c>
      <c r="D8295" s="2" t="s">
        <v>131</v>
      </c>
      <c r="E8295" t="str">
        <f>_xlfn.XLOOKUP(A8295,'[1]Tissue Data'!$A:$A,'[1]Tissue Data'!$H:$H)</f>
        <v>Clinostomus</v>
      </c>
      <c r="F8295" t="str">
        <f>_xlfn.XLOOKUP(A8295,'[1]Tissue Data'!$A:$A,'[1]Tissue Data'!$I:$I)</f>
        <v>funduloides</v>
      </c>
      <c r="G8295" t="str">
        <f>_xlfn.XLOOKUP(A8295,'[1]Tissue Data'!$A:$A,'[1]Tissue Data'!J:J)</f>
        <v>U</v>
      </c>
      <c r="H8295" t="str">
        <f>_xlfn.XLOOKUP(A8295,'[1]Tissue Data'!$A:$A,'[1]Tissue Data'!K:K)</f>
        <v>Whole Body</v>
      </c>
      <c r="I8295">
        <f>_xlfn.XLOOKUP(A8295,'[1]Tissue Data'!$A:$A,'[1]Tissue Data'!L:L)</f>
        <v>4</v>
      </c>
      <c r="J8295">
        <f>_xlfn.XLOOKUP(A8295,'[1]Tissue Data'!$A:$A,'[1]Tissue Data'!M:M)</f>
        <v>1.79</v>
      </c>
      <c r="K8295" t="s">
        <v>55</v>
      </c>
      <c r="L8295" t="str">
        <f>_xlfn.XLOOKUP(K8295,[2]analyte_order!$B:$B,[2]analyte_order!$C:$C)</f>
        <v>919005-14-4</v>
      </c>
      <c r="M8295">
        <f>_xlfn.XLOOKUP(L8295,[2]analyte_order!$C:$C,[2]analyte_order!$E:$E)</f>
        <v>35</v>
      </c>
      <c r="N8295">
        <v>0.2155</v>
      </c>
    </row>
    <row r="8296" spans="1:14">
      <c r="A8296" t="s">
        <v>319</v>
      </c>
      <c r="B8296" t="str">
        <f>_xlfn.XLOOKUP(A8296,'[1]Tissue Data'!$A:$A,'[1]Tissue Data'!$C:$C)</f>
        <v>Down</v>
      </c>
      <c r="C8296" s="2">
        <f>_xlfn.XLOOKUP(A8296,'[1]Tissue Data'!$A:$A,'[1]Tissue Data'!$D:$D)</f>
        <v>44393</v>
      </c>
      <c r="D8296" s="2" t="s">
        <v>131</v>
      </c>
      <c r="E8296" t="str">
        <f>_xlfn.XLOOKUP(A8296,'[1]Tissue Data'!$A:$A,'[1]Tissue Data'!$H:$H)</f>
        <v>Clinostomus</v>
      </c>
      <c r="F8296" t="str">
        <f>_xlfn.XLOOKUP(A8296,'[1]Tissue Data'!$A:$A,'[1]Tissue Data'!$I:$I)</f>
        <v>funduloides</v>
      </c>
      <c r="G8296" t="str">
        <f>_xlfn.XLOOKUP(A8296,'[1]Tissue Data'!$A:$A,'[1]Tissue Data'!J:J)</f>
        <v>U</v>
      </c>
      <c r="H8296" t="str">
        <f>_xlfn.XLOOKUP(A8296,'[1]Tissue Data'!$A:$A,'[1]Tissue Data'!K:K)</f>
        <v>Whole Body</v>
      </c>
      <c r="I8296">
        <f>_xlfn.XLOOKUP(A8296,'[1]Tissue Data'!$A:$A,'[1]Tissue Data'!L:L)</f>
        <v>4</v>
      </c>
      <c r="J8296">
        <f>_xlfn.XLOOKUP(A8296,'[1]Tissue Data'!$A:$A,'[1]Tissue Data'!M:M)</f>
        <v>1.79</v>
      </c>
      <c r="K8296" t="s">
        <v>56</v>
      </c>
      <c r="L8296" t="str">
        <f>_xlfn.XLOOKUP(K8296,[2]analyte_order!$B:$B,[2]analyte_order!$C:$C)</f>
        <v>756426-58-1</v>
      </c>
      <c r="M8296">
        <f>_xlfn.XLOOKUP(L8296,[2]analyte_order!$C:$C,[2]analyte_order!$E:$E)</f>
        <v>36</v>
      </c>
      <c r="N8296">
        <v>0.43099999999999999</v>
      </c>
    </row>
    <row r="8297" spans="1:14">
      <c r="A8297" t="s">
        <v>319</v>
      </c>
      <c r="B8297" t="str">
        <f>_xlfn.XLOOKUP(A8297,'[1]Tissue Data'!$A:$A,'[1]Tissue Data'!$C:$C)</f>
        <v>Down</v>
      </c>
      <c r="C8297" s="2">
        <f>_xlfn.XLOOKUP(A8297,'[1]Tissue Data'!$A:$A,'[1]Tissue Data'!$D:$D)</f>
        <v>44393</v>
      </c>
      <c r="D8297" s="2" t="s">
        <v>131</v>
      </c>
      <c r="E8297" t="str">
        <f>_xlfn.XLOOKUP(A8297,'[1]Tissue Data'!$A:$A,'[1]Tissue Data'!$H:$H)</f>
        <v>Clinostomus</v>
      </c>
      <c r="F8297" t="str">
        <f>_xlfn.XLOOKUP(A8297,'[1]Tissue Data'!$A:$A,'[1]Tissue Data'!$I:$I)</f>
        <v>funduloides</v>
      </c>
      <c r="G8297" t="str">
        <f>_xlfn.XLOOKUP(A8297,'[1]Tissue Data'!$A:$A,'[1]Tissue Data'!J:J)</f>
        <v>U</v>
      </c>
      <c r="H8297" t="str">
        <f>_xlfn.XLOOKUP(A8297,'[1]Tissue Data'!$A:$A,'[1]Tissue Data'!K:K)</f>
        <v>Whole Body</v>
      </c>
      <c r="I8297">
        <f>_xlfn.XLOOKUP(A8297,'[1]Tissue Data'!$A:$A,'[1]Tissue Data'!L:L)</f>
        <v>4</v>
      </c>
      <c r="J8297">
        <f>_xlfn.XLOOKUP(A8297,'[1]Tissue Data'!$A:$A,'[1]Tissue Data'!M:M)</f>
        <v>1.79</v>
      </c>
      <c r="K8297" t="s">
        <v>57</v>
      </c>
      <c r="L8297" t="str">
        <f>_xlfn.XLOOKUP(K8297,[2]analyte_order!$B:$B,[2]analyte_order!$C:$C)</f>
        <v>763051-92-9</v>
      </c>
      <c r="M8297">
        <f>_xlfn.XLOOKUP(L8297,[2]analyte_order!$C:$C,[2]analyte_order!$E:$E)</f>
        <v>37</v>
      </c>
      <c r="N8297">
        <v>0.43099999999999999</v>
      </c>
    </row>
    <row r="8298" spans="1:14">
      <c r="A8298" t="s">
        <v>319</v>
      </c>
      <c r="B8298" t="str">
        <f>_xlfn.XLOOKUP(A8298,'[1]Tissue Data'!$A:$A,'[1]Tissue Data'!$C:$C)</f>
        <v>Down</v>
      </c>
      <c r="C8298" s="2">
        <f>_xlfn.XLOOKUP(A8298,'[1]Tissue Data'!$A:$A,'[1]Tissue Data'!$D:$D)</f>
        <v>44393</v>
      </c>
      <c r="D8298" s="2" t="s">
        <v>131</v>
      </c>
      <c r="E8298" t="str">
        <f>_xlfn.XLOOKUP(A8298,'[1]Tissue Data'!$A:$A,'[1]Tissue Data'!$H:$H)</f>
        <v>Clinostomus</v>
      </c>
      <c r="F8298" t="str">
        <f>_xlfn.XLOOKUP(A8298,'[1]Tissue Data'!$A:$A,'[1]Tissue Data'!$I:$I)</f>
        <v>funduloides</v>
      </c>
      <c r="G8298" t="str">
        <f>_xlfn.XLOOKUP(A8298,'[1]Tissue Data'!$A:$A,'[1]Tissue Data'!J:J)</f>
        <v>U</v>
      </c>
      <c r="H8298" t="str">
        <f>_xlfn.XLOOKUP(A8298,'[1]Tissue Data'!$A:$A,'[1]Tissue Data'!K:K)</f>
        <v>Whole Body</v>
      </c>
      <c r="I8298">
        <f>_xlfn.XLOOKUP(A8298,'[1]Tissue Data'!$A:$A,'[1]Tissue Data'!L:L)</f>
        <v>4</v>
      </c>
      <c r="J8298">
        <f>_xlfn.XLOOKUP(A8298,'[1]Tissue Data'!$A:$A,'[1]Tissue Data'!M:M)</f>
        <v>1.79</v>
      </c>
      <c r="K8298" t="s">
        <v>58</v>
      </c>
      <c r="L8298" t="str">
        <f>_xlfn.XLOOKUP(K8298,[2]analyte_order!$B:$B,[2]analyte_order!$C:$C)</f>
        <v>13252-13-6</v>
      </c>
      <c r="M8298">
        <f>_xlfn.XLOOKUP(L8298,[2]analyte_order!$C:$C,[2]analyte_order!$E:$E)</f>
        <v>34</v>
      </c>
      <c r="N8298">
        <v>0.309</v>
      </c>
    </row>
    <row r="8299" spans="1:14">
      <c r="A8299" t="s">
        <v>319</v>
      </c>
      <c r="B8299" t="str">
        <f>_xlfn.XLOOKUP(A8299,'[1]Tissue Data'!$A:$A,'[1]Tissue Data'!$C:$C)</f>
        <v>Down</v>
      </c>
      <c r="C8299" s="2">
        <f>_xlfn.XLOOKUP(A8299,'[1]Tissue Data'!$A:$A,'[1]Tissue Data'!$D:$D)</f>
        <v>44393</v>
      </c>
      <c r="D8299" s="2" t="s">
        <v>131</v>
      </c>
      <c r="E8299" t="str">
        <f>_xlfn.XLOOKUP(A8299,'[1]Tissue Data'!$A:$A,'[1]Tissue Data'!$H:$H)</f>
        <v>Clinostomus</v>
      </c>
      <c r="F8299" t="str">
        <f>_xlfn.XLOOKUP(A8299,'[1]Tissue Data'!$A:$A,'[1]Tissue Data'!$I:$I)</f>
        <v>funduloides</v>
      </c>
      <c r="G8299" t="str">
        <f>_xlfn.XLOOKUP(A8299,'[1]Tissue Data'!$A:$A,'[1]Tissue Data'!J:J)</f>
        <v>U</v>
      </c>
      <c r="H8299" t="str">
        <f>_xlfn.XLOOKUP(A8299,'[1]Tissue Data'!$A:$A,'[1]Tissue Data'!K:K)</f>
        <v>Whole Body</v>
      </c>
      <c r="I8299">
        <f>_xlfn.XLOOKUP(A8299,'[1]Tissue Data'!$A:$A,'[1]Tissue Data'!L:L)</f>
        <v>4</v>
      </c>
      <c r="J8299">
        <f>_xlfn.XLOOKUP(A8299,'[1]Tissue Data'!$A:$A,'[1]Tissue Data'!M:M)</f>
        <v>1.79</v>
      </c>
      <c r="K8299" t="s">
        <v>59</v>
      </c>
      <c r="L8299" t="str">
        <f>_xlfn.XLOOKUP(K8299,[2]analyte_order!$B:$B,[2]analyte_order!$C:$C)</f>
        <v>57677-95-9</v>
      </c>
      <c r="M8299">
        <f>_xlfn.XLOOKUP(L8299,[2]analyte_order!$C:$C,[2]analyte_order!$E:$E)</f>
        <v>46</v>
      </c>
      <c r="N8299">
        <v>0.43099999999999999</v>
      </c>
    </row>
    <row r="8300" spans="1:14">
      <c r="A8300" t="s">
        <v>319</v>
      </c>
      <c r="B8300" t="str">
        <f>_xlfn.XLOOKUP(A8300,'[1]Tissue Data'!$A:$A,'[1]Tissue Data'!$C:$C)</f>
        <v>Down</v>
      </c>
      <c r="C8300" s="2">
        <f>_xlfn.XLOOKUP(A8300,'[1]Tissue Data'!$A:$A,'[1]Tissue Data'!$D:$D)</f>
        <v>44393</v>
      </c>
      <c r="D8300" s="2" t="s">
        <v>131</v>
      </c>
      <c r="E8300" t="str">
        <f>_xlfn.XLOOKUP(A8300,'[1]Tissue Data'!$A:$A,'[1]Tissue Data'!$H:$H)</f>
        <v>Clinostomus</v>
      </c>
      <c r="F8300" t="str">
        <f>_xlfn.XLOOKUP(A8300,'[1]Tissue Data'!$A:$A,'[1]Tissue Data'!$I:$I)</f>
        <v>funduloides</v>
      </c>
      <c r="G8300" t="str">
        <f>_xlfn.XLOOKUP(A8300,'[1]Tissue Data'!$A:$A,'[1]Tissue Data'!J:J)</f>
        <v>U</v>
      </c>
      <c r="H8300" t="str">
        <f>_xlfn.XLOOKUP(A8300,'[1]Tissue Data'!$A:$A,'[1]Tissue Data'!K:K)</f>
        <v>Whole Body</v>
      </c>
      <c r="I8300">
        <f>_xlfn.XLOOKUP(A8300,'[1]Tissue Data'!$A:$A,'[1]Tissue Data'!L:L)</f>
        <v>4</v>
      </c>
      <c r="J8300">
        <f>_xlfn.XLOOKUP(A8300,'[1]Tissue Data'!$A:$A,'[1]Tissue Data'!M:M)</f>
        <v>1.79</v>
      </c>
      <c r="K8300" t="s">
        <v>60</v>
      </c>
      <c r="L8300" t="str">
        <f>_xlfn.XLOOKUP(K8300,[2]analyte_order!$B:$B,[2]analyte_order!$C:$C)</f>
        <v>678-41-1</v>
      </c>
      <c r="M8300">
        <f>_xlfn.XLOOKUP(L8300,[2]analyte_order!$C:$C,[2]analyte_order!$E:$E)</f>
        <v>56</v>
      </c>
      <c r="N8300">
        <v>0.43099999999999999</v>
      </c>
    </row>
    <row r="8301" spans="1:14">
      <c r="A8301" t="s">
        <v>319</v>
      </c>
      <c r="B8301" t="str">
        <f>_xlfn.XLOOKUP(A8301,'[1]Tissue Data'!$A:$A,'[1]Tissue Data'!$C:$C)</f>
        <v>Down</v>
      </c>
      <c r="C8301" s="2">
        <f>_xlfn.XLOOKUP(A8301,'[1]Tissue Data'!$A:$A,'[1]Tissue Data'!$D:$D)</f>
        <v>44393</v>
      </c>
      <c r="D8301" s="2" t="s">
        <v>131</v>
      </c>
      <c r="E8301" t="str">
        <f>_xlfn.XLOOKUP(A8301,'[1]Tissue Data'!$A:$A,'[1]Tissue Data'!$H:$H)</f>
        <v>Clinostomus</v>
      </c>
      <c r="F8301" t="str">
        <f>_xlfn.XLOOKUP(A8301,'[1]Tissue Data'!$A:$A,'[1]Tissue Data'!$I:$I)</f>
        <v>funduloides</v>
      </c>
      <c r="G8301" t="str">
        <f>_xlfn.XLOOKUP(A8301,'[1]Tissue Data'!$A:$A,'[1]Tissue Data'!J:J)</f>
        <v>U</v>
      </c>
      <c r="H8301" t="str">
        <f>_xlfn.XLOOKUP(A8301,'[1]Tissue Data'!$A:$A,'[1]Tissue Data'!K:K)</f>
        <v>Whole Body</v>
      </c>
      <c r="I8301">
        <f>_xlfn.XLOOKUP(A8301,'[1]Tissue Data'!$A:$A,'[1]Tissue Data'!L:L)</f>
        <v>4</v>
      </c>
      <c r="J8301">
        <f>_xlfn.XLOOKUP(A8301,'[1]Tissue Data'!$A:$A,'[1]Tissue Data'!M:M)</f>
        <v>1.79</v>
      </c>
      <c r="K8301" t="s">
        <v>61</v>
      </c>
      <c r="L8301" t="str">
        <f>_xlfn.XLOOKUP(K8301,[2]analyte_order!$B:$B,[2]analyte_order!$C:$C)</f>
        <v>2965-52-8</v>
      </c>
      <c r="M8301">
        <f>_xlfn.XLOOKUP(L8301,[2]analyte_order!$C:$C,[2]analyte_order!$E:$E)</f>
        <v>57</v>
      </c>
      <c r="N8301">
        <v>0.43099999999999999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7E47DF-1A0E-4736-84A4-660F4B23BA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Abbi</dc:creator>
  <cp:keywords/>
  <dc:description/>
  <cp:lastModifiedBy>Salice, Christopher</cp:lastModifiedBy>
  <cp:revision/>
  <dcterms:created xsi:type="dcterms:W3CDTF">2024-08-29T12:40:04Z</dcterms:created>
  <dcterms:modified xsi:type="dcterms:W3CDTF">2024-09-06T16:53:44Z</dcterms:modified>
  <cp:category/>
  <cp:contentStatus/>
</cp:coreProperties>
</file>